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6 NTSB Requests\26-009 N52156\"/>
    </mc:Choice>
  </mc:AlternateContent>
  <xr:revisionPtr revIDLastSave="0" documentId="8_{C3697D4D-952C-4F53-8CBF-4BAEC49C96D7}" xr6:coauthVersionLast="47" xr6:coauthVersionMax="47" xr10:uidLastSave="{00000000-0000-0000-0000-000000000000}"/>
  <bookViews>
    <workbookView xWindow="-108" yWindow="-108" windowWidth="23256" windowHeight="12456" xr2:uid="{F7EF3CEA-6CA8-42AD-9B66-6744C0A54F9C}"/>
  </bookViews>
  <sheets>
    <sheet name="20250501_A68FCB_586442102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E2" i="1"/>
  <c r="S2" i="1"/>
  <c r="T2" i="1"/>
  <c r="U2" i="1"/>
  <c r="BB2" i="1"/>
  <c r="BD2" i="1"/>
  <c r="CE2" i="1"/>
  <c r="A3" i="1"/>
  <c r="C3" i="1"/>
  <c r="E3" i="1"/>
  <c r="S3" i="1"/>
  <c r="T3" i="1"/>
  <c r="U3" i="1"/>
  <c r="BB3" i="1"/>
  <c r="BD3" i="1"/>
  <c r="CE3" i="1"/>
  <c r="A4" i="1"/>
  <c r="C4" i="1"/>
  <c r="E4" i="1"/>
  <c r="S4" i="1"/>
  <c r="T4" i="1"/>
  <c r="U4" i="1"/>
  <c r="BB4" i="1"/>
  <c r="BD4" i="1"/>
  <c r="CE4" i="1"/>
  <c r="A5" i="1"/>
  <c r="C5" i="1"/>
  <c r="E5" i="1"/>
  <c r="S5" i="1"/>
  <c r="T5" i="1"/>
  <c r="U5" i="1"/>
  <c r="BB5" i="1"/>
  <c r="BD5" i="1"/>
  <c r="CE5" i="1"/>
  <c r="A6" i="1"/>
  <c r="C6" i="1"/>
  <c r="E6" i="1"/>
  <c r="S6" i="1"/>
  <c r="T6" i="1"/>
  <c r="U6" i="1"/>
  <c r="BB6" i="1"/>
  <c r="BD6" i="1"/>
  <c r="CE6" i="1"/>
  <c r="A7" i="1"/>
  <c r="C7" i="1"/>
  <c r="E7" i="1"/>
  <c r="S7" i="1"/>
  <c r="T7" i="1"/>
  <c r="U7" i="1"/>
  <c r="BB7" i="1"/>
  <c r="BD7" i="1"/>
  <c r="CE7" i="1"/>
  <c r="A8" i="1"/>
  <c r="C8" i="1"/>
  <c r="E8" i="1"/>
  <c r="S8" i="1"/>
  <c r="T8" i="1"/>
  <c r="U8" i="1"/>
  <c r="BB8" i="1"/>
  <c r="BD8" i="1"/>
  <c r="CE8" i="1"/>
  <c r="A9" i="1"/>
  <c r="C9" i="1"/>
  <c r="E9" i="1"/>
  <c r="S9" i="1"/>
  <c r="T9" i="1"/>
  <c r="U9" i="1"/>
  <c r="BB9" i="1"/>
  <c r="BD9" i="1"/>
  <c r="CE9" i="1"/>
  <c r="A10" i="1"/>
  <c r="C10" i="1"/>
  <c r="E10" i="1"/>
  <c r="S10" i="1"/>
  <c r="T10" i="1"/>
  <c r="U10" i="1"/>
  <c r="BB10" i="1"/>
  <c r="BD10" i="1"/>
  <c r="CE10" i="1"/>
  <c r="A11" i="1"/>
  <c r="C11" i="1"/>
  <c r="E11" i="1"/>
  <c r="S11" i="1"/>
  <c r="T11" i="1"/>
  <c r="U11" i="1"/>
  <c r="BB11" i="1"/>
  <c r="BD11" i="1"/>
  <c r="CE11" i="1"/>
  <c r="A12" i="1"/>
  <c r="C12" i="1"/>
  <c r="E12" i="1"/>
  <c r="S12" i="1"/>
  <c r="T12" i="1"/>
  <c r="U12" i="1"/>
  <c r="BB12" i="1"/>
  <c r="BD12" i="1"/>
  <c r="CE12" i="1"/>
  <c r="A13" i="1"/>
  <c r="C13" i="1"/>
  <c r="E13" i="1"/>
  <c r="S13" i="1"/>
  <c r="T13" i="1"/>
  <c r="U13" i="1"/>
  <c r="BB13" i="1"/>
  <c r="BD13" i="1"/>
  <c r="CE13" i="1"/>
  <c r="A14" i="1"/>
  <c r="C14" i="1"/>
  <c r="E14" i="1"/>
  <c r="S14" i="1"/>
  <c r="T14" i="1"/>
  <c r="U14" i="1"/>
  <c r="BB14" i="1"/>
  <c r="BD14" i="1"/>
  <c r="CE14" i="1"/>
  <c r="A15" i="1"/>
  <c r="C15" i="1"/>
  <c r="E15" i="1"/>
  <c r="S15" i="1"/>
  <c r="T15" i="1"/>
  <c r="U15" i="1"/>
  <c r="BB15" i="1"/>
  <c r="BD15" i="1"/>
  <c r="CE15" i="1"/>
  <c r="A16" i="1"/>
  <c r="C16" i="1"/>
  <c r="E16" i="1"/>
  <c r="S16" i="1"/>
  <c r="T16" i="1"/>
  <c r="U16" i="1"/>
  <c r="BB16" i="1"/>
  <c r="BD16" i="1"/>
  <c r="CE16" i="1"/>
  <c r="A17" i="1"/>
  <c r="C17" i="1"/>
  <c r="E17" i="1"/>
  <c r="S17" i="1"/>
  <c r="T17" i="1"/>
  <c r="U17" i="1"/>
  <c r="BB17" i="1"/>
  <c r="BD17" i="1"/>
  <c r="CE17" i="1"/>
  <c r="A18" i="1"/>
  <c r="C18" i="1"/>
  <c r="E18" i="1"/>
  <c r="S18" i="1"/>
  <c r="T18" i="1"/>
  <c r="U18" i="1"/>
  <c r="BB18" i="1"/>
  <c r="BD18" i="1"/>
  <c r="CE18" i="1"/>
  <c r="A19" i="1"/>
  <c r="C19" i="1"/>
  <c r="E19" i="1"/>
  <c r="S19" i="1"/>
  <c r="T19" i="1"/>
  <c r="U19" i="1"/>
  <c r="BB19" i="1"/>
  <c r="BD19" i="1"/>
  <c r="CE19" i="1"/>
  <c r="A20" i="1"/>
  <c r="C20" i="1"/>
  <c r="E20" i="1"/>
  <c r="S20" i="1"/>
  <c r="T20" i="1"/>
  <c r="U20" i="1"/>
  <c r="BB20" i="1"/>
  <c r="BD20" i="1"/>
  <c r="CE20" i="1"/>
  <c r="A21" i="1"/>
  <c r="C21" i="1"/>
  <c r="E21" i="1"/>
  <c r="S21" i="1"/>
  <c r="T21" i="1"/>
  <c r="U21" i="1"/>
  <c r="BB21" i="1"/>
  <c r="BD21" i="1"/>
  <c r="CE21" i="1"/>
  <c r="A22" i="1"/>
  <c r="C22" i="1"/>
  <c r="E22" i="1"/>
  <c r="S22" i="1"/>
  <c r="T22" i="1"/>
  <c r="U22" i="1"/>
  <c r="BB22" i="1"/>
  <c r="BD22" i="1"/>
  <c r="CE22" i="1"/>
  <c r="A23" i="1"/>
  <c r="C23" i="1"/>
  <c r="E23" i="1"/>
  <c r="S23" i="1"/>
  <c r="T23" i="1"/>
  <c r="U23" i="1"/>
  <c r="BB23" i="1"/>
  <c r="BD23" i="1"/>
  <c r="CE23" i="1"/>
  <c r="A24" i="1"/>
  <c r="C24" i="1"/>
  <c r="E24" i="1"/>
  <c r="S24" i="1"/>
  <c r="T24" i="1"/>
  <c r="U24" i="1"/>
  <c r="BB24" i="1"/>
  <c r="BD24" i="1"/>
  <c r="CE24" i="1"/>
  <c r="A25" i="1"/>
  <c r="C25" i="1"/>
  <c r="E25" i="1"/>
  <c r="S25" i="1"/>
  <c r="T25" i="1"/>
  <c r="U25" i="1"/>
  <c r="BB25" i="1"/>
  <c r="BD25" i="1"/>
  <c r="CE25" i="1"/>
  <c r="A26" i="1"/>
  <c r="C26" i="1"/>
  <c r="E26" i="1"/>
  <c r="S26" i="1"/>
  <c r="T26" i="1"/>
  <c r="U26" i="1"/>
  <c r="BB26" i="1"/>
  <c r="BD26" i="1"/>
  <c r="CE26" i="1"/>
  <c r="A27" i="1"/>
  <c r="C27" i="1"/>
  <c r="E27" i="1"/>
  <c r="S27" i="1"/>
  <c r="T27" i="1"/>
  <c r="U27" i="1"/>
  <c r="BB27" i="1"/>
  <c r="BD27" i="1"/>
  <c r="CE27" i="1"/>
  <c r="A28" i="1"/>
  <c r="C28" i="1"/>
  <c r="E28" i="1"/>
  <c r="S28" i="1"/>
  <c r="T28" i="1"/>
  <c r="U28" i="1"/>
  <c r="BB28" i="1"/>
  <c r="BD28" i="1"/>
  <c r="CE28" i="1"/>
  <c r="A29" i="1"/>
  <c r="C29" i="1"/>
  <c r="E29" i="1"/>
  <c r="S29" i="1"/>
  <c r="T29" i="1"/>
  <c r="U29" i="1"/>
  <c r="BB29" i="1"/>
  <c r="BD29" i="1"/>
  <c r="CE29" i="1"/>
  <c r="A30" i="1"/>
  <c r="C30" i="1"/>
  <c r="E30" i="1"/>
  <c r="S30" i="1"/>
  <c r="T30" i="1"/>
  <c r="U30" i="1"/>
  <c r="BB30" i="1"/>
  <c r="BD30" i="1"/>
  <c r="CE30" i="1"/>
  <c r="A31" i="1"/>
  <c r="C31" i="1"/>
  <c r="E31" i="1"/>
  <c r="S31" i="1"/>
  <c r="T31" i="1"/>
  <c r="U31" i="1"/>
  <c r="BB31" i="1"/>
  <c r="BD31" i="1"/>
  <c r="CE31" i="1"/>
  <c r="A32" i="1"/>
  <c r="C32" i="1"/>
  <c r="E32" i="1"/>
  <c r="S32" i="1"/>
  <c r="T32" i="1"/>
  <c r="U32" i="1"/>
  <c r="BB32" i="1"/>
  <c r="BD32" i="1"/>
  <c r="CE32" i="1"/>
  <c r="A33" i="1"/>
  <c r="C33" i="1"/>
  <c r="E33" i="1"/>
  <c r="S33" i="1"/>
  <c r="T33" i="1"/>
  <c r="U33" i="1"/>
  <c r="BB33" i="1"/>
  <c r="BD33" i="1"/>
  <c r="CE33" i="1"/>
  <c r="A34" i="1"/>
  <c r="C34" i="1"/>
  <c r="E34" i="1"/>
  <c r="S34" i="1"/>
  <c r="T34" i="1"/>
  <c r="U34" i="1"/>
  <c r="BB34" i="1"/>
  <c r="BD34" i="1"/>
  <c r="CE34" i="1"/>
  <c r="A35" i="1"/>
  <c r="C35" i="1"/>
  <c r="E35" i="1"/>
  <c r="S35" i="1"/>
  <c r="T35" i="1"/>
  <c r="U35" i="1"/>
  <c r="BB35" i="1"/>
  <c r="BD35" i="1"/>
  <c r="CE35" i="1"/>
  <c r="A36" i="1"/>
  <c r="C36" i="1"/>
  <c r="E36" i="1"/>
  <c r="S36" i="1"/>
  <c r="T36" i="1"/>
  <c r="U36" i="1"/>
  <c r="BB36" i="1"/>
  <c r="BD36" i="1"/>
  <c r="CE36" i="1"/>
  <c r="A37" i="1"/>
  <c r="C37" i="1"/>
  <c r="E37" i="1"/>
  <c r="S37" i="1"/>
  <c r="T37" i="1"/>
  <c r="U37" i="1"/>
  <c r="BB37" i="1"/>
  <c r="BD37" i="1"/>
  <c r="CE37" i="1"/>
  <c r="A38" i="1"/>
  <c r="C38" i="1"/>
  <c r="E38" i="1"/>
  <c r="S38" i="1"/>
  <c r="T38" i="1"/>
  <c r="U38" i="1"/>
  <c r="BB38" i="1"/>
  <c r="BD38" i="1"/>
  <c r="CE38" i="1"/>
  <c r="A39" i="1"/>
  <c r="C39" i="1"/>
  <c r="E39" i="1"/>
  <c r="S39" i="1"/>
  <c r="T39" i="1"/>
  <c r="U39" i="1"/>
  <c r="BB39" i="1"/>
  <c r="BD39" i="1"/>
  <c r="CE39" i="1"/>
  <c r="A40" i="1"/>
  <c r="C40" i="1"/>
  <c r="E40" i="1"/>
  <c r="S40" i="1"/>
  <c r="T40" i="1"/>
  <c r="U40" i="1"/>
  <c r="BB40" i="1"/>
  <c r="BD40" i="1"/>
  <c r="CE40" i="1"/>
  <c r="A41" i="1"/>
  <c r="C41" i="1"/>
  <c r="E41" i="1"/>
  <c r="S41" i="1"/>
  <c r="T41" i="1"/>
  <c r="U41" i="1"/>
  <c r="BB41" i="1"/>
  <c r="BD41" i="1"/>
  <c r="CE41" i="1"/>
  <c r="A42" i="1"/>
  <c r="C42" i="1"/>
  <c r="E42" i="1"/>
  <c r="S42" i="1"/>
  <c r="T42" i="1"/>
  <c r="U42" i="1"/>
  <c r="BB42" i="1"/>
  <c r="BD42" i="1"/>
  <c r="CE42" i="1"/>
  <c r="A43" i="1"/>
  <c r="C43" i="1"/>
  <c r="E43" i="1"/>
  <c r="S43" i="1"/>
  <c r="T43" i="1"/>
  <c r="U43" i="1"/>
  <c r="BB43" i="1"/>
  <c r="BD43" i="1"/>
  <c r="CE43" i="1"/>
  <c r="A44" i="1"/>
  <c r="C44" i="1"/>
  <c r="E44" i="1"/>
  <c r="S44" i="1"/>
  <c r="T44" i="1"/>
  <c r="U44" i="1"/>
  <c r="BB44" i="1"/>
  <c r="BD44" i="1"/>
  <c r="CE44" i="1"/>
  <c r="A45" i="1"/>
  <c r="C45" i="1"/>
  <c r="E45" i="1"/>
  <c r="S45" i="1"/>
  <c r="T45" i="1"/>
  <c r="U45" i="1"/>
  <c r="BB45" i="1"/>
  <c r="BD45" i="1"/>
  <c r="CE45" i="1"/>
  <c r="A46" i="1"/>
  <c r="C46" i="1"/>
  <c r="E46" i="1"/>
  <c r="S46" i="1"/>
  <c r="T46" i="1"/>
  <c r="U46" i="1"/>
  <c r="BB46" i="1"/>
  <c r="BD46" i="1"/>
  <c r="CE46" i="1"/>
  <c r="A47" i="1"/>
  <c r="C47" i="1"/>
  <c r="E47" i="1"/>
  <c r="S47" i="1"/>
  <c r="T47" i="1"/>
  <c r="U47" i="1"/>
  <c r="BB47" i="1"/>
  <c r="BD47" i="1"/>
  <c r="CE47" i="1"/>
  <c r="A48" i="1"/>
  <c r="C48" i="1"/>
  <c r="E48" i="1"/>
  <c r="S48" i="1"/>
  <c r="T48" i="1"/>
  <c r="U48" i="1"/>
  <c r="BB48" i="1"/>
  <c r="BD48" i="1"/>
  <c r="CE48" i="1"/>
  <c r="A49" i="1"/>
  <c r="C49" i="1"/>
  <c r="E49" i="1"/>
  <c r="S49" i="1"/>
  <c r="T49" i="1"/>
  <c r="U49" i="1"/>
  <c r="BB49" i="1"/>
  <c r="BD49" i="1"/>
  <c r="CE49" i="1"/>
  <c r="A50" i="1"/>
  <c r="C50" i="1"/>
  <c r="E50" i="1"/>
  <c r="S50" i="1"/>
  <c r="T50" i="1"/>
  <c r="U50" i="1"/>
  <c r="BB50" i="1"/>
  <c r="BD50" i="1"/>
  <c r="CE50" i="1"/>
  <c r="A51" i="1"/>
  <c r="C51" i="1"/>
  <c r="E51" i="1"/>
  <c r="S51" i="1"/>
  <c r="T51" i="1"/>
  <c r="U51" i="1"/>
  <c r="BB51" i="1"/>
  <c r="BD51" i="1"/>
  <c r="CE51" i="1"/>
  <c r="A52" i="1"/>
  <c r="C52" i="1"/>
  <c r="E52" i="1"/>
  <c r="S52" i="1"/>
  <c r="T52" i="1"/>
  <c r="U52" i="1"/>
  <c r="BB52" i="1"/>
  <c r="BD52" i="1"/>
  <c r="CE52" i="1"/>
  <c r="A53" i="1"/>
  <c r="C53" i="1"/>
  <c r="E53" i="1"/>
  <c r="S53" i="1"/>
  <c r="T53" i="1"/>
  <c r="U53" i="1"/>
  <c r="BB53" i="1"/>
  <c r="BD53" i="1"/>
  <c r="CE53" i="1"/>
  <c r="A54" i="1"/>
  <c r="C54" i="1"/>
  <c r="E54" i="1"/>
  <c r="S54" i="1"/>
  <c r="T54" i="1"/>
  <c r="U54" i="1"/>
  <c r="BB54" i="1"/>
  <c r="BD54" i="1"/>
  <c r="CE54" i="1"/>
  <c r="A55" i="1"/>
  <c r="C55" i="1"/>
  <c r="E55" i="1"/>
  <c r="S55" i="1"/>
  <c r="T55" i="1"/>
  <c r="U55" i="1"/>
  <c r="BB55" i="1"/>
  <c r="BD55" i="1"/>
  <c r="CE55" i="1"/>
  <c r="A56" i="1"/>
  <c r="C56" i="1"/>
  <c r="E56" i="1"/>
  <c r="S56" i="1"/>
  <c r="T56" i="1"/>
  <c r="U56" i="1"/>
  <c r="BB56" i="1"/>
  <c r="BD56" i="1"/>
  <c r="CE56" i="1"/>
  <c r="A57" i="1"/>
  <c r="C57" i="1"/>
  <c r="E57" i="1"/>
  <c r="S57" i="1"/>
  <c r="T57" i="1"/>
  <c r="U57" i="1"/>
  <c r="BB57" i="1"/>
  <c r="BD57" i="1"/>
  <c r="CE57" i="1"/>
  <c r="A58" i="1"/>
  <c r="C58" i="1"/>
  <c r="E58" i="1"/>
  <c r="S58" i="1"/>
  <c r="T58" i="1"/>
  <c r="U58" i="1"/>
  <c r="BB58" i="1"/>
  <c r="BD58" i="1"/>
  <c r="CE58" i="1"/>
  <c r="A59" i="1"/>
  <c r="C59" i="1"/>
  <c r="E59" i="1"/>
  <c r="S59" i="1"/>
  <c r="T59" i="1"/>
  <c r="U59" i="1"/>
  <c r="BB59" i="1"/>
  <c r="BD59" i="1"/>
  <c r="CE59" i="1"/>
  <c r="A60" i="1"/>
  <c r="C60" i="1"/>
  <c r="E60" i="1"/>
  <c r="S60" i="1"/>
  <c r="T60" i="1"/>
  <c r="U60" i="1"/>
  <c r="BB60" i="1"/>
  <c r="BD60" i="1"/>
  <c r="CE60" i="1"/>
  <c r="A61" i="1"/>
  <c r="C61" i="1"/>
  <c r="E61" i="1"/>
  <c r="S61" i="1"/>
  <c r="T61" i="1"/>
  <c r="U61" i="1"/>
  <c r="BB61" i="1"/>
  <c r="BD61" i="1"/>
  <c r="CE61" i="1"/>
  <c r="A62" i="1"/>
  <c r="C62" i="1"/>
  <c r="E62" i="1"/>
  <c r="S62" i="1"/>
  <c r="T62" i="1"/>
  <c r="U62" i="1"/>
  <c r="BB62" i="1"/>
  <c r="BD62" i="1"/>
  <c r="CE62" i="1"/>
  <c r="A63" i="1"/>
  <c r="C63" i="1"/>
  <c r="E63" i="1"/>
  <c r="S63" i="1"/>
  <c r="T63" i="1"/>
  <c r="U63" i="1"/>
  <c r="BB63" i="1"/>
  <c r="BD63" i="1"/>
  <c r="CE63" i="1"/>
  <c r="A64" i="1"/>
  <c r="C64" i="1"/>
  <c r="E64" i="1"/>
  <c r="S64" i="1"/>
  <c r="T64" i="1"/>
  <c r="U64" i="1"/>
  <c r="BB64" i="1"/>
  <c r="BD64" i="1"/>
  <c r="CE64" i="1"/>
  <c r="A65" i="1"/>
  <c r="C65" i="1"/>
  <c r="E65" i="1"/>
  <c r="S65" i="1"/>
  <c r="T65" i="1"/>
  <c r="U65" i="1"/>
  <c r="BB65" i="1"/>
  <c r="BD65" i="1"/>
  <c r="CE65" i="1"/>
  <c r="A66" i="1"/>
  <c r="C66" i="1"/>
  <c r="E66" i="1"/>
  <c r="S66" i="1"/>
  <c r="T66" i="1"/>
  <c r="U66" i="1"/>
  <c r="BB66" i="1"/>
  <c r="BD66" i="1"/>
  <c r="CE66" i="1"/>
  <c r="A67" i="1"/>
  <c r="C67" i="1"/>
  <c r="E67" i="1"/>
  <c r="S67" i="1"/>
  <c r="T67" i="1"/>
  <c r="U67" i="1"/>
  <c r="BB67" i="1"/>
  <c r="BD67" i="1"/>
  <c r="CE67" i="1"/>
  <c r="A68" i="1"/>
  <c r="C68" i="1"/>
  <c r="E68" i="1"/>
  <c r="S68" i="1"/>
  <c r="T68" i="1"/>
  <c r="U68" i="1"/>
  <c r="BB68" i="1"/>
  <c r="BD68" i="1"/>
  <c r="CE68" i="1"/>
  <c r="A69" i="1"/>
  <c r="C69" i="1"/>
  <c r="E69" i="1"/>
  <c r="S69" i="1"/>
  <c r="T69" i="1"/>
  <c r="U69" i="1"/>
  <c r="BB69" i="1"/>
  <c r="BD69" i="1"/>
  <c r="CE69" i="1"/>
  <c r="A70" i="1"/>
  <c r="C70" i="1"/>
  <c r="E70" i="1"/>
  <c r="S70" i="1"/>
  <c r="T70" i="1"/>
  <c r="U70" i="1"/>
  <c r="BB70" i="1"/>
  <c r="BD70" i="1"/>
  <c r="CE70" i="1"/>
  <c r="A71" i="1"/>
  <c r="C71" i="1"/>
  <c r="E71" i="1"/>
  <c r="S71" i="1"/>
  <c r="T71" i="1"/>
  <c r="U71" i="1"/>
  <c r="BB71" i="1"/>
  <c r="BD71" i="1"/>
  <c r="CE71" i="1"/>
  <c r="A72" i="1"/>
  <c r="C72" i="1"/>
  <c r="E72" i="1"/>
  <c r="S72" i="1"/>
  <c r="T72" i="1"/>
  <c r="U72" i="1"/>
  <c r="BB72" i="1"/>
  <c r="BD72" i="1"/>
  <c r="CE72" i="1"/>
  <c r="A73" i="1"/>
  <c r="C73" i="1"/>
  <c r="E73" i="1"/>
  <c r="S73" i="1"/>
  <c r="T73" i="1"/>
  <c r="U73" i="1"/>
  <c r="BB73" i="1"/>
  <c r="BD73" i="1"/>
  <c r="CE73" i="1"/>
  <c r="A74" i="1"/>
  <c r="C74" i="1"/>
  <c r="E74" i="1"/>
  <c r="S74" i="1"/>
  <c r="T74" i="1"/>
  <c r="U74" i="1"/>
  <c r="BB74" i="1"/>
  <c r="BD74" i="1"/>
  <c r="CE74" i="1"/>
  <c r="A75" i="1"/>
  <c r="C75" i="1"/>
  <c r="E75" i="1"/>
  <c r="S75" i="1"/>
  <c r="T75" i="1"/>
  <c r="U75" i="1"/>
  <c r="BB75" i="1"/>
  <c r="BD75" i="1"/>
  <c r="CE75" i="1"/>
  <c r="A76" i="1"/>
  <c r="C76" i="1"/>
  <c r="E76" i="1"/>
  <c r="S76" i="1"/>
  <c r="T76" i="1"/>
  <c r="U76" i="1"/>
  <c r="BB76" i="1"/>
  <c r="BD76" i="1"/>
  <c r="CE76" i="1"/>
  <c r="A77" i="1"/>
  <c r="C77" i="1"/>
  <c r="E77" i="1"/>
  <c r="S77" i="1"/>
  <c r="T77" i="1"/>
  <c r="U77" i="1"/>
  <c r="BB77" i="1"/>
  <c r="BD77" i="1"/>
  <c r="CE77" i="1"/>
  <c r="A78" i="1"/>
  <c r="C78" i="1"/>
  <c r="E78" i="1"/>
  <c r="S78" i="1"/>
  <c r="T78" i="1"/>
  <c r="U78" i="1"/>
  <c r="BB78" i="1"/>
  <c r="BD78" i="1"/>
  <c r="CE78" i="1"/>
  <c r="A79" i="1"/>
  <c r="C79" i="1"/>
  <c r="E79" i="1"/>
  <c r="S79" i="1"/>
  <c r="T79" i="1"/>
  <c r="U79" i="1"/>
  <c r="BB79" i="1"/>
  <c r="BD79" i="1"/>
  <c r="CE79" i="1"/>
  <c r="A80" i="1"/>
  <c r="C80" i="1"/>
  <c r="E80" i="1"/>
  <c r="S80" i="1"/>
  <c r="T80" i="1"/>
  <c r="U80" i="1"/>
  <c r="BB80" i="1"/>
  <c r="BD80" i="1"/>
  <c r="CE80" i="1"/>
  <c r="A81" i="1"/>
  <c r="C81" i="1"/>
  <c r="E81" i="1"/>
  <c r="S81" i="1"/>
  <c r="T81" i="1"/>
  <c r="U81" i="1"/>
  <c r="BB81" i="1"/>
  <c r="BD81" i="1"/>
  <c r="CE81" i="1"/>
  <c r="A82" i="1"/>
  <c r="C82" i="1"/>
  <c r="E82" i="1"/>
  <c r="S82" i="1"/>
  <c r="T82" i="1"/>
  <c r="U82" i="1"/>
  <c r="BB82" i="1"/>
  <c r="BD82" i="1"/>
  <c r="CE82" i="1"/>
  <c r="A83" i="1"/>
  <c r="C83" i="1"/>
  <c r="E83" i="1"/>
  <c r="S83" i="1"/>
  <c r="T83" i="1"/>
  <c r="U83" i="1"/>
  <c r="BB83" i="1"/>
  <c r="BD83" i="1"/>
  <c r="CE83" i="1"/>
  <c r="A84" i="1"/>
  <c r="C84" i="1"/>
  <c r="E84" i="1"/>
  <c r="S84" i="1"/>
  <c r="T84" i="1"/>
  <c r="U84" i="1"/>
  <c r="BB84" i="1"/>
  <c r="BD84" i="1"/>
  <c r="CE84" i="1"/>
  <c r="A85" i="1"/>
  <c r="C85" i="1"/>
  <c r="E85" i="1"/>
  <c r="S85" i="1"/>
  <c r="T85" i="1"/>
  <c r="U85" i="1"/>
  <c r="BB85" i="1"/>
  <c r="BD85" i="1"/>
  <c r="CE85" i="1"/>
  <c r="A86" i="1"/>
  <c r="C86" i="1"/>
  <c r="E86" i="1"/>
  <c r="S86" i="1"/>
  <c r="T86" i="1"/>
  <c r="U86" i="1"/>
  <c r="BB86" i="1"/>
  <c r="BD86" i="1"/>
  <c r="CE86" i="1"/>
  <c r="A87" i="1"/>
  <c r="C87" i="1"/>
  <c r="E87" i="1"/>
  <c r="S87" i="1"/>
  <c r="T87" i="1"/>
  <c r="U87" i="1"/>
  <c r="BB87" i="1"/>
  <c r="BD87" i="1"/>
  <c r="CE87" i="1"/>
  <c r="A88" i="1"/>
  <c r="C88" i="1"/>
  <c r="E88" i="1"/>
  <c r="S88" i="1"/>
  <c r="T88" i="1"/>
  <c r="U88" i="1"/>
  <c r="BB88" i="1"/>
  <c r="BD88" i="1"/>
  <c r="CE88" i="1"/>
  <c r="A89" i="1"/>
  <c r="C89" i="1"/>
  <c r="E89" i="1"/>
  <c r="S89" i="1"/>
  <c r="T89" i="1"/>
  <c r="U89" i="1"/>
  <c r="BB89" i="1"/>
  <c r="BD89" i="1"/>
  <c r="CE89" i="1"/>
  <c r="A90" i="1"/>
  <c r="C90" i="1"/>
  <c r="E90" i="1"/>
  <c r="S90" i="1"/>
  <c r="T90" i="1"/>
  <c r="U90" i="1"/>
  <c r="BB90" i="1"/>
  <c r="BD90" i="1"/>
  <c r="CE90" i="1"/>
  <c r="A91" i="1"/>
  <c r="C91" i="1"/>
  <c r="E91" i="1"/>
  <c r="S91" i="1"/>
  <c r="T91" i="1"/>
  <c r="U91" i="1"/>
  <c r="BB91" i="1"/>
  <c r="BD91" i="1"/>
  <c r="CE91" i="1"/>
  <c r="A92" i="1"/>
  <c r="C92" i="1"/>
  <c r="E92" i="1"/>
  <c r="S92" i="1"/>
  <c r="T92" i="1"/>
  <c r="U92" i="1"/>
  <c r="BB92" i="1"/>
  <c r="BD92" i="1"/>
  <c r="CE92" i="1"/>
  <c r="A93" i="1"/>
  <c r="C93" i="1"/>
  <c r="E93" i="1"/>
  <c r="S93" i="1"/>
  <c r="T93" i="1"/>
  <c r="U93" i="1"/>
  <c r="BB93" i="1"/>
  <c r="BD93" i="1"/>
  <c r="CE93" i="1"/>
  <c r="A94" i="1"/>
  <c r="C94" i="1"/>
  <c r="E94" i="1"/>
  <c r="S94" i="1"/>
  <c r="T94" i="1"/>
  <c r="U94" i="1"/>
  <c r="BB94" i="1"/>
  <c r="BD94" i="1"/>
  <c r="CE94" i="1"/>
  <c r="A95" i="1"/>
  <c r="C95" i="1"/>
  <c r="E95" i="1"/>
  <c r="S95" i="1"/>
  <c r="T95" i="1"/>
  <c r="U95" i="1"/>
  <c r="BB95" i="1"/>
  <c r="BD95" i="1"/>
  <c r="CE95" i="1"/>
  <c r="A96" i="1"/>
  <c r="C96" i="1"/>
  <c r="E96" i="1"/>
  <c r="S96" i="1"/>
  <c r="T96" i="1"/>
  <c r="U96" i="1"/>
  <c r="BB96" i="1"/>
  <c r="BD96" i="1"/>
  <c r="CE96" i="1"/>
  <c r="A97" i="1"/>
  <c r="C97" i="1"/>
  <c r="E97" i="1"/>
  <c r="S97" i="1"/>
  <c r="T97" i="1"/>
  <c r="U97" i="1"/>
  <c r="BB97" i="1"/>
  <c r="BD97" i="1"/>
  <c r="CE97" i="1"/>
  <c r="A98" i="1"/>
  <c r="C98" i="1"/>
  <c r="E98" i="1"/>
  <c r="S98" i="1"/>
  <c r="T98" i="1"/>
  <c r="U98" i="1"/>
  <c r="BB98" i="1"/>
  <c r="BD98" i="1"/>
  <c r="CE98" i="1"/>
  <c r="A99" i="1"/>
  <c r="C99" i="1"/>
  <c r="E99" i="1"/>
  <c r="S99" i="1"/>
  <c r="T99" i="1"/>
  <c r="U99" i="1"/>
  <c r="BB99" i="1"/>
  <c r="BD99" i="1"/>
  <c r="CE99" i="1"/>
  <c r="A100" i="1"/>
  <c r="C100" i="1"/>
  <c r="E100" i="1"/>
  <c r="S100" i="1"/>
  <c r="T100" i="1"/>
  <c r="U100" i="1"/>
  <c r="BB100" i="1"/>
  <c r="BD100" i="1"/>
  <c r="CE100" i="1"/>
  <c r="A101" i="1"/>
  <c r="C101" i="1"/>
  <c r="E101" i="1"/>
  <c r="S101" i="1"/>
  <c r="T101" i="1"/>
  <c r="U101" i="1"/>
  <c r="BB101" i="1"/>
  <c r="BD101" i="1"/>
  <c r="CE101" i="1"/>
  <c r="A102" i="1"/>
  <c r="C102" i="1"/>
  <c r="E102" i="1"/>
  <c r="S102" i="1"/>
  <c r="T102" i="1"/>
  <c r="U102" i="1"/>
  <c r="BB102" i="1"/>
  <c r="BD102" i="1"/>
  <c r="CE102" i="1"/>
  <c r="A103" i="1"/>
  <c r="C103" i="1"/>
  <c r="E103" i="1"/>
  <c r="S103" i="1"/>
  <c r="T103" i="1"/>
  <c r="U103" i="1"/>
  <c r="BB103" i="1"/>
  <c r="BD103" i="1"/>
  <c r="CE103" i="1"/>
  <c r="A104" i="1"/>
  <c r="C104" i="1"/>
  <c r="E104" i="1"/>
  <c r="S104" i="1"/>
  <c r="T104" i="1"/>
  <c r="U104" i="1"/>
  <c r="BB104" i="1"/>
  <c r="BD104" i="1"/>
  <c r="CE104" i="1"/>
  <c r="A105" i="1"/>
  <c r="C105" i="1"/>
  <c r="E105" i="1"/>
  <c r="S105" i="1"/>
  <c r="T105" i="1"/>
  <c r="U105" i="1"/>
  <c r="BB105" i="1"/>
  <c r="BD105" i="1"/>
  <c r="CE105" i="1"/>
  <c r="A106" i="1"/>
  <c r="C106" i="1"/>
  <c r="E106" i="1"/>
  <c r="S106" i="1"/>
  <c r="T106" i="1"/>
  <c r="U106" i="1"/>
  <c r="BB106" i="1"/>
  <c r="BD106" i="1"/>
  <c r="CE106" i="1"/>
  <c r="A107" i="1"/>
  <c r="C107" i="1"/>
  <c r="E107" i="1"/>
  <c r="S107" i="1"/>
  <c r="T107" i="1"/>
  <c r="U107" i="1"/>
  <c r="BB107" i="1"/>
  <c r="BD107" i="1"/>
  <c r="CE107" i="1"/>
  <c r="A108" i="1"/>
  <c r="C108" i="1"/>
  <c r="E108" i="1"/>
  <c r="S108" i="1"/>
  <c r="T108" i="1"/>
  <c r="U108" i="1"/>
  <c r="BB108" i="1"/>
  <c r="BD108" i="1"/>
  <c r="CE108" i="1"/>
  <c r="A109" i="1"/>
  <c r="C109" i="1"/>
  <c r="E109" i="1"/>
  <c r="S109" i="1"/>
  <c r="T109" i="1"/>
  <c r="U109" i="1"/>
  <c r="BB109" i="1"/>
  <c r="BD109" i="1"/>
  <c r="CE109" i="1"/>
  <c r="A110" i="1"/>
  <c r="C110" i="1"/>
  <c r="E110" i="1"/>
  <c r="S110" i="1"/>
  <c r="T110" i="1"/>
  <c r="U110" i="1"/>
  <c r="BB110" i="1"/>
  <c r="BD110" i="1"/>
  <c r="CE110" i="1"/>
  <c r="A111" i="1"/>
  <c r="C111" i="1"/>
  <c r="E111" i="1"/>
  <c r="S111" i="1"/>
  <c r="T111" i="1"/>
  <c r="U111" i="1"/>
  <c r="BB111" i="1"/>
  <c r="BD111" i="1"/>
  <c r="CE111" i="1"/>
  <c r="A112" i="1"/>
  <c r="C112" i="1"/>
  <c r="E112" i="1"/>
  <c r="S112" i="1"/>
  <c r="T112" i="1"/>
  <c r="U112" i="1"/>
  <c r="BB112" i="1"/>
  <c r="BD112" i="1"/>
  <c r="CE112" i="1"/>
  <c r="A113" i="1"/>
  <c r="C113" i="1"/>
  <c r="E113" i="1"/>
  <c r="S113" i="1"/>
  <c r="T113" i="1"/>
  <c r="U113" i="1"/>
  <c r="BB113" i="1"/>
  <c r="BD113" i="1"/>
  <c r="CE113" i="1"/>
  <c r="A114" i="1"/>
  <c r="C114" i="1"/>
  <c r="E114" i="1"/>
  <c r="S114" i="1"/>
  <c r="T114" i="1"/>
  <c r="U114" i="1"/>
  <c r="BB114" i="1"/>
  <c r="BD114" i="1"/>
  <c r="CE114" i="1"/>
  <c r="A115" i="1"/>
  <c r="C115" i="1"/>
  <c r="E115" i="1"/>
  <c r="S115" i="1"/>
  <c r="T115" i="1"/>
  <c r="U115" i="1"/>
  <c r="BB115" i="1"/>
  <c r="BD115" i="1"/>
  <c r="CE115" i="1"/>
  <c r="A116" i="1"/>
  <c r="C116" i="1"/>
  <c r="E116" i="1"/>
  <c r="S116" i="1"/>
  <c r="T116" i="1"/>
  <c r="U116" i="1"/>
  <c r="BB116" i="1"/>
  <c r="BD116" i="1"/>
  <c r="CE116" i="1"/>
  <c r="A117" i="1"/>
  <c r="C117" i="1"/>
  <c r="E117" i="1"/>
  <c r="S117" i="1"/>
  <c r="T117" i="1"/>
  <c r="U117" i="1"/>
  <c r="BB117" i="1"/>
  <c r="BD117" i="1"/>
  <c r="CE117" i="1"/>
  <c r="A118" i="1"/>
  <c r="C118" i="1"/>
  <c r="E118" i="1"/>
  <c r="S118" i="1"/>
  <c r="T118" i="1"/>
  <c r="U118" i="1"/>
  <c r="BB118" i="1"/>
  <c r="BD118" i="1"/>
  <c r="CE118" i="1"/>
  <c r="A119" i="1"/>
  <c r="C119" i="1"/>
  <c r="E119" i="1"/>
  <c r="S119" i="1"/>
  <c r="T119" i="1"/>
  <c r="U119" i="1"/>
  <c r="BB119" i="1"/>
  <c r="BD119" i="1"/>
  <c r="CE119" i="1"/>
  <c r="A120" i="1"/>
  <c r="C120" i="1"/>
  <c r="E120" i="1"/>
  <c r="S120" i="1"/>
  <c r="T120" i="1"/>
  <c r="U120" i="1"/>
  <c r="BB120" i="1"/>
  <c r="BD120" i="1"/>
  <c r="CE120" i="1"/>
  <c r="A121" i="1"/>
  <c r="C121" i="1"/>
  <c r="E121" i="1"/>
  <c r="S121" i="1"/>
  <c r="T121" i="1"/>
  <c r="U121" i="1"/>
  <c r="BB121" i="1"/>
  <c r="BD121" i="1"/>
  <c r="CE121" i="1"/>
  <c r="A122" i="1"/>
  <c r="C122" i="1"/>
  <c r="E122" i="1"/>
  <c r="S122" i="1"/>
  <c r="T122" i="1"/>
  <c r="U122" i="1"/>
  <c r="BB122" i="1"/>
  <c r="BD122" i="1"/>
  <c r="CE122" i="1"/>
  <c r="A123" i="1"/>
  <c r="C123" i="1"/>
  <c r="E123" i="1"/>
  <c r="S123" i="1"/>
  <c r="T123" i="1"/>
  <c r="U123" i="1"/>
  <c r="BB123" i="1"/>
  <c r="BD123" i="1"/>
  <c r="CE123" i="1"/>
  <c r="A124" i="1"/>
  <c r="C124" i="1"/>
  <c r="E124" i="1"/>
  <c r="S124" i="1"/>
  <c r="T124" i="1"/>
  <c r="U124" i="1"/>
  <c r="BB124" i="1"/>
  <c r="BD124" i="1"/>
  <c r="CE124" i="1"/>
  <c r="A125" i="1"/>
  <c r="C125" i="1"/>
  <c r="E125" i="1"/>
  <c r="S125" i="1"/>
  <c r="T125" i="1"/>
  <c r="U125" i="1"/>
  <c r="BB125" i="1"/>
  <c r="BD125" i="1"/>
  <c r="CE125" i="1"/>
  <c r="A126" i="1"/>
  <c r="C126" i="1"/>
  <c r="E126" i="1"/>
  <c r="S126" i="1"/>
  <c r="T126" i="1"/>
  <c r="U126" i="1"/>
  <c r="BB126" i="1"/>
  <c r="BD126" i="1"/>
  <c r="CE126" i="1"/>
  <c r="A127" i="1"/>
  <c r="C127" i="1"/>
  <c r="E127" i="1"/>
  <c r="S127" i="1"/>
  <c r="T127" i="1"/>
  <c r="U127" i="1"/>
  <c r="BB127" i="1"/>
  <c r="BD127" i="1"/>
  <c r="CE127" i="1"/>
  <c r="A128" i="1"/>
  <c r="C128" i="1"/>
  <c r="E128" i="1"/>
  <c r="S128" i="1"/>
  <c r="T128" i="1"/>
  <c r="U128" i="1"/>
  <c r="BB128" i="1"/>
  <c r="BD128" i="1"/>
  <c r="CE128" i="1"/>
  <c r="A129" i="1"/>
  <c r="C129" i="1"/>
  <c r="E129" i="1"/>
  <c r="S129" i="1"/>
  <c r="T129" i="1"/>
  <c r="U129" i="1"/>
  <c r="BB129" i="1"/>
  <c r="BD129" i="1"/>
  <c r="CE129" i="1"/>
  <c r="A130" i="1"/>
  <c r="C130" i="1"/>
  <c r="E130" i="1"/>
  <c r="S130" i="1"/>
  <c r="T130" i="1"/>
  <c r="U130" i="1"/>
  <c r="BB130" i="1"/>
  <c r="BD130" i="1"/>
  <c r="CE130" i="1"/>
  <c r="A131" i="1"/>
  <c r="C131" i="1"/>
  <c r="E131" i="1"/>
  <c r="S131" i="1"/>
  <c r="T131" i="1"/>
  <c r="U131" i="1"/>
  <c r="BB131" i="1"/>
  <c r="BD131" i="1"/>
  <c r="CE131" i="1"/>
  <c r="A132" i="1"/>
  <c r="C132" i="1"/>
  <c r="E132" i="1"/>
  <c r="S132" i="1"/>
  <c r="T132" i="1"/>
  <c r="U132" i="1"/>
  <c r="BB132" i="1"/>
  <c r="BD132" i="1"/>
  <c r="CE132" i="1"/>
  <c r="A133" i="1"/>
  <c r="C133" i="1"/>
  <c r="E133" i="1"/>
  <c r="S133" i="1"/>
  <c r="T133" i="1"/>
  <c r="U133" i="1"/>
  <c r="BB133" i="1"/>
  <c r="BD133" i="1"/>
  <c r="CE133" i="1"/>
  <c r="A134" i="1"/>
  <c r="C134" i="1"/>
  <c r="E134" i="1"/>
  <c r="S134" i="1"/>
  <c r="T134" i="1"/>
  <c r="U134" i="1"/>
  <c r="BB134" i="1"/>
  <c r="BD134" i="1"/>
  <c r="CE134" i="1"/>
  <c r="A135" i="1"/>
  <c r="C135" i="1"/>
  <c r="E135" i="1"/>
  <c r="S135" i="1"/>
  <c r="T135" i="1"/>
  <c r="U135" i="1"/>
  <c r="BB135" i="1"/>
  <c r="BD135" i="1"/>
  <c r="CE135" i="1"/>
  <c r="A136" i="1"/>
  <c r="C136" i="1"/>
  <c r="E136" i="1"/>
  <c r="S136" i="1"/>
  <c r="T136" i="1"/>
  <c r="U136" i="1"/>
  <c r="BB136" i="1"/>
  <c r="BD136" i="1"/>
  <c r="CE136" i="1"/>
  <c r="A137" i="1"/>
  <c r="C137" i="1"/>
  <c r="E137" i="1"/>
  <c r="S137" i="1"/>
  <c r="T137" i="1"/>
  <c r="U137" i="1"/>
  <c r="BB137" i="1"/>
  <c r="BD137" i="1"/>
  <c r="CE137" i="1"/>
  <c r="A138" i="1"/>
  <c r="C138" i="1"/>
  <c r="E138" i="1"/>
  <c r="S138" i="1"/>
  <c r="T138" i="1"/>
  <c r="U138" i="1"/>
  <c r="BB138" i="1"/>
  <c r="BD138" i="1"/>
  <c r="CE138" i="1"/>
  <c r="A139" i="1"/>
  <c r="C139" i="1"/>
  <c r="E139" i="1"/>
  <c r="S139" i="1"/>
  <c r="T139" i="1"/>
  <c r="U139" i="1"/>
  <c r="BB139" i="1"/>
  <c r="BD139" i="1"/>
  <c r="CE139" i="1"/>
  <c r="A140" i="1"/>
  <c r="C140" i="1"/>
  <c r="E140" i="1"/>
  <c r="S140" i="1"/>
  <c r="T140" i="1"/>
  <c r="U140" i="1"/>
  <c r="BB140" i="1"/>
  <c r="BD140" i="1"/>
  <c r="CE140" i="1"/>
  <c r="A141" i="1"/>
  <c r="C141" i="1"/>
  <c r="E141" i="1"/>
  <c r="S141" i="1"/>
  <c r="T141" i="1"/>
  <c r="U141" i="1"/>
  <c r="BB141" i="1"/>
  <c r="BD141" i="1"/>
  <c r="CE141" i="1"/>
  <c r="A142" i="1"/>
  <c r="C142" i="1"/>
  <c r="E142" i="1"/>
  <c r="S142" i="1"/>
  <c r="T142" i="1"/>
  <c r="U142" i="1"/>
  <c r="BB142" i="1"/>
  <c r="BD142" i="1"/>
  <c r="CE142" i="1"/>
  <c r="A143" i="1"/>
  <c r="C143" i="1"/>
  <c r="E143" i="1"/>
  <c r="S143" i="1"/>
  <c r="T143" i="1"/>
  <c r="U143" i="1"/>
  <c r="BB143" i="1"/>
  <c r="BD143" i="1"/>
  <c r="CE143" i="1"/>
  <c r="A144" i="1"/>
  <c r="C144" i="1"/>
  <c r="E144" i="1"/>
  <c r="S144" i="1"/>
  <c r="T144" i="1"/>
  <c r="U144" i="1"/>
  <c r="BB144" i="1"/>
  <c r="BD144" i="1"/>
  <c r="CE144" i="1"/>
  <c r="A145" i="1"/>
  <c r="C145" i="1"/>
  <c r="E145" i="1"/>
  <c r="S145" i="1"/>
  <c r="T145" i="1"/>
  <c r="U145" i="1"/>
  <c r="BB145" i="1"/>
  <c r="BD145" i="1"/>
  <c r="CE145" i="1"/>
  <c r="A146" i="1"/>
  <c r="C146" i="1"/>
  <c r="E146" i="1"/>
  <c r="S146" i="1"/>
  <c r="T146" i="1"/>
  <c r="U146" i="1"/>
  <c r="BB146" i="1"/>
  <c r="BD146" i="1"/>
  <c r="CE146" i="1"/>
  <c r="A147" i="1"/>
  <c r="C147" i="1"/>
  <c r="E147" i="1"/>
  <c r="S147" i="1"/>
  <c r="T147" i="1"/>
  <c r="U147" i="1"/>
  <c r="BB147" i="1"/>
  <c r="BD147" i="1"/>
  <c r="CE147" i="1"/>
  <c r="A148" i="1"/>
  <c r="C148" i="1"/>
  <c r="E148" i="1"/>
  <c r="S148" i="1"/>
  <c r="T148" i="1"/>
  <c r="U148" i="1"/>
  <c r="BB148" i="1"/>
  <c r="BD148" i="1"/>
  <c r="CE148" i="1"/>
  <c r="A149" i="1"/>
  <c r="C149" i="1"/>
  <c r="E149" i="1"/>
  <c r="S149" i="1"/>
  <c r="T149" i="1"/>
  <c r="U149" i="1"/>
  <c r="BB149" i="1"/>
  <c r="BD149" i="1"/>
  <c r="CE149" i="1"/>
  <c r="A150" i="1"/>
  <c r="C150" i="1"/>
  <c r="E150" i="1"/>
  <c r="S150" i="1"/>
  <c r="T150" i="1"/>
  <c r="U150" i="1"/>
  <c r="BB150" i="1"/>
  <c r="BD150" i="1"/>
  <c r="CE150" i="1"/>
  <c r="A151" i="1"/>
  <c r="C151" i="1"/>
  <c r="E151" i="1"/>
  <c r="S151" i="1"/>
  <c r="T151" i="1"/>
  <c r="U151" i="1"/>
  <c r="BB151" i="1"/>
  <c r="BD151" i="1"/>
  <c r="CE151" i="1"/>
  <c r="A152" i="1"/>
  <c r="C152" i="1"/>
  <c r="E152" i="1"/>
  <c r="S152" i="1"/>
  <c r="T152" i="1"/>
  <c r="U152" i="1"/>
  <c r="BB152" i="1"/>
  <c r="BD152" i="1"/>
  <c r="CE152" i="1"/>
  <c r="A153" i="1"/>
  <c r="C153" i="1"/>
  <c r="E153" i="1"/>
  <c r="S153" i="1"/>
  <c r="T153" i="1"/>
  <c r="U153" i="1"/>
  <c r="BB153" i="1"/>
  <c r="BD153" i="1"/>
  <c r="CE153" i="1"/>
  <c r="A154" i="1"/>
  <c r="C154" i="1"/>
  <c r="E154" i="1"/>
  <c r="S154" i="1"/>
  <c r="T154" i="1"/>
  <c r="U154" i="1"/>
  <c r="BB154" i="1"/>
  <c r="BD154" i="1"/>
  <c r="CE154" i="1"/>
  <c r="A155" i="1"/>
  <c r="C155" i="1"/>
  <c r="E155" i="1"/>
  <c r="S155" i="1"/>
  <c r="T155" i="1"/>
  <c r="U155" i="1"/>
  <c r="BB155" i="1"/>
  <c r="BD155" i="1"/>
  <c r="CE155" i="1"/>
  <c r="A156" i="1"/>
  <c r="C156" i="1"/>
  <c r="E156" i="1"/>
  <c r="S156" i="1"/>
  <c r="T156" i="1"/>
  <c r="U156" i="1"/>
  <c r="BB156" i="1"/>
  <c r="BD156" i="1"/>
  <c r="CE156" i="1"/>
  <c r="A157" i="1"/>
  <c r="C157" i="1"/>
  <c r="E157" i="1"/>
  <c r="S157" i="1"/>
  <c r="T157" i="1"/>
  <c r="U157" i="1"/>
  <c r="BB157" i="1"/>
  <c r="BD157" i="1"/>
  <c r="CE157" i="1"/>
  <c r="A158" i="1"/>
  <c r="C158" i="1"/>
  <c r="E158" i="1"/>
  <c r="S158" i="1"/>
  <c r="T158" i="1"/>
  <c r="U158" i="1"/>
  <c r="BB158" i="1"/>
  <c r="BD158" i="1"/>
  <c r="CE158" i="1"/>
  <c r="A159" i="1"/>
  <c r="C159" i="1"/>
  <c r="E159" i="1"/>
  <c r="S159" i="1"/>
  <c r="T159" i="1"/>
  <c r="U159" i="1"/>
  <c r="BB159" i="1"/>
  <c r="BD159" i="1"/>
  <c r="CE159" i="1"/>
  <c r="A160" i="1"/>
  <c r="C160" i="1"/>
  <c r="E160" i="1"/>
  <c r="S160" i="1"/>
  <c r="T160" i="1"/>
  <c r="U160" i="1"/>
  <c r="BB160" i="1"/>
  <c r="BD160" i="1"/>
  <c r="CE160" i="1"/>
  <c r="A161" i="1"/>
  <c r="C161" i="1"/>
  <c r="E161" i="1"/>
  <c r="S161" i="1"/>
  <c r="T161" i="1"/>
  <c r="U161" i="1"/>
  <c r="BB161" i="1"/>
  <c r="BD161" i="1"/>
  <c r="CE161" i="1"/>
  <c r="A162" i="1"/>
  <c r="C162" i="1"/>
  <c r="E162" i="1"/>
  <c r="S162" i="1"/>
  <c r="T162" i="1"/>
  <c r="U162" i="1"/>
  <c r="BB162" i="1"/>
  <c r="BD162" i="1"/>
  <c r="CE162" i="1"/>
  <c r="A163" i="1"/>
  <c r="C163" i="1"/>
  <c r="E163" i="1"/>
  <c r="S163" i="1"/>
  <c r="T163" i="1"/>
  <c r="U163" i="1"/>
  <c r="BB163" i="1"/>
  <c r="BD163" i="1"/>
  <c r="CE163" i="1"/>
  <c r="A164" i="1"/>
  <c r="C164" i="1"/>
  <c r="E164" i="1"/>
  <c r="S164" i="1"/>
  <c r="T164" i="1"/>
  <c r="U164" i="1"/>
  <c r="BB164" i="1"/>
  <c r="BD164" i="1"/>
  <c r="CE164" i="1"/>
  <c r="A165" i="1"/>
  <c r="C165" i="1"/>
  <c r="E165" i="1"/>
  <c r="S165" i="1"/>
  <c r="T165" i="1"/>
  <c r="U165" i="1"/>
  <c r="BB165" i="1"/>
  <c r="BD165" i="1"/>
  <c r="CE165" i="1"/>
  <c r="A166" i="1"/>
  <c r="C166" i="1"/>
  <c r="E166" i="1"/>
  <c r="S166" i="1"/>
  <c r="T166" i="1"/>
  <c r="U166" i="1"/>
  <c r="BB166" i="1"/>
  <c r="BD166" i="1"/>
  <c r="CE166" i="1"/>
  <c r="A167" i="1"/>
  <c r="C167" i="1"/>
  <c r="E167" i="1"/>
  <c r="S167" i="1"/>
  <c r="T167" i="1"/>
  <c r="U167" i="1"/>
  <c r="BB167" i="1"/>
  <c r="BD167" i="1"/>
  <c r="CE167" i="1"/>
  <c r="A168" i="1"/>
  <c r="C168" i="1"/>
  <c r="E168" i="1"/>
  <c r="S168" i="1"/>
  <c r="T168" i="1"/>
  <c r="U168" i="1"/>
  <c r="BB168" i="1"/>
  <c r="BD168" i="1"/>
  <c r="CE168" i="1"/>
  <c r="A169" i="1"/>
  <c r="C169" i="1"/>
  <c r="E169" i="1"/>
  <c r="S169" i="1"/>
  <c r="T169" i="1"/>
  <c r="U169" i="1"/>
  <c r="BB169" i="1"/>
  <c r="BD169" i="1"/>
  <c r="CE169" i="1"/>
  <c r="A170" i="1"/>
  <c r="C170" i="1"/>
  <c r="E170" i="1"/>
  <c r="S170" i="1"/>
  <c r="T170" i="1"/>
  <c r="U170" i="1"/>
  <c r="BB170" i="1"/>
  <c r="BD170" i="1"/>
  <c r="CE170" i="1"/>
  <c r="A171" i="1"/>
  <c r="C171" i="1"/>
  <c r="E171" i="1"/>
  <c r="S171" i="1"/>
  <c r="T171" i="1"/>
  <c r="U171" i="1"/>
  <c r="BB171" i="1"/>
  <c r="BD171" i="1"/>
  <c r="CE171" i="1"/>
  <c r="A172" i="1"/>
  <c r="C172" i="1"/>
  <c r="E172" i="1"/>
  <c r="S172" i="1"/>
  <c r="T172" i="1"/>
  <c r="U172" i="1"/>
  <c r="BB172" i="1"/>
  <c r="BD172" i="1"/>
  <c r="CE172" i="1"/>
  <c r="A173" i="1"/>
  <c r="C173" i="1"/>
  <c r="E173" i="1"/>
  <c r="S173" i="1"/>
  <c r="T173" i="1"/>
  <c r="U173" i="1"/>
  <c r="BB173" i="1"/>
  <c r="BD173" i="1"/>
  <c r="CE173" i="1"/>
  <c r="A174" i="1"/>
  <c r="C174" i="1"/>
  <c r="E174" i="1"/>
  <c r="S174" i="1"/>
  <c r="T174" i="1"/>
  <c r="U174" i="1"/>
  <c r="BB174" i="1"/>
  <c r="BD174" i="1"/>
  <c r="CE174" i="1"/>
  <c r="A175" i="1"/>
  <c r="C175" i="1"/>
  <c r="E175" i="1"/>
  <c r="S175" i="1"/>
  <c r="T175" i="1"/>
  <c r="U175" i="1"/>
  <c r="BB175" i="1"/>
  <c r="BD175" i="1"/>
  <c r="CE175" i="1"/>
  <c r="A176" i="1"/>
  <c r="C176" i="1"/>
  <c r="E176" i="1"/>
  <c r="S176" i="1"/>
  <c r="T176" i="1"/>
  <c r="U176" i="1"/>
  <c r="BB176" i="1"/>
  <c r="BD176" i="1"/>
  <c r="CE176" i="1"/>
  <c r="A177" i="1"/>
  <c r="C177" i="1"/>
  <c r="E177" i="1"/>
  <c r="S177" i="1"/>
  <c r="T177" i="1"/>
  <c r="U177" i="1"/>
  <c r="BB177" i="1"/>
  <c r="BD177" i="1"/>
  <c r="CE177" i="1"/>
  <c r="A178" i="1"/>
  <c r="C178" i="1"/>
  <c r="E178" i="1"/>
  <c r="S178" i="1"/>
  <c r="T178" i="1"/>
  <c r="U178" i="1"/>
  <c r="BB178" i="1"/>
  <c r="BD178" i="1"/>
  <c r="CE178" i="1"/>
  <c r="A179" i="1"/>
  <c r="C179" i="1"/>
  <c r="E179" i="1"/>
  <c r="S179" i="1"/>
  <c r="T179" i="1"/>
  <c r="U179" i="1"/>
  <c r="BB179" i="1"/>
  <c r="BD179" i="1"/>
  <c r="CE179" i="1"/>
  <c r="A180" i="1"/>
  <c r="C180" i="1"/>
  <c r="E180" i="1"/>
  <c r="S180" i="1"/>
  <c r="T180" i="1"/>
  <c r="U180" i="1"/>
  <c r="BB180" i="1"/>
  <c r="BD180" i="1"/>
  <c r="CE180" i="1"/>
  <c r="A181" i="1"/>
  <c r="C181" i="1"/>
  <c r="E181" i="1"/>
  <c r="S181" i="1"/>
  <c r="T181" i="1"/>
  <c r="U181" i="1"/>
  <c r="BB181" i="1"/>
  <c r="BD181" i="1"/>
  <c r="CE181" i="1"/>
  <c r="A182" i="1"/>
  <c r="C182" i="1"/>
  <c r="E182" i="1"/>
  <c r="S182" i="1"/>
  <c r="T182" i="1"/>
  <c r="U182" i="1"/>
  <c r="BB182" i="1"/>
  <c r="BD182" i="1"/>
  <c r="CE182" i="1"/>
  <c r="A183" i="1"/>
  <c r="C183" i="1"/>
  <c r="E183" i="1"/>
  <c r="S183" i="1"/>
  <c r="T183" i="1"/>
  <c r="U183" i="1"/>
  <c r="BB183" i="1"/>
  <c r="BD183" i="1"/>
  <c r="CE183" i="1"/>
  <c r="A184" i="1"/>
  <c r="C184" i="1"/>
  <c r="E184" i="1"/>
  <c r="S184" i="1"/>
  <c r="T184" i="1"/>
  <c r="U184" i="1"/>
  <c r="BB184" i="1"/>
  <c r="BD184" i="1"/>
  <c r="CE184" i="1"/>
  <c r="A185" i="1"/>
  <c r="C185" i="1"/>
  <c r="E185" i="1"/>
  <c r="S185" i="1"/>
  <c r="T185" i="1"/>
  <c r="U185" i="1"/>
  <c r="BB185" i="1"/>
  <c r="BD185" i="1"/>
  <c r="CE185" i="1"/>
  <c r="A186" i="1"/>
  <c r="C186" i="1"/>
  <c r="E186" i="1"/>
  <c r="S186" i="1"/>
  <c r="T186" i="1"/>
  <c r="U186" i="1"/>
  <c r="BB186" i="1"/>
  <c r="BD186" i="1"/>
  <c r="CE186" i="1"/>
  <c r="A187" i="1"/>
  <c r="C187" i="1"/>
  <c r="E187" i="1"/>
  <c r="S187" i="1"/>
  <c r="T187" i="1"/>
  <c r="U187" i="1"/>
  <c r="BB187" i="1"/>
  <c r="BD187" i="1"/>
  <c r="CE187" i="1"/>
  <c r="A188" i="1"/>
  <c r="C188" i="1"/>
  <c r="E188" i="1"/>
  <c r="S188" i="1"/>
  <c r="T188" i="1"/>
  <c r="U188" i="1"/>
  <c r="BB188" i="1"/>
  <c r="BD188" i="1"/>
  <c r="CE188" i="1"/>
  <c r="A189" i="1"/>
  <c r="C189" i="1"/>
  <c r="E189" i="1"/>
  <c r="S189" i="1"/>
  <c r="T189" i="1"/>
  <c r="U189" i="1"/>
  <c r="BB189" i="1"/>
  <c r="BD189" i="1"/>
  <c r="CE189" i="1"/>
  <c r="A190" i="1"/>
  <c r="C190" i="1"/>
  <c r="E190" i="1"/>
  <c r="S190" i="1"/>
  <c r="T190" i="1"/>
  <c r="U190" i="1"/>
  <c r="BB190" i="1"/>
  <c r="BD190" i="1"/>
  <c r="CE190" i="1"/>
  <c r="A191" i="1"/>
  <c r="C191" i="1"/>
  <c r="E191" i="1"/>
  <c r="S191" i="1"/>
  <c r="T191" i="1"/>
  <c r="U191" i="1"/>
  <c r="BB191" i="1"/>
  <c r="BD191" i="1"/>
  <c r="CE191" i="1"/>
  <c r="A192" i="1"/>
  <c r="C192" i="1"/>
  <c r="E192" i="1"/>
  <c r="S192" i="1"/>
  <c r="T192" i="1"/>
  <c r="U192" i="1"/>
  <c r="BB192" i="1"/>
  <c r="BD192" i="1"/>
  <c r="CE192" i="1"/>
  <c r="A193" i="1"/>
  <c r="C193" i="1"/>
  <c r="E193" i="1"/>
  <c r="S193" i="1"/>
  <c r="T193" i="1"/>
  <c r="U193" i="1"/>
  <c r="BB193" i="1"/>
  <c r="BD193" i="1"/>
  <c r="CE193" i="1"/>
  <c r="A194" i="1"/>
  <c r="C194" i="1"/>
  <c r="E194" i="1"/>
  <c r="S194" i="1"/>
  <c r="T194" i="1"/>
  <c r="U194" i="1"/>
  <c r="BB194" i="1"/>
  <c r="BD194" i="1"/>
  <c r="CE194" i="1"/>
  <c r="A195" i="1"/>
  <c r="C195" i="1"/>
  <c r="E195" i="1"/>
  <c r="S195" i="1"/>
  <c r="T195" i="1"/>
  <c r="U195" i="1"/>
  <c r="BB195" i="1"/>
  <c r="BD195" i="1"/>
  <c r="CE195" i="1"/>
  <c r="A196" i="1"/>
  <c r="C196" i="1"/>
  <c r="E196" i="1"/>
  <c r="S196" i="1"/>
  <c r="T196" i="1"/>
  <c r="U196" i="1"/>
  <c r="BB196" i="1"/>
  <c r="BD196" i="1"/>
  <c r="CE196" i="1"/>
  <c r="A197" i="1"/>
  <c r="C197" i="1"/>
  <c r="E197" i="1"/>
  <c r="S197" i="1"/>
  <c r="T197" i="1"/>
  <c r="U197" i="1"/>
  <c r="BB197" i="1"/>
  <c r="BD197" i="1"/>
  <c r="CE197" i="1"/>
  <c r="A198" i="1"/>
  <c r="C198" i="1"/>
  <c r="E198" i="1"/>
  <c r="S198" i="1"/>
  <c r="T198" i="1"/>
  <c r="U198" i="1"/>
  <c r="BB198" i="1"/>
  <c r="BD198" i="1"/>
  <c r="CE198" i="1"/>
  <c r="A199" i="1"/>
  <c r="C199" i="1"/>
  <c r="E199" i="1"/>
  <c r="S199" i="1"/>
  <c r="T199" i="1"/>
  <c r="U199" i="1"/>
  <c r="BB199" i="1"/>
  <c r="BD199" i="1"/>
  <c r="CE199" i="1"/>
  <c r="A200" i="1"/>
  <c r="C200" i="1"/>
  <c r="E200" i="1"/>
  <c r="S200" i="1"/>
  <c r="T200" i="1"/>
  <c r="U200" i="1"/>
  <c r="BB200" i="1"/>
  <c r="BD200" i="1"/>
  <c r="CE200" i="1"/>
  <c r="A201" i="1"/>
  <c r="C201" i="1"/>
  <c r="E201" i="1"/>
  <c r="S201" i="1"/>
  <c r="T201" i="1"/>
  <c r="U201" i="1"/>
  <c r="BB201" i="1"/>
  <c r="BD201" i="1"/>
  <c r="CE201" i="1"/>
  <c r="A202" i="1"/>
  <c r="C202" i="1"/>
  <c r="E202" i="1"/>
  <c r="S202" i="1"/>
  <c r="T202" i="1"/>
  <c r="U202" i="1"/>
  <c r="BB202" i="1"/>
  <c r="BD202" i="1"/>
  <c r="CE202" i="1"/>
  <c r="A203" i="1"/>
  <c r="C203" i="1"/>
  <c r="E203" i="1"/>
  <c r="S203" i="1"/>
  <c r="T203" i="1"/>
  <c r="U203" i="1"/>
  <c r="BB203" i="1"/>
  <c r="BD203" i="1"/>
  <c r="CE203" i="1"/>
  <c r="A204" i="1"/>
  <c r="C204" i="1"/>
  <c r="E204" i="1"/>
  <c r="S204" i="1"/>
  <c r="T204" i="1"/>
  <c r="U204" i="1"/>
  <c r="BB204" i="1"/>
  <c r="BD204" i="1"/>
  <c r="CE204" i="1"/>
  <c r="A205" i="1"/>
  <c r="C205" i="1"/>
  <c r="E205" i="1"/>
  <c r="S205" i="1"/>
  <c r="T205" i="1"/>
  <c r="U205" i="1"/>
  <c r="BB205" i="1"/>
  <c r="BD205" i="1"/>
  <c r="CE205" i="1"/>
  <c r="A206" i="1"/>
  <c r="C206" i="1"/>
  <c r="E206" i="1"/>
  <c r="S206" i="1"/>
  <c r="T206" i="1"/>
  <c r="U206" i="1"/>
  <c r="BB206" i="1"/>
  <c r="BD206" i="1"/>
  <c r="CE206" i="1"/>
  <c r="A207" i="1"/>
  <c r="C207" i="1"/>
  <c r="E207" i="1"/>
  <c r="S207" i="1"/>
  <c r="T207" i="1"/>
  <c r="U207" i="1"/>
  <c r="BB207" i="1"/>
  <c r="BD207" i="1"/>
  <c r="CE207" i="1"/>
  <c r="A208" i="1"/>
  <c r="C208" i="1"/>
  <c r="E208" i="1"/>
  <c r="S208" i="1"/>
  <c r="T208" i="1"/>
  <c r="U208" i="1"/>
  <c r="BB208" i="1"/>
  <c r="BD208" i="1"/>
  <c r="CE208" i="1"/>
  <c r="A209" i="1"/>
  <c r="C209" i="1"/>
  <c r="E209" i="1"/>
  <c r="S209" i="1"/>
  <c r="T209" i="1"/>
  <c r="U209" i="1"/>
  <c r="BB209" i="1"/>
  <c r="BD209" i="1"/>
  <c r="CE209" i="1"/>
  <c r="A210" i="1"/>
  <c r="C210" i="1"/>
  <c r="E210" i="1"/>
  <c r="S210" i="1"/>
  <c r="T210" i="1"/>
  <c r="U210" i="1"/>
  <c r="BB210" i="1"/>
  <c r="BD210" i="1"/>
  <c r="CE210" i="1"/>
  <c r="A211" i="1"/>
  <c r="C211" i="1"/>
  <c r="E211" i="1"/>
  <c r="S211" i="1"/>
  <c r="T211" i="1"/>
  <c r="U211" i="1"/>
  <c r="BB211" i="1"/>
  <c r="BD211" i="1"/>
  <c r="CE211" i="1"/>
  <c r="A212" i="1"/>
  <c r="C212" i="1"/>
  <c r="E212" i="1"/>
  <c r="S212" i="1"/>
  <c r="T212" i="1"/>
  <c r="U212" i="1"/>
  <c r="BB212" i="1"/>
  <c r="BD212" i="1"/>
  <c r="CE212" i="1"/>
  <c r="A213" i="1"/>
  <c r="C213" i="1"/>
  <c r="E213" i="1"/>
  <c r="S213" i="1"/>
  <c r="T213" i="1"/>
  <c r="U213" i="1"/>
  <c r="BB213" i="1"/>
  <c r="BD213" i="1"/>
  <c r="CE213" i="1"/>
  <c r="A214" i="1"/>
  <c r="C214" i="1"/>
  <c r="E214" i="1"/>
  <c r="S214" i="1"/>
  <c r="T214" i="1"/>
  <c r="U214" i="1"/>
  <c r="BB214" i="1"/>
  <c r="BD214" i="1"/>
  <c r="CE214" i="1"/>
  <c r="A215" i="1"/>
  <c r="C215" i="1"/>
  <c r="E215" i="1"/>
  <c r="S215" i="1"/>
  <c r="T215" i="1"/>
  <c r="U215" i="1"/>
  <c r="BB215" i="1"/>
  <c r="BD215" i="1"/>
  <c r="CE215" i="1"/>
  <c r="A216" i="1"/>
  <c r="C216" i="1"/>
  <c r="E216" i="1"/>
  <c r="S216" i="1"/>
  <c r="T216" i="1"/>
  <c r="U216" i="1"/>
  <c r="BB216" i="1"/>
  <c r="BD216" i="1"/>
  <c r="CE216" i="1"/>
  <c r="A217" i="1"/>
  <c r="C217" i="1"/>
  <c r="E217" i="1"/>
  <c r="S217" i="1"/>
  <c r="T217" i="1"/>
  <c r="U217" i="1"/>
  <c r="BB217" i="1"/>
  <c r="BD217" i="1"/>
  <c r="CE217" i="1"/>
  <c r="A218" i="1"/>
  <c r="C218" i="1"/>
  <c r="E218" i="1"/>
  <c r="S218" i="1"/>
  <c r="T218" i="1"/>
  <c r="U218" i="1"/>
  <c r="BB218" i="1"/>
  <c r="BD218" i="1"/>
  <c r="CE218" i="1"/>
  <c r="A219" i="1"/>
  <c r="C219" i="1"/>
  <c r="E219" i="1"/>
  <c r="S219" i="1"/>
  <c r="T219" i="1"/>
  <c r="U219" i="1"/>
  <c r="BB219" i="1"/>
  <c r="BD219" i="1"/>
  <c r="CE219" i="1"/>
  <c r="A220" i="1"/>
  <c r="C220" i="1"/>
  <c r="E220" i="1"/>
  <c r="S220" i="1"/>
  <c r="T220" i="1"/>
  <c r="U220" i="1"/>
  <c r="BB220" i="1"/>
  <c r="BD220" i="1"/>
  <c r="CE220" i="1"/>
  <c r="A221" i="1"/>
  <c r="C221" i="1"/>
  <c r="E221" i="1"/>
  <c r="S221" i="1"/>
  <c r="T221" i="1"/>
  <c r="U221" i="1"/>
  <c r="BB221" i="1"/>
  <c r="BD221" i="1"/>
  <c r="CE221" i="1"/>
  <c r="A222" i="1"/>
  <c r="C222" i="1"/>
  <c r="E222" i="1"/>
  <c r="S222" i="1"/>
  <c r="T222" i="1"/>
  <c r="U222" i="1"/>
  <c r="BB222" i="1"/>
  <c r="BD222" i="1"/>
  <c r="CE222" i="1"/>
  <c r="A223" i="1"/>
  <c r="C223" i="1"/>
  <c r="E223" i="1"/>
  <c r="S223" i="1"/>
  <c r="T223" i="1"/>
  <c r="U223" i="1"/>
  <c r="BB223" i="1"/>
  <c r="BD223" i="1"/>
  <c r="CE223" i="1"/>
  <c r="A224" i="1"/>
  <c r="C224" i="1"/>
  <c r="E224" i="1"/>
  <c r="S224" i="1"/>
  <c r="T224" i="1"/>
  <c r="U224" i="1"/>
  <c r="BB224" i="1"/>
  <c r="BD224" i="1"/>
  <c r="CE224" i="1"/>
  <c r="A225" i="1"/>
  <c r="C225" i="1"/>
  <c r="E225" i="1"/>
  <c r="S225" i="1"/>
  <c r="T225" i="1"/>
  <c r="U225" i="1"/>
  <c r="BB225" i="1"/>
  <c r="BD225" i="1"/>
  <c r="CE225" i="1"/>
  <c r="A226" i="1"/>
  <c r="C226" i="1"/>
  <c r="E226" i="1"/>
  <c r="S226" i="1"/>
  <c r="T226" i="1"/>
  <c r="U226" i="1"/>
  <c r="BB226" i="1"/>
  <c r="BD226" i="1"/>
  <c r="CE226" i="1"/>
  <c r="A227" i="1"/>
  <c r="C227" i="1"/>
  <c r="E227" i="1"/>
  <c r="S227" i="1"/>
  <c r="T227" i="1"/>
  <c r="U227" i="1"/>
  <c r="BB227" i="1"/>
  <c r="BD227" i="1"/>
  <c r="CE227" i="1"/>
  <c r="A228" i="1"/>
  <c r="C228" i="1"/>
  <c r="E228" i="1"/>
  <c r="S228" i="1"/>
  <c r="T228" i="1"/>
  <c r="U228" i="1"/>
  <c r="BB228" i="1"/>
  <c r="BD228" i="1"/>
  <c r="CE228" i="1"/>
  <c r="A229" i="1"/>
  <c r="C229" i="1"/>
  <c r="E229" i="1"/>
  <c r="S229" i="1"/>
  <c r="T229" i="1"/>
  <c r="U229" i="1"/>
  <c r="BB229" i="1"/>
  <c r="BD229" i="1"/>
  <c r="CE229" i="1"/>
  <c r="A230" i="1"/>
  <c r="C230" i="1"/>
  <c r="E230" i="1"/>
  <c r="S230" i="1"/>
  <c r="T230" i="1"/>
  <c r="U230" i="1"/>
  <c r="BB230" i="1"/>
  <c r="BD230" i="1"/>
  <c r="CE230" i="1"/>
  <c r="A231" i="1"/>
  <c r="C231" i="1"/>
  <c r="E231" i="1"/>
  <c r="S231" i="1"/>
  <c r="T231" i="1"/>
  <c r="U231" i="1"/>
  <c r="BB231" i="1"/>
  <c r="BD231" i="1"/>
  <c r="CE231" i="1"/>
  <c r="A232" i="1"/>
  <c r="C232" i="1"/>
  <c r="E232" i="1"/>
  <c r="S232" i="1"/>
  <c r="T232" i="1"/>
  <c r="U232" i="1"/>
  <c r="BB232" i="1"/>
  <c r="BD232" i="1"/>
  <c r="CE232" i="1"/>
  <c r="A233" i="1"/>
  <c r="C233" i="1"/>
  <c r="E233" i="1"/>
  <c r="S233" i="1"/>
  <c r="T233" i="1"/>
  <c r="U233" i="1"/>
  <c r="BB233" i="1"/>
  <c r="BD233" i="1"/>
  <c r="CE233" i="1"/>
  <c r="A234" i="1"/>
  <c r="C234" i="1"/>
  <c r="E234" i="1"/>
  <c r="S234" i="1"/>
  <c r="T234" i="1"/>
  <c r="U234" i="1"/>
  <c r="BB234" i="1"/>
  <c r="BD234" i="1"/>
  <c r="CE234" i="1"/>
  <c r="A235" i="1"/>
  <c r="C235" i="1"/>
  <c r="E235" i="1"/>
  <c r="S235" i="1"/>
  <c r="T235" i="1"/>
  <c r="U235" i="1"/>
  <c r="BB235" i="1"/>
  <c r="BD235" i="1"/>
  <c r="CE235" i="1"/>
  <c r="A236" i="1"/>
  <c r="C236" i="1"/>
  <c r="E236" i="1"/>
  <c r="S236" i="1"/>
  <c r="T236" i="1"/>
  <c r="U236" i="1"/>
  <c r="BB236" i="1"/>
  <c r="BD236" i="1"/>
  <c r="CE236" i="1"/>
  <c r="A237" i="1"/>
  <c r="C237" i="1"/>
  <c r="E237" i="1"/>
  <c r="S237" i="1"/>
  <c r="T237" i="1"/>
  <c r="U237" i="1"/>
  <c r="BB237" i="1"/>
  <c r="BD237" i="1"/>
  <c r="CE237" i="1"/>
  <c r="A238" i="1"/>
  <c r="C238" i="1"/>
  <c r="E238" i="1"/>
  <c r="S238" i="1"/>
  <c r="T238" i="1"/>
  <c r="U238" i="1"/>
  <c r="BB238" i="1"/>
  <c r="BD238" i="1"/>
  <c r="CE238" i="1"/>
  <c r="A239" i="1"/>
  <c r="C239" i="1"/>
  <c r="E239" i="1"/>
  <c r="S239" i="1"/>
  <c r="T239" i="1"/>
  <c r="U239" i="1"/>
  <c r="BB239" i="1"/>
  <c r="BD239" i="1"/>
  <c r="CE239" i="1"/>
  <c r="A240" i="1"/>
  <c r="C240" i="1"/>
  <c r="E240" i="1"/>
  <c r="S240" i="1"/>
  <c r="T240" i="1"/>
  <c r="U240" i="1"/>
  <c r="BB240" i="1"/>
  <c r="BD240" i="1"/>
  <c r="CE240" i="1"/>
  <c r="A241" i="1"/>
  <c r="C241" i="1"/>
  <c r="E241" i="1"/>
  <c r="S241" i="1"/>
  <c r="T241" i="1"/>
  <c r="U241" i="1"/>
  <c r="BB241" i="1"/>
  <c r="BD241" i="1"/>
  <c r="CE241" i="1"/>
  <c r="A242" i="1"/>
  <c r="C242" i="1"/>
  <c r="E242" i="1"/>
  <c r="S242" i="1"/>
  <c r="T242" i="1"/>
  <c r="U242" i="1"/>
  <c r="BB242" i="1"/>
  <c r="BD242" i="1"/>
  <c r="CE242" i="1"/>
  <c r="A243" i="1"/>
  <c r="C243" i="1"/>
  <c r="E243" i="1"/>
  <c r="S243" i="1"/>
  <c r="T243" i="1"/>
  <c r="U243" i="1"/>
  <c r="BB243" i="1"/>
  <c r="BD243" i="1"/>
  <c r="CE243" i="1"/>
  <c r="A244" i="1"/>
  <c r="C244" i="1"/>
  <c r="E244" i="1"/>
  <c r="S244" i="1"/>
  <c r="T244" i="1"/>
  <c r="U244" i="1"/>
  <c r="BB244" i="1"/>
  <c r="BD244" i="1"/>
  <c r="CE244" i="1"/>
  <c r="A245" i="1"/>
  <c r="C245" i="1"/>
  <c r="E245" i="1"/>
  <c r="S245" i="1"/>
  <c r="T245" i="1"/>
  <c r="U245" i="1"/>
  <c r="BB245" i="1"/>
  <c r="BD245" i="1"/>
  <c r="CE245" i="1"/>
  <c r="A246" i="1"/>
  <c r="C246" i="1"/>
  <c r="E246" i="1"/>
  <c r="S246" i="1"/>
  <c r="T246" i="1"/>
  <c r="U246" i="1"/>
  <c r="BB246" i="1"/>
  <c r="BD246" i="1"/>
  <c r="CE246" i="1"/>
  <c r="A247" i="1"/>
  <c r="C247" i="1"/>
  <c r="E247" i="1"/>
  <c r="S247" i="1"/>
  <c r="T247" i="1"/>
  <c r="U247" i="1"/>
  <c r="BB247" i="1"/>
  <c r="BD247" i="1"/>
  <c r="CE247" i="1"/>
  <c r="A248" i="1"/>
  <c r="C248" i="1"/>
  <c r="E248" i="1"/>
  <c r="S248" i="1"/>
  <c r="T248" i="1"/>
  <c r="U248" i="1"/>
  <c r="BB248" i="1"/>
  <c r="BD248" i="1"/>
  <c r="CE248" i="1"/>
  <c r="A249" i="1"/>
  <c r="C249" i="1"/>
  <c r="E249" i="1"/>
  <c r="S249" i="1"/>
  <c r="T249" i="1"/>
  <c r="U249" i="1"/>
  <c r="BB249" i="1"/>
  <c r="BD249" i="1"/>
  <c r="CE249" i="1"/>
  <c r="A250" i="1"/>
  <c r="C250" i="1"/>
  <c r="E250" i="1"/>
  <c r="S250" i="1"/>
  <c r="T250" i="1"/>
  <c r="U250" i="1"/>
  <c r="BB250" i="1"/>
  <c r="BD250" i="1"/>
  <c r="CE250" i="1"/>
  <c r="A251" i="1"/>
  <c r="C251" i="1"/>
  <c r="E251" i="1"/>
  <c r="S251" i="1"/>
  <c r="T251" i="1"/>
  <c r="U251" i="1"/>
  <c r="BB251" i="1"/>
  <c r="BD251" i="1"/>
  <c r="CE251" i="1"/>
  <c r="A252" i="1"/>
  <c r="C252" i="1"/>
  <c r="E252" i="1"/>
  <c r="S252" i="1"/>
  <c r="T252" i="1"/>
  <c r="U252" i="1"/>
  <c r="BB252" i="1"/>
  <c r="BD252" i="1"/>
  <c r="CE252" i="1"/>
  <c r="A253" i="1"/>
  <c r="C253" i="1"/>
  <c r="E253" i="1"/>
  <c r="S253" i="1"/>
  <c r="T253" i="1"/>
  <c r="U253" i="1"/>
  <c r="BB253" i="1"/>
  <c r="BD253" i="1"/>
  <c r="CE253" i="1"/>
  <c r="A254" i="1"/>
  <c r="C254" i="1"/>
  <c r="E254" i="1"/>
  <c r="S254" i="1"/>
  <c r="T254" i="1"/>
  <c r="U254" i="1"/>
  <c r="BB254" i="1"/>
  <c r="BD254" i="1"/>
  <c r="CE254" i="1"/>
  <c r="A255" i="1"/>
  <c r="C255" i="1"/>
  <c r="E255" i="1"/>
  <c r="S255" i="1"/>
  <c r="T255" i="1"/>
  <c r="U255" i="1"/>
  <c r="BB255" i="1"/>
  <c r="BD255" i="1"/>
  <c r="CE255" i="1"/>
  <c r="A256" i="1"/>
  <c r="C256" i="1"/>
  <c r="E256" i="1"/>
  <c r="S256" i="1"/>
  <c r="T256" i="1"/>
  <c r="U256" i="1"/>
  <c r="BB256" i="1"/>
  <c r="BD256" i="1"/>
  <c r="CE256" i="1"/>
  <c r="A257" i="1"/>
  <c r="C257" i="1"/>
  <c r="E257" i="1"/>
  <c r="S257" i="1"/>
  <c r="T257" i="1"/>
  <c r="U257" i="1"/>
  <c r="BB257" i="1"/>
  <c r="BD257" i="1"/>
  <c r="CE257" i="1"/>
  <c r="A258" i="1"/>
  <c r="C258" i="1"/>
  <c r="E258" i="1"/>
  <c r="S258" i="1"/>
  <c r="T258" i="1"/>
  <c r="U258" i="1"/>
  <c r="BB258" i="1"/>
  <c r="BD258" i="1"/>
  <c r="CE258" i="1"/>
  <c r="A259" i="1"/>
  <c r="C259" i="1"/>
  <c r="E259" i="1"/>
  <c r="S259" i="1"/>
  <c r="T259" i="1"/>
  <c r="U259" i="1"/>
  <c r="BB259" i="1"/>
  <c r="BD259" i="1"/>
  <c r="CE259" i="1"/>
  <c r="A260" i="1"/>
  <c r="C260" i="1"/>
  <c r="E260" i="1"/>
  <c r="S260" i="1"/>
  <c r="T260" i="1"/>
  <c r="U260" i="1"/>
  <c r="BB260" i="1"/>
  <c r="BD260" i="1"/>
  <c r="CE260" i="1"/>
  <c r="A261" i="1"/>
  <c r="C261" i="1"/>
  <c r="E261" i="1"/>
  <c r="S261" i="1"/>
  <c r="T261" i="1"/>
  <c r="U261" i="1"/>
  <c r="BB261" i="1"/>
  <c r="BD261" i="1"/>
  <c r="CE261" i="1"/>
  <c r="A262" i="1"/>
  <c r="C262" i="1"/>
  <c r="E262" i="1"/>
  <c r="S262" i="1"/>
  <c r="T262" i="1"/>
  <c r="U262" i="1"/>
  <c r="BB262" i="1"/>
  <c r="BD262" i="1"/>
  <c r="CE262" i="1"/>
  <c r="A263" i="1"/>
  <c r="C263" i="1"/>
  <c r="E263" i="1"/>
  <c r="S263" i="1"/>
  <c r="T263" i="1"/>
  <c r="U263" i="1"/>
  <c r="BB263" i="1"/>
  <c r="BD263" i="1"/>
  <c r="CE263" i="1"/>
  <c r="A264" i="1"/>
  <c r="C264" i="1"/>
  <c r="E264" i="1"/>
  <c r="S264" i="1"/>
  <c r="T264" i="1"/>
  <c r="U264" i="1"/>
  <c r="BB264" i="1"/>
  <c r="BD264" i="1"/>
  <c r="CE264" i="1"/>
  <c r="A265" i="1"/>
  <c r="C265" i="1"/>
  <c r="E265" i="1"/>
  <c r="S265" i="1"/>
  <c r="T265" i="1"/>
  <c r="U265" i="1"/>
  <c r="BB265" i="1"/>
  <c r="BD265" i="1"/>
  <c r="CE265" i="1"/>
  <c r="A266" i="1"/>
  <c r="C266" i="1"/>
  <c r="E266" i="1"/>
  <c r="S266" i="1"/>
  <c r="T266" i="1"/>
  <c r="U266" i="1"/>
  <c r="BB266" i="1"/>
  <c r="BD266" i="1"/>
  <c r="CE266" i="1"/>
  <c r="A267" i="1"/>
  <c r="C267" i="1"/>
  <c r="E267" i="1"/>
  <c r="S267" i="1"/>
  <c r="T267" i="1"/>
  <c r="U267" i="1"/>
  <c r="BB267" i="1"/>
  <c r="BD267" i="1"/>
  <c r="CE267" i="1"/>
  <c r="A268" i="1"/>
  <c r="C268" i="1"/>
  <c r="E268" i="1"/>
  <c r="S268" i="1"/>
  <c r="T268" i="1"/>
  <c r="U268" i="1"/>
  <c r="BB268" i="1"/>
  <c r="BD268" i="1"/>
  <c r="CE268" i="1"/>
  <c r="A269" i="1"/>
  <c r="C269" i="1"/>
  <c r="E269" i="1"/>
  <c r="S269" i="1"/>
  <c r="T269" i="1"/>
  <c r="U269" i="1"/>
  <c r="BB269" i="1"/>
  <c r="BD269" i="1"/>
  <c r="CE269" i="1"/>
  <c r="A270" i="1"/>
  <c r="C270" i="1"/>
  <c r="E270" i="1"/>
  <c r="S270" i="1"/>
  <c r="T270" i="1"/>
  <c r="U270" i="1"/>
  <c r="BB270" i="1"/>
  <c r="BD270" i="1"/>
  <c r="CE270" i="1"/>
  <c r="A271" i="1"/>
  <c r="C271" i="1"/>
  <c r="E271" i="1"/>
  <c r="S271" i="1"/>
  <c r="T271" i="1"/>
  <c r="U271" i="1"/>
  <c r="BB271" i="1"/>
  <c r="BD271" i="1"/>
  <c r="CE271" i="1"/>
  <c r="A272" i="1"/>
  <c r="C272" i="1"/>
  <c r="E272" i="1"/>
  <c r="S272" i="1"/>
  <c r="T272" i="1"/>
  <c r="U272" i="1"/>
  <c r="BB272" i="1"/>
  <c r="BD272" i="1"/>
  <c r="CE272" i="1"/>
  <c r="A273" i="1"/>
  <c r="C273" i="1"/>
  <c r="E273" i="1"/>
  <c r="S273" i="1"/>
  <c r="T273" i="1"/>
  <c r="U273" i="1"/>
  <c r="BB273" i="1"/>
  <c r="BD273" i="1"/>
  <c r="CE273" i="1"/>
  <c r="A274" i="1"/>
  <c r="C274" i="1"/>
  <c r="E274" i="1"/>
  <c r="S274" i="1"/>
  <c r="T274" i="1"/>
  <c r="U274" i="1"/>
  <c r="BB274" i="1"/>
  <c r="BD274" i="1"/>
  <c r="CE274" i="1"/>
  <c r="A275" i="1"/>
  <c r="C275" i="1"/>
  <c r="E275" i="1"/>
  <c r="S275" i="1"/>
  <c r="T275" i="1"/>
  <c r="U275" i="1"/>
  <c r="BB275" i="1"/>
  <c r="BD275" i="1"/>
  <c r="CE275" i="1"/>
  <c r="A276" i="1"/>
  <c r="C276" i="1"/>
  <c r="E276" i="1"/>
  <c r="S276" i="1"/>
  <c r="T276" i="1"/>
  <c r="U276" i="1"/>
  <c r="BB276" i="1"/>
  <c r="BD276" i="1"/>
  <c r="CE276" i="1"/>
  <c r="A277" i="1"/>
  <c r="C277" i="1"/>
  <c r="E277" i="1"/>
  <c r="S277" i="1"/>
  <c r="T277" i="1"/>
  <c r="U277" i="1"/>
  <c r="BB277" i="1"/>
  <c r="BD277" i="1"/>
  <c r="CE277" i="1"/>
  <c r="A278" i="1"/>
  <c r="C278" i="1"/>
  <c r="E278" i="1"/>
  <c r="S278" i="1"/>
  <c r="T278" i="1"/>
  <c r="U278" i="1"/>
  <c r="BB278" i="1"/>
  <c r="BD278" i="1"/>
  <c r="CE278" i="1"/>
  <c r="A279" i="1"/>
  <c r="C279" i="1"/>
  <c r="E279" i="1"/>
  <c r="S279" i="1"/>
  <c r="T279" i="1"/>
  <c r="U279" i="1"/>
  <c r="BB279" i="1"/>
  <c r="BD279" i="1"/>
  <c r="CE279" i="1"/>
  <c r="A280" i="1"/>
  <c r="C280" i="1"/>
  <c r="E280" i="1"/>
  <c r="S280" i="1"/>
  <c r="T280" i="1"/>
  <c r="U280" i="1"/>
  <c r="BB280" i="1"/>
  <c r="BD280" i="1"/>
  <c r="CE280" i="1"/>
  <c r="A281" i="1"/>
  <c r="C281" i="1"/>
  <c r="E281" i="1"/>
  <c r="S281" i="1"/>
  <c r="T281" i="1"/>
  <c r="U281" i="1"/>
  <c r="BB281" i="1"/>
  <c r="BD281" i="1"/>
  <c r="CE281" i="1"/>
  <c r="A282" i="1"/>
  <c r="C282" i="1"/>
  <c r="E282" i="1"/>
  <c r="S282" i="1"/>
  <c r="T282" i="1"/>
  <c r="U282" i="1"/>
  <c r="BB282" i="1"/>
  <c r="BD282" i="1"/>
  <c r="CE282" i="1"/>
  <c r="A283" i="1"/>
  <c r="C283" i="1"/>
  <c r="E283" i="1"/>
  <c r="S283" i="1"/>
  <c r="T283" i="1"/>
  <c r="U283" i="1"/>
  <c r="BB283" i="1"/>
  <c r="BD283" i="1"/>
  <c r="CE283" i="1"/>
  <c r="A284" i="1"/>
  <c r="C284" i="1"/>
  <c r="E284" i="1"/>
  <c r="S284" i="1"/>
  <c r="T284" i="1"/>
  <c r="U284" i="1"/>
  <c r="BB284" i="1"/>
  <c r="BD284" i="1"/>
  <c r="CE284" i="1"/>
  <c r="A285" i="1"/>
  <c r="C285" i="1"/>
  <c r="E285" i="1"/>
  <c r="S285" i="1"/>
  <c r="T285" i="1"/>
  <c r="U285" i="1"/>
  <c r="BB285" i="1"/>
  <c r="BD285" i="1"/>
  <c r="CE285" i="1"/>
  <c r="A286" i="1"/>
  <c r="C286" i="1"/>
  <c r="E286" i="1"/>
  <c r="S286" i="1"/>
  <c r="T286" i="1"/>
  <c r="U286" i="1"/>
  <c r="BB286" i="1"/>
  <c r="BD286" i="1"/>
  <c r="CE286" i="1"/>
  <c r="A287" i="1"/>
  <c r="C287" i="1"/>
  <c r="E287" i="1"/>
  <c r="S287" i="1"/>
  <c r="T287" i="1"/>
  <c r="U287" i="1"/>
  <c r="BB287" i="1"/>
  <c r="BD287" i="1"/>
  <c r="CE287" i="1"/>
  <c r="A288" i="1"/>
  <c r="C288" i="1"/>
  <c r="E288" i="1"/>
  <c r="S288" i="1"/>
  <c r="T288" i="1"/>
  <c r="U288" i="1"/>
  <c r="BB288" i="1"/>
  <c r="BD288" i="1"/>
  <c r="CE288" i="1"/>
  <c r="A289" i="1"/>
  <c r="C289" i="1"/>
  <c r="E289" i="1"/>
  <c r="S289" i="1"/>
  <c r="T289" i="1"/>
  <c r="U289" i="1"/>
  <c r="BB289" i="1"/>
  <c r="BD289" i="1"/>
  <c r="CE289" i="1"/>
  <c r="A290" i="1"/>
  <c r="C290" i="1"/>
  <c r="E290" i="1"/>
  <c r="S290" i="1"/>
  <c r="T290" i="1"/>
  <c r="U290" i="1"/>
  <c r="BB290" i="1"/>
  <c r="BD290" i="1"/>
  <c r="CE290" i="1"/>
  <c r="A291" i="1"/>
  <c r="C291" i="1"/>
  <c r="E291" i="1"/>
  <c r="S291" i="1"/>
  <c r="T291" i="1"/>
  <c r="U291" i="1"/>
  <c r="BB291" i="1"/>
  <c r="BD291" i="1"/>
  <c r="CE291" i="1"/>
  <c r="A292" i="1"/>
  <c r="C292" i="1"/>
  <c r="E292" i="1"/>
  <c r="S292" i="1"/>
  <c r="T292" i="1"/>
  <c r="U292" i="1"/>
  <c r="BB292" i="1"/>
  <c r="BD292" i="1"/>
  <c r="CE292" i="1"/>
  <c r="A293" i="1"/>
  <c r="C293" i="1"/>
  <c r="E293" i="1"/>
  <c r="S293" i="1"/>
  <c r="T293" i="1"/>
  <c r="U293" i="1"/>
  <c r="BB293" i="1"/>
  <c r="BD293" i="1"/>
  <c r="CE293" i="1"/>
  <c r="A294" i="1"/>
  <c r="C294" i="1"/>
  <c r="E294" i="1"/>
  <c r="S294" i="1"/>
  <c r="T294" i="1"/>
  <c r="U294" i="1"/>
  <c r="BB294" i="1"/>
  <c r="BD294" i="1"/>
  <c r="CE294" i="1"/>
  <c r="A295" i="1"/>
  <c r="C295" i="1"/>
  <c r="E295" i="1"/>
  <c r="S295" i="1"/>
  <c r="T295" i="1"/>
  <c r="U295" i="1"/>
  <c r="BB295" i="1"/>
  <c r="BD295" i="1"/>
  <c r="CE295" i="1"/>
  <c r="A296" i="1"/>
  <c r="C296" i="1"/>
  <c r="E296" i="1"/>
  <c r="S296" i="1"/>
  <c r="T296" i="1"/>
  <c r="U296" i="1"/>
  <c r="BB296" i="1"/>
  <c r="BD296" i="1"/>
  <c r="CE296" i="1"/>
  <c r="A297" i="1"/>
  <c r="C297" i="1"/>
  <c r="E297" i="1"/>
  <c r="S297" i="1"/>
  <c r="T297" i="1"/>
  <c r="U297" i="1"/>
  <c r="BB297" i="1"/>
  <c r="BD297" i="1"/>
  <c r="CE297" i="1"/>
  <c r="A298" i="1"/>
  <c r="C298" i="1"/>
  <c r="E298" i="1"/>
  <c r="S298" i="1"/>
  <c r="T298" i="1"/>
  <c r="U298" i="1"/>
  <c r="BB298" i="1"/>
  <c r="BD298" i="1"/>
  <c r="CE298" i="1"/>
  <c r="A299" i="1"/>
  <c r="C299" i="1"/>
  <c r="E299" i="1"/>
  <c r="S299" i="1"/>
  <c r="T299" i="1"/>
  <c r="U299" i="1"/>
  <c r="BB299" i="1"/>
  <c r="BD299" i="1"/>
  <c r="CE299" i="1"/>
  <c r="A300" i="1"/>
  <c r="C300" i="1"/>
  <c r="E300" i="1"/>
  <c r="S300" i="1"/>
  <c r="T300" i="1"/>
  <c r="U300" i="1"/>
  <c r="BB300" i="1"/>
  <c r="BD300" i="1"/>
  <c r="CE300" i="1"/>
  <c r="A301" i="1"/>
  <c r="C301" i="1"/>
  <c r="E301" i="1"/>
  <c r="S301" i="1"/>
  <c r="T301" i="1"/>
  <c r="U301" i="1"/>
  <c r="BB301" i="1"/>
  <c r="BD301" i="1"/>
  <c r="CE301" i="1"/>
  <c r="A302" i="1"/>
  <c r="C302" i="1"/>
  <c r="E302" i="1"/>
  <c r="S302" i="1"/>
  <c r="T302" i="1"/>
  <c r="U302" i="1"/>
  <c r="BB302" i="1"/>
  <c r="BD302" i="1"/>
  <c r="CE302" i="1"/>
  <c r="A303" i="1"/>
  <c r="C303" i="1"/>
  <c r="E303" i="1"/>
  <c r="S303" i="1"/>
  <c r="T303" i="1"/>
  <c r="U303" i="1"/>
  <c r="BB303" i="1"/>
  <c r="BD303" i="1"/>
  <c r="CE303" i="1"/>
  <c r="A304" i="1"/>
  <c r="C304" i="1"/>
  <c r="E304" i="1"/>
  <c r="S304" i="1"/>
  <c r="T304" i="1"/>
  <c r="U304" i="1"/>
  <c r="BB304" i="1"/>
  <c r="BD304" i="1"/>
  <c r="CE304" i="1"/>
  <c r="A305" i="1"/>
  <c r="C305" i="1"/>
  <c r="E305" i="1"/>
  <c r="S305" i="1"/>
  <c r="T305" i="1"/>
  <c r="U305" i="1"/>
  <c r="BB305" i="1"/>
  <c r="BD305" i="1"/>
  <c r="CE305" i="1"/>
  <c r="A306" i="1"/>
  <c r="C306" i="1"/>
  <c r="E306" i="1"/>
  <c r="S306" i="1"/>
  <c r="T306" i="1"/>
  <c r="U306" i="1"/>
  <c r="BB306" i="1"/>
  <c r="BD306" i="1"/>
  <c r="CE306" i="1"/>
  <c r="A307" i="1"/>
  <c r="C307" i="1"/>
  <c r="E307" i="1"/>
  <c r="S307" i="1"/>
  <c r="T307" i="1"/>
  <c r="U307" i="1"/>
  <c r="BB307" i="1"/>
  <c r="BD307" i="1"/>
  <c r="CE307" i="1"/>
  <c r="A308" i="1"/>
  <c r="C308" i="1"/>
  <c r="E308" i="1"/>
  <c r="S308" i="1"/>
  <c r="T308" i="1"/>
  <c r="U308" i="1"/>
  <c r="BB308" i="1"/>
  <c r="BD308" i="1"/>
  <c r="CE308" i="1"/>
  <c r="A309" i="1"/>
  <c r="C309" i="1"/>
  <c r="E309" i="1"/>
  <c r="S309" i="1"/>
  <c r="T309" i="1"/>
  <c r="U309" i="1"/>
  <c r="BB309" i="1"/>
  <c r="BD309" i="1"/>
  <c r="CE309" i="1"/>
  <c r="A310" i="1"/>
  <c r="C310" i="1"/>
  <c r="E310" i="1"/>
  <c r="S310" i="1"/>
  <c r="T310" i="1"/>
  <c r="U310" i="1"/>
  <c r="BB310" i="1"/>
  <c r="BD310" i="1"/>
  <c r="CE310" i="1"/>
  <c r="A311" i="1"/>
  <c r="C311" i="1"/>
  <c r="E311" i="1"/>
  <c r="S311" i="1"/>
  <c r="T311" i="1"/>
  <c r="U311" i="1"/>
  <c r="BB311" i="1"/>
  <c r="BD311" i="1"/>
  <c r="CE311" i="1"/>
  <c r="A312" i="1"/>
  <c r="C312" i="1"/>
  <c r="E312" i="1"/>
  <c r="S312" i="1"/>
  <c r="T312" i="1"/>
  <c r="U312" i="1"/>
  <c r="BB312" i="1"/>
  <c r="BD312" i="1"/>
  <c r="CE312" i="1"/>
  <c r="A313" i="1"/>
  <c r="C313" i="1"/>
  <c r="E313" i="1"/>
  <c r="S313" i="1"/>
  <c r="T313" i="1"/>
  <c r="U313" i="1"/>
  <c r="BB313" i="1"/>
  <c r="BD313" i="1"/>
  <c r="CE313" i="1"/>
  <c r="A314" i="1"/>
  <c r="C314" i="1"/>
  <c r="E314" i="1"/>
  <c r="S314" i="1"/>
  <c r="T314" i="1"/>
  <c r="U314" i="1"/>
  <c r="BB314" i="1"/>
  <c r="BD314" i="1"/>
  <c r="CE314" i="1"/>
  <c r="A315" i="1"/>
  <c r="C315" i="1"/>
  <c r="E315" i="1"/>
  <c r="S315" i="1"/>
  <c r="T315" i="1"/>
  <c r="U315" i="1"/>
  <c r="BB315" i="1"/>
  <c r="BD315" i="1"/>
  <c r="CE315" i="1"/>
  <c r="A316" i="1"/>
  <c r="C316" i="1"/>
  <c r="E316" i="1"/>
  <c r="S316" i="1"/>
  <c r="T316" i="1"/>
  <c r="U316" i="1"/>
  <c r="BB316" i="1"/>
  <c r="BD316" i="1"/>
  <c r="CE316" i="1"/>
  <c r="A317" i="1"/>
  <c r="C317" i="1"/>
  <c r="E317" i="1"/>
  <c r="S317" i="1"/>
  <c r="T317" i="1"/>
  <c r="U317" i="1"/>
  <c r="BB317" i="1"/>
  <c r="BD317" i="1"/>
  <c r="CE317" i="1"/>
  <c r="A318" i="1"/>
  <c r="C318" i="1"/>
  <c r="E318" i="1"/>
  <c r="S318" i="1"/>
  <c r="T318" i="1"/>
  <c r="U318" i="1"/>
  <c r="BB318" i="1"/>
  <c r="BD318" i="1"/>
  <c r="CE318" i="1"/>
  <c r="A319" i="1"/>
  <c r="C319" i="1"/>
  <c r="E319" i="1"/>
  <c r="S319" i="1"/>
  <c r="T319" i="1"/>
  <c r="U319" i="1"/>
  <c r="BB319" i="1"/>
  <c r="BD319" i="1"/>
  <c r="CE319" i="1"/>
  <c r="A320" i="1"/>
  <c r="C320" i="1"/>
  <c r="E320" i="1"/>
  <c r="S320" i="1"/>
  <c r="T320" i="1"/>
  <c r="U320" i="1"/>
  <c r="BB320" i="1"/>
  <c r="BD320" i="1"/>
  <c r="CE320" i="1"/>
  <c r="A321" i="1"/>
  <c r="C321" i="1"/>
  <c r="E321" i="1"/>
  <c r="S321" i="1"/>
  <c r="T321" i="1"/>
  <c r="U321" i="1"/>
  <c r="BB321" i="1"/>
  <c r="BD321" i="1"/>
  <c r="CE321" i="1"/>
  <c r="A322" i="1"/>
  <c r="C322" i="1"/>
  <c r="E322" i="1"/>
  <c r="S322" i="1"/>
  <c r="T322" i="1"/>
  <c r="U322" i="1"/>
  <c r="BB322" i="1"/>
  <c r="BD322" i="1"/>
  <c r="CE322" i="1"/>
  <c r="A323" i="1"/>
  <c r="C323" i="1"/>
  <c r="E323" i="1"/>
  <c r="S323" i="1"/>
  <c r="T323" i="1"/>
  <c r="U323" i="1"/>
  <c r="BB323" i="1"/>
  <c r="BD323" i="1"/>
  <c r="CE323" i="1"/>
  <c r="A324" i="1"/>
  <c r="C324" i="1"/>
  <c r="E324" i="1"/>
  <c r="S324" i="1"/>
  <c r="T324" i="1"/>
  <c r="U324" i="1"/>
  <c r="BB324" i="1"/>
  <c r="BD324" i="1"/>
  <c r="CE324" i="1"/>
  <c r="A325" i="1"/>
  <c r="C325" i="1"/>
  <c r="E325" i="1"/>
  <c r="S325" i="1"/>
  <c r="T325" i="1"/>
  <c r="U325" i="1"/>
  <c r="BB325" i="1"/>
  <c r="BD325" i="1"/>
  <c r="CE325" i="1"/>
  <c r="A326" i="1"/>
  <c r="C326" i="1"/>
  <c r="E326" i="1"/>
  <c r="S326" i="1"/>
  <c r="T326" i="1"/>
  <c r="U326" i="1"/>
  <c r="BB326" i="1"/>
  <c r="BD326" i="1"/>
  <c r="CE326" i="1"/>
  <c r="A327" i="1"/>
  <c r="C327" i="1"/>
  <c r="E327" i="1"/>
  <c r="S327" i="1"/>
  <c r="T327" i="1"/>
  <c r="U327" i="1"/>
  <c r="BB327" i="1"/>
  <c r="BD327" i="1"/>
  <c r="CE327" i="1"/>
  <c r="A328" i="1"/>
  <c r="C328" i="1"/>
  <c r="E328" i="1"/>
  <c r="S328" i="1"/>
  <c r="T328" i="1"/>
  <c r="U328" i="1"/>
  <c r="BB328" i="1"/>
  <c r="BD328" i="1"/>
  <c r="CE328" i="1"/>
  <c r="A329" i="1"/>
  <c r="C329" i="1"/>
  <c r="E329" i="1"/>
  <c r="S329" i="1"/>
  <c r="T329" i="1"/>
  <c r="U329" i="1"/>
  <c r="BB329" i="1"/>
  <c r="BD329" i="1"/>
  <c r="CE329" i="1"/>
  <c r="A330" i="1"/>
  <c r="C330" i="1"/>
  <c r="E330" i="1"/>
  <c r="S330" i="1"/>
  <c r="T330" i="1"/>
  <c r="U330" i="1"/>
  <c r="BB330" i="1"/>
  <c r="BD330" i="1"/>
  <c r="CE330" i="1"/>
  <c r="A331" i="1"/>
  <c r="C331" i="1"/>
  <c r="E331" i="1"/>
  <c r="S331" i="1"/>
  <c r="T331" i="1"/>
  <c r="U331" i="1"/>
  <c r="BB331" i="1"/>
  <c r="BD331" i="1"/>
  <c r="CE331" i="1"/>
  <c r="A332" i="1"/>
  <c r="C332" i="1"/>
  <c r="E332" i="1"/>
  <c r="S332" i="1"/>
  <c r="T332" i="1"/>
  <c r="U332" i="1"/>
  <c r="BB332" i="1"/>
  <c r="BD332" i="1"/>
  <c r="CE332" i="1"/>
  <c r="A333" i="1"/>
  <c r="C333" i="1"/>
  <c r="E333" i="1"/>
  <c r="S333" i="1"/>
  <c r="T333" i="1"/>
  <c r="U333" i="1"/>
  <c r="BB333" i="1"/>
  <c r="BD333" i="1"/>
  <c r="CE333" i="1"/>
  <c r="A334" i="1"/>
  <c r="C334" i="1"/>
  <c r="E334" i="1"/>
  <c r="S334" i="1"/>
  <c r="T334" i="1"/>
  <c r="U334" i="1"/>
  <c r="BB334" i="1"/>
  <c r="BD334" i="1"/>
  <c r="CE334" i="1"/>
  <c r="A335" i="1"/>
  <c r="C335" i="1"/>
  <c r="E335" i="1"/>
  <c r="S335" i="1"/>
  <c r="T335" i="1"/>
  <c r="U335" i="1"/>
  <c r="BB335" i="1"/>
  <c r="BD335" i="1"/>
  <c r="CE335" i="1"/>
  <c r="A336" i="1"/>
  <c r="C336" i="1"/>
  <c r="E336" i="1"/>
  <c r="S336" i="1"/>
  <c r="T336" i="1"/>
  <c r="U336" i="1"/>
  <c r="BB336" i="1"/>
  <c r="BD336" i="1"/>
  <c r="CE336" i="1"/>
  <c r="A337" i="1"/>
  <c r="C337" i="1"/>
  <c r="E337" i="1"/>
  <c r="S337" i="1"/>
  <c r="T337" i="1"/>
  <c r="U337" i="1"/>
  <c r="BB337" i="1"/>
  <c r="BD337" i="1"/>
  <c r="CE337" i="1"/>
  <c r="A338" i="1"/>
  <c r="C338" i="1"/>
  <c r="E338" i="1"/>
  <c r="S338" i="1"/>
  <c r="T338" i="1"/>
  <c r="U338" i="1"/>
  <c r="BB338" i="1"/>
  <c r="BD338" i="1"/>
  <c r="CE338" i="1"/>
  <c r="A339" i="1"/>
  <c r="C339" i="1"/>
  <c r="E339" i="1"/>
  <c r="S339" i="1"/>
  <c r="T339" i="1"/>
  <c r="U339" i="1"/>
  <c r="BB339" i="1"/>
  <c r="BD339" i="1"/>
  <c r="CE339" i="1"/>
  <c r="A340" i="1"/>
  <c r="C340" i="1"/>
  <c r="E340" i="1"/>
  <c r="S340" i="1"/>
  <c r="T340" i="1"/>
  <c r="U340" i="1"/>
  <c r="BB340" i="1"/>
  <c r="BD340" i="1"/>
  <c r="CE340" i="1"/>
  <c r="A341" i="1"/>
  <c r="C341" i="1"/>
  <c r="E341" i="1"/>
  <c r="S341" i="1"/>
  <c r="T341" i="1"/>
  <c r="U341" i="1"/>
  <c r="BB341" i="1"/>
  <c r="BD341" i="1"/>
  <c r="CE341" i="1"/>
  <c r="A342" i="1"/>
  <c r="C342" i="1"/>
  <c r="E342" i="1"/>
  <c r="S342" i="1"/>
  <c r="T342" i="1"/>
  <c r="U342" i="1"/>
  <c r="BB342" i="1"/>
  <c r="BD342" i="1"/>
  <c r="CE342" i="1"/>
  <c r="A343" i="1"/>
  <c r="C343" i="1"/>
  <c r="E343" i="1"/>
  <c r="S343" i="1"/>
  <c r="T343" i="1"/>
  <c r="U343" i="1"/>
  <c r="BB343" i="1"/>
  <c r="BD343" i="1"/>
  <c r="CE343" i="1"/>
  <c r="A344" i="1"/>
  <c r="C344" i="1"/>
  <c r="E344" i="1"/>
  <c r="S344" i="1"/>
  <c r="T344" i="1"/>
  <c r="U344" i="1"/>
  <c r="BB344" i="1"/>
  <c r="BD344" i="1"/>
  <c r="CE344" i="1"/>
  <c r="A345" i="1"/>
  <c r="C345" i="1"/>
  <c r="E345" i="1"/>
  <c r="S345" i="1"/>
  <c r="T345" i="1"/>
  <c r="U345" i="1"/>
  <c r="BB345" i="1"/>
  <c r="BD345" i="1"/>
  <c r="CE345" i="1"/>
  <c r="A346" i="1"/>
  <c r="C346" i="1"/>
  <c r="E346" i="1"/>
  <c r="S346" i="1"/>
  <c r="T346" i="1"/>
  <c r="U346" i="1"/>
  <c r="BB346" i="1"/>
  <c r="BD346" i="1"/>
  <c r="CE346" i="1"/>
  <c r="A347" i="1"/>
  <c r="C347" i="1"/>
  <c r="E347" i="1"/>
  <c r="S347" i="1"/>
  <c r="T347" i="1"/>
  <c r="U347" i="1"/>
  <c r="BB347" i="1"/>
  <c r="BD347" i="1"/>
  <c r="CE347" i="1"/>
  <c r="A348" i="1"/>
  <c r="C348" i="1"/>
  <c r="E348" i="1"/>
  <c r="S348" i="1"/>
  <c r="T348" i="1"/>
  <c r="U348" i="1"/>
  <c r="BB348" i="1"/>
  <c r="BD348" i="1"/>
  <c r="CE348" i="1"/>
  <c r="A349" i="1"/>
  <c r="C349" i="1"/>
  <c r="E349" i="1"/>
  <c r="S349" i="1"/>
  <c r="T349" i="1"/>
  <c r="U349" i="1"/>
  <c r="BB349" i="1"/>
  <c r="BD349" i="1"/>
  <c r="CE349" i="1"/>
  <c r="A350" i="1"/>
  <c r="C350" i="1"/>
  <c r="E350" i="1"/>
  <c r="S350" i="1"/>
  <c r="T350" i="1"/>
  <c r="U350" i="1"/>
  <c r="BB350" i="1"/>
  <c r="BD350" i="1"/>
  <c r="CE350" i="1"/>
  <c r="A351" i="1"/>
  <c r="C351" i="1"/>
  <c r="E351" i="1"/>
  <c r="S351" i="1"/>
  <c r="T351" i="1"/>
  <c r="U351" i="1"/>
  <c r="BB351" i="1"/>
  <c r="BD351" i="1"/>
  <c r="CE351" i="1"/>
  <c r="A352" i="1"/>
  <c r="C352" i="1"/>
  <c r="E352" i="1"/>
  <c r="S352" i="1"/>
  <c r="T352" i="1"/>
  <c r="U352" i="1"/>
  <c r="BB352" i="1"/>
  <c r="BD352" i="1"/>
  <c r="CE352" i="1"/>
  <c r="A353" i="1"/>
  <c r="C353" i="1"/>
  <c r="E353" i="1"/>
  <c r="S353" i="1"/>
  <c r="T353" i="1"/>
  <c r="U353" i="1"/>
  <c r="BB353" i="1"/>
  <c r="BD353" i="1"/>
  <c r="CE353" i="1"/>
  <c r="A354" i="1"/>
  <c r="C354" i="1"/>
  <c r="E354" i="1"/>
  <c r="S354" i="1"/>
  <c r="T354" i="1"/>
  <c r="U354" i="1"/>
  <c r="BB354" i="1"/>
  <c r="BD354" i="1"/>
  <c r="CE354" i="1"/>
  <c r="A355" i="1"/>
  <c r="C355" i="1"/>
  <c r="E355" i="1"/>
  <c r="S355" i="1"/>
  <c r="T355" i="1"/>
  <c r="U355" i="1"/>
  <c r="BB355" i="1"/>
  <c r="BD355" i="1"/>
  <c r="CE355" i="1"/>
  <c r="A356" i="1"/>
  <c r="C356" i="1"/>
  <c r="E356" i="1"/>
  <c r="S356" i="1"/>
  <c r="T356" i="1"/>
  <c r="U356" i="1"/>
  <c r="BB356" i="1"/>
  <c r="BD356" i="1"/>
  <c r="CE356" i="1"/>
  <c r="A357" i="1"/>
  <c r="C357" i="1"/>
  <c r="E357" i="1"/>
  <c r="S357" i="1"/>
  <c r="T357" i="1"/>
  <c r="U357" i="1"/>
  <c r="BB357" i="1"/>
  <c r="BD357" i="1"/>
  <c r="CE357" i="1"/>
  <c r="A358" i="1"/>
  <c r="C358" i="1"/>
  <c r="E358" i="1"/>
  <c r="S358" i="1"/>
  <c r="T358" i="1"/>
  <c r="U358" i="1"/>
  <c r="BB358" i="1"/>
  <c r="BD358" i="1"/>
  <c r="CE358" i="1"/>
  <c r="A359" i="1"/>
  <c r="C359" i="1"/>
  <c r="E359" i="1"/>
  <c r="S359" i="1"/>
  <c r="T359" i="1"/>
  <c r="U359" i="1"/>
  <c r="BB359" i="1"/>
  <c r="BD359" i="1"/>
  <c r="CE359" i="1"/>
  <c r="A360" i="1"/>
  <c r="C360" i="1"/>
  <c r="E360" i="1"/>
  <c r="S360" i="1"/>
  <c r="T360" i="1"/>
  <c r="U360" i="1"/>
  <c r="BB360" i="1"/>
  <c r="BD360" i="1"/>
  <c r="CE360" i="1"/>
  <c r="A361" i="1"/>
  <c r="C361" i="1"/>
  <c r="E361" i="1"/>
  <c r="S361" i="1"/>
  <c r="T361" i="1"/>
  <c r="U361" i="1"/>
  <c r="BB361" i="1"/>
  <c r="BD361" i="1"/>
  <c r="CE361" i="1"/>
  <c r="A362" i="1"/>
  <c r="C362" i="1"/>
  <c r="E362" i="1"/>
  <c r="S362" i="1"/>
  <c r="T362" i="1"/>
  <c r="U362" i="1"/>
  <c r="BB362" i="1"/>
  <c r="BD362" i="1"/>
  <c r="CE362" i="1"/>
  <c r="A363" i="1"/>
  <c r="C363" i="1"/>
  <c r="E363" i="1"/>
  <c r="S363" i="1"/>
  <c r="T363" i="1"/>
  <c r="U363" i="1"/>
  <c r="BB363" i="1"/>
  <c r="BD363" i="1"/>
  <c r="CE363" i="1"/>
  <c r="A364" i="1"/>
  <c r="C364" i="1"/>
  <c r="E364" i="1"/>
  <c r="S364" i="1"/>
  <c r="T364" i="1"/>
  <c r="U364" i="1"/>
  <c r="BB364" i="1"/>
  <c r="BD364" i="1"/>
  <c r="CE364" i="1"/>
  <c r="A365" i="1"/>
  <c r="C365" i="1"/>
  <c r="E365" i="1"/>
  <c r="S365" i="1"/>
  <c r="T365" i="1"/>
  <c r="U365" i="1"/>
  <c r="BB365" i="1"/>
  <c r="BD365" i="1"/>
  <c r="CE365" i="1"/>
  <c r="A366" i="1"/>
  <c r="C366" i="1"/>
  <c r="E366" i="1"/>
  <c r="S366" i="1"/>
  <c r="T366" i="1"/>
  <c r="U366" i="1"/>
  <c r="BB366" i="1"/>
  <c r="BD366" i="1"/>
  <c r="CE366" i="1"/>
  <c r="A367" i="1"/>
  <c r="C367" i="1"/>
  <c r="E367" i="1"/>
  <c r="S367" i="1"/>
  <c r="T367" i="1"/>
  <c r="U367" i="1"/>
  <c r="BB367" i="1"/>
  <c r="BD367" i="1"/>
  <c r="CE367" i="1"/>
  <c r="A368" i="1"/>
  <c r="C368" i="1"/>
  <c r="E368" i="1"/>
  <c r="S368" i="1"/>
  <c r="T368" i="1"/>
  <c r="U368" i="1"/>
  <c r="BB368" i="1"/>
  <c r="BD368" i="1"/>
  <c r="CE368" i="1"/>
  <c r="A369" i="1"/>
  <c r="C369" i="1"/>
  <c r="E369" i="1"/>
  <c r="S369" i="1"/>
  <c r="T369" i="1"/>
  <c r="U369" i="1"/>
  <c r="BB369" i="1"/>
  <c r="BD369" i="1"/>
  <c r="CE369" i="1"/>
  <c r="A370" i="1"/>
  <c r="C370" i="1"/>
  <c r="E370" i="1"/>
  <c r="S370" i="1"/>
  <c r="T370" i="1"/>
  <c r="U370" i="1"/>
  <c r="BB370" i="1"/>
  <c r="BD370" i="1"/>
  <c r="CE370" i="1"/>
  <c r="A371" i="1"/>
  <c r="C371" i="1"/>
  <c r="E371" i="1"/>
  <c r="S371" i="1"/>
  <c r="T371" i="1"/>
  <c r="U371" i="1"/>
  <c r="BB371" i="1"/>
  <c r="BD371" i="1"/>
  <c r="CE371" i="1"/>
  <c r="A372" i="1"/>
  <c r="C372" i="1"/>
  <c r="E372" i="1"/>
  <c r="S372" i="1"/>
  <c r="T372" i="1"/>
  <c r="U372" i="1"/>
  <c r="BB372" i="1"/>
  <c r="BD372" i="1"/>
  <c r="CE372" i="1"/>
  <c r="A373" i="1"/>
  <c r="C373" i="1"/>
  <c r="E373" i="1"/>
  <c r="S373" i="1"/>
  <c r="T373" i="1"/>
  <c r="U373" i="1"/>
  <c r="BB373" i="1"/>
  <c r="BD373" i="1"/>
  <c r="CE373" i="1"/>
  <c r="A374" i="1"/>
  <c r="C374" i="1"/>
  <c r="E374" i="1"/>
  <c r="S374" i="1"/>
  <c r="T374" i="1"/>
  <c r="U374" i="1"/>
  <c r="BB374" i="1"/>
  <c r="BD374" i="1"/>
  <c r="CE374" i="1"/>
  <c r="A375" i="1"/>
  <c r="C375" i="1"/>
  <c r="E375" i="1"/>
  <c r="S375" i="1"/>
  <c r="T375" i="1"/>
  <c r="U375" i="1"/>
  <c r="BB375" i="1"/>
  <c r="BD375" i="1"/>
  <c r="CE375" i="1"/>
  <c r="A376" i="1"/>
  <c r="C376" i="1"/>
  <c r="E376" i="1"/>
  <c r="S376" i="1"/>
  <c r="T376" i="1"/>
  <c r="U376" i="1"/>
  <c r="BB376" i="1"/>
  <c r="BD376" i="1"/>
  <c r="CE376" i="1"/>
  <c r="A377" i="1"/>
  <c r="C377" i="1"/>
  <c r="E377" i="1"/>
  <c r="S377" i="1"/>
  <c r="T377" i="1"/>
  <c r="U377" i="1"/>
  <c r="BB377" i="1"/>
  <c r="BD377" i="1"/>
  <c r="CE377" i="1"/>
  <c r="A378" i="1"/>
  <c r="C378" i="1"/>
  <c r="E378" i="1"/>
  <c r="S378" i="1"/>
  <c r="T378" i="1"/>
  <c r="U378" i="1"/>
  <c r="BB378" i="1"/>
  <c r="BD378" i="1"/>
  <c r="CE378" i="1"/>
  <c r="A379" i="1"/>
  <c r="C379" i="1"/>
  <c r="E379" i="1"/>
  <c r="S379" i="1"/>
  <c r="T379" i="1"/>
  <c r="U379" i="1"/>
  <c r="BB379" i="1"/>
  <c r="BD379" i="1"/>
  <c r="CE379" i="1"/>
  <c r="A380" i="1"/>
  <c r="C380" i="1"/>
  <c r="E380" i="1"/>
  <c r="S380" i="1"/>
  <c r="T380" i="1"/>
  <c r="U380" i="1"/>
  <c r="BB380" i="1"/>
  <c r="BD380" i="1"/>
  <c r="CE380" i="1"/>
  <c r="A381" i="1"/>
  <c r="C381" i="1"/>
  <c r="E381" i="1"/>
  <c r="S381" i="1"/>
  <c r="T381" i="1"/>
  <c r="U381" i="1"/>
  <c r="BB381" i="1"/>
  <c r="BD381" i="1"/>
  <c r="CE381" i="1"/>
  <c r="A382" i="1"/>
  <c r="C382" i="1"/>
  <c r="E382" i="1"/>
  <c r="S382" i="1"/>
  <c r="T382" i="1"/>
  <c r="U382" i="1"/>
  <c r="BB382" i="1"/>
  <c r="BD382" i="1"/>
  <c r="CE382" i="1"/>
  <c r="A383" i="1"/>
  <c r="C383" i="1"/>
  <c r="E383" i="1"/>
  <c r="S383" i="1"/>
  <c r="T383" i="1"/>
  <c r="U383" i="1"/>
  <c r="BB383" i="1"/>
  <c r="BD383" i="1"/>
  <c r="CE383" i="1"/>
  <c r="A384" i="1"/>
  <c r="C384" i="1"/>
  <c r="E384" i="1"/>
  <c r="S384" i="1"/>
  <c r="T384" i="1"/>
  <c r="U384" i="1"/>
  <c r="BB384" i="1"/>
  <c r="BD384" i="1"/>
  <c r="CE384" i="1"/>
  <c r="A385" i="1"/>
  <c r="C385" i="1"/>
  <c r="E385" i="1"/>
  <c r="S385" i="1"/>
  <c r="T385" i="1"/>
  <c r="U385" i="1"/>
  <c r="BB385" i="1"/>
  <c r="BD385" i="1"/>
  <c r="CE385" i="1"/>
  <c r="A386" i="1"/>
  <c r="C386" i="1"/>
  <c r="E386" i="1"/>
  <c r="S386" i="1"/>
  <c r="T386" i="1"/>
  <c r="U386" i="1"/>
  <c r="BB386" i="1"/>
  <c r="BD386" i="1"/>
  <c r="CE386" i="1"/>
  <c r="A387" i="1"/>
  <c r="C387" i="1"/>
  <c r="E387" i="1"/>
  <c r="S387" i="1"/>
  <c r="T387" i="1"/>
  <c r="U387" i="1"/>
  <c r="BB387" i="1"/>
  <c r="BD387" i="1"/>
  <c r="CE387" i="1"/>
  <c r="A388" i="1"/>
  <c r="C388" i="1"/>
  <c r="E388" i="1"/>
  <c r="S388" i="1"/>
  <c r="T388" i="1"/>
  <c r="U388" i="1"/>
  <c r="BB388" i="1"/>
  <c r="BD388" i="1"/>
  <c r="CE388" i="1"/>
  <c r="A389" i="1"/>
  <c r="C389" i="1"/>
  <c r="E389" i="1"/>
  <c r="S389" i="1"/>
  <c r="T389" i="1"/>
  <c r="U389" i="1"/>
  <c r="BB389" i="1"/>
  <c r="BD389" i="1"/>
  <c r="CE389" i="1"/>
  <c r="A390" i="1"/>
  <c r="C390" i="1"/>
  <c r="E390" i="1"/>
  <c r="S390" i="1"/>
  <c r="T390" i="1"/>
  <c r="U390" i="1"/>
  <c r="BB390" i="1"/>
  <c r="BD390" i="1"/>
  <c r="CE390" i="1"/>
  <c r="A391" i="1"/>
  <c r="C391" i="1"/>
  <c r="E391" i="1"/>
  <c r="S391" i="1"/>
  <c r="T391" i="1"/>
  <c r="U391" i="1"/>
  <c r="BB391" i="1"/>
  <c r="BD391" i="1"/>
  <c r="CE391" i="1"/>
  <c r="A392" i="1"/>
  <c r="C392" i="1"/>
  <c r="E392" i="1"/>
  <c r="S392" i="1"/>
  <c r="T392" i="1"/>
  <c r="U392" i="1"/>
  <c r="BB392" i="1"/>
  <c r="BD392" i="1"/>
  <c r="CE392" i="1"/>
  <c r="A393" i="1"/>
  <c r="C393" i="1"/>
  <c r="E393" i="1"/>
  <c r="S393" i="1"/>
  <c r="T393" i="1"/>
  <c r="U393" i="1"/>
  <c r="BB393" i="1"/>
  <c r="BD393" i="1"/>
  <c r="CE393" i="1"/>
  <c r="A394" i="1"/>
  <c r="C394" i="1"/>
  <c r="E394" i="1"/>
  <c r="S394" i="1"/>
  <c r="T394" i="1"/>
  <c r="U394" i="1"/>
  <c r="BB394" i="1"/>
  <c r="BD394" i="1"/>
  <c r="CE394" i="1"/>
  <c r="A395" i="1"/>
  <c r="C395" i="1"/>
  <c r="E395" i="1"/>
  <c r="S395" i="1"/>
  <c r="T395" i="1"/>
  <c r="U395" i="1"/>
  <c r="BB395" i="1"/>
  <c r="BD395" i="1"/>
  <c r="CE395" i="1"/>
  <c r="A396" i="1"/>
  <c r="C396" i="1"/>
  <c r="E396" i="1"/>
  <c r="S396" i="1"/>
  <c r="T396" i="1"/>
  <c r="U396" i="1"/>
  <c r="BB396" i="1"/>
  <c r="BD396" i="1"/>
  <c r="CE396" i="1"/>
  <c r="A397" i="1"/>
  <c r="C397" i="1"/>
  <c r="E397" i="1"/>
  <c r="S397" i="1"/>
  <c r="T397" i="1"/>
  <c r="U397" i="1"/>
  <c r="BB397" i="1"/>
  <c r="BD397" i="1"/>
  <c r="CE397" i="1"/>
  <c r="A398" i="1"/>
  <c r="C398" i="1"/>
  <c r="E398" i="1"/>
  <c r="S398" i="1"/>
  <c r="T398" i="1"/>
  <c r="U398" i="1"/>
  <c r="BB398" i="1"/>
  <c r="BD398" i="1"/>
  <c r="CE398" i="1"/>
  <c r="A399" i="1"/>
  <c r="C399" i="1"/>
  <c r="E399" i="1"/>
  <c r="S399" i="1"/>
  <c r="T399" i="1"/>
  <c r="U399" i="1"/>
  <c r="BB399" i="1"/>
  <c r="BD399" i="1"/>
  <c r="CE399" i="1"/>
  <c r="A400" i="1"/>
  <c r="C400" i="1"/>
  <c r="E400" i="1"/>
  <c r="S400" i="1"/>
  <c r="T400" i="1"/>
  <c r="U400" i="1"/>
  <c r="BB400" i="1"/>
  <c r="BD400" i="1"/>
  <c r="CE400" i="1"/>
  <c r="A401" i="1"/>
  <c r="C401" i="1"/>
  <c r="E401" i="1"/>
  <c r="S401" i="1"/>
  <c r="T401" i="1"/>
  <c r="U401" i="1"/>
  <c r="BB401" i="1"/>
  <c r="BD401" i="1"/>
  <c r="CE401" i="1"/>
  <c r="A402" i="1"/>
  <c r="C402" i="1"/>
  <c r="E402" i="1"/>
  <c r="S402" i="1"/>
  <c r="T402" i="1"/>
  <c r="U402" i="1"/>
  <c r="BB402" i="1"/>
  <c r="BD402" i="1"/>
  <c r="CE402" i="1"/>
  <c r="A403" i="1"/>
  <c r="C403" i="1"/>
  <c r="E403" i="1"/>
  <c r="S403" i="1"/>
  <c r="T403" i="1"/>
  <c r="U403" i="1"/>
  <c r="BB403" i="1"/>
  <c r="BD403" i="1"/>
  <c r="CE403" i="1"/>
  <c r="A404" i="1"/>
  <c r="C404" i="1"/>
  <c r="E404" i="1"/>
  <c r="S404" i="1"/>
  <c r="T404" i="1"/>
  <c r="U404" i="1"/>
  <c r="BB404" i="1"/>
  <c r="BD404" i="1"/>
  <c r="CE404" i="1"/>
  <c r="A405" i="1"/>
  <c r="C405" i="1"/>
  <c r="E405" i="1"/>
  <c r="S405" i="1"/>
  <c r="T405" i="1"/>
  <c r="U405" i="1"/>
  <c r="BB405" i="1"/>
  <c r="BD405" i="1"/>
  <c r="CE405" i="1"/>
  <c r="A406" i="1"/>
  <c r="C406" i="1"/>
  <c r="E406" i="1"/>
  <c r="S406" i="1"/>
  <c r="T406" i="1"/>
  <c r="U406" i="1"/>
  <c r="BB406" i="1"/>
  <c r="BD406" i="1"/>
  <c r="CE406" i="1"/>
  <c r="A407" i="1"/>
  <c r="C407" i="1"/>
  <c r="E407" i="1"/>
  <c r="S407" i="1"/>
  <c r="T407" i="1"/>
  <c r="U407" i="1"/>
  <c r="BB407" i="1"/>
  <c r="BD407" i="1"/>
  <c r="CE407" i="1"/>
  <c r="A408" i="1"/>
  <c r="C408" i="1"/>
  <c r="E408" i="1"/>
  <c r="S408" i="1"/>
  <c r="T408" i="1"/>
  <c r="U408" i="1"/>
  <c r="BB408" i="1"/>
  <c r="BD408" i="1"/>
  <c r="CE408" i="1"/>
  <c r="A409" i="1"/>
  <c r="C409" i="1"/>
  <c r="E409" i="1"/>
  <c r="S409" i="1"/>
  <c r="T409" i="1"/>
  <c r="U409" i="1"/>
  <c r="BB409" i="1"/>
  <c r="BD409" i="1"/>
  <c r="CE409" i="1"/>
  <c r="A410" i="1"/>
  <c r="C410" i="1"/>
  <c r="E410" i="1"/>
  <c r="S410" i="1"/>
  <c r="T410" i="1"/>
  <c r="U410" i="1"/>
  <c r="BB410" i="1"/>
  <c r="BD410" i="1"/>
  <c r="CE410" i="1"/>
  <c r="A411" i="1"/>
  <c r="C411" i="1"/>
  <c r="E411" i="1"/>
  <c r="S411" i="1"/>
  <c r="T411" i="1"/>
  <c r="U411" i="1"/>
  <c r="BB411" i="1"/>
  <c r="BD411" i="1"/>
  <c r="CE411" i="1"/>
  <c r="A412" i="1"/>
  <c r="C412" i="1"/>
  <c r="E412" i="1"/>
  <c r="S412" i="1"/>
  <c r="T412" i="1"/>
  <c r="U412" i="1"/>
  <c r="BB412" i="1"/>
  <c r="BD412" i="1"/>
  <c r="CE412" i="1"/>
  <c r="A413" i="1"/>
  <c r="C413" i="1"/>
  <c r="E413" i="1"/>
  <c r="S413" i="1"/>
  <c r="T413" i="1"/>
  <c r="U413" i="1"/>
  <c r="BB413" i="1"/>
  <c r="BD413" i="1"/>
  <c r="CE413" i="1"/>
  <c r="A414" i="1"/>
  <c r="C414" i="1"/>
  <c r="E414" i="1"/>
  <c r="S414" i="1"/>
  <c r="T414" i="1"/>
  <c r="U414" i="1"/>
  <c r="BB414" i="1"/>
  <c r="BD414" i="1"/>
  <c r="CE414" i="1"/>
  <c r="A415" i="1"/>
  <c r="C415" i="1"/>
  <c r="E415" i="1"/>
  <c r="S415" i="1"/>
  <c r="T415" i="1"/>
  <c r="U415" i="1"/>
  <c r="BB415" i="1"/>
  <c r="BD415" i="1"/>
  <c r="CE415" i="1"/>
  <c r="A416" i="1"/>
  <c r="C416" i="1"/>
  <c r="E416" i="1"/>
  <c r="S416" i="1"/>
  <c r="T416" i="1"/>
  <c r="U416" i="1"/>
  <c r="BB416" i="1"/>
  <c r="BD416" i="1"/>
  <c r="CE416" i="1"/>
  <c r="A417" i="1"/>
  <c r="C417" i="1"/>
  <c r="E417" i="1"/>
  <c r="S417" i="1"/>
  <c r="T417" i="1"/>
  <c r="U417" i="1"/>
  <c r="BB417" i="1"/>
  <c r="BD417" i="1"/>
  <c r="CE417" i="1"/>
  <c r="A418" i="1"/>
  <c r="C418" i="1"/>
  <c r="E418" i="1"/>
  <c r="S418" i="1"/>
  <c r="T418" i="1"/>
  <c r="U418" i="1"/>
  <c r="BB418" i="1"/>
  <c r="BD418" i="1"/>
  <c r="CE418" i="1"/>
  <c r="A419" i="1"/>
  <c r="C419" i="1"/>
  <c r="E419" i="1"/>
  <c r="S419" i="1"/>
  <c r="T419" i="1"/>
  <c r="U419" i="1"/>
  <c r="BB419" i="1"/>
  <c r="BD419" i="1"/>
  <c r="CE419" i="1"/>
  <c r="A420" i="1"/>
  <c r="C420" i="1"/>
  <c r="E420" i="1"/>
  <c r="S420" i="1"/>
  <c r="T420" i="1"/>
  <c r="U420" i="1"/>
  <c r="BB420" i="1"/>
  <c r="BD420" i="1"/>
  <c r="CE420" i="1"/>
  <c r="A421" i="1"/>
  <c r="C421" i="1"/>
  <c r="E421" i="1"/>
  <c r="S421" i="1"/>
  <c r="T421" i="1"/>
  <c r="U421" i="1"/>
  <c r="BB421" i="1"/>
  <c r="BD421" i="1"/>
  <c r="CE421" i="1"/>
  <c r="A422" i="1"/>
  <c r="C422" i="1"/>
  <c r="E422" i="1"/>
  <c r="S422" i="1"/>
  <c r="T422" i="1"/>
  <c r="U422" i="1"/>
  <c r="BB422" i="1"/>
  <c r="BD422" i="1"/>
  <c r="CE422" i="1"/>
  <c r="A423" i="1"/>
  <c r="C423" i="1"/>
  <c r="E423" i="1"/>
  <c r="S423" i="1"/>
  <c r="T423" i="1"/>
  <c r="U423" i="1"/>
  <c r="BB423" i="1"/>
  <c r="BD423" i="1"/>
  <c r="CE423" i="1"/>
  <c r="A424" i="1"/>
  <c r="C424" i="1"/>
  <c r="E424" i="1"/>
  <c r="S424" i="1"/>
  <c r="T424" i="1"/>
  <c r="U424" i="1"/>
  <c r="BB424" i="1"/>
  <c r="BD424" i="1"/>
  <c r="CE424" i="1"/>
  <c r="A425" i="1"/>
  <c r="C425" i="1"/>
  <c r="E425" i="1"/>
  <c r="S425" i="1"/>
  <c r="T425" i="1"/>
  <c r="U425" i="1"/>
  <c r="BB425" i="1"/>
  <c r="BD425" i="1"/>
  <c r="CE425" i="1"/>
  <c r="A426" i="1"/>
  <c r="C426" i="1"/>
  <c r="E426" i="1"/>
  <c r="S426" i="1"/>
  <c r="T426" i="1"/>
  <c r="U426" i="1"/>
  <c r="BB426" i="1"/>
  <c r="BD426" i="1"/>
  <c r="CE426" i="1"/>
  <c r="A427" i="1"/>
  <c r="C427" i="1"/>
  <c r="E427" i="1"/>
  <c r="S427" i="1"/>
  <c r="T427" i="1"/>
  <c r="U427" i="1"/>
  <c r="BB427" i="1"/>
  <c r="BD427" i="1"/>
  <c r="CE427" i="1"/>
  <c r="A428" i="1"/>
  <c r="C428" i="1"/>
  <c r="E428" i="1"/>
  <c r="S428" i="1"/>
  <c r="T428" i="1"/>
  <c r="U428" i="1"/>
  <c r="BB428" i="1"/>
  <c r="BD428" i="1"/>
  <c r="CE428" i="1"/>
  <c r="A429" i="1"/>
  <c r="C429" i="1"/>
  <c r="E429" i="1"/>
  <c r="S429" i="1"/>
  <c r="T429" i="1"/>
  <c r="U429" i="1"/>
  <c r="BB429" i="1"/>
  <c r="BD429" i="1"/>
  <c r="CE429" i="1"/>
  <c r="A430" i="1"/>
  <c r="C430" i="1"/>
  <c r="E430" i="1"/>
  <c r="S430" i="1"/>
  <c r="T430" i="1"/>
  <c r="U430" i="1"/>
  <c r="BB430" i="1"/>
  <c r="BD430" i="1"/>
  <c r="CE430" i="1"/>
  <c r="A431" i="1"/>
  <c r="C431" i="1"/>
  <c r="E431" i="1"/>
  <c r="S431" i="1"/>
  <c r="T431" i="1"/>
  <c r="U431" i="1"/>
  <c r="BB431" i="1"/>
  <c r="BD431" i="1"/>
  <c r="CE431" i="1"/>
  <c r="A432" i="1"/>
  <c r="C432" i="1"/>
  <c r="E432" i="1"/>
  <c r="S432" i="1"/>
  <c r="T432" i="1"/>
  <c r="U432" i="1"/>
  <c r="BB432" i="1"/>
  <c r="BD432" i="1"/>
  <c r="CE432" i="1"/>
  <c r="A433" i="1"/>
  <c r="C433" i="1"/>
  <c r="E433" i="1"/>
  <c r="S433" i="1"/>
  <c r="T433" i="1"/>
  <c r="U433" i="1"/>
  <c r="BB433" i="1"/>
  <c r="BD433" i="1"/>
  <c r="CE433" i="1"/>
  <c r="A434" i="1"/>
  <c r="C434" i="1"/>
  <c r="E434" i="1"/>
  <c r="S434" i="1"/>
  <c r="T434" i="1"/>
  <c r="U434" i="1"/>
  <c r="BB434" i="1"/>
  <c r="BD434" i="1"/>
  <c r="CE434" i="1"/>
  <c r="A435" i="1"/>
  <c r="C435" i="1"/>
  <c r="E435" i="1"/>
  <c r="S435" i="1"/>
  <c r="T435" i="1"/>
  <c r="U435" i="1"/>
  <c r="BB435" i="1"/>
  <c r="BD435" i="1"/>
  <c r="CE435" i="1"/>
  <c r="A436" i="1"/>
  <c r="C436" i="1"/>
  <c r="E436" i="1"/>
  <c r="S436" i="1"/>
  <c r="T436" i="1"/>
  <c r="U436" i="1"/>
  <c r="BB436" i="1"/>
  <c r="BD436" i="1"/>
  <c r="CE436" i="1"/>
  <c r="A437" i="1"/>
  <c r="C437" i="1"/>
  <c r="E437" i="1"/>
  <c r="S437" i="1"/>
  <c r="T437" i="1"/>
  <c r="U437" i="1"/>
  <c r="BB437" i="1"/>
  <c r="BD437" i="1"/>
  <c r="CE437" i="1"/>
  <c r="A438" i="1"/>
  <c r="C438" i="1"/>
  <c r="E438" i="1"/>
  <c r="S438" i="1"/>
  <c r="T438" i="1"/>
  <c r="U438" i="1"/>
  <c r="BB438" i="1"/>
  <c r="BD438" i="1"/>
  <c r="CE438" i="1"/>
  <c r="A439" i="1"/>
  <c r="C439" i="1"/>
  <c r="E439" i="1"/>
  <c r="S439" i="1"/>
  <c r="T439" i="1"/>
  <c r="U439" i="1"/>
  <c r="BB439" i="1"/>
  <c r="BD439" i="1"/>
  <c r="CE439" i="1"/>
  <c r="A440" i="1"/>
  <c r="C440" i="1"/>
  <c r="E440" i="1"/>
  <c r="S440" i="1"/>
  <c r="T440" i="1"/>
  <c r="U440" i="1"/>
  <c r="BB440" i="1"/>
  <c r="BD440" i="1"/>
  <c r="CE440" i="1"/>
  <c r="A441" i="1"/>
  <c r="C441" i="1"/>
  <c r="E441" i="1"/>
  <c r="S441" i="1"/>
  <c r="T441" i="1"/>
  <c r="U441" i="1"/>
  <c r="BB441" i="1"/>
  <c r="BD441" i="1"/>
  <c r="CE441" i="1"/>
  <c r="A442" i="1"/>
  <c r="C442" i="1"/>
  <c r="E442" i="1"/>
  <c r="S442" i="1"/>
  <c r="T442" i="1"/>
  <c r="U442" i="1"/>
  <c r="BB442" i="1"/>
  <c r="BD442" i="1"/>
  <c r="CE442" i="1"/>
  <c r="A443" i="1"/>
  <c r="C443" i="1"/>
  <c r="E443" i="1"/>
  <c r="S443" i="1"/>
  <c r="T443" i="1"/>
  <c r="U443" i="1"/>
  <c r="BB443" i="1"/>
  <c r="BD443" i="1"/>
  <c r="CE443" i="1"/>
  <c r="A444" i="1"/>
  <c r="C444" i="1"/>
  <c r="E444" i="1"/>
  <c r="S444" i="1"/>
  <c r="T444" i="1"/>
  <c r="U444" i="1"/>
  <c r="BB444" i="1"/>
  <c r="BD444" i="1"/>
  <c r="CE444" i="1"/>
  <c r="A445" i="1"/>
  <c r="C445" i="1"/>
  <c r="E445" i="1"/>
  <c r="S445" i="1"/>
  <c r="T445" i="1"/>
  <c r="U445" i="1"/>
  <c r="BB445" i="1"/>
  <c r="BD445" i="1"/>
  <c r="CE445" i="1"/>
  <c r="A446" i="1"/>
  <c r="C446" i="1"/>
  <c r="E446" i="1"/>
  <c r="S446" i="1"/>
  <c r="T446" i="1"/>
  <c r="U446" i="1"/>
  <c r="BB446" i="1"/>
  <c r="BD446" i="1"/>
  <c r="CE446" i="1"/>
  <c r="A447" i="1"/>
  <c r="C447" i="1"/>
  <c r="E447" i="1"/>
  <c r="S447" i="1"/>
  <c r="T447" i="1"/>
  <c r="U447" i="1"/>
  <c r="BB447" i="1"/>
  <c r="BD447" i="1"/>
  <c r="CE447" i="1"/>
  <c r="A448" i="1"/>
  <c r="C448" i="1"/>
  <c r="E448" i="1"/>
  <c r="S448" i="1"/>
  <c r="T448" i="1"/>
  <c r="U448" i="1"/>
  <c r="BB448" i="1"/>
  <c r="BD448" i="1"/>
  <c r="CE448" i="1"/>
  <c r="A449" i="1"/>
  <c r="C449" i="1"/>
  <c r="E449" i="1"/>
  <c r="S449" i="1"/>
  <c r="T449" i="1"/>
  <c r="U449" i="1"/>
  <c r="BB449" i="1"/>
  <c r="BD449" i="1"/>
  <c r="CE449" i="1"/>
  <c r="A450" i="1"/>
  <c r="C450" i="1"/>
  <c r="E450" i="1"/>
  <c r="S450" i="1"/>
  <c r="T450" i="1"/>
  <c r="U450" i="1"/>
  <c r="BB450" i="1"/>
  <c r="BD450" i="1"/>
  <c r="CE450" i="1"/>
  <c r="A451" i="1"/>
  <c r="C451" i="1"/>
  <c r="E451" i="1"/>
  <c r="S451" i="1"/>
  <c r="T451" i="1"/>
  <c r="U451" i="1"/>
  <c r="BB451" i="1"/>
  <c r="BD451" i="1"/>
  <c r="CE451" i="1"/>
  <c r="A452" i="1"/>
  <c r="C452" i="1"/>
  <c r="E452" i="1"/>
  <c r="S452" i="1"/>
  <c r="T452" i="1"/>
  <c r="U452" i="1"/>
  <c r="BB452" i="1"/>
  <c r="BD452" i="1"/>
  <c r="CE452" i="1"/>
  <c r="A453" i="1"/>
  <c r="C453" i="1"/>
  <c r="E453" i="1"/>
  <c r="S453" i="1"/>
  <c r="T453" i="1"/>
  <c r="U453" i="1"/>
  <c r="BB453" i="1"/>
  <c r="BD453" i="1"/>
  <c r="CE453" i="1"/>
  <c r="A454" i="1"/>
  <c r="C454" i="1"/>
  <c r="E454" i="1"/>
  <c r="S454" i="1"/>
  <c r="T454" i="1"/>
  <c r="U454" i="1"/>
  <c r="BB454" i="1"/>
  <c r="BD454" i="1"/>
  <c r="CE454" i="1"/>
  <c r="A455" i="1"/>
  <c r="C455" i="1"/>
  <c r="E455" i="1"/>
  <c r="S455" i="1"/>
  <c r="T455" i="1"/>
  <c r="U455" i="1"/>
  <c r="BB455" i="1"/>
  <c r="BD455" i="1"/>
  <c r="CE455" i="1"/>
  <c r="A456" i="1"/>
  <c r="C456" i="1"/>
  <c r="E456" i="1"/>
  <c r="S456" i="1"/>
  <c r="T456" i="1"/>
  <c r="U456" i="1"/>
  <c r="BB456" i="1"/>
  <c r="BD456" i="1"/>
  <c r="CE456" i="1"/>
  <c r="A457" i="1"/>
  <c r="C457" i="1"/>
  <c r="E457" i="1"/>
  <c r="S457" i="1"/>
  <c r="T457" i="1"/>
  <c r="U457" i="1"/>
  <c r="BB457" i="1"/>
  <c r="BD457" i="1"/>
  <c r="CE457" i="1"/>
  <c r="A458" i="1"/>
  <c r="C458" i="1"/>
  <c r="E458" i="1"/>
  <c r="S458" i="1"/>
  <c r="T458" i="1"/>
  <c r="U458" i="1"/>
  <c r="BB458" i="1"/>
  <c r="BD458" i="1"/>
  <c r="CE458" i="1"/>
  <c r="A459" i="1"/>
  <c r="C459" i="1"/>
  <c r="E459" i="1"/>
  <c r="S459" i="1"/>
  <c r="T459" i="1"/>
  <c r="U459" i="1"/>
  <c r="BB459" i="1"/>
  <c r="BD459" i="1"/>
  <c r="CE459" i="1"/>
  <c r="A460" i="1"/>
  <c r="C460" i="1"/>
  <c r="E460" i="1"/>
  <c r="S460" i="1"/>
  <c r="T460" i="1"/>
  <c r="U460" i="1"/>
  <c r="BB460" i="1"/>
  <c r="BD460" i="1"/>
  <c r="CE460" i="1"/>
  <c r="A461" i="1"/>
  <c r="C461" i="1"/>
  <c r="E461" i="1"/>
  <c r="S461" i="1"/>
  <c r="T461" i="1"/>
  <c r="U461" i="1"/>
  <c r="BB461" i="1"/>
  <c r="BD461" i="1"/>
  <c r="CE461" i="1"/>
  <c r="A462" i="1"/>
  <c r="C462" i="1"/>
  <c r="E462" i="1"/>
  <c r="S462" i="1"/>
  <c r="T462" i="1"/>
  <c r="U462" i="1"/>
  <c r="BB462" i="1"/>
  <c r="BD462" i="1"/>
  <c r="CE462" i="1"/>
  <c r="A463" i="1"/>
  <c r="C463" i="1"/>
  <c r="E463" i="1"/>
  <c r="S463" i="1"/>
  <c r="T463" i="1"/>
  <c r="U463" i="1"/>
  <c r="BB463" i="1"/>
  <c r="BD463" i="1"/>
  <c r="CE463" i="1"/>
  <c r="A464" i="1"/>
  <c r="C464" i="1"/>
  <c r="E464" i="1"/>
  <c r="S464" i="1"/>
  <c r="T464" i="1"/>
  <c r="U464" i="1"/>
  <c r="BB464" i="1"/>
  <c r="BD464" i="1"/>
  <c r="CE464" i="1"/>
  <c r="A465" i="1"/>
  <c r="C465" i="1"/>
  <c r="E465" i="1"/>
  <c r="S465" i="1"/>
  <c r="T465" i="1"/>
  <c r="U465" i="1"/>
  <c r="BB465" i="1"/>
  <c r="BD465" i="1"/>
  <c r="CE465" i="1"/>
  <c r="A466" i="1"/>
  <c r="C466" i="1"/>
  <c r="E466" i="1"/>
  <c r="S466" i="1"/>
  <c r="T466" i="1"/>
  <c r="U466" i="1"/>
  <c r="BB466" i="1"/>
  <c r="BD466" i="1"/>
  <c r="CE466" i="1"/>
  <c r="A467" i="1"/>
  <c r="C467" i="1"/>
  <c r="E467" i="1"/>
  <c r="S467" i="1"/>
  <c r="T467" i="1"/>
  <c r="U467" i="1"/>
  <c r="BB467" i="1"/>
  <c r="BD467" i="1"/>
  <c r="CE467" i="1"/>
  <c r="A468" i="1"/>
  <c r="C468" i="1"/>
  <c r="E468" i="1"/>
  <c r="S468" i="1"/>
  <c r="T468" i="1"/>
  <c r="U468" i="1"/>
  <c r="BB468" i="1"/>
  <c r="BD468" i="1"/>
  <c r="CE468" i="1"/>
  <c r="A469" i="1"/>
  <c r="C469" i="1"/>
  <c r="E469" i="1"/>
  <c r="S469" i="1"/>
  <c r="T469" i="1"/>
  <c r="U469" i="1"/>
  <c r="BB469" i="1"/>
  <c r="BD469" i="1"/>
  <c r="CE469" i="1"/>
  <c r="A470" i="1"/>
  <c r="C470" i="1"/>
  <c r="E470" i="1"/>
  <c r="S470" i="1"/>
  <c r="T470" i="1"/>
  <c r="U470" i="1"/>
  <c r="BB470" i="1"/>
  <c r="BD470" i="1"/>
  <c r="CE470" i="1"/>
  <c r="A471" i="1"/>
  <c r="C471" i="1"/>
  <c r="E471" i="1"/>
  <c r="S471" i="1"/>
  <c r="T471" i="1"/>
  <c r="U471" i="1"/>
  <c r="BB471" i="1"/>
  <c r="BD471" i="1"/>
  <c r="CE471" i="1"/>
  <c r="A472" i="1"/>
  <c r="C472" i="1"/>
  <c r="E472" i="1"/>
  <c r="S472" i="1"/>
  <c r="T472" i="1"/>
  <c r="U472" i="1"/>
  <c r="BB472" i="1"/>
  <c r="BD472" i="1"/>
  <c r="CE472" i="1"/>
  <c r="A473" i="1"/>
  <c r="C473" i="1"/>
  <c r="E473" i="1"/>
  <c r="S473" i="1"/>
  <c r="T473" i="1"/>
  <c r="U473" i="1"/>
  <c r="BB473" i="1"/>
  <c r="BD473" i="1"/>
  <c r="CE473" i="1"/>
  <c r="A474" i="1"/>
  <c r="C474" i="1"/>
  <c r="E474" i="1"/>
  <c r="S474" i="1"/>
  <c r="T474" i="1"/>
  <c r="U474" i="1"/>
  <c r="BB474" i="1"/>
  <c r="BD474" i="1"/>
  <c r="CE474" i="1"/>
  <c r="A475" i="1"/>
  <c r="C475" i="1"/>
  <c r="E475" i="1"/>
  <c r="S475" i="1"/>
  <c r="T475" i="1"/>
  <c r="U475" i="1"/>
  <c r="BB475" i="1"/>
  <c r="BD475" i="1"/>
  <c r="CE475" i="1"/>
  <c r="A476" i="1"/>
  <c r="C476" i="1"/>
  <c r="E476" i="1"/>
  <c r="S476" i="1"/>
  <c r="T476" i="1"/>
  <c r="U476" i="1"/>
  <c r="BB476" i="1"/>
  <c r="BD476" i="1"/>
  <c r="CE476" i="1"/>
  <c r="A477" i="1"/>
  <c r="C477" i="1"/>
  <c r="E477" i="1"/>
  <c r="S477" i="1"/>
  <c r="T477" i="1"/>
  <c r="U477" i="1"/>
  <c r="BB477" i="1"/>
  <c r="BD477" i="1"/>
  <c r="CE477" i="1"/>
  <c r="A478" i="1"/>
  <c r="C478" i="1"/>
  <c r="E478" i="1"/>
  <c r="S478" i="1"/>
  <c r="T478" i="1"/>
  <c r="U478" i="1"/>
  <c r="BB478" i="1"/>
  <c r="BD478" i="1"/>
  <c r="CE478" i="1"/>
  <c r="A479" i="1"/>
  <c r="C479" i="1"/>
  <c r="E479" i="1"/>
  <c r="S479" i="1"/>
  <c r="T479" i="1"/>
  <c r="U479" i="1"/>
  <c r="BB479" i="1"/>
  <c r="BD479" i="1"/>
  <c r="CE479" i="1"/>
  <c r="A480" i="1"/>
  <c r="C480" i="1"/>
  <c r="E480" i="1"/>
  <c r="S480" i="1"/>
  <c r="T480" i="1"/>
  <c r="U480" i="1"/>
  <c r="BB480" i="1"/>
  <c r="BD480" i="1"/>
  <c r="CE480" i="1"/>
  <c r="A481" i="1"/>
  <c r="C481" i="1"/>
  <c r="E481" i="1"/>
  <c r="S481" i="1"/>
  <c r="T481" i="1"/>
  <c r="U481" i="1"/>
  <c r="BB481" i="1"/>
  <c r="BD481" i="1"/>
  <c r="CE481" i="1"/>
  <c r="A482" i="1"/>
  <c r="C482" i="1"/>
  <c r="E482" i="1"/>
  <c r="S482" i="1"/>
  <c r="T482" i="1"/>
  <c r="U482" i="1"/>
  <c r="BB482" i="1"/>
  <c r="BD482" i="1"/>
  <c r="CE482" i="1"/>
  <c r="A483" i="1"/>
  <c r="C483" i="1"/>
  <c r="E483" i="1"/>
  <c r="S483" i="1"/>
  <c r="T483" i="1"/>
  <c r="U483" i="1"/>
  <c r="BB483" i="1"/>
  <c r="BD483" i="1"/>
  <c r="CE483" i="1"/>
  <c r="A484" i="1"/>
  <c r="C484" i="1"/>
  <c r="E484" i="1"/>
  <c r="S484" i="1"/>
  <c r="T484" i="1"/>
  <c r="U484" i="1"/>
  <c r="BB484" i="1"/>
  <c r="BD484" i="1"/>
  <c r="CE484" i="1"/>
  <c r="A485" i="1"/>
  <c r="C485" i="1"/>
  <c r="E485" i="1"/>
  <c r="S485" i="1"/>
  <c r="T485" i="1"/>
  <c r="U485" i="1"/>
  <c r="BB485" i="1"/>
  <c r="BD485" i="1"/>
  <c r="CE485" i="1"/>
  <c r="A486" i="1"/>
  <c r="C486" i="1"/>
  <c r="E486" i="1"/>
  <c r="S486" i="1"/>
  <c r="T486" i="1"/>
  <c r="U486" i="1"/>
  <c r="BB486" i="1"/>
  <c r="BD486" i="1"/>
  <c r="CE486" i="1"/>
  <c r="A487" i="1"/>
  <c r="C487" i="1"/>
  <c r="E487" i="1"/>
  <c r="S487" i="1"/>
  <c r="T487" i="1"/>
  <c r="U487" i="1"/>
  <c r="BB487" i="1"/>
  <c r="BD487" i="1"/>
  <c r="CE487" i="1"/>
  <c r="A488" i="1"/>
  <c r="C488" i="1"/>
  <c r="E488" i="1"/>
  <c r="S488" i="1"/>
  <c r="T488" i="1"/>
  <c r="U488" i="1"/>
  <c r="BB488" i="1"/>
  <c r="BD488" i="1"/>
  <c r="CE488" i="1"/>
  <c r="A489" i="1"/>
  <c r="C489" i="1"/>
  <c r="E489" i="1"/>
  <c r="S489" i="1"/>
  <c r="T489" i="1"/>
  <c r="U489" i="1"/>
  <c r="BB489" i="1"/>
  <c r="BD489" i="1"/>
  <c r="CE489" i="1"/>
  <c r="A490" i="1"/>
  <c r="C490" i="1"/>
  <c r="E490" i="1"/>
  <c r="S490" i="1"/>
  <c r="T490" i="1"/>
  <c r="U490" i="1"/>
  <c r="BB490" i="1"/>
  <c r="BD490" i="1"/>
  <c r="CE490" i="1"/>
  <c r="A491" i="1"/>
  <c r="C491" i="1"/>
  <c r="E491" i="1"/>
  <c r="S491" i="1"/>
  <c r="T491" i="1"/>
  <c r="U491" i="1"/>
  <c r="BB491" i="1"/>
  <c r="BD491" i="1"/>
  <c r="CE491" i="1"/>
  <c r="A492" i="1"/>
  <c r="C492" i="1"/>
  <c r="E492" i="1"/>
  <c r="S492" i="1"/>
  <c r="T492" i="1"/>
  <c r="U492" i="1"/>
  <c r="BB492" i="1"/>
  <c r="BD492" i="1"/>
  <c r="CE492" i="1"/>
  <c r="A493" i="1"/>
  <c r="C493" i="1"/>
  <c r="E493" i="1"/>
  <c r="S493" i="1"/>
  <c r="T493" i="1"/>
  <c r="U493" i="1"/>
  <c r="BB493" i="1"/>
  <c r="BD493" i="1"/>
  <c r="CE493" i="1"/>
  <c r="A494" i="1"/>
  <c r="C494" i="1"/>
  <c r="E494" i="1"/>
  <c r="S494" i="1"/>
  <c r="T494" i="1"/>
  <c r="U494" i="1"/>
  <c r="BB494" i="1"/>
  <c r="BD494" i="1"/>
  <c r="CE494" i="1"/>
  <c r="A495" i="1"/>
  <c r="C495" i="1"/>
  <c r="E495" i="1"/>
  <c r="S495" i="1"/>
  <c r="T495" i="1"/>
  <c r="U495" i="1"/>
  <c r="BB495" i="1"/>
  <c r="BD495" i="1"/>
  <c r="CE495" i="1"/>
  <c r="A496" i="1"/>
  <c r="C496" i="1"/>
  <c r="E496" i="1"/>
  <c r="S496" i="1"/>
  <c r="T496" i="1"/>
  <c r="U496" i="1"/>
  <c r="BB496" i="1"/>
  <c r="BD496" i="1"/>
  <c r="CE496" i="1"/>
  <c r="A497" i="1"/>
  <c r="C497" i="1"/>
  <c r="E497" i="1"/>
  <c r="S497" i="1"/>
  <c r="T497" i="1"/>
  <c r="U497" i="1"/>
  <c r="BB497" i="1"/>
  <c r="BD497" i="1"/>
  <c r="CE497" i="1"/>
  <c r="A498" i="1"/>
  <c r="C498" i="1"/>
  <c r="E498" i="1"/>
  <c r="S498" i="1"/>
  <c r="T498" i="1"/>
  <c r="U498" i="1"/>
  <c r="BB498" i="1"/>
  <c r="BD498" i="1"/>
  <c r="CE498" i="1"/>
  <c r="A499" i="1"/>
  <c r="C499" i="1"/>
  <c r="E499" i="1"/>
  <c r="S499" i="1"/>
  <c r="T499" i="1"/>
  <c r="U499" i="1"/>
  <c r="BB499" i="1"/>
  <c r="BD499" i="1"/>
  <c r="CE499" i="1"/>
  <c r="A500" i="1"/>
  <c r="C500" i="1"/>
  <c r="E500" i="1"/>
  <c r="S500" i="1"/>
  <c r="T500" i="1"/>
  <c r="U500" i="1"/>
  <c r="BB500" i="1"/>
  <c r="BD500" i="1"/>
  <c r="CE500" i="1"/>
  <c r="A501" i="1"/>
  <c r="C501" i="1"/>
  <c r="E501" i="1"/>
  <c r="S501" i="1"/>
  <c r="T501" i="1"/>
  <c r="U501" i="1"/>
  <c r="BB501" i="1"/>
  <c r="BD501" i="1"/>
  <c r="CE501" i="1"/>
  <c r="A502" i="1"/>
  <c r="C502" i="1"/>
  <c r="E502" i="1"/>
  <c r="S502" i="1"/>
  <c r="T502" i="1"/>
  <c r="U502" i="1"/>
  <c r="BB502" i="1"/>
  <c r="BD502" i="1"/>
  <c r="CE502" i="1"/>
  <c r="A503" i="1"/>
  <c r="C503" i="1"/>
  <c r="E503" i="1"/>
  <c r="S503" i="1"/>
  <c r="T503" i="1"/>
  <c r="U503" i="1"/>
  <c r="BB503" i="1"/>
  <c r="BD503" i="1"/>
  <c r="CE503" i="1"/>
  <c r="A504" i="1"/>
  <c r="C504" i="1"/>
  <c r="E504" i="1"/>
  <c r="S504" i="1"/>
  <c r="T504" i="1"/>
  <c r="U504" i="1"/>
  <c r="BB504" i="1"/>
  <c r="BD504" i="1"/>
  <c r="CE504" i="1"/>
  <c r="A505" i="1"/>
  <c r="C505" i="1"/>
  <c r="E505" i="1"/>
  <c r="S505" i="1"/>
  <c r="T505" i="1"/>
  <c r="U505" i="1"/>
  <c r="BB505" i="1"/>
  <c r="BD505" i="1"/>
  <c r="CE505" i="1"/>
  <c r="A506" i="1"/>
  <c r="C506" i="1"/>
  <c r="E506" i="1"/>
  <c r="S506" i="1"/>
  <c r="T506" i="1"/>
  <c r="U506" i="1"/>
  <c r="BB506" i="1"/>
  <c r="BD506" i="1"/>
  <c r="CE506" i="1"/>
  <c r="A507" i="1"/>
  <c r="C507" i="1"/>
  <c r="E507" i="1"/>
  <c r="S507" i="1"/>
  <c r="T507" i="1"/>
  <c r="U507" i="1"/>
  <c r="BB507" i="1"/>
  <c r="BD507" i="1"/>
  <c r="CE507" i="1"/>
  <c r="A508" i="1"/>
  <c r="C508" i="1"/>
  <c r="E508" i="1"/>
  <c r="S508" i="1"/>
  <c r="T508" i="1"/>
  <c r="U508" i="1"/>
  <c r="BB508" i="1"/>
  <c r="BD508" i="1"/>
  <c r="CE508" i="1"/>
  <c r="A509" i="1"/>
  <c r="C509" i="1"/>
  <c r="E509" i="1"/>
  <c r="S509" i="1"/>
  <c r="T509" i="1"/>
  <c r="U509" i="1"/>
  <c r="BB509" i="1"/>
  <c r="BD509" i="1"/>
  <c r="CE509" i="1"/>
  <c r="A510" i="1"/>
  <c r="C510" i="1"/>
  <c r="E510" i="1"/>
  <c r="S510" i="1"/>
  <c r="T510" i="1"/>
  <c r="U510" i="1"/>
  <c r="BB510" i="1"/>
  <c r="BD510" i="1"/>
  <c r="CE510" i="1"/>
  <c r="A511" i="1"/>
  <c r="C511" i="1"/>
  <c r="E511" i="1"/>
  <c r="S511" i="1"/>
  <c r="T511" i="1"/>
  <c r="U511" i="1"/>
  <c r="BB511" i="1"/>
  <c r="BD511" i="1"/>
  <c r="CE511" i="1"/>
  <c r="A512" i="1"/>
  <c r="C512" i="1"/>
  <c r="E512" i="1"/>
  <c r="S512" i="1"/>
  <c r="T512" i="1"/>
  <c r="U512" i="1"/>
  <c r="BB512" i="1"/>
  <c r="BD512" i="1"/>
  <c r="CE512" i="1"/>
  <c r="A513" i="1"/>
  <c r="C513" i="1"/>
  <c r="E513" i="1"/>
  <c r="S513" i="1"/>
  <c r="T513" i="1"/>
  <c r="U513" i="1"/>
  <c r="BB513" i="1"/>
  <c r="BD513" i="1"/>
  <c r="CE513" i="1"/>
  <c r="A514" i="1"/>
  <c r="C514" i="1"/>
  <c r="E514" i="1"/>
  <c r="S514" i="1"/>
  <c r="T514" i="1"/>
  <c r="U514" i="1"/>
  <c r="BB514" i="1"/>
  <c r="BD514" i="1"/>
  <c r="CE514" i="1"/>
  <c r="A515" i="1"/>
  <c r="C515" i="1"/>
  <c r="E515" i="1"/>
  <c r="S515" i="1"/>
  <c r="T515" i="1"/>
  <c r="U515" i="1"/>
  <c r="BB515" i="1"/>
  <c r="BD515" i="1"/>
  <c r="CE515" i="1"/>
  <c r="A516" i="1"/>
  <c r="C516" i="1"/>
  <c r="E516" i="1"/>
  <c r="S516" i="1"/>
  <c r="T516" i="1"/>
  <c r="U516" i="1"/>
  <c r="BB516" i="1"/>
  <c r="BD516" i="1"/>
  <c r="CE516" i="1"/>
  <c r="A517" i="1"/>
  <c r="C517" i="1"/>
  <c r="E517" i="1"/>
  <c r="S517" i="1"/>
  <c r="T517" i="1"/>
  <c r="U517" i="1"/>
  <c r="BB517" i="1"/>
  <c r="BD517" i="1"/>
  <c r="CE517" i="1"/>
  <c r="A518" i="1"/>
  <c r="C518" i="1"/>
  <c r="E518" i="1"/>
  <c r="S518" i="1"/>
  <c r="T518" i="1"/>
  <c r="U518" i="1"/>
  <c r="BB518" i="1"/>
  <c r="BD518" i="1"/>
  <c r="CE518" i="1"/>
  <c r="A519" i="1"/>
  <c r="C519" i="1"/>
  <c r="E519" i="1"/>
  <c r="S519" i="1"/>
  <c r="T519" i="1"/>
  <c r="U519" i="1"/>
  <c r="BB519" i="1"/>
  <c r="BD519" i="1"/>
  <c r="CE519" i="1"/>
  <c r="A520" i="1"/>
  <c r="C520" i="1"/>
  <c r="E520" i="1"/>
  <c r="S520" i="1"/>
  <c r="T520" i="1"/>
  <c r="U520" i="1"/>
  <c r="BB520" i="1"/>
  <c r="BD520" i="1"/>
  <c r="CE520" i="1"/>
  <c r="A521" i="1"/>
  <c r="C521" i="1"/>
  <c r="E521" i="1"/>
  <c r="S521" i="1"/>
  <c r="T521" i="1"/>
  <c r="U521" i="1"/>
  <c r="BB521" i="1"/>
  <c r="BD521" i="1"/>
  <c r="CE521" i="1"/>
  <c r="A522" i="1"/>
  <c r="C522" i="1"/>
  <c r="E522" i="1"/>
  <c r="S522" i="1"/>
  <c r="T522" i="1"/>
  <c r="U522" i="1"/>
  <c r="BB522" i="1"/>
  <c r="BD522" i="1"/>
  <c r="CE522" i="1"/>
  <c r="A523" i="1"/>
  <c r="C523" i="1"/>
  <c r="E523" i="1"/>
  <c r="S523" i="1"/>
  <c r="T523" i="1"/>
  <c r="U523" i="1"/>
  <c r="BB523" i="1"/>
  <c r="BD523" i="1"/>
  <c r="CE523" i="1"/>
  <c r="A524" i="1"/>
  <c r="C524" i="1"/>
  <c r="E524" i="1"/>
  <c r="S524" i="1"/>
  <c r="T524" i="1"/>
  <c r="U524" i="1"/>
  <c r="BB524" i="1"/>
  <c r="BD524" i="1"/>
  <c r="CE524" i="1"/>
  <c r="A525" i="1"/>
  <c r="C525" i="1"/>
  <c r="E525" i="1"/>
  <c r="S525" i="1"/>
  <c r="T525" i="1"/>
  <c r="U525" i="1"/>
  <c r="BB525" i="1"/>
  <c r="BD525" i="1"/>
  <c r="CE525" i="1"/>
  <c r="A526" i="1"/>
  <c r="C526" i="1"/>
  <c r="E526" i="1"/>
  <c r="S526" i="1"/>
  <c r="T526" i="1"/>
  <c r="U526" i="1"/>
  <c r="BB526" i="1"/>
  <c r="BD526" i="1"/>
  <c r="CE526" i="1"/>
  <c r="A527" i="1"/>
  <c r="C527" i="1"/>
  <c r="E527" i="1"/>
  <c r="S527" i="1"/>
  <c r="T527" i="1"/>
  <c r="U527" i="1"/>
  <c r="BB527" i="1"/>
  <c r="BD527" i="1"/>
  <c r="CE527" i="1"/>
  <c r="A528" i="1"/>
  <c r="C528" i="1"/>
  <c r="E528" i="1"/>
  <c r="S528" i="1"/>
  <c r="T528" i="1"/>
  <c r="U528" i="1"/>
  <c r="BB528" i="1"/>
  <c r="BD528" i="1"/>
  <c r="CE528" i="1"/>
  <c r="A529" i="1"/>
  <c r="C529" i="1"/>
  <c r="E529" i="1"/>
  <c r="S529" i="1"/>
  <c r="T529" i="1"/>
  <c r="U529" i="1"/>
  <c r="BB529" i="1"/>
  <c r="BD529" i="1"/>
  <c r="CE529" i="1"/>
  <c r="A530" i="1"/>
  <c r="C530" i="1"/>
  <c r="E530" i="1"/>
  <c r="S530" i="1"/>
  <c r="T530" i="1"/>
  <c r="U530" i="1"/>
  <c r="BB530" i="1"/>
  <c r="BD530" i="1"/>
  <c r="CE530" i="1"/>
  <c r="A531" i="1"/>
  <c r="C531" i="1"/>
  <c r="E531" i="1"/>
  <c r="S531" i="1"/>
  <c r="T531" i="1"/>
  <c r="U531" i="1"/>
  <c r="BB531" i="1"/>
  <c r="BD531" i="1"/>
  <c r="CE531" i="1"/>
  <c r="A532" i="1"/>
  <c r="C532" i="1"/>
  <c r="E532" i="1"/>
  <c r="S532" i="1"/>
  <c r="T532" i="1"/>
  <c r="U532" i="1"/>
  <c r="BB532" i="1"/>
  <c r="BD532" i="1"/>
  <c r="CE532" i="1"/>
  <c r="A533" i="1"/>
  <c r="C533" i="1"/>
  <c r="E533" i="1"/>
  <c r="S533" i="1"/>
  <c r="T533" i="1"/>
  <c r="U533" i="1"/>
  <c r="BB533" i="1"/>
  <c r="BD533" i="1"/>
  <c r="CE533" i="1"/>
  <c r="A534" i="1"/>
  <c r="C534" i="1"/>
  <c r="E534" i="1"/>
  <c r="S534" i="1"/>
  <c r="T534" i="1"/>
  <c r="U534" i="1"/>
  <c r="BB534" i="1"/>
  <c r="BD534" i="1"/>
  <c r="CE534" i="1"/>
  <c r="A535" i="1"/>
  <c r="C535" i="1"/>
  <c r="E535" i="1"/>
  <c r="S535" i="1"/>
  <c r="T535" i="1"/>
  <c r="U535" i="1"/>
  <c r="BB535" i="1"/>
  <c r="BD535" i="1"/>
  <c r="CE535" i="1"/>
  <c r="A536" i="1"/>
  <c r="C536" i="1"/>
  <c r="E536" i="1"/>
  <c r="S536" i="1"/>
  <c r="T536" i="1"/>
  <c r="U536" i="1"/>
  <c r="BB536" i="1"/>
  <c r="BD536" i="1"/>
  <c r="CE536" i="1"/>
  <c r="A537" i="1"/>
  <c r="C537" i="1"/>
  <c r="E537" i="1"/>
  <c r="S537" i="1"/>
  <c r="T537" i="1"/>
  <c r="U537" i="1"/>
  <c r="BB537" i="1"/>
  <c r="BD537" i="1"/>
  <c r="CE537" i="1"/>
  <c r="A538" i="1"/>
  <c r="C538" i="1"/>
  <c r="E538" i="1"/>
  <c r="S538" i="1"/>
  <c r="T538" i="1"/>
  <c r="U538" i="1"/>
  <c r="BB538" i="1"/>
  <c r="BD538" i="1"/>
  <c r="CE538" i="1"/>
  <c r="A539" i="1"/>
  <c r="C539" i="1"/>
  <c r="E539" i="1"/>
  <c r="S539" i="1"/>
  <c r="T539" i="1"/>
  <c r="U539" i="1"/>
  <c r="BB539" i="1"/>
  <c r="BD539" i="1"/>
  <c r="CE539" i="1"/>
  <c r="A540" i="1"/>
  <c r="C540" i="1"/>
  <c r="E540" i="1"/>
  <c r="S540" i="1"/>
  <c r="T540" i="1"/>
  <c r="U540" i="1"/>
  <c r="BB540" i="1"/>
  <c r="BD540" i="1"/>
  <c r="CE540" i="1"/>
  <c r="A541" i="1"/>
  <c r="C541" i="1"/>
  <c r="E541" i="1"/>
  <c r="S541" i="1"/>
  <c r="T541" i="1"/>
  <c r="U541" i="1"/>
  <c r="BB541" i="1"/>
  <c r="BD541" i="1"/>
  <c r="CE541" i="1"/>
  <c r="A542" i="1"/>
  <c r="C542" i="1"/>
  <c r="E542" i="1"/>
  <c r="S542" i="1"/>
  <c r="T542" i="1"/>
  <c r="U542" i="1"/>
  <c r="BB542" i="1"/>
  <c r="BD542" i="1"/>
  <c r="CE542" i="1"/>
  <c r="A543" i="1"/>
  <c r="C543" i="1"/>
  <c r="E543" i="1"/>
  <c r="S543" i="1"/>
  <c r="T543" i="1"/>
  <c r="U543" i="1"/>
  <c r="BB543" i="1"/>
  <c r="BD543" i="1"/>
  <c r="CE543" i="1"/>
  <c r="A544" i="1"/>
  <c r="C544" i="1"/>
  <c r="E544" i="1"/>
  <c r="S544" i="1"/>
  <c r="T544" i="1"/>
  <c r="U544" i="1"/>
  <c r="BB544" i="1"/>
  <c r="BD544" i="1"/>
  <c r="CE544" i="1"/>
  <c r="A545" i="1"/>
  <c r="C545" i="1"/>
  <c r="E545" i="1"/>
  <c r="S545" i="1"/>
  <c r="T545" i="1"/>
  <c r="U545" i="1"/>
  <c r="BB545" i="1"/>
  <c r="BD545" i="1"/>
  <c r="CE545" i="1"/>
  <c r="A546" i="1"/>
  <c r="C546" i="1"/>
  <c r="E546" i="1"/>
  <c r="S546" i="1"/>
  <c r="T546" i="1"/>
  <c r="U546" i="1"/>
  <c r="BB546" i="1"/>
  <c r="BD546" i="1"/>
  <c r="CE546" i="1"/>
  <c r="A547" i="1"/>
  <c r="C547" i="1"/>
  <c r="E547" i="1"/>
  <c r="S547" i="1"/>
  <c r="T547" i="1"/>
  <c r="U547" i="1"/>
  <c r="BB547" i="1"/>
  <c r="BD547" i="1"/>
  <c r="CE547" i="1"/>
  <c r="A548" i="1"/>
  <c r="C548" i="1"/>
  <c r="E548" i="1"/>
  <c r="S548" i="1"/>
  <c r="T548" i="1"/>
  <c r="U548" i="1"/>
  <c r="BB548" i="1"/>
  <c r="BD548" i="1"/>
  <c r="CE548" i="1"/>
  <c r="A549" i="1"/>
  <c r="C549" i="1"/>
  <c r="E549" i="1"/>
  <c r="S549" i="1"/>
  <c r="T549" i="1"/>
  <c r="U549" i="1"/>
  <c r="BB549" i="1"/>
  <c r="BD549" i="1"/>
  <c r="CE549" i="1"/>
  <c r="A550" i="1"/>
  <c r="C550" i="1"/>
  <c r="E550" i="1"/>
  <c r="S550" i="1"/>
  <c r="T550" i="1"/>
  <c r="U550" i="1"/>
  <c r="BB550" i="1"/>
  <c r="BD550" i="1"/>
  <c r="CE550" i="1"/>
  <c r="A551" i="1"/>
  <c r="C551" i="1"/>
  <c r="E551" i="1"/>
  <c r="S551" i="1"/>
  <c r="T551" i="1"/>
  <c r="U551" i="1"/>
  <c r="BB551" i="1"/>
  <c r="BD551" i="1"/>
  <c r="CE551" i="1"/>
  <c r="A552" i="1"/>
  <c r="C552" i="1"/>
  <c r="E552" i="1"/>
  <c r="S552" i="1"/>
  <c r="T552" i="1"/>
  <c r="U552" i="1"/>
  <c r="BB552" i="1"/>
  <c r="BD552" i="1"/>
  <c r="CE552" i="1"/>
  <c r="A553" i="1"/>
  <c r="C553" i="1"/>
  <c r="E553" i="1"/>
  <c r="S553" i="1"/>
  <c r="T553" i="1"/>
  <c r="U553" i="1"/>
  <c r="BB553" i="1"/>
  <c r="BD553" i="1"/>
  <c r="CE553" i="1"/>
  <c r="A554" i="1"/>
  <c r="C554" i="1"/>
  <c r="E554" i="1"/>
  <c r="S554" i="1"/>
  <c r="T554" i="1"/>
  <c r="U554" i="1"/>
  <c r="BB554" i="1"/>
  <c r="BD554" i="1"/>
  <c r="CE554" i="1"/>
  <c r="A555" i="1"/>
  <c r="C555" i="1"/>
  <c r="E555" i="1"/>
  <c r="S555" i="1"/>
  <c r="T555" i="1"/>
  <c r="U555" i="1"/>
  <c r="BB555" i="1"/>
  <c r="BD555" i="1"/>
  <c r="CE555" i="1"/>
  <c r="A556" i="1"/>
  <c r="C556" i="1"/>
  <c r="E556" i="1"/>
  <c r="S556" i="1"/>
  <c r="T556" i="1"/>
  <c r="U556" i="1"/>
  <c r="BB556" i="1"/>
  <c r="BD556" i="1"/>
  <c r="CE556" i="1"/>
  <c r="A557" i="1"/>
  <c r="C557" i="1"/>
  <c r="E557" i="1"/>
  <c r="S557" i="1"/>
  <c r="T557" i="1"/>
  <c r="U557" i="1"/>
  <c r="BB557" i="1"/>
  <c r="BD557" i="1"/>
  <c r="CE557" i="1"/>
  <c r="A558" i="1"/>
  <c r="C558" i="1"/>
  <c r="E558" i="1"/>
  <c r="S558" i="1"/>
  <c r="T558" i="1"/>
  <c r="U558" i="1"/>
  <c r="BB558" i="1"/>
  <c r="BD558" i="1"/>
  <c r="CE558" i="1"/>
  <c r="A559" i="1"/>
  <c r="C559" i="1"/>
  <c r="E559" i="1"/>
  <c r="S559" i="1"/>
  <c r="T559" i="1"/>
  <c r="U559" i="1"/>
  <c r="BB559" i="1"/>
  <c r="BD559" i="1"/>
  <c r="CE559" i="1"/>
  <c r="A560" i="1"/>
  <c r="C560" i="1"/>
  <c r="E560" i="1"/>
  <c r="S560" i="1"/>
  <c r="T560" i="1"/>
  <c r="U560" i="1"/>
  <c r="BB560" i="1"/>
  <c r="BD560" i="1"/>
  <c r="CE560" i="1"/>
  <c r="A561" i="1"/>
  <c r="C561" i="1"/>
  <c r="E561" i="1"/>
  <c r="S561" i="1"/>
  <c r="T561" i="1"/>
  <c r="U561" i="1"/>
  <c r="BB561" i="1"/>
  <c r="BD561" i="1"/>
  <c r="CE561" i="1"/>
  <c r="A562" i="1"/>
  <c r="C562" i="1"/>
  <c r="E562" i="1"/>
  <c r="S562" i="1"/>
  <c r="T562" i="1"/>
  <c r="U562" i="1"/>
  <c r="BB562" i="1"/>
  <c r="BD562" i="1"/>
  <c r="CE562" i="1"/>
  <c r="A563" i="1"/>
  <c r="C563" i="1"/>
  <c r="E563" i="1"/>
  <c r="S563" i="1"/>
  <c r="T563" i="1"/>
  <c r="U563" i="1"/>
  <c r="BB563" i="1"/>
  <c r="BD563" i="1"/>
  <c r="CE563" i="1"/>
  <c r="A564" i="1"/>
  <c r="C564" i="1"/>
  <c r="E564" i="1"/>
  <c r="S564" i="1"/>
  <c r="T564" i="1"/>
  <c r="U564" i="1"/>
  <c r="BB564" i="1"/>
  <c r="BD564" i="1"/>
  <c r="CE564" i="1"/>
  <c r="A565" i="1"/>
  <c r="C565" i="1"/>
  <c r="E565" i="1"/>
  <c r="S565" i="1"/>
  <c r="T565" i="1"/>
  <c r="U565" i="1"/>
  <c r="BB565" i="1"/>
  <c r="BD565" i="1"/>
  <c r="CE565" i="1"/>
  <c r="A566" i="1"/>
  <c r="C566" i="1"/>
  <c r="E566" i="1"/>
  <c r="S566" i="1"/>
  <c r="T566" i="1"/>
  <c r="U566" i="1"/>
  <c r="BB566" i="1"/>
  <c r="BD566" i="1"/>
  <c r="CE566" i="1"/>
  <c r="A567" i="1"/>
  <c r="C567" i="1"/>
  <c r="E567" i="1"/>
  <c r="S567" i="1"/>
  <c r="T567" i="1"/>
  <c r="U567" i="1"/>
  <c r="BB567" i="1"/>
  <c r="BD567" i="1"/>
  <c r="CE567" i="1"/>
  <c r="A568" i="1"/>
  <c r="C568" i="1"/>
  <c r="E568" i="1"/>
  <c r="S568" i="1"/>
  <c r="T568" i="1"/>
  <c r="U568" i="1"/>
  <c r="BB568" i="1"/>
  <c r="BD568" i="1"/>
  <c r="CE568" i="1"/>
  <c r="A569" i="1"/>
  <c r="C569" i="1"/>
  <c r="E569" i="1"/>
  <c r="S569" i="1"/>
  <c r="T569" i="1"/>
  <c r="U569" i="1"/>
  <c r="BB569" i="1"/>
  <c r="BD569" i="1"/>
  <c r="CE569" i="1"/>
  <c r="A570" i="1"/>
  <c r="C570" i="1"/>
  <c r="E570" i="1"/>
  <c r="S570" i="1"/>
  <c r="T570" i="1"/>
  <c r="U570" i="1"/>
  <c r="BB570" i="1"/>
  <c r="BD570" i="1"/>
  <c r="CE570" i="1"/>
  <c r="A571" i="1"/>
  <c r="C571" i="1"/>
  <c r="E571" i="1"/>
  <c r="S571" i="1"/>
  <c r="T571" i="1"/>
  <c r="U571" i="1"/>
  <c r="BB571" i="1"/>
  <c r="BD571" i="1"/>
  <c r="CE571" i="1"/>
  <c r="A572" i="1"/>
  <c r="C572" i="1"/>
  <c r="E572" i="1"/>
  <c r="S572" i="1"/>
  <c r="T572" i="1"/>
  <c r="U572" i="1"/>
  <c r="BB572" i="1"/>
  <c r="BD572" i="1"/>
  <c r="CE572" i="1"/>
  <c r="A573" i="1"/>
  <c r="C573" i="1"/>
  <c r="E573" i="1"/>
  <c r="S573" i="1"/>
  <c r="T573" i="1"/>
  <c r="U573" i="1"/>
  <c r="BB573" i="1"/>
  <c r="BD573" i="1"/>
  <c r="CE573" i="1"/>
  <c r="A574" i="1"/>
  <c r="C574" i="1"/>
  <c r="E574" i="1"/>
  <c r="S574" i="1"/>
  <c r="T574" i="1"/>
  <c r="U574" i="1"/>
  <c r="BB574" i="1"/>
  <c r="BD574" i="1"/>
  <c r="CE574" i="1"/>
  <c r="A575" i="1"/>
  <c r="C575" i="1"/>
  <c r="E575" i="1"/>
  <c r="S575" i="1"/>
  <c r="T575" i="1"/>
  <c r="U575" i="1"/>
  <c r="BB575" i="1"/>
  <c r="BD575" i="1"/>
  <c r="CE575" i="1"/>
  <c r="A576" i="1"/>
  <c r="C576" i="1"/>
  <c r="E576" i="1"/>
  <c r="S576" i="1"/>
  <c r="T576" i="1"/>
  <c r="U576" i="1"/>
  <c r="BB576" i="1"/>
  <c r="BD576" i="1"/>
  <c r="CE576" i="1"/>
  <c r="A577" i="1"/>
  <c r="C577" i="1"/>
  <c r="E577" i="1"/>
  <c r="S577" i="1"/>
  <c r="T577" i="1"/>
  <c r="U577" i="1"/>
  <c r="BB577" i="1"/>
  <c r="BD577" i="1"/>
  <c r="CE577" i="1"/>
  <c r="A578" i="1"/>
  <c r="C578" i="1"/>
  <c r="E578" i="1"/>
  <c r="S578" i="1"/>
  <c r="T578" i="1"/>
  <c r="U578" i="1"/>
  <c r="BB578" i="1"/>
  <c r="BD578" i="1"/>
  <c r="CE578" i="1"/>
  <c r="A579" i="1"/>
  <c r="C579" i="1"/>
  <c r="E579" i="1"/>
  <c r="S579" i="1"/>
  <c r="T579" i="1"/>
  <c r="U579" i="1"/>
  <c r="BB579" i="1"/>
  <c r="BD579" i="1"/>
  <c r="CE579" i="1"/>
  <c r="A580" i="1"/>
  <c r="C580" i="1"/>
  <c r="E580" i="1"/>
  <c r="S580" i="1"/>
  <c r="T580" i="1"/>
  <c r="U580" i="1"/>
  <c r="BB580" i="1"/>
  <c r="BD580" i="1"/>
  <c r="CE580" i="1"/>
  <c r="A581" i="1"/>
  <c r="C581" i="1"/>
  <c r="E581" i="1"/>
  <c r="S581" i="1"/>
  <c r="T581" i="1"/>
  <c r="U581" i="1"/>
  <c r="BB581" i="1"/>
  <c r="BD581" i="1"/>
  <c r="CE581" i="1"/>
  <c r="A582" i="1"/>
  <c r="C582" i="1"/>
  <c r="E582" i="1"/>
  <c r="S582" i="1"/>
  <c r="T582" i="1"/>
  <c r="U582" i="1"/>
  <c r="BB582" i="1"/>
  <c r="BD582" i="1"/>
  <c r="CE582" i="1"/>
  <c r="A583" i="1"/>
  <c r="C583" i="1"/>
  <c r="E583" i="1"/>
  <c r="S583" i="1"/>
  <c r="T583" i="1"/>
  <c r="U583" i="1"/>
  <c r="BB583" i="1"/>
  <c r="BD583" i="1"/>
  <c r="CE583" i="1"/>
  <c r="A584" i="1"/>
  <c r="C584" i="1"/>
  <c r="E584" i="1"/>
  <c r="S584" i="1"/>
  <c r="T584" i="1"/>
  <c r="U584" i="1"/>
  <c r="BB584" i="1"/>
  <c r="BD584" i="1"/>
  <c r="CE584" i="1"/>
  <c r="A585" i="1"/>
  <c r="C585" i="1"/>
  <c r="E585" i="1"/>
  <c r="S585" i="1"/>
  <c r="T585" i="1"/>
  <c r="U585" i="1"/>
  <c r="BB585" i="1"/>
  <c r="BD585" i="1"/>
  <c r="CE585" i="1"/>
  <c r="A586" i="1"/>
  <c r="C586" i="1"/>
  <c r="E586" i="1"/>
  <c r="S586" i="1"/>
  <c r="T586" i="1"/>
  <c r="U586" i="1"/>
  <c r="BB586" i="1"/>
  <c r="BD586" i="1"/>
  <c r="CE586" i="1"/>
  <c r="A587" i="1"/>
  <c r="C587" i="1"/>
  <c r="E587" i="1"/>
  <c r="S587" i="1"/>
  <c r="T587" i="1"/>
  <c r="U587" i="1"/>
  <c r="BB587" i="1"/>
  <c r="BD587" i="1"/>
  <c r="CE587" i="1"/>
  <c r="A588" i="1"/>
  <c r="C588" i="1"/>
  <c r="E588" i="1"/>
  <c r="S588" i="1"/>
  <c r="T588" i="1"/>
  <c r="U588" i="1"/>
  <c r="BB588" i="1"/>
  <c r="BD588" i="1"/>
  <c r="CE588" i="1"/>
  <c r="A589" i="1"/>
  <c r="C589" i="1"/>
  <c r="E589" i="1"/>
  <c r="S589" i="1"/>
  <c r="T589" i="1"/>
  <c r="U589" i="1"/>
  <c r="BB589" i="1"/>
  <c r="BD589" i="1"/>
  <c r="CE589" i="1"/>
  <c r="A590" i="1"/>
  <c r="C590" i="1"/>
  <c r="E590" i="1"/>
  <c r="S590" i="1"/>
  <c r="T590" i="1"/>
  <c r="U590" i="1"/>
  <c r="BB590" i="1"/>
  <c r="BD590" i="1"/>
  <c r="CE590" i="1"/>
  <c r="A591" i="1"/>
  <c r="C591" i="1"/>
  <c r="E591" i="1"/>
  <c r="S591" i="1"/>
  <c r="T591" i="1"/>
  <c r="U591" i="1"/>
  <c r="BB591" i="1"/>
  <c r="BD591" i="1"/>
  <c r="CE591" i="1"/>
  <c r="A592" i="1"/>
  <c r="C592" i="1"/>
  <c r="E592" i="1"/>
  <c r="S592" i="1"/>
  <c r="T592" i="1"/>
  <c r="U592" i="1"/>
  <c r="BB592" i="1"/>
  <c r="BD592" i="1"/>
  <c r="CE592" i="1"/>
  <c r="A593" i="1"/>
  <c r="C593" i="1"/>
  <c r="E593" i="1"/>
  <c r="S593" i="1"/>
  <c r="T593" i="1"/>
  <c r="U593" i="1"/>
  <c r="BB593" i="1"/>
  <c r="BD593" i="1"/>
  <c r="CE593" i="1"/>
  <c r="A594" i="1"/>
  <c r="C594" i="1"/>
  <c r="E594" i="1"/>
  <c r="S594" i="1"/>
  <c r="T594" i="1"/>
  <c r="U594" i="1"/>
  <c r="BB594" i="1"/>
  <c r="BD594" i="1"/>
  <c r="CE594" i="1"/>
  <c r="A595" i="1"/>
  <c r="C595" i="1"/>
  <c r="E595" i="1"/>
  <c r="S595" i="1"/>
  <c r="T595" i="1"/>
  <c r="U595" i="1"/>
  <c r="BB595" i="1"/>
  <c r="BD595" i="1"/>
  <c r="CE595" i="1"/>
  <c r="A596" i="1"/>
  <c r="C596" i="1"/>
  <c r="E596" i="1"/>
  <c r="S596" i="1"/>
  <c r="T596" i="1"/>
  <c r="U596" i="1"/>
  <c r="BB596" i="1"/>
  <c r="BD596" i="1"/>
  <c r="CE596" i="1"/>
  <c r="A597" i="1"/>
  <c r="C597" i="1"/>
  <c r="E597" i="1"/>
  <c r="S597" i="1"/>
  <c r="T597" i="1"/>
  <c r="U597" i="1"/>
  <c r="BB597" i="1"/>
  <c r="BD597" i="1"/>
  <c r="CE597" i="1"/>
  <c r="A598" i="1"/>
  <c r="C598" i="1"/>
  <c r="E598" i="1"/>
  <c r="S598" i="1"/>
  <c r="T598" i="1"/>
  <c r="U598" i="1"/>
  <c r="BB598" i="1"/>
  <c r="BD598" i="1"/>
  <c r="CE598" i="1"/>
  <c r="A599" i="1"/>
  <c r="C599" i="1"/>
  <c r="E599" i="1"/>
  <c r="S599" i="1"/>
  <c r="T599" i="1"/>
  <c r="U599" i="1"/>
  <c r="BB599" i="1"/>
  <c r="BD599" i="1"/>
  <c r="CE599" i="1"/>
  <c r="A600" i="1"/>
  <c r="C600" i="1"/>
  <c r="E600" i="1"/>
  <c r="S600" i="1"/>
  <c r="T600" i="1"/>
  <c r="U600" i="1"/>
  <c r="BB600" i="1"/>
  <c r="BD600" i="1"/>
  <c r="CE600" i="1"/>
  <c r="A601" i="1"/>
  <c r="C601" i="1"/>
  <c r="E601" i="1"/>
  <c r="S601" i="1"/>
  <c r="T601" i="1"/>
  <c r="U601" i="1"/>
  <c r="BB601" i="1"/>
  <c r="BD601" i="1"/>
  <c r="CE601" i="1"/>
  <c r="A602" i="1"/>
  <c r="C602" i="1"/>
  <c r="E602" i="1"/>
  <c r="S602" i="1"/>
  <c r="T602" i="1"/>
  <c r="U602" i="1"/>
  <c r="BB602" i="1"/>
  <c r="BD602" i="1"/>
  <c r="CE602" i="1"/>
  <c r="A603" i="1"/>
  <c r="C603" i="1"/>
  <c r="E603" i="1"/>
  <c r="S603" i="1"/>
  <c r="T603" i="1"/>
  <c r="U603" i="1"/>
  <c r="BB603" i="1"/>
  <c r="BD603" i="1"/>
  <c r="CE603" i="1"/>
  <c r="A604" i="1"/>
  <c r="C604" i="1"/>
  <c r="E604" i="1"/>
  <c r="S604" i="1"/>
  <c r="T604" i="1"/>
  <c r="U604" i="1"/>
  <c r="BB604" i="1"/>
  <c r="BD604" i="1"/>
  <c r="CE604" i="1"/>
  <c r="A605" i="1"/>
  <c r="C605" i="1"/>
  <c r="E605" i="1"/>
  <c r="S605" i="1"/>
  <c r="T605" i="1"/>
  <c r="U605" i="1"/>
  <c r="BB605" i="1"/>
  <c r="BD605" i="1"/>
  <c r="CE605" i="1"/>
  <c r="A606" i="1"/>
  <c r="C606" i="1"/>
  <c r="E606" i="1"/>
  <c r="S606" i="1"/>
  <c r="T606" i="1"/>
  <c r="U606" i="1"/>
  <c r="BB606" i="1"/>
  <c r="BD606" i="1"/>
  <c r="CE606" i="1"/>
  <c r="A607" i="1"/>
  <c r="C607" i="1"/>
  <c r="E607" i="1"/>
  <c r="S607" i="1"/>
  <c r="T607" i="1"/>
  <c r="U607" i="1"/>
  <c r="BB607" i="1"/>
  <c r="BD607" i="1"/>
  <c r="CE607" i="1"/>
  <c r="A608" i="1"/>
  <c r="C608" i="1"/>
  <c r="E608" i="1"/>
  <c r="S608" i="1"/>
  <c r="T608" i="1"/>
  <c r="U608" i="1"/>
  <c r="BB608" i="1"/>
  <c r="BD608" i="1"/>
  <c r="CE608" i="1"/>
  <c r="A609" i="1"/>
  <c r="C609" i="1"/>
  <c r="E609" i="1"/>
  <c r="S609" i="1"/>
  <c r="T609" i="1"/>
  <c r="U609" i="1"/>
  <c r="BB609" i="1"/>
  <c r="BD609" i="1"/>
  <c r="CE609" i="1"/>
  <c r="A610" i="1"/>
  <c r="C610" i="1"/>
  <c r="E610" i="1"/>
  <c r="S610" i="1"/>
  <c r="T610" i="1"/>
  <c r="U610" i="1"/>
  <c r="BB610" i="1"/>
  <c r="BD610" i="1"/>
  <c r="CE610" i="1"/>
  <c r="A611" i="1"/>
  <c r="C611" i="1"/>
  <c r="E611" i="1"/>
  <c r="S611" i="1"/>
  <c r="T611" i="1"/>
  <c r="U611" i="1"/>
  <c r="BB611" i="1"/>
  <c r="BD611" i="1"/>
  <c r="CE611" i="1"/>
  <c r="A612" i="1"/>
  <c r="C612" i="1"/>
  <c r="E612" i="1"/>
  <c r="S612" i="1"/>
  <c r="T612" i="1"/>
  <c r="U612" i="1"/>
  <c r="BB612" i="1"/>
  <c r="BD612" i="1"/>
  <c r="CE612" i="1"/>
  <c r="A613" i="1"/>
  <c r="C613" i="1"/>
  <c r="E613" i="1"/>
  <c r="S613" i="1"/>
  <c r="T613" i="1"/>
  <c r="U613" i="1"/>
  <c r="BB613" i="1"/>
  <c r="BD613" i="1"/>
  <c r="CE613" i="1"/>
  <c r="A614" i="1"/>
  <c r="C614" i="1"/>
  <c r="E614" i="1"/>
  <c r="S614" i="1"/>
  <c r="T614" i="1"/>
  <c r="U614" i="1"/>
  <c r="BB614" i="1"/>
  <c r="BD614" i="1"/>
  <c r="CE614" i="1"/>
  <c r="A615" i="1"/>
  <c r="C615" i="1"/>
  <c r="E615" i="1"/>
  <c r="S615" i="1"/>
  <c r="T615" i="1"/>
  <c r="U615" i="1"/>
  <c r="BB615" i="1"/>
  <c r="BD615" i="1"/>
  <c r="CE615" i="1"/>
  <c r="A616" i="1"/>
  <c r="C616" i="1"/>
  <c r="E616" i="1"/>
  <c r="S616" i="1"/>
  <c r="T616" i="1"/>
  <c r="U616" i="1"/>
  <c r="BB616" i="1"/>
  <c r="BD616" i="1"/>
  <c r="CE616" i="1"/>
  <c r="A617" i="1"/>
  <c r="C617" i="1"/>
  <c r="E617" i="1"/>
  <c r="S617" i="1"/>
  <c r="T617" i="1"/>
  <c r="U617" i="1"/>
  <c r="BB617" i="1"/>
  <c r="BD617" i="1"/>
  <c r="CE617" i="1"/>
  <c r="A618" i="1"/>
  <c r="C618" i="1"/>
  <c r="E618" i="1"/>
  <c r="S618" i="1"/>
  <c r="T618" i="1"/>
  <c r="U618" i="1"/>
  <c r="BB618" i="1"/>
  <c r="BD618" i="1"/>
  <c r="CE618" i="1"/>
  <c r="A619" i="1"/>
  <c r="C619" i="1"/>
  <c r="E619" i="1"/>
  <c r="S619" i="1"/>
  <c r="T619" i="1"/>
  <c r="U619" i="1"/>
  <c r="BB619" i="1"/>
  <c r="BD619" i="1"/>
  <c r="CE619" i="1"/>
  <c r="A620" i="1"/>
  <c r="C620" i="1"/>
  <c r="E620" i="1"/>
  <c r="S620" i="1"/>
  <c r="T620" i="1"/>
  <c r="U620" i="1"/>
  <c r="BB620" i="1"/>
  <c r="BD620" i="1"/>
  <c r="CE620" i="1"/>
  <c r="A621" i="1"/>
  <c r="C621" i="1"/>
  <c r="E621" i="1"/>
  <c r="S621" i="1"/>
  <c r="T621" i="1"/>
  <c r="U621" i="1"/>
  <c r="BB621" i="1"/>
  <c r="BD621" i="1"/>
  <c r="CE621" i="1"/>
  <c r="A622" i="1"/>
  <c r="C622" i="1"/>
  <c r="E622" i="1"/>
  <c r="S622" i="1"/>
  <c r="T622" i="1"/>
  <c r="U622" i="1"/>
  <c r="BB622" i="1"/>
  <c r="BD622" i="1"/>
  <c r="CE622" i="1"/>
  <c r="A623" i="1"/>
  <c r="C623" i="1"/>
  <c r="E623" i="1"/>
  <c r="S623" i="1"/>
  <c r="T623" i="1"/>
  <c r="U623" i="1"/>
  <c r="BB623" i="1"/>
  <c r="BD623" i="1"/>
  <c r="CE623" i="1"/>
  <c r="A624" i="1"/>
  <c r="C624" i="1"/>
  <c r="E624" i="1"/>
  <c r="S624" i="1"/>
  <c r="T624" i="1"/>
  <c r="U624" i="1"/>
  <c r="BB624" i="1"/>
  <c r="BD624" i="1"/>
  <c r="CE624" i="1"/>
  <c r="A625" i="1"/>
  <c r="C625" i="1"/>
  <c r="E625" i="1"/>
  <c r="S625" i="1"/>
  <c r="T625" i="1"/>
  <c r="U625" i="1"/>
  <c r="BB625" i="1"/>
  <c r="BD625" i="1"/>
  <c r="CE625" i="1"/>
  <c r="A626" i="1"/>
  <c r="C626" i="1"/>
  <c r="E626" i="1"/>
  <c r="S626" i="1"/>
  <c r="T626" i="1"/>
  <c r="U626" i="1"/>
  <c r="BB626" i="1"/>
  <c r="BD626" i="1"/>
  <c r="CE626" i="1"/>
  <c r="A627" i="1"/>
  <c r="C627" i="1"/>
  <c r="E627" i="1"/>
  <c r="S627" i="1"/>
  <c r="T627" i="1"/>
  <c r="U627" i="1"/>
  <c r="BB627" i="1"/>
  <c r="BD627" i="1"/>
  <c r="CE627" i="1"/>
  <c r="A628" i="1"/>
  <c r="C628" i="1"/>
  <c r="E628" i="1"/>
  <c r="S628" i="1"/>
  <c r="T628" i="1"/>
  <c r="U628" i="1"/>
  <c r="BB628" i="1"/>
  <c r="BD628" i="1"/>
  <c r="CE628" i="1"/>
  <c r="A629" i="1"/>
  <c r="C629" i="1"/>
  <c r="E629" i="1"/>
  <c r="S629" i="1"/>
  <c r="T629" i="1"/>
  <c r="U629" i="1"/>
  <c r="BB629" i="1"/>
  <c r="BD629" i="1"/>
  <c r="CE629" i="1"/>
  <c r="A630" i="1"/>
  <c r="C630" i="1"/>
  <c r="E630" i="1"/>
  <c r="S630" i="1"/>
  <c r="T630" i="1"/>
  <c r="U630" i="1"/>
  <c r="BB630" i="1"/>
  <c r="BD630" i="1"/>
  <c r="CE630" i="1"/>
  <c r="A631" i="1"/>
  <c r="C631" i="1"/>
  <c r="E631" i="1"/>
  <c r="S631" i="1"/>
  <c r="T631" i="1"/>
  <c r="U631" i="1"/>
  <c r="BB631" i="1"/>
  <c r="BD631" i="1"/>
  <c r="CE631" i="1"/>
  <c r="A632" i="1"/>
  <c r="C632" i="1"/>
  <c r="E632" i="1"/>
  <c r="S632" i="1"/>
  <c r="T632" i="1"/>
  <c r="U632" i="1"/>
  <c r="BB632" i="1"/>
  <c r="BD632" i="1"/>
  <c r="CE632" i="1"/>
  <c r="A633" i="1"/>
  <c r="C633" i="1"/>
  <c r="E633" i="1"/>
  <c r="S633" i="1"/>
  <c r="T633" i="1"/>
  <c r="U633" i="1"/>
  <c r="BB633" i="1"/>
  <c r="BD633" i="1"/>
  <c r="CE633" i="1"/>
  <c r="A634" i="1"/>
  <c r="C634" i="1"/>
  <c r="E634" i="1"/>
  <c r="S634" i="1"/>
  <c r="T634" i="1"/>
  <c r="U634" i="1"/>
  <c r="BB634" i="1"/>
  <c r="BD634" i="1"/>
  <c r="CE634" i="1"/>
  <c r="A635" i="1"/>
  <c r="C635" i="1"/>
  <c r="E635" i="1"/>
  <c r="S635" i="1"/>
  <c r="T635" i="1"/>
  <c r="U635" i="1"/>
  <c r="BB635" i="1"/>
  <c r="BD635" i="1"/>
  <c r="CE635" i="1"/>
  <c r="A636" i="1"/>
  <c r="C636" i="1"/>
  <c r="E636" i="1"/>
  <c r="S636" i="1"/>
  <c r="T636" i="1"/>
  <c r="U636" i="1"/>
  <c r="BB636" i="1"/>
  <c r="BD636" i="1"/>
  <c r="CE636" i="1"/>
  <c r="A637" i="1"/>
  <c r="C637" i="1"/>
  <c r="E637" i="1"/>
  <c r="S637" i="1"/>
  <c r="T637" i="1"/>
  <c r="U637" i="1"/>
  <c r="BB637" i="1"/>
  <c r="BD637" i="1"/>
  <c r="CE637" i="1"/>
  <c r="A638" i="1"/>
  <c r="C638" i="1"/>
  <c r="E638" i="1"/>
  <c r="S638" i="1"/>
  <c r="T638" i="1"/>
  <c r="U638" i="1"/>
  <c r="BB638" i="1"/>
  <c r="BD638" i="1"/>
  <c r="CE638" i="1"/>
  <c r="A639" i="1"/>
  <c r="C639" i="1"/>
  <c r="E639" i="1"/>
  <c r="S639" i="1"/>
  <c r="T639" i="1"/>
  <c r="U639" i="1"/>
  <c r="BB639" i="1"/>
  <c r="BD639" i="1"/>
  <c r="CE639" i="1"/>
  <c r="A640" i="1"/>
  <c r="C640" i="1"/>
  <c r="E640" i="1"/>
  <c r="S640" i="1"/>
  <c r="T640" i="1"/>
  <c r="U640" i="1"/>
  <c r="BB640" i="1"/>
  <c r="BD640" i="1"/>
  <c r="CE640" i="1"/>
  <c r="A641" i="1"/>
  <c r="C641" i="1"/>
  <c r="E641" i="1"/>
  <c r="S641" i="1"/>
  <c r="T641" i="1"/>
  <c r="U641" i="1"/>
  <c r="BB641" i="1"/>
  <c r="BD641" i="1"/>
  <c r="CE641" i="1"/>
  <c r="A642" i="1"/>
  <c r="C642" i="1"/>
  <c r="E642" i="1"/>
  <c r="S642" i="1"/>
  <c r="T642" i="1"/>
  <c r="U642" i="1"/>
  <c r="BB642" i="1"/>
  <c r="BD642" i="1"/>
  <c r="CE642" i="1"/>
  <c r="A643" i="1"/>
  <c r="C643" i="1"/>
  <c r="E643" i="1"/>
  <c r="S643" i="1"/>
  <c r="T643" i="1"/>
  <c r="U643" i="1"/>
  <c r="BB643" i="1"/>
  <c r="BD643" i="1"/>
  <c r="CE643" i="1"/>
  <c r="A644" i="1"/>
  <c r="C644" i="1"/>
  <c r="E644" i="1"/>
  <c r="S644" i="1"/>
  <c r="T644" i="1"/>
  <c r="U644" i="1"/>
  <c r="BB644" i="1"/>
  <c r="BD644" i="1"/>
  <c r="CE644" i="1"/>
  <c r="A645" i="1"/>
  <c r="C645" i="1"/>
  <c r="E645" i="1"/>
  <c r="S645" i="1"/>
  <c r="T645" i="1"/>
  <c r="U645" i="1"/>
  <c r="BB645" i="1"/>
  <c r="BD645" i="1"/>
  <c r="CE645" i="1"/>
  <c r="A646" i="1"/>
  <c r="C646" i="1"/>
  <c r="E646" i="1"/>
  <c r="S646" i="1"/>
  <c r="T646" i="1"/>
  <c r="U646" i="1"/>
  <c r="BB646" i="1"/>
  <c r="BD646" i="1"/>
  <c r="CE646" i="1"/>
  <c r="A647" i="1"/>
  <c r="C647" i="1"/>
  <c r="E647" i="1"/>
  <c r="S647" i="1"/>
  <c r="T647" i="1"/>
  <c r="U647" i="1"/>
  <c r="BB647" i="1"/>
  <c r="BD647" i="1"/>
  <c r="CE647" i="1"/>
  <c r="A648" i="1"/>
  <c r="C648" i="1"/>
  <c r="E648" i="1"/>
  <c r="S648" i="1"/>
  <c r="T648" i="1"/>
  <c r="U648" i="1"/>
  <c r="BB648" i="1"/>
  <c r="BD648" i="1"/>
  <c r="CE648" i="1"/>
  <c r="A649" i="1"/>
  <c r="C649" i="1"/>
  <c r="E649" i="1"/>
  <c r="S649" i="1"/>
  <c r="T649" i="1"/>
  <c r="U649" i="1"/>
  <c r="BB649" i="1"/>
  <c r="BD649" i="1"/>
  <c r="CE649" i="1"/>
  <c r="A650" i="1"/>
  <c r="C650" i="1"/>
  <c r="E650" i="1"/>
  <c r="S650" i="1"/>
  <c r="T650" i="1"/>
  <c r="U650" i="1"/>
  <c r="BB650" i="1"/>
  <c r="BD650" i="1"/>
  <c r="CE650" i="1"/>
  <c r="A651" i="1"/>
  <c r="C651" i="1"/>
  <c r="E651" i="1"/>
  <c r="S651" i="1"/>
  <c r="T651" i="1"/>
  <c r="U651" i="1"/>
  <c r="BB651" i="1"/>
  <c r="BD651" i="1"/>
  <c r="CE651" i="1"/>
  <c r="A652" i="1"/>
  <c r="C652" i="1"/>
  <c r="E652" i="1"/>
  <c r="S652" i="1"/>
  <c r="T652" i="1"/>
  <c r="U652" i="1"/>
  <c r="BB652" i="1"/>
  <c r="BD652" i="1"/>
  <c r="CE652" i="1"/>
  <c r="A653" i="1"/>
  <c r="C653" i="1"/>
  <c r="E653" i="1"/>
  <c r="S653" i="1"/>
  <c r="T653" i="1"/>
  <c r="U653" i="1"/>
  <c r="BB653" i="1"/>
  <c r="BD653" i="1"/>
  <c r="CE653" i="1"/>
  <c r="A654" i="1"/>
  <c r="C654" i="1"/>
  <c r="E654" i="1"/>
  <c r="S654" i="1"/>
  <c r="T654" i="1"/>
  <c r="U654" i="1"/>
  <c r="BB654" i="1"/>
  <c r="BD654" i="1"/>
  <c r="CE654" i="1"/>
  <c r="A655" i="1"/>
  <c r="C655" i="1"/>
  <c r="E655" i="1"/>
  <c r="S655" i="1"/>
  <c r="T655" i="1"/>
  <c r="U655" i="1"/>
  <c r="BB655" i="1"/>
  <c r="BD655" i="1"/>
  <c r="CE655" i="1"/>
  <c r="A656" i="1"/>
  <c r="C656" i="1"/>
  <c r="E656" i="1"/>
  <c r="S656" i="1"/>
  <c r="T656" i="1"/>
  <c r="U656" i="1"/>
  <c r="BB656" i="1"/>
  <c r="BD656" i="1"/>
  <c r="CE656" i="1"/>
  <c r="A657" i="1"/>
  <c r="C657" i="1"/>
  <c r="E657" i="1"/>
  <c r="S657" i="1"/>
  <c r="T657" i="1"/>
  <c r="U657" i="1"/>
  <c r="BB657" i="1"/>
  <c r="BD657" i="1"/>
  <c r="CE657" i="1"/>
  <c r="A658" i="1"/>
  <c r="C658" i="1"/>
  <c r="E658" i="1"/>
  <c r="S658" i="1"/>
  <c r="T658" i="1"/>
  <c r="U658" i="1"/>
  <c r="BB658" i="1"/>
  <c r="BD658" i="1"/>
  <c r="CE658" i="1"/>
  <c r="A659" i="1"/>
  <c r="C659" i="1"/>
  <c r="E659" i="1"/>
  <c r="S659" i="1"/>
  <c r="T659" i="1"/>
  <c r="U659" i="1"/>
  <c r="BB659" i="1"/>
  <c r="BD659" i="1"/>
  <c r="CE659" i="1"/>
  <c r="A660" i="1"/>
  <c r="C660" i="1"/>
  <c r="E660" i="1"/>
  <c r="S660" i="1"/>
  <c r="T660" i="1"/>
  <c r="U660" i="1"/>
  <c r="BB660" i="1"/>
  <c r="BD660" i="1"/>
  <c r="CE660" i="1"/>
  <c r="A661" i="1"/>
  <c r="C661" i="1"/>
  <c r="E661" i="1"/>
  <c r="S661" i="1"/>
  <c r="T661" i="1"/>
  <c r="U661" i="1"/>
  <c r="BB661" i="1"/>
  <c r="BD661" i="1"/>
  <c r="CE661" i="1"/>
  <c r="A662" i="1"/>
  <c r="C662" i="1"/>
  <c r="E662" i="1"/>
  <c r="S662" i="1"/>
  <c r="T662" i="1"/>
  <c r="U662" i="1"/>
  <c r="BB662" i="1"/>
  <c r="BD662" i="1"/>
  <c r="CE662" i="1"/>
  <c r="A663" i="1"/>
  <c r="C663" i="1"/>
  <c r="E663" i="1"/>
  <c r="S663" i="1"/>
  <c r="T663" i="1"/>
  <c r="U663" i="1"/>
  <c r="BB663" i="1"/>
  <c r="BD663" i="1"/>
  <c r="CE663" i="1"/>
  <c r="A664" i="1"/>
  <c r="C664" i="1"/>
  <c r="E664" i="1"/>
  <c r="S664" i="1"/>
  <c r="T664" i="1"/>
  <c r="U664" i="1"/>
  <c r="BB664" i="1"/>
  <c r="BD664" i="1"/>
  <c r="CE664" i="1"/>
  <c r="A665" i="1"/>
  <c r="C665" i="1"/>
  <c r="E665" i="1"/>
  <c r="S665" i="1"/>
  <c r="T665" i="1"/>
  <c r="U665" i="1"/>
  <c r="BB665" i="1"/>
  <c r="BD665" i="1"/>
  <c r="CE665" i="1"/>
  <c r="A666" i="1"/>
  <c r="C666" i="1"/>
  <c r="E666" i="1"/>
  <c r="S666" i="1"/>
  <c r="T666" i="1"/>
  <c r="U666" i="1"/>
  <c r="BB666" i="1"/>
  <c r="BD666" i="1"/>
  <c r="CE666" i="1"/>
  <c r="A667" i="1"/>
  <c r="C667" i="1"/>
  <c r="E667" i="1"/>
  <c r="S667" i="1"/>
  <c r="T667" i="1"/>
  <c r="U667" i="1"/>
  <c r="BB667" i="1"/>
  <c r="BD667" i="1"/>
  <c r="CE667" i="1"/>
  <c r="A668" i="1"/>
  <c r="C668" i="1"/>
  <c r="E668" i="1"/>
  <c r="S668" i="1"/>
  <c r="T668" i="1"/>
  <c r="U668" i="1"/>
  <c r="BB668" i="1"/>
  <c r="BD668" i="1"/>
  <c r="CE668" i="1"/>
  <c r="A669" i="1"/>
  <c r="C669" i="1"/>
  <c r="E669" i="1"/>
  <c r="S669" i="1"/>
  <c r="T669" i="1"/>
  <c r="U669" i="1"/>
  <c r="BB669" i="1"/>
  <c r="BD669" i="1"/>
  <c r="CE669" i="1"/>
  <c r="A670" i="1"/>
  <c r="C670" i="1"/>
  <c r="E670" i="1"/>
  <c r="S670" i="1"/>
  <c r="T670" i="1"/>
  <c r="U670" i="1"/>
  <c r="BB670" i="1"/>
  <c r="BD670" i="1"/>
  <c r="CE670" i="1"/>
  <c r="A671" i="1"/>
  <c r="C671" i="1"/>
  <c r="E671" i="1"/>
  <c r="S671" i="1"/>
  <c r="T671" i="1"/>
  <c r="U671" i="1"/>
  <c r="BB671" i="1"/>
  <c r="BD671" i="1"/>
  <c r="CE671" i="1"/>
  <c r="A672" i="1"/>
  <c r="C672" i="1"/>
  <c r="E672" i="1"/>
  <c r="S672" i="1"/>
  <c r="T672" i="1"/>
  <c r="U672" i="1"/>
  <c r="BB672" i="1"/>
  <c r="BD672" i="1"/>
  <c r="CE672" i="1"/>
  <c r="A673" i="1"/>
  <c r="C673" i="1"/>
  <c r="E673" i="1"/>
  <c r="S673" i="1"/>
  <c r="T673" i="1"/>
  <c r="U673" i="1"/>
  <c r="BB673" i="1"/>
  <c r="BD673" i="1"/>
  <c r="CE673" i="1"/>
  <c r="A674" i="1"/>
  <c r="C674" i="1"/>
  <c r="E674" i="1"/>
  <c r="S674" i="1"/>
  <c r="T674" i="1"/>
  <c r="U674" i="1"/>
  <c r="BB674" i="1"/>
  <c r="BD674" i="1"/>
  <c r="CE674" i="1"/>
  <c r="A675" i="1"/>
  <c r="C675" i="1"/>
  <c r="E675" i="1"/>
  <c r="S675" i="1"/>
  <c r="T675" i="1"/>
  <c r="U675" i="1"/>
  <c r="BB675" i="1"/>
  <c r="BD675" i="1"/>
  <c r="CE675" i="1"/>
  <c r="A676" i="1"/>
  <c r="C676" i="1"/>
  <c r="E676" i="1"/>
  <c r="S676" i="1"/>
  <c r="T676" i="1"/>
  <c r="U676" i="1"/>
  <c r="BB676" i="1"/>
  <c r="BD676" i="1"/>
  <c r="CE676" i="1"/>
  <c r="A677" i="1"/>
  <c r="C677" i="1"/>
  <c r="E677" i="1"/>
  <c r="S677" i="1"/>
  <c r="T677" i="1"/>
  <c r="U677" i="1"/>
  <c r="BB677" i="1"/>
  <c r="BD677" i="1"/>
  <c r="CE677" i="1"/>
  <c r="A678" i="1"/>
  <c r="C678" i="1"/>
  <c r="E678" i="1"/>
  <c r="S678" i="1"/>
  <c r="T678" i="1"/>
  <c r="U678" i="1"/>
  <c r="BB678" i="1"/>
  <c r="BD678" i="1"/>
  <c r="CE678" i="1"/>
  <c r="A679" i="1"/>
  <c r="C679" i="1"/>
  <c r="E679" i="1"/>
  <c r="S679" i="1"/>
  <c r="T679" i="1"/>
  <c r="U679" i="1"/>
  <c r="BB679" i="1"/>
  <c r="BD679" i="1"/>
  <c r="CE679" i="1"/>
  <c r="A680" i="1"/>
  <c r="C680" i="1"/>
  <c r="E680" i="1"/>
  <c r="S680" i="1"/>
  <c r="T680" i="1"/>
  <c r="U680" i="1"/>
  <c r="BB680" i="1"/>
  <c r="BD680" i="1"/>
  <c r="CE680" i="1"/>
  <c r="A681" i="1"/>
  <c r="C681" i="1"/>
  <c r="E681" i="1"/>
  <c r="S681" i="1"/>
  <c r="T681" i="1"/>
  <c r="U681" i="1"/>
  <c r="BB681" i="1"/>
  <c r="BD681" i="1"/>
  <c r="CE681" i="1"/>
  <c r="A682" i="1"/>
  <c r="C682" i="1"/>
  <c r="E682" i="1"/>
  <c r="S682" i="1"/>
  <c r="T682" i="1"/>
  <c r="U682" i="1"/>
  <c r="BB682" i="1"/>
  <c r="BD682" i="1"/>
  <c r="CE682" i="1"/>
  <c r="A683" i="1"/>
  <c r="C683" i="1"/>
  <c r="E683" i="1"/>
  <c r="S683" i="1"/>
  <c r="T683" i="1"/>
  <c r="U683" i="1"/>
  <c r="BB683" i="1"/>
  <c r="BD683" i="1"/>
  <c r="CE683" i="1"/>
  <c r="A684" i="1"/>
  <c r="C684" i="1"/>
  <c r="E684" i="1"/>
  <c r="S684" i="1"/>
  <c r="T684" i="1"/>
  <c r="U684" i="1"/>
  <c r="BB684" i="1"/>
  <c r="BD684" i="1"/>
  <c r="CE684" i="1"/>
  <c r="A685" i="1"/>
  <c r="C685" i="1"/>
  <c r="E685" i="1"/>
  <c r="S685" i="1"/>
  <c r="T685" i="1"/>
  <c r="U685" i="1"/>
  <c r="BB685" i="1"/>
  <c r="BD685" i="1"/>
  <c r="CE685" i="1"/>
  <c r="A686" i="1"/>
  <c r="C686" i="1"/>
  <c r="E686" i="1"/>
  <c r="S686" i="1"/>
  <c r="T686" i="1"/>
  <c r="U686" i="1"/>
  <c r="BB686" i="1"/>
  <c r="BD686" i="1"/>
  <c r="CE686" i="1"/>
  <c r="A687" i="1"/>
  <c r="C687" i="1"/>
  <c r="E687" i="1"/>
  <c r="S687" i="1"/>
  <c r="T687" i="1"/>
  <c r="U687" i="1"/>
  <c r="BB687" i="1"/>
  <c r="BD687" i="1"/>
  <c r="CE687" i="1"/>
  <c r="A688" i="1"/>
  <c r="C688" i="1"/>
  <c r="E688" i="1"/>
  <c r="S688" i="1"/>
  <c r="T688" i="1"/>
  <c r="U688" i="1"/>
  <c r="BB688" i="1"/>
  <c r="BD688" i="1"/>
  <c r="CE688" i="1"/>
  <c r="A689" i="1"/>
  <c r="C689" i="1"/>
  <c r="E689" i="1"/>
  <c r="S689" i="1"/>
  <c r="T689" i="1"/>
  <c r="U689" i="1"/>
  <c r="BB689" i="1"/>
  <c r="BD689" i="1"/>
  <c r="CE689" i="1"/>
  <c r="A690" i="1"/>
  <c r="C690" i="1"/>
  <c r="E690" i="1"/>
  <c r="S690" i="1"/>
  <c r="T690" i="1"/>
  <c r="U690" i="1"/>
  <c r="BB690" i="1"/>
  <c r="BD690" i="1"/>
  <c r="CE690" i="1"/>
  <c r="A691" i="1"/>
  <c r="C691" i="1"/>
  <c r="E691" i="1"/>
  <c r="S691" i="1"/>
  <c r="T691" i="1"/>
  <c r="U691" i="1"/>
  <c r="BB691" i="1"/>
  <c r="BD691" i="1"/>
  <c r="CE691" i="1"/>
  <c r="A692" i="1"/>
  <c r="C692" i="1"/>
  <c r="E692" i="1"/>
  <c r="S692" i="1"/>
  <c r="T692" i="1"/>
  <c r="U692" i="1"/>
  <c r="BB692" i="1"/>
  <c r="BD692" i="1"/>
  <c r="CE692" i="1"/>
  <c r="A693" i="1"/>
  <c r="C693" i="1"/>
  <c r="E693" i="1"/>
  <c r="S693" i="1"/>
  <c r="T693" i="1"/>
  <c r="U693" i="1"/>
  <c r="BB693" i="1"/>
  <c r="BD693" i="1"/>
  <c r="CE693" i="1"/>
  <c r="A694" i="1"/>
  <c r="C694" i="1"/>
  <c r="E694" i="1"/>
  <c r="S694" i="1"/>
  <c r="T694" i="1"/>
  <c r="U694" i="1"/>
  <c r="BB694" i="1"/>
  <c r="BD694" i="1"/>
  <c r="CE694" i="1"/>
  <c r="A695" i="1"/>
  <c r="C695" i="1"/>
  <c r="E695" i="1"/>
  <c r="S695" i="1"/>
  <c r="T695" i="1"/>
  <c r="U695" i="1"/>
  <c r="BB695" i="1"/>
  <c r="BD695" i="1"/>
  <c r="CE695" i="1"/>
  <c r="A696" i="1"/>
  <c r="C696" i="1"/>
  <c r="E696" i="1"/>
  <c r="S696" i="1"/>
  <c r="T696" i="1"/>
  <c r="U696" i="1"/>
  <c r="BB696" i="1"/>
  <c r="BD696" i="1"/>
  <c r="CE696" i="1"/>
  <c r="A697" i="1"/>
  <c r="C697" i="1"/>
  <c r="E697" i="1"/>
  <c r="S697" i="1"/>
  <c r="T697" i="1"/>
  <c r="U697" i="1"/>
  <c r="BB697" i="1"/>
  <c r="BD697" i="1"/>
  <c r="CE697" i="1"/>
  <c r="A698" i="1"/>
  <c r="C698" i="1"/>
  <c r="E698" i="1"/>
  <c r="S698" i="1"/>
  <c r="T698" i="1"/>
  <c r="U698" i="1"/>
  <c r="BB698" i="1"/>
  <c r="BD698" i="1"/>
  <c r="CE698" i="1"/>
  <c r="A699" i="1"/>
  <c r="C699" i="1"/>
  <c r="E699" i="1"/>
  <c r="S699" i="1"/>
  <c r="T699" i="1"/>
  <c r="U699" i="1"/>
  <c r="BB699" i="1"/>
  <c r="BD699" i="1"/>
  <c r="CE699" i="1"/>
  <c r="A700" i="1"/>
  <c r="C700" i="1"/>
  <c r="E700" i="1"/>
  <c r="S700" i="1"/>
  <c r="T700" i="1"/>
  <c r="U700" i="1"/>
  <c r="BB700" i="1"/>
  <c r="BD700" i="1"/>
  <c r="CE700" i="1"/>
  <c r="A701" i="1"/>
  <c r="C701" i="1"/>
  <c r="E701" i="1"/>
  <c r="S701" i="1"/>
  <c r="T701" i="1"/>
  <c r="U701" i="1"/>
  <c r="BB701" i="1"/>
  <c r="BD701" i="1"/>
  <c r="CE701" i="1"/>
  <c r="A702" i="1"/>
  <c r="C702" i="1"/>
  <c r="E702" i="1"/>
  <c r="S702" i="1"/>
  <c r="T702" i="1"/>
  <c r="U702" i="1"/>
  <c r="BB702" i="1"/>
  <c r="BD702" i="1"/>
  <c r="CE702" i="1"/>
  <c r="A703" i="1"/>
  <c r="C703" i="1"/>
  <c r="E703" i="1"/>
  <c r="S703" i="1"/>
  <c r="T703" i="1"/>
  <c r="U703" i="1"/>
  <c r="BB703" i="1"/>
  <c r="BD703" i="1"/>
  <c r="CE703" i="1"/>
  <c r="A704" i="1"/>
  <c r="C704" i="1"/>
  <c r="E704" i="1"/>
  <c r="S704" i="1"/>
  <c r="T704" i="1"/>
  <c r="U704" i="1"/>
  <c r="BB704" i="1"/>
  <c r="BD704" i="1"/>
  <c r="CE704" i="1"/>
  <c r="A705" i="1"/>
  <c r="C705" i="1"/>
  <c r="E705" i="1"/>
  <c r="S705" i="1"/>
  <c r="T705" i="1"/>
  <c r="U705" i="1"/>
  <c r="BB705" i="1"/>
  <c r="BD705" i="1"/>
  <c r="CE705" i="1"/>
  <c r="A706" i="1"/>
  <c r="C706" i="1"/>
  <c r="E706" i="1"/>
  <c r="S706" i="1"/>
  <c r="T706" i="1"/>
  <c r="U706" i="1"/>
  <c r="BB706" i="1"/>
  <c r="BD706" i="1"/>
  <c r="CE706" i="1"/>
  <c r="A707" i="1"/>
  <c r="C707" i="1"/>
  <c r="E707" i="1"/>
  <c r="S707" i="1"/>
  <c r="T707" i="1"/>
  <c r="U707" i="1"/>
  <c r="BB707" i="1"/>
  <c r="BD707" i="1"/>
  <c r="CE707" i="1"/>
  <c r="A708" i="1"/>
  <c r="C708" i="1"/>
  <c r="E708" i="1"/>
  <c r="S708" i="1"/>
  <c r="T708" i="1"/>
  <c r="U708" i="1"/>
  <c r="BB708" i="1"/>
  <c r="BD708" i="1"/>
  <c r="CE708" i="1"/>
  <c r="A709" i="1"/>
  <c r="C709" i="1"/>
  <c r="E709" i="1"/>
  <c r="S709" i="1"/>
  <c r="T709" i="1"/>
  <c r="U709" i="1"/>
  <c r="BB709" i="1"/>
  <c r="BD709" i="1"/>
  <c r="CE709" i="1"/>
  <c r="A710" i="1"/>
  <c r="C710" i="1"/>
  <c r="E710" i="1"/>
  <c r="S710" i="1"/>
  <c r="T710" i="1"/>
  <c r="U710" i="1"/>
  <c r="BB710" i="1"/>
  <c r="BD710" i="1"/>
  <c r="CE710" i="1"/>
  <c r="A711" i="1"/>
  <c r="C711" i="1"/>
  <c r="E711" i="1"/>
  <c r="S711" i="1"/>
  <c r="T711" i="1"/>
  <c r="U711" i="1"/>
  <c r="BB711" i="1"/>
  <c r="BD711" i="1"/>
  <c r="CE711" i="1"/>
  <c r="A712" i="1"/>
  <c r="C712" i="1"/>
  <c r="E712" i="1"/>
  <c r="S712" i="1"/>
  <c r="T712" i="1"/>
  <c r="U712" i="1"/>
  <c r="BB712" i="1"/>
  <c r="BD712" i="1"/>
  <c r="CE712" i="1"/>
  <c r="A713" i="1"/>
  <c r="C713" i="1"/>
  <c r="E713" i="1"/>
  <c r="S713" i="1"/>
  <c r="T713" i="1"/>
  <c r="U713" i="1"/>
  <c r="BB713" i="1"/>
  <c r="BD713" i="1"/>
  <c r="CE713" i="1"/>
  <c r="A714" i="1"/>
  <c r="C714" i="1"/>
  <c r="E714" i="1"/>
  <c r="S714" i="1"/>
  <c r="T714" i="1"/>
  <c r="U714" i="1"/>
  <c r="BB714" i="1"/>
  <c r="BD714" i="1"/>
  <c r="CE714" i="1"/>
  <c r="A715" i="1"/>
  <c r="C715" i="1"/>
  <c r="E715" i="1"/>
  <c r="S715" i="1"/>
  <c r="T715" i="1"/>
  <c r="U715" i="1"/>
  <c r="BB715" i="1"/>
  <c r="BD715" i="1"/>
  <c r="CE715" i="1"/>
  <c r="A716" i="1"/>
  <c r="C716" i="1"/>
  <c r="E716" i="1"/>
  <c r="S716" i="1"/>
  <c r="T716" i="1"/>
  <c r="U716" i="1"/>
  <c r="BB716" i="1"/>
  <c r="BD716" i="1"/>
  <c r="CE716" i="1"/>
  <c r="A717" i="1"/>
  <c r="C717" i="1"/>
  <c r="E717" i="1"/>
  <c r="S717" i="1"/>
  <c r="T717" i="1"/>
  <c r="U717" i="1"/>
  <c r="BB717" i="1"/>
  <c r="BD717" i="1"/>
  <c r="CE717" i="1"/>
  <c r="A718" i="1"/>
  <c r="C718" i="1"/>
  <c r="E718" i="1"/>
  <c r="S718" i="1"/>
  <c r="T718" i="1"/>
  <c r="U718" i="1"/>
  <c r="BB718" i="1"/>
  <c r="BD718" i="1"/>
  <c r="CE718" i="1"/>
  <c r="A719" i="1"/>
  <c r="C719" i="1"/>
  <c r="E719" i="1"/>
  <c r="S719" i="1"/>
  <c r="T719" i="1"/>
  <c r="U719" i="1"/>
  <c r="BB719" i="1"/>
  <c r="BD719" i="1"/>
  <c r="CE719" i="1"/>
  <c r="A720" i="1"/>
  <c r="C720" i="1"/>
  <c r="E720" i="1"/>
  <c r="S720" i="1"/>
  <c r="T720" i="1"/>
  <c r="U720" i="1"/>
  <c r="BB720" i="1"/>
  <c r="BD720" i="1"/>
  <c r="CE720" i="1"/>
  <c r="A721" i="1"/>
  <c r="C721" i="1"/>
  <c r="E721" i="1"/>
  <c r="S721" i="1"/>
  <c r="T721" i="1"/>
  <c r="U721" i="1"/>
  <c r="BB721" i="1"/>
  <c r="BD721" i="1"/>
  <c r="CE721" i="1"/>
  <c r="A722" i="1"/>
  <c r="C722" i="1"/>
  <c r="E722" i="1"/>
  <c r="S722" i="1"/>
  <c r="T722" i="1"/>
  <c r="U722" i="1"/>
  <c r="BB722" i="1"/>
  <c r="BD722" i="1"/>
  <c r="CE722" i="1"/>
  <c r="A723" i="1"/>
  <c r="C723" i="1"/>
  <c r="E723" i="1"/>
  <c r="S723" i="1"/>
  <c r="T723" i="1"/>
  <c r="U723" i="1"/>
  <c r="BB723" i="1"/>
  <c r="BD723" i="1"/>
  <c r="CE723" i="1"/>
  <c r="A724" i="1"/>
  <c r="C724" i="1"/>
  <c r="E724" i="1"/>
  <c r="S724" i="1"/>
  <c r="T724" i="1"/>
  <c r="U724" i="1"/>
  <c r="BB724" i="1"/>
  <c r="BD724" i="1"/>
  <c r="CE724" i="1"/>
  <c r="A725" i="1"/>
  <c r="C725" i="1"/>
  <c r="E725" i="1"/>
  <c r="S725" i="1"/>
  <c r="T725" i="1"/>
  <c r="U725" i="1"/>
  <c r="BB725" i="1"/>
  <c r="BD725" i="1"/>
  <c r="CE725" i="1"/>
  <c r="A726" i="1"/>
  <c r="C726" i="1"/>
  <c r="E726" i="1"/>
  <c r="S726" i="1"/>
  <c r="T726" i="1"/>
  <c r="U726" i="1"/>
  <c r="BB726" i="1"/>
  <c r="BD726" i="1"/>
  <c r="CE726" i="1"/>
  <c r="A727" i="1"/>
  <c r="C727" i="1"/>
  <c r="E727" i="1"/>
  <c r="S727" i="1"/>
  <c r="T727" i="1"/>
  <c r="U727" i="1"/>
  <c r="BB727" i="1"/>
  <c r="BD727" i="1"/>
  <c r="CE727" i="1"/>
  <c r="A728" i="1"/>
  <c r="C728" i="1"/>
  <c r="E728" i="1"/>
  <c r="S728" i="1"/>
  <c r="T728" i="1"/>
  <c r="U728" i="1"/>
  <c r="BB728" i="1"/>
  <c r="BD728" i="1"/>
  <c r="CE728" i="1"/>
  <c r="A729" i="1"/>
  <c r="C729" i="1"/>
  <c r="E729" i="1"/>
  <c r="S729" i="1"/>
  <c r="T729" i="1"/>
  <c r="U729" i="1"/>
  <c r="BB729" i="1"/>
  <c r="BD729" i="1"/>
  <c r="CE729" i="1"/>
  <c r="A730" i="1"/>
  <c r="C730" i="1"/>
  <c r="E730" i="1"/>
  <c r="S730" i="1"/>
  <c r="T730" i="1"/>
  <c r="U730" i="1"/>
  <c r="BB730" i="1"/>
  <c r="BD730" i="1"/>
  <c r="CE730" i="1"/>
  <c r="A731" i="1"/>
  <c r="C731" i="1"/>
  <c r="E731" i="1"/>
  <c r="S731" i="1"/>
  <c r="T731" i="1"/>
  <c r="U731" i="1"/>
  <c r="BB731" i="1"/>
  <c r="BD731" i="1"/>
  <c r="CE731" i="1"/>
  <c r="A732" i="1"/>
  <c r="C732" i="1"/>
  <c r="E732" i="1"/>
  <c r="S732" i="1"/>
  <c r="T732" i="1"/>
  <c r="U732" i="1"/>
  <c r="BB732" i="1"/>
  <c r="BD732" i="1"/>
  <c r="CE732" i="1"/>
  <c r="A733" i="1"/>
  <c r="C733" i="1"/>
  <c r="E733" i="1"/>
  <c r="S733" i="1"/>
  <c r="T733" i="1"/>
  <c r="U733" i="1"/>
  <c r="BB733" i="1"/>
  <c r="BD733" i="1"/>
  <c r="CE733" i="1"/>
  <c r="A734" i="1"/>
  <c r="C734" i="1"/>
  <c r="E734" i="1"/>
  <c r="S734" i="1"/>
  <c r="T734" i="1"/>
  <c r="U734" i="1"/>
  <c r="BB734" i="1"/>
  <c r="BD734" i="1"/>
  <c r="CE734" i="1"/>
  <c r="A735" i="1"/>
  <c r="C735" i="1"/>
  <c r="E735" i="1"/>
  <c r="S735" i="1"/>
  <c r="T735" i="1"/>
  <c r="U735" i="1"/>
  <c r="BB735" i="1"/>
  <c r="BD735" i="1"/>
  <c r="CE735" i="1"/>
  <c r="A736" i="1"/>
  <c r="C736" i="1"/>
  <c r="E736" i="1"/>
  <c r="S736" i="1"/>
  <c r="T736" i="1"/>
  <c r="U736" i="1"/>
  <c r="BB736" i="1"/>
  <c r="BD736" i="1"/>
  <c r="CE736" i="1"/>
  <c r="A737" i="1"/>
  <c r="C737" i="1"/>
  <c r="E737" i="1"/>
  <c r="S737" i="1"/>
  <c r="T737" i="1"/>
  <c r="U737" i="1"/>
  <c r="BB737" i="1"/>
  <c r="BD737" i="1"/>
  <c r="CE737" i="1"/>
  <c r="A738" i="1"/>
  <c r="C738" i="1"/>
  <c r="E738" i="1"/>
  <c r="S738" i="1"/>
  <c r="T738" i="1"/>
  <c r="U738" i="1"/>
  <c r="BB738" i="1"/>
  <c r="BD738" i="1"/>
  <c r="CE738" i="1"/>
  <c r="A739" i="1"/>
  <c r="C739" i="1"/>
  <c r="E739" i="1"/>
  <c r="S739" i="1"/>
  <c r="T739" i="1"/>
  <c r="U739" i="1"/>
  <c r="BB739" i="1"/>
  <c r="BD739" i="1"/>
  <c r="CE739" i="1"/>
  <c r="A740" i="1"/>
  <c r="C740" i="1"/>
  <c r="E740" i="1"/>
  <c r="S740" i="1"/>
  <c r="T740" i="1"/>
  <c r="U740" i="1"/>
  <c r="BB740" i="1"/>
  <c r="BD740" i="1"/>
  <c r="CE740" i="1"/>
  <c r="A741" i="1"/>
  <c r="C741" i="1"/>
  <c r="E741" i="1"/>
  <c r="S741" i="1"/>
  <c r="T741" i="1"/>
  <c r="U741" i="1"/>
  <c r="BB741" i="1"/>
  <c r="BD741" i="1"/>
  <c r="CE741" i="1"/>
  <c r="A742" i="1"/>
  <c r="C742" i="1"/>
  <c r="E742" i="1"/>
  <c r="S742" i="1"/>
  <c r="T742" i="1"/>
  <c r="U742" i="1"/>
  <c r="BB742" i="1"/>
  <c r="BD742" i="1"/>
  <c r="CE742" i="1"/>
  <c r="A743" i="1"/>
  <c r="C743" i="1"/>
  <c r="E743" i="1"/>
  <c r="S743" i="1"/>
  <c r="T743" i="1"/>
  <c r="U743" i="1"/>
  <c r="BB743" i="1"/>
  <c r="BD743" i="1"/>
  <c r="CE743" i="1"/>
  <c r="A744" i="1"/>
  <c r="C744" i="1"/>
  <c r="E744" i="1"/>
  <c r="S744" i="1"/>
  <c r="T744" i="1"/>
  <c r="U744" i="1"/>
  <c r="BB744" i="1"/>
  <c r="BD744" i="1"/>
  <c r="CE744" i="1"/>
  <c r="A745" i="1"/>
  <c r="C745" i="1"/>
  <c r="E745" i="1"/>
  <c r="S745" i="1"/>
  <c r="T745" i="1"/>
  <c r="U745" i="1"/>
  <c r="BB745" i="1"/>
  <c r="BD745" i="1"/>
  <c r="CE745" i="1"/>
  <c r="A746" i="1"/>
  <c r="C746" i="1"/>
  <c r="E746" i="1"/>
  <c r="S746" i="1"/>
  <c r="T746" i="1"/>
  <c r="U746" i="1"/>
  <c r="BB746" i="1"/>
  <c r="BD746" i="1"/>
  <c r="CE746" i="1"/>
  <c r="A747" i="1"/>
  <c r="C747" i="1"/>
  <c r="E747" i="1"/>
  <c r="S747" i="1"/>
  <c r="T747" i="1"/>
  <c r="U747" i="1"/>
  <c r="BB747" i="1"/>
  <c r="BD747" i="1"/>
  <c r="CE747" i="1"/>
  <c r="A748" i="1"/>
  <c r="C748" i="1"/>
  <c r="E748" i="1"/>
  <c r="S748" i="1"/>
  <c r="T748" i="1"/>
  <c r="U748" i="1"/>
  <c r="BB748" i="1"/>
  <c r="BD748" i="1"/>
  <c r="CE748" i="1"/>
  <c r="A749" i="1"/>
  <c r="C749" i="1"/>
  <c r="E749" i="1"/>
  <c r="S749" i="1"/>
  <c r="T749" i="1"/>
  <c r="U749" i="1"/>
  <c r="BB749" i="1"/>
  <c r="BD749" i="1"/>
  <c r="CE749" i="1"/>
  <c r="A750" i="1"/>
  <c r="C750" i="1"/>
  <c r="E750" i="1"/>
  <c r="S750" i="1"/>
  <c r="T750" i="1"/>
  <c r="U750" i="1"/>
  <c r="BB750" i="1"/>
  <c r="BD750" i="1"/>
  <c r="CE750" i="1"/>
  <c r="A751" i="1"/>
  <c r="C751" i="1"/>
  <c r="E751" i="1"/>
  <c r="S751" i="1"/>
  <c r="T751" i="1"/>
  <c r="U751" i="1"/>
  <c r="BB751" i="1"/>
  <c r="BD751" i="1"/>
  <c r="CE751" i="1"/>
  <c r="A752" i="1"/>
  <c r="C752" i="1"/>
  <c r="E752" i="1"/>
  <c r="S752" i="1"/>
  <c r="T752" i="1"/>
  <c r="U752" i="1"/>
  <c r="BB752" i="1"/>
  <c r="BD752" i="1"/>
  <c r="CE752" i="1"/>
  <c r="A753" i="1"/>
  <c r="C753" i="1"/>
  <c r="E753" i="1"/>
  <c r="S753" i="1"/>
  <c r="T753" i="1"/>
  <c r="U753" i="1"/>
  <c r="BB753" i="1"/>
  <c r="BD753" i="1"/>
  <c r="CE753" i="1"/>
  <c r="A754" i="1"/>
  <c r="C754" i="1"/>
  <c r="E754" i="1"/>
  <c r="S754" i="1"/>
  <c r="T754" i="1"/>
  <c r="U754" i="1"/>
  <c r="BB754" i="1"/>
  <c r="BD754" i="1"/>
  <c r="CE754" i="1"/>
  <c r="A755" i="1"/>
  <c r="C755" i="1"/>
  <c r="E755" i="1"/>
  <c r="S755" i="1"/>
  <c r="T755" i="1"/>
  <c r="U755" i="1"/>
  <c r="BB755" i="1"/>
  <c r="BD755" i="1"/>
  <c r="CE755" i="1"/>
  <c r="A756" i="1"/>
  <c r="C756" i="1"/>
  <c r="E756" i="1"/>
  <c r="S756" i="1"/>
  <c r="T756" i="1"/>
  <c r="U756" i="1"/>
  <c r="BB756" i="1"/>
  <c r="BD756" i="1"/>
  <c r="CE756" i="1"/>
  <c r="A757" i="1"/>
  <c r="C757" i="1"/>
  <c r="E757" i="1"/>
  <c r="S757" i="1"/>
  <c r="T757" i="1"/>
  <c r="U757" i="1"/>
  <c r="BB757" i="1"/>
  <c r="BD757" i="1"/>
  <c r="CE757" i="1"/>
  <c r="A758" i="1"/>
  <c r="C758" i="1"/>
  <c r="E758" i="1"/>
  <c r="S758" i="1"/>
  <c r="T758" i="1"/>
  <c r="U758" i="1"/>
  <c r="BB758" i="1"/>
  <c r="BD758" i="1"/>
  <c r="CE758" i="1"/>
  <c r="A759" i="1"/>
  <c r="C759" i="1"/>
  <c r="E759" i="1"/>
  <c r="S759" i="1"/>
  <c r="T759" i="1"/>
  <c r="U759" i="1"/>
  <c r="BB759" i="1"/>
  <c r="BD759" i="1"/>
  <c r="CE759" i="1"/>
  <c r="A760" i="1"/>
  <c r="C760" i="1"/>
  <c r="E760" i="1"/>
  <c r="S760" i="1"/>
  <c r="T760" i="1"/>
  <c r="U760" i="1"/>
  <c r="BB760" i="1"/>
  <c r="BD760" i="1"/>
  <c r="CE760" i="1"/>
  <c r="A761" i="1"/>
  <c r="C761" i="1"/>
  <c r="E761" i="1"/>
  <c r="S761" i="1"/>
  <c r="T761" i="1"/>
  <c r="U761" i="1"/>
  <c r="BB761" i="1"/>
  <c r="BD761" i="1"/>
  <c r="CE761" i="1"/>
  <c r="A762" i="1"/>
  <c r="C762" i="1"/>
  <c r="E762" i="1"/>
  <c r="S762" i="1"/>
  <c r="T762" i="1"/>
  <c r="U762" i="1"/>
  <c r="BB762" i="1"/>
  <c r="BD762" i="1"/>
  <c r="CE762" i="1"/>
  <c r="A763" i="1"/>
  <c r="C763" i="1"/>
  <c r="E763" i="1"/>
  <c r="S763" i="1"/>
  <c r="T763" i="1"/>
  <c r="U763" i="1"/>
  <c r="BB763" i="1"/>
  <c r="BD763" i="1"/>
  <c r="CE763" i="1"/>
  <c r="A764" i="1"/>
  <c r="C764" i="1"/>
  <c r="E764" i="1"/>
  <c r="S764" i="1"/>
  <c r="T764" i="1"/>
  <c r="U764" i="1"/>
  <c r="BB764" i="1"/>
  <c r="BD764" i="1"/>
  <c r="CE764" i="1"/>
  <c r="A765" i="1"/>
  <c r="C765" i="1"/>
  <c r="E765" i="1"/>
  <c r="S765" i="1"/>
  <c r="T765" i="1"/>
  <c r="U765" i="1"/>
  <c r="BB765" i="1"/>
  <c r="BD765" i="1"/>
  <c r="CE765" i="1"/>
  <c r="A766" i="1"/>
  <c r="C766" i="1"/>
  <c r="E766" i="1"/>
  <c r="S766" i="1"/>
  <c r="T766" i="1"/>
  <c r="U766" i="1"/>
  <c r="BB766" i="1"/>
  <c r="BD766" i="1"/>
  <c r="CE766" i="1"/>
  <c r="A767" i="1"/>
  <c r="C767" i="1"/>
  <c r="E767" i="1"/>
  <c r="S767" i="1"/>
  <c r="T767" i="1"/>
  <c r="U767" i="1"/>
  <c r="BB767" i="1"/>
  <c r="BD767" i="1"/>
  <c r="CE767" i="1"/>
  <c r="A768" i="1"/>
  <c r="C768" i="1"/>
  <c r="E768" i="1"/>
  <c r="S768" i="1"/>
  <c r="T768" i="1"/>
  <c r="U768" i="1"/>
  <c r="BB768" i="1"/>
  <c r="BD768" i="1"/>
  <c r="CE768" i="1"/>
  <c r="A769" i="1"/>
  <c r="C769" i="1"/>
  <c r="E769" i="1"/>
  <c r="S769" i="1"/>
  <c r="T769" i="1"/>
  <c r="U769" i="1"/>
  <c r="BB769" i="1"/>
  <c r="BD769" i="1"/>
  <c r="CE769" i="1"/>
  <c r="A770" i="1"/>
  <c r="C770" i="1"/>
  <c r="E770" i="1"/>
  <c r="S770" i="1"/>
  <c r="T770" i="1"/>
  <c r="U770" i="1"/>
  <c r="BB770" i="1"/>
  <c r="BD770" i="1"/>
  <c r="CE770" i="1"/>
  <c r="A771" i="1"/>
  <c r="C771" i="1"/>
  <c r="E771" i="1"/>
  <c r="S771" i="1"/>
  <c r="T771" i="1"/>
  <c r="U771" i="1"/>
  <c r="BB771" i="1"/>
  <c r="BD771" i="1"/>
  <c r="CE771" i="1"/>
  <c r="A772" i="1"/>
  <c r="C772" i="1"/>
  <c r="E772" i="1"/>
  <c r="S772" i="1"/>
  <c r="T772" i="1"/>
  <c r="U772" i="1"/>
  <c r="BB772" i="1"/>
  <c r="BD772" i="1"/>
  <c r="CE772" i="1"/>
  <c r="A773" i="1"/>
  <c r="C773" i="1"/>
  <c r="E773" i="1"/>
  <c r="S773" i="1"/>
  <c r="T773" i="1"/>
  <c r="U773" i="1"/>
  <c r="BB773" i="1"/>
  <c r="BD773" i="1"/>
  <c r="CE773" i="1"/>
  <c r="A774" i="1"/>
  <c r="C774" i="1"/>
  <c r="E774" i="1"/>
  <c r="S774" i="1"/>
  <c r="T774" i="1"/>
  <c r="U774" i="1"/>
  <c r="BB774" i="1"/>
  <c r="BD774" i="1"/>
  <c r="CE774" i="1"/>
  <c r="A775" i="1"/>
  <c r="C775" i="1"/>
  <c r="E775" i="1"/>
  <c r="S775" i="1"/>
  <c r="T775" i="1"/>
  <c r="U775" i="1"/>
  <c r="BB775" i="1"/>
  <c r="BD775" i="1"/>
  <c r="CE775" i="1"/>
  <c r="A776" i="1"/>
  <c r="C776" i="1"/>
  <c r="E776" i="1"/>
  <c r="S776" i="1"/>
  <c r="T776" i="1"/>
  <c r="U776" i="1"/>
  <c r="BB776" i="1"/>
  <c r="BD776" i="1"/>
  <c r="CE776" i="1"/>
  <c r="A777" i="1"/>
  <c r="C777" i="1"/>
  <c r="E777" i="1"/>
  <c r="S777" i="1"/>
  <c r="T777" i="1"/>
  <c r="U777" i="1"/>
  <c r="BB777" i="1"/>
  <c r="BD777" i="1"/>
  <c r="CE777" i="1"/>
  <c r="A778" i="1"/>
  <c r="C778" i="1"/>
  <c r="E778" i="1"/>
  <c r="S778" i="1"/>
  <c r="T778" i="1"/>
  <c r="U778" i="1"/>
  <c r="BB778" i="1"/>
  <c r="BD778" i="1"/>
  <c r="CE778" i="1"/>
  <c r="A779" i="1"/>
  <c r="C779" i="1"/>
  <c r="E779" i="1"/>
  <c r="S779" i="1"/>
  <c r="T779" i="1"/>
  <c r="U779" i="1"/>
  <c r="BB779" i="1"/>
  <c r="BD779" i="1"/>
  <c r="CE779" i="1"/>
  <c r="A780" i="1"/>
  <c r="C780" i="1"/>
  <c r="E780" i="1"/>
  <c r="S780" i="1"/>
  <c r="T780" i="1"/>
  <c r="U780" i="1"/>
  <c r="BB780" i="1"/>
  <c r="BD780" i="1"/>
  <c r="CE780" i="1"/>
  <c r="A781" i="1"/>
  <c r="C781" i="1"/>
  <c r="E781" i="1"/>
  <c r="S781" i="1"/>
  <c r="T781" i="1"/>
  <c r="U781" i="1"/>
  <c r="BB781" i="1"/>
  <c r="BD781" i="1"/>
  <c r="CE781" i="1"/>
  <c r="A782" i="1"/>
  <c r="C782" i="1"/>
  <c r="E782" i="1"/>
  <c r="S782" i="1"/>
  <c r="T782" i="1"/>
  <c r="U782" i="1"/>
  <c r="BB782" i="1"/>
  <c r="BD782" i="1"/>
  <c r="CE782" i="1"/>
  <c r="A783" i="1"/>
  <c r="C783" i="1"/>
  <c r="E783" i="1"/>
  <c r="S783" i="1"/>
  <c r="T783" i="1"/>
  <c r="U783" i="1"/>
  <c r="BB783" i="1"/>
  <c r="BD783" i="1"/>
  <c r="CE783" i="1"/>
  <c r="A784" i="1"/>
  <c r="C784" i="1"/>
  <c r="E784" i="1"/>
  <c r="S784" i="1"/>
  <c r="T784" i="1"/>
  <c r="U784" i="1"/>
  <c r="BB784" i="1"/>
  <c r="BD784" i="1"/>
  <c r="CE784" i="1"/>
  <c r="A785" i="1"/>
  <c r="C785" i="1"/>
  <c r="E785" i="1"/>
  <c r="S785" i="1"/>
  <c r="T785" i="1"/>
  <c r="U785" i="1"/>
  <c r="BB785" i="1"/>
  <c r="BD785" i="1"/>
  <c r="CE785" i="1"/>
  <c r="A786" i="1"/>
  <c r="C786" i="1"/>
  <c r="E786" i="1"/>
  <c r="S786" i="1"/>
  <c r="T786" i="1"/>
  <c r="U786" i="1"/>
  <c r="BB786" i="1"/>
  <c r="BD786" i="1"/>
  <c r="CE786" i="1"/>
  <c r="A787" i="1"/>
  <c r="C787" i="1"/>
  <c r="E787" i="1"/>
  <c r="S787" i="1"/>
  <c r="T787" i="1"/>
  <c r="U787" i="1"/>
  <c r="BB787" i="1"/>
  <c r="BD787" i="1"/>
  <c r="CE787" i="1"/>
  <c r="A788" i="1"/>
  <c r="C788" i="1"/>
  <c r="E788" i="1"/>
  <c r="S788" i="1"/>
  <c r="T788" i="1"/>
  <c r="U788" i="1"/>
  <c r="BB788" i="1"/>
  <c r="BD788" i="1"/>
  <c r="CE788" i="1"/>
  <c r="A789" i="1"/>
  <c r="C789" i="1"/>
  <c r="E789" i="1"/>
  <c r="S789" i="1"/>
  <c r="T789" i="1"/>
  <c r="U789" i="1"/>
  <c r="BB789" i="1"/>
  <c r="BD789" i="1"/>
  <c r="CE789" i="1"/>
  <c r="A790" i="1"/>
  <c r="C790" i="1"/>
  <c r="E790" i="1"/>
  <c r="S790" i="1"/>
  <c r="T790" i="1"/>
  <c r="U790" i="1"/>
  <c r="BB790" i="1"/>
  <c r="BD790" i="1"/>
  <c r="CE790" i="1"/>
  <c r="A791" i="1"/>
  <c r="C791" i="1"/>
  <c r="E791" i="1"/>
  <c r="S791" i="1"/>
  <c r="T791" i="1"/>
  <c r="U791" i="1"/>
  <c r="BB791" i="1"/>
  <c r="BD791" i="1"/>
  <c r="CE791" i="1"/>
  <c r="A792" i="1"/>
  <c r="C792" i="1"/>
  <c r="E792" i="1"/>
  <c r="S792" i="1"/>
  <c r="T792" i="1"/>
  <c r="U792" i="1"/>
  <c r="BB792" i="1"/>
  <c r="BD792" i="1"/>
  <c r="CE792" i="1"/>
  <c r="A793" i="1"/>
  <c r="C793" i="1"/>
  <c r="E793" i="1"/>
  <c r="S793" i="1"/>
  <c r="T793" i="1"/>
  <c r="U793" i="1"/>
  <c r="BB793" i="1"/>
  <c r="BD793" i="1"/>
  <c r="CE793" i="1"/>
  <c r="A794" i="1"/>
  <c r="C794" i="1"/>
  <c r="E794" i="1"/>
  <c r="S794" i="1"/>
  <c r="T794" i="1"/>
  <c r="U794" i="1"/>
  <c r="BB794" i="1"/>
  <c r="BD794" i="1"/>
  <c r="CE794" i="1"/>
  <c r="A795" i="1"/>
  <c r="C795" i="1"/>
  <c r="E795" i="1"/>
  <c r="S795" i="1"/>
  <c r="T795" i="1"/>
  <c r="U795" i="1"/>
  <c r="BB795" i="1"/>
  <c r="BD795" i="1"/>
  <c r="CE795" i="1"/>
  <c r="A796" i="1"/>
  <c r="C796" i="1"/>
  <c r="E796" i="1"/>
  <c r="S796" i="1"/>
  <c r="T796" i="1"/>
  <c r="U796" i="1"/>
  <c r="BB796" i="1"/>
  <c r="BD796" i="1"/>
  <c r="CE796" i="1"/>
  <c r="A797" i="1"/>
  <c r="C797" i="1"/>
  <c r="E797" i="1"/>
  <c r="S797" i="1"/>
  <c r="T797" i="1"/>
  <c r="U797" i="1"/>
  <c r="BB797" i="1"/>
  <c r="BD797" i="1"/>
  <c r="CE797" i="1"/>
  <c r="A798" i="1"/>
  <c r="C798" i="1"/>
  <c r="E798" i="1"/>
  <c r="S798" i="1"/>
  <c r="T798" i="1"/>
  <c r="U798" i="1"/>
  <c r="BB798" i="1"/>
  <c r="BD798" i="1"/>
  <c r="CE798" i="1"/>
  <c r="A799" i="1"/>
  <c r="C799" i="1"/>
  <c r="E799" i="1"/>
  <c r="S799" i="1"/>
  <c r="T799" i="1"/>
  <c r="U799" i="1"/>
  <c r="BB799" i="1"/>
  <c r="BD799" i="1"/>
  <c r="CE799" i="1"/>
  <c r="A800" i="1"/>
  <c r="C800" i="1"/>
  <c r="E800" i="1"/>
  <c r="S800" i="1"/>
  <c r="T800" i="1"/>
  <c r="U800" i="1"/>
  <c r="BB800" i="1"/>
  <c r="BD800" i="1"/>
  <c r="CE800" i="1"/>
  <c r="A801" i="1"/>
  <c r="C801" i="1"/>
  <c r="E801" i="1"/>
  <c r="S801" i="1"/>
  <c r="T801" i="1"/>
  <c r="U801" i="1"/>
  <c r="BB801" i="1"/>
  <c r="BD801" i="1"/>
  <c r="CE801" i="1"/>
  <c r="A802" i="1"/>
  <c r="C802" i="1"/>
  <c r="E802" i="1"/>
  <c r="S802" i="1"/>
  <c r="T802" i="1"/>
  <c r="U802" i="1"/>
  <c r="BB802" i="1"/>
  <c r="BD802" i="1"/>
  <c r="CE802" i="1"/>
  <c r="A803" i="1"/>
  <c r="C803" i="1"/>
  <c r="E803" i="1"/>
  <c r="S803" i="1"/>
  <c r="T803" i="1"/>
  <c r="U803" i="1"/>
  <c r="BB803" i="1"/>
  <c r="BD803" i="1"/>
  <c r="CE803" i="1"/>
  <c r="A804" i="1"/>
  <c r="C804" i="1"/>
  <c r="E804" i="1"/>
  <c r="S804" i="1"/>
  <c r="T804" i="1"/>
  <c r="U804" i="1"/>
  <c r="BB804" i="1"/>
  <c r="BD804" i="1"/>
  <c r="CE804" i="1"/>
  <c r="A805" i="1"/>
  <c r="C805" i="1"/>
  <c r="E805" i="1"/>
  <c r="S805" i="1"/>
  <c r="T805" i="1"/>
  <c r="U805" i="1"/>
  <c r="BB805" i="1"/>
  <c r="BD805" i="1"/>
  <c r="CE805" i="1"/>
  <c r="A806" i="1"/>
  <c r="C806" i="1"/>
  <c r="E806" i="1"/>
  <c r="S806" i="1"/>
  <c r="T806" i="1"/>
  <c r="U806" i="1"/>
  <c r="BB806" i="1"/>
  <c r="BD806" i="1"/>
  <c r="CE806" i="1"/>
  <c r="A807" i="1"/>
  <c r="C807" i="1"/>
  <c r="E807" i="1"/>
  <c r="S807" i="1"/>
  <c r="T807" i="1"/>
  <c r="U807" i="1"/>
  <c r="BB807" i="1"/>
  <c r="BD807" i="1"/>
  <c r="CE807" i="1"/>
  <c r="A808" i="1"/>
  <c r="C808" i="1"/>
  <c r="E808" i="1"/>
  <c r="S808" i="1"/>
  <c r="T808" i="1"/>
  <c r="U808" i="1"/>
  <c r="BB808" i="1"/>
  <c r="BD808" i="1"/>
  <c r="CE808" i="1"/>
  <c r="A809" i="1"/>
  <c r="C809" i="1"/>
  <c r="E809" i="1"/>
  <c r="S809" i="1"/>
  <c r="T809" i="1"/>
  <c r="U809" i="1"/>
  <c r="BB809" i="1"/>
  <c r="BD809" i="1"/>
  <c r="CE809" i="1"/>
  <c r="A810" i="1"/>
  <c r="C810" i="1"/>
  <c r="E810" i="1"/>
  <c r="S810" i="1"/>
  <c r="T810" i="1"/>
  <c r="U810" i="1"/>
  <c r="BB810" i="1"/>
  <c r="BD810" i="1"/>
  <c r="CE810" i="1"/>
  <c r="A811" i="1"/>
  <c r="C811" i="1"/>
  <c r="E811" i="1"/>
  <c r="S811" i="1"/>
  <c r="T811" i="1"/>
  <c r="U811" i="1"/>
  <c r="BB811" i="1"/>
  <c r="BD811" i="1"/>
  <c r="CE811" i="1"/>
  <c r="A812" i="1"/>
  <c r="C812" i="1"/>
  <c r="E812" i="1"/>
  <c r="S812" i="1"/>
  <c r="T812" i="1"/>
  <c r="U812" i="1"/>
  <c r="BB812" i="1"/>
  <c r="BD812" i="1"/>
  <c r="CE812" i="1"/>
  <c r="A813" i="1"/>
  <c r="C813" i="1"/>
  <c r="E813" i="1"/>
  <c r="S813" i="1"/>
  <c r="T813" i="1"/>
  <c r="U813" i="1"/>
  <c r="BB813" i="1"/>
  <c r="BD813" i="1"/>
  <c r="CE813" i="1"/>
  <c r="A814" i="1"/>
  <c r="C814" i="1"/>
  <c r="E814" i="1"/>
  <c r="S814" i="1"/>
  <c r="T814" i="1"/>
  <c r="U814" i="1"/>
  <c r="BB814" i="1"/>
  <c r="BD814" i="1"/>
  <c r="CE814" i="1"/>
  <c r="A815" i="1"/>
  <c r="C815" i="1"/>
  <c r="E815" i="1"/>
  <c r="S815" i="1"/>
  <c r="T815" i="1"/>
  <c r="U815" i="1"/>
  <c r="BB815" i="1"/>
  <c r="BD815" i="1"/>
  <c r="CE815" i="1"/>
  <c r="A816" i="1"/>
  <c r="C816" i="1"/>
  <c r="E816" i="1"/>
  <c r="S816" i="1"/>
  <c r="T816" i="1"/>
  <c r="U816" i="1"/>
  <c r="BB816" i="1"/>
  <c r="BD816" i="1"/>
  <c r="CE816" i="1"/>
  <c r="A817" i="1"/>
  <c r="C817" i="1"/>
  <c r="E817" i="1"/>
  <c r="S817" i="1"/>
  <c r="T817" i="1"/>
  <c r="U817" i="1"/>
  <c r="BB817" i="1"/>
  <c r="BD817" i="1"/>
  <c r="CE817" i="1"/>
  <c r="A818" i="1"/>
  <c r="C818" i="1"/>
  <c r="E818" i="1"/>
  <c r="S818" i="1"/>
  <c r="T818" i="1"/>
  <c r="U818" i="1"/>
  <c r="BB818" i="1"/>
  <c r="BD818" i="1"/>
  <c r="CE818" i="1"/>
  <c r="A819" i="1"/>
  <c r="C819" i="1"/>
  <c r="E819" i="1"/>
  <c r="S819" i="1"/>
  <c r="T819" i="1"/>
  <c r="U819" i="1"/>
  <c r="BB819" i="1"/>
  <c r="BD819" i="1"/>
  <c r="CE819" i="1"/>
  <c r="A820" i="1"/>
  <c r="C820" i="1"/>
  <c r="E820" i="1"/>
  <c r="S820" i="1"/>
  <c r="T820" i="1"/>
  <c r="U820" i="1"/>
  <c r="BB820" i="1"/>
  <c r="BD820" i="1"/>
  <c r="CE820" i="1"/>
  <c r="A821" i="1"/>
  <c r="C821" i="1"/>
  <c r="E821" i="1"/>
  <c r="S821" i="1"/>
  <c r="T821" i="1"/>
  <c r="U821" i="1"/>
  <c r="BB821" i="1"/>
  <c r="BD821" i="1"/>
  <c r="CE821" i="1"/>
  <c r="A822" i="1"/>
  <c r="C822" i="1"/>
  <c r="E822" i="1"/>
  <c r="S822" i="1"/>
  <c r="T822" i="1"/>
  <c r="U822" i="1"/>
  <c r="BB822" i="1"/>
  <c r="BD822" i="1"/>
  <c r="CE822" i="1"/>
  <c r="A823" i="1"/>
  <c r="C823" i="1"/>
  <c r="E823" i="1"/>
  <c r="S823" i="1"/>
  <c r="T823" i="1"/>
  <c r="U823" i="1"/>
  <c r="BB823" i="1"/>
  <c r="BD823" i="1"/>
  <c r="CE823" i="1"/>
  <c r="A824" i="1"/>
  <c r="C824" i="1"/>
  <c r="E824" i="1"/>
  <c r="S824" i="1"/>
  <c r="T824" i="1"/>
  <c r="U824" i="1"/>
  <c r="BB824" i="1"/>
  <c r="BD824" i="1"/>
  <c r="CE824" i="1"/>
  <c r="A825" i="1"/>
  <c r="C825" i="1"/>
  <c r="E825" i="1"/>
  <c r="S825" i="1"/>
  <c r="T825" i="1"/>
  <c r="U825" i="1"/>
  <c r="BB825" i="1"/>
  <c r="BD825" i="1"/>
  <c r="CE825" i="1"/>
  <c r="A826" i="1"/>
  <c r="C826" i="1"/>
  <c r="E826" i="1"/>
  <c r="S826" i="1"/>
  <c r="T826" i="1"/>
  <c r="U826" i="1"/>
  <c r="BB826" i="1"/>
  <c r="BD826" i="1"/>
  <c r="CE826" i="1"/>
  <c r="A827" i="1"/>
  <c r="C827" i="1"/>
  <c r="E827" i="1"/>
  <c r="S827" i="1"/>
  <c r="T827" i="1"/>
  <c r="U827" i="1"/>
  <c r="BB827" i="1"/>
  <c r="BD827" i="1"/>
  <c r="CE827" i="1"/>
  <c r="A828" i="1"/>
  <c r="C828" i="1"/>
  <c r="E828" i="1"/>
  <c r="S828" i="1"/>
  <c r="T828" i="1"/>
  <c r="U828" i="1"/>
  <c r="BB828" i="1"/>
  <c r="BD828" i="1"/>
  <c r="CE828" i="1"/>
  <c r="A829" i="1"/>
  <c r="C829" i="1"/>
  <c r="E829" i="1"/>
  <c r="S829" i="1"/>
  <c r="T829" i="1"/>
  <c r="U829" i="1"/>
  <c r="BB829" i="1"/>
  <c r="BD829" i="1"/>
  <c r="CE829" i="1"/>
  <c r="A830" i="1"/>
  <c r="C830" i="1"/>
  <c r="E830" i="1"/>
  <c r="S830" i="1"/>
  <c r="T830" i="1"/>
  <c r="U830" i="1"/>
  <c r="BB830" i="1"/>
  <c r="BD830" i="1"/>
  <c r="CE830" i="1"/>
  <c r="A831" i="1"/>
  <c r="C831" i="1"/>
  <c r="E831" i="1"/>
  <c r="S831" i="1"/>
  <c r="T831" i="1"/>
  <c r="U831" i="1"/>
  <c r="BB831" i="1"/>
  <c r="BD831" i="1"/>
  <c r="CE831" i="1"/>
  <c r="A832" i="1"/>
  <c r="C832" i="1"/>
  <c r="E832" i="1"/>
  <c r="S832" i="1"/>
  <c r="T832" i="1"/>
  <c r="U832" i="1"/>
  <c r="BB832" i="1"/>
  <c r="BD832" i="1"/>
  <c r="CE832" i="1"/>
  <c r="A833" i="1"/>
  <c r="C833" i="1"/>
  <c r="E833" i="1"/>
  <c r="S833" i="1"/>
  <c r="T833" i="1"/>
  <c r="U833" i="1"/>
  <c r="BB833" i="1"/>
  <c r="BD833" i="1"/>
  <c r="CE833" i="1"/>
  <c r="A834" i="1"/>
  <c r="C834" i="1"/>
  <c r="E834" i="1"/>
  <c r="S834" i="1"/>
  <c r="T834" i="1"/>
  <c r="U834" i="1"/>
  <c r="BB834" i="1"/>
  <c r="BD834" i="1"/>
  <c r="CE834" i="1"/>
  <c r="A835" i="1"/>
  <c r="C835" i="1"/>
  <c r="E835" i="1"/>
  <c r="S835" i="1"/>
  <c r="T835" i="1"/>
  <c r="U835" i="1"/>
  <c r="BB835" i="1"/>
  <c r="BD835" i="1"/>
  <c r="CE835" i="1"/>
  <c r="A836" i="1"/>
  <c r="C836" i="1"/>
  <c r="E836" i="1"/>
  <c r="S836" i="1"/>
  <c r="T836" i="1"/>
  <c r="U836" i="1"/>
  <c r="BB836" i="1"/>
  <c r="BD836" i="1"/>
  <c r="CE836" i="1"/>
  <c r="A837" i="1"/>
  <c r="C837" i="1"/>
  <c r="E837" i="1"/>
  <c r="S837" i="1"/>
  <c r="T837" i="1"/>
  <c r="U837" i="1"/>
  <c r="BB837" i="1"/>
  <c r="BD837" i="1"/>
  <c r="CE837" i="1"/>
  <c r="A838" i="1"/>
  <c r="C838" i="1"/>
  <c r="E838" i="1"/>
  <c r="S838" i="1"/>
  <c r="T838" i="1"/>
  <c r="U838" i="1"/>
  <c r="BB838" i="1"/>
  <c r="BD838" i="1"/>
  <c r="CE838" i="1"/>
  <c r="A839" i="1"/>
  <c r="C839" i="1"/>
  <c r="E839" i="1"/>
  <c r="S839" i="1"/>
  <c r="T839" i="1"/>
  <c r="U839" i="1"/>
  <c r="BB839" i="1"/>
  <c r="BD839" i="1"/>
  <c r="CE839" i="1"/>
  <c r="A840" i="1"/>
  <c r="C840" i="1"/>
  <c r="E840" i="1"/>
  <c r="S840" i="1"/>
  <c r="T840" i="1"/>
  <c r="U840" i="1"/>
  <c r="BB840" i="1"/>
  <c r="BD840" i="1"/>
  <c r="CE840" i="1"/>
  <c r="A841" i="1"/>
  <c r="C841" i="1"/>
  <c r="E841" i="1"/>
  <c r="S841" i="1"/>
  <c r="T841" i="1"/>
  <c r="U841" i="1"/>
  <c r="BB841" i="1"/>
  <c r="BD841" i="1"/>
  <c r="CE841" i="1"/>
  <c r="A842" i="1"/>
  <c r="C842" i="1"/>
  <c r="E842" i="1"/>
  <c r="S842" i="1"/>
  <c r="T842" i="1"/>
  <c r="U842" i="1"/>
  <c r="BB842" i="1"/>
  <c r="BD842" i="1"/>
  <c r="CE842" i="1"/>
  <c r="A843" i="1"/>
  <c r="C843" i="1"/>
  <c r="E843" i="1"/>
  <c r="S843" i="1"/>
  <c r="T843" i="1"/>
  <c r="U843" i="1"/>
  <c r="BB843" i="1"/>
  <c r="BD843" i="1"/>
  <c r="CE843" i="1"/>
  <c r="A844" i="1"/>
  <c r="C844" i="1"/>
  <c r="E844" i="1"/>
  <c r="S844" i="1"/>
  <c r="T844" i="1"/>
  <c r="U844" i="1"/>
  <c r="BB844" i="1"/>
  <c r="BD844" i="1"/>
  <c r="CE844" i="1"/>
  <c r="A845" i="1"/>
  <c r="C845" i="1"/>
  <c r="E845" i="1"/>
  <c r="S845" i="1"/>
  <c r="T845" i="1"/>
  <c r="U845" i="1"/>
  <c r="BB845" i="1"/>
  <c r="BD845" i="1"/>
  <c r="CE845" i="1"/>
  <c r="A846" i="1"/>
  <c r="C846" i="1"/>
  <c r="E846" i="1"/>
  <c r="S846" i="1"/>
  <c r="T846" i="1"/>
  <c r="U846" i="1"/>
  <c r="BB846" i="1"/>
  <c r="BD846" i="1"/>
  <c r="CE846" i="1"/>
  <c r="A847" i="1"/>
  <c r="C847" i="1"/>
  <c r="E847" i="1"/>
  <c r="S847" i="1"/>
  <c r="T847" i="1"/>
  <c r="U847" i="1"/>
  <c r="BB847" i="1"/>
  <c r="BD847" i="1"/>
  <c r="CE847" i="1"/>
  <c r="A848" i="1"/>
  <c r="C848" i="1"/>
  <c r="E848" i="1"/>
  <c r="S848" i="1"/>
  <c r="T848" i="1"/>
  <c r="U848" i="1"/>
  <c r="BB848" i="1"/>
  <c r="BD848" i="1"/>
  <c r="CE848" i="1"/>
  <c r="A849" i="1"/>
  <c r="C849" i="1"/>
  <c r="E849" i="1"/>
  <c r="S849" i="1"/>
  <c r="T849" i="1"/>
  <c r="U849" i="1"/>
  <c r="BB849" i="1"/>
  <c r="BD849" i="1"/>
  <c r="CE849" i="1"/>
  <c r="A850" i="1"/>
  <c r="C850" i="1"/>
  <c r="E850" i="1"/>
  <c r="S850" i="1"/>
  <c r="T850" i="1"/>
  <c r="U850" i="1"/>
  <c r="BB850" i="1"/>
  <c r="BD850" i="1"/>
  <c r="CE850" i="1"/>
  <c r="A851" i="1"/>
  <c r="C851" i="1"/>
  <c r="E851" i="1"/>
  <c r="S851" i="1"/>
  <c r="T851" i="1"/>
  <c r="U851" i="1"/>
  <c r="BB851" i="1"/>
  <c r="BD851" i="1"/>
  <c r="CE851" i="1"/>
  <c r="A852" i="1"/>
  <c r="C852" i="1"/>
  <c r="E852" i="1"/>
  <c r="S852" i="1"/>
  <c r="T852" i="1"/>
  <c r="U852" i="1"/>
  <c r="BB852" i="1"/>
  <c r="BD852" i="1"/>
  <c r="CE852" i="1"/>
  <c r="A853" i="1"/>
  <c r="C853" i="1"/>
  <c r="E853" i="1"/>
  <c r="S853" i="1"/>
  <c r="T853" i="1"/>
  <c r="U853" i="1"/>
  <c r="BB853" i="1"/>
  <c r="BD853" i="1"/>
  <c r="CE853" i="1"/>
  <c r="A854" i="1"/>
  <c r="C854" i="1"/>
  <c r="E854" i="1"/>
  <c r="S854" i="1"/>
  <c r="T854" i="1"/>
  <c r="U854" i="1"/>
  <c r="BB854" i="1"/>
  <c r="BD854" i="1"/>
  <c r="CE854" i="1"/>
  <c r="A855" i="1"/>
  <c r="C855" i="1"/>
  <c r="E855" i="1"/>
  <c r="S855" i="1"/>
  <c r="T855" i="1"/>
  <c r="U855" i="1"/>
  <c r="BB855" i="1"/>
  <c r="BD855" i="1"/>
  <c r="CE855" i="1"/>
  <c r="A856" i="1"/>
  <c r="C856" i="1"/>
  <c r="E856" i="1"/>
  <c r="S856" i="1"/>
  <c r="T856" i="1"/>
  <c r="U856" i="1"/>
  <c r="BB856" i="1"/>
  <c r="BD856" i="1"/>
  <c r="CE856" i="1"/>
  <c r="A857" i="1"/>
  <c r="C857" i="1"/>
  <c r="E857" i="1"/>
  <c r="S857" i="1"/>
  <c r="T857" i="1"/>
  <c r="U857" i="1"/>
  <c r="BB857" i="1"/>
  <c r="BD857" i="1"/>
  <c r="CE857" i="1"/>
  <c r="A858" i="1"/>
  <c r="C858" i="1"/>
  <c r="E858" i="1"/>
  <c r="S858" i="1"/>
  <c r="T858" i="1"/>
  <c r="U858" i="1"/>
  <c r="BB858" i="1"/>
  <c r="BD858" i="1"/>
  <c r="CE858" i="1"/>
  <c r="A859" i="1"/>
  <c r="C859" i="1"/>
  <c r="E859" i="1"/>
  <c r="S859" i="1"/>
  <c r="T859" i="1"/>
  <c r="U859" i="1"/>
  <c r="BB859" i="1"/>
  <c r="BD859" i="1"/>
  <c r="CE859" i="1"/>
  <c r="A860" i="1"/>
  <c r="C860" i="1"/>
  <c r="E860" i="1"/>
  <c r="S860" i="1"/>
  <c r="T860" i="1"/>
  <c r="U860" i="1"/>
  <c r="BB860" i="1"/>
  <c r="BD860" i="1"/>
  <c r="CE860" i="1"/>
  <c r="A861" i="1"/>
  <c r="C861" i="1"/>
  <c r="E861" i="1"/>
  <c r="S861" i="1"/>
  <c r="T861" i="1"/>
  <c r="U861" i="1"/>
  <c r="BB861" i="1"/>
  <c r="BD861" i="1"/>
  <c r="CE861" i="1"/>
  <c r="A862" i="1"/>
  <c r="C862" i="1"/>
  <c r="E862" i="1"/>
  <c r="S862" i="1"/>
  <c r="T862" i="1"/>
  <c r="U862" i="1"/>
  <c r="BB862" i="1"/>
  <c r="BD862" i="1"/>
  <c r="CE862" i="1"/>
  <c r="A863" i="1"/>
  <c r="C863" i="1"/>
  <c r="E863" i="1"/>
  <c r="S863" i="1"/>
  <c r="T863" i="1"/>
  <c r="U863" i="1"/>
  <c r="BB863" i="1"/>
  <c r="BD863" i="1"/>
  <c r="CE863" i="1"/>
  <c r="A864" i="1"/>
  <c r="C864" i="1"/>
  <c r="E864" i="1"/>
  <c r="S864" i="1"/>
  <c r="T864" i="1"/>
  <c r="U864" i="1"/>
  <c r="BB864" i="1"/>
  <c r="BD864" i="1"/>
  <c r="CE864" i="1"/>
  <c r="A865" i="1"/>
  <c r="C865" i="1"/>
  <c r="E865" i="1"/>
  <c r="S865" i="1"/>
  <c r="T865" i="1"/>
  <c r="U865" i="1"/>
  <c r="BB865" i="1"/>
  <c r="BD865" i="1"/>
  <c r="CE865" i="1"/>
  <c r="A866" i="1"/>
  <c r="C866" i="1"/>
  <c r="E866" i="1"/>
  <c r="S866" i="1"/>
  <c r="T866" i="1"/>
  <c r="U866" i="1"/>
  <c r="BB866" i="1"/>
  <c r="BD866" i="1"/>
  <c r="CE866" i="1"/>
  <c r="A867" i="1"/>
  <c r="C867" i="1"/>
  <c r="E867" i="1"/>
  <c r="S867" i="1"/>
  <c r="T867" i="1"/>
  <c r="U867" i="1"/>
  <c r="BB867" i="1"/>
  <c r="BD867" i="1"/>
  <c r="CE867" i="1"/>
  <c r="A868" i="1"/>
  <c r="C868" i="1"/>
  <c r="E868" i="1"/>
  <c r="S868" i="1"/>
  <c r="T868" i="1"/>
  <c r="U868" i="1"/>
  <c r="BB868" i="1"/>
  <c r="BD868" i="1"/>
  <c r="CE868" i="1"/>
  <c r="A869" i="1"/>
  <c r="C869" i="1"/>
  <c r="E869" i="1"/>
  <c r="S869" i="1"/>
  <c r="T869" i="1"/>
  <c r="U869" i="1"/>
  <c r="BB869" i="1"/>
  <c r="BD869" i="1"/>
  <c r="CE869" i="1"/>
  <c r="A870" i="1"/>
  <c r="C870" i="1"/>
  <c r="E870" i="1"/>
  <c r="S870" i="1"/>
  <c r="T870" i="1"/>
  <c r="U870" i="1"/>
  <c r="BB870" i="1"/>
  <c r="BD870" i="1"/>
  <c r="CE870" i="1"/>
  <c r="A871" i="1"/>
  <c r="C871" i="1"/>
  <c r="E871" i="1"/>
  <c r="S871" i="1"/>
  <c r="T871" i="1"/>
  <c r="U871" i="1"/>
  <c r="BB871" i="1"/>
  <c r="BD871" i="1"/>
  <c r="CE871" i="1"/>
  <c r="A872" i="1"/>
  <c r="C872" i="1"/>
  <c r="E872" i="1"/>
  <c r="S872" i="1"/>
  <c r="T872" i="1"/>
  <c r="U872" i="1"/>
  <c r="BB872" i="1"/>
  <c r="BD872" i="1"/>
  <c r="CE872" i="1"/>
  <c r="A873" i="1"/>
  <c r="C873" i="1"/>
  <c r="E873" i="1"/>
  <c r="S873" i="1"/>
  <c r="T873" i="1"/>
  <c r="U873" i="1"/>
  <c r="BB873" i="1"/>
  <c r="BD873" i="1"/>
  <c r="CE873" i="1"/>
  <c r="A874" i="1"/>
  <c r="C874" i="1"/>
  <c r="E874" i="1"/>
  <c r="S874" i="1"/>
  <c r="T874" i="1"/>
  <c r="U874" i="1"/>
  <c r="BB874" i="1"/>
  <c r="BD874" i="1"/>
  <c r="CE874" i="1"/>
  <c r="A875" i="1"/>
  <c r="C875" i="1"/>
  <c r="E875" i="1"/>
  <c r="S875" i="1"/>
  <c r="T875" i="1"/>
  <c r="U875" i="1"/>
  <c r="BB875" i="1"/>
  <c r="BD875" i="1"/>
  <c r="CE875" i="1"/>
  <c r="A876" i="1"/>
  <c r="C876" i="1"/>
  <c r="E876" i="1"/>
  <c r="S876" i="1"/>
  <c r="T876" i="1"/>
  <c r="U876" i="1"/>
  <c r="BB876" i="1"/>
  <c r="BD876" i="1"/>
  <c r="CE876" i="1"/>
  <c r="A877" i="1"/>
  <c r="C877" i="1"/>
  <c r="E877" i="1"/>
  <c r="S877" i="1"/>
  <c r="T877" i="1"/>
  <c r="U877" i="1"/>
  <c r="BB877" i="1"/>
  <c r="BD877" i="1"/>
  <c r="CE877" i="1"/>
  <c r="A878" i="1"/>
  <c r="C878" i="1"/>
  <c r="E878" i="1"/>
  <c r="S878" i="1"/>
  <c r="T878" i="1"/>
  <c r="U878" i="1"/>
  <c r="BB878" i="1"/>
  <c r="BD878" i="1"/>
  <c r="CE878" i="1"/>
  <c r="A879" i="1"/>
  <c r="C879" i="1"/>
  <c r="E879" i="1"/>
  <c r="S879" i="1"/>
  <c r="T879" i="1"/>
  <c r="U879" i="1"/>
  <c r="BB879" i="1"/>
  <c r="BD879" i="1"/>
  <c r="CE879" i="1"/>
  <c r="A880" i="1"/>
  <c r="C880" i="1"/>
  <c r="E880" i="1"/>
  <c r="S880" i="1"/>
  <c r="T880" i="1"/>
  <c r="U880" i="1"/>
  <c r="BB880" i="1"/>
  <c r="BD880" i="1"/>
  <c r="CE880" i="1"/>
  <c r="A881" i="1"/>
  <c r="C881" i="1"/>
  <c r="E881" i="1"/>
  <c r="S881" i="1"/>
  <c r="T881" i="1"/>
  <c r="U881" i="1"/>
  <c r="BB881" i="1"/>
  <c r="BD881" i="1"/>
  <c r="CE881" i="1"/>
  <c r="A882" i="1"/>
  <c r="C882" i="1"/>
  <c r="E882" i="1"/>
  <c r="S882" i="1"/>
  <c r="T882" i="1"/>
  <c r="U882" i="1"/>
  <c r="BB882" i="1"/>
  <c r="BD882" i="1"/>
  <c r="CE882" i="1"/>
  <c r="A883" i="1"/>
  <c r="C883" i="1"/>
  <c r="E883" i="1"/>
  <c r="S883" i="1"/>
  <c r="T883" i="1"/>
  <c r="U883" i="1"/>
  <c r="BB883" i="1"/>
  <c r="BD883" i="1"/>
  <c r="CE883" i="1"/>
  <c r="A884" i="1"/>
  <c r="C884" i="1"/>
  <c r="E884" i="1"/>
  <c r="S884" i="1"/>
  <c r="T884" i="1"/>
  <c r="U884" i="1"/>
  <c r="BB884" i="1"/>
  <c r="BD884" i="1"/>
  <c r="CE884" i="1"/>
  <c r="A885" i="1"/>
  <c r="C885" i="1"/>
  <c r="E885" i="1"/>
  <c r="S885" i="1"/>
  <c r="T885" i="1"/>
  <c r="U885" i="1"/>
  <c r="BB885" i="1"/>
  <c r="BD885" i="1"/>
  <c r="CE885" i="1"/>
  <c r="A886" i="1"/>
  <c r="C886" i="1"/>
  <c r="E886" i="1"/>
  <c r="S886" i="1"/>
  <c r="T886" i="1"/>
  <c r="U886" i="1"/>
  <c r="BB886" i="1"/>
  <c r="BD886" i="1"/>
  <c r="CE886" i="1"/>
  <c r="A887" i="1"/>
  <c r="C887" i="1"/>
  <c r="E887" i="1"/>
  <c r="S887" i="1"/>
  <c r="T887" i="1"/>
  <c r="U887" i="1"/>
  <c r="BB887" i="1"/>
  <c r="BD887" i="1"/>
  <c r="CE887" i="1"/>
  <c r="A888" i="1"/>
  <c r="C888" i="1"/>
  <c r="E888" i="1"/>
  <c r="S888" i="1"/>
  <c r="T888" i="1"/>
  <c r="U888" i="1"/>
  <c r="BB888" i="1"/>
  <c r="BD888" i="1"/>
  <c r="CE888" i="1"/>
  <c r="A889" i="1"/>
  <c r="C889" i="1"/>
  <c r="E889" i="1"/>
  <c r="S889" i="1"/>
  <c r="T889" i="1"/>
  <c r="U889" i="1"/>
  <c r="BB889" i="1"/>
  <c r="BD889" i="1"/>
  <c r="CE889" i="1"/>
  <c r="A890" i="1"/>
  <c r="C890" i="1"/>
  <c r="E890" i="1"/>
  <c r="S890" i="1"/>
  <c r="T890" i="1"/>
  <c r="U890" i="1"/>
  <c r="BB890" i="1"/>
  <c r="BD890" i="1"/>
  <c r="CE890" i="1"/>
  <c r="A891" i="1"/>
  <c r="C891" i="1"/>
  <c r="E891" i="1"/>
  <c r="S891" i="1"/>
  <c r="T891" i="1"/>
  <c r="U891" i="1"/>
  <c r="BB891" i="1"/>
  <c r="BD891" i="1"/>
  <c r="CE891" i="1"/>
  <c r="A892" i="1"/>
  <c r="C892" i="1"/>
  <c r="E892" i="1"/>
  <c r="S892" i="1"/>
  <c r="T892" i="1"/>
  <c r="U892" i="1"/>
  <c r="BB892" i="1"/>
  <c r="BD892" i="1"/>
  <c r="CE892" i="1"/>
  <c r="A893" i="1"/>
  <c r="C893" i="1"/>
  <c r="E893" i="1"/>
  <c r="S893" i="1"/>
  <c r="T893" i="1"/>
  <c r="U893" i="1"/>
  <c r="BB893" i="1"/>
  <c r="BD893" i="1"/>
  <c r="CE893" i="1"/>
  <c r="A894" i="1"/>
  <c r="C894" i="1"/>
  <c r="E894" i="1"/>
  <c r="S894" i="1"/>
  <c r="T894" i="1"/>
  <c r="U894" i="1"/>
  <c r="BB894" i="1"/>
  <c r="BD894" i="1"/>
  <c r="CE894" i="1"/>
  <c r="A895" i="1"/>
  <c r="C895" i="1"/>
  <c r="E895" i="1"/>
  <c r="S895" i="1"/>
  <c r="T895" i="1"/>
  <c r="U895" i="1"/>
  <c r="BB895" i="1"/>
  <c r="BD895" i="1"/>
  <c r="CE895" i="1"/>
  <c r="A896" i="1"/>
  <c r="C896" i="1"/>
  <c r="E896" i="1"/>
  <c r="S896" i="1"/>
  <c r="T896" i="1"/>
  <c r="U896" i="1"/>
  <c r="BB896" i="1"/>
  <c r="BD896" i="1"/>
  <c r="CE896" i="1"/>
  <c r="A897" i="1"/>
  <c r="C897" i="1"/>
  <c r="E897" i="1"/>
  <c r="S897" i="1"/>
  <c r="T897" i="1"/>
  <c r="U897" i="1"/>
  <c r="BB897" i="1"/>
  <c r="BD897" i="1"/>
  <c r="CE897" i="1"/>
  <c r="A898" i="1"/>
  <c r="C898" i="1"/>
  <c r="E898" i="1"/>
  <c r="S898" i="1"/>
  <c r="T898" i="1"/>
  <c r="U898" i="1"/>
  <c r="BB898" i="1"/>
  <c r="BD898" i="1"/>
  <c r="CE898" i="1"/>
  <c r="A899" i="1"/>
  <c r="C899" i="1"/>
  <c r="E899" i="1"/>
  <c r="S899" i="1"/>
  <c r="T899" i="1"/>
  <c r="U899" i="1"/>
  <c r="BB899" i="1"/>
  <c r="BD899" i="1"/>
  <c r="CE899" i="1"/>
  <c r="A900" i="1"/>
  <c r="C900" i="1"/>
  <c r="E900" i="1"/>
  <c r="S900" i="1"/>
  <c r="T900" i="1"/>
  <c r="U900" i="1"/>
  <c r="BB900" i="1"/>
  <c r="BD900" i="1"/>
  <c r="CE900" i="1"/>
  <c r="A901" i="1"/>
  <c r="C901" i="1"/>
  <c r="E901" i="1"/>
  <c r="S901" i="1"/>
  <c r="T901" i="1"/>
  <c r="U901" i="1"/>
  <c r="BB901" i="1"/>
  <c r="BD901" i="1"/>
  <c r="CE901" i="1"/>
  <c r="A902" i="1"/>
  <c r="C902" i="1"/>
  <c r="E902" i="1"/>
  <c r="S902" i="1"/>
  <c r="T902" i="1"/>
  <c r="U902" i="1"/>
  <c r="BB902" i="1"/>
  <c r="BD902" i="1"/>
  <c r="CE902" i="1"/>
  <c r="A903" i="1"/>
  <c r="C903" i="1"/>
  <c r="E903" i="1"/>
  <c r="S903" i="1"/>
  <c r="T903" i="1"/>
  <c r="U903" i="1"/>
  <c r="BB903" i="1"/>
  <c r="BD903" i="1"/>
  <c r="CE903" i="1"/>
  <c r="A904" i="1"/>
  <c r="C904" i="1"/>
  <c r="E904" i="1"/>
  <c r="S904" i="1"/>
  <c r="T904" i="1"/>
  <c r="U904" i="1"/>
  <c r="BB904" i="1"/>
  <c r="BD904" i="1"/>
  <c r="CE904" i="1"/>
  <c r="A905" i="1"/>
  <c r="C905" i="1"/>
  <c r="E905" i="1"/>
  <c r="S905" i="1"/>
  <c r="T905" i="1"/>
  <c r="U905" i="1"/>
  <c r="BB905" i="1"/>
  <c r="BD905" i="1"/>
  <c r="CE905" i="1"/>
  <c r="A906" i="1"/>
  <c r="C906" i="1"/>
  <c r="E906" i="1"/>
  <c r="S906" i="1"/>
  <c r="T906" i="1"/>
  <c r="U906" i="1"/>
  <c r="BB906" i="1"/>
  <c r="BD906" i="1"/>
  <c r="CE906" i="1"/>
  <c r="A907" i="1"/>
  <c r="C907" i="1"/>
  <c r="E907" i="1"/>
  <c r="S907" i="1"/>
  <c r="T907" i="1"/>
  <c r="U907" i="1"/>
  <c r="BB907" i="1"/>
  <c r="BD907" i="1"/>
  <c r="CE907" i="1"/>
  <c r="A908" i="1"/>
  <c r="C908" i="1"/>
  <c r="E908" i="1"/>
  <c r="S908" i="1"/>
  <c r="T908" i="1"/>
  <c r="U908" i="1"/>
  <c r="BB908" i="1"/>
  <c r="BD908" i="1"/>
  <c r="CE908" i="1"/>
  <c r="A909" i="1"/>
  <c r="C909" i="1"/>
  <c r="E909" i="1"/>
  <c r="S909" i="1"/>
  <c r="T909" i="1"/>
  <c r="U909" i="1"/>
  <c r="BB909" i="1"/>
  <c r="BD909" i="1"/>
  <c r="CE909" i="1"/>
  <c r="A910" i="1"/>
  <c r="C910" i="1"/>
  <c r="E910" i="1"/>
  <c r="S910" i="1"/>
  <c r="T910" i="1"/>
  <c r="U910" i="1"/>
  <c r="BB910" i="1"/>
  <c r="BD910" i="1"/>
  <c r="CE910" i="1"/>
  <c r="A911" i="1"/>
  <c r="C911" i="1"/>
  <c r="E911" i="1"/>
  <c r="S911" i="1"/>
  <c r="T911" i="1"/>
  <c r="U911" i="1"/>
  <c r="BB911" i="1"/>
  <c r="BD911" i="1"/>
  <c r="CE911" i="1"/>
  <c r="A912" i="1"/>
  <c r="C912" i="1"/>
  <c r="E912" i="1"/>
  <c r="S912" i="1"/>
  <c r="T912" i="1"/>
  <c r="U912" i="1"/>
  <c r="BB912" i="1"/>
  <c r="BD912" i="1"/>
  <c r="CE912" i="1"/>
  <c r="A913" i="1"/>
  <c r="C913" i="1"/>
  <c r="E913" i="1"/>
  <c r="S913" i="1"/>
  <c r="T913" i="1"/>
  <c r="U913" i="1"/>
  <c r="BB913" i="1"/>
  <c r="BD913" i="1"/>
  <c r="CE913" i="1"/>
  <c r="A914" i="1"/>
  <c r="C914" i="1"/>
  <c r="E914" i="1"/>
  <c r="S914" i="1"/>
  <c r="T914" i="1"/>
  <c r="U914" i="1"/>
  <c r="BB914" i="1"/>
  <c r="BD914" i="1"/>
  <c r="CE914" i="1"/>
  <c r="A915" i="1"/>
  <c r="C915" i="1"/>
  <c r="E915" i="1"/>
  <c r="S915" i="1"/>
  <c r="T915" i="1"/>
  <c r="U915" i="1"/>
  <c r="BB915" i="1"/>
  <c r="BD915" i="1"/>
  <c r="CE915" i="1"/>
  <c r="A916" i="1"/>
  <c r="C916" i="1"/>
  <c r="E916" i="1"/>
  <c r="S916" i="1"/>
  <c r="T916" i="1"/>
  <c r="U916" i="1"/>
  <c r="BB916" i="1"/>
  <c r="BD916" i="1"/>
  <c r="CE916" i="1"/>
  <c r="A917" i="1"/>
  <c r="C917" i="1"/>
  <c r="E917" i="1"/>
  <c r="S917" i="1"/>
  <c r="T917" i="1"/>
  <c r="U917" i="1"/>
  <c r="BB917" i="1"/>
  <c r="BD917" i="1"/>
  <c r="CE917" i="1"/>
  <c r="A918" i="1"/>
  <c r="C918" i="1"/>
  <c r="E918" i="1"/>
  <c r="S918" i="1"/>
  <c r="T918" i="1"/>
  <c r="U918" i="1"/>
  <c r="BB918" i="1"/>
  <c r="BD918" i="1"/>
  <c r="CE918" i="1"/>
  <c r="A919" i="1"/>
  <c r="C919" i="1"/>
  <c r="E919" i="1"/>
  <c r="S919" i="1"/>
  <c r="T919" i="1"/>
  <c r="U919" i="1"/>
  <c r="BB919" i="1"/>
  <c r="BD919" i="1"/>
  <c r="CE919" i="1"/>
  <c r="A920" i="1"/>
  <c r="C920" i="1"/>
  <c r="E920" i="1"/>
  <c r="S920" i="1"/>
  <c r="T920" i="1"/>
  <c r="U920" i="1"/>
  <c r="BB920" i="1"/>
  <c r="BD920" i="1"/>
  <c r="CE920" i="1"/>
  <c r="A921" i="1"/>
  <c r="C921" i="1"/>
  <c r="E921" i="1"/>
  <c r="S921" i="1"/>
  <c r="T921" i="1"/>
  <c r="U921" i="1"/>
  <c r="BB921" i="1"/>
  <c r="BD921" i="1"/>
  <c r="CE921" i="1"/>
  <c r="A922" i="1"/>
  <c r="C922" i="1"/>
  <c r="E922" i="1"/>
  <c r="S922" i="1"/>
  <c r="T922" i="1"/>
  <c r="U922" i="1"/>
  <c r="BB922" i="1"/>
  <c r="BD922" i="1"/>
  <c r="CE922" i="1"/>
  <c r="A923" i="1"/>
  <c r="C923" i="1"/>
  <c r="E923" i="1"/>
  <c r="S923" i="1"/>
  <c r="T923" i="1"/>
  <c r="U923" i="1"/>
  <c r="BB923" i="1"/>
  <c r="BD923" i="1"/>
  <c r="CE923" i="1"/>
  <c r="A924" i="1"/>
  <c r="C924" i="1"/>
  <c r="E924" i="1"/>
  <c r="S924" i="1"/>
  <c r="T924" i="1"/>
  <c r="U924" i="1"/>
  <c r="BB924" i="1"/>
  <c r="BD924" i="1"/>
  <c r="CE924" i="1"/>
  <c r="A925" i="1"/>
  <c r="C925" i="1"/>
  <c r="E925" i="1"/>
  <c r="S925" i="1"/>
  <c r="T925" i="1"/>
  <c r="U925" i="1"/>
  <c r="BB925" i="1"/>
  <c r="BD925" i="1"/>
  <c r="CE925" i="1"/>
  <c r="A926" i="1"/>
  <c r="C926" i="1"/>
  <c r="E926" i="1"/>
  <c r="S926" i="1"/>
  <c r="T926" i="1"/>
  <c r="U926" i="1"/>
  <c r="BB926" i="1"/>
  <c r="BD926" i="1"/>
  <c r="CE926" i="1"/>
  <c r="A927" i="1"/>
  <c r="C927" i="1"/>
  <c r="E927" i="1"/>
  <c r="S927" i="1"/>
  <c r="T927" i="1"/>
  <c r="U927" i="1"/>
  <c r="BB927" i="1"/>
  <c r="BD927" i="1"/>
  <c r="CE927" i="1"/>
  <c r="A928" i="1"/>
  <c r="C928" i="1"/>
  <c r="E928" i="1"/>
  <c r="S928" i="1"/>
  <c r="T928" i="1"/>
  <c r="U928" i="1"/>
  <c r="BB928" i="1"/>
  <c r="BD928" i="1"/>
  <c r="CE928" i="1"/>
  <c r="A929" i="1"/>
  <c r="C929" i="1"/>
  <c r="E929" i="1"/>
  <c r="S929" i="1"/>
  <c r="T929" i="1"/>
  <c r="U929" i="1"/>
  <c r="BB929" i="1"/>
  <c r="BD929" i="1"/>
  <c r="CE929" i="1"/>
  <c r="A930" i="1"/>
  <c r="C930" i="1"/>
  <c r="E930" i="1"/>
  <c r="S930" i="1"/>
  <c r="T930" i="1"/>
  <c r="U930" i="1"/>
  <c r="BB930" i="1"/>
  <c r="BD930" i="1"/>
  <c r="CE930" i="1"/>
  <c r="A931" i="1"/>
  <c r="C931" i="1"/>
  <c r="E931" i="1"/>
  <c r="S931" i="1"/>
  <c r="T931" i="1"/>
  <c r="U931" i="1"/>
  <c r="BB931" i="1"/>
  <c r="BD931" i="1"/>
  <c r="CE931" i="1"/>
  <c r="A932" i="1"/>
  <c r="C932" i="1"/>
  <c r="E932" i="1"/>
  <c r="S932" i="1"/>
  <c r="T932" i="1"/>
  <c r="U932" i="1"/>
  <c r="BB932" i="1"/>
  <c r="BD932" i="1"/>
  <c r="CE932" i="1"/>
  <c r="A933" i="1"/>
  <c r="C933" i="1"/>
  <c r="E933" i="1"/>
  <c r="S933" i="1"/>
  <c r="T933" i="1"/>
  <c r="U933" i="1"/>
  <c r="BB933" i="1"/>
  <c r="BD933" i="1"/>
  <c r="CE933" i="1"/>
  <c r="A934" i="1"/>
  <c r="C934" i="1"/>
  <c r="E934" i="1"/>
  <c r="S934" i="1"/>
  <c r="T934" i="1"/>
  <c r="U934" i="1"/>
  <c r="BB934" i="1"/>
  <c r="BD934" i="1"/>
  <c r="CE934" i="1"/>
  <c r="A935" i="1"/>
  <c r="C935" i="1"/>
  <c r="E935" i="1"/>
  <c r="S935" i="1"/>
  <c r="T935" i="1"/>
  <c r="U935" i="1"/>
  <c r="BB935" i="1"/>
  <c r="BD935" i="1"/>
  <c r="CE935" i="1"/>
  <c r="A936" i="1"/>
  <c r="C936" i="1"/>
  <c r="E936" i="1"/>
  <c r="S936" i="1"/>
  <c r="T936" i="1"/>
  <c r="U936" i="1"/>
  <c r="BB936" i="1"/>
  <c r="BD936" i="1"/>
  <c r="CE936" i="1"/>
  <c r="A937" i="1"/>
  <c r="C937" i="1"/>
  <c r="E937" i="1"/>
  <c r="S937" i="1"/>
  <c r="T937" i="1"/>
  <c r="U937" i="1"/>
  <c r="BB937" i="1"/>
  <c r="BD937" i="1"/>
  <c r="CE937" i="1"/>
  <c r="A938" i="1"/>
  <c r="C938" i="1"/>
  <c r="E938" i="1"/>
  <c r="S938" i="1"/>
  <c r="T938" i="1"/>
  <c r="U938" i="1"/>
  <c r="BB938" i="1"/>
  <c r="BD938" i="1"/>
  <c r="CE938" i="1"/>
  <c r="A939" i="1"/>
  <c r="C939" i="1"/>
  <c r="E939" i="1"/>
  <c r="S939" i="1"/>
  <c r="T939" i="1"/>
  <c r="U939" i="1"/>
  <c r="BB939" i="1"/>
  <c r="BD939" i="1"/>
  <c r="CE939" i="1"/>
  <c r="A940" i="1"/>
  <c r="C940" i="1"/>
  <c r="E940" i="1"/>
  <c r="S940" i="1"/>
  <c r="T940" i="1"/>
  <c r="U940" i="1"/>
  <c r="BB940" i="1"/>
  <c r="BD940" i="1"/>
  <c r="CE940" i="1"/>
  <c r="A941" i="1"/>
  <c r="C941" i="1"/>
  <c r="E941" i="1"/>
  <c r="S941" i="1"/>
  <c r="T941" i="1"/>
  <c r="U941" i="1"/>
  <c r="BB941" i="1"/>
  <c r="BD941" i="1"/>
  <c r="CE941" i="1"/>
  <c r="A942" i="1"/>
  <c r="C942" i="1"/>
  <c r="E942" i="1"/>
  <c r="S942" i="1"/>
  <c r="T942" i="1"/>
  <c r="U942" i="1"/>
  <c r="BB942" i="1"/>
  <c r="BD942" i="1"/>
  <c r="CE942" i="1"/>
  <c r="A943" i="1"/>
  <c r="C943" i="1"/>
  <c r="E943" i="1"/>
  <c r="S943" i="1"/>
  <c r="T943" i="1"/>
  <c r="U943" i="1"/>
  <c r="BB943" i="1"/>
  <c r="BD943" i="1"/>
  <c r="CE943" i="1"/>
  <c r="A944" i="1"/>
  <c r="C944" i="1"/>
  <c r="E944" i="1"/>
  <c r="S944" i="1"/>
  <c r="T944" i="1"/>
  <c r="U944" i="1"/>
  <c r="BB944" i="1"/>
  <c r="BD944" i="1"/>
  <c r="CE944" i="1"/>
  <c r="A945" i="1"/>
  <c r="C945" i="1"/>
  <c r="E945" i="1"/>
  <c r="S945" i="1"/>
  <c r="T945" i="1"/>
  <c r="U945" i="1"/>
  <c r="BB945" i="1"/>
  <c r="BD945" i="1"/>
  <c r="CE945" i="1"/>
  <c r="A946" i="1"/>
  <c r="C946" i="1"/>
  <c r="E946" i="1"/>
  <c r="S946" i="1"/>
  <c r="T946" i="1"/>
  <c r="U946" i="1"/>
  <c r="BB946" i="1"/>
  <c r="BD946" i="1"/>
  <c r="CE946" i="1"/>
  <c r="A947" i="1"/>
  <c r="C947" i="1"/>
  <c r="E947" i="1"/>
  <c r="S947" i="1"/>
  <c r="T947" i="1"/>
  <c r="U947" i="1"/>
  <c r="BB947" i="1"/>
  <c r="BD947" i="1"/>
  <c r="CE947" i="1"/>
  <c r="A948" i="1"/>
  <c r="C948" i="1"/>
  <c r="E948" i="1"/>
  <c r="S948" i="1"/>
  <c r="T948" i="1"/>
  <c r="U948" i="1"/>
  <c r="BB948" i="1"/>
  <c r="BD948" i="1"/>
  <c r="CE948" i="1"/>
  <c r="A949" i="1"/>
  <c r="C949" i="1"/>
  <c r="E949" i="1"/>
  <c r="S949" i="1"/>
  <c r="T949" i="1"/>
  <c r="U949" i="1"/>
  <c r="BB949" i="1"/>
  <c r="BD949" i="1"/>
  <c r="CE949" i="1"/>
  <c r="A950" i="1"/>
  <c r="C950" i="1"/>
  <c r="E950" i="1"/>
  <c r="S950" i="1"/>
  <c r="T950" i="1"/>
  <c r="U950" i="1"/>
  <c r="BB950" i="1"/>
  <c r="BD950" i="1"/>
  <c r="CE950" i="1"/>
  <c r="A951" i="1"/>
  <c r="C951" i="1"/>
  <c r="E951" i="1"/>
  <c r="S951" i="1"/>
  <c r="T951" i="1"/>
  <c r="U951" i="1"/>
  <c r="BB951" i="1"/>
  <c r="BD951" i="1"/>
  <c r="CE951" i="1"/>
  <c r="A952" i="1"/>
  <c r="C952" i="1"/>
  <c r="E952" i="1"/>
  <c r="S952" i="1"/>
  <c r="T952" i="1"/>
  <c r="U952" i="1"/>
  <c r="BB952" i="1"/>
  <c r="BD952" i="1"/>
  <c r="CE952" i="1"/>
  <c r="A953" i="1"/>
  <c r="C953" i="1"/>
  <c r="E953" i="1"/>
  <c r="S953" i="1"/>
  <c r="T953" i="1"/>
  <c r="U953" i="1"/>
  <c r="BB953" i="1"/>
  <c r="BD953" i="1"/>
  <c r="CE953" i="1"/>
  <c r="A954" i="1"/>
  <c r="C954" i="1"/>
  <c r="E954" i="1"/>
  <c r="S954" i="1"/>
  <c r="T954" i="1"/>
  <c r="U954" i="1"/>
  <c r="BB954" i="1"/>
  <c r="BD954" i="1"/>
  <c r="CE954" i="1"/>
  <c r="A955" i="1"/>
  <c r="C955" i="1"/>
  <c r="E955" i="1"/>
  <c r="S955" i="1"/>
  <c r="T955" i="1"/>
  <c r="U955" i="1"/>
  <c r="BB955" i="1"/>
  <c r="BD955" i="1"/>
  <c r="CE955" i="1"/>
  <c r="A956" i="1"/>
  <c r="C956" i="1"/>
  <c r="E956" i="1"/>
  <c r="S956" i="1"/>
  <c r="T956" i="1"/>
  <c r="U956" i="1"/>
  <c r="BB956" i="1"/>
  <c r="BD956" i="1"/>
  <c r="CE956" i="1"/>
  <c r="A957" i="1"/>
  <c r="C957" i="1"/>
  <c r="E957" i="1"/>
  <c r="S957" i="1"/>
  <c r="T957" i="1"/>
  <c r="U957" i="1"/>
  <c r="BB957" i="1"/>
  <c r="BD957" i="1"/>
  <c r="CE957" i="1"/>
  <c r="A958" i="1"/>
  <c r="C958" i="1"/>
  <c r="E958" i="1"/>
  <c r="S958" i="1"/>
  <c r="T958" i="1"/>
  <c r="U958" i="1"/>
  <c r="BB958" i="1"/>
  <c r="BD958" i="1"/>
  <c r="CE958" i="1"/>
  <c r="A959" i="1"/>
  <c r="C959" i="1"/>
  <c r="E959" i="1"/>
  <c r="S959" i="1"/>
  <c r="T959" i="1"/>
  <c r="U959" i="1"/>
  <c r="BB959" i="1"/>
  <c r="BD959" i="1"/>
  <c r="CE959" i="1"/>
  <c r="A960" i="1"/>
  <c r="C960" i="1"/>
  <c r="E960" i="1"/>
  <c r="S960" i="1"/>
  <c r="T960" i="1"/>
  <c r="U960" i="1"/>
  <c r="BB960" i="1"/>
  <c r="BD960" i="1"/>
  <c r="CE960" i="1"/>
  <c r="A961" i="1"/>
  <c r="C961" i="1"/>
  <c r="E961" i="1"/>
  <c r="S961" i="1"/>
  <c r="T961" i="1"/>
  <c r="U961" i="1"/>
  <c r="BB961" i="1"/>
  <c r="BD961" i="1"/>
  <c r="CE961" i="1"/>
  <c r="A962" i="1"/>
  <c r="C962" i="1"/>
  <c r="E962" i="1"/>
  <c r="S962" i="1"/>
  <c r="T962" i="1"/>
  <c r="U962" i="1"/>
  <c r="BB962" i="1"/>
  <c r="BD962" i="1"/>
  <c r="CE962" i="1"/>
  <c r="A963" i="1"/>
  <c r="C963" i="1"/>
  <c r="E963" i="1"/>
  <c r="S963" i="1"/>
  <c r="T963" i="1"/>
  <c r="U963" i="1"/>
  <c r="BB963" i="1"/>
  <c r="BD963" i="1"/>
  <c r="CE963" i="1"/>
  <c r="A964" i="1"/>
  <c r="C964" i="1"/>
  <c r="E964" i="1"/>
  <c r="S964" i="1"/>
  <c r="T964" i="1"/>
  <c r="U964" i="1"/>
  <c r="BB964" i="1"/>
  <c r="BD964" i="1"/>
  <c r="CE964" i="1"/>
  <c r="A965" i="1"/>
  <c r="C965" i="1"/>
  <c r="E965" i="1"/>
  <c r="S965" i="1"/>
  <c r="T965" i="1"/>
  <c r="U965" i="1"/>
  <c r="BB965" i="1"/>
  <c r="BD965" i="1"/>
  <c r="CE965" i="1"/>
  <c r="A966" i="1"/>
  <c r="C966" i="1"/>
  <c r="E966" i="1"/>
  <c r="S966" i="1"/>
  <c r="T966" i="1"/>
  <c r="U966" i="1"/>
  <c r="BB966" i="1"/>
  <c r="BD966" i="1"/>
  <c r="CE966" i="1"/>
  <c r="A967" i="1"/>
  <c r="C967" i="1"/>
  <c r="E967" i="1"/>
  <c r="S967" i="1"/>
  <c r="T967" i="1"/>
  <c r="U967" i="1"/>
  <c r="BB967" i="1"/>
  <c r="BD967" i="1"/>
  <c r="CE967" i="1"/>
  <c r="A968" i="1"/>
  <c r="C968" i="1"/>
  <c r="E968" i="1"/>
  <c r="S968" i="1"/>
  <c r="T968" i="1"/>
  <c r="U968" i="1"/>
  <c r="BB968" i="1"/>
  <c r="BD968" i="1"/>
  <c r="CE968" i="1"/>
  <c r="A969" i="1"/>
  <c r="C969" i="1"/>
  <c r="E969" i="1"/>
  <c r="S969" i="1"/>
  <c r="T969" i="1"/>
  <c r="U969" i="1"/>
  <c r="BB969" i="1"/>
  <c r="BD969" i="1"/>
  <c r="CE969" i="1"/>
  <c r="A970" i="1"/>
  <c r="C970" i="1"/>
  <c r="E970" i="1"/>
  <c r="S970" i="1"/>
  <c r="T970" i="1"/>
  <c r="U970" i="1"/>
  <c r="BB970" i="1"/>
  <c r="BD970" i="1"/>
  <c r="CE970" i="1"/>
  <c r="A971" i="1"/>
  <c r="C971" i="1"/>
  <c r="E971" i="1"/>
  <c r="S971" i="1"/>
  <c r="T971" i="1"/>
  <c r="U971" i="1"/>
  <c r="BB971" i="1"/>
  <c r="BD971" i="1"/>
  <c r="CE971" i="1"/>
  <c r="A972" i="1"/>
  <c r="C972" i="1"/>
  <c r="E972" i="1"/>
  <c r="S972" i="1"/>
  <c r="T972" i="1"/>
  <c r="U972" i="1"/>
  <c r="BB972" i="1"/>
  <c r="BD972" i="1"/>
  <c r="CE972" i="1"/>
  <c r="A973" i="1"/>
  <c r="C973" i="1"/>
  <c r="E973" i="1"/>
  <c r="S973" i="1"/>
  <c r="T973" i="1"/>
  <c r="U973" i="1"/>
  <c r="BB973" i="1"/>
  <c r="BD973" i="1"/>
  <c r="CE973" i="1"/>
  <c r="A974" i="1"/>
  <c r="C974" i="1"/>
  <c r="E974" i="1"/>
  <c r="S974" i="1"/>
  <c r="T974" i="1"/>
  <c r="U974" i="1"/>
  <c r="BB974" i="1"/>
  <c r="BD974" i="1"/>
  <c r="CE974" i="1"/>
  <c r="A975" i="1"/>
  <c r="C975" i="1"/>
  <c r="E975" i="1"/>
  <c r="S975" i="1"/>
  <c r="T975" i="1"/>
  <c r="U975" i="1"/>
  <c r="BB975" i="1"/>
  <c r="BD975" i="1"/>
  <c r="CE975" i="1"/>
  <c r="A976" i="1"/>
  <c r="C976" i="1"/>
  <c r="E976" i="1"/>
  <c r="S976" i="1"/>
  <c r="T976" i="1"/>
  <c r="U976" i="1"/>
  <c r="BB976" i="1"/>
  <c r="BD976" i="1"/>
  <c r="CE976" i="1"/>
  <c r="A977" i="1"/>
  <c r="C977" i="1"/>
  <c r="E977" i="1"/>
  <c r="S977" i="1"/>
  <c r="T977" i="1"/>
  <c r="U977" i="1"/>
  <c r="BB977" i="1"/>
  <c r="BD977" i="1"/>
  <c r="CE977" i="1"/>
  <c r="A978" i="1"/>
  <c r="C978" i="1"/>
  <c r="E978" i="1"/>
  <c r="S978" i="1"/>
  <c r="T978" i="1"/>
  <c r="U978" i="1"/>
  <c r="BB978" i="1"/>
  <c r="BD978" i="1"/>
  <c r="CE978" i="1"/>
  <c r="A979" i="1"/>
  <c r="C979" i="1"/>
  <c r="E979" i="1"/>
  <c r="S979" i="1"/>
  <c r="T979" i="1"/>
  <c r="U979" i="1"/>
  <c r="BB979" i="1"/>
  <c r="BD979" i="1"/>
  <c r="CE979" i="1"/>
  <c r="A980" i="1"/>
  <c r="C980" i="1"/>
  <c r="E980" i="1"/>
  <c r="S980" i="1"/>
  <c r="T980" i="1"/>
  <c r="U980" i="1"/>
  <c r="BB980" i="1"/>
  <c r="BD980" i="1"/>
  <c r="CE980" i="1"/>
  <c r="A981" i="1"/>
  <c r="C981" i="1"/>
  <c r="E981" i="1"/>
  <c r="S981" i="1"/>
  <c r="T981" i="1"/>
  <c r="U981" i="1"/>
  <c r="BB981" i="1"/>
  <c r="BD981" i="1"/>
  <c r="CE981" i="1"/>
  <c r="A982" i="1"/>
  <c r="C982" i="1"/>
  <c r="E982" i="1"/>
  <c r="S982" i="1"/>
  <c r="T982" i="1"/>
  <c r="U982" i="1"/>
  <c r="BB982" i="1"/>
  <c r="BD982" i="1"/>
  <c r="CE982" i="1"/>
  <c r="A983" i="1"/>
  <c r="C983" i="1"/>
  <c r="E983" i="1"/>
  <c r="S983" i="1"/>
  <c r="T983" i="1"/>
  <c r="U983" i="1"/>
  <c r="BB983" i="1"/>
  <c r="BD983" i="1"/>
  <c r="CE983" i="1"/>
  <c r="A984" i="1"/>
  <c r="C984" i="1"/>
  <c r="E984" i="1"/>
  <c r="S984" i="1"/>
  <c r="T984" i="1"/>
  <c r="U984" i="1"/>
  <c r="BB984" i="1"/>
  <c r="BD984" i="1"/>
  <c r="CE984" i="1"/>
  <c r="A985" i="1"/>
  <c r="C985" i="1"/>
  <c r="E985" i="1"/>
  <c r="S985" i="1"/>
  <c r="T985" i="1"/>
  <c r="U985" i="1"/>
  <c r="BB985" i="1"/>
  <c r="BD985" i="1"/>
  <c r="CE985" i="1"/>
  <c r="A986" i="1"/>
  <c r="C986" i="1"/>
  <c r="E986" i="1"/>
  <c r="S986" i="1"/>
  <c r="T986" i="1"/>
  <c r="U986" i="1"/>
  <c r="BB986" i="1"/>
  <c r="BD986" i="1"/>
  <c r="CE986" i="1"/>
  <c r="A987" i="1"/>
  <c r="C987" i="1"/>
  <c r="E987" i="1"/>
  <c r="S987" i="1"/>
  <c r="T987" i="1"/>
  <c r="U987" i="1"/>
  <c r="BB987" i="1"/>
  <c r="BD987" i="1"/>
  <c r="CE987" i="1"/>
  <c r="A988" i="1"/>
  <c r="C988" i="1"/>
  <c r="E988" i="1"/>
  <c r="S988" i="1"/>
  <c r="T988" i="1"/>
  <c r="U988" i="1"/>
  <c r="BB988" i="1"/>
  <c r="BD988" i="1"/>
  <c r="CE988" i="1"/>
  <c r="A989" i="1"/>
  <c r="C989" i="1"/>
  <c r="E989" i="1"/>
  <c r="S989" i="1"/>
  <c r="T989" i="1"/>
  <c r="U989" i="1"/>
  <c r="BB989" i="1"/>
  <c r="BD989" i="1"/>
  <c r="CE989" i="1"/>
  <c r="A990" i="1"/>
  <c r="C990" i="1"/>
  <c r="E990" i="1"/>
  <c r="S990" i="1"/>
  <c r="T990" i="1"/>
  <c r="U990" i="1"/>
  <c r="BB990" i="1"/>
  <c r="BD990" i="1"/>
  <c r="CE990" i="1"/>
  <c r="A991" i="1"/>
  <c r="C991" i="1"/>
  <c r="E991" i="1"/>
  <c r="S991" i="1"/>
  <c r="T991" i="1"/>
  <c r="U991" i="1"/>
  <c r="BB991" i="1"/>
  <c r="BD991" i="1"/>
  <c r="CE991" i="1"/>
  <c r="A992" i="1"/>
  <c r="C992" i="1"/>
  <c r="E992" i="1"/>
  <c r="S992" i="1"/>
  <c r="T992" i="1"/>
  <c r="U992" i="1"/>
  <c r="BB992" i="1"/>
  <c r="BD992" i="1"/>
  <c r="CE992" i="1"/>
  <c r="A993" i="1"/>
  <c r="C993" i="1"/>
  <c r="E993" i="1"/>
  <c r="S993" i="1"/>
  <c r="T993" i="1"/>
  <c r="U993" i="1"/>
  <c r="BB993" i="1"/>
  <c r="BD993" i="1"/>
  <c r="CE993" i="1"/>
  <c r="A994" i="1"/>
  <c r="C994" i="1"/>
  <c r="E994" i="1"/>
  <c r="S994" i="1"/>
  <c r="T994" i="1"/>
  <c r="U994" i="1"/>
  <c r="BB994" i="1"/>
  <c r="BD994" i="1"/>
  <c r="CE994" i="1"/>
  <c r="A995" i="1"/>
  <c r="C995" i="1"/>
  <c r="E995" i="1"/>
  <c r="S995" i="1"/>
  <c r="T995" i="1"/>
  <c r="U995" i="1"/>
  <c r="BB995" i="1"/>
  <c r="BD995" i="1"/>
  <c r="CE995" i="1"/>
  <c r="A996" i="1"/>
  <c r="C996" i="1"/>
  <c r="E996" i="1"/>
  <c r="S996" i="1"/>
  <c r="T996" i="1"/>
  <c r="U996" i="1"/>
  <c r="BB996" i="1"/>
  <c r="BD996" i="1"/>
  <c r="CE996" i="1"/>
  <c r="A997" i="1"/>
  <c r="C997" i="1"/>
  <c r="E997" i="1"/>
  <c r="S997" i="1"/>
  <c r="T997" i="1"/>
  <c r="U997" i="1"/>
  <c r="BB997" i="1"/>
  <c r="BD997" i="1"/>
  <c r="CE997" i="1"/>
  <c r="A998" i="1"/>
  <c r="C998" i="1"/>
  <c r="E998" i="1"/>
  <c r="S998" i="1"/>
  <c r="T998" i="1"/>
  <c r="U998" i="1"/>
  <c r="BB998" i="1"/>
  <c r="BD998" i="1"/>
  <c r="CE998" i="1"/>
  <c r="A999" i="1"/>
  <c r="C999" i="1"/>
  <c r="E999" i="1"/>
  <c r="S999" i="1"/>
  <c r="T999" i="1"/>
  <c r="U999" i="1"/>
  <c r="BB999" i="1"/>
  <c r="BD999" i="1"/>
  <c r="CE999" i="1"/>
  <c r="A1000" i="1"/>
  <c r="C1000" i="1"/>
  <c r="E1000" i="1"/>
  <c r="S1000" i="1"/>
  <c r="T1000" i="1"/>
  <c r="U1000" i="1"/>
  <c r="BB1000" i="1"/>
  <c r="BD1000" i="1"/>
  <c r="CE1000" i="1"/>
  <c r="A1001" i="1"/>
  <c r="C1001" i="1"/>
  <c r="E1001" i="1"/>
  <c r="S1001" i="1"/>
  <c r="T1001" i="1"/>
  <c r="U1001" i="1"/>
  <c r="BB1001" i="1"/>
  <c r="BD1001" i="1"/>
  <c r="CE1001" i="1"/>
  <c r="A1002" i="1"/>
  <c r="C1002" i="1"/>
  <c r="E1002" i="1"/>
  <c r="S1002" i="1"/>
  <c r="T1002" i="1"/>
  <c r="U1002" i="1"/>
  <c r="BB1002" i="1"/>
  <c r="BD1002" i="1"/>
  <c r="CE1002" i="1"/>
  <c r="A1003" i="1"/>
  <c r="C1003" i="1"/>
  <c r="E1003" i="1"/>
  <c r="S1003" i="1"/>
  <c r="T1003" i="1"/>
  <c r="U1003" i="1"/>
  <c r="BB1003" i="1"/>
  <c r="BD1003" i="1"/>
  <c r="CE1003" i="1"/>
  <c r="A1004" i="1"/>
  <c r="C1004" i="1"/>
  <c r="E1004" i="1"/>
  <c r="S1004" i="1"/>
  <c r="T1004" i="1"/>
  <c r="U1004" i="1"/>
  <c r="BB1004" i="1"/>
  <c r="BD1004" i="1"/>
  <c r="CE1004" i="1"/>
  <c r="A1005" i="1"/>
  <c r="C1005" i="1"/>
  <c r="E1005" i="1"/>
  <c r="S1005" i="1"/>
  <c r="T1005" i="1"/>
  <c r="U1005" i="1"/>
  <c r="BB1005" i="1"/>
  <c r="BD1005" i="1"/>
  <c r="CE1005" i="1"/>
  <c r="A1006" i="1"/>
  <c r="C1006" i="1"/>
  <c r="E1006" i="1"/>
  <c r="S1006" i="1"/>
  <c r="T1006" i="1"/>
  <c r="U1006" i="1"/>
  <c r="BB1006" i="1"/>
  <c r="BD1006" i="1"/>
  <c r="CE1006" i="1"/>
  <c r="A1007" i="1"/>
  <c r="C1007" i="1"/>
  <c r="E1007" i="1"/>
  <c r="S1007" i="1"/>
  <c r="T1007" i="1"/>
  <c r="U1007" i="1"/>
  <c r="BB1007" i="1"/>
  <c r="BD1007" i="1"/>
  <c r="CE1007" i="1"/>
  <c r="A1008" i="1"/>
  <c r="C1008" i="1"/>
  <c r="E1008" i="1"/>
  <c r="S1008" i="1"/>
  <c r="T1008" i="1"/>
  <c r="U1008" i="1"/>
  <c r="BB1008" i="1"/>
  <c r="BD1008" i="1"/>
  <c r="CE1008" i="1"/>
  <c r="A1009" i="1"/>
  <c r="C1009" i="1"/>
  <c r="E1009" i="1"/>
  <c r="S1009" i="1"/>
  <c r="T1009" i="1"/>
  <c r="U1009" i="1"/>
  <c r="BB1009" i="1"/>
  <c r="BD1009" i="1"/>
  <c r="CE1009" i="1"/>
  <c r="A1010" i="1"/>
  <c r="C1010" i="1"/>
  <c r="E1010" i="1"/>
  <c r="S1010" i="1"/>
  <c r="T1010" i="1"/>
  <c r="U1010" i="1"/>
  <c r="BB1010" i="1"/>
  <c r="BD1010" i="1"/>
  <c r="CE1010" i="1"/>
  <c r="A1011" i="1"/>
  <c r="C1011" i="1"/>
  <c r="E1011" i="1"/>
  <c r="S1011" i="1"/>
  <c r="T1011" i="1"/>
  <c r="U1011" i="1"/>
  <c r="BB1011" i="1"/>
  <c r="BD1011" i="1"/>
  <c r="CE1011" i="1"/>
  <c r="A1012" i="1"/>
  <c r="C1012" i="1"/>
  <c r="E1012" i="1"/>
  <c r="S1012" i="1"/>
  <c r="T1012" i="1"/>
  <c r="U1012" i="1"/>
  <c r="BB1012" i="1"/>
  <c r="BD1012" i="1"/>
  <c r="CE1012" i="1"/>
  <c r="A1013" i="1"/>
  <c r="C1013" i="1"/>
  <c r="E1013" i="1"/>
  <c r="S1013" i="1"/>
  <c r="T1013" i="1"/>
  <c r="U1013" i="1"/>
  <c r="BB1013" i="1"/>
  <c r="BD1013" i="1"/>
  <c r="CE1013" i="1"/>
  <c r="A1014" i="1"/>
  <c r="C1014" i="1"/>
  <c r="E1014" i="1"/>
  <c r="S1014" i="1"/>
  <c r="T1014" i="1"/>
  <c r="U1014" i="1"/>
  <c r="BB1014" i="1"/>
  <c r="BD1014" i="1"/>
  <c r="CE1014" i="1"/>
  <c r="A1015" i="1"/>
  <c r="C1015" i="1"/>
  <c r="E1015" i="1"/>
  <c r="S1015" i="1"/>
  <c r="T1015" i="1"/>
  <c r="U1015" i="1"/>
  <c r="BB1015" i="1"/>
  <c r="BD1015" i="1"/>
  <c r="CE1015" i="1"/>
  <c r="A1016" i="1"/>
  <c r="C1016" i="1"/>
  <c r="E1016" i="1"/>
  <c r="S1016" i="1"/>
  <c r="T1016" i="1"/>
  <c r="U1016" i="1"/>
  <c r="BB1016" i="1"/>
  <c r="BD1016" i="1"/>
  <c r="CE1016" i="1"/>
  <c r="A1017" i="1"/>
  <c r="C1017" i="1"/>
  <c r="E1017" i="1"/>
  <c r="S1017" i="1"/>
  <c r="T1017" i="1"/>
  <c r="U1017" i="1"/>
  <c r="BB1017" i="1"/>
  <c r="BD1017" i="1"/>
  <c r="CE1017" i="1"/>
  <c r="A1018" i="1"/>
  <c r="C1018" i="1"/>
  <c r="E1018" i="1"/>
  <c r="S1018" i="1"/>
  <c r="T1018" i="1"/>
  <c r="U1018" i="1"/>
  <c r="BB1018" i="1"/>
  <c r="BD1018" i="1"/>
  <c r="CE1018" i="1"/>
  <c r="A1019" i="1"/>
  <c r="C1019" i="1"/>
  <c r="E1019" i="1"/>
  <c r="S1019" i="1"/>
  <c r="T1019" i="1"/>
  <c r="U1019" i="1"/>
  <c r="BB1019" i="1"/>
  <c r="BD1019" i="1"/>
  <c r="CE1019" i="1"/>
  <c r="A1020" i="1"/>
  <c r="C1020" i="1"/>
  <c r="E1020" i="1"/>
  <c r="S1020" i="1"/>
  <c r="T1020" i="1"/>
  <c r="U1020" i="1"/>
  <c r="BB1020" i="1"/>
  <c r="BD1020" i="1"/>
  <c r="CE1020" i="1"/>
  <c r="A1021" i="1"/>
  <c r="C1021" i="1"/>
  <c r="E1021" i="1"/>
  <c r="S1021" i="1"/>
  <c r="T1021" i="1"/>
  <c r="U1021" i="1"/>
  <c r="BB1021" i="1"/>
  <c r="BD1021" i="1"/>
  <c r="CE1021" i="1"/>
  <c r="A1022" i="1"/>
  <c r="C1022" i="1"/>
  <c r="E1022" i="1"/>
  <c r="S1022" i="1"/>
  <c r="T1022" i="1"/>
  <c r="U1022" i="1"/>
  <c r="BB1022" i="1"/>
  <c r="BD1022" i="1"/>
  <c r="CE1022" i="1"/>
  <c r="A1023" i="1"/>
  <c r="C1023" i="1"/>
  <c r="E1023" i="1"/>
  <c r="S1023" i="1"/>
  <c r="T1023" i="1"/>
  <c r="U1023" i="1"/>
  <c r="BB1023" i="1"/>
  <c r="BD1023" i="1"/>
  <c r="CE1023" i="1"/>
  <c r="A1024" i="1"/>
  <c r="C1024" i="1"/>
  <c r="E1024" i="1"/>
  <c r="S1024" i="1"/>
  <c r="T1024" i="1"/>
  <c r="U1024" i="1"/>
  <c r="BB1024" i="1"/>
  <c r="BD1024" i="1"/>
  <c r="CE1024" i="1"/>
  <c r="A1025" i="1"/>
  <c r="C1025" i="1"/>
  <c r="E1025" i="1"/>
  <c r="S1025" i="1"/>
  <c r="T1025" i="1"/>
  <c r="U1025" i="1"/>
  <c r="BB1025" i="1"/>
  <c r="BD1025" i="1"/>
  <c r="CE1025" i="1"/>
  <c r="A1026" i="1"/>
  <c r="C1026" i="1"/>
  <c r="E1026" i="1"/>
  <c r="S1026" i="1"/>
  <c r="T1026" i="1"/>
  <c r="U1026" i="1"/>
  <c r="BB1026" i="1"/>
  <c r="BD1026" i="1"/>
  <c r="CE1026" i="1"/>
  <c r="A1027" i="1"/>
  <c r="C1027" i="1"/>
  <c r="E1027" i="1"/>
  <c r="S1027" i="1"/>
  <c r="T1027" i="1"/>
  <c r="U1027" i="1"/>
  <c r="BB1027" i="1"/>
  <c r="BD1027" i="1"/>
  <c r="CE1027" i="1"/>
  <c r="A1028" i="1"/>
  <c r="C1028" i="1"/>
  <c r="E1028" i="1"/>
  <c r="S1028" i="1"/>
  <c r="T1028" i="1"/>
  <c r="U1028" i="1"/>
  <c r="BB1028" i="1"/>
  <c r="BD1028" i="1"/>
  <c r="CE1028" i="1"/>
  <c r="A1029" i="1"/>
  <c r="C1029" i="1"/>
  <c r="E1029" i="1"/>
  <c r="S1029" i="1"/>
  <c r="T1029" i="1"/>
  <c r="U1029" i="1"/>
  <c r="BB1029" i="1"/>
  <c r="BD1029" i="1"/>
  <c r="CE1029" i="1"/>
  <c r="A1030" i="1"/>
  <c r="C1030" i="1"/>
  <c r="E1030" i="1"/>
  <c r="S1030" i="1"/>
  <c r="T1030" i="1"/>
  <c r="U1030" i="1"/>
  <c r="BB1030" i="1"/>
  <c r="BD1030" i="1"/>
  <c r="CE1030" i="1"/>
  <c r="A1031" i="1"/>
  <c r="C1031" i="1"/>
  <c r="E1031" i="1"/>
  <c r="S1031" i="1"/>
  <c r="T1031" i="1"/>
  <c r="U1031" i="1"/>
  <c r="BB1031" i="1"/>
  <c r="BD1031" i="1"/>
  <c r="CE1031" i="1"/>
  <c r="A1032" i="1"/>
  <c r="C1032" i="1"/>
  <c r="E1032" i="1"/>
  <c r="S1032" i="1"/>
  <c r="T1032" i="1"/>
  <c r="U1032" i="1"/>
  <c r="BB1032" i="1"/>
  <c r="BD1032" i="1"/>
  <c r="CE1032" i="1"/>
  <c r="A1033" i="1"/>
  <c r="C1033" i="1"/>
  <c r="E1033" i="1"/>
  <c r="S1033" i="1"/>
  <c r="T1033" i="1"/>
  <c r="U1033" i="1"/>
  <c r="BB1033" i="1"/>
  <c r="BD1033" i="1"/>
  <c r="CE1033" i="1"/>
  <c r="A1034" i="1"/>
  <c r="C1034" i="1"/>
  <c r="E1034" i="1"/>
  <c r="S1034" i="1"/>
  <c r="T1034" i="1"/>
  <c r="U1034" i="1"/>
  <c r="BB1034" i="1"/>
  <c r="BD1034" i="1"/>
  <c r="CE1034" i="1"/>
  <c r="A1035" i="1"/>
  <c r="C1035" i="1"/>
  <c r="E1035" i="1"/>
  <c r="S1035" i="1"/>
  <c r="T1035" i="1"/>
  <c r="U1035" i="1"/>
  <c r="BB1035" i="1"/>
  <c r="BD1035" i="1"/>
  <c r="CE1035" i="1"/>
  <c r="A1036" i="1"/>
  <c r="C1036" i="1"/>
  <c r="E1036" i="1"/>
  <c r="S1036" i="1"/>
  <c r="T1036" i="1"/>
  <c r="U1036" i="1"/>
  <c r="BB1036" i="1"/>
  <c r="BD1036" i="1"/>
  <c r="CE1036" i="1"/>
  <c r="A1037" i="1"/>
  <c r="C1037" i="1"/>
  <c r="E1037" i="1"/>
  <c r="S1037" i="1"/>
  <c r="T1037" i="1"/>
  <c r="U1037" i="1"/>
  <c r="BB1037" i="1"/>
  <c r="BD1037" i="1"/>
  <c r="CE1037" i="1"/>
  <c r="A1038" i="1"/>
  <c r="C1038" i="1"/>
  <c r="E1038" i="1"/>
  <c r="S1038" i="1"/>
  <c r="T1038" i="1"/>
  <c r="U1038" i="1"/>
  <c r="BB1038" i="1"/>
  <c r="BD1038" i="1"/>
  <c r="CE1038" i="1"/>
  <c r="A1039" i="1"/>
  <c r="C1039" i="1"/>
  <c r="E1039" i="1"/>
  <c r="S1039" i="1"/>
  <c r="T1039" i="1"/>
  <c r="U1039" i="1"/>
  <c r="BB1039" i="1"/>
  <c r="BD1039" i="1"/>
  <c r="CE1039" i="1"/>
  <c r="A1040" i="1"/>
  <c r="C1040" i="1"/>
  <c r="E1040" i="1"/>
  <c r="S1040" i="1"/>
  <c r="T1040" i="1"/>
  <c r="U1040" i="1"/>
  <c r="BB1040" i="1"/>
  <c r="BD1040" i="1"/>
  <c r="CE1040" i="1"/>
  <c r="A1041" i="1"/>
  <c r="C1041" i="1"/>
  <c r="E1041" i="1"/>
  <c r="S1041" i="1"/>
  <c r="T1041" i="1"/>
  <c r="U1041" i="1"/>
  <c r="BB1041" i="1"/>
  <c r="BD1041" i="1"/>
  <c r="CE1041" i="1"/>
  <c r="A1042" i="1"/>
  <c r="C1042" i="1"/>
  <c r="E1042" i="1"/>
  <c r="S1042" i="1"/>
  <c r="T1042" i="1"/>
  <c r="U1042" i="1"/>
  <c r="BB1042" i="1"/>
  <c r="BD1042" i="1"/>
  <c r="CE1042" i="1"/>
  <c r="A1043" i="1"/>
  <c r="C1043" i="1"/>
  <c r="E1043" i="1"/>
  <c r="S1043" i="1"/>
  <c r="T1043" i="1"/>
  <c r="U1043" i="1"/>
  <c r="BB1043" i="1"/>
  <c r="BD1043" i="1"/>
  <c r="CE1043" i="1"/>
  <c r="A1044" i="1"/>
  <c r="C1044" i="1"/>
  <c r="E1044" i="1"/>
  <c r="S1044" i="1"/>
  <c r="T1044" i="1"/>
  <c r="U1044" i="1"/>
  <c r="BB1044" i="1"/>
  <c r="BD1044" i="1"/>
  <c r="CE1044" i="1"/>
  <c r="A1045" i="1"/>
  <c r="C1045" i="1"/>
  <c r="E1045" i="1"/>
  <c r="S1045" i="1"/>
  <c r="T1045" i="1"/>
  <c r="U1045" i="1"/>
  <c r="BB1045" i="1"/>
  <c r="BD1045" i="1"/>
  <c r="CE1045" i="1"/>
  <c r="A1046" i="1"/>
  <c r="C1046" i="1"/>
  <c r="E1046" i="1"/>
  <c r="S1046" i="1"/>
  <c r="T1046" i="1"/>
  <c r="U1046" i="1"/>
  <c r="BB1046" i="1"/>
  <c r="BD1046" i="1"/>
  <c r="CE1046" i="1"/>
  <c r="A1047" i="1"/>
  <c r="C1047" i="1"/>
  <c r="E1047" i="1"/>
  <c r="S1047" i="1"/>
  <c r="T1047" i="1"/>
  <c r="U1047" i="1"/>
  <c r="BB1047" i="1"/>
  <c r="BD1047" i="1"/>
  <c r="CE1047" i="1"/>
  <c r="A1048" i="1"/>
  <c r="C1048" i="1"/>
  <c r="E1048" i="1"/>
  <c r="S1048" i="1"/>
  <c r="T1048" i="1"/>
  <c r="U1048" i="1"/>
  <c r="BB1048" i="1"/>
  <c r="BD1048" i="1"/>
  <c r="CE1048" i="1"/>
  <c r="A1049" i="1"/>
  <c r="C1049" i="1"/>
  <c r="E1049" i="1"/>
  <c r="S1049" i="1"/>
  <c r="T1049" i="1"/>
  <c r="U1049" i="1"/>
  <c r="BB1049" i="1"/>
  <c r="BD1049" i="1"/>
  <c r="CE1049" i="1"/>
  <c r="A1050" i="1"/>
  <c r="C1050" i="1"/>
  <c r="E1050" i="1"/>
  <c r="S1050" i="1"/>
  <c r="T1050" i="1"/>
  <c r="U1050" i="1"/>
  <c r="BB1050" i="1"/>
  <c r="BD1050" i="1"/>
  <c r="CE1050" i="1"/>
  <c r="A1051" i="1"/>
  <c r="C1051" i="1"/>
  <c r="E1051" i="1"/>
  <c r="S1051" i="1"/>
  <c r="T1051" i="1"/>
  <c r="U1051" i="1"/>
  <c r="BB1051" i="1"/>
  <c r="BD1051" i="1"/>
  <c r="CE1051" i="1"/>
  <c r="A1052" i="1"/>
  <c r="C1052" i="1"/>
  <c r="E1052" i="1"/>
  <c r="S1052" i="1"/>
  <c r="T1052" i="1"/>
  <c r="U1052" i="1"/>
  <c r="BB1052" i="1"/>
  <c r="BD1052" i="1"/>
  <c r="CE1052" i="1"/>
  <c r="A1053" i="1"/>
  <c r="C1053" i="1"/>
  <c r="E1053" i="1"/>
  <c r="S1053" i="1"/>
  <c r="T1053" i="1"/>
  <c r="U1053" i="1"/>
  <c r="BB1053" i="1"/>
  <c r="BD1053" i="1"/>
  <c r="CE1053" i="1"/>
  <c r="A1054" i="1"/>
  <c r="C1054" i="1"/>
  <c r="E1054" i="1"/>
  <c r="S1054" i="1"/>
  <c r="T1054" i="1"/>
  <c r="U1054" i="1"/>
  <c r="BB1054" i="1"/>
  <c r="BD1054" i="1"/>
  <c r="CE1054" i="1"/>
  <c r="A1055" i="1"/>
  <c r="C1055" i="1"/>
  <c r="E1055" i="1"/>
  <c r="S1055" i="1"/>
  <c r="T1055" i="1"/>
  <c r="U1055" i="1"/>
  <c r="BB1055" i="1"/>
  <c r="BD1055" i="1"/>
  <c r="CE1055" i="1"/>
  <c r="A1056" i="1"/>
  <c r="C1056" i="1"/>
  <c r="E1056" i="1"/>
  <c r="S1056" i="1"/>
  <c r="T1056" i="1"/>
  <c r="U1056" i="1"/>
  <c r="BB1056" i="1"/>
  <c r="BD1056" i="1"/>
  <c r="CE1056" i="1"/>
  <c r="A1057" i="1"/>
  <c r="C1057" i="1"/>
  <c r="E1057" i="1"/>
  <c r="S1057" i="1"/>
  <c r="T1057" i="1"/>
  <c r="U1057" i="1"/>
  <c r="BB1057" i="1"/>
  <c r="BD1057" i="1"/>
  <c r="CE1057" i="1"/>
  <c r="A1058" i="1"/>
  <c r="C1058" i="1"/>
  <c r="E1058" i="1"/>
  <c r="S1058" i="1"/>
  <c r="T1058" i="1"/>
  <c r="U1058" i="1"/>
  <c r="BB1058" i="1"/>
  <c r="BD1058" i="1"/>
  <c r="CE1058" i="1"/>
  <c r="A1059" i="1"/>
  <c r="C1059" i="1"/>
  <c r="E1059" i="1"/>
  <c r="S1059" i="1"/>
  <c r="T1059" i="1"/>
  <c r="U1059" i="1"/>
  <c r="BB1059" i="1"/>
  <c r="BD1059" i="1"/>
  <c r="CE1059" i="1"/>
  <c r="A1060" i="1"/>
  <c r="C1060" i="1"/>
  <c r="E1060" i="1"/>
  <c r="S1060" i="1"/>
  <c r="T1060" i="1"/>
  <c r="U1060" i="1"/>
  <c r="BB1060" i="1"/>
  <c r="BD1060" i="1"/>
  <c r="CE1060" i="1"/>
  <c r="A1061" i="1"/>
  <c r="C1061" i="1"/>
  <c r="E1061" i="1"/>
  <c r="S1061" i="1"/>
  <c r="T1061" i="1"/>
  <c r="U1061" i="1"/>
  <c r="BB1061" i="1"/>
  <c r="BD1061" i="1"/>
  <c r="CE1061" i="1"/>
  <c r="A1062" i="1"/>
  <c r="C1062" i="1"/>
  <c r="E1062" i="1"/>
  <c r="S1062" i="1"/>
  <c r="T1062" i="1"/>
  <c r="U1062" i="1"/>
  <c r="BB1062" i="1"/>
  <c r="BD1062" i="1"/>
  <c r="CE1062" i="1"/>
  <c r="A1063" i="1"/>
  <c r="C1063" i="1"/>
  <c r="E1063" i="1"/>
  <c r="S1063" i="1"/>
  <c r="T1063" i="1"/>
  <c r="U1063" i="1"/>
  <c r="BB1063" i="1"/>
  <c r="BD1063" i="1"/>
  <c r="CE1063" i="1"/>
  <c r="A1064" i="1"/>
  <c r="C1064" i="1"/>
  <c r="E1064" i="1"/>
  <c r="S1064" i="1"/>
  <c r="T1064" i="1"/>
  <c r="U1064" i="1"/>
  <c r="BB1064" i="1"/>
  <c r="BD1064" i="1"/>
  <c r="CE1064" i="1"/>
  <c r="A1065" i="1"/>
  <c r="C1065" i="1"/>
  <c r="E1065" i="1"/>
  <c r="S1065" i="1"/>
  <c r="T1065" i="1"/>
  <c r="U1065" i="1"/>
  <c r="BB1065" i="1"/>
  <c r="BD1065" i="1"/>
  <c r="CE1065" i="1"/>
  <c r="A1066" i="1"/>
  <c r="C1066" i="1"/>
  <c r="E1066" i="1"/>
  <c r="S1066" i="1"/>
  <c r="T1066" i="1"/>
  <c r="U1066" i="1"/>
  <c r="BB1066" i="1"/>
  <c r="BD1066" i="1"/>
  <c r="CE1066" i="1"/>
  <c r="A1067" i="1"/>
  <c r="C1067" i="1"/>
  <c r="E1067" i="1"/>
  <c r="S1067" i="1"/>
  <c r="T1067" i="1"/>
  <c r="U1067" i="1"/>
  <c r="BB1067" i="1"/>
  <c r="BD1067" i="1"/>
  <c r="CE1067" i="1"/>
  <c r="A1068" i="1"/>
  <c r="C1068" i="1"/>
  <c r="E1068" i="1"/>
  <c r="S1068" i="1"/>
  <c r="T1068" i="1"/>
  <c r="U1068" i="1"/>
  <c r="BB1068" i="1"/>
  <c r="BD1068" i="1"/>
  <c r="CE1068" i="1"/>
  <c r="A1069" i="1"/>
  <c r="C1069" i="1"/>
  <c r="E1069" i="1"/>
  <c r="S1069" i="1"/>
  <c r="T1069" i="1"/>
  <c r="U1069" i="1"/>
  <c r="BB1069" i="1"/>
  <c r="BD1069" i="1"/>
  <c r="CE1069" i="1"/>
  <c r="A1070" i="1"/>
  <c r="C1070" i="1"/>
  <c r="E1070" i="1"/>
  <c r="S1070" i="1"/>
  <c r="T1070" i="1"/>
  <c r="U1070" i="1"/>
  <c r="BB1070" i="1"/>
  <c r="BD1070" i="1"/>
  <c r="CE1070" i="1"/>
  <c r="A1071" i="1"/>
  <c r="C1071" i="1"/>
  <c r="E1071" i="1"/>
  <c r="S1071" i="1"/>
  <c r="T1071" i="1"/>
  <c r="U1071" i="1"/>
  <c r="BB1071" i="1"/>
  <c r="BD1071" i="1"/>
  <c r="CE1071" i="1"/>
  <c r="A1072" i="1"/>
  <c r="C1072" i="1"/>
  <c r="E1072" i="1"/>
  <c r="S1072" i="1"/>
  <c r="T1072" i="1"/>
  <c r="U1072" i="1"/>
  <c r="BB1072" i="1"/>
  <c r="BD1072" i="1"/>
  <c r="CE1072" i="1"/>
  <c r="A1073" i="1"/>
  <c r="C1073" i="1"/>
  <c r="E1073" i="1"/>
  <c r="S1073" i="1"/>
  <c r="T1073" i="1"/>
  <c r="U1073" i="1"/>
  <c r="BB1073" i="1"/>
  <c r="BD1073" i="1"/>
  <c r="CE1073" i="1"/>
  <c r="A1074" i="1"/>
  <c r="C1074" i="1"/>
  <c r="E1074" i="1"/>
  <c r="S1074" i="1"/>
  <c r="T1074" i="1"/>
  <c r="U1074" i="1"/>
  <c r="BB1074" i="1"/>
  <c r="BD1074" i="1"/>
  <c r="CE1074" i="1"/>
  <c r="A1075" i="1"/>
  <c r="C1075" i="1"/>
  <c r="E1075" i="1"/>
  <c r="S1075" i="1"/>
  <c r="T1075" i="1"/>
  <c r="U1075" i="1"/>
  <c r="BB1075" i="1"/>
  <c r="BD1075" i="1"/>
  <c r="CE1075" i="1"/>
  <c r="A1076" i="1"/>
  <c r="C1076" i="1"/>
  <c r="E1076" i="1"/>
  <c r="S1076" i="1"/>
  <c r="T1076" i="1"/>
  <c r="U1076" i="1"/>
  <c r="BB1076" i="1"/>
  <c r="BD1076" i="1"/>
  <c r="CE1076" i="1"/>
  <c r="A1077" i="1"/>
  <c r="C1077" i="1"/>
  <c r="E1077" i="1"/>
  <c r="S1077" i="1"/>
  <c r="T1077" i="1"/>
  <c r="U1077" i="1"/>
  <c r="BB1077" i="1"/>
  <c r="BD1077" i="1"/>
  <c r="CE1077" i="1"/>
  <c r="A1078" i="1"/>
  <c r="C1078" i="1"/>
  <c r="E1078" i="1"/>
  <c r="S1078" i="1"/>
  <c r="T1078" i="1"/>
  <c r="U1078" i="1"/>
  <c r="BB1078" i="1"/>
  <c r="BD1078" i="1"/>
  <c r="CE1078" i="1"/>
  <c r="A1079" i="1"/>
  <c r="C1079" i="1"/>
  <c r="E1079" i="1"/>
  <c r="S1079" i="1"/>
  <c r="T1079" i="1"/>
  <c r="U1079" i="1"/>
  <c r="BB1079" i="1"/>
  <c r="BD1079" i="1"/>
  <c r="CE1079" i="1"/>
  <c r="A1080" i="1"/>
  <c r="C1080" i="1"/>
  <c r="E1080" i="1"/>
  <c r="S1080" i="1"/>
  <c r="T1080" i="1"/>
  <c r="U1080" i="1"/>
  <c r="BB1080" i="1"/>
  <c r="BD1080" i="1"/>
  <c r="CE1080" i="1"/>
  <c r="A1081" i="1"/>
  <c r="C1081" i="1"/>
  <c r="E1081" i="1"/>
  <c r="S1081" i="1"/>
  <c r="T1081" i="1"/>
  <c r="U1081" i="1"/>
  <c r="BB1081" i="1"/>
  <c r="BD1081" i="1"/>
  <c r="CE1081" i="1"/>
  <c r="A1082" i="1"/>
  <c r="C1082" i="1"/>
  <c r="E1082" i="1"/>
  <c r="S1082" i="1"/>
  <c r="T1082" i="1"/>
  <c r="U1082" i="1"/>
  <c r="BB1082" i="1"/>
  <c r="BD1082" i="1"/>
  <c r="CE1082" i="1"/>
  <c r="A1083" i="1"/>
  <c r="C1083" i="1"/>
  <c r="E1083" i="1"/>
  <c r="S1083" i="1"/>
  <c r="T1083" i="1"/>
  <c r="U1083" i="1"/>
  <c r="BB1083" i="1"/>
  <c r="BD1083" i="1"/>
  <c r="CE1083" i="1"/>
  <c r="A1084" i="1"/>
  <c r="C1084" i="1"/>
  <c r="E1084" i="1"/>
  <c r="S1084" i="1"/>
  <c r="T1084" i="1"/>
  <c r="U1084" i="1"/>
  <c r="BB1084" i="1"/>
  <c r="BD1084" i="1"/>
  <c r="CE1084" i="1"/>
  <c r="A1085" i="1"/>
  <c r="C1085" i="1"/>
  <c r="E1085" i="1"/>
  <c r="S1085" i="1"/>
  <c r="T1085" i="1"/>
  <c r="U1085" i="1"/>
  <c r="BB1085" i="1"/>
  <c r="BD1085" i="1"/>
  <c r="CE1085" i="1"/>
  <c r="A1086" i="1"/>
  <c r="C1086" i="1"/>
  <c r="E1086" i="1"/>
  <c r="S1086" i="1"/>
  <c r="T1086" i="1"/>
  <c r="U1086" i="1"/>
  <c r="BB1086" i="1"/>
  <c r="BD1086" i="1"/>
  <c r="CE1086" i="1"/>
  <c r="A1087" i="1"/>
  <c r="C1087" i="1"/>
  <c r="E1087" i="1"/>
  <c r="S1087" i="1"/>
  <c r="T1087" i="1"/>
  <c r="U1087" i="1"/>
  <c r="BB1087" i="1"/>
  <c r="BD1087" i="1"/>
  <c r="CE1087" i="1"/>
  <c r="A1088" i="1"/>
  <c r="C1088" i="1"/>
  <c r="E1088" i="1"/>
  <c r="S1088" i="1"/>
  <c r="T1088" i="1"/>
  <c r="U1088" i="1"/>
  <c r="BB1088" i="1"/>
  <c r="BD1088" i="1"/>
  <c r="CE1088" i="1"/>
  <c r="A1089" i="1"/>
  <c r="C1089" i="1"/>
  <c r="E1089" i="1"/>
  <c r="S1089" i="1"/>
  <c r="T1089" i="1"/>
  <c r="U1089" i="1"/>
  <c r="BB1089" i="1"/>
  <c r="BD1089" i="1"/>
  <c r="CE1089" i="1"/>
  <c r="A1090" i="1"/>
  <c r="C1090" i="1"/>
  <c r="E1090" i="1"/>
  <c r="S1090" i="1"/>
  <c r="T1090" i="1"/>
  <c r="U1090" i="1"/>
  <c r="BB1090" i="1"/>
  <c r="BD1090" i="1"/>
  <c r="CE1090" i="1"/>
  <c r="A1091" i="1"/>
  <c r="C1091" i="1"/>
  <c r="E1091" i="1"/>
  <c r="S1091" i="1"/>
  <c r="T1091" i="1"/>
  <c r="U1091" i="1"/>
  <c r="BB1091" i="1"/>
  <c r="BD1091" i="1"/>
  <c r="CE1091" i="1"/>
  <c r="A1092" i="1"/>
  <c r="C1092" i="1"/>
  <c r="E1092" i="1"/>
  <c r="S1092" i="1"/>
  <c r="T1092" i="1"/>
  <c r="U1092" i="1"/>
  <c r="BB1092" i="1"/>
  <c r="BD1092" i="1"/>
  <c r="CE1092" i="1"/>
  <c r="A1093" i="1"/>
  <c r="C1093" i="1"/>
  <c r="E1093" i="1"/>
  <c r="S1093" i="1"/>
  <c r="T1093" i="1"/>
  <c r="U1093" i="1"/>
  <c r="BB1093" i="1"/>
  <c r="BD1093" i="1"/>
  <c r="CE1093" i="1"/>
  <c r="A1094" i="1"/>
  <c r="C1094" i="1"/>
  <c r="E1094" i="1"/>
  <c r="S1094" i="1"/>
  <c r="T1094" i="1"/>
  <c r="U1094" i="1"/>
  <c r="BB1094" i="1"/>
  <c r="BD1094" i="1"/>
  <c r="CE1094" i="1"/>
  <c r="A1095" i="1"/>
  <c r="C1095" i="1"/>
  <c r="E1095" i="1"/>
  <c r="S1095" i="1"/>
  <c r="T1095" i="1"/>
  <c r="U1095" i="1"/>
  <c r="BB1095" i="1"/>
  <c r="BD1095" i="1"/>
  <c r="CE1095" i="1"/>
  <c r="A1096" i="1"/>
  <c r="C1096" i="1"/>
  <c r="E1096" i="1"/>
  <c r="S1096" i="1"/>
  <c r="T1096" i="1"/>
  <c r="U1096" i="1"/>
  <c r="BB1096" i="1"/>
  <c r="BD1096" i="1"/>
  <c r="CE1096" i="1"/>
  <c r="A1097" i="1"/>
  <c r="C1097" i="1"/>
  <c r="E1097" i="1"/>
  <c r="S1097" i="1"/>
  <c r="T1097" i="1"/>
  <c r="U1097" i="1"/>
  <c r="BB1097" i="1"/>
  <c r="BD1097" i="1"/>
  <c r="CE1097" i="1"/>
  <c r="A1098" i="1"/>
  <c r="C1098" i="1"/>
  <c r="E1098" i="1"/>
  <c r="S1098" i="1"/>
  <c r="T1098" i="1"/>
  <c r="U1098" i="1"/>
  <c r="BB1098" i="1"/>
  <c r="BD1098" i="1"/>
  <c r="CE1098" i="1"/>
  <c r="A1099" i="1"/>
  <c r="C1099" i="1"/>
  <c r="E1099" i="1"/>
  <c r="S1099" i="1"/>
  <c r="T1099" i="1"/>
  <c r="U1099" i="1"/>
  <c r="BB1099" i="1"/>
  <c r="BD1099" i="1"/>
  <c r="CE1099" i="1"/>
  <c r="A1100" i="1"/>
  <c r="C1100" i="1"/>
  <c r="E1100" i="1"/>
  <c r="S1100" i="1"/>
  <c r="T1100" i="1"/>
  <c r="U1100" i="1"/>
  <c r="BB1100" i="1"/>
  <c r="BD1100" i="1"/>
  <c r="CE1100" i="1"/>
  <c r="A1101" i="1"/>
  <c r="C1101" i="1"/>
  <c r="E1101" i="1"/>
  <c r="S1101" i="1"/>
  <c r="T1101" i="1"/>
  <c r="U1101" i="1"/>
  <c r="BB1101" i="1"/>
  <c r="BD1101" i="1"/>
  <c r="CE1101" i="1"/>
  <c r="A1102" i="1"/>
  <c r="C1102" i="1"/>
  <c r="E1102" i="1"/>
  <c r="S1102" i="1"/>
  <c r="T1102" i="1"/>
  <c r="U1102" i="1"/>
  <c r="BB1102" i="1"/>
  <c r="BD1102" i="1"/>
  <c r="CE1102" i="1"/>
  <c r="A1103" i="1"/>
  <c r="C1103" i="1"/>
  <c r="E1103" i="1"/>
  <c r="S1103" i="1"/>
  <c r="T1103" i="1"/>
  <c r="U1103" i="1"/>
  <c r="BB1103" i="1"/>
  <c r="BD1103" i="1"/>
  <c r="CE1103" i="1"/>
  <c r="A1104" i="1"/>
  <c r="C1104" i="1"/>
  <c r="E1104" i="1"/>
  <c r="S1104" i="1"/>
  <c r="T1104" i="1"/>
  <c r="U1104" i="1"/>
  <c r="BB1104" i="1"/>
  <c r="BD1104" i="1"/>
  <c r="CE1104" i="1"/>
  <c r="A1105" i="1"/>
  <c r="C1105" i="1"/>
  <c r="E1105" i="1"/>
  <c r="S1105" i="1"/>
  <c r="T1105" i="1"/>
  <c r="U1105" i="1"/>
  <c r="BB1105" i="1"/>
  <c r="BD1105" i="1"/>
  <c r="CE1105" i="1"/>
  <c r="A1106" i="1"/>
  <c r="C1106" i="1"/>
  <c r="E1106" i="1"/>
  <c r="S1106" i="1"/>
  <c r="T1106" i="1"/>
  <c r="U1106" i="1"/>
  <c r="BB1106" i="1"/>
  <c r="BD1106" i="1"/>
  <c r="CE1106" i="1"/>
  <c r="A1107" i="1"/>
  <c r="C1107" i="1"/>
  <c r="E1107" i="1"/>
  <c r="S1107" i="1"/>
  <c r="T1107" i="1"/>
  <c r="U1107" i="1"/>
  <c r="BB1107" i="1"/>
  <c r="BD1107" i="1"/>
  <c r="CE1107" i="1"/>
  <c r="A1108" i="1"/>
  <c r="C1108" i="1"/>
  <c r="E1108" i="1"/>
  <c r="S1108" i="1"/>
  <c r="T1108" i="1"/>
  <c r="U1108" i="1"/>
  <c r="BB1108" i="1"/>
  <c r="BD1108" i="1"/>
  <c r="CE1108" i="1"/>
  <c r="A1109" i="1"/>
  <c r="C1109" i="1"/>
  <c r="E1109" i="1"/>
  <c r="S1109" i="1"/>
  <c r="T1109" i="1"/>
  <c r="U1109" i="1"/>
  <c r="BB1109" i="1"/>
  <c r="BD1109" i="1"/>
  <c r="CE1109" i="1"/>
  <c r="A1110" i="1"/>
  <c r="C1110" i="1"/>
  <c r="E1110" i="1"/>
  <c r="S1110" i="1"/>
  <c r="T1110" i="1"/>
  <c r="U1110" i="1"/>
  <c r="BB1110" i="1"/>
  <c r="BD1110" i="1"/>
  <c r="CE1110" i="1"/>
  <c r="A1111" i="1"/>
  <c r="C1111" i="1"/>
  <c r="E1111" i="1"/>
  <c r="S1111" i="1"/>
  <c r="T1111" i="1"/>
  <c r="U1111" i="1"/>
  <c r="BB1111" i="1"/>
  <c r="BD1111" i="1"/>
  <c r="CE1111" i="1"/>
  <c r="A1112" i="1"/>
  <c r="C1112" i="1"/>
  <c r="E1112" i="1"/>
  <c r="S1112" i="1"/>
  <c r="T1112" i="1"/>
  <c r="U1112" i="1"/>
  <c r="BB1112" i="1"/>
  <c r="BD1112" i="1"/>
  <c r="CE1112" i="1"/>
  <c r="A1113" i="1"/>
  <c r="C1113" i="1"/>
  <c r="E1113" i="1"/>
  <c r="S1113" i="1"/>
  <c r="T1113" i="1"/>
  <c r="U1113" i="1"/>
  <c r="BB1113" i="1"/>
  <c r="BD1113" i="1"/>
  <c r="CE1113" i="1"/>
  <c r="A1114" i="1"/>
  <c r="C1114" i="1"/>
  <c r="E1114" i="1"/>
  <c r="S1114" i="1"/>
  <c r="T1114" i="1"/>
  <c r="U1114" i="1"/>
  <c r="BB1114" i="1"/>
  <c r="BD1114" i="1"/>
  <c r="CE1114" i="1"/>
  <c r="A1115" i="1"/>
  <c r="C1115" i="1"/>
  <c r="E1115" i="1"/>
  <c r="S1115" i="1"/>
  <c r="T1115" i="1"/>
  <c r="U1115" i="1"/>
  <c r="BB1115" i="1"/>
  <c r="BD1115" i="1"/>
  <c r="CE1115" i="1"/>
  <c r="A1116" i="1"/>
  <c r="C1116" i="1"/>
  <c r="E1116" i="1"/>
  <c r="S1116" i="1"/>
  <c r="T1116" i="1"/>
  <c r="U1116" i="1"/>
  <c r="BB1116" i="1"/>
  <c r="BD1116" i="1"/>
  <c r="CE1116" i="1"/>
  <c r="A1117" i="1"/>
  <c r="C1117" i="1"/>
  <c r="E1117" i="1"/>
  <c r="S1117" i="1"/>
  <c r="T1117" i="1"/>
  <c r="U1117" i="1"/>
  <c r="BB1117" i="1"/>
  <c r="BD1117" i="1"/>
  <c r="CE1117" i="1"/>
  <c r="A1118" i="1"/>
  <c r="C1118" i="1"/>
  <c r="E1118" i="1"/>
  <c r="S1118" i="1"/>
  <c r="T1118" i="1"/>
  <c r="U1118" i="1"/>
  <c r="BB1118" i="1"/>
  <c r="BD1118" i="1"/>
  <c r="CE1118" i="1"/>
  <c r="A1119" i="1"/>
  <c r="C1119" i="1"/>
  <c r="E1119" i="1"/>
  <c r="S1119" i="1"/>
  <c r="T1119" i="1"/>
  <c r="U1119" i="1"/>
  <c r="BB1119" i="1"/>
  <c r="BD1119" i="1"/>
  <c r="CE1119" i="1"/>
  <c r="A1120" i="1"/>
  <c r="C1120" i="1"/>
  <c r="E1120" i="1"/>
  <c r="S1120" i="1"/>
  <c r="T1120" i="1"/>
  <c r="U1120" i="1"/>
  <c r="BB1120" i="1"/>
  <c r="BD1120" i="1"/>
  <c r="CE1120" i="1"/>
  <c r="A1121" i="1"/>
  <c r="C1121" i="1"/>
  <c r="E1121" i="1"/>
  <c r="S1121" i="1"/>
  <c r="T1121" i="1"/>
  <c r="U1121" i="1"/>
  <c r="BB1121" i="1"/>
  <c r="BD1121" i="1"/>
  <c r="CE1121" i="1"/>
  <c r="A1122" i="1"/>
  <c r="C1122" i="1"/>
  <c r="E1122" i="1"/>
  <c r="S1122" i="1"/>
  <c r="T1122" i="1"/>
  <c r="U1122" i="1"/>
  <c r="BB1122" i="1"/>
  <c r="BD1122" i="1"/>
  <c r="CE1122" i="1"/>
  <c r="A1123" i="1"/>
  <c r="C1123" i="1"/>
  <c r="E1123" i="1"/>
  <c r="S1123" i="1"/>
  <c r="T1123" i="1"/>
  <c r="U1123" i="1"/>
  <c r="BB1123" i="1"/>
  <c r="BD1123" i="1"/>
  <c r="CE1123" i="1"/>
  <c r="A1124" i="1"/>
  <c r="C1124" i="1"/>
  <c r="E1124" i="1"/>
  <c r="S1124" i="1"/>
  <c r="T1124" i="1"/>
  <c r="U1124" i="1"/>
  <c r="BB1124" i="1"/>
  <c r="BD1124" i="1"/>
  <c r="CE1124" i="1"/>
  <c r="A1125" i="1"/>
  <c r="C1125" i="1"/>
  <c r="E1125" i="1"/>
  <c r="S1125" i="1"/>
  <c r="T1125" i="1"/>
  <c r="U1125" i="1"/>
  <c r="BB1125" i="1"/>
  <c r="BD1125" i="1"/>
  <c r="CE1125" i="1"/>
  <c r="A1126" i="1"/>
  <c r="C1126" i="1"/>
  <c r="E1126" i="1"/>
  <c r="S1126" i="1"/>
  <c r="T1126" i="1"/>
  <c r="U1126" i="1"/>
  <c r="BB1126" i="1"/>
  <c r="BD1126" i="1"/>
  <c r="CE1126" i="1"/>
  <c r="A1127" i="1"/>
  <c r="C1127" i="1"/>
  <c r="E1127" i="1"/>
  <c r="S1127" i="1"/>
  <c r="T1127" i="1"/>
  <c r="U1127" i="1"/>
  <c r="BB1127" i="1"/>
  <c r="BD1127" i="1"/>
  <c r="CE1127" i="1"/>
  <c r="A1128" i="1"/>
  <c r="C1128" i="1"/>
  <c r="E1128" i="1"/>
  <c r="S1128" i="1"/>
  <c r="T1128" i="1"/>
  <c r="U1128" i="1"/>
  <c r="BB1128" i="1"/>
  <c r="BD1128" i="1"/>
  <c r="CE1128" i="1"/>
  <c r="A1129" i="1"/>
  <c r="C1129" i="1"/>
  <c r="E1129" i="1"/>
  <c r="S1129" i="1"/>
  <c r="T1129" i="1"/>
  <c r="U1129" i="1"/>
  <c r="BB1129" i="1"/>
  <c r="BD1129" i="1"/>
  <c r="CE1129" i="1"/>
  <c r="A1130" i="1"/>
  <c r="C1130" i="1"/>
  <c r="E1130" i="1"/>
  <c r="S1130" i="1"/>
  <c r="T1130" i="1"/>
  <c r="U1130" i="1"/>
  <c r="BB1130" i="1"/>
  <c r="BD1130" i="1"/>
  <c r="CE1130" i="1"/>
  <c r="A1131" i="1"/>
  <c r="C1131" i="1"/>
  <c r="E1131" i="1"/>
  <c r="S1131" i="1"/>
  <c r="T1131" i="1"/>
  <c r="U1131" i="1"/>
  <c r="BB1131" i="1"/>
  <c r="BD1131" i="1"/>
  <c r="CE1131" i="1"/>
  <c r="A1132" i="1"/>
  <c r="C1132" i="1"/>
  <c r="E1132" i="1"/>
  <c r="S1132" i="1"/>
  <c r="T1132" i="1"/>
  <c r="U1132" i="1"/>
  <c r="BB1132" i="1"/>
  <c r="BD1132" i="1"/>
  <c r="CE1132" i="1"/>
  <c r="A1133" i="1"/>
  <c r="C1133" i="1"/>
  <c r="E1133" i="1"/>
  <c r="S1133" i="1"/>
  <c r="T1133" i="1"/>
  <c r="U1133" i="1"/>
  <c r="BB1133" i="1"/>
  <c r="BD1133" i="1"/>
  <c r="CE1133" i="1"/>
  <c r="A1134" i="1"/>
  <c r="C1134" i="1"/>
  <c r="E1134" i="1"/>
  <c r="S1134" i="1"/>
  <c r="T1134" i="1"/>
  <c r="U1134" i="1"/>
  <c r="BB1134" i="1"/>
  <c r="BD1134" i="1"/>
  <c r="CE1134" i="1"/>
  <c r="A1135" i="1"/>
  <c r="C1135" i="1"/>
  <c r="E1135" i="1"/>
  <c r="S1135" i="1"/>
  <c r="T1135" i="1"/>
  <c r="U1135" i="1"/>
  <c r="BB1135" i="1"/>
  <c r="BD1135" i="1"/>
  <c r="CE1135" i="1"/>
  <c r="A1136" i="1"/>
  <c r="C1136" i="1"/>
  <c r="E1136" i="1"/>
  <c r="S1136" i="1"/>
  <c r="T1136" i="1"/>
  <c r="U1136" i="1"/>
  <c r="BB1136" i="1"/>
  <c r="BD1136" i="1"/>
  <c r="CE1136" i="1"/>
  <c r="A1137" i="1"/>
  <c r="C1137" i="1"/>
  <c r="E1137" i="1"/>
  <c r="S1137" i="1"/>
  <c r="T1137" i="1"/>
  <c r="U1137" i="1"/>
  <c r="BB1137" i="1"/>
  <c r="BD1137" i="1"/>
  <c r="CE1137" i="1"/>
  <c r="A1138" i="1"/>
  <c r="C1138" i="1"/>
  <c r="E1138" i="1"/>
  <c r="S1138" i="1"/>
  <c r="T1138" i="1"/>
  <c r="U1138" i="1"/>
  <c r="BB1138" i="1"/>
  <c r="BD1138" i="1"/>
  <c r="CE1138" i="1"/>
  <c r="A1139" i="1"/>
  <c r="C1139" i="1"/>
  <c r="E1139" i="1"/>
  <c r="S1139" i="1"/>
  <c r="T1139" i="1"/>
  <c r="U1139" i="1"/>
  <c r="BB1139" i="1"/>
  <c r="BD1139" i="1"/>
  <c r="CE1139" i="1"/>
  <c r="A1140" i="1"/>
  <c r="C1140" i="1"/>
  <c r="E1140" i="1"/>
  <c r="S1140" i="1"/>
  <c r="T1140" i="1"/>
  <c r="U1140" i="1"/>
  <c r="BB1140" i="1"/>
  <c r="BD1140" i="1"/>
  <c r="CE1140" i="1"/>
  <c r="A1141" i="1"/>
  <c r="C1141" i="1"/>
  <c r="E1141" i="1"/>
  <c r="S1141" i="1"/>
  <c r="T1141" i="1"/>
  <c r="U1141" i="1"/>
  <c r="BB1141" i="1"/>
  <c r="BD1141" i="1"/>
  <c r="CE1141" i="1"/>
  <c r="A1142" i="1"/>
  <c r="C1142" i="1"/>
  <c r="E1142" i="1"/>
  <c r="S1142" i="1"/>
  <c r="T1142" i="1"/>
  <c r="U1142" i="1"/>
  <c r="BB1142" i="1"/>
  <c r="BD1142" i="1"/>
  <c r="CE1142" i="1"/>
  <c r="A1143" i="1"/>
  <c r="C1143" i="1"/>
  <c r="E1143" i="1"/>
  <c r="S1143" i="1"/>
  <c r="T1143" i="1"/>
  <c r="U1143" i="1"/>
  <c r="BB1143" i="1"/>
  <c r="BD1143" i="1"/>
  <c r="CE1143" i="1"/>
  <c r="A1144" i="1"/>
  <c r="C1144" i="1"/>
  <c r="E1144" i="1"/>
  <c r="S1144" i="1"/>
  <c r="T1144" i="1"/>
  <c r="U1144" i="1"/>
  <c r="BB1144" i="1"/>
  <c r="BD1144" i="1"/>
  <c r="CE1144" i="1"/>
  <c r="A1145" i="1"/>
  <c r="C1145" i="1"/>
  <c r="E1145" i="1"/>
  <c r="S1145" i="1"/>
  <c r="T1145" i="1"/>
  <c r="U1145" i="1"/>
  <c r="BB1145" i="1"/>
  <c r="BD1145" i="1"/>
  <c r="CE1145" i="1"/>
  <c r="A1146" i="1"/>
  <c r="C1146" i="1"/>
  <c r="E1146" i="1"/>
  <c r="S1146" i="1"/>
  <c r="T1146" i="1"/>
  <c r="U1146" i="1"/>
  <c r="BB1146" i="1"/>
  <c r="BD1146" i="1"/>
  <c r="CE1146" i="1"/>
  <c r="A1147" i="1"/>
  <c r="C1147" i="1"/>
  <c r="E1147" i="1"/>
  <c r="S1147" i="1"/>
  <c r="T1147" i="1"/>
  <c r="U1147" i="1"/>
  <c r="BB1147" i="1"/>
  <c r="BD1147" i="1"/>
  <c r="CE1147" i="1"/>
  <c r="A1148" i="1"/>
  <c r="C1148" i="1"/>
  <c r="E1148" i="1"/>
  <c r="S1148" i="1"/>
  <c r="T1148" i="1"/>
  <c r="U1148" i="1"/>
  <c r="BB1148" i="1"/>
  <c r="BD1148" i="1"/>
  <c r="CE1148" i="1"/>
  <c r="A1149" i="1"/>
  <c r="C1149" i="1"/>
  <c r="E1149" i="1"/>
  <c r="S1149" i="1"/>
  <c r="T1149" i="1"/>
  <c r="U1149" i="1"/>
  <c r="BB1149" i="1"/>
  <c r="BD1149" i="1"/>
  <c r="CE1149" i="1"/>
  <c r="A1150" i="1"/>
  <c r="C1150" i="1"/>
  <c r="E1150" i="1"/>
  <c r="S1150" i="1"/>
  <c r="T1150" i="1"/>
  <c r="U1150" i="1"/>
  <c r="BB1150" i="1"/>
  <c r="BD1150" i="1"/>
  <c r="CE1150" i="1"/>
  <c r="A1151" i="1"/>
  <c r="C1151" i="1"/>
  <c r="E1151" i="1"/>
  <c r="S1151" i="1"/>
  <c r="T1151" i="1"/>
  <c r="U1151" i="1"/>
  <c r="BB1151" i="1"/>
  <c r="BD1151" i="1"/>
  <c r="CE1151" i="1"/>
  <c r="A1152" i="1"/>
  <c r="C1152" i="1"/>
  <c r="E1152" i="1"/>
  <c r="S1152" i="1"/>
  <c r="T1152" i="1"/>
  <c r="U1152" i="1"/>
  <c r="BB1152" i="1"/>
  <c r="BD1152" i="1"/>
  <c r="CE1152" i="1"/>
  <c r="A1153" i="1"/>
  <c r="C1153" i="1"/>
  <c r="E1153" i="1"/>
  <c r="S1153" i="1"/>
  <c r="T1153" i="1"/>
  <c r="U1153" i="1"/>
  <c r="BB1153" i="1"/>
  <c r="BD1153" i="1"/>
  <c r="CE1153" i="1"/>
  <c r="A1154" i="1"/>
  <c r="C1154" i="1"/>
  <c r="E1154" i="1"/>
  <c r="S1154" i="1"/>
  <c r="T1154" i="1"/>
  <c r="U1154" i="1"/>
  <c r="BB1154" i="1"/>
  <c r="BD1154" i="1"/>
  <c r="CE1154" i="1"/>
  <c r="A1155" i="1"/>
  <c r="C1155" i="1"/>
  <c r="E1155" i="1"/>
  <c r="S1155" i="1"/>
  <c r="T1155" i="1"/>
  <c r="U1155" i="1"/>
  <c r="BB1155" i="1"/>
  <c r="BD1155" i="1"/>
  <c r="CE1155" i="1"/>
  <c r="A1156" i="1"/>
  <c r="C1156" i="1"/>
  <c r="E1156" i="1"/>
  <c r="S1156" i="1"/>
  <c r="T1156" i="1"/>
  <c r="U1156" i="1"/>
  <c r="BB1156" i="1"/>
  <c r="BD1156" i="1"/>
  <c r="CE1156" i="1"/>
  <c r="A1157" i="1"/>
  <c r="C1157" i="1"/>
  <c r="E1157" i="1"/>
  <c r="S1157" i="1"/>
  <c r="T1157" i="1"/>
  <c r="U1157" i="1"/>
  <c r="BB1157" i="1"/>
  <c r="BD1157" i="1"/>
  <c r="CE1157" i="1"/>
  <c r="A1158" i="1"/>
  <c r="C1158" i="1"/>
  <c r="E1158" i="1"/>
  <c r="S1158" i="1"/>
  <c r="T1158" i="1"/>
  <c r="U1158" i="1"/>
  <c r="BB1158" i="1"/>
  <c r="BD1158" i="1"/>
  <c r="CE1158" i="1"/>
  <c r="A1159" i="1"/>
  <c r="C1159" i="1"/>
  <c r="E1159" i="1"/>
  <c r="S1159" i="1"/>
  <c r="T1159" i="1"/>
  <c r="U1159" i="1"/>
  <c r="BB1159" i="1"/>
  <c r="BD1159" i="1"/>
  <c r="CE1159" i="1"/>
  <c r="A1160" i="1"/>
  <c r="C1160" i="1"/>
  <c r="E1160" i="1"/>
  <c r="S1160" i="1"/>
  <c r="T1160" i="1"/>
  <c r="U1160" i="1"/>
  <c r="BB1160" i="1"/>
  <c r="BD1160" i="1"/>
  <c r="CE1160" i="1"/>
  <c r="A1161" i="1"/>
  <c r="C1161" i="1"/>
  <c r="E1161" i="1"/>
  <c r="S1161" i="1"/>
  <c r="T1161" i="1"/>
  <c r="U1161" i="1"/>
  <c r="BB1161" i="1"/>
  <c r="BD1161" i="1"/>
  <c r="CE1161" i="1"/>
  <c r="A1162" i="1"/>
  <c r="C1162" i="1"/>
  <c r="E1162" i="1"/>
  <c r="S1162" i="1"/>
  <c r="T1162" i="1"/>
  <c r="U1162" i="1"/>
  <c r="BB1162" i="1"/>
  <c r="BD1162" i="1"/>
  <c r="CE1162" i="1"/>
  <c r="A1163" i="1"/>
  <c r="C1163" i="1"/>
  <c r="E1163" i="1"/>
  <c r="S1163" i="1"/>
  <c r="T1163" i="1"/>
  <c r="U1163" i="1"/>
  <c r="BB1163" i="1"/>
  <c r="BD1163" i="1"/>
  <c r="CE1163" i="1"/>
  <c r="A1164" i="1"/>
  <c r="C1164" i="1"/>
  <c r="E1164" i="1"/>
  <c r="S1164" i="1"/>
  <c r="T1164" i="1"/>
  <c r="U1164" i="1"/>
  <c r="BB1164" i="1"/>
  <c r="BD1164" i="1"/>
  <c r="CE1164" i="1"/>
  <c r="A1165" i="1"/>
  <c r="C1165" i="1"/>
  <c r="E1165" i="1"/>
  <c r="S1165" i="1"/>
  <c r="T1165" i="1"/>
  <c r="U1165" i="1"/>
  <c r="BB1165" i="1"/>
  <c r="BD1165" i="1"/>
  <c r="CE1165" i="1"/>
  <c r="A1166" i="1"/>
  <c r="C1166" i="1"/>
  <c r="E1166" i="1"/>
  <c r="S1166" i="1"/>
  <c r="T1166" i="1"/>
  <c r="U1166" i="1"/>
  <c r="BB1166" i="1"/>
  <c r="BD1166" i="1"/>
  <c r="CE1166" i="1"/>
  <c r="A1167" i="1"/>
  <c r="C1167" i="1"/>
  <c r="E1167" i="1"/>
  <c r="S1167" i="1"/>
  <c r="T1167" i="1"/>
  <c r="U1167" i="1"/>
  <c r="BB1167" i="1"/>
  <c r="BD1167" i="1"/>
  <c r="CE1167" i="1"/>
  <c r="A1168" i="1"/>
  <c r="C1168" i="1"/>
  <c r="E1168" i="1"/>
  <c r="S1168" i="1"/>
  <c r="T1168" i="1"/>
  <c r="U1168" i="1"/>
  <c r="BB1168" i="1"/>
  <c r="BD1168" i="1"/>
  <c r="CE1168" i="1"/>
  <c r="A1169" i="1"/>
  <c r="C1169" i="1"/>
  <c r="E1169" i="1"/>
  <c r="S1169" i="1"/>
  <c r="T1169" i="1"/>
  <c r="U1169" i="1"/>
  <c r="BB1169" i="1"/>
  <c r="BD1169" i="1"/>
  <c r="CE1169" i="1"/>
  <c r="A1170" i="1"/>
  <c r="C1170" i="1"/>
  <c r="E1170" i="1"/>
  <c r="S1170" i="1"/>
  <c r="T1170" i="1"/>
  <c r="U1170" i="1"/>
  <c r="BB1170" i="1"/>
  <c r="BD1170" i="1"/>
  <c r="CE1170" i="1"/>
  <c r="A1171" i="1"/>
  <c r="C1171" i="1"/>
  <c r="E1171" i="1"/>
  <c r="S1171" i="1"/>
  <c r="T1171" i="1"/>
  <c r="U1171" i="1"/>
  <c r="BB1171" i="1"/>
  <c r="BD1171" i="1"/>
  <c r="CE1171" i="1"/>
  <c r="A1172" i="1"/>
  <c r="C1172" i="1"/>
  <c r="E1172" i="1"/>
  <c r="S1172" i="1"/>
  <c r="T1172" i="1"/>
  <c r="U1172" i="1"/>
  <c r="BB1172" i="1"/>
  <c r="BD1172" i="1"/>
  <c r="CE1172" i="1"/>
  <c r="A1173" i="1"/>
  <c r="C1173" i="1"/>
  <c r="E1173" i="1"/>
  <c r="S1173" i="1"/>
  <c r="T1173" i="1"/>
  <c r="U1173" i="1"/>
  <c r="BB1173" i="1"/>
  <c r="BD1173" i="1"/>
  <c r="CE1173" i="1"/>
  <c r="A1174" i="1"/>
  <c r="C1174" i="1"/>
  <c r="E1174" i="1"/>
  <c r="S1174" i="1"/>
  <c r="T1174" i="1"/>
  <c r="U1174" i="1"/>
  <c r="BB1174" i="1"/>
  <c r="BD1174" i="1"/>
  <c r="CE1174" i="1"/>
  <c r="A1175" i="1"/>
  <c r="C1175" i="1"/>
  <c r="E1175" i="1"/>
  <c r="S1175" i="1"/>
  <c r="T1175" i="1"/>
  <c r="U1175" i="1"/>
  <c r="BB1175" i="1"/>
  <c r="BD1175" i="1"/>
  <c r="CE1175" i="1"/>
  <c r="A1176" i="1"/>
  <c r="C1176" i="1"/>
  <c r="E1176" i="1"/>
  <c r="S1176" i="1"/>
  <c r="T1176" i="1"/>
  <c r="U1176" i="1"/>
  <c r="BB1176" i="1"/>
  <c r="BD1176" i="1"/>
  <c r="CE1176" i="1"/>
  <c r="A1177" i="1"/>
  <c r="C1177" i="1"/>
  <c r="E1177" i="1"/>
  <c r="S1177" i="1"/>
  <c r="T1177" i="1"/>
  <c r="U1177" i="1"/>
  <c r="BB1177" i="1"/>
  <c r="BD1177" i="1"/>
  <c r="CE1177" i="1"/>
  <c r="A1178" i="1"/>
  <c r="C1178" i="1"/>
  <c r="E1178" i="1"/>
  <c r="S1178" i="1"/>
  <c r="T1178" i="1"/>
  <c r="U1178" i="1"/>
  <c r="BB1178" i="1"/>
  <c r="BD1178" i="1"/>
  <c r="CE1178" i="1"/>
  <c r="A1179" i="1"/>
  <c r="C1179" i="1"/>
  <c r="E1179" i="1"/>
  <c r="S1179" i="1"/>
  <c r="T1179" i="1"/>
  <c r="U1179" i="1"/>
  <c r="BB1179" i="1"/>
  <c r="BD1179" i="1"/>
  <c r="CE1179" i="1"/>
  <c r="A1180" i="1"/>
  <c r="C1180" i="1"/>
  <c r="E1180" i="1"/>
  <c r="S1180" i="1"/>
  <c r="T1180" i="1"/>
  <c r="U1180" i="1"/>
  <c r="BB1180" i="1"/>
  <c r="BD1180" i="1"/>
  <c r="CE1180" i="1"/>
  <c r="A1181" i="1"/>
  <c r="C1181" i="1"/>
  <c r="E1181" i="1"/>
  <c r="S1181" i="1"/>
  <c r="T1181" i="1"/>
  <c r="U1181" i="1"/>
  <c r="BB1181" i="1"/>
  <c r="BD1181" i="1"/>
  <c r="CE1181" i="1"/>
  <c r="A1182" i="1"/>
  <c r="C1182" i="1"/>
  <c r="E1182" i="1"/>
  <c r="S1182" i="1"/>
  <c r="T1182" i="1"/>
  <c r="U1182" i="1"/>
  <c r="BB1182" i="1"/>
  <c r="BD1182" i="1"/>
  <c r="CE1182" i="1"/>
  <c r="A1183" i="1"/>
  <c r="C1183" i="1"/>
  <c r="E1183" i="1"/>
  <c r="S1183" i="1"/>
  <c r="T1183" i="1"/>
  <c r="U1183" i="1"/>
  <c r="BB1183" i="1"/>
  <c r="BD1183" i="1"/>
  <c r="CE1183" i="1"/>
  <c r="A1184" i="1"/>
  <c r="C1184" i="1"/>
  <c r="E1184" i="1"/>
  <c r="S1184" i="1"/>
  <c r="T1184" i="1"/>
  <c r="U1184" i="1"/>
  <c r="BB1184" i="1"/>
  <c r="BD1184" i="1"/>
  <c r="CE1184" i="1"/>
  <c r="A1185" i="1"/>
  <c r="C1185" i="1"/>
  <c r="E1185" i="1"/>
  <c r="S1185" i="1"/>
  <c r="T1185" i="1"/>
  <c r="U1185" i="1"/>
  <c r="BB1185" i="1"/>
  <c r="BD1185" i="1"/>
  <c r="CE1185" i="1"/>
  <c r="A1186" i="1"/>
  <c r="C1186" i="1"/>
  <c r="E1186" i="1"/>
  <c r="S1186" i="1"/>
  <c r="T1186" i="1"/>
  <c r="U1186" i="1"/>
  <c r="BB1186" i="1"/>
  <c r="BD1186" i="1"/>
  <c r="CE1186" i="1"/>
  <c r="A1187" i="1"/>
  <c r="C1187" i="1"/>
  <c r="E1187" i="1"/>
  <c r="S1187" i="1"/>
  <c r="T1187" i="1"/>
  <c r="U1187" i="1"/>
  <c r="BB1187" i="1"/>
  <c r="BD1187" i="1"/>
  <c r="CE1187" i="1"/>
  <c r="A1188" i="1"/>
  <c r="C1188" i="1"/>
  <c r="E1188" i="1"/>
  <c r="S1188" i="1"/>
  <c r="T1188" i="1"/>
  <c r="U1188" i="1"/>
  <c r="BB1188" i="1"/>
  <c r="BD1188" i="1"/>
  <c r="CE1188" i="1"/>
  <c r="A1189" i="1"/>
  <c r="C1189" i="1"/>
  <c r="E1189" i="1"/>
  <c r="S1189" i="1"/>
  <c r="T1189" i="1"/>
  <c r="U1189" i="1"/>
  <c r="BB1189" i="1"/>
  <c r="BD1189" i="1"/>
  <c r="CE1189" i="1"/>
  <c r="A1190" i="1"/>
  <c r="C1190" i="1"/>
  <c r="E1190" i="1"/>
  <c r="S1190" i="1"/>
  <c r="T1190" i="1"/>
  <c r="U1190" i="1"/>
  <c r="BB1190" i="1"/>
  <c r="BD1190" i="1"/>
  <c r="CE1190" i="1"/>
  <c r="A1191" i="1"/>
  <c r="C1191" i="1"/>
  <c r="E1191" i="1"/>
  <c r="S1191" i="1"/>
  <c r="T1191" i="1"/>
  <c r="U1191" i="1"/>
  <c r="BB1191" i="1"/>
  <c r="BD1191" i="1"/>
  <c r="CE1191" i="1"/>
  <c r="A1192" i="1"/>
  <c r="C1192" i="1"/>
  <c r="E1192" i="1"/>
  <c r="S1192" i="1"/>
  <c r="T1192" i="1"/>
  <c r="U1192" i="1"/>
  <c r="BB1192" i="1"/>
  <c r="BD1192" i="1"/>
  <c r="CE1192" i="1"/>
  <c r="A1193" i="1"/>
  <c r="C1193" i="1"/>
  <c r="E1193" i="1"/>
  <c r="S1193" i="1"/>
  <c r="T1193" i="1"/>
  <c r="U1193" i="1"/>
  <c r="BB1193" i="1"/>
  <c r="BD1193" i="1"/>
  <c r="CE1193" i="1"/>
  <c r="A1194" i="1"/>
  <c r="C1194" i="1"/>
  <c r="E1194" i="1"/>
  <c r="S1194" i="1"/>
  <c r="T1194" i="1"/>
  <c r="U1194" i="1"/>
  <c r="BB1194" i="1"/>
  <c r="BD1194" i="1"/>
  <c r="CE1194" i="1"/>
  <c r="A1195" i="1"/>
  <c r="C1195" i="1"/>
  <c r="E1195" i="1"/>
  <c r="S1195" i="1"/>
  <c r="T1195" i="1"/>
  <c r="U1195" i="1"/>
  <c r="BB1195" i="1"/>
  <c r="BD1195" i="1"/>
  <c r="CE1195" i="1"/>
  <c r="A1196" i="1"/>
  <c r="C1196" i="1"/>
  <c r="E1196" i="1"/>
  <c r="S1196" i="1"/>
  <c r="T1196" i="1"/>
  <c r="U1196" i="1"/>
  <c r="BB1196" i="1"/>
  <c r="BD1196" i="1"/>
  <c r="CE1196" i="1"/>
  <c r="A1197" i="1"/>
  <c r="C1197" i="1"/>
  <c r="E1197" i="1"/>
  <c r="S1197" i="1"/>
  <c r="T1197" i="1"/>
  <c r="U1197" i="1"/>
  <c r="BB1197" i="1"/>
  <c r="BD1197" i="1"/>
  <c r="CE1197" i="1"/>
  <c r="A1198" i="1"/>
  <c r="C1198" i="1"/>
  <c r="E1198" i="1"/>
  <c r="S1198" i="1"/>
  <c r="T1198" i="1"/>
  <c r="U1198" i="1"/>
  <c r="BB1198" i="1"/>
  <c r="BD1198" i="1"/>
  <c r="CE1198" i="1"/>
  <c r="A1199" i="1"/>
  <c r="C1199" i="1"/>
  <c r="E1199" i="1"/>
  <c r="S1199" i="1"/>
  <c r="T1199" i="1"/>
  <c r="U1199" i="1"/>
  <c r="BB1199" i="1"/>
  <c r="BD1199" i="1"/>
  <c r="CE1199" i="1"/>
  <c r="A1200" i="1"/>
  <c r="C1200" i="1"/>
  <c r="E1200" i="1"/>
  <c r="S1200" i="1"/>
  <c r="T1200" i="1"/>
  <c r="U1200" i="1"/>
  <c r="BB1200" i="1"/>
  <c r="BD1200" i="1"/>
  <c r="CE1200" i="1"/>
  <c r="A1201" i="1"/>
  <c r="C1201" i="1"/>
  <c r="E1201" i="1"/>
  <c r="S1201" i="1"/>
  <c r="T1201" i="1"/>
  <c r="U1201" i="1"/>
  <c r="BB1201" i="1"/>
  <c r="BD1201" i="1"/>
  <c r="CE1201" i="1"/>
  <c r="A1202" i="1"/>
  <c r="C1202" i="1"/>
  <c r="E1202" i="1"/>
  <c r="S1202" i="1"/>
  <c r="T1202" i="1"/>
  <c r="U1202" i="1"/>
  <c r="BB1202" i="1"/>
  <c r="BD1202" i="1"/>
  <c r="CE1202" i="1"/>
  <c r="A1203" i="1"/>
  <c r="C1203" i="1"/>
  <c r="E1203" i="1"/>
  <c r="S1203" i="1"/>
  <c r="T1203" i="1"/>
  <c r="U1203" i="1"/>
  <c r="BB1203" i="1"/>
  <c r="BD1203" i="1"/>
  <c r="CE1203" i="1"/>
  <c r="A1204" i="1"/>
  <c r="C1204" i="1"/>
  <c r="E1204" i="1"/>
  <c r="S1204" i="1"/>
  <c r="T1204" i="1"/>
  <c r="U1204" i="1"/>
  <c r="BB1204" i="1"/>
  <c r="BD1204" i="1"/>
  <c r="CE1204" i="1"/>
  <c r="A1205" i="1"/>
  <c r="C1205" i="1"/>
  <c r="E1205" i="1"/>
  <c r="S1205" i="1"/>
  <c r="T1205" i="1"/>
  <c r="U1205" i="1"/>
  <c r="BB1205" i="1"/>
  <c r="BD1205" i="1"/>
  <c r="CE1205" i="1"/>
  <c r="A1206" i="1"/>
  <c r="C1206" i="1"/>
  <c r="E1206" i="1"/>
  <c r="S1206" i="1"/>
  <c r="T1206" i="1"/>
  <c r="U1206" i="1"/>
  <c r="BB1206" i="1"/>
  <c r="BD1206" i="1"/>
  <c r="CE1206" i="1"/>
  <c r="A1207" i="1"/>
  <c r="C1207" i="1"/>
  <c r="E1207" i="1"/>
  <c r="S1207" i="1"/>
  <c r="T1207" i="1"/>
  <c r="U1207" i="1"/>
  <c r="BB1207" i="1"/>
  <c r="BD1207" i="1"/>
  <c r="CE1207" i="1"/>
  <c r="A1208" i="1"/>
  <c r="C1208" i="1"/>
  <c r="E1208" i="1"/>
  <c r="S1208" i="1"/>
  <c r="T1208" i="1"/>
  <c r="U1208" i="1"/>
  <c r="BB1208" i="1"/>
  <c r="BD1208" i="1"/>
  <c r="CE1208" i="1"/>
  <c r="A1209" i="1"/>
  <c r="C1209" i="1"/>
  <c r="E1209" i="1"/>
  <c r="S1209" i="1"/>
  <c r="T1209" i="1"/>
  <c r="U1209" i="1"/>
  <c r="BB1209" i="1"/>
  <c r="BD1209" i="1"/>
  <c r="CE1209" i="1"/>
  <c r="A1210" i="1"/>
  <c r="C1210" i="1"/>
  <c r="E1210" i="1"/>
  <c r="S1210" i="1"/>
  <c r="T1210" i="1"/>
  <c r="U1210" i="1"/>
  <c r="BB1210" i="1"/>
  <c r="BD1210" i="1"/>
  <c r="CE1210" i="1"/>
  <c r="A1211" i="1"/>
  <c r="C1211" i="1"/>
  <c r="E1211" i="1"/>
  <c r="S1211" i="1"/>
  <c r="T1211" i="1"/>
  <c r="U1211" i="1"/>
  <c r="BB1211" i="1"/>
  <c r="BD1211" i="1"/>
  <c r="CE1211" i="1"/>
  <c r="A1212" i="1"/>
  <c r="C1212" i="1"/>
  <c r="E1212" i="1"/>
  <c r="S1212" i="1"/>
  <c r="T1212" i="1"/>
  <c r="U1212" i="1"/>
  <c r="BB1212" i="1"/>
  <c r="BD1212" i="1"/>
  <c r="CE1212" i="1"/>
  <c r="A1213" i="1"/>
  <c r="C1213" i="1"/>
  <c r="E1213" i="1"/>
  <c r="S1213" i="1"/>
  <c r="T1213" i="1"/>
  <c r="U1213" i="1"/>
  <c r="BB1213" i="1"/>
  <c r="BD1213" i="1"/>
  <c r="CE1213" i="1"/>
  <c r="A1214" i="1"/>
  <c r="C1214" i="1"/>
  <c r="E1214" i="1"/>
  <c r="S1214" i="1"/>
  <c r="T1214" i="1"/>
  <c r="U1214" i="1"/>
  <c r="BB1214" i="1"/>
  <c r="BD1214" i="1"/>
  <c r="CE1214" i="1"/>
  <c r="A1215" i="1"/>
  <c r="C1215" i="1"/>
  <c r="E1215" i="1"/>
  <c r="S1215" i="1"/>
  <c r="T1215" i="1"/>
  <c r="U1215" i="1"/>
  <c r="BB1215" i="1"/>
  <c r="BD1215" i="1"/>
  <c r="CE1215" i="1"/>
  <c r="A1216" i="1"/>
  <c r="C1216" i="1"/>
  <c r="E1216" i="1"/>
  <c r="S1216" i="1"/>
  <c r="T1216" i="1"/>
  <c r="U1216" i="1"/>
  <c r="BB1216" i="1"/>
  <c r="BD1216" i="1"/>
  <c r="CE1216" i="1"/>
  <c r="A1217" i="1"/>
  <c r="C1217" i="1"/>
  <c r="E1217" i="1"/>
  <c r="S1217" i="1"/>
  <c r="T1217" i="1"/>
  <c r="U1217" i="1"/>
  <c r="BB1217" i="1"/>
  <c r="BD1217" i="1"/>
  <c r="CE1217" i="1"/>
  <c r="A1218" i="1"/>
  <c r="C1218" i="1"/>
  <c r="E1218" i="1"/>
  <c r="S1218" i="1"/>
  <c r="T1218" i="1"/>
  <c r="U1218" i="1"/>
  <c r="BB1218" i="1"/>
  <c r="BD1218" i="1"/>
  <c r="CE1218" i="1"/>
  <c r="A1219" i="1"/>
  <c r="C1219" i="1"/>
  <c r="E1219" i="1"/>
  <c r="S1219" i="1"/>
  <c r="T1219" i="1"/>
  <c r="U1219" i="1"/>
  <c r="BB1219" i="1"/>
  <c r="BD1219" i="1"/>
  <c r="CE1219" i="1"/>
  <c r="A1220" i="1"/>
  <c r="C1220" i="1"/>
  <c r="E1220" i="1"/>
  <c r="S1220" i="1"/>
  <c r="T1220" i="1"/>
  <c r="U1220" i="1"/>
  <c r="BB1220" i="1"/>
  <c r="BD1220" i="1"/>
  <c r="CE1220" i="1"/>
  <c r="A1221" i="1"/>
  <c r="C1221" i="1"/>
  <c r="E1221" i="1"/>
  <c r="S1221" i="1"/>
  <c r="T1221" i="1"/>
  <c r="U1221" i="1"/>
  <c r="BB1221" i="1"/>
  <c r="BD1221" i="1"/>
  <c r="CE1221" i="1"/>
  <c r="A1222" i="1"/>
  <c r="C1222" i="1"/>
  <c r="E1222" i="1"/>
  <c r="S1222" i="1"/>
  <c r="T1222" i="1"/>
  <c r="U1222" i="1"/>
  <c r="BB1222" i="1"/>
  <c r="BD1222" i="1"/>
  <c r="CE1222" i="1"/>
  <c r="A1223" i="1"/>
  <c r="C1223" i="1"/>
  <c r="E1223" i="1"/>
  <c r="S1223" i="1"/>
  <c r="T1223" i="1"/>
  <c r="U1223" i="1"/>
  <c r="BB1223" i="1"/>
  <c r="BD1223" i="1"/>
  <c r="CE1223" i="1"/>
  <c r="A1224" i="1"/>
  <c r="C1224" i="1"/>
  <c r="E1224" i="1"/>
  <c r="S1224" i="1"/>
  <c r="T1224" i="1"/>
  <c r="U1224" i="1"/>
  <c r="BB1224" i="1"/>
  <c r="BD1224" i="1"/>
  <c r="CE1224" i="1"/>
  <c r="A1225" i="1"/>
  <c r="C1225" i="1"/>
  <c r="E1225" i="1"/>
  <c r="S1225" i="1"/>
  <c r="T1225" i="1"/>
  <c r="U1225" i="1"/>
  <c r="BB1225" i="1"/>
  <c r="BD1225" i="1"/>
  <c r="CE1225" i="1"/>
  <c r="A1226" i="1"/>
  <c r="C1226" i="1"/>
  <c r="E1226" i="1"/>
  <c r="S1226" i="1"/>
  <c r="T1226" i="1"/>
  <c r="U1226" i="1"/>
  <c r="BB1226" i="1"/>
  <c r="BD1226" i="1"/>
  <c r="CE1226" i="1"/>
  <c r="A1227" i="1"/>
  <c r="C1227" i="1"/>
  <c r="E1227" i="1"/>
  <c r="S1227" i="1"/>
  <c r="T1227" i="1"/>
  <c r="U1227" i="1"/>
  <c r="BB1227" i="1"/>
  <c r="BD1227" i="1"/>
  <c r="CE1227" i="1"/>
  <c r="A1228" i="1"/>
  <c r="C1228" i="1"/>
  <c r="E1228" i="1"/>
  <c r="S1228" i="1"/>
  <c r="T1228" i="1"/>
  <c r="U1228" i="1"/>
  <c r="BB1228" i="1"/>
  <c r="BD1228" i="1"/>
  <c r="CE1228" i="1"/>
  <c r="A1229" i="1"/>
  <c r="C1229" i="1"/>
  <c r="E1229" i="1"/>
  <c r="S1229" i="1"/>
  <c r="T1229" i="1"/>
  <c r="U1229" i="1"/>
  <c r="BB1229" i="1"/>
  <c r="BD1229" i="1"/>
  <c r="CE1229" i="1"/>
  <c r="A1230" i="1"/>
  <c r="C1230" i="1"/>
  <c r="E1230" i="1"/>
  <c r="S1230" i="1"/>
  <c r="T1230" i="1"/>
  <c r="U1230" i="1"/>
  <c r="BB1230" i="1"/>
  <c r="BD1230" i="1"/>
  <c r="CE1230" i="1"/>
  <c r="A1231" i="1"/>
  <c r="C1231" i="1"/>
  <c r="E1231" i="1"/>
  <c r="S1231" i="1"/>
  <c r="T1231" i="1"/>
  <c r="U1231" i="1"/>
  <c r="BB1231" i="1"/>
  <c r="BD1231" i="1"/>
  <c r="CE1231" i="1"/>
  <c r="A1232" i="1"/>
  <c r="C1232" i="1"/>
  <c r="E1232" i="1"/>
  <c r="S1232" i="1"/>
  <c r="T1232" i="1"/>
  <c r="U1232" i="1"/>
  <c r="BB1232" i="1"/>
  <c r="BD1232" i="1"/>
  <c r="CE1232" i="1"/>
  <c r="A1233" i="1"/>
  <c r="C1233" i="1"/>
  <c r="E1233" i="1"/>
  <c r="S1233" i="1"/>
  <c r="T1233" i="1"/>
  <c r="U1233" i="1"/>
  <c r="BB1233" i="1"/>
  <c r="BD1233" i="1"/>
  <c r="CE1233" i="1"/>
  <c r="A1234" i="1"/>
  <c r="C1234" i="1"/>
  <c r="E1234" i="1"/>
  <c r="S1234" i="1"/>
  <c r="T1234" i="1"/>
  <c r="U1234" i="1"/>
  <c r="BB1234" i="1"/>
  <c r="BD1234" i="1"/>
  <c r="CE1234" i="1"/>
  <c r="A1235" i="1"/>
  <c r="C1235" i="1"/>
  <c r="E1235" i="1"/>
  <c r="S1235" i="1"/>
  <c r="T1235" i="1"/>
  <c r="U1235" i="1"/>
  <c r="BB1235" i="1"/>
  <c r="BD1235" i="1"/>
  <c r="CE1235" i="1"/>
  <c r="A1236" i="1"/>
  <c r="C1236" i="1"/>
  <c r="E1236" i="1"/>
  <c r="S1236" i="1"/>
  <c r="T1236" i="1"/>
  <c r="U1236" i="1"/>
  <c r="BB1236" i="1"/>
  <c r="BD1236" i="1"/>
  <c r="CE1236" i="1"/>
  <c r="A1237" i="1"/>
  <c r="C1237" i="1"/>
  <c r="E1237" i="1"/>
  <c r="S1237" i="1"/>
  <c r="T1237" i="1"/>
  <c r="U1237" i="1"/>
  <c r="BB1237" i="1"/>
  <c r="BD1237" i="1"/>
  <c r="CE1237" i="1"/>
  <c r="A1238" i="1"/>
  <c r="C1238" i="1"/>
  <c r="E1238" i="1"/>
  <c r="S1238" i="1"/>
  <c r="T1238" i="1"/>
  <c r="U1238" i="1"/>
  <c r="BB1238" i="1"/>
  <c r="BD1238" i="1"/>
  <c r="CE1238" i="1"/>
  <c r="A1239" i="1"/>
  <c r="C1239" i="1"/>
  <c r="E1239" i="1"/>
  <c r="S1239" i="1"/>
  <c r="T1239" i="1"/>
  <c r="U1239" i="1"/>
  <c r="BB1239" i="1"/>
  <c r="BD1239" i="1"/>
  <c r="CE1239" i="1"/>
  <c r="A1240" i="1"/>
  <c r="C1240" i="1"/>
  <c r="E1240" i="1"/>
  <c r="S1240" i="1"/>
  <c r="T1240" i="1"/>
  <c r="U1240" i="1"/>
  <c r="BB1240" i="1"/>
  <c r="BD1240" i="1"/>
  <c r="CE1240" i="1"/>
  <c r="A1241" i="1"/>
  <c r="C1241" i="1"/>
  <c r="E1241" i="1"/>
  <c r="S1241" i="1"/>
  <c r="T1241" i="1"/>
  <c r="U1241" i="1"/>
  <c r="BB1241" i="1"/>
  <c r="BD1241" i="1"/>
  <c r="CE1241" i="1"/>
  <c r="A1242" i="1"/>
  <c r="C1242" i="1"/>
  <c r="E1242" i="1"/>
  <c r="S1242" i="1"/>
  <c r="T1242" i="1"/>
  <c r="U1242" i="1"/>
  <c r="BB1242" i="1"/>
  <c r="BD1242" i="1"/>
  <c r="CE1242" i="1"/>
  <c r="A1243" i="1"/>
  <c r="C1243" i="1"/>
  <c r="E1243" i="1"/>
  <c r="S1243" i="1"/>
  <c r="T1243" i="1"/>
  <c r="U1243" i="1"/>
  <c r="BB1243" i="1"/>
  <c r="BD1243" i="1"/>
  <c r="CE1243" i="1"/>
  <c r="A1244" i="1"/>
  <c r="C1244" i="1"/>
  <c r="E1244" i="1"/>
  <c r="S1244" i="1"/>
  <c r="T1244" i="1"/>
  <c r="U1244" i="1"/>
  <c r="BB1244" i="1"/>
  <c r="BD1244" i="1"/>
  <c r="CE1244" i="1"/>
  <c r="A1245" i="1"/>
  <c r="C1245" i="1"/>
  <c r="E1245" i="1"/>
  <c r="S1245" i="1"/>
  <c r="T1245" i="1"/>
  <c r="U1245" i="1"/>
  <c r="BB1245" i="1"/>
  <c r="BD1245" i="1"/>
  <c r="CE1245" i="1"/>
  <c r="A1246" i="1"/>
  <c r="C1246" i="1"/>
  <c r="E1246" i="1"/>
  <c r="S1246" i="1"/>
  <c r="T1246" i="1"/>
  <c r="U1246" i="1"/>
  <c r="BB1246" i="1"/>
  <c r="BD1246" i="1"/>
  <c r="CE1246" i="1"/>
  <c r="A1247" i="1"/>
  <c r="C1247" i="1"/>
  <c r="E1247" i="1"/>
  <c r="S1247" i="1"/>
  <c r="T1247" i="1"/>
  <c r="U1247" i="1"/>
  <c r="BB1247" i="1"/>
  <c r="BD1247" i="1"/>
  <c r="CE1247" i="1"/>
  <c r="A1248" i="1"/>
  <c r="C1248" i="1"/>
  <c r="E1248" i="1"/>
  <c r="S1248" i="1"/>
  <c r="T1248" i="1"/>
  <c r="U1248" i="1"/>
  <c r="BB1248" i="1"/>
  <c r="BD1248" i="1"/>
  <c r="CE1248" i="1"/>
  <c r="A1249" i="1"/>
  <c r="C1249" i="1"/>
  <c r="E1249" i="1"/>
  <c r="S1249" i="1"/>
  <c r="T1249" i="1"/>
  <c r="U1249" i="1"/>
  <c r="BB1249" i="1"/>
  <c r="BD1249" i="1"/>
  <c r="CE1249" i="1"/>
  <c r="A1250" i="1"/>
  <c r="C1250" i="1"/>
  <c r="E1250" i="1"/>
  <c r="S1250" i="1"/>
  <c r="T1250" i="1"/>
  <c r="U1250" i="1"/>
  <c r="BB1250" i="1"/>
  <c r="BD1250" i="1"/>
  <c r="CE1250" i="1"/>
  <c r="A1251" i="1"/>
  <c r="C1251" i="1"/>
  <c r="E1251" i="1"/>
  <c r="S1251" i="1"/>
  <c r="T1251" i="1"/>
  <c r="U1251" i="1"/>
  <c r="BB1251" i="1"/>
  <c r="BD1251" i="1"/>
  <c r="CE1251" i="1"/>
  <c r="A1252" i="1"/>
  <c r="C1252" i="1"/>
  <c r="E1252" i="1"/>
  <c r="S1252" i="1"/>
  <c r="T1252" i="1"/>
  <c r="U1252" i="1"/>
  <c r="BB1252" i="1"/>
  <c r="BD1252" i="1"/>
  <c r="CE1252" i="1"/>
  <c r="A1253" i="1"/>
  <c r="C1253" i="1"/>
  <c r="E1253" i="1"/>
  <c r="S1253" i="1"/>
  <c r="T1253" i="1"/>
  <c r="U1253" i="1"/>
  <c r="BB1253" i="1"/>
  <c r="BD1253" i="1"/>
  <c r="CE1253" i="1"/>
  <c r="A1254" i="1"/>
  <c r="C1254" i="1"/>
  <c r="E1254" i="1"/>
  <c r="S1254" i="1"/>
  <c r="T1254" i="1"/>
  <c r="U1254" i="1"/>
  <c r="BB1254" i="1"/>
  <c r="BD1254" i="1"/>
  <c r="CE1254" i="1"/>
  <c r="A1255" i="1"/>
  <c r="C1255" i="1"/>
  <c r="E1255" i="1"/>
  <c r="S1255" i="1"/>
  <c r="T1255" i="1"/>
  <c r="U1255" i="1"/>
  <c r="BB1255" i="1"/>
  <c r="BD1255" i="1"/>
  <c r="CE1255" i="1"/>
  <c r="A1256" i="1"/>
  <c r="C1256" i="1"/>
  <c r="E1256" i="1"/>
  <c r="S1256" i="1"/>
  <c r="T1256" i="1"/>
  <c r="U1256" i="1"/>
  <c r="BB1256" i="1"/>
  <c r="BD1256" i="1"/>
  <c r="CE1256" i="1"/>
  <c r="A1257" i="1"/>
  <c r="C1257" i="1"/>
  <c r="E1257" i="1"/>
  <c r="S1257" i="1"/>
  <c r="T1257" i="1"/>
  <c r="U1257" i="1"/>
  <c r="BB1257" i="1"/>
  <c r="BD1257" i="1"/>
  <c r="CE1257" i="1"/>
  <c r="A1258" i="1"/>
  <c r="C1258" i="1"/>
  <c r="E1258" i="1"/>
  <c r="S1258" i="1"/>
  <c r="T1258" i="1"/>
  <c r="U1258" i="1"/>
  <c r="BB1258" i="1"/>
  <c r="BD1258" i="1"/>
  <c r="CE1258" i="1"/>
  <c r="A1259" i="1"/>
  <c r="C1259" i="1"/>
  <c r="E1259" i="1"/>
  <c r="S1259" i="1"/>
  <c r="T1259" i="1"/>
  <c r="U1259" i="1"/>
  <c r="BB1259" i="1"/>
  <c r="BD1259" i="1"/>
  <c r="CE1259" i="1"/>
  <c r="A1260" i="1"/>
  <c r="C1260" i="1"/>
  <c r="E1260" i="1"/>
  <c r="S1260" i="1"/>
  <c r="T1260" i="1"/>
  <c r="U1260" i="1"/>
  <c r="BB1260" i="1"/>
  <c r="BD1260" i="1"/>
  <c r="CE1260" i="1"/>
  <c r="A1261" i="1"/>
  <c r="C1261" i="1"/>
  <c r="E1261" i="1"/>
  <c r="S1261" i="1"/>
  <c r="T1261" i="1"/>
  <c r="U1261" i="1"/>
  <c r="BB1261" i="1"/>
  <c r="BD1261" i="1"/>
  <c r="CE1261" i="1"/>
  <c r="A1262" i="1"/>
  <c r="C1262" i="1"/>
  <c r="E1262" i="1"/>
  <c r="S1262" i="1"/>
  <c r="T1262" i="1"/>
  <c r="U1262" i="1"/>
  <c r="BB1262" i="1"/>
  <c r="BD1262" i="1"/>
  <c r="CE1262" i="1"/>
  <c r="A1263" i="1"/>
  <c r="C1263" i="1"/>
  <c r="E1263" i="1"/>
  <c r="S1263" i="1"/>
  <c r="T1263" i="1"/>
  <c r="U1263" i="1"/>
  <c r="BB1263" i="1"/>
  <c r="BD1263" i="1"/>
  <c r="CE1263" i="1"/>
  <c r="A1264" i="1"/>
  <c r="C1264" i="1"/>
  <c r="E1264" i="1"/>
  <c r="S1264" i="1"/>
  <c r="T1264" i="1"/>
  <c r="U1264" i="1"/>
  <c r="BB1264" i="1"/>
  <c r="BD1264" i="1"/>
  <c r="CE1264" i="1"/>
  <c r="A1265" i="1"/>
  <c r="C1265" i="1"/>
  <c r="E1265" i="1"/>
  <c r="S1265" i="1"/>
  <c r="T1265" i="1"/>
  <c r="U1265" i="1"/>
  <c r="BB1265" i="1"/>
  <c r="BD1265" i="1"/>
  <c r="CE1265" i="1"/>
  <c r="A1266" i="1"/>
  <c r="C1266" i="1"/>
  <c r="E1266" i="1"/>
  <c r="S1266" i="1"/>
  <c r="T1266" i="1"/>
  <c r="U1266" i="1"/>
  <c r="BB1266" i="1"/>
  <c r="BD1266" i="1"/>
  <c r="CE1266" i="1"/>
  <c r="A1267" i="1"/>
  <c r="C1267" i="1"/>
  <c r="E1267" i="1"/>
  <c r="S1267" i="1"/>
  <c r="T1267" i="1"/>
  <c r="U1267" i="1"/>
  <c r="BB1267" i="1"/>
  <c r="BD1267" i="1"/>
  <c r="CE1267" i="1"/>
  <c r="A1268" i="1"/>
  <c r="C1268" i="1"/>
  <c r="E1268" i="1"/>
  <c r="S1268" i="1"/>
  <c r="T1268" i="1"/>
  <c r="U1268" i="1"/>
  <c r="BB1268" i="1"/>
  <c r="BD1268" i="1"/>
  <c r="CE1268" i="1"/>
  <c r="A1269" i="1"/>
  <c r="C1269" i="1"/>
  <c r="E1269" i="1"/>
  <c r="S1269" i="1"/>
  <c r="T1269" i="1"/>
  <c r="U1269" i="1"/>
  <c r="BB1269" i="1"/>
  <c r="BD1269" i="1"/>
  <c r="CE1269" i="1"/>
  <c r="A1270" i="1"/>
  <c r="C1270" i="1"/>
  <c r="E1270" i="1"/>
  <c r="S1270" i="1"/>
  <c r="T1270" i="1"/>
  <c r="U1270" i="1"/>
  <c r="BB1270" i="1"/>
  <c r="BD1270" i="1"/>
  <c r="CE1270" i="1"/>
  <c r="A1271" i="1"/>
  <c r="C1271" i="1"/>
  <c r="E1271" i="1"/>
  <c r="S1271" i="1"/>
  <c r="T1271" i="1"/>
  <c r="U1271" i="1"/>
  <c r="BB1271" i="1"/>
  <c r="BD1271" i="1"/>
  <c r="CE1271" i="1"/>
  <c r="A1272" i="1"/>
  <c r="C1272" i="1"/>
  <c r="E1272" i="1"/>
  <c r="S1272" i="1"/>
  <c r="T1272" i="1"/>
  <c r="U1272" i="1"/>
  <c r="BB1272" i="1"/>
  <c r="BD1272" i="1"/>
  <c r="CE1272" i="1"/>
  <c r="A1273" i="1"/>
  <c r="C1273" i="1"/>
  <c r="E1273" i="1"/>
  <c r="S1273" i="1"/>
  <c r="T1273" i="1"/>
  <c r="U1273" i="1"/>
  <c r="BB1273" i="1"/>
  <c r="BD1273" i="1"/>
  <c r="CE1273" i="1"/>
  <c r="A1274" i="1"/>
  <c r="C1274" i="1"/>
  <c r="E1274" i="1"/>
  <c r="S1274" i="1"/>
  <c r="T1274" i="1"/>
  <c r="U1274" i="1"/>
  <c r="BB1274" i="1"/>
  <c r="BD1274" i="1"/>
  <c r="CE1274" i="1"/>
  <c r="A1275" i="1"/>
  <c r="C1275" i="1"/>
  <c r="E1275" i="1"/>
  <c r="S1275" i="1"/>
  <c r="T1275" i="1"/>
  <c r="U1275" i="1"/>
  <c r="BB1275" i="1"/>
  <c r="BD1275" i="1"/>
  <c r="CE1275" i="1"/>
  <c r="A1276" i="1"/>
  <c r="C1276" i="1"/>
  <c r="E1276" i="1"/>
  <c r="S1276" i="1"/>
  <c r="T1276" i="1"/>
  <c r="U1276" i="1"/>
  <c r="BB1276" i="1"/>
  <c r="BD1276" i="1"/>
  <c r="CE1276" i="1"/>
  <c r="A1277" i="1"/>
  <c r="C1277" i="1"/>
  <c r="E1277" i="1"/>
  <c r="S1277" i="1"/>
  <c r="T1277" i="1"/>
  <c r="U1277" i="1"/>
  <c r="BB1277" i="1"/>
  <c r="BD1277" i="1"/>
  <c r="CE1277" i="1"/>
  <c r="A1278" i="1"/>
  <c r="C1278" i="1"/>
  <c r="E1278" i="1"/>
  <c r="S1278" i="1"/>
  <c r="T1278" i="1"/>
  <c r="U1278" i="1"/>
  <c r="BB1278" i="1"/>
  <c r="BD1278" i="1"/>
  <c r="CE1278" i="1"/>
  <c r="A1279" i="1"/>
  <c r="C1279" i="1"/>
  <c r="E1279" i="1"/>
  <c r="S1279" i="1"/>
  <c r="T1279" i="1"/>
  <c r="U1279" i="1"/>
  <c r="BB1279" i="1"/>
  <c r="BD1279" i="1"/>
  <c r="CE1279" i="1"/>
  <c r="A1280" i="1"/>
  <c r="C1280" i="1"/>
  <c r="E1280" i="1"/>
  <c r="S1280" i="1"/>
  <c r="T1280" i="1"/>
  <c r="U1280" i="1"/>
  <c r="BB1280" i="1"/>
  <c r="BD1280" i="1"/>
  <c r="CE1280" i="1"/>
  <c r="A1281" i="1"/>
  <c r="C1281" i="1"/>
  <c r="E1281" i="1"/>
  <c r="S1281" i="1"/>
  <c r="T1281" i="1"/>
  <c r="U1281" i="1"/>
  <c r="BB1281" i="1"/>
  <c r="BD1281" i="1"/>
  <c r="CE1281" i="1"/>
  <c r="A1282" i="1"/>
  <c r="C1282" i="1"/>
  <c r="E1282" i="1"/>
  <c r="S1282" i="1"/>
  <c r="T1282" i="1"/>
  <c r="U1282" i="1"/>
  <c r="BB1282" i="1"/>
  <c r="BD1282" i="1"/>
  <c r="CE1282" i="1"/>
  <c r="A1283" i="1"/>
  <c r="C1283" i="1"/>
  <c r="E1283" i="1"/>
  <c r="S1283" i="1"/>
  <c r="T1283" i="1"/>
  <c r="U1283" i="1"/>
  <c r="BB1283" i="1"/>
  <c r="BD1283" i="1"/>
  <c r="CE1283" i="1"/>
  <c r="A1284" i="1"/>
  <c r="C1284" i="1"/>
  <c r="E1284" i="1"/>
  <c r="S1284" i="1"/>
  <c r="T1284" i="1"/>
  <c r="U1284" i="1"/>
  <c r="BB1284" i="1"/>
  <c r="BD1284" i="1"/>
  <c r="CE1284" i="1"/>
  <c r="A1285" i="1"/>
  <c r="C1285" i="1"/>
  <c r="E1285" i="1"/>
  <c r="S1285" i="1"/>
  <c r="T1285" i="1"/>
  <c r="U1285" i="1"/>
  <c r="BB1285" i="1"/>
  <c r="BD1285" i="1"/>
  <c r="CE1285" i="1"/>
  <c r="A1286" i="1"/>
  <c r="C1286" i="1"/>
  <c r="E1286" i="1"/>
  <c r="S1286" i="1"/>
  <c r="T1286" i="1"/>
  <c r="U1286" i="1"/>
  <c r="BB1286" i="1"/>
  <c r="BD1286" i="1"/>
  <c r="CE1286" i="1"/>
  <c r="A1287" i="1"/>
  <c r="C1287" i="1"/>
  <c r="E1287" i="1"/>
  <c r="S1287" i="1"/>
  <c r="T1287" i="1"/>
  <c r="U1287" i="1"/>
  <c r="BB1287" i="1"/>
  <c r="BD1287" i="1"/>
  <c r="CE1287" i="1"/>
  <c r="A1288" i="1"/>
  <c r="C1288" i="1"/>
  <c r="E1288" i="1"/>
  <c r="S1288" i="1"/>
  <c r="T1288" i="1"/>
  <c r="U1288" i="1"/>
  <c r="BB1288" i="1"/>
  <c r="BD1288" i="1"/>
  <c r="CE1288" i="1"/>
  <c r="A1289" i="1"/>
  <c r="C1289" i="1"/>
  <c r="E1289" i="1"/>
  <c r="S1289" i="1"/>
  <c r="T1289" i="1"/>
  <c r="U1289" i="1"/>
  <c r="BB1289" i="1"/>
  <c r="BD1289" i="1"/>
  <c r="CE1289" i="1"/>
  <c r="A1290" i="1"/>
  <c r="C1290" i="1"/>
  <c r="E1290" i="1"/>
  <c r="S1290" i="1"/>
  <c r="T1290" i="1"/>
  <c r="U1290" i="1"/>
  <c r="BB1290" i="1"/>
  <c r="BD1290" i="1"/>
  <c r="CE1290" i="1"/>
  <c r="A1291" i="1"/>
  <c r="C1291" i="1"/>
  <c r="E1291" i="1"/>
  <c r="S1291" i="1"/>
  <c r="T1291" i="1"/>
  <c r="U1291" i="1"/>
  <c r="BB1291" i="1"/>
  <c r="BD1291" i="1"/>
  <c r="CE1291" i="1"/>
  <c r="A1292" i="1"/>
  <c r="C1292" i="1"/>
  <c r="E1292" i="1"/>
  <c r="S1292" i="1"/>
  <c r="T1292" i="1"/>
  <c r="U1292" i="1"/>
  <c r="BB1292" i="1"/>
  <c r="BD1292" i="1"/>
  <c r="CE1292" i="1"/>
  <c r="A1293" i="1"/>
  <c r="C1293" i="1"/>
  <c r="E1293" i="1"/>
  <c r="S1293" i="1"/>
  <c r="T1293" i="1"/>
  <c r="U1293" i="1"/>
  <c r="BB1293" i="1"/>
  <c r="BD1293" i="1"/>
  <c r="CE1293" i="1"/>
  <c r="A1294" i="1"/>
  <c r="C1294" i="1"/>
  <c r="E1294" i="1"/>
  <c r="S1294" i="1"/>
  <c r="T1294" i="1"/>
  <c r="U1294" i="1"/>
  <c r="BB1294" i="1"/>
  <c r="BD1294" i="1"/>
  <c r="CE1294" i="1"/>
  <c r="A1295" i="1"/>
  <c r="C1295" i="1"/>
  <c r="E1295" i="1"/>
  <c r="S1295" i="1"/>
  <c r="T1295" i="1"/>
  <c r="U1295" i="1"/>
  <c r="BB1295" i="1"/>
  <c r="BD1295" i="1"/>
  <c r="CE1295" i="1"/>
  <c r="A1296" i="1"/>
  <c r="C1296" i="1"/>
  <c r="E1296" i="1"/>
  <c r="S1296" i="1"/>
  <c r="T1296" i="1"/>
  <c r="U1296" i="1"/>
  <c r="BB1296" i="1"/>
  <c r="BD1296" i="1"/>
  <c r="CE1296" i="1"/>
  <c r="A1297" i="1"/>
  <c r="C1297" i="1"/>
  <c r="E1297" i="1"/>
  <c r="S1297" i="1"/>
  <c r="T1297" i="1"/>
  <c r="U1297" i="1"/>
  <c r="BB1297" i="1"/>
  <c r="BD1297" i="1"/>
  <c r="CE1297" i="1"/>
  <c r="A1298" i="1"/>
  <c r="C1298" i="1"/>
  <c r="E1298" i="1"/>
  <c r="S1298" i="1"/>
  <c r="T1298" i="1"/>
  <c r="U1298" i="1"/>
  <c r="BB1298" i="1"/>
  <c r="BD1298" i="1"/>
  <c r="CE1298" i="1"/>
  <c r="A1299" i="1"/>
  <c r="C1299" i="1"/>
  <c r="E1299" i="1"/>
  <c r="S1299" i="1"/>
  <c r="T1299" i="1"/>
  <c r="U1299" i="1"/>
  <c r="BB1299" i="1"/>
  <c r="BD1299" i="1"/>
  <c r="CE1299" i="1"/>
  <c r="A1300" i="1"/>
  <c r="C1300" i="1"/>
  <c r="E1300" i="1"/>
  <c r="S1300" i="1"/>
  <c r="T1300" i="1"/>
  <c r="U1300" i="1"/>
  <c r="BB1300" i="1"/>
  <c r="BD1300" i="1"/>
  <c r="CE1300" i="1"/>
  <c r="A1301" i="1"/>
  <c r="C1301" i="1"/>
  <c r="E1301" i="1"/>
  <c r="S1301" i="1"/>
  <c r="T1301" i="1"/>
  <c r="U1301" i="1"/>
  <c r="BB1301" i="1"/>
  <c r="BD1301" i="1"/>
  <c r="CE1301" i="1"/>
  <c r="A1302" i="1"/>
  <c r="C1302" i="1"/>
  <c r="E1302" i="1"/>
  <c r="S1302" i="1"/>
  <c r="T1302" i="1"/>
  <c r="U1302" i="1"/>
  <c r="BB1302" i="1"/>
  <c r="BD1302" i="1"/>
  <c r="CE1302" i="1"/>
  <c r="A1303" i="1"/>
  <c r="C1303" i="1"/>
  <c r="E1303" i="1"/>
  <c r="S1303" i="1"/>
  <c r="T1303" i="1"/>
  <c r="U1303" i="1"/>
  <c r="BB1303" i="1"/>
  <c r="BD1303" i="1"/>
  <c r="CE1303" i="1"/>
  <c r="A1304" i="1"/>
  <c r="C1304" i="1"/>
  <c r="E1304" i="1"/>
  <c r="S1304" i="1"/>
  <c r="T1304" i="1"/>
  <c r="U1304" i="1"/>
  <c r="BB1304" i="1"/>
  <c r="BD1304" i="1"/>
  <c r="CE1304" i="1"/>
  <c r="A1305" i="1"/>
  <c r="C1305" i="1"/>
  <c r="E1305" i="1"/>
  <c r="S1305" i="1"/>
  <c r="T1305" i="1"/>
  <c r="U1305" i="1"/>
  <c r="BB1305" i="1"/>
  <c r="BD1305" i="1"/>
  <c r="CE1305" i="1"/>
  <c r="A1306" i="1"/>
  <c r="C1306" i="1"/>
  <c r="E1306" i="1"/>
  <c r="S1306" i="1"/>
  <c r="T1306" i="1"/>
  <c r="U1306" i="1"/>
  <c r="BB1306" i="1"/>
  <c r="BD1306" i="1"/>
  <c r="CE1306" i="1"/>
  <c r="A1307" i="1"/>
  <c r="C1307" i="1"/>
  <c r="E1307" i="1"/>
  <c r="S1307" i="1"/>
  <c r="T1307" i="1"/>
  <c r="U1307" i="1"/>
  <c r="BB1307" i="1"/>
  <c r="BD1307" i="1"/>
  <c r="CE1307" i="1"/>
  <c r="A1308" i="1"/>
  <c r="C1308" i="1"/>
  <c r="E1308" i="1"/>
  <c r="S1308" i="1"/>
  <c r="T1308" i="1"/>
  <c r="U1308" i="1"/>
  <c r="BB1308" i="1"/>
  <c r="BD1308" i="1"/>
  <c r="CE1308" i="1"/>
  <c r="A1309" i="1"/>
  <c r="C1309" i="1"/>
  <c r="E1309" i="1"/>
  <c r="S1309" i="1"/>
  <c r="T1309" i="1"/>
  <c r="U1309" i="1"/>
  <c r="BB1309" i="1"/>
  <c r="BD1309" i="1"/>
  <c r="CE1309" i="1"/>
  <c r="A1310" i="1"/>
  <c r="C1310" i="1"/>
  <c r="E1310" i="1"/>
  <c r="S1310" i="1"/>
  <c r="T1310" i="1"/>
  <c r="U1310" i="1"/>
  <c r="BB1310" i="1"/>
  <c r="BD1310" i="1"/>
  <c r="CE1310" i="1"/>
  <c r="A1311" i="1"/>
  <c r="C1311" i="1"/>
  <c r="E1311" i="1"/>
  <c r="S1311" i="1"/>
  <c r="T1311" i="1"/>
  <c r="U1311" i="1"/>
  <c r="BB1311" i="1"/>
  <c r="BD1311" i="1"/>
  <c r="CE1311" i="1"/>
  <c r="A1312" i="1"/>
  <c r="C1312" i="1"/>
  <c r="E1312" i="1"/>
  <c r="S1312" i="1"/>
  <c r="T1312" i="1"/>
  <c r="U1312" i="1"/>
  <c r="BB1312" i="1"/>
  <c r="BD1312" i="1"/>
  <c r="CE1312" i="1"/>
  <c r="A1313" i="1"/>
  <c r="C1313" i="1"/>
  <c r="E1313" i="1"/>
  <c r="S1313" i="1"/>
  <c r="T1313" i="1"/>
  <c r="U1313" i="1"/>
  <c r="BB1313" i="1"/>
  <c r="BD1313" i="1"/>
  <c r="CE1313" i="1"/>
  <c r="A1314" i="1"/>
  <c r="C1314" i="1"/>
  <c r="E1314" i="1"/>
  <c r="S1314" i="1"/>
  <c r="T1314" i="1"/>
  <c r="U1314" i="1"/>
  <c r="BB1314" i="1"/>
  <c r="BD1314" i="1"/>
  <c r="CE1314" i="1"/>
  <c r="A1315" i="1"/>
  <c r="C1315" i="1"/>
  <c r="E1315" i="1"/>
  <c r="S1315" i="1"/>
  <c r="T1315" i="1"/>
  <c r="U1315" i="1"/>
  <c r="BB1315" i="1"/>
  <c r="BD1315" i="1"/>
  <c r="CE1315" i="1"/>
  <c r="A1316" i="1"/>
  <c r="C1316" i="1"/>
  <c r="E1316" i="1"/>
  <c r="S1316" i="1"/>
  <c r="T1316" i="1"/>
  <c r="U1316" i="1"/>
  <c r="BB1316" i="1"/>
  <c r="BD1316" i="1"/>
  <c r="CE1316" i="1"/>
  <c r="A1317" i="1"/>
  <c r="C1317" i="1"/>
  <c r="E1317" i="1"/>
  <c r="S1317" i="1"/>
  <c r="T1317" i="1"/>
  <c r="U1317" i="1"/>
  <c r="BB1317" i="1"/>
  <c r="BD1317" i="1"/>
  <c r="CE1317" i="1"/>
  <c r="A1318" i="1"/>
  <c r="C1318" i="1"/>
  <c r="E1318" i="1"/>
  <c r="S1318" i="1"/>
  <c r="T1318" i="1"/>
  <c r="U1318" i="1"/>
  <c r="BB1318" i="1"/>
  <c r="BD1318" i="1"/>
  <c r="CE1318" i="1"/>
  <c r="A1319" i="1"/>
  <c r="C1319" i="1"/>
  <c r="E1319" i="1"/>
  <c r="S1319" i="1"/>
  <c r="T1319" i="1"/>
  <c r="U1319" i="1"/>
  <c r="BB1319" i="1"/>
  <c r="BD1319" i="1"/>
  <c r="CE1319" i="1"/>
  <c r="A1320" i="1"/>
  <c r="C1320" i="1"/>
  <c r="E1320" i="1"/>
  <c r="S1320" i="1"/>
  <c r="T1320" i="1"/>
  <c r="U1320" i="1"/>
  <c r="BB1320" i="1"/>
  <c r="BD1320" i="1"/>
  <c r="CE1320" i="1"/>
  <c r="A1321" i="1"/>
  <c r="C1321" i="1"/>
  <c r="E1321" i="1"/>
  <c r="S1321" i="1"/>
  <c r="T1321" i="1"/>
  <c r="U1321" i="1"/>
  <c r="BB1321" i="1"/>
  <c r="BD1321" i="1"/>
  <c r="CE1321" i="1"/>
  <c r="A1322" i="1"/>
  <c r="C1322" i="1"/>
  <c r="E1322" i="1"/>
  <c r="S1322" i="1"/>
  <c r="T1322" i="1"/>
  <c r="U1322" i="1"/>
  <c r="BB1322" i="1"/>
  <c r="BD1322" i="1"/>
  <c r="CE1322" i="1"/>
  <c r="A1323" i="1"/>
  <c r="C1323" i="1"/>
  <c r="E1323" i="1"/>
  <c r="S1323" i="1"/>
  <c r="T1323" i="1"/>
  <c r="U1323" i="1"/>
  <c r="BB1323" i="1"/>
  <c r="BD1323" i="1"/>
  <c r="CE1323" i="1"/>
  <c r="A1324" i="1"/>
  <c r="C1324" i="1"/>
  <c r="E1324" i="1"/>
  <c r="S1324" i="1"/>
  <c r="T1324" i="1"/>
  <c r="U1324" i="1"/>
  <c r="BB1324" i="1"/>
  <c r="BD1324" i="1"/>
  <c r="CE1324" i="1"/>
  <c r="A1325" i="1"/>
  <c r="C1325" i="1"/>
  <c r="E1325" i="1"/>
  <c r="S1325" i="1"/>
  <c r="T1325" i="1"/>
  <c r="U1325" i="1"/>
  <c r="BB1325" i="1"/>
  <c r="BD1325" i="1"/>
  <c r="CE1325" i="1"/>
  <c r="A1326" i="1"/>
  <c r="C1326" i="1"/>
  <c r="E1326" i="1"/>
  <c r="S1326" i="1"/>
  <c r="T1326" i="1"/>
  <c r="U1326" i="1"/>
  <c r="BB1326" i="1"/>
  <c r="BD1326" i="1"/>
  <c r="CE1326" i="1"/>
  <c r="A1327" i="1"/>
  <c r="C1327" i="1"/>
  <c r="E1327" i="1"/>
  <c r="S1327" i="1"/>
  <c r="T1327" i="1"/>
  <c r="U1327" i="1"/>
  <c r="BB1327" i="1"/>
  <c r="BD1327" i="1"/>
  <c r="CE1327" i="1"/>
  <c r="A1328" i="1"/>
  <c r="C1328" i="1"/>
  <c r="E1328" i="1"/>
  <c r="S1328" i="1"/>
  <c r="T1328" i="1"/>
  <c r="U1328" i="1"/>
  <c r="BB1328" i="1"/>
  <c r="BD1328" i="1"/>
  <c r="CE1328" i="1"/>
  <c r="A1329" i="1"/>
  <c r="C1329" i="1"/>
  <c r="E1329" i="1"/>
  <c r="S1329" i="1"/>
  <c r="T1329" i="1"/>
  <c r="U1329" i="1"/>
  <c r="BB1329" i="1"/>
  <c r="BD1329" i="1"/>
  <c r="CE1329" i="1"/>
  <c r="A1330" i="1"/>
  <c r="C1330" i="1"/>
  <c r="E1330" i="1"/>
  <c r="S1330" i="1"/>
  <c r="T1330" i="1"/>
  <c r="U1330" i="1"/>
  <c r="BB1330" i="1"/>
  <c r="BD1330" i="1"/>
  <c r="CE1330" i="1"/>
  <c r="A1331" i="1"/>
  <c r="C1331" i="1"/>
  <c r="E1331" i="1"/>
  <c r="S1331" i="1"/>
  <c r="T1331" i="1"/>
  <c r="U1331" i="1"/>
  <c r="BB1331" i="1"/>
  <c r="BD1331" i="1"/>
  <c r="CE1331" i="1"/>
  <c r="A1332" i="1"/>
  <c r="C1332" i="1"/>
  <c r="E1332" i="1"/>
  <c r="S1332" i="1"/>
  <c r="T1332" i="1"/>
  <c r="U1332" i="1"/>
  <c r="BB1332" i="1"/>
  <c r="BD1332" i="1"/>
  <c r="CE1332" i="1"/>
  <c r="A1333" i="1"/>
  <c r="C1333" i="1"/>
  <c r="E1333" i="1"/>
  <c r="S1333" i="1"/>
  <c r="T1333" i="1"/>
  <c r="U1333" i="1"/>
  <c r="BB1333" i="1"/>
  <c r="BD1333" i="1"/>
  <c r="CE1333" i="1"/>
  <c r="A1334" i="1"/>
  <c r="C1334" i="1"/>
  <c r="E1334" i="1"/>
  <c r="S1334" i="1"/>
  <c r="T1334" i="1"/>
  <c r="U1334" i="1"/>
  <c r="BB1334" i="1"/>
  <c r="BD1334" i="1"/>
  <c r="CE1334" i="1"/>
  <c r="A1335" i="1"/>
  <c r="C1335" i="1"/>
  <c r="E1335" i="1"/>
  <c r="S1335" i="1"/>
  <c r="T1335" i="1"/>
  <c r="U1335" i="1"/>
  <c r="BB1335" i="1"/>
  <c r="BD1335" i="1"/>
  <c r="CE1335" i="1"/>
  <c r="A1336" i="1"/>
  <c r="C1336" i="1"/>
  <c r="E1336" i="1"/>
  <c r="S1336" i="1"/>
  <c r="T1336" i="1"/>
  <c r="U1336" i="1"/>
  <c r="BB1336" i="1"/>
  <c r="BD1336" i="1"/>
  <c r="CE1336" i="1"/>
  <c r="A1337" i="1"/>
  <c r="C1337" i="1"/>
  <c r="E1337" i="1"/>
  <c r="S1337" i="1"/>
  <c r="T1337" i="1"/>
  <c r="U1337" i="1"/>
  <c r="BB1337" i="1"/>
  <c r="BD1337" i="1"/>
  <c r="CE1337" i="1"/>
  <c r="A1338" i="1"/>
  <c r="C1338" i="1"/>
  <c r="E1338" i="1"/>
  <c r="S1338" i="1"/>
  <c r="T1338" i="1"/>
  <c r="U1338" i="1"/>
  <c r="BB1338" i="1"/>
  <c r="BD1338" i="1"/>
  <c r="CE1338" i="1"/>
  <c r="A1339" i="1"/>
  <c r="C1339" i="1"/>
  <c r="E1339" i="1"/>
  <c r="S1339" i="1"/>
  <c r="T1339" i="1"/>
  <c r="U1339" i="1"/>
  <c r="BB1339" i="1"/>
  <c r="BD1339" i="1"/>
  <c r="CE1339" i="1"/>
  <c r="A1340" i="1"/>
  <c r="C1340" i="1"/>
  <c r="E1340" i="1"/>
  <c r="S1340" i="1"/>
  <c r="T1340" i="1"/>
  <c r="U1340" i="1"/>
  <c r="BB1340" i="1"/>
  <c r="BD1340" i="1"/>
  <c r="CE1340" i="1"/>
  <c r="A1341" i="1"/>
  <c r="C1341" i="1"/>
  <c r="E1341" i="1"/>
  <c r="S1341" i="1"/>
  <c r="T1341" i="1"/>
  <c r="U1341" i="1"/>
  <c r="BB1341" i="1"/>
  <c r="BD1341" i="1"/>
  <c r="CE1341" i="1"/>
  <c r="A1342" i="1"/>
  <c r="C1342" i="1"/>
  <c r="E1342" i="1"/>
  <c r="S1342" i="1"/>
  <c r="T1342" i="1"/>
  <c r="U1342" i="1"/>
  <c r="BB1342" i="1"/>
  <c r="BD1342" i="1"/>
  <c r="CE1342" i="1"/>
  <c r="A1343" i="1"/>
  <c r="C1343" i="1"/>
  <c r="E1343" i="1"/>
  <c r="S1343" i="1"/>
  <c r="T1343" i="1"/>
  <c r="U1343" i="1"/>
  <c r="BB1343" i="1"/>
  <c r="BD1343" i="1"/>
  <c r="CE1343" i="1"/>
  <c r="A1344" i="1"/>
  <c r="C1344" i="1"/>
  <c r="E1344" i="1"/>
  <c r="S1344" i="1"/>
  <c r="T1344" i="1"/>
  <c r="U1344" i="1"/>
  <c r="BB1344" i="1"/>
  <c r="BD1344" i="1"/>
  <c r="CE1344" i="1"/>
  <c r="A1345" i="1"/>
  <c r="C1345" i="1"/>
  <c r="E1345" i="1"/>
  <c r="S1345" i="1"/>
  <c r="T1345" i="1"/>
  <c r="U1345" i="1"/>
  <c r="BB1345" i="1"/>
  <c r="BD1345" i="1"/>
  <c r="CE1345" i="1"/>
  <c r="A1346" i="1"/>
  <c r="C1346" i="1"/>
  <c r="E1346" i="1"/>
  <c r="S1346" i="1"/>
  <c r="T1346" i="1"/>
  <c r="U1346" i="1"/>
  <c r="BB1346" i="1"/>
  <c r="BD1346" i="1"/>
  <c r="CE1346" i="1"/>
  <c r="A1347" i="1"/>
  <c r="C1347" i="1"/>
  <c r="E1347" i="1"/>
  <c r="S1347" i="1"/>
  <c r="T1347" i="1"/>
  <c r="U1347" i="1"/>
  <c r="BB1347" i="1"/>
  <c r="BD1347" i="1"/>
  <c r="CE1347" i="1"/>
  <c r="A1348" i="1"/>
  <c r="C1348" i="1"/>
  <c r="E1348" i="1"/>
  <c r="S1348" i="1"/>
  <c r="T1348" i="1"/>
  <c r="U1348" i="1"/>
  <c r="BB1348" i="1"/>
  <c r="BD1348" i="1"/>
  <c r="CE1348" i="1"/>
  <c r="A1349" i="1"/>
  <c r="C1349" i="1"/>
  <c r="E1349" i="1"/>
  <c r="S1349" i="1"/>
  <c r="T1349" i="1"/>
  <c r="U1349" i="1"/>
  <c r="BB1349" i="1"/>
  <c r="BD1349" i="1"/>
  <c r="CE1349" i="1"/>
  <c r="A1350" i="1"/>
  <c r="C1350" i="1"/>
  <c r="E1350" i="1"/>
  <c r="S1350" i="1"/>
  <c r="T1350" i="1"/>
  <c r="U1350" i="1"/>
  <c r="BB1350" i="1"/>
  <c r="BD1350" i="1"/>
  <c r="CE1350" i="1"/>
  <c r="A1351" i="1"/>
  <c r="C1351" i="1"/>
  <c r="E1351" i="1"/>
  <c r="S1351" i="1"/>
  <c r="T1351" i="1"/>
  <c r="U1351" i="1"/>
  <c r="BB1351" i="1"/>
  <c r="BD1351" i="1"/>
  <c r="CE1351" i="1"/>
  <c r="A1352" i="1"/>
  <c r="C1352" i="1"/>
  <c r="E1352" i="1"/>
  <c r="S1352" i="1"/>
  <c r="T1352" i="1"/>
  <c r="U1352" i="1"/>
  <c r="BB1352" i="1"/>
  <c r="BD1352" i="1"/>
  <c r="CE1352" i="1"/>
  <c r="A1353" i="1"/>
  <c r="C1353" i="1"/>
  <c r="E1353" i="1"/>
  <c r="S1353" i="1"/>
  <c r="T1353" i="1"/>
  <c r="U1353" i="1"/>
  <c r="BB1353" i="1"/>
  <c r="BD1353" i="1"/>
  <c r="CE1353" i="1"/>
  <c r="A1354" i="1"/>
  <c r="C1354" i="1"/>
  <c r="E1354" i="1"/>
  <c r="S1354" i="1"/>
  <c r="T1354" i="1"/>
  <c r="U1354" i="1"/>
  <c r="BB1354" i="1"/>
  <c r="BD1354" i="1"/>
  <c r="CE1354" i="1"/>
  <c r="A1355" i="1"/>
  <c r="C1355" i="1"/>
  <c r="E1355" i="1"/>
  <c r="S1355" i="1"/>
  <c r="T1355" i="1"/>
  <c r="U1355" i="1"/>
  <c r="BB1355" i="1"/>
  <c r="BD1355" i="1"/>
  <c r="CE1355" i="1"/>
  <c r="A1356" i="1"/>
  <c r="C1356" i="1"/>
  <c r="E1356" i="1"/>
  <c r="S1356" i="1"/>
  <c r="T1356" i="1"/>
  <c r="U1356" i="1"/>
  <c r="BB1356" i="1"/>
  <c r="BD1356" i="1"/>
  <c r="CE1356" i="1"/>
  <c r="A1357" i="1"/>
  <c r="C1357" i="1"/>
  <c r="E1357" i="1"/>
  <c r="S1357" i="1"/>
  <c r="T1357" i="1"/>
  <c r="U1357" i="1"/>
  <c r="BB1357" i="1"/>
  <c r="BD1357" i="1"/>
  <c r="CE1357" i="1"/>
  <c r="A1358" i="1"/>
  <c r="C1358" i="1"/>
  <c r="E1358" i="1"/>
  <c r="S1358" i="1"/>
  <c r="T1358" i="1"/>
  <c r="U1358" i="1"/>
  <c r="BB1358" i="1"/>
  <c r="BD1358" i="1"/>
  <c r="CE1358" i="1"/>
  <c r="A1359" i="1"/>
  <c r="C1359" i="1"/>
  <c r="E1359" i="1"/>
  <c r="S1359" i="1"/>
  <c r="T1359" i="1"/>
  <c r="U1359" i="1"/>
  <c r="BB1359" i="1"/>
  <c r="BD1359" i="1"/>
  <c r="CE1359" i="1"/>
  <c r="A1360" i="1"/>
  <c r="C1360" i="1"/>
  <c r="E1360" i="1"/>
  <c r="S1360" i="1"/>
  <c r="T1360" i="1"/>
  <c r="U1360" i="1"/>
  <c r="BB1360" i="1"/>
  <c r="BD1360" i="1"/>
  <c r="CE1360" i="1"/>
  <c r="A1361" i="1"/>
  <c r="C1361" i="1"/>
  <c r="E1361" i="1"/>
  <c r="S1361" i="1"/>
  <c r="T1361" i="1"/>
  <c r="U1361" i="1"/>
  <c r="BB1361" i="1"/>
  <c r="BD1361" i="1"/>
  <c r="CE1361" i="1"/>
  <c r="A1362" i="1"/>
  <c r="C1362" i="1"/>
  <c r="E1362" i="1"/>
  <c r="S1362" i="1"/>
  <c r="T1362" i="1"/>
  <c r="U1362" i="1"/>
  <c r="BB1362" i="1"/>
  <c r="BD1362" i="1"/>
  <c r="CE1362" i="1"/>
  <c r="A1363" i="1"/>
  <c r="C1363" i="1"/>
  <c r="E1363" i="1"/>
  <c r="S1363" i="1"/>
  <c r="T1363" i="1"/>
  <c r="U1363" i="1"/>
  <c r="BB1363" i="1"/>
  <c r="BD1363" i="1"/>
  <c r="CE1363" i="1"/>
  <c r="A1364" i="1"/>
  <c r="C1364" i="1"/>
  <c r="E1364" i="1"/>
  <c r="S1364" i="1"/>
  <c r="T1364" i="1"/>
  <c r="U1364" i="1"/>
  <c r="BB1364" i="1"/>
  <c r="BD1364" i="1"/>
  <c r="CE1364" i="1"/>
  <c r="A1365" i="1"/>
  <c r="C1365" i="1"/>
  <c r="E1365" i="1"/>
  <c r="S1365" i="1"/>
  <c r="T1365" i="1"/>
  <c r="U1365" i="1"/>
  <c r="BB1365" i="1"/>
  <c r="BD1365" i="1"/>
  <c r="CE1365" i="1"/>
  <c r="A1366" i="1"/>
  <c r="C1366" i="1"/>
  <c r="E1366" i="1"/>
  <c r="S1366" i="1"/>
  <c r="T1366" i="1"/>
  <c r="U1366" i="1"/>
  <c r="BB1366" i="1"/>
  <c r="BD1366" i="1"/>
  <c r="CE1366" i="1"/>
  <c r="A1367" i="1"/>
  <c r="C1367" i="1"/>
  <c r="E1367" i="1"/>
  <c r="S1367" i="1"/>
  <c r="T1367" i="1"/>
  <c r="U1367" i="1"/>
  <c r="BB1367" i="1"/>
  <c r="BD1367" i="1"/>
  <c r="CE1367" i="1"/>
  <c r="A1368" i="1"/>
  <c r="C1368" i="1"/>
  <c r="E1368" i="1"/>
  <c r="S1368" i="1"/>
  <c r="T1368" i="1"/>
  <c r="U1368" i="1"/>
  <c r="BB1368" i="1"/>
  <c r="BD1368" i="1"/>
  <c r="CE1368" i="1"/>
  <c r="A1369" i="1"/>
  <c r="C1369" i="1"/>
  <c r="E1369" i="1"/>
  <c r="S1369" i="1"/>
  <c r="T1369" i="1"/>
  <c r="U1369" i="1"/>
  <c r="BB1369" i="1"/>
  <c r="BD1369" i="1"/>
  <c r="CE1369" i="1"/>
  <c r="A1370" i="1"/>
  <c r="C1370" i="1"/>
  <c r="E1370" i="1"/>
  <c r="S1370" i="1"/>
  <c r="T1370" i="1"/>
  <c r="U1370" i="1"/>
  <c r="BB1370" i="1"/>
  <c r="BD1370" i="1"/>
  <c r="CE1370" i="1"/>
  <c r="A1371" i="1"/>
  <c r="C1371" i="1"/>
  <c r="E1371" i="1"/>
  <c r="S1371" i="1"/>
  <c r="T1371" i="1"/>
  <c r="U1371" i="1"/>
  <c r="BB1371" i="1"/>
  <c r="BD1371" i="1"/>
  <c r="CE1371" i="1"/>
  <c r="A1372" i="1"/>
  <c r="C1372" i="1"/>
  <c r="E1372" i="1"/>
  <c r="S1372" i="1"/>
  <c r="T1372" i="1"/>
  <c r="U1372" i="1"/>
  <c r="BB1372" i="1"/>
  <c r="BD1372" i="1"/>
  <c r="CE1372" i="1"/>
  <c r="A1373" i="1"/>
  <c r="C1373" i="1"/>
  <c r="E1373" i="1"/>
  <c r="S1373" i="1"/>
  <c r="T1373" i="1"/>
  <c r="U1373" i="1"/>
  <c r="BB1373" i="1"/>
  <c r="BD1373" i="1"/>
  <c r="CE1373" i="1"/>
  <c r="A1374" i="1"/>
  <c r="C1374" i="1"/>
  <c r="E1374" i="1"/>
  <c r="S1374" i="1"/>
  <c r="T1374" i="1"/>
  <c r="U1374" i="1"/>
  <c r="BB1374" i="1"/>
  <c r="BD1374" i="1"/>
  <c r="CE1374" i="1"/>
  <c r="A1375" i="1"/>
  <c r="C1375" i="1"/>
  <c r="E1375" i="1"/>
  <c r="S1375" i="1"/>
  <c r="T1375" i="1"/>
  <c r="U1375" i="1"/>
  <c r="BB1375" i="1"/>
  <c r="BD1375" i="1"/>
  <c r="CE1375" i="1"/>
  <c r="A1376" i="1"/>
  <c r="C1376" i="1"/>
  <c r="E1376" i="1"/>
  <c r="S1376" i="1"/>
  <c r="T1376" i="1"/>
  <c r="U1376" i="1"/>
  <c r="BB1376" i="1"/>
  <c r="BD1376" i="1"/>
  <c r="CE1376" i="1"/>
  <c r="A1377" i="1"/>
  <c r="C1377" i="1"/>
  <c r="E1377" i="1"/>
  <c r="S1377" i="1"/>
  <c r="T1377" i="1"/>
  <c r="U1377" i="1"/>
  <c r="BB1377" i="1"/>
  <c r="BD1377" i="1"/>
  <c r="CE1377" i="1"/>
  <c r="A1378" i="1"/>
  <c r="C1378" i="1"/>
  <c r="E1378" i="1"/>
  <c r="S1378" i="1"/>
  <c r="T1378" i="1"/>
  <c r="U1378" i="1"/>
  <c r="BB1378" i="1"/>
  <c r="BD1378" i="1"/>
  <c r="CE1378" i="1"/>
  <c r="A1379" i="1"/>
  <c r="C1379" i="1"/>
  <c r="E1379" i="1"/>
  <c r="S1379" i="1"/>
  <c r="T1379" i="1"/>
  <c r="U1379" i="1"/>
  <c r="BB1379" i="1"/>
  <c r="BD1379" i="1"/>
  <c r="CE1379" i="1"/>
  <c r="A1380" i="1"/>
  <c r="C1380" i="1"/>
  <c r="E1380" i="1"/>
  <c r="S1380" i="1"/>
  <c r="T1380" i="1"/>
  <c r="U1380" i="1"/>
  <c r="BB1380" i="1"/>
  <c r="BD1380" i="1"/>
  <c r="CE1380" i="1"/>
  <c r="A1381" i="1"/>
  <c r="C1381" i="1"/>
  <c r="E1381" i="1"/>
  <c r="S1381" i="1"/>
  <c r="T1381" i="1"/>
  <c r="U1381" i="1"/>
  <c r="BB1381" i="1"/>
  <c r="BD1381" i="1"/>
  <c r="CE1381" i="1"/>
  <c r="A1382" i="1"/>
  <c r="C1382" i="1"/>
  <c r="E1382" i="1"/>
  <c r="S1382" i="1"/>
  <c r="T1382" i="1"/>
  <c r="U1382" i="1"/>
  <c r="BB1382" i="1"/>
  <c r="BD1382" i="1"/>
  <c r="CE1382" i="1"/>
  <c r="A1383" i="1"/>
  <c r="C1383" i="1"/>
  <c r="E1383" i="1"/>
  <c r="S1383" i="1"/>
  <c r="T1383" i="1"/>
  <c r="U1383" i="1"/>
  <c r="BB1383" i="1"/>
  <c r="BD1383" i="1"/>
  <c r="CE1383" i="1"/>
  <c r="A1384" i="1"/>
  <c r="C1384" i="1"/>
  <c r="E1384" i="1"/>
  <c r="S1384" i="1"/>
  <c r="T1384" i="1"/>
  <c r="U1384" i="1"/>
  <c r="BB1384" i="1"/>
  <c r="BD1384" i="1"/>
  <c r="CE1384" i="1"/>
  <c r="A1385" i="1"/>
  <c r="C1385" i="1"/>
  <c r="E1385" i="1"/>
  <c r="S1385" i="1"/>
  <c r="T1385" i="1"/>
  <c r="U1385" i="1"/>
  <c r="BB1385" i="1"/>
  <c r="BD1385" i="1"/>
  <c r="CE1385" i="1"/>
  <c r="A1386" i="1"/>
  <c r="C1386" i="1"/>
  <c r="E1386" i="1"/>
  <c r="S1386" i="1"/>
  <c r="T1386" i="1"/>
  <c r="U1386" i="1"/>
  <c r="BB1386" i="1"/>
  <c r="BD1386" i="1"/>
  <c r="CE1386" i="1"/>
  <c r="A1387" i="1"/>
  <c r="C1387" i="1"/>
  <c r="E1387" i="1"/>
  <c r="S1387" i="1"/>
  <c r="T1387" i="1"/>
  <c r="U1387" i="1"/>
  <c r="BB1387" i="1"/>
  <c r="BD1387" i="1"/>
  <c r="CE1387" i="1"/>
  <c r="A1388" i="1"/>
  <c r="C1388" i="1"/>
  <c r="E1388" i="1"/>
  <c r="S1388" i="1"/>
  <c r="T1388" i="1"/>
  <c r="U1388" i="1"/>
  <c r="BB1388" i="1"/>
  <c r="BD1388" i="1"/>
  <c r="CE1388" i="1"/>
  <c r="A1389" i="1"/>
  <c r="C1389" i="1"/>
  <c r="E1389" i="1"/>
  <c r="S1389" i="1"/>
  <c r="T1389" i="1"/>
  <c r="U1389" i="1"/>
  <c r="BB1389" i="1"/>
  <c r="BD1389" i="1"/>
  <c r="CE1389" i="1"/>
  <c r="A1390" i="1"/>
  <c r="C1390" i="1"/>
  <c r="E1390" i="1"/>
  <c r="S1390" i="1"/>
  <c r="T1390" i="1"/>
  <c r="U1390" i="1"/>
  <c r="BB1390" i="1"/>
  <c r="BD1390" i="1"/>
  <c r="CE1390" i="1"/>
  <c r="A1391" i="1"/>
  <c r="C1391" i="1"/>
  <c r="E1391" i="1"/>
  <c r="S1391" i="1"/>
  <c r="T1391" i="1"/>
  <c r="U1391" i="1"/>
  <c r="BB1391" i="1"/>
  <c r="BD1391" i="1"/>
  <c r="CE1391" i="1"/>
  <c r="A1392" i="1"/>
  <c r="C1392" i="1"/>
  <c r="E1392" i="1"/>
  <c r="S1392" i="1"/>
  <c r="T1392" i="1"/>
  <c r="U1392" i="1"/>
  <c r="BB1392" i="1"/>
  <c r="BD1392" i="1"/>
  <c r="CE1392" i="1"/>
  <c r="A1393" i="1"/>
  <c r="C1393" i="1"/>
  <c r="E1393" i="1"/>
  <c r="S1393" i="1"/>
  <c r="T1393" i="1"/>
  <c r="U1393" i="1"/>
  <c r="BB1393" i="1"/>
  <c r="BD1393" i="1"/>
  <c r="CE1393" i="1"/>
  <c r="A1394" i="1"/>
  <c r="C1394" i="1"/>
  <c r="E1394" i="1"/>
  <c r="S1394" i="1"/>
  <c r="T1394" i="1"/>
  <c r="U1394" i="1"/>
  <c r="BB1394" i="1"/>
  <c r="BD1394" i="1"/>
  <c r="CE1394" i="1"/>
  <c r="A1395" i="1"/>
  <c r="C1395" i="1"/>
  <c r="E1395" i="1"/>
  <c r="S1395" i="1"/>
  <c r="T1395" i="1"/>
  <c r="U1395" i="1"/>
  <c r="BB1395" i="1"/>
  <c r="BD1395" i="1"/>
  <c r="CE1395" i="1"/>
  <c r="A1396" i="1"/>
  <c r="C1396" i="1"/>
  <c r="E1396" i="1"/>
  <c r="S1396" i="1"/>
  <c r="T1396" i="1"/>
  <c r="U1396" i="1"/>
  <c r="BB1396" i="1"/>
  <c r="BD1396" i="1"/>
  <c r="CE1396" i="1"/>
  <c r="A1397" i="1"/>
  <c r="C1397" i="1"/>
  <c r="E1397" i="1"/>
  <c r="S1397" i="1"/>
  <c r="T1397" i="1"/>
  <c r="U1397" i="1"/>
  <c r="BB1397" i="1"/>
  <c r="BD1397" i="1"/>
  <c r="CE1397" i="1"/>
  <c r="A1398" i="1"/>
  <c r="C1398" i="1"/>
  <c r="E1398" i="1"/>
  <c r="S1398" i="1"/>
  <c r="T1398" i="1"/>
  <c r="U1398" i="1"/>
  <c r="BB1398" i="1"/>
  <c r="BD1398" i="1"/>
  <c r="CE1398" i="1"/>
  <c r="A1399" i="1"/>
  <c r="C1399" i="1"/>
  <c r="E1399" i="1"/>
  <c r="S1399" i="1"/>
  <c r="T1399" i="1"/>
  <c r="U1399" i="1"/>
  <c r="BB1399" i="1"/>
  <c r="BD1399" i="1"/>
  <c r="CE1399" i="1"/>
  <c r="A1400" i="1"/>
  <c r="C1400" i="1"/>
  <c r="E1400" i="1"/>
  <c r="S1400" i="1"/>
  <c r="T1400" i="1"/>
  <c r="U1400" i="1"/>
  <c r="BB1400" i="1"/>
  <c r="BD1400" i="1"/>
  <c r="CE1400" i="1"/>
  <c r="A1401" i="1"/>
  <c r="C1401" i="1"/>
  <c r="E1401" i="1"/>
  <c r="S1401" i="1"/>
  <c r="T1401" i="1"/>
  <c r="U1401" i="1"/>
  <c r="BB1401" i="1"/>
  <c r="BD1401" i="1"/>
  <c r="CE1401" i="1"/>
  <c r="A1402" i="1"/>
  <c r="C1402" i="1"/>
  <c r="E1402" i="1"/>
  <c r="S1402" i="1"/>
  <c r="T1402" i="1"/>
  <c r="U1402" i="1"/>
  <c r="BB1402" i="1"/>
  <c r="BD1402" i="1"/>
  <c r="CE1402" i="1"/>
  <c r="A1403" i="1"/>
  <c r="C1403" i="1"/>
  <c r="E1403" i="1"/>
  <c r="S1403" i="1"/>
  <c r="T1403" i="1"/>
  <c r="U1403" i="1"/>
  <c r="BB1403" i="1"/>
  <c r="BD1403" i="1"/>
  <c r="CE1403" i="1"/>
  <c r="A1404" i="1"/>
  <c r="C1404" i="1"/>
  <c r="E1404" i="1"/>
  <c r="S1404" i="1"/>
  <c r="T1404" i="1"/>
  <c r="U1404" i="1"/>
  <c r="BB1404" i="1"/>
  <c r="BD1404" i="1"/>
  <c r="CE1404" i="1"/>
  <c r="A1405" i="1"/>
  <c r="C1405" i="1"/>
  <c r="E1405" i="1"/>
  <c r="S1405" i="1"/>
  <c r="T1405" i="1"/>
  <c r="U1405" i="1"/>
  <c r="BB1405" i="1"/>
  <c r="BD1405" i="1"/>
  <c r="CE1405" i="1"/>
  <c r="A1406" i="1"/>
  <c r="C1406" i="1"/>
  <c r="E1406" i="1"/>
  <c r="S1406" i="1"/>
  <c r="T1406" i="1"/>
  <c r="U1406" i="1"/>
  <c r="BB1406" i="1"/>
  <c r="BD1406" i="1"/>
  <c r="CE1406" i="1"/>
  <c r="A1407" i="1"/>
  <c r="C1407" i="1"/>
  <c r="E1407" i="1"/>
  <c r="S1407" i="1"/>
  <c r="T1407" i="1"/>
  <c r="U1407" i="1"/>
  <c r="BB1407" i="1"/>
  <c r="BD1407" i="1"/>
  <c r="CE1407" i="1"/>
  <c r="A1408" i="1"/>
  <c r="C1408" i="1"/>
  <c r="E1408" i="1"/>
  <c r="S1408" i="1"/>
  <c r="T1408" i="1"/>
  <c r="U1408" i="1"/>
  <c r="BB1408" i="1"/>
  <c r="BD1408" i="1"/>
  <c r="CE1408" i="1"/>
  <c r="A1409" i="1"/>
  <c r="C1409" i="1"/>
  <c r="E1409" i="1"/>
  <c r="S1409" i="1"/>
  <c r="T1409" i="1"/>
  <c r="U1409" i="1"/>
  <c r="BB1409" i="1"/>
  <c r="BD1409" i="1"/>
  <c r="CE1409" i="1"/>
  <c r="A1410" i="1"/>
  <c r="C1410" i="1"/>
  <c r="E1410" i="1"/>
  <c r="S1410" i="1"/>
  <c r="T1410" i="1"/>
  <c r="U1410" i="1"/>
  <c r="BB1410" i="1"/>
  <c r="BD1410" i="1"/>
  <c r="CE1410" i="1"/>
  <c r="A1411" i="1"/>
  <c r="C1411" i="1"/>
  <c r="E1411" i="1"/>
  <c r="S1411" i="1"/>
  <c r="T1411" i="1"/>
  <c r="U1411" i="1"/>
  <c r="BB1411" i="1"/>
  <c r="BD1411" i="1"/>
  <c r="CE1411" i="1"/>
  <c r="A1412" i="1"/>
  <c r="C1412" i="1"/>
  <c r="E1412" i="1"/>
  <c r="S1412" i="1"/>
  <c r="T1412" i="1"/>
  <c r="U1412" i="1"/>
  <c r="BB1412" i="1"/>
  <c r="BD1412" i="1"/>
  <c r="CE1412" i="1"/>
  <c r="A1413" i="1"/>
  <c r="C1413" i="1"/>
  <c r="E1413" i="1"/>
  <c r="S1413" i="1"/>
  <c r="T1413" i="1"/>
  <c r="U1413" i="1"/>
  <c r="BB1413" i="1"/>
  <c r="BD1413" i="1"/>
  <c r="CE1413" i="1"/>
  <c r="A1414" i="1"/>
  <c r="C1414" i="1"/>
  <c r="E1414" i="1"/>
  <c r="S1414" i="1"/>
  <c r="T1414" i="1"/>
  <c r="U1414" i="1"/>
  <c r="BB1414" i="1"/>
  <c r="BD1414" i="1"/>
  <c r="CE1414" i="1"/>
  <c r="A1415" i="1"/>
  <c r="C1415" i="1"/>
  <c r="E1415" i="1"/>
  <c r="S1415" i="1"/>
  <c r="T1415" i="1"/>
  <c r="U1415" i="1"/>
  <c r="BB1415" i="1"/>
  <c r="BD1415" i="1"/>
  <c r="CE1415" i="1"/>
  <c r="A1416" i="1"/>
  <c r="C1416" i="1"/>
  <c r="E1416" i="1"/>
  <c r="S1416" i="1"/>
  <c r="T1416" i="1"/>
  <c r="U1416" i="1"/>
  <c r="BB1416" i="1"/>
  <c r="BD1416" i="1"/>
  <c r="CE1416" i="1"/>
  <c r="A1417" i="1"/>
  <c r="C1417" i="1"/>
  <c r="E1417" i="1"/>
  <c r="S1417" i="1"/>
  <c r="T1417" i="1"/>
  <c r="U1417" i="1"/>
  <c r="BB1417" i="1"/>
  <c r="BD1417" i="1"/>
  <c r="CE1417" i="1"/>
  <c r="A1418" i="1"/>
  <c r="C1418" i="1"/>
  <c r="E1418" i="1"/>
  <c r="S1418" i="1"/>
  <c r="T1418" i="1"/>
  <c r="U1418" i="1"/>
  <c r="BB1418" i="1"/>
  <c r="BD1418" i="1"/>
  <c r="CE1418" i="1"/>
  <c r="A1419" i="1"/>
  <c r="C1419" i="1"/>
  <c r="E1419" i="1"/>
  <c r="S1419" i="1"/>
  <c r="T1419" i="1"/>
  <c r="U1419" i="1"/>
  <c r="BB1419" i="1"/>
  <c r="BD1419" i="1"/>
  <c r="CE1419" i="1"/>
  <c r="A1420" i="1"/>
  <c r="C1420" i="1"/>
  <c r="E1420" i="1"/>
  <c r="S1420" i="1"/>
  <c r="T1420" i="1"/>
  <c r="U1420" i="1"/>
  <c r="BB1420" i="1"/>
  <c r="BD1420" i="1"/>
  <c r="CE1420" i="1"/>
  <c r="A1421" i="1"/>
  <c r="C1421" i="1"/>
  <c r="E1421" i="1"/>
  <c r="S1421" i="1"/>
  <c r="T1421" i="1"/>
  <c r="U1421" i="1"/>
  <c r="BB1421" i="1"/>
  <c r="BD1421" i="1"/>
  <c r="CE1421" i="1"/>
  <c r="A1422" i="1"/>
  <c r="C1422" i="1"/>
  <c r="E1422" i="1"/>
  <c r="S1422" i="1"/>
  <c r="T1422" i="1"/>
  <c r="U1422" i="1"/>
  <c r="BB1422" i="1"/>
  <c r="BD1422" i="1"/>
  <c r="CE1422" i="1"/>
  <c r="A1423" i="1"/>
  <c r="C1423" i="1"/>
  <c r="E1423" i="1"/>
  <c r="S1423" i="1"/>
  <c r="T1423" i="1"/>
  <c r="U1423" i="1"/>
  <c r="BB1423" i="1"/>
  <c r="BD1423" i="1"/>
  <c r="CE1423" i="1"/>
  <c r="A1424" i="1"/>
  <c r="C1424" i="1"/>
  <c r="E1424" i="1"/>
  <c r="S1424" i="1"/>
  <c r="T1424" i="1"/>
  <c r="U1424" i="1"/>
  <c r="BB1424" i="1"/>
  <c r="BD1424" i="1"/>
  <c r="CE1424" i="1"/>
  <c r="A1425" i="1"/>
  <c r="C1425" i="1"/>
  <c r="E1425" i="1"/>
  <c r="S1425" i="1"/>
  <c r="T1425" i="1"/>
  <c r="U1425" i="1"/>
  <c r="BB1425" i="1"/>
  <c r="BD1425" i="1"/>
  <c r="CE1425" i="1"/>
  <c r="A1426" i="1"/>
  <c r="C1426" i="1"/>
  <c r="E1426" i="1"/>
  <c r="S1426" i="1"/>
  <c r="T1426" i="1"/>
  <c r="U1426" i="1"/>
  <c r="BB1426" i="1"/>
  <c r="BD1426" i="1"/>
  <c r="CE1426" i="1"/>
  <c r="A1427" i="1"/>
  <c r="C1427" i="1"/>
  <c r="E1427" i="1"/>
  <c r="S1427" i="1"/>
  <c r="T1427" i="1"/>
  <c r="U1427" i="1"/>
  <c r="BB1427" i="1"/>
  <c r="BD1427" i="1"/>
  <c r="CE1427" i="1"/>
  <c r="A1428" i="1"/>
  <c r="C1428" i="1"/>
  <c r="E1428" i="1"/>
  <c r="S1428" i="1"/>
  <c r="T1428" i="1"/>
  <c r="U1428" i="1"/>
  <c r="BB1428" i="1"/>
  <c r="BD1428" i="1"/>
  <c r="CE1428" i="1"/>
  <c r="A1429" i="1"/>
  <c r="C1429" i="1"/>
  <c r="E1429" i="1"/>
  <c r="S1429" i="1"/>
  <c r="T1429" i="1"/>
  <c r="U1429" i="1"/>
  <c r="BB1429" i="1"/>
  <c r="BD1429" i="1"/>
  <c r="CE1429" i="1"/>
  <c r="A1430" i="1"/>
  <c r="C1430" i="1"/>
  <c r="E1430" i="1"/>
  <c r="S1430" i="1"/>
  <c r="T1430" i="1"/>
  <c r="U1430" i="1"/>
  <c r="BB1430" i="1"/>
  <c r="BD1430" i="1"/>
  <c r="CE1430" i="1"/>
  <c r="A1431" i="1"/>
  <c r="C1431" i="1"/>
  <c r="E1431" i="1"/>
  <c r="S1431" i="1"/>
  <c r="T1431" i="1"/>
  <c r="U1431" i="1"/>
  <c r="BB1431" i="1"/>
  <c r="BD1431" i="1"/>
  <c r="CE1431" i="1"/>
  <c r="A1432" i="1"/>
  <c r="C1432" i="1"/>
  <c r="E1432" i="1"/>
  <c r="S1432" i="1"/>
  <c r="T1432" i="1"/>
  <c r="U1432" i="1"/>
  <c r="BB1432" i="1"/>
  <c r="BD1432" i="1"/>
  <c r="CE1432" i="1"/>
  <c r="A1433" i="1"/>
  <c r="C1433" i="1"/>
  <c r="E1433" i="1"/>
  <c r="S1433" i="1"/>
  <c r="T1433" i="1"/>
  <c r="U1433" i="1"/>
  <c r="BB1433" i="1"/>
  <c r="BD1433" i="1"/>
  <c r="CE1433" i="1"/>
  <c r="A1434" i="1"/>
  <c r="C1434" i="1"/>
  <c r="E1434" i="1"/>
  <c r="S1434" i="1"/>
  <c r="T1434" i="1"/>
  <c r="U1434" i="1"/>
  <c r="BB1434" i="1"/>
  <c r="BD1434" i="1"/>
  <c r="CE1434" i="1"/>
  <c r="A1435" i="1"/>
  <c r="C1435" i="1"/>
  <c r="E1435" i="1"/>
  <c r="S1435" i="1"/>
  <c r="T1435" i="1"/>
  <c r="U1435" i="1"/>
  <c r="BB1435" i="1"/>
  <c r="BD1435" i="1"/>
  <c r="CE1435" i="1"/>
  <c r="A1436" i="1"/>
  <c r="C1436" i="1"/>
  <c r="E1436" i="1"/>
  <c r="S1436" i="1"/>
  <c r="T1436" i="1"/>
  <c r="U1436" i="1"/>
  <c r="BB1436" i="1"/>
  <c r="BD1436" i="1"/>
  <c r="CE1436" i="1"/>
  <c r="A1437" i="1"/>
  <c r="C1437" i="1"/>
  <c r="E1437" i="1"/>
  <c r="S1437" i="1"/>
  <c r="T1437" i="1"/>
  <c r="U1437" i="1"/>
  <c r="BB1437" i="1"/>
  <c r="BD1437" i="1"/>
  <c r="CE1437" i="1"/>
  <c r="A1438" i="1"/>
  <c r="C1438" i="1"/>
  <c r="E1438" i="1"/>
  <c r="S1438" i="1"/>
  <c r="T1438" i="1"/>
  <c r="U1438" i="1"/>
  <c r="BB1438" i="1"/>
  <c r="BD1438" i="1"/>
  <c r="CE1438" i="1"/>
  <c r="A1439" i="1"/>
  <c r="C1439" i="1"/>
  <c r="E1439" i="1"/>
  <c r="S1439" i="1"/>
  <c r="T1439" i="1"/>
  <c r="U1439" i="1"/>
  <c r="BB1439" i="1"/>
  <c r="BD1439" i="1"/>
  <c r="CE1439" i="1"/>
  <c r="A1440" i="1"/>
  <c r="C1440" i="1"/>
  <c r="E1440" i="1"/>
  <c r="S1440" i="1"/>
  <c r="T1440" i="1"/>
  <c r="U1440" i="1"/>
  <c r="BB1440" i="1"/>
  <c r="BD1440" i="1"/>
  <c r="CE1440" i="1"/>
  <c r="A1441" i="1"/>
  <c r="C1441" i="1"/>
  <c r="E1441" i="1"/>
  <c r="S1441" i="1"/>
  <c r="T1441" i="1"/>
  <c r="U1441" i="1"/>
  <c r="BB1441" i="1"/>
  <c r="BD1441" i="1"/>
  <c r="CE1441" i="1"/>
  <c r="A1442" i="1"/>
  <c r="C1442" i="1"/>
  <c r="E1442" i="1"/>
  <c r="S1442" i="1"/>
  <c r="T1442" i="1"/>
  <c r="U1442" i="1"/>
  <c r="BB1442" i="1"/>
  <c r="BD1442" i="1"/>
  <c r="CE1442" i="1"/>
  <c r="A1443" i="1"/>
  <c r="C1443" i="1"/>
  <c r="E1443" i="1"/>
  <c r="S1443" i="1"/>
  <c r="T1443" i="1"/>
  <c r="U1443" i="1"/>
  <c r="BB1443" i="1"/>
  <c r="BD1443" i="1"/>
  <c r="CE1443" i="1"/>
  <c r="A1444" i="1"/>
  <c r="C1444" i="1"/>
  <c r="E1444" i="1"/>
  <c r="S1444" i="1"/>
  <c r="T1444" i="1"/>
  <c r="U1444" i="1"/>
  <c r="BB1444" i="1"/>
  <c r="BD1444" i="1"/>
  <c r="CE1444" i="1"/>
  <c r="A1445" i="1"/>
  <c r="C1445" i="1"/>
  <c r="E1445" i="1"/>
  <c r="S1445" i="1"/>
  <c r="T1445" i="1"/>
  <c r="U1445" i="1"/>
  <c r="BB1445" i="1"/>
  <c r="BD1445" i="1"/>
  <c r="CE1445" i="1"/>
  <c r="A1446" i="1"/>
  <c r="C1446" i="1"/>
  <c r="E1446" i="1"/>
  <c r="S1446" i="1"/>
  <c r="T1446" i="1"/>
  <c r="U1446" i="1"/>
  <c r="BB1446" i="1"/>
  <c r="BD1446" i="1"/>
  <c r="CE1446" i="1"/>
  <c r="A1447" i="1"/>
  <c r="C1447" i="1"/>
  <c r="E1447" i="1"/>
  <c r="S1447" i="1"/>
  <c r="T1447" i="1"/>
  <c r="U1447" i="1"/>
  <c r="BB1447" i="1"/>
  <c r="BD1447" i="1"/>
  <c r="CE1447" i="1"/>
  <c r="A1448" i="1"/>
  <c r="C1448" i="1"/>
  <c r="E1448" i="1"/>
  <c r="S1448" i="1"/>
  <c r="T1448" i="1"/>
  <c r="U1448" i="1"/>
  <c r="BB1448" i="1"/>
  <c r="BD1448" i="1"/>
  <c r="CE1448" i="1"/>
  <c r="A1449" i="1"/>
  <c r="C1449" i="1"/>
  <c r="E1449" i="1"/>
  <c r="S1449" i="1"/>
  <c r="T1449" i="1"/>
  <c r="U1449" i="1"/>
  <c r="BB1449" i="1"/>
  <c r="BD1449" i="1"/>
  <c r="CE1449" i="1"/>
  <c r="A1450" i="1"/>
  <c r="C1450" i="1"/>
  <c r="E1450" i="1"/>
  <c r="S1450" i="1"/>
  <c r="T1450" i="1"/>
  <c r="U1450" i="1"/>
  <c r="BB1450" i="1"/>
  <c r="BD1450" i="1"/>
  <c r="CE1450" i="1"/>
  <c r="A1451" i="1"/>
  <c r="C1451" i="1"/>
  <c r="E1451" i="1"/>
  <c r="S1451" i="1"/>
  <c r="T1451" i="1"/>
  <c r="U1451" i="1"/>
  <c r="BB1451" i="1"/>
  <c r="BD1451" i="1"/>
  <c r="CE1451" i="1"/>
  <c r="A1452" i="1"/>
  <c r="C1452" i="1"/>
  <c r="E1452" i="1"/>
  <c r="S1452" i="1"/>
  <c r="T1452" i="1"/>
  <c r="U1452" i="1"/>
  <c r="BB1452" i="1"/>
  <c r="BD1452" i="1"/>
  <c r="CE1452" i="1"/>
  <c r="A1453" i="1"/>
  <c r="C1453" i="1"/>
  <c r="E1453" i="1"/>
  <c r="S1453" i="1"/>
  <c r="T1453" i="1"/>
  <c r="U1453" i="1"/>
  <c r="BB1453" i="1"/>
  <c r="BD1453" i="1"/>
  <c r="CE1453" i="1"/>
  <c r="A1454" i="1"/>
  <c r="C1454" i="1"/>
  <c r="E1454" i="1"/>
  <c r="S1454" i="1"/>
  <c r="T1454" i="1"/>
  <c r="U1454" i="1"/>
  <c r="BB1454" i="1"/>
  <c r="BD1454" i="1"/>
  <c r="CE1454" i="1"/>
  <c r="A1455" i="1"/>
  <c r="C1455" i="1"/>
  <c r="E1455" i="1"/>
  <c r="S1455" i="1"/>
  <c r="T1455" i="1"/>
  <c r="U1455" i="1"/>
  <c r="BB1455" i="1"/>
  <c r="BD1455" i="1"/>
  <c r="CE1455" i="1"/>
  <c r="A1456" i="1"/>
  <c r="C1456" i="1"/>
  <c r="E1456" i="1"/>
  <c r="S1456" i="1"/>
  <c r="T1456" i="1"/>
  <c r="U1456" i="1"/>
  <c r="BB1456" i="1"/>
  <c r="BD1456" i="1"/>
  <c r="CE1456" i="1"/>
  <c r="A1457" i="1"/>
  <c r="C1457" i="1"/>
  <c r="E1457" i="1"/>
  <c r="S1457" i="1"/>
  <c r="T1457" i="1"/>
  <c r="U1457" i="1"/>
  <c r="BB1457" i="1"/>
  <c r="BD1457" i="1"/>
  <c r="CE1457" i="1"/>
  <c r="A1458" i="1"/>
  <c r="C1458" i="1"/>
  <c r="E1458" i="1"/>
  <c r="S1458" i="1"/>
  <c r="T1458" i="1"/>
  <c r="U1458" i="1"/>
  <c r="BB1458" i="1"/>
  <c r="BD1458" i="1"/>
  <c r="CE1458" i="1"/>
  <c r="A1459" i="1"/>
  <c r="C1459" i="1"/>
  <c r="E1459" i="1"/>
  <c r="S1459" i="1"/>
  <c r="T1459" i="1"/>
  <c r="U1459" i="1"/>
  <c r="BB1459" i="1"/>
  <c r="BD1459" i="1"/>
  <c r="CE1459" i="1"/>
  <c r="A1460" i="1"/>
  <c r="C1460" i="1"/>
  <c r="E1460" i="1"/>
  <c r="S1460" i="1"/>
  <c r="T1460" i="1"/>
  <c r="U1460" i="1"/>
  <c r="BB1460" i="1"/>
  <c r="BD1460" i="1"/>
  <c r="CE1460" i="1"/>
  <c r="A1461" i="1"/>
  <c r="C1461" i="1"/>
  <c r="E1461" i="1"/>
  <c r="S1461" i="1"/>
  <c r="T1461" i="1"/>
  <c r="U1461" i="1"/>
  <c r="BB1461" i="1"/>
  <c r="BD1461" i="1"/>
  <c r="CE1461" i="1"/>
  <c r="A1462" i="1"/>
  <c r="C1462" i="1"/>
  <c r="E1462" i="1"/>
  <c r="S1462" i="1"/>
  <c r="T1462" i="1"/>
  <c r="U1462" i="1"/>
  <c r="BB1462" i="1"/>
  <c r="BD1462" i="1"/>
  <c r="CE1462" i="1"/>
  <c r="A1463" i="1"/>
  <c r="C1463" i="1"/>
  <c r="E1463" i="1"/>
  <c r="S1463" i="1"/>
  <c r="T1463" i="1"/>
  <c r="U1463" i="1"/>
  <c r="BB1463" i="1"/>
  <c r="BD1463" i="1"/>
  <c r="CE1463" i="1"/>
  <c r="A1464" i="1"/>
  <c r="C1464" i="1"/>
  <c r="E1464" i="1"/>
  <c r="S1464" i="1"/>
  <c r="T1464" i="1"/>
  <c r="U1464" i="1"/>
  <c r="BB1464" i="1"/>
  <c r="BD1464" i="1"/>
  <c r="CE1464" i="1"/>
  <c r="A1465" i="1"/>
  <c r="C1465" i="1"/>
  <c r="E1465" i="1"/>
  <c r="S1465" i="1"/>
  <c r="T1465" i="1"/>
  <c r="U1465" i="1"/>
  <c r="BB1465" i="1"/>
  <c r="BD1465" i="1"/>
  <c r="CE1465" i="1"/>
  <c r="A1466" i="1"/>
  <c r="C1466" i="1"/>
  <c r="E1466" i="1"/>
  <c r="S1466" i="1"/>
  <c r="T1466" i="1"/>
  <c r="U1466" i="1"/>
  <c r="BB1466" i="1"/>
  <c r="BD1466" i="1"/>
  <c r="CE1466" i="1"/>
  <c r="A1467" i="1"/>
  <c r="C1467" i="1"/>
  <c r="E1467" i="1"/>
  <c r="S1467" i="1"/>
  <c r="T1467" i="1"/>
  <c r="U1467" i="1"/>
  <c r="BB1467" i="1"/>
  <c r="BD1467" i="1"/>
  <c r="CE1467" i="1"/>
  <c r="A1468" i="1"/>
  <c r="C1468" i="1"/>
  <c r="E1468" i="1"/>
  <c r="S1468" i="1"/>
  <c r="T1468" i="1"/>
  <c r="U1468" i="1"/>
  <c r="BB1468" i="1"/>
  <c r="BD1468" i="1"/>
  <c r="CE1468" i="1"/>
  <c r="A1469" i="1"/>
  <c r="C1469" i="1"/>
  <c r="E1469" i="1"/>
  <c r="S1469" i="1"/>
  <c r="T1469" i="1"/>
  <c r="U1469" i="1"/>
  <c r="BB1469" i="1"/>
  <c r="BD1469" i="1"/>
  <c r="CE1469" i="1"/>
  <c r="A1470" i="1"/>
  <c r="C1470" i="1"/>
  <c r="E1470" i="1"/>
  <c r="S1470" i="1"/>
  <c r="T1470" i="1"/>
  <c r="U1470" i="1"/>
  <c r="BB1470" i="1"/>
  <c r="BD1470" i="1"/>
  <c r="CE1470" i="1"/>
  <c r="A1471" i="1"/>
  <c r="C1471" i="1"/>
  <c r="E1471" i="1"/>
  <c r="S1471" i="1"/>
  <c r="T1471" i="1"/>
  <c r="U1471" i="1"/>
  <c r="BB1471" i="1"/>
  <c r="BD1471" i="1"/>
  <c r="CE1471" i="1"/>
  <c r="A1472" i="1"/>
  <c r="C1472" i="1"/>
  <c r="E1472" i="1"/>
  <c r="S1472" i="1"/>
  <c r="T1472" i="1"/>
  <c r="U1472" i="1"/>
  <c r="BB1472" i="1"/>
  <c r="BD1472" i="1"/>
  <c r="CE1472" i="1"/>
  <c r="A1473" i="1"/>
  <c r="C1473" i="1"/>
  <c r="E1473" i="1"/>
  <c r="S1473" i="1"/>
  <c r="T1473" i="1"/>
  <c r="U1473" i="1"/>
  <c r="BB1473" i="1"/>
  <c r="BD1473" i="1"/>
  <c r="CE1473" i="1"/>
  <c r="A1474" i="1"/>
  <c r="C1474" i="1"/>
  <c r="E1474" i="1"/>
  <c r="S1474" i="1"/>
  <c r="T1474" i="1"/>
  <c r="U1474" i="1"/>
  <c r="BB1474" i="1"/>
  <c r="BD1474" i="1"/>
  <c r="CE1474" i="1"/>
  <c r="A1475" i="1"/>
  <c r="C1475" i="1"/>
  <c r="E1475" i="1"/>
  <c r="S1475" i="1"/>
  <c r="T1475" i="1"/>
  <c r="U1475" i="1"/>
  <c r="BB1475" i="1"/>
  <c r="BD1475" i="1"/>
  <c r="CE1475" i="1"/>
  <c r="A1476" i="1"/>
  <c r="C1476" i="1"/>
  <c r="E1476" i="1"/>
  <c r="S1476" i="1"/>
  <c r="T1476" i="1"/>
  <c r="U1476" i="1"/>
  <c r="BB1476" i="1"/>
  <c r="BD1476" i="1"/>
  <c r="CE1476" i="1"/>
  <c r="A1477" i="1"/>
  <c r="C1477" i="1"/>
  <c r="E1477" i="1"/>
  <c r="S1477" i="1"/>
  <c r="T1477" i="1"/>
  <c r="U1477" i="1"/>
  <c r="BB1477" i="1"/>
  <c r="BD1477" i="1"/>
  <c r="CE1477" i="1"/>
  <c r="A1478" i="1"/>
  <c r="C1478" i="1"/>
  <c r="E1478" i="1"/>
  <c r="S1478" i="1"/>
  <c r="T1478" i="1"/>
  <c r="U1478" i="1"/>
  <c r="BB1478" i="1"/>
  <c r="BD1478" i="1"/>
  <c r="CE1478" i="1"/>
  <c r="A1479" i="1"/>
  <c r="C1479" i="1"/>
  <c r="E1479" i="1"/>
  <c r="S1479" i="1"/>
  <c r="T1479" i="1"/>
  <c r="U1479" i="1"/>
  <c r="BB1479" i="1"/>
  <c r="BD1479" i="1"/>
  <c r="CE1479" i="1"/>
  <c r="A1480" i="1"/>
  <c r="C1480" i="1"/>
  <c r="E1480" i="1"/>
  <c r="S1480" i="1"/>
  <c r="T1480" i="1"/>
  <c r="U1480" i="1"/>
  <c r="BB1480" i="1"/>
  <c r="BD1480" i="1"/>
  <c r="CE1480" i="1"/>
  <c r="A1481" i="1"/>
  <c r="C1481" i="1"/>
  <c r="E1481" i="1"/>
  <c r="S1481" i="1"/>
  <c r="T1481" i="1"/>
  <c r="U1481" i="1"/>
  <c r="BB1481" i="1"/>
  <c r="BD1481" i="1"/>
  <c r="CE1481" i="1"/>
  <c r="A1482" i="1"/>
  <c r="C1482" i="1"/>
  <c r="E1482" i="1"/>
  <c r="S1482" i="1"/>
  <c r="T1482" i="1"/>
  <c r="U1482" i="1"/>
  <c r="BB1482" i="1"/>
  <c r="BD1482" i="1"/>
  <c r="CE1482" i="1"/>
  <c r="A1483" i="1"/>
  <c r="C1483" i="1"/>
  <c r="E1483" i="1"/>
  <c r="S1483" i="1"/>
  <c r="T1483" i="1"/>
  <c r="U1483" i="1"/>
  <c r="BB1483" i="1"/>
  <c r="BD1483" i="1"/>
  <c r="CE1483" i="1"/>
  <c r="A1484" i="1"/>
  <c r="C1484" i="1"/>
  <c r="E1484" i="1"/>
  <c r="S1484" i="1"/>
  <c r="T1484" i="1"/>
  <c r="U1484" i="1"/>
  <c r="BB1484" i="1"/>
  <c r="BD1484" i="1"/>
  <c r="CE1484" i="1"/>
  <c r="A1485" i="1"/>
  <c r="C1485" i="1"/>
  <c r="E1485" i="1"/>
  <c r="S1485" i="1"/>
  <c r="T1485" i="1"/>
  <c r="U1485" i="1"/>
  <c r="BB1485" i="1"/>
  <c r="BD1485" i="1"/>
  <c r="CE1485" i="1"/>
  <c r="A1486" i="1"/>
  <c r="C1486" i="1"/>
  <c r="E1486" i="1"/>
  <c r="S1486" i="1"/>
  <c r="T1486" i="1"/>
  <c r="U1486" i="1"/>
  <c r="BB1486" i="1"/>
  <c r="BD1486" i="1"/>
  <c r="CE1486" i="1"/>
  <c r="A1487" i="1"/>
  <c r="C1487" i="1"/>
  <c r="E1487" i="1"/>
  <c r="S1487" i="1"/>
  <c r="T1487" i="1"/>
  <c r="U1487" i="1"/>
  <c r="BB1487" i="1"/>
  <c r="BD1487" i="1"/>
  <c r="CE1487" i="1"/>
  <c r="A1488" i="1"/>
  <c r="C1488" i="1"/>
  <c r="E1488" i="1"/>
  <c r="S1488" i="1"/>
  <c r="T1488" i="1"/>
  <c r="U1488" i="1"/>
  <c r="BB1488" i="1"/>
  <c r="BD1488" i="1"/>
  <c r="CE1488" i="1"/>
  <c r="A1489" i="1"/>
  <c r="C1489" i="1"/>
  <c r="E1489" i="1"/>
  <c r="S1489" i="1"/>
  <c r="T1489" i="1"/>
  <c r="U1489" i="1"/>
  <c r="BB1489" i="1"/>
  <c r="BD1489" i="1"/>
  <c r="CE1489" i="1"/>
  <c r="A1490" i="1"/>
  <c r="C1490" i="1"/>
  <c r="E1490" i="1"/>
  <c r="S1490" i="1"/>
  <c r="T1490" i="1"/>
  <c r="U1490" i="1"/>
  <c r="BB1490" i="1"/>
  <c r="BD1490" i="1"/>
  <c r="CE1490" i="1"/>
  <c r="A1491" i="1"/>
  <c r="C1491" i="1"/>
  <c r="E1491" i="1"/>
  <c r="S1491" i="1"/>
  <c r="T1491" i="1"/>
  <c r="U1491" i="1"/>
  <c r="BB1491" i="1"/>
  <c r="BD1491" i="1"/>
  <c r="CE1491" i="1"/>
  <c r="A1492" i="1"/>
  <c r="C1492" i="1"/>
  <c r="E1492" i="1"/>
  <c r="S1492" i="1"/>
  <c r="T1492" i="1"/>
  <c r="U1492" i="1"/>
  <c r="BB1492" i="1"/>
  <c r="BD1492" i="1"/>
  <c r="CE1492" i="1"/>
  <c r="A1493" i="1"/>
  <c r="C1493" i="1"/>
  <c r="E1493" i="1"/>
  <c r="S1493" i="1"/>
  <c r="T1493" i="1"/>
  <c r="U1493" i="1"/>
  <c r="BB1493" i="1"/>
  <c r="BD1493" i="1"/>
  <c r="CE1493" i="1"/>
  <c r="A1494" i="1"/>
  <c r="C1494" i="1"/>
  <c r="E1494" i="1"/>
  <c r="S1494" i="1"/>
  <c r="T1494" i="1"/>
  <c r="U1494" i="1"/>
  <c r="BB1494" i="1"/>
  <c r="BD1494" i="1"/>
  <c r="CE1494" i="1"/>
  <c r="A1495" i="1"/>
  <c r="C1495" i="1"/>
  <c r="E1495" i="1"/>
  <c r="S1495" i="1"/>
  <c r="T1495" i="1"/>
  <c r="U1495" i="1"/>
  <c r="BB1495" i="1"/>
  <c r="BD1495" i="1"/>
  <c r="CE1495" i="1"/>
  <c r="A1496" i="1"/>
  <c r="C1496" i="1"/>
  <c r="E1496" i="1"/>
  <c r="S1496" i="1"/>
  <c r="T1496" i="1"/>
  <c r="U1496" i="1"/>
  <c r="BB1496" i="1"/>
  <c r="BD1496" i="1"/>
  <c r="CE1496" i="1"/>
  <c r="A1497" i="1"/>
  <c r="C1497" i="1"/>
  <c r="E1497" i="1"/>
  <c r="S1497" i="1"/>
  <c r="T1497" i="1"/>
  <c r="U1497" i="1"/>
  <c r="BB1497" i="1"/>
  <c r="BD1497" i="1"/>
  <c r="CE1497" i="1"/>
  <c r="A1498" i="1"/>
  <c r="C1498" i="1"/>
  <c r="E1498" i="1"/>
  <c r="S1498" i="1"/>
  <c r="T1498" i="1"/>
  <c r="U1498" i="1"/>
  <c r="BB1498" i="1"/>
  <c r="BD1498" i="1"/>
  <c r="CE1498" i="1"/>
  <c r="A1499" i="1"/>
  <c r="C1499" i="1"/>
  <c r="E1499" i="1"/>
  <c r="S1499" i="1"/>
  <c r="T1499" i="1"/>
  <c r="U1499" i="1"/>
  <c r="BB1499" i="1"/>
  <c r="BD1499" i="1"/>
  <c r="CE1499" i="1"/>
  <c r="A1500" i="1"/>
  <c r="C1500" i="1"/>
  <c r="E1500" i="1"/>
  <c r="S1500" i="1"/>
  <c r="T1500" i="1"/>
  <c r="U1500" i="1"/>
  <c r="BB1500" i="1"/>
  <c r="BD1500" i="1"/>
  <c r="CE1500" i="1"/>
  <c r="A1501" i="1"/>
  <c r="C1501" i="1"/>
  <c r="E1501" i="1"/>
  <c r="S1501" i="1"/>
  <c r="T1501" i="1"/>
  <c r="U1501" i="1"/>
  <c r="BB1501" i="1"/>
  <c r="BD1501" i="1"/>
  <c r="CE1501" i="1"/>
  <c r="A1502" i="1"/>
  <c r="C1502" i="1"/>
  <c r="E1502" i="1"/>
  <c r="S1502" i="1"/>
  <c r="T1502" i="1"/>
  <c r="U1502" i="1"/>
  <c r="BB1502" i="1"/>
  <c r="BD1502" i="1"/>
  <c r="CE1502" i="1"/>
  <c r="A1503" i="1"/>
  <c r="C1503" i="1"/>
  <c r="E1503" i="1"/>
  <c r="S1503" i="1"/>
  <c r="T1503" i="1"/>
  <c r="U1503" i="1"/>
  <c r="BB1503" i="1"/>
  <c r="BD1503" i="1"/>
  <c r="CE1503" i="1"/>
  <c r="A1504" i="1"/>
  <c r="C1504" i="1"/>
  <c r="E1504" i="1"/>
  <c r="S1504" i="1"/>
  <c r="T1504" i="1"/>
  <c r="U1504" i="1"/>
  <c r="BB1504" i="1"/>
  <c r="BD1504" i="1"/>
  <c r="CE1504" i="1"/>
  <c r="A1505" i="1"/>
  <c r="C1505" i="1"/>
  <c r="E1505" i="1"/>
  <c r="S1505" i="1"/>
  <c r="T1505" i="1"/>
  <c r="U1505" i="1"/>
  <c r="BB1505" i="1"/>
  <c r="BD1505" i="1"/>
  <c r="CE1505" i="1"/>
  <c r="A1506" i="1"/>
  <c r="C1506" i="1"/>
  <c r="E1506" i="1"/>
  <c r="S1506" i="1"/>
  <c r="T1506" i="1"/>
  <c r="U1506" i="1"/>
  <c r="BB1506" i="1"/>
  <c r="BD1506" i="1"/>
  <c r="CE1506" i="1"/>
  <c r="A1507" i="1"/>
  <c r="C1507" i="1"/>
  <c r="E1507" i="1"/>
  <c r="S1507" i="1"/>
  <c r="T1507" i="1"/>
  <c r="U1507" i="1"/>
  <c r="BB1507" i="1"/>
  <c r="BD1507" i="1"/>
  <c r="CE1507" i="1"/>
  <c r="A1508" i="1"/>
  <c r="C1508" i="1"/>
  <c r="E1508" i="1"/>
  <c r="S1508" i="1"/>
  <c r="T1508" i="1"/>
  <c r="U1508" i="1"/>
  <c r="BB1508" i="1"/>
  <c r="BD1508" i="1"/>
  <c r="CE1508" i="1"/>
  <c r="A1509" i="1"/>
  <c r="C1509" i="1"/>
  <c r="E1509" i="1"/>
  <c r="S1509" i="1"/>
  <c r="T1509" i="1"/>
  <c r="U1509" i="1"/>
  <c r="BB1509" i="1"/>
  <c r="BD1509" i="1"/>
  <c r="CE1509" i="1"/>
  <c r="A1510" i="1"/>
  <c r="C1510" i="1"/>
  <c r="E1510" i="1"/>
  <c r="S1510" i="1"/>
  <c r="T1510" i="1"/>
  <c r="U1510" i="1"/>
  <c r="BB1510" i="1"/>
  <c r="BD1510" i="1"/>
  <c r="CE1510" i="1"/>
  <c r="A1511" i="1"/>
  <c r="C1511" i="1"/>
  <c r="E1511" i="1"/>
  <c r="S1511" i="1"/>
  <c r="T1511" i="1"/>
  <c r="U1511" i="1"/>
  <c r="BB1511" i="1"/>
  <c r="BD1511" i="1"/>
  <c r="CE1511" i="1"/>
  <c r="A1512" i="1"/>
  <c r="C1512" i="1"/>
  <c r="E1512" i="1"/>
  <c r="S1512" i="1"/>
  <c r="T1512" i="1"/>
  <c r="U1512" i="1"/>
  <c r="BB1512" i="1"/>
  <c r="BD1512" i="1"/>
  <c r="CE1512" i="1"/>
  <c r="A1513" i="1"/>
  <c r="C1513" i="1"/>
  <c r="E1513" i="1"/>
  <c r="S1513" i="1"/>
  <c r="T1513" i="1"/>
  <c r="U1513" i="1"/>
  <c r="BB1513" i="1"/>
  <c r="BD1513" i="1"/>
  <c r="CE1513" i="1"/>
  <c r="A1514" i="1"/>
  <c r="C1514" i="1"/>
  <c r="E1514" i="1"/>
  <c r="S1514" i="1"/>
  <c r="T1514" i="1"/>
  <c r="U1514" i="1"/>
  <c r="BB1514" i="1"/>
  <c r="BD1514" i="1"/>
  <c r="CE1514" i="1"/>
  <c r="A1515" i="1"/>
  <c r="C1515" i="1"/>
  <c r="E1515" i="1"/>
  <c r="S1515" i="1"/>
  <c r="T1515" i="1"/>
  <c r="U1515" i="1"/>
  <c r="BB1515" i="1"/>
  <c r="BD1515" i="1"/>
  <c r="CE1515" i="1"/>
  <c r="A1516" i="1"/>
  <c r="C1516" i="1"/>
  <c r="E1516" i="1"/>
  <c r="S1516" i="1"/>
  <c r="T1516" i="1"/>
  <c r="U1516" i="1"/>
  <c r="BB1516" i="1"/>
  <c r="BD1516" i="1"/>
  <c r="CE1516" i="1"/>
  <c r="A1517" i="1"/>
  <c r="C1517" i="1"/>
  <c r="E1517" i="1"/>
  <c r="S1517" i="1"/>
  <c r="T1517" i="1"/>
  <c r="U1517" i="1"/>
  <c r="BB1517" i="1"/>
  <c r="BD1517" i="1"/>
  <c r="CE1517" i="1"/>
  <c r="A1518" i="1"/>
  <c r="C1518" i="1"/>
  <c r="E1518" i="1"/>
  <c r="S1518" i="1"/>
  <c r="T1518" i="1"/>
  <c r="U1518" i="1"/>
  <c r="BB1518" i="1"/>
  <c r="BD1518" i="1"/>
  <c r="CE1518" i="1"/>
  <c r="A1519" i="1"/>
  <c r="C1519" i="1"/>
  <c r="E1519" i="1"/>
  <c r="S1519" i="1"/>
  <c r="T1519" i="1"/>
  <c r="U1519" i="1"/>
  <c r="BB1519" i="1"/>
  <c r="BD1519" i="1"/>
  <c r="CE1519" i="1"/>
  <c r="A1520" i="1"/>
  <c r="C1520" i="1"/>
  <c r="E1520" i="1"/>
  <c r="S1520" i="1"/>
  <c r="T1520" i="1"/>
  <c r="U1520" i="1"/>
  <c r="BB1520" i="1"/>
  <c r="BD1520" i="1"/>
  <c r="CE1520" i="1"/>
  <c r="A1521" i="1"/>
  <c r="C1521" i="1"/>
  <c r="E1521" i="1"/>
  <c r="S1521" i="1"/>
  <c r="T1521" i="1"/>
  <c r="U1521" i="1"/>
  <c r="BB1521" i="1"/>
  <c r="BD1521" i="1"/>
  <c r="CE1521" i="1"/>
  <c r="A1522" i="1"/>
  <c r="C1522" i="1"/>
  <c r="E1522" i="1"/>
  <c r="S1522" i="1"/>
  <c r="T1522" i="1"/>
  <c r="U1522" i="1"/>
  <c r="BB1522" i="1"/>
  <c r="BD1522" i="1"/>
  <c r="CE1522" i="1"/>
  <c r="A1523" i="1"/>
  <c r="C1523" i="1"/>
  <c r="E1523" i="1"/>
  <c r="S1523" i="1"/>
  <c r="T1523" i="1"/>
  <c r="U1523" i="1"/>
  <c r="BB1523" i="1"/>
  <c r="BD1523" i="1"/>
  <c r="CE1523" i="1"/>
  <c r="A1524" i="1"/>
  <c r="C1524" i="1"/>
  <c r="E1524" i="1"/>
  <c r="S1524" i="1"/>
  <c r="T1524" i="1"/>
  <c r="U1524" i="1"/>
  <c r="BB1524" i="1"/>
  <c r="BD1524" i="1"/>
  <c r="CE1524" i="1"/>
  <c r="A1525" i="1"/>
  <c r="C1525" i="1"/>
  <c r="E1525" i="1"/>
  <c r="S1525" i="1"/>
  <c r="T1525" i="1"/>
  <c r="U1525" i="1"/>
  <c r="BB1525" i="1"/>
  <c r="BD1525" i="1"/>
  <c r="CE1525" i="1"/>
  <c r="A1526" i="1"/>
  <c r="C1526" i="1"/>
  <c r="E1526" i="1"/>
  <c r="S1526" i="1"/>
  <c r="T1526" i="1"/>
  <c r="U1526" i="1"/>
  <c r="BB1526" i="1"/>
  <c r="BD1526" i="1"/>
  <c r="CE1526" i="1"/>
  <c r="A1527" i="1"/>
  <c r="C1527" i="1"/>
  <c r="E1527" i="1"/>
  <c r="S1527" i="1"/>
  <c r="T1527" i="1"/>
  <c r="U1527" i="1"/>
  <c r="BB1527" i="1"/>
  <c r="BD1527" i="1"/>
  <c r="CE1527" i="1"/>
  <c r="A1528" i="1"/>
  <c r="C1528" i="1"/>
  <c r="E1528" i="1"/>
  <c r="S1528" i="1"/>
  <c r="T1528" i="1"/>
  <c r="U1528" i="1"/>
  <c r="BB1528" i="1"/>
  <c r="BD1528" i="1"/>
  <c r="CE1528" i="1"/>
  <c r="A1529" i="1"/>
  <c r="C1529" i="1"/>
  <c r="E1529" i="1"/>
  <c r="S1529" i="1"/>
  <c r="T1529" i="1"/>
  <c r="U1529" i="1"/>
  <c r="BB1529" i="1"/>
  <c r="BD1529" i="1"/>
  <c r="CE1529" i="1"/>
  <c r="A1530" i="1"/>
  <c r="C1530" i="1"/>
  <c r="E1530" i="1"/>
  <c r="S1530" i="1"/>
  <c r="T1530" i="1"/>
  <c r="U1530" i="1"/>
  <c r="BB1530" i="1"/>
  <c r="BD1530" i="1"/>
  <c r="CE1530" i="1"/>
  <c r="A1531" i="1"/>
  <c r="C1531" i="1"/>
  <c r="E1531" i="1"/>
  <c r="S1531" i="1"/>
  <c r="T1531" i="1"/>
  <c r="U1531" i="1"/>
  <c r="BB1531" i="1"/>
  <c r="BD1531" i="1"/>
  <c r="CE1531" i="1"/>
  <c r="A1532" i="1"/>
  <c r="C1532" i="1"/>
  <c r="E1532" i="1"/>
  <c r="S1532" i="1"/>
  <c r="T1532" i="1"/>
  <c r="U1532" i="1"/>
  <c r="BB1532" i="1"/>
  <c r="BD1532" i="1"/>
  <c r="CE1532" i="1"/>
  <c r="A1533" i="1"/>
  <c r="C1533" i="1"/>
  <c r="E1533" i="1"/>
  <c r="S1533" i="1"/>
  <c r="T1533" i="1"/>
  <c r="U1533" i="1"/>
  <c r="BB1533" i="1"/>
  <c r="BD1533" i="1"/>
  <c r="CE1533" i="1"/>
  <c r="A1534" i="1"/>
  <c r="C1534" i="1"/>
  <c r="E1534" i="1"/>
  <c r="S1534" i="1"/>
  <c r="T1534" i="1"/>
  <c r="U1534" i="1"/>
  <c r="BB1534" i="1"/>
  <c r="BD1534" i="1"/>
  <c r="CE1534" i="1"/>
  <c r="A1535" i="1"/>
  <c r="C1535" i="1"/>
  <c r="E1535" i="1"/>
  <c r="S1535" i="1"/>
  <c r="T1535" i="1"/>
  <c r="U1535" i="1"/>
  <c r="BB1535" i="1"/>
  <c r="BD1535" i="1"/>
  <c r="CE1535" i="1"/>
  <c r="A1536" i="1"/>
  <c r="C1536" i="1"/>
  <c r="E1536" i="1"/>
  <c r="S1536" i="1"/>
  <c r="T1536" i="1"/>
  <c r="U1536" i="1"/>
  <c r="BB1536" i="1"/>
  <c r="BD1536" i="1"/>
  <c r="CE1536" i="1"/>
  <c r="A1537" i="1"/>
  <c r="C1537" i="1"/>
  <c r="E1537" i="1"/>
  <c r="S1537" i="1"/>
  <c r="T1537" i="1"/>
  <c r="U1537" i="1"/>
  <c r="BB1537" i="1"/>
  <c r="BD1537" i="1"/>
  <c r="CE1537" i="1"/>
  <c r="A1538" i="1"/>
  <c r="C1538" i="1"/>
  <c r="E1538" i="1"/>
  <c r="S1538" i="1"/>
  <c r="T1538" i="1"/>
  <c r="U1538" i="1"/>
  <c r="BB1538" i="1"/>
  <c r="BD1538" i="1"/>
  <c r="CE1538" i="1"/>
  <c r="A1539" i="1"/>
  <c r="C1539" i="1"/>
  <c r="E1539" i="1"/>
  <c r="S1539" i="1"/>
  <c r="T1539" i="1"/>
  <c r="U1539" i="1"/>
  <c r="BB1539" i="1"/>
  <c r="BD1539" i="1"/>
  <c r="CE1539" i="1"/>
  <c r="A1540" i="1"/>
  <c r="C1540" i="1"/>
  <c r="E1540" i="1"/>
  <c r="S1540" i="1"/>
  <c r="T1540" i="1"/>
  <c r="U1540" i="1"/>
  <c r="BB1540" i="1"/>
  <c r="BD1540" i="1"/>
  <c r="CE1540" i="1"/>
  <c r="A1541" i="1"/>
  <c r="C1541" i="1"/>
  <c r="E1541" i="1"/>
  <c r="S1541" i="1"/>
  <c r="T1541" i="1"/>
  <c r="U1541" i="1"/>
  <c r="BB1541" i="1"/>
  <c r="BD1541" i="1"/>
  <c r="CE1541" i="1"/>
  <c r="A1542" i="1"/>
  <c r="C1542" i="1"/>
  <c r="E1542" i="1"/>
  <c r="S1542" i="1"/>
  <c r="T1542" i="1"/>
  <c r="U1542" i="1"/>
  <c r="BB1542" i="1"/>
  <c r="BD1542" i="1"/>
  <c r="CE1542" i="1"/>
  <c r="A1543" i="1"/>
  <c r="C1543" i="1"/>
  <c r="E1543" i="1"/>
  <c r="S1543" i="1"/>
  <c r="T1543" i="1"/>
  <c r="U1543" i="1"/>
  <c r="BB1543" i="1"/>
  <c r="BD1543" i="1"/>
  <c r="CE1543" i="1"/>
  <c r="A1544" i="1"/>
  <c r="C1544" i="1"/>
  <c r="E1544" i="1"/>
  <c r="S1544" i="1"/>
  <c r="T1544" i="1"/>
  <c r="U1544" i="1"/>
  <c r="BB1544" i="1"/>
  <c r="BD1544" i="1"/>
  <c r="CE1544" i="1"/>
  <c r="A1545" i="1"/>
  <c r="C1545" i="1"/>
  <c r="E1545" i="1"/>
  <c r="S1545" i="1"/>
  <c r="T1545" i="1"/>
  <c r="U1545" i="1"/>
  <c r="BB1545" i="1"/>
  <c r="BD1545" i="1"/>
  <c r="CE1545" i="1"/>
  <c r="A1546" i="1"/>
  <c r="C1546" i="1"/>
  <c r="E1546" i="1"/>
  <c r="S1546" i="1"/>
  <c r="T1546" i="1"/>
  <c r="U1546" i="1"/>
  <c r="BB1546" i="1"/>
  <c r="BD1546" i="1"/>
  <c r="CE1546" i="1"/>
  <c r="A1547" i="1"/>
  <c r="C1547" i="1"/>
  <c r="E1547" i="1"/>
  <c r="S1547" i="1"/>
  <c r="T1547" i="1"/>
  <c r="U1547" i="1"/>
  <c r="BB1547" i="1"/>
  <c r="BD1547" i="1"/>
  <c r="CE1547" i="1"/>
  <c r="A1548" i="1"/>
  <c r="C1548" i="1"/>
  <c r="E1548" i="1"/>
  <c r="S1548" i="1"/>
  <c r="T1548" i="1"/>
  <c r="U1548" i="1"/>
  <c r="BB1548" i="1"/>
  <c r="BD1548" i="1"/>
  <c r="CE1548" i="1"/>
  <c r="A1549" i="1"/>
  <c r="C1549" i="1"/>
  <c r="E1549" i="1"/>
  <c r="S1549" i="1"/>
  <c r="T1549" i="1"/>
  <c r="U1549" i="1"/>
  <c r="BB1549" i="1"/>
  <c r="BD1549" i="1"/>
  <c r="CE1549" i="1"/>
  <c r="A1550" i="1"/>
  <c r="C1550" i="1"/>
  <c r="E1550" i="1"/>
  <c r="S1550" i="1"/>
  <c r="T1550" i="1"/>
  <c r="U1550" i="1"/>
  <c r="BB1550" i="1"/>
  <c r="BD1550" i="1"/>
  <c r="CE1550" i="1"/>
  <c r="A1551" i="1"/>
  <c r="C1551" i="1"/>
  <c r="E1551" i="1"/>
  <c r="S1551" i="1"/>
  <c r="T1551" i="1"/>
  <c r="U1551" i="1"/>
  <c r="BB1551" i="1"/>
  <c r="BD1551" i="1"/>
  <c r="CE1551" i="1"/>
  <c r="A1552" i="1"/>
  <c r="C1552" i="1"/>
  <c r="E1552" i="1"/>
  <c r="S1552" i="1"/>
  <c r="T1552" i="1"/>
  <c r="U1552" i="1"/>
  <c r="BB1552" i="1"/>
  <c r="BD1552" i="1"/>
  <c r="CE1552" i="1"/>
  <c r="A1553" i="1"/>
  <c r="C1553" i="1"/>
  <c r="E1553" i="1"/>
  <c r="S1553" i="1"/>
  <c r="T1553" i="1"/>
  <c r="U1553" i="1"/>
  <c r="BB1553" i="1"/>
  <c r="BD1553" i="1"/>
  <c r="CE1553" i="1"/>
  <c r="A1554" i="1"/>
  <c r="C1554" i="1"/>
  <c r="E1554" i="1"/>
  <c r="S1554" i="1"/>
  <c r="T1554" i="1"/>
  <c r="U1554" i="1"/>
  <c r="BB1554" i="1"/>
  <c r="BD1554" i="1"/>
  <c r="CE1554" i="1"/>
  <c r="A1555" i="1"/>
  <c r="C1555" i="1"/>
  <c r="E1555" i="1"/>
  <c r="S1555" i="1"/>
  <c r="T1555" i="1"/>
  <c r="U1555" i="1"/>
  <c r="BB1555" i="1"/>
  <c r="BD1555" i="1"/>
  <c r="CE1555" i="1"/>
  <c r="A1556" i="1"/>
  <c r="C1556" i="1"/>
  <c r="E1556" i="1"/>
  <c r="S1556" i="1"/>
  <c r="T1556" i="1"/>
  <c r="U1556" i="1"/>
  <c r="BB1556" i="1"/>
  <c r="BD1556" i="1"/>
  <c r="CE1556" i="1"/>
  <c r="A1557" i="1"/>
  <c r="C1557" i="1"/>
  <c r="E1557" i="1"/>
  <c r="S1557" i="1"/>
  <c r="T1557" i="1"/>
  <c r="U1557" i="1"/>
  <c r="BB1557" i="1"/>
  <c r="BD1557" i="1"/>
  <c r="CE1557" i="1"/>
  <c r="A1558" i="1"/>
  <c r="C1558" i="1"/>
  <c r="E1558" i="1"/>
  <c r="S1558" i="1"/>
  <c r="T1558" i="1"/>
  <c r="U1558" i="1"/>
  <c r="BB1558" i="1"/>
  <c r="BD1558" i="1"/>
  <c r="CE1558" i="1"/>
  <c r="A1559" i="1"/>
  <c r="C1559" i="1"/>
  <c r="E1559" i="1"/>
  <c r="S1559" i="1"/>
  <c r="T1559" i="1"/>
  <c r="U1559" i="1"/>
  <c r="BB1559" i="1"/>
  <c r="BD1559" i="1"/>
  <c r="CE1559" i="1"/>
  <c r="A1560" i="1"/>
  <c r="C1560" i="1"/>
  <c r="E1560" i="1"/>
  <c r="S1560" i="1"/>
  <c r="T1560" i="1"/>
  <c r="U1560" i="1"/>
  <c r="BB1560" i="1"/>
  <c r="BD1560" i="1"/>
  <c r="CE1560" i="1"/>
  <c r="A1561" i="1"/>
  <c r="C1561" i="1"/>
  <c r="E1561" i="1"/>
  <c r="S1561" i="1"/>
  <c r="T1561" i="1"/>
  <c r="U1561" i="1"/>
  <c r="BB1561" i="1"/>
  <c r="BD1561" i="1"/>
  <c r="CE1561" i="1"/>
  <c r="A1562" i="1"/>
  <c r="C1562" i="1"/>
  <c r="E1562" i="1"/>
  <c r="S1562" i="1"/>
  <c r="T1562" i="1"/>
  <c r="U1562" i="1"/>
  <c r="BB1562" i="1"/>
  <c r="BD1562" i="1"/>
  <c r="CE1562" i="1"/>
  <c r="A1563" i="1"/>
  <c r="C1563" i="1"/>
  <c r="E1563" i="1"/>
  <c r="S1563" i="1"/>
  <c r="T1563" i="1"/>
  <c r="U1563" i="1"/>
  <c r="BB1563" i="1"/>
  <c r="BD1563" i="1"/>
  <c r="CE1563" i="1"/>
  <c r="A1564" i="1"/>
  <c r="C1564" i="1"/>
  <c r="E1564" i="1"/>
  <c r="S1564" i="1"/>
  <c r="T1564" i="1"/>
  <c r="U1564" i="1"/>
  <c r="BB1564" i="1"/>
  <c r="BD1564" i="1"/>
  <c r="CE1564" i="1"/>
  <c r="A1565" i="1"/>
  <c r="C1565" i="1"/>
  <c r="E1565" i="1"/>
  <c r="S1565" i="1"/>
  <c r="T1565" i="1"/>
  <c r="U1565" i="1"/>
  <c r="BB1565" i="1"/>
  <c r="BD1565" i="1"/>
  <c r="CE1565" i="1"/>
  <c r="A1566" i="1"/>
  <c r="C1566" i="1"/>
  <c r="E1566" i="1"/>
  <c r="S1566" i="1"/>
  <c r="T1566" i="1"/>
  <c r="U1566" i="1"/>
  <c r="BB1566" i="1"/>
  <c r="BD1566" i="1"/>
  <c r="CE1566" i="1"/>
  <c r="A1567" i="1"/>
  <c r="C1567" i="1"/>
  <c r="E1567" i="1"/>
  <c r="S1567" i="1"/>
  <c r="T1567" i="1"/>
  <c r="U1567" i="1"/>
  <c r="BB1567" i="1"/>
  <c r="BD1567" i="1"/>
  <c r="CE1567" i="1"/>
  <c r="A1568" i="1"/>
  <c r="C1568" i="1"/>
  <c r="E1568" i="1"/>
  <c r="S1568" i="1"/>
  <c r="T1568" i="1"/>
  <c r="U1568" i="1"/>
  <c r="BB1568" i="1"/>
  <c r="BD1568" i="1"/>
  <c r="CE1568" i="1"/>
  <c r="A1569" i="1"/>
  <c r="C1569" i="1"/>
  <c r="E1569" i="1"/>
  <c r="S1569" i="1"/>
  <c r="T1569" i="1"/>
  <c r="U1569" i="1"/>
  <c r="BB1569" i="1"/>
  <c r="BD1569" i="1"/>
  <c r="CE1569" i="1"/>
  <c r="A1570" i="1"/>
  <c r="C1570" i="1"/>
  <c r="E1570" i="1"/>
  <c r="S1570" i="1"/>
  <c r="T1570" i="1"/>
  <c r="U1570" i="1"/>
  <c r="BB1570" i="1"/>
  <c r="BD1570" i="1"/>
  <c r="CE1570" i="1"/>
  <c r="A1571" i="1"/>
  <c r="C1571" i="1"/>
  <c r="E1571" i="1"/>
  <c r="S1571" i="1"/>
  <c r="T1571" i="1"/>
  <c r="U1571" i="1"/>
  <c r="BB1571" i="1"/>
  <c r="BD1571" i="1"/>
  <c r="CE1571" i="1"/>
  <c r="A1572" i="1"/>
  <c r="C1572" i="1"/>
  <c r="E1572" i="1"/>
  <c r="S1572" i="1"/>
  <c r="T1572" i="1"/>
  <c r="U1572" i="1"/>
  <c r="BB1572" i="1"/>
  <c r="BD1572" i="1"/>
  <c r="CE1572" i="1"/>
  <c r="A1573" i="1"/>
  <c r="C1573" i="1"/>
  <c r="E1573" i="1"/>
  <c r="S1573" i="1"/>
  <c r="T1573" i="1"/>
  <c r="U1573" i="1"/>
  <c r="BB1573" i="1"/>
  <c r="BD1573" i="1"/>
  <c r="CE1573" i="1"/>
  <c r="A1574" i="1"/>
  <c r="C1574" i="1"/>
  <c r="E1574" i="1"/>
  <c r="S1574" i="1"/>
  <c r="T1574" i="1"/>
  <c r="U1574" i="1"/>
  <c r="BB1574" i="1"/>
  <c r="BD1574" i="1"/>
  <c r="CE1574" i="1"/>
  <c r="A1575" i="1"/>
  <c r="C1575" i="1"/>
  <c r="E1575" i="1"/>
  <c r="S1575" i="1"/>
  <c r="T1575" i="1"/>
  <c r="U1575" i="1"/>
  <c r="BB1575" i="1"/>
  <c r="BD1575" i="1"/>
  <c r="CE1575" i="1"/>
  <c r="A1576" i="1"/>
  <c r="C1576" i="1"/>
  <c r="E1576" i="1"/>
  <c r="S1576" i="1"/>
  <c r="T1576" i="1"/>
  <c r="U1576" i="1"/>
  <c r="BB1576" i="1"/>
  <c r="BD1576" i="1"/>
  <c r="CE1576" i="1"/>
  <c r="A1577" i="1"/>
  <c r="C1577" i="1"/>
  <c r="E1577" i="1"/>
  <c r="S1577" i="1"/>
  <c r="T1577" i="1"/>
  <c r="U1577" i="1"/>
  <c r="BB1577" i="1"/>
  <c r="BD1577" i="1"/>
  <c r="CE1577" i="1"/>
  <c r="A1578" i="1"/>
  <c r="C1578" i="1"/>
  <c r="E1578" i="1"/>
  <c r="S1578" i="1"/>
  <c r="T1578" i="1"/>
  <c r="U1578" i="1"/>
  <c r="BB1578" i="1"/>
  <c r="BD1578" i="1"/>
  <c r="CE1578" i="1"/>
  <c r="A1579" i="1"/>
  <c r="C1579" i="1"/>
  <c r="E1579" i="1"/>
  <c r="S1579" i="1"/>
  <c r="T1579" i="1"/>
  <c r="U1579" i="1"/>
  <c r="BB1579" i="1"/>
  <c r="BD1579" i="1"/>
  <c r="CE1579" i="1"/>
  <c r="A1580" i="1"/>
  <c r="C1580" i="1"/>
  <c r="E1580" i="1"/>
  <c r="S1580" i="1"/>
  <c r="T1580" i="1"/>
  <c r="U1580" i="1"/>
  <c r="BB1580" i="1"/>
  <c r="BD1580" i="1"/>
  <c r="CE1580" i="1"/>
  <c r="A1581" i="1"/>
  <c r="C1581" i="1"/>
  <c r="E1581" i="1"/>
  <c r="S1581" i="1"/>
  <c r="T1581" i="1"/>
  <c r="U1581" i="1"/>
  <c r="BB1581" i="1"/>
  <c r="BD1581" i="1"/>
  <c r="CE1581" i="1"/>
  <c r="A1582" i="1"/>
  <c r="C1582" i="1"/>
  <c r="E1582" i="1"/>
  <c r="S1582" i="1"/>
  <c r="T1582" i="1"/>
  <c r="U1582" i="1"/>
  <c r="BB1582" i="1"/>
  <c r="BD1582" i="1"/>
  <c r="CE1582" i="1"/>
  <c r="A1583" i="1"/>
  <c r="C1583" i="1"/>
  <c r="E1583" i="1"/>
  <c r="S1583" i="1"/>
  <c r="T1583" i="1"/>
  <c r="U1583" i="1"/>
  <c r="BB1583" i="1"/>
  <c r="BD1583" i="1"/>
  <c r="CE1583" i="1"/>
  <c r="A1584" i="1"/>
  <c r="C1584" i="1"/>
  <c r="E1584" i="1"/>
  <c r="S1584" i="1"/>
  <c r="T1584" i="1"/>
  <c r="U1584" i="1"/>
  <c r="BB1584" i="1"/>
  <c r="BD1584" i="1"/>
  <c r="CE1584" i="1"/>
  <c r="A1585" i="1"/>
  <c r="C1585" i="1"/>
  <c r="E1585" i="1"/>
  <c r="S1585" i="1"/>
  <c r="T1585" i="1"/>
  <c r="U1585" i="1"/>
  <c r="BB1585" i="1"/>
  <c r="BD1585" i="1"/>
  <c r="CE1585" i="1"/>
  <c r="A1586" i="1"/>
  <c r="C1586" i="1"/>
  <c r="E1586" i="1"/>
  <c r="S1586" i="1"/>
  <c r="T1586" i="1"/>
  <c r="U1586" i="1"/>
  <c r="BB1586" i="1"/>
  <c r="BD1586" i="1"/>
  <c r="CE1586" i="1"/>
  <c r="A1587" i="1"/>
  <c r="C1587" i="1"/>
  <c r="E1587" i="1"/>
  <c r="S1587" i="1"/>
  <c r="T1587" i="1"/>
  <c r="U1587" i="1"/>
  <c r="BB1587" i="1"/>
  <c r="BD1587" i="1"/>
  <c r="CE1587" i="1"/>
  <c r="A1588" i="1"/>
  <c r="C1588" i="1"/>
  <c r="E1588" i="1"/>
  <c r="S1588" i="1"/>
  <c r="T1588" i="1"/>
  <c r="U1588" i="1"/>
  <c r="BB1588" i="1"/>
  <c r="BD1588" i="1"/>
  <c r="CE1588" i="1"/>
  <c r="A1589" i="1"/>
  <c r="C1589" i="1"/>
  <c r="E1589" i="1"/>
  <c r="S1589" i="1"/>
  <c r="T1589" i="1"/>
  <c r="U1589" i="1"/>
  <c r="BB1589" i="1"/>
  <c r="BD1589" i="1"/>
  <c r="CE1589" i="1"/>
  <c r="A1590" i="1"/>
  <c r="C1590" i="1"/>
  <c r="E1590" i="1"/>
  <c r="S1590" i="1"/>
  <c r="T1590" i="1"/>
  <c r="U1590" i="1"/>
  <c r="BB1590" i="1"/>
  <c r="BD1590" i="1"/>
  <c r="CE1590" i="1"/>
  <c r="A1591" i="1"/>
  <c r="C1591" i="1"/>
  <c r="E1591" i="1"/>
  <c r="S1591" i="1"/>
  <c r="T1591" i="1"/>
  <c r="U1591" i="1"/>
  <c r="BB1591" i="1"/>
  <c r="BD1591" i="1"/>
  <c r="CE1591" i="1"/>
  <c r="A1592" i="1"/>
  <c r="C1592" i="1"/>
  <c r="E1592" i="1"/>
  <c r="S1592" i="1"/>
  <c r="T1592" i="1"/>
  <c r="U1592" i="1"/>
  <c r="BB1592" i="1"/>
  <c r="BD1592" i="1"/>
  <c r="CE1592" i="1"/>
  <c r="A1593" i="1"/>
  <c r="C1593" i="1"/>
  <c r="E1593" i="1"/>
  <c r="S1593" i="1"/>
  <c r="T1593" i="1"/>
  <c r="U1593" i="1"/>
  <c r="BB1593" i="1"/>
  <c r="BD1593" i="1"/>
  <c r="CE1593" i="1"/>
  <c r="A1594" i="1"/>
  <c r="C1594" i="1"/>
  <c r="E1594" i="1"/>
  <c r="S1594" i="1"/>
  <c r="T1594" i="1"/>
  <c r="U1594" i="1"/>
  <c r="BB1594" i="1"/>
  <c r="BD1594" i="1"/>
  <c r="CE1594" i="1"/>
  <c r="A1595" i="1"/>
  <c r="C1595" i="1"/>
  <c r="E1595" i="1"/>
  <c r="S1595" i="1"/>
  <c r="T1595" i="1"/>
  <c r="U1595" i="1"/>
  <c r="BB1595" i="1"/>
  <c r="BD1595" i="1"/>
  <c r="CE1595" i="1"/>
  <c r="A1596" i="1"/>
  <c r="C1596" i="1"/>
  <c r="E1596" i="1"/>
  <c r="S1596" i="1"/>
  <c r="T1596" i="1"/>
  <c r="U1596" i="1"/>
  <c r="BB1596" i="1"/>
  <c r="BD1596" i="1"/>
  <c r="CE1596" i="1"/>
  <c r="A1597" i="1"/>
  <c r="C1597" i="1"/>
  <c r="E1597" i="1"/>
  <c r="S1597" i="1"/>
  <c r="T1597" i="1"/>
  <c r="U1597" i="1"/>
  <c r="BB1597" i="1"/>
  <c r="BD1597" i="1"/>
  <c r="CE1597" i="1"/>
  <c r="A1598" i="1"/>
  <c r="C1598" i="1"/>
  <c r="E1598" i="1"/>
  <c r="S1598" i="1"/>
  <c r="T1598" i="1"/>
  <c r="U1598" i="1"/>
  <c r="BB1598" i="1"/>
  <c r="BD1598" i="1"/>
  <c r="CE1598" i="1"/>
  <c r="A1599" i="1"/>
  <c r="C1599" i="1"/>
  <c r="E1599" i="1"/>
  <c r="S1599" i="1"/>
  <c r="T1599" i="1"/>
  <c r="U1599" i="1"/>
  <c r="BB1599" i="1"/>
  <c r="BD1599" i="1"/>
  <c r="CE1599" i="1"/>
  <c r="A1600" i="1"/>
  <c r="C1600" i="1"/>
  <c r="E1600" i="1"/>
  <c r="S1600" i="1"/>
  <c r="T1600" i="1"/>
  <c r="U1600" i="1"/>
  <c r="BB1600" i="1"/>
  <c r="BD1600" i="1"/>
  <c r="CE1600" i="1"/>
  <c r="A1601" i="1"/>
  <c r="C1601" i="1"/>
  <c r="E1601" i="1"/>
  <c r="S1601" i="1"/>
  <c r="T1601" i="1"/>
  <c r="U1601" i="1"/>
  <c r="BB1601" i="1"/>
  <c r="BD1601" i="1"/>
  <c r="CE1601" i="1"/>
  <c r="A1602" i="1"/>
  <c r="C1602" i="1"/>
  <c r="E1602" i="1"/>
  <c r="S1602" i="1"/>
  <c r="T1602" i="1"/>
  <c r="U1602" i="1"/>
  <c r="BB1602" i="1"/>
  <c r="BD1602" i="1"/>
  <c r="CE1602" i="1"/>
  <c r="A1603" i="1"/>
  <c r="C1603" i="1"/>
  <c r="E1603" i="1"/>
  <c r="S1603" i="1"/>
  <c r="T1603" i="1"/>
  <c r="U1603" i="1"/>
  <c r="BB1603" i="1"/>
  <c r="BD1603" i="1"/>
  <c r="CE1603" i="1"/>
  <c r="A1604" i="1"/>
  <c r="C1604" i="1"/>
  <c r="E1604" i="1"/>
  <c r="S1604" i="1"/>
  <c r="T1604" i="1"/>
  <c r="U1604" i="1"/>
  <c r="BB1604" i="1"/>
  <c r="BD1604" i="1"/>
  <c r="CE1604" i="1"/>
  <c r="A1605" i="1"/>
  <c r="C1605" i="1"/>
  <c r="E1605" i="1"/>
  <c r="S1605" i="1"/>
  <c r="T1605" i="1"/>
  <c r="U1605" i="1"/>
  <c r="BB1605" i="1"/>
  <c r="BD1605" i="1"/>
  <c r="CE1605" i="1"/>
  <c r="A1606" i="1"/>
  <c r="C1606" i="1"/>
  <c r="E1606" i="1"/>
  <c r="S1606" i="1"/>
  <c r="T1606" i="1"/>
  <c r="U1606" i="1"/>
  <c r="BB1606" i="1"/>
  <c r="BD1606" i="1"/>
  <c r="CE1606" i="1"/>
  <c r="A1607" i="1"/>
  <c r="C1607" i="1"/>
  <c r="E1607" i="1"/>
  <c r="S1607" i="1"/>
  <c r="T1607" i="1"/>
  <c r="U1607" i="1"/>
  <c r="BB1607" i="1"/>
  <c r="BD1607" i="1"/>
  <c r="CE1607" i="1"/>
  <c r="A1608" i="1"/>
  <c r="C1608" i="1"/>
  <c r="E1608" i="1"/>
  <c r="S1608" i="1"/>
  <c r="T1608" i="1"/>
  <c r="U1608" i="1"/>
  <c r="BB1608" i="1"/>
  <c r="BD1608" i="1"/>
  <c r="CE1608" i="1"/>
  <c r="A1609" i="1"/>
  <c r="C1609" i="1"/>
  <c r="E1609" i="1"/>
  <c r="S1609" i="1"/>
  <c r="T1609" i="1"/>
  <c r="U1609" i="1"/>
  <c r="BB1609" i="1"/>
  <c r="BD1609" i="1"/>
  <c r="CE1609" i="1"/>
  <c r="A1610" i="1"/>
  <c r="C1610" i="1"/>
  <c r="E1610" i="1"/>
  <c r="S1610" i="1"/>
  <c r="T1610" i="1"/>
  <c r="U1610" i="1"/>
  <c r="BB1610" i="1"/>
  <c r="BD1610" i="1"/>
  <c r="CE1610" i="1"/>
  <c r="A1611" i="1"/>
  <c r="C1611" i="1"/>
  <c r="E1611" i="1"/>
  <c r="S1611" i="1"/>
  <c r="T1611" i="1"/>
  <c r="U1611" i="1"/>
  <c r="BB1611" i="1"/>
  <c r="BD1611" i="1"/>
  <c r="CE1611" i="1"/>
  <c r="A1612" i="1"/>
  <c r="C1612" i="1"/>
  <c r="E1612" i="1"/>
  <c r="S1612" i="1"/>
  <c r="T1612" i="1"/>
  <c r="U1612" i="1"/>
  <c r="BB1612" i="1"/>
  <c r="BD1612" i="1"/>
  <c r="CE1612" i="1"/>
  <c r="A1613" i="1"/>
  <c r="C1613" i="1"/>
  <c r="E1613" i="1"/>
  <c r="S1613" i="1"/>
  <c r="T1613" i="1"/>
  <c r="U1613" i="1"/>
  <c r="BB1613" i="1"/>
  <c r="BD1613" i="1"/>
  <c r="CE1613" i="1"/>
  <c r="A1614" i="1"/>
  <c r="C1614" i="1"/>
  <c r="E1614" i="1"/>
  <c r="S1614" i="1"/>
  <c r="T1614" i="1"/>
  <c r="U1614" i="1"/>
  <c r="BB1614" i="1"/>
  <c r="BD1614" i="1"/>
  <c r="CE1614" i="1"/>
  <c r="A1615" i="1"/>
  <c r="C1615" i="1"/>
  <c r="E1615" i="1"/>
  <c r="S1615" i="1"/>
  <c r="T1615" i="1"/>
  <c r="U1615" i="1"/>
  <c r="BB1615" i="1"/>
  <c r="BD1615" i="1"/>
  <c r="CE1615" i="1"/>
  <c r="A1616" i="1"/>
  <c r="C1616" i="1"/>
  <c r="E1616" i="1"/>
  <c r="S1616" i="1"/>
  <c r="T1616" i="1"/>
  <c r="U1616" i="1"/>
  <c r="BB1616" i="1"/>
  <c r="BD1616" i="1"/>
  <c r="CE1616" i="1"/>
  <c r="A1617" i="1"/>
  <c r="C1617" i="1"/>
  <c r="E1617" i="1"/>
  <c r="S1617" i="1"/>
  <c r="T1617" i="1"/>
  <c r="U1617" i="1"/>
  <c r="BB1617" i="1"/>
  <c r="BD1617" i="1"/>
  <c r="CE1617" i="1"/>
  <c r="A1618" i="1"/>
  <c r="C1618" i="1"/>
  <c r="E1618" i="1"/>
  <c r="S1618" i="1"/>
  <c r="T1618" i="1"/>
  <c r="U1618" i="1"/>
  <c r="BB1618" i="1"/>
  <c r="BD1618" i="1"/>
  <c r="CE1618" i="1"/>
  <c r="A1619" i="1"/>
  <c r="C1619" i="1"/>
  <c r="E1619" i="1"/>
  <c r="S1619" i="1"/>
  <c r="T1619" i="1"/>
  <c r="U1619" i="1"/>
  <c r="BB1619" i="1"/>
  <c r="BD1619" i="1"/>
  <c r="CE1619" i="1"/>
  <c r="A1620" i="1"/>
  <c r="C1620" i="1"/>
  <c r="E1620" i="1"/>
  <c r="S1620" i="1"/>
  <c r="T1620" i="1"/>
  <c r="U1620" i="1"/>
  <c r="BB1620" i="1"/>
  <c r="BD1620" i="1"/>
  <c r="CE1620" i="1"/>
  <c r="A1621" i="1"/>
  <c r="C1621" i="1"/>
  <c r="E1621" i="1"/>
  <c r="S1621" i="1"/>
  <c r="T1621" i="1"/>
  <c r="U1621" i="1"/>
  <c r="BB1621" i="1"/>
  <c r="BD1621" i="1"/>
  <c r="CE1621" i="1"/>
  <c r="A1622" i="1"/>
  <c r="C1622" i="1"/>
  <c r="E1622" i="1"/>
  <c r="S1622" i="1"/>
  <c r="T1622" i="1"/>
  <c r="U1622" i="1"/>
  <c r="BB1622" i="1"/>
  <c r="BD1622" i="1"/>
  <c r="CE1622" i="1"/>
  <c r="A1623" i="1"/>
  <c r="C1623" i="1"/>
  <c r="E1623" i="1"/>
  <c r="S1623" i="1"/>
  <c r="T1623" i="1"/>
  <c r="U1623" i="1"/>
  <c r="BB1623" i="1"/>
  <c r="BD1623" i="1"/>
  <c r="CE1623" i="1"/>
  <c r="A1624" i="1"/>
  <c r="C1624" i="1"/>
  <c r="E1624" i="1"/>
  <c r="S1624" i="1"/>
  <c r="T1624" i="1"/>
  <c r="U1624" i="1"/>
  <c r="BB1624" i="1"/>
  <c r="BD1624" i="1"/>
  <c r="CE1624" i="1"/>
  <c r="A1625" i="1"/>
  <c r="C1625" i="1"/>
  <c r="E1625" i="1"/>
  <c r="S1625" i="1"/>
  <c r="T1625" i="1"/>
  <c r="U1625" i="1"/>
  <c r="BB1625" i="1"/>
  <c r="BD1625" i="1"/>
  <c r="CE1625" i="1"/>
  <c r="A1626" i="1"/>
  <c r="C1626" i="1"/>
  <c r="E1626" i="1"/>
  <c r="S1626" i="1"/>
  <c r="T1626" i="1"/>
  <c r="U1626" i="1"/>
  <c r="BB1626" i="1"/>
  <c r="BD1626" i="1"/>
  <c r="CE1626" i="1"/>
  <c r="A1627" i="1"/>
  <c r="C1627" i="1"/>
  <c r="E1627" i="1"/>
  <c r="S1627" i="1"/>
  <c r="T1627" i="1"/>
  <c r="U1627" i="1"/>
  <c r="BB1627" i="1"/>
  <c r="BD1627" i="1"/>
  <c r="CE1627" i="1"/>
  <c r="A1628" i="1"/>
  <c r="C1628" i="1"/>
  <c r="E1628" i="1"/>
  <c r="S1628" i="1"/>
  <c r="T1628" i="1"/>
  <c r="U1628" i="1"/>
  <c r="BB1628" i="1"/>
  <c r="BD1628" i="1"/>
  <c r="CE1628" i="1"/>
  <c r="A1629" i="1"/>
  <c r="C1629" i="1"/>
  <c r="E1629" i="1"/>
  <c r="S1629" i="1"/>
  <c r="T1629" i="1"/>
  <c r="U1629" i="1"/>
  <c r="BB1629" i="1"/>
  <c r="BD1629" i="1"/>
  <c r="CE1629" i="1"/>
  <c r="A1630" i="1"/>
  <c r="C1630" i="1"/>
  <c r="E1630" i="1"/>
  <c r="S1630" i="1"/>
  <c r="T1630" i="1"/>
  <c r="U1630" i="1"/>
  <c r="BB1630" i="1"/>
  <c r="BD1630" i="1"/>
  <c r="CE1630" i="1"/>
  <c r="A1631" i="1"/>
  <c r="C1631" i="1"/>
  <c r="E1631" i="1"/>
  <c r="S1631" i="1"/>
  <c r="T1631" i="1"/>
  <c r="U1631" i="1"/>
  <c r="BB1631" i="1"/>
  <c r="BD1631" i="1"/>
  <c r="CE1631" i="1"/>
  <c r="A1632" i="1"/>
  <c r="C1632" i="1"/>
  <c r="E1632" i="1"/>
  <c r="S1632" i="1"/>
  <c r="T1632" i="1"/>
  <c r="U1632" i="1"/>
  <c r="BB1632" i="1"/>
  <c r="BD1632" i="1"/>
  <c r="CE1632" i="1"/>
  <c r="A1633" i="1"/>
  <c r="C1633" i="1"/>
  <c r="E1633" i="1"/>
  <c r="S1633" i="1"/>
  <c r="T1633" i="1"/>
  <c r="U1633" i="1"/>
  <c r="BB1633" i="1"/>
  <c r="BD1633" i="1"/>
  <c r="CE1633" i="1"/>
  <c r="A1634" i="1"/>
  <c r="C1634" i="1"/>
  <c r="E1634" i="1"/>
  <c r="S1634" i="1"/>
  <c r="T1634" i="1"/>
  <c r="U1634" i="1"/>
  <c r="BB1634" i="1"/>
  <c r="BD1634" i="1"/>
  <c r="CE1634" i="1"/>
  <c r="A1635" i="1"/>
  <c r="C1635" i="1"/>
  <c r="E1635" i="1"/>
  <c r="S1635" i="1"/>
  <c r="T1635" i="1"/>
  <c r="U1635" i="1"/>
  <c r="BB1635" i="1"/>
  <c r="BD1635" i="1"/>
  <c r="CE1635" i="1"/>
  <c r="A1636" i="1"/>
  <c r="C1636" i="1"/>
  <c r="E1636" i="1"/>
  <c r="S1636" i="1"/>
  <c r="T1636" i="1"/>
  <c r="U1636" i="1"/>
  <c r="BB1636" i="1"/>
  <c r="BD1636" i="1"/>
  <c r="CE1636" i="1"/>
  <c r="A1637" i="1"/>
  <c r="C1637" i="1"/>
  <c r="E1637" i="1"/>
  <c r="S1637" i="1"/>
  <c r="T1637" i="1"/>
  <c r="U1637" i="1"/>
  <c r="BB1637" i="1"/>
  <c r="BD1637" i="1"/>
  <c r="CE1637" i="1"/>
  <c r="A1638" i="1"/>
  <c r="C1638" i="1"/>
  <c r="E1638" i="1"/>
  <c r="S1638" i="1"/>
  <c r="T1638" i="1"/>
  <c r="U1638" i="1"/>
  <c r="BB1638" i="1"/>
  <c r="BD1638" i="1"/>
  <c r="CE1638" i="1"/>
  <c r="A1639" i="1"/>
  <c r="C1639" i="1"/>
  <c r="E1639" i="1"/>
  <c r="S1639" i="1"/>
  <c r="T1639" i="1"/>
  <c r="U1639" i="1"/>
  <c r="BB1639" i="1"/>
  <c r="BD1639" i="1"/>
  <c r="CE1639" i="1"/>
  <c r="A1640" i="1"/>
  <c r="C1640" i="1"/>
  <c r="E1640" i="1"/>
  <c r="S1640" i="1"/>
  <c r="T1640" i="1"/>
  <c r="U1640" i="1"/>
  <c r="BB1640" i="1"/>
  <c r="BD1640" i="1"/>
  <c r="CE1640" i="1"/>
  <c r="A1641" i="1"/>
  <c r="C1641" i="1"/>
  <c r="E1641" i="1"/>
  <c r="S1641" i="1"/>
  <c r="T1641" i="1"/>
  <c r="U1641" i="1"/>
  <c r="BB1641" i="1"/>
  <c r="BD1641" i="1"/>
  <c r="CE1641" i="1"/>
  <c r="A1642" i="1"/>
  <c r="C1642" i="1"/>
  <c r="E1642" i="1"/>
  <c r="S1642" i="1"/>
  <c r="T1642" i="1"/>
  <c r="U1642" i="1"/>
  <c r="BB1642" i="1"/>
  <c r="BD1642" i="1"/>
  <c r="CE1642" i="1"/>
  <c r="A1643" i="1"/>
  <c r="C1643" i="1"/>
  <c r="E1643" i="1"/>
  <c r="S1643" i="1"/>
  <c r="T1643" i="1"/>
  <c r="U1643" i="1"/>
  <c r="BB1643" i="1"/>
  <c r="BD1643" i="1"/>
  <c r="CE1643" i="1"/>
  <c r="A1644" i="1"/>
  <c r="C1644" i="1"/>
  <c r="E1644" i="1"/>
  <c r="S1644" i="1"/>
  <c r="T1644" i="1"/>
  <c r="U1644" i="1"/>
  <c r="BB1644" i="1"/>
  <c r="BD1644" i="1"/>
  <c r="CE1644" i="1"/>
  <c r="A1645" i="1"/>
  <c r="C1645" i="1"/>
  <c r="E1645" i="1"/>
  <c r="S1645" i="1"/>
  <c r="T1645" i="1"/>
  <c r="U1645" i="1"/>
  <c r="BB1645" i="1"/>
  <c r="BD1645" i="1"/>
  <c r="CE1645" i="1"/>
  <c r="A1646" i="1"/>
  <c r="C1646" i="1"/>
  <c r="E1646" i="1"/>
  <c r="S1646" i="1"/>
  <c r="T1646" i="1"/>
  <c r="U1646" i="1"/>
  <c r="BB1646" i="1"/>
  <c r="BD1646" i="1"/>
  <c r="CE1646" i="1"/>
  <c r="A1647" i="1"/>
  <c r="C1647" i="1"/>
  <c r="E1647" i="1"/>
  <c r="S1647" i="1"/>
  <c r="T1647" i="1"/>
  <c r="U1647" i="1"/>
  <c r="BB1647" i="1"/>
  <c r="BD1647" i="1"/>
  <c r="CE1647" i="1"/>
  <c r="A1648" i="1"/>
  <c r="C1648" i="1"/>
  <c r="E1648" i="1"/>
  <c r="S1648" i="1"/>
  <c r="T1648" i="1"/>
  <c r="U1648" i="1"/>
  <c r="BB1648" i="1"/>
  <c r="BD1648" i="1"/>
  <c r="CE1648" i="1"/>
  <c r="A1649" i="1"/>
  <c r="C1649" i="1"/>
  <c r="E1649" i="1"/>
  <c r="S1649" i="1"/>
  <c r="T1649" i="1"/>
  <c r="U1649" i="1"/>
  <c r="BB1649" i="1"/>
  <c r="BD1649" i="1"/>
  <c r="CE1649" i="1"/>
  <c r="A1650" i="1"/>
  <c r="C1650" i="1"/>
  <c r="E1650" i="1"/>
  <c r="S1650" i="1"/>
  <c r="T1650" i="1"/>
  <c r="U1650" i="1"/>
  <c r="BB1650" i="1"/>
  <c r="BD1650" i="1"/>
  <c r="CE1650" i="1"/>
  <c r="A1651" i="1"/>
  <c r="C1651" i="1"/>
  <c r="E1651" i="1"/>
  <c r="S1651" i="1"/>
  <c r="T1651" i="1"/>
  <c r="U1651" i="1"/>
  <c r="BB1651" i="1"/>
  <c r="BD1651" i="1"/>
  <c r="CE1651" i="1"/>
  <c r="A1652" i="1"/>
  <c r="C1652" i="1"/>
  <c r="E1652" i="1"/>
  <c r="S1652" i="1"/>
  <c r="T1652" i="1"/>
  <c r="U1652" i="1"/>
  <c r="BB1652" i="1"/>
  <c r="BD1652" i="1"/>
  <c r="CE1652" i="1"/>
  <c r="A1653" i="1"/>
  <c r="C1653" i="1"/>
  <c r="E1653" i="1"/>
  <c r="S1653" i="1"/>
  <c r="T1653" i="1"/>
  <c r="U1653" i="1"/>
  <c r="BB1653" i="1"/>
  <c r="BD1653" i="1"/>
  <c r="CE1653" i="1"/>
  <c r="A1654" i="1"/>
  <c r="C1654" i="1"/>
  <c r="E1654" i="1"/>
  <c r="S1654" i="1"/>
  <c r="T1654" i="1"/>
  <c r="U1654" i="1"/>
  <c r="BB1654" i="1"/>
  <c r="BD1654" i="1"/>
  <c r="CE1654" i="1"/>
  <c r="A1655" i="1"/>
  <c r="C1655" i="1"/>
  <c r="E1655" i="1"/>
  <c r="S1655" i="1"/>
  <c r="T1655" i="1"/>
  <c r="U1655" i="1"/>
  <c r="BB1655" i="1"/>
  <c r="BD1655" i="1"/>
  <c r="CE1655" i="1"/>
  <c r="A1656" i="1"/>
  <c r="C1656" i="1"/>
  <c r="E1656" i="1"/>
  <c r="S1656" i="1"/>
  <c r="T1656" i="1"/>
  <c r="U1656" i="1"/>
  <c r="BB1656" i="1"/>
  <c r="BD1656" i="1"/>
  <c r="CE1656" i="1"/>
  <c r="A1657" i="1"/>
  <c r="C1657" i="1"/>
  <c r="E1657" i="1"/>
  <c r="S1657" i="1"/>
  <c r="T1657" i="1"/>
  <c r="U1657" i="1"/>
  <c r="BB1657" i="1"/>
  <c r="BD1657" i="1"/>
  <c r="CE1657" i="1"/>
  <c r="A1658" i="1"/>
  <c r="C1658" i="1"/>
  <c r="E1658" i="1"/>
  <c r="S1658" i="1"/>
  <c r="T1658" i="1"/>
  <c r="U1658" i="1"/>
  <c r="BB1658" i="1"/>
  <c r="BD1658" i="1"/>
  <c r="CE1658" i="1"/>
  <c r="A1659" i="1"/>
  <c r="C1659" i="1"/>
  <c r="E1659" i="1"/>
  <c r="S1659" i="1"/>
  <c r="T1659" i="1"/>
  <c r="U1659" i="1"/>
  <c r="BB1659" i="1"/>
  <c r="BD1659" i="1"/>
  <c r="CE1659" i="1"/>
  <c r="A1660" i="1"/>
  <c r="C1660" i="1"/>
  <c r="E1660" i="1"/>
  <c r="S1660" i="1"/>
  <c r="T1660" i="1"/>
  <c r="U1660" i="1"/>
  <c r="BB1660" i="1"/>
  <c r="BD1660" i="1"/>
  <c r="CE1660" i="1"/>
  <c r="A1661" i="1"/>
  <c r="C1661" i="1"/>
  <c r="E1661" i="1"/>
  <c r="S1661" i="1"/>
  <c r="T1661" i="1"/>
  <c r="U1661" i="1"/>
  <c r="BB1661" i="1"/>
  <c r="BD1661" i="1"/>
  <c r="CE1661" i="1"/>
  <c r="A1662" i="1"/>
  <c r="C1662" i="1"/>
  <c r="E1662" i="1"/>
  <c r="S1662" i="1"/>
  <c r="T1662" i="1"/>
  <c r="U1662" i="1"/>
  <c r="BB1662" i="1"/>
  <c r="BD1662" i="1"/>
  <c r="CE1662" i="1"/>
  <c r="A1663" i="1"/>
  <c r="C1663" i="1"/>
  <c r="E1663" i="1"/>
  <c r="S1663" i="1"/>
  <c r="T1663" i="1"/>
  <c r="U1663" i="1"/>
  <c r="BB1663" i="1"/>
  <c r="BD1663" i="1"/>
  <c r="CE1663" i="1"/>
  <c r="A1664" i="1"/>
  <c r="C1664" i="1"/>
  <c r="E1664" i="1"/>
  <c r="S1664" i="1"/>
  <c r="T1664" i="1"/>
  <c r="U1664" i="1"/>
  <c r="BB1664" i="1"/>
  <c r="BD1664" i="1"/>
  <c r="CE1664" i="1"/>
  <c r="A1665" i="1"/>
  <c r="C1665" i="1"/>
  <c r="E1665" i="1"/>
  <c r="S1665" i="1"/>
  <c r="T1665" i="1"/>
  <c r="U1665" i="1"/>
  <c r="BB1665" i="1"/>
  <c r="BD1665" i="1"/>
  <c r="CE1665" i="1"/>
  <c r="A1666" i="1"/>
  <c r="C1666" i="1"/>
  <c r="E1666" i="1"/>
  <c r="S1666" i="1"/>
  <c r="T1666" i="1"/>
  <c r="U1666" i="1"/>
  <c r="BB1666" i="1"/>
  <c r="BD1666" i="1"/>
  <c r="CE1666" i="1"/>
  <c r="A1667" i="1"/>
  <c r="C1667" i="1"/>
  <c r="E1667" i="1"/>
  <c r="S1667" i="1"/>
  <c r="T1667" i="1"/>
  <c r="U1667" i="1"/>
  <c r="BB1667" i="1"/>
  <c r="BD1667" i="1"/>
  <c r="CE1667" i="1"/>
  <c r="A1668" i="1"/>
  <c r="C1668" i="1"/>
  <c r="E1668" i="1"/>
  <c r="S1668" i="1"/>
  <c r="T1668" i="1"/>
  <c r="U1668" i="1"/>
  <c r="BB1668" i="1"/>
  <c r="BD1668" i="1"/>
  <c r="CE1668" i="1"/>
  <c r="A1669" i="1"/>
  <c r="C1669" i="1"/>
  <c r="E1669" i="1"/>
  <c r="S1669" i="1"/>
  <c r="T1669" i="1"/>
  <c r="U1669" i="1"/>
  <c r="BB1669" i="1"/>
  <c r="BD1669" i="1"/>
  <c r="CE1669" i="1"/>
  <c r="A1670" i="1"/>
  <c r="C1670" i="1"/>
  <c r="E1670" i="1"/>
  <c r="S1670" i="1"/>
  <c r="T1670" i="1"/>
  <c r="U1670" i="1"/>
  <c r="BB1670" i="1"/>
  <c r="BD1670" i="1"/>
  <c r="CE1670" i="1"/>
  <c r="A1671" i="1"/>
  <c r="C1671" i="1"/>
  <c r="E1671" i="1"/>
  <c r="S1671" i="1"/>
  <c r="T1671" i="1"/>
  <c r="U1671" i="1"/>
  <c r="BB1671" i="1"/>
  <c r="BD1671" i="1"/>
  <c r="CE1671" i="1"/>
  <c r="A1672" i="1"/>
  <c r="C1672" i="1"/>
  <c r="E1672" i="1"/>
  <c r="S1672" i="1"/>
  <c r="T1672" i="1"/>
  <c r="U1672" i="1"/>
  <c r="BB1672" i="1"/>
  <c r="BD1672" i="1"/>
  <c r="CE1672" i="1"/>
  <c r="A1673" i="1"/>
  <c r="C1673" i="1"/>
  <c r="E1673" i="1"/>
  <c r="S1673" i="1"/>
  <c r="T1673" i="1"/>
  <c r="U1673" i="1"/>
  <c r="BB1673" i="1"/>
  <c r="BD1673" i="1"/>
  <c r="CE1673" i="1"/>
  <c r="A1674" i="1"/>
  <c r="C1674" i="1"/>
  <c r="E1674" i="1"/>
  <c r="S1674" i="1"/>
  <c r="T1674" i="1"/>
  <c r="U1674" i="1"/>
  <c r="BB1674" i="1"/>
  <c r="BD1674" i="1"/>
  <c r="CE1674" i="1"/>
  <c r="A1675" i="1"/>
  <c r="C1675" i="1"/>
  <c r="E1675" i="1"/>
  <c r="S1675" i="1"/>
  <c r="T1675" i="1"/>
  <c r="U1675" i="1"/>
  <c r="BB1675" i="1"/>
  <c r="BD1675" i="1"/>
  <c r="CE1675" i="1"/>
  <c r="A1676" i="1"/>
  <c r="C1676" i="1"/>
  <c r="E1676" i="1"/>
  <c r="S1676" i="1"/>
  <c r="T1676" i="1"/>
  <c r="U1676" i="1"/>
  <c r="BB1676" i="1"/>
  <c r="BD1676" i="1"/>
  <c r="CE1676" i="1"/>
  <c r="A1677" i="1"/>
  <c r="C1677" i="1"/>
  <c r="E1677" i="1"/>
  <c r="S1677" i="1"/>
  <c r="T1677" i="1"/>
  <c r="U1677" i="1"/>
  <c r="BB1677" i="1"/>
  <c r="BD1677" i="1"/>
  <c r="CE1677" i="1"/>
  <c r="A1678" i="1"/>
  <c r="C1678" i="1"/>
  <c r="E1678" i="1"/>
  <c r="S1678" i="1"/>
  <c r="T1678" i="1"/>
  <c r="U1678" i="1"/>
  <c r="BB1678" i="1"/>
  <c r="BD1678" i="1"/>
  <c r="CE1678" i="1"/>
  <c r="A1679" i="1"/>
  <c r="C1679" i="1"/>
  <c r="E1679" i="1"/>
  <c r="S1679" i="1"/>
  <c r="T1679" i="1"/>
  <c r="U1679" i="1"/>
  <c r="BB1679" i="1"/>
  <c r="BD1679" i="1"/>
  <c r="CE1679" i="1"/>
  <c r="A1680" i="1"/>
  <c r="C1680" i="1"/>
  <c r="E1680" i="1"/>
  <c r="S1680" i="1"/>
  <c r="T1680" i="1"/>
  <c r="U1680" i="1"/>
  <c r="BB1680" i="1"/>
  <c r="BD1680" i="1"/>
  <c r="CE1680" i="1"/>
  <c r="A1681" i="1"/>
  <c r="C1681" i="1"/>
  <c r="E1681" i="1"/>
  <c r="S1681" i="1"/>
  <c r="T1681" i="1"/>
  <c r="U1681" i="1"/>
  <c r="BB1681" i="1"/>
  <c r="BD1681" i="1"/>
  <c r="CE1681" i="1"/>
  <c r="A1682" i="1"/>
  <c r="C1682" i="1"/>
  <c r="E1682" i="1"/>
  <c r="S1682" i="1"/>
  <c r="T1682" i="1"/>
  <c r="U1682" i="1"/>
  <c r="BB1682" i="1"/>
  <c r="BD1682" i="1"/>
  <c r="CE1682" i="1"/>
  <c r="A1683" i="1"/>
  <c r="C1683" i="1"/>
  <c r="E1683" i="1"/>
  <c r="S1683" i="1"/>
  <c r="T1683" i="1"/>
  <c r="U1683" i="1"/>
  <c r="BB1683" i="1"/>
  <c r="BD1683" i="1"/>
  <c r="CE1683" i="1"/>
  <c r="A1684" i="1"/>
  <c r="C1684" i="1"/>
  <c r="E1684" i="1"/>
  <c r="S1684" i="1"/>
  <c r="T1684" i="1"/>
  <c r="U1684" i="1"/>
  <c r="BB1684" i="1"/>
  <c r="BD1684" i="1"/>
  <c r="CE1684" i="1"/>
  <c r="A1685" i="1"/>
  <c r="C1685" i="1"/>
  <c r="E1685" i="1"/>
  <c r="S1685" i="1"/>
  <c r="T1685" i="1"/>
  <c r="U1685" i="1"/>
  <c r="BB1685" i="1"/>
  <c r="BD1685" i="1"/>
  <c r="CE1685" i="1"/>
  <c r="A1686" i="1"/>
  <c r="C1686" i="1"/>
  <c r="E1686" i="1"/>
  <c r="S1686" i="1"/>
  <c r="T1686" i="1"/>
  <c r="U1686" i="1"/>
  <c r="BB1686" i="1"/>
  <c r="BD1686" i="1"/>
  <c r="CE1686" i="1"/>
  <c r="A1687" i="1"/>
  <c r="C1687" i="1"/>
  <c r="E1687" i="1"/>
  <c r="S1687" i="1"/>
  <c r="T1687" i="1"/>
  <c r="U1687" i="1"/>
  <c r="BB1687" i="1"/>
  <c r="BD1687" i="1"/>
  <c r="CE1687" i="1"/>
  <c r="A1688" i="1"/>
  <c r="C1688" i="1"/>
  <c r="E1688" i="1"/>
  <c r="S1688" i="1"/>
  <c r="T1688" i="1"/>
  <c r="U1688" i="1"/>
  <c r="BB1688" i="1"/>
  <c r="BD1688" i="1"/>
  <c r="CE1688" i="1"/>
  <c r="A1689" i="1"/>
  <c r="C1689" i="1"/>
  <c r="E1689" i="1"/>
  <c r="S1689" i="1"/>
  <c r="T1689" i="1"/>
  <c r="U1689" i="1"/>
  <c r="BB1689" i="1"/>
  <c r="BD1689" i="1"/>
  <c r="CE1689" i="1"/>
  <c r="A1690" i="1"/>
  <c r="C1690" i="1"/>
  <c r="E1690" i="1"/>
  <c r="S1690" i="1"/>
  <c r="T1690" i="1"/>
  <c r="U1690" i="1"/>
  <c r="BB1690" i="1"/>
  <c r="BD1690" i="1"/>
  <c r="CE1690" i="1"/>
  <c r="A1691" i="1"/>
  <c r="C1691" i="1"/>
  <c r="E1691" i="1"/>
  <c r="S1691" i="1"/>
  <c r="T1691" i="1"/>
  <c r="U1691" i="1"/>
  <c r="BB1691" i="1"/>
  <c r="BD1691" i="1"/>
  <c r="CE1691" i="1"/>
  <c r="A1692" i="1"/>
  <c r="C1692" i="1"/>
  <c r="E1692" i="1"/>
  <c r="S1692" i="1"/>
  <c r="T1692" i="1"/>
  <c r="U1692" i="1"/>
  <c r="BB1692" i="1"/>
  <c r="BD1692" i="1"/>
  <c r="CE1692" i="1"/>
  <c r="A1693" i="1"/>
  <c r="C1693" i="1"/>
  <c r="E1693" i="1"/>
  <c r="S1693" i="1"/>
  <c r="T1693" i="1"/>
  <c r="U1693" i="1"/>
  <c r="BB1693" i="1"/>
  <c r="BD1693" i="1"/>
  <c r="CE1693" i="1"/>
  <c r="A1694" i="1"/>
  <c r="C1694" i="1"/>
  <c r="E1694" i="1"/>
  <c r="S1694" i="1"/>
  <c r="T1694" i="1"/>
  <c r="U1694" i="1"/>
  <c r="BB1694" i="1"/>
  <c r="BD1694" i="1"/>
  <c r="CE1694" i="1"/>
  <c r="A1695" i="1"/>
  <c r="C1695" i="1"/>
  <c r="E1695" i="1"/>
  <c r="S1695" i="1"/>
  <c r="T1695" i="1"/>
  <c r="U1695" i="1"/>
  <c r="BB1695" i="1"/>
  <c r="BD1695" i="1"/>
  <c r="CE1695" i="1"/>
  <c r="A1696" i="1"/>
  <c r="C1696" i="1"/>
  <c r="E1696" i="1"/>
  <c r="S1696" i="1"/>
  <c r="T1696" i="1"/>
  <c r="U1696" i="1"/>
  <c r="BB1696" i="1"/>
  <c r="BD1696" i="1"/>
  <c r="CE1696" i="1"/>
  <c r="A1697" i="1"/>
  <c r="C1697" i="1"/>
  <c r="E1697" i="1"/>
  <c r="S1697" i="1"/>
  <c r="T1697" i="1"/>
  <c r="U1697" i="1"/>
  <c r="BB1697" i="1"/>
  <c r="BD1697" i="1"/>
  <c r="CE1697" i="1"/>
  <c r="A1698" i="1"/>
  <c r="C1698" i="1"/>
  <c r="E1698" i="1"/>
  <c r="S1698" i="1"/>
  <c r="T1698" i="1"/>
  <c r="U1698" i="1"/>
  <c r="BB1698" i="1"/>
  <c r="BD1698" i="1"/>
  <c r="CE1698" i="1"/>
  <c r="A1699" i="1"/>
  <c r="C1699" i="1"/>
  <c r="E1699" i="1"/>
  <c r="S1699" i="1"/>
  <c r="T1699" i="1"/>
  <c r="U1699" i="1"/>
  <c r="BB1699" i="1"/>
  <c r="BD1699" i="1"/>
  <c r="CE1699" i="1"/>
  <c r="A1700" i="1"/>
  <c r="C1700" i="1"/>
  <c r="E1700" i="1"/>
  <c r="S1700" i="1"/>
  <c r="T1700" i="1"/>
  <c r="U1700" i="1"/>
  <c r="BB1700" i="1"/>
  <c r="BD1700" i="1"/>
  <c r="CE1700" i="1"/>
  <c r="A1701" i="1"/>
  <c r="C1701" i="1"/>
  <c r="E1701" i="1"/>
  <c r="S1701" i="1"/>
  <c r="T1701" i="1"/>
  <c r="U1701" i="1"/>
  <c r="BB1701" i="1"/>
  <c r="BD1701" i="1"/>
  <c r="CE1701" i="1"/>
  <c r="A1702" i="1"/>
  <c r="C1702" i="1"/>
  <c r="E1702" i="1"/>
  <c r="S1702" i="1"/>
  <c r="T1702" i="1"/>
  <c r="U1702" i="1"/>
  <c r="BB1702" i="1"/>
  <c r="BD1702" i="1"/>
  <c r="CE1702" i="1"/>
  <c r="A1703" i="1"/>
  <c r="C1703" i="1"/>
  <c r="E1703" i="1"/>
  <c r="S1703" i="1"/>
  <c r="T1703" i="1"/>
  <c r="U1703" i="1"/>
  <c r="BB1703" i="1"/>
  <c r="BD1703" i="1"/>
  <c r="CE1703" i="1"/>
  <c r="A1704" i="1"/>
  <c r="C1704" i="1"/>
  <c r="E1704" i="1"/>
  <c r="S1704" i="1"/>
  <c r="T1704" i="1"/>
  <c r="U1704" i="1"/>
  <c r="BB1704" i="1"/>
  <c r="BD1704" i="1"/>
  <c r="CE1704" i="1"/>
  <c r="A1705" i="1"/>
  <c r="C1705" i="1"/>
  <c r="E1705" i="1"/>
  <c r="S1705" i="1"/>
  <c r="T1705" i="1"/>
  <c r="U1705" i="1"/>
  <c r="BB1705" i="1"/>
  <c r="BD1705" i="1"/>
  <c r="CE1705" i="1"/>
  <c r="A1706" i="1"/>
  <c r="C1706" i="1"/>
  <c r="E1706" i="1"/>
  <c r="S1706" i="1"/>
  <c r="T1706" i="1"/>
  <c r="U1706" i="1"/>
  <c r="BB1706" i="1"/>
  <c r="BD1706" i="1"/>
  <c r="CE1706" i="1"/>
  <c r="A1707" i="1"/>
  <c r="C1707" i="1"/>
  <c r="E1707" i="1"/>
  <c r="S1707" i="1"/>
  <c r="T1707" i="1"/>
  <c r="U1707" i="1"/>
  <c r="BB1707" i="1"/>
  <c r="BD1707" i="1"/>
  <c r="CE1707" i="1"/>
  <c r="A1708" i="1"/>
  <c r="C1708" i="1"/>
  <c r="E1708" i="1"/>
  <c r="S1708" i="1"/>
  <c r="T1708" i="1"/>
  <c r="U1708" i="1"/>
  <c r="BB1708" i="1"/>
  <c r="BD1708" i="1"/>
  <c r="CE1708" i="1"/>
  <c r="A1709" i="1"/>
  <c r="C1709" i="1"/>
  <c r="E1709" i="1"/>
  <c r="S1709" i="1"/>
  <c r="T1709" i="1"/>
  <c r="U1709" i="1"/>
  <c r="BB1709" i="1"/>
  <c r="BD1709" i="1"/>
  <c r="CE1709" i="1"/>
  <c r="A1710" i="1"/>
  <c r="C1710" i="1"/>
  <c r="E1710" i="1"/>
  <c r="S1710" i="1"/>
  <c r="T1710" i="1"/>
  <c r="U1710" i="1"/>
  <c r="BB1710" i="1"/>
  <c r="BD1710" i="1"/>
  <c r="CE1710" i="1"/>
  <c r="A1711" i="1"/>
  <c r="C1711" i="1"/>
  <c r="E1711" i="1"/>
  <c r="S1711" i="1"/>
  <c r="T1711" i="1"/>
  <c r="U1711" i="1"/>
  <c r="BB1711" i="1"/>
  <c r="BD1711" i="1"/>
  <c r="CE1711" i="1"/>
  <c r="A1712" i="1"/>
  <c r="C1712" i="1"/>
  <c r="E1712" i="1"/>
  <c r="S1712" i="1"/>
  <c r="T1712" i="1"/>
  <c r="U1712" i="1"/>
  <c r="BB1712" i="1"/>
  <c r="BD1712" i="1"/>
  <c r="CE1712" i="1"/>
  <c r="A1713" i="1"/>
  <c r="C1713" i="1"/>
  <c r="E1713" i="1"/>
  <c r="S1713" i="1"/>
  <c r="T1713" i="1"/>
  <c r="U1713" i="1"/>
  <c r="BB1713" i="1"/>
  <c r="BD1713" i="1"/>
  <c r="CE1713" i="1"/>
  <c r="A1714" i="1"/>
  <c r="C1714" i="1"/>
  <c r="E1714" i="1"/>
  <c r="S1714" i="1"/>
  <c r="T1714" i="1"/>
  <c r="U1714" i="1"/>
  <c r="BB1714" i="1"/>
  <c r="BD1714" i="1"/>
  <c r="CE1714" i="1"/>
  <c r="A1715" i="1"/>
  <c r="C1715" i="1"/>
  <c r="E1715" i="1"/>
  <c r="S1715" i="1"/>
  <c r="T1715" i="1"/>
  <c r="U1715" i="1"/>
  <c r="BB1715" i="1"/>
  <c r="BD1715" i="1"/>
  <c r="CE1715" i="1"/>
  <c r="A1716" i="1"/>
  <c r="C1716" i="1"/>
  <c r="E1716" i="1"/>
  <c r="S1716" i="1"/>
  <c r="T1716" i="1"/>
  <c r="U1716" i="1"/>
  <c r="BB1716" i="1"/>
  <c r="BD1716" i="1"/>
  <c r="CE1716" i="1"/>
  <c r="A1717" i="1"/>
  <c r="C1717" i="1"/>
  <c r="E1717" i="1"/>
  <c r="S1717" i="1"/>
  <c r="T1717" i="1"/>
  <c r="U1717" i="1"/>
  <c r="BB1717" i="1"/>
  <c r="BD1717" i="1"/>
  <c r="CE1717" i="1"/>
  <c r="A1718" i="1"/>
  <c r="C1718" i="1"/>
  <c r="E1718" i="1"/>
  <c r="S1718" i="1"/>
  <c r="T1718" i="1"/>
  <c r="U1718" i="1"/>
  <c r="BB1718" i="1"/>
  <c r="BD1718" i="1"/>
  <c r="CE1718" i="1"/>
  <c r="A1719" i="1"/>
  <c r="C1719" i="1"/>
  <c r="E1719" i="1"/>
  <c r="S1719" i="1"/>
  <c r="T1719" i="1"/>
  <c r="U1719" i="1"/>
  <c r="BB1719" i="1"/>
  <c r="BD1719" i="1"/>
  <c r="CE1719" i="1"/>
  <c r="A1720" i="1"/>
  <c r="C1720" i="1"/>
  <c r="E1720" i="1"/>
  <c r="S1720" i="1"/>
  <c r="T1720" i="1"/>
  <c r="U1720" i="1"/>
  <c r="BB1720" i="1"/>
  <c r="BD1720" i="1"/>
  <c r="CE1720" i="1"/>
  <c r="A1721" i="1"/>
  <c r="C1721" i="1"/>
  <c r="E1721" i="1"/>
  <c r="S1721" i="1"/>
  <c r="T1721" i="1"/>
  <c r="U1721" i="1"/>
  <c r="BB1721" i="1"/>
  <c r="BD1721" i="1"/>
  <c r="CE1721" i="1"/>
  <c r="A1722" i="1"/>
  <c r="C1722" i="1"/>
  <c r="E1722" i="1"/>
  <c r="S1722" i="1"/>
  <c r="T1722" i="1"/>
  <c r="U1722" i="1"/>
  <c r="BB1722" i="1"/>
  <c r="BD1722" i="1"/>
  <c r="CE1722" i="1"/>
  <c r="A1723" i="1"/>
  <c r="C1723" i="1"/>
  <c r="E1723" i="1"/>
  <c r="S1723" i="1"/>
  <c r="T1723" i="1"/>
  <c r="U1723" i="1"/>
  <c r="BB1723" i="1"/>
  <c r="BD1723" i="1"/>
  <c r="CE1723" i="1"/>
  <c r="A1724" i="1"/>
  <c r="C1724" i="1"/>
  <c r="E1724" i="1"/>
  <c r="S1724" i="1"/>
  <c r="T1724" i="1"/>
  <c r="U1724" i="1"/>
  <c r="BB1724" i="1"/>
  <c r="BD1724" i="1"/>
  <c r="CE1724" i="1"/>
  <c r="A1725" i="1"/>
  <c r="C1725" i="1"/>
  <c r="E1725" i="1"/>
  <c r="S1725" i="1"/>
  <c r="T1725" i="1"/>
  <c r="U1725" i="1"/>
  <c r="BB1725" i="1"/>
  <c r="BD1725" i="1"/>
  <c r="CE1725" i="1"/>
  <c r="A1726" i="1"/>
  <c r="C1726" i="1"/>
  <c r="E1726" i="1"/>
  <c r="S1726" i="1"/>
  <c r="T1726" i="1"/>
  <c r="U1726" i="1"/>
  <c r="BB1726" i="1"/>
  <c r="BD1726" i="1"/>
  <c r="CE1726" i="1"/>
  <c r="A1727" i="1"/>
  <c r="C1727" i="1"/>
  <c r="E1727" i="1"/>
  <c r="S1727" i="1"/>
  <c r="T1727" i="1"/>
  <c r="U1727" i="1"/>
  <c r="BB1727" i="1"/>
  <c r="BD1727" i="1"/>
  <c r="CE1727" i="1"/>
  <c r="A1728" i="1"/>
  <c r="C1728" i="1"/>
  <c r="E1728" i="1"/>
  <c r="S1728" i="1"/>
  <c r="T1728" i="1"/>
  <c r="U1728" i="1"/>
  <c r="BB1728" i="1"/>
  <c r="BD1728" i="1"/>
  <c r="CE1728" i="1"/>
  <c r="A1729" i="1"/>
  <c r="C1729" i="1"/>
  <c r="E1729" i="1"/>
  <c r="S1729" i="1"/>
  <c r="T1729" i="1"/>
  <c r="U1729" i="1"/>
  <c r="BB1729" i="1"/>
  <c r="BD1729" i="1"/>
  <c r="CE1729" i="1"/>
  <c r="A1730" i="1"/>
  <c r="C1730" i="1"/>
  <c r="E1730" i="1"/>
  <c r="S1730" i="1"/>
  <c r="T1730" i="1"/>
  <c r="U1730" i="1"/>
  <c r="BB1730" i="1"/>
  <c r="BD1730" i="1"/>
  <c r="CE1730" i="1"/>
  <c r="A1731" i="1"/>
  <c r="C1731" i="1"/>
  <c r="E1731" i="1"/>
  <c r="S1731" i="1"/>
  <c r="T1731" i="1"/>
  <c r="U1731" i="1"/>
  <c r="BB1731" i="1"/>
  <c r="BD1731" i="1"/>
  <c r="CE1731" i="1"/>
  <c r="A1732" i="1"/>
  <c r="C1732" i="1"/>
  <c r="E1732" i="1"/>
  <c r="S1732" i="1"/>
  <c r="T1732" i="1"/>
  <c r="U1732" i="1"/>
  <c r="BB1732" i="1"/>
  <c r="BD1732" i="1"/>
  <c r="CE1732" i="1"/>
  <c r="A1733" i="1"/>
  <c r="C1733" i="1"/>
  <c r="E1733" i="1"/>
  <c r="S1733" i="1"/>
  <c r="T1733" i="1"/>
  <c r="U1733" i="1"/>
  <c r="BB1733" i="1"/>
  <c r="BD1733" i="1"/>
  <c r="CE1733" i="1"/>
  <c r="A1734" i="1"/>
  <c r="C1734" i="1"/>
  <c r="E1734" i="1"/>
  <c r="S1734" i="1"/>
  <c r="T1734" i="1"/>
  <c r="U1734" i="1"/>
  <c r="BB1734" i="1"/>
  <c r="BD1734" i="1"/>
  <c r="CE1734" i="1"/>
  <c r="A1735" i="1"/>
  <c r="C1735" i="1"/>
  <c r="E1735" i="1"/>
  <c r="S1735" i="1"/>
  <c r="T1735" i="1"/>
  <c r="U1735" i="1"/>
  <c r="BB1735" i="1"/>
  <c r="BD1735" i="1"/>
  <c r="CE1735" i="1"/>
  <c r="A1736" i="1"/>
  <c r="C1736" i="1"/>
  <c r="E1736" i="1"/>
  <c r="S1736" i="1"/>
  <c r="T1736" i="1"/>
  <c r="U1736" i="1"/>
  <c r="BB1736" i="1"/>
  <c r="BD1736" i="1"/>
  <c r="CE1736" i="1"/>
  <c r="A1737" i="1"/>
  <c r="C1737" i="1"/>
  <c r="E1737" i="1"/>
  <c r="S1737" i="1"/>
  <c r="T1737" i="1"/>
  <c r="U1737" i="1"/>
  <c r="BB1737" i="1"/>
  <c r="BD1737" i="1"/>
  <c r="CE1737" i="1"/>
  <c r="A1738" i="1"/>
  <c r="C1738" i="1"/>
  <c r="E1738" i="1"/>
  <c r="S1738" i="1"/>
  <c r="T1738" i="1"/>
  <c r="U1738" i="1"/>
  <c r="BB1738" i="1"/>
  <c r="BD1738" i="1"/>
  <c r="CE1738" i="1"/>
  <c r="A1739" i="1"/>
  <c r="C1739" i="1"/>
  <c r="E1739" i="1"/>
  <c r="S1739" i="1"/>
  <c r="T1739" i="1"/>
  <c r="U1739" i="1"/>
  <c r="BB1739" i="1"/>
  <c r="BD1739" i="1"/>
  <c r="CE1739" i="1"/>
  <c r="A1740" i="1"/>
  <c r="C1740" i="1"/>
  <c r="E1740" i="1"/>
  <c r="S1740" i="1"/>
  <c r="T1740" i="1"/>
  <c r="U1740" i="1"/>
  <c r="BB1740" i="1"/>
  <c r="BD1740" i="1"/>
  <c r="CE1740" i="1"/>
  <c r="A1741" i="1"/>
  <c r="C1741" i="1"/>
  <c r="E1741" i="1"/>
  <c r="S1741" i="1"/>
  <c r="T1741" i="1"/>
  <c r="U1741" i="1"/>
  <c r="BB1741" i="1"/>
  <c r="BD1741" i="1"/>
  <c r="CE1741" i="1"/>
  <c r="A1742" i="1"/>
  <c r="C1742" i="1"/>
  <c r="E1742" i="1"/>
  <c r="S1742" i="1"/>
  <c r="T1742" i="1"/>
  <c r="U1742" i="1"/>
  <c r="BB1742" i="1"/>
  <c r="BD1742" i="1"/>
  <c r="CE1742" i="1"/>
  <c r="A1743" i="1"/>
  <c r="C1743" i="1"/>
  <c r="E1743" i="1"/>
  <c r="S1743" i="1"/>
  <c r="T1743" i="1"/>
  <c r="U1743" i="1"/>
  <c r="BB1743" i="1"/>
  <c r="BD1743" i="1"/>
  <c r="CE1743" i="1"/>
  <c r="A1744" i="1"/>
  <c r="C1744" i="1"/>
  <c r="E1744" i="1"/>
  <c r="S1744" i="1"/>
  <c r="T1744" i="1"/>
  <c r="U1744" i="1"/>
  <c r="BB1744" i="1"/>
  <c r="BD1744" i="1"/>
  <c r="CE1744" i="1"/>
  <c r="A1745" i="1"/>
  <c r="C1745" i="1"/>
  <c r="E1745" i="1"/>
  <c r="S1745" i="1"/>
  <c r="T1745" i="1"/>
  <c r="U1745" i="1"/>
  <c r="BB1745" i="1"/>
  <c r="BD1745" i="1"/>
  <c r="CE1745" i="1"/>
  <c r="A1746" i="1"/>
  <c r="C1746" i="1"/>
  <c r="E1746" i="1"/>
  <c r="S1746" i="1"/>
  <c r="T1746" i="1"/>
  <c r="U1746" i="1"/>
  <c r="BB1746" i="1"/>
  <c r="BD1746" i="1"/>
  <c r="CE1746" i="1"/>
  <c r="A1747" i="1"/>
  <c r="C1747" i="1"/>
  <c r="E1747" i="1"/>
  <c r="S1747" i="1"/>
  <c r="T1747" i="1"/>
  <c r="U1747" i="1"/>
  <c r="BB1747" i="1"/>
  <c r="BD1747" i="1"/>
  <c r="CE1747" i="1"/>
  <c r="A1748" i="1"/>
  <c r="C1748" i="1"/>
  <c r="E1748" i="1"/>
  <c r="S1748" i="1"/>
  <c r="T1748" i="1"/>
  <c r="U1748" i="1"/>
  <c r="BB1748" i="1"/>
  <c r="BD1748" i="1"/>
  <c r="CE1748" i="1"/>
  <c r="A1749" i="1"/>
  <c r="C1749" i="1"/>
  <c r="E1749" i="1"/>
  <c r="S1749" i="1"/>
  <c r="T1749" i="1"/>
  <c r="U1749" i="1"/>
  <c r="BB1749" i="1"/>
  <c r="BD1749" i="1"/>
  <c r="CE1749" i="1"/>
  <c r="A1750" i="1"/>
  <c r="C1750" i="1"/>
  <c r="E1750" i="1"/>
  <c r="S1750" i="1"/>
  <c r="T1750" i="1"/>
  <c r="U1750" i="1"/>
  <c r="BB1750" i="1"/>
  <c r="BD1750" i="1"/>
  <c r="CE1750" i="1"/>
  <c r="A1751" i="1"/>
  <c r="C1751" i="1"/>
  <c r="E1751" i="1"/>
  <c r="S1751" i="1"/>
  <c r="T1751" i="1"/>
  <c r="U1751" i="1"/>
  <c r="BB1751" i="1"/>
  <c r="BD1751" i="1"/>
  <c r="CE1751" i="1"/>
  <c r="A1752" i="1"/>
  <c r="C1752" i="1"/>
  <c r="E1752" i="1"/>
  <c r="S1752" i="1"/>
  <c r="T1752" i="1"/>
  <c r="U1752" i="1"/>
  <c r="BB1752" i="1"/>
  <c r="BD1752" i="1"/>
  <c r="CE1752" i="1"/>
  <c r="A1753" i="1"/>
  <c r="C1753" i="1"/>
  <c r="E1753" i="1"/>
  <c r="S1753" i="1"/>
  <c r="T1753" i="1"/>
  <c r="U1753" i="1"/>
  <c r="BB1753" i="1"/>
  <c r="BD1753" i="1"/>
  <c r="CE1753" i="1"/>
  <c r="A1754" i="1"/>
  <c r="C1754" i="1"/>
  <c r="E1754" i="1"/>
  <c r="S1754" i="1"/>
  <c r="T1754" i="1"/>
  <c r="U1754" i="1"/>
  <c r="BB1754" i="1"/>
  <c r="BD1754" i="1"/>
  <c r="CE1754" i="1"/>
  <c r="A1755" i="1"/>
  <c r="C1755" i="1"/>
  <c r="E1755" i="1"/>
  <c r="S1755" i="1"/>
  <c r="T1755" i="1"/>
  <c r="U1755" i="1"/>
  <c r="BB1755" i="1"/>
  <c r="BD1755" i="1"/>
  <c r="CE1755" i="1"/>
  <c r="A1756" i="1"/>
  <c r="C1756" i="1"/>
  <c r="E1756" i="1"/>
  <c r="S1756" i="1"/>
  <c r="T1756" i="1"/>
  <c r="U1756" i="1"/>
  <c r="BB1756" i="1"/>
  <c r="BD1756" i="1"/>
  <c r="CE1756" i="1"/>
  <c r="A1757" i="1"/>
  <c r="C1757" i="1"/>
  <c r="E1757" i="1"/>
  <c r="S1757" i="1"/>
  <c r="T1757" i="1"/>
  <c r="U1757" i="1"/>
  <c r="BB1757" i="1"/>
  <c r="BD1757" i="1"/>
  <c r="CE1757" i="1"/>
  <c r="A1758" i="1"/>
  <c r="C1758" i="1"/>
  <c r="E1758" i="1"/>
  <c r="S1758" i="1"/>
  <c r="T1758" i="1"/>
  <c r="U1758" i="1"/>
  <c r="BB1758" i="1"/>
  <c r="BD1758" i="1"/>
  <c r="CE1758" i="1"/>
  <c r="A1759" i="1"/>
  <c r="C1759" i="1"/>
  <c r="E1759" i="1"/>
  <c r="S1759" i="1"/>
  <c r="T1759" i="1"/>
  <c r="U1759" i="1"/>
  <c r="BB1759" i="1"/>
  <c r="BD1759" i="1"/>
  <c r="CE1759" i="1"/>
  <c r="A1760" i="1"/>
  <c r="C1760" i="1"/>
  <c r="E1760" i="1"/>
  <c r="S1760" i="1"/>
  <c r="T1760" i="1"/>
  <c r="U1760" i="1"/>
  <c r="BB1760" i="1"/>
  <c r="BD1760" i="1"/>
  <c r="CE1760" i="1"/>
  <c r="A1761" i="1"/>
  <c r="C1761" i="1"/>
  <c r="E1761" i="1"/>
  <c r="S1761" i="1"/>
  <c r="T1761" i="1"/>
  <c r="U1761" i="1"/>
  <c r="BB1761" i="1"/>
  <c r="BD1761" i="1"/>
  <c r="CE1761" i="1"/>
  <c r="A1762" i="1"/>
  <c r="C1762" i="1"/>
  <c r="E1762" i="1"/>
  <c r="S1762" i="1"/>
  <c r="T1762" i="1"/>
  <c r="U1762" i="1"/>
  <c r="BB1762" i="1"/>
  <c r="BD1762" i="1"/>
  <c r="CE1762" i="1"/>
  <c r="A1763" i="1"/>
  <c r="C1763" i="1"/>
  <c r="E1763" i="1"/>
  <c r="S1763" i="1"/>
  <c r="T1763" i="1"/>
  <c r="U1763" i="1"/>
  <c r="BB1763" i="1"/>
  <c r="BD1763" i="1"/>
  <c r="CE1763" i="1"/>
  <c r="A1764" i="1"/>
  <c r="C1764" i="1"/>
  <c r="E1764" i="1"/>
  <c r="S1764" i="1"/>
  <c r="T1764" i="1"/>
  <c r="U1764" i="1"/>
  <c r="BB1764" i="1"/>
  <c r="BD1764" i="1"/>
  <c r="CE1764" i="1"/>
  <c r="A1765" i="1"/>
  <c r="C1765" i="1"/>
  <c r="E1765" i="1"/>
  <c r="S1765" i="1"/>
  <c r="T1765" i="1"/>
  <c r="U1765" i="1"/>
  <c r="BB1765" i="1"/>
  <c r="BD1765" i="1"/>
  <c r="CE1765" i="1"/>
  <c r="A1766" i="1"/>
  <c r="C1766" i="1"/>
  <c r="E1766" i="1"/>
  <c r="S1766" i="1"/>
  <c r="T1766" i="1"/>
  <c r="U1766" i="1"/>
  <c r="BB1766" i="1"/>
  <c r="BD1766" i="1"/>
  <c r="CE1766" i="1"/>
  <c r="A1767" i="1"/>
  <c r="C1767" i="1"/>
  <c r="E1767" i="1"/>
  <c r="S1767" i="1"/>
  <c r="T1767" i="1"/>
  <c r="U1767" i="1"/>
  <c r="BB1767" i="1"/>
  <c r="BD1767" i="1"/>
  <c r="CE1767" i="1"/>
  <c r="A1768" i="1"/>
  <c r="C1768" i="1"/>
  <c r="E1768" i="1"/>
  <c r="S1768" i="1"/>
  <c r="T1768" i="1"/>
  <c r="U1768" i="1"/>
  <c r="BB1768" i="1"/>
  <c r="BD1768" i="1"/>
  <c r="CE1768" i="1"/>
  <c r="A1769" i="1"/>
  <c r="C1769" i="1"/>
  <c r="E1769" i="1"/>
  <c r="S1769" i="1"/>
  <c r="T1769" i="1"/>
  <c r="U1769" i="1"/>
  <c r="BB1769" i="1"/>
  <c r="BD1769" i="1"/>
  <c r="CE1769" i="1"/>
  <c r="A1770" i="1"/>
  <c r="C1770" i="1"/>
  <c r="E1770" i="1"/>
  <c r="S1770" i="1"/>
  <c r="T1770" i="1"/>
  <c r="U1770" i="1"/>
  <c r="BB1770" i="1"/>
  <c r="BD1770" i="1"/>
  <c r="CE1770" i="1"/>
  <c r="A1771" i="1"/>
  <c r="C1771" i="1"/>
  <c r="E1771" i="1"/>
  <c r="S1771" i="1"/>
  <c r="T1771" i="1"/>
  <c r="U1771" i="1"/>
  <c r="BB1771" i="1"/>
  <c r="BD1771" i="1"/>
  <c r="CE1771" i="1"/>
  <c r="A1772" i="1"/>
  <c r="C1772" i="1"/>
  <c r="E1772" i="1"/>
  <c r="S1772" i="1"/>
  <c r="T1772" i="1"/>
  <c r="U1772" i="1"/>
  <c r="BB1772" i="1"/>
  <c r="BD1772" i="1"/>
  <c r="CE1772" i="1"/>
  <c r="A1773" i="1"/>
  <c r="C1773" i="1"/>
  <c r="E1773" i="1"/>
  <c r="S1773" i="1"/>
  <c r="T1773" i="1"/>
  <c r="U1773" i="1"/>
  <c r="BB1773" i="1"/>
  <c r="BD1773" i="1"/>
  <c r="CE1773" i="1"/>
  <c r="A1774" i="1"/>
  <c r="C1774" i="1"/>
  <c r="E1774" i="1"/>
  <c r="S1774" i="1"/>
  <c r="T1774" i="1"/>
  <c r="U1774" i="1"/>
  <c r="BB1774" i="1"/>
  <c r="BD1774" i="1"/>
  <c r="CE1774" i="1"/>
  <c r="A1775" i="1"/>
  <c r="C1775" i="1"/>
  <c r="E1775" i="1"/>
  <c r="S1775" i="1"/>
  <c r="T1775" i="1"/>
  <c r="U1775" i="1"/>
  <c r="BB1775" i="1"/>
  <c r="BD1775" i="1"/>
  <c r="CE1775" i="1"/>
  <c r="A1776" i="1"/>
  <c r="C1776" i="1"/>
  <c r="E1776" i="1"/>
  <c r="S1776" i="1"/>
  <c r="T1776" i="1"/>
  <c r="U1776" i="1"/>
  <c r="BB1776" i="1"/>
  <c r="BD1776" i="1"/>
  <c r="CE1776" i="1"/>
  <c r="A1777" i="1"/>
  <c r="C1777" i="1"/>
  <c r="E1777" i="1"/>
  <c r="S1777" i="1"/>
  <c r="T1777" i="1"/>
  <c r="U1777" i="1"/>
  <c r="BB1777" i="1"/>
  <c r="BD1777" i="1"/>
  <c r="CE1777" i="1"/>
  <c r="A1778" i="1"/>
  <c r="C1778" i="1"/>
  <c r="E1778" i="1"/>
  <c r="S1778" i="1"/>
  <c r="T1778" i="1"/>
  <c r="U1778" i="1"/>
  <c r="BB1778" i="1"/>
  <c r="BD1778" i="1"/>
  <c r="CE1778" i="1"/>
  <c r="A1779" i="1"/>
  <c r="C1779" i="1"/>
  <c r="E1779" i="1"/>
  <c r="S1779" i="1"/>
  <c r="T1779" i="1"/>
  <c r="U1779" i="1"/>
  <c r="BB1779" i="1"/>
  <c r="BD1779" i="1"/>
  <c r="CE1779" i="1"/>
  <c r="A1780" i="1"/>
  <c r="C1780" i="1"/>
  <c r="E1780" i="1"/>
  <c r="S1780" i="1"/>
  <c r="T1780" i="1"/>
  <c r="U1780" i="1"/>
  <c r="BB1780" i="1"/>
  <c r="BD1780" i="1"/>
  <c r="CE1780" i="1"/>
  <c r="A1781" i="1"/>
  <c r="C1781" i="1"/>
  <c r="E1781" i="1"/>
  <c r="S1781" i="1"/>
  <c r="T1781" i="1"/>
  <c r="U1781" i="1"/>
  <c r="BB1781" i="1"/>
  <c r="BD1781" i="1"/>
  <c r="CE1781" i="1"/>
  <c r="A1782" i="1"/>
  <c r="C1782" i="1"/>
  <c r="E1782" i="1"/>
  <c r="S1782" i="1"/>
  <c r="T1782" i="1"/>
  <c r="U1782" i="1"/>
  <c r="BB1782" i="1"/>
  <c r="BD1782" i="1"/>
  <c r="CE1782" i="1"/>
  <c r="A1783" i="1"/>
  <c r="C1783" i="1"/>
  <c r="E1783" i="1"/>
  <c r="S1783" i="1"/>
  <c r="T1783" i="1"/>
  <c r="U1783" i="1"/>
  <c r="BB1783" i="1"/>
  <c r="BD1783" i="1"/>
  <c r="CE1783" i="1"/>
  <c r="A1784" i="1"/>
  <c r="C1784" i="1"/>
  <c r="E1784" i="1"/>
  <c r="S1784" i="1"/>
  <c r="T1784" i="1"/>
  <c r="U1784" i="1"/>
  <c r="BB1784" i="1"/>
  <c r="BD1784" i="1"/>
  <c r="CE1784" i="1"/>
  <c r="A1785" i="1"/>
  <c r="C1785" i="1"/>
  <c r="E1785" i="1"/>
  <c r="S1785" i="1"/>
  <c r="T1785" i="1"/>
  <c r="U1785" i="1"/>
  <c r="BB1785" i="1"/>
  <c r="BD1785" i="1"/>
  <c r="CE1785" i="1"/>
  <c r="A1786" i="1"/>
  <c r="C1786" i="1"/>
  <c r="E1786" i="1"/>
  <c r="S1786" i="1"/>
  <c r="T1786" i="1"/>
  <c r="U1786" i="1"/>
  <c r="BB1786" i="1"/>
  <c r="BD1786" i="1"/>
  <c r="CE1786" i="1"/>
  <c r="A1787" i="1"/>
  <c r="C1787" i="1"/>
  <c r="E1787" i="1"/>
  <c r="S1787" i="1"/>
  <c r="T1787" i="1"/>
  <c r="U1787" i="1"/>
  <c r="BB1787" i="1"/>
  <c r="BD1787" i="1"/>
  <c r="CE1787" i="1"/>
  <c r="A1788" i="1"/>
  <c r="C1788" i="1"/>
  <c r="E1788" i="1"/>
  <c r="S1788" i="1"/>
  <c r="T1788" i="1"/>
  <c r="U1788" i="1"/>
  <c r="BB1788" i="1"/>
  <c r="BD1788" i="1"/>
  <c r="CE1788" i="1"/>
  <c r="A1789" i="1"/>
  <c r="C1789" i="1"/>
  <c r="E1789" i="1"/>
  <c r="S1789" i="1"/>
  <c r="T1789" i="1"/>
  <c r="U1789" i="1"/>
  <c r="BB1789" i="1"/>
  <c r="BD1789" i="1"/>
  <c r="CE1789" i="1"/>
  <c r="A1790" i="1"/>
  <c r="C1790" i="1"/>
  <c r="E1790" i="1"/>
  <c r="S1790" i="1"/>
  <c r="T1790" i="1"/>
  <c r="U1790" i="1"/>
  <c r="BB1790" i="1"/>
  <c r="BD1790" i="1"/>
  <c r="CE1790" i="1"/>
  <c r="A1791" i="1"/>
  <c r="C1791" i="1"/>
  <c r="E1791" i="1"/>
  <c r="S1791" i="1"/>
  <c r="T1791" i="1"/>
  <c r="U1791" i="1"/>
  <c r="BB1791" i="1"/>
  <c r="BD1791" i="1"/>
  <c r="CE1791" i="1"/>
  <c r="A1792" i="1"/>
  <c r="C1792" i="1"/>
  <c r="E1792" i="1"/>
  <c r="S1792" i="1"/>
  <c r="T1792" i="1"/>
  <c r="U1792" i="1"/>
  <c r="BB1792" i="1"/>
  <c r="BD1792" i="1"/>
  <c r="CE1792" i="1"/>
  <c r="A1793" i="1"/>
  <c r="C1793" i="1"/>
  <c r="E1793" i="1"/>
  <c r="S1793" i="1"/>
  <c r="T1793" i="1"/>
  <c r="U1793" i="1"/>
  <c r="BB1793" i="1"/>
  <c r="BD1793" i="1"/>
  <c r="CE1793" i="1"/>
  <c r="A1794" i="1"/>
  <c r="C1794" i="1"/>
  <c r="E1794" i="1"/>
  <c r="S1794" i="1"/>
  <c r="T1794" i="1"/>
  <c r="U1794" i="1"/>
  <c r="BB1794" i="1"/>
  <c r="BD1794" i="1"/>
  <c r="CE1794" i="1"/>
  <c r="A1795" i="1"/>
  <c r="C1795" i="1"/>
  <c r="E1795" i="1"/>
  <c r="S1795" i="1"/>
  <c r="T1795" i="1"/>
  <c r="U1795" i="1"/>
  <c r="BB1795" i="1"/>
  <c r="BD1795" i="1"/>
  <c r="CE1795" i="1"/>
  <c r="A1796" i="1"/>
  <c r="C1796" i="1"/>
  <c r="E1796" i="1"/>
  <c r="S1796" i="1"/>
  <c r="T1796" i="1"/>
  <c r="U1796" i="1"/>
  <c r="BB1796" i="1"/>
  <c r="BD1796" i="1"/>
  <c r="CE1796" i="1"/>
  <c r="A1797" i="1"/>
  <c r="C1797" i="1"/>
  <c r="E1797" i="1"/>
  <c r="S1797" i="1"/>
  <c r="T1797" i="1"/>
  <c r="U1797" i="1"/>
  <c r="BB1797" i="1"/>
  <c r="BD1797" i="1"/>
  <c r="CE1797" i="1"/>
  <c r="A1798" i="1"/>
  <c r="C1798" i="1"/>
  <c r="E1798" i="1"/>
  <c r="S1798" i="1"/>
  <c r="T1798" i="1"/>
  <c r="U1798" i="1"/>
  <c r="BB1798" i="1"/>
  <c r="BD1798" i="1"/>
  <c r="CE1798" i="1"/>
  <c r="A1799" i="1"/>
  <c r="C1799" i="1"/>
  <c r="E1799" i="1"/>
  <c r="S1799" i="1"/>
  <c r="T1799" i="1"/>
  <c r="U1799" i="1"/>
  <c r="BB1799" i="1"/>
  <c r="BD1799" i="1"/>
  <c r="CE1799" i="1"/>
  <c r="A1800" i="1"/>
  <c r="C1800" i="1"/>
  <c r="E1800" i="1"/>
  <c r="S1800" i="1"/>
  <c r="T1800" i="1"/>
  <c r="U1800" i="1"/>
  <c r="BB1800" i="1"/>
  <c r="BD1800" i="1"/>
  <c r="CE1800" i="1"/>
  <c r="A1801" i="1"/>
  <c r="C1801" i="1"/>
  <c r="E1801" i="1"/>
  <c r="S1801" i="1"/>
  <c r="T1801" i="1"/>
  <c r="U1801" i="1"/>
  <c r="BB1801" i="1"/>
  <c r="BD1801" i="1"/>
  <c r="CE1801" i="1"/>
  <c r="A1802" i="1"/>
  <c r="C1802" i="1"/>
  <c r="E1802" i="1"/>
  <c r="S1802" i="1"/>
  <c r="T1802" i="1"/>
  <c r="U1802" i="1"/>
  <c r="BB1802" i="1"/>
  <c r="BD1802" i="1"/>
  <c r="CE1802" i="1"/>
  <c r="A1803" i="1"/>
  <c r="C1803" i="1"/>
  <c r="E1803" i="1"/>
  <c r="S1803" i="1"/>
  <c r="T1803" i="1"/>
  <c r="U1803" i="1"/>
  <c r="BB1803" i="1"/>
  <c r="BD1803" i="1"/>
  <c r="CE1803" i="1"/>
  <c r="A1804" i="1"/>
  <c r="C1804" i="1"/>
  <c r="E1804" i="1"/>
  <c r="S1804" i="1"/>
  <c r="T1804" i="1"/>
  <c r="U1804" i="1"/>
  <c r="BB1804" i="1"/>
  <c r="BD1804" i="1"/>
  <c r="CE1804" i="1"/>
  <c r="A1805" i="1"/>
  <c r="C1805" i="1"/>
  <c r="E1805" i="1"/>
  <c r="S1805" i="1"/>
  <c r="T1805" i="1"/>
  <c r="U1805" i="1"/>
  <c r="BB1805" i="1"/>
  <c r="BD1805" i="1"/>
  <c r="CE1805" i="1"/>
  <c r="A1806" i="1"/>
  <c r="C1806" i="1"/>
  <c r="E1806" i="1"/>
  <c r="S1806" i="1"/>
  <c r="T1806" i="1"/>
  <c r="U1806" i="1"/>
  <c r="BB1806" i="1"/>
  <c r="BD1806" i="1"/>
  <c r="CE1806" i="1"/>
  <c r="A1807" i="1"/>
  <c r="C1807" i="1"/>
  <c r="E1807" i="1"/>
  <c r="S1807" i="1"/>
  <c r="T1807" i="1"/>
  <c r="U1807" i="1"/>
  <c r="BB1807" i="1"/>
  <c r="BD1807" i="1"/>
  <c r="CE1807" i="1"/>
  <c r="A1808" i="1"/>
  <c r="C1808" i="1"/>
  <c r="E1808" i="1"/>
  <c r="S1808" i="1"/>
  <c r="T1808" i="1"/>
  <c r="U1808" i="1"/>
  <c r="BB1808" i="1"/>
  <c r="BD1808" i="1"/>
  <c r="CE1808" i="1"/>
  <c r="A1809" i="1"/>
  <c r="C1809" i="1"/>
  <c r="E1809" i="1"/>
  <c r="S1809" i="1"/>
  <c r="T1809" i="1"/>
  <c r="U1809" i="1"/>
  <c r="BB1809" i="1"/>
  <c r="BD1809" i="1"/>
  <c r="CE1809" i="1"/>
  <c r="A1810" i="1"/>
  <c r="C1810" i="1"/>
  <c r="E1810" i="1"/>
  <c r="S1810" i="1"/>
  <c r="T1810" i="1"/>
  <c r="U1810" i="1"/>
  <c r="BB1810" i="1"/>
  <c r="BD1810" i="1"/>
  <c r="CE1810" i="1"/>
  <c r="A1811" i="1"/>
  <c r="C1811" i="1"/>
  <c r="E1811" i="1"/>
  <c r="S1811" i="1"/>
  <c r="T1811" i="1"/>
  <c r="U1811" i="1"/>
  <c r="BB1811" i="1"/>
  <c r="BD1811" i="1"/>
  <c r="CE1811" i="1"/>
  <c r="A1812" i="1"/>
  <c r="C1812" i="1"/>
  <c r="E1812" i="1"/>
  <c r="S1812" i="1"/>
  <c r="T1812" i="1"/>
  <c r="U1812" i="1"/>
  <c r="BB1812" i="1"/>
  <c r="BD1812" i="1"/>
  <c r="CE1812" i="1"/>
  <c r="A1813" i="1"/>
  <c r="C1813" i="1"/>
  <c r="E1813" i="1"/>
  <c r="S1813" i="1"/>
  <c r="T1813" i="1"/>
  <c r="U1813" i="1"/>
  <c r="BB1813" i="1"/>
  <c r="BD1813" i="1"/>
  <c r="CE1813" i="1"/>
  <c r="A1814" i="1"/>
  <c r="C1814" i="1"/>
  <c r="E1814" i="1"/>
  <c r="S1814" i="1"/>
  <c r="T1814" i="1"/>
  <c r="U1814" i="1"/>
  <c r="BB1814" i="1"/>
  <c r="BD1814" i="1"/>
  <c r="CE1814" i="1"/>
  <c r="A1815" i="1"/>
  <c r="C1815" i="1"/>
  <c r="E1815" i="1"/>
  <c r="S1815" i="1"/>
  <c r="T1815" i="1"/>
  <c r="U1815" i="1"/>
  <c r="BB1815" i="1"/>
  <c r="BD1815" i="1"/>
  <c r="CE1815" i="1"/>
  <c r="A1816" i="1"/>
  <c r="C1816" i="1"/>
  <c r="E1816" i="1"/>
  <c r="S1816" i="1"/>
  <c r="T1816" i="1"/>
  <c r="U1816" i="1"/>
  <c r="BB1816" i="1"/>
  <c r="BD1816" i="1"/>
  <c r="CE1816" i="1"/>
  <c r="A1817" i="1"/>
  <c r="C1817" i="1"/>
  <c r="E1817" i="1"/>
  <c r="S1817" i="1"/>
  <c r="T1817" i="1"/>
  <c r="U1817" i="1"/>
  <c r="BB1817" i="1"/>
  <c r="BD1817" i="1"/>
  <c r="CE1817" i="1"/>
  <c r="A1818" i="1"/>
  <c r="C1818" i="1"/>
  <c r="E1818" i="1"/>
  <c r="S1818" i="1"/>
  <c r="T1818" i="1"/>
  <c r="U1818" i="1"/>
  <c r="BB1818" i="1"/>
  <c r="BD1818" i="1"/>
  <c r="CE1818" i="1"/>
  <c r="A1819" i="1"/>
  <c r="C1819" i="1"/>
  <c r="E1819" i="1"/>
  <c r="S1819" i="1"/>
  <c r="T1819" i="1"/>
  <c r="U1819" i="1"/>
  <c r="BB1819" i="1"/>
  <c r="BD1819" i="1"/>
  <c r="CE1819" i="1"/>
  <c r="A1820" i="1"/>
  <c r="C1820" i="1"/>
  <c r="E1820" i="1"/>
  <c r="S1820" i="1"/>
  <c r="T1820" i="1"/>
  <c r="U1820" i="1"/>
  <c r="BB1820" i="1"/>
  <c r="BD1820" i="1"/>
  <c r="CE1820" i="1"/>
  <c r="A1821" i="1"/>
  <c r="C1821" i="1"/>
  <c r="E1821" i="1"/>
  <c r="S1821" i="1"/>
  <c r="T1821" i="1"/>
  <c r="U1821" i="1"/>
  <c r="BB1821" i="1"/>
  <c r="BD1821" i="1"/>
  <c r="CE1821" i="1"/>
  <c r="A1822" i="1"/>
  <c r="C1822" i="1"/>
  <c r="E1822" i="1"/>
  <c r="S1822" i="1"/>
  <c r="T1822" i="1"/>
  <c r="U1822" i="1"/>
  <c r="BB1822" i="1"/>
  <c r="BD1822" i="1"/>
  <c r="CE1822" i="1"/>
  <c r="A1823" i="1"/>
  <c r="C1823" i="1"/>
  <c r="E1823" i="1"/>
  <c r="S1823" i="1"/>
  <c r="T1823" i="1"/>
  <c r="U1823" i="1"/>
  <c r="BB1823" i="1"/>
  <c r="BD1823" i="1"/>
  <c r="CE1823" i="1"/>
  <c r="A1824" i="1"/>
  <c r="C1824" i="1"/>
  <c r="E1824" i="1"/>
  <c r="S1824" i="1"/>
  <c r="T1824" i="1"/>
  <c r="U1824" i="1"/>
  <c r="BB1824" i="1"/>
  <c r="BD1824" i="1"/>
  <c r="CE1824" i="1"/>
  <c r="A1825" i="1"/>
  <c r="C1825" i="1"/>
  <c r="E1825" i="1"/>
  <c r="S1825" i="1"/>
  <c r="T1825" i="1"/>
  <c r="U1825" i="1"/>
  <c r="BB1825" i="1"/>
  <c r="BD1825" i="1"/>
  <c r="CE1825" i="1"/>
  <c r="A1826" i="1"/>
  <c r="C1826" i="1"/>
  <c r="E1826" i="1"/>
  <c r="S1826" i="1"/>
  <c r="T1826" i="1"/>
  <c r="U1826" i="1"/>
  <c r="BB1826" i="1"/>
  <c r="BD1826" i="1"/>
  <c r="CE1826" i="1"/>
  <c r="A1827" i="1"/>
  <c r="C1827" i="1"/>
  <c r="E1827" i="1"/>
  <c r="S1827" i="1"/>
  <c r="T1827" i="1"/>
  <c r="U1827" i="1"/>
  <c r="BB1827" i="1"/>
  <c r="BD1827" i="1"/>
  <c r="CE1827" i="1"/>
  <c r="A1828" i="1"/>
  <c r="C1828" i="1"/>
  <c r="E1828" i="1"/>
  <c r="S1828" i="1"/>
  <c r="T1828" i="1"/>
  <c r="U1828" i="1"/>
  <c r="BB1828" i="1"/>
  <c r="BD1828" i="1"/>
  <c r="CE1828" i="1"/>
  <c r="A1829" i="1"/>
  <c r="C1829" i="1"/>
  <c r="E1829" i="1"/>
  <c r="S1829" i="1"/>
  <c r="T1829" i="1"/>
  <c r="U1829" i="1"/>
  <c r="BB1829" i="1"/>
  <c r="BD1829" i="1"/>
  <c r="CE1829" i="1"/>
  <c r="A1830" i="1"/>
  <c r="C1830" i="1"/>
  <c r="E1830" i="1"/>
  <c r="S1830" i="1"/>
  <c r="T1830" i="1"/>
  <c r="U1830" i="1"/>
  <c r="BB1830" i="1"/>
  <c r="BD1830" i="1"/>
  <c r="CE1830" i="1"/>
  <c r="A1831" i="1"/>
  <c r="C1831" i="1"/>
  <c r="E1831" i="1"/>
  <c r="S1831" i="1"/>
  <c r="T1831" i="1"/>
  <c r="U1831" i="1"/>
  <c r="BB1831" i="1"/>
  <c r="BD1831" i="1"/>
  <c r="CE1831" i="1"/>
  <c r="A1832" i="1"/>
  <c r="C1832" i="1"/>
  <c r="E1832" i="1"/>
  <c r="S1832" i="1"/>
  <c r="T1832" i="1"/>
  <c r="U1832" i="1"/>
  <c r="BB1832" i="1"/>
  <c r="BD1832" i="1"/>
  <c r="CE1832" i="1"/>
  <c r="A1833" i="1"/>
  <c r="C1833" i="1"/>
  <c r="E1833" i="1"/>
  <c r="S1833" i="1"/>
  <c r="T1833" i="1"/>
  <c r="U1833" i="1"/>
  <c r="BB1833" i="1"/>
  <c r="BD1833" i="1"/>
  <c r="CE1833" i="1"/>
  <c r="A1834" i="1"/>
  <c r="C1834" i="1"/>
  <c r="E1834" i="1"/>
  <c r="S1834" i="1"/>
  <c r="T1834" i="1"/>
  <c r="U1834" i="1"/>
  <c r="BB1834" i="1"/>
  <c r="BD1834" i="1"/>
  <c r="CE1834" i="1"/>
  <c r="A1835" i="1"/>
  <c r="C1835" i="1"/>
  <c r="E1835" i="1"/>
  <c r="S1835" i="1"/>
  <c r="T1835" i="1"/>
  <c r="U1835" i="1"/>
  <c r="BB1835" i="1"/>
  <c r="BD1835" i="1"/>
  <c r="CE1835" i="1"/>
  <c r="A1836" i="1"/>
  <c r="C1836" i="1"/>
  <c r="E1836" i="1"/>
  <c r="S1836" i="1"/>
  <c r="T1836" i="1"/>
  <c r="U1836" i="1"/>
  <c r="BB1836" i="1"/>
  <c r="BD1836" i="1"/>
  <c r="CE1836" i="1"/>
  <c r="A1837" i="1"/>
  <c r="C1837" i="1"/>
  <c r="E1837" i="1"/>
  <c r="S1837" i="1"/>
  <c r="T1837" i="1"/>
  <c r="U1837" i="1"/>
  <c r="BB1837" i="1"/>
  <c r="BD1837" i="1"/>
  <c r="CE1837" i="1"/>
  <c r="A1838" i="1"/>
  <c r="C1838" i="1"/>
  <c r="E1838" i="1"/>
  <c r="S1838" i="1"/>
  <c r="T1838" i="1"/>
  <c r="U1838" i="1"/>
  <c r="BB1838" i="1"/>
  <c r="BD1838" i="1"/>
  <c r="CE1838" i="1"/>
  <c r="A1839" i="1"/>
  <c r="C1839" i="1"/>
  <c r="E1839" i="1"/>
  <c r="S1839" i="1"/>
  <c r="T1839" i="1"/>
  <c r="U1839" i="1"/>
  <c r="BB1839" i="1"/>
  <c r="BD1839" i="1"/>
  <c r="CE1839" i="1"/>
  <c r="A1840" i="1"/>
  <c r="C1840" i="1"/>
  <c r="E1840" i="1"/>
  <c r="S1840" i="1"/>
  <c r="T1840" i="1"/>
  <c r="U1840" i="1"/>
  <c r="BB1840" i="1"/>
  <c r="BD1840" i="1"/>
  <c r="CE1840" i="1"/>
  <c r="A1841" i="1"/>
  <c r="C1841" i="1"/>
  <c r="E1841" i="1"/>
  <c r="S1841" i="1"/>
  <c r="T1841" i="1"/>
  <c r="U1841" i="1"/>
  <c r="BB1841" i="1"/>
  <c r="BD1841" i="1"/>
  <c r="CE1841" i="1"/>
  <c r="A1842" i="1"/>
  <c r="C1842" i="1"/>
  <c r="E1842" i="1"/>
  <c r="S1842" i="1"/>
  <c r="T1842" i="1"/>
  <c r="U1842" i="1"/>
  <c r="BB1842" i="1"/>
  <c r="BD1842" i="1"/>
  <c r="CE1842" i="1"/>
  <c r="A1843" i="1"/>
  <c r="C1843" i="1"/>
  <c r="E1843" i="1"/>
  <c r="S1843" i="1"/>
  <c r="T1843" i="1"/>
  <c r="U1843" i="1"/>
  <c r="BB1843" i="1"/>
  <c r="BD1843" i="1"/>
  <c r="CE1843" i="1"/>
  <c r="A1844" i="1"/>
  <c r="C1844" i="1"/>
  <c r="E1844" i="1"/>
  <c r="S1844" i="1"/>
  <c r="T1844" i="1"/>
  <c r="U1844" i="1"/>
  <c r="BB1844" i="1"/>
  <c r="BD1844" i="1"/>
  <c r="CE1844" i="1"/>
  <c r="A1845" i="1"/>
  <c r="C1845" i="1"/>
  <c r="E1845" i="1"/>
  <c r="S1845" i="1"/>
  <c r="T1845" i="1"/>
  <c r="U1845" i="1"/>
  <c r="BB1845" i="1"/>
  <c r="BD1845" i="1"/>
  <c r="CE1845" i="1"/>
  <c r="A1846" i="1"/>
  <c r="C1846" i="1"/>
  <c r="E1846" i="1"/>
  <c r="S1846" i="1"/>
  <c r="T1846" i="1"/>
  <c r="U1846" i="1"/>
  <c r="BB1846" i="1"/>
  <c r="BD1846" i="1"/>
  <c r="CE1846" i="1"/>
  <c r="A1847" i="1"/>
  <c r="C1847" i="1"/>
  <c r="E1847" i="1"/>
  <c r="S1847" i="1"/>
  <c r="T1847" i="1"/>
  <c r="U1847" i="1"/>
  <c r="BB1847" i="1"/>
  <c r="BD1847" i="1"/>
  <c r="CE1847" i="1"/>
  <c r="A1848" i="1"/>
  <c r="C1848" i="1"/>
  <c r="E1848" i="1"/>
  <c r="S1848" i="1"/>
  <c r="T1848" i="1"/>
  <c r="U1848" i="1"/>
  <c r="BB1848" i="1"/>
  <c r="BD1848" i="1"/>
  <c r="CE1848" i="1"/>
  <c r="A1849" i="1"/>
  <c r="C1849" i="1"/>
  <c r="E1849" i="1"/>
  <c r="S1849" i="1"/>
  <c r="T1849" i="1"/>
  <c r="U1849" i="1"/>
  <c r="BB1849" i="1"/>
  <c r="BD1849" i="1"/>
  <c r="CE1849" i="1"/>
  <c r="A1850" i="1"/>
  <c r="C1850" i="1"/>
  <c r="E1850" i="1"/>
  <c r="S1850" i="1"/>
  <c r="T1850" i="1"/>
  <c r="U1850" i="1"/>
  <c r="BB1850" i="1"/>
  <c r="BD1850" i="1"/>
  <c r="CE1850" i="1"/>
  <c r="A1851" i="1"/>
  <c r="C1851" i="1"/>
  <c r="E1851" i="1"/>
  <c r="S1851" i="1"/>
  <c r="T1851" i="1"/>
  <c r="U1851" i="1"/>
  <c r="BB1851" i="1"/>
  <c r="BD1851" i="1"/>
  <c r="CE1851" i="1"/>
  <c r="A1852" i="1"/>
  <c r="C1852" i="1"/>
  <c r="E1852" i="1"/>
  <c r="S1852" i="1"/>
  <c r="T1852" i="1"/>
  <c r="U1852" i="1"/>
  <c r="BB1852" i="1"/>
  <c r="BD1852" i="1"/>
  <c r="CE1852" i="1"/>
  <c r="A1853" i="1"/>
  <c r="C1853" i="1"/>
  <c r="E1853" i="1"/>
  <c r="S1853" i="1"/>
  <c r="T1853" i="1"/>
  <c r="U1853" i="1"/>
  <c r="BB1853" i="1"/>
  <c r="BD1853" i="1"/>
  <c r="CE1853" i="1"/>
  <c r="A1854" i="1"/>
  <c r="C1854" i="1"/>
  <c r="E1854" i="1"/>
  <c r="S1854" i="1"/>
  <c r="T1854" i="1"/>
  <c r="U1854" i="1"/>
  <c r="BB1854" i="1"/>
  <c r="BD1854" i="1"/>
  <c r="CE1854" i="1"/>
  <c r="A1855" i="1"/>
  <c r="C1855" i="1"/>
  <c r="E1855" i="1"/>
  <c r="S1855" i="1"/>
  <c r="T1855" i="1"/>
  <c r="U1855" i="1"/>
  <c r="BB1855" i="1"/>
  <c r="BD1855" i="1"/>
  <c r="CE1855" i="1"/>
  <c r="A1856" i="1"/>
  <c r="C1856" i="1"/>
  <c r="E1856" i="1"/>
  <c r="S1856" i="1"/>
  <c r="T1856" i="1"/>
  <c r="U1856" i="1"/>
  <c r="BB1856" i="1"/>
  <c r="BD1856" i="1"/>
  <c r="CE1856" i="1"/>
  <c r="A1857" i="1"/>
  <c r="C1857" i="1"/>
  <c r="E1857" i="1"/>
  <c r="S1857" i="1"/>
  <c r="T1857" i="1"/>
  <c r="U1857" i="1"/>
  <c r="BB1857" i="1"/>
  <c r="BD1857" i="1"/>
  <c r="CE1857" i="1"/>
  <c r="A1858" i="1"/>
  <c r="C1858" i="1"/>
  <c r="E1858" i="1"/>
  <c r="S1858" i="1"/>
  <c r="T1858" i="1"/>
  <c r="U1858" i="1"/>
  <c r="BB1858" i="1"/>
  <c r="BD1858" i="1"/>
  <c r="CE1858" i="1"/>
  <c r="A1859" i="1"/>
  <c r="C1859" i="1"/>
  <c r="E1859" i="1"/>
  <c r="S1859" i="1"/>
  <c r="T1859" i="1"/>
  <c r="U1859" i="1"/>
  <c r="BB1859" i="1"/>
  <c r="BD1859" i="1"/>
  <c r="CE1859" i="1"/>
  <c r="A1860" i="1"/>
  <c r="C1860" i="1"/>
  <c r="E1860" i="1"/>
  <c r="S1860" i="1"/>
  <c r="T1860" i="1"/>
  <c r="U1860" i="1"/>
  <c r="BB1860" i="1"/>
  <c r="BD1860" i="1"/>
  <c r="CE1860" i="1"/>
  <c r="A1861" i="1"/>
  <c r="C1861" i="1"/>
  <c r="E1861" i="1"/>
  <c r="S1861" i="1"/>
  <c r="T1861" i="1"/>
  <c r="U1861" i="1"/>
  <c r="BB1861" i="1"/>
  <c r="BD1861" i="1"/>
  <c r="CE1861" i="1"/>
  <c r="A1862" i="1"/>
  <c r="C1862" i="1"/>
  <c r="E1862" i="1"/>
  <c r="S1862" i="1"/>
  <c r="T1862" i="1"/>
  <c r="U1862" i="1"/>
  <c r="BB1862" i="1"/>
  <c r="BD1862" i="1"/>
  <c r="CE1862" i="1"/>
  <c r="A1863" i="1"/>
  <c r="C1863" i="1"/>
  <c r="E1863" i="1"/>
  <c r="S1863" i="1"/>
  <c r="T1863" i="1"/>
  <c r="U1863" i="1"/>
  <c r="BB1863" i="1"/>
  <c r="BD1863" i="1"/>
  <c r="CE1863" i="1"/>
  <c r="A1864" i="1"/>
  <c r="C1864" i="1"/>
  <c r="E1864" i="1"/>
  <c r="S1864" i="1"/>
  <c r="T1864" i="1"/>
  <c r="U1864" i="1"/>
  <c r="BB1864" i="1"/>
  <c r="BD1864" i="1"/>
  <c r="CE1864" i="1"/>
  <c r="A1865" i="1"/>
  <c r="C1865" i="1"/>
  <c r="E1865" i="1"/>
  <c r="S1865" i="1"/>
  <c r="T1865" i="1"/>
  <c r="U1865" i="1"/>
  <c r="BB1865" i="1"/>
  <c r="BD1865" i="1"/>
  <c r="CE1865" i="1"/>
  <c r="A1866" i="1"/>
  <c r="C1866" i="1"/>
  <c r="E1866" i="1"/>
  <c r="S1866" i="1"/>
  <c r="T1866" i="1"/>
  <c r="U1866" i="1"/>
  <c r="BB1866" i="1"/>
  <c r="BD1866" i="1"/>
  <c r="CE1866" i="1"/>
  <c r="A1867" i="1"/>
  <c r="C1867" i="1"/>
  <c r="E1867" i="1"/>
  <c r="S1867" i="1"/>
  <c r="T1867" i="1"/>
  <c r="U1867" i="1"/>
  <c r="BB1867" i="1"/>
  <c r="BD1867" i="1"/>
  <c r="CE1867" i="1"/>
  <c r="A1868" i="1"/>
  <c r="C1868" i="1"/>
  <c r="E1868" i="1"/>
  <c r="S1868" i="1"/>
  <c r="T1868" i="1"/>
  <c r="U1868" i="1"/>
  <c r="BB1868" i="1"/>
  <c r="BD1868" i="1"/>
  <c r="CE1868" i="1"/>
  <c r="A1869" i="1"/>
  <c r="C1869" i="1"/>
  <c r="E1869" i="1"/>
  <c r="S1869" i="1"/>
  <c r="T1869" i="1"/>
  <c r="U1869" i="1"/>
  <c r="BB1869" i="1"/>
  <c r="BD1869" i="1"/>
  <c r="CE1869" i="1"/>
  <c r="A1870" i="1"/>
  <c r="C1870" i="1"/>
  <c r="E1870" i="1"/>
  <c r="S1870" i="1"/>
  <c r="T1870" i="1"/>
  <c r="U1870" i="1"/>
  <c r="BB1870" i="1"/>
  <c r="BD1870" i="1"/>
  <c r="CE1870" i="1"/>
  <c r="A1871" i="1"/>
  <c r="C1871" i="1"/>
  <c r="E1871" i="1"/>
  <c r="S1871" i="1"/>
  <c r="T1871" i="1"/>
  <c r="U1871" i="1"/>
  <c r="BB1871" i="1"/>
  <c r="BD1871" i="1"/>
  <c r="CE1871" i="1"/>
  <c r="A1872" i="1"/>
  <c r="C1872" i="1"/>
  <c r="E1872" i="1"/>
  <c r="S1872" i="1"/>
  <c r="T1872" i="1"/>
  <c r="U1872" i="1"/>
  <c r="BB1872" i="1"/>
  <c r="BD1872" i="1"/>
  <c r="CE1872" i="1"/>
  <c r="A1873" i="1"/>
  <c r="C1873" i="1"/>
  <c r="E1873" i="1"/>
  <c r="S1873" i="1"/>
  <c r="T1873" i="1"/>
  <c r="U1873" i="1"/>
  <c r="BB1873" i="1"/>
  <c r="BD1873" i="1"/>
  <c r="CE1873" i="1"/>
  <c r="A1874" i="1"/>
  <c r="C1874" i="1"/>
  <c r="E1874" i="1"/>
  <c r="S1874" i="1"/>
  <c r="T1874" i="1"/>
  <c r="U1874" i="1"/>
  <c r="BB1874" i="1"/>
  <c r="BD1874" i="1"/>
  <c r="CE1874" i="1"/>
  <c r="A1875" i="1"/>
  <c r="C1875" i="1"/>
  <c r="E1875" i="1"/>
  <c r="S1875" i="1"/>
  <c r="T1875" i="1"/>
  <c r="U1875" i="1"/>
  <c r="BB1875" i="1"/>
  <c r="BD1875" i="1"/>
  <c r="CE1875" i="1"/>
  <c r="A1876" i="1"/>
  <c r="C1876" i="1"/>
  <c r="E1876" i="1"/>
  <c r="S1876" i="1"/>
  <c r="T1876" i="1"/>
  <c r="U1876" i="1"/>
  <c r="BB1876" i="1"/>
  <c r="BD1876" i="1"/>
  <c r="CE1876" i="1"/>
  <c r="A1877" i="1"/>
  <c r="C1877" i="1"/>
  <c r="E1877" i="1"/>
  <c r="S1877" i="1"/>
  <c r="T1877" i="1"/>
  <c r="U1877" i="1"/>
  <c r="BB1877" i="1"/>
  <c r="BD1877" i="1"/>
  <c r="CE1877" i="1"/>
  <c r="A1878" i="1"/>
  <c r="C1878" i="1"/>
  <c r="E1878" i="1"/>
  <c r="S1878" i="1"/>
  <c r="T1878" i="1"/>
  <c r="U1878" i="1"/>
  <c r="BB1878" i="1"/>
  <c r="BD1878" i="1"/>
  <c r="CE1878" i="1"/>
  <c r="A1879" i="1"/>
  <c r="C1879" i="1"/>
  <c r="E1879" i="1"/>
  <c r="S1879" i="1"/>
  <c r="T1879" i="1"/>
  <c r="U1879" i="1"/>
  <c r="BB1879" i="1"/>
  <c r="BD1879" i="1"/>
  <c r="CE1879" i="1"/>
  <c r="A1880" i="1"/>
  <c r="C1880" i="1"/>
  <c r="E1880" i="1"/>
  <c r="S1880" i="1"/>
  <c r="T1880" i="1"/>
  <c r="U1880" i="1"/>
  <c r="BB1880" i="1"/>
  <c r="BD1880" i="1"/>
  <c r="CE1880" i="1"/>
  <c r="A1881" i="1"/>
  <c r="C1881" i="1"/>
  <c r="E1881" i="1"/>
  <c r="S1881" i="1"/>
  <c r="T1881" i="1"/>
  <c r="U1881" i="1"/>
  <c r="BB1881" i="1"/>
  <c r="BD1881" i="1"/>
  <c r="CE1881" i="1"/>
  <c r="A1882" i="1"/>
  <c r="C1882" i="1"/>
  <c r="E1882" i="1"/>
  <c r="S1882" i="1"/>
  <c r="T1882" i="1"/>
  <c r="U1882" i="1"/>
  <c r="BB1882" i="1"/>
  <c r="BD1882" i="1"/>
  <c r="CE1882" i="1"/>
  <c r="A1883" i="1"/>
  <c r="C1883" i="1"/>
  <c r="E1883" i="1"/>
  <c r="S1883" i="1"/>
  <c r="T1883" i="1"/>
  <c r="U1883" i="1"/>
  <c r="BB1883" i="1"/>
  <c r="BD1883" i="1"/>
  <c r="CE1883" i="1"/>
  <c r="A1884" i="1"/>
  <c r="C1884" i="1"/>
  <c r="E1884" i="1"/>
  <c r="S1884" i="1"/>
  <c r="T1884" i="1"/>
  <c r="U1884" i="1"/>
  <c r="BB1884" i="1"/>
  <c r="BD1884" i="1"/>
  <c r="CE1884" i="1"/>
  <c r="A1885" i="1"/>
  <c r="C1885" i="1"/>
  <c r="E1885" i="1"/>
  <c r="S1885" i="1"/>
  <c r="T1885" i="1"/>
  <c r="U1885" i="1"/>
  <c r="BB1885" i="1"/>
  <c r="BD1885" i="1"/>
  <c r="CE1885" i="1"/>
  <c r="A1886" i="1"/>
  <c r="C1886" i="1"/>
  <c r="E1886" i="1"/>
  <c r="S1886" i="1"/>
  <c r="T1886" i="1"/>
  <c r="U1886" i="1"/>
  <c r="BB1886" i="1"/>
  <c r="BD1886" i="1"/>
  <c r="CE1886" i="1"/>
  <c r="A1887" i="1"/>
  <c r="C1887" i="1"/>
  <c r="E1887" i="1"/>
  <c r="S1887" i="1"/>
  <c r="T1887" i="1"/>
  <c r="U1887" i="1"/>
  <c r="BB1887" i="1"/>
  <c r="BD1887" i="1"/>
  <c r="CE1887" i="1"/>
  <c r="A1888" i="1"/>
  <c r="C1888" i="1"/>
  <c r="E1888" i="1"/>
  <c r="S1888" i="1"/>
  <c r="T1888" i="1"/>
  <c r="U1888" i="1"/>
  <c r="BB1888" i="1"/>
  <c r="BD1888" i="1"/>
  <c r="CE1888" i="1"/>
  <c r="A1889" i="1"/>
  <c r="C1889" i="1"/>
  <c r="E1889" i="1"/>
  <c r="S1889" i="1"/>
  <c r="T1889" i="1"/>
  <c r="U1889" i="1"/>
  <c r="BB1889" i="1"/>
  <c r="BD1889" i="1"/>
  <c r="CE1889" i="1"/>
  <c r="A1890" i="1"/>
  <c r="C1890" i="1"/>
  <c r="E1890" i="1"/>
  <c r="S1890" i="1"/>
  <c r="T1890" i="1"/>
  <c r="U1890" i="1"/>
  <c r="BB1890" i="1"/>
  <c r="BD1890" i="1"/>
  <c r="CE1890" i="1"/>
  <c r="A1891" i="1"/>
  <c r="C1891" i="1"/>
  <c r="E1891" i="1"/>
  <c r="S1891" i="1"/>
  <c r="T1891" i="1"/>
  <c r="U1891" i="1"/>
  <c r="BB1891" i="1"/>
  <c r="BD1891" i="1"/>
  <c r="CE1891" i="1"/>
  <c r="A1892" i="1"/>
  <c r="C1892" i="1"/>
  <c r="E1892" i="1"/>
  <c r="S1892" i="1"/>
  <c r="T1892" i="1"/>
  <c r="U1892" i="1"/>
  <c r="BB1892" i="1"/>
  <c r="BD1892" i="1"/>
  <c r="CE1892" i="1"/>
  <c r="A1893" i="1"/>
  <c r="C1893" i="1"/>
  <c r="E1893" i="1"/>
  <c r="S1893" i="1"/>
  <c r="T1893" i="1"/>
  <c r="U1893" i="1"/>
  <c r="BB1893" i="1"/>
  <c r="BD1893" i="1"/>
  <c r="CE1893" i="1"/>
  <c r="A1894" i="1"/>
  <c r="C1894" i="1"/>
  <c r="E1894" i="1"/>
  <c r="S1894" i="1"/>
  <c r="T1894" i="1"/>
  <c r="U1894" i="1"/>
  <c r="BB1894" i="1"/>
  <c r="BD1894" i="1"/>
  <c r="CE1894" i="1"/>
  <c r="A1895" i="1"/>
  <c r="C1895" i="1"/>
  <c r="E1895" i="1"/>
  <c r="S1895" i="1"/>
  <c r="T1895" i="1"/>
  <c r="U1895" i="1"/>
  <c r="BB1895" i="1"/>
  <c r="BD1895" i="1"/>
  <c r="CE1895" i="1"/>
  <c r="A1896" i="1"/>
  <c r="C1896" i="1"/>
  <c r="E1896" i="1"/>
  <c r="S1896" i="1"/>
  <c r="T1896" i="1"/>
  <c r="U1896" i="1"/>
  <c r="BB1896" i="1"/>
  <c r="BD1896" i="1"/>
  <c r="CE1896" i="1"/>
  <c r="A1897" i="1"/>
  <c r="C1897" i="1"/>
  <c r="E1897" i="1"/>
  <c r="S1897" i="1"/>
  <c r="T1897" i="1"/>
  <c r="U1897" i="1"/>
  <c r="BB1897" i="1"/>
  <c r="BD1897" i="1"/>
  <c r="CE1897" i="1"/>
  <c r="A1898" i="1"/>
  <c r="C1898" i="1"/>
  <c r="E1898" i="1"/>
  <c r="S1898" i="1"/>
  <c r="T1898" i="1"/>
  <c r="U1898" i="1"/>
  <c r="BB1898" i="1"/>
  <c r="BD1898" i="1"/>
  <c r="CE1898" i="1"/>
  <c r="A1899" i="1"/>
  <c r="C1899" i="1"/>
  <c r="E1899" i="1"/>
  <c r="S1899" i="1"/>
  <c r="T1899" i="1"/>
  <c r="U1899" i="1"/>
  <c r="BB1899" i="1"/>
  <c r="BD1899" i="1"/>
  <c r="CE1899" i="1"/>
  <c r="A1900" i="1"/>
  <c r="C1900" i="1"/>
  <c r="E1900" i="1"/>
  <c r="S1900" i="1"/>
  <c r="T1900" i="1"/>
  <c r="U1900" i="1"/>
  <c r="BB1900" i="1"/>
  <c r="BD1900" i="1"/>
  <c r="CE1900" i="1"/>
  <c r="A1901" i="1"/>
  <c r="C1901" i="1"/>
  <c r="E1901" i="1"/>
  <c r="S1901" i="1"/>
  <c r="T1901" i="1"/>
  <c r="U1901" i="1"/>
  <c r="BB1901" i="1"/>
  <c r="BD1901" i="1"/>
  <c r="CE1901" i="1"/>
  <c r="A1902" i="1"/>
  <c r="C1902" i="1"/>
  <c r="E1902" i="1"/>
  <c r="S1902" i="1"/>
  <c r="T1902" i="1"/>
  <c r="U1902" i="1"/>
  <c r="BB1902" i="1"/>
  <c r="BD1902" i="1"/>
  <c r="CE1902" i="1"/>
  <c r="A1903" i="1"/>
  <c r="C1903" i="1"/>
  <c r="E1903" i="1"/>
  <c r="S1903" i="1"/>
  <c r="T1903" i="1"/>
  <c r="U1903" i="1"/>
  <c r="BB1903" i="1"/>
  <c r="BD1903" i="1"/>
  <c r="CE1903" i="1"/>
  <c r="A1904" i="1"/>
  <c r="C1904" i="1"/>
  <c r="E1904" i="1"/>
  <c r="S1904" i="1"/>
  <c r="T1904" i="1"/>
  <c r="U1904" i="1"/>
  <c r="BB1904" i="1"/>
  <c r="BD1904" i="1"/>
  <c r="CE1904" i="1"/>
  <c r="A1905" i="1"/>
  <c r="C1905" i="1"/>
  <c r="E1905" i="1"/>
  <c r="S1905" i="1"/>
  <c r="T1905" i="1"/>
  <c r="U1905" i="1"/>
  <c r="BB1905" i="1"/>
  <c r="BD1905" i="1"/>
  <c r="CE1905" i="1"/>
  <c r="A1906" i="1"/>
  <c r="C1906" i="1"/>
  <c r="E1906" i="1"/>
  <c r="S1906" i="1"/>
  <c r="T1906" i="1"/>
  <c r="U1906" i="1"/>
  <c r="BB1906" i="1"/>
  <c r="BD1906" i="1"/>
  <c r="CE1906" i="1"/>
  <c r="A1907" i="1"/>
  <c r="C1907" i="1"/>
  <c r="E1907" i="1"/>
  <c r="S1907" i="1"/>
  <c r="T1907" i="1"/>
  <c r="U1907" i="1"/>
  <c r="BB1907" i="1"/>
  <c r="BD1907" i="1"/>
  <c r="CE1907" i="1"/>
  <c r="A1908" i="1"/>
  <c r="C1908" i="1"/>
  <c r="E1908" i="1"/>
  <c r="S1908" i="1"/>
  <c r="T1908" i="1"/>
  <c r="U1908" i="1"/>
  <c r="BB1908" i="1"/>
  <c r="BD1908" i="1"/>
  <c r="CE1908" i="1"/>
  <c r="A1909" i="1"/>
  <c r="C1909" i="1"/>
  <c r="E1909" i="1"/>
  <c r="S1909" i="1"/>
  <c r="T1909" i="1"/>
  <c r="U1909" i="1"/>
  <c r="BB1909" i="1"/>
  <c r="BD1909" i="1"/>
  <c r="CE1909" i="1"/>
  <c r="A1910" i="1"/>
  <c r="C1910" i="1"/>
  <c r="E1910" i="1"/>
  <c r="S1910" i="1"/>
  <c r="T1910" i="1"/>
  <c r="U1910" i="1"/>
  <c r="BB1910" i="1"/>
  <c r="BD1910" i="1"/>
  <c r="CE1910" i="1"/>
  <c r="A1911" i="1"/>
  <c r="C1911" i="1"/>
  <c r="E1911" i="1"/>
  <c r="S1911" i="1"/>
  <c r="T1911" i="1"/>
  <c r="U1911" i="1"/>
  <c r="BB1911" i="1"/>
  <c r="BD1911" i="1"/>
  <c r="CE1911" i="1"/>
  <c r="A1912" i="1"/>
  <c r="C1912" i="1"/>
  <c r="E1912" i="1"/>
  <c r="S1912" i="1"/>
  <c r="T1912" i="1"/>
  <c r="U1912" i="1"/>
  <c r="BB1912" i="1"/>
  <c r="BD1912" i="1"/>
  <c r="CE1912" i="1"/>
  <c r="A1913" i="1"/>
  <c r="C1913" i="1"/>
  <c r="E1913" i="1"/>
  <c r="S1913" i="1"/>
  <c r="T1913" i="1"/>
  <c r="U1913" i="1"/>
  <c r="BB1913" i="1"/>
  <c r="BD1913" i="1"/>
  <c r="CE1913" i="1"/>
  <c r="A1914" i="1"/>
  <c r="C1914" i="1"/>
  <c r="E1914" i="1"/>
  <c r="S1914" i="1"/>
  <c r="T1914" i="1"/>
  <c r="U1914" i="1"/>
  <c r="BB1914" i="1"/>
  <c r="BD1914" i="1"/>
  <c r="CE1914" i="1"/>
  <c r="A1915" i="1"/>
  <c r="C1915" i="1"/>
  <c r="E1915" i="1"/>
  <c r="S1915" i="1"/>
  <c r="T1915" i="1"/>
  <c r="U1915" i="1"/>
  <c r="BB1915" i="1"/>
  <c r="BD1915" i="1"/>
  <c r="CE1915" i="1"/>
  <c r="A1916" i="1"/>
  <c r="C1916" i="1"/>
  <c r="E1916" i="1"/>
  <c r="S1916" i="1"/>
  <c r="T1916" i="1"/>
  <c r="U1916" i="1"/>
  <c r="BB1916" i="1"/>
  <c r="BD1916" i="1"/>
  <c r="CE1916" i="1"/>
  <c r="A1917" i="1"/>
  <c r="C1917" i="1"/>
  <c r="E1917" i="1"/>
  <c r="S1917" i="1"/>
  <c r="T1917" i="1"/>
  <c r="U1917" i="1"/>
  <c r="BB1917" i="1"/>
  <c r="BD1917" i="1"/>
  <c r="CE1917" i="1"/>
  <c r="A1918" i="1"/>
  <c r="C1918" i="1"/>
  <c r="E1918" i="1"/>
  <c r="S1918" i="1"/>
  <c r="T1918" i="1"/>
  <c r="U1918" i="1"/>
  <c r="BB1918" i="1"/>
  <c r="BD1918" i="1"/>
  <c r="CE1918" i="1"/>
  <c r="A1919" i="1"/>
  <c r="C1919" i="1"/>
  <c r="E1919" i="1"/>
  <c r="S1919" i="1"/>
  <c r="T1919" i="1"/>
  <c r="U1919" i="1"/>
  <c r="BB1919" i="1"/>
  <c r="BD1919" i="1"/>
  <c r="CE1919" i="1"/>
  <c r="A1920" i="1"/>
  <c r="C1920" i="1"/>
  <c r="E1920" i="1"/>
  <c r="S1920" i="1"/>
  <c r="T1920" i="1"/>
  <c r="U1920" i="1"/>
  <c r="BB1920" i="1"/>
  <c r="BD1920" i="1"/>
  <c r="CE1920" i="1"/>
  <c r="A1921" i="1"/>
  <c r="C1921" i="1"/>
  <c r="E1921" i="1"/>
  <c r="S1921" i="1"/>
  <c r="T1921" i="1"/>
  <c r="U1921" i="1"/>
  <c r="BB1921" i="1"/>
  <c r="BD1921" i="1"/>
  <c r="CE1921" i="1"/>
  <c r="A1922" i="1"/>
  <c r="C1922" i="1"/>
  <c r="E1922" i="1"/>
  <c r="S1922" i="1"/>
  <c r="T1922" i="1"/>
  <c r="U1922" i="1"/>
  <c r="BB1922" i="1"/>
  <c r="BD1922" i="1"/>
  <c r="CE1922" i="1"/>
  <c r="A1923" i="1"/>
  <c r="C1923" i="1"/>
  <c r="E1923" i="1"/>
  <c r="S1923" i="1"/>
  <c r="T1923" i="1"/>
  <c r="U1923" i="1"/>
  <c r="BB1923" i="1"/>
  <c r="BD1923" i="1"/>
  <c r="CE1923" i="1"/>
  <c r="A1924" i="1"/>
  <c r="C1924" i="1"/>
  <c r="E1924" i="1"/>
  <c r="S1924" i="1"/>
  <c r="T1924" i="1"/>
  <c r="U1924" i="1"/>
  <c r="BB1924" i="1"/>
  <c r="BD1924" i="1"/>
  <c r="CE1924" i="1"/>
  <c r="A1925" i="1"/>
  <c r="C1925" i="1"/>
  <c r="E1925" i="1"/>
  <c r="S1925" i="1"/>
  <c r="T1925" i="1"/>
  <c r="U1925" i="1"/>
  <c r="BB1925" i="1"/>
  <c r="BD1925" i="1"/>
  <c r="CE1925" i="1"/>
  <c r="A1926" i="1"/>
  <c r="C1926" i="1"/>
  <c r="E1926" i="1"/>
  <c r="S1926" i="1"/>
  <c r="T1926" i="1"/>
  <c r="U1926" i="1"/>
  <c r="BB1926" i="1"/>
  <c r="BD1926" i="1"/>
  <c r="CE1926" i="1"/>
  <c r="A1927" i="1"/>
  <c r="C1927" i="1"/>
  <c r="E1927" i="1"/>
  <c r="S1927" i="1"/>
  <c r="T1927" i="1"/>
  <c r="U1927" i="1"/>
  <c r="BB1927" i="1"/>
  <c r="BD1927" i="1"/>
  <c r="CE1927" i="1"/>
  <c r="A1928" i="1"/>
  <c r="C1928" i="1"/>
  <c r="E1928" i="1"/>
  <c r="S1928" i="1"/>
  <c r="T1928" i="1"/>
  <c r="U1928" i="1"/>
  <c r="BB1928" i="1"/>
  <c r="BD1928" i="1"/>
  <c r="CE1928" i="1"/>
  <c r="A1929" i="1"/>
  <c r="C1929" i="1"/>
  <c r="E1929" i="1"/>
  <c r="S1929" i="1"/>
  <c r="T1929" i="1"/>
  <c r="U1929" i="1"/>
  <c r="BB1929" i="1"/>
  <c r="BD1929" i="1"/>
  <c r="CE1929" i="1"/>
  <c r="A1930" i="1"/>
  <c r="C1930" i="1"/>
  <c r="E1930" i="1"/>
  <c r="S1930" i="1"/>
  <c r="T1930" i="1"/>
  <c r="U1930" i="1"/>
  <c r="BB1930" i="1"/>
  <c r="BD1930" i="1"/>
  <c r="CE1930" i="1"/>
  <c r="A1931" i="1"/>
  <c r="C1931" i="1"/>
  <c r="E1931" i="1"/>
  <c r="S1931" i="1"/>
  <c r="T1931" i="1"/>
  <c r="U1931" i="1"/>
  <c r="BB1931" i="1"/>
  <c r="BD1931" i="1"/>
  <c r="CE1931" i="1"/>
  <c r="A1932" i="1"/>
  <c r="C1932" i="1"/>
  <c r="E1932" i="1"/>
  <c r="S1932" i="1"/>
  <c r="T1932" i="1"/>
  <c r="U1932" i="1"/>
  <c r="BB1932" i="1"/>
  <c r="BD1932" i="1"/>
  <c r="CE1932" i="1"/>
  <c r="A1933" i="1"/>
  <c r="C1933" i="1"/>
  <c r="E1933" i="1"/>
  <c r="S1933" i="1"/>
  <c r="T1933" i="1"/>
  <c r="U1933" i="1"/>
  <c r="BB1933" i="1"/>
  <c r="BD1933" i="1"/>
  <c r="CE1933" i="1"/>
  <c r="A1934" i="1"/>
  <c r="C1934" i="1"/>
  <c r="E1934" i="1"/>
  <c r="S1934" i="1"/>
  <c r="T1934" i="1"/>
  <c r="U1934" i="1"/>
  <c r="BB1934" i="1"/>
  <c r="BD1934" i="1"/>
  <c r="CE1934" i="1"/>
  <c r="A1935" i="1"/>
  <c r="C1935" i="1"/>
  <c r="E1935" i="1"/>
  <c r="S1935" i="1"/>
  <c r="T1935" i="1"/>
  <c r="U1935" i="1"/>
  <c r="BB1935" i="1"/>
  <c r="BD1935" i="1"/>
  <c r="CE1935" i="1"/>
  <c r="A1936" i="1"/>
  <c r="C1936" i="1"/>
  <c r="E1936" i="1"/>
  <c r="S1936" i="1"/>
  <c r="T1936" i="1"/>
  <c r="U1936" i="1"/>
  <c r="BB1936" i="1"/>
  <c r="BD1936" i="1"/>
  <c r="CE1936" i="1"/>
  <c r="A1937" i="1"/>
  <c r="C1937" i="1"/>
  <c r="E1937" i="1"/>
  <c r="S1937" i="1"/>
  <c r="T1937" i="1"/>
  <c r="U1937" i="1"/>
  <c r="BB1937" i="1"/>
  <c r="BD1937" i="1"/>
  <c r="CE1937" i="1"/>
  <c r="A1938" i="1"/>
  <c r="C1938" i="1"/>
  <c r="E1938" i="1"/>
  <c r="S1938" i="1"/>
  <c r="T1938" i="1"/>
  <c r="U1938" i="1"/>
  <c r="BB1938" i="1"/>
  <c r="BD1938" i="1"/>
  <c r="CE1938" i="1"/>
  <c r="A1939" i="1"/>
  <c r="C1939" i="1"/>
  <c r="E1939" i="1"/>
  <c r="S1939" i="1"/>
  <c r="T1939" i="1"/>
  <c r="U1939" i="1"/>
  <c r="BB1939" i="1"/>
  <c r="BD1939" i="1"/>
  <c r="CE1939" i="1"/>
  <c r="A1940" i="1"/>
  <c r="C1940" i="1"/>
  <c r="E1940" i="1"/>
  <c r="S1940" i="1"/>
  <c r="T1940" i="1"/>
  <c r="U1940" i="1"/>
  <c r="BB1940" i="1"/>
  <c r="BD1940" i="1"/>
  <c r="CE1940" i="1"/>
  <c r="A1941" i="1"/>
  <c r="C1941" i="1"/>
  <c r="E1941" i="1"/>
  <c r="S1941" i="1"/>
  <c r="T1941" i="1"/>
  <c r="U1941" i="1"/>
  <c r="BB1941" i="1"/>
  <c r="BD1941" i="1"/>
  <c r="CE1941" i="1"/>
  <c r="A1942" i="1"/>
  <c r="C1942" i="1"/>
  <c r="E1942" i="1"/>
  <c r="S1942" i="1"/>
  <c r="T1942" i="1"/>
  <c r="U1942" i="1"/>
  <c r="BB1942" i="1"/>
  <c r="BD1942" i="1"/>
  <c r="CE1942" i="1"/>
  <c r="A1943" i="1"/>
  <c r="C1943" i="1"/>
  <c r="E1943" i="1"/>
  <c r="S1943" i="1"/>
  <c r="T1943" i="1"/>
  <c r="U1943" i="1"/>
  <c r="BB1943" i="1"/>
  <c r="BD1943" i="1"/>
  <c r="CE1943" i="1"/>
  <c r="A1944" i="1"/>
  <c r="C1944" i="1"/>
  <c r="E1944" i="1"/>
  <c r="S1944" i="1"/>
  <c r="T1944" i="1"/>
  <c r="U1944" i="1"/>
  <c r="BB1944" i="1"/>
  <c r="BD1944" i="1"/>
  <c r="CE1944" i="1"/>
  <c r="A1945" i="1"/>
  <c r="C1945" i="1"/>
  <c r="E1945" i="1"/>
  <c r="S1945" i="1"/>
  <c r="T1945" i="1"/>
  <c r="U1945" i="1"/>
  <c r="BB1945" i="1"/>
  <c r="BD1945" i="1"/>
  <c r="CE1945" i="1"/>
  <c r="A1946" i="1"/>
  <c r="C1946" i="1"/>
  <c r="E1946" i="1"/>
  <c r="S1946" i="1"/>
  <c r="T1946" i="1"/>
  <c r="U1946" i="1"/>
  <c r="BB1946" i="1"/>
  <c r="BD1946" i="1"/>
  <c r="CE1946" i="1"/>
  <c r="A1947" i="1"/>
  <c r="C1947" i="1"/>
  <c r="E1947" i="1"/>
  <c r="S1947" i="1"/>
  <c r="T1947" i="1"/>
  <c r="U1947" i="1"/>
  <c r="BB1947" i="1"/>
  <c r="BD1947" i="1"/>
  <c r="CE1947" i="1"/>
  <c r="A1948" i="1"/>
  <c r="C1948" i="1"/>
  <c r="E1948" i="1"/>
  <c r="S1948" i="1"/>
  <c r="T1948" i="1"/>
  <c r="U1948" i="1"/>
  <c r="BB1948" i="1"/>
  <c r="BD1948" i="1"/>
  <c r="CE1948" i="1"/>
  <c r="A1949" i="1"/>
  <c r="C1949" i="1"/>
  <c r="E1949" i="1"/>
  <c r="S1949" i="1"/>
  <c r="T1949" i="1"/>
  <c r="U1949" i="1"/>
  <c r="BB1949" i="1"/>
  <c r="BD1949" i="1"/>
  <c r="CE1949" i="1"/>
  <c r="A1950" i="1"/>
  <c r="C1950" i="1"/>
  <c r="E1950" i="1"/>
  <c r="S1950" i="1"/>
  <c r="T1950" i="1"/>
  <c r="U1950" i="1"/>
  <c r="BB1950" i="1"/>
  <c r="BD1950" i="1"/>
  <c r="CE1950" i="1"/>
  <c r="A1951" i="1"/>
  <c r="C1951" i="1"/>
  <c r="E1951" i="1"/>
  <c r="S1951" i="1"/>
  <c r="T1951" i="1"/>
  <c r="U1951" i="1"/>
  <c r="BB1951" i="1"/>
  <c r="BD1951" i="1"/>
  <c r="CE1951" i="1"/>
  <c r="A1952" i="1"/>
  <c r="C1952" i="1"/>
  <c r="E1952" i="1"/>
  <c r="S1952" i="1"/>
  <c r="T1952" i="1"/>
  <c r="U1952" i="1"/>
  <c r="BB1952" i="1"/>
  <c r="BD1952" i="1"/>
  <c r="CE1952" i="1"/>
  <c r="A1953" i="1"/>
  <c r="C1953" i="1"/>
  <c r="E1953" i="1"/>
  <c r="S1953" i="1"/>
  <c r="T1953" i="1"/>
  <c r="U1953" i="1"/>
  <c r="BB1953" i="1"/>
  <c r="BD1953" i="1"/>
  <c r="CE1953" i="1"/>
  <c r="A1954" i="1"/>
  <c r="C1954" i="1"/>
  <c r="E1954" i="1"/>
  <c r="S1954" i="1"/>
  <c r="T1954" i="1"/>
  <c r="U1954" i="1"/>
  <c r="BB1954" i="1"/>
  <c r="BD1954" i="1"/>
  <c r="CE1954" i="1"/>
  <c r="A1955" i="1"/>
  <c r="C1955" i="1"/>
  <c r="E1955" i="1"/>
  <c r="S1955" i="1"/>
  <c r="T1955" i="1"/>
  <c r="U1955" i="1"/>
  <c r="BB1955" i="1"/>
  <c r="BD1955" i="1"/>
  <c r="CE1955" i="1"/>
  <c r="A1956" i="1"/>
  <c r="C1956" i="1"/>
  <c r="E1956" i="1"/>
  <c r="S1956" i="1"/>
  <c r="T1956" i="1"/>
  <c r="U1956" i="1"/>
  <c r="BB1956" i="1"/>
  <c r="BD1956" i="1"/>
  <c r="CE1956" i="1"/>
  <c r="A1957" i="1"/>
  <c r="C1957" i="1"/>
  <c r="E1957" i="1"/>
  <c r="S1957" i="1"/>
  <c r="T1957" i="1"/>
  <c r="U1957" i="1"/>
  <c r="BB1957" i="1"/>
  <c r="BD1957" i="1"/>
  <c r="CE1957" i="1"/>
  <c r="A1958" i="1"/>
  <c r="C1958" i="1"/>
  <c r="E1958" i="1"/>
  <c r="S1958" i="1"/>
  <c r="T1958" i="1"/>
  <c r="U1958" i="1"/>
  <c r="BB1958" i="1"/>
  <c r="BD1958" i="1"/>
  <c r="CE1958" i="1"/>
  <c r="A1959" i="1"/>
  <c r="C1959" i="1"/>
  <c r="E1959" i="1"/>
  <c r="S1959" i="1"/>
  <c r="T1959" i="1"/>
  <c r="U1959" i="1"/>
  <c r="BB1959" i="1"/>
  <c r="BD1959" i="1"/>
  <c r="CE1959" i="1"/>
  <c r="A1960" i="1"/>
  <c r="C1960" i="1"/>
  <c r="E1960" i="1"/>
  <c r="S1960" i="1"/>
  <c r="T1960" i="1"/>
  <c r="U1960" i="1"/>
  <c r="BB1960" i="1"/>
  <c r="BD1960" i="1"/>
  <c r="CE1960" i="1"/>
  <c r="A1961" i="1"/>
  <c r="C1961" i="1"/>
  <c r="E1961" i="1"/>
  <c r="S1961" i="1"/>
  <c r="T1961" i="1"/>
  <c r="U1961" i="1"/>
  <c r="BB1961" i="1"/>
  <c r="BD1961" i="1"/>
  <c r="CE1961" i="1"/>
  <c r="A1962" i="1"/>
  <c r="C1962" i="1"/>
  <c r="E1962" i="1"/>
  <c r="S1962" i="1"/>
  <c r="T1962" i="1"/>
  <c r="U1962" i="1"/>
  <c r="BB1962" i="1"/>
  <c r="BD1962" i="1"/>
  <c r="CE1962" i="1"/>
  <c r="A1963" i="1"/>
  <c r="C1963" i="1"/>
  <c r="E1963" i="1"/>
  <c r="S1963" i="1"/>
  <c r="T1963" i="1"/>
  <c r="U1963" i="1"/>
  <c r="BB1963" i="1"/>
  <c r="BD1963" i="1"/>
  <c r="CE1963" i="1"/>
  <c r="A1964" i="1"/>
  <c r="C1964" i="1"/>
  <c r="E1964" i="1"/>
  <c r="S1964" i="1"/>
  <c r="T1964" i="1"/>
  <c r="U1964" i="1"/>
  <c r="BB1964" i="1"/>
  <c r="BD1964" i="1"/>
  <c r="CE1964" i="1"/>
  <c r="A1965" i="1"/>
  <c r="C1965" i="1"/>
  <c r="E1965" i="1"/>
  <c r="S1965" i="1"/>
  <c r="T1965" i="1"/>
  <c r="U1965" i="1"/>
  <c r="BB1965" i="1"/>
  <c r="BD1965" i="1"/>
  <c r="CE1965" i="1"/>
  <c r="A1966" i="1"/>
  <c r="C1966" i="1"/>
  <c r="E1966" i="1"/>
  <c r="S1966" i="1"/>
  <c r="T1966" i="1"/>
  <c r="U1966" i="1"/>
  <c r="BB1966" i="1"/>
  <c r="BD1966" i="1"/>
  <c r="CE1966" i="1"/>
  <c r="A1967" i="1"/>
  <c r="C1967" i="1"/>
  <c r="E1967" i="1"/>
  <c r="S1967" i="1"/>
  <c r="T1967" i="1"/>
  <c r="U1967" i="1"/>
  <c r="BB1967" i="1"/>
  <c r="BD1967" i="1"/>
  <c r="CE1967" i="1"/>
  <c r="A1968" i="1"/>
  <c r="C1968" i="1"/>
  <c r="E1968" i="1"/>
  <c r="S1968" i="1"/>
  <c r="T1968" i="1"/>
  <c r="U1968" i="1"/>
  <c r="BB1968" i="1"/>
  <c r="BD1968" i="1"/>
  <c r="CE1968" i="1"/>
  <c r="A1969" i="1"/>
  <c r="C1969" i="1"/>
  <c r="E1969" i="1"/>
  <c r="S1969" i="1"/>
  <c r="T1969" i="1"/>
  <c r="U1969" i="1"/>
  <c r="BB1969" i="1"/>
  <c r="BD1969" i="1"/>
  <c r="CE1969" i="1"/>
  <c r="A1970" i="1"/>
  <c r="C1970" i="1"/>
  <c r="E1970" i="1"/>
  <c r="S1970" i="1"/>
  <c r="T1970" i="1"/>
  <c r="U1970" i="1"/>
  <c r="BB1970" i="1"/>
  <c r="BD1970" i="1"/>
  <c r="CE1970" i="1"/>
  <c r="A1971" i="1"/>
  <c r="C1971" i="1"/>
  <c r="E1971" i="1"/>
  <c r="S1971" i="1"/>
  <c r="T1971" i="1"/>
  <c r="U1971" i="1"/>
  <c r="BB1971" i="1"/>
  <c r="BD1971" i="1"/>
  <c r="CE1971" i="1"/>
  <c r="A1972" i="1"/>
  <c r="C1972" i="1"/>
  <c r="E1972" i="1"/>
  <c r="S1972" i="1"/>
  <c r="T1972" i="1"/>
  <c r="U1972" i="1"/>
  <c r="BB1972" i="1"/>
  <c r="BD1972" i="1"/>
  <c r="CE1972" i="1"/>
  <c r="A1973" i="1"/>
  <c r="C1973" i="1"/>
  <c r="E1973" i="1"/>
  <c r="S1973" i="1"/>
  <c r="T1973" i="1"/>
  <c r="U1973" i="1"/>
  <c r="BB1973" i="1"/>
  <c r="BD1973" i="1"/>
  <c r="CE1973" i="1"/>
  <c r="A1974" i="1"/>
  <c r="C1974" i="1"/>
  <c r="E1974" i="1"/>
  <c r="S1974" i="1"/>
  <c r="T1974" i="1"/>
  <c r="U1974" i="1"/>
  <c r="BB1974" i="1"/>
  <c r="BD1974" i="1"/>
  <c r="CE1974" i="1"/>
  <c r="A1975" i="1"/>
  <c r="C1975" i="1"/>
  <c r="E1975" i="1"/>
  <c r="S1975" i="1"/>
  <c r="T1975" i="1"/>
  <c r="U1975" i="1"/>
  <c r="BB1975" i="1"/>
  <c r="BD1975" i="1"/>
  <c r="CE1975" i="1"/>
  <c r="A1976" i="1"/>
  <c r="C1976" i="1"/>
  <c r="E1976" i="1"/>
  <c r="S1976" i="1"/>
  <c r="T1976" i="1"/>
  <c r="U1976" i="1"/>
  <c r="BB1976" i="1"/>
  <c r="BD1976" i="1"/>
  <c r="CE1976" i="1"/>
  <c r="A1977" i="1"/>
  <c r="C1977" i="1"/>
  <c r="E1977" i="1"/>
  <c r="S1977" i="1"/>
  <c r="T1977" i="1"/>
  <c r="U1977" i="1"/>
  <c r="BB1977" i="1"/>
  <c r="BD1977" i="1"/>
  <c r="CE1977" i="1"/>
  <c r="A1978" i="1"/>
  <c r="C1978" i="1"/>
  <c r="E1978" i="1"/>
  <c r="S1978" i="1"/>
  <c r="T1978" i="1"/>
  <c r="U1978" i="1"/>
  <c r="BB1978" i="1"/>
  <c r="BD1978" i="1"/>
  <c r="CE1978" i="1"/>
  <c r="A1979" i="1"/>
  <c r="C1979" i="1"/>
  <c r="E1979" i="1"/>
  <c r="S1979" i="1"/>
  <c r="T1979" i="1"/>
  <c r="U1979" i="1"/>
  <c r="BB1979" i="1"/>
  <c r="BD1979" i="1"/>
  <c r="CE1979" i="1"/>
  <c r="A1980" i="1"/>
  <c r="C1980" i="1"/>
  <c r="E1980" i="1"/>
  <c r="S1980" i="1"/>
  <c r="T1980" i="1"/>
  <c r="U1980" i="1"/>
  <c r="BB1980" i="1"/>
  <c r="BD1980" i="1"/>
  <c r="CE1980" i="1"/>
  <c r="A1981" i="1"/>
  <c r="C1981" i="1"/>
  <c r="E1981" i="1"/>
  <c r="S1981" i="1"/>
  <c r="T1981" i="1"/>
  <c r="U1981" i="1"/>
  <c r="BB1981" i="1"/>
  <c r="BD1981" i="1"/>
  <c r="CE1981" i="1"/>
  <c r="A1982" i="1"/>
  <c r="C1982" i="1"/>
  <c r="E1982" i="1"/>
  <c r="S1982" i="1"/>
  <c r="T1982" i="1"/>
  <c r="U1982" i="1"/>
  <c r="BB1982" i="1"/>
  <c r="BD1982" i="1"/>
  <c r="CE1982" i="1"/>
  <c r="A1983" i="1"/>
  <c r="C1983" i="1"/>
  <c r="E1983" i="1"/>
  <c r="S1983" i="1"/>
  <c r="T1983" i="1"/>
  <c r="U1983" i="1"/>
  <c r="BB1983" i="1"/>
  <c r="BD1983" i="1"/>
  <c r="CE1983" i="1"/>
  <c r="A1984" i="1"/>
  <c r="C1984" i="1"/>
  <c r="E1984" i="1"/>
  <c r="S1984" i="1"/>
  <c r="T1984" i="1"/>
  <c r="U1984" i="1"/>
  <c r="BB1984" i="1"/>
  <c r="BD1984" i="1"/>
  <c r="CE1984" i="1"/>
  <c r="A1985" i="1"/>
  <c r="C1985" i="1"/>
  <c r="E1985" i="1"/>
  <c r="S1985" i="1"/>
  <c r="T1985" i="1"/>
  <c r="U1985" i="1"/>
  <c r="BB1985" i="1"/>
  <c r="BD1985" i="1"/>
  <c r="CE1985" i="1"/>
  <c r="A1986" i="1"/>
  <c r="C1986" i="1"/>
  <c r="E1986" i="1"/>
  <c r="S1986" i="1"/>
  <c r="T1986" i="1"/>
  <c r="U1986" i="1"/>
  <c r="BB1986" i="1"/>
  <c r="BD1986" i="1"/>
  <c r="CE1986" i="1"/>
  <c r="A1987" i="1"/>
  <c r="C1987" i="1"/>
  <c r="E1987" i="1"/>
  <c r="S1987" i="1"/>
  <c r="T1987" i="1"/>
  <c r="U1987" i="1"/>
  <c r="BB1987" i="1"/>
  <c r="BD1987" i="1"/>
  <c r="CE1987" i="1"/>
  <c r="A1988" i="1"/>
  <c r="C1988" i="1"/>
  <c r="E1988" i="1"/>
  <c r="S1988" i="1"/>
  <c r="T1988" i="1"/>
  <c r="U1988" i="1"/>
  <c r="BB1988" i="1"/>
  <c r="BD1988" i="1"/>
  <c r="CE1988" i="1"/>
  <c r="A1989" i="1"/>
  <c r="C1989" i="1"/>
  <c r="E1989" i="1"/>
  <c r="S1989" i="1"/>
  <c r="T1989" i="1"/>
  <c r="U1989" i="1"/>
  <c r="BB1989" i="1"/>
  <c r="BD1989" i="1"/>
  <c r="CE1989" i="1"/>
  <c r="A1990" i="1"/>
  <c r="C1990" i="1"/>
  <c r="E1990" i="1"/>
  <c r="S1990" i="1"/>
  <c r="T1990" i="1"/>
  <c r="U1990" i="1"/>
  <c r="BB1990" i="1"/>
  <c r="BD1990" i="1"/>
  <c r="CE1990" i="1"/>
  <c r="A1991" i="1"/>
  <c r="C1991" i="1"/>
  <c r="E1991" i="1"/>
  <c r="S1991" i="1"/>
  <c r="T1991" i="1"/>
  <c r="U1991" i="1"/>
  <c r="BB1991" i="1"/>
  <c r="BD1991" i="1"/>
  <c r="CE1991" i="1"/>
  <c r="A1992" i="1"/>
  <c r="C1992" i="1"/>
  <c r="E1992" i="1"/>
  <c r="S1992" i="1"/>
  <c r="T1992" i="1"/>
  <c r="U1992" i="1"/>
  <c r="BB1992" i="1"/>
  <c r="BD1992" i="1"/>
  <c r="CE1992" i="1"/>
  <c r="A1993" i="1"/>
  <c r="C1993" i="1"/>
  <c r="E1993" i="1"/>
  <c r="S1993" i="1"/>
  <c r="T1993" i="1"/>
  <c r="U1993" i="1"/>
  <c r="BB1993" i="1"/>
  <c r="BD1993" i="1"/>
  <c r="CE1993" i="1"/>
  <c r="A1994" i="1"/>
  <c r="C1994" i="1"/>
  <c r="E1994" i="1"/>
  <c r="S1994" i="1"/>
  <c r="T1994" i="1"/>
  <c r="U1994" i="1"/>
  <c r="BB1994" i="1"/>
  <c r="BD1994" i="1"/>
  <c r="CE1994" i="1"/>
  <c r="A1995" i="1"/>
  <c r="C1995" i="1"/>
  <c r="E1995" i="1"/>
  <c r="S1995" i="1"/>
  <c r="T1995" i="1"/>
  <c r="U1995" i="1"/>
  <c r="BB1995" i="1"/>
  <c r="BD1995" i="1"/>
  <c r="CE1995" i="1"/>
  <c r="A1996" i="1"/>
  <c r="C1996" i="1"/>
  <c r="E1996" i="1"/>
  <c r="S1996" i="1"/>
  <c r="T1996" i="1"/>
  <c r="U1996" i="1"/>
  <c r="BB1996" i="1"/>
  <c r="BD1996" i="1"/>
  <c r="CE1996" i="1"/>
  <c r="A1997" i="1"/>
  <c r="C1997" i="1"/>
  <c r="E1997" i="1"/>
  <c r="S1997" i="1"/>
  <c r="T1997" i="1"/>
  <c r="U1997" i="1"/>
  <c r="BB1997" i="1"/>
  <c r="BD1997" i="1"/>
  <c r="CE1997" i="1"/>
  <c r="A1998" i="1"/>
  <c r="C1998" i="1"/>
  <c r="E1998" i="1"/>
  <c r="S1998" i="1"/>
  <c r="T1998" i="1"/>
  <c r="U1998" i="1"/>
  <c r="BB1998" i="1"/>
  <c r="BD1998" i="1"/>
  <c r="CE1998" i="1"/>
  <c r="A1999" i="1"/>
  <c r="C1999" i="1"/>
  <c r="E1999" i="1"/>
  <c r="S1999" i="1"/>
  <c r="T1999" i="1"/>
  <c r="U1999" i="1"/>
  <c r="BB1999" i="1"/>
  <c r="BD1999" i="1"/>
  <c r="CE1999" i="1"/>
  <c r="A2000" i="1"/>
  <c r="C2000" i="1"/>
  <c r="E2000" i="1"/>
  <c r="S2000" i="1"/>
  <c r="T2000" i="1"/>
  <c r="U2000" i="1"/>
  <c r="BB2000" i="1"/>
  <c r="BD2000" i="1"/>
  <c r="CE2000" i="1"/>
  <c r="A2001" i="1"/>
  <c r="C2001" i="1"/>
  <c r="E2001" i="1"/>
  <c r="S2001" i="1"/>
  <c r="T2001" i="1"/>
  <c r="U2001" i="1"/>
  <c r="BB2001" i="1"/>
  <c r="BD2001" i="1"/>
  <c r="CE2001" i="1"/>
  <c r="A2002" i="1"/>
  <c r="C2002" i="1"/>
  <c r="E2002" i="1"/>
  <c r="S2002" i="1"/>
  <c r="T2002" i="1"/>
  <c r="U2002" i="1"/>
  <c r="BB2002" i="1"/>
  <c r="BD2002" i="1"/>
  <c r="CE2002" i="1"/>
  <c r="A2003" i="1"/>
  <c r="C2003" i="1"/>
  <c r="E2003" i="1"/>
  <c r="S2003" i="1"/>
  <c r="T2003" i="1"/>
  <c r="U2003" i="1"/>
  <c r="BB2003" i="1"/>
  <c r="BD2003" i="1"/>
  <c r="CE2003" i="1"/>
  <c r="A2004" i="1"/>
  <c r="C2004" i="1"/>
  <c r="E2004" i="1"/>
  <c r="S2004" i="1"/>
  <c r="T2004" i="1"/>
  <c r="U2004" i="1"/>
  <c r="BB2004" i="1"/>
  <c r="BD2004" i="1"/>
  <c r="CE2004" i="1"/>
  <c r="A2005" i="1"/>
  <c r="C2005" i="1"/>
  <c r="E2005" i="1"/>
  <c r="S2005" i="1"/>
  <c r="T2005" i="1"/>
  <c r="U2005" i="1"/>
  <c r="BB2005" i="1"/>
  <c r="BD2005" i="1"/>
  <c r="CE2005" i="1"/>
  <c r="A2006" i="1"/>
  <c r="C2006" i="1"/>
  <c r="E2006" i="1"/>
  <c r="S2006" i="1"/>
  <c r="T2006" i="1"/>
  <c r="U2006" i="1"/>
  <c r="BB2006" i="1"/>
  <c r="BD2006" i="1"/>
  <c r="CE2006" i="1"/>
  <c r="A2007" i="1"/>
  <c r="C2007" i="1"/>
  <c r="E2007" i="1"/>
  <c r="S2007" i="1"/>
  <c r="T2007" i="1"/>
  <c r="U2007" i="1"/>
  <c r="BB2007" i="1"/>
  <c r="BD2007" i="1"/>
  <c r="CE2007" i="1"/>
  <c r="A2008" i="1"/>
  <c r="C2008" i="1"/>
  <c r="E2008" i="1"/>
  <c r="S2008" i="1"/>
  <c r="T2008" i="1"/>
  <c r="U2008" i="1"/>
  <c r="BB2008" i="1"/>
  <c r="BD2008" i="1"/>
  <c r="CE2008" i="1"/>
  <c r="A2009" i="1"/>
  <c r="C2009" i="1"/>
  <c r="E2009" i="1"/>
  <c r="S2009" i="1"/>
  <c r="T2009" i="1"/>
  <c r="U2009" i="1"/>
  <c r="BB2009" i="1"/>
  <c r="BD2009" i="1"/>
  <c r="CE2009" i="1"/>
  <c r="A2010" i="1"/>
  <c r="C2010" i="1"/>
  <c r="E2010" i="1"/>
  <c r="S2010" i="1"/>
  <c r="T2010" i="1"/>
  <c r="U2010" i="1"/>
  <c r="BB2010" i="1"/>
  <c r="BD2010" i="1"/>
  <c r="CE2010" i="1"/>
  <c r="A2011" i="1"/>
  <c r="C2011" i="1"/>
  <c r="E2011" i="1"/>
  <c r="S2011" i="1"/>
  <c r="T2011" i="1"/>
  <c r="U2011" i="1"/>
  <c r="BB2011" i="1"/>
  <c r="BD2011" i="1"/>
  <c r="CE2011" i="1"/>
  <c r="A2012" i="1"/>
  <c r="C2012" i="1"/>
  <c r="E2012" i="1"/>
  <c r="S2012" i="1"/>
  <c r="T2012" i="1"/>
  <c r="U2012" i="1"/>
  <c r="BB2012" i="1"/>
  <c r="BD2012" i="1"/>
  <c r="CE2012" i="1"/>
  <c r="A2013" i="1"/>
  <c r="C2013" i="1"/>
  <c r="E2013" i="1"/>
  <c r="S2013" i="1"/>
  <c r="T2013" i="1"/>
  <c r="U2013" i="1"/>
  <c r="BB2013" i="1"/>
  <c r="BD2013" i="1"/>
  <c r="CE2013" i="1"/>
  <c r="A2014" i="1"/>
  <c r="C2014" i="1"/>
  <c r="E2014" i="1"/>
  <c r="S2014" i="1"/>
  <c r="T2014" i="1"/>
  <c r="U2014" i="1"/>
  <c r="BB2014" i="1"/>
  <c r="BD2014" i="1"/>
  <c r="CE2014" i="1"/>
  <c r="A2015" i="1"/>
  <c r="C2015" i="1"/>
  <c r="E2015" i="1"/>
  <c r="S2015" i="1"/>
  <c r="T2015" i="1"/>
  <c r="U2015" i="1"/>
  <c r="BB2015" i="1"/>
  <c r="BD2015" i="1"/>
  <c r="CE2015" i="1"/>
  <c r="A2016" i="1"/>
  <c r="C2016" i="1"/>
  <c r="E2016" i="1"/>
  <c r="S2016" i="1"/>
  <c r="T2016" i="1"/>
  <c r="U2016" i="1"/>
  <c r="BB2016" i="1"/>
  <c r="BD2016" i="1"/>
  <c r="CE2016" i="1"/>
  <c r="A2017" i="1"/>
  <c r="C2017" i="1"/>
  <c r="E2017" i="1"/>
  <c r="S2017" i="1"/>
  <c r="T2017" i="1"/>
  <c r="U2017" i="1"/>
  <c r="BB2017" i="1"/>
  <c r="BD2017" i="1"/>
  <c r="CE2017" i="1"/>
  <c r="A2018" i="1"/>
  <c r="C2018" i="1"/>
  <c r="E2018" i="1"/>
  <c r="S2018" i="1"/>
  <c r="T2018" i="1"/>
  <c r="U2018" i="1"/>
  <c r="BB2018" i="1"/>
  <c r="BD2018" i="1"/>
  <c r="CE2018" i="1"/>
  <c r="A2019" i="1"/>
  <c r="C2019" i="1"/>
  <c r="E2019" i="1"/>
  <c r="S2019" i="1"/>
  <c r="T2019" i="1"/>
  <c r="U2019" i="1"/>
  <c r="BB2019" i="1"/>
  <c r="BD2019" i="1"/>
  <c r="CE2019" i="1"/>
  <c r="A2020" i="1"/>
  <c r="C2020" i="1"/>
  <c r="E2020" i="1"/>
  <c r="S2020" i="1"/>
  <c r="T2020" i="1"/>
  <c r="U2020" i="1"/>
  <c r="BB2020" i="1"/>
  <c r="BD2020" i="1"/>
  <c r="CE2020" i="1"/>
  <c r="A2021" i="1"/>
  <c r="C2021" i="1"/>
  <c r="E2021" i="1"/>
  <c r="S2021" i="1"/>
  <c r="T2021" i="1"/>
  <c r="U2021" i="1"/>
  <c r="BB2021" i="1"/>
  <c r="BD2021" i="1"/>
  <c r="CE2021" i="1"/>
  <c r="A2022" i="1"/>
  <c r="C2022" i="1"/>
  <c r="E2022" i="1"/>
  <c r="S2022" i="1"/>
  <c r="T2022" i="1"/>
  <c r="U2022" i="1"/>
  <c r="BB2022" i="1"/>
  <c r="BD2022" i="1"/>
  <c r="CE2022" i="1"/>
  <c r="A2023" i="1"/>
  <c r="C2023" i="1"/>
  <c r="E2023" i="1"/>
  <c r="S2023" i="1"/>
  <c r="T2023" i="1"/>
  <c r="U2023" i="1"/>
  <c r="BB2023" i="1"/>
  <c r="BD2023" i="1"/>
  <c r="CE2023" i="1"/>
  <c r="A2024" i="1"/>
  <c r="C2024" i="1"/>
  <c r="E2024" i="1"/>
  <c r="S2024" i="1"/>
  <c r="T2024" i="1"/>
  <c r="U2024" i="1"/>
  <c r="BB2024" i="1"/>
  <c r="BD2024" i="1"/>
  <c r="CE2024" i="1"/>
  <c r="A2025" i="1"/>
  <c r="C2025" i="1"/>
  <c r="E2025" i="1"/>
  <c r="S2025" i="1"/>
  <c r="T2025" i="1"/>
  <c r="U2025" i="1"/>
  <c r="BB2025" i="1"/>
  <c r="BD2025" i="1"/>
  <c r="CE2025" i="1"/>
  <c r="A2026" i="1"/>
  <c r="C2026" i="1"/>
  <c r="E2026" i="1"/>
  <c r="S2026" i="1"/>
  <c r="T2026" i="1"/>
  <c r="U2026" i="1"/>
  <c r="BB2026" i="1"/>
  <c r="BD2026" i="1"/>
  <c r="CE2026" i="1"/>
  <c r="A2027" i="1"/>
  <c r="C2027" i="1"/>
  <c r="E2027" i="1"/>
  <c r="S2027" i="1"/>
  <c r="T2027" i="1"/>
  <c r="U2027" i="1"/>
  <c r="BB2027" i="1"/>
  <c r="BD2027" i="1"/>
  <c r="CE2027" i="1"/>
  <c r="A2028" i="1"/>
  <c r="C2028" i="1"/>
  <c r="E2028" i="1"/>
  <c r="S2028" i="1"/>
  <c r="T2028" i="1"/>
  <c r="U2028" i="1"/>
  <c r="BB2028" i="1"/>
  <c r="BD2028" i="1"/>
  <c r="CE2028" i="1"/>
  <c r="A2029" i="1"/>
  <c r="C2029" i="1"/>
  <c r="E2029" i="1"/>
  <c r="S2029" i="1"/>
  <c r="T2029" i="1"/>
  <c r="U2029" i="1"/>
  <c r="BB2029" i="1"/>
  <c r="BD2029" i="1"/>
  <c r="CE2029" i="1"/>
  <c r="A2030" i="1"/>
  <c r="C2030" i="1"/>
  <c r="E2030" i="1"/>
  <c r="S2030" i="1"/>
  <c r="T2030" i="1"/>
  <c r="U2030" i="1"/>
  <c r="BB2030" i="1"/>
  <c r="BD2030" i="1"/>
  <c r="CE2030" i="1"/>
  <c r="A2031" i="1"/>
  <c r="C2031" i="1"/>
  <c r="E2031" i="1"/>
  <c r="S2031" i="1"/>
  <c r="T2031" i="1"/>
  <c r="U2031" i="1"/>
  <c r="BB2031" i="1"/>
  <c r="BD2031" i="1"/>
  <c r="CE2031" i="1"/>
  <c r="A2032" i="1"/>
  <c r="C2032" i="1"/>
  <c r="E2032" i="1"/>
  <c r="S2032" i="1"/>
  <c r="T2032" i="1"/>
  <c r="U2032" i="1"/>
  <c r="BB2032" i="1"/>
  <c r="BD2032" i="1"/>
  <c r="CE2032" i="1"/>
  <c r="A2033" i="1"/>
  <c r="C2033" i="1"/>
  <c r="E2033" i="1"/>
  <c r="S2033" i="1"/>
  <c r="T2033" i="1"/>
  <c r="U2033" i="1"/>
  <c r="BB2033" i="1"/>
  <c r="BD2033" i="1"/>
  <c r="CE2033" i="1"/>
  <c r="A2034" i="1"/>
  <c r="C2034" i="1"/>
  <c r="E2034" i="1"/>
  <c r="S2034" i="1"/>
  <c r="T2034" i="1"/>
  <c r="U2034" i="1"/>
  <c r="BB2034" i="1"/>
  <c r="BD2034" i="1"/>
  <c r="CE2034" i="1"/>
  <c r="A2035" i="1"/>
  <c r="C2035" i="1"/>
  <c r="E2035" i="1"/>
  <c r="S2035" i="1"/>
  <c r="T2035" i="1"/>
  <c r="U2035" i="1"/>
  <c r="BB2035" i="1"/>
  <c r="BD2035" i="1"/>
  <c r="CE2035" i="1"/>
  <c r="A2036" i="1"/>
  <c r="C2036" i="1"/>
  <c r="E2036" i="1"/>
  <c r="S2036" i="1"/>
  <c r="T2036" i="1"/>
  <c r="U2036" i="1"/>
  <c r="BB2036" i="1"/>
  <c r="BD2036" i="1"/>
  <c r="CE2036" i="1"/>
  <c r="A2037" i="1"/>
  <c r="C2037" i="1"/>
  <c r="E2037" i="1"/>
  <c r="S2037" i="1"/>
  <c r="T2037" i="1"/>
  <c r="U2037" i="1"/>
  <c r="BB2037" i="1"/>
  <c r="BD2037" i="1"/>
  <c r="CE2037" i="1"/>
  <c r="A2038" i="1"/>
  <c r="C2038" i="1"/>
  <c r="E2038" i="1"/>
  <c r="S2038" i="1"/>
  <c r="T2038" i="1"/>
  <c r="U2038" i="1"/>
  <c r="BB2038" i="1"/>
  <c r="BD2038" i="1"/>
  <c r="CE2038" i="1"/>
  <c r="A2039" i="1"/>
  <c r="C2039" i="1"/>
  <c r="E2039" i="1"/>
  <c r="S2039" i="1"/>
  <c r="T2039" i="1"/>
  <c r="U2039" i="1"/>
  <c r="BB2039" i="1"/>
  <c r="BD2039" i="1"/>
  <c r="CE2039" i="1"/>
  <c r="A2040" i="1"/>
  <c r="C2040" i="1"/>
  <c r="E2040" i="1"/>
  <c r="S2040" i="1"/>
  <c r="T2040" i="1"/>
  <c r="U2040" i="1"/>
  <c r="BB2040" i="1"/>
  <c r="BD2040" i="1"/>
  <c r="CE2040" i="1"/>
  <c r="A2041" i="1"/>
  <c r="C2041" i="1"/>
  <c r="E2041" i="1"/>
  <c r="S2041" i="1"/>
  <c r="T2041" i="1"/>
  <c r="U2041" i="1"/>
  <c r="BB2041" i="1"/>
  <c r="BD2041" i="1"/>
  <c r="CE2041" i="1"/>
  <c r="A2042" i="1"/>
  <c r="C2042" i="1"/>
  <c r="E2042" i="1"/>
  <c r="S2042" i="1"/>
  <c r="T2042" i="1"/>
  <c r="U2042" i="1"/>
  <c r="BB2042" i="1"/>
  <c r="BD2042" i="1"/>
  <c r="CE2042" i="1"/>
  <c r="A2043" i="1"/>
  <c r="C2043" i="1"/>
  <c r="E2043" i="1"/>
  <c r="S2043" i="1"/>
  <c r="T2043" i="1"/>
  <c r="U2043" i="1"/>
  <c r="BB2043" i="1"/>
  <c r="BD2043" i="1"/>
  <c r="CE2043" i="1"/>
  <c r="A2044" i="1"/>
  <c r="C2044" i="1"/>
  <c r="E2044" i="1"/>
  <c r="S2044" i="1"/>
  <c r="T2044" i="1"/>
  <c r="U2044" i="1"/>
  <c r="BB2044" i="1"/>
  <c r="BD2044" i="1"/>
  <c r="CE2044" i="1"/>
  <c r="A2045" i="1"/>
  <c r="C2045" i="1"/>
  <c r="E2045" i="1"/>
  <c r="S2045" i="1"/>
  <c r="T2045" i="1"/>
  <c r="U2045" i="1"/>
  <c r="BB2045" i="1"/>
  <c r="BD2045" i="1"/>
  <c r="CE2045" i="1"/>
  <c r="A2046" i="1"/>
  <c r="C2046" i="1"/>
  <c r="E2046" i="1"/>
  <c r="S2046" i="1"/>
  <c r="T2046" i="1"/>
  <c r="U2046" i="1"/>
  <c r="BB2046" i="1"/>
  <c r="BD2046" i="1"/>
  <c r="CE2046" i="1"/>
  <c r="A2047" i="1"/>
  <c r="C2047" i="1"/>
  <c r="E2047" i="1"/>
  <c r="S2047" i="1"/>
  <c r="T2047" i="1"/>
  <c r="U2047" i="1"/>
  <c r="BB2047" i="1"/>
  <c r="BD2047" i="1"/>
  <c r="CE2047" i="1"/>
  <c r="A2048" i="1"/>
  <c r="C2048" i="1"/>
  <c r="E2048" i="1"/>
  <c r="S2048" i="1"/>
  <c r="T2048" i="1"/>
  <c r="U2048" i="1"/>
  <c r="BB2048" i="1"/>
  <c r="BD2048" i="1"/>
  <c r="CE2048" i="1"/>
  <c r="A2049" i="1"/>
  <c r="C2049" i="1"/>
  <c r="E2049" i="1"/>
  <c r="S2049" i="1"/>
  <c r="T2049" i="1"/>
  <c r="U2049" i="1"/>
  <c r="BB2049" i="1"/>
  <c r="BD2049" i="1"/>
  <c r="CE2049" i="1"/>
  <c r="A2050" i="1"/>
  <c r="C2050" i="1"/>
  <c r="E2050" i="1"/>
  <c r="S2050" i="1"/>
  <c r="T2050" i="1"/>
  <c r="U2050" i="1"/>
  <c r="BB2050" i="1"/>
  <c r="BD2050" i="1"/>
  <c r="CE2050" i="1"/>
  <c r="A2051" i="1"/>
  <c r="C2051" i="1"/>
  <c r="E2051" i="1"/>
  <c r="S2051" i="1"/>
  <c r="T2051" i="1"/>
  <c r="U2051" i="1"/>
  <c r="BB2051" i="1"/>
  <c r="BD2051" i="1"/>
  <c r="CE2051" i="1"/>
  <c r="A2052" i="1"/>
  <c r="C2052" i="1"/>
  <c r="E2052" i="1"/>
  <c r="S2052" i="1"/>
  <c r="T2052" i="1"/>
  <c r="U2052" i="1"/>
  <c r="BB2052" i="1"/>
  <c r="BD2052" i="1"/>
  <c r="CE2052" i="1"/>
  <c r="A2053" i="1"/>
  <c r="C2053" i="1"/>
  <c r="E2053" i="1"/>
  <c r="S2053" i="1"/>
  <c r="T2053" i="1"/>
  <c r="U2053" i="1"/>
  <c r="BB2053" i="1"/>
  <c r="BD2053" i="1"/>
  <c r="CE2053" i="1"/>
  <c r="A2054" i="1"/>
  <c r="C2054" i="1"/>
  <c r="E2054" i="1"/>
  <c r="S2054" i="1"/>
  <c r="T2054" i="1"/>
  <c r="U2054" i="1"/>
  <c r="BB2054" i="1"/>
  <c r="BD2054" i="1"/>
  <c r="CE2054" i="1"/>
  <c r="A2055" i="1"/>
  <c r="C2055" i="1"/>
  <c r="E2055" i="1"/>
  <c r="S2055" i="1"/>
  <c r="T2055" i="1"/>
  <c r="U2055" i="1"/>
  <c r="BB2055" i="1"/>
  <c r="BD2055" i="1"/>
  <c r="CE2055" i="1"/>
  <c r="A2056" i="1"/>
  <c r="C2056" i="1"/>
  <c r="E2056" i="1"/>
  <c r="S2056" i="1"/>
  <c r="T2056" i="1"/>
  <c r="U2056" i="1"/>
  <c r="BB2056" i="1"/>
  <c r="BD2056" i="1"/>
  <c r="CE2056" i="1"/>
  <c r="A2057" i="1"/>
  <c r="C2057" i="1"/>
  <c r="E2057" i="1"/>
  <c r="S2057" i="1"/>
  <c r="T2057" i="1"/>
  <c r="U2057" i="1"/>
  <c r="BB2057" i="1"/>
  <c r="BD2057" i="1"/>
  <c r="CE2057" i="1"/>
  <c r="A2058" i="1"/>
  <c r="C2058" i="1"/>
  <c r="E2058" i="1"/>
  <c r="S2058" i="1"/>
  <c r="T2058" i="1"/>
  <c r="U2058" i="1"/>
  <c r="BB2058" i="1"/>
  <c r="BD2058" i="1"/>
  <c r="CE2058" i="1"/>
  <c r="A2059" i="1"/>
  <c r="C2059" i="1"/>
  <c r="E2059" i="1"/>
  <c r="S2059" i="1"/>
  <c r="T2059" i="1"/>
  <c r="U2059" i="1"/>
  <c r="BB2059" i="1"/>
  <c r="BD2059" i="1"/>
  <c r="CE2059" i="1"/>
  <c r="A2060" i="1"/>
  <c r="C2060" i="1"/>
  <c r="E2060" i="1"/>
  <c r="S2060" i="1"/>
  <c r="T2060" i="1"/>
  <c r="U2060" i="1"/>
  <c r="BB2060" i="1"/>
  <c r="BD2060" i="1"/>
  <c r="CE2060" i="1"/>
  <c r="A2061" i="1"/>
  <c r="C2061" i="1"/>
  <c r="E2061" i="1"/>
  <c r="S2061" i="1"/>
  <c r="T2061" i="1"/>
  <c r="U2061" i="1"/>
  <c r="BB2061" i="1"/>
  <c r="BD2061" i="1"/>
  <c r="CE2061" i="1"/>
  <c r="A2062" i="1"/>
  <c r="C2062" i="1"/>
  <c r="E2062" i="1"/>
  <c r="S2062" i="1"/>
  <c r="T2062" i="1"/>
  <c r="U2062" i="1"/>
  <c r="BB2062" i="1"/>
  <c r="BD2062" i="1"/>
  <c r="CE2062" i="1"/>
  <c r="A2063" i="1"/>
  <c r="C2063" i="1"/>
  <c r="E2063" i="1"/>
  <c r="S2063" i="1"/>
  <c r="T2063" i="1"/>
  <c r="U2063" i="1"/>
  <c r="BB2063" i="1"/>
  <c r="BD2063" i="1"/>
  <c r="CE2063" i="1"/>
  <c r="A2064" i="1"/>
  <c r="C2064" i="1"/>
  <c r="E2064" i="1"/>
  <c r="S2064" i="1"/>
  <c r="T2064" i="1"/>
  <c r="U2064" i="1"/>
  <c r="BB2064" i="1"/>
  <c r="BD2064" i="1"/>
  <c r="CE2064" i="1"/>
  <c r="A2065" i="1"/>
  <c r="C2065" i="1"/>
  <c r="E2065" i="1"/>
  <c r="S2065" i="1"/>
  <c r="T2065" i="1"/>
  <c r="U2065" i="1"/>
  <c r="BB2065" i="1"/>
  <c r="BD2065" i="1"/>
  <c r="CE2065" i="1"/>
  <c r="A2066" i="1"/>
  <c r="C2066" i="1"/>
  <c r="E2066" i="1"/>
  <c r="S2066" i="1"/>
  <c r="T2066" i="1"/>
  <c r="U2066" i="1"/>
  <c r="BB2066" i="1"/>
  <c r="BD2066" i="1"/>
  <c r="CE2066" i="1"/>
  <c r="A2067" i="1"/>
  <c r="C2067" i="1"/>
  <c r="E2067" i="1"/>
  <c r="S2067" i="1"/>
  <c r="T2067" i="1"/>
  <c r="U2067" i="1"/>
  <c r="BB2067" i="1"/>
  <c r="BD2067" i="1"/>
  <c r="CE2067" i="1"/>
  <c r="A2068" i="1"/>
  <c r="C2068" i="1"/>
  <c r="E2068" i="1"/>
  <c r="S2068" i="1"/>
  <c r="T2068" i="1"/>
  <c r="U2068" i="1"/>
  <c r="BB2068" i="1"/>
  <c r="BD2068" i="1"/>
  <c r="CE2068" i="1"/>
  <c r="A2069" i="1"/>
  <c r="C2069" i="1"/>
  <c r="E2069" i="1"/>
  <c r="S2069" i="1"/>
  <c r="T2069" i="1"/>
  <c r="U2069" i="1"/>
  <c r="BB2069" i="1"/>
  <c r="BD2069" i="1"/>
  <c r="CE2069" i="1"/>
  <c r="A2070" i="1"/>
  <c r="C2070" i="1"/>
  <c r="E2070" i="1"/>
  <c r="S2070" i="1"/>
  <c r="T2070" i="1"/>
  <c r="U2070" i="1"/>
  <c r="BB2070" i="1"/>
  <c r="BD2070" i="1"/>
  <c r="CE2070" i="1"/>
  <c r="A2071" i="1"/>
  <c r="C2071" i="1"/>
  <c r="E2071" i="1"/>
  <c r="S2071" i="1"/>
  <c r="T2071" i="1"/>
  <c r="U2071" i="1"/>
  <c r="BB2071" i="1"/>
  <c r="BD2071" i="1"/>
  <c r="CE2071" i="1"/>
  <c r="A2072" i="1"/>
  <c r="C2072" i="1"/>
  <c r="E2072" i="1"/>
  <c r="S2072" i="1"/>
  <c r="T2072" i="1"/>
  <c r="U2072" i="1"/>
  <c r="BB2072" i="1"/>
  <c r="BD2072" i="1"/>
  <c r="CE2072" i="1"/>
  <c r="A2073" i="1"/>
  <c r="C2073" i="1"/>
  <c r="E2073" i="1"/>
  <c r="S2073" i="1"/>
  <c r="T2073" i="1"/>
  <c r="U2073" i="1"/>
  <c r="BB2073" i="1"/>
  <c r="BD2073" i="1"/>
  <c r="CE2073" i="1"/>
  <c r="A2074" i="1"/>
  <c r="C2074" i="1"/>
  <c r="E2074" i="1"/>
  <c r="S2074" i="1"/>
  <c r="T2074" i="1"/>
  <c r="U2074" i="1"/>
  <c r="BB2074" i="1"/>
  <c r="BD2074" i="1"/>
  <c r="CE2074" i="1"/>
  <c r="A2075" i="1"/>
  <c r="C2075" i="1"/>
  <c r="E2075" i="1"/>
  <c r="S2075" i="1"/>
  <c r="T2075" i="1"/>
  <c r="U2075" i="1"/>
  <c r="BB2075" i="1"/>
  <c r="BD2075" i="1"/>
  <c r="CE2075" i="1"/>
  <c r="A2076" i="1"/>
  <c r="C2076" i="1"/>
  <c r="E2076" i="1"/>
  <c r="S2076" i="1"/>
  <c r="T2076" i="1"/>
  <c r="U2076" i="1"/>
  <c r="BB2076" i="1"/>
  <c r="BD2076" i="1"/>
  <c r="CE2076" i="1"/>
  <c r="A2077" i="1"/>
  <c r="C2077" i="1"/>
  <c r="E2077" i="1"/>
  <c r="S2077" i="1"/>
  <c r="T2077" i="1"/>
  <c r="U2077" i="1"/>
  <c r="BB2077" i="1"/>
  <c r="BD2077" i="1"/>
  <c r="CE2077" i="1"/>
  <c r="A2078" i="1"/>
  <c r="C2078" i="1"/>
  <c r="E2078" i="1"/>
  <c r="S2078" i="1"/>
  <c r="T2078" i="1"/>
  <c r="U2078" i="1"/>
  <c r="BB2078" i="1"/>
  <c r="BD2078" i="1"/>
  <c r="CE2078" i="1"/>
  <c r="A2079" i="1"/>
  <c r="C2079" i="1"/>
  <c r="E2079" i="1"/>
  <c r="S2079" i="1"/>
  <c r="T2079" i="1"/>
  <c r="U2079" i="1"/>
  <c r="BB2079" i="1"/>
  <c r="BD2079" i="1"/>
  <c r="CE2079" i="1"/>
  <c r="A2080" i="1"/>
  <c r="C2080" i="1"/>
  <c r="E2080" i="1"/>
  <c r="S2080" i="1"/>
  <c r="T2080" i="1"/>
  <c r="U2080" i="1"/>
  <c r="BB2080" i="1"/>
  <c r="BD2080" i="1"/>
  <c r="CE2080" i="1"/>
  <c r="A2081" i="1"/>
  <c r="C2081" i="1"/>
  <c r="E2081" i="1"/>
  <c r="S2081" i="1"/>
  <c r="T2081" i="1"/>
  <c r="U2081" i="1"/>
  <c r="BB2081" i="1"/>
  <c r="BD2081" i="1"/>
  <c r="CE2081" i="1"/>
  <c r="A2082" i="1"/>
  <c r="C2082" i="1"/>
  <c r="E2082" i="1"/>
  <c r="S2082" i="1"/>
  <c r="T2082" i="1"/>
  <c r="U2082" i="1"/>
  <c r="BB2082" i="1"/>
  <c r="BD2082" i="1"/>
  <c r="CE2082" i="1"/>
  <c r="A2083" i="1"/>
  <c r="C2083" i="1"/>
  <c r="E2083" i="1"/>
  <c r="S2083" i="1"/>
  <c r="T2083" i="1"/>
  <c r="U2083" i="1"/>
  <c r="BB2083" i="1"/>
  <c r="BD2083" i="1"/>
  <c r="CE2083" i="1"/>
  <c r="A2084" i="1"/>
  <c r="C2084" i="1"/>
  <c r="E2084" i="1"/>
  <c r="S2084" i="1"/>
  <c r="T2084" i="1"/>
  <c r="U2084" i="1"/>
  <c r="BB2084" i="1"/>
  <c r="BD2084" i="1"/>
  <c r="CE2084" i="1"/>
  <c r="A2085" i="1"/>
  <c r="C2085" i="1"/>
  <c r="E2085" i="1"/>
  <c r="S2085" i="1"/>
  <c r="T2085" i="1"/>
  <c r="U2085" i="1"/>
  <c r="BB2085" i="1"/>
  <c r="BD2085" i="1"/>
  <c r="CE2085" i="1"/>
  <c r="A2086" i="1"/>
  <c r="C2086" i="1"/>
  <c r="E2086" i="1"/>
  <c r="S2086" i="1"/>
  <c r="T2086" i="1"/>
  <c r="U2086" i="1"/>
  <c r="BB2086" i="1"/>
  <c r="BD2086" i="1"/>
  <c r="CE2086" i="1"/>
  <c r="A2087" i="1"/>
  <c r="C2087" i="1"/>
  <c r="E2087" i="1"/>
  <c r="S2087" i="1"/>
  <c r="T2087" i="1"/>
  <c r="U2087" i="1"/>
  <c r="BB2087" i="1"/>
  <c r="BD2087" i="1"/>
  <c r="CE2087" i="1"/>
  <c r="A2088" i="1"/>
  <c r="C2088" i="1"/>
  <c r="E2088" i="1"/>
  <c r="S2088" i="1"/>
  <c r="T2088" i="1"/>
  <c r="U2088" i="1"/>
  <c r="BB2088" i="1"/>
  <c r="BD2088" i="1"/>
  <c r="CE2088" i="1"/>
  <c r="A2089" i="1"/>
  <c r="C2089" i="1"/>
  <c r="E2089" i="1"/>
  <c r="S2089" i="1"/>
  <c r="T2089" i="1"/>
  <c r="U2089" i="1"/>
  <c r="BB2089" i="1"/>
  <c r="BD2089" i="1"/>
  <c r="CE2089" i="1"/>
  <c r="A2090" i="1"/>
  <c r="C2090" i="1"/>
  <c r="E2090" i="1"/>
  <c r="S2090" i="1"/>
  <c r="T2090" i="1"/>
  <c r="U2090" i="1"/>
  <c r="BB2090" i="1"/>
  <c r="BD2090" i="1"/>
  <c r="CE2090" i="1"/>
  <c r="A2091" i="1"/>
  <c r="C2091" i="1"/>
  <c r="E2091" i="1"/>
  <c r="S2091" i="1"/>
  <c r="T2091" i="1"/>
  <c r="U2091" i="1"/>
  <c r="BB2091" i="1"/>
  <c r="BD2091" i="1"/>
  <c r="CE2091" i="1"/>
  <c r="A2092" i="1"/>
  <c r="C2092" i="1"/>
  <c r="E2092" i="1"/>
  <c r="S2092" i="1"/>
  <c r="T2092" i="1"/>
  <c r="U2092" i="1"/>
  <c r="BB2092" i="1"/>
  <c r="BD2092" i="1"/>
  <c r="CE2092" i="1"/>
  <c r="A2093" i="1"/>
  <c r="C2093" i="1"/>
  <c r="E2093" i="1"/>
  <c r="S2093" i="1"/>
  <c r="T2093" i="1"/>
  <c r="U2093" i="1"/>
  <c r="BB2093" i="1"/>
  <c r="BD2093" i="1"/>
  <c r="CE2093" i="1"/>
  <c r="A2094" i="1"/>
  <c r="C2094" i="1"/>
  <c r="E2094" i="1"/>
  <c r="S2094" i="1"/>
  <c r="T2094" i="1"/>
  <c r="U2094" i="1"/>
  <c r="BB2094" i="1"/>
  <c r="BD2094" i="1"/>
  <c r="CE2094" i="1"/>
  <c r="A2095" i="1"/>
  <c r="C2095" i="1"/>
  <c r="E2095" i="1"/>
  <c r="S2095" i="1"/>
  <c r="T2095" i="1"/>
  <c r="U2095" i="1"/>
  <c r="BB2095" i="1"/>
  <c r="BD2095" i="1"/>
  <c r="CE2095" i="1"/>
  <c r="A2096" i="1"/>
  <c r="C2096" i="1"/>
  <c r="E2096" i="1"/>
  <c r="S2096" i="1"/>
  <c r="T2096" i="1"/>
  <c r="U2096" i="1"/>
  <c r="BB2096" i="1"/>
  <c r="BD2096" i="1"/>
  <c r="CE2096" i="1"/>
  <c r="A2097" i="1"/>
  <c r="C2097" i="1"/>
  <c r="E2097" i="1"/>
  <c r="S2097" i="1"/>
  <c r="T2097" i="1"/>
  <c r="U2097" i="1"/>
  <c r="BB2097" i="1"/>
  <c r="BD2097" i="1"/>
  <c r="CE2097" i="1"/>
  <c r="A2098" i="1"/>
  <c r="C2098" i="1"/>
  <c r="E2098" i="1"/>
  <c r="S2098" i="1"/>
  <c r="T2098" i="1"/>
  <c r="U2098" i="1"/>
  <c r="BB2098" i="1"/>
  <c r="BD2098" i="1"/>
  <c r="CE2098" i="1"/>
  <c r="A2099" i="1"/>
  <c r="C2099" i="1"/>
  <c r="E2099" i="1"/>
  <c r="S2099" i="1"/>
  <c r="T2099" i="1"/>
  <c r="U2099" i="1"/>
  <c r="BB2099" i="1"/>
  <c r="BD2099" i="1"/>
  <c r="CE2099" i="1"/>
  <c r="A2100" i="1"/>
  <c r="C2100" i="1"/>
  <c r="E2100" i="1"/>
  <c r="S2100" i="1"/>
  <c r="T2100" i="1"/>
  <c r="U2100" i="1"/>
  <c r="BB2100" i="1"/>
  <c r="BD2100" i="1"/>
  <c r="CE2100" i="1"/>
  <c r="A2101" i="1"/>
  <c r="C2101" i="1"/>
  <c r="E2101" i="1"/>
  <c r="S2101" i="1"/>
  <c r="T2101" i="1"/>
  <c r="U2101" i="1"/>
  <c r="BB2101" i="1"/>
  <c r="BD2101" i="1"/>
  <c r="CE2101" i="1"/>
  <c r="A2102" i="1"/>
  <c r="C2102" i="1"/>
  <c r="E2102" i="1"/>
  <c r="S2102" i="1"/>
  <c r="T2102" i="1"/>
  <c r="U2102" i="1"/>
  <c r="BB2102" i="1"/>
  <c r="BD2102" i="1"/>
  <c r="CE2102" i="1"/>
  <c r="A2103" i="1"/>
  <c r="C2103" i="1"/>
  <c r="E2103" i="1"/>
  <c r="S2103" i="1"/>
  <c r="T2103" i="1"/>
  <c r="U2103" i="1"/>
  <c r="BB2103" i="1"/>
  <c r="BD2103" i="1"/>
  <c r="CE2103" i="1"/>
  <c r="A2104" i="1"/>
  <c r="C2104" i="1"/>
  <c r="E2104" i="1"/>
  <c r="S2104" i="1"/>
  <c r="T2104" i="1"/>
  <c r="U2104" i="1"/>
  <c r="BB2104" i="1"/>
  <c r="BD2104" i="1"/>
  <c r="CE2104" i="1"/>
  <c r="A2105" i="1"/>
  <c r="C2105" i="1"/>
  <c r="E2105" i="1"/>
  <c r="S2105" i="1"/>
  <c r="T2105" i="1"/>
  <c r="U2105" i="1"/>
  <c r="BB2105" i="1"/>
  <c r="BD2105" i="1"/>
  <c r="CE2105" i="1"/>
  <c r="A2106" i="1"/>
  <c r="C2106" i="1"/>
  <c r="E2106" i="1"/>
  <c r="S2106" i="1"/>
  <c r="T2106" i="1"/>
  <c r="U2106" i="1"/>
  <c r="BB2106" i="1"/>
  <c r="BD2106" i="1"/>
  <c r="CE2106" i="1"/>
  <c r="A2107" i="1"/>
  <c r="C2107" i="1"/>
  <c r="E2107" i="1"/>
  <c r="S2107" i="1"/>
  <c r="T2107" i="1"/>
  <c r="U2107" i="1"/>
  <c r="BB2107" i="1"/>
  <c r="BD2107" i="1"/>
  <c r="CE2107" i="1"/>
  <c r="A2108" i="1"/>
  <c r="C2108" i="1"/>
  <c r="E2108" i="1"/>
  <c r="S2108" i="1"/>
  <c r="T2108" i="1"/>
  <c r="U2108" i="1"/>
  <c r="BB2108" i="1"/>
  <c r="BD2108" i="1"/>
  <c r="CE2108" i="1"/>
  <c r="A2109" i="1"/>
  <c r="C2109" i="1"/>
  <c r="E2109" i="1"/>
  <c r="S2109" i="1"/>
  <c r="T2109" i="1"/>
  <c r="U2109" i="1"/>
  <c r="BB2109" i="1"/>
  <c r="BD2109" i="1"/>
  <c r="CE2109" i="1"/>
  <c r="A2110" i="1"/>
  <c r="C2110" i="1"/>
  <c r="E2110" i="1"/>
  <c r="S2110" i="1"/>
  <c r="T2110" i="1"/>
  <c r="U2110" i="1"/>
  <c r="BB2110" i="1"/>
  <c r="BD2110" i="1"/>
  <c r="CE2110" i="1"/>
  <c r="A2111" i="1"/>
  <c r="C2111" i="1"/>
  <c r="E2111" i="1"/>
  <c r="S2111" i="1"/>
  <c r="T2111" i="1"/>
  <c r="U2111" i="1"/>
  <c r="BB2111" i="1"/>
  <c r="BD2111" i="1"/>
  <c r="CE2111" i="1"/>
  <c r="A2112" i="1"/>
  <c r="C2112" i="1"/>
  <c r="E2112" i="1"/>
  <c r="S2112" i="1"/>
  <c r="T2112" i="1"/>
  <c r="U2112" i="1"/>
  <c r="BB2112" i="1"/>
  <c r="BD2112" i="1"/>
  <c r="CE2112" i="1"/>
  <c r="A2113" i="1"/>
  <c r="C2113" i="1"/>
  <c r="E2113" i="1"/>
  <c r="S2113" i="1"/>
  <c r="T2113" i="1"/>
  <c r="U2113" i="1"/>
  <c r="BB2113" i="1"/>
  <c r="BD2113" i="1"/>
  <c r="CE2113" i="1"/>
  <c r="A2114" i="1"/>
  <c r="C2114" i="1"/>
  <c r="E2114" i="1"/>
  <c r="S2114" i="1"/>
  <c r="T2114" i="1"/>
  <c r="U2114" i="1"/>
  <c r="BB2114" i="1"/>
  <c r="BD2114" i="1"/>
  <c r="CE2114" i="1"/>
  <c r="A2115" i="1"/>
  <c r="C2115" i="1"/>
  <c r="E2115" i="1"/>
  <c r="S2115" i="1"/>
  <c r="T2115" i="1"/>
  <c r="U2115" i="1"/>
  <c r="BB2115" i="1"/>
  <c r="BD2115" i="1"/>
  <c r="CE2115" i="1"/>
  <c r="A2116" i="1"/>
  <c r="C2116" i="1"/>
  <c r="E2116" i="1"/>
  <c r="S2116" i="1"/>
  <c r="T2116" i="1"/>
  <c r="U2116" i="1"/>
  <c r="BB2116" i="1"/>
  <c r="BD2116" i="1"/>
  <c r="CE2116" i="1"/>
  <c r="A2117" i="1"/>
  <c r="C2117" i="1"/>
  <c r="E2117" i="1"/>
  <c r="S2117" i="1"/>
  <c r="T2117" i="1"/>
  <c r="U2117" i="1"/>
  <c r="BB2117" i="1"/>
  <c r="BD2117" i="1"/>
  <c r="CE2117" i="1"/>
  <c r="A2118" i="1"/>
  <c r="C2118" i="1"/>
  <c r="E2118" i="1"/>
  <c r="S2118" i="1"/>
  <c r="T2118" i="1"/>
  <c r="U2118" i="1"/>
  <c r="BB2118" i="1"/>
  <c r="BD2118" i="1"/>
  <c r="CE2118" i="1"/>
  <c r="A2119" i="1"/>
  <c r="C2119" i="1"/>
  <c r="E2119" i="1"/>
  <c r="S2119" i="1"/>
  <c r="T2119" i="1"/>
  <c r="U2119" i="1"/>
  <c r="BB2119" i="1"/>
  <c r="BD2119" i="1"/>
  <c r="CE2119" i="1"/>
  <c r="A2120" i="1"/>
  <c r="C2120" i="1"/>
  <c r="E2120" i="1"/>
  <c r="S2120" i="1"/>
  <c r="T2120" i="1"/>
  <c r="U2120" i="1"/>
  <c r="BB2120" i="1"/>
  <c r="BD2120" i="1"/>
  <c r="CE2120" i="1"/>
  <c r="A2121" i="1"/>
  <c r="C2121" i="1"/>
  <c r="E2121" i="1"/>
  <c r="S2121" i="1"/>
  <c r="T2121" i="1"/>
  <c r="U2121" i="1"/>
  <c r="BB2121" i="1"/>
  <c r="BD2121" i="1"/>
  <c r="CE2121" i="1"/>
  <c r="A2122" i="1"/>
  <c r="C2122" i="1"/>
  <c r="E2122" i="1"/>
  <c r="S2122" i="1"/>
  <c r="T2122" i="1"/>
  <c r="U2122" i="1"/>
  <c r="BB2122" i="1"/>
  <c r="BD2122" i="1"/>
  <c r="CE2122" i="1"/>
  <c r="A2123" i="1"/>
  <c r="C2123" i="1"/>
  <c r="E2123" i="1"/>
  <c r="S2123" i="1"/>
  <c r="T2123" i="1"/>
  <c r="U2123" i="1"/>
  <c r="BB2123" i="1"/>
  <c r="BD2123" i="1"/>
  <c r="CE2123" i="1"/>
  <c r="A2124" i="1"/>
  <c r="C2124" i="1"/>
  <c r="E2124" i="1"/>
  <c r="S2124" i="1"/>
  <c r="T2124" i="1"/>
  <c r="U2124" i="1"/>
  <c r="BB2124" i="1"/>
  <c r="BD2124" i="1"/>
  <c r="CE2124" i="1"/>
  <c r="A2125" i="1"/>
  <c r="C2125" i="1"/>
  <c r="E2125" i="1"/>
  <c r="S2125" i="1"/>
  <c r="T2125" i="1"/>
  <c r="U2125" i="1"/>
  <c r="BB2125" i="1"/>
  <c r="BD2125" i="1"/>
  <c r="CE2125" i="1"/>
  <c r="A2126" i="1"/>
  <c r="C2126" i="1"/>
  <c r="E2126" i="1"/>
  <c r="S2126" i="1"/>
  <c r="T2126" i="1"/>
  <c r="U2126" i="1"/>
  <c r="BB2126" i="1"/>
  <c r="BD2126" i="1"/>
  <c r="CE2126" i="1"/>
  <c r="A2127" i="1"/>
  <c r="C2127" i="1"/>
  <c r="E2127" i="1"/>
  <c r="S2127" i="1"/>
  <c r="T2127" i="1"/>
  <c r="U2127" i="1"/>
  <c r="BB2127" i="1"/>
  <c r="BD2127" i="1"/>
  <c r="CE2127" i="1"/>
  <c r="A2128" i="1"/>
  <c r="C2128" i="1"/>
  <c r="E2128" i="1"/>
  <c r="S2128" i="1"/>
  <c r="T2128" i="1"/>
  <c r="U2128" i="1"/>
  <c r="BB2128" i="1"/>
  <c r="BD2128" i="1"/>
  <c r="CE2128" i="1"/>
  <c r="A2129" i="1"/>
  <c r="C2129" i="1"/>
  <c r="E2129" i="1"/>
  <c r="S2129" i="1"/>
  <c r="T2129" i="1"/>
  <c r="U2129" i="1"/>
  <c r="BB2129" i="1"/>
  <c r="BD2129" i="1"/>
  <c r="CE2129" i="1"/>
  <c r="A2130" i="1"/>
  <c r="C2130" i="1"/>
  <c r="E2130" i="1"/>
  <c r="S2130" i="1"/>
  <c r="T2130" i="1"/>
  <c r="U2130" i="1"/>
  <c r="BB2130" i="1"/>
  <c r="BD2130" i="1"/>
  <c r="CE2130" i="1"/>
  <c r="A2131" i="1"/>
  <c r="C2131" i="1"/>
  <c r="E2131" i="1"/>
  <c r="S2131" i="1"/>
  <c r="T2131" i="1"/>
  <c r="U2131" i="1"/>
  <c r="BB2131" i="1"/>
  <c r="BD2131" i="1"/>
  <c r="CE2131" i="1"/>
  <c r="A2132" i="1"/>
  <c r="C2132" i="1"/>
  <c r="E2132" i="1"/>
  <c r="S2132" i="1"/>
  <c r="T2132" i="1"/>
  <c r="U2132" i="1"/>
  <c r="BB2132" i="1"/>
  <c r="BD2132" i="1"/>
  <c r="CE2132" i="1"/>
  <c r="A2133" i="1"/>
  <c r="C2133" i="1"/>
  <c r="E2133" i="1"/>
  <c r="S2133" i="1"/>
  <c r="T2133" i="1"/>
  <c r="U2133" i="1"/>
  <c r="BB2133" i="1"/>
  <c r="BD2133" i="1"/>
  <c r="CE2133" i="1"/>
  <c r="A2134" i="1"/>
  <c r="C2134" i="1"/>
  <c r="E2134" i="1"/>
  <c r="S2134" i="1"/>
  <c r="T2134" i="1"/>
  <c r="U2134" i="1"/>
  <c r="BB2134" i="1"/>
  <c r="BD2134" i="1"/>
  <c r="CE2134" i="1"/>
  <c r="A2135" i="1"/>
  <c r="C2135" i="1"/>
  <c r="E2135" i="1"/>
  <c r="S2135" i="1"/>
  <c r="T2135" i="1"/>
  <c r="U2135" i="1"/>
  <c r="BB2135" i="1"/>
  <c r="BD2135" i="1"/>
  <c r="CE2135" i="1"/>
  <c r="A2136" i="1"/>
  <c r="C2136" i="1"/>
  <c r="E2136" i="1"/>
  <c r="S2136" i="1"/>
  <c r="T2136" i="1"/>
  <c r="U2136" i="1"/>
  <c r="BB2136" i="1"/>
  <c r="BD2136" i="1"/>
  <c r="CE2136" i="1"/>
  <c r="A2137" i="1"/>
  <c r="C2137" i="1"/>
  <c r="E2137" i="1"/>
  <c r="S2137" i="1"/>
  <c r="T2137" i="1"/>
  <c r="U2137" i="1"/>
  <c r="BB2137" i="1"/>
  <c r="BD2137" i="1"/>
  <c r="CE2137" i="1"/>
  <c r="A2138" i="1"/>
  <c r="C2138" i="1"/>
  <c r="E2138" i="1"/>
  <c r="S2138" i="1"/>
  <c r="T2138" i="1"/>
  <c r="U2138" i="1"/>
  <c r="BB2138" i="1"/>
  <c r="BD2138" i="1"/>
  <c r="CE2138" i="1"/>
  <c r="A2139" i="1"/>
  <c r="C2139" i="1"/>
  <c r="E2139" i="1"/>
  <c r="S2139" i="1"/>
  <c r="T2139" i="1"/>
  <c r="U2139" i="1"/>
  <c r="BB2139" i="1"/>
  <c r="BD2139" i="1"/>
  <c r="CE2139" i="1"/>
  <c r="A2140" i="1"/>
  <c r="C2140" i="1"/>
  <c r="E2140" i="1"/>
  <c r="S2140" i="1"/>
  <c r="T2140" i="1"/>
  <c r="U2140" i="1"/>
  <c r="BB2140" i="1"/>
  <c r="BD2140" i="1"/>
  <c r="CE2140" i="1"/>
  <c r="A2141" i="1"/>
  <c r="C2141" i="1"/>
  <c r="E2141" i="1"/>
  <c r="S2141" i="1"/>
  <c r="T2141" i="1"/>
  <c r="U2141" i="1"/>
  <c r="BB2141" i="1"/>
  <c r="BD2141" i="1"/>
  <c r="CE2141" i="1"/>
  <c r="A2142" i="1"/>
  <c r="C2142" i="1"/>
  <c r="E2142" i="1"/>
  <c r="S2142" i="1"/>
  <c r="T2142" i="1"/>
  <c r="U2142" i="1"/>
  <c r="BB2142" i="1"/>
  <c r="BD2142" i="1"/>
  <c r="CE2142" i="1"/>
  <c r="A2143" i="1"/>
  <c r="C2143" i="1"/>
  <c r="E2143" i="1"/>
  <c r="S2143" i="1"/>
  <c r="T2143" i="1"/>
  <c r="U2143" i="1"/>
  <c r="BB2143" i="1"/>
  <c r="BD2143" i="1"/>
  <c r="CE2143" i="1"/>
  <c r="A2144" i="1"/>
  <c r="C2144" i="1"/>
  <c r="E2144" i="1"/>
  <c r="S2144" i="1"/>
  <c r="T2144" i="1"/>
  <c r="U2144" i="1"/>
  <c r="BB2144" i="1"/>
  <c r="BD2144" i="1"/>
  <c r="CE2144" i="1"/>
  <c r="A2145" i="1"/>
  <c r="C2145" i="1"/>
  <c r="E2145" i="1"/>
  <c r="S2145" i="1"/>
  <c r="T2145" i="1"/>
  <c r="U2145" i="1"/>
  <c r="BB2145" i="1"/>
  <c r="BD2145" i="1"/>
  <c r="CE2145" i="1"/>
  <c r="A2146" i="1"/>
  <c r="C2146" i="1"/>
  <c r="E2146" i="1"/>
  <c r="S2146" i="1"/>
  <c r="T2146" i="1"/>
  <c r="U2146" i="1"/>
  <c r="BB2146" i="1"/>
  <c r="BD2146" i="1"/>
  <c r="CE2146" i="1"/>
  <c r="A2147" i="1"/>
  <c r="C2147" i="1"/>
  <c r="E2147" i="1"/>
  <c r="S2147" i="1"/>
  <c r="T2147" i="1"/>
  <c r="U2147" i="1"/>
  <c r="BB2147" i="1"/>
  <c r="BD2147" i="1"/>
  <c r="CE2147" i="1"/>
  <c r="A2148" i="1"/>
  <c r="C2148" i="1"/>
  <c r="E2148" i="1"/>
  <c r="S2148" i="1"/>
  <c r="T2148" i="1"/>
  <c r="U2148" i="1"/>
  <c r="BB2148" i="1"/>
  <c r="BD2148" i="1"/>
  <c r="CE2148" i="1"/>
  <c r="A2149" i="1"/>
  <c r="C2149" i="1"/>
  <c r="E2149" i="1"/>
  <c r="S2149" i="1"/>
  <c r="T2149" i="1"/>
  <c r="U2149" i="1"/>
  <c r="BB2149" i="1"/>
  <c r="BD2149" i="1"/>
  <c r="CE2149" i="1"/>
  <c r="A2150" i="1"/>
  <c r="C2150" i="1"/>
  <c r="E2150" i="1"/>
  <c r="S2150" i="1"/>
  <c r="T2150" i="1"/>
  <c r="U2150" i="1"/>
  <c r="BB2150" i="1"/>
  <c r="BD2150" i="1"/>
  <c r="CE2150" i="1"/>
  <c r="A2151" i="1"/>
  <c r="C2151" i="1"/>
  <c r="E2151" i="1"/>
  <c r="S2151" i="1"/>
  <c r="T2151" i="1"/>
  <c r="U2151" i="1"/>
  <c r="BB2151" i="1"/>
  <c r="BD2151" i="1"/>
  <c r="CE2151" i="1"/>
  <c r="A2152" i="1"/>
  <c r="C2152" i="1"/>
  <c r="E2152" i="1"/>
  <c r="S2152" i="1"/>
  <c r="T2152" i="1"/>
  <c r="U2152" i="1"/>
  <c r="BB2152" i="1"/>
  <c r="BD2152" i="1"/>
  <c r="CE2152" i="1"/>
  <c r="A2153" i="1"/>
  <c r="C2153" i="1"/>
  <c r="E2153" i="1"/>
  <c r="S2153" i="1"/>
  <c r="T2153" i="1"/>
  <c r="U2153" i="1"/>
  <c r="BB2153" i="1"/>
  <c r="BD2153" i="1"/>
  <c r="CE2153" i="1"/>
  <c r="A2154" i="1"/>
  <c r="C2154" i="1"/>
  <c r="E2154" i="1"/>
  <c r="S2154" i="1"/>
  <c r="T2154" i="1"/>
  <c r="U2154" i="1"/>
  <c r="BB2154" i="1"/>
  <c r="BD2154" i="1"/>
  <c r="CE2154" i="1"/>
  <c r="A2155" i="1"/>
  <c r="C2155" i="1"/>
  <c r="E2155" i="1"/>
  <c r="S2155" i="1"/>
  <c r="T2155" i="1"/>
  <c r="U2155" i="1"/>
  <c r="BB2155" i="1"/>
  <c r="BD2155" i="1"/>
  <c r="CE2155" i="1"/>
  <c r="A2156" i="1"/>
  <c r="C2156" i="1"/>
  <c r="E2156" i="1"/>
  <c r="S2156" i="1"/>
  <c r="T2156" i="1"/>
  <c r="U2156" i="1"/>
  <c r="BB2156" i="1"/>
  <c r="BD2156" i="1"/>
  <c r="CE2156" i="1"/>
  <c r="A2157" i="1"/>
  <c r="C2157" i="1"/>
  <c r="E2157" i="1"/>
  <c r="S2157" i="1"/>
  <c r="T2157" i="1"/>
  <c r="U2157" i="1"/>
  <c r="BB2157" i="1"/>
  <c r="BD2157" i="1"/>
  <c r="CE2157" i="1"/>
  <c r="A2158" i="1"/>
  <c r="C2158" i="1"/>
  <c r="E2158" i="1"/>
  <c r="S2158" i="1"/>
  <c r="T2158" i="1"/>
  <c r="U2158" i="1"/>
  <c r="BB2158" i="1"/>
  <c r="BD2158" i="1"/>
  <c r="CE2158" i="1"/>
  <c r="A2159" i="1"/>
  <c r="C2159" i="1"/>
  <c r="E2159" i="1"/>
  <c r="S2159" i="1"/>
  <c r="T2159" i="1"/>
  <c r="U2159" i="1"/>
  <c r="BB2159" i="1"/>
  <c r="BD2159" i="1"/>
  <c r="CE2159" i="1"/>
  <c r="A2160" i="1"/>
  <c r="C2160" i="1"/>
  <c r="E2160" i="1"/>
  <c r="S2160" i="1"/>
  <c r="T2160" i="1"/>
  <c r="U2160" i="1"/>
  <c r="BB2160" i="1"/>
  <c r="BD2160" i="1"/>
  <c r="CE2160" i="1"/>
  <c r="A2161" i="1"/>
  <c r="C2161" i="1"/>
  <c r="E2161" i="1"/>
  <c r="S2161" i="1"/>
  <c r="T2161" i="1"/>
  <c r="U2161" i="1"/>
  <c r="BB2161" i="1"/>
  <c r="BD2161" i="1"/>
  <c r="CE2161" i="1"/>
  <c r="A2162" i="1"/>
  <c r="C2162" i="1"/>
  <c r="E2162" i="1"/>
  <c r="S2162" i="1"/>
  <c r="T2162" i="1"/>
  <c r="U2162" i="1"/>
  <c r="BB2162" i="1"/>
  <c r="BD2162" i="1"/>
  <c r="CE2162" i="1"/>
  <c r="A2163" i="1"/>
  <c r="C2163" i="1"/>
  <c r="E2163" i="1"/>
  <c r="S2163" i="1"/>
  <c r="T2163" i="1"/>
  <c r="U2163" i="1"/>
  <c r="BB2163" i="1"/>
  <c r="BD2163" i="1"/>
  <c r="CE2163" i="1"/>
  <c r="A2164" i="1"/>
  <c r="C2164" i="1"/>
  <c r="E2164" i="1"/>
  <c r="S2164" i="1"/>
  <c r="T2164" i="1"/>
  <c r="U2164" i="1"/>
  <c r="BB2164" i="1"/>
  <c r="BD2164" i="1"/>
  <c r="CE2164" i="1"/>
  <c r="A2165" i="1"/>
  <c r="C2165" i="1"/>
  <c r="E2165" i="1"/>
  <c r="S2165" i="1"/>
  <c r="T2165" i="1"/>
  <c r="U2165" i="1"/>
  <c r="BB2165" i="1"/>
  <c r="BD2165" i="1"/>
  <c r="CE2165" i="1"/>
  <c r="A2166" i="1"/>
  <c r="C2166" i="1"/>
  <c r="E2166" i="1"/>
  <c r="S2166" i="1"/>
  <c r="T2166" i="1"/>
  <c r="U2166" i="1"/>
  <c r="BB2166" i="1"/>
  <c r="BD2166" i="1"/>
  <c r="CE2166" i="1"/>
  <c r="A2167" i="1"/>
  <c r="C2167" i="1"/>
  <c r="E2167" i="1"/>
  <c r="S2167" i="1"/>
  <c r="T2167" i="1"/>
  <c r="U2167" i="1"/>
  <c r="BB2167" i="1"/>
  <c r="BD2167" i="1"/>
  <c r="CE2167" i="1"/>
  <c r="A2168" i="1"/>
  <c r="C2168" i="1"/>
  <c r="E2168" i="1"/>
  <c r="S2168" i="1"/>
  <c r="T2168" i="1"/>
  <c r="U2168" i="1"/>
  <c r="BB2168" i="1"/>
  <c r="BD2168" i="1"/>
  <c r="CE2168" i="1"/>
  <c r="A2169" i="1"/>
  <c r="C2169" i="1"/>
  <c r="E2169" i="1"/>
  <c r="S2169" i="1"/>
  <c r="T2169" i="1"/>
  <c r="U2169" i="1"/>
  <c r="BB2169" i="1"/>
  <c r="BD2169" i="1"/>
  <c r="CE2169" i="1"/>
  <c r="A2170" i="1"/>
  <c r="C2170" i="1"/>
  <c r="E2170" i="1"/>
  <c r="S2170" i="1"/>
  <c r="T2170" i="1"/>
  <c r="U2170" i="1"/>
  <c r="BB2170" i="1"/>
  <c r="BD2170" i="1"/>
  <c r="CE2170" i="1"/>
  <c r="A2171" i="1"/>
  <c r="C2171" i="1"/>
  <c r="E2171" i="1"/>
  <c r="S2171" i="1"/>
  <c r="T2171" i="1"/>
  <c r="U2171" i="1"/>
  <c r="BB2171" i="1"/>
  <c r="BD2171" i="1"/>
  <c r="CE2171" i="1"/>
  <c r="A2172" i="1"/>
  <c r="C2172" i="1"/>
  <c r="E2172" i="1"/>
  <c r="S2172" i="1"/>
  <c r="T2172" i="1"/>
  <c r="U2172" i="1"/>
  <c r="BB2172" i="1"/>
  <c r="BD2172" i="1"/>
  <c r="CE2172" i="1"/>
  <c r="A2173" i="1"/>
  <c r="C2173" i="1"/>
  <c r="E2173" i="1"/>
  <c r="S2173" i="1"/>
  <c r="T2173" i="1"/>
  <c r="U2173" i="1"/>
  <c r="BB2173" i="1"/>
  <c r="BD2173" i="1"/>
  <c r="CE2173" i="1"/>
  <c r="A2174" i="1"/>
  <c r="C2174" i="1"/>
  <c r="E2174" i="1"/>
  <c r="S2174" i="1"/>
  <c r="T2174" i="1"/>
  <c r="U2174" i="1"/>
  <c r="BB2174" i="1"/>
  <c r="BD2174" i="1"/>
  <c r="CE2174" i="1"/>
  <c r="A2175" i="1"/>
  <c r="C2175" i="1"/>
  <c r="E2175" i="1"/>
  <c r="S2175" i="1"/>
  <c r="T2175" i="1"/>
  <c r="U2175" i="1"/>
  <c r="BB2175" i="1"/>
  <c r="BD2175" i="1"/>
  <c r="CE2175" i="1"/>
  <c r="A2176" i="1"/>
  <c r="C2176" i="1"/>
  <c r="E2176" i="1"/>
  <c r="S2176" i="1"/>
  <c r="T2176" i="1"/>
  <c r="U2176" i="1"/>
  <c r="BB2176" i="1"/>
  <c r="BD2176" i="1"/>
  <c r="CE2176" i="1"/>
  <c r="A2177" i="1"/>
  <c r="C2177" i="1"/>
  <c r="E2177" i="1"/>
  <c r="S2177" i="1"/>
  <c r="T2177" i="1"/>
  <c r="U2177" i="1"/>
  <c r="BB2177" i="1"/>
  <c r="BD2177" i="1"/>
  <c r="CE2177" i="1"/>
  <c r="A2178" i="1"/>
  <c r="C2178" i="1"/>
  <c r="E2178" i="1"/>
  <c r="S2178" i="1"/>
  <c r="T2178" i="1"/>
  <c r="U2178" i="1"/>
  <c r="BB2178" i="1"/>
  <c r="BD2178" i="1"/>
  <c r="CE2178" i="1"/>
  <c r="A2179" i="1"/>
  <c r="C2179" i="1"/>
  <c r="E2179" i="1"/>
  <c r="S2179" i="1"/>
  <c r="T2179" i="1"/>
  <c r="U2179" i="1"/>
  <c r="BB2179" i="1"/>
  <c r="BD2179" i="1"/>
  <c r="CE2179" i="1"/>
  <c r="A2180" i="1"/>
  <c r="C2180" i="1"/>
  <c r="E2180" i="1"/>
  <c r="S2180" i="1"/>
  <c r="T2180" i="1"/>
  <c r="U2180" i="1"/>
  <c r="BB2180" i="1"/>
  <c r="BD2180" i="1"/>
  <c r="CE2180" i="1"/>
  <c r="A2181" i="1"/>
  <c r="C2181" i="1"/>
  <c r="E2181" i="1"/>
  <c r="S2181" i="1"/>
  <c r="T2181" i="1"/>
  <c r="U2181" i="1"/>
  <c r="BB2181" i="1"/>
  <c r="BD2181" i="1"/>
  <c r="CE2181" i="1"/>
  <c r="A2182" i="1"/>
  <c r="C2182" i="1"/>
  <c r="E2182" i="1"/>
  <c r="S2182" i="1"/>
  <c r="T2182" i="1"/>
  <c r="U2182" i="1"/>
  <c r="BB2182" i="1"/>
  <c r="BD2182" i="1"/>
  <c r="CE2182" i="1"/>
  <c r="A2183" i="1"/>
  <c r="C2183" i="1"/>
  <c r="E2183" i="1"/>
  <c r="S2183" i="1"/>
  <c r="T2183" i="1"/>
  <c r="U2183" i="1"/>
  <c r="BB2183" i="1"/>
  <c r="BD2183" i="1"/>
  <c r="CE2183" i="1"/>
  <c r="A2184" i="1"/>
  <c r="C2184" i="1"/>
  <c r="E2184" i="1"/>
  <c r="S2184" i="1"/>
  <c r="T2184" i="1"/>
  <c r="U2184" i="1"/>
  <c r="BB2184" i="1"/>
  <c r="BD2184" i="1"/>
  <c r="CE2184" i="1"/>
  <c r="A2185" i="1"/>
  <c r="C2185" i="1"/>
  <c r="E2185" i="1"/>
  <c r="S2185" i="1"/>
  <c r="T2185" i="1"/>
  <c r="U2185" i="1"/>
  <c r="BB2185" i="1"/>
  <c r="BD2185" i="1"/>
  <c r="CE2185" i="1"/>
  <c r="A2186" i="1"/>
  <c r="C2186" i="1"/>
  <c r="E2186" i="1"/>
  <c r="S2186" i="1"/>
  <c r="T2186" i="1"/>
  <c r="U2186" i="1"/>
  <c r="BB2186" i="1"/>
  <c r="BD2186" i="1"/>
  <c r="CE2186" i="1"/>
  <c r="A2187" i="1"/>
  <c r="C2187" i="1"/>
  <c r="E2187" i="1"/>
  <c r="S2187" i="1"/>
  <c r="T2187" i="1"/>
  <c r="U2187" i="1"/>
  <c r="BB2187" i="1"/>
  <c r="BD2187" i="1"/>
  <c r="CE2187" i="1"/>
  <c r="A2188" i="1"/>
  <c r="C2188" i="1"/>
  <c r="E2188" i="1"/>
  <c r="S2188" i="1"/>
  <c r="T2188" i="1"/>
  <c r="U2188" i="1"/>
  <c r="BB2188" i="1"/>
  <c r="BD2188" i="1"/>
  <c r="CE2188" i="1"/>
  <c r="A2189" i="1"/>
  <c r="C2189" i="1"/>
  <c r="E2189" i="1"/>
  <c r="S2189" i="1"/>
  <c r="T2189" i="1"/>
  <c r="U2189" i="1"/>
  <c r="BB2189" i="1"/>
  <c r="BD2189" i="1"/>
  <c r="CE2189" i="1"/>
  <c r="A2190" i="1"/>
  <c r="C2190" i="1"/>
  <c r="E2190" i="1"/>
  <c r="S2190" i="1"/>
  <c r="T2190" i="1"/>
  <c r="U2190" i="1"/>
  <c r="BB2190" i="1"/>
  <c r="BD2190" i="1"/>
  <c r="CE2190" i="1"/>
  <c r="A2191" i="1"/>
  <c r="C2191" i="1"/>
  <c r="E2191" i="1"/>
  <c r="S2191" i="1"/>
  <c r="T2191" i="1"/>
  <c r="U2191" i="1"/>
  <c r="BB2191" i="1"/>
  <c r="BD2191" i="1"/>
  <c r="CE2191" i="1"/>
  <c r="A2192" i="1"/>
  <c r="C2192" i="1"/>
  <c r="E2192" i="1"/>
  <c r="S2192" i="1"/>
  <c r="T2192" i="1"/>
  <c r="U2192" i="1"/>
  <c r="BB2192" i="1"/>
  <c r="BD2192" i="1"/>
  <c r="CE2192" i="1"/>
  <c r="A2193" i="1"/>
  <c r="C2193" i="1"/>
  <c r="E2193" i="1"/>
  <c r="S2193" i="1"/>
  <c r="T2193" i="1"/>
  <c r="U2193" i="1"/>
  <c r="BB2193" i="1"/>
  <c r="BD2193" i="1"/>
  <c r="CE2193" i="1"/>
  <c r="A2194" i="1"/>
  <c r="C2194" i="1"/>
  <c r="E2194" i="1"/>
  <c r="S2194" i="1"/>
  <c r="T2194" i="1"/>
  <c r="U2194" i="1"/>
  <c r="BB2194" i="1"/>
  <c r="BD2194" i="1"/>
  <c r="CE2194" i="1"/>
  <c r="A2195" i="1"/>
  <c r="C2195" i="1"/>
  <c r="E2195" i="1"/>
  <c r="S2195" i="1"/>
  <c r="T2195" i="1"/>
  <c r="U2195" i="1"/>
  <c r="BB2195" i="1"/>
  <c r="BD2195" i="1"/>
  <c r="CE2195" i="1"/>
  <c r="A2196" i="1"/>
  <c r="C2196" i="1"/>
  <c r="E2196" i="1"/>
  <c r="S2196" i="1"/>
  <c r="T2196" i="1"/>
  <c r="U2196" i="1"/>
  <c r="BB2196" i="1"/>
  <c r="BD2196" i="1"/>
  <c r="CE2196" i="1"/>
  <c r="A2197" i="1"/>
  <c r="C2197" i="1"/>
  <c r="E2197" i="1"/>
  <c r="S2197" i="1"/>
  <c r="T2197" i="1"/>
  <c r="U2197" i="1"/>
  <c r="BB2197" i="1"/>
  <c r="BD2197" i="1"/>
  <c r="CE2197" i="1"/>
  <c r="A2198" i="1"/>
  <c r="C2198" i="1"/>
  <c r="E2198" i="1"/>
  <c r="S2198" i="1"/>
  <c r="T2198" i="1"/>
  <c r="U2198" i="1"/>
  <c r="BB2198" i="1"/>
  <c r="BD2198" i="1"/>
  <c r="CE2198" i="1"/>
  <c r="A2199" i="1"/>
  <c r="C2199" i="1"/>
  <c r="E2199" i="1"/>
  <c r="S2199" i="1"/>
  <c r="T2199" i="1"/>
  <c r="U2199" i="1"/>
  <c r="BB2199" i="1"/>
  <c r="BD2199" i="1"/>
  <c r="CE2199" i="1"/>
  <c r="A2200" i="1"/>
  <c r="C2200" i="1"/>
  <c r="E2200" i="1"/>
  <c r="S2200" i="1"/>
  <c r="T2200" i="1"/>
  <c r="U2200" i="1"/>
  <c r="BB2200" i="1"/>
  <c r="BD2200" i="1"/>
  <c r="CE2200" i="1"/>
  <c r="A2201" i="1"/>
  <c r="C2201" i="1"/>
  <c r="E2201" i="1"/>
  <c r="S2201" i="1"/>
  <c r="T2201" i="1"/>
  <c r="U2201" i="1"/>
  <c r="BB2201" i="1"/>
  <c r="BD2201" i="1"/>
  <c r="CE2201" i="1"/>
  <c r="A2202" i="1"/>
  <c r="C2202" i="1"/>
  <c r="E2202" i="1"/>
  <c r="S2202" i="1"/>
  <c r="T2202" i="1"/>
  <c r="U2202" i="1"/>
  <c r="BB2202" i="1"/>
  <c r="BD2202" i="1"/>
  <c r="CE2202" i="1"/>
  <c r="A2203" i="1"/>
  <c r="C2203" i="1"/>
  <c r="E2203" i="1"/>
  <c r="S2203" i="1"/>
  <c r="T2203" i="1"/>
  <c r="U2203" i="1"/>
  <c r="BB2203" i="1"/>
  <c r="BD2203" i="1"/>
  <c r="CE2203" i="1"/>
  <c r="A2204" i="1"/>
  <c r="C2204" i="1"/>
  <c r="E2204" i="1"/>
  <c r="S2204" i="1"/>
  <c r="T2204" i="1"/>
  <c r="U2204" i="1"/>
  <c r="BB2204" i="1"/>
  <c r="BD2204" i="1"/>
  <c r="CE2204" i="1"/>
  <c r="A2205" i="1"/>
  <c r="C2205" i="1"/>
  <c r="E2205" i="1"/>
  <c r="S2205" i="1"/>
  <c r="T2205" i="1"/>
  <c r="U2205" i="1"/>
  <c r="BB2205" i="1"/>
  <c r="BD2205" i="1"/>
  <c r="CE2205" i="1"/>
  <c r="A2206" i="1"/>
  <c r="C2206" i="1"/>
  <c r="E2206" i="1"/>
  <c r="S2206" i="1"/>
  <c r="T2206" i="1"/>
  <c r="U2206" i="1"/>
  <c r="BB2206" i="1"/>
  <c r="BD2206" i="1"/>
  <c r="CE2206" i="1"/>
  <c r="A2207" i="1"/>
  <c r="C2207" i="1"/>
  <c r="E2207" i="1"/>
  <c r="S2207" i="1"/>
  <c r="T2207" i="1"/>
  <c r="U2207" i="1"/>
  <c r="BB2207" i="1"/>
  <c r="BD2207" i="1"/>
  <c r="CE2207" i="1"/>
  <c r="A2208" i="1"/>
  <c r="C2208" i="1"/>
  <c r="E2208" i="1"/>
  <c r="S2208" i="1"/>
  <c r="T2208" i="1"/>
  <c r="U2208" i="1"/>
  <c r="BB2208" i="1"/>
  <c r="BD2208" i="1"/>
  <c r="CE2208" i="1"/>
  <c r="A2209" i="1"/>
  <c r="C2209" i="1"/>
  <c r="E2209" i="1"/>
  <c r="S2209" i="1"/>
  <c r="T2209" i="1"/>
  <c r="U2209" i="1"/>
  <c r="BB2209" i="1"/>
  <c r="BD2209" i="1"/>
  <c r="CE2209" i="1"/>
  <c r="A2210" i="1"/>
  <c r="C2210" i="1"/>
  <c r="E2210" i="1"/>
  <c r="S2210" i="1"/>
  <c r="T2210" i="1"/>
  <c r="U2210" i="1"/>
  <c r="BB2210" i="1"/>
  <c r="BD2210" i="1"/>
  <c r="CE2210" i="1"/>
  <c r="A2211" i="1"/>
  <c r="C2211" i="1"/>
  <c r="E2211" i="1"/>
  <c r="S2211" i="1"/>
  <c r="T2211" i="1"/>
  <c r="U2211" i="1"/>
  <c r="BB2211" i="1"/>
  <c r="BD2211" i="1"/>
  <c r="CE2211" i="1"/>
  <c r="A2212" i="1"/>
  <c r="C2212" i="1"/>
  <c r="E2212" i="1"/>
  <c r="S2212" i="1"/>
  <c r="T2212" i="1"/>
  <c r="U2212" i="1"/>
  <c r="BB2212" i="1"/>
  <c r="BD2212" i="1"/>
  <c r="CE2212" i="1"/>
  <c r="A2213" i="1"/>
  <c r="C2213" i="1"/>
  <c r="E2213" i="1"/>
  <c r="S2213" i="1"/>
  <c r="T2213" i="1"/>
  <c r="U2213" i="1"/>
  <c r="BB2213" i="1"/>
  <c r="BD2213" i="1"/>
  <c r="CE2213" i="1"/>
  <c r="A2214" i="1"/>
  <c r="C2214" i="1"/>
  <c r="E2214" i="1"/>
  <c r="S2214" i="1"/>
  <c r="T2214" i="1"/>
  <c r="U2214" i="1"/>
  <c r="BB2214" i="1"/>
  <c r="BD2214" i="1"/>
  <c r="CE2214" i="1"/>
  <c r="A2215" i="1"/>
  <c r="C2215" i="1"/>
  <c r="E2215" i="1"/>
  <c r="S2215" i="1"/>
  <c r="T2215" i="1"/>
  <c r="U2215" i="1"/>
  <c r="BB2215" i="1"/>
  <c r="BD2215" i="1"/>
  <c r="CE2215" i="1"/>
  <c r="A2216" i="1"/>
  <c r="C2216" i="1"/>
  <c r="E2216" i="1"/>
  <c r="S2216" i="1"/>
  <c r="T2216" i="1"/>
  <c r="U2216" i="1"/>
  <c r="BB2216" i="1"/>
  <c r="BD2216" i="1"/>
  <c r="CE2216" i="1"/>
  <c r="A2217" i="1"/>
  <c r="C2217" i="1"/>
  <c r="E2217" i="1"/>
  <c r="S2217" i="1"/>
  <c r="T2217" i="1"/>
  <c r="U2217" i="1"/>
  <c r="BB2217" i="1"/>
  <c r="BD2217" i="1"/>
  <c r="CE2217" i="1"/>
  <c r="A2218" i="1"/>
  <c r="C2218" i="1"/>
  <c r="E2218" i="1"/>
  <c r="S2218" i="1"/>
  <c r="T2218" i="1"/>
  <c r="U2218" i="1"/>
  <c r="BB2218" i="1"/>
  <c r="BD2218" i="1"/>
  <c r="CE2218" i="1"/>
  <c r="A2219" i="1"/>
  <c r="C2219" i="1"/>
  <c r="E2219" i="1"/>
  <c r="S2219" i="1"/>
  <c r="T2219" i="1"/>
  <c r="U2219" i="1"/>
  <c r="BB2219" i="1"/>
  <c r="BD2219" i="1"/>
  <c r="CE2219" i="1"/>
  <c r="A2220" i="1"/>
  <c r="C2220" i="1"/>
  <c r="E2220" i="1"/>
  <c r="S2220" i="1"/>
  <c r="T2220" i="1"/>
  <c r="U2220" i="1"/>
  <c r="BB2220" i="1"/>
  <c r="BD2220" i="1"/>
  <c r="CE2220" i="1"/>
  <c r="A2221" i="1"/>
  <c r="C2221" i="1"/>
  <c r="E2221" i="1"/>
  <c r="S2221" i="1"/>
  <c r="T2221" i="1"/>
  <c r="U2221" i="1"/>
  <c r="BB2221" i="1"/>
  <c r="BD2221" i="1"/>
  <c r="CE2221" i="1"/>
  <c r="A2222" i="1"/>
  <c r="C2222" i="1"/>
  <c r="E2222" i="1"/>
  <c r="S2222" i="1"/>
  <c r="T2222" i="1"/>
  <c r="U2222" i="1"/>
  <c r="BB2222" i="1"/>
  <c r="BD2222" i="1"/>
  <c r="CE2222" i="1"/>
  <c r="A2223" i="1"/>
  <c r="C2223" i="1"/>
  <c r="E2223" i="1"/>
  <c r="S2223" i="1"/>
  <c r="T2223" i="1"/>
  <c r="U2223" i="1"/>
  <c r="BB2223" i="1"/>
  <c r="BD2223" i="1"/>
  <c r="CE2223" i="1"/>
  <c r="A2224" i="1"/>
  <c r="C2224" i="1"/>
  <c r="E2224" i="1"/>
  <c r="S2224" i="1"/>
  <c r="T2224" i="1"/>
  <c r="U2224" i="1"/>
  <c r="BB2224" i="1"/>
  <c r="BD2224" i="1"/>
  <c r="CE2224" i="1"/>
  <c r="A2225" i="1"/>
  <c r="C2225" i="1"/>
  <c r="E2225" i="1"/>
  <c r="S2225" i="1"/>
  <c r="T2225" i="1"/>
  <c r="U2225" i="1"/>
  <c r="BB2225" i="1"/>
  <c r="BD2225" i="1"/>
  <c r="CE2225" i="1"/>
  <c r="A2226" i="1"/>
  <c r="C2226" i="1"/>
  <c r="E2226" i="1"/>
  <c r="S2226" i="1"/>
  <c r="T2226" i="1"/>
  <c r="U2226" i="1"/>
  <c r="BB2226" i="1"/>
  <c r="BD2226" i="1"/>
  <c r="CE2226" i="1"/>
  <c r="A2227" i="1"/>
  <c r="C2227" i="1"/>
  <c r="E2227" i="1"/>
  <c r="S2227" i="1"/>
  <c r="T2227" i="1"/>
  <c r="U2227" i="1"/>
  <c r="BB2227" i="1"/>
  <c r="BD2227" i="1"/>
  <c r="CE2227" i="1"/>
  <c r="A2228" i="1"/>
  <c r="C2228" i="1"/>
  <c r="E2228" i="1"/>
  <c r="S2228" i="1"/>
  <c r="T2228" i="1"/>
  <c r="U2228" i="1"/>
  <c r="BB2228" i="1"/>
  <c r="BD2228" i="1"/>
  <c r="CE2228" i="1"/>
  <c r="A2229" i="1"/>
  <c r="C2229" i="1"/>
  <c r="E2229" i="1"/>
  <c r="S2229" i="1"/>
  <c r="T2229" i="1"/>
  <c r="U2229" i="1"/>
  <c r="BB2229" i="1"/>
  <c r="BD2229" i="1"/>
  <c r="CE2229" i="1"/>
  <c r="A2230" i="1"/>
  <c r="C2230" i="1"/>
  <c r="E2230" i="1"/>
  <c r="S2230" i="1"/>
  <c r="T2230" i="1"/>
  <c r="U2230" i="1"/>
  <c r="BB2230" i="1"/>
  <c r="BD2230" i="1"/>
  <c r="CE2230" i="1"/>
  <c r="A2231" i="1"/>
  <c r="C2231" i="1"/>
  <c r="E2231" i="1"/>
  <c r="S2231" i="1"/>
  <c r="T2231" i="1"/>
  <c r="U2231" i="1"/>
  <c r="BB2231" i="1"/>
  <c r="BD2231" i="1"/>
  <c r="CE2231" i="1"/>
  <c r="A2232" i="1"/>
  <c r="C2232" i="1"/>
  <c r="E2232" i="1"/>
  <c r="S2232" i="1"/>
  <c r="T2232" i="1"/>
  <c r="U2232" i="1"/>
  <c r="BB2232" i="1"/>
  <c r="BD2232" i="1"/>
  <c r="CE2232" i="1"/>
  <c r="A2233" i="1"/>
  <c r="C2233" i="1"/>
  <c r="E2233" i="1"/>
  <c r="S2233" i="1"/>
  <c r="T2233" i="1"/>
  <c r="U2233" i="1"/>
  <c r="BB2233" i="1"/>
  <c r="BD2233" i="1"/>
  <c r="CE2233" i="1"/>
  <c r="A2234" i="1"/>
  <c r="C2234" i="1"/>
  <c r="E2234" i="1"/>
  <c r="S2234" i="1"/>
  <c r="T2234" i="1"/>
  <c r="U2234" i="1"/>
  <c r="BB2234" i="1"/>
  <c r="BD2234" i="1"/>
  <c r="CE2234" i="1"/>
  <c r="A2235" i="1"/>
  <c r="C2235" i="1"/>
  <c r="E2235" i="1"/>
  <c r="S2235" i="1"/>
  <c r="T2235" i="1"/>
  <c r="U2235" i="1"/>
  <c r="BB2235" i="1"/>
  <c r="BD2235" i="1"/>
  <c r="CE2235" i="1"/>
  <c r="A2236" i="1"/>
  <c r="C2236" i="1"/>
  <c r="E2236" i="1"/>
  <c r="S2236" i="1"/>
  <c r="T2236" i="1"/>
  <c r="U2236" i="1"/>
  <c r="BB2236" i="1"/>
  <c r="BD2236" i="1"/>
  <c r="CE2236" i="1"/>
  <c r="A2237" i="1"/>
  <c r="C2237" i="1"/>
  <c r="E2237" i="1"/>
  <c r="S2237" i="1"/>
  <c r="T2237" i="1"/>
  <c r="U2237" i="1"/>
  <c r="BB2237" i="1"/>
  <c r="BD2237" i="1"/>
  <c r="CE2237" i="1"/>
  <c r="A2238" i="1"/>
  <c r="C2238" i="1"/>
  <c r="E2238" i="1"/>
  <c r="S2238" i="1"/>
  <c r="T2238" i="1"/>
  <c r="U2238" i="1"/>
  <c r="BB2238" i="1"/>
  <c r="BD2238" i="1"/>
  <c r="CE2238" i="1"/>
  <c r="A2239" i="1"/>
  <c r="C2239" i="1"/>
  <c r="E2239" i="1"/>
  <c r="S2239" i="1"/>
  <c r="T2239" i="1"/>
  <c r="U2239" i="1"/>
  <c r="BB2239" i="1"/>
  <c r="BD2239" i="1"/>
  <c r="CE2239" i="1"/>
  <c r="A2240" i="1"/>
  <c r="C2240" i="1"/>
  <c r="E2240" i="1"/>
  <c r="S2240" i="1"/>
  <c r="T2240" i="1"/>
  <c r="U2240" i="1"/>
  <c r="BB2240" i="1"/>
  <c r="BD2240" i="1"/>
  <c r="CE2240" i="1"/>
  <c r="A2241" i="1"/>
  <c r="C2241" i="1"/>
  <c r="E2241" i="1"/>
  <c r="S2241" i="1"/>
  <c r="T2241" i="1"/>
  <c r="U2241" i="1"/>
  <c r="BB2241" i="1"/>
  <c r="BD2241" i="1"/>
  <c r="CE2241" i="1"/>
  <c r="A2242" i="1"/>
  <c r="C2242" i="1"/>
  <c r="E2242" i="1"/>
  <c r="S2242" i="1"/>
  <c r="T2242" i="1"/>
  <c r="U2242" i="1"/>
  <c r="BB2242" i="1"/>
  <c r="BD2242" i="1"/>
  <c r="CE2242" i="1"/>
  <c r="A2243" i="1"/>
  <c r="C2243" i="1"/>
  <c r="E2243" i="1"/>
  <c r="S2243" i="1"/>
  <c r="T2243" i="1"/>
  <c r="U2243" i="1"/>
  <c r="BB2243" i="1"/>
  <c r="BD2243" i="1"/>
  <c r="CE2243" i="1"/>
  <c r="A2244" i="1"/>
  <c r="C2244" i="1"/>
  <c r="E2244" i="1"/>
  <c r="S2244" i="1"/>
  <c r="T2244" i="1"/>
  <c r="U2244" i="1"/>
  <c r="BB2244" i="1"/>
  <c r="BD2244" i="1"/>
  <c r="CE2244" i="1"/>
  <c r="A2245" i="1"/>
  <c r="C2245" i="1"/>
  <c r="E2245" i="1"/>
  <c r="S2245" i="1"/>
  <c r="T2245" i="1"/>
  <c r="U2245" i="1"/>
  <c r="BB2245" i="1"/>
  <c r="BD2245" i="1"/>
  <c r="CE2245" i="1"/>
  <c r="A2246" i="1"/>
  <c r="C2246" i="1"/>
  <c r="E2246" i="1"/>
  <c r="S2246" i="1"/>
  <c r="T2246" i="1"/>
  <c r="U2246" i="1"/>
  <c r="BB2246" i="1"/>
  <c r="BD2246" i="1"/>
  <c r="CE2246" i="1"/>
  <c r="A2247" i="1"/>
  <c r="C2247" i="1"/>
  <c r="E2247" i="1"/>
  <c r="S2247" i="1"/>
  <c r="T2247" i="1"/>
  <c r="U2247" i="1"/>
  <c r="BB2247" i="1"/>
  <c r="BD2247" i="1"/>
  <c r="CE2247" i="1"/>
  <c r="A2248" i="1"/>
  <c r="C2248" i="1"/>
  <c r="E2248" i="1"/>
  <c r="S2248" i="1"/>
  <c r="T2248" i="1"/>
  <c r="U2248" i="1"/>
  <c r="BB2248" i="1"/>
  <c r="BD2248" i="1"/>
  <c r="CE2248" i="1"/>
  <c r="A2249" i="1"/>
  <c r="C2249" i="1"/>
  <c r="E2249" i="1"/>
  <c r="S2249" i="1"/>
  <c r="T2249" i="1"/>
  <c r="U2249" i="1"/>
  <c r="BB2249" i="1"/>
  <c r="BD2249" i="1"/>
  <c r="CE2249" i="1"/>
  <c r="A2250" i="1"/>
  <c r="C2250" i="1"/>
  <c r="E2250" i="1"/>
  <c r="S2250" i="1"/>
  <c r="T2250" i="1"/>
  <c r="U2250" i="1"/>
  <c r="BB2250" i="1"/>
  <c r="BD2250" i="1"/>
  <c r="CE2250" i="1"/>
  <c r="A2251" i="1"/>
  <c r="C2251" i="1"/>
  <c r="E2251" i="1"/>
  <c r="S2251" i="1"/>
  <c r="T2251" i="1"/>
  <c r="U2251" i="1"/>
  <c r="BB2251" i="1"/>
  <c r="BD2251" i="1"/>
  <c r="CE2251" i="1"/>
  <c r="A2252" i="1"/>
  <c r="C2252" i="1"/>
  <c r="E2252" i="1"/>
  <c r="S2252" i="1"/>
  <c r="T2252" i="1"/>
  <c r="U2252" i="1"/>
  <c r="BB2252" i="1"/>
  <c r="BD2252" i="1"/>
  <c r="CE2252" i="1"/>
  <c r="A2253" i="1"/>
  <c r="C2253" i="1"/>
  <c r="E2253" i="1"/>
  <c r="S2253" i="1"/>
  <c r="T2253" i="1"/>
  <c r="U2253" i="1"/>
  <c r="BB2253" i="1"/>
  <c r="BD2253" i="1"/>
  <c r="CE2253" i="1"/>
  <c r="A2254" i="1"/>
  <c r="C2254" i="1"/>
  <c r="E2254" i="1"/>
  <c r="S2254" i="1"/>
  <c r="T2254" i="1"/>
  <c r="U2254" i="1"/>
  <c r="BB2254" i="1"/>
  <c r="BD2254" i="1"/>
  <c r="CE2254" i="1"/>
  <c r="A2255" i="1"/>
  <c r="C2255" i="1"/>
  <c r="E2255" i="1"/>
  <c r="S2255" i="1"/>
  <c r="T2255" i="1"/>
  <c r="U2255" i="1"/>
  <c r="BB2255" i="1"/>
  <c r="BD2255" i="1"/>
  <c r="CE2255" i="1"/>
  <c r="A2256" i="1"/>
  <c r="C2256" i="1"/>
  <c r="E2256" i="1"/>
  <c r="S2256" i="1"/>
  <c r="T2256" i="1"/>
  <c r="U2256" i="1"/>
  <c r="BB2256" i="1"/>
  <c r="BD2256" i="1"/>
  <c r="CE2256" i="1"/>
  <c r="A2257" i="1"/>
  <c r="C2257" i="1"/>
  <c r="E2257" i="1"/>
  <c r="S2257" i="1"/>
  <c r="T2257" i="1"/>
  <c r="U2257" i="1"/>
  <c r="BB2257" i="1"/>
  <c r="BD2257" i="1"/>
  <c r="CE2257" i="1"/>
  <c r="A2258" i="1"/>
  <c r="C2258" i="1"/>
  <c r="E2258" i="1"/>
  <c r="S2258" i="1"/>
  <c r="T2258" i="1"/>
  <c r="U2258" i="1"/>
  <c r="BB2258" i="1"/>
  <c r="BD2258" i="1"/>
  <c r="CE2258" i="1"/>
  <c r="A2259" i="1"/>
  <c r="C2259" i="1"/>
  <c r="E2259" i="1"/>
  <c r="S2259" i="1"/>
  <c r="T2259" i="1"/>
  <c r="U2259" i="1"/>
  <c r="BB2259" i="1"/>
  <c r="BD2259" i="1"/>
  <c r="CE2259" i="1"/>
  <c r="A2260" i="1"/>
  <c r="C2260" i="1"/>
  <c r="E2260" i="1"/>
  <c r="S2260" i="1"/>
  <c r="T2260" i="1"/>
  <c r="U2260" i="1"/>
  <c r="BB2260" i="1"/>
  <c r="BD2260" i="1"/>
  <c r="CE2260" i="1"/>
  <c r="A2261" i="1"/>
  <c r="C2261" i="1"/>
  <c r="E2261" i="1"/>
  <c r="S2261" i="1"/>
  <c r="T2261" i="1"/>
  <c r="U2261" i="1"/>
  <c r="BB2261" i="1"/>
  <c r="BD2261" i="1"/>
  <c r="CE2261" i="1"/>
  <c r="A2262" i="1"/>
  <c r="C2262" i="1"/>
  <c r="E2262" i="1"/>
  <c r="S2262" i="1"/>
  <c r="T2262" i="1"/>
  <c r="U2262" i="1"/>
  <c r="BB2262" i="1"/>
  <c r="BD2262" i="1"/>
  <c r="CE2262" i="1"/>
  <c r="A2263" i="1"/>
  <c r="C2263" i="1"/>
  <c r="E2263" i="1"/>
  <c r="S2263" i="1"/>
  <c r="T2263" i="1"/>
  <c r="U2263" i="1"/>
  <c r="BB2263" i="1"/>
  <c r="BD2263" i="1"/>
  <c r="CE2263" i="1"/>
  <c r="A2264" i="1"/>
  <c r="C2264" i="1"/>
  <c r="E2264" i="1"/>
  <c r="S2264" i="1"/>
  <c r="T2264" i="1"/>
  <c r="U2264" i="1"/>
  <c r="BB2264" i="1"/>
  <c r="BD2264" i="1"/>
  <c r="CE2264" i="1"/>
  <c r="A2265" i="1"/>
  <c r="C2265" i="1"/>
  <c r="E2265" i="1"/>
  <c r="S2265" i="1"/>
  <c r="T2265" i="1"/>
  <c r="U2265" i="1"/>
  <c r="BB2265" i="1"/>
  <c r="BD2265" i="1"/>
  <c r="CE2265" i="1"/>
  <c r="A2266" i="1"/>
  <c r="C2266" i="1"/>
  <c r="E2266" i="1"/>
  <c r="S2266" i="1"/>
  <c r="T2266" i="1"/>
  <c r="U2266" i="1"/>
  <c r="BB2266" i="1"/>
  <c r="BD2266" i="1"/>
  <c r="CE2266" i="1"/>
  <c r="A2267" i="1"/>
  <c r="C2267" i="1"/>
  <c r="E2267" i="1"/>
  <c r="S2267" i="1"/>
  <c r="T2267" i="1"/>
  <c r="U2267" i="1"/>
  <c r="BB2267" i="1"/>
  <c r="BD2267" i="1"/>
  <c r="CE2267" i="1"/>
  <c r="A2268" i="1"/>
  <c r="C2268" i="1"/>
  <c r="E2268" i="1"/>
  <c r="S2268" i="1"/>
  <c r="T2268" i="1"/>
  <c r="U2268" i="1"/>
  <c r="BB2268" i="1"/>
  <c r="BD2268" i="1"/>
  <c r="CE2268" i="1"/>
  <c r="A2269" i="1"/>
  <c r="C2269" i="1"/>
  <c r="E2269" i="1"/>
  <c r="S2269" i="1"/>
  <c r="T2269" i="1"/>
  <c r="U2269" i="1"/>
  <c r="BB2269" i="1"/>
  <c r="BD2269" i="1"/>
  <c r="CE2269" i="1"/>
  <c r="A2270" i="1"/>
  <c r="C2270" i="1"/>
  <c r="E2270" i="1"/>
  <c r="S2270" i="1"/>
  <c r="T2270" i="1"/>
  <c r="U2270" i="1"/>
  <c r="BB2270" i="1"/>
  <c r="BD2270" i="1"/>
  <c r="CE2270" i="1"/>
  <c r="A2271" i="1"/>
  <c r="C2271" i="1"/>
  <c r="E2271" i="1"/>
  <c r="S2271" i="1"/>
  <c r="T2271" i="1"/>
  <c r="U2271" i="1"/>
  <c r="BB2271" i="1"/>
  <c r="BD2271" i="1"/>
  <c r="CE2271" i="1"/>
  <c r="A2272" i="1"/>
  <c r="C2272" i="1"/>
  <c r="E2272" i="1"/>
  <c r="S2272" i="1"/>
  <c r="T2272" i="1"/>
  <c r="U2272" i="1"/>
  <c r="BB2272" i="1"/>
  <c r="BD2272" i="1"/>
  <c r="CE2272" i="1"/>
  <c r="A2273" i="1"/>
  <c r="C2273" i="1"/>
  <c r="E2273" i="1"/>
  <c r="S2273" i="1"/>
  <c r="T2273" i="1"/>
  <c r="U2273" i="1"/>
  <c r="BB2273" i="1"/>
  <c r="BD2273" i="1"/>
  <c r="CE2273" i="1"/>
  <c r="A2274" i="1"/>
  <c r="C2274" i="1"/>
  <c r="E2274" i="1"/>
  <c r="S2274" i="1"/>
  <c r="T2274" i="1"/>
  <c r="U2274" i="1"/>
  <c r="BB2274" i="1"/>
  <c r="BD2274" i="1"/>
  <c r="CE2274" i="1"/>
  <c r="A2275" i="1"/>
  <c r="C2275" i="1"/>
  <c r="E2275" i="1"/>
  <c r="S2275" i="1"/>
  <c r="T2275" i="1"/>
  <c r="U2275" i="1"/>
  <c r="BB2275" i="1"/>
  <c r="BD2275" i="1"/>
  <c r="CE2275" i="1"/>
  <c r="A2276" i="1"/>
  <c r="C2276" i="1"/>
  <c r="E2276" i="1"/>
  <c r="S2276" i="1"/>
  <c r="T2276" i="1"/>
  <c r="U2276" i="1"/>
  <c r="BB2276" i="1"/>
  <c r="BD2276" i="1"/>
  <c r="CE2276" i="1"/>
  <c r="A2277" i="1"/>
  <c r="C2277" i="1"/>
  <c r="E2277" i="1"/>
  <c r="S2277" i="1"/>
  <c r="T2277" i="1"/>
  <c r="U2277" i="1"/>
  <c r="BB2277" i="1"/>
  <c r="BD2277" i="1"/>
  <c r="CE2277" i="1"/>
  <c r="A2278" i="1"/>
  <c r="C2278" i="1"/>
  <c r="E2278" i="1"/>
  <c r="S2278" i="1"/>
  <c r="T2278" i="1"/>
  <c r="U2278" i="1"/>
  <c r="BB2278" i="1"/>
  <c r="BD2278" i="1"/>
  <c r="CE2278" i="1"/>
  <c r="A2279" i="1"/>
  <c r="C2279" i="1"/>
  <c r="E2279" i="1"/>
  <c r="S2279" i="1"/>
  <c r="T2279" i="1"/>
  <c r="U2279" i="1"/>
  <c r="BB2279" i="1"/>
  <c r="BD2279" i="1"/>
  <c r="CE2279" i="1"/>
  <c r="A2280" i="1"/>
  <c r="C2280" i="1"/>
  <c r="E2280" i="1"/>
  <c r="S2280" i="1"/>
  <c r="T2280" i="1"/>
  <c r="U2280" i="1"/>
  <c r="BB2280" i="1"/>
  <c r="BD2280" i="1"/>
  <c r="CE2280" i="1"/>
  <c r="A2281" i="1"/>
  <c r="C2281" i="1"/>
  <c r="E2281" i="1"/>
  <c r="S2281" i="1"/>
  <c r="T2281" i="1"/>
  <c r="U2281" i="1"/>
  <c r="BB2281" i="1"/>
  <c r="BD2281" i="1"/>
  <c r="CE2281" i="1"/>
  <c r="A2282" i="1"/>
  <c r="C2282" i="1"/>
  <c r="E2282" i="1"/>
  <c r="S2282" i="1"/>
  <c r="T2282" i="1"/>
  <c r="U2282" i="1"/>
  <c r="BB2282" i="1"/>
  <c r="BD2282" i="1"/>
  <c r="CE2282" i="1"/>
  <c r="A2283" i="1"/>
  <c r="C2283" i="1"/>
  <c r="E2283" i="1"/>
  <c r="S2283" i="1"/>
  <c r="T2283" i="1"/>
  <c r="U2283" i="1"/>
  <c r="BB2283" i="1"/>
  <c r="BD2283" i="1"/>
  <c r="CE2283" i="1"/>
  <c r="A2284" i="1"/>
  <c r="C2284" i="1"/>
  <c r="E2284" i="1"/>
  <c r="S2284" i="1"/>
  <c r="T2284" i="1"/>
  <c r="U2284" i="1"/>
  <c r="BB2284" i="1"/>
  <c r="BD2284" i="1"/>
  <c r="CE2284" i="1"/>
  <c r="A2285" i="1"/>
  <c r="C2285" i="1"/>
  <c r="E2285" i="1"/>
  <c r="S2285" i="1"/>
  <c r="T2285" i="1"/>
  <c r="U2285" i="1"/>
  <c r="BB2285" i="1"/>
  <c r="BD2285" i="1"/>
  <c r="CE2285" i="1"/>
  <c r="A2286" i="1"/>
  <c r="C2286" i="1"/>
  <c r="E2286" i="1"/>
  <c r="S2286" i="1"/>
  <c r="T2286" i="1"/>
  <c r="U2286" i="1"/>
  <c r="BB2286" i="1"/>
  <c r="BD2286" i="1"/>
  <c r="CE2286" i="1"/>
  <c r="A2287" i="1"/>
  <c r="C2287" i="1"/>
  <c r="E2287" i="1"/>
  <c r="S2287" i="1"/>
  <c r="T2287" i="1"/>
  <c r="U2287" i="1"/>
  <c r="BB2287" i="1"/>
  <c r="BD2287" i="1"/>
  <c r="CE2287" i="1"/>
  <c r="A2288" i="1"/>
  <c r="C2288" i="1"/>
  <c r="E2288" i="1"/>
  <c r="S2288" i="1"/>
  <c r="T2288" i="1"/>
  <c r="U2288" i="1"/>
  <c r="BB2288" i="1"/>
  <c r="BD2288" i="1"/>
  <c r="CE2288" i="1"/>
  <c r="A2289" i="1"/>
  <c r="C2289" i="1"/>
  <c r="E2289" i="1"/>
  <c r="S2289" i="1"/>
  <c r="T2289" i="1"/>
  <c r="U2289" i="1"/>
  <c r="BB2289" i="1"/>
  <c r="BD2289" i="1"/>
  <c r="CE2289" i="1"/>
  <c r="A2290" i="1"/>
  <c r="C2290" i="1"/>
  <c r="E2290" i="1"/>
  <c r="S2290" i="1"/>
  <c r="T2290" i="1"/>
  <c r="U2290" i="1"/>
  <c r="BB2290" i="1"/>
  <c r="BD2290" i="1"/>
  <c r="CE2290" i="1"/>
  <c r="A2291" i="1"/>
  <c r="C2291" i="1"/>
  <c r="E2291" i="1"/>
  <c r="S2291" i="1"/>
  <c r="T2291" i="1"/>
  <c r="U2291" i="1"/>
  <c r="BB2291" i="1"/>
  <c r="BD2291" i="1"/>
  <c r="CE2291" i="1"/>
  <c r="A2292" i="1"/>
  <c r="C2292" i="1"/>
  <c r="E2292" i="1"/>
  <c r="S2292" i="1"/>
  <c r="T2292" i="1"/>
  <c r="U2292" i="1"/>
  <c r="BB2292" i="1"/>
  <c r="BD2292" i="1"/>
  <c r="CE2292" i="1"/>
  <c r="A2293" i="1"/>
  <c r="C2293" i="1"/>
  <c r="E2293" i="1"/>
  <c r="S2293" i="1"/>
  <c r="T2293" i="1"/>
  <c r="U2293" i="1"/>
  <c r="BB2293" i="1"/>
  <c r="BD2293" i="1"/>
  <c r="CE2293" i="1"/>
  <c r="A2294" i="1"/>
  <c r="C2294" i="1"/>
  <c r="E2294" i="1"/>
  <c r="S2294" i="1"/>
  <c r="T2294" i="1"/>
  <c r="U2294" i="1"/>
  <c r="BB2294" i="1"/>
  <c r="BD2294" i="1"/>
  <c r="CE2294" i="1"/>
  <c r="A2295" i="1"/>
  <c r="C2295" i="1"/>
  <c r="E2295" i="1"/>
  <c r="S2295" i="1"/>
  <c r="T2295" i="1"/>
  <c r="U2295" i="1"/>
  <c r="BB2295" i="1"/>
  <c r="BD2295" i="1"/>
  <c r="CE2295" i="1"/>
  <c r="A2296" i="1"/>
  <c r="C2296" i="1"/>
  <c r="E2296" i="1"/>
  <c r="S2296" i="1"/>
  <c r="T2296" i="1"/>
  <c r="U2296" i="1"/>
  <c r="BB2296" i="1"/>
  <c r="BD2296" i="1"/>
  <c r="CE2296" i="1"/>
  <c r="A2297" i="1"/>
  <c r="C2297" i="1"/>
  <c r="E2297" i="1"/>
  <c r="S2297" i="1"/>
  <c r="T2297" i="1"/>
  <c r="U2297" i="1"/>
  <c r="BB2297" i="1"/>
  <c r="BD2297" i="1"/>
  <c r="CE2297" i="1"/>
  <c r="A2298" i="1"/>
  <c r="C2298" i="1"/>
  <c r="E2298" i="1"/>
  <c r="S2298" i="1"/>
  <c r="T2298" i="1"/>
  <c r="U2298" i="1"/>
  <c r="BB2298" i="1"/>
  <c r="BD2298" i="1"/>
  <c r="CE2298" i="1"/>
  <c r="A2299" i="1"/>
  <c r="C2299" i="1"/>
  <c r="E2299" i="1"/>
  <c r="S2299" i="1"/>
  <c r="T2299" i="1"/>
  <c r="U2299" i="1"/>
  <c r="BB2299" i="1"/>
  <c r="BD2299" i="1"/>
  <c r="CE2299" i="1"/>
  <c r="A2300" i="1"/>
  <c r="C2300" i="1"/>
  <c r="E2300" i="1"/>
  <c r="S2300" i="1"/>
  <c r="T2300" i="1"/>
  <c r="U2300" i="1"/>
  <c r="BB2300" i="1"/>
  <c r="BD2300" i="1"/>
  <c r="CE2300" i="1"/>
  <c r="A2301" i="1"/>
  <c r="C2301" i="1"/>
  <c r="E2301" i="1"/>
  <c r="S2301" i="1"/>
  <c r="T2301" i="1"/>
  <c r="U2301" i="1"/>
  <c r="BB2301" i="1"/>
  <c r="BD2301" i="1"/>
  <c r="CE2301" i="1"/>
  <c r="A2302" i="1"/>
  <c r="C2302" i="1"/>
  <c r="E2302" i="1"/>
  <c r="S2302" i="1"/>
  <c r="T2302" i="1"/>
  <c r="U2302" i="1"/>
  <c r="BB2302" i="1"/>
  <c r="BD2302" i="1"/>
  <c r="CE2302" i="1"/>
  <c r="A2303" i="1"/>
  <c r="C2303" i="1"/>
  <c r="E2303" i="1"/>
  <c r="S2303" i="1"/>
  <c r="T2303" i="1"/>
  <c r="U2303" i="1"/>
  <c r="BB2303" i="1"/>
  <c r="BD2303" i="1"/>
  <c r="CE2303" i="1"/>
  <c r="A2304" i="1"/>
  <c r="C2304" i="1"/>
  <c r="E2304" i="1"/>
  <c r="S2304" i="1"/>
  <c r="T2304" i="1"/>
  <c r="U2304" i="1"/>
  <c r="BB2304" i="1"/>
  <c r="BD2304" i="1"/>
  <c r="CE2304" i="1"/>
  <c r="A2305" i="1"/>
  <c r="C2305" i="1"/>
  <c r="E2305" i="1"/>
  <c r="S2305" i="1"/>
  <c r="T2305" i="1"/>
  <c r="U2305" i="1"/>
  <c r="BB2305" i="1"/>
  <c r="BD2305" i="1"/>
  <c r="CE2305" i="1"/>
  <c r="A2306" i="1"/>
  <c r="C2306" i="1"/>
  <c r="E2306" i="1"/>
  <c r="S2306" i="1"/>
  <c r="T2306" i="1"/>
  <c r="U2306" i="1"/>
  <c r="BB2306" i="1"/>
  <c r="BD2306" i="1"/>
  <c r="CE2306" i="1"/>
  <c r="A2307" i="1"/>
  <c r="C2307" i="1"/>
  <c r="E2307" i="1"/>
  <c r="S2307" i="1"/>
  <c r="T2307" i="1"/>
  <c r="U2307" i="1"/>
  <c r="BB2307" i="1"/>
  <c r="BD2307" i="1"/>
  <c r="CE2307" i="1"/>
  <c r="A2308" i="1"/>
  <c r="C2308" i="1"/>
  <c r="E2308" i="1"/>
  <c r="S2308" i="1"/>
  <c r="T2308" i="1"/>
  <c r="U2308" i="1"/>
  <c r="BB2308" i="1"/>
  <c r="BD2308" i="1"/>
  <c r="CE2308" i="1"/>
  <c r="A2309" i="1"/>
  <c r="C2309" i="1"/>
  <c r="E2309" i="1"/>
  <c r="S2309" i="1"/>
  <c r="T2309" i="1"/>
  <c r="U2309" i="1"/>
  <c r="BB2309" i="1"/>
  <c r="BD2309" i="1"/>
  <c r="CE2309" i="1"/>
  <c r="A2310" i="1"/>
  <c r="C2310" i="1"/>
  <c r="E2310" i="1"/>
  <c r="S2310" i="1"/>
  <c r="T2310" i="1"/>
  <c r="U2310" i="1"/>
  <c r="BB2310" i="1"/>
  <c r="BD2310" i="1"/>
  <c r="CE2310" i="1"/>
  <c r="A2311" i="1"/>
  <c r="C2311" i="1"/>
  <c r="E2311" i="1"/>
  <c r="S2311" i="1"/>
  <c r="T2311" i="1"/>
  <c r="U2311" i="1"/>
  <c r="BB2311" i="1"/>
  <c r="BD2311" i="1"/>
  <c r="CE2311" i="1"/>
  <c r="A2312" i="1"/>
  <c r="C2312" i="1"/>
  <c r="E2312" i="1"/>
  <c r="S2312" i="1"/>
  <c r="T2312" i="1"/>
  <c r="U2312" i="1"/>
  <c r="BB2312" i="1"/>
  <c r="BD2312" i="1"/>
  <c r="CE2312" i="1"/>
  <c r="A2313" i="1"/>
  <c r="C2313" i="1"/>
  <c r="E2313" i="1"/>
  <c r="S2313" i="1"/>
  <c r="T2313" i="1"/>
  <c r="U2313" i="1"/>
  <c r="BB2313" i="1"/>
  <c r="BD2313" i="1"/>
  <c r="CE2313" i="1"/>
  <c r="A2314" i="1"/>
  <c r="C2314" i="1"/>
  <c r="E2314" i="1"/>
  <c r="S2314" i="1"/>
  <c r="T2314" i="1"/>
  <c r="U2314" i="1"/>
  <c r="BB2314" i="1"/>
  <c r="BD2314" i="1"/>
  <c r="CE2314" i="1"/>
  <c r="A2315" i="1"/>
  <c r="C2315" i="1"/>
  <c r="E2315" i="1"/>
  <c r="S2315" i="1"/>
  <c r="T2315" i="1"/>
  <c r="U2315" i="1"/>
  <c r="BB2315" i="1"/>
  <c r="BD2315" i="1"/>
  <c r="CE2315" i="1"/>
  <c r="A2316" i="1"/>
  <c r="C2316" i="1"/>
  <c r="E2316" i="1"/>
  <c r="S2316" i="1"/>
  <c r="T2316" i="1"/>
  <c r="U2316" i="1"/>
  <c r="BB2316" i="1"/>
  <c r="BD2316" i="1"/>
  <c r="CE2316" i="1"/>
  <c r="A2317" i="1"/>
  <c r="C2317" i="1"/>
  <c r="E2317" i="1"/>
  <c r="S2317" i="1"/>
  <c r="T2317" i="1"/>
  <c r="U2317" i="1"/>
  <c r="BB2317" i="1"/>
  <c r="BD2317" i="1"/>
  <c r="CE2317" i="1"/>
  <c r="A2318" i="1"/>
  <c r="C2318" i="1"/>
  <c r="E2318" i="1"/>
  <c r="S2318" i="1"/>
  <c r="T2318" i="1"/>
  <c r="U2318" i="1"/>
  <c r="BB2318" i="1"/>
  <c r="BD2318" i="1"/>
  <c r="CE2318" i="1"/>
  <c r="A2319" i="1"/>
  <c r="C2319" i="1"/>
  <c r="E2319" i="1"/>
  <c r="S2319" i="1"/>
  <c r="T2319" i="1"/>
  <c r="U2319" i="1"/>
  <c r="BB2319" i="1"/>
  <c r="BD2319" i="1"/>
  <c r="CE2319" i="1"/>
  <c r="A2320" i="1"/>
  <c r="C2320" i="1"/>
  <c r="E2320" i="1"/>
  <c r="S2320" i="1"/>
  <c r="T2320" i="1"/>
  <c r="U2320" i="1"/>
  <c r="BB2320" i="1"/>
  <c r="BD2320" i="1"/>
  <c r="CE2320" i="1"/>
  <c r="A2321" i="1"/>
  <c r="C2321" i="1"/>
  <c r="E2321" i="1"/>
  <c r="S2321" i="1"/>
  <c r="T2321" i="1"/>
  <c r="U2321" i="1"/>
  <c r="BB2321" i="1"/>
  <c r="BD2321" i="1"/>
  <c r="CE2321" i="1"/>
  <c r="A2322" i="1"/>
  <c r="C2322" i="1"/>
  <c r="E2322" i="1"/>
  <c r="S2322" i="1"/>
  <c r="T2322" i="1"/>
  <c r="U2322" i="1"/>
  <c r="BB2322" i="1"/>
  <c r="BD2322" i="1"/>
  <c r="CE2322" i="1"/>
  <c r="A2323" i="1"/>
  <c r="C2323" i="1"/>
  <c r="E2323" i="1"/>
  <c r="S2323" i="1"/>
  <c r="T2323" i="1"/>
  <c r="U2323" i="1"/>
  <c r="BB2323" i="1"/>
  <c r="BD2323" i="1"/>
  <c r="CE2323" i="1"/>
  <c r="A2324" i="1"/>
  <c r="C2324" i="1"/>
  <c r="E2324" i="1"/>
  <c r="S2324" i="1"/>
  <c r="T2324" i="1"/>
  <c r="U2324" i="1"/>
  <c r="BB2324" i="1"/>
  <c r="BD2324" i="1"/>
  <c r="CE2324" i="1"/>
  <c r="A2325" i="1"/>
  <c r="C2325" i="1"/>
  <c r="E2325" i="1"/>
  <c r="S2325" i="1"/>
  <c r="T2325" i="1"/>
  <c r="U2325" i="1"/>
  <c r="BB2325" i="1"/>
  <c r="BD2325" i="1"/>
  <c r="CE2325" i="1"/>
  <c r="A2326" i="1"/>
  <c r="C2326" i="1"/>
  <c r="E2326" i="1"/>
  <c r="S2326" i="1"/>
  <c r="T2326" i="1"/>
  <c r="U2326" i="1"/>
  <c r="BB2326" i="1"/>
  <c r="BD2326" i="1"/>
  <c r="CE2326" i="1"/>
  <c r="A2327" i="1"/>
  <c r="C2327" i="1"/>
  <c r="E2327" i="1"/>
  <c r="S2327" i="1"/>
  <c r="T2327" i="1"/>
  <c r="U2327" i="1"/>
  <c r="BB2327" i="1"/>
  <c r="BD2327" i="1"/>
  <c r="CE2327" i="1"/>
  <c r="A2328" i="1"/>
  <c r="C2328" i="1"/>
  <c r="E2328" i="1"/>
  <c r="S2328" i="1"/>
  <c r="T2328" i="1"/>
  <c r="U2328" i="1"/>
  <c r="BB2328" i="1"/>
  <c r="BD2328" i="1"/>
  <c r="CE2328" i="1"/>
  <c r="A2329" i="1"/>
  <c r="C2329" i="1"/>
  <c r="E2329" i="1"/>
  <c r="S2329" i="1"/>
  <c r="T2329" i="1"/>
  <c r="U2329" i="1"/>
  <c r="BB2329" i="1"/>
  <c r="BD2329" i="1"/>
  <c r="CE2329" i="1"/>
  <c r="A2330" i="1"/>
  <c r="C2330" i="1"/>
  <c r="E2330" i="1"/>
  <c r="S2330" i="1"/>
  <c r="T2330" i="1"/>
  <c r="U2330" i="1"/>
  <c r="BB2330" i="1"/>
  <c r="BD2330" i="1"/>
  <c r="CE2330" i="1"/>
  <c r="A2331" i="1"/>
  <c r="C2331" i="1"/>
  <c r="E2331" i="1"/>
  <c r="S2331" i="1"/>
  <c r="T2331" i="1"/>
  <c r="U2331" i="1"/>
  <c r="BB2331" i="1"/>
  <c r="BD2331" i="1"/>
  <c r="CE2331" i="1"/>
  <c r="A2332" i="1"/>
  <c r="C2332" i="1"/>
  <c r="E2332" i="1"/>
  <c r="S2332" i="1"/>
  <c r="T2332" i="1"/>
  <c r="U2332" i="1"/>
  <c r="BB2332" i="1"/>
  <c r="BD2332" i="1"/>
  <c r="CE2332" i="1"/>
  <c r="A2333" i="1"/>
  <c r="C2333" i="1"/>
  <c r="E2333" i="1"/>
  <c r="S2333" i="1"/>
  <c r="T2333" i="1"/>
  <c r="U2333" i="1"/>
  <c r="BB2333" i="1"/>
  <c r="BD2333" i="1"/>
  <c r="CE2333" i="1"/>
  <c r="A2334" i="1"/>
  <c r="C2334" i="1"/>
  <c r="E2334" i="1"/>
  <c r="S2334" i="1"/>
  <c r="T2334" i="1"/>
  <c r="U2334" i="1"/>
  <c r="BB2334" i="1"/>
  <c r="BD2334" i="1"/>
  <c r="CE2334" i="1"/>
  <c r="A2335" i="1"/>
  <c r="C2335" i="1"/>
  <c r="E2335" i="1"/>
  <c r="S2335" i="1"/>
  <c r="T2335" i="1"/>
  <c r="U2335" i="1"/>
  <c r="BB2335" i="1"/>
  <c r="BD2335" i="1"/>
  <c r="CE2335" i="1"/>
  <c r="A2336" i="1"/>
  <c r="C2336" i="1"/>
  <c r="E2336" i="1"/>
  <c r="S2336" i="1"/>
  <c r="T2336" i="1"/>
  <c r="U2336" i="1"/>
  <c r="BB2336" i="1"/>
  <c r="BD2336" i="1"/>
  <c r="CE2336" i="1"/>
  <c r="A2337" i="1"/>
  <c r="C2337" i="1"/>
  <c r="E2337" i="1"/>
  <c r="S2337" i="1"/>
  <c r="T2337" i="1"/>
  <c r="U2337" i="1"/>
  <c r="BB2337" i="1"/>
  <c r="BD2337" i="1"/>
  <c r="CE2337" i="1"/>
  <c r="A2338" i="1"/>
  <c r="C2338" i="1"/>
  <c r="E2338" i="1"/>
  <c r="S2338" i="1"/>
  <c r="T2338" i="1"/>
  <c r="U2338" i="1"/>
  <c r="BB2338" i="1"/>
  <c r="BD2338" i="1"/>
  <c r="CE2338" i="1"/>
  <c r="A2339" i="1"/>
  <c r="C2339" i="1"/>
  <c r="E2339" i="1"/>
  <c r="S2339" i="1"/>
  <c r="T2339" i="1"/>
  <c r="U2339" i="1"/>
  <c r="BB2339" i="1"/>
  <c r="BD2339" i="1"/>
  <c r="CE2339" i="1"/>
  <c r="A2340" i="1"/>
  <c r="C2340" i="1"/>
  <c r="E2340" i="1"/>
  <c r="S2340" i="1"/>
  <c r="T2340" i="1"/>
  <c r="U2340" i="1"/>
  <c r="BB2340" i="1"/>
  <c r="BD2340" i="1"/>
  <c r="CE2340" i="1"/>
  <c r="A2341" i="1"/>
  <c r="C2341" i="1"/>
  <c r="E2341" i="1"/>
  <c r="S2341" i="1"/>
  <c r="T2341" i="1"/>
  <c r="U2341" i="1"/>
  <c r="BB2341" i="1"/>
  <c r="BD2341" i="1"/>
  <c r="CE2341" i="1"/>
  <c r="A2342" i="1"/>
  <c r="C2342" i="1"/>
  <c r="E2342" i="1"/>
  <c r="S2342" i="1"/>
  <c r="T2342" i="1"/>
  <c r="U2342" i="1"/>
  <c r="BB2342" i="1"/>
  <c r="BD2342" i="1"/>
  <c r="CE2342" i="1"/>
  <c r="A2343" i="1"/>
  <c r="C2343" i="1"/>
  <c r="E2343" i="1"/>
  <c r="S2343" i="1"/>
  <c r="T2343" i="1"/>
  <c r="U2343" i="1"/>
  <c r="BB2343" i="1"/>
  <c r="BD2343" i="1"/>
  <c r="CE2343" i="1"/>
  <c r="A2344" i="1"/>
  <c r="C2344" i="1"/>
  <c r="E2344" i="1"/>
  <c r="S2344" i="1"/>
  <c r="T2344" i="1"/>
  <c r="U2344" i="1"/>
  <c r="BB2344" i="1"/>
  <c r="BD2344" i="1"/>
  <c r="CE2344" i="1"/>
  <c r="A2345" i="1"/>
  <c r="C2345" i="1"/>
  <c r="E2345" i="1"/>
  <c r="S2345" i="1"/>
  <c r="T2345" i="1"/>
  <c r="U2345" i="1"/>
  <c r="BB2345" i="1"/>
  <c r="BD2345" i="1"/>
  <c r="CE2345" i="1"/>
  <c r="A2346" i="1"/>
  <c r="C2346" i="1"/>
  <c r="E2346" i="1"/>
  <c r="S2346" i="1"/>
  <c r="T2346" i="1"/>
  <c r="U2346" i="1"/>
  <c r="BB2346" i="1"/>
  <c r="BD2346" i="1"/>
  <c r="CE2346" i="1"/>
  <c r="A2347" i="1"/>
  <c r="C2347" i="1"/>
  <c r="E2347" i="1"/>
  <c r="S2347" i="1"/>
  <c r="T2347" i="1"/>
  <c r="U2347" i="1"/>
  <c r="BB2347" i="1"/>
  <c r="BD2347" i="1"/>
  <c r="CE2347" i="1"/>
  <c r="A2348" i="1"/>
  <c r="C2348" i="1"/>
  <c r="E2348" i="1"/>
  <c r="S2348" i="1"/>
  <c r="T2348" i="1"/>
  <c r="U2348" i="1"/>
  <c r="BB2348" i="1"/>
  <c r="BD2348" i="1"/>
  <c r="CE2348" i="1"/>
  <c r="A2349" i="1"/>
  <c r="C2349" i="1"/>
  <c r="E2349" i="1"/>
  <c r="S2349" i="1"/>
  <c r="T2349" i="1"/>
  <c r="U2349" i="1"/>
  <c r="BB2349" i="1"/>
  <c r="BD2349" i="1"/>
  <c r="CE2349" i="1"/>
  <c r="A2350" i="1"/>
  <c r="C2350" i="1"/>
  <c r="E2350" i="1"/>
  <c r="S2350" i="1"/>
  <c r="T2350" i="1"/>
  <c r="U2350" i="1"/>
  <c r="BB2350" i="1"/>
  <c r="BD2350" i="1"/>
  <c r="CE2350" i="1"/>
  <c r="A2351" i="1"/>
  <c r="C2351" i="1"/>
  <c r="E2351" i="1"/>
  <c r="S2351" i="1"/>
  <c r="T2351" i="1"/>
  <c r="U2351" i="1"/>
  <c r="BB2351" i="1"/>
  <c r="BD2351" i="1"/>
  <c r="CE2351" i="1"/>
  <c r="A2352" i="1"/>
  <c r="C2352" i="1"/>
  <c r="E2352" i="1"/>
  <c r="S2352" i="1"/>
  <c r="T2352" i="1"/>
  <c r="U2352" i="1"/>
  <c r="BB2352" i="1"/>
  <c r="BD2352" i="1"/>
  <c r="CE2352" i="1"/>
  <c r="A2353" i="1"/>
  <c r="C2353" i="1"/>
  <c r="E2353" i="1"/>
  <c r="S2353" i="1"/>
  <c r="T2353" i="1"/>
  <c r="U2353" i="1"/>
  <c r="BB2353" i="1"/>
  <c r="BD2353" i="1"/>
  <c r="CE2353" i="1"/>
  <c r="A2354" i="1"/>
  <c r="C2354" i="1"/>
  <c r="E2354" i="1"/>
  <c r="S2354" i="1"/>
  <c r="T2354" i="1"/>
  <c r="U2354" i="1"/>
  <c r="BB2354" i="1"/>
  <c r="BD2354" i="1"/>
  <c r="CE2354" i="1"/>
  <c r="A2355" i="1"/>
  <c r="C2355" i="1"/>
  <c r="E2355" i="1"/>
  <c r="S2355" i="1"/>
  <c r="T2355" i="1"/>
  <c r="U2355" i="1"/>
  <c r="BB2355" i="1"/>
  <c r="BD2355" i="1"/>
  <c r="CE2355" i="1"/>
  <c r="A2356" i="1"/>
  <c r="C2356" i="1"/>
  <c r="E2356" i="1"/>
  <c r="S2356" i="1"/>
  <c r="T2356" i="1"/>
  <c r="U2356" i="1"/>
  <c r="BB2356" i="1"/>
  <c r="BD2356" i="1"/>
  <c r="CE2356" i="1"/>
  <c r="A2357" i="1"/>
  <c r="C2357" i="1"/>
  <c r="E2357" i="1"/>
  <c r="S2357" i="1"/>
  <c r="T2357" i="1"/>
  <c r="U2357" i="1"/>
  <c r="BB2357" i="1"/>
  <c r="BD2357" i="1"/>
  <c r="CE2357" i="1"/>
  <c r="A2358" i="1"/>
  <c r="C2358" i="1"/>
  <c r="E2358" i="1"/>
  <c r="S2358" i="1"/>
  <c r="T2358" i="1"/>
  <c r="U2358" i="1"/>
  <c r="BB2358" i="1"/>
  <c r="BD2358" i="1"/>
  <c r="CE2358" i="1"/>
  <c r="A2359" i="1"/>
  <c r="C2359" i="1"/>
  <c r="E2359" i="1"/>
  <c r="S2359" i="1"/>
  <c r="T2359" i="1"/>
  <c r="U2359" i="1"/>
  <c r="BB2359" i="1"/>
  <c r="BD2359" i="1"/>
  <c r="CE2359" i="1"/>
  <c r="A2360" i="1"/>
  <c r="C2360" i="1"/>
  <c r="E2360" i="1"/>
  <c r="S2360" i="1"/>
  <c r="T2360" i="1"/>
  <c r="U2360" i="1"/>
  <c r="BB2360" i="1"/>
  <c r="BD2360" i="1"/>
  <c r="CE2360" i="1"/>
  <c r="A2361" i="1"/>
  <c r="C2361" i="1"/>
  <c r="E2361" i="1"/>
  <c r="S2361" i="1"/>
  <c r="T2361" i="1"/>
  <c r="U2361" i="1"/>
  <c r="BB2361" i="1"/>
  <c r="BD2361" i="1"/>
  <c r="CE2361" i="1"/>
  <c r="A2362" i="1"/>
  <c r="C2362" i="1"/>
  <c r="E2362" i="1"/>
  <c r="S2362" i="1"/>
  <c r="T2362" i="1"/>
  <c r="U2362" i="1"/>
  <c r="BB2362" i="1"/>
  <c r="BD2362" i="1"/>
  <c r="CE2362" i="1"/>
  <c r="A2363" i="1"/>
  <c r="C2363" i="1"/>
  <c r="E2363" i="1"/>
  <c r="S2363" i="1"/>
  <c r="T2363" i="1"/>
  <c r="U2363" i="1"/>
  <c r="BB2363" i="1"/>
  <c r="BD2363" i="1"/>
  <c r="CE2363" i="1"/>
  <c r="A2364" i="1"/>
  <c r="C2364" i="1"/>
  <c r="E2364" i="1"/>
  <c r="S2364" i="1"/>
  <c r="T2364" i="1"/>
  <c r="U2364" i="1"/>
  <c r="BB2364" i="1"/>
  <c r="BD2364" i="1"/>
  <c r="CE2364" i="1"/>
  <c r="A2365" i="1"/>
  <c r="C2365" i="1"/>
  <c r="E2365" i="1"/>
  <c r="S2365" i="1"/>
  <c r="T2365" i="1"/>
  <c r="U2365" i="1"/>
  <c r="BB2365" i="1"/>
  <c r="BD2365" i="1"/>
  <c r="CE2365" i="1"/>
  <c r="A2366" i="1"/>
  <c r="C2366" i="1"/>
  <c r="E2366" i="1"/>
  <c r="S2366" i="1"/>
  <c r="T2366" i="1"/>
  <c r="U2366" i="1"/>
  <c r="BB2366" i="1"/>
  <c r="BD2366" i="1"/>
  <c r="CE2366" i="1"/>
  <c r="A2367" i="1"/>
  <c r="C2367" i="1"/>
  <c r="E2367" i="1"/>
  <c r="S2367" i="1"/>
  <c r="T2367" i="1"/>
  <c r="U2367" i="1"/>
  <c r="BB2367" i="1"/>
  <c r="BD2367" i="1"/>
  <c r="CE2367" i="1"/>
  <c r="A2368" i="1"/>
  <c r="C2368" i="1"/>
  <c r="E2368" i="1"/>
  <c r="S2368" i="1"/>
  <c r="T2368" i="1"/>
  <c r="U2368" i="1"/>
  <c r="BB2368" i="1"/>
  <c r="BD2368" i="1"/>
  <c r="CE2368" i="1"/>
  <c r="A2369" i="1"/>
  <c r="C2369" i="1"/>
  <c r="E2369" i="1"/>
  <c r="S2369" i="1"/>
  <c r="T2369" i="1"/>
  <c r="U2369" i="1"/>
  <c r="BB2369" i="1"/>
  <c r="BD2369" i="1"/>
  <c r="CE2369" i="1"/>
  <c r="A2370" i="1"/>
  <c r="C2370" i="1"/>
  <c r="E2370" i="1"/>
  <c r="S2370" i="1"/>
  <c r="T2370" i="1"/>
  <c r="U2370" i="1"/>
  <c r="BB2370" i="1"/>
  <c r="BD2370" i="1"/>
  <c r="CE2370" i="1"/>
  <c r="A2371" i="1"/>
  <c r="C2371" i="1"/>
  <c r="E2371" i="1"/>
  <c r="S2371" i="1"/>
  <c r="T2371" i="1"/>
  <c r="U2371" i="1"/>
  <c r="BB2371" i="1"/>
  <c r="BD2371" i="1"/>
  <c r="CE2371" i="1"/>
  <c r="A2372" i="1"/>
  <c r="C2372" i="1"/>
  <c r="E2372" i="1"/>
  <c r="S2372" i="1"/>
  <c r="T2372" i="1"/>
  <c r="U2372" i="1"/>
  <c r="BB2372" i="1"/>
  <c r="BD2372" i="1"/>
  <c r="CE2372" i="1"/>
  <c r="A2373" i="1"/>
  <c r="C2373" i="1"/>
  <c r="E2373" i="1"/>
  <c r="S2373" i="1"/>
  <c r="T2373" i="1"/>
  <c r="U2373" i="1"/>
  <c r="BB2373" i="1"/>
  <c r="BD2373" i="1"/>
  <c r="CE2373" i="1"/>
  <c r="A2374" i="1"/>
  <c r="C2374" i="1"/>
  <c r="E2374" i="1"/>
  <c r="S2374" i="1"/>
  <c r="T2374" i="1"/>
  <c r="U2374" i="1"/>
  <c r="BB2374" i="1"/>
  <c r="BD2374" i="1"/>
  <c r="CE2374" i="1"/>
  <c r="A2375" i="1"/>
  <c r="C2375" i="1"/>
  <c r="E2375" i="1"/>
  <c r="S2375" i="1"/>
  <c r="T2375" i="1"/>
  <c r="U2375" i="1"/>
  <c r="BB2375" i="1"/>
  <c r="BD2375" i="1"/>
  <c r="CE2375" i="1"/>
  <c r="A2376" i="1"/>
  <c r="C2376" i="1"/>
  <c r="E2376" i="1"/>
  <c r="S2376" i="1"/>
  <c r="T2376" i="1"/>
  <c r="U2376" i="1"/>
  <c r="BB2376" i="1"/>
  <c r="BD2376" i="1"/>
  <c r="CE2376" i="1"/>
  <c r="A2377" i="1"/>
  <c r="C2377" i="1"/>
  <c r="E2377" i="1"/>
  <c r="S2377" i="1"/>
  <c r="T2377" i="1"/>
  <c r="U2377" i="1"/>
  <c r="BB2377" i="1"/>
  <c r="BD2377" i="1"/>
  <c r="CE2377" i="1"/>
  <c r="A2378" i="1"/>
  <c r="C2378" i="1"/>
  <c r="E2378" i="1"/>
  <c r="S2378" i="1"/>
  <c r="T2378" i="1"/>
  <c r="U2378" i="1"/>
  <c r="BB2378" i="1"/>
  <c r="BD2378" i="1"/>
  <c r="CE2378" i="1"/>
  <c r="A2379" i="1"/>
  <c r="C2379" i="1"/>
  <c r="E2379" i="1"/>
  <c r="S2379" i="1"/>
  <c r="T2379" i="1"/>
  <c r="U2379" i="1"/>
  <c r="BB2379" i="1"/>
  <c r="BD2379" i="1"/>
  <c r="CE2379" i="1"/>
  <c r="A2380" i="1"/>
  <c r="C2380" i="1"/>
  <c r="E2380" i="1"/>
  <c r="S2380" i="1"/>
  <c r="T2380" i="1"/>
  <c r="U2380" i="1"/>
  <c r="BB2380" i="1"/>
  <c r="BD2380" i="1"/>
  <c r="CE2380" i="1"/>
  <c r="A2381" i="1"/>
  <c r="C2381" i="1"/>
  <c r="E2381" i="1"/>
  <c r="S2381" i="1"/>
  <c r="T2381" i="1"/>
  <c r="U2381" i="1"/>
  <c r="BB2381" i="1"/>
  <c r="BD2381" i="1"/>
  <c r="CE2381" i="1"/>
  <c r="A2382" i="1"/>
  <c r="C2382" i="1"/>
  <c r="E2382" i="1"/>
  <c r="S2382" i="1"/>
  <c r="T2382" i="1"/>
  <c r="U2382" i="1"/>
  <c r="BB2382" i="1"/>
  <c r="BD2382" i="1"/>
  <c r="CE2382" i="1"/>
  <c r="A2383" i="1"/>
  <c r="C2383" i="1"/>
  <c r="E2383" i="1"/>
  <c r="S2383" i="1"/>
  <c r="T2383" i="1"/>
  <c r="U2383" i="1"/>
  <c r="BB2383" i="1"/>
  <c r="BD2383" i="1"/>
  <c r="CE2383" i="1"/>
  <c r="A2384" i="1"/>
  <c r="C2384" i="1"/>
  <c r="E2384" i="1"/>
  <c r="S2384" i="1"/>
  <c r="T2384" i="1"/>
  <c r="U2384" i="1"/>
  <c r="BB2384" i="1"/>
  <c r="BD2384" i="1"/>
  <c r="CE2384" i="1"/>
  <c r="A2385" i="1"/>
  <c r="C2385" i="1"/>
  <c r="E2385" i="1"/>
  <c r="S2385" i="1"/>
  <c r="T2385" i="1"/>
  <c r="U2385" i="1"/>
  <c r="BB2385" i="1"/>
  <c r="BD2385" i="1"/>
  <c r="CE2385" i="1"/>
  <c r="A2386" i="1"/>
  <c r="C2386" i="1"/>
  <c r="E2386" i="1"/>
  <c r="S2386" i="1"/>
  <c r="T2386" i="1"/>
  <c r="U2386" i="1"/>
  <c r="BB2386" i="1"/>
  <c r="BD2386" i="1"/>
  <c r="CE2386" i="1"/>
  <c r="A2387" i="1"/>
  <c r="C2387" i="1"/>
  <c r="E2387" i="1"/>
  <c r="S2387" i="1"/>
  <c r="T2387" i="1"/>
  <c r="U2387" i="1"/>
  <c r="BB2387" i="1"/>
  <c r="BD2387" i="1"/>
  <c r="CE2387" i="1"/>
  <c r="A2388" i="1"/>
  <c r="C2388" i="1"/>
  <c r="E2388" i="1"/>
  <c r="S2388" i="1"/>
  <c r="T2388" i="1"/>
  <c r="U2388" i="1"/>
  <c r="BB2388" i="1"/>
  <c r="BD2388" i="1"/>
  <c r="CE2388" i="1"/>
  <c r="A2389" i="1"/>
  <c r="C2389" i="1"/>
  <c r="E2389" i="1"/>
  <c r="S2389" i="1"/>
  <c r="T2389" i="1"/>
  <c r="U2389" i="1"/>
  <c r="BB2389" i="1"/>
  <c r="BD2389" i="1"/>
  <c r="CE2389" i="1"/>
  <c r="A2390" i="1"/>
  <c r="C2390" i="1"/>
  <c r="E2390" i="1"/>
  <c r="S2390" i="1"/>
  <c r="T2390" i="1"/>
  <c r="U2390" i="1"/>
  <c r="BB2390" i="1"/>
  <c r="BD2390" i="1"/>
  <c r="CE2390" i="1"/>
  <c r="A2391" i="1"/>
  <c r="C2391" i="1"/>
  <c r="E2391" i="1"/>
  <c r="S2391" i="1"/>
  <c r="T2391" i="1"/>
  <c r="U2391" i="1"/>
  <c r="BB2391" i="1"/>
  <c r="BD2391" i="1"/>
  <c r="CE2391" i="1"/>
  <c r="A2392" i="1"/>
  <c r="C2392" i="1"/>
  <c r="E2392" i="1"/>
  <c r="S2392" i="1"/>
  <c r="T2392" i="1"/>
  <c r="U2392" i="1"/>
  <c r="BB2392" i="1"/>
  <c r="BD2392" i="1"/>
  <c r="CE2392" i="1"/>
  <c r="A2393" i="1"/>
  <c r="C2393" i="1"/>
  <c r="E2393" i="1"/>
  <c r="S2393" i="1"/>
  <c r="T2393" i="1"/>
  <c r="U2393" i="1"/>
  <c r="BB2393" i="1"/>
  <c r="BD2393" i="1"/>
  <c r="CE2393" i="1"/>
  <c r="A2394" i="1"/>
  <c r="C2394" i="1"/>
  <c r="E2394" i="1"/>
  <c r="S2394" i="1"/>
  <c r="T2394" i="1"/>
  <c r="U2394" i="1"/>
  <c r="BB2394" i="1"/>
  <c r="BD2394" i="1"/>
  <c r="CE2394" i="1"/>
  <c r="A2395" i="1"/>
  <c r="C2395" i="1"/>
  <c r="E2395" i="1"/>
  <c r="S2395" i="1"/>
  <c r="T2395" i="1"/>
  <c r="U2395" i="1"/>
  <c r="BB2395" i="1"/>
  <c r="BD2395" i="1"/>
  <c r="CE2395" i="1"/>
  <c r="A2396" i="1"/>
  <c r="C2396" i="1"/>
  <c r="E2396" i="1"/>
  <c r="S2396" i="1"/>
  <c r="T2396" i="1"/>
  <c r="U2396" i="1"/>
  <c r="BB2396" i="1"/>
  <c r="BD2396" i="1"/>
  <c r="CE2396" i="1"/>
  <c r="A2397" i="1"/>
  <c r="C2397" i="1"/>
  <c r="E2397" i="1"/>
  <c r="S2397" i="1"/>
  <c r="T2397" i="1"/>
  <c r="U2397" i="1"/>
  <c r="BB2397" i="1"/>
  <c r="BD2397" i="1"/>
  <c r="CE2397" i="1"/>
  <c r="A2398" i="1"/>
  <c r="C2398" i="1"/>
  <c r="E2398" i="1"/>
  <c r="S2398" i="1"/>
  <c r="T2398" i="1"/>
  <c r="U2398" i="1"/>
  <c r="BB2398" i="1"/>
  <c r="BD2398" i="1"/>
  <c r="CE2398" i="1"/>
  <c r="A2399" i="1"/>
  <c r="C2399" i="1"/>
  <c r="E2399" i="1"/>
  <c r="S2399" i="1"/>
  <c r="T2399" i="1"/>
  <c r="U2399" i="1"/>
  <c r="BB2399" i="1"/>
  <c r="BD2399" i="1"/>
  <c r="CE2399" i="1"/>
  <c r="A2400" i="1"/>
  <c r="C2400" i="1"/>
  <c r="E2400" i="1"/>
  <c r="S2400" i="1"/>
  <c r="T2400" i="1"/>
  <c r="U2400" i="1"/>
  <c r="BB2400" i="1"/>
  <c r="BD2400" i="1"/>
  <c r="CE2400" i="1"/>
  <c r="A2401" i="1"/>
  <c r="C2401" i="1"/>
  <c r="E2401" i="1"/>
  <c r="S2401" i="1"/>
  <c r="T2401" i="1"/>
  <c r="U2401" i="1"/>
  <c r="BB2401" i="1"/>
  <c r="BD2401" i="1"/>
  <c r="CE2401" i="1"/>
  <c r="A2402" i="1"/>
  <c r="C2402" i="1"/>
  <c r="E2402" i="1"/>
  <c r="S2402" i="1"/>
  <c r="T2402" i="1"/>
  <c r="U2402" i="1"/>
  <c r="BB2402" i="1"/>
  <c r="BD2402" i="1"/>
  <c r="CE2402" i="1"/>
  <c r="A2403" i="1"/>
  <c r="C2403" i="1"/>
  <c r="E2403" i="1"/>
  <c r="S2403" i="1"/>
  <c r="T2403" i="1"/>
  <c r="U2403" i="1"/>
  <c r="BB2403" i="1"/>
  <c r="BD2403" i="1"/>
  <c r="CE2403" i="1"/>
  <c r="A2404" i="1"/>
  <c r="C2404" i="1"/>
  <c r="E2404" i="1"/>
  <c r="S2404" i="1"/>
  <c r="T2404" i="1"/>
  <c r="U2404" i="1"/>
  <c r="BB2404" i="1"/>
  <c r="BD2404" i="1"/>
  <c r="CE2404" i="1"/>
  <c r="A2405" i="1"/>
  <c r="C2405" i="1"/>
  <c r="E2405" i="1"/>
  <c r="S2405" i="1"/>
  <c r="T2405" i="1"/>
  <c r="U2405" i="1"/>
  <c r="BB2405" i="1"/>
  <c r="BD2405" i="1"/>
  <c r="CE2405" i="1"/>
  <c r="A2406" i="1"/>
  <c r="C2406" i="1"/>
  <c r="E2406" i="1"/>
  <c r="S2406" i="1"/>
  <c r="T2406" i="1"/>
  <c r="U2406" i="1"/>
  <c r="BB2406" i="1"/>
  <c r="BD2406" i="1"/>
  <c r="CE2406" i="1"/>
  <c r="A2407" i="1"/>
  <c r="C2407" i="1"/>
  <c r="E2407" i="1"/>
  <c r="S2407" i="1"/>
  <c r="T2407" i="1"/>
  <c r="U2407" i="1"/>
  <c r="BB2407" i="1"/>
  <c r="BD2407" i="1"/>
  <c r="CE2407" i="1"/>
  <c r="A2408" i="1"/>
  <c r="C2408" i="1"/>
  <c r="E2408" i="1"/>
  <c r="S2408" i="1"/>
  <c r="T2408" i="1"/>
  <c r="U2408" i="1"/>
  <c r="BB2408" i="1"/>
  <c r="BD2408" i="1"/>
  <c r="CE2408" i="1"/>
  <c r="A2409" i="1"/>
  <c r="C2409" i="1"/>
  <c r="E2409" i="1"/>
  <c r="S2409" i="1"/>
  <c r="T2409" i="1"/>
  <c r="U2409" i="1"/>
  <c r="BB2409" i="1"/>
  <c r="BD2409" i="1"/>
  <c r="CE2409" i="1"/>
  <c r="A2410" i="1"/>
  <c r="C2410" i="1"/>
  <c r="E2410" i="1"/>
  <c r="S2410" i="1"/>
  <c r="T2410" i="1"/>
  <c r="U2410" i="1"/>
  <c r="BB2410" i="1"/>
  <c r="BD2410" i="1"/>
  <c r="CE2410" i="1"/>
  <c r="A2411" i="1"/>
  <c r="C2411" i="1"/>
  <c r="E2411" i="1"/>
  <c r="S2411" i="1"/>
  <c r="T2411" i="1"/>
  <c r="U2411" i="1"/>
  <c r="BB2411" i="1"/>
  <c r="BD2411" i="1"/>
  <c r="CE2411" i="1"/>
  <c r="A2412" i="1"/>
  <c r="C2412" i="1"/>
  <c r="E2412" i="1"/>
  <c r="S2412" i="1"/>
  <c r="T2412" i="1"/>
  <c r="U2412" i="1"/>
  <c r="BB2412" i="1"/>
  <c r="BD2412" i="1"/>
  <c r="CE2412" i="1"/>
  <c r="A2413" i="1"/>
  <c r="C2413" i="1"/>
  <c r="E2413" i="1"/>
  <c r="S2413" i="1"/>
  <c r="T2413" i="1"/>
  <c r="U2413" i="1"/>
  <c r="BB2413" i="1"/>
  <c r="BD2413" i="1"/>
  <c r="CE2413" i="1"/>
  <c r="A2414" i="1"/>
  <c r="C2414" i="1"/>
  <c r="E2414" i="1"/>
  <c r="S2414" i="1"/>
  <c r="T2414" i="1"/>
  <c r="U2414" i="1"/>
  <c r="BB2414" i="1"/>
  <c r="BD2414" i="1"/>
  <c r="CE2414" i="1"/>
  <c r="A2415" i="1"/>
  <c r="C2415" i="1"/>
  <c r="E2415" i="1"/>
  <c r="S2415" i="1"/>
  <c r="T2415" i="1"/>
  <c r="U2415" i="1"/>
  <c r="BB2415" i="1"/>
  <c r="BD2415" i="1"/>
  <c r="CE2415" i="1"/>
  <c r="A2416" i="1"/>
  <c r="C2416" i="1"/>
  <c r="E2416" i="1"/>
  <c r="S2416" i="1"/>
  <c r="T2416" i="1"/>
  <c r="U2416" i="1"/>
  <c r="BB2416" i="1"/>
  <c r="BD2416" i="1"/>
  <c r="CE2416" i="1"/>
  <c r="A2417" i="1"/>
  <c r="C2417" i="1"/>
  <c r="E2417" i="1"/>
  <c r="S2417" i="1"/>
  <c r="T2417" i="1"/>
  <c r="U2417" i="1"/>
  <c r="BB2417" i="1"/>
  <c r="BD2417" i="1"/>
  <c r="CE2417" i="1"/>
  <c r="A2418" i="1"/>
  <c r="C2418" i="1"/>
  <c r="E2418" i="1"/>
  <c r="S2418" i="1"/>
  <c r="T2418" i="1"/>
  <c r="U2418" i="1"/>
  <c r="BB2418" i="1"/>
  <c r="BD2418" i="1"/>
  <c r="CE2418" i="1"/>
  <c r="A2419" i="1"/>
  <c r="C2419" i="1"/>
  <c r="E2419" i="1"/>
  <c r="S2419" i="1"/>
  <c r="T2419" i="1"/>
  <c r="U2419" i="1"/>
  <c r="BB2419" i="1"/>
  <c r="BD2419" i="1"/>
  <c r="CE2419" i="1"/>
  <c r="A2420" i="1"/>
  <c r="C2420" i="1"/>
  <c r="E2420" i="1"/>
  <c r="S2420" i="1"/>
  <c r="T2420" i="1"/>
  <c r="U2420" i="1"/>
  <c r="BB2420" i="1"/>
  <c r="BD2420" i="1"/>
  <c r="CE2420" i="1"/>
  <c r="A2421" i="1"/>
  <c r="C2421" i="1"/>
  <c r="E2421" i="1"/>
  <c r="S2421" i="1"/>
  <c r="T2421" i="1"/>
  <c r="U2421" i="1"/>
  <c r="BB2421" i="1"/>
  <c r="BD2421" i="1"/>
  <c r="CE2421" i="1"/>
  <c r="A2422" i="1"/>
  <c r="C2422" i="1"/>
  <c r="E2422" i="1"/>
  <c r="S2422" i="1"/>
  <c r="T2422" i="1"/>
  <c r="U2422" i="1"/>
  <c r="BB2422" i="1"/>
  <c r="BD2422" i="1"/>
  <c r="CE2422" i="1"/>
  <c r="A2423" i="1"/>
  <c r="C2423" i="1"/>
  <c r="E2423" i="1"/>
  <c r="S2423" i="1"/>
  <c r="T2423" i="1"/>
  <c r="U2423" i="1"/>
  <c r="BB2423" i="1"/>
  <c r="BD2423" i="1"/>
  <c r="CE2423" i="1"/>
  <c r="A2424" i="1"/>
  <c r="C2424" i="1"/>
  <c r="E2424" i="1"/>
  <c r="S2424" i="1"/>
  <c r="T2424" i="1"/>
  <c r="U2424" i="1"/>
  <c r="BB2424" i="1"/>
  <c r="BD2424" i="1"/>
  <c r="CE2424" i="1"/>
  <c r="A2425" i="1"/>
  <c r="C2425" i="1"/>
  <c r="E2425" i="1"/>
  <c r="S2425" i="1"/>
  <c r="T2425" i="1"/>
  <c r="U2425" i="1"/>
  <c r="BB2425" i="1"/>
  <c r="BD2425" i="1"/>
  <c r="CE2425" i="1"/>
  <c r="A2426" i="1"/>
  <c r="C2426" i="1"/>
  <c r="E2426" i="1"/>
  <c r="S2426" i="1"/>
  <c r="T2426" i="1"/>
  <c r="U2426" i="1"/>
  <c r="BB2426" i="1"/>
  <c r="BD2426" i="1"/>
  <c r="CE2426" i="1"/>
  <c r="A2427" i="1"/>
  <c r="C2427" i="1"/>
  <c r="E2427" i="1"/>
  <c r="S2427" i="1"/>
  <c r="T2427" i="1"/>
  <c r="U2427" i="1"/>
  <c r="BB2427" i="1"/>
  <c r="BD2427" i="1"/>
  <c r="CE2427" i="1"/>
  <c r="A2428" i="1"/>
  <c r="C2428" i="1"/>
  <c r="E2428" i="1"/>
  <c r="S2428" i="1"/>
  <c r="T2428" i="1"/>
  <c r="U2428" i="1"/>
  <c r="BB2428" i="1"/>
  <c r="BD2428" i="1"/>
  <c r="CE2428" i="1"/>
  <c r="A2429" i="1"/>
  <c r="C2429" i="1"/>
  <c r="E2429" i="1"/>
  <c r="S2429" i="1"/>
  <c r="T2429" i="1"/>
  <c r="U2429" i="1"/>
  <c r="BB2429" i="1"/>
  <c r="BD2429" i="1"/>
  <c r="CE2429" i="1"/>
  <c r="A2430" i="1"/>
  <c r="C2430" i="1"/>
  <c r="E2430" i="1"/>
  <c r="S2430" i="1"/>
  <c r="T2430" i="1"/>
  <c r="U2430" i="1"/>
  <c r="BB2430" i="1"/>
  <c r="BD2430" i="1"/>
  <c r="CE2430" i="1"/>
  <c r="A2431" i="1"/>
  <c r="C2431" i="1"/>
  <c r="E2431" i="1"/>
  <c r="S2431" i="1"/>
  <c r="T2431" i="1"/>
  <c r="U2431" i="1"/>
  <c r="BB2431" i="1"/>
  <c r="BD2431" i="1"/>
  <c r="CE2431" i="1"/>
  <c r="A2432" i="1"/>
  <c r="C2432" i="1"/>
  <c r="E2432" i="1"/>
  <c r="S2432" i="1"/>
  <c r="T2432" i="1"/>
  <c r="U2432" i="1"/>
  <c r="BB2432" i="1"/>
  <c r="BD2432" i="1"/>
  <c r="CE2432" i="1"/>
  <c r="A2433" i="1"/>
  <c r="C2433" i="1"/>
  <c r="E2433" i="1"/>
  <c r="S2433" i="1"/>
  <c r="T2433" i="1"/>
  <c r="U2433" i="1"/>
  <c r="BB2433" i="1"/>
  <c r="BD2433" i="1"/>
  <c r="CE2433" i="1"/>
  <c r="A2434" i="1"/>
  <c r="C2434" i="1"/>
  <c r="E2434" i="1"/>
  <c r="S2434" i="1"/>
  <c r="T2434" i="1"/>
  <c r="U2434" i="1"/>
  <c r="BB2434" i="1"/>
  <c r="BD2434" i="1"/>
  <c r="CE2434" i="1"/>
  <c r="A2435" i="1"/>
  <c r="C2435" i="1"/>
  <c r="E2435" i="1"/>
  <c r="S2435" i="1"/>
  <c r="T2435" i="1"/>
  <c r="U2435" i="1"/>
  <c r="BB2435" i="1"/>
  <c r="BD2435" i="1"/>
  <c r="CE2435" i="1"/>
  <c r="A2436" i="1"/>
  <c r="C2436" i="1"/>
  <c r="E2436" i="1"/>
  <c r="S2436" i="1"/>
  <c r="T2436" i="1"/>
  <c r="U2436" i="1"/>
  <c r="BB2436" i="1"/>
  <c r="BD2436" i="1"/>
  <c r="CE2436" i="1"/>
  <c r="A2437" i="1"/>
  <c r="C2437" i="1"/>
  <c r="E2437" i="1"/>
  <c r="S2437" i="1"/>
  <c r="T2437" i="1"/>
  <c r="U2437" i="1"/>
  <c r="BB2437" i="1"/>
  <c r="BD2437" i="1"/>
  <c r="CE2437" i="1"/>
  <c r="A2438" i="1"/>
  <c r="C2438" i="1"/>
  <c r="E2438" i="1"/>
  <c r="S2438" i="1"/>
  <c r="T2438" i="1"/>
  <c r="U2438" i="1"/>
  <c r="BB2438" i="1"/>
  <c r="BD2438" i="1"/>
  <c r="CE2438" i="1"/>
  <c r="A2439" i="1"/>
  <c r="C2439" i="1"/>
  <c r="E2439" i="1"/>
  <c r="S2439" i="1"/>
  <c r="T2439" i="1"/>
  <c r="U2439" i="1"/>
  <c r="BB2439" i="1"/>
  <c r="BD2439" i="1"/>
  <c r="CE2439" i="1"/>
  <c r="A2440" i="1"/>
  <c r="C2440" i="1"/>
  <c r="E2440" i="1"/>
  <c r="S2440" i="1"/>
  <c r="T2440" i="1"/>
  <c r="U2440" i="1"/>
  <c r="BB2440" i="1"/>
  <c r="BD2440" i="1"/>
  <c r="CE2440" i="1"/>
  <c r="A2441" i="1"/>
  <c r="C2441" i="1"/>
  <c r="E2441" i="1"/>
  <c r="S2441" i="1"/>
  <c r="T2441" i="1"/>
  <c r="U2441" i="1"/>
  <c r="BB2441" i="1"/>
  <c r="BD2441" i="1"/>
  <c r="CE2441" i="1"/>
  <c r="A2442" i="1"/>
  <c r="C2442" i="1"/>
  <c r="E2442" i="1"/>
  <c r="S2442" i="1"/>
  <c r="T2442" i="1"/>
  <c r="U2442" i="1"/>
  <c r="BB2442" i="1"/>
  <c r="BD2442" i="1"/>
  <c r="CE2442" i="1"/>
  <c r="A2443" i="1"/>
  <c r="C2443" i="1"/>
  <c r="E2443" i="1"/>
  <c r="S2443" i="1"/>
  <c r="T2443" i="1"/>
  <c r="U2443" i="1"/>
  <c r="BB2443" i="1"/>
  <c r="BD2443" i="1"/>
  <c r="CE2443" i="1"/>
  <c r="A2444" i="1"/>
  <c r="C2444" i="1"/>
  <c r="E2444" i="1"/>
  <c r="S2444" i="1"/>
  <c r="T2444" i="1"/>
  <c r="U2444" i="1"/>
  <c r="BB2444" i="1"/>
  <c r="BD2444" i="1"/>
  <c r="CE2444" i="1"/>
  <c r="A2445" i="1"/>
  <c r="C2445" i="1"/>
  <c r="E2445" i="1"/>
  <c r="S2445" i="1"/>
  <c r="T2445" i="1"/>
  <c r="U2445" i="1"/>
  <c r="BB2445" i="1"/>
  <c r="BD2445" i="1"/>
  <c r="CE2445" i="1"/>
  <c r="A2446" i="1"/>
  <c r="C2446" i="1"/>
  <c r="E2446" i="1"/>
  <c r="S2446" i="1"/>
  <c r="T2446" i="1"/>
  <c r="U2446" i="1"/>
  <c r="BB2446" i="1"/>
  <c r="BD2446" i="1"/>
  <c r="CE2446" i="1"/>
  <c r="A2447" i="1"/>
  <c r="C2447" i="1"/>
  <c r="E2447" i="1"/>
  <c r="S2447" i="1"/>
  <c r="T2447" i="1"/>
  <c r="U2447" i="1"/>
  <c r="BB2447" i="1"/>
  <c r="BD2447" i="1"/>
  <c r="CE2447" i="1"/>
  <c r="A2448" i="1"/>
  <c r="C2448" i="1"/>
  <c r="E2448" i="1"/>
  <c r="S2448" i="1"/>
  <c r="T2448" i="1"/>
  <c r="U2448" i="1"/>
  <c r="BB2448" i="1"/>
  <c r="BD2448" i="1"/>
  <c r="CE2448" i="1"/>
  <c r="A2449" i="1"/>
  <c r="C2449" i="1"/>
  <c r="E2449" i="1"/>
  <c r="S2449" i="1"/>
  <c r="T2449" i="1"/>
  <c r="U2449" i="1"/>
  <c r="BB2449" i="1"/>
  <c r="BD2449" i="1"/>
  <c r="CE2449" i="1"/>
  <c r="A2450" i="1"/>
  <c r="C2450" i="1"/>
  <c r="E2450" i="1"/>
  <c r="S2450" i="1"/>
  <c r="T2450" i="1"/>
  <c r="U2450" i="1"/>
  <c r="BB2450" i="1"/>
  <c r="BD2450" i="1"/>
  <c r="CE2450" i="1"/>
  <c r="A2451" i="1"/>
  <c r="C2451" i="1"/>
  <c r="E2451" i="1"/>
  <c r="S2451" i="1"/>
  <c r="T2451" i="1"/>
  <c r="U2451" i="1"/>
  <c r="BB2451" i="1"/>
  <c r="BD2451" i="1"/>
  <c r="CE2451" i="1"/>
  <c r="A2452" i="1"/>
  <c r="C2452" i="1"/>
  <c r="E2452" i="1"/>
  <c r="S2452" i="1"/>
  <c r="T2452" i="1"/>
  <c r="U2452" i="1"/>
  <c r="BB2452" i="1"/>
  <c r="BD2452" i="1"/>
  <c r="CE2452" i="1"/>
  <c r="A2453" i="1"/>
  <c r="C2453" i="1"/>
  <c r="E2453" i="1"/>
  <c r="S2453" i="1"/>
  <c r="T2453" i="1"/>
  <c r="U2453" i="1"/>
  <c r="BB2453" i="1"/>
  <c r="BD2453" i="1"/>
  <c r="CE2453" i="1"/>
  <c r="A2454" i="1"/>
  <c r="C2454" i="1"/>
  <c r="E2454" i="1"/>
  <c r="S2454" i="1"/>
  <c r="T2454" i="1"/>
  <c r="U2454" i="1"/>
  <c r="BB2454" i="1"/>
  <c r="BD2454" i="1"/>
  <c r="CE2454" i="1"/>
  <c r="A2455" i="1"/>
  <c r="C2455" i="1"/>
  <c r="E2455" i="1"/>
  <c r="S2455" i="1"/>
  <c r="T2455" i="1"/>
  <c r="U2455" i="1"/>
  <c r="BB2455" i="1"/>
  <c r="BD2455" i="1"/>
  <c r="CE2455" i="1"/>
  <c r="A2456" i="1"/>
  <c r="C2456" i="1"/>
  <c r="E2456" i="1"/>
  <c r="S2456" i="1"/>
  <c r="T2456" i="1"/>
  <c r="U2456" i="1"/>
  <c r="BB2456" i="1"/>
  <c r="BD2456" i="1"/>
  <c r="CE2456" i="1"/>
  <c r="A2457" i="1"/>
  <c r="C2457" i="1"/>
  <c r="E2457" i="1"/>
  <c r="S2457" i="1"/>
  <c r="T2457" i="1"/>
  <c r="U2457" i="1"/>
  <c r="BB2457" i="1"/>
  <c r="BD2457" i="1"/>
  <c r="CE2457" i="1"/>
  <c r="A2458" i="1"/>
  <c r="C2458" i="1"/>
  <c r="E2458" i="1"/>
  <c r="S2458" i="1"/>
  <c r="T2458" i="1"/>
  <c r="U2458" i="1"/>
  <c r="BB2458" i="1"/>
  <c r="BD2458" i="1"/>
  <c r="CE2458" i="1"/>
  <c r="A2459" i="1"/>
  <c r="C2459" i="1"/>
  <c r="E2459" i="1"/>
  <c r="S2459" i="1"/>
  <c r="T2459" i="1"/>
  <c r="U2459" i="1"/>
  <c r="BB2459" i="1"/>
  <c r="BD2459" i="1"/>
  <c r="CE2459" i="1"/>
  <c r="A2460" i="1"/>
  <c r="C2460" i="1"/>
  <c r="E2460" i="1"/>
  <c r="S2460" i="1"/>
  <c r="T2460" i="1"/>
  <c r="U2460" i="1"/>
  <c r="BB2460" i="1"/>
  <c r="BD2460" i="1"/>
  <c r="CE2460" i="1"/>
  <c r="A2461" i="1"/>
  <c r="C2461" i="1"/>
  <c r="E2461" i="1"/>
  <c r="S2461" i="1"/>
  <c r="T2461" i="1"/>
  <c r="U2461" i="1"/>
  <c r="BB2461" i="1"/>
  <c r="BD2461" i="1"/>
  <c r="CE2461" i="1"/>
  <c r="A2462" i="1"/>
  <c r="C2462" i="1"/>
  <c r="E2462" i="1"/>
  <c r="S2462" i="1"/>
  <c r="T2462" i="1"/>
  <c r="U2462" i="1"/>
  <c r="BB2462" i="1"/>
  <c r="BD2462" i="1"/>
  <c r="CE2462" i="1"/>
  <c r="A2463" i="1"/>
  <c r="C2463" i="1"/>
  <c r="E2463" i="1"/>
  <c r="S2463" i="1"/>
  <c r="T2463" i="1"/>
  <c r="U2463" i="1"/>
  <c r="BB2463" i="1"/>
  <c r="BD2463" i="1"/>
  <c r="CE2463" i="1"/>
  <c r="A2464" i="1"/>
  <c r="C2464" i="1"/>
  <c r="E2464" i="1"/>
  <c r="S2464" i="1"/>
  <c r="T2464" i="1"/>
  <c r="U2464" i="1"/>
  <c r="BB2464" i="1"/>
  <c r="BD2464" i="1"/>
  <c r="CE2464" i="1"/>
  <c r="A2465" i="1"/>
  <c r="C2465" i="1"/>
  <c r="E2465" i="1"/>
  <c r="S2465" i="1"/>
  <c r="T2465" i="1"/>
  <c r="U2465" i="1"/>
  <c r="BB2465" i="1"/>
  <c r="BD2465" i="1"/>
  <c r="CE2465" i="1"/>
  <c r="A2466" i="1"/>
  <c r="C2466" i="1"/>
  <c r="E2466" i="1"/>
  <c r="S2466" i="1"/>
  <c r="T2466" i="1"/>
  <c r="U2466" i="1"/>
  <c r="BB2466" i="1"/>
  <c r="BD2466" i="1"/>
  <c r="CE2466" i="1"/>
  <c r="A2467" i="1"/>
  <c r="C2467" i="1"/>
  <c r="E2467" i="1"/>
  <c r="S2467" i="1"/>
  <c r="T2467" i="1"/>
  <c r="U2467" i="1"/>
  <c r="BB2467" i="1"/>
  <c r="BD2467" i="1"/>
  <c r="CE2467" i="1"/>
  <c r="A2468" i="1"/>
  <c r="C2468" i="1"/>
  <c r="E2468" i="1"/>
  <c r="S2468" i="1"/>
  <c r="T2468" i="1"/>
  <c r="U2468" i="1"/>
  <c r="BB2468" i="1"/>
  <c r="BD2468" i="1"/>
  <c r="CE2468" i="1"/>
  <c r="A2469" i="1"/>
  <c r="C2469" i="1"/>
  <c r="E2469" i="1"/>
  <c r="S2469" i="1"/>
  <c r="T2469" i="1"/>
  <c r="U2469" i="1"/>
  <c r="BB2469" i="1"/>
  <c r="BD2469" i="1"/>
  <c r="CE2469" i="1"/>
  <c r="A2470" i="1"/>
  <c r="C2470" i="1"/>
  <c r="E2470" i="1"/>
  <c r="S2470" i="1"/>
  <c r="T2470" i="1"/>
  <c r="U2470" i="1"/>
  <c r="BB2470" i="1"/>
  <c r="BD2470" i="1"/>
  <c r="CE2470" i="1"/>
  <c r="A2471" i="1"/>
  <c r="C2471" i="1"/>
  <c r="E2471" i="1"/>
  <c r="S2471" i="1"/>
  <c r="T2471" i="1"/>
  <c r="U2471" i="1"/>
  <c r="BB2471" i="1"/>
  <c r="BD2471" i="1"/>
  <c r="CE2471" i="1"/>
  <c r="A2472" i="1"/>
  <c r="C2472" i="1"/>
  <c r="E2472" i="1"/>
  <c r="S2472" i="1"/>
  <c r="T2472" i="1"/>
  <c r="U2472" i="1"/>
  <c r="BB2472" i="1"/>
  <c r="BD2472" i="1"/>
  <c r="CE2472" i="1"/>
  <c r="A2473" i="1"/>
  <c r="C2473" i="1"/>
  <c r="E2473" i="1"/>
  <c r="S2473" i="1"/>
  <c r="T2473" i="1"/>
  <c r="U2473" i="1"/>
  <c r="BB2473" i="1"/>
  <c r="BD2473" i="1"/>
  <c r="CE2473" i="1"/>
  <c r="A2474" i="1"/>
  <c r="C2474" i="1"/>
  <c r="E2474" i="1"/>
  <c r="S2474" i="1"/>
  <c r="T2474" i="1"/>
  <c r="U2474" i="1"/>
  <c r="BB2474" i="1"/>
  <c r="BD2474" i="1"/>
  <c r="CE2474" i="1"/>
  <c r="A2475" i="1"/>
  <c r="C2475" i="1"/>
  <c r="E2475" i="1"/>
  <c r="S2475" i="1"/>
  <c r="T2475" i="1"/>
  <c r="U2475" i="1"/>
  <c r="BB2475" i="1"/>
  <c r="BD2475" i="1"/>
  <c r="CE2475" i="1"/>
  <c r="A2476" i="1"/>
  <c r="C2476" i="1"/>
  <c r="E2476" i="1"/>
  <c r="S2476" i="1"/>
  <c r="T2476" i="1"/>
  <c r="U2476" i="1"/>
  <c r="BB2476" i="1"/>
  <c r="BD2476" i="1"/>
  <c r="CE2476" i="1"/>
  <c r="A2477" i="1"/>
  <c r="C2477" i="1"/>
  <c r="E2477" i="1"/>
  <c r="S2477" i="1"/>
  <c r="T2477" i="1"/>
  <c r="U2477" i="1"/>
  <c r="BB2477" i="1"/>
  <c r="BD2477" i="1"/>
  <c r="CE2477" i="1"/>
  <c r="A2478" i="1"/>
  <c r="C2478" i="1"/>
  <c r="E2478" i="1"/>
  <c r="S2478" i="1"/>
  <c r="T2478" i="1"/>
  <c r="U2478" i="1"/>
  <c r="BB2478" i="1"/>
  <c r="BD2478" i="1"/>
  <c r="CE2478" i="1"/>
  <c r="A2479" i="1"/>
  <c r="C2479" i="1"/>
  <c r="E2479" i="1"/>
  <c r="S2479" i="1"/>
  <c r="T2479" i="1"/>
  <c r="U2479" i="1"/>
  <c r="BB2479" i="1"/>
  <c r="BD2479" i="1"/>
  <c r="CE2479" i="1"/>
  <c r="A2480" i="1"/>
  <c r="C2480" i="1"/>
  <c r="E2480" i="1"/>
  <c r="S2480" i="1"/>
  <c r="T2480" i="1"/>
  <c r="U2480" i="1"/>
  <c r="BB2480" i="1"/>
  <c r="BD2480" i="1"/>
  <c r="CE2480" i="1"/>
  <c r="A2481" i="1"/>
  <c r="C2481" i="1"/>
  <c r="E2481" i="1"/>
  <c r="S2481" i="1"/>
  <c r="T2481" i="1"/>
  <c r="U2481" i="1"/>
  <c r="BB2481" i="1"/>
  <c r="BD2481" i="1"/>
  <c r="CE2481" i="1"/>
  <c r="A2482" i="1"/>
  <c r="C2482" i="1"/>
  <c r="E2482" i="1"/>
  <c r="S2482" i="1"/>
  <c r="T2482" i="1"/>
  <c r="U2482" i="1"/>
  <c r="BB2482" i="1"/>
  <c r="BD2482" i="1"/>
  <c r="CE2482" i="1"/>
  <c r="A2483" i="1"/>
  <c r="C2483" i="1"/>
  <c r="E2483" i="1"/>
  <c r="S2483" i="1"/>
  <c r="T2483" i="1"/>
  <c r="U2483" i="1"/>
  <c r="BB2483" i="1"/>
  <c r="BD2483" i="1"/>
  <c r="CE2483" i="1"/>
  <c r="A2484" i="1"/>
  <c r="C2484" i="1"/>
  <c r="E2484" i="1"/>
  <c r="S2484" i="1"/>
  <c r="T2484" i="1"/>
  <c r="U2484" i="1"/>
  <c r="BB2484" i="1"/>
  <c r="BD2484" i="1"/>
  <c r="CE2484" i="1"/>
  <c r="A2485" i="1"/>
  <c r="C2485" i="1"/>
  <c r="E2485" i="1"/>
  <c r="S2485" i="1"/>
  <c r="T2485" i="1"/>
  <c r="U2485" i="1"/>
  <c r="BB2485" i="1"/>
  <c r="BD2485" i="1"/>
  <c r="CE2485" i="1"/>
  <c r="A2486" i="1"/>
  <c r="C2486" i="1"/>
  <c r="E2486" i="1"/>
  <c r="S2486" i="1"/>
  <c r="T2486" i="1"/>
  <c r="U2486" i="1"/>
  <c r="BB2486" i="1"/>
  <c r="BD2486" i="1"/>
  <c r="CE2486" i="1"/>
  <c r="A2487" i="1"/>
  <c r="C2487" i="1"/>
  <c r="E2487" i="1"/>
  <c r="S2487" i="1"/>
  <c r="T2487" i="1"/>
  <c r="U2487" i="1"/>
  <c r="BB2487" i="1"/>
  <c r="BD2487" i="1"/>
  <c r="CE2487" i="1"/>
  <c r="A2488" i="1"/>
  <c r="C2488" i="1"/>
  <c r="E2488" i="1"/>
  <c r="S2488" i="1"/>
  <c r="T2488" i="1"/>
  <c r="U2488" i="1"/>
  <c r="BB2488" i="1"/>
  <c r="BD2488" i="1"/>
  <c r="CE2488" i="1"/>
  <c r="A2489" i="1"/>
  <c r="C2489" i="1"/>
  <c r="E2489" i="1"/>
  <c r="S2489" i="1"/>
  <c r="T2489" i="1"/>
  <c r="U2489" i="1"/>
  <c r="BB2489" i="1"/>
  <c r="BD2489" i="1"/>
  <c r="CE2489" i="1"/>
  <c r="A2490" i="1"/>
  <c r="C2490" i="1"/>
  <c r="E2490" i="1"/>
  <c r="S2490" i="1"/>
  <c r="T2490" i="1"/>
  <c r="U2490" i="1"/>
  <c r="BB2490" i="1"/>
  <c r="BD2490" i="1"/>
  <c r="CE2490" i="1"/>
  <c r="A2491" i="1"/>
  <c r="C2491" i="1"/>
  <c r="E2491" i="1"/>
  <c r="S2491" i="1"/>
  <c r="T2491" i="1"/>
  <c r="U2491" i="1"/>
  <c r="BB2491" i="1"/>
  <c r="BD2491" i="1"/>
  <c r="CE2491" i="1"/>
  <c r="A2492" i="1"/>
  <c r="C2492" i="1"/>
  <c r="E2492" i="1"/>
  <c r="S2492" i="1"/>
  <c r="T2492" i="1"/>
  <c r="U2492" i="1"/>
  <c r="BB2492" i="1"/>
  <c r="BD2492" i="1"/>
  <c r="CE2492" i="1"/>
  <c r="A2493" i="1"/>
  <c r="C2493" i="1"/>
  <c r="E2493" i="1"/>
  <c r="S2493" i="1"/>
  <c r="T2493" i="1"/>
  <c r="U2493" i="1"/>
  <c r="BB2493" i="1"/>
  <c r="BD2493" i="1"/>
  <c r="CE2493" i="1"/>
  <c r="A2494" i="1"/>
  <c r="C2494" i="1"/>
  <c r="E2494" i="1"/>
  <c r="S2494" i="1"/>
  <c r="T2494" i="1"/>
  <c r="U2494" i="1"/>
  <c r="BB2494" i="1"/>
  <c r="BD2494" i="1"/>
  <c r="CE2494" i="1"/>
  <c r="A2495" i="1"/>
  <c r="C2495" i="1"/>
  <c r="E2495" i="1"/>
  <c r="S2495" i="1"/>
  <c r="T2495" i="1"/>
  <c r="U2495" i="1"/>
  <c r="BB2495" i="1"/>
  <c r="BD2495" i="1"/>
  <c r="CE2495" i="1"/>
  <c r="A2496" i="1"/>
  <c r="C2496" i="1"/>
  <c r="E2496" i="1"/>
  <c r="S2496" i="1"/>
  <c r="T2496" i="1"/>
  <c r="U2496" i="1"/>
  <c r="BB2496" i="1"/>
  <c r="BD2496" i="1"/>
  <c r="CE2496" i="1"/>
  <c r="A2497" i="1"/>
  <c r="C2497" i="1"/>
  <c r="E2497" i="1"/>
  <c r="S2497" i="1"/>
  <c r="T2497" i="1"/>
  <c r="U2497" i="1"/>
  <c r="BB2497" i="1"/>
  <c r="BD2497" i="1"/>
  <c r="CE2497" i="1"/>
  <c r="A2498" i="1"/>
  <c r="C2498" i="1"/>
  <c r="E2498" i="1"/>
  <c r="S2498" i="1"/>
  <c r="T2498" i="1"/>
  <c r="U2498" i="1"/>
  <c r="BB2498" i="1"/>
  <c r="BD2498" i="1"/>
  <c r="CE2498" i="1"/>
  <c r="A2499" i="1"/>
  <c r="C2499" i="1"/>
  <c r="E2499" i="1"/>
  <c r="S2499" i="1"/>
  <c r="T2499" i="1"/>
  <c r="U2499" i="1"/>
  <c r="BB2499" i="1"/>
  <c r="BD2499" i="1"/>
  <c r="CE2499" i="1"/>
  <c r="A2500" i="1"/>
  <c r="C2500" i="1"/>
  <c r="E2500" i="1"/>
  <c r="S2500" i="1"/>
  <c r="T2500" i="1"/>
  <c r="U2500" i="1"/>
  <c r="BB2500" i="1"/>
  <c r="BD2500" i="1"/>
  <c r="CE2500" i="1"/>
  <c r="A2501" i="1"/>
  <c r="C2501" i="1"/>
  <c r="E2501" i="1"/>
  <c r="S2501" i="1"/>
  <c r="T2501" i="1"/>
  <c r="U2501" i="1"/>
  <c r="BB2501" i="1"/>
  <c r="BD2501" i="1"/>
  <c r="CE2501" i="1"/>
  <c r="A2502" i="1"/>
  <c r="C2502" i="1"/>
  <c r="E2502" i="1"/>
  <c r="S2502" i="1"/>
  <c r="T2502" i="1"/>
  <c r="U2502" i="1"/>
  <c r="BB2502" i="1"/>
  <c r="BD2502" i="1"/>
  <c r="CE2502" i="1"/>
  <c r="A2503" i="1"/>
  <c r="C2503" i="1"/>
  <c r="E2503" i="1"/>
  <c r="S2503" i="1"/>
  <c r="T2503" i="1"/>
  <c r="U2503" i="1"/>
  <c r="BB2503" i="1"/>
  <c r="BD2503" i="1"/>
  <c r="CE2503" i="1"/>
  <c r="A2504" i="1"/>
  <c r="C2504" i="1"/>
  <c r="E2504" i="1"/>
  <c r="S2504" i="1"/>
  <c r="T2504" i="1"/>
  <c r="U2504" i="1"/>
  <c r="BB2504" i="1"/>
  <c r="BD2504" i="1"/>
  <c r="CE2504" i="1"/>
  <c r="A2505" i="1"/>
  <c r="C2505" i="1"/>
  <c r="E2505" i="1"/>
  <c r="S2505" i="1"/>
  <c r="T2505" i="1"/>
  <c r="U2505" i="1"/>
  <c r="BB2505" i="1"/>
  <c r="BD2505" i="1"/>
  <c r="CE2505" i="1"/>
  <c r="A2506" i="1"/>
  <c r="C2506" i="1"/>
  <c r="E2506" i="1"/>
  <c r="S2506" i="1"/>
  <c r="T2506" i="1"/>
  <c r="U2506" i="1"/>
  <c r="BB2506" i="1"/>
  <c r="BD2506" i="1"/>
  <c r="CE2506" i="1"/>
  <c r="A2507" i="1"/>
  <c r="C2507" i="1"/>
  <c r="E2507" i="1"/>
  <c r="S2507" i="1"/>
  <c r="T2507" i="1"/>
  <c r="U2507" i="1"/>
  <c r="BB2507" i="1"/>
  <c r="BD2507" i="1"/>
  <c r="CE2507" i="1"/>
  <c r="A2508" i="1"/>
  <c r="C2508" i="1"/>
  <c r="E2508" i="1"/>
  <c r="S2508" i="1"/>
  <c r="T2508" i="1"/>
  <c r="U2508" i="1"/>
  <c r="BB2508" i="1"/>
  <c r="BD2508" i="1"/>
  <c r="CE2508" i="1"/>
  <c r="A2509" i="1"/>
  <c r="C2509" i="1"/>
  <c r="E2509" i="1"/>
  <c r="S2509" i="1"/>
  <c r="T2509" i="1"/>
  <c r="U2509" i="1"/>
  <c r="BB2509" i="1"/>
  <c r="BD2509" i="1"/>
  <c r="CE2509" i="1"/>
  <c r="A2510" i="1"/>
  <c r="C2510" i="1"/>
  <c r="E2510" i="1"/>
  <c r="S2510" i="1"/>
  <c r="T2510" i="1"/>
  <c r="U2510" i="1"/>
  <c r="BB2510" i="1"/>
  <c r="BD2510" i="1"/>
  <c r="CE2510" i="1"/>
  <c r="A2511" i="1"/>
  <c r="C2511" i="1"/>
  <c r="E2511" i="1"/>
  <c r="S2511" i="1"/>
  <c r="T2511" i="1"/>
  <c r="U2511" i="1"/>
  <c r="BB2511" i="1"/>
  <c r="BD2511" i="1"/>
  <c r="CE2511" i="1"/>
  <c r="A2512" i="1"/>
  <c r="C2512" i="1"/>
  <c r="E2512" i="1"/>
  <c r="S2512" i="1"/>
  <c r="T2512" i="1"/>
  <c r="U2512" i="1"/>
  <c r="BB2512" i="1"/>
  <c r="BD2512" i="1"/>
  <c r="CE2512" i="1"/>
  <c r="A2513" i="1"/>
  <c r="C2513" i="1"/>
  <c r="E2513" i="1"/>
  <c r="S2513" i="1"/>
  <c r="T2513" i="1"/>
  <c r="U2513" i="1"/>
  <c r="BB2513" i="1"/>
  <c r="BD2513" i="1"/>
  <c r="CE2513" i="1"/>
  <c r="A2514" i="1"/>
  <c r="C2514" i="1"/>
  <c r="E2514" i="1"/>
  <c r="S2514" i="1"/>
  <c r="T2514" i="1"/>
  <c r="U2514" i="1"/>
  <c r="BB2514" i="1"/>
  <c r="BD2514" i="1"/>
  <c r="CE2514" i="1"/>
  <c r="A2515" i="1"/>
  <c r="C2515" i="1"/>
  <c r="E2515" i="1"/>
  <c r="S2515" i="1"/>
  <c r="T2515" i="1"/>
  <c r="U2515" i="1"/>
  <c r="BB2515" i="1"/>
  <c r="BD2515" i="1"/>
  <c r="CE2515" i="1"/>
  <c r="A2516" i="1"/>
  <c r="C2516" i="1"/>
  <c r="E2516" i="1"/>
  <c r="S2516" i="1"/>
  <c r="T2516" i="1"/>
  <c r="U2516" i="1"/>
  <c r="BB2516" i="1"/>
  <c r="BD2516" i="1"/>
  <c r="CE2516" i="1"/>
  <c r="A2517" i="1"/>
  <c r="C2517" i="1"/>
  <c r="E2517" i="1"/>
  <c r="S2517" i="1"/>
  <c r="T2517" i="1"/>
  <c r="U2517" i="1"/>
  <c r="BB2517" i="1"/>
  <c r="BD2517" i="1"/>
  <c r="CE2517" i="1"/>
  <c r="A2518" i="1"/>
  <c r="C2518" i="1"/>
  <c r="E2518" i="1"/>
  <c r="S2518" i="1"/>
  <c r="T2518" i="1"/>
  <c r="U2518" i="1"/>
  <c r="BB2518" i="1"/>
  <c r="BD2518" i="1"/>
  <c r="CE2518" i="1"/>
  <c r="A2519" i="1"/>
  <c r="C2519" i="1"/>
  <c r="E2519" i="1"/>
  <c r="S2519" i="1"/>
  <c r="T2519" i="1"/>
  <c r="U2519" i="1"/>
  <c r="BB2519" i="1"/>
  <c r="BD2519" i="1"/>
  <c r="CE2519" i="1"/>
  <c r="A2520" i="1"/>
  <c r="C2520" i="1"/>
  <c r="E2520" i="1"/>
  <c r="S2520" i="1"/>
  <c r="T2520" i="1"/>
  <c r="U2520" i="1"/>
  <c r="BB2520" i="1"/>
  <c r="BD2520" i="1"/>
  <c r="CE2520" i="1"/>
  <c r="A2521" i="1"/>
  <c r="C2521" i="1"/>
  <c r="E2521" i="1"/>
  <c r="S2521" i="1"/>
  <c r="T2521" i="1"/>
  <c r="U2521" i="1"/>
  <c r="BB2521" i="1"/>
  <c r="BD2521" i="1"/>
  <c r="CE2521" i="1"/>
  <c r="A2522" i="1"/>
  <c r="C2522" i="1"/>
  <c r="E2522" i="1"/>
  <c r="S2522" i="1"/>
  <c r="T2522" i="1"/>
  <c r="U2522" i="1"/>
  <c r="BB2522" i="1"/>
  <c r="BD2522" i="1"/>
  <c r="CE2522" i="1"/>
  <c r="A2523" i="1"/>
  <c r="C2523" i="1"/>
  <c r="E2523" i="1"/>
  <c r="S2523" i="1"/>
  <c r="T2523" i="1"/>
  <c r="U2523" i="1"/>
  <c r="BB2523" i="1"/>
  <c r="BD2523" i="1"/>
  <c r="CE2523" i="1"/>
  <c r="A2524" i="1"/>
  <c r="C2524" i="1"/>
  <c r="E2524" i="1"/>
  <c r="S2524" i="1"/>
  <c r="T2524" i="1"/>
  <c r="U2524" i="1"/>
  <c r="BB2524" i="1"/>
  <c r="BD2524" i="1"/>
  <c r="CE2524" i="1"/>
  <c r="A2525" i="1"/>
  <c r="C2525" i="1"/>
  <c r="E2525" i="1"/>
  <c r="S2525" i="1"/>
  <c r="T2525" i="1"/>
  <c r="U2525" i="1"/>
  <c r="BB2525" i="1"/>
  <c r="BD2525" i="1"/>
  <c r="CE2525" i="1"/>
  <c r="A2526" i="1"/>
  <c r="C2526" i="1"/>
  <c r="E2526" i="1"/>
  <c r="S2526" i="1"/>
  <c r="T2526" i="1"/>
  <c r="U2526" i="1"/>
  <c r="BB2526" i="1"/>
  <c r="BD2526" i="1"/>
  <c r="CE2526" i="1"/>
  <c r="A2527" i="1"/>
  <c r="C2527" i="1"/>
  <c r="E2527" i="1"/>
  <c r="S2527" i="1"/>
  <c r="T2527" i="1"/>
  <c r="U2527" i="1"/>
  <c r="BB2527" i="1"/>
  <c r="BD2527" i="1"/>
  <c r="CE2527" i="1"/>
  <c r="A2528" i="1"/>
  <c r="C2528" i="1"/>
  <c r="E2528" i="1"/>
  <c r="S2528" i="1"/>
  <c r="T2528" i="1"/>
  <c r="U2528" i="1"/>
  <c r="BB2528" i="1"/>
  <c r="BD2528" i="1"/>
  <c r="CE2528" i="1"/>
  <c r="A2529" i="1"/>
  <c r="C2529" i="1"/>
  <c r="E2529" i="1"/>
  <c r="S2529" i="1"/>
  <c r="T2529" i="1"/>
  <c r="U2529" i="1"/>
  <c r="BB2529" i="1"/>
  <c r="BD2529" i="1"/>
  <c r="CE2529" i="1"/>
  <c r="A2530" i="1"/>
  <c r="C2530" i="1"/>
  <c r="E2530" i="1"/>
  <c r="S2530" i="1"/>
  <c r="T2530" i="1"/>
  <c r="U2530" i="1"/>
  <c r="BB2530" i="1"/>
  <c r="BD2530" i="1"/>
  <c r="CE2530" i="1"/>
  <c r="A2531" i="1"/>
  <c r="C2531" i="1"/>
  <c r="E2531" i="1"/>
  <c r="S2531" i="1"/>
  <c r="T2531" i="1"/>
  <c r="U2531" i="1"/>
  <c r="BB2531" i="1"/>
  <c r="BD2531" i="1"/>
  <c r="CE2531" i="1"/>
  <c r="A2532" i="1"/>
  <c r="C2532" i="1"/>
  <c r="E2532" i="1"/>
  <c r="S2532" i="1"/>
  <c r="T2532" i="1"/>
  <c r="U2532" i="1"/>
  <c r="BB2532" i="1"/>
  <c r="BD2532" i="1"/>
  <c r="CE2532" i="1"/>
  <c r="A2533" i="1"/>
  <c r="C2533" i="1"/>
  <c r="E2533" i="1"/>
  <c r="S2533" i="1"/>
  <c r="T2533" i="1"/>
  <c r="U2533" i="1"/>
  <c r="BB2533" i="1"/>
  <c r="BD2533" i="1"/>
  <c r="CE2533" i="1"/>
  <c r="A2534" i="1"/>
  <c r="C2534" i="1"/>
  <c r="E2534" i="1"/>
  <c r="S2534" i="1"/>
  <c r="T2534" i="1"/>
  <c r="U2534" i="1"/>
  <c r="BB2534" i="1"/>
  <c r="BD2534" i="1"/>
  <c r="CE2534" i="1"/>
  <c r="A2535" i="1"/>
  <c r="C2535" i="1"/>
  <c r="E2535" i="1"/>
  <c r="S2535" i="1"/>
  <c r="T2535" i="1"/>
  <c r="U2535" i="1"/>
  <c r="BB2535" i="1"/>
  <c r="BD2535" i="1"/>
  <c r="CE2535" i="1"/>
  <c r="A2536" i="1"/>
  <c r="C2536" i="1"/>
  <c r="E2536" i="1"/>
  <c r="S2536" i="1"/>
  <c r="T2536" i="1"/>
  <c r="U2536" i="1"/>
  <c r="BB2536" i="1"/>
  <c r="BD2536" i="1"/>
  <c r="CE2536" i="1"/>
  <c r="A2537" i="1"/>
  <c r="C2537" i="1"/>
  <c r="E2537" i="1"/>
  <c r="S2537" i="1"/>
  <c r="T2537" i="1"/>
  <c r="U2537" i="1"/>
  <c r="BB2537" i="1"/>
  <c r="BD2537" i="1"/>
  <c r="CE2537" i="1"/>
  <c r="A2538" i="1"/>
  <c r="C2538" i="1"/>
  <c r="E2538" i="1"/>
  <c r="S2538" i="1"/>
  <c r="T2538" i="1"/>
  <c r="U2538" i="1"/>
  <c r="BB2538" i="1"/>
  <c r="BD2538" i="1"/>
  <c r="CE2538" i="1"/>
  <c r="A2539" i="1"/>
  <c r="C2539" i="1"/>
  <c r="E2539" i="1"/>
  <c r="S2539" i="1"/>
  <c r="T2539" i="1"/>
  <c r="U2539" i="1"/>
  <c r="BB2539" i="1"/>
  <c r="BD2539" i="1"/>
  <c r="CE2539" i="1"/>
  <c r="A2540" i="1"/>
  <c r="C2540" i="1"/>
  <c r="E2540" i="1"/>
  <c r="S2540" i="1"/>
  <c r="T2540" i="1"/>
  <c r="U2540" i="1"/>
  <c r="BB2540" i="1"/>
  <c r="BD2540" i="1"/>
  <c r="CE2540" i="1"/>
  <c r="A2541" i="1"/>
  <c r="C2541" i="1"/>
  <c r="E2541" i="1"/>
  <c r="S2541" i="1"/>
  <c r="T2541" i="1"/>
  <c r="U2541" i="1"/>
  <c r="BB2541" i="1"/>
  <c r="BD2541" i="1"/>
  <c r="CE2541" i="1"/>
  <c r="A2542" i="1"/>
  <c r="C2542" i="1"/>
  <c r="E2542" i="1"/>
  <c r="S2542" i="1"/>
  <c r="T2542" i="1"/>
  <c r="U2542" i="1"/>
  <c r="BB2542" i="1"/>
  <c r="BD2542" i="1"/>
  <c r="CE2542" i="1"/>
  <c r="A2543" i="1"/>
  <c r="C2543" i="1"/>
  <c r="E2543" i="1"/>
  <c r="S2543" i="1"/>
  <c r="T2543" i="1"/>
  <c r="U2543" i="1"/>
  <c r="BB2543" i="1"/>
  <c r="BD2543" i="1"/>
  <c r="CE2543" i="1"/>
  <c r="A2544" i="1"/>
  <c r="C2544" i="1"/>
  <c r="E2544" i="1"/>
  <c r="S2544" i="1"/>
  <c r="T2544" i="1"/>
  <c r="U2544" i="1"/>
  <c r="BB2544" i="1"/>
  <c r="BD2544" i="1"/>
  <c r="CE2544" i="1"/>
  <c r="A2545" i="1"/>
  <c r="C2545" i="1"/>
  <c r="E2545" i="1"/>
  <c r="S2545" i="1"/>
  <c r="T2545" i="1"/>
  <c r="U2545" i="1"/>
  <c r="BB2545" i="1"/>
  <c r="BD2545" i="1"/>
  <c r="CE2545" i="1"/>
  <c r="A2546" i="1"/>
  <c r="C2546" i="1"/>
  <c r="E2546" i="1"/>
  <c r="S2546" i="1"/>
  <c r="T2546" i="1"/>
  <c r="U2546" i="1"/>
  <c r="BB2546" i="1"/>
  <c r="BD2546" i="1"/>
  <c r="CE2546" i="1"/>
  <c r="A2547" i="1"/>
  <c r="C2547" i="1"/>
  <c r="E2547" i="1"/>
  <c r="S2547" i="1"/>
  <c r="T2547" i="1"/>
  <c r="U2547" i="1"/>
  <c r="BB2547" i="1"/>
  <c r="BD2547" i="1"/>
  <c r="CE2547" i="1"/>
  <c r="A2548" i="1"/>
  <c r="C2548" i="1"/>
  <c r="E2548" i="1"/>
  <c r="S2548" i="1"/>
  <c r="T2548" i="1"/>
  <c r="U2548" i="1"/>
  <c r="BB2548" i="1"/>
  <c r="BD2548" i="1"/>
  <c r="CE2548" i="1"/>
  <c r="A2549" i="1"/>
  <c r="C2549" i="1"/>
  <c r="E2549" i="1"/>
  <c r="S2549" i="1"/>
  <c r="T2549" i="1"/>
  <c r="U2549" i="1"/>
  <c r="BB2549" i="1"/>
  <c r="BD2549" i="1"/>
  <c r="CE2549" i="1"/>
  <c r="A2550" i="1"/>
  <c r="C2550" i="1"/>
  <c r="E2550" i="1"/>
  <c r="S2550" i="1"/>
  <c r="T2550" i="1"/>
  <c r="U2550" i="1"/>
  <c r="BB2550" i="1"/>
  <c r="BD2550" i="1"/>
  <c r="CE2550" i="1"/>
  <c r="A2551" i="1"/>
  <c r="C2551" i="1"/>
  <c r="E2551" i="1"/>
  <c r="S2551" i="1"/>
  <c r="T2551" i="1"/>
  <c r="U2551" i="1"/>
  <c r="BB2551" i="1"/>
  <c r="BD2551" i="1"/>
  <c r="CE2551" i="1"/>
  <c r="A2552" i="1"/>
  <c r="C2552" i="1"/>
  <c r="E2552" i="1"/>
  <c r="S2552" i="1"/>
  <c r="T2552" i="1"/>
  <c r="U2552" i="1"/>
  <c r="BB2552" i="1"/>
  <c r="BD2552" i="1"/>
  <c r="CE2552" i="1"/>
  <c r="A2553" i="1"/>
  <c r="C2553" i="1"/>
  <c r="E2553" i="1"/>
  <c r="S2553" i="1"/>
  <c r="T2553" i="1"/>
  <c r="U2553" i="1"/>
  <c r="BB2553" i="1"/>
  <c r="BD2553" i="1"/>
  <c r="CE2553" i="1"/>
  <c r="A2554" i="1"/>
  <c r="C2554" i="1"/>
  <c r="E2554" i="1"/>
  <c r="S2554" i="1"/>
  <c r="T2554" i="1"/>
  <c r="U2554" i="1"/>
  <c r="BB2554" i="1"/>
  <c r="BD2554" i="1"/>
  <c r="CE2554" i="1"/>
  <c r="A2555" i="1"/>
  <c r="C2555" i="1"/>
  <c r="E2555" i="1"/>
  <c r="S2555" i="1"/>
  <c r="T2555" i="1"/>
  <c r="U2555" i="1"/>
  <c r="BB2555" i="1"/>
  <c r="BD2555" i="1"/>
  <c r="CE2555" i="1"/>
  <c r="A2556" i="1"/>
  <c r="C2556" i="1"/>
  <c r="E2556" i="1"/>
  <c r="S2556" i="1"/>
  <c r="T2556" i="1"/>
  <c r="U2556" i="1"/>
  <c r="BB2556" i="1"/>
  <c r="BD2556" i="1"/>
  <c r="CE2556" i="1"/>
  <c r="A2557" i="1"/>
  <c r="C2557" i="1"/>
  <c r="E2557" i="1"/>
  <c r="S2557" i="1"/>
  <c r="T2557" i="1"/>
  <c r="U2557" i="1"/>
  <c r="BB2557" i="1"/>
  <c r="BD2557" i="1"/>
  <c r="CE2557" i="1"/>
  <c r="A2558" i="1"/>
  <c r="C2558" i="1"/>
  <c r="E2558" i="1"/>
  <c r="S2558" i="1"/>
  <c r="T2558" i="1"/>
  <c r="U2558" i="1"/>
  <c r="BB2558" i="1"/>
  <c r="BD2558" i="1"/>
  <c r="CE2558" i="1"/>
  <c r="A2559" i="1"/>
  <c r="C2559" i="1"/>
  <c r="E2559" i="1"/>
  <c r="S2559" i="1"/>
  <c r="T2559" i="1"/>
  <c r="U2559" i="1"/>
  <c r="BB2559" i="1"/>
  <c r="BD2559" i="1"/>
  <c r="CE2559" i="1"/>
  <c r="A2560" i="1"/>
  <c r="C2560" i="1"/>
  <c r="E2560" i="1"/>
  <c r="S2560" i="1"/>
  <c r="T2560" i="1"/>
  <c r="U2560" i="1"/>
  <c r="BB2560" i="1"/>
  <c r="BD2560" i="1"/>
  <c r="CE2560" i="1"/>
  <c r="A2561" i="1"/>
  <c r="C2561" i="1"/>
  <c r="E2561" i="1"/>
  <c r="S2561" i="1"/>
  <c r="T2561" i="1"/>
  <c r="U2561" i="1"/>
  <c r="BB2561" i="1"/>
  <c r="BD2561" i="1"/>
  <c r="CE2561" i="1"/>
  <c r="A2562" i="1"/>
  <c r="C2562" i="1"/>
  <c r="E2562" i="1"/>
  <c r="S2562" i="1"/>
  <c r="T2562" i="1"/>
  <c r="U2562" i="1"/>
  <c r="BB2562" i="1"/>
  <c r="BD2562" i="1"/>
  <c r="CE2562" i="1"/>
  <c r="A2563" i="1"/>
  <c r="C2563" i="1"/>
  <c r="E2563" i="1"/>
  <c r="S2563" i="1"/>
  <c r="T2563" i="1"/>
  <c r="U2563" i="1"/>
  <c r="BB2563" i="1"/>
  <c r="BD2563" i="1"/>
  <c r="CE2563" i="1"/>
  <c r="A2564" i="1"/>
  <c r="C2564" i="1"/>
  <c r="E2564" i="1"/>
  <c r="S2564" i="1"/>
  <c r="T2564" i="1"/>
  <c r="U2564" i="1"/>
  <c r="BB2564" i="1"/>
  <c r="BD2564" i="1"/>
  <c r="CE2564" i="1"/>
  <c r="A2565" i="1"/>
  <c r="C2565" i="1"/>
  <c r="E2565" i="1"/>
  <c r="S2565" i="1"/>
  <c r="T2565" i="1"/>
  <c r="U2565" i="1"/>
  <c r="BB2565" i="1"/>
  <c r="BD2565" i="1"/>
  <c r="CE2565" i="1"/>
  <c r="A2566" i="1"/>
  <c r="C2566" i="1"/>
  <c r="E2566" i="1"/>
  <c r="S2566" i="1"/>
  <c r="T2566" i="1"/>
  <c r="U2566" i="1"/>
  <c r="BB2566" i="1"/>
  <c r="BD2566" i="1"/>
  <c r="CE2566" i="1"/>
  <c r="A2567" i="1"/>
  <c r="C2567" i="1"/>
  <c r="E2567" i="1"/>
  <c r="S2567" i="1"/>
  <c r="T2567" i="1"/>
  <c r="U2567" i="1"/>
  <c r="BB2567" i="1"/>
  <c r="BD2567" i="1"/>
  <c r="CE2567" i="1"/>
  <c r="A2568" i="1"/>
  <c r="C2568" i="1"/>
  <c r="E2568" i="1"/>
  <c r="S2568" i="1"/>
  <c r="T2568" i="1"/>
  <c r="U2568" i="1"/>
  <c r="BB2568" i="1"/>
  <c r="BD2568" i="1"/>
  <c r="CE2568" i="1"/>
  <c r="A2569" i="1"/>
  <c r="C2569" i="1"/>
  <c r="E2569" i="1"/>
  <c r="S2569" i="1"/>
  <c r="T2569" i="1"/>
  <c r="U2569" i="1"/>
  <c r="BB2569" i="1"/>
  <c r="BD2569" i="1"/>
  <c r="CE2569" i="1"/>
  <c r="A2570" i="1"/>
  <c r="C2570" i="1"/>
  <c r="E2570" i="1"/>
  <c r="S2570" i="1"/>
  <c r="T2570" i="1"/>
  <c r="U2570" i="1"/>
  <c r="BB2570" i="1"/>
  <c r="BD2570" i="1"/>
  <c r="CE2570" i="1"/>
  <c r="A2571" i="1"/>
  <c r="C2571" i="1"/>
  <c r="E2571" i="1"/>
  <c r="S2571" i="1"/>
  <c r="T2571" i="1"/>
  <c r="U2571" i="1"/>
  <c r="BB2571" i="1"/>
  <c r="BD2571" i="1"/>
  <c r="CE2571" i="1"/>
  <c r="A2572" i="1"/>
  <c r="C2572" i="1"/>
  <c r="E2572" i="1"/>
  <c r="S2572" i="1"/>
  <c r="T2572" i="1"/>
  <c r="U2572" i="1"/>
  <c r="BB2572" i="1"/>
  <c r="BD2572" i="1"/>
  <c r="CE2572" i="1"/>
  <c r="A2573" i="1"/>
  <c r="C2573" i="1"/>
  <c r="E2573" i="1"/>
  <c r="S2573" i="1"/>
  <c r="T2573" i="1"/>
  <c r="U2573" i="1"/>
  <c r="BB2573" i="1"/>
  <c r="BD2573" i="1"/>
  <c r="CE2573" i="1"/>
  <c r="A2574" i="1"/>
  <c r="C2574" i="1"/>
  <c r="E2574" i="1"/>
  <c r="S2574" i="1"/>
  <c r="T2574" i="1"/>
  <c r="U2574" i="1"/>
  <c r="BB2574" i="1"/>
  <c r="BD2574" i="1"/>
  <c r="CE2574" i="1"/>
  <c r="A2575" i="1"/>
  <c r="C2575" i="1"/>
  <c r="E2575" i="1"/>
  <c r="S2575" i="1"/>
  <c r="T2575" i="1"/>
  <c r="U2575" i="1"/>
  <c r="BB2575" i="1"/>
  <c r="BD2575" i="1"/>
  <c r="CE2575" i="1"/>
  <c r="A2576" i="1"/>
  <c r="C2576" i="1"/>
  <c r="E2576" i="1"/>
  <c r="S2576" i="1"/>
  <c r="T2576" i="1"/>
  <c r="U2576" i="1"/>
  <c r="BB2576" i="1"/>
  <c r="BD2576" i="1"/>
  <c r="CE2576" i="1"/>
  <c r="A2577" i="1"/>
  <c r="C2577" i="1"/>
  <c r="E2577" i="1"/>
  <c r="S2577" i="1"/>
  <c r="T2577" i="1"/>
  <c r="U2577" i="1"/>
  <c r="BB2577" i="1"/>
  <c r="BD2577" i="1"/>
  <c r="CE2577" i="1"/>
  <c r="A2578" i="1"/>
  <c r="C2578" i="1"/>
  <c r="E2578" i="1"/>
  <c r="S2578" i="1"/>
  <c r="T2578" i="1"/>
  <c r="U2578" i="1"/>
  <c r="BB2578" i="1"/>
  <c r="BD2578" i="1"/>
  <c r="CE2578" i="1"/>
  <c r="A2579" i="1"/>
  <c r="C2579" i="1"/>
  <c r="E2579" i="1"/>
  <c r="S2579" i="1"/>
  <c r="T2579" i="1"/>
  <c r="U2579" i="1"/>
  <c r="BB2579" i="1"/>
  <c r="BD2579" i="1"/>
  <c r="CE2579" i="1"/>
  <c r="A2580" i="1"/>
  <c r="C2580" i="1"/>
  <c r="E2580" i="1"/>
  <c r="S2580" i="1"/>
  <c r="T2580" i="1"/>
  <c r="U2580" i="1"/>
  <c r="BB2580" i="1"/>
  <c r="BD2580" i="1"/>
  <c r="CE2580" i="1"/>
  <c r="A2581" i="1"/>
  <c r="C2581" i="1"/>
  <c r="E2581" i="1"/>
  <c r="S2581" i="1"/>
  <c r="T2581" i="1"/>
  <c r="U2581" i="1"/>
  <c r="BB2581" i="1"/>
  <c r="BD2581" i="1"/>
  <c r="CE2581" i="1"/>
  <c r="A2582" i="1"/>
  <c r="C2582" i="1"/>
  <c r="E2582" i="1"/>
  <c r="S2582" i="1"/>
  <c r="T2582" i="1"/>
  <c r="U2582" i="1"/>
  <c r="BB2582" i="1"/>
  <c r="BD2582" i="1"/>
  <c r="CE2582" i="1"/>
  <c r="A2583" i="1"/>
  <c r="C2583" i="1"/>
  <c r="E2583" i="1"/>
  <c r="S2583" i="1"/>
  <c r="T2583" i="1"/>
  <c r="U2583" i="1"/>
  <c r="BB2583" i="1"/>
  <c r="BD2583" i="1"/>
  <c r="CE2583" i="1"/>
  <c r="A2584" i="1"/>
  <c r="C2584" i="1"/>
  <c r="E2584" i="1"/>
  <c r="S2584" i="1"/>
  <c r="T2584" i="1"/>
  <c r="U2584" i="1"/>
  <c r="BB2584" i="1"/>
  <c r="BD2584" i="1"/>
  <c r="CE2584" i="1"/>
  <c r="A2585" i="1"/>
  <c r="C2585" i="1"/>
  <c r="E2585" i="1"/>
  <c r="S2585" i="1"/>
  <c r="T2585" i="1"/>
  <c r="U2585" i="1"/>
  <c r="BB2585" i="1"/>
  <c r="BD2585" i="1"/>
  <c r="CE2585" i="1"/>
  <c r="A2586" i="1"/>
  <c r="C2586" i="1"/>
  <c r="E2586" i="1"/>
  <c r="S2586" i="1"/>
  <c r="T2586" i="1"/>
  <c r="U2586" i="1"/>
  <c r="BB2586" i="1"/>
  <c r="BD2586" i="1"/>
  <c r="CE2586" i="1"/>
  <c r="A2587" i="1"/>
  <c r="C2587" i="1"/>
  <c r="E2587" i="1"/>
  <c r="S2587" i="1"/>
  <c r="T2587" i="1"/>
  <c r="U2587" i="1"/>
  <c r="BB2587" i="1"/>
  <c r="BD2587" i="1"/>
  <c r="CE2587" i="1"/>
  <c r="A2588" i="1"/>
  <c r="C2588" i="1"/>
  <c r="E2588" i="1"/>
  <c r="S2588" i="1"/>
  <c r="T2588" i="1"/>
  <c r="U2588" i="1"/>
  <c r="BB2588" i="1"/>
  <c r="BD2588" i="1"/>
  <c r="CE2588" i="1"/>
  <c r="A2589" i="1"/>
  <c r="C2589" i="1"/>
  <c r="E2589" i="1"/>
  <c r="S2589" i="1"/>
  <c r="T2589" i="1"/>
  <c r="U2589" i="1"/>
  <c r="BB2589" i="1"/>
  <c r="BD2589" i="1"/>
  <c r="CE2589" i="1"/>
  <c r="A2590" i="1"/>
  <c r="C2590" i="1"/>
  <c r="E2590" i="1"/>
  <c r="S2590" i="1"/>
  <c r="T2590" i="1"/>
  <c r="U2590" i="1"/>
  <c r="BB2590" i="1"/>
  <c r="BD2590" i="1"/>
  <c r="CE2590" i="1"/>
  <c r="A2591" i="1"/>
  <c r="C2591" i="1"/>
  <c r="E2591" i="1"/>
  <c r="S2591" i="1"/>
  <c r="T2591" i="1"/>
  <c r="U2591" i="1"/>
  <c r="BB2591" i="1"/>
  <c r="BD2591" i="1"/>
  <c r="CE2591" i="1"/>
  <c r="A2592" i="1"/>
  <c r="C2592" i="1"/>
  <c r="E2592" i="1"/>
  <c r="S2592" i="1"/>
  <c r="T2592" i="1"/>
  <c r="U2592" i="1"/>
  <c r="BB2592" i="1"/>
  <c r="BD2592" i="1"/>
  <c r="CE2592" i="1"/>
  <c r="A2593" i="1"/>
  <c r="C2593" i="1"/>
  <c r="E2593" i="1"/>
  <c r="S2593" i="1"/>
  <c r="T2593" i="1"/>
  <c r="U2593" i="1"/>
  <c r="BB2593" i="1"/>
  <c r="BD2593" i="1"/>
  <c r="CE2593" i="1"/>
  <c r="A2594" i="1"/>
  <c r="C2594" i="1"/>
  <c r="E2594" i="1"/>
  <c r="S2594" i="1"/>
  <c r="T2594" i="1"/>
  <c r="U2594" i="1"/>
  <c r="BB2594" i="1"/>
  <c r="BD2594" i="1"/>
  <c r="CE2594" i="1"/>
  <c r="A2595" i="1"/>
  <c r="C2595" i="1"/>
  <c r="E2595" i="1"/>
  <c r="S2595" i="1"/>
  <c r="T2595" i="1"/>
  <c r="U2595" i="1"/>
  <c r="BB2595" i="1"/>
  <c r="BD2595" i="1"/>
  <c r="CE2595" i="1"/>
  <c r="A2596" i="1"/>
  <c r="C2596" i="1"/>
  <c r="E2596" i="1"/>
  <c r="S2596" i="1"/>
  <c r="T2596" i="1"/>
  <c r="U2596" i="1"/>
  <c r="BB2596" i="1"/>
  <c r="BD2596" i="1"/>
  <c r="CE2596" i="1"/>
  <c r="A2597" i="1"/>
  <c r="C2597" i="1"/>
  <c r="E2597" i="1"/>
  <c r="S2597" i="1"/>
  <c r="T2597" i="1"/>
  <c r="U2597" i="1"/>
  <c r="BB2597" i="1"/>
  <c r="BD2597" i="1"/>
  <c r="CE2597" i="1"/>
  <c r="A2598" i="1"/>
  <c r="C2598" i="1"/>
  <c r="E2598" i="1"/>
  <c r="S2598" i="1"/>
  <c r="T2598" i="1"/>
  <c r="U2598" i="1"/>
  <c r="BB2598" i="1"/>
  <c r="BD2598" i="1"/>
  <c r="CE2598" i="1"/>
  <c r="A2599" i="1"/>
  <c r="C2599" i="1"/>
  <c r="E2599" i="1"/>
  <c r="S2599" i="1"/>
  <c r="T2599" i="1"/>
  <c r="U2599" i="1"/>
  <c r="BB2599" i="1"/>
  <c r="BD2599" i="1"/>
  <c r="CE2599" i="1"/>
  <c r="A2600" i="1"/>
  <c r="C2600" i="1"/>
  <c r="E2600" i="1"/>
  <c r="S2600" i="1"/>
  <c r="T2600" i="1"/>
  <c r="U2600" i="1"/>
  <c r="BB2600" i="1"/>
  <c r="BD2600" i="1"/>
  <c r="CE2600" i="1"/>
  <c r="A2601" i="1"/>
  <c r="C2601" i="1"/>
  <c r="E2601" i="1"/>
  <c r="S2601" i="1"/>
  <c r="T2601" i="1"/>
  <c r="U2601" i="1"/>
  <c r="BB2601" i="1"/>
  <c r="BD2601" i="1"/>
  <c r="CE2601" i="1"/>
  <c r="A2602" i="1"/>
  <c r="C2602" i="1"/>
  <c r="E2602" i="1"/>
  <c r="S2602" i="1"/>
  <c r="T2602" i="1"/>
  <c r="U2602" i="1"/>
  <c r="BB2602" i="1"/>
  <c r="BD2602" i="1"/>
  <c r="CE2602" i="1"/>
  <c r="A2603" i="1"/>
  <c r="C2603" i="1"/>
  <c r="E2603" i="1"/>
  <c r="S2603" i="1"/>
  <c r="T2603" i="1"/>
  <c r="U2603" i="1"/>
  <c r="BB2603" i="1"/>
  <c r="BD2603" i="1"/>
  <c r="CE2603" i="1"/>
  <c r="A2604" i="1"/>
  <c r="C2604" i="1"/>
  <c r="E2604" i="1"/>
  <c r="S2604" i="1"/>
  <c r="T2604" i="1"/>
  <c r="U2604" i="1"/>
  <c r="BB2604" i="1"/>
  <c r="BD2604" i="1"/>
  <c r="CE2604" i="1"/>
  <c r="A2605" i="1"/>
  <c r="C2605" i="1"/>
  <c r="E2605" i="1"/>
  <c r="S2605" i="1"/>
  <c r="T2605" i="1"/>
  <c r="U2605" i="1"/>
  <c r="BB2605" i="1"/>
  <c r="BD2605" i="1"/>
  <c r="CE2605" i="1"/>
  <c r="A2606" i="1"/>
  <c r="C2606" i="1"/>
  <c r="E2606" i="1"/>
  <c r="S2606" i="1"/>
  <c r="T2606" i="1"/>
  <c r="U2606" i="1"/>
  <c r="BB2606" i="1"/>
  <c r="BD2606" i="1"/>
  <c r="CE2606" i="1"/>
  <c r="A2607" i="1"/>
  <c r="C2607" i="1"/>
  <c r="E2607" i="1"/>
  <c r="S2607" i="1"/>
  <c r="T2607" i="1"/>
  <c r="U2607" i="1"/>
  <c r="BB2607" i="1"/>
  <c r="BD2607" i="1"/>
  <c r="CE2607" i="1"/>
  <c r="A2608" i="1"/>
  <c r="C2608" i="1"/>
  <c r="E2608" i="1"/>
  <c r="S2608" i="1"/>
  <c r="T2608" i="1"/>
  <c r="U2608" i="1"/>
  <c r="BB2608" i="1"/>
  <c r="BD2608" i="1"/>
  <c r="CE2608" i="1"/>
  <c r="A2609" i="1"/>
  <c r="C2609" i="1"/>
  <c r="E2609" i="1"/>
  <c r="S2609" i="1"/>
  <c r="T2609" i="1"/>
  <c r="U2609" i="1"/>
  <c r="BB2609" i="1"/>
  <c r="BD2609" i="1"/>
  <c r="CE2609" i="1"/>
  <c r="A2610" i="1"/>
  <c r="C2610" i="1"/>
  <c r="E2610" i="1"/>
  <c r="S2610" i="1"/>
  <c r="T2610" i="1"/>
  <c r="U2610" i="1"/>
  <c r="BB2610" i="1"/>
  <c r="BD2610" i="1"/>
  <c r="CE2610" i="1"/>
  <c r="A2611" i="1"/>
  <c r="C2611" i="1"/>
  <c r="E2611" i="1"/>
  <c r="S2611" i="1"/>
  <c r="T2611" i="1"/>
  <c r="U2611" i="1"/>
  <c r="BB2611" i="1"/>
  <c r="BD2611" i="1"/>
  <c r="CE2611" i="1"/>
  <c r="A2612" i="1"/>
  <c r="C2612" i="1"/>
  <c r="E2612" i="1"/>
  <c r="S2612" i="1"/>
  <c r="T2612" i="1"/>
  <c r="U2612" i="1"/>
  <c r="BB2612" i="1"/>
  <c r="BD2612" i="1"/>
  <c r="CE2612" i="1"/>
  <c r="A2613" i="1"/>
  <c r="C2613" i="1"/>
  <c r="E2613" i="1"/>
  <c r="S2613" i="1"/>
  <c r="T2613" i="1"/>
  <c r="U2613" i="1"/>
  <c r="BB2613" i="1"/>
  <c r="BD2613" i="1"/>
  <c r="CE2613" i="1"/>
  <c r="A2614" i="1"/>
  <c r="C2614" i="1"/>
  <c r="E2614" i="1"/>
  <c r="S2614" i="1"/>
  <c r="T2614" i="1"/>
  <c r="U2614" i="1"/>
  <c r="BB2614" i="1"/>
  <c r="BD2614" i="1"/>
  <c r="CE2614" i="1"/>
  <c r="A2615" i="1"/>
  <c r="C2615" i="1"/>
  <c r="E2615" i="1"/>
  <c r="S2615" i="1"/>
  <c r="T2615" i="1"/>
  <c r="U2615" i="1"/>
  <c r="BB2615" i="1"/>
  <c r="BD2615" i="1"/>
  <c r="CE2615" i="1"/>
  <c r="A2616" i="1"/>
  <c r="C2616" i="1"/>
  <c r="E2616" i="1"/>
  <c r="S2616" i="1"/>
  <c r="T2616" i="1"/>
  <c r="U2616" i="1"/>
  <c r="BB2616" i="1"/>
  <c r="BD2616" i="1"/>
  <c r="CE2616" i="1"/>
  <c r="A2617" i="1"/>
  <c r="C2617" i="1"/>
  <c r="E2617" i="1"/>
  <c r="S2617" i="1"/>
  <c r="T2617" i="1"/>
  <c r="U2617" i="1"/>
  <c r="BB2617" i="1"/>
  <c r="BD2617" i="1"/>
  <c r="CE2617" i="1"/>
  <c r="A2618" i="1"/>
  <c r="C2618" i="1"/>
  <c r="E2618" i="1"/>
  <c r="S2618" i="1"/>
  <c r="T2618" i="1"/>
  <c r="U2618" i="1"/>
  <c r="BB2618" i="1"/>
  <c r="BD2618" i="1"/>
  <c r="CE2618" i="1"/>
  <c r="A2619" i="1"/>
  <c r="C2619" i="1"/>
  <c r="E2619" i="1"/>
  <c r="S2619" i="1"/>
  <c r="T2619" i="1"/>
  <c r="U2619" i="1"/>
  <c r="BB2619" i="1"/>
  <c r="BD2619" i="1"/>
  <c r="CE2619" i="1"/>
  <c r="A2620" i="1"/>
  <c r="C2620" i="1"/>
  <c r="E2620" i="1"/>
  <c r="S2620" i="1"/>
  <c r="T2620" i="1"/>
  <c r="U2620" i="1"/>
  <c r="BB2620" i="1"/>
  <c r="BD2620" i="1"/>
  <c r="CE2620" i="1"/>
  <c r="A2621" i="1"/>
  <c r="C2621" i="1"/>
  <c r="E2621" i="1"/>
  <c r="S2621" i="1"/>
  <c r="T2621" i="1"/>
  <c r="U2621" i="1"/>
  <c r="BB2621" i="1"/>
  <c r="BD2621" i="1"/>
  <c r="CE2621" i="1"/>
  <c r="A2622" i="1"/>
  <c r="C2622" i="1"/>
  <c r="E2622" i="1"/>
  <c r="S2622" i="1"/>
  <c r="T2622" i="1"/>
  <c r="U2622" i="1"/>
  <c r="BB2622" i="1"/>
  <c r="BD2622" i="1"/>
  <c r="CE2622" i="1"/>
  <c r="A2623" i="1"/>
  <c r="C2623" i="1"/>
  <c r="E2623" i="1"/>
  <c r="S2623" i="1"/>
  <c r="T2623" i="1"/>
  <c r="U2623" i="1"/>
  <c r="BB2623" i="1"/>
  <c r="BD2623" i="1"/>
  <c r="CE2623" i="1"/>
  <c r="A2624" i="1"/>
  <c r="C2624" i="1"/>
  <c r="E2624" i="1"/>
  <c r="S2624" i="1"/>
  <c r="T2624" i="1"/>
  <c r="U2624" i="1"/>
  <c r="BB2624" i="1"/>
  <c r="BD2624" i="1"/>
  <c r="CE2624" i="1"/>
  <c r="A2625" i="1"/>
  <c r="C2625" i="1"/>
  <c r="E2625" i="1"/>
  <c r="S2625" i="1"/>
  <c r="T2625" i="1"/>
  <c r="U2625" i="1"/>
  <c r="BB2625" i="1"/>
  <c r="BD2625" i="1"/>
  <c r="CE2625" i="1"/>
  <c r="A2626" i="1"/>
  <c r="C2626" i="1"/>
  <c r="E2626" i="1"/>
  <c r="S2626" i="1"/>
  <c r="T2626" i="1"/>
  <c r="U2626" i="1"/>
  <c r="BB2626" i="1"/>
  <c r="BD2626" i="1"/>
  <c r="CE2626" i="1"/>
  <c r="A2627" i="1"/>
  <c r="C2627" i="1"/>
  <c r="E2627" i="1"/>
  <c r="S2627" i="1"/>
  <c r="T2627" i="1"/>
  <c r="U2627" i="1"/>
  <c r="BB2627" i="1"/>
  <c r="BD2627" i="1"/>
  <c r="CE2627" i="1"/>
  <c r="A2628" i="1"/>
  <c r="C2628" i="1"/>
  <c r="E2628" i="1"/>
  <c r="S2628" i="1"/>
  <c r="T2628" i="1"/>
  <c r="U2628" i="1"/>
  <c r="BB2628" i="1"/>
  <c r="BD2628" i="1"/>
  <c r="CE2628" i="1"/>
  <c r="A2629" i="1"/>
  <c r="C2629" i="1"/>
  <c r="E2629" i="1"/>
  <c r="S2629" i="1"/>
  <c r="T2629" i="1"/>
  <c r="U2629" i="1"/>
  <c r="BB2629" i="1"/>
  <c r="BD2629" i="1"/>
  <c r="CE2629" i="1"/>
  <c r="A2630" i="1"/>
  <c r="C2630" i="1"/>
  <c r="E2630" i="1"/>
  <c r="S2630" i="1"/>
  <c r="T2630" i="1"/>
  <c r="U2630" i="1"/>
  <c r="BB2630" i="1"/>
  <c r="BD2630" i="1"/>
  <c r="CE2630" i="1"/>
  <c r="A2631" i="1"/>
  <c r="C2631" i="1"/>
  <c r="E2631" i="1"/>
  <c r="S2631" i="1"/>
  <c r="T2631" i="1"/>
  <c r="U2631" i="1"/>
  <c r="BB2631" i="1"/>
  <c r="BD2631" i="1"/>
  <c r="CE2631" i="1"/>
  <c r="A2632" i="1"/>
  <c r="C2632" i="1"/>
  <c r="E2632" i="1"/>
  <c r="S2632" i="1"/>
  <c r="T2632" i="1"/>
  <c r="U2632" i="1"/>
  <c r="BB2632" i="1"/>
  <c r="BD2632" i="1"/>
  <c r="CE2632" i="1"/>
  <c r="A2633" i="1"/>
  <c r="C2633" i="1"/>
  <c r="E2633" i="1"/>
  <c r="S2633" i="1"/>
  <c r="T2633" i="1"/>
  <c r="U2633" i="1"/>
  <c r="BB2633" i="1"/>
  <c r="BD2633" i="1"/>
  <c r="CE2633" i="1"/>
  <c r="A2634" i="1"/>
  <c r="C2634" i="1"/>
  <c r="E2634" i="1"/>
  <c r="S2634" i="1"/>
  <c r="T2634" i="1"/>
  <c r="U2634" i="1"/>
  <c r="BB2634" i="1"/>
  <c r="BD2634" i="1"/>
  <c r="CE2634" i="1"/>
  <c r="A2635" i="1"/>
  <c r="C2635" i="1"/>
  <c r="E2635" i="1"/>
  <c r="S2635" i="1"/>
  <c r="T2635" i="1"/>
  <c r="U2635" i="1"/>
  <c r="BB2635" i="1"/>
  <c r="BD2635" i="1"/>
  <c r="CE2635" i="1"/>
  <c r="A2636" i="1"/>
  <c r="C2636" i="1"/>
  <c r="E2636" i="1"/>
  <c r="S2636" i="1"/>
  <c r="T2636" i="1"/>
  <c r="U2636" i="1"/>
  <c r="BB2636" i="1"/>
  <c r="BD2636" i="1"/>
  <c r="CE2636" i="1"/>
  <c r="A2637" i="1"/>
  <c r="C2637" i="1"/>
  <c r="E2637" i="1"/>
  <c r="S2637" i="1"/>
  <c r="T2637" i="1"/>
  <c r="U2637" i="1"/>
  <c r="BB2637" i="1"/>
  <c r="BD2637" i="1"/>
  <c r="CE2637" i="1"/>
  <c r="A2638" i="1"/>
  <c r="C2638" i="1"/>
  <c r="E2638" i="1"/>
  <c r="S2638" i="1"/>
  <c r="T2638" i="1"/>
  <c r="U2638" i="1"/>
  <c r="BB2638" i="1"/>
  <c r="BD2638" i="1"/>
  <c r="CE2638" i="1"/>
  <c r="A2639" i="1"/>
  <c r="C2639" i="1"/>
  <c r="E2639" i="1"/>
  <c r="S2639" i="1"/>
  <c r="T2639" i="1"/>
  <c r="U2639" i="1"/>
  <c r="BB2639" i="1"/>
  <c r="BD2639" i="1"/>
  <c r="CE2639" i="1"/>
  <c r="A2640" i="1"/>
  <c r="C2640" i="1"/>
  <c r="E2640" i="1"/>
  <c r="S2640" i="1"/>
  <c r="T2640" i="1"/>
  <c r="U2640" i="1"/>
  <c r="BB2640" i="1"/>
  <c r="BD2640" i="1"/>
  <c r="CE2640" i="1"/>
  <c r="A2641" i="1"/>
  <c r="C2641" i="1"/>
  <c r="E2641" i="1"/>
  <c r="S2641" i="1"/>
  <c r="T2641" i="1"/>
  <c r="U2641" i="1"/>
  <c r="BB2641" i="1"/>
  <c r="BD2641" i="1"/>
  <c r="CE2641" i="1"/>
  <c r="A2642" i="1"/>
  <c r="C2642" i="1"/>
  <c r="E2642" i="1"/>
  <c r="S2642" i="1"/>
  <c r="T2642" i="1"/>
  <c r="U2642" i="1"/>
  <c r="BB2642" i="1"/>
  <c r="BD2642" i="1"/>
  <c r="CE2642" i="1"/>
  <c r="A2643" i="1"/>
  <c r="C2643" i="1"/>
  <c r="E2643" i="1"/>
  <c r="S2643" i="1"/>
  <c r="T2643" i="1"/>
  <c r="U2643" i="1"/>
  <c r="BB2643" i="1"/>
  <c r="BD2643" i="1"/>
  <c r="CE2643" i="1"/>
  <c r="A2644" i="1"/>
  <c r="C2644" i="1"/>
  <c r="E2644" i="1"/>
  <c r="S2644" i="1"/>
  <c r="T2644" i="1"/>
  <c r="U2644" i="1"/>
  <c r="BB2644" i="1"/>
  <c r="BD2644" i="1"/>
  <c r="CE2644" i="1"/>
  <c r="A2645" i="1"/>
  <c r="C2645" i="1"/>
  <c r="E2645" i="1"/>
  <c r="S2645" i="1"/>
  <c r="T2645" i="1"/>
  <c r="U2645" i="1"/>
  <c r="BB2645" i="1"/>
  <c r="BD2645" i="1"/>
  <c r="CE2645" i="1"/>
  <c r="A2646" i="1"/>
  <c r="C2646" i="1"/>
  <c r="E2646" i="1"/>
  <c r="S2646" i="1"/>
  <c r="T2646" i="1"/>
  <c r="U2646" i="1"/>
  <c r="BB2646" i="1"/>
  <c r="BD2646" i="1"/>
  <c r="CE2646" i="1"/>
  <c r="A2647" i="1"/>
  <c r="C2647" i="1"/>
  <c r="E2647" i="1"/>
  <c r="S2647" i="1"/>
  <c r="T2647" i="1"/>
  <c r="U2647" i="1"/>
  <c r="BB2647" i="1"/>
  <c r="BD2647" i="1"/>
  <c r="CE2647" i="1"/>
  <c r="A2648" i="1"/>
  <c r="C2648" i="1"/>
  <c r="E2648" i="1"/>
  <c r="S2648" i="1"/>
  <c r="T2648" i="1"/>
  <c r="U2648" i="1"/>
  <c r="BB2648" i="1"/>
  <c r="BD2648" i="1"/>
  <c r="CE2648" i="1"/>
  <c r="A2649" i="1"/>
  <c r="C2649" i="1"/>
  <c r="E2649" i="1"/>
  <c r="S2649" i="1"/>
  <c r="T2649" i="1"/>
  <c r="U2649" i="1"/>
  <c r="BB2649" i="1"/>
  <c r="BD2649" i="1"/>
  <c r="CE2649" i="1"/>
  <c r="A2650" i="1"/>
  <c r="C2650" i="1"/>
  <c r="E2650" i="1"/>
  <c r="S2650" i="1"/>
  <c r="T2650" i="1"/>
  <c r="U2650" i="1"/>
  <c r="BB2650" i="1"/>
  <c r="BD2650" i="1"/>
  <c r="CE2650" i="1"/>
  <c r="A2651" i="1"/>
  <c r="C2651" i="1"/>
  <c r="E2651" i="1"/>
  <c r="S2651" i="1"/>
  <c r="T2651" i="1"/>
  <c r="U2651" i="1"/>
  <c r="BB2651" i="1"/>
  <c r="BD2651" i="1"/>
  <c r="CE2651" i="1"/>
  <c r="A2652" i="1"/>
  <c r="C2652" i="1"/>
  <c r="E2652" i="1"/>
  <c r="S2652" i="1"/>
  <c r="T2652" i="1"/>
  <c r="U2652" i="1"/>
  <c r="BB2652" i="1"/>
  <c r="BD2652" i="1"/>
  <c r="CE2652" i="1"/>
  <c r="A2653" i="1"/>
  <c r="C2653" i="1"/>
  <c r="E2653" i="1"/>
  <c r="S2653" i="1"/>
  <c r="T2653" i="1"/>
  <c r="U2653" i="1"/>
  <c r="BB2653" i="1"/>
  <c r="BD2653" i="1"/>
  <c r="CE2653" i="1"/>
  <c r="A2654" i="1"/>
  <c r="C2654" i="1"/>
  <c r="E2654" i="1"/>
  <c r="S2654" i="1"/>
  <c r="T2654" i="1"/>
  <c r="U2654" i="1"/>
  <c r="BB2654" i="1"/>
  <c r="BD2654" i="1"/>
  <c r="CE2654" i="1"/>
  <c r="A2655" i="1"/>
  <c r="C2655" i="1"/>
  <c r="E2655" i="1"/>
  <c r="S2655" i="1"/>
  <c r="T2655" i="1"/>
  <c r="U2655" i="1"/>
  <c r="BB2655" i="1"/>
  <c r="BD2655" i="1"/>
  <c r="CE2655" i="1"/>
  <c r="A2656" i="1"/>
  <c r="C2656" i="1"/>
  <c r="E2656" i="1"/>
  <c r="S2656" i="1"/>
  <c r="T2656" i="1"/>
  <c r="U2656" i="1"/>
  <c r="BB2656" i="1"/>
  <c r="BD2656" i="1"/>
  <c r="CE2656" i="1"/>
  <c r="A2657" i="1"/>
  <c r="C2657" i="1"/>
  <c r="E2657" i="1"/>
  <c r="S2657" i="1"/>
  <c r="T2657" i="1"/>
  <c r="U2657" i="1"/>
  <c r="BB2657" i="1"/>
  <c r="BD2657" i="1"/>
  <c r="CE2657" i="1"/>
  <c r="A2658" i="1"/>
  <c r="C2658" i="1"/>
  <c r="E2658" i="1"/>
  <c r="S2658" i="1"/>
  <c r="T2658" i="1"/>
  <c r="U2658" i="1"/>
  <c r="BB2658" i="1"/>
  <c r="BD2658" i="1"/>
  <c r="CE2658" i="1"/>
  <c r="A2659" i="1"/>
  <c r="C2659" i="1"/>
  <c r="E2659" i="1"/>
  <c r="S2659" i="1"/>
  <c r="T2659" i="1"/>
  <c r="U2659" i="1"/>
  <c r="BB2659" i="1"/>
  <c r="BD2659" i="1"/>
  <c r="CE2659" i="1"/>
  <c r="A2660" i="1"/>
  <c r="C2660" i="1"/>
  <c r="E2660" i="1"/>
  <c r="S2660" i="1"/>
  <c r="T2660" i="1"/>
  <c r="U2660" i="1"/>
  <c r="BB2660" i="1"/>
  <c r="BD2660" i="1"/>
  <c r="CE2660" i="1"/>
  <c r="A2661" i="1"/>
  <c r="C2661" i="1"/>
  <c r="E2661" i="1"/>
  <c r="S2661" i="1"/>
  <c r="T2661" i="1"/>
  <c r="U2661" i="1"/>
  <c r="BB2661" i="1"/>
  <c r="BD2661" i="1"/>
  <c r="CE2661" i="1"/>
  <c r="A2662" i="1"/>
  <c r="C2662" i="1"/>
  <c r="E2662" i="1"/>
  <c r="S2662" i="1"/>
  <c r="T2662" i="1"/>
  <c r="U2662" i="1"/>
  <c r="BB2662" i="1"/>
  <c r="BD2662" i="1"/>
  <c r="CE2662" i="1"/>
  <c r="A2663" i="1"/>
  <c r="C2663" i="1"/>
  <c r="E2663" i="1"/>
  <c r="S2663" i="1"/>
  <c r="T2663" i="1"/>
  <c r="U2663" i="1"/>
  <c r="BB2663" i="1"/>
  <c r="BD2663" i="1"/>
  <c r="CE2663" i="1"/>
  <c r="A2664" i="1"/>
  <c r="C2664" i="1"/>
  <c r="E2664" i="1"/>
  <c r="S2664" i="1"/>
  <c r="T2664" i="1"/>
  <c r="U2664" i="1"/>
  <c r="BB2664" i="1"/>
  <c r="BD2664" i="1"/>
  <c r="CE2664" i="1"/>
  <c r="A2665" i="1"/>
  <c r="C2665" i="1"/>
  <c r="E2665" i="1"/>
  <c r="S2665" i="1"/>
  <c r="T2665" i="1"/>
  <c r="U2665" i="1"/>
  <c r="BB2665" i="1"/>
  <c r="BD2665" i="1"/>
  <c r="CE2665" i="1"/>
  <c r="A2666" i="1"/>
  <c r="C2666" i="1"/>
  <c r="E2666" i="1"/>
  <c r="S2666" i="1"/>
  <c r="T2666" i="1"/>
  <c r="U2666" i="1"/>
  <c r="BB2666" i="1"/>
  <c r="BD2666" i="1"/>
  <c r="CE2666" i="1"/>
  <c r="A2667" i="1"/>
  <c r="C2667" i="1"/>
  <c r="E2667" i="1"/>
  <c r="S2667" i="1"/>
  <c r="T2667" i="1"/>
  <c r="U2667" i="1"/>
  <c r="BB2667" i="1"/>
  <c r="BD2667" i="1"/>
  <c r="CE2667" i="1"/>
  <c r="A2668" i="1"/>
  <c r="C2668" i="1"/>
  <c r="E2668" i="1"/>
  <c r="S2668" i="1"/>
  <c r="T2668" i="1"/>
  <c r="U2668" i="1"/>
  <c r="BB2668" i="1"/>
  <c r="BD2668" i="1"/>
  <c r="CE2668" i="1"/>
  <c r="A2669" i="1"/>
  <c r="C2669" i="1"/>
  <c r="E2669" i="1"/>
  <c r="S2669" i="1"/>
  <c r="T2669" i="1"/>
  <c r="U2669" i="1"/>
  <c r="BB2669" i="1"/>
  <c r="BD2669" i="1"/>
  <c r="CE2669" i="1"/>
  <c r="A2670" i="1"/>
  <c r="C2670" i="1"/>
  <c r="E2670" i="1"/>
  <c r="S2670" i="1"/>
  <c r="T2670" i="1"/>
  <c r="U2670" i="1"/>
  <c r="BB2670" i="1"/>
  <c r="BD2670" i="1"/>
  <c r="CE2670" i="1"/>
  <c r="A2671" i="1"/>
  <c r="C2671" i="1"/>
  <c r="E2671" i="1"/>
  <c r="S2671" i="1"/>
  <c r="T2671" i="1"/>
  <c r="U2671" i="1"/>
  <c r="BB2671" i="1"/>
  <c r="BD2671" i="1"/>
  <c r="CE2671" i="1"/>
  <c r="A2672" i="1"/>
  <c r="C2672" i="1"/>
  <c r="E2672" i="1"/>
  <c r="S2672" i="1"/>
  <c r="T2672" i="1"/>
  <c r="U2672" i="1"/>
  <c r="BB2672" i="1"/>
  <c r="BD2672" i="1"/>
  <c r="CE2672" i="1"/>
  <c r="A2673" i="1"/>
  <c r="C2673" i="1"/>
  <c r="E2673" i="1"/>
  <c r="S2673" i="1"/>
  <c r="T2673" i="1"/>
  <c r="U2673" i="1"/>
  <c r="BB2673" i="1"/>
  <c r="BD2673" i="1"/>
  <c r="CE2673" i="1"/>
  <c r="A2674" i="1"/>
  <c r="C2674" i="1"/>
  <c r="E2674" i="1"/>
  <c r="S2674" i="1"/>
  <c r="T2674" i="1"/>
  <c r="U2674" i="1"/>
  <c r="BB2674" i="1"/>
  <c r="BD2674" i="1"/>
  <c r="CE2674" i="1"/>
  <c r="A2675" i="1"/>
  <c r="C2675" i="1"/>
  <c r="E2675" i="1"/>
  <c r="S2675" i="1"/>
  <c r="T2675" i="1"/>
  <c r="U2675" i="1"/>
  <c r="BB2675" i="1"/>
  <c r="BD2675" i="1"/>
  <c r="CE2675" i="1"/>
  <c r="A2676" i="1"/>
  <c r="C2676" i="1"/>
  <c r="E2676" i="1"/>
  <c r="S2676" i="1"/>
  <c r="T2676" i="1"/>
  <c r="U2676" i="1"/>
  <c r="BB2676" i="1"/>
  <c r="BD2676" i="1"/>
  <c r="CE2676" i="1"/>
  <c r="A2677" i="1"/>
  <c r="C2677" i="1"/>
  <c r="E2677" i="1"/>
  <c r="S2677" i="1"/>
  <c r="T2677" i="1"/>
  <c r="U2677" i="1"/>
  <c r="BB2677" i="1"/>
  <c r="BD2677" i="1"/>
  <c r="CE2677" i="1"/>
  <c r="A2678" i="1"/>
  <c r="C2678" i="1"/>
  <c r="E2678" i="1"/>
  <c r="S2678" i="1"/>
  <c r="T2678" i="1"/>
  <c r="U2678" i="1"/>
  <c r="BB2678" i="1"/>
  <c r="BD2678" i="1"/>
  <c r="CE2678" i="1"/>
  <c r="A2679" i="1"/>
  <c r="C2679" i="1"/>
  <c r="E2679" i="1"/>
  <c r="S2679" i="1"/>
  <c r="T2679" i="1"/>
  <c r="U2679" i="1"/>
  <c r="BB2679" i="1"/>
  <c r="BD2679" i="1"/>
  <c r="CE2679" i="1"/>
  <c r="A2680" i="1"/>
  <c r="C2680" i="1"/>
  <c r="E2680" i="1"/>
  <c r="S2680" i="1"/>
  <c r="T2680" i="1"/>
  <c r="U2680" i="1"/>
  <c r="BB2680" i="1"/>
  <c r="BD2680" i="1"/>
  <c r="CE2680" i="1"/>
  <c r="A2681" i="1"/>
  <c r="C2681" i="1"/>
  <c r="E2681" i="1"/>
  <c r="S2681" i="1"/>
  <c r="T2681" i="1"/>
  <c r="U2681" i="1"/>
  <c r="BB2681" i="1"/>
  <c r="BD2681" i="1"/>
  <c r="CE2681" i="1"/>
  <c r="A2682" i="1"/>
  <c r="C2682" i="1"/>
  <c r="E2682" i="1"/>
  <c r="S2682" i="1"/>
  <c r="T2682" i="1"/>
  <c r="U2682" i="1"/>
  <c r="BB2682" i="1"/>
  <c r="BD2682" i="1"/>
  <c r="CE2682" i="1"/>
  <c r="A2683" i="1"/>
  <c r="C2683" i="1"/>
  <c r="E2683" i="1"/>
  <c r="S2683" i="1"/>
  <c r="T2683" i="1"/>
  <c r="U2683" i="1"/>
  <c r="BB2683" i="1"/>
  <c r="BD2683" i="1"/>
  <c r="CE2683" i="1"/>
  <c r="A2684" i="1"/>
  <c r="C2684" i="1"/>
  <c r="E2684" i="1"/>
  <c r="S2684" i="1"/>
  <c r="T2684" i="1"/>
  <c r="U2684" i="1"/>
  <c r="BB2684" i="1"/>
  <c r="BD2684" i="1"/>
  <c r="CE2684" i="1"/>
  <c r="A2685" i="1"/>
  <c r="C2685" i="1"/>
  <c r="E2685" i="1"/>
  <c r="S2685" i="1"/>
  <c r="T2685" i="1"/>
  <c r="U2685" i="1"/>
  <c r="BB2685" i="1"/>
  <c r="BD2685" i="1"/>
  <c r="CE2685" i="1"/>
  <c r="A2686" i="1"/>
  <c r="C2686" i="1"/>
  <c r="E2686" i="1"/>
  <c r="S2686" i="1"/>
  <c r="T2686" i="1"/>
  <c r="U2686" i="1"/>
  <c r="BB2686" i="1"/>
  <c r="BD2686" i="1"/>
  <c r="CE2686" i="1"/>
  <c r="A2687" i="1"/>
  <c r="C2687" i="1"/>
  <c r="E2687" i="1"/>
  <c r="S2687" i="1"/>
  <c r="T2687" i="1"/>
  <c r="U2687" i="1"/>
  <c r="BB2687" i="1"/>
  <c r="BD2687" i="1"/>
  <c r="CE2687" i="1"/>
  <c r="A2688" i="1"/>
  <c r="C2688" i="1"/>
  <c r="E2688" i="1"/>
  <c r="S2688" i="1"/>
  <c r="T2688" i="1"/>
  <c r="U2688" i="1"/>
  <c r="BB2688" i="1"/>
  <c r="BD2688" i="1"/>
  <c r="CE2688" i="1"/>
  <c r="A2689" i="1"/>
  <c r="C2689" i="1"/>
  <c r="E2689" i="1"/>
  <c r="S2689" i="1"/>
  <c r="T2689" i="1"/>
  <c r="U2689" i="1"/>
  <c r="BB2689" i="1"/>
  <c r="BD2689" i="1"/>
  <c r="CE2689" i="1"/>
  <c r="A2690" i="1"/>
  <c r="C2690" i="1"/>
  <c r="E2690" i="1"/>
  <c r="S2690" i="1"/>
  <c r="T2690" i="1"/>
  <c r="U2690" i="1"/>
  <c r="BB2690" i="1"/>
  <c r="BD2690" i="1"/>
  <c r="CE2690" i="1"/>
  <c r="A2691" i="1"/>
  <c r="C2691" i="1"/>
  <c r="E2691" i="1"/>
  <c r="S2691" i="1"/>
  <c r="T2691" i="1"/>
  <c r="U2691" i="1"/>
  <c r="BB2691" i="1"/>
  <c r="BD2691" i="1"/>
  <c r="CE2691" i="1"/>
  <c r="A2692" i="1"/>
  <c r="C2692" i="1"/>
  <c r="E2692" i="1"/>
  <c r="S2692" i="1"/>
  <c r="T2692" i="1"/>
  <c r="U2692" i="1"/>
  <c r="BB2692" i="1"/>
  <c r="BD2692" i="1"/>
  <c r="CE2692" i="1"/>
  <c r="A2693" i="1"/>
  <c r="C2693" i="1"/>
  <c r="E2693" i="1"/>
  <c r="S2693" i="1"/>
  <c r="T2693" i="1"/>
  <c r="U2693" i="1"/>
  <c r="BB2693" i="1"/>
  <c r="BD2693" i="1"/>
  <c r="CE2693" i="1"/>
  <c r="A2694" i="1"/>
  <c r="C2694" i="1"/>
  <c r="E2694" i="1"/>
  <c r="S2694" i="1"/>
  <c r="T2694" i="1"/>
  <c r="U2694" i="1"/>
  <c r="BB2694" i="1"/>
  <c r="BD2694" i="1"/>
  <c r="CE2694" i="1"/>
  <c r="A2695" i="1"/>
  <c r="C2695" i="1"/>
  <c r="E2695" i="1"/>
  <c r="S2695" i="1"/>
  <c r="T2695" i="1"/>
  <c r="U2695" i="1"/>
  <c r="BB2695" i="1"/>
  <c r="BD2695" i="1"/>
  <c r="CE2695" i="1"/>
  <c r="A2696" i="1"/>
  <c r="C2696" i="1"/>
  <c r="E2696" i="1"/>
  <c r="S2696" i="1"/>
  <c r="T2696" i="1"/>
  <c r="U2696" i="1"/>
  <c r="BB2696" i="1"/>
  <c r="BD2696" i="1"/>
  <c r="CE2696" i="1"/>
  <c r="A2697" i="1"/>
  <c r="C2697" i="1"/>
  <c r="E2697" i="1"/>
  <c r="S2697" i="1"/>
  <c r="T2697" i="1"/>
  <c r="U2697" i="1"/>
  <c r="BB2697" i="1"/>
  <c r="BD2697" i="1"/>
  <c r="CE2697" i="1"/>
  <c r="A2698" i="1"/>
  <c r="C2698" i="1"/>
  <c r="E2698" i="1"/>
  <c r="S2698" i="1"/>
  <c r="T2698" i="1"/>
  <c r="U2698" i="1"/>
  <c r="BB2698" i="1"/>
  <c r="BD2698" i="1"/>
  <c r="CE2698" i="1"/>
  <c r="A2699" i="1"/>
  <c r="C2699" i="1"/>
  <c r="E2699" i="1"/>
  <c r="S2699" i="1"/>
  <c r="T2699" i="1"/>
  <c r="U2699" i="1"/>
  <c r="BB2699" i="1"/>
  <c r="BD2699" i="1"/>
  <c r="CE2699" i="1"/>
  <c r="A2700" i="1"/>
  <c r="C2700" i="1"/>
  <c r="E2700" i="1"/>
  <c r="S2700" i="1"/>
  <c r="T2700" i="1"/>
  <c r="U2700" i="1"/>
  <c r="BB2700" i="1"/>
  <c r="BD2700" i="1"/>
  <c r="CE2700" i="1"/>
  <c r="A2701" i="1"/>
  <c r="C2701" i="1"/>
  <c r="E2701" i="1"/>
  <c r="S2701" i="1"/>
  <c r="T2701" i="1"/>
  <c r="U2701" i="1"/>
  <c r="BB2701" i="1"/>
  <c r="BD2701" i="1"/>
  <c r="CE2701" i="1"/>
  <c r="A2702" i="1"/>
  <c r="C2702" i="1"/>
  <c r="E2702" i="1"/>
  <c r="S2702" i="1"/>
  <c r="T2702" i="1"/>
  <c r="U2702" i="1"/>
  <c r="BB2702" i="1"/>
  <c r="BD2702" i="1"/>
  <c r="CE2702" i="1"/>
  <c r="A2703" i="1"/>
  <c r="C2703" i="1"/>
  <c r="E2703" i="1"/>
  <c r="S2703" i="1"/>
  <c r="T2703" i="1"/>
  <c r="U2703" i="1"/>
  <c r="BB2703" i="1"/>
  <c r="BD2703" i="1"/>
  <c r="CE2703" i="1"/>
  <c r="A2704" i="1"/>
  <c r="C2704" i="1"/>
  <c r="E2704" i="1"/>
  <c r="S2704" i="1"/>
  <c r="T2704" i="1"/>
  <c r="U2704" i="1"/>
  <c r="BB2704" i="1"/>
  <c r="BD2704" i="1"/>
  <c r="CE2704" i="1"/>
  <c r="A2705" i="1"/>
  <c r="C2705" i="1"/>
  <c r="E2705" i="1"/>
  <c r="S2705" i="1"/>
  <c r="T2705" i="1"/>
  <c r="U2705" i="1"/>
  <c r="BB2705" i="1"/>
  <c r="BD2705" i="1"/>
  <c r="CE2705" i="1"/>
  <c r="A2706" i="1"/>
  <c r="C2706" i="1"/>
  <c r="E2706" i="1"/>
  <c r="S2706" i="1"/>
  <c r="T2706" i="1"/>
  <c r="U2706" i="1"/>
  <c r="BB2706" i="1"/>
  <c r="BD2706" i="1"/>
  <c r="CE2706" i="1"/>
  <c r="A2707" i="1"/>
  <c r="C2707" i="1"/>
  <c r="E2707" i="1"/>
  <c r="S2707" i="1"/>
  <c r="T2707" i="1"/>
  <c r="U2707" i="1"/>
  <c r="BB2707" i="1"/>
  <c r="BD2707" i="1"/>
  <c r="CE2707" i="1"/>
  <c r="A2708" i="1"/>
  <c r="C2708" i="1"/>
  <c r="E2708" i="1"/>
  <c r="S2708" i="1"/>
  <c r="T2708" i="1"/>
  <c r="U2708" i="1"/>
  <c r="BB2708" i="1"/>
  <c r="BD2708" i="1"/>
  <c r="CE2708" i="1"/>
  <c r="A2709" i="1"/>
  <c r="C2709" i="1"/>
  <c r="E2709" i="1"/>
  <c r="S2709" i="1"/>
  <c r="T2709" i="1"/>
  <c r="U2709" i="1"/>
  <c r="BB2709" i="1"/>
  <c r="BD2709" i="1"/>
  <c r="CE2709" i="1"/>
  <c r="A2710" i="1"/>
  <c r="C2710" i="1"/>
  <c r="E2710" i="1"/>
  <c r="S2710" i="1"/>
  <c r="T2710" i="1"/>
  <c r="U2710" i="1"/>
  <c r="BB2710" i="1"/>
  <c r="BD2710" i="1"/>
  <c r="CE2710" i="1"/>
  <c r="A2711" i="1"/>
  <c r="C2711" i="1"/>
  <c r="E2711" i="1"/>
  <c r="S2711" i="1"/>
  <c r="T2711" i="1"/>
  <c r="U2711" i="1"/>
  <c r="BB2711" i="1"/>
  <c r="BD2711" i="1"/>
  <c r="CE2711" i="1"/>
  <c r="A2712" i="1"/>
  <c r="C2712" i="1"/>
  <c r="E2712" i="1"/>
  <c r="S2712" i="1"/>
  <c r="T2712" i="1"/>
  <c r="U2712" i="1"/>
  <c r="BB2712" i="1"/>
  <c r="BD2712" i="1"/>
  <c r="CE2712" i="1"/>
  <c r="A2713" i="1"/>
  <c r="C2713" i="1"/>
  <c r="E2713" i="1"/>
  <c r="S2713" i="1"/>
  <c r="T2713" i="1"/>
  <c r="U2713" i="1"/>
  <c r="BB2713" i="1"/>
  <c r="BD2713" i="1"/>
  <c r="CE2713" i="1"/>
  <c r="A2714" i="1"/>
  <c r="C2714" i="1"/>
  <c r="E2714" i="1"/>
  <c r="S2714" i="1"/>
  <c r="T2714" i="1"/>
  <c r="U2714" i="1"/>
  <c r="BB2714" i="1"/>
  <c r="BD2714" i="1"/>
  <c r="CE2714" i="1"/>
  <c r="A2715" i="1"/>
  <c r="C2715" i="1"/>
  <c r="E2715" i="1"/>
  <c r="S2715" i="1"/>
  <c r="T2715" i="1"/>
  <c r="U2715" i="1"/>
  <c r="BB2715" i="1"/>
  <c r="BD2715" i="1"/>
  <c r="CE2715" i="1"/>
  <c r="A2716" i="1"/>
  <c r="C2716" i="1"/>
  <c r="E2716" i="1"/>
  <c r="S2716" i="1"/>
  <c r="T2716" i="1"/>
  <c r="U2716" i="1"/>
  <c r="BB2716" i="1"/>
  <c r="BD2716" i="1"/>
  <c r="CE2716" i="1"/>
  <c r="A2717" i="1"/>
  <c r="C2717" i="1"/>
  <c r="E2717" i="1"/>
  <c r="S2717" i="1"/>
  <c r="T2717" i="1"/>
  <c r="U2717" i="1"/>
  <c r="BB2717" i="1"/>
  <c r="BD2717" i="1"/>
  <c r="CE2717" i="1"/>
  <c r="A2718" i="1"/>
  <c r="C2718" i="1"/>
  <c r="E2718" i="1"/>
  <c r="S2718" i="1"/>
  <c r="T2718" i="1"/>
  <c r="U2718" i="1"/>
  <c r="BB2718" i="1"/>
  <c r="BD2718" i="1"/>
  <c r="CE2718" i="1"/>
  <c r="A2719" i="1"/>
  <c r="C2719" i="1"/>
  <c r="E2719" i="1"/>
  <c r="S2719" i="1"/>
  <c r="T2719" i="1"/>
  <c r="U2719" i="1"/>
  <c r="BB2719" i="1"/>
  <c r="BD2719" i="1"/>
  <c r="CE2719" i="1"/>
  <c r="A2720" i="1"/>
  <c r="C2720" i="1"/>
  <c r="E2720" i="1"/>
  <c r="S2720" i="1"/>
  <c r="T2720" i="1"/>
  <c r="U2720" i="1"/>
  <c r="BB2720" i="1"/>
  <c r="BD2720" i="1"/>
  <c r="CE2720" i="1"/>
  <c r="A2721" i="1"/>
  <c r="C2721" i="1"/>
  <c r="E2721" i="1"/>
  <c r="S2721" i="1"/>
  <c r="T2721" i="1"/>
  <c r="U2721" i="1"/>
  <c r="BB2721" i="1"/>
  <c r="BD2721" i="1"/>
  <c r="CE2721" i="1"/>
  <c r="A2722" i="1"/>
  <c r="C2722" i="1"/>
  <c r="E2722" i="1"/>
  <c r="S2722" i="1"/>
  <c r="T2722" i="1"/>
  <c r="U2722" i="1"/>
  <c r="BB2722" i="1"/>
  <c r="BD2722" i="1"/>
  <c r="CE2722" i="1"/>
  <c r="A2723" i="1"/>
  <c r="C2723" i="1"/>
  <c r="E2723" i="1"/>
  <c r="S2723" i="1"/>
  <c r="T2723" i="1"/>
  <c r="U2723" i="1"/>
  <c r="BB2723" i="1"/>
  <c r="BD2723" i="1"/>
  <c r="CE2723" i="1"/>
  <c r="A2724" i="1"/>
  <c r="C2724" i="1"/>
  <c r="E2724" i="1"/>
  <c r="S2724" i="1"/>
  <c r="T2724" i="1"/>
  <c r="U2724" i="1"/>
  <c r="BB2724" i="1"/>
  <c r="BD2724" i="1"/>
  <c r="CE2724" i="1"/>
  <c r="A2725" i="1"/>
  <c r="C2725" i="1"/>
  <c r="E2725" i="1"/>
  <c r="S2725" i="1"/>
  <c r="T2725" i="1"/>
  <c r="U2725" i="1"/>
  <c r="BB2725" i="1"/>
  <c r="BD2725" i="1"/>
  <c r="CE2725" i="1"/>
  <c r="A2726" i="1"/>
  <c r="C2726" i="1"/>
  <c r="E2726" i="1"/>
  <c r="S2726" i="1"/>
  <c r="T2726" i="1"/>
  <c r="U2726" i="1"/>
  <c r="BB2726" i="1"/>
  <c r="BD2726" i="1"/>
  <c r="CE2726" i="1"/>
  <c r="A2727" i="1"/>
  <c r="C2727" i="1"/>
  <c r="E2727" i="1"/>
  <c r="S2727" i="1"/>
  <c r="T2727" i="1"/>
  <c r="U2727" i="1"/>
  <c r="BB2727" i="1"/>
  <c r="BD2727" i="1"/>
  <c r="CE2727" i="1"/>
  <c r="A2728" i="1"/>
  <c r="C2728" i="1"/>
  <c r="E2728" i="1"/>
  <c r="S2728" i="1"/>
  <c r="T2728" i="1"/>
  <c r="U2728" i="1"/>
  <c r="BB2728" i="1"/>
  <c r="BD2728" i="1"/>
  <c r="CE2728" i="1"/>
  <c r="A2729" i="1"/>
  <c r="C2729" i="1"/>
  <c r="E2729" i="1"/>
  <c r="S2729" i="1"/>
  <c r="T2729" i="1"/>
  <c r="U2729" i="1"/>
  <c r="BB2729" i="1"/>
  <c r="BD2729" i="1"/>
  <c r="CE2729" i="1"/>
  <c r="A2730" i="1"/>
  <c r="C2730" i="1"/>
  <c r="E2730" i="1"/>
  <c r="S2730" i="1"/>
  <c r="T2730" i="1"/>
  <c r="U2730" i="1"/>
  <c r="BB2730" i="1"/>
  <c r="BD2730" i="1"/>
  <c r="CE2730" i="1"/>
  <c r="A2731" i="1"/>
  <c r="C2731" i="1"/>
  <c r="E2731" i="1"/>
  <c r="S2731" i="1"/>
  <c r="T2731" i="1"/>
  <c r="U2731" i="1"/>
  <c r="BB2731" i="1"/>
  <c r="BD2731" i="1"/>
  <c r="CE2731" i="1"/>
  <c r="A2732" i="1"/>
  <c r="C2732" i="1"/>
  <c r="E2732" i="1"/>
  <c r="S2732" i="1"/>
  <c r="T2732" i="1"/>
  <c r="U2732" i="1"/>
  <c r="BB2732" i="1"/>
  <c r="BD2732" i="1"/>
  <c r="CE2732" i="1"/>
  <c r="A2733" i="1"/>
  <c r="C2733" i="1"/>
  <c r="E2733" i="1"/>
  <c r="S2733" i="1"/>
  <c r="T2733" i="1"/>
  <c r="U2733" i="1"/>
  <c r="BB2733" i="1"/>
  <c r="BD2733" i="1"/>
  <c r="CE2733" i="1"/>
  <c r="A2734" i="1"/>
  <c r="C2734" i="1"/>
  <c r="E2734" i="1"/>
  <c r="S2734" i="1"/>
  <c r="T2734" i="1"/>
  <c r="U2734" i="1"/>
  <c r="BB2734" i="1"/>
  <c r="BD2734" i="1"/>
  <c r="CE2734" i="1"/>
  <c r="A2735" i="1"/>
  <c r="C2735" i="1"/>
  <c r="E2735" i="1"/>
  <c r="S2735" i="1"/>
  <c r="T2735" i="1"/>
  <c r="U2735" i="1"/>
  <c r="BB2735" i="1"/>
  <c r="BD2735" i="1"/>
  <c r="CE2735" i="1"/>
  <c r="A2736" i="1"/>
  <c r="C2736" i="1"/>
  <c r="E2736" i="1"/>
  <c r="S2736" i="1"/>
  <c r="T2736" i="1"/>
  <c r="U2736" i="1"/>
  <c r="BB2736" i="1"/>
  <c r="BD2736" i="1"/>
  <c r="CE2736" i="1"/>
  <c r="A2737" i="1"/>
  <c r="C2737" i="1"/>
  <c r="E2737" i="1"/>
  <c r="S2737" i="1"/>
  <c r="T2737" i="1"/>
  <c r="U2737" i="1"/>
  <c r="BB2737" i="1"/>
  <c r="BD2737" i="1"/>
  <c r="CE2737" i="1"/>
  <c r="A2738" i="1"/>
  <c r="C2738" i="1"/>
  <c r="E2738" i="1"/>
  <c r="S2738" i="1"/>
  <c r="T2738" i="1"/>
  <c r="U2738" i="1"/>
  <c r="BB2738" i="1"/>
  <c r="BD2738" i="1"/>
  <c r="CE2738" i="1"/>
  <c r="A2739" i="1"/>
  <c r="C2739" i="1"/>
  <c r="E2739" i="1"/>
  <c r="S2739" i="1"/>
  <c r="T2739" i="1"/>
  <c r="U2739" i="1"/>
  <c r="BB2739" i="1"/>
  <c r="BD2739" i="1"/>
  <c r="CE2739" i="1"/>
  <c r="A2740" i="1"/>
  <c r="C2740" i="1"/>
  <c r="E2740" i="1"/>
  <c r="S2740" i="1"/>
  <c r="T2740" i="1"/>
  <c r="U2740" i="1"/>
  <c r="BB2740" i="1"/>
  <c r="BD2740" i="1"/>
  <c r="CE2740" i="1"/>
  <c r="A2741" i="1"/>
  <c r="C2741" i="1"/>
  <c r="E2741" i="1"/>
  <c r="S2741" i="1"/>
  <c r="T2741" i="1"/>
  <c r="U2741" i="1"/>
  <c r="BB2741" i="1"/>
  <c r="BD2741" i="1"/>
  <c r="CE2741" i="1"/>
  <c r="A2742" i="1"/>
  <c r="C2742" i="1"/>
  <c r="E2742" i="1"/>
  <c r="S2742" i="1"/>
  <c r="T2742" i="1"/>
  <c r="U2742" i="1"/>
  <c r="BB2742" i="1"/>
  <c r="BD2742" i="1"/>
  <c r="CE2742" i="1"/>
  <c r="A2743" i="1"/>
  <c r="C2743" i="1"/>
  <c r="E2743" i="1"/>
  <c r="S2743" i="1"/>
  <c r="T2743" i="1"/>
  <c r="U2743" i="1"/>
  <c r="BB2743" i="1"/>
  <c r="BD2743" i="1"/>
  <c r="CE2743" i="1"/>
  <c r="A2744" i="1"/>
  <c r="C2744" i="1"/>
  <c r="E2744" i="1"/>
  <c r="S2744" i="1"/>
  <c r="T2744" i="1"/>
  <c r="U2744" i="1"/>
  <c r="BB2744" i="1"/>
  <c r="BD2744" i="1"/>
  <c r="CE2744" i="1"/>
  <c r="A2745" i="1"/>
  <c r="C2745" i="1"/>
  <c r="E2745" i="1"/>
  <c r="S2745" i="1"/>
  <c r="T2745" i="1"/>
  <c r="U2745" i="1"/>
  <c r="BB2745" i="1"/>
  <c r="BD2745" i="1"/>
  <c r="CE2745" i="1"/>
  <c r="A2746" i="1"/>
  <c r="C2746" i="1"/>
  <c r="E2746" i="1"/>
  <c r="S2746" i="1"/>
  <c r="T2746" i="1"/>
  <c r="U2746" i="1"/>
  <c r="BB2746" i="1"/>
  <c r="BD2746" i="1"/>
  <c r="CE2746" i="1"/>
  <c r="A2747" i="1"/>
  <c r="C2747" i="1"/>
  <c r="E2747" i="1"/>
  <c r="S2747" i="1"/>
  <c r="T2747" i="1"/>
  <c r="U2747" i="1"/>
  <c r="BB2747" i="1"/>
  <c r="BD2747" i="1"/>
  <c r="CE2747" i="1"/>
  <c r="A2748" i="1"/>
  <c r="C2748" i="1"/>
  <c r="E2748" i="1"/>
  <c r="S2748" i="1"/>
  <c r="T2748" i="1"/>
  <c r="U2748" i="1"/>
  <c r="BB2748" i="1"/>
  <c r="BD2748" i="1"/>
  <c r="CE2748" i="1"/>
  <c r="A2749" i="1"/>
  <c r="C2749" i="1"/>
  <c r="E2749" i="1"/>
  <c r="S2749" i="1"/>
  <c r="T2749" i="1"/>
  <c r="U2749" i="1"/>
  <c r="BB2749" i="1"/>
  <c r="BD2749" i="1"/>
  <c r="CE2749" i="1"/>
  <c r="A2750" i="1"/>
  <c r="C2750" i="1"/>
  <c r="E2750" i="1"/>
  <c r="S2750" i="1"/>
  <c r="T2750" i="1"/>
  <c r="U2750" i="1"/>
  <c r="BB2750" i="1"/>
  <c r="BD2750" i="1"/>
  <c r="CE2750" i="1"/>
  <c r="A2751" i="1"/>
  <c r="C2751" i="1"/>
  <c r="E2751" i="1"/>
  <c r="S2751" i="1"/>
  <c r="T2751" i="1"/>
  <c r="U2751" i="1"/>
  <c r="BB2751" i="1"/>
  <c r="BD2751" i="1"/>
  <c r="CE2751" i="1"/>
  <c r="A2752" i="1"/>
  <c r="C2752" i="1"/>
  <c r="E2752" i="1"/>
  <c r="S2752" i="1"/>
  <c r="T2752" i="1"/>
  <c r="U2752" i="1"/>
  <c r="BB2752" i="1"/>
  <c r="BD2752" i="1"/>
  <c r="CE2752" i="1"/>
  <c r="A2753" i="1"/>
  <c r="C2753" i="1"/>
  <c r="E2753" i="1"/>
  <c r="S2753" i="1"/>
  <c r="T2753" i="1"/>
  <c r="U2753" i="1"/>
  <c r="BB2753" i="1"/>
  <c r="BD2753" i="1"/>
  <c r="CE2753" i="1"/>
  <c r="A2754" i="1"/>
  <c r="C2754" i="1"/>
  <c r="E2754" i="1"/>
  <c r="S2754" i="1"/>
  <c r="T2754" i="1"/>
  <c r="U2754" i="1"/>
  <c r="BB2754" i="1"/>
  <c r="BD2754" i="1"/>
  <c r="CE2754" i="1"/>
  <c r="A2755" i="1"/>
  <c r="C2755" i="1"/>
  <c r="E2755" i="1"/>
  <c r="S2755" i="1"/>
  <c r="T2755" i="1"/>
  <c r="U2755" i="1"/>
  <c r="BB2755" i="1"/>
  <c r="BD2755" i="1"/>
  <c r="CE2755" i="1"/>
  <c r="A2756" i="1"/>
  <c r="C2756" i="1"/>
  <c r="E2756" i="1"/>
  <c r="S2756" i="1"/>
  <c r="T2756" i="1"/>
  <c r="U2756" i="1"/>
  <c r="BB2756" i="1"/>
  <c r="BD2756" i="1"/>
  <c r="CE2756" i="1"/>
  <c r="A2757" i="1"/>
  <c r="C2757" i="1"/>
  <c r="E2757" i="1"/>
  <c r="S2757" i="1"/>
  <c r="T2757" i="1"/>
  <c r="U2757" i="1"/>
  <c r="BB2757" i="1"/>
  <c r="BD2757" i="1"/>
  <c r="CE2757" i="1"/>
  <c r="A2758" i="1"/>
  <c r="C2758" i="1"/>
  <c r="E2758" i="1"/>
  <c r="S2758" i="1"/>
  <c r="T2758" i="1"/>
  <c r="U2758" i="1"/>
  <c r="BB2758" i="1"/>
  <c r="BD2758" i="1"/>
  <c r="CE2758" i="1"/>
  <c r="A2759" i="1"/>
  <c r="C2759" i="1"/>
  <c r="E2759" i="1"/>
  <c r="S2759" i="1"/>
  <c r="T2759" i="1"/>
  <c r="U2759" i="1"/>
  <c r="BB2759" i="1"/>
  <c r="BD2759" i="1"/>
  <c r="CE2759" i="1"/>
  <c r="A2760" i="1"/>
  <c r="C2760" i="1"/>
  <c r="E2760" i="1"/>
  <c r="S2760" i="1"/>
  <c r="T2760" i="1"/>
  <c r="U2760" i="1"/>
  <c r="BB2760" i="1"/>
  <c r="BD2760" i="1"/>
  <c r="CE2760" i="1"/>
  <c r="A2761" i="1"/>
  <c r="C2761" i="1"/>
  <c r="E2761" i="1"/>
  <c r="S2761" i="1"/>
  <c r="T2761" i="1"/>
  <c r="U2761" i="1"/>
  <c r="BB2761" i="1"/>
  <c r="BD2761" i="1"/>
  <c r="CE2761" i="1"/>
  <c r="A2762" i="1"/>
  <c r="C2762" i="1"/>
  <c r="E2762" i="1"/>
  <c r="S2762" i="1"/>
  <c r="T2762" i="1"/>
  <c r="U2762" i="1"/>
  <c r="BB2762" i="1"/>
  <c r="BD2762" i="1"/>
  <c r="CE2762" i="1"/>
  <c r="A2763" i="1"/>
  <c r="C2763" i="1"/>
  <c r="E2763" i="1"/>
  <c r="S2763" i="1"/>
  <c r="T2763" i="1"/>
  <c r="U2763" i="1"/>
  <c r="BB2763" i="1"/>
  <c r="BD2763" i="1"/>
  <c r="CE2763" i="1"/>
  <c r="A2764" i="1"/>
  <c r="C2764" i="1"/>
  <c r="E2764" i="1"/>
  <c r="S2764" i="1"/>
  <c r="T2764" i="1"/>
  <c r="U2764" i="1"/>
  <c r="BB2764" i="1"/>
  <c r="BD2764" i="1"/>
  <c r="CE2764" i="1"/>
  <c r="A2765" i="1"/>
  <c r="C2765" i="1"/>
  <c r="E2765" i="1"/>
  <c r="S2765" i="1"/>
  <c r="T2765" i="1"/>
  <c r="U2765" i="1"/>
  <c r="BB2765" i="1"/>
  <c r="BD2765" i="1"/>
  <c r="CE2765" i="1"/>
  <c r="A2766" i="1"/>
  <c r="C2766" i="1"/>
  <c r="E2766" i="1"/>
  <c r="S2766" i="1"/>
  <c r="T2766" i="1"/>
  <c r="U2766" i="1"/>
  <c r="BB2766" i="1"/>
  <c r="BD2766" i="1"/>
  <c r="CE2766" i="1"/>
  <c r="A2767" i="1"/>
  <c r="C2767" i="1"/>
  <c r="E2767" i="1"/>
  <c r="S2767" i="1"/>
  <c r="T2767" i="1"/>
  <c r="U2767" i="1"/>
  <c r="BB2767" i="1"/>
  <c r="BD2767" i="1"/>
  <c r="CE2767" i="1"/>
  <c r="A2768" i="1"/>
  <c r="C2768" i="1"/>
  <c r="E2768" i="1"/>
  <c r="S2768" i="1"/>
  <c r="T2768" i="1"/>
  <c r="U2768" i="1"/>
  <c r="BB2768" i="1"/>
  <c r="BD2768" i="1"/>
  <c r="CE2768" i="1"/>
  <c r="A2769" i="1"/>
  <c r="C2769" i="1"/>
  <c r="E2769" i="1"/>
  <c r="S2769" i="1"/>
  <c r="T2769" i="1"/>
  <c r="U2769" i="1"/>
  <c r="BB2769" i="1"/>
  <c r="BD2769" i="1"/>
  <c r="CE2769" i="1"/>
  <c r="A2770" i="1"/>
  <c r="C2770" i="1"/>
  <c r="E2770" i="1"/>
  <c r="S2770" i="1"/>
  <c r="T2770" i="1"/>
  <c r="U2770" i="1"/>
  <c r="BB2770" i="1"/>
  <c r="BD2770" i="1"/>
  <c r="CE2770" i="1"/>
  <c r="A2771" i="1"/>
  <c r="C2771" i="1"/>
  <c r="E2771" i="1"/>
  <c r="S2771" i="1"/>
  <c r="T2771" i="1"/>
  <c r="U2771" i="1"/>
  <c r="BB2771" i="1"/>
  <c r="BD2771" i="1"/>
  <c r="CE2771" i="1"/>
  <c r="A2772" i="1"/>
  <c r="C2772" i="1"/>
  <c r="E2772" i="1"/>
  <c r="S2772" i="1"/>
  <c r="T2772" i="1"/>
  <c r="U2772" i="1"/>
  <c r="BB2772" i="1"/>
  <c r="BD2772" i="1"/>
  <c r="CE2772" i="1"/>
  <c r="A2773" i="1"/>
  <c r="C2773" i="1"/>
  <c r="E2773" i="1"/>
  <c r="S2773" i="1"/>
  <c r="T2773" i="1"/>
  <c r="U2773" i="1"/>
  <c r="BB2773" i="1"/>
  <c r="BD2773" i="1"/>
  <c r="CE2773" i="1"/>
  <c r="A2774" i="1"/>
  <c r="C2774" i="1"/>
  <c r="E2774" i="1"/>
  <c r="S2774" i="1"/>
  <c r="T2774" i="1"/>
  <c r="U2774" i="1"/>
  <c r="BB2774" i="1"/>
  <c r="BD2774" i="1"/>
  <c r="CE2774" i="1"/>
  <c r="A2775" i="1"/>
  <c r="C2775" i="1"/>
  <c r="E2775" i="1"/>
  <c r="S2775" i="1"/>
  <c r="T2775" i="1"/>
  <c r="U2775" i="1"/>
  <c r="BB2775" i="1"/>
  <c r="BD2775" i="1"/>
  <c r="CE2775" i="1"/>
  <c r="A2776" i="1"/>
  <c r="C2776" i="1"/>
  <c r="E2776" i="1"/>
  <c r="S2776" i="1"/>
  <c r="T2776" i="1"/>
  <c r="U2776" i="1"/>
  <c r="BB2776" i="1"/>
  <c r="BD2776" i="1"/>
  <c r="CE2776" i="1"/>
  <c r="A2777" i="1"/>
  <c r="C2777" i="1"/>
  <c r="E2777" i="1"/>
  <c r="S2777" i="1"/>
  <c r="T2777" i="1"/>
  <c r="U2777" i="1"/>
  <c r="BB2777" i="1"/>
  <c r="BD2777" i="1"/>
  <c r="CE2777" i="1"/>
  <c r="A2778" i="1"/>
  <c r="C2778" i="1"/>
  <c r="E2778" i="1"/>
  <c r="S2778" i="1"/>
  <c r="T2778" i="1"/>
  <c r="U2778" i="1"/>
  <c r="BB2778" i="1"/>
  <c r="BD2778" i="1"/>
  <c r="CE2778" i="1"/>
  <c r="A2779" i="1"/>
  <c r="C2779" i="1"/>
  <c r="E2779" i="1"/>
  <c r="S2779" i="1"/>
  <c r="T2779" i="1"/>
  <c r="U2779" i="1"/>
  <c r="BB2779" i="1"/>
  <c r="BD2779" i="1"/>
  <c r="CE2779" i="1"/>
  <c r="A2780" i="1"/>
  <c r="C2780" i="1"/>
  <c r="E2780" i="1"/>
  <c r="S2780" i="1"/>
  <c r="T2780" i="1"/>
  <c r="U2780" i="1"/>
  <c r="BB2780" i="1"/>
  <c r="BD2780" i="1"/>
  <c r="CE2780" i="1"/>
  <c r="A2781" i="1"/>
  <c r="C2781" i="1"/>
  <c r="E2781" i="1"/>
  <c r="S2781" i="1"/>
  <c r="T2781" i="1"/>
  <c r="U2781" i="1"/>
  <c r="BB2781" i="1"/>
  <c r="BD2781" i="1"/>
  <c r="CE2781" i="1"/>
  <c r="A2782" i="1"/>
  <c r="C2782" i="1"/>
  <c r="E2782" i="1"/>
  <c r="S2782" i="1"/>
  <c r="T2782" i="1"/>
  <c r="U2782" i="1"/>
  <c r="BB2782" i="1"/>
  <c r="BD2782" i="1"/>
  <c r="CE2782" i="1"/>
  <c r="A2783" i="1"/>
  <c r="C2783" i="1"/>
  <c r="E2783" i="1"/>
  <c r="S2783" i="1"/>
  <c r="T2783" i="1"/>
  <c r="U2783" i="1"/>
  <c r="BB2783" i="1"/>
  <c r="BD2783" i="1"/>
  <c r="CE2783" i="1"/>
  <c r="A2784" i="1"/>
  <c r="C2784" i="1"/>
  <c r="E2784" i="1"/>
  <c r="S2784" i="1"/>
  <c r="T2784" i="1"/>
  <c r="U2784" i="1"/>
  <c r="BB2784" i="1"/>
  <c r="BD2784" i="1"/>
  <c r="CE2784" i="1"/>
  <c r="A2785" i="1"/>
  <c r="C2785" i="1"/>
  <c r="E2785" i="1"/>
  <c r="S2785" i="1"/>
  <c r="T2785" i="1"/>
  <c r="U2785" i="1"/>
  <c r="BB2785" i="1"/>
  <c r="BD2785" i="1"/>
  <c r="CE2785" i="1"/>
  <c r="A2786" i="1"/>
  <c r="C2786" i="1"/>
  <c r="E2786" i="1"/>
  <c r="S2786" i="1"/>
  <c r="T2786" i="1"/>
  <c r="U2786" i="1"/>
  <c r="BB2786" i="1"/>
  <c r="BD2786" i="1"/>
  <c r="CE2786" i="1"/>
  <c r="A2787" i="1"/>
  <c r="C2787" i="1"/>
  <c r="E2787" i="1"/>
  <c r="S2787" i="1"/>
  <c r="T2787" i="1"/>
  <c r="U2787" i="1"/>
  <c r="BB2787" i="1"/>
  <c r="BD2787" i="1"/>
  <c r="CE2787" i="1"/>
  <c r="A2788" i="1"/>
  <c r="C2788" i="1"/>
  <c r="E2788" i="1"/>
  <c r="S2788" i="1"/>
  <c r="T2788" i="1"/>
  <c r="U2788" i="1"/>
  <c r="BB2788" i="1"/>
  <c r="BD2788" i="1"/>
  <c r="CE2788" i="1"/>
  <c r="A2789" i="1"/>
  <c r="C2789" i="1"/>
  <c r="E2789" i="1"/>
  <c r="S2789" i="1"/>
  <c r="T2789" i="1"/>
  <c r="U2789" i="1"/>
  <c r="BB2789" i="1"/>
  <c r="BD2789" i="1"/>
  <c r="CE2789" i="1"/>
  <c r="A2790" i="1"/>
  <c r="C2790" i="1"/>
  <c r="E2790" i="1"/>
  <c r="S2790" i="1"/>
  <c r="T2790" i="1"/>
  <c r="U2790" i="1"/>
  <c r="BB2790" i="1"/>
  <c r="BD2790" i="1"/>
  <c r="CE2790" i="1"/>
  <c r="A2791" i="1"/>
  <c r="C2791" i="1"/>
  <c r="E2791" i="1"/>
  <c r="S2791" i="1"/>
  <c r="T2791" i="1"/>
  <c r="U2791" i="1"/>
  <c r="BB2791" i="1"/>
  <c r="BD2791" i="1"/>
  <c r="CE2791" i="1"/>
  <c r="A2792" i="1"/>
  <c r="C2792" i="1"/>
  <c r="E2792" i="1"/>
  <c r="S2792" i="1"/>
  <c r="T2792" i="1"/>
  <c r="U2792" i="1"/>
  <c r="BB2792" i="1"/>
  <c r="BD2792" i="1"/>
  <c r="CE2792" i="1"/>
  <c r="A2793" i="1"/>
  <c r="C2793" i="1"/>
  <c r="E2793" i="1"/>
  <c r="S2793" i="1"/>
  <c r="T2793" i="1"/>
  <c r="U2793" i="1"/>
  <c r="BB2793" i="1"/>
  <c r="BD2793" i="1"/>
  <c r="CE2793" i="1"/>
  <c r="A2794" i="1"/>
  <c r="C2794" i="1"/>
  <c r="E2794" i="1"/>
  <c r="S2794" i="1"/>
  <c r="T2794" i="1"/>
  <c r="U2794" i="1"/>
  <c r="BB2794" i="1"/>
  <c r="BD2794" i="1"/>
  <c r="CE2794" i="1"/>
  <c r="A2795" i="1"/>
  <c r="C2795" i="1"/>
  <c r="E2795" i="1"/>
  <c r="S2795" i="1"/>
  <c r="T2795" i="1"/>
  <c r="U2795" i="1"/>
  <c r="BB2795" i="1"/>
  <c r="BD2795" i="1"/>
  <c r="CE2795" i="1"/>
  <c r="A2796" i="1"/>
  <c r="C2796" i="1"/>
  <c r="E2796" i="1"/>
  <c r="S2796" i="1"/>
  <c r="T2796" i="1"/>
  <c r="U2796" i="1"/>
  <c r="BB2796" i="1"/>
  <c r="BD2796" i="1"/>
  <c r="CE2796" i="1"/>
  <c r="A2797" i="1"/>
  <c r="C2797" i="1"/>
  <c r="E2797" i="1"/>
  <c r="S2797" i="1"/>
  <c r="T2797" i="1"/>
  <c r="U2797" i="1"/>
  <c r="BB2797" i="1"/>
  <c r="BD2797" i="1"/>
  <c r="CE2797" i="1"/>
  <c r="A2798" i="1"/>
  <c r="C2798" i="1"/>
  <c r="E2798" i="1"/>
  <c r="S2798" i="1"/>
  <c r="T2798" i="1"/>
  <c r="U2798" i="1"/>
  <c r="BB2798" i="1"/>
  <c r="BD2798" i="1"/>
  <c r="CE2798" i="1"/>
  <c r="A2799" i="1"/>
  <c r="C2799" i="1"/>
  <c r="E2799" i="1"/>
  <c r="S2799" i="1"/>
  <c r="T2799" i="1"/>
  <c r="U2799" i="1"/>
  <c r="BB2799" i="1"/>
  <c r="BD2799" i="1"/>
  <c r="CE2799" i="1"/>
  <c r="A2800" i="1"/>
  <c r="C2800" i="1"/>
  <c r="E2800" i="1"/>
  <c r="S2800" i="1"/>
  <c r="T2800" i="1"/>
  <c r="U2800" i="1"/>
  <c r="BB2800" i="1"/>
  <c r="BD2800" i="1"/>
  <c r="CE2800" i="1"/>
  <c r="A2801" i="1"/>
  <c r="C2801" i="1"/>
  <c r="E2801" i="1"/>
  <c r="S2801" i="1"/>
  <c r="T2801" i="1"/>
  <c r="U2801" i="1"/>
  <c r="BB2801" i="1"/>
  <c r="BD2801" i="1"/>
  <c r="CE2801" i="1"/>
  <c r="A2802" i="1"/>
  <c r="C2802" i="1"/>
  <c r="E2802" i="1"/>
  <c r="S2802" i="1"/>
  <c r="T2802" i="1"/>
  <c r="U2802" i="1"/>
  <c r="BB2802" i="1"/>
  <c r="BD2802" i="1"/>
  <c r="CE2802" i="1"/>
  <c r="A2803" i="1"/>
  <c r="C2803" i="1"/>
  <c r="E2803" i="1"/>
  <c r="S2803" i="1"/>
  <c r="T2803" i="1"/>
  <c r="U2803" i="1"/>
  <c r="BB2803" i="1"/>
  <c r="BD2803" i="1"/>
  <c r="CE2803" i="1"/>
  <c r="A2804" i="1"/>
  <c r="C2804" i="1"/>
  <c r="E2804" i="1"/>
  <c r="S2804" i="1"/>
  <c r="T2804" i="1"/>
  <c r="U2804" i="1"/>
  <c r="BB2804" i="1"/>
  <c r="BD2804" i="1"/>
  <c r="CE2804" i="1"/>
  <c r="A2805" i="1"/>
  <c r="C2805" i="1"/>
  <c r="E2805" i="1"/>
  <c r="S2805" i="1"/>
  <c r="T2805" i="1"/>
  <c r="U2805" i="1"/>
  <c r="BB2805" i="1"/>
  <c r="BD2805" i="1"/>
  <c r="CE2805" i="1"/>
  <c r="A2806" i="1"/>
  <c r="C2806" i="1"/>
  <c r="E2806" i="1"/>
  <c r="S2806" i="1"/>
  <c r="T2806" i="1"/>
  <c r="U2806" i="1"/>
  <c r="BB2806" i="1"/>
  <c r="BD2806" i="1"/>
  <c r="CE2806" i="1"/>
  <c r="A2807" i="1"/>
  <c r="C2807" i="1"/>
  <c r="E2807" i="1"/>
  <c r="S2807" i="1"/>
  <c r="T2807" i="1"/>
  <c r="U2807" i="1"/>
  <c r="BB2807" i="1"/>
  <c r="BD2807" i="1"/>
  <c r="CE2807" i="1"/>
  <c r="A2808" i="1"/>
  <c r="C2808" i="1"/>
  <c r="E2808" i="1"/>
  <c r="S2808" i="1"/>
  <c r="T2808" i="1"/>
  <c r="U2808" i="1"/>
  <c r="BB2808" i="1"/>
  <c r="BD2808" i="1"/>
  <c r="CE2808" i="1"/>
  <c r="A2809" i="1"/>
  <c r="C2809" i="1"/>
  <c r="E2809" i="1"/>
  <c r="S2809" i="1"/>
  <c r="T2809" i="1"/>
  <c r="U2809" i="1"/>
  <c r="BB2809" i="1"/>
  <c r="BD2809" i="1"/>
  <c r="CE2809" i="1"/>
  <c r="A2810" i="1"/>
  <c r="C2810" i="1"/>
  <c r="E2810" i="1"/>
  <c r="S2810" i="1"/>
  <c r="T2810" i="1"/>
  <c r="U2810" i="1"/>
  <c r="BB2810" i="1"/>
  <c r="BD2810" i="1"/>
  <c r="CE2810" i="1"/>
  <c r="A2811" i="1"/>
  <c r="C2811" i="1"/>
  <c r="E2811" i="1"/>
  <c r="S2811" i="1"/>
  <c r="T2811" i="1"/>
  <c r="U2811" i="1"/>
  <c r="BB2811" i="1"/>
  <c r="BD2811" i="1"/>
  <c r="CE2811" i="1"/>
  <c r="A2812" i="1"/>
  <c r="C2812" i="1"/>
  <c r="E2812" i="1"/>
  <c r="S2812" i="1"/>
  <c r="T2812" i="1"/>
  <c r="U2812" i="1"/>
  <c r="BB2812" i="1"/>
  <c r="BD2812" i="1"/>
  <c r="CE2812" i="1"/>
  <c r="A2813" i="1"/>
  <c r="C2813" i="1"/>
  <c r="E2813" i="1"/>
  <c r="S2813" i="1"/>
  <c r="T2813" i="1"/>
  <c r="U2813" i="1"/>
  <c r="BB2813" i="1"/>
  <c r="BD2813" i="1"/>
  <c r="CE2813" i="1"/>
  <c r="A2814" i="1"/>
  <c r="C2814" i="1"/>
  <c r="E2814" i="1"/>
  <c r="S2814" i="1"/>
  <c r="T2814" i="1"/>
  <c r="U2814" i="1"/>
  <c r="BB2814" i="1"/>
  <c r="BD2814" i="1"/>
  <c r="CE2814" i="1"/>
  <c r="A2815" i="1"/>
  <c r="C2815" i="1"/>
  <c r="E2815" i="1"/>
  <c r="S2815" i="1"/>
  <c r="T2815" i="1"/>
  <c r="U2815" i="1"/>
  <c r="BB2815" i="1"/>
  <c r="BD2815" i="1"/>
  <c r="CE2815" i="1"/>
  <c r="A2816" i="1"/>
  <c r="C2816" i="1"/>
  <c r="E2816" i="1"/>
  <c r="S2816" i="1"/>
  <c r="T2816" i="1"/>
  <c r="U2816" i="1"/>
  <c r="BB2816" i="1"/>
  <c r="BD2816" i="1"/>
  <c r="CE2816" i="1"/>
  <c r="A2817" i="1"/>
  <c r="C2817" i="1"/>
  <c r="E2817" i="1"/>
  <c r="S2817" i="1"/>
  <c r="T2817" i="1"/>
  <c r="U2817" i="1"/>
  <c r="BB2817" i="1"/>
  <c r="BD2817" i="1"/>
  <c r="CE2817" i="1"/>
  <c r="A2818" i="1"/>
  <c r="C2818" i="1"/>
  <c r="E2818" i="1"/>
  <c r="S2818" i="1"/>
  <c r="T2818" i="1"/>
  <c r="U2818" i="1"/>
  <c r="BB2818" i="1"/>
  <c r="BD2818" i="1"/>
  <c r="CE2818" i="1"/>
  <c r="A2819" i="1"/>
  <c r="C2819" i="1"/>
  <c r="E2819" i="1"/>
  <c r="S2819" i="1"/>
  <c r="T2819" i="1"/>
  <c r="U2819" i="1"/>
  <c r="BB2819" i="1"/>
  <c r="BD2819" i="1"/>
  <c r="CE2819" i="1"/>
  <c r="A2820" i="1"/>
  <c r="C2820" i="1"/>
  <c r="E2820" i="1"/>
  <c r="S2820" i="1"/>
  <c r="T2820" i="1"/>
  <c r="U2820" i="1"/>
  <c r="BB2820" i="1"/>
  <c r="BD2820" i="1"/>
  <c r="CE2820" i="1"/>
  <c r="A2821" i="1"/>
  <c r="C2821" i="1"/>
  <c r="E2821" i="1"/>
  <c r="S2821" i="1"/>
  <c r="T2821" i="1"/>
  <c r="U2821" i="1"/>
  <c r="BB2821" i="1"/>
  <c r="BD2821" i="1"/>
  <c r="CE2821" i="1"/>
  <c r="A2822" i="1"/>
  <c r="C2822" i="1"/>
  <c r="E2822" i="1"/>
  <c r="S2822" i="1"/>
  <c r="T2822" i="1"/>
  <c r="U2822" i="1"/>
  <c r="BB2822" i="1"/>
  <c r="BD2822" i="1"/>
  <c r="CE2822" i="1"/>
  <c r="A2823" i="1"/>
  <c r="C2823" i="1"/>
  <c r="E2823" i="1"/>
  <c r="S2823" i="1"/>
  <c r="T2823" i="1"/>
  <c r="U2823" i="1"/>
  <c r="BB2823" i="1"/>
  <c r="BD2823" i="1"/>
  <c r="CE2823" i="1"/>
  <c r="A2824" i="1"/>
  <c r="C2824" i="1"/>
  <c r="E2824" i="1"/>
  <c r="S2824" i="1"/>
  <c r="T2824" i="1"/>
  <c r="U2824" i="1"/>
  <c r="BB2824" i="1"/>
  <c r="BD2824" i="1"/>
  <c r="CE2824" i="1"/>
  <c r="A2825" i="1"/>
  <c r="C2825" i="1"/>
  <c r="E2825" i="1"/>
  <c r="S2825" i="1"/>
  <c r="T2825" i="1"/>
  <c r="U2825" i="1"/>
  <c r="BB2825" i="1"/>
  <c r="BD2825" i="1"/>
  <c r="CE2825" i="1"/>
  <c r="A2826" i="1"/>
  <c r="C2826" i="1"/>
  <c r="E2826" i="1"/>
  <c r="S2826" i="1"/>
  <c r="T2826" i="1"/>
  <c r="U2826" i="1"/>
  <c r="BB2826" i="1"/>
  <c r="BD2826" i="1"/>
  <c r="CE2826" i="1"/>
  <c r="A2827" i="1"/>
  <c r="C2827" i="1"/>
  <c r="E2827" i="1"/>
  <c r="S2827" i="1"/>
  <c r="T2827" i="1"/>
  <c r="U2827" i="1"/>
  <c r="BB2827" i="1"/>
  <c r="BD2827" i="1"/>
  <c r="CE2827" i="1"/>
  <c r="A2828" i="1"/>
  <c r="C2828" i="1"/>
  <c r="E2828" i="1"/>
  <c r="S2828" i="1"/>
  <c r="T2828" i="1"/>
  <c r="U2828" i="1"/>
  <c r="BB2828" i="1"/>
  <c r="BD2828" i="1"/>
  <c r="CE2828" i="1"/>
  <c r="A2829" i="1"/>
  <c r="C2829" i="1"/>
  <c r="E2829" i="1"/>
  <c r="S2829" i="1"/>
  <c r="T2829" i="1"/>
  <c r="U2829" i="1"/>
  <c r="BB2829" i="1"/>
  <c r="BD2829" i="1"/>
  <c r="CE2829" i="1"/>
  <c r="A2830" i="1"/>
  <c r="C2830" i="1"/>
  <c r="E2830" i="1"/>
  <c r="S2830" i="1"/>
  <c r="T2830" i="1"/>
  <c r="U2830" i="1"/>
  <c r="BB2830" i="1"/>
  <c r="BD2830" i="1"/>
  <c r="CE2830" i="1"/>
  <c r="A2831" i="1"/>
  <c r="C2831" i="1"/>
  <c r="E2831" i="1"/>
  <c r="S2831" i="1"/>
  <c r="T2831" i="1"/>
  <c r="U2831" i="1"/>
  <c r="BB2831" i="1"/>
  <c r="BD2831" i="1"/>
  <c r="CE2831" i="1"/>
  <c r="A2832" i="1"/>
  <c r="C2832" i="1"/>
  <c r="E2832" i="1"/>
  <c r="S2832" i="1"/>
  <c r="T2832" i="1"/>
  <c r="U2832" i="1"/>
  <c r="BB2832" i="1"/>
  <c r="BD2832" i="1"/>
  <c r="CE2832" i="1"/>
  <c r="A2833" i="1"/>
  <c r="C2833" i="1"/>
  <c r="E2833" i="1"/>
  <c r="S2833" i="1"/>
  <c r="T2833" i="1"/>
  <c r="U2833" i="1"/>
  <c r="BB2833" i="1"/>
  <c r="BD2833" i="1"/>
  <c r="CE2833" i="1"/>
  <c r="A2834" i="1"/>
  <c r="C2834" i="1"/>
  <c r="E2834" i="1"/>
  <c r="S2834" i="1"/>
  <c r="T2834" i="1"/>
  <c r="U2834" i="1"/>
  <c r="BB2834" i="1"/>
  <c r="BD2834" i="1"/>
  <c r="CE2834" i="1"/>
  <c r="A2835" i="1"/>
  <c r="C2835" i="1"/>
  <c r="E2835" i="1"/>
  <c r="S2835" i="1"/>
  <c r="T2835" i="1"/>
  <c r="U2835" i="1"/>
  <c r="BB2835" i="1"/>
  <c r="BD2835" i="1"/>
  <c r="CE2835" i="1"/>
  <c r="A2836" i="1"/>
  <c r="C2836" i="1"/>
  <c r="E2836" i="1"/>
  <c r="S2836" i="1"/>
  <c r="T2836" i="1"/>
  <c r="U2836" i="1"/>
  <c r="BB2836" i="1"/>
  <c r="BD2836" i="1"/>
  <c r="CE2836" i="1"/>
  <c r="A2837" i="1"/>
  <c r="C2837" i="1"/>
  <c r="E2837" i="1"/>
  <c r="S2837" i="1"/>
  <c r="T2837" i="1"/>
  <c r="U2837" i="1"/>
  <c r="BB2837" i="1"/>
  <c r="BD2837" i="1"/>
  <c r="CE2837" i="1"/>
  <c r="A2838" i="1"/>
  <c r="C2838" i="1"/>
  <c r="E2838" i="1"/>
  <c r="S2838" i="1"/>
  <c r="T2838" i="1"/>
  <c r="U2838" i="1"/>
  <c r="BB2838" i="1"/>
  <c r="BD2838" i="1"/>
  <c r="CE2838" i="1"/>
  <c r="A2839" i="1"/>
  <c r="C2839" i="1"/>
  <c r="E2839" i="1"/>
  <c r="S2839" i="1"/>
  <c r="T2839" i="1"/>
  <c r="U2839" i="1"/>
  <c r="BB2839" i="1"/>
  <c r="BD2839" i="1"/>
  <c r="CE2839" i="1"/>
  <c r="A2840" i="1"/>
  <c r="C2840" i="1"/>
  <c r="E2840" i="1"/>
  <c r="S2840" i="1"/>
  <c r="T2840" i="1"/>
  <c r="U2840" i="1"/>
  <c r="BB2840" i="1"/>
  <c r="BD2840" i="1"/>
  <c r="CE2840" i="1"/>
  <c r="A2841" i="1"/>
  <c r="C2841" i="1"/>
  <c r="E2841" i="1"/>
  <c r="S2841" i="1"/>
  <c r="T2841" i="1"/>
  <c r="U2841" i="1"/>
  <c r="BB2841" i="1"/>
  <c r="BD2841" i="1"/>
  <c r="CE2841" i="1"/>
  <c r="A2842" i="1"/>
  <c r="C2842" i="1"/>
  <c r="E2842" i="1"/>
  <c r="S2842" i="1"/>
  <c r="T2842" i="1"/>
  <c r="U2842" i="1"/>
  <c r="BB2842" i="1"/>
  <c r="BD2842" i="1"/>
  <c r="CE2842" i="1"/>
  <c r="A2843" i="1"/>
  <c r="C2843" i="1"/>
  <c r="E2843" i="1"/>
  <c r="S2843" i="1"/>
  <c r="T2843" i="1"/>
  <c r="U2843" i="1"/>
  <c r="BB2843" i="1"/>
  <c r="BD2843" i="1"/>
  <c r="CE2843" i="1"/>
  <c r="A2844" i="1"/>
  <c r="C2844" i="1"/>
  <c r="E2844" i="1"/>
  <c r="S2844" i="1"/>
  <c r="T2844" i="1"/>
  <c r="U2844" i="1"/>
  <c r="BB2844" i="1"/>
  <c r="BD2844" i="1"/>
  <c r="CE2844" i="1"/>
  <c r="A2845" i="1"/>
  <c r="C2845" i="1"/>
  <c r="E2845" i="1"/>
  <c r="S2845" i="1"/>
  <c r="T2845" i="1"/>
  <c r="U2845" i="1"/>
  <c r="BB2845" i="1"/>
  <c r="BD2845" i="1"/>
  <c r="CE2845" i="1"/>
  <c r="A2846" i="1"/>
  <c r="C2846" i="1"/>
  <c r="E2846" i="1"/>
  <c r="S2846" i="1"/>
  <c r="T2846" i="1"/>
  <c r="U2846" i="1"/>
  <c r="BB2846" i="1"/>
  <c r="BD2846" i="1"/>
  <c r="CE2846" i="1"/>
  <c r="A2847" i="1"/>
  <c r="C2847" i="1"/>
  <c r="E2847" i="1"/>
  <c r="S2847" i="1"/>
  <c r="T2847" i="1"/>
  <c r="U2847" i="1"/>
  <c r="BB2847" i="1"/>
  <c r="BD2847" i="1"/>
  <c r="CE2847" i="1"/>
  <c r="A2848" i="1"/>
  <c r="C2848" i="1"/>
  <c r="E2848" i="1"/>
  <c r="S2848" i="1"/>
  <c r="T2848" i="1"/>
  <c r="U2848" i="1"/>
  <c r="BB2848" i="1"/>
  <c r="BD2848" i="1"/>
  <c r="CE2848" i="1"/>
  <c r="A2849" i="1"/>
  <c r="C2849" i="1"/>
  <c r="E2849" i="1"/>
  <c r="S2849" i="1"/>
  <c r="T2849" i="1"/>
  <c r="U2849" i="1"/>
  <c r="BB2849" i="1"/>
  <c r="BD2849" i="1"/>
  <c r="CE2849" i="1"/>
  <c r="A2850" i="1"/>
  <c r="C2850" i="1"/>
  <c r="E2850" i="1"/>
  <c r="S2850" i="1"/>
  <c r="T2850" i="1"/>
  <c r="U2850" i="1"/>
  <c r="BB2850" i="1"/>
  <c r="BD2850" i="1"/>
  <c r="CE2850" i="1"/>
  <c r="A2851" i="1"/>
  <c r="C2851" i="1"/>
  <c r="E2851" i="1"/>
  <c r="S2851" i="1"/>
  <c r="T2851" i="1"/>
  <c r="U2851" i="1"/>
  <c r="BB2851" i="1"/>
  <c r="BD2851" i="1"/>
  <c r="CE2851" i="1"/>
  <c r="A2852" i="1"/>
  <c r="C2852" i="1"/>
  <c r="E2852" i="1"/>
  <c r="S2852" i="1"/>
  <c r="T2852" i="1"/>
  <c r="U2852" i="1"/>
  <c r="BB2852" i="1"/>
  <c r="BD2852" i="1"/>
  <c r="CE2852" i="1"/>
  <c r="A2853" i="1"/>
  <c r="C2853" i="1"/>
  <c r="E2853" i="1"/>
  <c r="S2853" i="1"/>
  <c r="T2853" i="1"/>
  <c r="U2853" i="1"/>
  <c r="BB2853" i="1"/>
  <c r="BD2853" i="1"/>
  <c r="CE2853" i="1"/>
  <c r="A2854" i="1"/>
  <c r="C2854" i="1"/>
  <c r="E2854" i="1"/>
  <c r="S2854" i="1"/>
  <c r="T2854" i="1"/>
  <c r="U2854" i="1"/>
  <c r="BB2854" i="1"/>
  <c r="BD2854" i="1"/>
  <c r="CE2854" i="1"/>
  <c r="A2855" i="1"/>
  <c r="C2855" i="1"/>
  <c r="E2855" i="1"/>
  <c r="S2855" i="1"/>
  <c r="T2855" i="1"/>
  <c r="U2855" i="1"/>
  <c r="BB2855" i="1"/>
  <c r="BD2855" i="1"/>
  <c r="CE2855" i="1"/>
  <c r="A2856" i="1"/>
  <c r="C2856" i="1"/>
  <c r="E2856" i="1"/>
  <c r="S2856" i="1"/>
  <c r="T2856" i="1"/>
  <c r="U2856" i="1"/>
  <c r="BB2856" i="1"/>
  <c r="BD2856" i="1"/>
  <c r="CE2856" i="1"/>
  <c r="A2857" i="1"/>
  <c r="C2857" i="1"/>
  <c r="E2857" i="1"/>
  <c r="S2857" i="1"/>
  <c r="T2857" i="1"/>
  <c r="U2857" i="1"/>
  <c r="BB2857" i="1"/>
  <c r="BD2857" i="1"/>
  <c r="CE2857" i="1"/>
  <c r="A2858" i="1"/>
  <c r="C2858" i="1"/>
  <c r="E2858" i="1"/>
  <c r="S2858" i="1"/>
  <c r="T2858" i="1"/>
  <c r="U2858" i="1"/>
  <c r="BB2858" i="1"/>
  <c r="BD2858" i="1"/>
  <c r="CE2858" i="1"/>
  <c r="A2859" i="1"/>
  <c r="C2859" i="1"/>
  <c r="E2859" i="1"/>
  <c r="S2859" i="1"/>
  <c r="T2859" i="1"/>
  <c r="U2859" i="1"/>
  <c r="BB2859" i="1"/>
  <c r="BD2859" i="1"/>
  <c r="CE2859" i="1"/>
  <c r="A2860" i="1"/>
  <c r="C2860" i="1"/>
  <c r="E2860" i="1"/>
  <c r="S2860" i="1"/>
  <c r="T2860" i="1"/>
  <c r="U2860" i="1"/>
  <c r="BB2860" i="1"/>
  <c r="BD2860" i="1"/>
  <c r="CE2860" i="1"/>
  <c r="A2861" i="1"/>
  <c r="C2861" i="1"/>
  <c r="E2861" i="1"/>
  <c r="S2861" i="1"/>
  <c r="T2861" i="1"/>
  <c r="U2861" i="1"/>
  <c r="BB2861" i="1"/>
  <c r="BD2861" i="1"/>
  <c r="CE2861" i="1"/>
  <c r="A2862" i="1"/>
  <c r="C2862" i="1"/>
  <c r="E2862" i="1"/>
  <c r="S2862" i="1"/>
  <c r="T2862" i="1"/>
  <c r="U2862" i="1"/>
  <c r="BB2862" i="1"/>
  <c r="BD2862" i="1"/>
  <c r="CE2862" i="1"/>
  <c r="A2863" i="1"/>
  <c r="C2863" i="1"/>
  <c r="E2863" i="1"/>
  <c r="S2863" i="1"/>
  <c r="T2863" i="1"/>
  <c r="U2863" i="1"/>
  <c r="BB2863" i="1"/>
  <c r="BD2863" i="1"/>
  <c r="CE2863" i="1"/>
  <c r="A2864" i="1"/>
  <c r="C2864" i="1"/>
  <c r="E2864" i="1"/>
  <c r="S2864" i="1"/>
  <c r="T2864" i="1"/>
  <c r="U2864" i="1"/>
  <c r="BB2864" i="1"/>
  <c r="BD2864" i="1"/>
  <c r="CE2864" i="1"/>
  <c r="A2865" i="1"/>
  <c r="C2865" i="1"/>
  <c r="E2865" i="1"/>
  <c r="S2865" i="1"/>
  <c r="T2865" i="1"/>
  <c r="U2865" i="1"/>
  <c r="BB2865" i="1"/>
  <c r="BD2865" i="1"/>
  <c r="CE2865" i="1"/>
  <c r="A2866" i="1"/>
  <c r="C2866" i="1"/>
  <c r="E2866" i="1"/>
  <c r="S2866" i="1"/>
  <c r="T2866" i="1"/>
  <c r="U2866" i="1"/>
  <c r="BB2866" i="1"/>
  <c r="BD2866" i="1"/>
  <c r="CE2866" i="1"/>
  <c r="A2867" i="1"/>
  <c r="C2867" i="1"/>
  <c r="E2867" i="1"/>
  <c r="S2867" i="1"/>
  <c r="T2867" i="1"/>
  <c r="U2867" i="1"/>
  <c r="BB2867" i="1"/>
  <c r="BD2867" i="1"/>
  <c r="CE2867" i="1"/>
  <c r="A2868" i="1"/>
  <c r="C2868" i="1"/>
  <c r="E2868" i="1"/>
  <c r="S2868" i="1"/>
  <c r="T2868" i="1"/>
  <c r="U2868" i="1"/>
  <c r="BB2868" i="1"/>
  <c r="BD2868" i="1"/>
  <c r="CE2868" i="1"/>
  <c r="A2869" i="1"/>
  <c r="C2869" i="1"/>
  <c r="E2869" i="1"/>
  <c r="S2869" i="1"/>
  <c r="T2869" i="1"/>
  <c r="U2869" i="1"/>
  <c r="BB2869" i="1"/>
  <c r="BD2869" i="1"/>
  <c r="CE2869" i="1"/>
  <c r="A2870" i="1"/>
  <c r="C2870" i="1"/>
  <c r="E2870" i="1"/>
  <c r="S2870" i="1"/>
  <c r="T2870" i="1"/>
  <c r="U2870" i="1"/>
  <c r="BB2870" i="1"/>
  <c r="BD2870" i="1"/>
  <c r="CE2870" i="1"/>
  <c r="A2871" i="1"/>
  <c r="C2871" i="1"/>
  <c r="E2871" i="1"/>
  <c r="S2871" i="1"/>
  <c r="T2871" i="1"/>
  <c r="U2871" i="1"/>
  <c r="BB2871" i="1"/>
  <c r="BD2871" i="1"/>
  <c r="CE2871" i="1"/>
  <c r="A2872" i="1"/>
  <c r="C2872" i="1"/>
  <c r="E2872" i="1"/>
  <c r="S2872" i="1"/>
  <c r="T2872" i="1"/>
  <c r="U2872" i="1"/>
  <c r="BB2872" i="1"/>
  <c r="BD2872" i="1"/>
  <c r="CE2872" i="1"/>
  <c r="A2873" i="1"/>
  <c r="C2873" i="1"/>
  <c r="E2873" i="1"/>
  <c r="S2873" i="1"/>
  <c r="T2873" i="1"/>
  <c r="U2873" i="1"/>
  <c r="BB2873" i="1"/>
  <c r="BD2873" i="1"/>
  <c r="CE2873" i="1"/>
  <c r="A2874" i="1"/>
  <c r="C2874" i="1"/>
  <c r="E2874" i="1"/>
  <c r="S2874" i="1"/>
  <c r="T2874" i="1"/>
  <c r="U2874" i="1"/>
  <c r="BB2874" i="1"/>
  <c r="BD2874" i="1"/>
  <c r="CE2874" i="1"/>
  <c r="A2875" i="1"/>
  <c r="C2875" i="1"/>
  <c r="E2875" i="1"/>
  <c r="S2875" i="1"/>
  <c r="T2875" i="1"/>
  <c r="U2875" i="1"/>
  <c r="BB2875" i="1"/>
  <c r="BD2875" i="1"/>
  <c r="CE2875" i="1"/>
  <c r="A2876" i="1"/>
  <c r="C2876" i="1"/>
  <c r="E2876" i="1"/>
  <c r="S2876" i="1"/>
  <c r="T2876" i="1"/>
  <c r="U2876" i="1"/>
  <c r="BB2876" i="1"/>
  <c r="BD2876" i="1"/>
  <c r="CE2876" i="1"/>
  <c r="A2877" i="1"/>
  <c r="C2877" i="1"/>
  <c r="E2877" i="1"/>
  <c r="S2877" i="1"/>
  <c r="T2877" i="1"/>
  <c r="U2877" i="1"/>
  <c r="BB2877" i="1"/>
  <c r="BD2877" i="1"/>
  <c r="CE2877" i="1"/>
  <c r="A2878" i="1"/>
  <c r="C2878" i="1"/>
  <c r="E2878" i="1"/>
  <c r="S2878" i="1"/>
  <c r="T2878" i="1"/>
  <c r="U2878" i="1"/>
  <c r="BB2878" i="1"/>
  <c r="BD2878" i="1"/>
  <c r="CE2878" i="1"/>
  <c r="A2879" i="1"/>
  <c r="C2879" i="1"/>
  <c r="E2879" i="1"/>
  <c r="S2879" i="1"/>
  <c r="T2879" i="1"/>
  <c r="U2879" i="1"/>
  <c r="BB2879" i="1"/>
  <c r="BD2879" i="1"/>
  <c r="CE2879" i="1"/>
  <c r="A2880" i="1"/>
  <c r="C2880" i="1"/>
  <c r="E2880" i="1"/>
  <c r="S2880" i="1"/>
  <c r="T2880" i="1"/>
  <c r="U2880" i="1"/>
  <c r="BB2880" i="1"/>
  <c r="BD2880" i="1"/>
  <c r="CE2880" i="1"/>
  <c r="A2881" i="1"/>
  <c r="C2881" i="1"/>
  <c r="E2881" i="1"/>
  <c r="S2881" i="1"/>
  <c r="T2881" i="1"/>
  <c r="U2881" i="1"/>
  <c r="BB2881" i="1"/>
  <c r="BD2881" i="1"/>
  <c r="CE2881" i="1"/>
  <c r="A2882" i="1"/>
  <c r="C2882" i="1"/>
  <c r="E2882" i="1"/>
  <c r="S2882" i="1"/>
  <c r="T2882" i="1"/>
  <c r="U2882" i="1"/>
  <c r="BB2882" i="1"/>
  <c r="BD2882" i="1"/>
  <c r="CE2882" i="1"/>
  <c r="A2883" i="1"/>
  <c r="C2883" i="1"/>
  <c r="E2883" i="1"/>
  <c r="S2883" i="1"/>
  <c r="T2883" i="1"/>
  <c r="U2883" i="1"/>
  <c r="BB2883" i="1"/>
  <c r="BD2883" i="1"/>
  <c r="CE2883" i="1"/>
  <c r="A2884" i="1"/>
  <c r="C2884" i="1"/>
  <c r="E2884" i="1"/>
  <c r="S2884" i="1"/>
  <c r="T2884" i="1"/>
  <c r="U2884" i="1"/>
  <c r="BB2884" i="1"/>
  <c r="BD2884" i="1"/>
  <c r="CE2884" i="1"/>
  <c r="A2885" i="1"/>
  <c r="C2885" i="1"/>
  <c r="E2885" i="1"/>
  <c r="S2885" i="1"/>
  <c r="T2885" i="1"/>
  <c r="U2885" i="1"/>
  <c r="BB2885" i="1"/>
  <c r="BD2885" i="1"/>
  <c r="CE2885" i="1"/>
  <c r="A2886" i="1"/>
  <c r="C2886" i="1"/>
  <c r="E2886" i="1"/>
  <c r="S2886" i="1"/>
  <c r="T2886" i="1"/>
  <c r="U2886" i="1"/>
  <c r="BB2886" i="1"/>
  <c r="BD2886" i="1"/>
  <c r="CE2886" i="1"/>
  <c r="A2887" i="1"/>
  <c r="C2887" i="1"/>
  <c r="E2887" i="1"/>
  <c r="S2887" i="1"/>
  <c r="T2887" i="1"/>
  <c r="U2887" i="1"/>
  <c r="BB2887" i="1"/>
  <c r="BD2887" i="1"/>
  <c r="CE2887" i="1"/>
  <c r="A2888" i="1"/>
  <c r="C2888" i="1"/>
  <c r="E2888" i="1"/>
  <c r="S2888" i="1"/>
  <c r="T2888" i="1"/>
  <c r="U2888" i="1"/>
  <c r="BB2888" i="1"/>
  <c r="BD2888" i="1"/>
  <c r="CE2888" i="1"/>
  <c r="A2889" i="1"/>
  <c r="C2889" i="1"/>
  <c r="E2889" i="1"/>
  <c r="S2889" i="1"/>
  <c r="T2889" i="1"/>
  <c r="U2889" i="1"/>
  <c r="BB2889" i="1"/>
  <c r="BD2889" i="1"/>
  <c r="CE2889" i="1"/>
  <c r="A2890" i="1"/>
  <c r="C2890" i="1"/>
  <c r="E2890" i="1"/>
  <c r="S2890" i="1"/>
  <c r="T2890" i="1"/>
  <c r="U2890" i="1"/>
  <c r="BB2890" i="1"/>
  <c r="BD2890" i="1"/>
  <c r="CE2890" i="1"/>
  <c r="A2891" i="1"/>
  <c r="C2891" i="1"/>
  <c r="E2891" i="1"/>
  <c r="S2891" i="1"/>
  <c r="T2891" i="1"/>
  <c r="U2891" i="1"/>
  <c r="BB2891" i="1"/>
  <c r="BD2891" i="1"/>
  <c r="CE2891" i="1"/>
  <c r="A2892" i="1"/>
  <c r="C2892" i="1"/>
  <c r="E2892" i="1"/>
  <c r="S2892" i="1"/>
  <c r="T2892" i="1"/>
  <c r="U2892" i="1"/>
  <c r="BB2892" i="1"/>
  <c r="BD2892" i="1"/>
  <c r="CE2892" i="1"/>
  <c r="A2893" i="1"/>
  <c r="C2893" i="1"/>
  <c r="E2893" i="1"/>
  <c r="S2893" i="1"/>
  <c r="T2893" i="1"/>
  <c r="U2893" i="1"/>
  <c r="BB2893" i="1"/>
  <c r="BD2893" i="1"/>
  <c r="CE2893" i="1"/>
  <c r="A2894" i="1"/>
  <c r="C2894" i="1"/>
  <c r="E2894" i="1"/>
  <c r="S2894" i="1"/>
  <c r="T2894" i="1"/>
  <c r="U2894" i="1"/>
  <c r="BB2894" i="1"/>
  <c r="BD2894" i="1"/>
  <c r="CE2894" i="1"/>
  <c r="A2895" i="1"/>
  <c r="C2895" i="1"/>
  <c r="E2895" i="1"/>
  <c r="S2895" i="1"/>
  <c r="T2895" i="1"/>
  <c r="U2895" i="1"/>
  <c r="BB2895" i="1"/>
  <c r="BD2895" i="1"/>
  <c r="CE2895" i="1"/>
  <c r="A2896" i="1"/>
  <c r="C2896" i="1"/>
  <c r="E2896" i="1"/>
  <c r="S2896" i="1"/>
  <c r="T2896" i="1"/>
  <c r="U2896" i="1"/>
  <c r="BB2896" i="1"/>
  <c r="BD2896" i="1"/>
  <c r="CE2896" i="1"/>
  <c r="A2897" i="1"/>
  <c r="C2897" i="1"/>
  <c r="E2897" i="1"/>
  <c r="S2897" i="1"/>
  <c r="T2897" i="1"/>
  <c r="U2897" i="1"/>
  <c r="BB2897" i="1"/>
  <c r="BD2897" i="1"/>
  <c r="CE2897" i="1"/>
  <c r="A2898" i="1"/>
  <c r="C2898" i="1"/>
  <c r="E2898" i="1"/>
  <c r="S2898" i="1"/>
  <c r="T2898" i="1"/>
  <c r="U2898" i="1"/>
  <c r="BB2898" i="1"/>
  <c r="BD2898" i="1"/>
  <c r="CE2898" i="1"/>
  <c r="A2899" i="1"/>
  <c r="C2899" i="1"/>
  <c r="E2899" i="1"/>
  <c r="S2899" i="1"/>
  <c r="T2899" i="1"/>
  <c r="U2899" i="1"/>
  <c r="BB2899" i="1"/>
  <c r="BD2899" i="1"/>
  <c r="CE2899" i="1"/>
  <c r="A2900" i="1"/>
  <c r="C2900" i="1"/>
  <c r="E2900" i="1"/>
  <c r="S2900" i="1"/>
  <c r="T2900" i="1"/>
  <c r="U2900" i="1"/>
  <c r="BB2900" i="1"/>
  <c r="BD2900" i="1"/>
  <c r="CE2900" i="1"/>
  <c r="A2901" i="1"/>
  <c r="C2901" i="1"/>
  <c r="E2901" i="1"/>
  <c r="S2901" i="1"/>
  <c r="T2901" i="1"/>
  <c r="U2901" i="1"/>
  <c r="BB2901" i="1"/>
  <c r="BD2901" i="1"/>
  <c r="CE2901" i="1"/>
  <c r="A2902" i="1"/>
  <c r="C2902" i="1"/>
  <c r="E2902" i="1"/>
  <c r="S2902" i="1"/>
  <c r="T2902" i="1"/>
  <c r="U2902" i="1"/>
  <c r="BB2902" i="1"/>
  <c r="BD2902" i="1"/>
  <c r="CE2902" i="1"/>
  <c r="A2903" i="1"/>
  <c r="C2903" i="1"/>
  <c r="E2903" i="1"/>
  <c r="S2903" i="1"/>
  <c r="T2903" i="1"/>
  <c r="U2903" i="1"/>
  <c r="BB2903" i="1"/>
  <c r="BD2903" i="1"/>
  <c r="CE2903" i="1"/>
  <c r="A2904" i="1"/>
  <c r="C2904" i="1"/>
  <c r="E2904" i="1"/>
  <c r="S2904" i="1"/>
  <c r="T2904" i="1"/>
  <c r="U2904" i="1"/>
  <c r="BB2904" i="1"/>
  <c r="BD2904" i="1"/>
  <c r="CE2904" i="1"/>
  <c r="A2905" i="1"/>
  <c r="C2905" i="1"/>
  <c r="E2905" i="1"/>
  <c r="S2905" i="1"/>
  <c r="T2905" i="1"/>
  <c r="U2905" i="1"/>
  <c r="BB2905" i="1"/>
  <c r="BD2905" i="1"/>
  <c r="CE2905" i="1"/>
  <c r="A2906" i="1"/>
  <c r="C2906" i="1"/>
  <c r="E2906" i="1"/>
  <c r="S2906" i="1"/>
  <c r="T2906" i="1"/>
  <c r="U2906" i="1"/>
  <c r="BB2906" i="1"/>
  <c r="BD2906" i="1"/>
  <c r="CE2906" i="1"/>
  <c r="A2907" i="1"/>
  <c r="C2907" i="1"/>
  <c r="E2907" i="1"/>
  <c r="S2907" i="1"/>
  <c r="T2907" i="1"/>
  <c r="U2907" i="1"/>
  <c r="BB2907" i="1"/>
  <c r="BD2907" i="1"/>
  <c r="CE2907" i="1"/>
  <c r="A2908" i="1"/>
  <c r="C2908" i="1"/>
  <c r="E2908" i="1"/>
  <c r="S2908" i="1"/>
  <c r="T2908" i="1"/>
  <c r="U2908" i="1"/>
  <c r="BB2908" i="1"/>
  <c r="BD2908" i="1"/>
  <c r="CE2908" i="1"/>
  <c r="A2909" i="1"/>
  <c r="C2909" i="1"/>
  <c r="E2909" i="1"/>
  <c r="S2909" i="1"/>
  <c r="T2909" i="1"/>
  <c r="U2909" i="1"/>
  <c r="BB2909" i="1"/>
  <c r="BD2909" i="1"/>
  <c r="CE2909" i="1"/>
  <c r="A2910" i="1"/>
  <c r="C2910" i="1"/>
  <c r="E2910" i="1"/>
  <c r="S2910" i="1"/>
  <c r="T2910" i="1"/>
  <c r="U2910" i="1"/>
  <c r="BB2910" i="1"/>
  <c r="BD2910" i="1"/>
  <c r="CE2910" i="1"/>
  <c r="A2911" i="1"/>
  <c r="C2911" i="1"/>
  <c r="E2911" i="1"/>
  <c r="S2911" i="1"/>
  <c r="T2911" i="1"/>
  <c r="U2911" i="1"/>
  <c r="BB2911" i="1"/>
  <c r="BD2911" i="1"/>
  <c r="CE2911" i="1"/>
  <c r="A2912" i="1"/>
  <c r="C2912" i="1"/>
  <c r="E2912" i="1"/>
  <c r="S2912" i="1"/>
  <c r="T2912" i="1"/>
  <c r="U2912" i="1"/>
  <c r="BB2912" i="1"/>
  <c r="BD2912" i="1"/>
  <c r="CE2912" i="1"/>
  <c r="A2913" i="1"/>
  <c r="C2913" i="1"/>
  <c r="E2913" i="1"/>
  <c r="S2913" i="1"/>
  <c r="T2913" i="1"/>
  <c r="U2913" i="1"/>
  <c r="BB2913" i="1"/>
  <c r="BD2913" i="1"/>
  <c r="CE2913" i="1"/>
  <c r="A2914" i="1"/>
  <c r="C2914" i="1"/>
  <c r="E2914" i="1"/>
  <c r="S2914" i="1"/>
  <c r="T2914" i="1"/>
  <c r="U2914" i="1"/>
  <c r="BB2914" i="1"/>
  <c r="BD2914" i="1"/>
  <c r="CE2914" i="1"/>
  <c r="A2915" i="1"/>
  <c r="C2915" i="1"/>
  <c r="E2915" i="1"/>
  <c r="S2915" i="1"/>
  <c r="T2915" i="1"/>
  <c r="U2915" i="1"/>
  <c r="BB2915" i="1"/>
  <c r="BD2915" i="1"/>
  <c r="CE2915" i="1"/>
  <c r="A2916" i="1"/>
  <c r="C2916" i="1"/>
  <c r="E2916" i="1"/>
  <c r="S2916" i="1"/>
  <c r="T2916" i="1"/>
  <c r="U2916" i="1"/>
  <c r="BB2916" i="1"/>
  <c r="BD2916" i="1"/>
  <c r="CE2916" i="1"/>
  <c r="A2917" i="1"/>
  <c r="C2917" i="1"/>
  <c r="E2917" i="1"/>
  <c r="S2917" i="1"/>
  <c r="T2917" i="1"/>
  <c r="U2917" i="1"/>
  <c r="BB2917" i="1"/>
  <c r="BD2917" i="1"/>
  <c r="CE2917" i="1"/>
  <c r="A2918" i="1"/>
  <c r="C2918" i="1"/>
  <c r="E2918" i="1"/>
  <c r="S2918" i="1"/>
  <c r="T2918" i="1"/>
  <c r="U2918" i="1"/>
  <c r="BB2918" i="1"/>
  <c r="BD2918" i="1"/>
  <c r="CE2918" i="1"/>
  <c r="A2919" i="1"/>
  <c r="C2919" i="1"/>
  <c r="E2919" i="1"/>
  <c r="S2919" i="1"/>
  <c r="T2919" i="1"/>
  <c r="U2919" i="1"/>
  <c r="BB2919" i="1"/>
  <c r="BD2919" i="1"/>
  <c r="CE2919" i="1"/>
  <c r="A2920" i="1"/>
  <c r="C2920" i="1"/>
  <c r="E2920" i="1"/>
  <c r="S2920" i="1"/>
  <c r="T2920" i="1"/>
  <c r="U2920" i="1"/>
  <c r="BB2920" i="1"/>
  <c r="BD2920" i="1"/>
  <c r="CE2920" i="1"/>
  <c r="A2921" i="1"/>
  <c r="C2921" i="1"/>
  <c r="E2921" i="1"/>
  <c r="S2921" i="1"/>
  <c r="T2921" i="1"/>
  <c r="U2921" i="1"/>
  <c r="BB2921" i="1"/>
  <c r="BD2921" i="1"/>
  <c r="CE2921" i="1"/>
  <c r="A2922" i="1"/>
  <c r="C2922" i="1"/>
  <c r="E2922" i="1"/>
  <c r="S2922" i="1"/>
  <c r="T2922" i="1"/>
  <c r="U2922" i="1"/>
  <c r="BB2922" i="1"/>
  <c r="BD2922" i="1"/>
  <c r="CE2922" i="1"/>
  <c r="A2923" i="1"/>
  <c r="C2923" i="1"/>
  <c r="E2923" i="1"/>
  <c r="S2923" i="1"/>
  <c r="T2923" i="1"/>
  <c r="U2923" i="1"/>
  <c r="BB2923" i="1"/>
  <c r="BD2923" i="1"/>
  <c r="CE2923" i="1"/>
  <c r="A2924" i="1"/>
  <c r="C2924" i="1"/>
  <c r="E2924" i="1"/>
  <c r="S2924" i="1"/>
  <c r="T2924" i="1"/>
  <c r="U2924" i="1"/>
  <c r="BB2924" i="1"/>
  <c r="BD2924" i="1"/>
  <c r="CE2924" i="1"/>
  <c r="A2925" i="1"/>
  <c r="C2925" i="1"/>
  <c r="E2925" i="1"/>
  <c r="S2925" i="1"/>
  <c r="T2925" i="1"/>
  <c r="U2925" i="1"/>
  <c r="BB2925" i="1"/>
  <c r="BD2925" i="1"/>
  <c r="CE2925" i="1"/>
  <c r="A2926" i="1"/>
  <c r="C2926" i="1"/>
  <c r="E2926" i="1"/>
  <c r="S2926" i="1"/>
  <c r="T2926" i="1"/>
  <c r="U2926" i="1"/>
  <c r="BB2926" i="1"/>
  <c r="BD2926" i="1"/>
  <c r="CE2926" i="1"/>
  <c r="A2927" i="1"/>
  <c r="C2927" i="1"/>
  <c r="E2927" i="1"/>
  <c r="S2927" i="1"/>
  <c r="T2927" i="1"/>
  <c r="U2927" i="1"/>
  <c r="BB2927" i="1"/>
  <c r="BD2927" i="1"/>
  <c r="CE2927" i="1"/>
  <c r="A2928" i="1"/>
  <c r="C2928" i="1"/>
  <c r="E2928" i="1"/>
  <c r="S2928" i="1"/>
  <c r="T2928" i="1"/>
  <c r="U2928" i="1"/>
  <c r="BB2928" i="1"/>
  <c r="BD2928" i="1"/>
  <c r="CE2928" i="1"/>
  <c r="A2929" i="1"/>
  <c r="C2929" i="1"/>
  <c r="E2929" i="1"/>
  <c r="S2929" i="1"/>
  <c r="T2929" i="1"/>
  <c r="U2929" i="1"/>
  <c r="BB2929" i="1"/>
  <c r="BD2929" i="1"/>
  <c r="CE2929" i="1"/>
  <c r="A2930" i="1"/>
  <c r="C2930" i="1"/>
  <c r="E2930" i="1"/>
  <c r="S2930" i="1"/>
  <c r="T2930" i="1"/>
  <c r="U2930" i="1"/>
  <c r="BB2930" i="1"/>
  <c r="BD2930" i="1"/>
  <c r="CE2930" i="1"/>
  <c r="A2931" i="1"/>
  <c r="C2931" i="1"/>
  <c r="E2931" i="1"/>
  <c r="S2931" i="1"/>
  <c r="T2931" i="1"/>
  <c r="U2931" i="1"/>
  <c r="BB2931" i="1"/>
  <c r="BD2931" i="1"/>
  <c r="CE2931" i="1"/>
  <c r="A2932" i="1"/>
  <c r="C2932" i="1"/>
  <c r="E2932" i="1"/>
  <c r="S2932" i="1"/>
  <c r="T2932" i="1"/>
  <c r="U2932" i="1"/>
  <c r="BB2932" i="1"/>
  <c r="BD2932" i="1"/>
  <c r="CE2932" i="1"/>
  <c r="A2933" i="1"/>
  <c r="C2933" i="1"/>
  <c r="E2933" i="1"/>
  <c r="S2933" i="1"/>
  <c r="T2933" i="1"/>
  <c r="U2933" i="1"/>
  <c r="BB2933" i="1"/>
  <c r="BD2933" i="1"/>
  <c r="CE2933" i="1"/>
  <c r="A2934" i="1"/>
  <c r="C2934" i="1"/>
  <c r="E2934" i="1"/>
  <c r="S2934" i="1"/>
  <c r="T2934" i="1"/>
  <c r="U2934" i="1"/>
  <c r="BB2934" i="1"/>
  <c r="BD2934" i="1"/>
  <c r="CE2934" i="1"/>
  <c r="A2935" i="1"/>
  <c r="C2935" i="1"/>
  <c r="E2935" i="1"/>
  <c r="S2935" i="1"/>
  <c r="T2935" i="1"/>
  <c r="U2935" i="1"/>
  <c r="BB2935" i="1"/>
  <c r="BD2935" i="1"/>
  <c r="CE2935" i="1"/>
  <c r="A2936" i="1"/>
  <c r="C2936" i="1"/>
  <c r="E2936" i="1"/>
  <c r="S2936" i="1"/>
  <c r="T2936" i="1"/>
  <c r="U2936" i="1"/>
  <c r="BB2936" i="1"/>
  <c r="BD2936" i="1"/>
  <c r="CE2936" i="1"/>
  <c r="A2937" i="1"/>
  <c r="C2937" i="1"/>
  <c r="E2937" i="1"/>
  <c r="S2937" i="1"/>
  <c r="T2937" i="1"/>
  <c r="U2937" i="1"/>
  <c r="BB2937" i="1"/>
  <c r="BD2937" i="1"/>
  <c r="CE2937" i="1"/>
  <c r="A2938" i="1"/>
  <c r="C2938" i="1"/>
  <c r="E2938" i="1"/>
  <c r="S2938" i="1"/>
  <c r="T2938" i="1"/>
  <c r="U2938" i="1"/>
  <c r="BB2938" i="1"/>
  <c r="BD2938" i="1"/>
  <c r="CE2938" i="1"/>
  <c r="A2939" i="1"/>
  <c r="C2939" i="1"/>
  <c r="E2939" i="1"/>
  <c r="S2939" i="1"/>
  <c r="T2939" i="1"/>
  <c r="U2939" i="1"/>
  <c r="BB2939" i="1"/>
  <c r="BD2939" i="1"/>
  <c r="CE2939" i="1"/>
  <c r="A2940" i="1"/>
  <c r="C2940" i="1"/>
  <c r="E2940" i="1"/>
  <c r="S2940" i="1"/>
  <c r="T2940" i="1"/>
  <c r="U2940" i="1"/>
  <c r="BB2940" i="1"/>
  <c r="BD2940" i="1"/>
  <c r="CE2940" i="1"/>
  <c r="A2941" i="1"/>
  <c r="C2941" i="1"/>
  <c r="E2941" i="1"/>
  <c r="S2941" i="1"/>
  <c r="T2941" i="1"/>
  <c r="U2941" i="1"/>
  <c r="BB2941" i="1"/>
  <c r="BD2941" i="1"/>
  <c r="CE2941" i="1"/>
  <c r="A2942" i="1"/>
  <c r="C2942" i="1"/>
  <c r="E2942" i="1"/>
  <c r="S2942" i="1"/>
  <c r="T2942" i="1"/>
  <c r="U2942" i="1"/>
  <c r="BB2942" i="1"/>
  <c r="BD2942" i="1"/>
  <c r="CE2942" i="1"/>
  <c r="A2943" i="1"/>
  <c r="C2943" i="1"/>
  <c r="E2943" i="1"/>
  <c r="S2943" i="1"/>
  <c r="T2943" i="1"/>
  <c r="U2943" i="1"/>
  <c r="BB2943" i="1"/>
  <c r="BD2943" i="1"/>
  <c r="CE2943" i="1"/>
  <c r="A2944" i="1"/>
  <c r="C2944" i="1"/>
  <c r="E2944" i="1"/>
  <c r="S2944" i="1"/>
  <c r="T2944" i="1"/>
  <c r="U2944" i="1"/>
  <c r="BB2944" i="1"/>
  <c r="BD2944" i="1"/>
  <c r="CE2944" i="1"/>
  <c r="A2945" i="1"/>
  <c r="C2945" i="1"/>
  <c r="E2945" i="1"/>
  <c r="S2945" i="1"/>
  <c r="T2945" i="1"/>
  <c r="U2945" i="1"/>
  <c r="BB2945" i="1"/>
  <c r="BD2945" i="1"/>
  <c r="CE2945" i="1"/>
  <c r="A2946" i="1"/>
  <c r="C2946" i="1"/>
  <c r="E2946" i="1"/>
  <c r="S2946" i="1"/>
  <c r="T2946" i="1"/>
  <c r="U2946" i="1"/>
  <c r="BB2946" i="1"/>
  <c r="BD2946" i="1"/>
  <c r="CE2946" i="1"/>
  <c r="A2947" i="1"/>
  <c r="C2947" i="1"/>
  <c r="E2947" i="1"/>
  <c r="S2947" i="1"/>
  <c r="T2947" i="1"/>
  <c r="U2947" i="1"/>
  <c r="BB2947" i="1"/>
  <c r="BD2947" i="1"/>
  <c r="CE2947" i="1"/>
  <c r="A2948" i="1"/>
  <c r="C2948" i="1"/>
  <c r="E2948" i="1"/>
  <c r="S2948" i="1"/>
  <c r="T2948" i="1"/>
  <c r="U2948" i="1"/>
  <c r="BB2948" i="1"/>
  <c r="BD2948" i="1"/>
  <c r="CE2948" i="1"/>
  <c r="A2949" i="1"/>
  <c r="C2949" i="1"/>
  <c r="E2949" i="1"/>
  <c r="S2949" i="1"/>
  <c r="T2949" i="1"/>
  <c r="U2949" i="1"/>
  <c r="BB2949" i="1"/>
  <c r="BD2949" i="1"/>
  <c r="CE2949" i="1"/>
  <c r="A2950" i="1"/>
  <c r="C2950" i="1"/>
  <c r="E2950" i="1"/>
  <c r="S2950" i="1"/>
  <c r="T2950" i="1"/>
  <c r="U2950" i="1"/>
  <c r="BB2950" i="1"/>
  <c r="BD2950" i="1"/>
  <c r="CE2950" i="1"/>
  <c r="A2951" i="1"/>
  <c r="C2951" i="1"/>
  <c r="E2951" i="1"/>
  <c r="S2951" i="1"/>
  <c r="T2951" i="1"/>
  <c r="U2951" i="1"/>
  <c r="BB2951" i="1"/>
  <c r="BD2951" i="1"/>
  <c r="CE2951" i="1"/>
  <c r="A2952" i="1"/>
  <c r="C2952" i="1"/>
  <c r="E2952" i="1"/>
  <c r="S2952" i="1"/>
  <c r="T2952" i="1"/>
  <c r="U2952" i="1"/>
  <c r="BB2952" i="1"/>
  <c r="BD2952" i="1"/>
  <c r="CE2952" i="1"/>
  <c r="A2953" i="1"/>
  <c r="C2953" i="1"/>
  <c r="E2953" i="1"/>
  <c r="S2953" i="1"/>
  <c r="T2953" i="1"/>
  <c r="U2953" i="1"/>
  <c r="BB2953" i="1"/>
  <c r="BD2953" i="1"/>
  <c r="CE2953" i="1"/>
  <c r="A2954" i="1"/>
  <c r="C2954" i="1"/>
  <c r="E2954" i="1"/>
  <c r="S2954" i="1"/>
  <c r="T2954" i="1"/>
  <c r="U2954" i="1"/>
  <c r="BB2954" i="1"/>
  <c r="BD2954" i="1"/>
  <c r="CE2954" i="1"/>
  <c r="A2955" i="1"/>
  <c r="C2955" i="1"/>
  <c r="E2955" i="1"/>
  <c r="S2955" i="1"/>
  <c r="T2955" i="1"/>
  <c r="U2955" i="1"/>
  <c r="BB2955" i="1"/>
  <c r="BD2955" i="1"/>
  <c r="CE2955" i="1"/>
  <c r="A2956" i="1"/>
  <c r="C2956" i="1"/>
  <c r="E2956" i="1"/>
  <c r="S2956" i="1"/>
  <c r="T2956" i="1"/>
  <c r="U2956" i="1"/>
  <c r="BB2956" i="1"/>
  <c r="BD2956" i="1"/>
  <c r="CE2956" i="1"/>
  <c r="A2957" i="1"/>
  <c r="C2957" i="1"/>
  <c r="E2957" i="1"/>
  <c r="S2957" i="1"/>
  <c r="T2957" i="1"/>
  <c r="U2957" i="1"/>
  <c r="BB2957" i="1"/>
  <c r="BD2957" i="1"/>
  <c r="CE2957" i="1"/>
  <c r="A2958" i="1"/>
  <c r="C2958" i="1"/>
  <c r="E2958" i="1"/>
  <c r="S2958" i="1"/>
  <c r="T2958" i="1"/>
  <c r="U2958" i="1"/>
  <c r="BB2958" i="1"/>
  <c r="BD2958" i="1"/>
  <c r="CE2958" i="1"/>
  <c r="A2959" i="1"/>
  <c r="C2959" i="1"/>
  <c r="E2959" i="1"/>
  <c r="S2959" i="1"/>
  <c r="T2959" i="1"/>
  <c r="U2959" i="1"/>
  <c r="BB2959" i="1"/>
  <c r="BD2959" i="1"/>
  <c r="CE2959" i="1"/>
  <c r="A2960" i="1"/>
  <c r="C2960" i="1"/>
  <c r="E2960" i="1"/>
  <c r="S2960" i="1"/>
  <c r="T2960" i="1"/>
  <c r="U2960" i="1"/>
  <c r="BB2960" i="1"/>
  <c r="BD2960" i="1"/>
  <c r="CE2960" i="1"/>
  <c r="A2961" i="1"/>
  <c r="C2961" i="1"/>
  <c r="E2961" i="1"/>
  <c r="S2961" i="1"/>
  <c r="T2961" i="1"/>
  <c r="U2961" i="1"/>
  <c r="BB2961" i="1"/>
  <c r="BD2961" i="1"/>
  <c r="CE2961" i="1"/>
  <c r="A2962" i="1"/>
  <c r="C2962" i="1"/>
  <c r="E2962" i="1"/>
  <c r="S2962" i="1"/>
  <c r="T2962" i="1"/>
  <c r="U2962" i="1"/>
  <c r="BB2962" i="1"/>
  <c r="BD2962" i="1"/>
  <c r="CE2962" i="1"/>
  <c r="A2963" i="1"/>
  <c r="C2963" i="1"/>
  <c r="E2963" i="1"/>
  <c r="S2963" i="1"/>
  <c r="T2963" i="1"/>
  <c r="U2963" i="1"/>
  <c r="BB2963" i="1"/>
  <c r="BD2963" i="1"/>
  <c r="CE2963" i="1"/>
  <c r="A2964" i="1"/>
  <c r="C2964" i="1"/>
  <c r="E2964" i="1"/>
  <c r="S2964" i="1"/>
  <c r="T2964" i="1"/>
  <c r="U2964" i="1"/>
  <c r="BB2964" i="1"/>
  <c r="BD2964" i="1"/>
  <c r="CE2964" i="1"/>
  <c r="A2965" i="1"/>
  <c r="C2965" i="1"/>
  <c r="E2965" i="1"/>
  <c r="S2965" i="1"/>
  <c r="T2965" i="1"/>
  <c r="U2965" i="1"/>
  <c r="BB2965" i="1"/>
  <c r="BD2965" i="1"/>
  <c r="CE2965" i="1"/>
  <c r="A2966" i="1"/>
  <c r="C2966" i="1"/>
  <c r="E2966" i="1"/>
  <c r="S2966" i="1"/>
  <c r="T2966" i="1"/>
  <c r="U2966" i="1"/>
  <c r="BB2966" i="1"/>
  <c r="BD2966" i="1"/>
  <c r="CE2966" i="1"/>
  <c r="A2967" i="1"/>
  <c r="C2967" i="1"/>
  <c r="E2967" i="1"/>
  <c r="S2967" i="1"/>
  <c r="T2967" i="1"/>
  <c r="U2967" i="1"/>
  <c r="BB2967" i="1"/>
  <c r="BD2967" i="1"/>
  <c r="CE2967" i="1"/>
  <c r="A2968" i="1"/>
  <c r="C2968" i="1"/>
  <c r="E2968" i="1"/>
  <c r="S2968" i="1"/>
  <c r="T2968" i="1"/>
  <c r="U2968" i="1"/>
  <c r="BB2968" i="1"/>
  <c r="BD2968" i="1"/>
  <c r="CE2968" i="1"/>
  <c r="A2969" i="1"/>
  <c r="C2969" i="1"/>
  <c r="E2969" i="1"/>
  <c r="S2969" i="1"/>
  <c r="T2969" i="1"/>
  <c r="U2969" i="1"/>
  <c r="BB2969" i="1"/>
  <c r="BD2969" i="1"/>
  <c r="CE2969" i="1"/>
  <c r="A2970" i="1"/>
  <c r="C2970" i="1"/>
  <c r="E2970" i="1"/>
  <c r="S2970" i="1"/>
  <c r="T2970" i="1"/>
  <c r="U2970" i="1"/>
  <c r="BB2970" i="1"/>
  <c r="BD2970" i="1"/>
  <c r="CE2970" i="1"/>
  <c r="A2971" i="1"/>
  <c r="C2971" i="1"/>
  <c r="E2971" i="1"/>
  <c r="S2971" i="1"/>
  <c r="T2971" i="1"/>
  <c r="U2971" i="1"/>
  <c r="BB2971" i="1"/>
  <c r="BD2971" i="1"/>
  <c r="CE2971" i="1"/>
  <c r="A2972" i="1"/>
  <c r="C2972" i="1"/>
  <c r="E2972" i="1"/>
  <c r="S2972" i="1"/>
  <c r="T2972" i="1"/>
  <c r="U2972" i="1"/>
  <c r="BB2972" i="1"/>
  <c r="BD2972" i="1"/>
  <c r="CE2972" i="1"/>
  <c r="A2973" i="1"/>
  <c r="C2973" i="1"/>
  <c r="E2973" i="1"/>
  <c r="S2973" i="1"/>
  <c r="T2973" i="1"/>
  <c r="U2973" i="1"/>
  <c r="BB2973" i="1"/>
  <c r="BD2973" i="1"/>
  <c r="CE2973" i="1"/>
  <c r="A2974" i="1"/>
  <c r="C2974" i="1"/>
  <c r="E2974" i="1"/>
  <c r="S2974" i="1"/>
  <c r="T2974" i="1"/>
  <c r="U2974" i="1"/>
  <c r="BB2974" i="1"/>
  <c r="BD2974" i="1"/>
  <c r="CE2974" i="1"/>
  <c r="A2975" i="1"/>
  <c r="C2975" i="1"/>
  <c r="E2975" i="1"/>
  <c r="S2975" i="1"/>
  <c r="T2975" i="1"/>
  <c r="U2975" i="1"/>
  <c r="BB2975" i="1"/>
  <c r="BD2975" i="1"/>
  <c r="CE2975" i="1"/>
  <c r="A2976" i="1"/>
  <c r="C2976" i="1"/>
  <c r="E2976" i="1"/>
  <c r="S2976" i="1"/>
  <c r="T2976" i="1"/>
  <c r="U2976" i="1"/>
  <c r="BB2976" i="1"/>
  <c r="BD2976" i="1"/>
  <c r="CE2976" i="1"/>
  <c r="A2977" i="1"/>
  <c r="C2977" i="1"/>
  <c r="E2977" i="1"/>
  <c r="S2977" i="1"/>
  <c r="T2977" i="1"/>
  <c r="U2977" i="1"/>
  <c r="BB2977" i="1"/>
  <c r="BD2977" i="1"/>
  <c r="CE2977" i="1"/>
  <c r="A2978" i="1"/>
  <c r="C2978" i="1"/>
  <c r="E2978" i="1"/>
  <c r="S2978" i="1"/>
  <c r="T2978" i="1"/>
  <c r="U2978" i="1"/>
  <c r="BB2978" i="1"/>
  <c r="BD2978" i="1"/>
  <c r="CE2978" i="1"/>
  <c r="A2979" i="1"/>
  <c r="C2979" i="1"/>
  <c r="E2979" i="1"/>
  <c r="S2979" i="1"/>
  <c r="T2979" i="1"/>
  <c r="U2979" i="1"/>
  <c r="BB2979" i="1"/>
  <c r="BD2979" i="1"/>
  <c r="CE2979" i="1"/>
  <c r="A2980" i="1"/>
  <c r="C2980" i="1"/>
  <c r="E2980" i="1"/>
  <c r="S2980" i="1"/>
  <c r="T2980" i="1"/>
  <c r="U2980" i="1"/>
  <c r="BB2980" i="1"/>
  <c r="BD2980" i="1"/>
  <c r="CE2980" i="1"/>
  <c r="A2981" i="1"/>
  <c r="C2981" i="1"/>
  <c r="E2981" i="1"/>
  <c r="S2981" i="1"/>
  <c r="T2981" i="1"/>
  <c r="U2981" i="1"/>
  <c r="BB2981" i="1"/>
  <c r="BD2981" i="1"/>
  <c r="CE2981" i="1"/>
  <c r="A2982" i="1"/>
  <c r="C2982" i="1"/>
  <c r="E2982" i="1"/>
  <c r="S2982" i="1"/>
  <c r="T2982" i="1"/>
  <c r="U2982" i="1"/>
  <c r="BB2982" i="1"/>
  <c r="BD2982" i="1"/>
  <c r="CE2982" i="1"/>
  <c r="A2983" i="1"/>
  <c r="C2983" i="1"/>
  <c r="E2983" i="1"/>
  <c r="S2983" i="1"/>
  <c r="T2983" i="1"/>
  <c r="U2983" i="1"/>
  <c r="BB2983" i="1"/>
  <c r="BD2983" i="1"/>
  <c r="CE2983" i="1"/>
  <c r="A2984" i="1"/>
  <c r="C2984" i="1"/>
  <c r="E2984" i="1"/>
  <c r="S2984" i="1"/>
  <c r="T2984" i="1"/>
  <c r="U2984" i="1"/>
  <c r="BB2984" i="1"/>
  <c r="BD2984" i="1"/>
  <c r="CE2984" i="1"/>
  <c r="A2985" i="1"/>
  <c r="C2985" i="1"/>
  <c r="E2985" i="1"/>
  <c r="S2985" i="1"/>
  <c r="T2985" i="1"/>
  <c r="U2985" i="1"/>
  <c r="BB2985" i="1"/>
  <c r="BD2985" i="1"/>
  <c r="CE2985" i="1"/>
  <c r="A2986" i="1"/>
  <c r="C2986" i="1"/>
  <c r="E2986" i="1"/>
  <c r="S2986" i="1"/>
  <c r="T2986" i="1"/>
  <c r="U2986" i="1"/>
  <c r="BB2986" i="1"/>
  <c r="BD2986" i="1"/>
  <c r="CE2986" i="1"/>
  <c r="A2987" i="1"/>
  <c r="C2987" i="1"/>
  <c r="E2987" i="1"/>
  <c r="S2987" i="1"/>
  <c r="T2987" i="1"/>
  <c r="U2987" i="1"/>
  <c r="BB2987" i="1"/>
  <c r="BD2987" i="1"/>
  <c r="CE2987" i="1"/>
  <c r="A2988" i="1"/>
  <c r="C2988" i="1"/>
  <c r="E2988" i="1"/>
  <c r="S2988" i="1"/>
  <c r="T2988" i="1"/>
  <c r="U2988" i="1"/>
  <c r="BB2988" i="1"/>
  <c r="BD2988" i="1"/>
  <c r="CE2988" i="1"/>
  <c r="A2989" i="1"/>
  <c r="C2989" i="1"/>
  <c r="E2989" i="1"/>
  <c r="S2989" i="1"/>
  <c r="T2989" i="1"/>
  <c r="U2989" i="1"/>
  <c r="BB2989" i="1"/>
  <c r="BD2989" i="1"/>
  <c r="CE2989" i="1"/>
  <c r="A2990" i="1"/>
  <c r="C2990" i="1"/>
  <c r="E2990" i="1"/>
  <c r="S2990" i="1"/>
  <c r="T2990" i="1"/>
  <c r="U2990" i="1"/>
  <c r="BB2990" i="1"/>
  <c r="BD2990" i="1"/>
  <c r="CE2990" i="1"/>
  <c r="A2991" i="1"/>
  <c r="C2991" i="1"/>
  <c r="E2991" i="1"/>
  <c r="S2991" i="1"/>
  <c r="T2991" i="1"/>
  <c r="U2991" i="1"/>
  <c r="BB2991" i="1"/>
  <c r="BD2991" i="1"/>
  <c r="CE2991" i="1"/>
  <c r="A2992" i="1"/>
  <c r="C2992" i="1"/>
  <c r="E2992" i="1"/>
  <c r="S2992" i="1"/>
  <c r="T2992" i="1"/>
  <c r="U2992" i="1"/>
  <c r="BB2992" i="1"/>
  <c r="BD2992" i="1"/>
  <c r="CE2992" i="1"/>
  <c r="A2993" i="1"/>
  <c r="C2993" i="1"/>
  <c r="E2993" i="1"/>
  <c r="S2993" i="1"/>
  <c r="T2993" i="1"/>
  <c r="U2993" i="1"/>
  <c r="BB2993" i="1"/>
  <c r="BD2993" i="1"/>
  <c r="CE2993" i="1"/>
  <c r="A2994" i="1"/>
  <c r="C2994" i="1"/>
  <c r="E2994" i="1"/>
  <c r="S2994" i="1"/>
  <c r="T2994" i="1"/>
  <c r="U2994" i="1"/>
  <c r="BB2994" i="1"/>
  <c r="BD2994" i="1"/>
  <c r="CE2994" i="1"/>
  <c r="A2995" i="1"/>
  <c r="C2995" i="1"/>
  <c r="E2995" i="1"/>
  <c r="S2995" i="1"/>
  <c r="T2995" i="1"/>
  <c r="U2995" i="1"/>
  <c r="BB2995" i="1"/>
  <c r="BD2995" i="1"/>
  <c r="CE2995" i="1"/>
  <c r="A2996" i="1"/>
  <c r="C2996" i="1"/>
  <c r="E2996" i="1"/>
  <c r="S2996" i="1"/>
  <c r="T2996" i="1"/>
  <c r="U2996" i="1"/>
  <c r="BB2996" i="1"/>
  <c r="BD2996" i="1"/>
  <c r="CE2996" i="1"/>
  <c r="A2997" i="1"/>
  <c r="C2997" i="1"/>
  <c r="E2997" i="1"/>
  <c r="S2997" i="1"/>
  <c r="T2997" i="1"/>
  <c r="U2997" i="1"/>
  <c r="BB2997" i="1"/>
  <c r="BD2997" i="1"/>
  <c r="CE2997" i="1"/>
  <c r="A2998" i="1"/>
  <c r="C2998" i="1"/>
  <c r="E2998" i="1"/>
  <c r="S2998" i="1"/>
  <c r="T2998" i="1"/>
  <c r="U2998" i="1"/>
  <c r="BB2998" i="1"/>
  <c r="BD2998" i="1"/>
  <c r="CE2998" i="1"/>
  <c r="A2999" i="1"/>
  <c r="C2999" i="1"/>
  <c r="E2999" i="1"/>
  <c r="S2999" i="1"/>
  <c r="T2999" i="1"/>
  <c r="U2999" i="1"/>
  <c r="BB2999" i="1"/>
  <c r="BD2999" i="1"/>
  <c r="CE2999" i="1"/>
  <c r="A3000" i="1"/>
  <c r="C3000" i="1"/>
  <c r="E3000" i="1"/>
  <c r="S3000" i="1"/>
  <c r="T3000" i="1"/>
  <c r="U3000" i="1"/>
  <c r="BB3000" i="1"/>
  <c r="BD3000" i="1"/>
  <c r="CE3000" i="1"/>
  <c r="A3001" i="1"/>
  <c r="C3001" i="1"/>
  <c r="E3001" i="1"/>
  <c r="S3001" i="1"/>
  <c r="T3001" i="1"/>
  <c r="U3001" i="1"/>
  <c r="BB3001" i="1"/>
  <c r="BD3001" i="1"/>
  <c r="CE3001" i="1"/>
  <c r="A3002" i="1"/>
  <c r="C3002" i="1"/>
  <c r="E3002" i="1"/>
  <c r="S3002" i="1"/>
  <c r="T3002" i="1"/>
  <c r="U3002" i="1"/>
  <c r="BB3002" i="1"/>
  <c r="BD3002" i="1"/>
  <c r="CE3002" i="1"/>
  <c r="A3003" i="1"/>
  <c r="C3003" i="1"/>
  <c r="E3003" i="1"/>
  <c r="S3003" i="1"/>
  <c r="T3003" i="1"/>
  <c r="U3003" i="1"/>
  <c r="BB3003" i="1"/>
  <c r="BD3003" i="1"/>
  <c r="CE3003" i="1"/>
  <c r="A3004" i="1"/>
  <c r="C3004" i="1"/>
  <c r="E3004" i="1"/>
  <c r="S3004" i="1"/>
  <c r="T3004" i="1"/>
  <c r="U3004" i="1"/>
  <c r="BB3004" i="1"/>
  <c r="BD3004" i="1"/>
  <c r="CE3004" i="1"/>
  <c r="A3005" i="1"/>
  <c r="C3005" i="1"/>
  <c r="E3005" i="1"/>
  <c r="S3005" i="1"/>
  <c r="T3005" i="1"/>
  <c r="U3005" i="1"/>
  <c r="BB3005" i="1"/>
  <c r="BD3005" i="1"/>
  <c r="CE3005" i="1"/>
  <c r="A3006" i="1"/>
  <c r="C3006" i="1"/>
  <c r="E3006" i="1"/>
  <c r="S3006" i="1"/>
  <c r="T3006" i="1"/>
  <c r="U3006" i="1"/>
  <c r="BB3006" i="1"/>
  <c r="BD3006" i="1"/>
  <c r="CE3006" i="1"/>
  <c r="A3007" i="1"/>
  <c r="C3007" i="1"/>
  <c r="E3007" i="1"/>
  <c r="S3007" i="1"/>
  <c r="T3007" i="1"/>
  <c r="U3007" i="1"/>
  <c r="BB3007" i="1"/>
  <c r="BD3007" i="1"/>
  <c r="CE3007" i="1"/>
  <c r="A3008" i="1"/>
  <c r="C3008" i="1"/>
  <c r="E3008" i="1"/>
  <c r="S3008" i="1"/>
  <c r="T3008" i="1"/>
  <c r="U3008" i="1"/>
  <c r="BB3008" i="1"/>
  <c r="BD3008" i="1"/>
  <c r="CE3008" i="1"/>
  <c r="A3009" i="1"/>
  <c r="C3009" i="1"/>
  <c r="E3009" i="1"/>
  <c r="S3009" i="1"/>
  <c r="T3009" i="1"/>
  <c r="U3009" i="1"/>
  <c r="BB3009" i="1"/>
  <c r="BD3009" i="1"/>
  <c r="CE3009" i="1"/>
  <c r="A3010" i="1"/>
  <c r="C3010" i="1"/>
  <c r="E3010" i="1"/>
  <c r="S3010" i="1"/>
  <c r="T3010" i="1"/>
  <c r="U3010" i="1"/>
  <c r="BB3010" i="1"/>
  <c r="BD3010" i="1"/>
  <c r="CE3010" i="1"/>
  <c r="A3011" i="1"/>
  <c r="C3011" i="1"/>
  <c r="E3011" i="1"/>
  <c r="S3011" i="1"/>
  <c r="T3011" i="1"/>
  <c r="U3011" i="1"/>
  <c r="BB3011" i="1"/>
  <c r="BD3011" i="1"/>
  <c r="CE3011" i="1"/>
  <c r="A3012" i="1"/>
  <c r="C3012" i="1"/>
  <c r="E3012" i="1"/>
  <c r="S3012" i="1"/>
  <c r="T3012" i="1"/>
  <c r="U3012" i="1"/>
  <c r="BB3012" i="1"/>
  <c r="BD3012" i="1"/>
  <c r="CE3012" i="1"/>
  <c r="A3013" i="1"/>
  <c r="C3013" i="1"/>
  <c r="E3013" i="1"/>
  <c r="S3013" i="1"/>
  <c r="T3013" i="1"/>
  <c r="U3013" i="1"/>
  <c r="BB3013" i="1"/>
  <c r="BD3013" i="1"/>
  <c r="CE3013" i="1"/>
  <c r="A3014" i="1"/>
  <c r="C3014" i="1"/>
  <c r="E3014" i="1"/>
  <c r="S3014" i="1"/>
  <c r="T3014" i="1"/>
  <c r="U3014" i="1"/>
  <c r="BB3014" i="1"/>
  <c r="BD3014" i="1"/>
  <c r="CE3014" i="1"/>
  <c r="A3015" i="1"/>
  <c r="C3015" i="1"/>
  <c r="E3015" i="1"/>
  <c r="S3015" i="1"/>
  <c r="T3015" i="1"/>
  <c r="U3015" i="1"/>
  <c r="BB3015" i="1"/>
  <c r="BD3015" i="1"/>
  <c r="CE3015" i="1"/>
  <c r="A3016" i="1"/>
  <c r="C3016" i="1"/>
  <c r="E3016" i="1"/>
  <c r="S3016" i="1"/>
  <c r="T3016" i="1"/>
  <c r="U3016" i="1"/>
  <c r="BB3016" i="1"/>
  <c r="BD3016" i="1"/>
  <c r="CE3016" i="1"/>
  <c r="A3017" i="1"/>
  <c r="C3017" i="1"/>
  <c r="E3017" i="1"/>
  <c r="S3017" i="1"/>
  <c r="T3017" i="1"/>
  <c r="U3017" i="1"/>
  <c r="BB3017" i="1"/>
  <c r="BD3017" i="1"/>
  <c r="CE3017" i="1"/>
  <c r="A3018" i="1"/>
  <c r="C3018" i="1"/>
  <c r="E3018" i="1"/>
  <c r="S3018" i="1"/>
  <c r="T3018" i="1"/>
  <c r="U3018" i="1"/>
  <c r="BB3018" i="1"/>
  <c r="BD3018" i="1"/>
  <c r="CE3018" i="1"/>
  <c r="A3019" i="1"/>
  <c r="C3019" i="1"/>
  <c r="E3019" i="1"/>
  <c r="S3019" i="1"/>
  <c r="T3019" i="1"/>
  <c r="U3019" i="1"/>
  <c r="BB3019" i="1"/>
  <c r="BD3019" i="1"/>
  <c r="CE3019" i="1"/>
  <c r="A3020" i="1"/>
  <c r="C3020" i="1"/>
  <c r="E3020" i="1"/>
  <c r="S3020" i="1"/>
  <c r="T3020" i="1"/>
  <c r="U3020" i="1"/>
  <c r="BB3020" i="1"/>
  <c r="BD3020" i="1"/>
  <c r="CE3020" i="1"/>
  <c r="A3021" i="1"/>
  <c r="C3021" i="1"/>
  <c r="E3021" i="1"/>
  <c r="S3021" i="1"/>
  <c r="T3021" i="1"/>
  <c r="U3021" i="1"/>
  <c r="BB3021" i="1"/>
  <c r="BD3021" i="1"/>
  <c r="CE3021" i="1"/>
  <c r="A3022" i="1"/>
  <c r="C3022" i="1"/>
  <c r="E3022" i="1"/>
  <c r="S3022" i="1"/>
  <c r="T3022" i="1"/>
  <c r="U3022" i="1"/>
  <c r="BB3022" i="1"/>
  <c r="BD3022" i="1"/>
  <c r="CE3022" i="1"/>
  <c r="A3023" i="1"/>
  <c r="C3023" i="1"/>
  <c r="E3023" i="1"/>
  <c r="S3023" i="1"/>
  <c r="T3023" i="1"/>
  <c r="U3023" i="1"/>
  <c r="BB3023" i="1"/>
  <c r="BD3023" i="1"/>
  <c r="CE3023" i="1"/>
  <c r="A3024" i="1"/>
  <c r="C3024" i="1"/>
  <c r="E3024" i="1"/>
  <c r="S3024" i="1"/>
  <c r="T3024" i="1"/>
  <c r="U3024" i="1"/>
  <c r="BB3024" i="1"/>
  <c r="BD3024" i="1"/>
  <c r="CE3024" i="1"/>
  <c r="A3025" i="1"/>
  <c r="C3025" i="1"/>
  <c r="E3025" i="1"/>
  <c r="S3025" i="1"/>
  <c r="T3025" i="1"/>
  <c r="U3025" i="1"/>
  <c r="BB3025" i="1"/>
  <c r="BD3025" i="1"/>
  <c r="CE3025" i="1"/>
  <c r="A3026" i="1"/>
  <c r="C3026" i="1"/>
  <c r="E3026" i="1"/>
  <c r="S3026" i="1"/>
  <c r="T3026" i="1"/>
  <c r="U3026" i="1"/>
  <c r="BB3026" i="1"/>
  <c r="BD3026" i="1"/>
  <c r="CE3026" i="1"/>
  <c r="A3027" i="1"/>
  <c r="C3027" i="1"/>
  <c r="E3027" i="1"/>
  <c r="S3027" i="1"/>
  <c r="T3027" i="1"/>
  <c r="U3027" i="1"/>
  <c r="BB3027" i="1"/>
  <c r="BD3027" i="1"/>
  <c r="CE3027" i="1"/>
  <c r="A3028" i="1"/>
  <c r="C3028" i="1"/>
  <c r="E3028" i="1"/>
  <c r="S3028" i="1"/>
  <c r="T3028" i="1"/>
  <c r="U3028" i="1"/>
  <c r="BB3028" i="1"/>
  <c r="BD3028" i="1"/>
  <c r="CE3028" i="1"/>
  <c r="A3029" i="1"/>
  <c r="C3029" i="1"/>
  <c r="E3029" i="1"/>
  <c r="S3029" i="1"/>
  <c r="T3029" i="1"/>
  <c r="U3029" i="1"/>
  <c r="BB3029" i="1"/>
  <c r="BD3029" i="1"/>
  <c r="CE3029" i="1"/>
  <c r="A3030" i="1"/>
  <c r="C3030" i="1"/>
  <c r="E3030" i="1"/>
  <c r="S3030" i="1"/>
  <c r="T3030" i="1"/>
  <c r="U3030" i="1"/>
  <c r="BB3030" i="1"/>
  <c r="BD3030" i="1"/>
  <c r="CE3030" i="1"/>
  <c r="A3031" i="1"/>
  <c r="C3031" i="1"/>
  <c r="E3031" i="1"/>
  <c r="S3031" i="1"/>
  <c r="T3031" i="1"/>
  <c r="U3031" i="1"/>
  <c r="BB3031" i="1"/>
  <c r="BD3031" i="1"/>
  <c r="CE3031" i="1"/>
  <c r="A3032" i="1"/>
  <c r="C3032" i="1"/>
  <c r="E3032" i="1"/>
  <c r="S3032" i="1"/>
  <c r="T3032" i="1"/>
  <c r="U3032" i="1"/>
  <c r="BB3032" i="1"/>
  <c r="BD3032" i="1"/>
  <c r="CE3032" i="1"/>
  <c r="A3033" i="1"/>
  <c r="C3033" i="1"/>
  <c r="E3033" i="1"/>
  <c r="S3033" i="1"/>
  <c r="T3033" i="1"/>
  <c r="U3033" i="1"/>
  <c r="BB3033" i="1"/>
  <c r="BD3033" i="1"/>
  <c r="CE3033" i="1"/>
  <c r="A3034" i="1"/>
  <c r="C3034" i="1"/>
  <c r="E3034" i="1"/>
  <c r="S3034" i="1"/>
  <c r="T3034" i="1"/>
  <c r="U3034" i="1"/>
  <c r="BB3034" i="1"/>
  <c r="BD3034" i="1"/>
  <c r="CE3034" i="1"/>
  <c r="A3035" i="1"/>
  <c r="C3035" i="1"/>
  <c r="E3035" i="1"/>
  <c r="S3035" i="1"/>
  <c r="T3035" i="1"/>
  <c r="U3035" i="1"/>
  <c r="BB3035" i="1"/>
  <c r="BD3035" i="1"/>
  <c r="CE3035" i="1"/>
  <c r="A3036" i="1"/>
  <c r="C3036" i="1"/>
  <c r="E3036" i="1"/>
  <c r="S3036" i="1"/>
  <c r="T3036" i="1"/>
  <c r="U3036" i="1"/>
  <c r="BB3036" i="1"/>
  <c r="BD3036" i="1"/>
  <c r="CE3036" i="1"/>
  <c r="A3037" i="1"/>
  <c r="C3037" i="1"/>
  <c r="E3037" i="1"/>
  <c r="S3037" i="1"/>
  <c r="T3037" i="1"/>
  <c r="U3037" i="1"/>
  <c r="BB3037" i="1"/>
  <c r="BD3037" i="1"/>
  <c r="CE3037" i="1"/>
  <c r="A3038" i="1"/>
  <c r="C3038" i="1"/>
  <c r="E3038" i="1"/>
  <c r="S3038" i="1"/>
  <c r="T3038" i="1"/>
  <c r="U3038" i="1"/>
  <c r="BB3038" i="1"/>
  <c r="BD3038" i="1"/>
  <c r="CE3038" i="1"/>
  <c r="A3039" i="1"/>
  <c r="C3039" i="1"/>
  <c r="E3039" i="1"/>
  <c r="S3039" i="1"/>
  <c r="T3039" i="1"/>
  <c r="U3039" i="1"/>
  <c r="BB3039" i="1"/>
  <c r="BD3039" i="1"/>
  <c r="CE3039" i="1"/>
  <c r="A3040" i="1"/>
  <c r="C3040" i="1"/>
  <c r="E3040" i="1"/>
  <c r="S3040" i="1"/>
  <c r="T3040" i="1"/>
  <c r="U3040" i="1"/>
  <c r="BB3040" i="1"/>
  <c r="BD3040" i="1"/>
  <c r="CE3040" i="1"/>
  <c r="A3041" i="1"/>
  <c r="C3041" i="1"/>
  <c r="E3041" i="1"/>
  <c r="S3041" i="1"/>
  <c r="T3041" i="1"/>
  <c r="U3041" i="1"/>
  <c r="BB3041" i="1"/>
  <c r="BD3041" i="1"/>
  <c r="CE3041" i="1"/>
  <c r="A3042" i="1"/>
  <c r="C3042" i="1"/>
  <c r="E3042" i="1"/>
  <c r="S3042" i="1"/>
  <c r="T3042" i="1"/>
  <c r="U3042" i="1"/>
  <c r="BB3042" i="1"/>
  <c r="BD3042" i="1"/>
  <c r="CE3042" i="1"/>
  <c r="A3043" i="1"/>
  <c r="C3043" i="1"/>
  <c r="E3043" i="1"/>
  <c r="S3043" i="1"/>
  <c r="T3043" i="1"/>
  <c r="U3043" i="1"/>
  <c r="BB3043" i="1"/>
  <c r="BD3043" i="1"/>
  <c r="CE3043" i="1"/>
  <c r="A3044" i="1"/>
  <c r="C3044" i="1"/>
  <c r="E3044" i="1"/>
  <c r="S3044" i="1"/>
  <c r="T3044" i="1"/>
  <c r="U3044" i="1"/>
  <c r="BB3044" i="1"/>
  <c r="BD3044" i="1"/>
  <c r="CE3044" i="1"/>
  <c r="A3045" i="1"/>
  <c r="C3045" i="1"/>
  <c r="E3045" i="1"/>
  <c r="S3045" i="1"/>
  <c r="T3045" i="1"/>
  <c r="U3045" i="1"/>
  <c r="BB3045" i="1"/>
  <c r="BD3045" i="1"/>
  <c r="CE3045" i="1"/>
  <c r="A3046" i="1"/>
  <c r="C3046" i="1"/>
  <c r="E3046" i="1"/>
  <c r="S3046" i="1"/>
  <c r="T3046" i="1"/>
  <c r="U3046" i="1"/>
  <c r="BB3046" i="1"/>
  <c r="BD3046" i="1"/>
  <c r="CE3046" i="1"/>
  <c r="A3047" i="1"/>
  <c r="C3047" i="1"/>
  <c r="E3047" i="1"/>
  <c r="S3047" i="1"/>
  <c r="T3047" i="1"/>
  <c r="U3047" i="1"/>
  <c r="BB3047" i="1"/>
  <c r="BD3047" i="1"/>
  <c r="CE3047" i="1"/>
  <c r="A3048" i="1"/>
  <c r="C3048" i="1"/>
  <c r="E3048" i="1"/>
  <c r="S3048" i="1"/>
  <c r="T3048" i="1"/>
  <c r="U3048" i="1"/>
  <c r="BB3048" i="1"/>
  <c r="BD3048" i="1"/>
  <c r="CE3048" i="1"/>
  <c r="A3049" i="1"/>
  <c r="C3049" i="1"/>
  <c r="E3049" i="1"/>
  <c r="S3049" i="1"/>
  <c r="T3049" i="1"/>
  <c r="U3049" i="1"/>
  <c r="BB3049" i="1"/>
  <c r="BD3049" i="1"/>
  <c r="CE3049" i="1"/>
  <c r="A3050" i="1"/>
  <c r="C3050" i="1"/>
  <c r="E3050" i="1"/>
  <c r="S3050" i="1"/>
  <c r="T3050" i="1"/>
  <c r="U3050" i="1"/>
  <c r="BB3050" i="1"/>
  <c r="BD3050" i="1"/>
  <c r="CE3050" i="1"/>
  <c r="A3051" i="1"/>
  <c r="C3051" i="1"/>
  <c r="E3051" i="1"/>
  <c r="S3051" i="1"/>
  <c r="T3051" i="1"/>
  <c r="U3051" i="1"/>
  <c r="BB3051" i="1"/>
  <c r="BD3051" i="1"/>
  <c r="CE3051" i="1"/>
  <c r="A3052" i="1"/>
  <c r="C3052" i="1"/>
  <c r="E3052" i="1"/>
  <c r="S3052" i="1"/>
  <c r="T3052" i="1"/>
  <c r="U3052" i="1"/>
  <c r="BB3052" i="1"/>
  <c r="BD3052" i="1"/>
  <c r="CE3052" i="1"/>
  <c r="A3053" i="1"/>
  <c r="C3053" i="1"/>
  <c r="E3053" i="1"/>
  <c r="S3053" i="1"/>
  <c r="T3053" i="1"/>
  <c r="U3053" i="1"/>
  <c r="BB3053" i="1"/>
  <c r="BD3053" i="1"/>
  <c r="CE3053" i="1"/>
  <c r="A3054" i="1"/>
  <c r="C3054" i="1"/>
  <c r="E3054" i="1"/>
  <c r="S3054" i="1"/>
  <c r="T3054" i="1"/>
  <c r="U3054" i="1"/>
  <c r="BB3054" i="1"/>
  <c r="BD3054" i="1"/>
  <c r="CE3054" i="1"/>
  <c r="A3055" i="1"/>
  <c r="C3055" i="1"/>
  <c r="E3055" i="1"/>
  <c r="S3055" i="1"/>
  <c r="T3055" i="1"/>
  <c r="U3055" i="1"/>
  <c r="BB3055" i="1"/>
  <c r="BD3055" i="1"/>
  <c r="CE3055" i="1"/>
  <c r="A3056" i="1"/>
  <c r="C3056" i="1"/>
  <c r="E3056" i="1"/>
  <c r="S3056" i="1"/>
  <c r="T3056" i="1"/>
  <c r="U3056" i="1"/>
  <c r="BB3056" i="1"/>
  <c r="BD3056" i="1"/>
  <c r="CE3056" i="1"/>
  <c r="A3057" i="1"/>
  <c r="C3057" i="1"/>
  <c r="E3057" i="1"/>
  <c r="S3057" i="1"/>
  <c r="T3057" i="1"/>
  <c r="U3057" i="1"/>
  <c r="BB3057" i="1"/>
  <c r="BD3057" i="1"/>
  <c r="CE3057" i="1"/>
  <c r="A3058" i="1"/>
  <c r="C3058" i="1"/>
  <c r="E3058" i="1"/>
  <c r="S3058" i="1"/>
  <c r="T3058" i="1"/>
  <c r="U3058" i="1"/>
  <c r="BB3058" i="1"/>
  <c r="BD3058" i="1"/>
  <c r="CE3058" i="1"/>
  <c r="A3059" i="1"/>
  <c r="C3059" i="1"/>
  <c r="E3059" i="1"/>
  <c r="S3059" i="1"/>
  <c r="T3059" i="1"/>
  <c r="U3059" i="1"/>
  <c r="BB3059" i="1"/>
  <c r="BD3059" i="1"/>
  <c r="CE3059" i="1"/>
  <c r="A3060" i="1"/>
  <c r="C3060" i="1"/>
  <c r="E3060" i="1"/>
  <c r="S3060" i="1"/>
  <c r="T3060" i="1"/>
  <c r="U3060" i="1"/>
  <c r="BB3060" i="1"/>
  <c r="BD3060" i="1"/>
  <c r="CE3060" i="1"/>
  <c r="A3061" i="1"/>
  <c r="C3061" i="1"/>
  <c r="E3061" i="1"/>
  <c r="S3061" i="1"/>
  <c r="T3061" i="1"/>
  <c r="U3061" i="1"/>
  <c r="BB3061" i="1"/>
  <c r="BD3061" i="1"/>
  <c r="CE3061" i="1"/>
  <c r="A3062" i="1"/>
  <c r="C3062" i="1"/>
  <c r="E3062" i="1"/>
  <c r="S3062" i="1"/>
  <c r="T3062" i="1"/>
  <c r="U3062" i="1"/>
  <c r="BB3062" i="1"/>
  <c r="BD3062" i="1"/>
  <c r="CE3062" i="1"/>
  <c r="A3063" i="1"/>
  <c r="C3063" i="1"/>
  <c r="E3063" i="1"/>
  <c r="S3063" i="1"/>
  <c r="T3063" i="1"/>
  <c r="U3063" i="1"/>
  <c r="BB3063" i="1"/>
  <c r="BD3063" i="1"/>
  <c r="CE3063" i="1"/>
  <c r="A3064" i="1"/>
  <c r="C3064" i="1"/>
  <c r="E3064" i="1"/>
  <c r="S3064" i="1"/>
  <c r="T3064" i="1"/>
  <c r="U3064" i="1"/>
  <c r="BB3064" i="1"/>
  <c r="BD3064" i="1"/>
  <c r="CE3064" i="1"/>
  <c r="A3065" i="1"/>
  <c r="C3065" i="1"/>
  <c r="E3065" i="1"/>
  <c r="S3065" i="1"/>
  <c r="T3065" i="1"/>
  <c r="U3065" i="1"/>
  <c r="BB3065" i="1"/>
  <c r="BD3065" i="1"/>
  <c r="CE3065" i="1"/>
  <c r="A3066" i="1"/>
  <c r="C3066" i="1"/>
  <c r="E3066" i="1"/>
  <c r="S3066" i="1"/>
  <c r="T3066" i="1"/>
  <c r="U3066" i="1"/>
  <c r="BB3066" i="1"/>
  <c r="BD3066" i="1"/>
  <c r="CE3066" i="1"/>
  <c r="A3067" i="1"/>
  <c r="C3067" i="1"/>
  <c r="E3067" i="1"/>
  <c r="S3067" i="1"/>
  <c r="T3067" i="1"/>
  <c r="U3067" i="1"/>
  <c r="BB3067" i="1"/>
  <c r="BD3067" i="1"/>
  <c r="CE3067" i="1"/>
  <c r="A3068" i="1"/>
  <c r="C3068" i="1"/>
  <c r="E3068" i="1"/>
  <c r="S3068" i="1"/>
  <c r="T3068" i="1"/>
  <c r="U3068" i="1"/>
  <c r="BB3068" i="1"/>
  <c r="BD3068" i="1"/>
  <c r="CE3068" i="1"/>
  <c r="A3069" i="1"/>
  <c r="C3069" i="1"/>
  <c r="E3069" i="1"/>
  <c r="S3069" i="1"/>
  <c r="T3069" i="1"/>
  <c r="U3069" i="1"/>
  <c r="BB3069" i="1"/>
  <c r="BD3069" i="1"/>
  <c r="CE3069" i="1"/>
  <c r="A3070" i="1"/>
  <c r="C3070" i="1"/>
  <c r="E3070" i="1"/>
  <c r="S3070" i="1"/>
  <c r="T3070" i="1"/>
  <c r="U3070" i="1"/>
  <c r="BB3070" i="1"/>
  <c r="BD3070" i="1"/>
  <c r="CE3070" i="1"/>
  <c r="A3071" i="1"/>
  <c r="C3071" i="1"/>
  <c r="E3071" i="1"/>
  <c r="S3071" i="1"/>
  <c r="T3071" i="1"/>
  <c r="U3071" i="1"/>
  <c r="BB3071" i="1"/>
  <c r="BD3071" i="1"/>
  <c r="CE3071" i="1"/>
  <c r="A3072" i="1"/>
  <c r="C3072" i="1"/>
  <c r="E3072" i="1"/>
  <c r="S3072" i="1"/>
  <c r="T3072" i="1"/>
  <c r="U3072" i="1"/>
  <c r="BB3072" i="1"/>
  <c r="BD3072" i="1"/>
  <c r="CE3072" i="1"/>
  <c r="A3073" i="1"/>
  <c r="C3073" i="1"/>
  <c r="E3073" i="1"/>
  <c r="S3073" i="1"/>
  <c r="T3073" i="1"/>
  <c r="U3073" i="1"/>
  <c r="BB3073" i="1"/>
  <c r="BD3073" i="1"/>
  <c r="CE3073" i="1"/>
  <c r="A3074" i="1"/>
  <c r="C3074" i="1"/>
  <c r="E3074" i="1"/>
  <c r="S3074" i="1"/>
  <c r="T3074" i="1"/>
  <c r="U3074" i="1"/>
  <c r="BB3074" i="1"/>
  <c r="BD3074" i="1"/>
  <c r="CE3074" i="1"/>
  <c r="A3075" i="1"/>
  <c r="C3075" i="1"/>
  <c r="E3075" i="1"/>
  <c r="S3075" i="1"/>
  <c r="T3075" i="1"/>
  <c r="U3075" i="1"/>
  <c r="BB3075" i="1"/>
  <c r="BD3075" i="1"/>
  <c r="CE3075" i="1"/>
  <c r="A3076" i="1"/>
  <c r="C3076" i="1"/>
  <c r="E3076" i="1"/>
  <c r="S3076" i="1"/>
  <c r="T3076" i="1"/>
  <c r="U3076" i="1"/>
  <c r="BB3076" i="1"/>
  <c r="BD3076" i="1"/>
  <c r="CE3076" i="1"/>
  <c r="A3077" i="1"/>
  <c r="C3077" i="1"/>
  <c r="E3077" i="1"/>
  <c r="S3077" i="1"/>
  <c r="T3077" i="1"/>
  <c r="U3077" i="1"/>
  <c r="BB3077" i="1"/>
  <c r="BD3077" i="1"/>
  <c r="CE3077" i="1"/>
  <c r="A3078" i="1"/>
  <c r="C3078" i="1"/>
  <c r="E3078" i="1"/>
  <c r="S3078" i="1"/>
  <c r="T3078" i="1"/>
  <c r="U3078" i="1"/>
  <c r="BB3078" i="1"/>
  <c r="BD3078" i="1"/>
  <c r="CE3078" i="1"/>
  <c r="A3079" i="1"/>
  <c r="C3079" i="1"/>
  <c r="E3079" i="1"/>
  <c r="S3079" i="1"/>
  <c r="T3079" i="1"/>
  <c r="U3079" i="1"/>
  <c r="BB3079" i="1"/>
  <c r="BD3079" i="1"/>
  <c r="CE3079" i="1"/>
  <c r="A3080" i="1"/>
  <c r="C3080" i="1"/>
  <c r="E3080" i="1"/>
  <c r="S3080" i="1"/>
  <c r="T3080" i="1"/>
  <c r="U3080" i="1"/>
  <c r="BB3080" i="1"/>
  <c r="BD3080" i="1"/>
  <c r="CE3080" i="1"/>
  <c r="A3081" i="1"/>
  <c r="C3081" i="1"/>
  <c r="E3081" i="1"/>
  <c r="S3081" i="1"/>
  <c r="T3081" i="1"/>
  <c r="U3081" i="1"/>
  <c r="BB3081" i="1"/>
  <c r="BD3081" i="1"/>
  <c r="CE3081" i="1"/>
  <c r="A3082" i="1"/>
  <c r="C3082" i="1"/>
  <c r="E3082" i="1"/>
  <c r="S3082" i="1"/>
  <c r="T3082" i="1"/>
  <c r="U3082" i="1"/>
  <c r="BB3082" i="1"/>
  <c r="BD3082" i="1"/>
  <c r="CE3082" i="1"/>
  <c r="A3083" i="1"/>
  <c r="C3083" i="1"/>
  <c r="E3083" i="1"/>
  <c r="S3083" i="1"/>
  <c r="T3083" i="1"/>
  <c r="U3083" i="1"/>
  <c r="BB3083" i="1"/>
  <c r="BD3083" i="1"/>
  <c r="CE3083" i="1"/>
  <c r="A3084" i="1"/>
  <c r="C3084" i="1"/>
  <c r="E3084" i="1"/>
  <c r="S3084" i="1"/>
  <c r="T3084" i="1"/>
  <c r="U3084" i="1"/>
  <c r="BB3084" i="1"/>
  <c r="BD3084" i="1"/>
  <c r="CE3084" i="1"/>
  <c r="A3085" i="1"/>
  <c r="C3085" i="1"/>
  <c r="E3085" i="1"/>
  <c r="S3085" i="1"/>
  <c r="T3085" i="1"/>
  <c r="U3085" i="1"/>
  <c r="BB3085" i="1"/>
  <c r="BD3085" i="1"/>
  <c r="CE3085" i="1"/>
  <c r="A3086" i="1"/>
  <c r="C3086" i="1"/>
  <c r="E3086" i="1"/>
  <c r="S3086" i="1"/>
  <c r="T3086" i="1"/>
  <c r="U3086" i="1"/>
  <c r="BB3086" i="1"/>
  <c r="BD3086" i="1"/>
  <c r="CE3086" i="1"/>
  <c r="A3087" i="1"/>
  <c r="C3087" i="1"/>
  <c r="E3087" i="1"/>
  <c r="S3087" i="1"/>
  <c r="T3087" i="1"/>
  <c r="U3087" i="1"/>
  <c r="BB3087" i="1"/>
  <c r="BD3087" i="1"/>
  <c r="CE3087" i="1"/>
  <c r="A3088" i="1"/>
  <c r="C3088" i="1"/>
  <c r="E3088" i="1"/>
  <c r="S3088" i="1"/>
  <c r="T3088" i="1"/>
  <c r="U3088" i="1"/>
  <c r="BB3088" i="1"/>
  <c r="BD3088" i="1"/>
  <c r="CE3088" i="1"/>
  <c r="A3089" i="1"/>
  <c r="C3089" i="1"/>
  <c r="E3089" i="1"/>
  <c r="S3089" i="1"/>
  <c r="T3089" i="1"/>
  <c r="U3089" i="1"/>
  <c r="BB3089" i="1"/>
  <c r="BD3089" i="1"/>
  <c r="CE3089" i="1"/>
  <c r="A3090" i="1"/>
  <c r="C3090" i="1"/>
  <c r="E3090" i="1"/>
  <c r="S3090" i="1"/>
  <c r="T3090" i="1"/>
  <c r="U3090" i="1"/>
  <c r="BB3090" i="1"/>
  <c r="BD3090" i="1"/>
  <c r="CE3090" i="1"/>
  <c r="A3091" i="1"/>
  <c r="C3091" i="1"/>
  <c r="E3091" i="1"/>
  <c r="S3091" i="1"/>
  <c r="T3091" i="1"/>
  <c r="U3091" i="1"/>
  <c r="BB3091" i="1"/>
  <c r="BD3091" i="1"/>
  <c r="CE3091" i="1"/>
  <c r="A3092" i="1"/>
  <c r="C3092" i="1"/>
  <c r="E3092" i="1"/>
  <c r="S3092" i="1"/>
  <c r="T3092" i="1"/>
  <c r="U3092" i="1"/>
  <c r="BB3092" i="1"/>
  <c r="BD3092" i="1"/>
  <c r="CE3092" i="1"/>
  <c r="A3093" i="1"/>
  <c r="C3093" i="1"/>
  <c r="E3093" i="1"/>
  <c r="S3093" i="1"/>
  <c r="T3093" i="1"/>
  <c r="U3093" i="1"/>
  <c r="BB3093" i="1"/>
  <c r="BD3093" i="1"/>
  <c r="CE3093" i="1"/>
  <c r="A3094" i="1"/>
  <c r="C3094" i="1"/>
  <c r="E3094" i="1"/>
  <c r="S3094" i="1"/>
  <c r="T3094" i="1"/>
  <c r="U3094" i="1"/>
  <c r="BB3094" i="1"/>
  <c r="BD3094" i="1"/>
  <c r="CE3094" i="1"/>
  <c r="A3095" i="1"/>
  <c r="C3095" i="1"/>
  <c r="E3095" i="1"/>
  <c r="S3095" i="1"/>
  <c r="T3095" i="1"/>
  <c r="U3095" i="1"/>
  <c r="BB3095" i="1"/>
  <c r="BD3095" i="1"/>
  <c r="CE3095" i="1"/>
  <c r="A3096" i="1"/>
  <c r="C3096" i="1"/>
  <c r="E3096" i="1"/>
  <c r="S3096" i="1"/>
  <c r="T3096" i="1"/>
  <c r="U3096" i="1"/>
  <c r="BB3096" i="1"/>
  <c r="BD3096" i="1"/>
  <c r="CE3096" i="1"/>
  <c r="A3097" i="1"/>
  <c r="C3097" i="1"/>
  <c r="E3097" i="1"/>
  <c r="S3097" i="1"/>
  <c r="T3097" i="1"/>
  <c r="U3097" i="1"/>
  <c r="BB3097" i="1"/>
  <c r="BD3097" i="1"/>
  <c r="CE3097" i="1"/>
  <c r="A3098" i="1"/>
  <c r="C3098" i="1"/>
  <c r="E3098" i="1"/>
  <c r="S3098" i="1"/>
  <c r="T3098" i="1"/>
  <c r="U3098" i="1"/>
  <c r="BB3098" i="1"/>
  <c r="BD3098" i="1"/>
  <c r="CE3098" i="1"/>
  <c r="A3099" i="1"/>
  <c r="C3099" i="1"/>
  <c r="E3099" i="1"/>
  <c r="S3099" i="1"/>
  <c r="T3099" i="1"/>
  <c r="U3099" i="1"/>
  <c r="BB3099" i="1"/>
  <c r="BD3099" i="1"/>
  <c r="CE3099" i="1"/>
  <c r="A3100" i="1"/>
  <c r="C3100" i="1"/>
  <c r="E3100" i="1"/>
  <c r="S3100" i="1"/>
  <c r="T3100" i="1"/>
  <c r="U3100" i="1"/>
  <c r="BB3100" i="1"/>
  <c r="BD3100" i="1"/>
  <c r="CE3100" i="1"/>
  <c r="A3101" i="1"/>
  <c r="C3101" i="1"/>
  <c r="E3101" i="1"/>
  <c r="S3101" i="1"/>
  <c r="T3101" i="1"/>
  <c r="U3101" i="1"/>
  <c r="BB3101" i="1"/>
  <c r="BD3101" i="1"/>
  <c r="CE3101" i="1"/>
  <c r="A3102" i="1"/>
  <c r="C3102" i="1"/>
  <c r="E3102" i="1"/>
  <c r="S3102" i="1"/>
  <c r="T3102" i="1"/>
  <c r="U3102" i="1"/>
  <c r="BB3102" i="1"/>
  <c r="BD3102" i="1"/>
  <c r="CE3102" i="1"/>
  <c r="A3103" i="1"/>
  <c r="C3103" i="1"/>
  <c r="E3103" i="1"/>
  <c r="S3103" i="1"/>
  <c r="T3103" i="1"/>
  <c r="U3103" i="1"/>
  <c r="BB3103" i="1"/>
  <c r="BD3103" i="1"/>
  <c r="CE3103" i="1"/>
  <c r="A3104" i="1"/>
  <c r="C3104" i="1"/>
  <c r="E3104" i="1"/>
  <c r="S3104" i="1"/>
  <c r="T3104" i="1"/>
  <c r="U3104" i="1"/>
  <c r="BB3104" i="1"/>
  <c r="BD3104" i="1"/>
  <c r="CE3104" i="1"/>
  <c r="A3105" i="1"/>
  <c r="C3105" i="1"/>
  <c r="E3105" i="1"/>
  <c r="S3105" i="1"/>
  <c r="T3105" i="1"/>
  <c r="U3105" i="1"/>
  <c r="BB3105" i="1"/>
  <c r="BD3105" i="1"/>
  <c r="CE3105" i="1"/>
  <c r="A3106" i="1"/>
  <c r="C3106" i="1"/>
  <c r="E3106" i="1"/>
  <c r="S3106" i="1"/>
  <c r="T3106" i="1"/>
  <c r="U3106" i="1"/>
  <c r="BB3106" i="1"/>
  <c r="BD3106" i="1"/>
  <c r="CE3106" i="1"/>
  <c r="A3107" i="1"/>
  <c r="C3107" i="1"/>
  <c r="E3107" i="1"/>
  <c r="S3107" i="1"/>
  <c r="T3107" i="1"/>
  <c r="U3107" i="1"/>
  <c r="BB3107" i="1"/>
  <c r="BD3107" i="1"/>
  <c r="CE3107" i="1"/>
  <c r="A3108" i="1"/>
  <c r="C3108" i="1"/>
  <c r="E3108" i="1"/>
  <c r="S3108" i="1"/>
  <c r="T3108" i="1"/>
  <c r="U3108" i="1"/>
  <c r="BB3108" i="1"/>
  <c r="BD3108" i="1"/>
  <c r="CE3108" i="1"/>
  <c r="A3109" i="1"/>
  <c r="C3109" i="1"/>
  <c r="E3109" i="1"/>
  <c r="S3109" i="1"/>
  <c r="T3109" i="1"/>
  <c r="U3109" i="1"/>
  <c r="BB3109" i="1"/>
  <c r="BD3109" i="1"/>
  <c r="CE3109" i="1"/>
  <c r="A3110" i="1"/>
  <c r="C3110" i="1"/>
  <c r="E3110" i="1"/>
  <c r="S3110" i="1"/>
  <c r="T3110" i="1"/>
  <c r="U3110" i="1"/>
  <c r="BB3110" i="1"/>
  <c r="BD3110" i="1"/>
  <c r="CE3110" i="1"/>
  <c r="A3111" i="1"/>
  <c r="C3111" i="1"/>
  <c r="E3111" i="1"/>
  <c r="S3111" i="1"/>
  <c r="T3111" i="1"/>
  <c r="U3111" i="1"/>
  <c r="BB3111" i="1"/>
  <c r="BD3111" i="1"/>
  <c r="CE3111" i="1"/>
  <c r="A3112" i="1"/>
  <c r="C3112" i="1"/>
  <c r="E3112" i="1"/>
  <c r="S3112" i="1"/>
  <c r="T3112" i="1"/>
  <c r="U3112" i="1"/>
  <c r="BB3112" i="1"/>
  <c r="BD3112" i="1"/>
  <c r="CE3112" i="1"/>
  <c r="A3113" i="1"/>
  <c r="C3113" i="1"/>
  <c r="E3113" i="1"/>
  <c r="S3113" i="1"/>
  <c r="T3113" i="1"/>
  <c r="U3113" i="1"/>
  <c r="BB3113" i="1"/>
  <c r="BD3113" i="1"/>
  <c r="CE3113" i="1"/>
  <c r="A3114" i="1"/>
  <c r="C3114" i="1"/>
  <c r="E3114" i="1"/>
  <c r="S3114" i="1"/>
  <c r="T3114" i="1"/>
  <c r="U3114" i="1"/>
  <c r="BB3114" i="1"/>
  <c r="BD3114" i="1"/>
  <c r="CE3114" i="1"/>
  <c r="A3115" i="1"/>
  <c r="C3115" i="1"/>
  <c r="E3115" i="1"/>
  <c r="S3115" i="1"/>
  <c r="T3115" i="1"/>
  <c r="U3115" i="1"/>
  <c r="BB3115" i="1"/>
  <c r="BD3115" i="1"/>
  <c r="CE3115" i="1"/>
  <c r="A3116" i="1"/>
  <c r="C3116" i="1"/>
  <c r="E3116" i="1"/>
  <c r="S3116" i="1"/>
  <c r="T3116" i="1"/>
  <c r="U3116" i="1"/>
  <c r="BB3116" i="1"/>
  <c r="BD3116" i="1"/>
  <c r="CE3116" i="1"/>
  <c r="A3117" i="1"/>
  <c r="C3117" i="1"/>
  <c r="E3117" i="1"/>
  <c r="S3117" i="1"/>
  <c r="T3117" i="1"/>
  <c r="U3117" i="1"/>
  <c r="BB3117" i="1"/>
  <c r="BD3117" i="1"/>
  <c r="CE3117" i="1"/>
  <c r="A3118" i="1"/>
  <c r="C3118" i="1"/>
  <c r="E3118" i="1"/>
  <c r="S3118" i="1"/>
  <c r="T3118" i="1"/>
  <c r="U3118" i="1"/>
  <c r="BB3118" i="1"/>
  <c r="BD3118" i="1"/>
  <c r="CE3118" i="1"/>
  <c r="A3119" i="1"/>
  <c r="C3119" i="1"/>
  <c r="E3119" i="1"/>
  <c r="S3119" i="1"/>
  <c r="T3119" i="1"/>
  <c r="U3119" i="1"/>
  <c r="BB3119" i="1"/>
  <c r="BD3119" i="1"/>
  <c r="CE3119" i="1"/>
  <c r="A3120" i="1"/>
  <c r="C3120" i="1"/>
  <c r="E3120" i="1"/>
  <c r="S3120" i="1"/>
  <c r="T3120" i="1"/>
  <c r="U3120" i="1"/>
  <c r="BB3120" i="1"/>
  <c r="BD3120" i="1"/>
  <c r="CE3120" i="1"/>
  <c r="A3121" i="1"/>
  <c r="C3121" i="1"/>
  <c r="E3121" i="1"/>
  <c r="S3121" i="1"/>
  <c r="T3121" i="1"/>
  <c r="U3121" i="1"/>
  <c r="BB3121" i="1"/>
  <c r="BD3121" i="1"/>
  <c r="CE3121" i="1"/>
  <c r="A3122" i="1"/>
  <c r="C3122" i="1"/>
  <c r="E3122" i="1"/>
  <c r="S3122" i="1"/>
  <c r="T3122" i="1"/>
  <c r="U3122" i="1"/>
  <c r="BB3122" i="1"/>
  <c r="BD3122" i="1"/>
  <c r="CE3122" i="1"/>
  <c r="A3123" i="1"/>
  <c r="C3123" i="1"/>
  <c r="E3123" i="1"/>
  <c r="S3123" i="1"/>
  <c r="T3123" i="1"/>
  <c r="U3123" i="1"/>
  <c r="BB3123" i="1"/>
  <c r="BD3123" i="1"/>
  <c r="CE3123" i="1"/>
  <c r="A3124" i="1"/>
  <c r="C3124" i="1"/>
  <c r="E3124" i="1"/>
  <c r="S3124" i="1"/>
  <c r="T3124" i="1"/>
  <c r="U3124" i="1"/>
  <c r="BB3124" i="1"/>
  <c r="BD3124" i="1"/>
  <c r="CE3124" i="1"/>
  <c r="A3125" i="1"/>
  <c r="C3125" i="1"/>
  <c r="E3125" i="1"/>
  <c r="S3125" i="1"/>
  <c r="T3125" i="1"/>
  <c r="U3125" i="1"/>
  <c r="BB3125" i="1"/>
  <c r="BD3125" i="1"/>
  <c r="CE3125" i="1"/>
  <c r="A3126" i="1"/>
  <c r="C3126" i="1"/>
  <c r="E3126" i="1"/>
  <c r="S3126" i="1"/>
  <c r="T3126" i="1"/>
  <c r="U3126" i="1"/>
  <c r="BB3126" i="1"/>
  <c r="BD3126" i="1"/>
  <c r="CE3126" i="1"/>
  <c r="A3127" i="1"/>
  <c r="C3127" i="1"/>
  <c r="E3127" i="1"/>
  <c r="S3127" i="1"/>
  <c r="T3127" i="1"/>
  <c r="U3127" i="1"/>
  <c r="BB3127" i="1"/>
  <c r="BD3127" i="1"/>
  <c r="CE3127" i="1"/>
  <c r="A3128" i="1"/>
  <c r="C3128" i="1"/>
  <c r="E3128" i="1"/>
  <c r="S3128" i="1"/>
  <c r="T3128" i="1"/>
  <c r="U3128" i="1"/>
  <c r="BB3128" i="1"/>
  <c r="BD3128" i="1"/>
  <c r="CE3128" i="1"/>
  <c r="A3129" i="1"/>
  <c r="C3129" i="1"/>
  <c r="E3129" i="1"/>
  <c r="S3129" i="1"/>
  <c r="T3129" i="1"/>
  <c r="U3129" i="1"/>
  <c r="BB3129" i="1"/>
  <c r="BD3129" i="1"/>
  <c r="CE3129" i="1"/>
  <c r="A3130" i="1"/>
  <c r="C3130" i="1"/>
  <c r="E3130" i="1"/>
  <c r="S3130" i="1"/>
  <c r="T3130" i="1"/>
  <c r="U3130" i="1"/>
  <c r="BB3130" i="1"/>
  <c r="BD3130" i="1"/>
  <c r="CE3130" i="1"/>
  <c r="A3131" i="1"/>
  <c r="C3131" i="1"/>
  <c r="E3131" i="1"/>
  <c r="S3131" i="1"/>
  <c r="T3131" i="1"/>
  <c r="U3131" i="1"/>
  <c r="BB3131" i="1"/>
  <c r="BD3131" i="1"/>
  <c r="CE3131" i="1"/>
  <c r="A3132" i="1"/>
  <c r="C3132" i="1"/>
  <c r="E3132" i="1"/>
  <c r="S3132" i="1"/>
  <c r="T3132" i="1"/>
  <c r="U3132" i="1"/>
  <c r="BB3132" i="1"/>
  <c r="BD3132" i="1"/>
  <c r="CE3132" i="1"/>
  <c r="A3133" i="1"/>
  <c r="C3133" i="1"/>
  <c r="E3133" i="1"/>
  <c r="S3133" i="1"/>
  <c r="T3133" i="1"/>
  <c r="U3133" i="1"/>
  <c r="BB3133" i="1"/>
  <c r="BD3133" i="1"/>
  <c r="CE3133" i="1"/>
  <c r="A3134" i="1"/>
  <c r="C3134" i="1"/>
  <c r="E3134" i="1"/>
  <c r="S3134" i="1"/>
  <c r="T3134" i="1"/>
  <c r="U3134" i="1"/>
  <c r="BB3134" i="1"/>
  <c r="BD3134" i="1"/>
  <c r="CE3134" i="1"/>
  <c r="A3135" i="1"/>
  <c r="C3135" i="1"/>
  <c r="E3135" i="1"/>
  <c r="S3135" i="1"/>
  <c r="T3135" i="1"/>
  <c r="U3135" i="1"/>
  <c r="BB3135" i="1"/>
  <c r="BD3135" i="1"/>
  <c r="CE3135" i="1"/>
  <c r="A3136" i="1"/>
  <c r="C3136" i="1"/>
  <c r="E3136" i="1"/>
  <c r="S3136" i="1"/>
  <c r="T3136" i="1"/>
  <c r="U3136" i="1"/>
  <c r="BB3136" i="1"/>
  <c r="BD3136" i="1"/>
  <c r="CE3136" i="1"/>
  <c r="A3137" i="1"/>
  <c r="C3137" i="1"/>
  <c r="E3137" i="1"/>
  <c r="S3137" i="1"/>
  <c r="T3137" i="1"/>
  <c r="U3137" i="1"/>
  <c r="BB3137" i="1"/>
  <c r="BD3137" i="1"/>
  <c r="CE3137" i="1"/>
  <c r="A3138" i="1"/>
  <c r="C3138" i="1"/>
  <c r="E3138" i="1"/>
  <c r="S3138" i="1"/>
  <c r="T3138" i="1"/>
  <c r="U3138" i="1"/>
  <c r="BB3138" i="1"/>
  <c r="BD3138" i="1"/>
  <c r="CE3138" i="1"/>
  <c r="A3139" i="1"/>
  <c r="C3139" i="1"/>
  <c r="E3139" i="1"/>
  <c r="S3139" i="1"/>
  <c r="T3139" i="1"/>
  <c r="U3139" i="1"/>
  <c r="BB3139" i="1"/>
  <c r="BD3139" i="1"/>
  <c r="CE3139" i="1"/>
  <c r="A3140" i="1"/>
  <c r="C3140" i="1"/>
  <c r="E3140" i="1"/>
  <c r="S3140" i="1"/>
  <c r="T3140" i="1"/>
  <c r="U3140" i="1"/>
  <c r="BB3140" i="1"/>
  <c r="BD3140" i="1"/>
  <c r="CE3140" i="1"/>
  <c r="A3141" i="1"/>
  <c r="C3141" i="1"/>
  <c r="E3141" i="1"/>
  <c r="S3141" i="1"/>
  <c r="T3141" i="1"/>
  <c r="U3141" i="1"/>
  <c r="BB3141" i="1"/>
  <c r="BD3141" i="1"/>
  <c r="CE3141" i="1"/>
  <c r="A3142" i="1"/>
  <c r="C3142" i="1"/>
  <c r="E3142" i="1"/>
  <c r="S3142" i="1"/>
  <c r="T3142" i="1"/>
  <c r="U3142" i="1"/>
  <c r="BB3142" i="1"/>
  <c r="BD3142" i="1"/>
  <c r="CE3142" i="1"/>
  <c r="A3143" i="1"/>
  <c r="C3143" i="1"/>
  <c r="E3143" i="1"/>
  <c r="S3143" i="1"/>
  <c r="T3143" i="1"/>
  <c r="U3143" i="1"/>
  <c r="BB3143" i="1"/>
  <c r="BD3143" i="1"/>
  <c r="CE3143" i="1"/>
  <c r="A3144" i="1"/>
  <c r="C3144" i="1"/>
  <c r="E3144" i="1"/>
  <c r="S3144" i="1"/>
  <c r="T3144" i="1"/>
  <c r="U3144" i="1"/>
  <c r="BB3144" i="1"/>
  <c r="BD3144" i="1"/>
  <c r="CE3144" i="1"/>
  <c r="A3145" i="1"/>
  <c r="C3145" i="1"/>
  <c r="E3145" i="1"/>
  <c r="S3145" i="1"/>
  <c r="T3145" i="1"/>
  <c r="U3145" i="1"/>
  <c r="BB3145" i="1"/>
  <c r="BD3145" i="1"/>
  <c r="CE3145" i="1"/>
  <c r="A3146" i="1"/>
  <c r="C3146" i="1"/>
  <c r="E3146" i="1"/>
  <c r="S3146" i="1"/>
  <c r="T3146" i="1"/>
  <c r="U3146" i="1"/>
  <c r="BB3146" i="1"/>
  <c r="BD3146" i="1"/>
  <c r="CE3146" i="1"/>
  <c r="A3147" i="1"/>
  <c r="C3147" i="1"/>
  <c r="E3147" i="1"/>
  <c r="S3147" i="1"/>
  <c r="T3147" i="1"/>
  <c r="U3147" i="1"/>
  <c r="BB3147" i="1"/>
  <c r="BD3147" i="1"/>
  <c r="CE3147" i="1"/>
  <c r="A3148" i="1"/>
  <c r="C3148" i="1"/>
  <c r="E3148" i="1"/>
  <c r="S3148" i="1"/>
  <c r="T3148" i="1"/>
  <c r="U3148" i="1"/>
  <c r="BB3148" i="1"/>
  <c r="BD3148" i="1"/>
  <c r="CE3148" i="1"/>
  <c r="A3149" i="1"/>
  <c r="C3149" i="1"/>
  <c r="E3149" i="1"/>
  <c r="S3149" i="1"/>
  <c r="T3149" i="1"/>
  <c r="U3149" i="1"/>
  <c r="BB3149" i="1"/>
  <c r="BD3149" i="1"/>
  <c r="CE3149" i="1"/>
  <c r="A3150" i="1"/>
  <c r="C3150" i="1"/>
  <c r="E3150" i="1"/>
  <c r="S3150" i="1"/>
  <c r="T3150" i="1"/>
  <c r="U3150" i="1"/>
  <c r="BB3150" i="1"/>
  <c r="BD3150" i="1"/>
  <c r="CE3150" i="1"/>
  <c r="A3151" i="1"/>
  <c r="C3151" i="1"/>
  <c r="E3151" i="1"/>
  <c r="S3151" i="1"/>
  <c r="T3151" i="1"/>
  <c r="U3151" i="1"/>
  <c r="BB3151" i="1"/>
  <c r="BD3151" i="1"/>
  <c r="CE3151" i="1"/>
  <c r="A3152" i="1"/>
  <c r="C3152" i="1"/>
  <c r="E3152" i="1"/>
  <c r="S3152" i="1"/>
  <c r="T3152" i="1"/>
  <c r="U3152" i="1"/>
  <c r="BB3152" i="1"/>
  <c r="BD3152" i="1"/>
  <c r="CE3152" i="1"/>
  <c r="A3153" i="1"/>
  <c r="C3153" i="1"/>
  <c r="E3153" i="1"/>
  <c r="S3153" i="1"/>
  <c r="T3153" i="1"/>
  <c r="U3153" i="1"/>
  <c r="BB3153" i="1"/>
  <c r="BD3153" i="1"/>
  <c r="CE3153" i="1"/>
  <c r="A3154" i="1"/>
  <c r="C3154" i="1"/>
  <c r="E3154" i="1"/>
  <c r="S3154" i="1"/>
  <c r="T3154" i="1"/>
  <c r="U3154" i="1"/>
  <c r="BB3154" i="1"/>
  <c r="BD3154" i="1"/>
  <c r="CE3154" i="1"/>
  <c r="A3155" i="1"/>
  <c r="C3155" i="1"/>
  <c r="E3155" i="1"/>
  <c r="S3155" i="1"/>
  <c r="T3155" i="1"/>
  <c r="U3155" i="1"/>
  <c r="BB3155" i="1"/>
  <c r="BD3155" i="1"/>
  <c r="CE3155" i="1"/>
  <c r="A3156" i="1"/>
  <c r="C3156" i="1"/>
  <c r="E3156" i="1"/>
  <c r="S3156" i="1"/>
  <c r="T3156" i="1"/>
  <c r="U3156" i="1"/>
  <c r="BB3156" i="1"/>
  <c r="BD3156" i="1"/>
  <c r="CE3156" i="1"/>
  <c r="A3157" i="1"/>
  <c r="C3157" i="1"/>
  <c r="E3157" i="1"/>
  <c r="S3157" i="1"/>
  <c r="T3157" i="1"/>
  <c r="U3157" i="1"/>
  <c r="BB3157" i="1"/>
  <c r="BD3157" i="1"/>
  <c r="CE3157" i="1"/>
  <c r="A3158" i="1"/>
  <c r="C3158" i="1"/>
  <c r="E3158" i="1"/>
  <c r="S3158" i="1"/>
  <c r="T3158" i="1"/>
  <c r="U3158" i="1"/>
  <c r="BB3158" i="1"/>
  <c r="BD3158" i="1"/>
  <c r="CE3158" i="1"/>
  <c r="A3159" i="1"/>
  <c r="C3159" i="1"/>
  <c r="E3159" i="1"/>
  <c r="S3159" i="1"/>
  <c r="T3159" i="1"/>
  <c r="U3159" i="1"/>
  <c r="BB3159" i="1"/>
  <c r="BD3159" i="1"/>
  <c r="CE3159" i="1"/>
  <c r="A3160" i="1"/>
  <c r="C3160" i="1"/>
  <c r="E3160" i="1"/>
  <c r="S3160" i="1"/>
  <c r="T3160" i="1"/>
  <c r="U3160" i="1"/>
  <c r="BB3160" i="1"/>
  <c r="BD3160" i="1"/>
  <c r="CE3160" i="1"/>
  <c r="A3161" i="1"/>
  <c r="C3161" i="1"/>
  <c r="E3161" i="1"/>
  <c r="S3161" i="1"/>
  <c r="T3161" i="1"/>
  <c r="U3161" i="1"/>
  <c r="BB3161" i="1"/>
  <c r="BD3161" i="1"/>
  <c r="CE3161" i="1"/>
  <c r="A3162" i="1"/>
  <c r="C3162" i="1"/>
  <c r="E3162" i="1"/>
  <c r="S3162" i="1"/>
  <c r="T3162" i="1"/>
  <c r="U3162" i="1"/>
  <c r="BB3162" i="1"/>
  <c r="BD3162" i="1"/>
  <c r="CE3162" i="1"/>
  <c r="A3163" i="1"/>
  <c r="C3163" i="1"/>
  <c r="E3163" i="1"/>
  <c r="S3163" i="1"/>
  <c r="T3163" i="1"/>
  <c r="U3163" i="1"/>
  <c r="BB3163" i="1"/>
  <c r="BD3163" i="1"/>
  <c r="CE3163" i="1"/>
  <c r="A3164" i="1"/>
  <c r="C3164" i="1"/>
  <c r="E3164" i="1"/>
  <c r="S3164" i="1"/>
  <c r="T3164" i="1"/>
  <c r="U3164" i="1"/>
  <c r="BB3164" i="1"/>
  <c r="BD3164" i="1"/>
  <c r="CE3164" i="1"/>
  <c r="A3165" i="1"/>
  <c r="C3165" i="1"/>
  <c r="E3165" i="1"/>
  <c r="S3165" i="1"/>
  <c r="T3165" i="1"/>
  <c r="U3165" i="1"/>
  <c r="BB3165" i="1"/>
  <c r="BD3165" i="1"/>
  <c r="CE3165" i="1"/>
  <c r="A3166" i="1"/>
  <c r="C3166" i="1"/>
  <c r="E3166" i="1"/>
  <c r="S3166" i="1"/>
  <c r="T3166" i="1"/>
  <c r="U3166" i="1"/>
  <c r="BB3166" i="1"/>
  <c r="BD3166" i="1"/>
  <c r="CE3166" i="1"/>
  <c r="A3167" i="1"/>
  <c r="C3167" i="1"/>
  <c r="E3167" i="1"/>
  <c r="S3167" i="1"/>
  <c r="T3167" i="1"/>
  <c r="U3167" i="1"/>
  <c r="BB3167" i="1"/>
  <c r="BD3167" i="1"/>
  <c r="CE3167" i="1"/>
  <c r="A3168" i="1"/>
  <c r="C3168" i="1"/>
  <c r="E3168" i="1"/>
  <c r="S3168" i="1"/>
  <c r="T3168" i="1"/>
  <c r="U3168" i="1"/>
  <c r="BB3168" i="1"/>
  <c r="BD3168" i="1"/>
  <c r="CE3168" i="1"/>
  <c r="A3169" i="1"/>
  <c r="C3169" i="1"/>
  <c r="E3169" i="1"/>
  <c r="S3169" i="1"/>
  <c r="T3169" i="1"/>
  <c r="U3169" i="1"/>
  <c r="BB3169" i="1"/>
  <c r="BD3169" i="1"/>
  <c r="CE3169" i="1"/>
  <c r="A3170" i="1"/>
  <c r="C3170" i="1"/>
  <c r="E3170" i="1"/>
  <c r="S3170" i="1"/>
  <c r="T3170" i="1"/>
  <c r="U3170" i="1"/>
  <c r="BB3170" i="1"/>
  <c r="BD3170" i="1"/>
  <c r="CE3170" i="1"/>
  <c r="A3171" i="1"/>
  <c r="C3171" i="1"/>
  <c r="E3171" i="1"/>
  <c r="S3171" i="1"/>
  <c r="T3171" i="1"/>
  <c r="U3171" i="1"/>
  <c r="BB3171" i="1"/>
  <c r="BD3171" i="1"/>
  <c r="CE3171" i="1"/>
  <c r="A3172" i="1"/>
  <c r="C3172" i="1"/>
  <c r="E3172" i="1"/>
  <c r="S3172" i="1"/>
  <c r="T3172" i="1"/>
  <c r="U3172" i="1"/>
  <c r="BB3172" i="1"/>
  <c r="BD3172" i="1"/>
  <c r="CE3172" i="1"/>
  <c r="A3173" i="1"/>
  <c r="C3173" i="1"/>
  <c r="E3173" i="1"/>
  <c r="S3173" i="1"/>
  <c r="T3173" i="1"/>
  <c r="U3173" i="1"/>
  <c r="BB3173" i="1"/>
  <c r="BD3173" i="1"/>
  <c r="CE3173" i="1"/>
  <c r="A3174" i="1"/>
  <c r="C3174" i="1"/>
  <c r="E3174" i="1"/>
  <c r="S3174" i="1"/>
  <c r="T3174" i="1"/>
  <c r="U3174" i="1"/>
  <c r="BB3174" i="1"/>
  <c r="BD3174" i="1"/>
  <c r="CE3174" i="1"/>
  <c r="A3175" i="1"/>
  <c r="C3175" i="1"/>
  <c r="E3175" i="1"/>
  <c r="S3175" i="1"/>
  <c r="T3175" i="1"/>
  <c r="U3175" i="1"/>
  <c r="BB3175" i="1"/>
  <c r="BD3175" i="1"/>
  <c r="CE3175" i="1"/>
  <c r="A3176" i="1"/>
  <c r="C3176" i="1"/>
  <c r="E3176" i="1"/>
  <c r="S3176" i="1"/>
  <c r="T3176" i="1"/>
  <c r="U3176" i="1"/>
  <c r="BB3176" i="1"/>
  <c r="BD3176" i="1"/>
  <c r="CE3176" i="1"/>
  <c r="A3177" i="1"/>
  <c r="C3177" i="1"/>
  <c r="E3177" i="1"/>
  <c r="S3177" i="1"/>
  <c r="T3177" i="1"/>
  <c r="U3177" i="1"/>
  <c r="BB3177" i="1"/>
  <c r="BD3177" i="1"/>
  <c r="CE3177" i="1"/>
  <c r="A3178" i="1"/>
  <c r="C3178" i="1"/>
  <c r="E3178" i="1"/>
  <c r="S3178" i="1"/>
  <c r="T3178" i="1"/>
  <c r="U3178" i="1"/>
  <c r="BB3178" i="1"/>
  <c r="BD3178" i="1"/>
  <c r="CE3178" i="1"/>
  <c r="A3179" i="1"/>
  <c r="C3179" i="1"/>
  <c r="E3179" i="1"/>
  <c r="S3179" i="1"/>
  <c r="T3179" i="1"/>
  <c r="U3179" i="1"/>
  <c r="BB3179" i="1"/>
  <c r="BD3179" i="1"/>
  <c r="CE3179" i="1"/>
  <c r="A3180" i="1"/>
  <c r="C3180" i="1"/>
  <c r="E3180" i="1"/>
  <c r="S3180" i="1"/>
  <c r="T3180" i="1"/>
  <c r="U3180" i="1"/>
  <c r="BB3180" i="1"/>
  <c r="BD3180" i="1"/>
  <c r="CE3180" i="1"/>
  <c r="A3181" i="1"/>
  <c r="C3181" i="1"/>
  <c r="E3181" i="1"/>
  <c r="S3181" i="1"/>
  <c r="T3181" i="1"/>
  <c r="U3181" i="1"/>
  <c r="BB3181" i="1"/>
  <c r="BD3181" i="1"/>
  <c r="CE3181" i="1"/>
  <c r="A3182" i="1"/>
  <c r="C3182" i="1"/>
  <c r="E3182" i="1"/>
  <c r="S3182" i="1"/>
  <c r="T3182" i="1"/>
  <c r="U3182" i="1"/>
  <c r="BB3182" i="1"/>
  <c r="BD3182" i="1"/>
  <c r="CE3182" i="1"/>
  <c r="A3183" i="1"/>
  <c r="C3183" i="1"/>
  <c r="E3183" i="1"/>
  <c r="S3183" i="1"/>
  <c r="T3183" i="1"/>
  <c r="U3183" i="1"/>
  <c r="BB3183" i="1"/>
  <c r="BD3183" i="1"/>
  <c r="CE3183" i="1"/>
  <c r="A3184" i="1"/>
  <c r="C3184" i="1"/>
  <c r="E3184" i="1"/>
  <c r="S3184" i="1"/>
  <c r="T3184" i="1"/>
  <c r="U3184" i="1"/>
  <c r="BB3184" i="1"/>
  <c r="BD3184" i="1"/>
  <c r="CE3184" i="1"/>
  <c r="A3185" i="1"/>
  <c r="C3185" i="1"/>
  <c r="E3185" i="1"/>
  <c r="S3185" i="1"/>
  <c r="T3185" i="1"/>
  <c r="U3185" i="1"/>
  <c r="BB3185" i="1"/>
  <c r="BD3185" i="1"/>
  <c r="CE3185" i="1"/>
  <c r="A3186" i="1"/>
  <c r="C3186" i="1"/>
  <c r="E3186" i="1"/>
  <c r="S3186" i="1"/>
  <c r="T3186" i="1"/>
  <c r="U3186" i="1"/>
  <c r="BB3186" i="1"/>
  <c r="BD3186" i="1"/>
  <c r="CE3186" i="1"/>
  <c r="A3187" i="1"/>
  <c r="C3187" i="1"/>
  <c r="E3187" i="1"/>
  <c r="S3187" i="1"/>
  <c r="T3187" i="1"/>
  <c r="U3187" i="1"/>
  <c r="BB3187" i="1"/>
  <c r="BD3187" i="1"/>
  <c r="CE3187" i="1"/>
  <c r="A3188" i="1"/>
  <c r="C3188" i="1"/>
  <c r="E3188" i="1"/>
  <c r="S3188" i="1"/>
  <c r="T3188" i="1"/>
  <c r="U3188" i="1"/>
  <c r="BB3188" i="1"/>
  <c r="BD3188" i="1"/>
  <c r="CE3188" i="1"/>
  <c r="A3189" i="1"/>
  <c r="C3189" i="1"/>
  <c r="E3189" i="1"/>
  <c r="S3189" i="1"/>
  <c r="T3189" i="1"/>
  <c r="U3189" i="1"/>
  <c r="BB3189" i="1"/>
  <c r="BD3189" i="1"/>
  <c r="CE3189" i="1"/>
  <c r="A3190" i="1"/>
  <c r="C3190" i="1"/>
  <c r="E3190" i="1"/>
  <c r="S3190" i="1"/>
  <c r="T3190" i="1"/>
  <c r="U3190" i="1"/>
  <c r="BB3190" i="1"/>
  <c r="BD3190" i="1"/>
  <c r="CE3190" i="1"/>
  <c r="A3191" i="1"/>
  <c r="C3191" i="1"/>
  <c r="E3191" i="1"/>
  <c r="S3191" i="1"/>
  <c r="T3191" i="1"/>
  <c r="U3191" i="1"/>
  <c r="BB3191" i="1"/>
  <c r="BD3191" i="1"/>
  <c r="CE3191" i="1"/>
  <c r="A3192" i="1"/>
  <c r="C3192" i="1"/>
  <c r="E3192" i="1"/>
  <c r="S3192" i="1"/>
  <c r="T3192" i="1"/>
  <c r="U3192" i="1"/>
  <c r="BB3192" i="1"/>
  <c r="BD3192" i="1"/>
  <c r="CE3192" i="1"/>
  <c r="A3193" i="1"/>
  <c r="C3193" i="1"/>
  <c r="E3193" i="1"/>
  <c r="S3193" i="1"/>
  <c r="T3193" i="1"/>
  <c r="U3193" i="1"/>
  <c r="BB3193" i="1"/>
  <c r="BD3193" i="1"/>
  <c r="CE3193" i="1"/>
  <c r="A3194" i="1"/>
  <c r="C3194" i="1"/>
  <c r="E3194" i="1"/>
  <c r="S3194" i="1"/>
  <c r="T3194" i="1"/>
  <c r="U3194" i="1"/>
  <c r="BB3194" i="1"/>
  <c r="BD3194" i="1"/>
  <c r="CE3194" i="1"/>
  <c r="A3195" i="1"/>
  <c r="C3195" i="1"/>
  <c r="E3195" i="1"/>
  <c r="S3195" i="1"/>
  <c r="T3195" i="1"/>
  <c r="U3195" i="1"/>
  <c r="BB3195" i="1"/>
  <c r="BD3195" i="1"/>
  <c r="CE3195" i="1"/>
  <c r="A3196" i="1"/>
  <c r="C3196" i="1"/>
  <c r="E3196" i="1"/>
  <c r="S3196" i="1"/>
  <c r="T3196" i="1"/>
  <c r="U3196" i="1"/>
  <c r="BB3196" i="1"/>
  <c r="BD3196" i="1"/>
  <c r="CE3196" i="1"/>
  <c r="A3197" i="1"/>
  <c r="C3197" i="1"/>
  <c r="E3197" i="1"/>
  <c r="S3197" i="1"/>
  <c r="T3197" i="1"/>
  <c r="U3197" i="1"/>
  <c r="BB3197" i="1"/>
  <c r="BD3197" i="1"/>
  <c r="CE3197" i="1"/>
  <c r="A3198" i="1"/>
  <c r="C3198" i="1"/>
  <c r="E3198" i="1"/>
  <c r="S3198" i="1"/>
  <c r="T3198" i="1"/>
  <c r="U3198" i="1"/>
  <c r="BB3198" i="1"/>
  <c r="BD3198" i="1"/>
  <c r="CE3198" i="1"/>
  <c r="A3199" i="1"/>
  <c r="C3199" i="1"/>
  <c r="E3199" i="1"/>
  <c r="S3199" i="1"/>
  <c r="T3199" i="1"/>
  <c r="U3199" i="1"/>
  <c r="BB3199" i="1"/>
  <c r="BD3199" i="1"/>
  <c r="CE3199" i="1"/>
  <c r="A3200" i="1"/>
  <c r="C3200" i="1"/>
  <c r="E3200" i="1"/>
  <c r="S3200" i="1"/>
  <c r="T3200" i="1"/>
  <c r="U3200" i="1"/>
  <c r="BB3200" i="1"/>
  <c r="BD3200" i="1"/>
  <c r="CE3200" i="1"/>
  <c r="A3201" i="1"/>
  <c r="C3201" i="1"/>
  <c r="E3201" i="1"/>
  <c r="S3201" i="1"/>
  <c r="T3201" i="1"/>
  <c r="U3201" i="1"/>
  <c r="BB3201" i="1"/>
  <c r="BD3201" i="1"/>
  <c r="CE3201" i="1"/>
  <c r="A3202" i="1"/>
  <c r="C3202" i="1"/>
  <c r="E3202" i="1"/>
  <c r="S3202" i="1"/>
  <c r="T3202" i="1"/>
  <c r="U3202" i="1"/>
  <c r="BB3202" i="1"/>
  <c r="BD3202" i="1"/>
  <c r="CE3202" i="1"/>
  <c r="A3203" i="1"/>
  <c r="C3203" i="1"/>
  <c r="E3203" i="1"/>
  <c r="S3203" i="1"/>
  <c r="T3203" i="1"/>
  <c r="U3203" i="1"/>
  <c r="BB3203" i="1"/>
  <c r="BD3203" i="1"/>
  <c r="CE3203" i="1"/>
  <c r="A3204" i="1"/>
  <c r="C3204" i="1"/>
  <c r="E3204" i="1"/>
  <c r="S3204" i="1"/>
  <c r="T3204" i="1"/>
  <c r="U3204" i="1"/>
  <c r="BB3204" i="1"/>
  <c r="BD3204" i="1"/>
  <c r="CE3204" i="1"/>
  <c r="A3205" i="1"/>
  <c r="C3205" i="1"/>
  <c r="E3205" i="1"/>
  <c r="S3205" i="1"/>
  <c r="T3205" i="1"/>
  <c r="U3205" i="1"/>
  <c r="BB3205" i="1"/>
  <c r="BD3205" i="1"/>
  <c r="CE3205" i="1"/>
  <c r="A3206" i="1"/>
  <c r="C3206" i="1"/>
  <c r="E3206" i="1"/>
  <c r="S3206" i="1"/>
  <c r="T3206" i="1"/>
  <c r="U3206" i="1"/>
  <c r="BB3206" i="1"/>
  <c r="BD3206" i="1"/>
  <c r="CE3206" i="1"/>
  <c r="A3207" i="1"/>
  <c r="C3207" i="1"/>
  <c r="E3207" i="1"/>
  <c r="S3207" i="1"/>
  <c r="T3207" i="1"/>
  <c r="U3207" i="1"/>
  <c r="BB3207" i="1"/>
  <c r="BD3207" i="1"/>
  <c r="CE3207" i="1"/>
  <c r="A3208" i="1"/>
  <c r="C3208" i="1"/>
  <c r="E3208" i="1"/>
  <c r="S3208" i="1"/>
  <c r="T3208" i="1"/>
  <c r="U3208" i="1"/>
  <c r="BB3208" i="1"/>
  <c r="BD3208" i="1"/>
  <c r="CE3208" i="1"/>
  <c r="A3209" i="1"/>
  <c r="C3209" i="1"/>
  <c r="E3209" i="1"/>
  <c r="S3209" i="1"/>
  <c r="T3209" i="1"/>
  <c r="U3209" i="1"/>
  <c r="BB3209" i="1"/>
  <c r="BD3209" i="1"/>
  <c r="CE3209" i="1"/>
  <c r="A3210" i="1"/>
  <c r="C3210" i="1"/>
  <c r="E3210" i="1"/>
  <c r="S3210" i="1"/>
  <c r="T3210" i="1"/>
  <c r="U3210" i="1"/>
  <c r="BB3210" i="1"/>
  <c r="BD3210" i="1"/>
  <c r="CE3210" i="1"/>
  <c r="A3211" i="1"/>
  <c r="C3211" i="1"/>
  <c r="E3211" i="1"/>
  <c r="S3211" i="1"/>
  <c r="T3211" i="1"/>
  <c r="U3211" i="1"/>
  <c r="BB3211" i="1"/>
  <c r="BD3211" i="1"/>
  <c r="CE3211" i="1"/>
  <c r="A3212" i="1"/>
  <c r="C3212" i="1"/>
  <c r="E3212" i="1"/>
  <c r="S3212" i="1"/>
  <c r="T3212" i="1"/>
  <c r="U3212" i="1"/>
  <c r="BB3212" i="1"/>
  <c r="BD3212" i="1"/>
  <c r="CE3212" i="1"/>
  <c r="A3213" i="1"/>
  <c r="C3213" i="1"/>
  <c r="E3213" i="1"/>
  <c r="S3213" i="1"/>
  <c r="T3213" i="1"/>
  <c r="U3213" i="1"/>
  <c r="BB3213" i="1"/>
  <c r="BD3213" i="1"/>
  <c r="CE3213" i="1"/>
  <c r="A3214" i="1"/>
  <c r="C3214" i="1"/>
  <c r="E3214" i="1"/>
  <c r="S3214" i="1"/>
  <c r="T3214" i="1"/>
  <c r="U3214" i="1"/>
  <c r="BB3214" i="1"/>
  <c r="BD3214" i="1"/>
  <c r="CE3214" i="1"/>
  <c r="A3215" i="1"/>
  <c r="C3215" i="1"/>
  <c r="E3215" i="1"/>
  <c r="S3215" i="1"/>
  <c r="T3215" i="1"/>
  <c r="U3215" i="1"/>
  <c r="BB3215" i="1"/>
  <c r="BD3215" i="1"/>
  <c r="CE3215" i="1"/>
  <c r="A3216" i="1"/>
  <c r="C3216" i="1"/>
  <c r="E3216" i="1"/>
  <c r="S3216" i="1"/>
  <c r="T3216" i="1"/>
  <c r="U3216" i="1"/>
  <c r="BB3216" i="1"/>
  <c r="BD3216" i="1"/>
  <c r="CE3216" i="1"/>
  <c r="A3217" i="1"/>
  <c r="C3217" i="1"/>
  <c r="E3217" i="1"/>
  <c r="S3217" i="1"/>
  <c r="T3217" i="1"/>
  <c r="U3217" i="1"/>
  <c r="BB3217" i="1"/>
  <c r="BD3217" i="1"/>
  <c r="CE3217" i="1"/>
  <c r="A3218" i="1"/>
  <c r="C3218" i="1"/>
  <c r="E3218" i="1"/>
  <c r="S3218" i="1"/>
  <c r="T3218" i="1"/>
  <c r="U3218" i="1"/>
  <c r="BB3218" i="1"/>
  <c r="BD3218" i="1"/>
  <c r="CE3218" i="1"/>
  <c r="A3219" i="1"/>
  <c r="C3219" i="1"/>
  <c r="E3219" i="1"/>
  <c r="S3219" i="1"/>
  <c r="T3219" i="1"/>
  <c r="U3219" i="1"/>
  <c r="BB3219" i="1"/>
  <c r="BD3219" i="1"/>
  <c r="CE3219" i="1"/>
  <c r="A3220" i="1"/>
  <c r="C3220" i="1"/>
  <c r="E3220" i="1"/>
  <c r="S3220" i="1"/>
  <c r="T3220" i="1"/>
  <c r="U3220" i="1"/>
  <c r="BB3220" i="1"/>
  <c r="BD3220" i="1"/>
  <c r="CE3220" i="1"/>
  <c r="A3221" i="1"/>
  <c r="C3221" i="1"/>
  <c r="E3221" i="1"/>
  <c r="S3221" i="1"/>
  <c r="T3221" i="1"/>
  <c r="U3221" i="1"/>
  <c r="BB3221" i="1"/>
  <c r="BD3221" i="1"/>
  <c r="CE3221" i="1"/>
  <c r="A3222" i="1"/>
  <c r="C3222" i="1"/>
  <c r="E3222" i="1"/>
  <c r="S3222" i="1"/>
  <c r="T3222" i="1"/>
  <c r="U3222" i="1"/>
  <c r="BB3222" i="1"/>
  <c r="BD3222" i="1"/>
  <c r="CE3222" i="1"/>
  <c r="A3223" i="1"/>
  <c r="C3223" i="1"/>
  <c r="E3223" i="1"/>
  <c r="S3223" i="1"/>
  <c r="T3223" i="1"/>
  <c r="U3223" i="1"/>
  <c r="BB3223" i="1"/>
  <c r="BD3223" i="1"/>
  <c r="CE3223" i="1"/>
  <c r="A3224" i="1"/>
  <c r="C3224" i="1"/>
  <c r="E3224" i="1"/>
  <c r="S3224" i="1"/>
  <c r="T3224" i="1"/>
  <c r="U3224" i="1"/>
  <c r="BB3224" i="1"/>
  <c r="BD3224" i="1"/>
  <c r="CE3224" i="1"/>
  <c r="A3225" i="1"/>
  <c r="C3225" i="1"/>
  <c r="E3225" i="1"/>
  <c r="S3225" i="1"/>
  <c r="T3225" i="1"/>
  <c r="U3225" i="1"/>
  <c r="BB3225" i="1"/>
  <c r="BD3225" i="1"/>
  <c r="CE3225" i="1"/>
  <c r="A3226" i="1"/>
  <c r="C3226" i="1"/>
  <c r="E3226" i="1"/>
  <c r="S3226" i="1"/>
  <c r="T3226" i="1"/>
  <c r="U3226" i="1"/>
  <c r="BB3226" i="1"/>
  <c r="BD3226" i="1"/>
  <c r="CE3226" i="1"/>
  <c r="A3227" i="1"/>
  <c r="C3227" i="1"/>
  <c r="E3227" i="1"/>
  <c r="S3227" i="1"/>
  <c r="T3227" i="1"/>
  <c r="U3227" i="1"/>
  <c r="BB3227" i="1"/>
  <c r="BD3227" i="1"/>
  <c r="CE3227" i="1"/>
  <c r="A3228" i="1"/>
  <c r="C3228" i="1"/>
  <c r="E3228" i="1"/>
  <c r="S3228" i="1"/>
  <c r="T3228" i="1"/>
  <c r="U3228" i="1"/>
  <c r="BB3228" i="1"/>
  <c r="BD3228" i="1"/>
  <c r="CE3228" i="1"/>
  <c r="A3229" i="1"/>
  <c r="C3229" i="1"/>
  <c r="E3229" i="1"/>
  <c r="S3229" i="1"/>
  <c r="T3229" i="1"/>
  <c r="U3229" i="1"/>
  <c r="BB3229" i="1"/>
  <c r="BD3229" i="1"/>
  <c r="CE3229" i="1"/>
  <c r="A3230" i="1"/>
  <c r="C3230" i="1"/>
  <c r="E3230" i="1"/>
  <c r="S3230" i="1"/>
  <c r="T3230" i="1"/>
  <c r="U3230" i="1"/>
  <c r="BB3230" i="1"/>
  <c r="BD3230" i="1"/>
  <c r="CE3230" i="1"/>
  <c r="A3231" i="1"/>
  <c r="C3231" i="1"/>
  <c r="E3231" i="1"/>
  <c r="S3231" i="1"/>
  <c r="T3231" i="1"/>
  <c r="U3231" i="1"/>
  <c r="BB3231" i="1"/>
  <c r="BD3231" i="1"/>
  <c r="CE3231" i="1"/>
  <c r="A3232" i="1"/>
  <c r="C3232" i="1"/>
  <c r="E3232" i="1"/>
  <c r="S3232" i="1"/>
  <c r="T3232" i="1"/>
  <c r="U3232" i="1"/>
  <c r="BB3232" i="1"/>
  <c r="BD3232" i="1"/>
  <c r="CE3232" i="1"/>
  <c r="A3233" i="1"/>
  <c r="C3233" i="1"/>
  <c r="E3233" i="1"/>
  <c r="S3233" i="1"/>
  <c r="T3233" i="1"/>
  <c r="U3233" i="1"/>
  <c r="BB3233" i="1"/>
  <c r="BD3233" i="1"/>
  <c r="CE3233" i="1"/>
  <c r="A3234" i="1"/>
  <c r="C3234" i="1"/>
  <c r="E3234" i="1"/>
  <c r="S3234" i="1"/>
  <c r="T3234" i="1"/>
  <c r="U3234" i="1"/>
  <c r="BB3234" i="1"/>
  <c r="BD3234" i="1"/>
  <c r="CE3234" i="1"/>
  <c r="A3235" i="1"/>
  <c r="C3235" i="1"/>
  <c r="E3235" i="1"/>
  <c r="S3235" i="1"/>
  <c r="T3235" i="1"/>
  <c r="U3235" i="1"/>
  <c r="BB3235" i="1"/>
  <c r="BD3235" i="1"/>
  <c r="CE3235" i="1"/>
  <c r="A3236" i="1"/>
  <c r="C3236" i="1"/>
  <c r="E3236" i="1"/>
  <c r="S3236" i="1"/>
  <c r="T3236" i="1"/>
  <c r="U3236" i="1"/>
  <c r="BB3236" i="1"/>
  <c r="BD3236" i="1"/>
  <c r="CE3236" i="1"/>
  <c r="A3237" i="1"/>
  <c r="C3237" i="1"/>
  <c r="E3237" i="1"/>
  <c r="S3237" i="1"/>
  <c r="T3237" i="1"/>
  <c r="U3237" i="1"/>
  <c r="BB3237" i="1"/>
  <c r="BD3237" i="1"/>
  <c r="CE3237" i="1"/>
  <c r="A3238" i="1"/>
  <c r="C3238" i="1"/>
  <c r="E3238" i="1"/>
  <c r="S3238" i="1"/>
  <c r="T3238" i="1"/>
  <c r="U3238" i="1"/>
  <c r="BB3238" i="1"/>
  <c r="BD3238" i="1"/>
  <c r="CE3238" i="1"/>
  <c r="A3239" i="1"/>
  <c r="C3239" i="1"/>
  <c r="E3239" i="1"/>
  <c r="S3239" i="1"/>
  <c r="T3239" i="1"/>
  <c r="U3239" i="1"/>
  <c r="BB3239" i="1"/>
  <c r="BD3239" i="1"/>
  <c r="CE3239" i="1"/>
  <c r="A3240" i="1"/>
  <c r="C3240" i="1"/>
  <c r="E3240" i="1"/>
  <c r="S3240" i="1"/>
  <c r="T3240" i="1"/>
  <c r="U3240" i="1"/>
  <c r="BB3240" i="1"/>
  <c r="BD3240" i="1"/>
  <c r="CE3240" i="1"/>
  <c r="A3241" i="1"/>
  <c r="C3241" i="1"/>
  <c r="E3241" i="1"/>
  <c r="S3241" i="1"/>
  <c r="T3241" i="1"/>
  <c r="U3241" i="1"/>
  <c r="BB3241" i="1"/>
  <c r="BD3241" i="1"/>
  <c r="CE3241" i="1"/>
  <c r="A3242" i="1"/>
  <c r="C3242" i="1"/>
  <c r="E3242" i="1"/>
  <c r="S3242" i="1"/>
  <c r="T3242" i="1"/>
  <c r="U3242" i="1"/>
  <c r="BB3242" i="1"/>
  <c r="BD3242" i="1"/>
  <c r="CE3242" i="1"/>
  <c r="A3243" i="1"/>
  <c r="C3243" i="1"/>
  <c r="E3243" i="1"/>
  <c r="S3243" i="1"/>
  <c r="T3243" i="1"/>
  <c r="U3243" i="1"/>
  <c r="BB3243" i="1"/>
  <c r="BD3243" i="1"/>
  <c r="CE3243" i="1"/>
  <c r="A3244" i="1"/>
  <c r="C3244" i="1"/>
  <c r="E3244" i="1"/>
  <c r="S3244" i="1"/>
  <c r="T3244" i="1"/>
  <c r="U3244" i="1"/>
  <c r="BB3244" i="1"/>
  <c r="BD3244" i="1"/>
  <c r="CE3244" i="1"/>
  <c r="A3245" i="1"/>
  <c r="C3245" i="1"/>
  <c r="E3245" i="1"/>
  <c r="S3245" i="1"/>
  <c r="T3245" i="1"/>
  <c r="U3245" i="1"/>
  <c r="BB3245" i="1"/>
  <c r="BD3245" i="1"/>
  <c r="CE3245" i="1"/>
  <c r="A3246" i="1"/>
  <c r="C3246" i="1"/>
  <c r="E3246" i="1"/>
  <c r="S3246" i="1"/>
  <c r="T3246" i="1"/>
  <c r="U3246" i="1"/>
  <c r="BB3246" i="1"/>
  <c r="BD3246" i="1"/>
  <c r="CE3246" i="1"/>
  <c r="A3247" i="1"/>
  <c r="C3247" i="1"/>
  <c r="E3247" i="1"/>
  <c r="S3247" i="1"/>
  <c r="T3247" i="1"/>
  <c r="U3247" i="1"/>
  <c r="BB3247" i="1"/>
  <c r="BD3247" i="1"/>
  <c r="CE3247" i="1"/>
  <c r="A3248" i="1"/>
  <c r="C3248" i="1"/>
  <c r="E3248" i="1"/>
  <c r="S3248" i="1"/>
  <c r="T3248" i="1"/>
  <c r="U3248" i="1"/>
  <c r="BB3248" i="1"/>
  <c r="BD3248" i="1"/>
  <c r="CE3248" i="1"/>
  <c r="A3249" i="1"/>
  <c r="C3249" i="1"/>
  <c r="E3249" i="1"/>
  <c r="S3249" i="1"/>
  <c r="T3249" i="1"/>
  <c r="U3249" i="1"/>
  <c r="BB3249" i="1"/>
  <c r="BD3249" i="1"/>
  <c r="CE3249" i="1"/>
  <c r="A3250" i="1"/>
  <c r="C3250" i="1"/>
  <c r="E3250" i="1"/>
  <c r="S3250" i="1"/>
  <c r="T3250" i="1"/>
  <c r="U3250" i="1"/>
  <c r="BB3250" i="1"/>
  <c r="BD3250" i="1"/>
  <c r="CE3250" i="1"/>
  <c r="A3251" i="1"/>
  <c r="C3251" i="1"/>
  <c r="E3251" i="1"/>
  <c r="S3251" i="1"/>
  <c r="T3251" i="1"/>
  <c r="U3251" i="1"/>
  <c r="BB3251" i="1"/>
  <c r="BD3251" i="1"/>
  <c r="CE3251" i="1"/>
  <c r="A3252" i="1"/>
  <c r="C3252" i="1"/>
  <c r="E3252" i="1"/>
  <c r="S3252" i="1"/>
  <c r="T3252" i="1"/>
  <c r="U3252" i="1"/>
  <c r="BB3252" i="1"/>
  <c r="BD3252" i="1"/>
  <c r="CE3252" i="1"/>
  <c r="A3253" i="1"/>
  <c r="C3253" i="1"/>
  <c r="E3253" i="1"/>
  <c r="S3253" i="1"/>
  <c r="T3253" i="1"/>
  <c r="U3253" i="1"/>
  <c r="BB3253" i="1"/>
  <c r="BD3253" i="1"/>
  <c r="CE3253" i="1"/>
  <c r="A3254" i="1"/>
  <c r="C3254" i="1"/>
  <c r="E3254" i="1"/>
  <c r="S3254" i="1"/>
  <c r="T3254" i="1"/>
  <c r="U3254" i="1"/>
  <c r="BB3254" i="1"/>
  <c r="BD3254" i="1"/>
  <c r="CE3254" i="1"/>
  <c r="A3255" i="1"/>
  <c r="C3255" i="1"/>
  <c r="E3255" i="1"/>
  <c r="S3255" i="1"/>
  <c r="T3255" i="1"/>
  <c r="U3255" i="1"/>
  <c r="BB3255" i="1"/>
  <c r="BD3255" i="1"/>
  <c r="CE3255" i="1"/>
  <c r="A3256" i="1"/>
  <c r="C3256" i="1"/>
  <c r="E3256" i="1"/>
  <c r="S3256" i="1"/>
  <c r="T3256" i="1"/>
  <c r="U3256" i="1"/>
  <c r="BB3256" i="1"/>
  <c r="BD3256" i="1"/>
  <c r="CE3256" i="1"/>
  <c r="A3257" i="1"/>
  <c r="C3257" i="1"/>
  <c r="E3257" i="1"/>
  <c r="S3257" i="1"/>
  <c r="T3257" i="1"/>
  <c r="U3257" i="1"/>
  <c r="BB3257" i="1"/>
  <c r="BD3257" i="1"/>
  <c r="CE3257" i="1"/>
  <c r="A3258" i="1"/>
  <c r="C3258" i="1"/>
  <c r="E3258" i="1"/>
  <c r="S3258" i="1"/>
  <c r="T3258" i="1"/>
  <c r="U3258" i="1"/>
  <c r="BB3258" i="1"/>
  <c r="BD3258" i="1"/>
  <c r="CE3258" i="1"/>
  <c r="A3259" i="1"/>
  <c r="C3259" i="1"/>
  <c r="E3259" i="1"/>
  <c r="S3259" i="1"/>
  <c r="T3259" i="1"/>
  <c r="U3259" i="1"/>
  <c r="BB3259" i="1"/>
  <c r="BD3259" i="1"/>
  <c r="CE3259" i="1"/>
  <c r="A3260" i="1"/>
  <c r="C3260" i="1"/>
  <c r="E3260" i="1"/>
  <c r="S3260" i="1"/>
  <c r="T3260" i="1"/>
  <c r="U3260" i="1"/>
  <c r="BB3260" i="1"/>
  <c r="BD3260" i="1"/>
  <c r="CE3260" i="1"/>
  <c r="A3261" i="1"/>
  <c r="C3261" i="1"/>
  <c r="E3261" i="1"/>
  <c r="S3261" i="1"/>
  <c r="T3261" i="1"/>
  <c r="U3261" i="1"/>
  <c r="BB3261" i="1"/>
  <c r="BD3261" i="1"/>
  <c r="CE3261" i="1"/>
  <c r="A3262" i="1"/>
  <c r="C3262" i="1"/>
  <c r="E3262" i="1"/>
  <c r="S3262" i="1"/>
  <c r="T3262" i="1"/>
  <c r="U3262" i="1"/>
  <c r="BB3262" i="1"/>
  <c r="BD3262" i="1"/>
  <c r="CE3262" i="1"/>
  <c r="A3263" i="1"/>
  <c r="C3263" i="1"/>
  <c r="E3263" i="1"/>
  <c r="S3263" i="1"/>
  <c r="T3263" i="1"/>
  <c r="U3263" i="1"/>
  <c r="BB3263" i="1"/>
  <c r="BD3263" i="1"/>
  <c r="CE3263" i="1"/>
  <c r="A3264" i="1"/>
  <c r="C3264" i="1"/>
  <c r="E3264" i="1"/>
  <c r="S3264" i="1"/>
  <c r="T3264" i="1"/>
  <c r="U3264" i="1"/>
  <c r="BB3264" i="1"/>
  <c r="BD3264" i="1"/>
  <c r="CE3264" i="1"/>
  <c r="A3265" i="1"/>
  <c r="C3265" i="1"/>
  <c r="E3265" i="1"/>
  <c r="S3265" i="1"/>
  <c r="T3265" i="1"/>
  <c r="U3265" i="1"/>
  <c r="BB3265" i="1"/>
  <c r="BD3265" i="1"/>
  <c r="CE3265" i="1"/>
  <c r="A3266" i="1"/>
  <c r="C3266" i="1"/>
  <c r="E3266" i="1"/>
  <c r="S3266" i="1"/>
  <c r="T3266" i="1"/>
  <c r="U3266" i="1"/>
  <c r="BB3266" i="1"/>
  <c r="BD3266" i="1"/>
  <c r="CE3266" i="1"/>
  <c r="A3267" i="1"/>
  <c r="C3267" i="1"/>
  <c r="E3267" i="1"/>
  <c r="S3267" i="1"/>
  <c r="T3267" i="1"/>
  <c r="U3267" i="1"/>
  <c r="BB3267" i="1"/>
  <c r="BD3267" i="1"/>
  <c r="CE3267" i="1"/>
  <c r="A3268" i="1"/>
  <c r="C3268" i="1"/>
  <c r="E3268" i="1"/>
  <c r="S3268" i="1"/>
  <c r="T3268" i="1"/>
  <c r="U3268" i="1"/>
  <c r="BB3268" i="1"/>
  <c r="BD3268" i="1"/>
  <c r="CE3268" i="1"/>
  <c r="A3269" i="1"/>
  <c r="C3269" i="1"/>
  <c r="E3269" i="1"/>
  <c r="S3269" i="1"/>
  <c r="T3269" i="1"/>
  <c r="U3269" i="1"/>
  <c r="BB3269" i="1"/>
  <c r="BD3269" i="1"/>
  <c r="CE3269" i="1"/>
  <c r="A3270" i="1"/>
  <c r="C3270" i="1"/>
  <c r="E3270" i="1"/>
  <c r="S3270" i="1"/>
  <c r="T3270" i="1"/>
  <c r="U3270" i="1"/>
  <c r="BB3270" i="1"/>
  <c r="BD3270" i="1"/>
  <c r="CE3270" i="1"/>
  <c r="A3271" i="1"/>
  <c r="C3271" i="1"/>
  <c r="E3271" i="1"/>
  <c r="S3271" i="1"/>
  <c r="T3271" i="1"/>
  <c r="U3271" i="1"/>
  <c r="BB3271" i="1"/>
  <c r="BD3271" i="1"/>
  <c r="CE3271" i="1"/>
  <c r="A3272" i="1"/>
  <c r="C3272" i="1"/>
  <c r="E3272" i="1"/>
  <c r="S3272" i="1"/>
  <c r="T3272" i="1"/>
  <c r="U3272" i="1"/>
  <c r="BB3272" i="1"/>
  <c r="BD3272" i="1"/>
  <c r="CE3272" i="1"/>
  <c r="A3273" i="1"/>
  <c r="C3273" i="1"/>
  <c r="E3273" i="1"/>
  <c r="S3273" i="1"/>
  <c r="T3273" i="1"/>
  <c r="U3273" i="1"/>
  <c r="BB3273" i="1"/>
  <c r="BD3273" i="1"/>
  <c r="CE3273" i="1"/>
  <c r="A3274" i="1"/>
  <c r="C3274" i="1"/>
  <c r="E3274" i="1"/>
  <c r="S3274" i="1"/>
  <c r="T3274" i="1"/>
  <c r="U3274" i="1"/>
  <c r="BB3274" i="1"/>
  <c r="BD3274" i="1"/>
  <c r="CE3274" i="1"/>
  <c r="A3275" i="1"/>
  <c r="C3275" i="1"/>
  <c r="E3275" i="1"/>
  <c r="S3275" i="1"/>
  <c r="T3275" i="1"/>
  <c r="U3275" i="1"/>
  <c r="BB3275" i="1"/>
  <c r="BD3275" i="1"/>
  <c r="CE3275" i="1"/>
  <c r="A3276" i="1"/>
  <c r="C3276" i="1"/>
  <c r="E3276" i="1"/>
  <c r="S3276" i="1"/>
  <c r="T3276" i="1"/>
  <c r="U3276" i="1"/>
  <c r="BB3276" i="1"/>
  <c r="BD3276" i="1"/>
  <c r="CE3276" i="1"/>
  <c r="A3277" i="1"/>
  <c r="C3277" i="1"/>
  <c r="E3277" i="1"/>
  <c r="S3277" i="1"/>
  <c r="T3277" i="1"/>
  <c r="U3277" i="1"/>
  <c r="BB3277" i="1"/>
  <c r="BD3277" i="1"/>
  <c r="CE3277" i="1"/>
  <c r="A3278" i="1"/>
  <c r="C3278" i="1"/>
  <c r="E3278" i="1"/>
  <c r="S3278" i="1"/>
  <c r="T3278" i="1"/>
  <c r="U3278" i="1"/>
  <c r="BB3278" i="1"/>
  <c r="BD3278" i="1"/>
  <c r="CE3278" i="1"/>
  <c r="A3279" i="1"/>
  <c r="C3279" i="1"/>
  <c r="E3279" i="1"/>
  <c r="S3279" i="1"/>
  <c r="T3279" i="1"/>
  <c r="U3279" i="1"/>
  <c r="BB3279" i="1"/>
  <c r="BD3279" i="1"/>
  <c r="CE3279" i="1"/>
  <c r="A3280" i="1"/>
  <c r="C3280" i="1"/>
  <c r="E3280" i="1"/>
  <c r="S3280" i="1"/>
  <c r="T3280" i="1"/>
  <c r="U3280" i="1"/>
  <c r="BB3280" i="1"/>
  <c r="BD3280" i="1"/>
  <c r="CE3280" i="1"/>
  <c r="A3281" i="1"/>
  <c r="C3281" i="1"/>
  <c r="E3281" i="1"/>
  <c r="S3281" i="1"/>
  <c r="T3281" i="1"/>
  <c r="U3281" i="1"/>
  <c r="BB3281" i="1"/>
  <c r="BD3281" i="1"/>
  <c r="CE3281" i="1"/>
  <c r="A3282" i="1"/>
  <c r="C3282" i="1"/>
  <c r="E3282" i="1"/>
  <c r="S3282" i="1"/>
  <c r="T3282" i="1"/>
  <c r="U3282" i="1"/>
  <c r="BB3282" i="1"/>
  <c r="BD3282" i="1"/>
  <c r="CE3282" i="1"/>
  <c r="A3283" i="1"/>
  <c r="C3283" i="1"/>
  <c r="E3283" i="1"/>
  <c r="S3283" i="1"/>
  <c r="T3283" i="1"/>
  <c r="U3283" i="1"/>
  <c r="BB3283" i="1"/>
  <c r="BD3283" i="1"/>
  <c r="CE3283" i="1"/>
  <c r="A3284" i="1"/>
  <c r="C3284" i="1"/>
  <c r="E3284" i="1"/>
  <c r="S3284" i="1"/>
  <c r="T3284" i="1"/>
  <c r="U3284" i="1"/>
  <c r="BB3284" i="1"/>
  <c r="BD3284" i="1"/>
  <c r="CE3284" i="1"/>
  <c r="A3285" i="1"/>
  <c r="C3285" i="1"/>
  <c r="E3285" i="1"/>
  <c r="S3285" i="1"/>
  <c r="T3285" i="1"/>
  <c r="U3285" i="1"/>
  <c r="BB3285" i="1"/>
  <c r="BD3285" i="1"/>
  <c r="CE3285" i="1"/>
  <c r="A3286" i="1"/>
  <c r="C3286" i="1"/>
  <c r="E3286" i="1"/>
  <c r="S3286" i="1"/>
  <c r="T3286" i="1"/>
  <c r="U3286" i="1"/>
  <c r="BB3286" i="1"/>
  <c r="BD3286" i="1"/>
  <c r="CE3286" i="1"/>
  <c r="A3287" i="1"/>
  <c r="C3287" i="1"/>
  <c r="E3287" i="1"/>
  <c r="S3287" i="1"/>
  <c r="T3287" i="1"/>
  <c r="U3287" i="1"/>
  <c r="BB3287" i="1"/>
  <c r="BD3287" i="1"/>
  <c r="CE3287" i="1"/>
  <c r="A3288" i="1"/>
  <c r="C3288" i="1"/>
  <c r="E3288" i="1"/>
  <c r="S3288" i="1"/>
  <c r="T3288" i="1"/>
  <c r="U3288" i="1"/>
  <c r="BB3288" i="1"/>
  <c r="BD3288" i="1"/>
  <c r="CE3288" i="1"/>
  <c r="A3289" i="1"/>
  <c r="C3289" i="1"/>
  <c r="E3289" i="1"/>
  <c r="S3289" i="1"/>
  <c r="T3289" i="1"/>
  <c r="U3289" i="1"/>
  <c r="BB3289" i="1"/>
  <c r="BD3289" i="1"/>
  <c r="CE3289" i="1"/>
  <c r="A3290" i="1"/>
  <c r="C3290" i="1"/>
  <c r="E3290" i="1"/>
  <c r="S3290" i="1"/>
  <c r="T3290" i="1"/>
  <c r="U3290" i="1"/>
  <c r="BB3290" i="1"/>
  <c r="BD3290" i="1"/>
  <c r="CE3290" i="1"/>
  <c r="A3291" i="1"/>
  <c r="C3291" i="1"/>
  <c r="E3291" i="1"/>
  <c r="S3291" i="1"/>
  <c r="T3291" i="1"/>
  <c r="U3291" i="1"/>
  <c r="BB3291" i="1"/>
  <c r="BD3291" i="1"/>
  <c r="CE3291" i="1"/>
  <c r="A3292" i="1"/>
  <c r="C3292" i="1"/>
  <c r="E3292" i="1"/>
  <c r="S3292" i="1"/>
  <c r="T3292" i="1"/>
  <c r="U3292" i="1"/>
  <c r="BB3292" i="1"/>
  <c r="BD3292" i="1"/>
  <c r="CE3292" i="1"/>
  <c r="A3293" i="1"/>
  <c r="C3293" i="1"/>
  <c r="E3293" i="1"/>
  <c r="S3293" i="1"/>
  <c r="T3293" i="1"/>
  <c r="U3293" i="1"/>
  <c r="BB3293" i="1"/>
  <c r="BD3293" i="1"/>
  <c r="CE3293" i="1"/>
  <c r="A3294" i="1"/>
  <c r="C3294" i="1"/>
  <c r="E3294" i="1"/>
  <c r="S3294" i="1"/>
  <c r="T3294" i="1"/>
  <c r="U3294" i="1"/>
  <c r="BB3294" i="1"/>
  <c r="BD3294" i="1"/>
  <c r="CE3294" i="1"/>
  <c r="A3295" i="1"/>
  <c r="C3295" i="1"/>
  <c r="E3295" i="1"/>
  <c r="S3295" i="1"/>
  <c r="T3295" i="1"/>
  <c r="U3295" i="1"/>
  <c r="BB3295" i="1"/>
  <c r="BD3295" i="1"/>
  <c r="CE3295" i="1"/>
  <c r="A3296" i="1"/>
  <c r="C3296" i="1"/>
  <c r="E3296" i="1"/>
  <c r="S3296" i="1"/>
  <c r="T3296" i="1"/>
  <c r="U3296" i="1"/>
  <c r="BB3296" i="1"/>
  <c r="BD3296" i="1"/>
  <c r="CE3296" i="1"/>
  <c r="A3297" i="1"/>
  <c r="C3297" i="1"/>
  <c r="E3297" i="1"/>
  <c r="S3297" i="1"/>
  <c r="T3297" i="1"/>
  <c r="U3297" i="1"/>
  <c r="BB3297" i="1"/>
  <c r="BD3297" i="1"/>
  <c r="CE3297" i="1"/>
  <c r="A3298" i="1"/>
  <c r="C3298" i="1"/>
  <c r="E3298" i="1"/>
  <c r="S3298" i="1"/>
  <c r="T3298" i="1"/>
  <c r="U3298" i="1"/>
  <c r="BB3298" i="1"/>
  <c r="BD3298" i="1"/>
  <c r="CE3298" i="1"/>
  <c r="A3299" i="1"/>
  <c r="C3299" i="1"/>
  <c r="E3299" i="1"/>
  <c r="S3299" i="1"/>
  <c r="T3299" i="1"/>
  <c r="U3299" i="1"/>
  <c r="BB3299" i="1"/>
  <c r="BD3299" i="1"/>
  <c r="CE3299" i="1"/>
  <c r="A3300" i="1"/>
  <c r="C3300" i="1"/>
  <c r="E3300" i="1"/>
  <c r="S3300" i="1"/>
  <c r="T3300" i="1"/>
  <c r="U3300" i="1"/>
  <c r="BB3300" i="1"/>
  <c r="BD3300" i="1"/>
  <c r="CE3300" i="1"/>
  <c r="A3301" i="1"/>
  <c r="C3301" i="1"/>
  <c r="E3301" i="1"/>
  <c r="S3301" i="1"/>
  <c r="T3301" i="1"/>
  <c r="U3301" i="1"/>
  <c r="BB3301" i="1"/>
  <c r="BD3301" i="1"/>
  <c r="CE3301" i="1"/>
  <c r="A3302" i="1"/>
  <c r="C3302" i="1"/>
  <c r="E3302" i="1"/>
  <c r="S3302" i="1"/>
  <c r="T3302" i="1"/>
  <c r="U3302" i="1"/>
  <c r="BB3302" i="1"/>
  <c r="BD3302" i="1"/>
  <c r="CE3302" i="1"/>
  <c r="A3303" i="1"/>
  <c r="C3303" i="1"/>
  <c r="E3303" i="1"/>
  <c r="S3303" i="1"/>
  <c r="T3303" i="1"/>
  <c r="U3303" i="1"/>
  <c r="BB3303" i="1"/>
  <c r="BD3303" i="1"/>
  <c r="CE3303" i="1"/>
  <c r="A3304" i="1"/>
  <c r="C3304" i="1"/>
  <c r="E3304" i="1"/>
  <c r="S3304" i="1"/>
  <c r="T3304" i="1"/>
  <c r="U3304" i="1"/>
  <c r="BB3304" i="1"/>
  <c r="BD3304" i="1"/>
  <c r="CE3304" i="1"/>
  <c r="A3305" i="1"/>
  <c r="C3305" i="1"/>
  <c r="E3305" i="1"/>
  <c r="S3305" i="1"/>
  <c r="T3305" i="1"/>
  <c r="U3305" i="1"/>
  <c r="BB3305" i="1"/>
  <c r="BD3305" i="1"/>
  <c r="CE3305" i="1"/>
  <c r="A3306" i="1"/>
  <c r="C3306" i="1"/>
  <c r="E3306" i="1"/>
  <c r="S3306" i="1"/>
  <c r="T3306" i="1"/>
  <c r="U3306" i="1"/>
  <c r="BB3306" i="1"/>
  <c r="BD3306" i="1"/>
  <c r="CE3306" i="1"/>
  <c r="A3307" i="1"/>
  <c r="C3307" i="1"/>
  <c r="E3307" i="1"/>
  <c r="S3307" i="1"/>
  <c r="T3307" i="1"/>
  <c r="U3307" i="1"/>
  <c r="BB3307" i="1"/>
  <c r="BD3307" i="1"/>
  <c r="CE3307" i="1"/>
  <c r="A3308" i="1"/>
  <c r="C3308" i="1"/>
  <c r="E3308" i="1"/>
  <c r="S3308" i="1"/>
  <c r="T3308" i="1"/>
  <c r="U3308" i="1"/>
  <c r="BB3308" i="1"/>
  <c r="BD3308" i="1"/>
  <c r="CE3308" i="1"/>
  <c r="A3309" i="1"/>
  <c r="C3309" i="1"/>
  <c r="E3309" i="1"/>
  <c r="S3309" i="1"/>
  <c r="T3309" i="1"/>
  <c r="U3309" i="1"/>
  <c r="BB3309" i="1"/>
  <c r="BD3309" i="1"/>
  <c r="CE3309" i="1"/>
  <c r="A3310" i="1"/>
  <c r="C3310" i="1"/>
  <c r="E3310" i="1"/>
  <c r="S3310" i="1"/>
  <c r="T3310" i="1"/>
  <c r="U3310" i="1"/>
  <c r="BB3310" i="1"/>
  <c r="BD3310" i="1"/>
  <c r="CE3310" i="1"/>
  <c r="A3311" i="1"/>
  <c r="C3311" i="1"/>
  <c r="E3311" i="1"/>
  <c r="S3311" i="1"/>
  <c r="T3311" i="1"/>
  <c r="U3311" i="1"/>
  <c r="BB3311" i="1"/>
  <c r="BD3311" i="1"/>
  <c r="CE3311" i="1"/>
  <c r="A3312" i="1"/>
  <c r="C3312" i="1"/>
  <c r="E3312" i="1"/>
  <c r="S3312" i="1"/>
  <c r="T3312" i="1"/>
  <c r="U3312" i="1"/>
  <c r="BB3312" i="1"/>
  <c r="BD3312" i="1"/>
  <c r="CE3312" i="1"/>
  <c r="A3313" i="1"/>
  <c r="C3313" i="1"/>
  <c r="E3313" i="1"/>
  <c r="S3313" i="1"/>
  <c r="T3313" i="1"/>
  <c r="U3313" i="1"/>
  <c r="BB3313" i="1"/>
  <c r="BD3313" i="1"/>
  <c r="CE3313" i="1"/>
  <c r="A3314" i="1"/>
  <c r="C3314" i="1"/>
  <c r="E3314" i="1"/>
  <c r="S3314" i="1"/>
  <c r="T3314" i="1"/>
  <c r="U3314" i="1"/>
  <c r="BB3314" i="1"/>
  <c r="BD3314" i="1"/>
  <c r="CE3314" i="1"/>
  <c r="A3315" i="1"/>
  <c r="C3315" i="1"/>
  <c r="E3315" i="1"/>
  <c r="S3315" i="1"/>
  <c r="T3315" i="1"/>
  <c r="U3315" i="1"/>
  <c r="BB3315" i="1"/>
  <c r="BD3315" i="1"/>
  <c r="CE3315" i="1"/>
  <c r="A3316" i="1"/>
  <c r="C3316" i="1"/>
  <c r="E3316" i="1"/>
  <c r="S3316" i="1"/>
  <c r="T3316" i="1"/>
  <c r="U3316" i="1"/>
  <c r="BB3316" i="1"/>
  <c r="BD3316" i="1"/>
  <c r="CE3316" i="1"/>
  <c r="A3317" i="1"/>
  <c r="C3317" i="1"/>
  <c r="E3317" i="1"/>
  <c r="S3317" i="1"/>
  <c r="T3317" i="1"/>
  <c r="U3317" i="1"/>
  <c r="BB3317" i="1"/>
  <c r="BD3317" i="1"/>
  <c r="CE3317" i="1"/>
  <c r="A3318" i="1"/>
  <c r="C3318" i="1"/>
  <c r="E3318" i="1"/>
  <c r="S3318" i="1"/>
  <c r="T3318" i="1"/>
  <c r="U3318" i="1"/>
  <c r="BB3318" i="1"/>
  <c r="BD3318" i="1"/>
  <c r="CE3318" i="1"/>
  <c r="A3319" i="1"/>
  <c r="C3319" i="1"/>
  <c r="E3319" i="1"/>
  <c r="S3319" i="1"/>
  <c r="T3319" i="1"/>
  <c r="U3319" i="1"/>
  <c r="BB3319" i="1"/>
  <c r="BD3319" i="1"/>
  <c r="CE3319" i="1"/>
  <c r="A3320" i="1"/>
  <c r="C3320" i="1"/>
  <c r="E3320" i="1"/>
  <c r="S3320" i="1"/>
  <c r="T3320" i="1"/>
  <c r="U3320" i="1"/>
  <c r="BB3320" i="1"/>
  <c r="BD3320" i="1"/>
  <c r="CE3320" i="1"/>
  <c r="A3321" i="1"/>
  <c r="C3321" i="1"/>
  <c r="E3321" i="1"/>
  <c r="S3321" i="1"/>
  <c r="T3321" i="1"/>
  <c r="U3321" i="1"/>
  <c r="BB3321" i="1"/>
  <c r="BD3321" i="1"/>
  <c r="CE3321" i="1"/>
  <c r="A3322" i="1"/>
  <c r="C3322" i="1"/>
  <c r="E3322" i="1"/>
  <c r="S3322" i="1"/>
  <c r="T3322" i="1"/>
  <c r="U3322" i="1"/>
  <c r="BB3322" i="1"/>
  <c r="BD3322" i="1"/>
  <c r="CE3322" i="1"/>
  <c r="A3323" i="1"/>
  <c r="C3323" i="1"/>
  <c r="E3323" i="1"/>
  <c r="S3323" i="1"/>
  <c r="T3323" i="1"/>
  <c r="U3323" i="1"/>
  <c r="BB3323" i="1"/>
  <c r="BD3323" i="1"/>
  <c r="CE3323" i="1"/>
  <c r="A3324" i="1"/>
  <c r="C3324" i="1"/>
  <c r="E3324" i="1"/>
  <c r="S3324" i="1"/>
  <c r="T3324" i="1"/>
  <c r="U3324" i="1"/>
  <c r="BB3324" i="1"/>
  <c r="BD3324" i="1"/>
  <c r="CE3324" i="1"/>
  <c r="A3325" i="1"/>
  <c r="C3325" i="1"/>
  <c r="E3325" i="1"/>
  <c r="S3325" i="1"/>
  <c r="T3325" i="1"/>
  <c r="U3325" i="1"/>
  <c r="BB3325" i="1"/>
  <c r="BD3325" i="1"/>
  <c r="CE3325" i="1"/>
  <c r="A3326" i="1"/>
  <c r="C3326" i="1"/>
  <c r="E3326" i="1"/>
  <c r="S3326" i="1"/>
  <c r="T3326" i="1"/>
  <c r="U3326" i="1"/>
  <c r="BB3326" i="1"/>
  <c r="BD3326" i="1"/>
  <c r="CE3326" i="1"/>
  <c r="A3327" i="1"/>
  <c r="C3327" i="1"/>
  <c r="E3327" i="1"/>
  <c r="S3327" i="1"/>
  <c r="T3327" i="1"/>
  <c r="U3327" i="1"/>
  <c r="BB3327" i="1"/>
  <c r="BD3327" i="1"/>
  <c r="CE3327" i="1"/>
  <c r="A3328" i="1"/>
  <c r="C3328" i="1"/>
  <c r="E3328" i="1"/>
  <c r="S3328" i="1"/>
  <c r="T3328" i="1"/>
  <c r="U3328" i="1"/>
  <c r="BB3328" i="1"/>
  <c r="BD3328" i="1"/>
  <c r="CE3328" i="1"/>
  <c r="A3329" i="1"/>
  <c r="C3329" i="1"/>
  <c r="E3329" i="1"/>
  <c r="S3329" i="1"/>
  <c r="T3329" i="1"/>
  <c r="U3329" i="1"/>
  <c r="BB3329" i="1"/>
  <c r="BD3329" i="1"/>
  <c r="CE3329" i="1"/>
  <c r="A3330" i="1"/>
  <c r="C3330" i="1"/>
  <c r="E3330" i="1"/>
  <c r="S3330" i="1"/>
  <c r="T3330" i="1"/>
  <c r="U3330" i="1"/>
  <c r="BB3330" i="1"/>
  <c r="BD3330" i="1"/>
  <c r="CE3330" i="1"/>
  <c r="A3331" i="1"/>
  <c r="C3331" i="1"/>
  <c r="E3331" i="1"/>
  <c r="S3331" i="1"/>
  <c r="T3331" i="1"/>
  <c r="U3331" i="1"/>
  <c r="BB3331" i="1"/>
  <c r="BD3331" i="1"/>
  <c r="CE3331" i="1"/>
  <c r="A3332" i="1"/>
  <c r="C3332" i="1"/>
  <c r="E3332" i="1"/>
  <c r="S3332" i="1"/>
  <c r="T3332" i="1"/>
  <c r="U3332" i="1"/>
  <c r="BB3332" i="1"/>
  <c r="BD3332" i="1"/>
  <c r="CE3332" i="1"/>
  <c r="A3333" i="1"/>
  <c r="C3333" i="1"/>
  <c r="E3333" i="1"/>
  <c r="S3333" i="1"/>
  <c r="T3333" i="1"/>
  <c r="U3333" i="1"/>
  <c r="BB3333" i="1"/>
  <c r="BD3333" i="1"/>
  <c r="CE3333" i="1"/>
  <c r="A3334" i="1"/>
  <c r="C3334" i="1"/>
  <c r="E3334" i="1"/>
  <c r="S3334" i="1"/>
  <c r="T3334" i="1"/>
  <c r="U3334" i="1"/>
  <c r="BB3334" i="1"/>
  <c r="BD3334" i="1"/>
  <c r="CE3334" i="1"/>
  <c r="A3335" i="1"/>
  <c r="C3335" i="1"/>
  <c r="E3335" i="1"/>
  <c r="S3335" i="1"/>
  <c r="T3335" i="1"/>
  <c r="U3335" i="1"/>
  <c r="BB3335" i="1"/>
  <c r="BD3335" i="1"/>
  <c r="CE3335" i="1"/>
  <c r="A3336" i="1"/>
  <c r="C3336" i="1"/>
  <c r="E3336" i="1"/>
  <c r="S3336" i="1"/>
  <c r="T3336" i="1"/>
  <c r="U3336" i="1"/>
  <c r="BB3336" i="1"/>
  <c r="BD3336" i="1"/>
  <c r="CE3336" i="1"/>
  <c r="A3337" i="1"/>
  <c r="C3337" i="1"/>
  <c r="E3337" i="1"/>
  <c r="S3337" i="1"/>
  <c r="T3337" i="1"/>
  <c r="U3337" i="1"/>
  <c r="BB3337" i="1"/>
  <c r="BD3337" i="1"/>
  <c r="CE3337" i="1"/>
  <c r="A3338" i="1"/>
  <c r="C3338" i="1"/>
  <c r="E3338" i="1"/>
  <c r="S3338" i="1"/>
  <c r="T3338" i="1"/>
  <c r="U3338" i="1"/>
  <c r="BB3338" i="1"/>
  <c r="BD3338" i="1"/>
  <c r="CE3338" i="1"/>
  <c r="A3339" i="1"/>
  <c r="C3339" i="1"/>
  <c r="E3339" i="1"/>
  <c r="S3339" i="1"/>
  <c r="T3339" i="1"/>
  <c r="U3339" i="1"/>
  <c r="BB3339" i="1"/>
  <c r="BD3339" i="1"/>
  <c r="CE3339" i="1"/>
  <c r="A3340" i="1"/>
  <c r="C3340" i="1"/>
  <c r="E3340" i="1"/>
  <c r="S3340" i="1"/>
  <c r="T3340" i="1"/>
  <c r="U3340" i="1"/>
  <c r="BB3340" i="1"/>
  <c r="BD3340" i="1"/>
  <c r="CE3340" i="1"/>
  <c r="A3341" i="1"/>
  <c r="C3341" i="1"/>
  <c r="E3341" i="1"/>
  <c r="S3341" i="1"/>
  <c r="T3341" i="1"/>
  <c r="U3341" i="1"/>
  <c r="BB3341" i="1"/>
  <c r="BD3341" i="1"/>
  <c r="CE3341" i="1"/>
  <c r="A3342" i="1"/>
  <c r="C3342" i="1"/>
  <c r="E3342" i="1"/>
  <c r="S3342" i="1"/>
  <c r="T3342" i="1"/>
  <c r="U3342" i="1"/>
  <c r="BB3342" i="1"/>
  <c r="BD3342" i="1"/>
  <c r="CE3342" i="1"/>
  <c r="A3343" i="1"/>
  <c r="C3343" i="1"/>
  <c r="E3343" i="1"/>
  <c r="S3343" i="1"/>
  <c r="T3343" i="1"/>
  <c r="U3343" i="1"/>
  <c r="BB3343" i="1"/>
  <c r="BD3343" i="1"/>
  <c r="CE3343" i="1"/>
  <c r="A3344" i="1"/>
  <c r="C3344" i="1"/>
  <c r="E3344" i="1"/>
  <c r="S3344" i="1"/>
  <c r="T3344" i="1"/>
  <c r="U3344" i="1"/>
  <c r="BB3344" i="1"/>
  <c r="BD3344" i="1"/>
  <c r="CE3344" i="1"/>
  <c r="A3345" i="1"/>
  <c r="C3345" i="1"/>
  <c r="E3345" i="1"/>
  <c r="S3345" i="1"/>
  <c r="T3345" i="1"/>
  <c r="U3345" i="1"/>
  <c r="BB3345" i="1"/>
  <c r="BD3345" i="1"/>
  <c r="CE3345" i="1"/>
  <c r="A3346" i="1"/>
  <c r="C3346" i="1"/>
  <c r="E3346" i="1"/>
  <c r="S3346" i="1"/>
  <c r="T3346" i="1"/>
  <c r="U3346" i="1"/>
  <c r="BB3346" i="1"/>
  <c r="BD3346" i="1"/>
  <c r="CE3346" i="1"/>
  <c r="A3347" i="1"/>
  <c r="C3347" i="1"/>
  <c r="E3347" i="1"/>
  <c r="S3347" i="1"/>
  <c r="T3347" i="1"/>
  <c r="U3347" i="1"/>
  <c r="BB3347" i="1"/>
  <c r="BD3347" i="1"/>
  <c r="CE3347" i="1"/>
  <c r="A3348" i="1"/>
  <c r="C3348" i="1"/>
  <c r="E3348" i="1"/>
  <c r="S3348" i="1"/>
  <c r="T3348" i="1"/>
  <c r="U3348" i="1"/>
  <c r="BB3348" i="1"/>
  <c r="BD3348" i="1"/>
  <c r="CE3348" i="1"/>
  <c r="A3349" i="1"/>
  <c r="C3349" i="1"/>
  <c r="E3349" i="1"/>
  <c r="S3349" i="1"/>
  <c r="T3349" i="1"/>
  <c r="U3349" i="1"/>
  <c r="BB3349" i="1"/>
  <c r="BD3349" i="1"/>
  <c r="CE3349" i="1"/>
  <c r="A3350" i="1"/>
  <c r="C3350" i="1"/>
  <c r="E3350" i="1"/>
  <c r="S3350" i="1"/>
  <c r="T3350" i="1"/>
  <c r="U3350" i="1"/>
  <c r="BB3350" i="1"/>
  <c r="BD3350" i="1"/>
  <c r="CE3350" i="1"/>
  <c r="A3351" i="1"/>
  <c r="C3351" i="1"/>
  <c r="E3351" i="1"/>
  <c r="S3351" i="1"/>
  <c r="T3351" i="1"/>
  <c r="U3351" i="1"/>
  <c r="BB3351" i="1"/>
  <c r="BD3351" i="1"/>
  <c r="CE3351" i="1"/>
  <c r="A3352" i="1"/>
  <c r="C3352" i="1"/>
  <c r="E3352" i="1"/>
  <c r="S3352" i="1"/>
  <c r="T3352" i="1"/>
  <c r="U3352" i="1"/>
  <c r="BB3352" i="1"/>
  <c r="BD3352" i="1"/>
  <c r="CE3352" i="1"/>
  <c r="A3353" i="1"/>
  <c r="C3353" i="1"/>
  <c r="E3353" i="1"/>
  <c r="S3353" i="1"/>
  <c r="T3353" i="1"/>
  <c r="U3353" i="1"/>
  <c r="BB3353" i="1"/>
  <c r="BD3353" i="1"/>
  <c r="CE3353" i="1"/>
  <c r="A3354" i="1"/>
  <c r="C3354" i="1"/>
  <c r="E3354" i="1"/>
  <c r="S3354" i="1"/>
  <c r="T3354" i="1"/>
  <c r="U3354" i="1"/>
  <c r="BB3354" i="1"/>
  <c r="BD3354" i="1"/>
  <c r="CE3354" i="1"/>
  <c r="A3355" i="1"/>
  <c r="C3355" i="1"/>
  <c r="E3355" i="1"/>
  <c r="S3355" i="1"/>
  <c r="T3355" i="1"/>
  <c r="U3355" i="1"/>
  <c r="BB3355" i="1"/>
  <c r="BD3355" i="1"/>
  <c r="CE3355" i="1"/>
  <c r="A3356" i="1"/>
  <c r="C3356" i="1"/>
  <c r="E3356" i="1"/>
  <c r="S3356" i="1"/>
  <c r="T3356" i="1"/>
  <c r="U3356" i="1"/>
  <c r="BB3356" i="1"/>
  <c r="BD3356" i="1"/>
  <c r="CE3356" i="1"/>
  <c r="A3357" i="1"/>
  <c r="C3357" i="1"/>
  <c r="E3357" i="1"/>
  <c r="S3357" i="1"/>
  <c r="T3357" i="1"/>
  <c r="U3357" i="1"/>
  <c r="BB3357" i="1"/>
  <c r="BD3357" i="1"/>
  <c r="CE3357" i="1"/>
  <c r="A3358" i="1"/>
  <c r="C3358" i="1"/>
  <c r="E3358" i="1"/>
  <c r="S3358" i="1"/>
  <c r="T3358" i="1"/>
  <c r="U3358" i="1"/>
  <c r="BB3358" i="1"/>
  <c r="BD3358" i="1"/>
  <c r="CE3358" i="1"/>
  <c r="A3359" i="1"/>
  <c r="C3359" i="1"/>
  <c r="E3359" i="1"/>
  <c r="S3359" i="1"/>
  <c r="T3359" i="1"/>
  <c r="U3359" i="1"/>
  <c r="BB3359" i="1"/>
  <c r="BD3359" i="1"/>
  <c r="CE3359" i="1"/>
  <c r="A3360" i="1"/>
  <c r="C3360" i="1"/>
  <c r="E3360" i="1"/>
  <c r="S3360" i="1"/>
  <c r="T3360" i="1"/>
  <c r="U3360" i="1"/>
  <c r="BB3360" i="1"/>
  <c r="BD3360" i="1"/>
  <c r="CE3360" i="1"/>
  <c r="A3361" i="1"/>
  <c r="C3361" i="1"/>
  <c r="E3361" i="1"/>
  <c r="S3361" i="1"/>
  <c r="T3361" i="1"/>
  <c r="U3361" i="1"/>
  <c r="BB3361" i="1"/>
  <c r="BD3361" i="1"/>
  <c r="CE3361" i="1"/>
  <c r="A3362" i="1"/>
  <c r="C3362" i="1"/>
  <c r="E3362" i="1"/>
  <c r="S3362" i="1"/>
  <c r="T3362" i="1"/>
  <c r="U3362" i="1"/>
  <c r="BB3362" i="1"/>
  <c r="BD3362" i="1"/>
  <c r="CE3362" i="1"/>
  <c r="A3363" i="1"/>
  <c r="C3363" i="1"/>
  <c r="E3363" i="1"/>
  <c r="S3363" i="1"/>
  <c r="T3363" i="1"/>
  <c r="U3363" i="1"/>
  <c r="BB3363" i="1"/>
  <c r="BD3363" i="1"/>
  <c r="CE3363" i="1"/>
  <c r="A3364" i="1"/>
  <c r="C3364" i="1"/>
  <c r="E3364" i="1"/>
  <c r="S3364" i="1"/>
  <c r="T3364" i="1"/>
  <c r="U3364" i="1"/>
  <c r="BB3364" i="1"/>
  <c r="BD3364" i="1"/>
  <c r="CE3364" i="1"/>
  <c r="A3365" i="1"/>
  <c r="C3365" i="1"/>
  <c r="E3365" i="1"/>
  <c r="S3365" i="1"/>
  <c r="T3365" i="1"/>
  <c r="U3365" i="1"/>
  <c r="BB3365" i="1"/>
  <c r="BD3365" i="1"/>
  <c r="CE3365" i="1"/>
  <c r="A3366" i="1"/>
  <c r="C3366" i="1"/>
  <c r="E3366" i="1"/>
  <c r="S3366" i="1"/>
  <c r="T3366" i="1"/>
  <c r="U3366" i="1"/>
  <c r="BB3366" i="1"/>
  <c r="BD3366" i="1"/>
  <c r="CE3366" i="1"/>
  <c r="A3367" i="1"/>
  <c r="C3367" i="1"/>
  <c r="E3367" i="1"/>
  <c r="S3367" i="1"/>
  <c r="T3367" i="1"/>
  <c r="U3367" i="1"/>
  <c r="BB3367" i="1"/>
  <c r="BD3367" i="1"/>
  <c r="CE3367" i="1"/>
  <c r="A3368" i="1"/>
  <c r="C3368" i="1"/>
  <c r="E3368" i="1"/>
  <c r="S3368" i="1"/>
  <c r="T3368" i="1"/>
  <c r="U3368" i="1"/>
  <c r="BB3368" i="1"/>
  <c r="BD3368" i="1"/>
  <c r="CE3368" i="1"/>
  <c r="A3369" i="1"/>
  <c r="C3369" i="1"/>
  <c r="E3369" i="1"/>
  <c r="S3369" i="1"/>
  <c r="T3369" i="1"/>
  <c r="U3369" i="1"/>
  <c r="BB3369" i="1"/>
  <c r="BD3369" i="1"/>
  <c r="CE3369" i="1"/>
  <c r="A3370" i="1"/>
  <c r="C3370" i="1"/>
  <c r="E3370" i="1"/>
  <c r="S3370" i="1"/>
  <c r="T3370" i="1"/>
  <c r="U3370" i="1"/>
  <c r="BB3370" i="1"/>
  <c r="BD3370" i="1"/>
  <c r="CE3370" i="1"/>
  <c r="A3371" i="1"/>
  <c r="C3371" i="1"/>
  <c r="E3371" i="1"/>
  <c r="S3371" i="1"/>
  <c r="T3371" i="1"/>
  <c r="U3371" i="1"/>
  <c r="BB3371" i="1"/>
  <c r="BD3371" i="1"/>
  <c r="CE3371" i="1"/>
  <c r="A3372" i="1"/>
  <c r="C3372" i="1"/>
  <c r="E3372" i="1"/>
  <c r="S3372" i="1"/>
  <c r="T3372" i="1"/>
  <c r="U3372" i="1"/>
  <c r="BB3372" i="1"/>
  <c r="BD3372" i="1"/>
  <c r="CE3372" i="1"/>
  <c r="A3373" i="1"/>
  <c r="C3373" i="1"/>
  <c r="E3373" i="1"/>
  <c r="S3373" i="1"/>
  <c r="T3373" i="1"/>
  <c r="U3373" i="1"/>
  <c r="BB3373" i="1"/>
  <c r="BD3373" i="1"/>
  <c r="CE3373" i="1"/>
  <c r="A3374" i="1"/>
  <c r="C3374" i="1"/>
  <c r="E3374" i="1"/>
  <c r="S3374" i="1"/>
  <c r="T3374" i="1"/>
  <c r="U3374" i="1"/>
  <c r="BB3374" i="1"/>
  <c r="BD3374" i="1"/>
  <c r="CE3374" i="1"/>
  <c r="A3375" i="1"/>
  <c r="C3375" i="1"/>
  <c r="E3375" i="1"/>
  <c r="S3375" i="1"/>
  <c r="T3375" i="1"/>
  <c r="U3375" i="1"/>
  <c r="BB3375" i="1"/>
  <c r="BD3375" i="1"/>
  <c r="CE3375" i="1"/>
  <c r="A3376" i="1"/>
  <c r="C3376" i="1"/>
  <c r="E3376" i="1"/>
  <c r="S3376" i="1"/>
  <c r="T3376" i="1"/>
  <c r="U3376" i="1"/>
  <c r="BB3376" i="1"/>
  <c r="BD3376" i="1"/>
  <c r="CE3376" i="1"/>
  <c r="A3377" i="1"/>
  <c r="C3377" i="1"/>
  <c r="E3377" i="1"/>
  <c r="S3377" i="1"/>
  <c r="T3377" i="1"/>
  <c r="U3377" i="1"/>
  <c r="BB3377" i="1"/>
  <c r="BD3377" i="1"/>
  <c r="CE3377" i="1"/>
  <c r="A3378" i="1"/>
  <c r="C3378" i="1"/>
  <c r="E3378" i="1"/>
  <c r="S3378" i="1"/>
  <c r="T3378" i="1"/>
  <c r="U3378" i="1"/>
  <c r="BB3378" i="1"/>
  <c r="BD3378" i="1"/>
  <c r="CE3378" i="1"/>
  <c r="A3379" i="1"/>
  <c r="C3379" i="1"/>
  <c r="E3379" i="1"/>
  <c r="S3379" i="1"/>
  <c r="T3379" i="1"/>
  <c r="U3379" i="1"/>
  <c r="BB3379" i="1"/>
  <c r="BD3379" i="1"/>
  <c r="CE3379" i="1"/>
  <c r="A3380" i="1"/>
  <c r="C3380" i="1"/>
  <c r="E3380" i="1"/>
  <c r="S3380" i="1"/>
  <c r="T3380" i="1"/>
  <c r="U3380" i="1"/>
  <c r="BB3380" i="1"/>
  <c r="BD3380" i="1"/>
  <c r="CE3380" i="1"/>
  <c r="A3381" i="1"/>
  <c r="C3381" i="1"/>
  <c r="E3381" i="1"/>
  <c r="S3381" i="1"/>
  <c r="T3381" i="1"/>
  <c r="U3381" i="1"/>
  <c r="BB3381" i="1"/>
  <c r="BD3381" i="1"/>
  <c r="CE3381" i="1"/>
  <c r="A3382" i="1"/>
  <c r="C3382" i="1"/>
  <c r="E3382" i="1"/>
  <c r="S3382" i="1"/>
  <c r="T3382" i="1"/>
  <c r="U3382" i="1"/>
  <c r="BB3382" i="1"/>
  <c r="BD3382" i="1"/>
  <c r="CE3382" i="1"/>
  <c r="A3383" i="1"/>
  <c r="C3383" i="1"/>
  <c r="E3383" i="1"/>
  <c r="S3383" i="1"/>
  <c r="T3383" i="1"/>
  <c r="U3383" i="1"/>
  <c r="BB3383" i="1"/>
  <c r="BD3383" i="1"/>
  <c r="CE3383" i="1"/>
  <c r="A3384" i="1"/>
  <c r="C3384" i="1"/>
  <c r="E3384" i="1"/>
  <c r="S3384" i="1"/>
  <c r="T3384" i="1"/>
  <c r="U3384" i="1"/>
  <c r="BB3384" i="1"/>
  <c r="BD3384" i="1"/>
  <c r="CE3384" i="1"/>
  <c r="A3385" i="1"/>
  <c r="C3385" i="1"/>
  <c r="E3385" i="1"/>
  <c r="S3385" i="1"/>
  <c r="T3385" i="1"/>
  <c r="U3385" i="1"/>
  <c r="BB3385" i="1"/>
  <c r="BD3385" i="1"/>
  <c r="CE3385" i="1"/>
  <c r="A3386" i="1"/>
  <c r="C3386" i="1"/>
  <c r="E3386" i="1"/>
  <c r="S3386" i="1"/>
  <c r="T3386" i="1"/>
  <c r="U3386" i="1"/>
  <c r="BB3386" i="1"/>
  <c r="BD3386" i="1"/>
  <c r="CE3386" i="1"/>
  <c r="A3387" i="1"/>
  <c r="C3387" i="1"/>
  <c r="E3387" i="1"/>
  <c r="S3387" i="1"/>
  <c r="T3387" i="1"/>
  <c r="U3387" i="1"/>
  <c r="BB3387" i="1"/>
  <c r="BD3387" i="1"/>
  <c r="CE3387" i="1"/>
  <c r="A3388" i="1"/>
  <c r="C3388" i="1"/>
  <c r="E3388" i="1"/>
  <c r="S3388" i="1"/>
  <c r="T3388" i="1"/>
  <c r="U3388" i="1"/>
  <c r="BB3388" i="1"/>
  <c r="BD3388" i="1"/>
  <c r="CE3388" i="1"/>
  <c r="A3389" i="1"/>
  <c r="C3389" i="1"/>
  <c r="E3389" i="1"/>
  <c r="S3389" i="1"/>
  <c r="T3389" i="1"/>
  <c r="U3389" i="1"/>
  <c r="BB3389" i="1"/>
  <c r="BD3389" i="1"/>
  <c r="CE3389" i="1"/>
  <c r="A3390" i="1"/>
  <c r="C3390" i="1"/>
  <c r="E3390" i="1"/>
  <c r="S3390" i="1"/>
  <c r="T3390" i="1"/>
  <c r="U3390" i="1"/>
  <c r="BB3390" i="1"/>
  <c r="BD3390" i="1"/>
  <c r="CE3390" i="1"/>
  <c r="A3391" i="1"/>
  <c r="C3391" i="1"/>
  <c r="E3391" i="1"/>
  <c r="S3391" i="1"/>
  <c r="T3391" i="1"/>
  <c r="U3391" i="1"/>
  <c r="BB3391" i="1"/>
  <c r="BD3391" i="1"/>
  <c r="CE3391" i="1"/>
  <c r="A3392" i="1"/>
  <c r="C3392" i="1"/>
  <c r="E3392" i="1"/>
  <c r="S3392" i="1"/>
  <c r="T3392" i="1"/>
  <c r="U3392" i="1"/>
  <c r="BB3392" i="1"/>
  <c r="BD3392" i="1"/>
  <c r="CE3392" i="1"/>
  <c r="A3393" i="1"/>
  <c r="C3393" i="1"/>
  <c r="E3393" i="1"/>
  <c r="S3393" i="1"/>
  <c r="T3393" i="1"/>
  <c r="U3393" i="1"/>
  <c r="BB3393" i="1"/>
  <c r="BD3393" i="1"/>
  <c r="CE3393" i="1"/>
  <c r="A3394" i="1"/>
  <c r="C3394" i="1"/>
  <c r="E3394" i="1"/>
  <c r="S3394" i="1"/>
  <c r="T3394" i="1"/>
  <c r="U3394" i="1"/>
  <c r="BB3394" i="1"/>
  <c r="BD3394" i="1"/>
  <c r="CE3394" i="1"/>
  <c r="A3395" i="1"/>
  <c r="C3395" i="1"/>
  <c r="E3395" i="1"/>
  <c r="S3395" i="1"/>
  <c r="T3395" i="1"/>
  <c r="U3395" i="1"/>
  <c r="BB3395" i="1"/>
  <c r="BD3395" i="1"/>
  <c r="CE3395" i="1"/>
  <c r="A3396" i="1"/>
  <c r="C3396" i="1"/>
  <c r="E3396" i="1"/>
  <c r="S3396" i="1"/>
  <c r="T3396" i="1"/>
  <c r="U3396" i="1"/>
  <c r="BB3396" i="1"/>
  <c r="BD3396" i="1"/>
  <c r="CE3396" i="1"/>
  <c r="A3397" i="1"/>
  <c r="C3397" i="1"/>
  <c r="E3397" i="1"/>
  <c r="S3397" i="1"/>
  <c r="T3397" i="1"/>
  <c r="U3397" i="1"/>
  <c r="BB3397" i="1"/>
  <c r="BD3397" i="1"/>
  <c r="CE3397" i="1"/>
  <c r="A3398" i="1"/>
  <c r="C3398" i="1"/>
  <c r="E3398" i="1"/>
  <c r="S3398" i="1"/>
  <c r="T3398" i="1"/>
  <c r="U3398" i="1"/>
  <c r="BB3398" i="1"/>
  <c r="BD3398" i="1"/>
  <c r="CE3398" i="1"/>
  <c r="A3399" i="1"/>
  <c r="C3399" i="1"/>
  <c r="E3399" i="1"/>
  <c r="S3399" i="1"/>
  <c r="T3399" i="1"/>
  <c r="U3399" i="1"/>
  <c r="BB3399" i="1"/>
  <c r="BD3399" i="1"/>
  <c r="CE3399" i="1"/>
  <c r="A3400" i="1"/>
  <c r="C3400" i="1"/>
  <c r="E3400" i="1"/>
  <c r="S3400" i="1"/>
  <c r="T3400" i="1"/>
  <c r="U3400" i="1"/>
  <c r="BB3400" i="1"/>
  <c r="BD3400" i="1"/>
  <c r="CE3400" i="1"/>
  <c r="A3401" i="1"/>
  <c r="C3401" i="1"/>
  <c r="E3401" i="1"/>
  <c r="S3401" i="1"/>
  <c r="T3401" i="1"/>
  <c r="U3401" i="1"/>
  <c r="BB3401" i="1"/>
  <c r="BD3401" i="1"/>
  <c r="CE3401" i="1"/>
  <c r="A3402" i="1"/>
  <c r="C3402" i="1"/>
  <c r="E3402" i="1"/>
  <c r="S3402" i="1"/>
  <c r="T3402" i="1"/>
  <c r="U3402" i="1"/>
  <c r="BB3402" i="1"/>
  <c r="BD3402" i="1"/>
  <c r="CE3402" i="1"/>
  <c r="A3403" i="1"/>
  <c r="C3403" i="1"/>
  <c r="E3403" i="1"/>
  <c r="S3403" i="1"/>
  <c r="T3403" i="1"/>
  <c r="U3403" i="1"/>
  <c r="BB3403" i="1"/>
  <c r="BD3403" i="1"/>
  <c r="CE3403" i="1"/>
  <c r="A3404" i="1"/>
  <c r="C3404" i="1"/>
  <c r="E3404" i="1"/>
  <c r="S3404" i="1"/>
  <c r="T3404" i="1"/>
  <c r="U3404" i="1"/>
  <c r="BB3404" i="1"/>
  <c r="BD3404" i="1"/>
  <c r="CE3404" i="1"/>
  <c r="A3405" i="1"/>
  <c r="C3405" i="1"/>
  <c r="E3405" i="1"/>
  <c r="S3405" i="1"/>
  <c r="T3405" i="1"/>
  <c r="U3405" i="1"/>
  <c r="BB3405" i="1"/>
  <c r="BD3405" i="1"/>
  <c r="CE3405" i="1"/>
  <c r="A3406" i="1"/>
  <c r="C3406" i="1"/>
  <c r="E3406" i="1"/>
  <c r="S3406" i="1"/>
  <c r="T3406" i="1"/>
  <c r="U3406" i="1"/>
  <c r="BB3406" i="1"/>
  <c r="BD3406" i="1"/>
  <c r="CE3406" i="1"/>
  <c r="A3407" i="1"/>
  <c r="C3407" i="1"/>
  <c r="E3407" i="1"/>
  <c r="S3407" i="1"/>
  <c r="T3407" i="1"/>
  <c r="U3407" i="1"/>
  <c r="BB3407" i="1"/>
  <c r="BD3407" i="1"/>
  <c r="CE3407" i="1"/>
  <c r="A3408" i="1"/>
  <c r="C3408" i="1"/>
  <c r="E3408" i="1"/>
  <c r="S3408" i="1"/>
  <c r="T3408" i="1"/>
  <c r="U3408" i="1"/>
  <c r="BB3408" i="1"/>
  <c r="BD3408" i="1"/>
  <c r="CE3408" i="1"/>
  <c r="A3409" i="1"/>
  <c r="C3409" i="1"/>
  <c r="E3409" i="1"/>
  <c r="S3409" i="1"/>
  <c r="T3409" i="1"/>
  <c r="U3409" i="1"/>
  <c r="BB3409" i="1"/>
  <c r="BD3409" i="1"/>
  <c r="CE3409" i="1"/>
  <c r="A3410" i="1"/>
  <c r="C3410" i="1"/>
  <c r="E3410" i="1"/>
  <c r="S3410" i="1"/>
  <c r="T3410" i="1"/>
  <c r="U3410" i="1"/>
  <c r="BB3410" i="1"/>
  <c r="BD3410" i="1"/>
  <c r="CE3410" i="1"/>
  <c r="A3411" i="1"/>
  <c r="C3411" i="1"/>
  <c r="E3411" i="1"/>
  <c r="S3411" i="1"/>
  <c r="T3411" i="1"/>
  <c r="U3411" i="1"/>
  <c r="BB3411" i="1"/>
  <c r="BD3411" i="1"/>
  <c r="CE3411" i="1"/>
  <c r="A3412" i="1"/>
  <c r="C3412" i="1"/>
  <c r="E3412" i="1"/>
  <c r="S3412" i="1"/>
  <c r="T3412" i="1"/>
  <c r="U3412" i="1"/>
  <c r="BB3412" i="1"/>
  <c r="BD3412" i="1"/>
  <c r="CE3412" i="1"/>
  <c r="A3413" i="1"/>
  <c r="C3413" i="1"/>
  <c r="E3413" i="1"/>
  <c r="S3413" i="1"/>
  <c r="T3413" i="1"/>
  <c r="U3413" i="1"/>
  <c r="BB3413" i="1"/>
  <c r="BD3413" i="1"/>
  <c r="CE3413" i="1"/>
  <c r="A3414" i="1"/>
  <c r="C3414" i="1"/>
  <c r="E3414" i="1"/>
  <c r="S3414" i="1"/>
  <c r="T3414" i="1"/>
  <c r="U3414" i="1"/>
  <c r="BB3414" i="1"/>
  <c r="BD3414" i="1"/>
  <c r="CE3414" i="1"/>
  <c r="A3415" i="1"/>
  <c r="C3415" i="1"/>
  <c r="E3415" i="1"/>
  <c r="S3415" i="1"/>
  <c r="T3415" i="1"/>
  <c r="U3415" i="1"/>
  <c r="BB3415" i="1"/>
  <c r="BD3415" i="1"/>
  <c r="CE3415" i="1"/>
  <c r="A3416" i="1"/>
  <c r="C3416" i="1"/>
  <c r="E3416" i="1"/>
  <c r="S3416" i="1"/>
  <c r="T3416" i="1"/>
  <c r="U3416" i="1"/>
  <c r="BB3416" i="1"/>
  <c r="BD3416" i="1"/>
  <c r="CE3416" i="1"/>
  <c r="A3417" i="1"/>
  <c r="C3417" i="1"/>
  <c r="E3417" i="1"/>
  <c r="S3417" i="1"/>
  <c r="T3417" i="1"/>
  <c r="U3417" i="1"/>
  <c r="BB3417" i="1"/>
  <c r="BD3417" i="1"/>
  <c r="CE3417" i="1"/>
  <c r="A3418" i="1"/>
  <c r="C3418" i="1"/>
  <c r="E3418" i="1"/>
  <c r="S3418" i="1"/>
  <c r="T3418" i="1"/>
  <c r="U3418" i="1"/>
  <c r="BB3418" i="1"/>
  <c r="BD3418" i="1"/>
  <c r="CE3418" i="1"/>
  <c r="A3419" i="1"/>
  <c r="C3419" i="1"/>
  <c r="E3419" i="1"/>
  <c r="S3419" i="1"/>
  <c r="T3419" i="1"/>
  <c r="U3419" i="1"/>
  <c r="BB3419" i="1"/>
  <c r="BD3419" i="1"/>
  <c r="CE3419" i="1"/>
  <c r="A3420" i="1"/>
  <c r="C3420" i="1"/>
  <c r="E3420" i="1"/>
  <c r="S3420" i="1"/>
  <c r="T3420" i="1"/>
  <c r="U3420" i="1"/>
  <c r="BB3420" i="1"/>
  <c r="BD3420" i="1"/>
  <c r="CE3420" i="1"/>
  <c r="A3421" i="1"/>
  <c r="C3421" i="1"/>
  <c r="E3421" i="1"/>
  <c r="S3421" i="1"/>
  <c r="T3421" i="1"/>
  <c r="U3421" i="1"/>
  <c r="BB3421" i="1"/>
  <c r="BD3421" i="1"/>
  <c r="CE3421" i="1"/>
  <c r="A3422" i="1"/>
  <c r="C3422" i="1"/>
  <c r="E3422" i="1"/>
  <c r="S3422" i="1"/>
  <c r="T3422" i="1"/>
  <c r="U3422" i="1"/>
  <c r="BB3422" i="1"/>
  <c r="BD3422" i="1"/>
  <c r="CE3422" i="1"/>
  <c r="A3423" i="1"/>
  <c r="C3423" i="1"/>
  <c r="E3423" i="1"/>
  <c r="S3423" i="1"/>
  <c r="T3423" i="1"/>
  <c r="U3423" i="1"/>
  <c r="BB3423" i="1"/>
  <c r="BD3423" i="1"/>
  <c r="CE3423" i="1"/>
  <c r="A3424" i="1"/>
  <c r="C3424" i="1"/>
  <c r="E3424" i="1"/>
  <c r="S3424" i="1"/>
  <c r="T3424" i="1"/>
  <c r="U3424" i="1"/>
  <c r="BB3424" i="1"/>
  <c r="BD3424" i="1"/>
  <c r="CE3424" i="1"/>
  <c r="A3425" i="1"/>
  <c r="C3425" i="1"/>
  <c r="E3425" i="1"/>
  <c r="S3425" i="1"/>
  <c r="T3425" i="1"/>
  <c r="U3425" i="1"/>
  <c r="BB3425" i="1"/>
  <c r="BD3425" i="1"/>
  <c r="CE3425" i="1"/>
  <c r="A3426" i="1"/>
  <c r="C3426" i="1"/>
  <c r="E3426" i="1"/>
  <c r="S3426" i="1"/>
  <c r="T3426" i="1"/>
  <c r="U3426" i="1"/>
  <c r="BB3426" i="1"/>
  <c r="BD3426" i="1"/>
  <c r="CE3426" i="1"/>
  <c r="A3427" i="1"/>
  <c r="C3427" i="1"/>
  <c r="E3427" i="1"/>
  <c r="S3427" i="1"/>
  <c r="T3427" i="1"/>
  <c r="U3427" i="1"/>
  <c r="BB3427" i="1"/>
  <c r="BD3427" i="1"/>
  <c r="CE3427" i="1"/>
  <c r="A3428" i="1"/>
  <c r="C3428" i="1"/>
  <c r="E3428" i="1"/>
  <c r="S3428" i="1"/>
  <c r="T3428" i="1"/>
  <c r="U3428" i="1"/>
  <c r="BB3428" i="1"/>
  <c r="BD3428" i="1"/>
  <c r="CE3428" i="1"/>
  <c r="A3429" i="1"/>
  <c r="C3429" i="1"/>
  <c r="E3429" i="1"/>
  <c r="S3429" i="1"/>
  <c r="T3429" i="1"/>
  <c r="U3429" i="1"/>
  <c r="BB3429" i="1"/>
  <c r="BD3429" i="1"/>
  <c r="CE3429" i="1"/>
  <c r="A3430" i="1"/>
  <c r="C3430" i="1"/>
  <c r="E3430" i="1"/>
  <c r="S3430" i="1"/>
  <c r="T3430" i="1"/>
  <c r="U3430" i="1"/>
  <c r="BB3430" i="1"/>
  <c r="BD3430" i="1"/>
  <c r="CE3430" i="1"/>
  <c r="A3431" i="1"/>
  <c r="C3431" i="1"/>
  <c r="E3431" i="1"/>
  <c r="S3431" i="1"/>
  <c r="T3431" i="1"/>
  <c r="U3431" i="1"/>
  <c r="BB3431" i="1"/>
  <c r="BD3431" i="1"/>
  <c r="CE3431" i="1"/>
  <c r="A3432" i="1"/>
  <c r="C3432" i="1"/>
  <c r="E3432" i="1"/>
  <c r="S3432" i="1"/>
  <c r="T3432" i="1"/>
  <c r="U3432" i="1"/>
  <c r="BB3432" i="1"/>
  <c r="BD3432" i="1"/>
  <c r="CE3432" i="1"/>
  <c r="A3433" i="1"/>
  <c r="C3433" i="1"/>
  <c r="E3433" i="1"/>
  <c r="S3433" i="1"/>
  <c r="T3433" i="1"/>
  <c r="U3433" i="1"/>
  <c r="BB3433" i="1"/>
  <c r="BD3433" i="1"/>
  <c r="CE3433" i="1"/>
  <c r="A3434" i="1"/>
  <c r="C3434" i="1"/>
  <c r="E3434" i="1"/>
  <c r="S3434" i="1"/>
  <c r="T3434" i="1"/>
  <c r="U3434" i="1"/>
  <c r="BB3434" i="1"/>
  <c r="BD3434" i="1"/>
  <c r="CE3434" i="1"/>
  <c r="A3435" i="1"/>
  <c r="C3435" i="1"/>
  <c r="E3435" i="1"/>
  <c r="S3435" i="1"/>
  <c r="T3435" i="1"/>
  <c r="U3435" i="1"/>
  <c r="BB3435" i="1"/>
  <c r="BD3435" i="1"/>
  <c r="CE3435" i="1"/>
  <c r="A3436" i="1"/>
  <c r="C3436" i="1"/>
  <c r="E3436" i="1"/>
  <c r="S3436" i="1"/>
  <c r="T3436" i="1"/>
  <c r="U3436" i="1"/>
  <c r="BB3436" i="1"/>
  <c r="BD3436" i="1"/>
  <c r="CE3436" i="1"/>
  <c r="A3437" i="1"/>
  <c r="C3437" i="1"/>
  <c r="E3437" i="1"/>
  <c r="S3437" i="1"/>
  <c r="T3437" i="1"/>
  <c r="U3437" i="1"/>
  <c r="BB3437" i="1"/>
  <c r="BD3437" i="1"/>
  <c r="CE3437" i="1"/>
  <c r="A3438" i="1"/>
  <c r="C3438" i="1"/>
  <c r="E3438" i="1"/>
  <c r="S3438" i="1"/>
  <c r="T3438" i="1"/>
  <c r="U3438" i="1"/>
  <c r="BB3438" i="1"/>
  <c r="BD3438" i="1"/>
  <c r="CE3438" i="1"/>
  <c r="A3439" i="1"/>
  <c r="C3439" i="1"/>
  <c r="E3439" i="1"/>
  <c r="S3439" i="1"/>
  <c r="T3439" i="1"/>
  <c r="U3439" i="1"/>
  <c r="BB3439" i="1"/>
  <c r="BD3439" i="1"/>
  <c r="CE3439" i="1"/>
  <c r="A3440" i="1"/>
  <c r="C3440" i="1"/>
  <c r="E3440" i="1"/>
  <c r="S3440" i="1"/>
  <c r="T3440" i="1"/>
  <c r="U3440" i="1"/>
  <c r="BB3440" i="1"/>
  <c r="BD3440" i="1"/>
  <c r="CE3440" i="1"/>
  <c r="A3441" i="1"/>
  <c r="C3441" i="1"/>
  <c r="E3441" i="1"/>
  <c r="S3441" i="1"/>
  <c r="T3441" i="1"/>
  <c r="U3441" i="1"/>
  <c r="BB3441" i="1"/>
  <c r="BD3441" i="1"/>
  <c r="CE3441" i="1"/>
  <c r="A3442" i="1"/>
  <c r="C3442" i="1"/>
  <c r="E3442" i="1"/>
  <c r="S3442" i="1"/>
  <c r="T3442" i="1"/>
  <c r="U3442" i="1"/>
  <c r="BB3442" i="1"/>
  <c r="BD3442" i="1"/>
  <c r="CE3442" i="1"/>
  <c r="A3443" i="1"/>
  <c r="C3443" i="1"/>
  <c r="E3443" i="1"/>
  <c r="S3443" i="1"/>
  <c r="T3443" i="1"/>
  <c r="U3443" i="1"/>
  <c r="BB3443" i="1"/>
  <c r="BD3443" i="1"/>
  <c r="CE3443" i="1"/>
  <c r="A3444" i="1"/>
  <c r="C3444" i="1"/>
  <c r="E3444" i="1"/>
  <c r="S3444" i="1"/>
  <c r="T3444" i="1"/>
  <c r="U3444" i="1"/>
  <c r="BB3444" i="1"/>
  <c r="BD3444" i="1"/>
  <c r="CE3444" i="1"/>
  <c r="A3445" i="1"/>
  <c r="C3445" i="1"/>
  <c r="E3445" i="1"/>
  <c r="S3445" i="1"/>
  <c r="T3445" i="1"/>
  <c r="U3445" i="1"/>
  <c r="BB3445" i="1"/>
  <c r="BD3445" i="1"/>
  <c r="CE3445" i="1"/>
  <c r="A3446" i="1"/>
  <c r="C3446" i="1"/>
  <c r="E3446" i="1"/>
  <c r="S3446" i="1"/>
  <c r="T3446" i="1"/>
  <c r="U3446" i="1"/>
  <c r="BB3446" i="1"/>
  <c r="BD3446" i="1"/>
  <c r="CE3446" i="1"/>
  <c r="A3447" i="1"/>
  <c r="C3447" i="1"/>
  <c r="E3447" i="1"/>
  <c r="S3447" i="1"/>
  <c r="T3447" i="1"/>
  <c r="U3447" i="1"/>
  <c r="BB3447" i="1"/>
  <c r="BD3447" i="1"/>
  <c r="CE3447" i="1"/>
  <c r="A3448" i="1"/>
  <c r="C3448" i="1"/>
  <c r="E3448" i="1"/>
  <c r="S3448" i="1"/>
  <c r="T3448" i="1"/>
  <c r="U3448" i="1"/>
  <c r="BB3448" i="1"/>
  <c r="BD3448" i="1"/>
  <c r="CE3448" i="1"/>
  <c r="A3449" i="1"/>
  <c r="C3449" i="1"/>
  <c r="E3449" i="1"/>
  <c r="S3449" i="1"/>
  <c r="T3449" i="1"/>
  <c r="U3449" i="1"/>
  <c r="BB3449" i="1"/>
  <c r="BD3449" i="1"/>
  <c r="CE3449" i="1"/>
  <c r="A3450" i="1"/>
  <c r="C3450" i="1"/>
  <c r="E3450" i="1"/>
  <c r="S3450" i="1"/>
  <c r="T3450" i="1"/>
  <c r="U3450" i="1"/>
  <c r="BB3450" i="1"/>
  <c r="BD3450" i="1"/>
  <c r="CE3450" i="1"/>
  <c r="A3451" i="1"/>
  <c r="C3451" i="1"/>
  <c r="E3451" i="1"/>
  <c r="S3451" i="1"/>
  <c r="T3451" i="1"/>
  <c r="U3451" i="1"/>
  <c r="BB3451" i="1"/>
  <c r="BD3451" i="1"/>
  <c r="CE3451" i="1"/>
  <c r="A3452" i="1"/>
  <c r="C3452" i="1"/>
  <c r="E3452" i="1"/>
  <c r="S3452" i="1"/>
  <c r="T3452" i="1"/>
  <c r="U3452" i="1"/>
  <c r="BB3452" i="1"/>
  <c r="BD3452" i="1"/>
  <c r="CE3452" i="1"/>
  <c r="A3453" i="1"/>
  <c r="C3453" i="1"/>
  <c r="E3453" i="1"/>
  <c r="S3453" i="1"/>
  <c r="T3453" i="1"/>
  <c r="U3453" i="1"/>
  <c r="BB3453" i="1"/>
  <c r="BD3453" i="1"/>
  <c r="CE3453" i="1"/>
  <c r="A3454" i="1"/>
  <c r="C3454" i="1"/>
  <c r="E3454" i="1"/>
  <c r="S3454" i="1"/>
  <c r="T3454" i="1"/>
  <c r="U3454" i="1"/>
  <c r="BB3454" i="1"/>
  <c r="BD3454" i="1"/>
  <c r="CE3454" i="1"/>
  <c r="A3455" i="1"/>
  <c r="C3455" i="1"/>
  <c r="E3455" i="1"/>
  <c r="S3455" i="1"/>
  <c r="T3455" i="1"/>
  <c r="U3455" i="1"/>
  <c r="BB3455" i="1"/>
  <c r="BD3455" i="1"/>
  <c r="CE3455" i="1"/>
  <c r="A3456" i="1"/>
  <c r="C3456" i="1"/>
  <c r="E3456" i="1"/>
  <c r="S3456" i="1"/>
  <c r="T3456" i="1"/>
  <c r="U3456" i="1"/>
  <c r="BB3456" i="1"/>
  <c r="BD3456" i="1"/>
  <c r="CE3456" i="1"/>
  <c r="A3457" i="1"/>
  <c r="C3457" i="1"/>
  <c r="E3457" i="1"/>
  <c r="S3457" i="1"/>
  <c r="T3457" i="1"/>
  <c r="U3457" i="1"/>
  <c r="BB3457" i="1"/>
  <c r="BD3457" i="1"/>
  <c r="CE3457" i="1"/>
  <c r="A3458" i="1"/>
  <c r="C3458" i="1"/>
  <c r="E3458" i="1"/>
  <c r="S3458" i="1"/>
  <c r="T3458" i="1"/>
  <c r="U3458" i="1"/>
  <c r="BB3458" i="1"/>
  <c r="BD3458" i="1"/>
  <c r="CE3458" i="1"/>
  <c r="A3459" i="1"/>
  <c r="C3459" i="1"/>
  <c r="E3459" i="1"/>
  <c r="S3459" i="1"/>
  <c r="T3459" i="1"/>
  <c r="U3459" i="1"/>
  <c r="BB3459" i="1"/>
  <c r="BD3459" i="1"/>
  <c r="CE3459" i="1"/>
  <c r="A3460" i="1"/>
  <c r="C3460" i="1"/>
  <c r="E3460" i="1"/>
  <c r="S3460" i="1"/>
  <c r="T3460" i="1"/>
  <c r="U3460" i="1"/>
  <c r="BB3460" i="1"/>
  <c r="BD3460" i="1"/>
  <c r="CE3460" i="1"/>
  <c r="A3461" i="1"/>
  <c r="C3461" i="1"/>
  <c r="E3461" i="1"/>
  <c r="S3461" i="1"/>
  <c r="T3461" i="1"/>
  <c r="U3461" i="1"/>
  <c r="BB3461" i="1"/>
  <c r="BD3461" i="1"/>
  <c r="CE3461" i="1"/>
  <c r="A3462" i="1"/>
  <c r="C3462" i="1"/>
  <c r="E3462" i="1"/>
  <c r="S3462" i="1"/>
  <c r="T3462" i="1"/>
  <c r="U3462" i="1"/>
  <c r="BB3462" i="1"/>
  <c r="BD3462" i="1"/>
  <c r="CE3462" i="1"/>
  <c r="A3463" i="1"/>
  <c r="C3463" i="1"/>
  <c r="E3463" i="1"/>
  <c r="S3463" i="1"/>
  <c r="T3463" i="1"/>
  <c r="U3463" i="1"/>
  <c r="BB3463" i="1"/>
  <c r="BD3463" i="1"/>
  <c r="CE3463" i="1"/>
  <c r="A3464" i="1"/>
  <c r="C3464" i="1"/>
  <c r="E3464" i="1"/>
  <c r="S3464" i="1"/>
  <c r="T3464" i="1"/>
  <c r="U3464" i="1"/>
  <c r="BB3464" i="1"/>
  <c r="BD3464" i="1"/>
  <c r="CE3464" i="1"/>
  <c r="A3465" i="1"/>
  <c r="C3465" i="1"/>
  <c r="E3465" i="1"/>
  <c r="S3465" i="1"/>
  <c r="T3465" i="1"/>
  <c r="U3465" i="1"/>
  <c r="BB3465" i="1"/>
  <c r="BD3465" i="1"/>
  <c r="CE3465" i="1"/>
  <c r="A3466" i="1"/>
  <c r="C3466" i="1"/>
  <c r="E3466" i="1"/>
  <c r="S3466" i="1"/>
  <c r="T3466" i="1"/>
  <c r="U3466" i="1"/>
  <c r="BB3466" i="1"/>
  <c r="BD3466" i="1"/>
  <c r="CE3466" i="1"/>
  <c r="A3467" i="1"/>
  <c r="C3467" i="1"/>
  <c r="E3467" i="1"/>
  <c r="S3467" i="1"/>
  <c r="T3467" i="1"/>
  <c r="U3467" i="1"/>
  <c r="BB3467" i="1"/>
  <c r="BD3467" i="1"/>
  <c r="CE3467" i="1"/>
  <c r="A3468" i="1"/>
  <c r="C3468" i="1"/>
  <c r="E3468" i="1"/>
  <c r="S3468" i="1"/>
  <c r="T3468" i="1"/>
  <c r="U3468" i="1"/>
  <c r="BB3468" i="1"/>
  <c r="BD3468" i="1"/>
  <c r="CE3468" i="1"/>
  <c r="A3469" i="1"/>
  <c r="C3469" i="1"/>
  <c r="E3469" i="1"/>
  <c r="S3469" i="1"/>
  <c r="T3469" i="1"/>
  <c r="U3469" i="1"/>
  <c r="BB3469" i="1"/>
  <c r="BD3469" i="1"/>
  <c r="CE3469" i="1"/>
  <c r="A3470" i="1"/>
  <c r="C3470" i="1"/>
  <c r="E3470" i="1"/>
  <c r="S3470" i="1"/>
  <c r="T3470" i="1"/>
  <c r="U3470" i="1"/>
  <c r="BB3470" i="1"/>
  <c r="BD3470" i="1"/>
  <c r="CE3470" i="1"/>
  <c r="A3471" i="1"/>
  <c r="C3471" i="1"/>
  <c r="E3471" i="1"/>
  <c r="S3471" i="1"/>
  <c r="T3471" i="1"/>
  <c r="U3471" i="1"/>
  <c r="BB3471" i="1"/>
  <c r="BD3471" i="1"/>
  <c r="CE3471" i="1"/>
  <c r="A3472" i="1"/>
  <c r="C3472" i="1"/>
  <c r="E3472" i="1"/>
  <c r="S3472" i="1"/>
  <c r="T3472" i="1"/>
  <c r="U3472" i="1"/>
  <c r="BB3472" i="1"/>
  <c r="BD3472" i="1"/>
  <c r="CE3472" i="1"/>
  <c r="A3473" i="1"/>
  <c r="C3473" i="1"/>
  <c r="E3473" i="1"/>
  <c r="S3473" i="1"/>
  <c r="T3473" i="1"/>
  <c r="U3473" i="1"/>
  <c r="BB3473" i="1"/>
  <c r="BD3473" i="1"/>
  <c r="CE3473" i="1"/>
  <c r="A3474" i="1"/>
  <c r="C3474" i="1"/>
  <c r="E3474" i="1"/>
  <c r="S3474" i="1"/>
  <c r="T3474" i="1"/>
  <c r="U3474" i="1"/>
  <c r="BB3474" i="1"/>
  <c r="BD3474" i="1"/>
  <c r="CE3474" i="1"/>
  <c r="A3475" i="1"/>
  <c r="C3475" i="1"/>
  <c r="E3475" i="1"/>
  <c r="S3475" i="1"/>
  <c r="T3475" i="1"/>
  <c r="U3475" i="1"/>
  <c r="BB3475" i="1"/>
  <c r="BD3475" i="1"/>
  <c r="CE3475" i="1"/>
  <c r="A3476" i="1"/>
  <c r="C3476" i="1"/>
  <c r="E3476" i="1"/>
  <c r="S3476" i="1"/>
  <c r="T3476" i="1"/>
  <c r="U3476" i="1"/>
  <c r="BB3476" i="1"/>
  <c r="BD3476" i="1"/>
  <c r="CE3476" i="1"/>
  <c r="A3477" i="1"/>
  <c r="C3477" i="1"/>
  <c r="E3477" i="1"/>
  <c r="S3477" i="1"/>
  <c r="T3477" i="1"/>
  <c r="U3477" i="1"/>
  <c r="BB3477" i="1"/>
  <c r="BD3477" i="1"/>
  <c r="CE3477" i="1"/>
  <c r="A3478" i="1"/>
  <c r="C3478" i="1"/>
  <c r="E3478" i="1"/>
  <c r="S3478" i="1"/>
  <c r="T3478" i="1"/>
  <c r="U3478" i="1"/>
  <c r="BB3478" i="1"/>
  <c r="BD3478" i="1"/>
  <c r="CE3478" i="1"/>
  <c r="A3479" i="1"/>
  <c r="C3479" i="1"/>
  <c r="E3479" i="1"/>
  <c r="S3479" i="1"/>
  <c r="T3479" i="1"/>
  <c r="U3479" i="1"/>
  <c r="BB3479" i="1"/>
  <c r="BD3479" i="1"/>
  <c r="CE3479" i="1"/>
  <c r="A3480" i="1"/>
  <c r="C3480" i="1"/>
  <c r="E3480" i="1"/>
  <c r="S3480" i="1"/>
  <c r="T3480" i="1"/>
  <c r="U3480" i="1"/>
  <c r="BB3480" i="1"/>
  <c r="BD3480" i="1"/>
  <c r="CE3480" i="1"/>
  <c r="A3481" i="1"/>
  <c r="C3481" i="1"/>
  <c r="E3481" i="1"/>
  <c r="S3481" i="1"/>
  <c r="T3481" i="1"/>
  <c r="U3481" i="1"/>
  <c r="BB3481" i="1"/>
  <c r="BD3481" i="1"/>
  <c r="CE3481" i="1"/>
  <c r="A3482" i="1"/>
  <c r="C3482" i="1"/>
  <c r="E3482" i="1"/>
  <c r="S3482" i="1"/>
  <c r="T3482" i="1"/>
  <c r="U3482" i="1"/>
  <c r="BB3482" i="1"/>
  <c r="BD3482" i="1"/>
  <c r="CE3482" i="1"/>
  <c r="A3483" i="1"/>
  <c r="C3483" i="1"/>
  <c r="E3483" i="1"/>
  <c r="S3483" i="1"/>
  <c r="T3483" i="1"/>
  <c r="U3483" i="1"/>
  <c r="BB3483" i="1"/>
  <c r="BD3483" i="1"/>
  <c r="CE3483" i="1"/>
  <c r="A3484" i="1"/>
  <c r="C3484" i="1"/>
  <c r="E3484" i="1"/>
  <c r="S3484" i="1"/>
  <c r="T3484" i="1"/>
  <c r="U3484" i="1"/>
  <c r="BB3484" i="1"/>
  <c r="BD3484" i="1"/>
  <c r="CE3484" i="1"/>
  <c r="A3485" i="1"/>
  <c r="C3485" i="1"/>
  <c r="E3485" i="1"/>
  <c r="S3485" i="1"/>
  <c r="T3485" i="1"/>
  <c r="U3485" i="1"/>
  <c r="BB3485" i="1"/>
  <c r="BD3485" i="1"/>
  <c r="CE3485" i="1"/>
  <c r="A3486" i="1"/>
  <c r="C3486" i="1"/>
  <c r="E3486" i="1"/>
  <c r="S3486" i="1"/>
  <c r="T3486" i="1"/>
  <c r="U3486" i="1"/>
  <c r="BB3486" i="1"/>
  <c r="BD3486" i="1"/>
  <c r="CE3486" i="1"/>
  <c r="A3487" i="1"/>
  <c r="C3487" i="1"/>
  <c r="E3487" i="1"/>
  <c r="S3487" i="1"/>
  <c r="T3487" i="1"/>
  <c r="U3487" i="1"/>
  <c r="BB3487" i="1"/>
  <c r="BD3487" i="1"/>
  <c r="CE3487" i="1"/>
  <c r="A3488" i="1"/>
  <c r="C3488" i="1"/>
  <c r="E3488" i="1"/>
  <c r="S3488" i="1"/>
  <c r="T3488" i="1"/>
  <c r="U3488" i="1"/>
  <c r="BB3488" i="1"/>
  <c r="BD3488" i="1"/>
  <c r="CE3488" i="1"/>
  <c r="A3489" i="1"/>
  <c r="C3489" i="1"/>
  <c r="E3489" i="1"/>
  <c r="S3489" i="1"/>
  <c r="T3489" i="1"/>
  <c r="U3489" i="1"/>
  <c r="BB3489" i="1"/>
  <c r="BD3489" i="1"/>
  <c r="CE3489" i="1"/>
  <c r="A3490" i="1"/>
  <c r="C3490" i="1"/>
  <c r="E3490" i="1"/>
  <c r="S3490" i="1"/>
  <c r="T3490" i="1"/>
  <c r="U3490" i="1"/>
  <c r="BB3490" i="1"/>
  <c r="BD3490" i="1"/>
  <c r="CE3490" i="1"/>
  <c r="A3491" i="1"/>
  <c r="C3491" i="1"/>
  <c r="E3491" i="1"/>
  <c r="S3491" i="1"/>
  <c r="T3491" i="1"/>
  <c r="U3491" i="1"/>
  <c r="BB3491" i="1"/>
  <c r="BD3491" i="1"/>
  <c r="CE3491" i="1"/>
  <c r="A3492" i="1"/>
  <c r="C3492" i="1"/>
  <c r="E3492" i="1"/>
  <c r="S3492" i="1"/>
  <c r="T3492" i="1"/>
  <c r="U3492" i="1"/>
  <c r="BB3492" i="1"/>
  <c r="BD3492" i="1"/>
  <c r="CE3492" i="1"/>
  <c r="A3493" i="1"/>
  <c r="C3493" i="1"/>
  <c r="E3493" i="1"/>
  <c r="S3493" i="1"/>
  <c r="T3493" i="1"/>
  <c r="U3493" i="1"/>
  <c r="BB3493" i="1"/>
  <c r="BD3493" i="1"/>
  <c r="CE3493" i="1"/>
  <c r="A3494" i="1"/>
  <c r="C3494" i="1"/>
  <c r="E3494" i="1"/>
  <c r="S3494" i="1"/>
  <c r="T3494" i="1"/>
  <c r="U3494" i="1"/>
  <c r="BB3494" i="1"/>
  <c r="BD3494" i="1"/>
  <c r="CE3494" i="1"/>
  <c r="A3495" i="1"/>
  <c r="C3495" i="1"/>
  <c r="E3495" i="1"/>
  <c r="S3495" i="1"/>
  <c r="T3495" i="1"/>
  <c r="U3495" i="1"/>
  <c r="BB3495" i="1"/>
  <c r="BD3495" i="1"/>
  <c r="CE3495" i="1"/>
  <c r="A3496" i="1"/>
  <c r="C3496" i="1"/>
  <c r="E3496" i="1"/>
  <c r="S3496" i="1"/>
  <c r="T3496" i="1"/>
  <c r="U3496" i="1"/>
  <c r="BB3496" i="1"/>
  <c r="BD3496" i="1"/>
  <c r="CE3496" i="1"/>
  <c r="A3497" i="1"/>
  <c r="C3497" i="1"/>
  <c r="E3497" i="1"/>
  <c r="S3497" i="1"/>
  <c r="T3497" i="1"/>
  <c r="U3497" i="1"/>
  <c r="BB3497" i="1"/>
  <c r="BD3497" i="1"/>
  <c r="CE3497" i="1"/>
  <c r="A3498" i="1"/>
  <c r="C3498" i="1"/>
  <c r="E3498" i="1"/>
  <c r="S3498" i="1"/>
  <c r="T3498" i="1"/>
  <c r="U3498" i="1"/>
  <c r="BB3498" i="1"/>
  <c r="BD3498" i="1"/>
  <c r="CE3498" i="1"/>
  <c r="A3499" i="1"/>
  <c r="C3499" i="1"/>
  <c r="E3499" i="1"/>
  <c r="S3499" i="1"/>
  <c r="T3499" i="1"/>
  <c r="U3499" i="1"/>
  <c r="BB3499" i="1"/>
  <c r="BD3499" i="1"/>
  <c r="CE3499" i="1"/>
  <c r="A3500" i="1"/>
  <c r="C3500" i="1"/>
  <c r="E3500" i="1"/>
  <c r="S3500" i="1"/>
  <c r="T3500" i="1"/>
  <c r="U3500" i="1"/>
  <c r="BB3500" i="1"/>
  <c r="BD3500" i="1"/>
  <c r="CE3500" i="1"/>
  <c r="A3501" i="1"/>
  <c r="C3501" i="1"/>
  <c r="E3501" i="1"/>
  <c r="S3501" i="1"/>
  <c r="T3501" i="1"/>
  <c r="U3501" i="1"/>
  <c r="BB3501" i="1"/>
  <c r="BD3501" i="1"/>
  <c r="CE3501" i="1"/>
  <c r="A3502" i="1"/>
  <c r="C3502" i="1"/>
  <c r="E3502" i="1"/>
  <c r="S3502" i="1"/>
  <c r="T3502" i="1"/>
  <c r="U3502" i="1"/>
  <c r="BB3502" i="1"/>
  <c r="BD3502" i="1"/>
  <c r="CE3502" i="1"/>
  <c r="A3503" i="1"/>
  <c r="C3503" i="1"/>
  <c r="E3503" i="1"/>
  <c r="S3503" i="1"/>
  <c r="T3503" i="1"/>
  <c r="U3503" i="1"/>
  <c r="BB3503" i="1"/>
  <c r="BD3503" i="1"/>
  <c r="CE3503" i="1"/>
  <c r="A3504" i="1"/>
  <c r="C3504" i="1"/>
  <c r="E3504" i="1"/>
  <c r="S3504" i="1"/>
  <c r="T3504" i="1"/>
  <c r="U3504" i="1"/>
  <c r="BB3504" i="1"/>
  <c r="BD3504" i="1"/>
  <c r="CE3504" i="1"/>
  <c r="A3505" i="1"/>
  <c r="C3505" i="1"/>
  <c r="E3505" i="1"/>
  <c r="S3505" i="1"/>
  <c r="T3505" i="1"/>
  <c r="U3505" i="1"/>
  <c r="BB3505" i="1"/>
  <c r="BD3505" i="1"/>
  <c r="CE3505" i="1"/>
  <c r="A3506" i="1"/>
  <c r="C3506" i="1"/>
  <c r="E3506" i="1"/>
  <c r="S3506" i="1"/>
  <c r="T3506" i="1"/>
  <c r="U3506" i="1"/>
  <c r="BB3506" i="1"/>
  <c r="BD3506" i="1"/>
  <c r="CE3506" i="1"/>
  <c r="A3507" i="1"/>
  <c r="C3507" i="1"/>
  <c r="E3507" i="1"/>
  <c r="S3507" i="1"/>
  <c r="T3507" i="1"/>
  <c r="U3507" i="1"/>
  <c r="BB3507" i="1"/>
  <c r="BD3507" i="1"/>
  <c r="CE3507" i="1"/>
  <c r="A3508" i="1"/>
  <c r="C3508" i="1"/>
  <c r="E3508" i="1"/>
  <c r="S3508" i="1"/>
  <c r="T3508" i="1"/>
  <c r="U3508" i="1"/>
  <c r="BB3508" i="1"/>
  <c r="BD3508" i="1"/>
  <c r="CE3508" i="1"/>
  <c r="A3509" i="1"/>
  <c r="C3509" i="1"/>
  <c r="E3509" i="1"/>
  <c r="S3509" i="1"/>
  <c r="T3509" i="1"/>
  <c r="U3509" i="1"/>
  <c r="BB3509" i="1"/>
  <c r="BD3509" i="1"/>
  <c r="CE3509" i="1"/>
  <c r="A3510" i="1"/>
  <c r="C3510" i="1"/>
  <c r="E3510" i="1"/>
  <c r="S3510" i="1"/>
  <c r="T3510" i="1"/>
  <c r="U3510" i="1"/>
  <c r="BB3510" i="1"/>
  <c r="BD3510" i="1"/>
  <c r="CE3510" i="1"/>
  <c r="A3511" i="1"/>
  <c r="C3511" i="1"/>
  <c r="E3511" i="1"/>
  <c r="S3511" i="1"/>
  <c r="T3511" i="1"/>
  <c r="U3511" i="1"/>
  <c r="BB3511" i="1"/>
  <c r="BD3511" i="1"/>
  <c r="CE3511" i="1"/>
  <c r="A3512" i="1"/>
  <c r="C3512" i="1"/>
  <c r="E3512" i="1"/>
  <c r="S3512" i="1"/>
  <c r="T3512" i="1"/>
  <c r="U3512" i="1"/>
  <c r="BB3512" i="1"/>
  <c r="BD3512" i="1"/>
  <c r="CE3512" i="1"/>
  <c r="A3513" i="1"/>
  <c r="C3513" i="1"/>
  <c r="E3513" i="1"/>
  <c r="S3513" i="1"/>
  <c r="T3513" i="1"/>
  <c r="U3513" i="1"/>
  <c r="BB3513" i="1"/>
  <c r="BD3513" i="1"/>
  <c r="CE3513" i="1"/>
  <c r="A3514" i="1"/>
  <c r="C3514" i="1"/>
  <c r="E3514" i="1"/>
  <c r="S3514" i="1"/>
  <c r="T3514" i="1"/>
  <c r="U3514" i="1"/>
  <c r="BB3514" i="1"/>
  <c r="BD3514" i="1"/>
  <c r="CE3514" i="1"/>
  <c r="A3515" i="1"/>
  <c r="C3515" i="1"/>
  <c r="E3515" i="1"/>
  <c r="S3515" i="1"/>
  <c r="T3515" i="1"/>
  <c r="U3515" i="1"/>
  <c r="BB3515" i="1"/>
  <c r="BD3515" i="1"/>
  <c r="CE3515" i="1"/>
  <c r="A3516" i="1"/>
  <c r="C3516" i="1"/>
  <c r="E3516" i="1"/>
  <c r="S3516" i="1"/>
  <c r="T3516" i="1"/>
  <c r="U3516" i="1"/>
  <c r="BB3516" i="1"/>
  <c r="BD3516" i="1"/>
  <c r="CE3516" i="1"/>
  <c r="A3517" i="1"/>
  <c r="C3517" i="1"/>
  <c r="E3517" i="1"/>
  <c r="S3517" i="1"/>
  <c r="T3517" i="1"/>
  <c r="U3517" i="1"/>
  <c r="BB3517" i="1"/>
  <c r="BD3517" i="1"/>
  <c r="CE3517" i="1"/>
  <c r="A3518" i="1"/>
  <c r="C3518" i="1"/>
  <c r="E3518" i="1"/>
  <c r="S3518" i="1"/>
  <c r="T3518" i="1"/>
  <c r="U3518" i="1"/>
  <c r="BB3518" i="1"/>
  <c r="BD3518" i="1"/>
  <c r="CE3518" i="1"/>
  <c r="A3519" i="1"/>
  <c r="C3519" i="1"/>
  <c r="E3519" i="1"/>
  <c r="S3519" i="1"/>
  <c r="T3519" i="1"/>
  <c r="U3519" i="1"/>
  <c r="BB3519" i="1"/>
  <c r="BD3519" i="1"/>
  <c r="CE3519" i="1"/>
  <c r="A3520" i="1"/>
  <c r="C3520" i="1"/>
  <c r="E3520" i="1"/>
  <c r="S3520" i="1"/>
  <c r="T3520" i="1"/>
  <c r="U3520" i="1"/>
  <c r="BB3520" i="1"/>
  <c r="BD3520" i="1"/>
  <c r="CE3520" i="1"/>
  <c r="A3521" i="1"/>
  <c r="C3521" i="1"/>
  <c r="E3521" i="1"/>
  <c r="S3521" i="1"/>
  <c r="T3521" i="1"/>
  <c r="U3521" i="1"/>
  <c r="BB3521" i="1"/>
  <c r="BD3521" i="1"/>
  <c r="CE3521" i="1"/>
  <c r="A3522" i="1"/>
  <c r="C3522" i="1"/>
  <c r="E3522" i="1"/>
  <c r="S3522" i="1"/>
  <c r="T3522" i="1"/>
  <c r="U3522" i="1"/>
  <c r="BB3522" i="1"/>
  <c r="BD3522" i="1"/>
  <c r="CE3522" i="1"/>
  <c r="A3523" i="1"/>
  <c r="C3523" i="1"/>
  <c r="E3523" i="1"/>
  <c r="S3523" i="1"/>
  <c r="T3523" i="1"/>
  <c r="U3523" i="1"/>
  <c r="BB3523" i="1"/>
  <c r="BD3523" i="1"/>
  <c r="CE3523" i="1"/>
  <c r="A3524" i="1"/>
  <c r="C3524" i="1"/>
  <c r="E3524" i="1"/>
  <c r="S3524" i="1"/>
  <c r="T3524" i="1"/>
  <c r="U3524" i="1"/>
  <c r="BB3524" i="1"/>
  <c r="BD3524" i="1"/>
  <c r="CE3524" i="1"/>
  <c r="A3525" i="1"/>
  <c r="C3525" i="1"/>
  <c r="E3525" i="1"/>
  <c r="S3525" i="1"/>
  <c r="T3525" i="1"/>
  <c r="U3525" i="1"/>
  <c r="BB3525" i="1"/>
  <c r="BD3525" i="1"/>
  <c r="CE3525" i="1"/>
  <c r="A3526" i="1"/>
  <c r="C3526" i="1"/>
  <c r="E3526" i="1"/>
  <c r="S3526" i="1"/>
  <c r="T3526" i="1"/>
  <c r="U3526" i="1"/>
  <c r="BB3526" i="1"/>
  <c r="BD3526" i="1"/>
  <c r="CE3526" i="1"/>
  <c r="A3527" i="1"/>
  <c r="C3527" i="1"/>
  <c r="E3527" i="1"/>
  <c r="S3527" i="1"/>
  <c r="T3527" i="1"/>
  <c r="U3527" i="1"/>
  <c r="BB3527" i="1"/>
  <c r="BD3527" i="1"/>
  <c r="CE3527" i="1"/>
  <c r="A3528" i="1"/>
  <c r="C3528" i="1"/>
  <c r="E3528" i="1"/>
  <c r="S3528" i="1"/>
  <c r="T3528" i="1"/>
  <c r="U3528" i="1"/>
  <c r="BB3528" i="1"/>
  <c r="BD3528" i="1"/>
  <c r="CE3528" i="1"/>
  <c r="A3529" i="1"/>
  <c r="C3529" i="1"/>
  <c r="E3529" i="1"/>
  <c r="S3529" i="1"/>
  <c r="T3529" i="1"/>
  <c r="U3529" i="1"/>
  <c r="BB3529" i="1"/>
  <c r="BD3529" i="1"/>
  <c r="CE3529" i="1"/>
  <c r="A3530" i="1"/>
  <c r="C3530" i="1"/>
  <c r="E3530" i="1"/>
  <c r="S3530" i="1"/>
  <c r="T3530" i="1"/>
  <c r="U3530" i="1"/>
  <c r="BB3530" i="1"/>
  <c r="BD3530" i="1"/>
  <c r="CE3530" i="1"/>
  <c r="A3531" i="1"/>
  <c r="C3531" i="1"/>
  <c r="E3531" i="1"/>
  <c r="S3531" i="1"/>
  <c r="T3531" i="1"/>
  <c r="U3531" i="1"/>
  <c r="BB3531" i="1"/>
  <c r="BD3531" i="1"/>
  <c r="CE3531" i="1"/>
  <c r="A3532" i="1"/>
  <c r="C3532" i="1"/>
  <c r="E3532" i="1"/>
  <c r="S3532" i="1"/>
  <c r="T3532" i="1"/>
  <c r="U3532" i="1"/>
  <c r="BB3532" i="1"/>
  <c r="BD3532" i="1"/>
  <c r="CE3532" i="1"/>
  <c r="A3533" i="1"/>
  <c r="C3533" i="1"/>
  <c r="E3533" i="1"/>
  <c r="S3533" i="1"/>
  <c r="T3533" i="1"/>
  <c r="U3533" i="1"/>
  <c r="BB3533" i="1"/>
  <c r="BD3533" i="1"/>
  <c r="CE3533" i="1"/>
  <c r="A3534" i="1"/>
  <c r="C3534" i="1"/>
  <c r="E3534" i="1"/>
  <c r="S3534" i="1"/>
  <c r="T3534" i="1"/>
  <c r="U3534" i="1"/>
  <c r="BB3534" i="1"/>
  <c r="BD3534" i="1"/>
  <c r="CE3534" i="1"/>
  <c r="A3535" i="1"/>
  <c r="C3535" i="1"/>
  <c r="E3535" i="1"/>
  <c r="S3535" i="1"/>
  <c r="T3535" i="1"/>
  <c r="U3535" i="1"/>
  <c r="BB3535" i="1"/>
  <c r="BD3535" i="1"/>
  <c r="CE3535" i="1"/>
  <c r="A3536" i="1"/>
  <c r="C3536" i="1"/>
  <c r="E3536" i="1"/>
  <c r="S3536" i="1"/>
  <c r="T3536" i="1"/>
  <c r="U3536" i="1"/>
  <c r="BB3536" i="1"/>
  <c r="BD3536" i="1"/>
  <c r="CE3536" i="1"/>
  <c r="A3537" i="1"/>
  <c r="C3537" i="1"/>
  <c r="E3537" i="1"/>
  <c r="S3537" i="1"/>
  <c r="T3537" i="1"/>
  <c r="U3537" i="1"/>
  <c r="BB3537" i="1"/>
  <c r="BD3537" i="1"/>
  <c r="CE3537" i="1"/>
  <c r="A3538" i="1"/>
  <c r="C3538" i="1"/>
  <c r="E3538" i="1"/>
  <c r="S3538" i="1"/>
  <c r="T3538" i="1"/>
  <c r="U3538" i="1"/>
  <c r="BB3538" i="1"/>
  <c r="BD3538" i="1"/>
  <c r="CE3538" i="1"/>
  <c r="A3539" i="1"/>
  <c r="C3539" i="1"/>
  <c r="E3539" i="1"/>
  <c r="S3539" i="1"/>
  <c r="T3539" i="1"/>
  <c r="U3539" i="1"/>
  <c r="BB3539" i="1"/>
  <c r="BD3539" i="1"/>
  <c r="CE3539" i="1"/>
  <c r="A3540" i="1"/>
  <c r="C3540" i="1"/>
  <c r="E3540" i="1"/>
  <c r="S3540" i="1"/>
  <c r="T3540" i="1"/>
  <c r="U3540" i="1"/>
  <c r="BB3540" i="1"/>
  <c r="BD3540" i="1"/>
  <c r="CE3540" i="1"/>
  <c r="A3541" i="1"/>
  <c r="C3541" i="1"/>
  <c r="E3541" i="1"/>
  <c r="S3541" i="1"/>
  <c r="T3541" i="1"/>
  <c r="U3541" i="1"/>
  <c r="BB3541" i="1"/>
  <c r="BD3541" i="1"/>
  <c r="CE3541" i="1"/>
  <c r="A3542" i="1"/>
  <c r="C3542" i="1"/>
  <c r="E3542" i="1"/>
  <c r="S3542" i="1"/>
  <c r="T3542" i="1"/>
  <c r="U3542" i="1"/>
  <c r="BB3542" i="1"/>
  <c r="BD3542" i="1"/>
  <c r="CE3542" i="1"/>
  <c r="A3543" i="1"/>
  <c r="C3543" i="1"/>
  <c r="E3543" i="1"/>
  <c r="S3543" i="1"/>
  <c r="T3543" i="1"/>
  <c r="U3543" i="1"/>
  <c r="BB3543" i="1"/>
  <c r="BD3543" i="1"/>
  <c r="CE3543" i="1"/>
  <c r="A3544" i="1"/>
  <c r="C3544" i="1"/>
  <c r="E3544" i="1"/>
  <c r="S3544" i="1"/>
  <c r="T3544" i="1"/>
  <c r="U3544" i="1"/>
  <c r="BB3544" i="1"/>
  <c r="BD3544" i="1"/>
  <c r="CE3544" i="1"/>
  <c r="A3545" i="1"/>
  <c r="C3545" i="1"/>
  <c r="E3545" i="1"/>
  <c r="S3545" i="1"/>
  <c r="T3545" i="1"/>
  <c r="U3545" i="1"/>
  <c r="BB3545" i="1"/>
  <c r="BD3545" i="1"/>
  <c r="CE3545" i="1"/>
  <c r="A3546" i="1"/>
  <c r="C3546" i="1"/>
  <c r="E3546" i="1"/>
  <c r="S3546" i="1"/>
  <c r="T3546" i="1"/>
  <c r="U3546" i="1"/>
  <c r="BB3546" i="1"/>
  <c r="BD3546" i="1"/>
  <c r="CE3546" i="1"/>
  <c r="A3547" i="1"/>
  <c r="C3547" i="1"/>
  <c r="E3547" i="1"/>
  <c r="S3547" i="1"/>
  <c r="T3547" i="1"/>
  <c r="U3547" i="1"/>
  <c r="BB3547" i="1"/>
  <c r="BD3547" i="1"/>
  <c r="CE3547" i="1"/>
  <c r="A3548" i="1"/>
  <c r="C3548" i="1"/>
  <c r="E3548" i="1"/>
  <c r="S3548" i="1"/>
  <c r="T3548" i="1"/>
  <c r="U3548" i="1"/>
  <c r="BB3548" i="1"/>
  <c r="BD3548" i="1"/>
  <c r="CE3548" i="1"/>
  <c r="A3549" i="1"/>
  <c r="C3549" i="1"/>
  <c r="E3549" i="1"/>
  <c r="S3549" i="1"/>
  <c r="T3549" i="1"/>
  <c r="U3549" i="1"/>
  <c r="BB3549" i="1"/>
  <c r="BD3549" i="1"/>
  <c r="CE3549" i="1"/>
  <c r="A3550" i="1"/>
  <c r="C3550" i="1"/>
  <c r="E3550" i="1"/>
  <c r="S3550" i="1"/>
  <c r="T3550" i="1"/>
  <c r="U3550" i="1"/>
  <c r="BB3550" i="1"/>
  <c r="BD3550" i="1"/>
  <c r="CE3550" i="1"/>
  <c r="A3551" i="1"/>
  <c r="C3551" i="1"/>
  <c r="E3551" i="1"/>
  <c r="S3551" i="1"/>
  <c r="T3551" i="1"/>
  <c r="U3551" i="1"/>
  <c r="BB3551" i="1"/>
  <c r="BD3551" i="1"/>
  <c r="CE3551" i="1"/>
  <c r="A3552" i="1"/>
  <c r="C3552" i="1"/>
  <c r="E3552" i="1"/>
  <c r="S3552" i="1"/>
  <c r="T3552" i="1"/>
  <c r="U3552" i="1"/>
  <c r="BB3552" i="1"/>
  <c r="BD3552" i="1"/>
  <c r="CE3552" i="1"/>
  <c r="A3553" i="1"/>
  <c r="C3553" i="1"/>
  <c r="E3553" i="1"/>
  <c r="S3553" i="1"/>
  <c r="T3553" i="1"/>
  <c r="U3553" i="1"/>
  <c r="BB3553" i="1"/>
  <c r="BD3553" i="1"/>
  <c r="CE3553" i="1"/>
  <c r="A3554" i="1"/>
  <c r="C3554" i="1"/>
  <c r="E3554" i="1"/>
  <c r="S3554" i="1"/>
  <c r="T3554" i="1"/>
  <c r="U3554" i="1"/>
  <c r="BB3554" i="1"/>
  <c r="BD3554" i="1"/>
  <c r="CE3554" i="1"/>
  <c r="A3555" i="1"/>
  <c r="C3555" i="1"/>
  <c r="E3555" i="1"/>
  <c r="S3555" i="1"/>
  <c r="T3555" i="1"/>
  <c r="U3555" i="1"/>
  <c r="BB3555" i="1"/>
  <c r="BD3555" i="1"/>
  <c r="CE3555" i="1"/>
  <c r="A3556" i="1"/>
  <c r="C3556" i="1"/>
  <c r="E3556" i="1"/>
  <c r="S3556" i="1"/>
  <c r="T3556" i="1"/>
  <c r="U3556" i="1"/>
  <c r="BB3556" i="1"/>
  <c r="BD3556" i="1"/>
  <c r="CE3556" i="1"/>
  <c r="A3557" i="1"/>
  <c r="C3557" i="1"/>
  <c r="E3557" i="1"/>
  <c r="S3557" i="1"/>
  <c r="T3557" i="1"/>
  <c r="U3557" i="1"/>
  <c r="BB3557" i="1"/>
  <c r="BD3557" i="1"/>
  <c r="CE3557" i="1"/>
  <c r="A3558" i="1"/>
  <c r="C3558" i="1"/>
  <c r="E3558" i="1"/>
  <c r="S3558" i="1"/>
  <c r="T3558" i="1"/>
  <c r="U3558" i="1"/>
  <c r="BB3558" i="1"/>
  <c r="BD3558" i="1"/>
  <c r="CE3558" i="1"/>
  <c r="A3559" i="1"/>
  <c r="C3559" i="1"/>
  <c r="E3559" i="1"/>
  <c r="S3559" i="1"/>
  <c r="T3559" i="1"/>
  <c r="U3559" i="1"/>
  <c r="BB3559" i="1"/>
  <c r="BD3559" i="1"/>
  <c r="CE3559" i="1"/>
  <c r="A3560" i="1"/>
  <c r="C3560" i="1"/>
  <c r="E3560" i="1"/>
  <c r="S3560" i="1"/>
  <c r="T3560" i="1"/>
  <c r="U3560" i="1"/>
  <c r="BB3560" i="1"/>
  <c r="BD3560" i="1"/>
  <c r="CE3560" i="1"/>
  <c r="A3561" i="1"/>
  <c r="C3561" i="1"/>
  <c r="E3561" i="1"/>
  <c r="S3561" i="1"/>
  <c r="T3561" i="1"/>
  <c r="U3561" i="1"/>
  <c r="BB3561" i="1"/>
  <c r="BD3561" i="1"/>
  <c r="CE3561" i="1"/>
  <c r="A3562" i="1"/>
  <c r="C3562" i="1"/>
  <c r="E3562" i="1"/>
  <c r="S3562" i="1"/>
  <c r="T3562" i="1"/>
  <c r="U3562" i="1"/>
  <c r="BB3562" i="1"/>
  <c r="BD3562" i="1"/>
  <c r="CE3562" i="1"/>
  <c r="A3563" i="1"/>
  <c r="C3563" i="1"/>
  <c r="E3563" i="1"/>
  <c r="S3563" i="1"/>
  <c r="T3563" i="1"/>
  <c r="U3563" i="1"/>
  <c r="BB3563" i="1"/>
  <c r="BD3563" i="1"/>
  <c r="CE3563" i="1"/>
  <c r="A3564" i="1"/>
  <c r="C3564" i="1"/>
  <c r="E3564" i="1"/>
  <c r="S3564" i="1"/>
  <c r="T3564" i="1"/>
  <c r="U3564" i="1"/>
  <c r="BB3564" i="1"/>
  <c r="BD3564" i="1"/>
  <c r="CE3564" i="1"/>
  <c r="A3565" i="1"/>
  <c r="C3565" i="1"/>
  <c r="E3565" i="1"/>
  <c r="S3565" i="1"/>
  <c r="T3565" i="1"/>
  <c r="U3565" i="1"/>
  <c r="BB3565" i="1"/>
  <c r="BD3565" i="1"/>
  <c r="CE3565" i="1"/>
  <c r="A3566" i="1"/>
  <c r="C3566" i="1"/>
  <c r="E3566" i="1"/>
  <c r="S3566" i="1"/>
  <c r="T3566" i="1"/>
  <c r="U3566" i="1"/>
  <c r="BB3566" i="1"/>
  <c r="BD3566" i="1"/>
  <c r="CE3566" i="1"/>
  <c r="A3567" i="1"/>
  <c r="C3567" i="1"/>
  <c r="E3567" i="1"/>
  <c r="S3567" i="1"/>
  <c r="T3567" i="1"/>
  <c r="U3567" i="1"/>
  <c r="BB3567" i="1"/>
  <c r="BD3567" i="1"/>
  <c r="CE3567" i="1"/>
  <c r="A3568" i="1"/>
  <c r="C3568" i="1"/>
  <c r="E3568" i="1"/>
  <c r="S3568" i="1"/>
  <c r="T3568" i="1"/>
  <c r="U3568" i="1"/>
  <c r="BB3568" i="1"/>
  <c r="BD3568" i="1"/>
  <c r="CE3568" i="1"/>
  <c r="A3569" i="1"/>
  <c r="C3569" i="1"/>
  <c r="E3569" i="1"/>
  <c r="S3569" i="1"/>
  <c r="T3569" i="1"/>
  <c r="U3569" i="1"/>
  <c r="BB3569" i="1"/>
  <c r="BD3569" i="1"/>
  <c r="CE3569" i="1"/>
  <c r="A3570" i="1"/>
  <c r="C3570" i="1"/>
  <c r="E3570" i="1"/>
  <c r="S3570" i="1"/>
  <c r="T3570" i="1"/>
  <c r="U3570" i="1"/>
  <c r="BB3570" i="1"/>
  <c r="BD3570" i="1"/>
  <c r="CE3570" i="1"/>
  <c r="A3571" i="1"/>
  <c r="C3571" i="1"/>
  <c r="E3571" i="1"/>
  <c r="S3571" i="1"/>
  <c r="T3571" i="1"/>
  <c r="U3571" i="1"/>
  <c r="BB3571" i="1"/>
  <c r="BD3571" i="1"/>
  <c r="CE3571" i="1"/>
  <c r="A3572" i="1"/>
  <c r="C3572" i="1"/>
  <c r="E3572" i="1"/>
  <c r="S3572" i="1"/>
  <c r="T3572" i="1"/>
  <c r="U3572" i="1"/>
  <c r="BB3572" i="1"/>
  <c r="BD3572" i="1"/>
  <c r="CE3572" i="1"/>
  <c r="A3573" i="1"/>
  <c r="C3573" i="1"/>
  <c r="E3573" i="1"/>
  <c r="S3573" i="1"/>
  <c r="T3573" i="1"/>
  <c r="U3573" i="1"/>
  <c r="BB3573" i="1"/>
  <c r="BD3573" i="1"/>
  <c r="CE3573" i="1"/>
  <c r="A3574" i="1"/>
  <c r="C3574" i="1"/>
  <c r="E3574" i="1"/>
  <c r="S3574" i="1"/>
  <c r="T3574" i="1"/>
  <c r="U3574" i="1"/>
  <c r="BB3574" i="1"/>
  <c r="BD3574" i="1"/>
  <c r="CE3574" i="1"/>
  <c r="A3575" i="1"/>
  <c r="C3575" i="1"/>
  <c r="E3575" i="1"/>
  <c r="S3575" i="1"/>
  <c r="T3575" i="1"/>
  <c r="U3575" i="1"/>
  <c r="BB3575" i="1"/>
  <c r="BD3575" i="1"/>
  <c r="CE3575" i="1"/>
  <c r="A3576" i="1"/>
  <c r="C3576" i="1"/>
  <c r="E3576" i="1"/>
  <c r="S3576" i="1"/>
  <c r="T3576" i="1"/>
  <c r="U3576" i="1"/>
  <c r="BB3576" i="1"/>
  <c r="BD3576" i="1"/>
  <c r="CE3576" i="1"/>
  <c r="A3577" i="1"/>
  <c r="C3577" i="1"/>
  <c r="E3577" i="1"/>
  <c r="S3577" i="1"/>
  <c r="T3577" i="1"/>
  <c r="U3577" i="1"/>
  <c r="BB3577" i="1"/>
  <c r="BD3577" i="1"/>
  <c r="CE3577" i="1"/>
  <c r="A3578" i="1"/>
  <c r="C3578" i="1"/>
  <c r="E3578" i="1"/>
  <c r="S3578" i="1"/>
  <c r="T3578" i="1"/>
  <c r="U3578" i="1"/>
  <c r="BB3578" i="1"/>
  <c r="BD3578" i="1"/>
  <c r="CE3578" i="1"/>
  <c r="A3579" i="1"/>
  <c r="C3579" i="1"/>
  <c r="E3579" i="1"/>
  <c r="S3579" i="1"/>
  <c r="T3579" i="1"/>
  <c r="U3579" i="1"/>
  <c r="BB3579" i="1"/>
  <c r="BD3579" i="1"/>
  <c r="CE3579" i="1"/>
  <c r="A3580" i="1"/>
  <c r="C3580" i="1"/>
  <c r="E3580" i="1"/>
  <c r="S3580" i="1"/>
  <c r="T3580" i="1"/>
  <c r="U3580" i="1"/>
  <c r="BB3580" i="1"/>
  <c r="BD3580" i="1"/>
  <c r="CE3580" i="1"/>
  <c r="A3581" i="1"/>
  <c r="C3581" i="1"/>
  <c r="E3581" i="1"/>
  <c r="S3581" i="1"/>
  <c r="T3581" i="1"/>
  <c r="U3581" i="1"/>
  <c r="BB3581" i="1"/>
  <c r="BD3581" i="1"/>
  <c r="CE3581" i="1"/>
  <c r="A3582" i="1"/>
  <c r="C3582" i="1"/>
  <c r="E3582" i="1"/>
  <c r="S3582" i="1"/>
  <c r="T3582" i="1"/>
  <c r="U3582" i="1"/>
  <c r="BB3582" i="1"/>
  <c r="BD3582" i="1"/>
  <c r="CE3582" i="1"/>
  <c r="A3583" i="1"/>
  <c r="C3583" i="1"/>
  <c r="E3583" i="1"/>
  <c r="S3583" i="1"/>
  <c r="T3583" i="1"/>
  <c r="U3583" i="1"/>
  <c r="BB3583" i="1"/>
  <c r="BD3583" i="1"/>
  <c r="CE3583" i="1"/>
  <c r="A3584" i="1"/>
  <c r="C3584" i="1"/>
  <c r="E3584" i="1"/>
  <c r="S3584" i="1"/>
  <c r="T3584" i="1"/>
  <c r="U3584" i="1"/>
  <c r="BB3584" i="1"/>
  <c r="BD3584" i="1"/>
  <c r="CE3584" i="1"/>
  <c r="A3585" i="1"/>
  <c r="C3585" i="1"/>
  <c r="E3585" i="1"/>
  <c r="S3585" i="1"/>
  <c r="T3585" i="1"/>
  <c r="U3585" i="1"/>
  <c r="BB3585" i="1"/>
  <c r="BD3585" i="1"/>
  <c r="CE3585" i="1"/>
  <c r="A3586" i="1"/>
  <c r="C3586" i="1"/>
  <c r="E3586" i="1"/>
  <c r="S3586" i="1"/>
  <c r="T3586" i="1"/>
  <c r="U3586" i="1"/>
  <c r="BB3586" i="1"/>
  <c r="BD3586" i="1"/>
  <c r="CE3586" i="1"/>
  <c r="A3587" i="1"/>
  <c r="C3587" i="1"/>
  <c r="E3587" i="1"/>
  <c r="S3587" i="1"/>
  <c r="T3587" i="1"/>
  <c r="U3587" i="1"/>
  <c r="BB3587" i="1"/>
  <c r="BD3587" i="1"/>
  <c r="CE3587" i="1"/>
  <c r="A3588" i="1"/>
  <c r="C3588" i="1"/>
  <c r="E3588" i="1"/>
  <c r="S3588" i="1"/>
  <c r="T3588" i="1"/>
  <c r="U3588" i="1"/>
  <c r="BB3588" i="1"/>
  <c r="BD3588" i="1"/>
  <c r="CE3588" i="1"/>
  <c r="A3589" i="1"/>
  <c r="C3589" i="1"/>
  <c r="E3589" i="1"/>
  <c r="S3589" i="1"/>
  <c r="T3589" i="1"/>
  <c r="U3589" i="1"/>
  <c r="BB3589" i="1"/>
  <c r="BD3589" i="1"/>
  <c r="CE3589" i="1"/>
  <c r="A3590" i="1"/>
  <c r="C3590" i="1"/>
  <c r="E3590" i="1"/>
  <c r="S3590" i="1"/>
  <c r="T3590" i="1"/>
  <c r="U3590" i="1"/>
  <c r="BB3590" i="1"/>
  <c r="BD3590" i="1"/>
  <c r="CE3590" i="1"/>
  <c r="A3591" i="1"/>
  <c r="C3591" i="1"/>
  <c r="E3591" i="1"/>
  <c r="S3591" i="1"/>
  <c r="T3591" i="1"/>
  <c r="U3591" i="1"/>
  <c r="BB3591" i="1"/>
  <c r="BD3591" i="1"/>
  <c r="CE3591" i="1"/>
  <c r="A3592" i="1"/>
  <c r="C3592" i="1"/>
  <c r="E3592" i="1"/>
  <c r="S3592" i="1"/>
  <c r="T3592" i="1"/>
  <c r="U3592" i="1"/>
  <c r="BB3592" i="1"/>
  <c r="BD3592" i="1"/>
  <c r="CE3592" i="1"/>
  <c r="A3593" i="1"/>
  <c r="C3593" i="1"/>
  <c r="E3593" i="1"/>
  <c r="S3593" i="1"/>
  <c r="T3593" i="1"/>
  <c r="U3593" i="1"/>
  <c r="BB3593" i="1"/>
  <c r="BD3593" i="1"/>
  <c r="CE3593" i="1"/>
  <c r="A3594" i="1"/>
  <c r="C3594" i="1"/>
  <c r="E3594" i="1"/>
  <c r="S3594" i="1"/>
  <c r="T3594" i="1"/>
  <c r="U3594" i="1"/>
  <c r="BB3594" i="1"/>
  <c r="BD3594" i="1"/>
  <c r="CE3594" i="1"/>
  <c r="A3595" i="1"/>
  <c r="C3595" i="1"/>
  <c r="E3595" i="1"/>
  <c r="S3595" i="1"/>
  <c r="T3595" i="1"/>
  <c r="U3595" i="1"/>
  <c r="BB3595" i="1"/>
  <c r="BD3595" i="1"/>
  <c r="CE3595" i="1"/>
  <c r="A3596" i="1"/>
  <c r="C3596" i="1"/>
  <c r="E3596" i="1"/>
  <c r="S3596" i="1"/>
  <c r="T3596" i="1"/>
  <c r="U3596" i="1"/>
  <c r="BB3596" i="1"/>
  <c r="BD3596" i="1"/>
  <c r="CE3596" i="1"/>
  <c r="A3597" i="1"/>
  <c r="C3597" i="1"/>
  <c r="E3597" i="1"/>
  <c r="S3597" i="1"/>
  <c r="T3597" i="1"/>
  <c r="U3597" i="1"/>
  <c r="BB3597" i="1"/>
  <c r="BD3597" i="1"/>
  <c r="CE3597" i="1"/>
  <c r="A3598" i="1"/>
  <c r="C3598" i="1"/>
  <c r="E3598" i="1"/>
  <c r="S3598" i="1"/>
  <c r="T3598" i="1"/>
  <c r="U3598" i="1"/>
  <c r="BB3598" i="1"/>
  <c r="BD3598" i="1"/>
  <c r="CE3598" i="1"/>
  <c r="A3599" i="1"/>
  <c r="C3599" i="1"/>
  <c r="E3599" i="1"/>
  <c r="S3599" i="1"/>
  <c r="T3599" i="1"/>
  <c r="U3599" i="1"/>
  <c r="BB3599" i="1"/>
  <c r="BD3599" i="1"/>
  <c r="CE3599" i="1"/>
  <c r="A3600" i="1"/>
  <c r="C3600" i="1"/>
  <c r="E3600" i="1"/>
  <c r="S3600" i="1"/>
  <c r="T3600" i="1"/>
  <c r="U3600" i="1"/>
  <c r="BB3600" i="1"/>
  <c r="BD3600" i="1"/>
  <c r="CE3600" i="1"/>
  <c r="A3601" i="1"/>
  <c r="C3601" i="1"/>
  <c r="E3601" i="1"/>
  <c r="S3601" i="1"/>
  <c r="T3601" i="1"/>
  <c r="U3601" i="1"/>
  <c r="BB3601" i="1"/>
  <c r="BD3601" i="1"/>
  <c r="CE3601" i="1"/>
  <c r="A3602" i="1"/>
  <c r="C3602" i="1"/>
  <c r="E3602" i="1"/>
  <c r="S3602" i="1"/>
  <c r="T3602" i="1"/>
  <c r="U3602" i="1"/>
  <c r="BB3602" i="1"/>
  <c r="BD3602" i="1"/>
  <c r="CE3602" i="1"/>
  <c r="A3603" i="1"/>
  <c r="C3603" i="1"/>
  <c r="E3603" i="1"/>
  <c r="S3603" i="1"/>
  <c r="T3603" i="1"/>
  <c r="U3603" i="1"/>
  <c r="BB3603" i="1"/>
  <c r="BD3603" i="1"/>
  <c r="CE3603" i="1"/>
  <c r="A3604" i="1"/>
  <c r="C3604" i="1"/>
  <c r="E3604" i="1"/>
  <c r="S3604" i="1"/>
  <c r="T3604" i="1"/>
  <c r="U3604" i="1"/>
  <c r="BB3604" i="1"/>
  <c r="BD3604" i="1"/>
  <c r="CE3604" i="1"/>
  <c r="A3605" i="1"/>
  <c r="C3605" i="1"/>
  <c r="E3605" i="1"/>
  <c r="S3605" i="1"/>
  <c r="T3605" i="1"/>
  <c r="U3605" i="1"/>
  <c r="BB3605" i="1"/>
  <c r="BD3605" i="1"/>
  <c r="CE3605" i="1"/>
  <c r="A3606" i="1"/>
  <c r="C3606" i="1"/>
  <c r="E3606" i="1"/>
  <c r="S3606" i="1"/>
  <c r="T3606" i="1"/>
  <c r="U3606" i="1"/>
  <c r="BB3606" i="1"/>
  <c r="BD3606" i="1"/>
  <c r="CE3606" i="1"/>
  <c r="A3607" i="1"/>
  <c r="C3607" i="1"/>
  <c r="E3607" i="1"/>
  <c r="S3607" i="1"/>
  <c r="T3607" i="1"/>
  <c r="U3607" i="1"/>
  <c r="BB3607" i="1"/>
  <c r="BD3607" i="1"/>
  <c r="CE3607" i="1"/>
  <c r="A3608" i="1"/>
  <c r="C3608" i="1"/>
  <c r="E3608" i="1"/>
  <c r="S3608" i="1"/>
  <c r="T3608" i="1"/>
  <c r="U3608" i="1"/>
  <c r="BB3608" i="1"/>
  <c r="BD3608" i="1"/>
  <c r="CE3608" i="1"/>
  <c r="A3609" i="1"/>
  <c r="C3609" i="1"/>
  <c r="E3609" i="1"/>
  <c r="S3609" i="1"/>
  <c r="T3609" i="1"/>
  <c r="U3609" i="1"/>
  <c r="BB3609" i="1"/>
  <c r="BD3609" i="1"/>
  <c r="CE3609" i="1"/>
  <c r="A3610" i="1"/>
  <c r="C3610" i="1"/>
  <c r="E3610" i="1"/>
  <c r="S3610" i="1"/>
  <c r="T3610" i="1"/>
  <c r="U3610" i="1"/>
  <c r="BB3610" i="1"/>
  <c r="BD3610" i="1"/>
  <c r="CE3610" i="1"/>
  <c r="A3611" i="1"/>
  <c r="C3611" i="1"/>
  <c r="E3611" i="1"/>
  <c r="S3611" i="1"/>
  <c r="T3611" i="1"/>
  <c r="U3611" i="1"/>
  <c r="BB3611" i="1"/>
  <c r="BD3611" i="1"/>
  <c r="CE3611" i="1"/>
  <c r="A3612" i="1"/>
  <c r="C3612" i="1"/>
  <c r="E3612" i="1"/>
  <c r="S3612" i="1"/>
  <c r="T3612" i="1"/>
  <c r="U3612" i="1"/>
  <c r="BB3612" i="1"/>
  <c r="BD3612" i="1"/>
  <c r="CE3612" i="1"/>
  <c r="A3613" i="1"/>
  <c r="C3613" i="1"/>
  <c r="E3613" i="1"/>
  <c r="S3613" i="1"/>
  <c r="T3613" i="1"/>
  <c r="U3613" i="1"/>
  <c r="BB3613" i="1"/>
  <c r="BD3613" i="1"/>
  <c r="CE3613" i="1"/>
  <c r="A3614" i="1"/>
  <c r="C3614" i="1"/>
  <c r="E3614" i="1"/>
  <c r="S3614" i="1"/>
  <c r="T3614" i="1"/>
  <c r="U3614" i="1"/>
  <c r="BB3614" i="1"/>
  <c r="BD3614" i="1"/>
  <c r="CE3614" i="1"/>
  <c r="A3615" i="1"/>
  <c r="C3615" i="1"/>
  <c r="E3615" i="1"/>
  <c r="S3615" i="1"/>
  <c r="T3615" i="1"/>
  <c r="U3615" i="1"/>
  <c r="BB3615" i="1"/>
  <c r="BD3615" i="1"/>
  <c r="CE3615" i="1"/>
  <c r="A3616" i="1"/>
  <c r="C3616" i="1"/>
  <c r="E3616" i="1"/>
  <c r="S3616" i="1"/>
  <c r="T3616" i="1"/>
  <c r="U3616" i="1"/>
  <c r="BB3616" i="1"/>
  <c r="BD3616" i="1"/>
  <c r="CE3616" i="1"/>
  <c r="A3617" i="1"/>
  <c r="C3617" i="1"/>
  <c r="E3617" i="1"/>
  <c r="S3617" i="1"/>
  <c r="T3617" i="1"/>
  <c r="U3617" i="1"/>
  <c r="BB3617" i="1"/>
  <c r="BD3617" i="1"/>
  <c r="CE3617" i="1"/>
  <c r="A3618" i="1"/>
  <c r="C3618" i="1"/>
  <c r="E3618" i="1"/>
  <c r="S3618" i="1"/>
  <c r="T3618" i="1"/>
  <c r="U3618" i="1"/>
  <c r="BB3618" i="1"/>
  <c r="BD3618" i="1"/>
  <c r="CE3618" i="1"/>
  <c r="A3619" i="1"/>
  <c r="C3619" i="1"/>
  <c r="E3619" i="1"/>
  <c r="S3619" i="1"/>
  <c r="T3619" i="1"/>
  <c r="U3619" i="1"/>
  <c r="BB3619" i="1"/>
  <c r="BD3619" i="1"/>
  <c r="CE3619" i="1"/>
  <c r="A3620" i="1"/>
  <c r="C3620" i="1"/>
  <c r="E3620" i="1"/>
  <c r="S3620" i="1"/>
  <c r="T3620" i="1"/>
  <c r="U3620" i="1"/>
  <c r="BB3620" i="1"/>
  <c r="BD3620" i="1"/>
  <c r="CE3620" i="1"/>
  <c r="A3621" i="1"/>
  <c r="C3621" i="1"/>
  <c r="E3621" i="1"/>
  <c r="S3621" i="1"/>
  <c r="T3621" i="1"/>
  <c r="U3621" i="1"/>
  <c r="BB3621" i="1"/>
  <c r="BD3621" i="1"/>
  <c r="CE3621" i="1"/>
  <c r="A3622" i="1"/>
  <c r="C3622" i="1"/>
  <c r="E3622" i="1"/>
  <c r="S3622" i="1"/>
  <c r="T3622" i="1"/>
  <c r="U3622" i="1"/>
  <c r="BB3622" i="1"/>
  <c r="BD3622" i="1"/>
  <c r="CE3622" i="1"/>
  <c r="A3623" i="1"/>
  <c r="C3623" i="1"/>
  <c r="E3623" i="1"/>
  <c r="S3623" i="1"/>
  <c r="T3623" i="1"/>
  <c r="U3623" i="1"/>
  <c r="BB3623" i="1"/>
  <c r="BD3623" i="1"/>
  <c r="CE3623" i="1"/>
  <c r="A3624" i="1"/>
  <c r="C3624" i="1"/>
  <c r="E3624" i="1"/>
  <c r="S3624" i="1"/>
  <c r="T3624" i="1"/>
  <c r="U3624" i="1"/>
  <c r="BB3624" i="1"/>
  <c r="BD3624" i="1"/>
  <c r="CE3624" i="1"/>
  <c r="A3625" i="1"/>
  <c r="C3625" i="1"/>
  <c r="E3625" i="1"/>
  <c r="S3625" i="1"/>
  <c r="T3625" i="1"/>
  <c r="U3625" i="1"/>
  <c r="BB3625" i="1"/>
  <c r="BD3625" i="1"/>
  <c r="CE3625" i="1"/>
  <c r="A3626" i="1"/>
  <c r="C3626" i="1"/>
  <c r="E3626" i="1"/>
  <c r="S3626" i="1"/>
  <c r="T3626" i="1"/>
  <c r="U3626" i="1"/>
  <c r="BB3626" i="1"/>
  <c r="BD3626" i="1"/>
  <c r="CE3626" i="1"/>
  <c r="A3627" i="1"/>
  <c r="C3627" i="1"/>
  <c r="E3627" i="1"/>
  <c r="S3627" i="1"/>
  <c r="T3627" i="1"/>
  <c r="U3627" i="1"/>
  <c r="BB3627" i="1"/>
  <c r="BD3627" i="1"/>
  <c r="CE3627" i="1"/>
  <c r="A3628" i="1"/>
  <c r="C3628" i="1"/>
  <c r="E3628" i="1"/>
  <c r="S3628" i="1"/>
  <c r="T3628" i="1"/>
  <c r="U3628" i="1"/>
  <c r="BB3628" i="1"/>
  <c r="BD3628" i="1"/>
  <c r="CE3628" i="1"/>
  <c r="A3629" i="1"/>
  <c r="C3629" i="1"/>
  <c r="E3629" i="1"/>
  <c r="S3629" i="1"/>
  <c r="T3629" i="1"/>
  <c r="U3629" i="1"/>
  <c r="BB3629" i="1"/>
  <c r="BD3629" i="1"/>
  <c r="CE3629" i="1"/>
  <c r="A3630" i="1"/>
  <c r="C3630" i="1"/>
  <c r="E3630" i="1"/>
  <c r="S3630" i="1"/>
  <c r="T3630" i="1"/>
  <c r="U3630" i="1"/>
  <c r="BB3630" i="1"/>
  <c r="BD3630" i="1"/>
  <c r="CE3630" i="1"/>
  <c r="A3631" i="1"/>
  <c r="C3631" i="1"/>
  <c r="E3631" i="1"/>
  <c r="S3631" i="1"/>
  <c r="T3631" i="1"/>
  <c r="U3631" i="1"/>
  <c r="BB3631" i="1"/>
  <c r="BD3631" i="1"/>
  <c r="CE3631" i="1"/>
  <c r="A3632" i="1"/>
  <c r="C3632" i="1"/>
  <c r="E3632" i="1"/>
  <c r="S3632" i="1"/>
  <c r="T3632" i="1"/>
  <c r="U3632" i="1"/>
  <c r="BB3632" i="1"/>
  <c r="BD3632" i="1"/>
  <c r="CE3632" i="1"/>
  <c r="A3633" i="1"/>
  <c r="C3633" i="1"/>
  <c r="E3633" i="1"/>
  <c r="S3633" i="1"/>
  <c r="T3633" i="1"/>
  <c r="U3633" i="1"/>
  <c r="BB3633" i="1"/>
  <c r="BD3633" i="1"/>
  <c r="CE3633" i="1"/>
  <c r="A3634" i="1"/>
  <c r="C3634" i="1"/>
  <c r="E3634" i="1"/>
  <c r="S3634" i="1"/>
  <c r="T3634" i="1"/>
  <c r="U3634" i="1"/>
  <c r="BB3634" i="1"/>
  <c r="BD3634" i="1"/>
  <c r="CE3634" i="1"/>
  <c r="A3635" i="1"/>
  <c r="C3635" i="1"/>
  <c r="E3635" i="1"/>
  <c r="S3635" i="1"/>
  <c r="T3635" i="1"/>
  <c r="U3635" i="1"/>
  <c r="BB3635" i="1"/>
  <c r="BD3635" i="1"/>
  <c r="CE3635" i="1"/>
  <c r="A3636" i="1"/>
  <c r="C3636" i="1"/>
  <c r="E3636" i="1"/>
  <c r="S3636" i="1"/>
  <c r="T3636" i="1"/>
  <c r="U3636" i="1"/>
  <c r="BB3636" i="1"/>
  <c r="BD3636" i="1"/>
  <c r="CE3636" i="1"/>
  <c r="A3637" i="1"/>
  <c r="C3637" i="1"/>
  <c r="E3637" i="1"/>
  <c r="S3637" i="1"/>
  <c r="T3637" i="1"/>
  <c r="U3637" i="1"/>
  <c r="BB3637" i="1"/>
  <c r="BD3637" i="1"/>
  <c r="CE3637" i="1"/>
  <c r="A3638" i="1"/>
  <c r="C3638" i="1"/>
  <c r="E3638" i="1"/>
  <c r="S3638" i="1"/>
  <c r="T3638" i="1"/>
  <c r="U3638" i="1"/>
  <c r="BB3638" i="1"/>
  <c r="BD3638" i="1"/>
  <c r="CE3638" i="1"/>
  <c r="A3639" i="1"/>
  <c r="C3639" i="1"/>
  <c r="E3639" i="1"/>
  <c r="S3639" i="1"/>
  <c r="T3639" i="1"/>
  <c r="U3639" i="1"/>
  <c r="BB3639" i="1"/>
  <c r="BD3639" i="1"/>
  <c r="CE3639" i="1"/>
  <c r="A3640" i="1"/>
  <c r="C3640" i="1"/>
  <c r="E3640" i="1"/>
  <c r="S3640" i="1"/>
  <c r="T3640" i="1"/>
  <c r="U3640" i="1"/>
  <c r="BB3640" i="1"/>
  <c r="BD3640" i="1"/>
  <c r="CE3640" i="1"/>
  <c r="A3641" i="1"/>
  <c r="C3641" i="1"/>
  <c r="E3641" i="1"/>
  <c r="S3641" i="1"/>
  <c r="T3641" i="1"/>
  <c r="U3641" i="1"/>
  <c r="BB3641" i="1"/>
  <c r="BD3641" i="1"/>
  <c r="CE3641" i="1"/>
  <c r="A3642" i="1"/>
  <c r="C3642" i="1"/>
  <c r="E3642" i="1"/>
  <c r="S3642" i="1"/>
  <c r="T3642" i="1"/>
  <c r="U3642" i="1"/>
  <c r="BB3642" i="1"/>
  <c r="BD3642" i="1"/>
  <c r="CE3642" i="1"/>
  <c r="A3643" i="1"/>
  <c r="C3643" i="1"/>
  <c r="E3643" i="1"/>
  <c r="S3643" i="1"/>
  <c r="T3643" i="1"/>
  <c r="U3643" i="1"/>
  <c r="BB3643" i="1"/>
  <c r="BD3643" i="1"/>
  <c r="CE3643" i="1"/>
  <c r="A3644" i="1"/>
  <c r="C3644" i="1"/>
  <c r="E3644" i="1"/>
  <c r="S3644" i="1"/>
  <c r="T3644" i="1"/>
  <c r="U3644" i="1"/>
  <c r="BB3644" i="1"/>
  <c r="BD3644" i="1"/>
  <c r="CE3644" i="1"/>
  <c r="A3645" i="1"/>
  <c r="C3645" i="1"/>
  <c r="E3645" i="1"/>
  <c r="S3645" i="1"/>
  <c r="T3645" i="1"/>
  <c r="U3645" i="1"/>
  <c r="BB3645" i="1"/>
  <c r="BD3645" i="1"/>
  <c r="CE3645" i="1"/>
  <c r="A3646" i="1"/>
  <c r="C3646" i="1"/>
  <c r="E3646" i="1"/>
  <c r="S3646" i="1"/>
  <c r="T3646" i="1"/>
  <c r="U3646" i="1"/>
  <c r="BB3646" i="1"/>
  <c r="BD3646" i="1"/>
  <c r="CE3646" i="1"/>
  <c r="A3647" i="1"/>
  <c r="C3647" i="1"/>
  <c r="E3647" i="1"/>
  <c r="S3647" i="1"/>
  <c r="T3647" i="1"/>
  <c r="U3647" i="1"/>
  <c r="BB3647" i="1"/>
  <c r="BD3647" i="1"/>
  <c r="CE3647" i="1"/>
  <c r="A3648" i="1"/>
  <c r="C3648" i="1"/>
  <c r="E3648" i="1"/>
  <c r="S3648" i="1"/>
  <c r="T3648" i="1"/>
  <c r="U3648" i="1"/>
  <c r="BB3648" i="1"/>
  <c r="BD3648" i="1"/>
  <c r="CE3648" i="1"/>
  <c r="A3649" i="1"/>
  <c r="C3649" i="1"/>
  <c r="E3649" i="1"/>
  <c r="S3649" i="1"/>
  <c r="T3649" i="1"/>
  <c r="U3649" i="1"/>
  <c r="BB3649" i="1"/>
  <c r="BD3649" i="1"/>
  <c r="CE3649" i="1"/>
  <c r="A3650" i="1"/>
  <c r="C3650" i="1"/>
  <c r="E3650" i="1"/>
  <c r="S3650" i="1"/>
  <c r="T3650" i="1"/>
  <c r="U3650" i="1"/>
  <c r="BB3650" i="1"/>
  <c r="BD3650" i="1"/>
  <c r="CE3650" i="1"/>
  <c r="A3651" i="1"/>
  <c r="C3651" i="1"/>
  <c r="E3651" i="1"/>
  <c r="S3651" i="1"/>
  <c r="T3651" i="1"/>
  <c r="U3651" i="1"/>
  <c r="BB3651" i="1"/>
  <c r="BD3651" i="1"/>
  <c r="CE3651" i="1"/>
  <c r="A3652" i="1"/>
  <c r="C3652" i="1"/>
  <c r="E3652" i="1"/>
  <c r="S3652" i="1"/>
  <c r="T3652" i="1"/>
  <c r="U3652" i="1"/>
  <c r="BB3652" i="1"/>
  <c r="BD3652" i="1"/>
  <c r="CE3652" i="1"/>
  <c r="A3653" i="1"/>
  <c r="C3653" i="1"/>
  <c r="E3653" i="1"/>
  <c r="S3653" i="1"/>
  <c r="T3653" i="1"/>
  <c r="U3653" i="1"/>
  <c r="BB3653" i="1"/>
  <c r="BD3653" i="1"/>
  <c r="CE3653" i="1"/>
  <c r="A3654" i="1"/>
  <c r="C3654" i="1"/>
  <c r="E3654" i="1"/>
  <c r="S3654" i="1"/>
  <c r="T3654" i="1"/>
  <c r="U3654" i="1"/>
  <c r="BB3654" i="1"/>
  <c r="BD3654" i="1"/>
  <c r="CE3654" i="1"/>
  <c r="A3655" i="1"/>
  <c r="C3655" i="1"/>
  <c r="E3655" i="1"/>
  <c r="S3655" i="1"/>
  <c r="T3655" i="1"/>
  <c r="U3655" i="1"/>
  <c r="BB3655" i="1"/>
  <c r="BD3655" i="1"/>
  <c r="CE3655" i="1"/>
  <c r="A3656" i="1"/>
  <c r="C3656" i="1"/>
  <c r="E3656" i="1"/>
  <c r="S3656" i="1"/>
  <c r="T3656" i="1"/>
  <c r="U3656" i="1"/>
  <c r="BB3656" i="1"/>
  <c r="BD3656" i="1"/>
  <c r="CE3656" i="1"/>
  <c r="A3657" i="1"/>
  <c r="C3657" i="1"/>
  <c r="E3657" i="1"/>
  <c r="S3657" i="1"/>
  <c r="T3657" i="1"/>
  <c r="U3657" i="1"/>
  <c r="BB3657" i="1"/>
  <c r="BD3657" i="1"/>
  <c r="CE3657" i="1"/>
  <c r="A3658" i="1"/>
  <c r="C3658" i="1"/>
  <c r="E3658" i="1"/>
  <c r="S3658" i="1"/>
  <c r="T3658" i="1"/>
  <c r="U3658" i="1"/>
  <c r="BB3658" i="1"/>
  <c r="BD3658" i="1"/>
  <c r="CE3658" i="1"/>
  <c r="A3659" i="1"/>
  <c r="C3659" i="1"/>
  <c r="E3659" i="1"/>
  <c r="S3659" i="1"/>
  <c r="T3659" i="1"/>
  <c r="U3659" i="1"/>
  <c r="BB3659" i="1"/>
  <c r="BD3659" i="1"/>
  <c r="CE3659" i="1"/>
  <c r="A3660" i="1"/>
  <c r="C3660" i="1"/>
  <c r="E3660" i="1"/>
  <c r="S3660" i="1"/>
  <c r="T3660" i="1"/>
  <c r="U3660" i="1"/>
  <c r="BB3660" i="1"/>
  <c r="BD3660" i="1"/>
  <c r="CE3660" i="1"/>
  <c r="A3661" i="1"/>
  <c r="C3661" i="1"/>
  <c r="E3661" i="1"/>
  <c r="S3661" i="1"/>
  <c r="T3661" i="1"/>
  <c r="U3661" i="1"/>
  <c r="BB3661" i="1"/>
  <c r="BD3661" i="1"/>
  <c r="CE3661" i="1"/>
  <c r="A3662" i="1"/>
  <c r="C3662" i="1"/>
  <c r="E3662" i="1"/>
  <c r="S3662" i="1"/>
  <c r="T3662" i="1"/>
  <c r="U3662" i="1"/>
  <c r="BB3662" i="1"/>
  <c r="BD3662" i="1"/>
  <c r="CE3662" i="1"/>
  <c r="A3663" i="1"/>
  <c r="C3663" i="1"/>
  <c r="E3663" i="1"/>
  <c r="S3663" i="1"/>
  <c r="T3663" i="1"/>
  <c r="U3663" i="1"/>
  <c r="BB3663" i="1"/>
  <c r="BD3663" i="1"/>
  <c r="CE3663" i="1"/>
  <c r="A3664" i="1"/>
  <c r="C3664" i="1"/>
  <c r="E3664" i="1"/>
  <c r="S3664" i="1"/>
  <c r="T3664" i="1"/>
  <c r="U3664" i="1"/>
  <c r="BB3664" i="1"/>
  <c r="BD3664" i="1"/>
  <c r="CE3664" i="1"/>
  <c r="A3665" i="1"/>
  <c r="C3665" i="1"/>
  <c r="E3665" i="1"/>
  <c r="S3665" i="1"/>
  <c r="T3665" i="1"/>
  <c r="U3665" i="1"/>
  <c r="BB3665" i="1"/>
  <c r="BD3665" i="1"/>
  <c r="CE3665" i="1"/>
  <c r="A3666" i="1"/>
  <c r="C3666" i="1"/>
  <c r="E3666" i="1"/>
  <c r="S3666" i="1"/>
  <c r="T3666" i="1"/>
  <c r="U3666" i="1"/>
  <c r="BB3666" i="1"/>
  <c r="BD3666" i="1"/>
  <c r="CE3666" i="1"/>
  <c r="A3667" i="1"/>
  <c r="C3667" i="1"/>
  <c r="E3667" i="1"/>
  <c r="S3667" i="1"/>
  <c r="T3667" i="1"/>
  <c r="U3667" i="1"/>
  <c r="BB3667" i="1"/>
  <c r="BD3667" i="1"/>
  <c r="CE3667" i="1"/>
  <c r="A3668" i="1"/>
  <c r="C3668" i="1"/>
  <c r="E3668" i="1"/>
  <c r="S3668" i="1"/>
  <c r="T3668" i="1"/>
  <c r="U3668" i="1"/>
  <c r="BB3668" i="1"/>
  <c r="BD3668" i="1"/>
  <c r="CE3668" i="1"/>
  <c r="A3669" i="1"/>
  <c r="C3669" i="1"/>
  <c r="E3669" i="1"/>
  <c r="S3669" i="1"/>
  <c r="T3669" i="1"/>
  <c r="U3669" i="1"/>
  <c r="BB3669" i="1"/>
  <c r="BD3669" i="1"/>
  <c r="CE3669" i="1"/>
  <c r="A3670" i="1"/>
  <c r="C3670" i="1"/>
  <c r="E3670" i="1"/>
  <c r="S3670" i="1"/>
  <c r="T3670" i="1"/>
  <c r="U3670" i="1"/>
  <c r="BB3670" i="1"/>
  <c r="BD3670" i="1"/>
  <c r="CE3670" i="1"/>
  <c r="A3671" i="1"/>
  <c r="C3671" i="1"/>
  <c r="E3671" i="1"/>
  <c r="S3671" i="1"/>
  <c r="T3671" i="1"/>
  <c r="U3671" i="1"/>
  <c r="BB3671" i="1"/>
  <c r="BD3671" i="1"/>
  <c r="CE3671" i="1"/>
  <c r="A3672" i="1"/>
  <c r="C3672" i="1"/>
  <c r="E3672" i="1"/>
  <c r="S3672" i="1"/>
  <c r="T3672" i="1"/>
  <c r="U3672" i="1"/>
  <c r="BB3672" i="1"/>
  <c r="BD3672" i="1"/>
  <c r="CE3672" i="1"/>
  <c r="A3673" i="1"/>
  <c r="C3673" i="1"/>
  <c r="E3673" i="1"/>
  <c r="S3673" i="1"/>
  <c r="T3673" i="1"/>
  <c r="U3673" i="1"/>
  <c r="BB3673" i="1"/>
  <c r="BD3673" i="1"/>
  <c r="CE3673" i="1"/>
  <c r="A3674" i="1"/>
  <c r="C3674" i="1"/>
  <c r="E3674" i="1"/>
  <c r="S3674" i="1"/>
  <c r="T3674" i="1"/>
  <c r="U3674" i="1"/>
  <c r="BB3674" i="1"/>
  <c r="BD3674" i="1"/>
  <c r="CE3674" i="1"/>
  <c r="A3675" i="1"/>
  <c r="C3675" i="1"/>
  <c r="E3675" i="1"/>
  <c r="S3675" i="1"/>
  <c r="T3675" i="1"/>
  <c r="U3675" i="1"/>
  <c r="BB3675" i="1"/>
  <c r="BD3675" i="1"/>
  <c r="CE3675" i="1"/>
  <c r="A3676" i="1"/>
  <c r="C3676" i="1"/>
  <c r="E3676" i="1"/>
  <c r="S3676" i="1"/>
  <c r="T3676" i="1"/>
  <c r="U3676" i="1"/>
  <c r="BB3676" i="1"/>
  <c r="BD3676" i="1"/>
  <c r="CE3676" i="1"/>
  <c r="A3677" i="1"/>
  <c r="C3677" i="1"/>
  <c r="E3677" i="1"/>
  <c r="S3677" i="1"/>
  <c r="T3677" i="1"/>
  <c r="U3677" i="1"/>
  <c r="BB3677" i="1"/>
  <c r="BD3677" i="1"/>
  <c r="CE3677" i="1"/>
  <c r="A3678" i="1"/>
  <c r="C3678" i="1"/>
  <c r="E3678" i="1"/>
  <c r="S3678" i="1"/>
  <c r="T3678" i="1"/>
  <c r="U3678" i="1"/>
  <c r="BB3678" i="1"/>
  <c r="BD3678" i="1"/>
  <c r="CE3678" i="1"/>
  <c r="A3679" i="1"/>
  <c r="C3679" i="1"/>
  <c r="E3679" i="1"/>
  <c r="S3679" i="1"/>
  <c r="T3679" i="1"/>
  <c r="U3679" i="1"/>
  <c r="BB3679" i="1"/>
  <c r="BD3679" i="1"/>
  <c r="CE3679" i="1"/>
  <c r="A3680" i="1"/>
  <c r="C3680" i="1"/>
  <c r="E3680" i="1"/>
  <c r="S3680" i="1"/>
  <c r="T3680" i="1"/>
  <c r="U3680" i="1"/>
  <c r="BB3680" i="1"/>
  <c r="BD3680" i="1"/>
  <c r="CE3680" i="1"/>
  <c r="A3681" i="1"/>
  <c r="C3681" i="1"/>
  <c r="E3681" i="1"/>
  <c r="S3681" i="1"/>
  <c r="T3681" i="1"/>
  <c r="U3681" i="1"/>
  <c r="BB3681" i="1"/>
  <c r="BD3681" i="1"/>
  <c r="CE3681" i="1"/>
  <c r="A3682" i="1"/>
  <c r="C3682" i="1"/>
  <c r="E3682" i="1"/>
  <c r="S3682" i="1"/>
  <c r="T3682" i="1"/>
  <c r="U3682" i="1"/>
  <c r="BB3682" i="1"/>
  <c r="BD3682" i="1"/>
  <c r="CE3682" i="1"/>
  <c r="A3683" i="1"/>
  <c r="C3683" i="1"/>
  <c r="E3683" i="1"/>
  <c r="S3683" i="1"/>
  <c r="T3683" i="1"/>
  <c r="U3683" i="1"/>
  <c r="BB3683" i="1"/>
  <c r="BD3683" i="1"/>
  <c r="CE3683" i="1"/>
  <c r="A3684" i="1"/>
  <c r="C3684" i="1"/>
  <c r="E3684" i="1"/>
  <c r="S3684" i="1"/>
  <c r="T3684" i="1"/>
  <c r="U3684" i="1"/>
  <c r="BB3684" i="1"/>
  <c r="BD3684" i="1"/>
  <c r="CE3684" i="1"/>
  <c r="A3685" i="1"/>
  <c r="C3685" i="1"/>
  <c r="E3685" i="1"/>
  <c r="S3685" i="1"/>
  <c r="T3685" i="1"/>
  <c r="U3685" i="1"/>
  <c r="BB3685" i="1"/>
  <c r="BD3685" i="1"/>
  <c r="CE3685" i="1"/>
  <c r="A3686" i="1"/>
  <c r="C3686" i="1"/>
  <c r="E3686" i="1"/>
  <c r="S3686" i="1"/>
  <c r="T3686" i="1"/>
  <c r="U3686" i="1"/>
  <c r="BB3686" i="1"/>
  <c r="BD3686" i="1"/>
  <c r="CE3686" i="1"/>
  <c r="A3687" i="1"/>
  <c r="C3687" i="1"/>
  <c r="E3687" i="1"/>
  <c r="S3687" i="1"/>
  <c r="T3687" i="1"/>
  <c r="U3687" i="1"/>
  <c r="BB3687" i="1"/>
  <c r="BD3687" i="1"/>
  <c r="CE3687" i="1"/>
  <c r="A3688" i="1"/>
  <c r="C3688" i="1"/>
  <c r="E3688" i="1"/>
  <c r="S3688" i="1"/>
  <c r="T3688" i="1"/>
  <c r="U3688" i="1"/>
  <c r="BB3688" i="1"/>
  <c r="BD3688" i="1"/>
  <c r="CE3688" i="1"/>
  <c r="A3689" i="1"/>
  <c r="C3689" i="1"/>
  <c r="E3689" i="1"/>
  <c r="S3689" i="1"/>
  <c r="T3689" i="1"/>
  <c r="U3689" i="1"/>
  <c r="BB3689" i="1"/>
  <c r="BD3689" i="1"/>
  <c r="CE3689" i="1"/>
  <c r="A3690" i="1"/>
  <c r="C3690" i="1"/>
  <c r="E3690" i="1"/>
  <c r="S3690" i="1"/>
  <c r="T3690" i="1"/>
  <c r="U3690" i="1"/>
  <c r="BB3690" i="1"/>
  <c r="BD3690" i="1"/>
  <c r="CE3690" i="1"/>
  <c r="A3691" i="1"/>
  <c r="C3691" i="1"/>
  <c r="E3691" i="1"/>
  <c r="S3691" i="1"/>
  <c r="T3691" i="1"/>
  <c r="U3691" i="1"/>
  <c r="BB3691" i="1"/>
  <c r="BD3691" i="1"/>
  <c r="CE3691" i="1"/>
  <c r="A3692" i="1"/>
  <c r="C3692" i="1"/>
  <c r="E3692" i="1"/>
  <c r="S3692" i="1"/>
  <c r="T3692" i="1"/>
  <c r="U3692" i="1"/>
  <c r="BB3692" i="1"/>
  <c r="BD3692" i="1"/>
  <c r="CE3692" i="1"/>
  <c r="A3693" i="1"/>
  <c r="C3693" i="1"/>
  <c r="E3693" i="1"/>
  <c r="S3693" i="1"/>
  <c r="T3693" i="1"/>
  <c r="U3693" i="1"/>
  <c r="BB3693" i="1"/>
  <c r="BD3693" i="1"/>
  <c r="CE3693" i="1"/>
  <c r="A3694" i="1"/>
  <c r="C3694" i="1"/>
  <c r="E3694" i="1"/>
  <c r="S3694" i="1"/>
  <c r="T3694" i="1"/>
  <c r="U3694" i="1"/>
  <c r="BB3694" i="1"/>
  <c r="BD3694" i="1"/>
  <c r="CE3694" i="1"/>
  <c r="A3695" i="1"/>
  <c r="C3695" i="1"/>
  <c r="E3695" i="1"/>
  <c r="S3695" i="1"/>
  <c r="T3695" i="1"/>
  <c r="U3695" i="1"/>
  <c r="BB3695" i="1"/>
  <c r="BD3695" i="1"/>
  <c r="CE3695" i="1"/>
  <c r="A3696" i="1"/>
  <c r="C3696" i="1"/>
  <c r="E3696" i="1"/>
  <c r="S3696" i="1"/>
  <c r="T3696" i="1"/>
  <c r="U3696" i="1"/>
  <c r="BB3696" i="1"/>
  <c r="BD3696" i="1"/>
  <c r="CE3696" i="1"/>
  <c r="A3697" i="1"/>
  <c r="C3697" i="1"/>
  <c r="E3697" i="1"/>
  <c r="S3697" i="1"/>
  <c r="T3697" i="1"/>
  <c r="U3697" i="1"/>
  <c r="BB3697" i="1"/>
  <c r="BD3697" i="1"/>
  <c r="CE3697" i="1"/>
  <c r="A3698" i="1"/>
  <c r="C3698" i="1"/>
  <c r="E3698" i="1"/>
  <c r="S3698" i="1"/>
  <c r="T3698" i="1"/>
  <c r="U3698" i="1"/>
  <c r="BB3698" i="1"/>
  <c r="BD3698" i="1"/>
  <c r="CE3698" i="1"/>
  <c r="A3699" i="1"/>
  <c r="C3699" i="1"/>
  <c r="E3699" i="1"/>
  <c r="S3699" i="1"/>
  <c r="T3699" i="1"/>
  <c r="U3699" i="1"/>
  <c r="BB3699" i="1"/>
  <c r="BD3699" i="1"/>
  <c r="CE3699" i="1"/>
  <c r="A3700" i="1"/>
  <c r="C3700" i="1"/>
  <c r="E3700" i="1"/>
  <c r="S3700" i="1"/>
  <c r="T3700" i="1"/>
  <c r="U3700" i="1"/>
  <c r="BB3700" i="1"/>
  <c r="BD3700" i="1"/>
  <c r="CE3700" i="1"/>
  <c r="A3701" i="1"/>
  <c r="C3701" i="1"/>
  <c r="E3701" i="1"/>
  <c r="S3701" i="1"/>
  <c r="T3701" i="1"/>
  <c r="U3701" i="1"/>
  <c r="BB3701" i="1"/>
  <c r="BD3701" i="1"/>
  <c r="CE3701" i="1"/>
  <c r="A3702" i="1"/>
  <c r="C3702" i="1"/>
  <c r="E3702" i="1"/>
  <c r="S3702" i="1"/>
  <c r="T3702" i="1"/>
  <c r="U3702" i="1"/>
  <c r="BB3702" i="1"/>
  <c r="BD3702" i="1"/>
  <c r="CE3702" i="1"/>
  <c r="A3703" i="1"/>
  <c r="C3703" i="1"/>
  <c r="E3703" i="1"/>
  <c r="S3703" i="1"/>
  <c r="T3703" i="1"/>
  <c r="U3703" i="1"/>
  <c r="BB3703" i="1"/>
  <c r="BD3703" i="1"/>
  <c r="CE3703" i="1"/>
  <c r="A3704" i="1"/>
  <c r="C3704" i="1"/>
  <c r="E3704" i="1"/>
  <c r="S3704" i="1"/>
  <c r="T3704" i="1"/>
  <c r="U3704" i="1"/>
  <c r="BB3704" i="1"/>
  <c r="BD3704" i="1"/>
  <c r="CE3704" i="1"/>
  <c r="A3705" i="1"/>
  <c r="C3705" i="1"/>
  <c r="E3705" i="1"/>
  <c r="S3705" i="1"/>
  <c r="T3705" i="1"/>
  <c r="U3705" i="1"/>
  <c r="BB3705" i="1"/>
  <c r="BD3705" i="1"/>
  <c r="CE3705" i="1"/>
  <c r="A3706" i="1"/>
  <c r="C3706" i="1"/>
  <c r="E3706" i="1"/>
  <c r="S3706" i="1"/>
  <c r="T3706" i="1"/>
  <c r="U3706" i="1"/>
  <c r="BB3706" i="1"/>
  <c r="BD3706" i="1"/>
  <c r="CE3706" i="1"/>
  <c r="A3707" i="1"/>
  <c r="C3707" i="1"/>
  <c r="E3707" i="1"/>
  <c r="S3707" i="1"/>
  <c r="T3707" i="1"/>
  <c r="U3707" i="1"/>
  <c r="BB3707" i="1"/>
  <c r="BD3707" i="1"/>
  <c r="CE3707" i="1"/>
  <c r="A3708" i="1"/>
  <c r="C3708" i="1"/>
  <c r="E3708" i="1"/>
  <c r="S3708" i="1"/>
  <c r="T3708" i="1"/>
  <c r="U3708" i="1"/>
  <c r="BB3708" i="1"/>
  <c r="BD3708" i="1"/>
  <c r="CE3708" i="1"/>
  <c r="A3709" i="1"/>
  <c r="C3709" i="1"/>
  <c r="E3709" i="1"/>
  <c r="S3709" i="1"/>
  <c r="T3709" i="1"/>
  <c r="U3709" i="1"/>
  <c r="BB3709" i="1"/>
  <c r="BD3709" i="1"/>
  <c r="CE3709" i="1"/>
  <c r="A3710" i="1"/>
  <c r="C3710" i="1"/>
  <c r="E3710" i="1"/>
  <c r="S3710" i="1"/>
  <c r="T3710" i="1"/>
  <c r="U3710" i="1"/>
  <c r="BB3710" i="1"/>
  <c r="BD3710" i="1"/>
  <c r="CE3710" i="1"/>
  <c r="A3711" i="1"/>
  <c r="C3711" i="1"/>
  <c r="E3711" i="1"/>
  <c r="S3711" i="1"/>
  <c r="T3711" i="1"/>
  <c r="U3711" i="1"/>
  <c r="BB3711" i="1"/>
  <c r="BD3711" i="1"/>
  <c r="CE3711" i="1"/>
  <c r="A3712" i="1"/>
  <c r="C3712" i="1"/>
  <c r="E3712" i="1"/>
  <c r="S3712" i="1"/>
  <c r="T3712" i="1"/>
  <c r="U3712" i="1"/>
  <c r="BB3712" i="1"/>
  <c r="BD3712" i="1"/>
  <c r="CE3712" i="1"/>
  <c r="A3713" i="1"/>
  <c r="C3713" i="1"/>
  <c r="E3713" i="1"/>
  <c r="S3713" i="1"/>
  <c r="T3713" i="1"/>
  <c r="U3713" i="1"/>
  <c r="BB3713" i="1"/>
  <c r="BD3713" i="1"/>
  <c r="CE3713" i="1"/>
  <c r="A3714" i="1"/>
  <c r="C3714" i="1"/>
  <c r="E3714" i="1"/>
  <c r="S3714" i="1"/>
  <c r="T3714" i="1"/>
  <c r="U3714" i="1"/>
  <c r="BB3714" i="1"/>
  <c r="BD3714" i="1"/>
  <c r="CE3714" i="1"/>
  <c r="A3715" i="1"/>
  <c r="C3715" i="1"/>
  <c r="E3715" i="1"/>
  <c r="S3715" i="1"/>
  <c r="T3715" i="1"/>
  <c r="U3715" i="1"/>
  <c r="BB3715" i="1"/>
  <c r="BD3715" i="1"/>
  <c r="CE3715" i="1"/>
  <c r="A3716" i="1"/>
  <c r="C3716" i="1"/>
  <c r="E3716" i="1"/>
  <c r="S3716" i="1"/>
  <c r="T3716" i="1"/>
  <c r="U3716" i="1"/>
  <c r="BB3716" i="1"/>
  <c r="BD3716" i="1"/>
  <c r="CE3716" i="1"/>
  <c r="A3717" i="1"/>
  <c r="C3717" i="1"/>
  <c r="E3717" i="1"/>
  <c r="S3717" i="1"/>
  <c r="T3717" i="1"/>
  <c r="U3717" i="1"/>
  <c r="BB3717" i="1"/>
  <c r="BD3717" i="1"/>
  <c r="CE3717" i="1"/>
  <c r="A3718" i="1"/>
  <c r="C3718" i="1"/>
  <c r="E3718" i="1"/>
  <c r="S3718" i="1"/>
  <c r="T3718" i="1"/>
  <c r="U3718" i="1"/>
  <c r="BB3718" i="1"/>
  <c r="BD3718" i="1"/>
  <c r="CE3718" i="1"/>
  <c r="A3719" i="1"/>
  <c r="C3719" i="1"/>
  <c r="E3719" i="1"/>
  <c r="S3719" i="1"/>
  <c r="T3719" i="1"/>
  <c r="U3719" i="1"/>
  <c r="BB3719" i="1"/>
  <c r="BD3719" i="1"/>
  <c r="CE3719" i="1"/>
  <c r="A3720" i="1"/>
  <c r="C3720" i="1"/>
  <c r="E3720" i="1"/>
  <c r="S3720" i="1"/>
  <c r="T3720" i="1"/>
  <c r="U3720" i="1"/>
  <c r="BB3720" i="1"/>
  <c r="BD3720" i="1"/>
  <c r="CE3720" i="1"/>
  <c r="A3721" i="1"/>
  <c r="C3721" i="1"/>
  <c r="E3721" i="1"/>
  <c r="S3721" i="1"/>
  <c r="T3721" i="1"/>
  <c r="U3721" i="1"/>
  <c r="BB3721" i="1"/>
  <c r="BD3721" i="1"/>
  <c r="CE3721" i="1"/>
  <c r="A3722" i="1"/>
  <c r="C3722" i="1"/>
  <c r="E3722" i="1"/>
  <c r="S3722" i="1"/>
  <c r="T3722" i="1"/>
  <c r="U3722" i="1"/>
  <c r="BB3722" i="1"/>
  <c r="BD3722" i="1"/>
  <c r="CE3722" i="1"/>
  <c r="A3723" i="1"/>
  <c r="C3723" i="1"/>
  <c r="E3723" i="1"/>
  <c r="S3723" i="1"/>
  <c r="T3723" i="1"/>
  <c r="U3723" i="1"/>
  <c r="BB3723" i="1"/>
  <c r="BD3723" i="1"/>
  <c r="CE3723" i="1"/>
  <c r="A3724" i="1"/>
  <c r="C3724" i="1"/>
  <c r="E3724" i="1"/>
  <c r="S3724" i="1"/>
  <c r="T3724" i="1"/>
  <c r="U3724" i="1"/>
  <c r="BB3724" i="1"/>
  <c r="BD3724" i="1"/>
  <c r="CE3724" i="1"/>
  <c r="A3725" i="1"/>
  <c r="C3725" i="1"/>
  <c r="E3725" i="1"/>
  <c r="S3725" i="1"/>
  <c r="T3725" i="1"/>
  <c r="U3725" i="1"/>
  <c r="BB3725" i="1"/>
  <c r="BD3725" i="1"/>
  <c r="CE3725" i="1"/>
  <c r="A3726" i="1"/>
  <c r="C3726" i="1"/>
  <c r="E3726" i="1"/>
  <c r="S3726" i="1"/>
  <c r="T3726" i="1"/>
  <c r="U3726" i="1"/>
  <c r="BB3726" i="1"/>
  <c r="BD3726" i="1"/>
  <c r="CE3726" i="1"/>
  <c r="A3727" i="1"/>
  <c r="C3727" i="1"/>
  <c r="E3727" i="1"/>
  <c r="S3727" i="1"/>
  <c r="T3727" i="1"/>
  <c r="U3727" i="1"/>
  <c r="BB3727" i="1"/>
  <c r="BD3727" i="1"/>
  <c r="CE3727" i="1"/>
  <c r="A3728" i="1"/>
  <c r="C3728" i="1"/>
  <c r="E3728" i="1"/>
  <c r="S3728" i="1"/>
  <c r="T3728" i="1"/>
  <c r="U3728" i="1"/>
  <c r="BB3728" i="1"/>
  <c r="BD3728" i="1"/>
  <c r="CE3728" i="1"/>
  <c r="A3729" i="1"/>
  <c r="C3729" i="1"/>
  <c r="E3729" i="1"/>
  <c r="S3729" i="1"/>
  <c r="T3729" i="1"/>
  <c r="U3729" i="1"/>
  <c r="BB3729" i="1"/>
  <c r="BD3729" i="1"/>
  <c r="CE3729" i="1"/>
  <c r="A3730" i="1"/>
  <c r="C3730" i="1"/>
  <c r="E3730" i="1"/>
  <c r="S3730" i="1"/>
  <c r="T3730" i="1"/>
  <c r="U3730" i="1"/>
  <c r="BB3730" i="1"/>
  <c r="BD3730" i="1"/>
  <c r="CE3730" i="1"/>
  <c r="A3731" i="1"/>
  <c r="C3731" i="1"/>
  <c r="E3731" i="1"/>
  <c r="S3731" i="1"/>
  <c r="T3731" i="1"/>
  <c r="U3731" i="1"/>
  <c r="BB3731" i="1"/>
  <c r="BD3731" i="1"/>
  <c r="CE3731" i="1"/>
  <c r="A3732" i="1"/>
  <c r="C3732" i="1"/>
  <c r="E3732" i="1"/>
  <c r="S3732" i="1"/>
  <c r="T3732" i="1"/>
  <c r="U3732" i="1"/>
  <c r="BB3732" i="1"/>
  <c r="BD3732" i="1"/>
  <c r="CE3732" i="1"/>
  <c r="A3733" i="1"/>
  <c r="C3733" i="1"/>
  <c r="E3733" i="1"/>
  <c r="S3733" i="1"/>
  <c r="T3733" i="1"/>
  <c r="U3733" i="1"/>
  <c r="BB3733" i="1"/>
  <c r="BD3733" i="1"/>
  <c r="CE3733" i="1"/>
  <c r="A3734" i="1"/>
  <c r="C3734" i="1"/>
  <c r="E3734" i="1"/>
  <c r="S3734" i="1"/>
  <c r="T3734" i="1"/>
  <c r="U3734" i="1"/>
  <c r="BB3734" i="1"/>
  <c r="BD3734" i="1"/>
  <c r="CE3734" i="1"/>
  <c r="A3735" i="1"/>
  <c r="C3735" i="1"/>
  <c r="E3735" i="1"/>
  <c r="S3735" i="1"/>
  <c r="T3735" i="1"/>
  <c r="U3735" i="1"/>
  <c r="BB3735" i="1"/>
  <c r="BD3735" i="1"/>
  <c r="CE3735" i="1"/>
  <c r="A3736" i="1"/>
  <c r="C3736" i="1"/>
  <c r="E3736" i="1"/>
  <c r="S3736" i="1"/>
  <c r="T3736" i="1"/>
  <c r="U3736" i="1"/>
  <c r="BB3736" i="1"/>
  <c r="BD3736" i="1"/>
  <c r="CE3736" i="1"/>
  <c r="A3737" i="1"/>
  <c r="C3737" i="1"/>
  <c r="E3737" i="1"/>
  <c r="S3737" i="1"/>
  <c r="T3737" i="1"/>
  <c r="U3737" i="1"/>
  <c r="BB3737" i="1"/>
  <c r="BD3737" i="1"/>
  <c r="CE3737" i="1"/>
  <c r="A3738" i="1"/>
  <c r="C3738" i="1"/>
  <c r="E3738" i="1"/>
  <c r="S3738" i="1"/>
  <c r="T3738" i="1"/>
  <c r="U3738" i="1"/>
  <c r="BB3738" i="1"/>
  <c r="BD3738" i="1"/>
  <c r="CE3738" i="1"/>
  <c r="A3739" i="1"/>
  <c r="C3739" i="1"/>
  <c r="E3739" i="1"/>
  <c r="S3739" i="1"/>
  <c r="T3739" i="1"/>
  <c r="U3739" i="1"/>
  <c r="BB3739" i="1"/>
  <c r="BD3739" i="1"/>
  <c r="CE3739" i="1"/>
  <c r="A3740" i="1"/>
  <c r="C3740" i="1"/>
  <c r="E3740" i="1"/>
  <c r="S3740" i="1"/>
  <c r="T3740" i="1"/>
  <c r="U3740" i="1"/>
  <c r="BB3740" i="1"/>
  <c r="BD3740" i="1"/>
  <c r="CE3740" i="1"/>
  <c r="A3741" i="1"/>
  <c r="C3741" i="1"/>
  <c r="E3741" i="1"/>
  <c r="S3741" i="1"/>
  <c r="T3741" i="1"/>
  <c r="U3741" i="1"/>
  <c r="BB3741" i="1"/>
  <c r="BD3741" i="1"/>
  <c r="CE3741" i="1"/>
  <c r="A3742" i="1"/>
  <c r="C3742" i="1"/>
  <c r="E3742" i="1"/>
  <c r="S3742" i="1"/>
  <c r="T3742" i="1"/>
  <c r="U3742" i="1"/>
  <c r="BB3742" i="1"/>
  <c r="BD3742" i="1"/>
  <c r="CE3742" i="1"/>
  <c r="A3743" i="1"/>
  <c r="C3743" i="1"/>
  <c r="E3743" i="1"/>
  <c r="S3743" i="1"/>
  <c r="T3743" i="1"/>
  <c r="U3743" i="1"/>
  <c r="BB3743" i="1"/>
  <c r="BD3743" i="1"/>
  <c r="CE3743" i="1"/>
  <c r="A3744" i="1"/>
  <c r="C3744" i="1"/>
  <c r="E3744" i="1"/>
  <c r="S3744" i="1"/>
  <c r="T3744" i="1"/>
  <c r="U3744" i="1"/>
  <c r="BB3744" i="1"/>
  <c r="BD3744" i="1"/>
  <c r="CE3744" i="1"/>
  <c r="A3745" i="1"/>
  <c r="C3745" i="1"/>
  <c r="E3745" i="1"/>
  <c r="S3745" i="1"/>
  <c r="T3745" i="1"/>
  <c r="U3745" i="1"/>
  <c r="BB3745" i="1"/>
  <c r="BD3745" i="1"/>
  <c r="CE3745" i="1"/>
  <c r="A3746" i="1"/>
  <c r="C3746" i="1"/>
  <c r="E3746" i="1"/>
  <c r="S3746" i="1"/>
  <c r="T3746" i="1"/>
  <c r="U3746" i="1"/>
  <c r="BB3746" i="1"/>
  <c r="BD3746" i="1"/>
  <c r="CE3746" i="1"/>
  <c r="A3747" i="1"/>
  <c r="C3747" i="1"/>
  <c r="E3747" i="1"/>
  <c r="S3747" i="1"/>
  <c r="T3747" i="1"/>
  <c r="U3747" i="1"/>
  <c r="BB3747" i="1"/>
  <c r="BD3747" i="1"/>
  <c r="CE3747" i="1"/>
  <c r="A3748" i="1"/>
  <c r="C3748" i="1"/>
  <c r="E3748" i="1"/>
  <c r="S3748" i="1"/>
  <c r="T3748" i="1"/>
  <c r="U3748" i="1"/>
  <c r="BB3748" i="1"/>
  <c r="BD3748" i="1"/>
  <c r="CE3748" i="1"/>
  <c r="A3749" i="1"/>
  <c r="C3749" i="1"/>
  <c r="E3749" i="1"/>
  <c r="S3749" i="1"/>
  <c r="T3749" i="1"/>
  <c r="U3749" i="1"/>
  <c r="BB3749" i="1"/>
  <c r="BD3749" i="1"/>
  <c r="CE3749" i="1"/>
  <c r="A3750" i="1"/>
  <c r="C3750" i="1"/>
  <c r="E3750" i="1"/>
  <c r="S3750" i="1"/>
  <c r="T3750" i="1"/>
  <c r="U3750" i="1"/>
  <c r="BB3750" i="1"/>
  <c r="BD3750" i="1"/>
  <c r="CE3750" i="1"/>
  <c r="A3751" i="1"/>
  <c r="C3751" i="1"/>
  <c r="E3751" i="1"/>
  <c r="S3751" i="1"/>
  <c r="T3751" i="1"/>
  <c r="U3751" i="1"/>
  <c r="BB3751" i="1"/>
  <c r="BD3751" i="1"/>
  <c r="CE3751" i="1"/>
  <c r="A3752" i="1"/>
  <c r="C3752" i="1"/>
  <c r="E3752" i="1"/>
  <c r="S3752" i="1"/>
  <c r="T3752" i="1"/>
  <c r="U3752" i="1"/>
  <c r="BB3752" i="1"/>
  <c r="BD3752" i="1"/>
  <c r="CE3752" i="1"/>
  <c r="A3753" i="1"/>
  <c r="C3753" i="1"/>
  <c r="E3753" i="1"/>
  <c r="S3753" i="1"/>
  <c r="T3753" i="1"/>
  <c r="U3753" i="1"/>
  <c r="BB3753" i="1"/>
  <c r="BD3753" i="1"/>
  <c r="CE3753" i="1"/>
  <c r="A3754" i="1"/>
  <c r="C3754" i="1"/>
  <c r="E3754" i="1"/>
  <c r="S3754" i="1"/>
  <c r="T3754" i="1"/>
  <c r="U3754" i="1"/>
  <c r="BB3754" i="1"/>
  <c r="BD3754" i="1"/>
  <c r="CE3754" i="1"/>
  <c r="A3755" i="1"/>
  <c r="C3755" i="1"/>
  <c r="E3755" i="1"/>
  <c r="S3755" i="1"/>
  <c r="T3755" i="1"/>
  <c r="U3755" i="1"/>
  <c r="BB3755" i="1"/>
  <c r="BD3755" i="1"/>
  <c r="CE3755" i="1"/>
  <c r="A3756" i="1"/>
  <c r="C3756" i="1"/>
  <c r="E3756" i="1"/>
  <c r="S3756" i="1"/>
  <c r="T3756" i="1"/>
  <c r="U3756" i="1"/>
  <c r="BB3756" i="1"/>
  <c r="BD3756" i="1"/>
  <c r="CE3756" i="1"/>
  <c r="A3757" i="1"/>
  <c r="C3757" i="1"/>
  <c r="E3757" i="1"/>
  <c r="S3757" i="1"/>
  <c r="T3757" i="1"/>
  <c r="U3757" i="1"/>
  <c r="BB3757" i="1"/>
  <c r="BD3757" i="1"/>
  <c r="CE3757" i="1"/>
  <c r="A3758" i="1"/>
  <c r="C3758" i="1"/>
  <c r="E3758" i="1"/>
  <c r="S3758" i="1"/>
  <c r="T3758" i="1"/>
  <c r="U3758" i="1"/>
  <c r="BB3758" i="1"/>
  <c r="BD3758" i="1"/>
  <c r="CE3758" i="1"/>
  <c r="A3759" i="1"/>
  <c r="C3759" i="1"/>
  <c r="E3759" i="1"/>
  <c r="S3759" i="1"/>
  <c r="T3759" i="1"/>
  <c r="U3759" i="1"/>
  <c r="BB3759" i="1"/>
  <c r="BD3759" i="1"/>
  <c r="CE3759" i="1"/>
  <c r="A3760" i="1"/>
  <c r="C3760" i="1"/>
  <c r="E3760" i="1"/>
  <c r="S3760" i="1"/>
  <c r="T3760" i="1"/>
  <c r="U3760" i="1"/>
  <c r="BB3760" i="1"/>
  <c r="BD3760" i="1"/>
  <c r="CE3760" i="1"/>
  <c r="A3761" i="1"/>
  <c r="C3761" i="1"/>
  <c r="E3761" i="1"/>
  <c r="S3761" i="1"/>
  <c r="T3761" i="1"/>
  <c r="U3761" i="1"/>
  <c r="BB3761" i="1"/>
  <c r="BD3761" i="1"/>
  <c r="CE3761" i="1"/>
  <c r="A3762" i="1"/>
  <c r="C3762" i="1"/>
  <c r="E3762" i="1"/>
  <c r="S3762" i="1"/>
  <c r="T3762" i="1"/>
  <c r="U3762" i="1"/>
  <c r="BB3762" i="1"/>
  <c r="BD3762" i="1"/>
  <c r="CE3762" i="1"/>
  <c r="A3763" i="1"/>
  <c r="C3763" i="1"/>
  <c r="E3763" i="1"/>
  <c r="S3763" i="1"/>
  <c r="T3763" i="1"/>
  <c r="U3763" i="1"/>
  <c r="BB3763" i="1"/>
  <c r="BD3763" i="1"/>
  <c r="CE3763" i="1"/>
  <c r="A3764" i="1"/>
  <c r="C3764" i="1"/>
  <c r="E3764" i="1"/>
  <c r="S3764" i="1"/>
  <c r="T3764" i="1"/>
  <c r="U3764" i="1"/>
  <c r="BB3764" i="1"/>
  <c r="BD3764" i="1"/>
  <c r="CE3764" i="1"/>
  <c r="A3765" i="1"/>
  <c r="C3765" i="1"/>
  <c r="E3765" i="1"/>
  <c r="S3765" i="1"/>
  <c r="T3765" i="1"/>
  <c r="U3765" i="1"/>
  <c r="BB3765" i="1"/>
  <c r="BD3765" i="1"/>
  <c r="CE3765" i="1"/>
  <c r="A3766" i="1"/>
  <c r="C3766" i="1"/>
  <c r="E3766" i="1"/>
  <c r="S3766" i="1"/>
  <c r="T3766" i="1"/>
  <c r="U3766" i="1"/>
  <c r="BB3766" i="1"/>
  <c r="BD3766" i="1"/>
  <c r="CE3766" i="1"/>
  <c r="A3767" i="1"/>
  <c r="C3767" i="1"/>
  <c r="E3767" i="1"/>
  <c r="S3767" i="1"/>
  <c r="T3767" i="1"/>
  <c r="U3767" i="1"/>
  <c r="BB3767" i="1"/>
  <c r="BD3767" i="1"/>
  <c r="CE3767" i="1"/>
  <c r="A3768" i="1"/>
  <c r="C3768" i="1"/>
  <c r="E3768" i="1"/>
  <c r="S3768" i="1"/>
  <c r="T3768" i="1"/>
  <c r="U3768" i="1"/>
  <c r="BB3768" i="1"/>
  <c r="BD3768" i="1"/>
  <c r="CE3768" i="1"/>
  <c r="A3769" i="1"/>
  <c r="C3769" i="1"/>
  <c r="E3769" i="1"/>
  <c r="S3769" i="1"/>
  <c r="T3769" i="1"/>
  <c r="U3769" i="1"/>
  <c r="BB3769" i="1"/>
  <c r="BD3769" i="1"/>
  <c r="CE3769" i="1"/>
  <c r="A3770" i="1"/>
  <c r="C3770" i="1"/>
  <c r="E3770" i="1"/>
  <c r="S3770" i="1"/>
  <c r="T3770" i="1"/>
  <c r="U3770" i="1"/>
  <c r="BB3770" i="1"/>
  <c r="BD3770" i="1"/>
  <c r="CE3770" i="1"/>
  <c r="A3771" i="1"/>
  <c r="C3771" i="1"/>
  <c r="E3771" i="1"/>
  <c r="S3771" i="1"/>
  <c r="T3771" i="1"/>
  <c r="U3771" i="1"/>
  <c r="BB3771" i="1"/>
  <c r="BD3771" i="1"/>
  <c r="CE3771" i="1"/>
  <c r="A3772" i="1"/>
  <c r="C3772" i="1"/>
  <c r="E3772" i="1"/>
  <c r="S3772" i="1"/>
  <c r="T3772" i="1"/>
  <c r="U3772" i="1"/>
  <c r="BB3772" i="1"/>
  <c r="BD3772" i="1"/>
  <c r="CE3772" i="1"/>
  <c r="A3773" i="1"/>
  <c r="C3773" i="1"/>
  <c r="E3773" i="1"/>
  <c r="S3773" i="1"/>
  <c r="T3773" i="1"/>
  <c r="U3773" i="1"/>
  <c r="BB3773" i="1"/>
  <c r="BD3773" i="1"/>
  <c r="CE3773" i="1"/>
  <c r="A3774" i="1"/>
  <c r="C3774" i="1"/>
  <c r="E3774" i="1"/>
  <c r="S3774" i="1"/>
  <c r="T3774" i="1"/>
  <c r="U3774" i="1"/>
  <c r="BB3774" i="1"/>
  <c r="BD3774" i="1"/>
  <c r="CE3774" i="1"/>
  <c r="A3775" i="1"/>
  <c r="C3775" i="1"/>
  <c r="E3775" i="1"/>
  <c r="S3775" i="1"/>
  <c r="T3775" i="1"/>
  <c r="U3775" i="1"/>
  <c r="BB3775" i="1"/>
  <c r="BD3775" i="1"/>
  <c r="CE3775" i="1"/>
  <c r="A3776" i="1"/>
  <c r="C3776" i="1"/>
  <c r="E3776" i="1"/>
  <c r="S3776" i="1"/>
  <c r="T3776" i="1"/>
  <c r="U3776" i="1"/>
  <c r="BB3776" i="1"/>
  <c r="BD3776" i="1"/>
  <c r="CE3776" i="1"/>
  <c r="A3777" i="1"/>
  <c r="C3777" i="1"/>
  <c r="E3777" i="1"/>
  <c r="S3777" i="1"/>
  <c r="T3777" i="1"/>
  <c r="U3777" i="1"/>
  <c r="BB3777" i="1"/>
  <c r="BD3777" i="1"/>
  <c r="CE3777" i="1"/>
  <c r="A3778" i="1"/>
  <c r="C3778" i="1"/>
  <c r="E3778" i="1"/>
  <c r="S3778" i="1"/>
  <c r="T3778" i="1"/>
  <c r="U3778" i="1"/>
  <c r="BB3778" i="1"/>
  <c r="BD3778" i="1"/>
  <c r="CE3778" i="1"/>
  <c r="A3779" i="1"/>
  <c r="C3779" i="1"/>
  <c r="E3779" i="1"/>
  <c r="S3779" i="1"/>
  <c r="T3779" i="1"/>
  <c r="U3779" i="1"/>
  <c r="BB3779" i="1"/>
  <c r="BD3779" i="1"/>
  <c r="CE3779" i="1"/>
  <c r="A3780" i="1"/>
  <c r="C3780" i="1"/>
  <c r="E3780" i="1"/>
  <c r="S3780" i="1"/>
  <c r="T3780" i="1"/>
  <c r="U3780" i="1"/>
  <c r="BB3780" i="1"/>
  <c r="BD3780" i="1"/>
  <c r="CE3780" i="1"/>
  <c r="A3781" i="1"/>
  <c r="C3781" i="1"/>
  <c r="E3781" i="1"/>
  <c r="S3781" i="1"/>
  <c r="T3781" i="1"/>
  <c r="U3781" i="1"/>
  <c r="BB3781" i="1"/>
  <c r="BD3781" i="1"/>
  <c r="CE3781" i="1"/>
  <c r="A3782" i="1"/>
  <c r="C3782" i="1"/>
  <c r="E3782" i="1"/>
  <c r="S3782" i="1"/>
  <c r="T3782" i="1"/>
  <c r="U3782" i="1"/>
  <c r="BB3782" i="1"/>
  <c r="BD3782" i="1"/>
  <c r="CE3782" i="1"/>
  <c r="A3783" i="1"/>
  <c r="C3783" i="1"/>
  <c r="E3783" i="1"/>
  <c r="S3783" i="1"/>
  <c r="T3783" i="1"/>
  <c r="U3783" i="1"/>
  <c r="BB3783" i="1"/>
  <c r="BD3783" i="1"/>
  <c r="CE3783" i="1"/>
  <c r="A3784" i="1"/>
  <c r="C3784" i="1"/>
  <c r="E3784" i="1"/>
  <c r="S3784" i="1"/>
  <c r="T3784" i="1"/>
  <c r="U3784" i="1"/>
  <c r="BB3784" i="1"/>
  <c r="BD3784" i="1"/>
  <c r="CE3784" i="1"/>
  <c r="A3785" i="1"/>
  <c r="C3785" i="1"/>
  <c r="E3785" i="1"/>
  <c r="S3785" i="1"/>
  <c r="T3785" i="1"/>
  <c r="U3785" i="1"/>
  <c r="BB3785" i="1"/>
  <c r="BD3785" i="1"/>
  <c r="CE3785" i="1"/>
  <c r="A3786" i="1"/>
  <c r="C3786" i="1"/>
  <c r="E3786" i="1"/>
  <c r="S3786" i="1"/>
  <c r="T3786" i="1"/>
  <c r="U3786" i="1"/>
  <c r="BB3786" i="1"/>
  <c r="BD3786" i="1"/>
  <c r="CE3786" i="1"/>
  <c r="A3787" i="1"/>
  <c r="C3787" i="1"/>
  <c r="E3787" i="1"/>
  <c r="S3787" i="1"/>
  <c r="T3787" i="1"/>
  <c r="U3787" i="1"/>
  <c r="BB3787" i="1"/>
  <c r="BD3787" i="1"/>
  <c r="CE3787" i="1"/>
  <c r="A3788" i="1"/>
  <c r="C3788" i="1"/>
  <c r="E3788" i="1"/>
  <c r="S3788" i="1"/>
  <c r="T3788" i="1"/>
  <c r="U3788" i="1"/>
  <c r="BB3788" i="1"/>
  <c r="BD3788" i="1"/>
  <c r="CE3788" i="1"/>
  <c r="A3789" i="1"/>
  <c r="C3789" i="1"/>
  <c r="E3789" i="1"/>
  <c r="S3789" i="1"/>
  <c r="T3789" i="1"/>
  <c r="U3789" i="1"/>
  <c r="BB3789" i="1"/>
  <c r="BD3789" i="1"/>
  <c r="CE3789" i="1"/>
  <c r="A3790" i="1"/>
  <c r="C3790" i="1"/>
  <c r="E3790" i="1"/>
  <c r="S3790" i="1"/>
  <c r="T3790" i="1"/>
  <c r="U3790" i="1"/>
  <c r="BB3790" i="1"/>
  <c r="BD3790" i="1"/>
  <c r="CE3790" i="1"/>
  <c r="A3791" i="1"/>
  <c r="C3791" i="1"/>
  <c r="E3791" i="1"/>
  <c r="S3791" i="1"/>
  <c r="T3791" i="1"/>
  <c r="U3791" i="1"/>
  <c r="BB3791" i="1"/>
  <c r="BD3791" i="1"/>
  <c r="CE3791" i="1"/>
  <c r="A3792" i="1"/>
  <c r="C3792" i="1"/>
  <c r="E3792" i="1"/>
  <c r="S3792" i="1"/>
  <c r="T3792" i="1"/>
  <c r="U3792" i="1"/>
  <c r="BB3792" i="1"/>
  <c r="BD3792" i="1"/>
  <c r="CE3792" i="1"/>
  <c r="A3793" i="1"/>
  <c r="C3793" i="1"/>
  <c r="E3793" i="1"/>
  <c r="S3793" i="1"/>
  <c r="T3793" i="1"/>
  <c r="U3793" i="1"/>
  <c r="BB3793" i="1"/>
  <c r="BD3793" i="1"/>
  <c r="CE3793" i="1"/>
  <c r="A3794" i="1"/>
  <c r="C3794" i="1"/>
  <c r="E3794" i="1"/>
  <c r="S3794" i="1"/>
  <c r="T3794" i="1"/>
  <c r="U3794" i="1"/>
  <c r="BB3794" i="1"/>
  <c r="BD3794" i="1"/>
  <c r="CE3794" i="1"/>
  <c r="A3795" i="1"/>
  <c r="C3795" i="1"/>
  <c r="E3795" i="1"/>
  <c r="S3795" i="1"/>
  <c r="T3795" i="1"/>
  <c r="U3795" i="1"/>
  <c r="BB3795" i="1"/>
  <c r="BD3795" i="1"/>
  <c r="CE3795" i="1"/>
  <c r="A3796" i="1"/>
  <c r="C3796" i="1"/>
  <c r="E3796" i="1"/>
  <c r="S3796" i="1"/>
  <c r="T3796" i="1"/>
  <c r="U3796" i="1"/>
  <c r="BB3796" i="1"/>
  <c r="BD3796" i="1"/>
  <c r="CE3796" i="1"/>
  <c r="A3797" i="1"/>
  <c r="C3797" i="1"/>
  <c r="E3797" i="1"/>
  <c r="S3797" i="1"/>
  <c r="T3797" i="1"/>
  <c r="U3797" i="1"/>
  <c r="BB3797" i="1"/>
  <c r="BD3797" i="1"/>
  <c r="CE3797" i="1"/>
  <c r="A3798" i="1"/>
  <c r="C3798" i="1"/>
  <c r="E3798" i="1"/>
  <c r="S3798" i="1"/>
  <c r="T3798" i="1"/>
  <c r="U3798" i="1"/>
  <c r="BB3798" i="1"/>
  <c r="BD3798" i="1"/>
  <c r="CE3798" i="1"/>
  <c r="A3799" i="1"/>
  <c r="C3799" i="1"/>
  <c r="E3799" i="1"/>
  <c r="S3799" i="1"/>
  <c r="T3799" i="1"/>
  <c r="U3799" i="1"/>
  <c r="BB3799" i="1"/>
  <c r="BD3799" i="1"/>
  <c r="CE3799" i="1"/>
  <c r="A3800" i="1"/>
  <c r="C3800" i="1"/>
  <c r="E3800" i="1"/>
  <c r="S3800" i="1"/>
  <c r="T3800" i="1"/>
  <c r="U3800" i="1"/>
  <c r="BB3800" i="1"/>
  <c r="BD3800" i="1"/>
  <c r="CE3800" i="1"/>
  <c r="A3801" i="1"/>
  <c r="C3801" i="1"/>
  <c r="E3801" i="1"/>
  <c r="S3801" i="1"/>
  <c r="T3801" i="1"/>
  <c r="U3801" i="1"/>
  <c r="BB3801" i="1"/>
  <c r="BD3801" i="1"/>
  <c r="CE3801" i="1"/>
  <c r="A3802" i="1"/>
  <c r="C3802" i="1"/>
  <c r="E3802" i="1"/>
  <c r="S3802" i="1"/>
  <c r="T3802" i="1"/>
  <c r="U3802" i="1"/>
  <c r="BB3802" i="1"/>
  <c r="BD3802" i="1"/>
  <c r="CE3802" i="1"/>
  <c r="A3803" i="1"/>
  <c r="C3803" i="1"/>
  <c r="E3803" i="1"/>
  <c r="S3803" i="1"/>
  <c r="T3803" i="1"/>
  <c r="U3803" i="1"/>
  <c r="BB3803" i="1"/>
  <c r="BD3803" i="1"/>
  <c r="CE3803" i="1"/>
  <c r="A3804" i="1"/>
  <c r="C3804" i="1"/>
  <c r="E3804" i="1"/>
  <c r="S3804" i="1"/>
  <c r="T3804" i="1"/>
  <c r="U3804" i="1"/>
  <c r="BB3804" i="1"/>
  <c r="BD3804" i="1"/>
  <c r="CE3804" i="1"/>
  <c r="A3805" i="1"/>
  <c r="C3805" i="1"/>
  <c r="E3805" i="1"/>
  <c r="S3805" i="1"/>
  <c r="T3805" i="1"/>
  <c r="U3805" i="1"/>
  <c r="BB3805" i="1"/>
  <c r="BD3805" i="1"/>
  <c r="CE3805" i="1"/>
  <c r="A3806" i="1"/>
  <c r="C3806" i="1"/>
  <c r="E3806" i="1"/>
  <c r="S3806" i="1"/>
  <c r="T3806" i="1"/>
  <c r="U3806" i="1"/>
  <c r="BB3806" i="1"/>
  <c r="BD3806" i="1"/>
  <c r="CE3806" i="1"/>
  <c r="A3807" i="1"/>
  <c r="C3807" i="1"/>
  <c r="E3807" i="1"/>
  <c r="S3807" i="1"/>
  <c r="T3807" i="1"/>
  <c r="U3807" i="1"/>
  <c r="BB3807" i="1"/>
  <c r="BD3807" i="1"/>
  <c r="CE3807" i="1"/>
  <c r="A3808" i="1"/>
  <c r="C3808" i="1"/>
  <c r="E3808" i="1"/>
  <c r="S3808" i="1"/>
  <c r="T3808" i="1"/>
  <c r="U3808" i="1"/>
  <c r="BB3808" i="1"/>
  <c r="BD3808" i="1"/>
  <c r="CE3808" i="1"/>
  <c r="A3809" i="1"/>
  <c r="C3809" i="1"/>
  <c r="E3809" i="1"/>
  <c r="S3809" i="1"/>
  <c r="T3809" i="1"/>
  <c r="U3809" i="1"/>
  <c r="BB3809" i="1"/>
  <c r="BD3809" i="1"/>
  <c r="CE3809" i="1"/>
  <c r="A3810" i="1"/>
  <c r="C3810" i="1"/>
  <c r="E3810" i="1"/>
  <c r="S3810" i="1"/>
  <c r="T3810" i="1"/>
  <c r="U3810" i="1"/>
  <c r="BB3810" i="1"/>
  <c r="BD3810" i="1"/>
  <c r="CE3810" i="1"/>
  <c r="A3811" i="1"/>
  <c r="C3811" i="1"/>
  <c r="E3811" i="1"/>
  <c r="S3811" i="1"/>
  <c r="T3811" i="1"/>
  <c r="U3811" i="1"/>
  <c r="BB3811" i="1"/>
  <c r="BD3811" i="1"/>
  <c r="CE3811" i="1"/>
  <c r="A3812" i="1"/>
  <c r="C3812" i="1"/>
  <c r="E3812" i="1"/>
  <c r="S3812" i="1"/>
  <c r="T3812" i="1"/>
  <c r="U3812" i="1"/>
  <c r="BB3812" i="1"/>
  <c r="BD3812" i="1"/>
  <c r="CE3812" i="1"/>
  <c r="A3813" i="1"/>
  <c r="C3813" i="1"/>
  <c r="E3813" i="1"/>
  <c r="S3813" i="1"/>
  <c r="T3813" i="1"/>
  <c r="U3813" i="1"/>
  <c r="BB3813" i="1"/>
  <c r="BD3813" i="1"/>
  <c r="CE3813" i="1"/>
  <c r="A3814" i="1"/>
  <c r="C3814" i="1"/>
  <c r="E3814" i="1"/>
  <c r="S3814" i="1"/>
  <c r="T3814" i="1"/>
  <c r="U3814" i="1"/>
  <c r="BB3814" i="1"/>
  <c r="BD3814" i="1"/>
  <c r="CE3814" i="1"/>
  <c r="A3815" i="1"/>
  <c r="C3815" i="1"/>
  <c r="E3815" i="1"/>
  <c r="S3815" i="1"/>
  <c r="T3815" i="1"/>
  <c r="U3815" i="1"/>
  <c r="BB3815" i="1"/>
  <c r="BD3815" i="1"/>
  <c r="CE3815" i="1"/>
  <c r="A3816" i="1"/>
  <c r="C3816" i="1"/>
  <c r="E3816" i="1"/>
  <c r="S3816" i="1"/>
  <c r="T3816" i="1"/>
  <c r="U3816" i="1"/>
  <c r="BB3816" i="1"/>
  <c r="BD3816" i="1"/>
  <c r="CE3816" i="1"/>
  <c r="A3817" i="1"/>
  <c r="C3817" i="1"/>
  <c r="E3817" i="1"/>
  <c r="S3817" i="1"/>
  <c r="T3817" i="1"/>
  <c r="U3817" i="1"/>
  <c r="BB3817" i="1"/>
  <c r="BD3817" i="1"/>
  <c r="CE3817" i="1"/>
  <c r="A3818" i="1"/>
  <c r="C3818" i="1"/>
  <c r="E3818" i="1"/>
  <c r="S3818" i="1"/>
  <c r="T3818" i="1"/>
  <c r="U3818" i="1"/>
  <c r="BB3818" i="1"/>
  <c r="BD3818" i="1"/>
  <c r="CE3818" i="1"/>
  <c r="A3819" i="1"/>
  <c r="C3819" i="1"/>
  <c r="E3819" i="1"/>
  <c r="S3819" i="1"/>
  <c r="T3819" i="1"/>
  <c r="U3819" i="1"/>
  <c r="BB3819" i="1"/>
  <c r="BD3819" i="1"/>
  <c r="CE3819" i="1"/>
  <c r="A3820" i="1"/>
  <c r="C3820" i="1"/>
  <c r="E3820" i="1"/>
  <c r="S3820" i="1"/>
  <c r="T3820" i="1"/>
  <c r="U3820" i="1"/>
  <c r="BB3820" i="1"/>
  <c r="BD3820" i="1"/>
  <c r="CE3820" i="1"/>
  <c r="A3821" i="1"/>
  <c r="C3821" i="1"/>
  <c r="E3821" i="1"/>
  <c r="S3821" i="1"/>
  <c r="T3821" i="1"/>
  <c r="U3821" i="1"/>
  <c r="BB3821" i="1"/>
  <c r="BD3821" i="1"/>
  <c r="CE3821" i="1"/>
  <c r="A3822" i="1"/>
  <c r="C3822" i="1"/>
  <c r="E3822" i="1"/>
  <c r="S3822" i="1"/>
  <c r="T3822" i="1"/>
  <c r="U3822" i="1"/>
  <c r="BB3822" i="1"/>
  <c r="BD3822" i="1"/>
  <c r="CE3822" i="1"/>
  <c r="A3823" i="1"/>
  <c r="C3823" i="1"/>
  <c r="E3823" i="1"/>
  <c r="S3823" i="1"/>
  <c r="T3823" i="1"/>
  <c r="U3823" i="1"/>
  <c r="BB3823" i="1"/>
  <c r="BD3823" i="1"/>
  <c r="CE3823" i="1"/>
  <c r="A3824" i="1"/>
  <c r="C3824" i="1"/>
  <c r="E3824" i="1"/>
  <c r="S3824" i="1"/>
  <c r="T3824" i="1"/>
  <c r="U3824" i="1"/>
  <c r="BB3824" i="1"/>
  <c r="BD3824" i="1"/>
  <c r="CE3824" i="1"/>
  <c r="A3825" i="1"/>
  <c r="C3825" i="1"/>
  <c r="E3825" i="1"/>
  <c r="S3825" i="1"/>
  <c r="T3825" i="1"/>
  <c r="U3825" i="1"/>
  <c r="BB3825" i="1"/>
  <c r="BD3825" i="1"/>
  <c r="CE3825" i="1"/>
  <c r="A3826" i="1"/>
  <c r="C3826" i="1"/>
  <c r="E3826" i="1"/>
  <c r="S3826" i="1"/>
  <c r="T3826" i="1"/>
  <c r="U3826" i="1"/>
  <c r="BB3826" i="1"/>
  <c r="BD3826" i="1"/>
  <c r="CE3826" i="1"/>
  <c r="A3827" i="1"/>
  <c r="C3827" i="1"/>
  <c r="E3827" i="1"/>
  <c r="S3827" i="1"/>
  <c r="T3827" i="1"/>
  <c r="U3827" i="1"/>
  <c r="BB3827" i="1"/>
  <c r="BD3827" i="1"/>
  <c r="CE3827" i="1"/>
  <c r="A3828" i="1"/>
  <c r="C3828" i="1"/>
  <c r="E3828" i="1"/>
  <c r="S3828" i="1"/>
  <c r="T3828" i="1"/>
  <c r="U3828" i="1"/>
  <c r="BB3828" i="1"/>
  <c r="BD3828" i="1"/>
  <c r="CE3828" i="1"/>
  <c r="A3829" i="1"/>
  <c r="C3829" i="1"/>
  <c r="E3829" i="1"/>
  <c r="S3829" i="1"/>
  <c r="T3829" i="1"/>
  <c r="U3829" i="1"/>
  <c r="BB3829" i="1"/>
  <c r="BD3829" i="1"/>
  <c r="CE3829" i="1"/>
  <c r="A3830" i="1"/>
  <c r="C3830" i="1"/>
  <c r="E3830" i="1"/>
  <c r="S3830" i="1"/>
  <c r="T3830" i="1"/>
  <c r="U3830" i="1"/>
  <c r="BB3830" i="1"/>
  <c r="BD3830" i="1"/>
  <c r="CE3830" i="1"/>
  <c r="A3831" i="1"/>
  <c r="C3831" i="1"/>
  <c r="E3831" i="1"/>
  <c r="S3831" i="1"/>
  <c r="T3831" i="1"/>
  <c r="U3831" i="1"/>
  <c r="BB3831" i="1"/>
  <c r="BD3831" i="1"/>
  <c r="CE3831" i="1"/>
  <c r="A3832" i="1"/>
  <c r="C3832" i="1"/>
  <c r="E3832" i="1"/>
  <c r="S3832" i="1"/>
  <c r="T3832" i="1"/>
  <c r="U3832" i="1"/>
  <c r="BB3832" i="1"/>
  <c r="BD3832" i="1"/>
  <c r="CE3832" i="1"/>
  <c r="A3833" i="1"/>
  <c r="C3833" i="1"/>
  <c r="E3833" i="1"/>
  <c r="S3833" i="1"/>
  <c r="T3833" i="1"/>
  <c r="U3833" i="1"/>
  <c r="BB3833" i="1"/>
  <c r="BD3833" i="1"/>
  <c r="CE3833" i="1"/>
  <c r="A3834" i="1"/>
  <c r="C3834" i="1"/>
  <c r="E3834" i="1"/>
  <c r="S3834" i="1"/>
  <c r="T3834" i="1"/>
  <c r="U3834" i="1"/>
  <c r="BB3834" i="1"/>
  <c r="BD3834" i="1"/>
  <c r="CE3834" i="1"/>
  <c r="A3835" i="1"/>
  <c r="C3835" i="1"/>
  <c r="E3835" i="1"/>
  <c r="S3835" i="1"/>
  <c r="T3835" i="1"/>
  <c r="U3835" i="1"/>
  <c r="BB3835" i="1"/>
  <c r="BD3835" i="1"/>
  <c r="CE3835" i="1"/>
  <c r="A3836" i="1"/>
  <c r="C3836" i="1"/>
  <c r="E3836" i="1"/>
  <c r="S3836" i="1"/>
  <c r="T3836" i="1"/>
  <c r="U3836" i="1"/>
  <c r="BB3836" i="1"/>
  <c r="BD3836" i="1"/>
  <c r="CE3836" i="1"/>
  <c r="A3837" i="1"/>
  <c r="C3837" i="1"/>
  <c r="E3837" i="1"/>
  <c r="S3837" i="1"/>
  <c r="T3837" i="1"/>
  <c r="U3837" i="1"/>
  <c r="BB3837" i="1"/>
  <c r="BD3837" i="1"/>
  <c r="CE3837" i="1"/>
  <c r="A3838" i="1"/>
  <c r="C3838" i="1"/>
  <c r="E3838" i="1"/>
  <c r="S3838" i="1"/>
  <c r="T3838" i="1"/>
  <c r="U3838" i="1"/>
  <c r="BB3838" i="1"/>
  <c r="BD3838" i="1"/>
  <c r="CE3838" i="1"/>
  <c r="A3839" i="1"/>
  <c r="C3839" i="1"/>
  <c r="E3839" i="1"/>
  <c r="S3839" i="1"/>
  <c r="T3839" i="1"/>
  <c r="U3839" i="1"/>
  <c r="BB3839" i="1"/>
  <c r="BD3839" i="1"/>
  <c r="CE3839" i="1"/>
  <c r="A3840" i="1"/>
  <c r="C3840" i="1"/>
  <c r="E3840" i="1"/>
  <c r="S3840" i="1"/>
  <c r="T3840" i="1"/>
  <c r="U3840" i="1"/>
  <c r="BB3840" i="1"/>
  <c r="BD3840" i="1"/>
  <c r="CE3840" i="1"/>
  <c r="A3841" i="1"/>
  <c r="C3841" i="1"/>
  <c r="E3841" i="1"/>
  <c r="S3841" i="1"/>
  <c r="T3841" i="1"/>
  <c r="U3841" i="1"/>
  <c r="BB3841" i="1"/>
  <c r="BD3841" i="1"/>
  <c r="CE3841" i="1"/>
  <c r="A3842" i="1"/>
  <c r="C3842" i="1"/>
  <c r="E3842" i="1"/>
  <c r="S3842" i="1"/>
  <c r="T3842" i="1"/>
  <c r="U3842" i="1"/>
  <c r="BB3842" i="1"/>
  <c r="BD3842" i="1"/>
  <c r="CE3842" i="1"/>
  <c r="A3843" i="1"/>
  <c r="C3843" i="1"/>
  <c r="E3843" i="1"/>
  <c r="S3843" i="1"/>
  <c r="T3843" i="1"/>
  <c r="U3843" i="1"/>
  <c r="BB3843" i="1"/>
  <c r="BD3843" i="1"/>
  <c r="CE3843" i="1"/>
  <c r="A3844" i="1"/>
  <c r="C3844" i="1"/>
  <c r="E3844" i="1"/>
  <c r="S3844" i="1"/>
  <c r="T3844" i="1"/>
  <c r="U3844" i="1"/>
  <c r="BB3844" i="1"/>
  <c r="BD3844" i="1"/>
  <c r="CE3844" i="1"/>
  <c r="A3845" i="1"/>
  <c r="C3845" i="1"/>
  <c r="E3845" i="1"/>
  <c r="S3845" i="1"/>
  <c r="T3845" i="1"/>
  <c r="U3845" i="1"/>
  <c r="BB3845" i="1"/>
  <c r="BD3845" i="1"/>
  <c r="CE3845" i="1"/>
  <c r="A3846" i="1"/>
  <c r="C3846" i="1"/>
  <c r="E3846" i="1"/>
  <c r="S3846" i="1"/>
  <c r="T3846" i="1"/>
  <c r="U3846" i="1"/>
  <c r="BB3846" i="1"/>
  <c r="BD3846" i="1"/>
  <c r="CE3846" i="1"/>
  <c r="A3847" i="1"/>
  <c r="C3847" i="1"/>
  <c r="E3847" i="1"/>
  <c r="S3847" i="1"/>
  <c r="T3847" i="1"/>
  <c r="U3847" i="1"/>
  <c r="BB3847" i="1"/>
  <c r="BD3847" i="1"/>
  <c r="CE3847" i="1"/>
  <c r="A3848" i="1"/>
  <c r="C3848" i="1"/>
  <c r="E3848" i="1"/>
  <c r="S3848" i="1"/>
  <c r="T3848" i="1"/>
  <c r="U3848" i="1"/>
  <c r="BB3848" i="1"/>
  <c r="BD3848" i="1"/>
  <c r="CE3848" i="1"/>
  <c r="A3849" i="1"/>
  <c r="C3849" i="1"/>
  <c r="E3849" i="1"/>
  <c r="S3849" i="1"/>
  <c r="T3849" i="1"/>
  <c r="U3849" i="1"/>
  <c r="BB3849" i="1"/>
  <c r="BD3849" i="1"/>
  <c r="CE3849" i="1"/>
  <c r="A3850" i="1"/>
  <c r="C3850" i="1"/>
  <c r="E3850" i="1"/>
  <c r="S3850" i="1"/>
  <c r="T3850" i="1"/>
  <c r="U3850" i="1"/>
  <c r="BB3850" i="1"/>
  <c r="BD3850" i="1"/>
  <c r="CE3850" i="1"/>
  <c r="A3851" i="1"/>
  <c r="C3851" i="1"/>
  <c r="E3851" i="1"/>
  <c r="S3851" i="1"/>
  <c r="T3851" i="1"/>
  <c r="U3851" i="1"/>
  <c r="BB3851" i="1"/>
  <c r="BD3851" i="1"/>
  <c r="CE3851" i="1"/>
  <c r="A3852" i="1"/>
  <c r="C3852" i="1"/>
  <c r="E3852" i="1"/>
  <c r="S3852" i="1"/>
  <c r="T3852" i="1"/>
  <c r="U3852" i="1"/>
  <c r="BB3852" i="1"/>
  <c r="BD3852" i="1"/>
  <c r="CE3852" i="1"/>
  <c r="A3853" i="1"/>
  <c r="C3853" i="1"/>
  <c r="E3853" i="1"/>
  <c r="S3853" i="1"/>
  <c r="T3853" i="1"/>
  <c r="U3853" i="1"/>
  <c r="BB3853" i="1"/>
  <c r="BD3853" i="1"/>
  <c r="CE3853" i="1"/>
  <c r="A3854" i="1"/>
  <c r="C3854" i="1"/>
  <c r="E3854" i="1"/>
  <c r="S3854" i="1"/>
  <c r="T3854" i="1"/>
  <c r="U3854" i="1"/>
  <c r="BB3854" i="1"/>
  <c r="BD3854" i="1"/>
  <c r="CE3854" i="1"/>
  <c r="A3855" i="1"/>
  <c r="C3855" i="1"/>
  <c r="E3855" i="1"/>
  <c r="S3855" i="1"/>
  <c r="T3855" i="1"/>
  <c r="U3855" i="1"/>
  <c r="BB3855" i="1"/>
  <c r="BD3855" i="1"/>
  <c r="CE3855" i="1"/>
  <c r="A3856" i="1"/>
  <c r="C3856" i="1"/>
  <c r="E3856" i="1"/>
  <c r="S3856" i="1"/>
  <c r="T3856" i="1"/>
  <c r="U3856" i="1"/>
  <c r="BB3856" i="1"/>
  <c r="BD3856" i="1"/>
  <c r="CE3856" i="1"/>
  <c r="A3857" i="1"/>
  <c r="C3857" i="1"/>
  <c r="E3857" i="1"/>
  <c r="S3857" i="1"/>
  <c r="T3857" i="1"/>
  <c r="U3857" i="1"/>
  <c r="BB3857" i="1"/>
  <c r="BD3857" i="1"/>
  <c r="CE3857" i="1"/>
  <c r="A3858" i="1"/>
  <c r="C3858" i="1"/>
  <c r="E3858" i="1"/>
  <c r="S3858" i="1"/>
  <c r="T3858" i="1"/>
  <c r="U3858" i="1"/>
  <c r="BB3858" i="1"/>
  <c r="BD3858" i="1"/>
  <c r="CE3858" i="1"/>
  <c r="A3859" i="1"/>
  <c r="C3859" i="1"/>
  <c r="E3859" i="1"/>
  <c r="S3859" i="1"/>
  <c r="T3859" i="1"/>
  <c r="U3859" i="1"/>
  <c r="BB3859" i="1"/>
  <c r="BD3859" i="1"/>
  <c r="CE3859" i="1"/>
  <c r="A3860" i="1"/>
  <c r="C3860" i="1"/>
  <c r="E3860" i="1"/>
  <c r="S3860" i="1"/>
  <c r="T3860" i="1"/>
  <c r="U3860" i="1"/>
  <c r="BB3860" i="1"/>
  <c r="BD3860" i="1"/>
  <c r="CE3860" i="1"/>
  <c r="A3861" i="1"/>
  <c r="C3861" i="1"/>
  <c r="E3861" i="1"/>
  <c r="S3861" i="1"/>
  <c r="T3861" i="1"/>
  <c r="U3861" i="1"/>
  <c r="BB3861" i="1"/>
  <c r="BD3861" i="1"/>
  <c r="CE3861" i="1"/>
  <c r="A3862" i="1"/>
  <c r="C3862" i="1"/>
  <c r="E3862" i="1"/>
  <c r="S3862" i="1"/>
  <c r="T3862" i="1"/>
  <c r="U3862" i="1"/>
  <c r="BB3862" i="1"/>
  <c r="BD3862" i="1"/>
  <c r="CE3862" i="1"/>
  <c r="A3863" i="1"/>
  <c r="C3863" i="1"/>
  <c r="E3863" i="1"/>
  <c r="S3863" i="1"/>
  <c r="T3863" i="1"/>
  <c r="U3863" i="1"/>
  <c r="BB3863" i="1"/>
  <c r="BD3863" i="1"/>
  <c r="CE3863" i="1"/>
  <c r="A3864" i="1"/>
  <c r="C3864" i="1"/>
  <c r="E3864" i="1"/>
  <c r="S3864" i="1"/>
  <c r="T3864" i="1"/>
  <c r="U3864" i="1"/>
  <c r="BB3864" i="1"/>
  <c r="BD3864" i="1"/>
  <c r="CE3864" i="1"/>
  <c r="A3865" i="1"/>
  <c r="C3865" i="1"/>
  <c r="E3865" i="1"/>
  <c r="S3865" i="1"/>
  <c r="T3865" i="1"/>
  <c r="U3865" i="1"/>
  <c r="BB3865" i="1"/>
  <c r="BD3865" i="1"/>
  <c r="CE3865" i="1"/>
  <c r="A3866" i="1"/>
  <c r="C3866" i="1"/>
  <c r="E3866" i="1"/>
  <c r="S3866" i="1"/>
  <c r="T3866" i="1"/>
  <c r="U3866" i="1"/>
  <c r="BB3866" i="1"/>
  <c r="BD3866" i="1"/>
  <c r="CE3866" i="1"/>
  <c r="A3867" i="1"/>
  <c r="C3867" i="1"/>
  <c r="E3867" i="1"/>
  <c r="S3867" i="1"/>
  <c r="T3867" i="1"/>
  <c r="U3867" i="1"/>
  <c r="BB3867" i="1"/>
  <c r="BD3867" i="1"/>
  <c r="CE3867" i="1"/>
  <c r="A3868" i="1"/>
  <c r="C3868" i="1"/>
  <c r="E3868" i="1"/>
  <c r="S3868" i="1"/>
  <c r="T3868" i="1"/>
  <c r="U3868" i="1"/>
  <c r="BB3868" i="1"/>
  <c r="BD3868" i="1"/>
  <c r="CE3868" i="1"/>
  <c r="A3869" i="1"/>
  <c r="C3869" i="1"/>
  <c r="E3869" i="1"/>
  <c r="S3869" i="1"/>
  <c r="T3869" i="1"/>
  <c r="U3869" i="1"/>
  <c r="BB3869" i="1"/>
  <c r="BD3869" i="1"/>
  <c r="CE3869" i="1"/>
  <c r="A3870" i="1"/>
  <c r="C3870" i="1"/>
  <c r="E3870" i="1"/>
  <c r="S3870" i="1"/>
  <c r="T3870" i="1"/>
  <c r="U3870" i="1"/>
  <c r="BB3870" i="1"/>
  <c r="BD3870" i="1"/>
  <c r="CE3870" i="1"/>
  <c r="A3871" i="1"/>
  <c r="C3871" i="1"/>
  <c r="E3871" i="1"/>
  <c r="S3871" i="1"/>
  <c r="T3871" i="1"/>
  <c r="U3871" i="1"/>
  <c r="BB3871" i="1"/>
  <c r="BD3871" i="1"/>
  <c r="CE3871" i="1"/>
  <c r="A3872" i="1"/>
  <c r="C3872" i="1"/>
  <c r="E3872" i="1"/>
  <c r="S3872" i="1"/>
  <c r="T3872" i="1"/>
  <c r="U3872" i="1"/>
  <c r="BB3872" i="1"/>
  <c r="BD3872" i="1"/>
  <c r="CE3872" i="1"/>
  <c r="A3873" i="1"/>
  <c r="C3873" i="1"/>
  <c r="E3873" i="1"/>
  <c r="S3873" i="1"/>
  <c r="T3873" i="1"/>
  <c r="U3873" i="1"/>
  <c r="BB3873" i="1"/>
  <c r="BD3873" i="1"/>
  <c r="CE3873" i="1"/>
  <c r="A3874" i="1"/>
  <c r="C3874" i="1"/>
  <c r="E3874" i="1"/>
  <c r="S3874" i="1"/>
  <c r="T3874" i="1"/>
  <c r="U3874" i="1"/>
  <c r="BB3874" i="1"/>
  <c r="BD3874" i="1"/>
  <c r="CE3874" i="1"/>
  <c r="A3875" i="1"/>
  <c r="C3875" i="1"/>
  <c r="E3875" i="1"/>
  <c r="S3875" i="1"/>
  <c r="T3875" i="1"/>
  <c r="U3875" i="1"/>
  <c r="BB3875" i="1"/>
  <c r="BD3875" i="1"/>
  <c r="CE3875" i="1"/>
  <c r="A3876" i="1"/>
  <c r="C3876" i="1"/>
  <c r="E3876" i="1"/>
  <c r="S3876" i="1"/>
  <c r="T3876" i="1"/>
  <c r="U3876" i="1"/>
  <c r="BB3876" i="1"/>
  <c r="BD3876" i="1"/>
  <c r="CE3876" i="1"/>
  <c r="A3877" i="1"/>
  <c r="C3877" i="1"/>
  <c r="E3877" i="1"/>
  <c r="S3877" i="1"/>
  <c r="T3877" i="1"/>
  <c r="U3877" i="1"/>
  <c r="BB3877" i="1"/>
  <c r="BD3877" i="1"/>
  <c r="CE3877" i="1"/>
  <c r="A3878" i="1"/>
  <c r="C3878" i="1"/>
  <c r="E3878" i="1"/>
  <c r="S3878" i="1"/>
  <c r="T3878" i="1"/>
  <c r="U3878" i="1"/>
  <c r="BB3878" i="1"/>
  <c r="BD3878" i="1"/>
  <c r="CE3878" i="1"/>
  <c r="A3879" i="1"/>
  <c r="C3879" i="1"/>
  <c r="E3879" i="1"/>
  <c r="S3879" i="1"/>
  <c r="T3879" i="1"/>
  <c r="U3879" i="1"/>
  <c r="BB3879" i="1"/>
  <c r="BD3879" i="1"/>
  <c r="CE3879" i="1"/>
  <c r="A3880" i="1"/>
  <c r="C3880" i="1"/>
  <c r="E3880" i="1"/>
  <c r="S3880" i="1"/>
  <c r="T3880" i="1"/>
  <c r="U3880" i="1"/>
  <c r="BB3880" i="1"/>
  <c r="BD3880" i="1"/>
  <c r="CE3880" i="1"/>
  <c r="A3881" i="1"/>
  <c r="C3881" i="1"/>
  <c r="E3881" i="1"/>
  <c r="S3881" i="1"/>
  <c r="T3881" i="1"/>
  <c r="U3881" i="1"/>
  <c r="BB3881" i="1"/>
  <c r="BD3881" i="1"/>
  <c r="CE3881" i="1"/>
  <c r="A3882" i="1"/>
  <c r="C3882" i="1"/>
  <c r="E3882" i="1"/>
  <c r="S3882" i="1"/>
  <c r="T3882" i="1"/>
  <c r="U3882" i="1"/>
  <c r="BB3882" i="1"/>
  <c r="BD3882" i="1"/>
  <c r="CE3882" i="1"/>
  <c r="A3883" i="1"/>
  <c r="C3883" i="1"/>
  <c r="E3883" i="1"/>
  <c r="S3883" i="1"/>
  <c r="T3883" i="1"/>
  <c r="U3883" i="1"/>
  <c r="BB3883" i="1"/>
  <c r="BD3883" i="1"/>
  <c r="CE3883" i="1"/>
  <c r="A3884" i="1"/>
  <c r="C3884" i="1"/>
  <c r="E3884" i="1"/>
  <c r="S3884" i="1"/>
  <c r="T3884" i="1"/>
  <c r="U3884" i="1"/>
  <c r="BB3884" i="1"/>
  <c r="BD3884" i="1"/>
  <c r="CE3884" i="1"/>
  <c r="A3885" i="1"/>
  <c r="C3885" i="1"/>
  <c r="E3885" i="1"/>
  <c r="S3885" i="1"/>
  <c r="T3885" i="1"/>
  <c r="U3885" i="1"/>
  <c r="BB3885" i="1"/>
  <c r="BD3885" i="1"/>
  <c r="CE3885" i="1"/>
  <c r="A3886" i="1"/>
  <c r="C3886" i="1"/>
  <c r="E3886" i="1"/>
  <c r="S3886" i="1"/>
  <c r="T3886" i="1"/>
  <c r="U3886" i="1"/>
  <c r="BB3886" i="1"/>
  <c r="BD3886" i="1"/>
  <c r="CE3886" i="1"/>
  <c r="A3887" i="1"/>
  <c r="C3887" i="1"/>
  <c r="E3887" i="1"/>
  <c r="S3887" i="1"/>
  <c r="T3887" i="1"/>
  <c r="U3887" i="1"/>
  <c r="BB3887" i="1"/>
  <c r="BD3887" i="1"/>
  <c r="CE3887" i="1"/>
  <c r="A3888" i="1"/>
  <c r="C3888" i="1"/>
  <c r="E3888" i="1"/>
  <c r="S3888" i="1"/>
  <c r="T3888" i="1"/>
  <c r="U3888" i="1"/>
  <c r="BB3888" i="1"/>
  <c r="BD3888" i="1"/>
  <c r="CE3888" i="1"/>
  <c r="A3889" i="1"/>
  <c r="C3889" i="1"/>
  <c r="E3889" i="1"/>
  <c r="S3889" i="1"/>
  <c r="T3889" i="1"/>
  <c r="U3889" i="1"/>
  <c r="BB3889" i="1"/>
  <c r="BD3889" i="1"/>
  <c r="CE3889" i="1"/>
  <c r="A3890" i="1"/>
  <c r="C3890" i="1"/>
  <c r="E3890" i="1"/>
  <c r="S3890" i="1"/>
  <c r="T3890" i="1"/>
  <c r="U3890" i="1"/>
  <c r="BB3890" i="1"/>
  <c r="BD3890" i="1"/>
  <c r="CE3890" i="1"/>
  <c r="A3891" i="1"/>
  <c r="C3891" i="1"/>
  <c r="E3891" i="1"/>
  <c r="S3891" i="1"/>
  <c r="T3891" i="1"/>
  <c r="U3891" i="1"/>
  <c r="BB3891" i="1"/>
  <c r="BD3891" i="1"/>
  <c r="CE3891" i="1"/>
  <c r="A3892" i="1"/>
  <c r="C3892" i="1"/>
  <c r="E3892" i="1"/>
  <c r="S3892" i="1"/>
  <c r="T3892" i="1"/>
  <c r="U3892" i="1"/>
  <c r="BB3892" i="1"/>
  <c r="BD3892" i="1"/>
  <c r="CE3892" i="1"/>
  <c r="A3893" i="1"/>
  <c r="C3893" i="1"/>
  <c r="E3893" i="1"/>
  <c r="S3893" i="1"/>
  <c r="T3893" i="1"/>
  <c r="U3893" i="1"/>
  <c r="BB3893" i="1"/>
  <c r="BD3893" i="1"/>
  <c r="CE3893" i="1"/>
  <c r="A3894" i="1"/>
  <c r="C3894" i="1"/>
  <c r="E3894" i="1"/>
  <c r="S3894" i="1"/>
  <c r="T3894" i="1"/>
  <c r="U3894" i="1"/>
  <c r="BB3894" i="1"/>
  <c r="BD3894" i="1"/>
  <c r="CE3894" i="1"/>
  <c r="A3895" i="1"/>
  <c r="C3895" i="1"/>
  <c r="E3895" i="1"/>
  <c r="S3895" i="1"/>
  <c r="T3895" i="1"/>
  <c r="U3895" i="1"/>
  <c r="BB3895" i="1"/>
  <c r="BD3895" i="1"/>
  <c r="CE3895" i="1"/>
  <c r="A3896" i="1"/>
  <c r="C3896" i="1"/>
  <c r="E3896" i="1"/>
  <c r="S3896" i="1"/>
  <c r="T3896" i="1"/>
  <c r="U3896" i="1"/>
  <c r="BB3896" i="1"/>
  <c r="BD3896" i="1"/>
  <c r="CE3896" i="1"/>
  <c r="A3897" i="1"/>
  <c r="C3897" i="1"/>
  <c r="E3897" i="1"/>
  <c r="S3897" i="1"/>
  <c r="T3897" i="1"/>
  <c r="U3897" i="1"/>
  <c r="BB3897" i="1"/>
  <c r="BD3897" i="1"/>
  <c r="CE3897" i="1"/>
  <c r="A3898" i="1"/>
  <c r="C3898" i="1"/>
  <c r="E3898" i="1"/>
  <c r="S3898" i="1"/>
  <c r="T3898" i="1"/>
  <c r="U3898" i="1"/>
  <c r="BB3898" i="1"/>
  <c r="BD3898" i="1"/>
  <c r="CE3898" i="1"/>
  <c r="A3899" i="1"/>
  <c r="C3899" i="1"/>
  <c r="E3899" i="1"/>
  <c r="S3899" i="1"/>
  <c r="T3899" i="1"/>
  <c r="U3899" i="1"/>
  <c r="BB3899" i="1"/>
  <c r="BD3899" i="1"/>
  <c r="CE3899" i="1"/>
  <c r="A3900" i="1"/>
  <c r="C3900" i="1"/>
  <c r="E3900" i="1"/>
  <c r="S3900" i="1"/>
  <c r="T3900" i="1"/>
  <c r="U3900" i="1"/>
  <c r="BB3900" i="1"/>
  <c r="BD3900" i="1"/>
  <c r="CE3900" i="1"/>
  <c r="A3901" i="1"/>
  <c r="C3901" i="1"/>
  <c r="E3901" i="1"/>
  <c r="S3901" i="1"/>
  <c r="T3901" i="1"/>
  <c r="U3901" i="1"/>
  <c r="BB3901" i="1"/>
  <c r="BD3901" i="1"/>
  <c r="CE3901" i="1"/>
  <c r="A3902" i="1"/>
  <c r="C3902" i="1"/>
  <c r="E3902" i="1"/>
  <c r="S3902" i="1"/>
  <c r="T3902" i="1"/>
  <c r="U3902" i="1"/>
  <c r="BB3902" i="1"/>
  <c r="BD3902" i="1"/>
  <c r="CE3902" i="1"/>
  <c r="A3903" i="1"/>
  <c r="C3903" i="1"/>
  <c r="E3903" i="1"/>
  <c r="S3903" i="1"/>
  <c r="T3903" i="1"/>
  <c r="U3903" i="1"/>
  <c r="BB3903" i="1"/>
  <c r="BD3903" i="1"/>
  <c r="CE3903" i="1"/>
  <c r="A3904" i="1"/>
  <c r="C3904" i="1"/>
  <c r="E3904" i="1"/>
  <c r="S3904" i="1"/>
  <c r="T3904" i="1"/>
  <c r="U3904" i="1"/>
  <c r="BB3904" i="1"/>
  <c r="BD3904" i="1"/>
  <c r="CE3904" i="1"/>
  <c r="A3905" i="1"/>
  <c r="C3905" i="1"/>
  <c r="E3905" i="1"/>
  <c r="S3905" i="1"/>
  <c r="T3905" i="1"/>
  <c r="U3905" i="1"/>
  <c r="BB3905" i="1"/>
  <c r="BD3905" i="1"/>
  <c r="CE3905" i="1"/>
  <c r="A3906" i="1"/>
  <c r="C3906" i="1"/>
  <c r="E3906" i="1"/>
  <c r="S3906" i="1"/>
  <c r="T3906" i="1"/>
  <c r="U3906" i="1"/>
  <c r="BB3906" i="1"/>
  <c r="BD3906" i="1"/>
  <c r="CE3906" i="1"/>
  <c r="A3907" i="1"/>
  <c r="C3907" i="1"/>
  <c r="E3907" i="1"/>
  <c r="S3907" i="1"/>
  <c r="T3907" i="1"/>
  <c r="U3907" i="1"/>
  <c r="BB3907" i="1"/>
  <c r="BD3907" i="1"/>
  <c r="CE3907" i="1"/>
  <c r="A3908" i="1"/>
  <c r="C3908" i="1"/>
  <c r="E3908" i="1"/>
  <c r="S3908" i="1"/>
  <c r="T3908" i="1"/>
  <c r="U3908" i="1"/>
  <c r="BB3908" i="1"/>
  <c r="BD3908" i="1"/>
  <c r="CE3908" i="1"/>
  <c r="A3909" i="1"/>
  <c r="C3909" i="1"/>
  <c r="E3909" i="1"/>
  <c r="S3909" i="1"/>
  <c r="T3909" i="1"/>
  <c r="U3909" i="1"/>
  <c r="BB3909" i="1"/>
  <c r="BD3909" i="1"/>
  <c r="CE3909" i="1"/>
  <c r="A3910" i="1"/>
  <c r="C3910" i="1"/>
  <c r="E3910" i="1"/>
  <c r="S3910" i="1"/>
  <c r="T3910" i="1"/>
  <c r="U3910" i="1"/>
  <c r="BB3910" i="1"/>
  <c r="BD3910" i="1"/>
  <c r="CE3910" i="1"/>
  <c r="A3911" i="1"/>
  <c r="C3911" i="1"/>
  <c r="E3911" i="1"/>
  <c r="S3911" i="1"/>
  <c r="T3911" i="1"/>
  <c r="U3911" i="1"/>
  <c r="BB3911" i="1"/>
  <c r="BD3911" i="1"/>
  <c r="CE3911" i="1"/>
  <c r="A3912" i="1"/>
  <c r="C3912" i="1"/>
  <c r="E3912" i="1"/>
  <c r="S3912" i="1"/>
  <c r="T3912" i="1"/>
  <c r="U3912" i="1"/>
  <c r="BB3912" i="1"/>
  <c r="BD3912" i="1"/>
  <c r="CE3912" i="1"/>
  <c r="A3913" i="1"/>
  <c r="C3913" i="1"/>
  <c r="E3913" i="1"/>
  <c r="S3913" i="1"/>
  <c r="T3913" i="1"/>
  <c r="U3913" i="1"/>
  <c r="BB3913" i="1"/>
  <c r="BD3913" i="1"/>
  <c r="CE3913" i="1"/>
  <c r="A3914" i="1"/>
  <c r="C3914" i="1"/>
  <c r="E3914" i="1"/>
  <c r="S3914" i="1"/>
  <c r="T3914" i="1"/>
  <c r="U3914" i="1"/>
  <c r="BB3914" i="1"/>
  <c r="BD3914" i="1"/>
  <c r="CE3914" i="1"/>
  <c r="A3915" i="1"/>
  <c r="C3915" i="1"/>
  <c r="E3915" i="1"/>
  <c r="S3915" i="1"/>
  <c r="T3915" i="1"/>
  <c r="U3915" i="1"/>
  <c r="BB3915" i="1"/>
  <c r="BD3915" i="1"/>
  <c r="CE3915" i="1"/>
  <c r="A3916" i="1"/>
  <c r="C3916" i="1"/>
  <c r="E3916" i="1"/>
  <c r="S3916" i="1"/>
  <c r="T3916" i="1"/>
  <c r="U3916" i="1"/>
  <c r="BB3916" i="1"/>
  <c r="BD3916" i="1"/>
  <c r="CE3916" i="1"/>
  <c r="A3917" i="1"/>
  <c r="C3917" i="1"/>
  <c r="E3917" i="1"/>
  <c r="S3917" i="1"/>
  <c r="T3917" i="1"/>
  <c r="U3917" i="1"/>
  <c r="BB3917" i="1"/>
  <c r="BD3917" i="1"/>
  <c r="CE3917" i="1"/>
  <c r="A3918" i="1"/>
  <c r="C3918" i="1"/>
  <c r="E3918" i="1"/>
  <c r="S3918" i="1"/>
  <c r="T3918" i="1"/>
  <c r="U3918" i="1"/>
  <c r="BB3918" i="1"/>
  <c r="BD3918" i="1"/>
  <c r="CE3918" i="1"/>
  <c r="A3919" i="1"/>
  <c r="C3919" i="1"/>
  <c r="E3919" i="1"/>
  <c r="S3919" i="1"/>
  <c r="T3919" i="1"/>
  <c r="U3919" i="1"/>
  <c r="BB3919" i="1"/>
  <c r="BD3919" i="1"/>
  <c r="CE3919" i="1"/>
  <c r="A3920" i="1"/>
  <c r="C3920" i="1"/>
  <c r="E3920" i="1"/>
  <c r="S3920" i="1"/>
  <c r="T3920" i="1"/>
  <c r="U3920" i="1"/>
  <c r="BB3920" i="1"/>
  <c r="BD3920" i="1"/>
  <c r="CE3920" i="1"/>
  <c r="A3921" i="1"/>
  <c r="C3921" i="1"/>
  <c r="E3921" i="1"/>
  <c r="S3921" i="1"/>
  <c r="T3921" i="1"/>
  <c r="U3921" i="1"/>
  <c r="BB3921" i="1"/>
  <c r="BD3921" i="1"/>
  <c r="CE3921" i="1"/>
  <c r="A3922" i="1"/>
  <c r="C3922" i="1"/>
  <c r="E3922" i="1"/>
  <c r="S3922" i="1"/>
  <c r="T3922" i="1"/>
  <c r="U3922" i="1"/>
  <c r="BB3922" i="1"/>
  <c r="BD3922" i="1"/>
  <c r="CE3922" i="1"/>
  <c r="A3923" i="1"/>
  <c r="C3923" i="1"/>
  <c r="E3923" i="1"/>
  <c r="S3923" i="1"/>
  <c r="T3923" i="1"/>
  <c r="U3923" i="1"/>
  <c r="BB3923" i="1"/>
  <c r="BD3923" i="1"/>
  <c r="CE3923" i="1"/>
  <c r="A3924" i="1"/>
  <c r="C3924" i="1"/>
  <c r="E3924" i="1"/>
  <c r="S3924" i="1"/>
  <c r="T3924" i="1"/>
  <c r="U3924" i="1"/>
  <c r="BB3924" i="1"/>
  <c r="BD3924" i="1"/>
  <c r="CE3924" i="1"/>
  <c r="A3925" i="1"/>
  <c r="C3925" i="1"/>
  <c r="E3925" i="1"/>
  <c r="S3925" i="1"/>
  <c r="T3925" i="1"/>
  <c r="U3925" i="1"/>
  <c r="BB3925" i="1"/>
  <c r="BD3925" i="1"/>
  <c r="CE3925" i="1"/>
  <c r="A3926" i="1"/>
  <c r="C3926" i="1"/>
  <c r="E3926" i="1"/>
  <c r="S3926" i="1"/>
  <c r="T3926" i="1"/>
  <c r="U3926" i="1"/>
  <c r="BB3926" i="1"/>
  <c r="BD3926" i="1"/>
  <c r="CE3926" i="1"/>
  <c r="A3927" i="1"/>
  <c r="C3927" i="1"/>
  <c r="E3927" i="1"/>
  <c r="S3927" i="1"/>
  <c r="T3927" i="1"/>
  <c r="U3927" i="1"/>
  <c r="BB3927" i="1"/>
  <c r="BD3927" i="1"/>
  <c r="CE3927" i="1"/>
  <c r="A3928" i="1"/>
  <c r="C3928" i="1"/>
  <c r="E3928" i="1"/>
  <c r="S3928" i="1"/>
  <c r="T3928" i="1"/>
  <c r="U3928" i="1"/>
  <c r="BB3928" i="1"/>
  <c r="BD3928" i="1"/>
  <c r="CE3928" i="1"/>
  <c r="A3929" i="1"/>
  <c r="C3929" i="1"/>
  <c r="E3929" i="1"/>
  <c r="S3929" i="1"/>
  <c r="T3929" i="1"/>
  <c r="U3929" i="1"/>
  <c r="BB3929" i="1"/>
  <c r="BD3929" i="1"/>
  <c r="CE3929" i="1"/>
  <c r="A3930" i="1"/>
  <c r="C3930" i="1"/>
  <c r="E3930" i="1"/>
  <c r="S3930" i="1"/>
  <c r="T3930" i="1"/>
  <c r="U3930" i="1"/>
  <c r="BB3930" i="1"/>
  <c r="BD3930" i="1"/>
  <c r="CE3930" i="1"/>
  <c r="A3931" i="1"/>
  <c r="C3931" i="1"/>
  <c r="E3931" i="1"/>
  <c r="S3931" i="1"/>
  <c r="T3931" i="1"/>
  <c r="U3931" i="1"/>
  <c r="BB3931" i="1"/>
  <c r="BD3931" i="1"/>
  <c r="CE3931" i="1"/>
  <c r="A3932" i="1"/>
  <c r="C3932" i="1"/>
  <c r="E3932" i="1"/>
  <c r="S3932" i="1"/>
  <c r="T3932" i="1"/>
  <c r="U3932" i="1"/>
  <c r="BB3932" i="1"/>
  <c r="BD3932" i="1"/>
  <c r="CE3932" i="1"/>
  <c r="A3933" i="1"/>
  <c r="C3933" i="1"/>
  <c r="E3933" i="1"/>
  <c r="S3933" i="1"/>
  <c r="T3933" i="1"/>
  <c r="U3933" i="1"/>
  <c r="BB3933" i="1"/>
  <c r="BD3933" i="1"/>
  <c r="CE3933" i="1"/>
  <c r="A3934" i="1"/>
  <c r="C3934" i="1"/>
  <c r="E3934" i="1"/>
  <c r="S3934" i="1"/>
  <c r="T3934" i="1"/>
  <c r="U3934" i="1"/>
  <c r="BB3934" i="1"/>
  <c r="BD3934" i="1"/>
  <c r="CE3934" i="1"/>
  <c r="A3935" i="1"/>
  <c r="C3935" i="1"/>
  <c r="E3935" i="1"/>
  <c r="S3935" i="1"/>
  <c r="T3935" i="1"/>
  <c r="U3935" i="1"/>
  <c r="BB3935" i="1"/>
  <c r="BD3935" i="1"/>
  <c r="CE3935" i="1"/>
  <c r="A3936" i="1"/>
  <c r="C3936" i="1"/>
  <c r="E3936" i="1"/>
  <c r="S3936" i="1"/>
  <c r="T3936" i="1"/>
  <c r="U3936" i="1"/>
  <c r="BB3936" i="1"/>
  <c r="BD3936" i="1"/>
  <c r="CE3936" i="1"/>
  <c r="A3937" i="1"/>
  <c r="C3937" i="1"/>
  <c r="E3937" i="1"/>
  <c r="S3937" i="1"/>
  <c r="T3937" i="1"/>
  <c r="U3937" i="1"/>
  <c r="BB3937" i="1"/>
  <c r="BD3937" i="1"/>
  <c r="CE3937" i="1"/>
  <c r="A3938" i="1"/>
  <c r="C3938" i="1"/>
  <c r="E3938" i="1"/>
  <c r="S3938" i="1"/>
  <c r="T3938" i="1"/>
  <c r="U3938" i="1"/>
  <c r="BB3938" i="1"/>
  <c r="BD3938" i="1"/>
  <c r="CE3938" i="1"/>
  <c r="A3939" i="1"/>
  <c r="C3939" i="1"/>
  <c r="E3939" i="1"/>
  <c r="S3939" i="1"/>
  <c r="T3939" i="1"/>
  <c r="U3939" i="1"/>
  <c r="BB3939" i="1"/>
  <c r="BD3939" i="1"/>
  <c r="CE3939" i="1"/>
  <c r="A3940" i="1"/>
  <c r="C3940" i="1"/>
  <c r="E3940" i="1"/>
  <c r="S3940" i="1"/>
  <c r="T3940" i="1"/>
  <c r="U3940" i="1"/>
  <c r="BB3940" i="1"/>
  <c r="BD3940" i="1"/>
  <c r="CE3940" i="1"/>
  <c r="A3941" i="1"/>
  <c r="C3941" i="1"/>
  <c r="E3941" i="1"/>
  <c r="S3941" i="1"/>
  <c r="T3941" i="1"/>
  <c r="U3941" i="1"/>
  <c r="BB3941" i="1"/>
  <c r="BD3941" i="1"/>
  <c r="CE3941" i="1"/>
  <c r="A3942" i="1"/>
  <c r="C3942" i="1"/>
  <c r="E3942" i="1"/>
  <c r="S3942" i="1"/>
  <c r="T3942" i="1"/>
  <c r="U3942" i="1"/>
  <c r="BB3942" i="1"/>
  <c r="BD3942" i="1"/>
  <c r="CE3942" i="1"/>
  <c r="A3943" i="1"/>
  <c r="C3943" i="1"/>
  <c r="E3943" i="1"/>
  <c r="S3943" i="1"/>
  <c r="T3943" i="1"/>
  <c r="U3943" i="1"/>
  <c r="BB3943" i="1"/>
  <c r="BD3943" i="1"/>
  <c r="CE3943" i="1"/>
  <c r="A3944" i="1"/>
  <c r="C3944" i="1"/>
  <c r="E3944" i="1"/>
  <c r="S3944" i="1"/>
  <c r="T3944" i="1"/>
  <c r="U3944" i="1"/>
  <c r="BB3944" i="1"/>
  <c r="BD3944" i="1"/>
  <c r="CE3944" i="1"/>
  <c r="A3945" i="1"/>
  <c r="C3945" i="1"/>
  <c r="E3945" i="1"/>
  <c r="S3945" i="1"/>
  <c r="T3945" i="1"/>
  <c r="U3945" i="1"/>
  <c r="BB3945" i="1"/>
  <c r="BD3945" i="1"/>
  <c r="CE3945" i="1"/>
  <c r="A3946" i="1"/>
  <c r="C3946" i="1"/>
  <c r="E3946" i="1"/>
  <c r="S3946" i="1"/>
  <c r="T3946" i="1"/>
  <c r="U3946" i="1"/>
  <c r="BB3946" i="1"/>
  <c r="BD3946" i="1"/>
  <c r="CE3946" i="1"/>
  <c r="A3947" i="1"/>
  <c r="C3947" i="1"/>
  <c r="E3947" i="1"/>
  <c r="S3947" i="1"/>
  <c r="T3947" i="1"/>
  <c r="U3947" i="1"/>
  <c r="BB3947" i="1"/>
  <c r="BD3947" i="1"/>
  <c r="CE3947" i="1"/>
  <c r="A3948" i="1"/>
  <c r="C3948" i="1"/>
  <c r="E3948" i="1"/>
  <c r="S3948" i="1"/>
  <c r="T3948" i="1"/>
  <c r="U3948" i="1"/>
  <c r="BB3948" i="1"/>
  <c r="BD3948" i="1"/>
  <c r="CE3948" i="1"/>
  <c r="A3949" i="1"/>
  <c r="C3949" i="1"/>
  <c r="E3949" i="1"/>
  <c r="S3949" i="1"/>
  <c r="T3949" i="1"/>
  <c r="U3949" i="1"/>
  <c r="BB3949" i="1"/>
  <c r="BD3949" i="1"/>
  <c r="CE3949" i="1"/>
  <c r="A3950" i="1"/>
  <c r="C3950" i="1"/>
  <c r="E3950" i="1"/>
  <c r="S3950" i="1"/>
  <c r="T3950" i="1"/>
  <c r="U3950" i="1"/>
  <c r="BB3950" i="1"/>
  <c r="BD3950" i="1"/>
  <c r="CE3950" i="1"/>
  <c r="A3951" i="1"/>
  <c r="C3951" i="1"/>
  <c r="E3951" i="1"/>
  <c r="S3951" i="1"/>
  <c r="T3951" i="1"/>
  <c r="U3951" i="1"/>
  <c r="BB3951" i="1"/>
  <c r="BD3951" i="1"/>
  <c r="CE3951" i="1"/>
  <c r="A3952" i="1"/>
  <c r="C3952" i="1"/>
  <c r="E3952" i="1"/>
  <c r="S3952" i="1"/>
  <c r="T3952" i="1"/>
  <c r="U3952" i="1"/>
  <c r="BB3952" i="1"/>
  <c r="BD3952" i="1"/>
  <c r="CE3952" i="1"/>
  <c r="A3953" i="1"/>
  <c r="C3953" i="1"/>
  <c r="E3953" i="1"/>
  <c r="S3953" i="1"/>
  <c r="T3953" i="1"/>
  <c r="U3953" i="1"/>
  <c r="BB3953" i="1"/>
  <c r="BD3953" i="1"/>
  <c r="CE3953" i="1"/>
  <c r="A3954" i="1"/>
  <c r="C3954" i="1"/>
  <c r="E3954" i="1"/>
  <c r="S3954" i="1"/>
  <c r="T3954" i="1"/>
  <c r="U3954" i="1"/>
  <c r="BB3954" i="1"/>
  <c r="BD3954" i="1"/>
  <c r="CE3954" i="1"/>
  <c r="A3955" i="1"/>
  <c r="C3955" i="1"/>
  <c r="E3955" i="1"/>
  <c r="S3955" i="1"/>
  <c r="T3955" i="1"/>
  <c r="U3955" i="1"/>
  <c r="BB3955" i="1"/>
  <c r="BD3955" i="1"/>
  <c r="CE3955" i="1"/>
  <c r="A3956" i="1"/>
  <c r="C3956" i="1"/>
  <c r="E3956" i="1"/>
  <c r="S3956" i="1"/>
  <c r="T3956" i="1"/>
  <c r="U3956" i="1"/>
  <c r="BB3956" i="1"/>
  <c r="BD3956" i="1"/>
  <c r="CE3956" i="1"/>
  <c r="A3957" i="1"/>
  <c r="C3957" i="1"/>
  <c r="E3957" i="1"/>
  <c r="S3957" i="1"/>
  <c r="T3957" i="1"/>
  <c r="U3957" i="1"/>
  <c r="BB3957" i="1"/>
  <c r="BD3957" i="1"/>
  <c r="CE3957" i="1"/>
  <c r="A3958" i="1"/>
  <c r="C3958" i="1"/>
  <c r="E3958" i="1"/>
  <c r="S3958" i="1"/>
  <c r="T3958" i="1"/>
  <c r="U3958" i="1"/>
  <c r="BB3958" i="1"/>
  <c r="BD3958" i="1"/>
  <c r="CE3958" i="1"/>
  <c r="A3959" i="1"/>
  <c r="C3959" i="1"/>
  <c r="E3959" i="1"/>
  <c r="S3959" i="1"/>
  <c r="T3959" i="1"/>
  <c r="U3959" i="1"/>
  <c r="BB3959" i="1"/>
  <c r="BD3959" i="1"/>
  <c r="CE3959" i="1"/>
  <c r="A3960" i="1"/>
  <c r="C3960" i="1"/>
  <c r="E3960" i="1"/>
  <c r="S3960" i="1"/>
  <c r="T3960" i="1"/>
  <c r="U3960" i="1"/>
  <c r="BB3960" i="1"/>
  <c r="BD3960" i="1"/>
  <c r="CE3960" i="1"/>
  <c r="A3961" i="1"/>
  <c r="C3961" i="1"/>
  <c r="E3961" i="1"/>
  <c r="S3961" i="1"/>
  <c r="T3961" i="1"/>
  <c r="U3961" i="1"/>
  <c r="BB3961" i="1"/>
  <c r="BD3961" i="1"/>
  <c r="CE3961" i="1"/>
  <c r="A3962" i="1"/>
  <c r="C3962" i="1"/>
  <c r="E3962" i="1"/>
  <c r="S3962" i="1"/>
  <c r="T3962" i="1"/>
  <c r="U3962" i="1"/>
  <c r="BB3962" i="1"/>
  <c r="BD3962" i="1"/>
  <c r="CE3962" i="1"/>
  <c r="A3963" i="1"/>
  <c r="C3963" i="1"/>
  <c r="E3963" i="1"/>
  <c r="S3963" i="1"/>
  <c r="T3963" i="1"/>
  <c r="U3963" i="1"/>
  <c r="BB3963" i="1"/>
  <c r="BD3963" i="1"/>
  <c r="CE3963" i="1"/>
  <c r="A3964" i="1"/>
  <c r="C3964" i="1"/>
  <c r="E3964" i="1"/>
  <c r="S3964" i="1"/>
  <c r="T3964" i="1"/>
  <c r="U3964" i="1"/>
  <c r="BB3964" i="1"/>
  <c r="BD3964" i="1"/>
  <c r="CE3964" i="1"/>
  <c r="A3965" i="1"/>
  <c r="C3965" i="1"/>
  <c r="E3965" i="1"/>
  <c r="S3965" i="1"/>
  <c r="T3965" i="1"/>
  <c r="U3965" i="1"/>
  <c r="BB3965" i="1"/>
  <c r="BD3965" i="1"/>
  <c r="CE3965" i="1"/>
  <c r="A3966" i="1"/>
  <c r="C3966" i="1"/>
  <c r="E3966" i="1"/>
  <c r="S3966" i="1"/>
  <c r="T3966" i="1"/>
  <c r="U3966" i="1"/>
  <c r="BB3966" i="1"/>
  <c r="BD3966" i="1"/>
  <c r="CE3966" i="1"/>
  <c r="A3967" i="1"/>
  <c r="C3967" i="1"/>
  <c r="E3967" i="1"/>
  <c r="S3967" i="1"/>
  <c r="T3967" i="1"/>
  <c r="U3967" i="1"/>
  <c r="BB3967" i="1"/>
  <c r="BD3967" i="1"/>
  <c r="CE3967" i="1"/>
  <c r="A3968" i="1"/>
  <c r="C3968" i="1"/>
  <c r="E3968" i="1"/>
  <c r="S3968" i="1"/>
  <c r="T3968" i="1"/>
  <c r="U3968" i="1"/>
  <c r="BB3968" i="1"/>
  <c r="BD3968" i="1"/>
  <c r="CE3968" i="1"/>
  <c r="A3969" i="1"/>
  <c r="C3969" i="1"/>
  <c r="E3969" i="1"/>
  <c r="S3969" i="1"/>
  <c r="T3969" i="1"/>
  <c r="U3969" i="1"/>
  <c r="BB3969" i="1"/>
  <c r="BD3969" i="1"/>
  <c r="CE3969" i="1"/>
  <c r="A3970" i="1"/>
  <c r="C3970" i="1"/>
  <c r="E3970" i="1"/>
  <c r="S3970" i="1"/>
  <c r="T3970" i="1"/>
  <c r="U3970" i="1"/>
  <c r="BB3970" i="1"/>
  <c r="BD3970" i="1"/>
  <c r="CE3970" i="1"/>
  <c r="A3971" i="1"/>
  <c r="C3971" i="1"/>
  <c r="E3971" i="1"/>
  <c r="S3971" i="1"/>
  <c r="T3971" i="1"/>
  <c r="U3971" i="1"/>
  <c r="BB3971" i="1"/>
  <c r="BD3971" i="1"/>
  <c r="CE3971" i="1"/>
  <c r="A3972" i="1"/>
  <c r="C3972" i="1"/>
  <c r="E3972" i="1"/>
  <c r="S3972" i="1"/>
  <c r="T3972" i="1"/>
  <c r="U3972" i="1"/>
  <c r="BB3972" i="1"/>
  <c r="BD3972" i="1"/>
  <c r="CE3972" i="1"/>
  <c r="A3973" i="1"/>
  <c r="C3973" i="1"/>
  <c r="E3973" i="1"/>
  <c r="S3973" i="1"/>
  <c r="T3973" i="1"/>
  <c r="U3973" i="1"/>
  <c r="BB3973" i="1"/>
  <c r="BD3973" i="1"/>
  <c r="CE3973" i="1"/>
  <c r="A3974" i="1"/>
  <c r="C3974" i="1"/>
  <c r="E3974" i="1"/>
  <c r="S3974" i="1"/>
  <c r="T3974" i="1"/>
  <c r="U3974" i="1"/>
  <c r="BB3974" i="1"/>
  <c r="BD3974" i="1"/>
  <c r="CE3974" i="1"/>
  <c r="A3975" i="1"/>
  <c r="C3975" i="1"/>
  <c r="E3975" i="1"/>
  <c r="S3975" i="1"/>
  <c r="T3975" i="1"/>
  <c r="U3975" i="1"/>
  <c r="BB3975" i="1"/>
  <c r="BD3975" i="1"/>
  <c r="CE3975" i="1"/>
  <c r="A3976" i="1"/>
  <c r="C3976" i="1"/>
  <c r="E3976" i="1"/>
  <c r="S3976" i="1"/>
  <c r="T3976" i="1"/>
  <c r="U3976" i="1"/>
  <c r="BB3976" i="1"/>
  <c r="BD3976" i="1"/>
  <c r="CE3976" i="1"/>
  <c r="A3977" i="1"/>
  <c r="C3977" i="1"/>
  <c r="E3977" i="1"/>
  <c r="S3977" i="1"/>
  <c r="T3977" i="1"/>
  <c r="U3977" i="1"/>
  <c r="BB3977" i="1"/>
  <c r="BD3977" i="1"/>
  <c r="CE3977" i="1"/>
  <c r="A3978" i="1"/>
  <c r="C3978" i="1"/>
  <c r="E3978" i="1"/>
  <c r="S3978" i="1"/>
  <c r="T3978" i="1"/>
  <c r="U3978" i="1"/>
  <c r="BB3978" i="1"/>
  <c r="BD3978" i="1"/>
  <c r="CE3978" i="1"/>
  <c r="A3979" i="1"/>
  <c r="C3979" i="1"/>
  <c r="E3979" i="1"/>
  <c r="S3979" i="1"/>
  <c r="T3979" i="1"/>
  <c r="U3979" i="1"/>
  <c r="BB3979" i="1"/>
  <c r="BD3979" i="1"/>
  <c r="CE3979" i="1"/>
  <c r="A3980" i="1"/>
  <c r="C3980" i="1"/>
  <c r="E3980" i="1"/>
  <c r="S3980" i="1"/>
  <c r="T3980" i="1"/>
  <c r="U3980" i="1"/>
  <c r="BB3980" i="1"/>
  <c r="BD3980" i="1"/>
  <c r="CE3980" i="1"/>
  <c r="A3981" i="1"/>
  <c r="C3981" i="1"/>
  <c r="E3981" i="1"/>
  <c r="S3981" i="1"/>
  <c r="T3981" i="1"/>
  <c r="U3981" i="1"/>
  <c r="BB3981" i="1"/>
  <c r="BD3981" i="1"/>
  <c r="CE3981" i="1"/>
  <c r="A3982" i="1"/>
  <c r="C3982" i="1"/>
  <c r="E3982" i="1"/>
  <c r="S3982" i="1"/>
  <c r="T3982" i="1"/>
  <c r="U3982" i="1"/>
  <c r="BB3982" i="1"/>
  <c r="BD3982" i="1"/>
  <c r="CE3982" i="1"/>
  <c r="A3983" i="1"/>
  <c r="C3983" i="1"/>
  <c r="E3983" i="1"/>
  <c r="S3983" i="1"/>
  <c r="T3983" i="1"/>
  <c r="U3983" i="1"/>
  <c r="BB3983" i="1"/>
  <c r="BD3983" i="1"/>
  <c r="CE3983" i="1"/>
  <c r="A3984" i="1"/>
  <c r="C3984" i="1"/>
  <c r="E3984" i="1"/>
  <c r="S3984" i="1"/>
  <c r="T3984" i="1"/>
  <c r="U3984" i="1"/>
  <c r="BB3984" i="1"/>
  <c r="BD3984" i="1"/>
  <c r="CE3984" i="1"/>
  <c r="A3985" i="1"/>
  <c r="C3985" i="1"/>
  <c r="E3985" i="1"/>
  <c r="S3985" i="1"/>
  <c r="T3985" i="1"/>
  <c r="U3985" i="1"/>
  <c r="BB3985" i="1"/>
  <c r="BD3985" i="1"/>
  <c r="CE3985" i="1"/>
  <c r="A3986" i="1"/>
  <c r="C3986" i="1"/>
  <c r="E3986" i="1"/>
  <c r="S3986" i="1"/>
  <c r="T3986" i="1"/>
  <c r="U3986" i="1"/>
  <c r="BB3986" i="1"/>
  <c r="BD3986" i="1"/>
  <c r="CE3986" i="1"/>
  <c r="A3987" i="1"/>
  <c r="C3987" i="1"/>
  <c r="E3987" i="1"/>
  <c r="S3987" i="1"/>
  <c r="T3987" i="1"/>
  <c r="U3987" i="1"/>
  <c r="BB3987" i="1"/>
  <c r="BD3987" i="1"/>
  <c r="CE3987" i="1"/>
  <c r="A3988" i="1"/>
  <c r="C3988" i="1"/>
  <c r="E3988" i="1"/>
  <c r="S3988" i="1"/>
  <c r="T3988" i="1"/>
  <c r="U3988" i="1"/>
  <c r="BB3988" i="1"/>
  <c r="BD3988" i="1"/>
  <c r="CE3988" i="1"/>
  <c r="A3989" i="1"/>
  <c r="C3989" i="1"/>
  <c r="E3989" i="1"/>
  <c r="S3989" i="1"/>
  <c r="T3989" i="1"/>
  <c r="U3989" i="1"/>
  <c r="BB3989" i="1"/>
  <c r="BD3989" i="1"/>
  <c r="CE3989" i="1"/>
  <c r="A3990" i="1"/>
  <c r="C3990" i="1"/>
  <c r="E3990" i="1"/>
  <c r="S3990" i="1"/>
  <c r="T3990" i="1"/>
  <c r="U3990" i="1"/>
  <c r="BB3990" i="1"/>
  <c r="BD3990" i="1"/>
  <c r="CE3990" i="1"/>
  <c r="A3991" i="1"/>
  <c r="C3991" i="1"/>
  <c r="E3991" i="1"/>
  <c r="S3991" i="1"/>
  <c r="T3991" i="1"/>
  <c r="U3991" i="1"/>
  <c r="BB3991" i="1"/>
  <c r="BD3991" i="1"/>
  <c r="CE3991" i="1"/>
  <c r="A3992" i="1"/>
  <c r="C3992" i="1"/>
  <c r="E3992" i="1"/>
  <c r="S3992" i="1"/>
  <c r="T3992" i="1"/>
  <c r="U3992" i="1"/>
  <c r="BB3992" i="1"/>
  <c r="BD3992" i="1"/>
  <c r="CE3992" i="1"/>
  <c r="A3993" i="1"/>
  <c r="C3993" i="1"/>
  <c r="E3993" i="1"/>
  <c r="S3993" i="1"/>
  <c r="T3993" i="1"/>
  <c r="U3993" i="1"/>
  <c r="BB3993" i="1"/>
  <c r="BD3993" i="1"/>
  <c r="CE3993" i="1"/>
  <c r="A3994" i="1"/>
  <c r="C3994" i="1"/>
  <c r="E3994" i="1"/>
  <c r="S3994" i="1"/>
  <c r="T3994" i="1"/>
  <c r="U3994" i="1"/>
  <c r="BB3994" i="1"/>
  <c r="BD3994" i="1"/>
  <c r="CE3994" i="1"/>
  <c r="A3995" i="1"/>
  <c r="C3995" i="1"/>
  <c r="E3995" i="1"/>
  <c r="S3995" i="1"/>
  <c r="T3995" i="1"/>
  <c r="U3995" i="1"/>
  <c r="BB3995" i="1"/>
  <c r="BD3995" i="1"/>
  <c r="CE3995" i="1"/>
  <c r="A3996" i="1"/>
  <c r="C3996" i="1"/>
  <c r="E3996" i="1"/>
  <c r="S3996" i="1"/>
  <c r="T3996" i="1"/>
  <c r="U3996" i="1"/>
  <c r="BB3996" i="1"/>
  <c r="BD3996" i="1"/>
  <c r="CE3996" i="1"/>
  <c r="A3997" i="1"/>
  <c r="C3997" i="1"/>
  <c r="E3997" i="1"/>
  <c r="S3997" i="1"/>
  <c r="T3997" i="1"/>
  <c r="U3997" i="1"/>
  <c r="BB3997" i="1"/>
  <c r="BD3997" i="1"/>
  <c r="CE3997" i="1"/>
  <c r="A3998" i="1"/>
  <c r="C3998" i="1"/>
  <c r="E3998" i="1"/>
  <c r="S3998" i="1"/>
  <c r="T3998" i="1"/>
  <c r="U3998" i="1"/>
  <c r="BB3998" i="1"/>
  <c r="BD3998" i="1"/>
  <c r="CE3998" i="1"/>
  <c r="A3999" i="1"/>
  <c r="C3999" i="1"/>
  <c r="E3999" i="1"/>
  <c r="S3999" i="1"/>
  <c r="T3999" i="1"/>
  <c r="U3999" i="1"/>
  <c r="BB3999" i="1"/>
  <c r="BD3999" i="1"/>
  <c r="CE3999" i="1"/>
  <c r="A4000" i="1"/>
  <c r="C4000" i="1"/>
  <c r="E4000" i="1"/>
  <c r="S4000" i="1"/>
  <c r="T4000" i="1"/>
  <c r="U4000" i="1"/>
  <c r="BB4000" i="1"/>
  <c r="BD4000" i="1"/>
  <c r="CE4000" i="1"/>
  <c r="A4001" i="1"/>
  <c r="C4001" i="1"/>
  <c r="E4001" i="1"/>
  <c r="S4001" i="1"/>
  <c r="T4001" i="1"/>
  <c r="U4001" i="1"/>
  <c r="BB4001" i="1"/>
  <c r="BD4001" i="1"/>
  <c r="CE4001" i="1"/>
  <c r="A4002" i="1"/>
  <c r="C4002" i="1"/>
  <c r="E4002" i="1"/>
  <c r="S4002" i="1"/>
  <c r="T4002" i="1"/>
  <c r="U4002" i="1"/>
  <c r="BB4002" i="1"/>
  <c r="BD4002" i="1"/>
  <c r="CE4002" i="1"/>
  <c r="A4003" i="1"/>
  <c r="C4003" i="1"/>
  <c r="E4003" i="1"/>
  <c r="S4003" i="1"/>
  <c r="T4003" i="1"/>
  <c r="U4003" i="1"/>
  <c r="BB4003" i="1"/>
  <c r="BD4003" i="1"/>
  <c r="CE4003" i="1"/>
  <c r="A4004" i="1"/>
  <c r="C4004" i="1"/>
  <c r="E4004" i="1"/>
  <c r="S4004" i="1"/>
  <c r="T4004" i="1"/>
  <c r="U4004" i="1"/>
  <c r="BB4004" i="1"/>
  <c r="BD4004" i="1"/>
  <c r="CE4004" i="1"/>
  <c r="A4005" i="1"/>
  <c r="C4005" i="1"/>
  <c r="E4005" i="1"/>
  <c r="S4005" i="1"/>
  <c r="T4005" i="1"/>
  <c r="U4005" i="1"/>
  <c r="BB4005" i="1"/>
  <c r="BD4005" i="1"/>
  <c r="CE4005" i="1"/>
  <c r="A4006" i="1"/>
  <c r="C4006" i="1"/>
  <c r="E4006" i="1"/>
  <c r="S4006" i="1"/>
  <c r="T4006" i="1"/>
  <c r="U4006" i="1"/>
  <c r="BB4006" i="1"/>
  <c r="BD4006" i="1"/>
  <c r="CE4006" i="1"/>
  <c r="A4007" i="1"/>
  <c r="C4007" i="1"/>
  <c r="E4007" i="1"/>
  <c r="S4007" i="1"/>
  <c r="T4007" i="1"/>
  <c r="U4007" i="1"/>
  <c r="BB4007" i="1"/>
  <c r="BD4007" i="1"/>
  <c r="CE4007" i="1"/>
  <c r="A4008" i="1"/>
  <c r="C4008" i="1"/>
  <c r="E4008" i="1"/>
  <c r="S4008" i="1"/>
  <c r="T4008" i="1"/>
  <c r="U4008" i="1"/>
  <c r="BB4008" i="1"/>
  <c r="BD4008" i="1"/>
  <c r="CE4008" i="1"/>
  <c r="A4009" i="1"/>
  <c r="C4009" i="1"/>
  <c r="E4009" i="1"/>
  <c r="S4009" i="1"/>
  <c r="T4009" i="1"/>
  <c r="U4009" i="1"/>
  <c r="BB4009" i="1"/>
  <c r="BD4009" i="1"/>
  <c r="CE4009" i="1"/>
  <c r="A4010" i="1"/>
  <c r="C4010" i="1"/>
  <c r="E4010" i="1"/>
  <c r="S4010" i="1"/>
  <c r="T4010" i="1"/>
  <c r="U4010" i="1"/>
  <c r="BB4010" i="1"/>
  <c r="BD4010" i="1"/>
  <c r="CE4010" i="1"/>
  <c r="A4011" i="1"/>
  <c r="C4011" i="1"/>
  <c r="E4011" i="1"/>
  <c r="S4011" i="1"/>
  <c r="T4011" i="1"/>
  <c r="U4011" i="1"/>
  <c r="BB4011" i="1"/>
  <c r="BD4011" i="1"/>
  <c r="CE4011" i="1"/>
  <c r="A4012" i="1"/>
  <c r="C4012" i="1"/>
  <c r="E4012" i="1"/>
  <c r="S4012" i="1"/>
  <c r="T4012" i="1"/>
  <c r="U4012" i="1"/>
  <c r="BB4012" i="1"/>
  <c r="BD4012" i="1"/>
  <c r="CE4012" i="1"/>
  <c r="A4013" i="1"/>
  <c r="C4013" i="1"/>
  <c r="E4013" i="1"/>
  <c r="S4013" i="1"/>
  <c r="T4013" i="1"/>
  <c r="U4013" i="1"/>
  <c r="BB4013" i="1"/>
  <c r="BD4013" i="1"/>
  <c r="CE4013" i="1"/>
  <c r="A4014" i="1"/>
  <c r="C4014" i="1"/>
  <c r="E4014" i="1"/>
  <c r="S4014" i="1"/>
  <c r="T4014" i="1"/>
  <c r="U4014" i="1"/>
  <c r="BB4014" i="1"/>
  <c r="BD4014" i="1"/>
  <c r="CE4014" i="1"/>
  <c r="A4015" i="1"/>
  <c r="C4015" i="1"/>
  <c r="E4015" i="1"/>
  <c r="S4015" i="1"/>
  <c r="T4015" i="1"/>
  <c r="U4015" i="1"/>
  <c r="BB4015" i="1"/>
  <c r="BD4015" i="1"/>
  <c r="CE4015" i="1"/>
  <c r="A4016" i="1"/>
  <c r="C4016" i="1"/>
  <c r="E4016" i="1"/>
  <c r="S4016" i="1"/>
  <c r="T4016" i="1"/>
  <c r="U4016" i="1"/>
  <c r="BB4016" i="1"/>
  <c r="BD4016" i="1"/>
  <c r="CE4016" i="1"/>
  <c r="A4017" i="1"/>
  <c r="C4017" i="1"/>
  <c r="E4017" i="1"/>
  <c r="S4017" i="1"/>
  <c r="T4017" i="1"/>
  <c r="U4017" i="1"/>
  <c r="BB4017" i="1"/>
  <c r="BD4017" i="1"/>
  <c r="CE4017" i="1"/>
  <c r="A4018" i="1"/>
  <c r="C4018" i="1"/>
  <c r="E4018" i="1"/>
  <c r="S4018" i="1"/>
  <c r="T4018" i="1"/>
  <c r="U4018" i="1"/>
  <c r="BB4018" i="1"/>
  <c r="BD4018" i="1"/>
  <c r="CE4018" i="1"/>
  <c r="A4019" i="1"/>
  <c r="C4019" i="1"/>
  <c r="E4019" i="1"/>
  <c r="S4019" i="1"/>
  <c r="T4019" i="1"/>
  <c r="U4019" i="1"/>
  <c r="BB4019" i="1"/>
  <c r="BD4019" i="1"/>
  <c r="CE4019" i="1"/>
  <c r="A4020" i="1"/>
  <c r="C4020" i="1"/>
  <c r="E4020" i="1"/>
  <c r="S4020" i="1"/>
  <c r="T4020" i="1"/>
  <c r="U4020" i="1"/>
  <c r="BB4020" i="1"/>
  <c r="BD4020" i="1"/>
  <c r="CE4020" i="1"/>
  <c r="A4021" i="1"/>
  <c r="C4021" i="1"/>
  <c r="E4021" i="1"/>
  <c r="S4021" i="1"/>
  <c r="T4021" i="1"/>
  <c r="U4021" i="1"/>
  <c r="BB4021" i="1"/>
  <c r="BD4021" i="1"/>
  <c r="CE4021" i="1"/>
  <c r="A4022" i="1"/>
  <c r="C4022" i="1"/>
  <c r="E4022" i="1"/>
  <c r="S4022" i="1"/>
  <c r="T4022" i="1"/>
  <c r="U4022" i="1"/>
  <c r="BB4022" i="1"/>
  <c r="BD4022" i="1"/>
  <c r="CE4022" i="1"/>
  <c r="A4023" i="1"/>
  <c r="C4023" i="1"/>
  <c r="E4023" i="1"/>
  <c r="S4023" i="1"/>
  <c r="T4023" i="1"/>
  <c r="U4023" i="1"/>
  <c r="BB4023" i="1"/>
  <c r="BD4023" i="1"/>
  <c r="CE4023" i="1"/>
  <c r="A4024" i="1"/>
  <c r="C4024" i="1"/>
  <c r="E4024" i="1"/>
  <c r="S4024" i="1"/>
  <c r="T4024" i="1"/>
  <c r="U4024" i="1"/>
  <c r="BB4024" i="1"/>
  <c r="BD4024" i="1"/>
  <c r="CE4024" i="1"/>
  <c r="A4025" i="1"/>
  <c r="C4025" i="1"/>
  <c r="E4025" i="1"/>
  <c r="S4025" i="1"/>
  <c r="T4025" i="1"/>
  <c r="U4025" i="1"/>
  <c r="BB4025" i="1"/>
  <c r="BD4025" i="1"/>
  <c r="CE4025" i="1"/>
  <c r="A4026" i="1"/>
  <c r="C4026" i="1"/>
  <c r="E4026" i="1"/>
  <c r="S4026" i="1"/>
  <c r="T4026" i="1"/>
  <c r="U4026" i="1"/>
  <c r="BB4026" i="1"/>
  <c r="BD4026" i="1"/>
  <c r="CE4026" i="1"/>
  <c r="A4027" i="1"/>
  <c r="C4027" i="1"/>
  <c r="E4027" i="1"/>
  <c r="S4027" i="1"/>
  <c r="T4027" i="1"/>
  <c r="U4027" i="1"/>
  <c r="BB4027" i="1"/>
  <c r="BD4027" i="1"/>
  <c r="CE4027" i="1"/>
  <c r="A4028" i="1"/>
  <c r="C4028" i="1"/>
  <c r="E4028" i="1"/>
  <c r="S4028" i="1"/>
  <c r="T4028" i="1"/>
  <c r="U4028" i="1"/>
  <c r="BB4028" i="1"/>
  <c r="BD4028" i="1"/>
  <c r="CE4028" i="1"/>
  <c r="A4029" i="1"/>
  <c r="C4029" i="1"/>
  <c r="E4029" i="1"/>
  <c r="S4029" i="1"/>
  <c r="T4029" i="1"/>
  <c r="U4029" i="1"/>
  <c r="BB4029" i="1"/>
  <c r="BD4029" i="1"/>
  <c r="CE4029" i="1"/>
  <c r="A4030" i="1"/>
  <c r="C4030" i="1"/>
  <c r="E4030" i="1"/>
  <c r="S4030" i="1"/>
  <c r="T4030" i="1"/>
  <c r="U4030" i="1"/>
  <c r="BB4030" i="1"/>
  <c r="BD4030" i="1"/>
  <c r="CE4030" i="1"/>
  <c r="A4031" i="1"/>
  <c r="C4031" i="1"/>
  <c r="E4031" i="1"/>
  <c r="S4031" i="1"/>
  <c r="T4031" i="1"/>
  <c r="U4031" i="1"/>
  <c r="BB4031" i="1"/>
  <c r="BD4031" i="1"/>
  <c r="CE4031" i="1"/>
  <c r="A4032" i="1"/>
  <c r="C4032" i="1"/>
  <c r="E4032" i="1"/>
  <c r="S4032" i="1"/>
  <c r="T4032" i="1"/>
  <c r="U4032" i="1"/>
  <c r="BB4032" i="1"/>
  <c r="BD4032" i="1"/>
  <c r="CE4032" i="1"/>
  <c r="A4033" i="1"/>
  <c r="C4033" i="1"/>
  <c r="E4033" i="1"/>
  <c r="S4033" i="1"/>
  <c r="T4033" i="1"/>
  <c r="U4033" i="1"/>
  <c r="BB4033" i="1"/>
  <c r="BD4033" i="1"/>
  <c r="CE4033" i="1"/>
  <c r="A4034" i="1"/>
  <c r="C4034" i="1"/>
  <c r="E4034" i="1"/>
  <c r="S4034" i="1"/>
  <c r="T4034" i="1"/>
  <c r="U4034" i="1"/>
  <c r="BB4034" i="1"/>
  <c r="BD4034" i="1"/>
  <c r="CE4034" i="1"/>
  <c r="A4035" i="1"/>
  <c r="C4035" i="1"/>
  <c r="E4035" i="1"/>
  <c r="S4035" i="1"/>
  <c r="T4035" i="1"/>
  <c r="U4035" i="1"/>
  <c r="BB4035" i="1"/>
  <c r="BD4035" i="1"/>
  <c r="CE4035" i="1"/>
  <c r="A4036" i="1"/>
  <c r="C4036" i="1"/>
  <c r="E4036" i="1"/>
  <c r="S4036" i="1"/>
  <c r="T4036" i="1"/>
  <c r="U4036" i="1"/>
  <c r="BB4036" i="1"/>
  <c r="BD4036" i="1"/>
  <c r="CE4036" i="1"/>
  <c r="A4037" i="1"/>
  <c r="C4037" i="1"/>
  <c r="E4037" i="1"/>
  <c r="S4037" i="1"/>
  <c r="T4037" i="1"/>
  <c r="U4037" i="1"/>
  <c r="BB4037" i="1"/>
  <c r="BD4037" i="1"/>
  <c r="CE4037" i="1"/>
  <c r="A4038" i="1"/>
  <c r="C4038" i="1"/>
  <c r="E4038" i="1"/>
  <c r="S4038" i="1"/>
  <c r="T4038" i="1"/>
  <c r="U4038" i="1"/>
  <c r="BB4038" i="1"/>
  <c r="BD4038" i="1"/>
  <c r="CE4038" i="1"/>
  <c r="A4039" i="1"/>
  <c r="C4039" i="1"/>
  <c r="E4039" i="1"/>
  <c r="S4039" i="1"/>
  <c r="T4039" i="1"/>
  <c r="U4039" i="1"/>
  <c r="BB4039" i="1"/>
  <c r="BD4039" i="1"/>
  <c r="CE4039" i="1"/>
  <c r="A4040" i="1"/>
  <c r="C4040" i="1"/>
  <c r="E4040" i="1"/>
  <c r="S4040" i="1"/>
  <c r="T4040" i="1"/>
  <c r="U4040" i="1"/>
  <c r="BB4040" i="1"/>
  <c r="BD4040" i="1"/>
  <c r="CE4040" i="1"/>
  <c r="A4041" i="1"/>
  <c r="C4041" i="1"/>
  <c r="E4041" i="1"/>
  <c r="S4041" i="1"/>
  <c r="T4041" i="1"/>
  <c r="U4041" i="1"/>
  <c r="BB4041" i="1"/>
  <c r="BD4041" i="1"/>
  <c r="CE4041" i="1"/>
  <c r="A4042" i="1"/>
  <c r="C4042" i="1"/>
  <c r="E4042" i="1"/>
  <c r="S4042" i="1"/>
  <c r="T4042" i="1"/>
  <c r="U4042" i="1"/>
  <c r="BB4042" i="1"/>
  <c r="BD4042" i="1"/>
  <c r="CE4042" i="1"/>
  <c r="A4043" i="1"/>
  <c r="C4043" i="1"/>
  <c r="E4043" i="1"/>
  <c r="S4043" i="1"/>
  <c r="T4043" i="1"/>
  <c r="U4043" i="1"/>
  <c r="BB4043" i="1"/>
  <c r="BD4043" i="1"/>
  <c r="CE4043" i="1"/>
  <c r="A4044" i="1"/>
  <c r="C4044" i="1"/>
  <c r="E4044" i="1"/>
  <c r="S4044" i="1"/>
  <c r="T4044" i="1"/>
  <c r="U4044" i="1"/>
  <c r="BB4044" i="1"/>
  <c r="BD4044" i="1"/>
  <c r="CE4044" i="1"/>
  <c r="A4045" i="1"/>
  <c r="C4045" i="1"/>
  <c r="E4045" i="1"/>
  <c r="S4045" i="1"/>
  <c r="T4045" i="1"/>
  <c r="U4045" i="1"/>
  <c r="BB4045" i="1"/>
  <c r="BD4045" i="1"/>
  <c r="CE4045" i="1"/>
  <c r="A4046" i="1"/>
  <c r="C4046" i="1"/>
  <c r="E4046" i="1"/>
  <c r="S4046" i="1"/>
  <c r="T4046" i="1"/>
  <c r="U4046" i="1"/>
  <c r="BB4046" i="1"/>
  <c r="BD4046" i="1"/>
  <c r="CE4046" i="1"/>
  <c r="A4047" i="1"/>
  <c r="C4047" i="1"/>
  <c r="E4047" i="1"/>
  <c r="S4047" i="1"/>
  <c r="T4047" i="1"/>
  <c r="U4047" i="1"/>
  <c r="BB4047" i="1"/>
  <c r="BD4047" i="1"/>
  <c r="CE4047" i="1"/>
  <c r="A4048" i="1"/>
  <c r="C4048" i="1"/>
  <c r="E4048" i="1"/>
  <c r="S4048" i="1"/>
  <c r="T4048" i="1"/>
  <c r="U4048" i="1"/>
  <c r="BB4048" i="1"/>
  <c r="BD4048" i="1"/>
  <c r="CE4048" i="1"/>
  <c r="A4049" i="1"/>
  <c r="C4049" i="1"/>
  <c r="E4049" i="1"/>
  <c r="S4049" i="1"/>
  <c r="T4049" i="1"/>
  <c r="U4049" i="1"/>
  <c r="BB4049" i="1"/>
  <c r="BD4049" i="1"/>
  <c r="CE4049" i="1"/>
  <c r="A4050" i="1"/>
  <c r="C4050" i="1"/>
  <c r="E4050" i="1"/>
  <c r="S4050" i="1"/>
  <c r="T4050" i="1"/>
  <c r="U4050" i="1"/>
  <c r="BB4050" i="1"/>
  <c r="BD4050" i="1"/>
  <c r="CE4050" i="1"/>
  <c r="A4051" i="1"/>
  <c r="C4051" i="1"/>
  <c r="E4051" i="1"/>
  <c r="S4051" i="1"/>
  <c r="T4051" i="1"/>
  <c r="U4051" i="1"/>
  <c r="BB4051" i="1"/>
  <c r="BD4051" i="1"/>
  <c r="CE4051" i="1"/>
  <c r="A4052" i="1"/>
  <c r="C4052" i="1"/>
  <c r="E4052" i="1"/>
  <c r="S4052" i="1"/>
  <c r="T4052" i="1"/>
  <c r="U4052" i="1"/>
  <c r="BB4052" i="1"/>
  <c r="BD4052" i="1"/>
  <c r="CE4052" i="1"/>
  <c r="A4053" i="1"/>
  <c r="C4053" i="1"/>
  <c r="E4053" i="1"/>
  <c r="S4053" i="1"/>
  <c r="T4053" i="1"/>
  <c r="U4053" i="1"/>
  <c r="BB4053" i="1"/>
  <c r="BD4053" i="1"/>
  <c r="CE4053" i="1"/>
  <c r="A4054" i="1"/>
  <c r="C4054" i="1"/>
  <c r="E4054" i="1"/>
  <c r="S4054" i="1"/>
  <c r="T4054" i="1"/>
  <c r="U4054" i="1"/>
  <c r="BB4054" i="1"/>
  <c r="BD4054" i="1"/>
  <c r="CE4054" i="1"/>
  <c r="A4055" i="1"/>
  <c r="C4055" i="1"/>
  <c r="E4055" i="1"/>
  <c r="S4055" i="1"/>
  <c r="T4055" i="1"/>
  <c r="U4055" i="1"/>
  <c r="BB4055" i="1"/>
  <c r="BD4055" i="1"/>
  <c r="CE4055" i="1"/>
  <c r="A4056" i="1"/>
  <c r="C4056" i="1"/>
  <c r="E4056" i="1"/>
  <c r="S4056" i="1"/>
  <c r="T4056" i="1"/>
  <c r="U4056" i="1"/>
  <c r="BB4056" i="1"/>
  <c r="BD4056" i="1"/>
  <c r="CE4056" i="1"/>
  <c r="A4057" i="1"/>
  <c r="C4057" i="1"/>
  <c r="E4057" i="1"/>
  <c r="S4057" i="1"/>
  <c r="T4057" i="1"/>
  <c r="U4057" i="1"/>
  <c r="BB4057" i="1"/>
  <c r="BD4057" i="1"/>
  <c r="CE4057" i="1"/>
  <c r="A4058" i="1"/>
  <c r="C4058" i="1"/>
  <c r="E4058" i="1"/>
  <c r="S4058" i="1"/>
  <c r="T4058" i="1"/>
  <c r="U4058" i="1"/>
  <c r="BB4058" i="1"/>
  <c r="BD4058" i="1"/>
  <c r="CE4058" i="1"/>
  <c r="A4059" i="1"/>
  <c r="C4059" i="1"/>
  <c r="E4059" i="1"/>
  <c r="S4059" i="1"/>
  <c r="T4059" i="1"/>
  <c r="U4059" i="1"/>
  <c r="BB4059" i="1"/>
  <c r="BD4059" i="1"/>
  <c r="CE4059" i="1"/>
  <c r="A4060" i="1"/>
  <c r="C4060" i="1"/>
  <c r="E4060" i="1"/>
  <c r="S4060" i="1"/>
  <c r="T4060" i="1"/>
  <c r="U4060" i="1"/>
  <c r="BB4060" i="1"/>
  <c r="BD4060" i="1"/>
  <c r="CE4060" i="1"/>
  <c r="A4061" i="1"/>
  <c r="C4061" i="1"/>
  <c r="E4061" i="1"/>
  <c r="S4061" i="1"/>
  <c r="T4061" i="1"/>
  <c r="U4061" i="1"/>
  <c r="BB4061" i="1"/>
  <c r="BD4061" i="1"/>
  <c r="CE4061" i="1"/>
  <c r="A4062" i="1"/>
  <c r="C4062" i="1"/>
  <c r="E4062" i="1"/>
  <c r="S4062" i="1"/>
  <c r="T4062" i="1"/>
  <c r="U4062" i="1"/>
  <c r="BB4062" i="1"/>
  <c r="BD4062" i="1"/>
  <c r="CE4062" i="1"/>
  <c r="A4063" i="1"/>
  <c r="C4063" i="1"/>
  <c r="E4063" i="1"/>
  <c r="S4063" i="1"/>
  <c r="T4063" i="1"/>
  <c r="U4063" i="1"/>
  <c r="BB4063" i="1"/>
  <c r="BD4063" i="1"/>
  <c r="CE4063" i="1"/>
  <c r="A4064" i="1"/>
  <c r="C4064" i="1"/>
  <c r="E4064" i="1"/>
  <c r="S4064" i="1"/>
  <c r="T4064" i="1"/>
  <c r="U4064" i="1"/>
  <c r="BB4064" i="1"/>
  <c r="BD4064" i="1"/>
  <c r="CE4064" i="1"/>
  <c r="A4065" i="1"/>
  <c r="C4065" i="1"/>
  <c r="E4065" i="1"/>
  <c r="S4065" i="1"/>
  <c r="T4065" i="1"/>
  <c r="U4065" i="1"/>
  <c r="BB4065" i="1"/>
  <c r="BD4065" i="1"/>
  <c r="CE4065" i="1"/>
  <c r="A4066" i="1"/>
  <c r="C4066" i="1"/>
  <c r="E4066" i="1"/>
  <c r="S4066" i="1"/>
  <c r="T4066" i="1"/>
  <c r="U4066" i="1"/>
  <c r="BB4066" i="1"/>
  <c r="BD4066" i="1"/>
  <c r="CE4066" i="1"/>
  <c r="A4067" i="1"/>
  <c r="C4067" i="1"/>
  <c r="E4067" i="1"/>
  <c r="S4067" i="1"/>
  <c r="T4067" i="1"/>
  <c r="U4067" i="1"/>
  <c r="BB4067" i="1"/>
  <c r="BD4067" i="1"/>
  <c r="CE4067" i="1"/>
  <c r="A4068" i="1"/>
  <c r="C4068" i="1"/>
  <c r="E4068" i="1"/>
  <c r="S4068" i="1"/>
  <c r="T4068" i="1"/>
  <c r="U4068" i="1"/>
  <c r="BB4068" i="1"/>
  <c r="BD4068" i="1"/>
  <c r="CE4068" i="1"/>
  <c r="A4069" i="1"/>
  <c r="C4069" i="1"/>
  <c r="E4069" i="1"/>
  <c r="S4069" i="1"/>
  <c r="T4069" i="1"/>
  <c r="U4069" i="1"/>
  <c r="BB4069" i="1"/>
  <c r="BD4069" i="1"/>
  <c r="CE4069" i="1"/>
  <c r="A4070" i="1"/>
  <c r="C4070" i="1"/>
  <c r="E4070" i="1"/>
  <c r="S4070" i="1"/>
  <c r="T4070" i="1"/>
  <c r="U4070" i="1"/>
  <c r="BB4070" i="1"/>
  <c r="BD4070" i="1"/>
  <c r="CE4070" i="1"/>
  <c r="A4071" i="1"/>
  <c r="C4071" i="1"/>
  <c r="E4071" i="1"/>
  <c r="S4071" i="1"/>
  <c r="T4071" i="1"/>
  <c r="U4071" i="1"/>
  <c r="BB4071" i="1"/>
  <c r="BD4071" i="1"/>
  <c r="CE4071" i="1"/>
  <c r="A4072" i="1"/>
  <c r="C4072" i="1"/>
  <c r="E4072" i="1"/>
  <c r="S4072" i="1"/>
  <c r="T4072" i="1"/>
  <c r="U4072" i="1"/>
  <c r="BB4072" i="1"/>
  <c r="BD4072" i="1"/>
  <c r="CE4072" i="1"/>
  <c r="A4073" i="1"/>
  <c r="C4073" i="1"/>
  <c r="E4073" i="1"/>
  <c r="S4073" i="1"/>
  <c r="T4073" i="1"/>
  <c r="U4073" i="1"/>
  <c r="BB4073" i="1"/>
  <c r="BD4073" i="1"/>
  <c r="CE4073" i="1"/>
  <c r="A4074" i="1"/>
  <c r="C4074" i="1"/>
  <c r="E4074" i="1"/>
  <c r="S4074" i="1"/>
  <c r="T4074" i="1"/>
  <c r="U4074" i="1"/>
  <c r="BB4074" i="1"/>
  <c r="BD4074" i="1"/>
  <c r="CE4074" i="1"/>
  <c r="A4075" i="1"/>
  <c r="C4075" i="1"/>
  <c r="E4075" i="1"/>
  <c r="S4075" i="1"/>
  <c r="T4075" i="1"/>
  <c r="U4075" i="1"/>
  <c r="BB4075" i="1"/>
  <c r="BD4075" i="1"/>
  <c r="CE4075" i="1"/>
  <c r="A4076" i="1"/>
  <c r="C4076" i="1"/>
  <c r="E4076" i="1"/>
  <c r="S4076" i="1"/>
  <c r="T4076" i="1"/>
  <c r="U4076" i="1"/>
  <c r="BB4076" i="1"/>
  <c r="BD4076" i="1"/>
  <c r="CE4076" i="1"/>
  <c r="A4077" i="1"/>
  <c r="C4077" i="1"/>
  <c r="E4077" i="1"/>
  <c r="S4077" i="1"/>
  <c r="T4077" i="1"/>
  <c r="U4077" i="1"/>
  <c r="BB4077" i="1"/>
  <c r="BD4077" i="1"/>
  <c r="CE4077" i="1"/>
  <c r="A4078" i="1"/>
  <c r="C4078" i="1"/>
  <c r="E4078" i="1"/>
  <c r="S4078" i="1"/>
  <c r="T4078" i="1"/>
  <c r="U4078" i="1"/>
  <c r="BB4078" i="1"/>
  <c r="BD4078" i="1"/>
  <c r="CE4078" i="1"/>
  <c r="A4079" i="1"/>
  <c r="C4079" i="1"/>
  <c r="E4079" i="1"/>
  <c r="S4079" i="1"/>
  <c r="T4079" i="1"/>
  <c r="U4079" i="1"/>
  <c r="BB4079" i="1"/>
  <c r="BD4079" i="1"/>
  <c r="CE4079" i="1"/>
  <c r="A4080" i="1"/>
  <c r="C4080" i="1"/>
  <c r="E4080" i="1"/>
  <c r="S4080" i="1"/>
  <c r="T4080" i="1"/>
  <c r="U4080" i="1"/>
  <c r="BB4080" i="1"/>
  <c r="BD4080" i="1"/>
  <c r="CE4080" i="1"/>
  <c r="A4081" i="1"/>
  <c r="C4081" i="1"/>
  <c r="E4081" i="1"/>
  <c r="S4081" i="1"/>
  <c r="T4081" i="1"/>
  <c r="U4081" i="1"/>
  <c r="BB4081" i="1"/>
  <c r="BD4081" i="1"/>
  <c r="CE4081" i="1"/>
  <c r="A4082" i="1"/>
  <c r="C4082" i="1"/>
  <c r="E4082" i="1"/>
  <c r="S4082" i="1"/>
  <c r="T4082" i="1"/>
  <c r="U4082" i="1"/>
  <c r="BB4082" i="1"/>
  <c r="BD4082" i="1"/>
  <c r="CE4082" i="1"/>
  <c r="A4083" i="1"/>
  <c r="C4083" i="1"/>
  <c r="E4083" i="1"/>
  <c r="S4083" i="1"/>
  <c r="T4083" i="1"/>
  <c r="U4083" i="1"/>
  <c r="BB4083" i="1"/>
  <c r="BD4083" i="1"/>
  <c r="CE4083" i="1"/>
  <c r="A4084" i="1"/>
  <c r="C4084" i="1"/>
  <c r="E4084" i="1"/>
  <c r="S4084" i="1"/>
  <c r="T4084" i="1"/>
  <c r="U4084" i="1"/>
  <c r="BB4084" i="1"/>
  <c r="BD4084" i="1"/>
  <c r="CE4084" i="1"/>
  <c r="A4085" i="1"/>
  <c r="C4085" i="1"/>
  <c r="E4085" i="1"/>
  <c r="S4085" i="1"/>
  <c r="T4085" i="1"/>
  <c r="U4085" i="1"/>
  <c r="BB4085" i="1"/>
  <c r="BD4085" i="1"/>
  <c r="CE4085" i="1"/>
  <c r="A4086" i="1"/>
  <c r="C4086" i="1"/>
  <c r="E4086" i="1"/>
  <c r="S4086" i="1"/>
  <c r="T4086" i="1"/>
  <c r="U4086" i="1"/>
  <c r="BB4086" i="1"/>
  <c r="BD4086" i="1"/>
  <c r="CE4086" i="1"/>
  <c r="A4087" i="1"/>
  <c r="C4087" i="1"/>
  <c r="E4087" i="1"/>
  <c r="S4087" i="1"/>
  <c r="T4087" i="1"/>
  <c r="U4087" i="1"/>
  <c r="BB4087" i="1"/>
  <c r="BD4087" i="1"/>
  <c r="CE4087" i="1"/>
  <c r="A4088" i="1"/>
  <c r="C4088" i="1"/>
  <c r="E4088" i="1"/>
  <c r="S4088" i="1"/>
  <c r="T4088" i="1"/>
  <c r="U4088" i="1"/>
  <c r="BB4088" i="1"/>
  <c r="BD4088" i="1"/>
  <c r="CE4088" i="1"/>
  <c r="A4089" i="1"/>
  <c r="C4089" i="1"/>
  <c r="E4089" i="1"/>
  <c r="S4089" i="1"/>
  <c r="T4089" i="1"/>
  <c r="U4089" i="1"/>
  <c r="BB4089" i="1"/>
  <c r="BD4089" i="1"/>
  <c r="CE4089" i="1"/>
  <c r="A4090" i="1"/>
  <c r="C4090" i="1"/>
  <c r="E4090" i="1"/>
  <c r="S4090" i="1"/>
  <c r="T4090" i="1"/>
  <c r="U4090" i="1"/>
  <c r="BB4090" i="1"/>
  <c r="BD4090" i="1"/>
  <c r="CE4090" i="1"/>
  <c r="A4091" i="1"/>
  <c r="C4091" i="1"/>
  <c r="E4091" i="1"/>
  <c r="S4091" i="1"/>
  <c r="T4091" i="1"/>
  <c r="U4091" i="1"/>
  <c r="BB4091" i="1"/>
  <c r="BD4091" i="1"/>
  <c r="CE4091" i="1"/>
  <c r="A4092" i="1"/>
  <c r="C4092" i="1"/>
  <c r="E4092" i="1"/>
  <c r="S4092" i="1"/>
  <c r="T4092" i="1"/>
  <c r="U4092" i="1"/>
  <c r="BB4092" i="1"/>
  <c r="BD4092" i="1"/>
  <c r="CE4092" i="1"/>
  <c r="A4093" i="1"/>
  <c r="C4093" i="1"/>
  <c r="E4093" i="1"/>
  <c r="S4093" i="1"/>
  <c r="T4093" i="1"/>
  <c r="U4093" i="1"/>
  <c r="BB4093" i="1"/>
  <c r="BD4093" i="1"/>
  <c r="CE4093" i="1"/>
  <c r="A4094" i="1"/>
  <c r="C4094" i="1"/>
  <c r="E4094" i="1"/>
  <c r="S4094" i="1"/>
  <c r="T4094" i="1"/>
  <c r="U4094" i="1"/>
  <c r="BB4094" i="1"/>
  <c r="BD4094" i="1"/>
  <c r="CE4094" i="1"/>
  <c r="A4095" i="1"/>
  <c r="C4095" i="1"/>
  <c r="E4095" i="1"/>
  <c r="S4095" i="1"/>
  <c r="T4095" i="1"/>
  <c r="U4095" i="1"/>
  <c r="BB4095" i="1"/>
  <c r="BD4095" i="1"/>
  <c r="CE4095" i="1"/>
  <c r="A4096" i="1"/>
  <c r="C4096" i="1"/>
  <c r="E4096" i="1"/>
  <c r="S4096" i="1"/>
  <c r="T4096" i="1"/>
  <c r="U4096" i="1"/>
  <c r="BB4096" i="1"/>
  <c r="BD4096" i="1"/>
  <c r="CE4096" i="1"/>
  <c r="A4097" i="1"/>
  <c r="C4097" i="1"/>
  <c r="E4097" i="1"/>
  <c r="S4097" i="1"/>
  <c r="T4097" i="1"/>
  <c r="U4097" i="1"/>
  <c r="BB4097" i="1"/>
  <c r="BD4097" i="1"/>
  <c r="CE4097" i="1"/>
  <c r="A4098" i="1"/>
  <c r="C4098" i="1"/>
  <c r="E4098" i="1"/>
  <c r="S4098" i="1"/>
  <c r="T4098" i="1"/>
  <c r="U4098" i="1"/>
  <c r="BB4098" i="1"/>
  <c r="BD4098" i="1"/>
  <c r="CE4098" i="1"/>
  <c r="A4099" i="1"/>
  <c r="C4099" i="1"/>
  <c r="E4099" i="1"/>
  <c r="S4099" i="1"/>
  <c r="T4099" i="1"/>
  <c r="U4099" i="1"/>
  <c r="BB4099" i="1"/>
  <c r="BD4099" i="1"/>
  <c r="CE4099" i="1"/>
  <c r="A4100" i="1"/>
  <c r="C4100" i="1"/>
  <c r="E4100" i="1"/>
  <c r="S4100" i="1"/>
  <c r="T4100" i="1"/>
  <c r="U4100" i="1"/>
  <c r="BB4100" i="1"/>
  <c r="BD4100" i="1"/>
  <c r="CE4100" i="1"/>
  <c r="A4101" i="1"/>
  <c r="C4101" i="1"/>
  <c r="E4101" i="1"/>
  <c r="S4101" i="1"/>
  <c r="T4101" i="1"/>
  <c r="U4101" i="1"/>
  <c r="BB4101" i="1"/>
  <c r="BD4101" i="1"/>
  <c r="CE4101" i="1"/>
  <c r="A4102" i="1"/>
  <c r="C4102" i="1"/>
  <c r="E4102" i="1"/>
  <c r="S4102" i="1"/>
  <c r="T4102" i="1"/>
  <c r="U4102" i="1"/>
  <c r="BB4102" i="1"/>
  <c r="BD4102" i="1"/>
  <c r="CE4102" i="1"/>
  <c r="A4103" i="1"/>
  <c r="C4103" i="1"/>
  <c r="E4103" i="1"/>
  <c r="S4103" i="1"/>
  <c r="T4103" i="1"/>
  <c r="U4103" i="1"/>
  <c r="BB4103" i="1"/>
  <c r="BD4103" i="1"/>
  <c r="CE4103" i="1"/>
  <c r="A4104" i="1"/>
  <c r="C4104" i="1"/>
  <c r="E4104" i="1"/>
  <c r="S4104" i="1"/>
  <c r="T4104" i="1"/>
  <c r="U4104" i="1"/>
  <c r="BB4104" i="1"/>
  <c r="BD4104" i="1"/>
  <c r="CE4104" i="1"/>
  <c r="A4105" i="1"/>
  <c r="C4105" i="1"/>
  <c r="E4105" i="1"/>
  <c r="S4105" i="1"/>
  <c r="T4105" i="1"/>
  <c r="U4105" i="1"/>
  <c r="BB4105" i="1"/>
  <c r="BD4105" i="1"/>
  <c r="CE4105" i="1"/>
  <c r="A4106" i="1"/>
  <c r="C4106" i="1"/>
  <c r="E4106" i="1"/>
  <c r="S4106" i="1"/>
  <c r="T4106" i="1"/>
  <c r="U4106" i="1"/>
  <c r="BB4106" i="1"/>
  <c r="BD4106" i="1"/>
  <c r="CE4106" i="1"/>
  <c r="A4107" i="1"/>
  <c r="C4107" i="1"/>
  <c r="E4107" i="1"/>
  <c r="S4107" i="1"/>
  <c r="T4107" i="1"/>
  <c r="U4107" i="1"/>
  <c r="BB4107" i="1"/>
  <c r="BD4107" i="1"/>
  <c r="CE4107" i="1"/>
  <c r="A4108" i="1"/>
  <c r="C4108" i="1"/>
  <c r="E4108" i="1"/>
  <c r="S4108" i="1"/>
  <c r="T4108" i="1"/>
  <c r="U4108" i="1"/>
  <c r="BB4108" i="1"/>
  <c r="BD4108" i="1"/>
  <c r="CE4108" i="1"/>
  <c r="A4109" i="1"/>
  <c r="C4109" i="1"/>
  <c r="E4109" i="1"/>
  <c r="S4109" i="1"/>
  <c r="T4109" i="1"/>
  <c r="U4109" i="1"/>
  <c r="BB4109" i="1"/>
  <c r="BD4109" i="1"/>
  <c r="CE4109" i="1"/>
  <c r="A4110" i="1"/>
  <c r="C4110" i="1"/>
  <c r="E4110" i="1"/>
  <c r="S4110" i="1"/>
  <c r="T4110" i="1"/>
  <c r="U4110" i="1"/>
  <c r="BB4110" i="1"/>
  <c r="BD4110" i="1"/>
  <c r="CE4110" i="1"/>
  <c r="A4111" i="1"/>
  <c r="C4111" i="1"/>
  <c r="E4111" i="1"/>
  <c r="S4111" i="1"/>
  <c r="T4111" i="1"/>
  <c r="U4111" i="1"/>
  <c r="BB4111" i="1"/>
  <c r="BD4111" i="1"/>
  <c r="CE4111" i="1"/>
  <c r="A4112" i="1"/>
  <c r="C4112" i="1"/>
  <c r="E4112" i="1"/>
  <c r="S4112" i="1"/>
  <c r="T4112" i="1"/>
  <c r="U4112" i="1"/>
  <c r="BB4112" i="1"/>
  <c r="BD4112" i="1"/>
  <c r="CE4112" i="1"/>
  <c r="A4113" i="1"/>
  <c r="C4113" i="1"/>
  <c r="E4113" i="1"/>
  <c r="S4113" i="1"/>
  <c r="T4113" i="1"/>
  <c r="U4113" i="1"/>
  <c r="BB4113" i="1"/>
  <c r="BD4113" i="1"/>
  <c r="CE4113" i="1"/>
  <c r="A4114" i="1"/>
  <c r="C4114" i="1"/>
  <c r="E4114" i="1"/>
  <c r="S4114" i="1"/>
  <c r="T4114" i="1"/>
  <c r="U4114" i="1"/>
  <c r="BB4114" i="1"/>
  <c r="BD4114" i="1"/>
  <c r="CE4114" i="1"/>
  <c r="A4115" i="1"/>
  <c r="C4115" i="1"/>
  <c r="E4115" i="1"/>
  <c r="S4115" i="1"/>
  <c r="T4115" i="1"/>
  <c r="U4115" i="1"/>
  <c r="BB4115" i="1"/>
  <c r="BD4115" i="1"/>
  <c r="CE4115" i="1"/>
  <c r="A4116" i="1"/>
  <c r="C4116" i="1"/>
  <c r="E4116" i="1"/>
  <c r="S4116" i="1"/>
  <c r="T4116" i="1"/>
  <c r="U4116" i="1"/>
  <c r="BB4116" i="1"/>
  <c r="BD4116" i="1"/>
  <c r="CE4116" i="1"/>
  <c r="A4117" i="1"/>
  <c r="C4117" i="1"/>
  <c r="E4117" i="1"/>
  <c r="S4117" i="1"/>
  <c r="T4117" i="1"/>
  <c r="U4117" i="1"/>
  <c r="BB4117" i="1"/>
  <c r="BD4117" i="1"/>
  <c r="CE4117" i="1"/>
  <c r="A4118" i="1"/>
  <c r="C4118" i="1"/>
  <c r="E4118" i="1"/>
  <c r="S4118" i="1"/>
  <c r="T4118" i="1"/>
  <c r="U4118" i="1"/>
  <c r="BB4118" i="1"/>
  <c r="BD4118" i="1"/>
  <c r="CE4118" i="1"/>
  <c r="A4119" i="1"/>
  <c r="C4119" i="1"/>
  <c r="E4119" i="1"/>
  <c r="S4119" i="1"/>
  <c r="T4119" i="1"/>
  <c r="U4119" i="1"/>
  <c r="BB4119" i="1"/>
  <c r="BD4119" i="1"/>
  <c r="CE4119" i="1"/>
  <c r="A4120" i="1"/>
  <c r="C4120" i="1"/>
  <c r="E4120" i="1"/>
  <c r="S4120" i="1"/>
  <c r="T4120" i="1"/>
  <c r="U4120" i="1"/>
  <c r="BB4120" i="1"/>
  <c r="BD4120" i="1"/>
  <c r="CE4120" i="1"/>
  <c r="A4121" i="1"/>
  <c r="C4121" i="1"/>
  <c r="E4121" i="1"/>
  <c r="S4121" i="1"/>
  <c r="T4121" i="1"/>
  <c r="U4121" i="1"/>
  <c r="BB4121" i="1"/>
  <c r="BD4121" i="1"/>
  <c r="CE4121" i="1"/>
  <c r="A4122" i="1"/>
  <c r="C4122" i="1"/>
  <c r="E4122" i="1"/>
  <c r="S4122" i="1"/>
  <c r="T4122" i="1"/>
  <c r="U4122" i="1"/>
  <c r="BB4122" i="1"/>
  <c r="BD4122" i="1"/>
  <c r="CE4122" i="1"/>
  <c r="A4123" i="1"/>
  <c r="C4123" i="1"/>
  <c r="E4123" i="1"/>
  <c r="S4123" i="1"/>
  <c r="T4123" i="1"/>
  <c r="U4123" i="1"/>
  <c r="BB4123" i="1"/>
  <c r="BD4123" i="1"/>
  <c r="CE4123" i="1"/>
  <c r="A4124" i="1"/>
  <c r="C4124" i="1"/>
  <c r="E4124" i="1"/>
  <c r="S4124" i="1"/>
  <c r="T4124" i="1"/>
  <c r="U4124" i="1"/>
  <c r="BB4124" i="1"/>
  <c r="BD4124" i="1"/>
  <c r="CE4124" i="1"/>
  <c r="A4125" i="1"/>
  <c r="C4125" i="1"/>
  <c r="E4125" i="1"/>
  <c r="S4125" i="1"/>
  <c r="T4125" i="1"/>
  <c r="U4125" i="1"/>
  <c r="BB4125" i="1"/>
  <c r="BD4125" i="1"/>
  <c r="CE4125" i="1"/>
  <c r="A4126" i="1"/>
  <c r="C4126" i="1"/>
  <c r="E4126" i="1"/>
  <c r="S4126" i="1"/>
  <c r="T4126" i="1"/>
  <c r="U4126" i="1"/>
  <c r="BB4126" i="1"/>
  <c r="BD4126" i="1"/>
  <c r="CE4126" i="1"/>
  <c r="A4127" i="1"/>
  <c r="C4127" i="1"/>
  <c r="E4127" i="1"/>
  <c r="S4127" i="1"/>
  <c r="T4127" i="1"/>
  <c r="U4127" i="1"/>
  <c r="BB4127" i="1"/>
  <c r="BD4127" i="1"/>
  <c r="CE4127" i="1"/>
  <c r="A4128" i="1"/>
  <c r="C4128" i="1"/>
  <c r="E4128" i="1"/>
  <c r="S4128" i="1"/>
  <c r="T4128" i="1"/>
  <c r="U4128" i="1"/>
  <c r="BB4128" i="1"/>
  <c r="BD4128" i="1"/>
  <c r="CE4128" i="1"/>
  <c r="A4129" i="1"/>
  <c r="C4129" i="1"/>
  <c r="E4129" i="1"/>
  <c r="S4129" i="1"/>
  <c r="T4129" i="1"/>
  <c r="U4129" i="1"/>
  <c r="BB4129" i="1"/>
  <c r="BD4129" i="1"/>
  <c r="CE4129" i="1"/>
  <c r="A4130" i="1"/>
  <c r="C4130" i="1"/>
  <c r="E4130" i="1"/>
  <c r="S4130" i="1"/>
  <c r="T4130" i="1"/>
  <c r="U4130" i="1"/>
  <c r="BB4130" i="1"/>
  <c r="BD4130" i="1"/>
  <c r="CE4130" i="1"/>
  <c r="A4131" i="1"/>
  <c r="C4131" i="1"/>
  <c r="E4131" i="1"/>
  <c r="S4131" i="1"/>
  <c r="T4131" i="1"/>
  <c r="U4131" i="1"/>
  <c r="BB4131" i="1"/>
  <c r="BD4131" i="1"/>
  <c r="CE4131" i="1"/>
  <c r="A4132" i="1"/>
  <c r="C4132" i="1"/>
  <c r="E4132" i="1"/>
  <c r="S4132" i="1"/>
  <c r="T4132" i="1"/>
  <c r="U4132" i="1"/>
  <c r="BB4132" i="1"/>
  <c r="BD4132" i="1"/>
  <c r="CE4132" i="1"/>
  <c r="A4133" i="1"/>
  <c r="C4133" i="1"/>
  <c r="E4133" i="1"/>
  <c r="S4133" i="1"/>
  <c r="T4133" i="1"/>
  <c r="U4133" i="1"/>
  <c r="BB4133" i="1"/>
  <c r="BD4133" i="1"/>
  <c r="CE4133" i="1"/>
  <c r="A4134" i="1"/>
  <c r="C4134" i="1"/>
  <c r="E4134" i="1"/>
  <c r="S4134" i="1"/>
  <c r="T4134" i="1"/>
  <c r="U4134" i="1"/>
  <c r="BB4134" i="1"/>
  <c r="BD4134" i="1"/>
  <c r="CE4134" i="1"/>
  <c r="A4135" i="1"/>
  <c r="C4135" i="1"/>
  <c r="E4135" i="1"/>
  <c r="S4135" i="1"/>
  <c r="T4135" i="1"/>
  <c r="U4135" i="1"/>
  <c r="BB4135" i="1"/>
  <c r="BD4135" i="1"/>
  <c r="CE4135" i="1"/>
  <c r="A4136" i="1"/>
  <c r="C4136" i="1"/>
  <c r="E4136" i="1"/>
  <c r="S4136" i="1"/>
  <c r="T4136" i="1"/>
  <c r="U4136" i="1"/>
  <c r="BB4136" i="1"/>
  <c r="BD4136" i="1"/>
  <c r="CE4136" i="1"/>
  <c r="A4137" i="1"/>
  <c r="C4137" i="1"/>
  <c r="E4137" i="1"/>
  <c r="S4137" i="1"/>
  <c r="T4137" i="1"/>
  <c r="U4137" i="1"/>
  <c r="BB4137" i="1"/>
  <c r="BD4137" i="1"/>
  <c r="CE4137" i="1"/>
  <c r="A4138" i="1"/>
  <c r="C4138" i="1"/>
  <c r="E4138" i="1"/>
  <c r="S4138" i="1"/>
  <c r="T4138" i="1"/>
  <c r="U4138" i="1"/>
  <c r="BB4138" i="1"/>
  <c r="BD4138" i="1"/>
  <c r="CE4138" i="1"/>
  <c r="A4139" i="1"/>
  <c r="C4139" i="1"/>
  <c r="E4139" i="1"/>
  <c r="S4139" i="1"/>
  <c r="T4139" i="1"/>
  <c r="U4139" i="1"/>
  <c r="BB4139" i="1"/>
  <c r="BD4139" i="1"/>
  <c r="CE4139" i="1"/>
  <c r="A4140" i="1"/>
  <c r="C4140" i="1"/>
  <c r="E4140" i="1"/>
  <c r="S4140" i="1"/>
  <c r="T4140" i="1"/>
  <c r="U4140" i="1"/>
  <c r="BB4140" i="1"/>
  <c r="BD4140" i="1"/>
  <c r="CE4140" i="1"/>
  <c r="A4141" i="1"/>
  <c r="C4141" i="1"/>
  <c r="E4141" i="1"/>
  <c r="S4141" i="1"/>
  <c r="T4141" i="1"/>
  <c r="U4141" i="1"/>
  <c r="BB4141" i="1"/>
  <c r="BD4141" i="1"/>
  <c r="CE4141" i="1"/>
  <c r="A4142" i="1"/>
  <c r="C4142" i="1"/>
  <c r="E4142" i="1"/>
  <c r="S4142" i="1"/>
  <c r="T4142" i="1"/>
  <c r="U4142" i="1"/>
  <c r="BB4142" i="1"/>
  <c r="BD4142" i="1"/>
  <c r="CE4142" i="1"/>
  <c r="A4143" i="1"/>
  <c r="C4143" i="1"/>
  <c r="E4143" i="1"/>
  <c r="S4143" i="1"/>
  <c r="T4143" i="1"/>
  <c r="U4143" i="1"/>
  <c r="BB4143" i="1"/>
  <c r="BD4143" i="1"/>
  <c r="CE4143" i="1"/>
  <c r="A4144" i="1"/>
  <c r="C4144" i="1"/>
  <c r="E4144" i="1"/>
  <c r="S4144" i="1"/>
  <c r="T4144" i="1"/>
  <c r="U4144" i="1"/>
  <c r="BB4144" i="1"/>
  <c r="BD4144" i="1"/>
  <c r="CE4144" i="1"/>
  <c r="A4145" i="1"/>
  <c r="C4145" i="1"/>
  <c r="E4145" i="1"/>
  <c r="S4145" i="1"/>
  <c r="T4145" i="1"/>
  <c r="U4145" i="1"/>
  <c r="BB4145" i="1"/>
  <c r="BD4145" i="1"/>
  <c r="CE4145" i="1"/>
  <c r="A4146" i="1"/>
  <c r="C4146" i="1"/>
  <c r="E4146" i="1"/>
  <c r="S4146" i="1"/>
  <c r="T4146" i="1"/>
  <c r="U4146" i="1"/>
  <c r="BB4146" i="1"/>
  <c r="BD4146" i="1"/>
  <c r="CE4146" i="1"/>
  <c r="A4147" i="1"/>
  <c r="C4147" i="1"/>
  <c r="E4147" i="1"/>
  <c r="S4147" i="1"/>
  <c r="T4147" i="1"/>
  <c r="U4147" i="1"/>
  <c r="BB4147" i="1"/>
  <c r="BD4147" i="1"/>
  <c r="CE4147" i="1"/>
  <c r="A4148" i="1"/>
  <c r="C4148" i="1"/>
  <c r="E4148" i="1"/>
  <c r="S4148" i="1"/>
  <c r="T4148" i="1"/>
  <c r="U4148" i="1"/>
  <c r="BB4148" i="1"/>
  <c r="BD4148" i="1"/>
  <c r="CE4148" i="1"/>
  <c r="A4149" i="1"/>
  <c r="C4149" i="1"/>
  <c r="E4149" i="1"/>
  <c r="S4149" i="1"/>
  <c r="T4149" i="1"/>
  <c r="U4149" i="1"/>
  <c r="BB4149" i="1"/>
  <c r="BD4149" i="1"/>
  <c r="CE4149" i="1"/>
  <c r="A4150" i="1"/>
  <c r="C4150" i="1"/>
  <c r="E4150" i="1"/>
  <c r="S4150" i="1"/>
  <c r="T4150" i="1"/>
  <c r="U4150" i="1"/>
  <c r="BB4150" i="1"/>
  <c r="BD4150" i="1"/>
  <c r="CE4150" i="1"/>
  <c r="A4151" i="1"/>
  <c r="C4151" i="1"/>
  <c r="E4151" i="1"/>
  <c r="S4151" i="1"/>
  <c r="T4151" i="1"/>
  <c r="U4151" i="1"/>
  <c r="BB4151" i="1"/>
  <c r="BD4151" i="1"/>
  <c r="CE4151" i="1"/>
  <c r="A4152" i="1"/>
  <c r="C4152" i="1"/>
  <c r="E4152" i="1"/>
  <c r="S4152" i="1"/>
  <c r="T4152" i="1"/>
  <c r="U4152" i="1"/>
  <c r="BB4152" i="1"/>
  <c r="BD4152" i="1"/>
  <c r="CE4152" i="1"/>
  <c r="A4153" i="1"/>
  <c r="C4153" i="1"/>
  <c r="E4153" i="1"/>
  <c r="S4153" i="1"/>
  <c r="T4153" i="1"/>
  <c r="U4153" i="1"/>
  <c r="BB4153" i="1"/>
  <c r="BD4153" i="1"/>
  <c r="CE4153" i="1"/>
  <c r="A4154" i="1"/>
  <c r="C4154" i="1"/>
  <c r="E4154" i="1"/>
  <c r="S4154" i="1"/>
  <c r="T4154" i="1"/>
  <c r="U4154" i="1"/>
  <c r="BB4154" i="1"/>
  <c r="BD4154" i="1"/>
  <c r="CE4154" i="1"/>
  <c r="A4155" i="1"/>
  <c r="C4155" i="1"/>
  <c r="E4155" i="1"/>
  <c r="S4155" i="1"/>
  <c r="T4155" i="1"/>
  <c r="U4155" i="1"/>
  <c r="BB4155" i="1"/>
  <c r="BD4155" i="1"/>
  <c r="CE4155" i="1"/>
  <c r="A4156" i="1"/>
  <c r="C4156" i="1"/>
  <c r="E4156" i="1"/>
  <c r="S4156" i="1"/>
  <c r="T4156" i="1"/>
  <c r="U4156" i="1"/>
  <c r="BB4156" i="1"/>
  <c r="BD4156" i="1"/>
  <c r="CE4156" i="1"/>
  <c r="A4157" i="1"/>
  <c r="C4157" i="1"/>
  <c r="E4157" i="1"/>
  <c r="S4157" i="1"/>
  <c r="T4157" i="1"/>
  <c r="U4157" i="1"/>
  <c r="BB4157" i="1"/>
  <c r="BD4157" i="1"/>
  <c r="CE4157" i="1"/>
  <c r="A4158" i="1"/>
  <c r="C4158" i="1"/>
  <c r="E4158" i="1"/>
  <c r="S4158" i="1"/>
  <c r="T4158" i="1"/>
  <c r="U4158" i="1"/>
  <c r="BB4158" i="1"/>
  <c r="BD4158" i="1"/>
  <c r="CE4158" i="1"/>
  <c r="A4159" i="1"/>
  <c r="C4159" i="1"/>
  <c r="E4159" i="1"/>
  <c r="S4159" i="1"/>
  <c r="T4159" i="1"/>
  <c r="U4159" i="1"/>
  <c r="BB4159" i="1"/>
  <c r="BD4159" i="1"/>
  <c r="CE4159" i="1"/>
  <c r="A4160" i="1"/>
  <c r="C4160" i="1"/>
  <c r="E4160" i="1"/>
  <c r="S4160" i="1"/>
  <c r="T4160" i="1"/>
  <c r="U4160" i="1"/>
  <c r="BB4160" i="1"/>
  <c r="BD4160" i="1"/>
  <c r="CE4160" i="1"/>
  <c r="A4161" i="1"/>
  <c r="C4161" i="1"/>
  <c r="E4161" i="1"/>
  <c r="S4161" i="1"/>
  <c r="T4161" i="1"/>
  <c r="U4161" i="1"/>
  <c r="BB4161" i="1"/>
  <c r="BD4161" i="1"/>
  <c r="CE4161" i="1"/>
  <c r="A4162" i="1"/>
  <c r="C4162" i="1"/>
  <c r="E4162" i="1"/>
  <c r="S4162" i="1"/>
  <c r="T4162" i="1"/>
  <c r="U4162" i="1"/>
  <c r="BB4162" i="1"/>
  <c r="BD4162" i="1"/>
  <c r="CE4162" i="1"/>
  <c r="A4163" i="1"/>
  <c r="C4163" i="1"/>
  <c r="E4163" i="1"/>
  <c r="S4163" i="1"/>
  <c r="T4163" i="1"/>
  <c r="U4163" i="1"/>
  <c r="BB4163" i="1"/>
  <c r="BD4163" i="1"/>
  <c r="CE4163" i="1"/>
  <c r="A4164" i="1"/>
  <c r="C4164" i="1"/>
  <c r="E4164" i="1"/>
  <c r="S4164" i="1"/>
  <c r="T4164" i="1"/>
  <c r="U4164" i="1"/>
  <c r="BB4164" i="1"/>
  <c r="BD4164" i="1"/>
  <c r="CE4164" i="1"/>
  <c r="A4165" i="1"/>
  <c r="C4165" i="1"/>
  <c r="E4165" i="1"/>
  <c r="S4165" i="1"/>
  <c r="T4165" i="1"/>
  <c r="U4165" i="1"/>
  <c r="BB4165" i="1"/>
  <c r="BD4165" i="1"/>
  <c r="CE4165" i="1"/>
  <c r="A4166" i="1"/>
  <c r="C4166" i="1"/>
  <c r="E4166" i="1"/>
  <c r="S4166" i="1"/>
  <c r="T4166" i="1"/>
  <c r="U4166" i="1"/>
  <c r="BB4166" i="1"/>
  <c r="BD4166" i="1"/>
  <c r="CE4166" i="1"/>
  <c r="A4167" i="1"/>
  <c r="C4167" i="1"/>
  <c r="E4167" i="1"/>
  <c r="S4167" i="1"/>
  <c r="T4167" i="1"/>
  <c r="U4167" i="1"/>
  <c r="BB4167" i="1"/>
  <c r="BD4167" i="1"/>
  <c r="CE4167" i="1"/>
  <c r="A4168" i="1"/>
  <c r="C4168" i="1"/>
  <c r="E4168" i="1"/>
  <c r="S4168" i="1"/>
  <c r="T4168" i="1"/>
  <c r="U4168" i="1"/>
  <c r="BB4168" i="1"/>
  <c r="BD4168" i="1"/>
  <c r="CE4168" i="1"/>
  <c r="A4169" i="1"/>
  <c r="C4169" i="1"/>
  <c r="E4169" i="1"/>
  <c r="S4169" i="1"/>
  <c r="T4169" i="1"/>
  <c r="U4169" i="1"/>
  <c r="BB4169" i="1"/>
  <c r="BD4169" i="1"/>
  <c r="CE4169" i="1"/>
  <c r="A4170" i="1"/>
  <c r="C4170" i="1"/>
  <c r="E4170" i="1"/>
  <c r="S4170" i="1"/>
  <c r="T4170" i="1"/>
  <c r="U4170" i="1"/>
  <c r="BB4170" i="1"/>
  <c r="BD4170" i="1"/>
  <c r="CE4170" i="1"/>
  <c r="A4171" i="1"/>
  <c r="C4171" i="1"/>
  <c r="E4171" i="1"/>
  <c r="S4171" i="1"/>
  <c r="T4171" i="1"/>
  <c r="U4171" i="1"/>
  <c r="BB4171" i="1"/>
  <c r="BD4171" i="1"/>
  <c r="CE4171" i="1"/>
  <c r="A4172" i="1"/>
  <c r="C4172" i="1"/>
  <c r="E4172" i="1"/>
  <c r="S4172" i="1"/>
  <c r="T4172" i="1"/>
  <c r="U4172" i="1"/>
  <c r="BB4172" i="1"/>
  <c r="BD4172" i="1"/>
  <c r="CE4172" i="1"/>
  <c r="A4173" i="1"/>
  <c r="C4173" i="1"/>
  <c r="E4173" i="1"/>
  <c r="S4173" i="1"/>
  <c r="T4173" i="1"/>
  <c r="U4173" i="1"/>
  <c r="BB4173" i="1"/>
  <c r="BD4173" i="1"/>
  <c r="CE4173" i="1"/>
  <c r="A4174" i="1"/>
  <c r="C4174" i="1"/>
  <c r="E4174" i="1"/>
  <c r="S4174" i="1"/>
  <c r="T4174" i="1"/>
  <c r="U4174" i="1"/>
  <c r="BB4174" i="1"/>
  <c r="BD4174" i="1"/>
  <c r="CE4174" i="1"/>
  <c r="A4175" i="1"/>
  <c r="C4175" i="1"/>
  <c r="E4175" i="1"/>
  <c r="S4175" i="1"/>
  <c r="T4175" i="1"/>
  <c r="U4175" i="1"/>
  <c r="BB4175" i="1"/>
  <c r="BD4175" i="1"/>
  <c r="CE4175" i="1"/>
  <c r="A4176" i="1"/>
  <c r="C4176" i="1"/>
  <c r="E4176" i="1"/>
  <c r="S4176" i="1"/>
  <c r="T4176" i="1"/>
  <c r="U4176" i="1"/>
  <c r="BB4176" i="1"/>
  <c r="BD4176" i="1"/>
  <c r="CE4176" i="1"/>
  <c r="A4177" i="1"/>
  <c r="C4177" i="1"/>
  <c r="E4177" i="1"/>
  <c r="S4177" i="1"/>
  <c r="T4177" i="1"/>
  <c r="U4177" i="1"/>
  <c r="BB4177" i="1"/>
  <c r="BD4177" i="1"/>
  <c r="CE4177" i="1"/>
  <c r="A4178" i="1"/>
  <c r="C4178" i="1"/>
  <c r="E4178" i="1"/>
  <c r="S4178" i="1"/>
  <c r="T4178" i="1"/>
  <c r="U4178" i="1"/>
  <c r="BB4178" i="1"/>
  <c r="BD4178" i="1"/>
  <c r="CE4178" i="1"/>
  <c r="A4179" i="1"/>
  <c r="C4179" i="1"/>
  <c r="E4179" i="1"/>
  <c r="S4179" i="1"/>
  <c r="T4179" i="1"/>
  <c r="U4179" i="1"/>
  <c r="BB4179" i="1"/>
  <c r="BD4179" i="1"/>
  <c r="CE4179" i="1"/>
  <c r="A4180" i="1"/>
  <c r="C4180" i="1"/>
  <c r="E4180" i="1"/>
  <c r="S4180" i="1"/>
  <c r="T4180" i="1"/>
  <c r="U4180" i="1"/>
  <c r="BB4180" i="1"/>
  <c r="BD4180" i="1"/>
  <c r="CE4180" i="1"/>
  <c r="A4181" i="1"/>
  <c r="C4181" i="1"/>
  <c r="E4181" i="1"/>
  <c r="S4181" i="1"/>
  <c r="T4181" i="1"/>
  <c r="U4181" i="1"/>
  <c r="BB4181" i="1"/>
  <c r="BD4181" i="1"/>
  <c r="CE4181" i="1"/>
  <c r="A4182" i="1"/>
  <c r="C4182" i="1"/>
  <c r="E4182" i="1"/>
  <c r="S4182" i="1"/>
  <c r="T4182" i="1"/>
  <c r="U4182" i="1"/>
  <c r="BB4182" i="1"/>
  <c r="BD4182" i="1"/>
  <c r="CE4182" i="1"/>
  <c r="A4183" i="1"/>
  <c r="C4183" i="1"/>
  <c r="E4183" i="1"/>
  <c r="S4183" i="1"/>
  <c r="T4183" i="1"/>
  <c r="U4183" i="1"/>
  <c r="BB4183" i="1"/>
  <c r="BD4183" i="1"/>
  <c r="CE4183" i="1"/>
  <c r="A4184" i="1"/>
  <c r="C4184" i="1"/>
  <c r="E4184" i="1"/>
  <c r="S4184" i="1"/>
  <c r="T4184" i="1"/>
  <c r="U4184" i="1"/>
  <c r="BB4184" i="1"/>
  <c r="BD4184" i="1"/>
  <c r="CE4184" i="1"/>
  <c r="A4185" i="1"/>
  <c r="C4185" i="1"/>
  <c r="E4185" i="1"/>
  <c r="S4185" i="1"/>
  <c r="T4185" i="1"/>
  <c r="U4185" i="1"/>
  <c r="BB4185" i="1"/>
  <c r="BD4185" i="1"/>
  <c r="CE4185" i="1"/>
  <c r="A4186" i="1"/>
  <c r="C4186" i="1"/>
  <c r="E4186" i="1"/>
  <c r="S4186" i="1"/>
  <c r="T4186" i="1"/>
  <c r="U4186" i="1"/>
  <c r="BB4186" i="1"/>
  <c r="BD4186" i="1"/>
  <c r="CE4186" i="1"/>
  <c r="A4187" i="1"/>
  <c r="C4187" i="1"/>
  <c r="E4187" i="1"/>
  <c r="S4187" i="1"/>
  <c r="T4187" i="1"/>
  <c r="U4187" i="1"/>
  <c r="BB4187" i="1"/>
  <c r="BD4187" i="1"/>
  <c r="CE4187" i="1"/>
  <c r="A4188" i="1"/>
  <c r="C4188" i="1"/>
  <c r="E4188" i="1"/>
  <c r="S4188" i="1"/>
  <c r="T4188" i="1"/>
  <c r="U4188" i="1"/>
  <c r="BB4188" i="1"/>
  <c r="BD4188" i="1"/>
  <c r="CE4188" i="1"/>
  <c r="A4189" i="1"/>
  <c r="C4189" i="1"/>
  <c r="E4189" i="1"/>
  <c r="S4189" i="1"/>
  <c r="T4189" i="1"/>
  <c r="U4189" i="1"/>
  <c r="BB4189" i="1"/>
  <c r="BD4189" i="1"/>
  <c r="CE4189" i="1"/>
  <c r="A4190" i="1"/>
  <c r="C4190" i="1"/>
  <c r="E4190" i="1"/>
  <c r="S4190" i="1"/>
  <c r="T4190" i="1"/>
  <c r="U4190" i="1"/>
  <c r="BB4190" i="1"/>
  <c r="BD4190" i="1"/>
  <c r="CE4190" i="1"/>
  <c r="A4191" i="1"/>
  <c r="C4191" i="1"/>
  <c r="E4191" i="1"/>
  <c r="S4191" i="1"/>
  <c r="T4191" i="1"/>
  <c r="U4191" i="1"/>
  <c r="BB4191" i="1"/>
  <c r="BD4191" i="1"/>
  <c r="CE4191" i="1"/>
  <c r="A4192" i="1"/>
  <c r="C4192" i="1"/>
  <c r="E4192" i="1"/>
  <c r="S4192" i="1"/>
  <c r="T4192" i="1"/>
  <c r="U4192" i="1"/>
  <c r="BB4192" i="1"/>
  <c r="BD4192" i="1"/>
  <c r="CE4192" i="1"/>
  <c r="A4193" i="1"/>
  <c r="C4193" i="1"/>
  <c r="E4193" i="1"/>
  <c r="S4193" i="1"/>
  <c r="T4193" i="1"/>
  <c r="U4193" i="1"/>
  <c r="BB4193" i="1"/>
  <c r="BD4193" i="1"/>
  <c r="CE4193" i="1"/>
  <c r="A4194" i="1"/>
  <c r="C4194" i="1"/>
  <c r="E4194" i="1"/>
  <c r="S4194" i="1"/>
  <c r="T4194" i="1"/>
  <c r="U4194" i="1"/>
  <c r="BB4194" i="1"/>
  <c r="BD4194" i="1"/>
  <c r="CE4194" i="1"/>
  <c r="A4195" i="1"/>
  <c r="C4195" i="1"/>
  <c r="E4195" i="1"/>
  <c r="S4195" i="1"/>
  <c r="T4195" i="1"/>
  <c r="U4195" i="1"/>
  <c r="BB4195" i="1"/>
  <c r="BD4195" i="1"/>
  <c r="CE4195" i="1"/>
  <c r="A4196" i="1"/>
  <c r="C4196" i="1"/>
  <c r="E4196" i="1"/>
  <c r="S4196" i="1"/>
  <c r="T4196" i="1"/>
  <c r="U4196" i="1"/>
  <c r="BB4196" i="1"/>
  <c r="BD4196" i="1"/>
  <c r="CE4196" i="1"/>
  <c r="A4197" i="1"/>
  <c r="C4197" i="1"/>
  <c r="E4197" i="1"/>
  <c r="S4197" i="1"/>
  <c r="T4197" i="1"/>
  <c r="U4197" i="1"/>
  <c r="BB4197" i="1"/>
  <c r="BD4197" i="1"/>
  <c r="CE4197" i="1"/>
  <c r="A4198" i="1"/>
  <c r="C4198" i="1"/>
  <c r="E4198" i="1"/>
  <c r="S4198" i="1"/>
  <c r="T4198" i="1"/>
  <c r="U4198" i="1"/>
  <c r="BB4198" i="1"/>
  <c r="BD4198" i="1"/>
  <c r="CE4198" i="1"/>
  <c r="A4199" i="1"/>
  <c r="C4199" i="1"/>
  <c r="E4199" i="1"/>
  <c r="S4199" i="1"/>
  <c r="T4199" i="1"/>
  <c r="U4199" i="1"/>
  <c r="BB4199" i="1"/>
  <c r="BD4199" i="1"/>
  <c r="CE4199" i="1"/>
  <c r="A4200" i="1"/>
  <c r="C4200" i="1"/>
  <c r="E4200" i="1"/>
  <c r="S4200" i="1"/>
  <c r="T4200" i="1"/>
  <c r="U4200" i="1"/>
  <c r="BB4200" i="1"/>
  <c r="BD4200" i="1"/>
  <c r="CE4200" i="1"/>
  <c r="A4201" i="1"/>
  <c r="C4201" i="1"/>
  <c r="E4201" i="1"/>
  <c r="S4201" i="1"/>
  <c r="T4201" i="1"/>
  <c r="U4201" i="1"/>
  <c r="BB4201" i="1"/>
  <c r="BD4201" i="1"/>
  <c r="CE4201" i="1"/>
  <c r="A4202" i="1"/>
  <c r="C4202" i="1"/>
  <c r="E4202" i="1"/>
  <c r="S4202" i="1"/>
  <c r="T4202" i="1"/>
  <c r="U4202" i="1"/>
  <c r="BB4202" i="1"/>
  <c r="BD4202" i="1"/>
  <c r="CE4202" i="1"/>
  <c r="A4203" i="1"/>
  <c r="C4203" i="1"/>
  <c r="E4203" i="1"/>
  <c r="S4203" i="1"/>
  <c r="T4203" i="1"/>
  <c r="U4203" i="1"/>
  <c r="BB4203" i="1"/>
  <c r="BD4203" i="1"/>
  <c r="CE4203" i="1"/>
  <c r="A4204" i="1"/>
  <c r="C4204" i="1"/>
  <c r="E4204" i="1"/>
  <c r="S4204" i="1"/>
  <c r="T4204" i="1"/>
  <c r="U4204" i="1"/>
  <c r="BB4204" i="1"/>
  <c r="BD4204" i="1"/>
  <c r="CE4204" i="1"/>
  <c r="A4205" i="1"/>
  <c r="C4205" i="1"/>
  <c r="E4205" i="1"/>
  <c r="S4205" i="1"/>
  <c r="T4205" i="1"/>
  <c r="U4205" i="1"/>
  <c r="BB4205" i="1"/>
  <c r="BD4205" i="1"/>
  <c r="CE4205" i="1"/>
  <c r="A4206" i="1"/>
  <c r="C4206" i="1"/>
  <c r="E4206" i="1"/>
  <c r="S4206" i="1"/>
  <c r="T4206" i="1"/>
  <c r="U4206" i="1"/>
  <c r="BB4206" i="1"/>
  <c r="BD4206" i="1"/>
  <c r="CE4206" i="1"/>
  <c r="A4207" i="1"/>
  <c r="C4207" i="1"/>
  <c r="E4207" i="1"/>
  <c r="S4207" i="1"/>
  <c r="T4207" i="1"/>
  <c r="U4207" i="1"/>
  <c r="BB4207" i="1"/>
  <c r="BD4207" i="1"/>
  <c r="CE4207" i="1"/>
  <c r="A4208" i="1"/>
  <c r="C4208" i="1"/>
  <c r="E4208" i="1"/>
  <c r="S4208" i="1"/>
  <c r="T4208" i="1"/>
  <c r="U4208" i="1"/>
  <c r="BB4208" i="1"/>
  <c r="BD4208" i="1"/>
  <c r="CE4208" i="1"/>
  <c r="A4209" i="1"/>
  <c r="C4209" i="1"/>
  <c r="E4209" i="1"/>
  <c r="S4209" i="1"/>
  <c r="T4209" i="1"/>
  <c r="U4209" i="1"/>
  <c r="BB4209" i="1"/>
  <c r="BD4209" i="1"/>
  <c r="CE4209" i="1"/>
  <c r="A4210" i="1"/>
  <c r="C4210" i="1"/>
  <c r="E4210" i="1"/>
  <c r="S4210" i="1"/>
  <c r="T4210" i="1"/>
  <c r="U4210" i="1"/>
  <c r="BB4210" i="1"/>
  <c r="BD4210" i="1"/>
  <c r="CE4210" i="1"/>
  <c r="A4211" i="1"/>
  <c r="C4211" i="1"/>
  <c r="E4211" i="1"/>
  <c r="S4211" i="1"/>
  <c r="T4211" i="1"/>
  <c r="U4211" i="1"/>
  <c r="BB4211" i="1"/>
  <c r="BD4211" i="1"/>
  <c r="CE4211" i="1"/>
  <c r="A4212" i="1"/>
  <c r="C4212" i="1"/>
  <c r="E4212" i="1"/>
  <c r="S4212" i="1"/>
  <c r="T4212" i="1"/>
  <c r="U4212" i="1"/>
  <c r="BB4212" i="1"/>
  <c r="BD4212" i="1"/>
  <c r="CE4212" i="1"/>
  <c r="A4213" i="1"/>
  <c r="C4213" i="1"/>
  <c r="E4213" i="1"/>
  <c r="S4213" i="1"/>
  <c r="T4213" i="1"/>
  <c r="U4213" i="1"/>
  <c r="BB4213" i="1"/>
  <c r="BD4213" i="1"/>
  <c r="CE4213" i="1"/>
  <c r="A4214" i="1"/>
  <c r="C4214" i="1"/>
  <c r="E4214" i="1"/>
  <c r="S4214" i="1"/>
  <c r="T4214" i="1"/>
  <c r="U4214" i="1"/>
  <c r="BB4214" i="1"/>
  <c r="BD4214" i="1"/>
  <c r="CE4214" i="1"/>
  <c r="A4215" i="1"/>
  <c r="C4215" i="1"/>
  <c r="E4215" i="1"/>
  <c r="S4215" i="1"/>
  <c r="T4215" i="1"/>
  <c r="U4215" i="1"/>
  <c r="BB4215" i="1"/>
  <c r="BD4215" i="1"/>
  <c r="CE4215" i="1"/>
  <c r="A4216" i="1"/>
  <c r="C4216" i="1"/>
  <c r="E4216" i="1"/>
  <c r="S4216" i="1"/>
  <c r="T4216" i="1"/>
  <c r="U4216" i="1"/>
  <c r="BB4216" i="1"/>
  <c r="BD4216" i="1"/>
  <c r="CE4216" i="1"/>
  <c r="A4217" i="1"/>
  <c r="C4217" i="1"/>
  <c r="E4217" i="1"/>
  <c r="S4217" i="1"/>
  <c r="T4217" i="1"/>
  <c r="U4217" i="1"/>
  <c r="BB4217" i="1"/>
  <c r="BD4217" i="1"/>
  <c r="CE4217" i="1"/>
  <c r="A4218" i="1"/>
  <c r="C4218" i="1"/>
  <c r="E4218" i="1"/>
  <c r="S4218" i="1"/>
  <c r="T4218" i="1"/>
  <c r="U4218" i="1"/>
  <c r="BB4218" i="1"/>
  <c r="BD4218" i="1"/>
  <c r="CE4218" i="1"/>
  <c r="A4219" i="1"/>
  <c r="C4219" i="1"/>
  <c r="E4219" i="1"/>
  <c r="S4219" i="1"/>
  <c r="T4219" i="1"/>
  <c r="U4219" i="1"/>
  <c r="BB4219" i="1"/>
  <c r="BD4219" i="1"/>
  <c r="CE4219" i="1"/>
  <c r="A4220" i="1"/>
  <c r="C4220" i="1"/>
  <c r="E4220" i="1"/>
  <c r="S4220" i="1"/>
  <c r="T4220" i="1"/>
  <c r="U4220" i="1"/>
  <c r="BB4220" i="1"/>
  <c r="BD4220" i="1"/>
  <c r="CE4220" i="1"/>
  <c r="A4221" i="1"/>
  <c r="C4221" i="1"/>
  <c r="E4221" i="1"/>
  <c r="S4221" i="1"/>
  <c r="T4221" i="1"/>
  <c r="U4221" i="1"/>
  <c r="BB4221" i="1"/>
  <c r="BD4221" i="1"/>
  <c r="CE4221" i="1"/>
  <c r="A4222" i="1"/>
  <c r="C4222" i="1"/>
  <c r="E4222" i="1"/>
  <c r="S4222" i="1"/>
  <c r="T4222" i="1"/>
  <c r="U4222" i="1"/>
  <c r="BB4222" i="1"/>
  <c r="BD4222" i="1"/>
  <c r="CE4222" i="1"/>
  <c r="A4223" i="1"/>
  <c r="C4223" i="1"/>
  <c r="E4223" i="1"/>
  <c r="S4223" i="1"/>
  <c r="T4223" i="1"/>
  <c r="U4223" i="1"/>
  <c r="BB4223" i="1"/>
  <c r="BD4223" i="1"/>
  <c r="CE4223" i="1"/>
  <c r="A4224" i="1"/>
  <c r="C4224" i="1"/>
  <c r="E4224" i="1"/>
  <c r="S4224" i="1"/>
  <c r="T4224" i="1"/>
  <c r="U4224" i="1"/>
  <c r="BB4224" i="1"/>
  <c r="BD4224" i="1"/>
  <c r="CE4224" i="1"/>
  <c r="A4225" i="1"/>
  <c r="C4225" i="1"/>
  <c r="E4225" i="1"/>
  <c r="S4225" i="1"/>
  <c r="T4225" i="1"/>
  <c r="U4225" i="1"/>
  <c r="BB4225" i="1"/>
  <c r="BD4225" i="1"/>
  <c r="CE4225" i="1"/>
  <c r="A4226" i="1"/>
  <c r="C4226" i="1"/>
  <c r="E4226" i="1"/>
  <c r="S4226" i="1"/>
  <c r="T4226" i="1"/>
  <c r="U4226" i="1"/>
  <c r="BB4226" i="1"/>
  <c r="BD4226" i="1"/>
  <c r="CE4226" i="1"/>
  <c r="A4227" i="1"/>
  <c r="C4227" i="1"/>
  <c r="E4227" i="1"/>
  <c r="S4227" i="1"/>
  <c r="T4227" i="1"/>
  <c r="U4227" i="1"/>
  <c r="BB4227" i="1"/>
  <c r="BD4227" i="1"/>
  <c r="CE4227" i="1"/>
  <c r="A4228" i="1"/>
  <c r="C4228" i="1"/>
  <c r="E4228" i="1"/>
  <c r="S4228" i="1"/>
  <c r="T4228" i="1"/>
  <c r="U4228" i="1"/>
  <c r="BB4228" i="1"/>
  <c r="BD4228" i="1"/>
  <c r="CE4228" i="1"/>
  <c r="A4229" i="1"/>
  <c r="C4229" i="1"/>
  <c r="E4229" i="1"/>
  <c r="S4229" i="1"/>
  <c r="T4229" i="1"/>
  <c r="U4229" i="1"/>
  <c r="BB4229" i="1"/>
  <c r="BD4229" i="1"/>
  <c r="CE4229" i="1"/>
  <c r="A4230" i="1"/>
  <c r="C4230" i="1"/>
  <c r="E4230" i="1"/>
  <c r="S4230" i="1"/>
  <c r="T4230" i="1"/>
  <c r="U4230" i="1"/>
  <c r="BB4230" i="1"/>
  <c r="BD4230" i="1"/>
  <c r="CE4230" i="1"/>
  <c r="A4231" i="1"/>
  <c r="C4231" i="1"/>
  <c r="E4231" i="1"/>
  <c r="S4231" i="1"/>
  <c r="T4231" i="1"/>
  <c r="U4231" i="1"/>
  <c r="BB4231" i="1"/>
  <c r="BD4231" i="1"/>
  <c r="CE4231" i="1"/>
  <c r="A4232" i="1"/>
  <c r="C4232" i="1"/>
  <c r="E4232" i="1"/>
  <c r="S4232" i="1"/>
  <c r="T4232" i="1"/>
  <c r="U4232" i="1"/>
  <c r="BB4232" i="1"/>
  <c r="BD4232" i="1"/>
  <c r="CE4232" i="1"/>
  <c r="A4233" i="1"/>
  <c r="C4233" i="1"/>
  <c r="E4233" i="1"/>
  <c r="S4233" i="1"/>
  <c r="T4233" i="1"/>
  <c r="U4233" i="1"/>
  <c r="BB4233" i="1"/>
  <c r="BD4233" i="1"/>
  <c r="CE4233" i="1"/>
  <c r="A4234" i="1"/>
  <c r="C4234" i="1"/>
  <c r="E4234" i="1"/>
  <c r="S4234" i="1"/>
  <c r="T4234" i="1"/>
  <c r="U4234" i="1"/>
  <c r="BB4234" i="1"/>
  <c r="BD4234" i="1"/>
  <c r="CE4234" i="1"/>
  <c r="A4235" i="1"/>
  <c r="C4235" i="1"/>
  <c r="E4235" i="1"/>
  <c r="S4235" i="1"/>
  <c r="T4235" i="1"/>
  <c r="U4235" i="1"/>
  <c r="BB4235" i="1"/>
  <c r="BD4235" i="1"/>
  <c r="CE4235" i="1"/>
  <c r="A4236" i="1"/>
  <c r="C4236" i="1"/>
  <c r="E4236" i="1"/>
  <c r="S4236" i="1"/>
  <c r="T4236" i="1"/>
  <c r="U4236" i="1"/>
  <c r="BB4236" i="1"/>
  <c r="BD4236" i="1"/>
  <c r="CE4236" i="1"/>
  <c r="A4237" i="1"/>
  <c r="C4237" i="1"/>
  <c r="E4237" i="1"/>
  <c r="S4237" i="1"/>
  <c r="T4237" i="1"/>
  <c r="U4237" i="1"/>
  <c r="BB4237" i="1"/>
  <c r="BD4237" i="1"/>
  <c r="CE4237" i="1"/>
  <c r="A4238" i="1"/>
  <c r="C4238" i="1"/>
  <c r="E4238" i="1"/>
  <c r="S4238" i="1"/>
  <c r="T4238" i="1"/>
  <c r="U4238" i="1"/>
  <c r="BB4238" i="1"/>
  <c r="BD4238" i="1"/>
  <c r="CE4238" i="1"/>
  <c r="A4239" i="1"/>
  <c r="C4239" i="1"/>
  <c r="E4239" i="1"/>
  <c r="S4239" i="1"/>
  <c r="T4239" i="1"/>
  <c r="U4239" i="1"/>
  <c r="BB4239" i="1"/>
  <c r="BD4239" i="1"/>
  <c r="CE4239" i="1"/>
  <c r="A4240" i="1"/>
  <c r="C4240" i="1"/>
  <c r="E4240" i="1"/>
  <c r="S4240" i="1"/>
  <c r="T4240" i="1"/>
  <c r="U4240" i="1"/>
  <c r="BB4240" i="1"/>
  <c r="BD4240" i="1"/>
  <c r="CE4240" i="1"/>
  <c r="A4241" i="1"/>
  <c r="C4241" i="1"/>
  <c r="E4241" i="1"/>
  <c r="S4241" i="1"/>
  <c r="T4241" i="1"/>
  <c r="U4241" i="1"/>
  <c r="BB4241" i="1"/>
  <c r="BD4241" i="1"/>
  <c r="CE4241" i="1"/>
  <c r="A4242" i="1"/>
  <c r="C4242" i="1"/>
  <c r="E4242" i="1"/>
  <c r="S4242" i="1"/>
  <c r="T4242" i="1"/>
  <c r="U4242" i="1"/>
  <c r="BB4242" i="1"/>
  <c r="BD4242" i="1"/>
  <c r="CE4242" i="1"/>
  <c r="A4243" i="1"/>
  <c r="C4243" i="1"/>
  <c r="E4243" i="1"/>
  <c r="S4243" i="1"/>
  <c r="T4243" i="1"/>
  <c r="U4243" i="1"/>
  <c r="BB4243" i="1"/>
  <c r="BD4243" i="1"/>
  <c r="CE4243" i="1"/>
  <c r="A4244" i="1"/>
  <c r="C4244" i="1"/>
  <c r="E4244" i="1"/>
  <c r="S4244" i="1"/>
  <c r="T4244" i="1"/>
  <c r="U4244" i="1"/>
  <c r="BB4244" i="1"/>
  <c r="BD4244" i="1"/>
  <c r="CE4244" i="1"/>
  <c r="A4245" i="1"/>
  <c r="C4245" i="1"/>
  <c r="E4245" i="1"/>
  <c r="S4245" i="1"/>
  <c r="T4245" i="1"/>
  <c r="U4245" i="1"/>
  <c r="BB4245" i="1"/>
  <c r="BD4245" i="1"/>
  <c r="CE4245" i="1"/>
  <c r="A4246" i="1"/>
  <c r="C4246" i="1"/>
  <c r="E4246" i="1"/>
  <c r="S4246" i="1"/>
  <c r="T4246" i="1"/>
  <c r="U4246" i="1"/>
  <c r="BB4246" i="1"/>
  <c r="BD4246" i="1"/>
  <c r="CE4246" i="1"/>
  <c r="A4247" i="1"/>
  <c r="C4247" i="1"/>
  <c r="E4247" i="1"/>
  <c r="S4247" i="1"/>
  <c r="T4247" i="1"/>
  <c r="U4247" i="1"/>
  <c r="BB4247" i="1"/>
  <c r="BD4247" i="1"/>
  <c r="CE4247" i="1"/>
  <c r="A4248" i="1"/>
  <c r="C4248" i="1"/>
  <c r="E4248" i="1"/>
  <c r="S4248" i="1"/>
  <c r="T4248" i="1"/>
  <c r="U4248" i="1"/>
  <c r="BB4248" i="1"/>
  <c r="BD4248" i="1"/>
  <c r="CE4248" i="1"/>
  <c r="A4249" i="1"/>
  <c r="C4249" i="1"/>
  <c r="E4249" i="1"/>
  <c r="S4249" i="1"/>
  <c r="T4249" i="1"/>
  <c r="U4249" i="1"/>
  <c r="BB4249" i="1"/>
  <c r="BD4249" i="1"/>
  <c r="CE4249" i="1"/>
  <c r="A4250" i="1"/>
  <c r="C4250" i="1"/>
  <c r="E4250" i="1"/>
  <c r="S4250" i="1"/>
  <c r="T4250" i="1"/>
  <c r="U4250" i="1"/>
  <c r="BB4250" i="1"/>
  <c r="BD4250" i="1"/>
  <c r="CE4250" i="1"/>
  <c r="A4251" i="1"/>
  <c r="C4251" i="1"/>
  <c r="E4251" i="1"/>
  <c r="S4251" i="1"/>
  <c r="T4251" i="1"/>
  <c r="U4251" i="1"/>
  <c r="BB4251" i="1"/>
  <c r="BD4251" i="1"/>
  <c r="CE4251" i="1"/>
  <c r="A4252" i="1"/>
  <c r="C4252" i="1"/>
  <c r="E4252" i="1"/>
  <c r="S4252" i="1"/>
  <c r="T4252" i="1"/>
  <c r="U4252" i="1"/>
  <c r="BB4252" i="1"/>
  <c r="BD4252" i="1"/>
  <c r="CE4252" i="1"/>
  <c r="A4253" i="1"/>
  <c r="C4253" i="1"/>
  <c r="E4253" i="1"/>
  <c r="S4253" i="1"/>
  <c r="T4253" i="1"/>
  <c r="U4253" i="1"/>
  <c r="BB4253" i="1"/>
  <c r="BD4253" i="1"/>
  <c r="CE4253" i="1"/>
  <c r="A4254" i="1"/>
  <c r="C4254" i="1"/>
  <c r="E4254" i="1"/>
  <c r="S4254" i="1"/>
  <c r="T4254" i="1"/>
  <c r="U4254" i="1"/>
  <c r="BB4254" i="1"/>
  <c r="BD4254" i="1"/>
  <c r="CE4254" i="1"/>
  <c r="A4255" i="1"/>
  <c r="C4255" i="1"/>
  <c r="E4255" i="1"/>
  <c r="S4255" i="1"/>
  <c r="T4255" i="1"/>
  <c r="U4255" i="1"/>
  <c r="BB4255" i="1"/>
  <c r="BD4255" i="1"/>
  <c r="CE4255" i="1"/>
  <c r="A4256" i="1"/>
  <c r="C4256" i="1"/>
  <c r="E4256" i="1"/>
  <c r="S4256" i="1"/>
  <c r="T4256" i="1"/>
  <c r="U4256" i="1"/>
  <c r="BB4256" i="1"/>
  <c r="BD4256" i="1"/>
  <c r="CE4256" i="1"/>
  <c r="A4257" i="1"/>
  <c r="C4257" i="1"/>
  <c r="E4257" i="1"/>
  <c r="S4257" i="1"/>
  <c r="T4257" i="1"/>
  <c r="U4257" i="1"/>
  <c r="BB4257" i="1"/>
  <c r="BD4257" i="1"/>
  <c r="CE4257" i="1"/>
  <c r="A4258" i="1"/>
  <c r="C4258" i="1"/>
  <c r="E4258" i="1"/>
  <c r="S4258" i="1"/>
  <c r="T4258" i="1"/>
  <c r="U4258" i="1"/>
  <c r="BB4258" i="1"/>
  <c r="BD4258" i="1"/>
  <c r="CE4258" i="1"/>
  <c r="A4259" i="1"/>
  <c r="C4259" i="1"/>
  <c r="E4259" i="1"/>
  <c r="S4259" i="1"/>
  <c r="T4259" i="1"/>
  <c r="U4259" i="1"/>
  <c r="BB4259" i="1"/>
  <c r="BD4259" i="1"/>
  <c r="CE4259" i="1"/>
  <c r="A4260" i="1"/>
  <c r="C4260" i="1"/>
  <c r="E4260" i="1"/>
  <c r="S4260" i="1"/>
  <c r="T4260" i="1"/>
  <c r="U4260" i="1"/>
  <c r="BB4260" i="1"/>
  <c r="BD4260" i="1"/>
  <c r="CE4260" i="1"/>
  <c r="A4261" i="1"/>
  <c r="C4261" i="1"/>
  <c r="E4261" i="1"/>
  <c r="S4261" i="1"/>
  <c r="T4261" i="1"/>
  <c r="U4261" i="1"/>
  <c r="BB4261" i="1"/>
  <c r="BD4261" i="1"/>
  <c r="CE4261" i="1"/>
  <c r="A4262" i="1"/>
  <c r="C4262" i="1"/>
  <c r="E4262" i="1"/>
  <c r="S4262" i="1"/>
  <c r="T4262" i="1"/>
  <c r="U4262" i="1"/>
  <c r="BB4262" i="1"/>
  <c r="BD4262" i="1"/>
  <c r="CE4262" i="1"/>
  <c r="A4263" i="1"/>
  <c r="C4263" i="1"/>
  <c r="E4263" i="1"/>
  <c r="S4263" i="1"/>
  <c r="T4263" i="1"/>
  <c r="U4263" i="1"/>
  <c r="BB4263" i="1"/>
  <c r="BD4263" i="1"/>
  <c r="CE4263" i="1"/>
  <c r="A4264" i="1"/>
  <c r="C4264" i="1"/>
  <c r="E4264" i="1"/>
  <c r="S4264" i="1"/>
  <c r="T4264" i="1"/>
  <c r="U4264" i="1"/>
  <c r="BB4264" i="1"/>
  <c r="BD4264" i="1"/>
  <c r="CE4264" i="1"/>
  <c r="A4265" i="1"/>
  <c r="C4265" i="1"/>
  <c r="E4265" i="1"/>
  <c r="S4265" i="1"/>
  <c r="T4265" i="1"/>
  <c r="U4265" i="1"/>
  <c r="BB4265" i="1"/>
  <c r="BD4265" i="1"/>
  <c r="CE4265" i="1"/>
  <c r="A4266" i="1"/>
  <c r="C4266" i="1"/>
  <c r="E4266" i="1"/>
  <c r="S4266" i="1"/>
  <c r="T4266" i="1"/>
  <c r="U4266" i="1"/>
  <c r="BB4266" i="1"/>
  <c r="BD4266" i="1"/>
  <c r="CE4266" i="1"/>
  <c r="A4267" i="1"/>
  <c r="C4267" i="1"/>
  <c r="E4267" i="1"/>
  <c r="S4267" i="1"/>
  <c r="T4267" i="1"/>
  <c r="U4267" i="1"/>
  <c r="BB4267" i="1"/>
  <c r="BD4267" i="1"/>
  <c r="CE4267" i="1"/>
  <c r="A4268" i="1"/>
  <c r="C4268" i="1"/>
  <c r="E4268" i="1"/>
  <c r="S4268" i="1"/>
  <c r="T4268" i="1"/>
  <c r="U4268" i="1"/>
  <c r="BB4268" i="1"/>
  <c r="BD4268" i="1"/>
  <c r="CE4268" i="1"/>
  <c r="A4269" i="1"/>
  <c r="C4269" i="1"/>
  <c r="E4269" i="1"/>
  <c r="S4269" i="1"/>
  <c r="T4269" i="1"/>
  <c r="U4269" i="1"/>
  <c r="BB4269" i="1"/>
  <c r="BD4269" i="1"/>
  <c r="CE4269" i="1"/>
  <c r="A4270" i="1"/>
  <c r="C4270" i="1"/>
  <c r="E4270" i="1"/>
  <c r="S4270" i="1"/>
  <c r="T4270" i="1"/>
  <c r="U4270" i="1"/>
  <c r="BB4270" i="1"/>
  <c r="BD4270" i="1"/>
  <c r="CE4270" i="1"/>
  <c r="A4271" i="1"/>
  <c r="C4271" i="1"/>
  <c r="E4271" i="1"/>
  <c r="S4271" i="1"/>
  <c r="T4271" i="1"/>
  <c r="U4271" i="1"/>
  <c r="BB4271" i="1"/>
  <c r="BD4271" i="1"/>
  <c r="CE4271" i="1"/>
  <c r="A4272" i="1"/>
  <c r="C4272" i="1"/>
  <c r="E4272" i="1"/>
  <c r="S4272" i="1"/>
  <c r="T4272" i="1"/>
  <c r="U4272" i="1"/>
  <c r="BB4272" i="1"/>
  <c r="BD4272" i="1"/>
  <c r="CE4272" i="1"/>
  <c r="A4273" i="1"/>
  <c r="C4273" i="1"/>
  <c r="E4273" i="1"/>
  <c r="S4273" i="1"/>
  <c r="T4273" i="1"/>
  <c r="U4273" i="1"/>
  <c r="BB4273" i="1"/>
  <c r="BD4273" i="1"/>
  <c r="CE4273" i="1"/>
  <c r="A4274" i="1"/>
  <c r="C4274" i="1"/>
  <c r="E4274" i="1"/>
  <c r="S4274" i="1"/>
  <c r="T4274" i="1"/>
  <c r="U4274" i="1"/>
  <c r="BB4274" i="1"/>
  <c r="BD4274" i="1"/>
  <c r="CE4274" i="1"/>
  <c r="A4275" i="1"/>
  <c r="C4275" i="1"/>
  <c r="E4275" i="1"/>
  <c r="S4275" i="1"/>
  <c r="T4275" i="1"/>
  <c r="U4275" i="1"/>
  <c r="BB4275" i="1"/>
  <c r="BD4275" i="1"/>
  <c r="CE4275" i="1"/>
  <c r="A4276" i="1"/>
  <c r="C4276" i="1"/>
  <c r="E4276" i="1"/>
  <c r="S4276" i="1"/>
  <c r="T4276" i="1"/>
  <c r="U4276" i="1"/>
  <c r="BB4276" i="1"/>
  <c r="BD4276" i="1"/>
  <c r="CE4276" i="1"/>
  <c r="A4277" i="1"/>
  <c r="C4277" i="1"/>
  <c r="E4277" i="1"/>
  <c r="S4277" i="1"/>
  <c r="T4277" i="1"/>
  <c r="U4277" i="1"/>
  <c r="BB4277" i="1"/>
  <c r="BD4277" i="1"/>
  <c r="CE4277" i="1"/>
  <c r="A4278" i="1"/>
  <c r="C4278" i="1"/>
  <c r="E4278" i="1"/>
  <c r="S4278" i="1"/>
  <c r="T4278" i="1"/>
  <c r="U4278" i="1"/>
  <c r="BB4278" i="1"/>
  <c r="BD4278" i="1"/>
  <c r="CE4278" i="1"/>
  <c r="A4279" i="1"/>
  <c r="C4279" i="1"/>
  <c r="E4279" i="1"/>
  <c r="S4279" i="1"/>
  <c r="T4279" i="1"/>
  <c r="U4279" i="1"/>
  <c r="BB4279" i="1"/>
  <c r="BD4279" i="1"/>
  <c r="CE4279" i="1"/>
  <c r="A4280" i="1"/>
  <c r="C4280" i="1"/>
  <c r="E4280" i="1"/>
  <c r="S4280" i="1"/>
  <c r="T4280" i="1"/>
  <c r="U4280" i="1"/>
  <c r="BB4280" i="1"/>
  <c r="BD4280" i="1"/>
  <c r="CE4280" i="1"/>
  <c r="A4281" i="1"/>
  <c r="C4281" i="1"/>
  <c r="E4281" i="1"/>
  <c r="S4281" i="1"/>
  <c r="T4281" i="1"/>
  <c r="U4281" i="1"/>
  <c r="BB4281" i="1"/>
  <c r="BD4281" i="1"/>
  <c r="CE4281" i="1"/>
  <c r="A4282" i="1"/>
  <c r="C4282" i="1"/>
  <c r="E4282" i="1"/>
  <c r="S4282" i="1"/>
  <c r="T4282" i="1"/>
  <c r="U4282" i="1"/>
  <c r="BB4282" i="1"/>
  <c r="BD4282" i="1"/>
  <c r="CE4282" i="1"/>
  <c r="A4283" i="1"/>
  <c r="C4283" i="1"/>
  <c r="E4283" i="1"/>
  <c r="S4283" i="1"/>
  <c r="T4283" i="1"/>
  <c r="U4283" i="1"/>
  <c r="BB4283" i="1"/>
  <c r="BD4283" i="1"/>
  <c r="CE4283" i="1"/>
  <c r="A4284" i="1"/>
  <c r="C4284" i="1"/>
  <c r="E4284" i="1"/>
  <c r="S4284" i="1"/>
  <c r="T4284" i="1"/>
  <c r="U4284" i="1"/>
  <c r="BB4284" i="1"/>
  <c r="BD4284" i="1"/>
  <c r="CE4284" i="1"/>
  <c r="A4285" i="1"/>
  <c r="C4285" i="1"/>
  <c r="E4285" i="1"/>
  <c r="S4285" i="1"/>
  <c r="T4285" i="1"/>
  <c r="U4285" i="1"/>
  <c r="BB4285" i="1"/>
  <c r="BD4285" i="1"/>
  <c r="CE4285" i="1"/>
  <c r="A4286" i="1"/>
  <c r="C4286" i="1"/>
  <c r="E4286" i="1"/>
  <c r="S4286" i="1"/>
  <c r="T4286" i="1"/>
  <c r="U4286" i="1"/>
  <c r="BB4286" i="1"/>
  <c r="BD4286" i="1"/>
  <c r="CE4286" i="1"/>
  <c r="A4287" i="1"/>
  <c r="C4287" i="1"/>
  <c r="E4287" i="1"/>
  <c r="S4287" i="1"/>
  <c r="T4287" i="1"/>
  <c r="U4287" i="1"/>
  <c r="BB4287" i="1"/>
  <c r="BD4287" i="1"/>
  <c r="CE4287" i="1"/>
  <c r="A4288" i="1"/>
  <c r="C4288" i="1"/>
  <c r="E4288" i="1"/>
  <c r="S4288" i="1"/>
  <c r="T4288" i="1"/>
  <c r="U4288" i="1"/>
  <c r="BB4288" i="1"/>
  <c r="BD4288" i="1"/>
  <c r="CE4288" i="1"/>
  <c r="A4289" i="1"/>
  <c r="C4289" i="1"/>
  <c r="E4289" i="1"/>
  <c r="S4289" i="1"/>
  <c r="T4289" i="1"/>
  <c r="U4289" i="1"/>
  <c r="BB4289" i="1"/>
  <c r="BD4289" i="1"/>
  <c r="CE4289" i="1"/>
  <c r="A4290" i="1"/>
  <c r="C4290" i="1"/>
  <c r="E4290" i="1"/>
  <c r="S4290" i="1"/>
  <c r="T4290" i="1"/>
  <c r="U4290" i="1"/>
  <c r="BB4290" i="1"/>
  <c r="BD4290" i="1"/>
  <c r="CE4290" i="1"/>
  <c r="A4291" i="1"/>
  <c r="C4291" i="1"/>
  <c r="E4291" i="1"/>
  <c r="S4291" i="1"/>
  <c r="T4291" i="1"/>
  <c r="U4291" i="1"/>
  <c r="BB4291" i="1"/>
  <c r="BD4291" i="1"/>
  <c r="CE4291" i="1"/>
  <c r="A4292" i="1"/>
  <c r="C4292" i="1"/>
  <c r="E4292" i="1"/>
  <c r="S4292" i="1"/>
  <c r="T4292" i="1"/>
  <c r="U4292" i="1"/>
  <c r="BB4292" i="1"/>
  <c r="BD4292" i="1"/>
  <c r="CE4292" i="1"/>
  <c r="A4293" i="1"/>
  <c r="C4293" i="1"/>
  <c r="E4293" i="1"/>
  <c r="S4293" i="1"/>
  <c r="T4293" i="1"/>
  <c r="U4293" i="1"/>
  <c r="BB4293" i="1"/>
  <c r="BD4293" i="1"/>
  <c r="CE4293" i="1"/>
  <c r="A4294" i="1"/>
  <c r="C4294" i="1"/>
  <c r="E4294" i="1"/>
  <c r="S4294" i="1"/>
  <c r="T4294" i="1"/>
  <c r="U4294" i="1"/>
  <c r="BB4294" i="1"/>
  <c r="BD4294" i="1"/>
  <c r="CE4294" i="1"/>
  <c r="A4295" i="1"/>
  <c r="C4295" i="1"/>
  <c r="E4295" i="1"/>
  <c r="S4295" i="1"/>
  <c r="T4295" i="1"/>
  <c r="U4295" i="1"/>
  <c r="BB4295" i="1"/>
  <c r="BD4295" i="1"/>
  <c r="CE4295" i="1"/>
  <c r="A4296" i="1"/>
  <c r="C4296" i="1"/>
  <c r="E4296" i="1"/>
  <c r="S4296" i="1"/>
  <c r="T4296" i="1"/>
  <c r="U4296" i="1"/>
  <c r="BB4296" i="1"/>
  <c r="BD4296" i="1"/>
  <c r="CE4296" i="1"/>
  <c r="A4297" i="1"/>
  <c r="C4297" i="1"/>
  <c r="E4297" i="1"/>
  <c r="S4297" i="1"/>
  <c r="T4297" i="1"/>
  <c r="U4297" i="1"/>
  <c r="BB4297" i="1"/>
  <c r="BD4297" i="1"/>
  <c r="CE4297" i="1"/>
  <c r="A4298" i="1"/>
  <c r="C4298" i="1"/>
  <c r="E4298" i="1"/>
  <c r="S4298" i="1"/>
  <c r="T4298" i="1"/>
  <c r="U4298" i="1"/>
  <c r="BB4298" i="1"/>
  <c r="BD4298" i="1"/>
  <c r="CE4298" i="1"/>
  <c r="A4299" i="1"/>
  <c r="C4299" i="1"/>
  <c r="E4299" i="1"/>
  <c r="S4299" i="1"/>
  <c r="T4299" i="1"/>
  <c r="U4299" i="1"/>
  <c r="BB4299" i="1"/>
  <c r="BD4299" i="1"/>
  <c r="CE4299" i="1"/>
  <c r="A4300" i="1"/>
  <c r="C4300" i="1"/>
  <c r="E4300" i="1"/>
  <c r="S4300" i="1"/>
  <c r="T4300" i="1"/>
  <c r="U4300" i="1"/>
  <c r="BB4300" i="1"/>
  <c r="BD4300" i="1"/>
  <c r="CE4300" i="1"/>
  <c r="A4301" i="1"/>
  <c r="C4301" i="1"/>
  <c r="E4301" i="1"/>
  <c r="S4301" i="1"/>
  <c r="T4301" i="1"/>
  <c r="U4301" i="1"/>
  <c r="BB4301" i="1"/>
  <c r="BD4301" i="1"/>
  <c r="CE4301" i="1"/>
  <c r="A4302" i="1"/>
  <c r="C4302" i="1"/>
  <c r="E4302" i="1"/>
  <c r="S4302" i="1"/>
  <c r="T4302" i="1"/>
  <c r="U4302" i="1"/>
  <c r="BB4302" i="1"/>
  <c r="BD4302" i="1"/>
  <c r="CE4302" i="1"/>
  <c r="A4303" i="1"/>
  <c r="C4303" i="1"/>
  <c r="E4303" i="1"/>
  <c r="S4303" i="1"/>
  <c r="T4303" i="1"/>
  <c r="U4303" i="1"/>
  <c r="BB4303" i="1"/>
  <c r="BD4303" i="1"/>
  <c r="CE4303" i="1"/>
  <c r="A4304" i="1"/>
  <c r="C4304" i="1"/>
  <c r="E4304" i="1"/>
  <c r="S4304" i="1"/>
  <c r="T4304" i="1"/>
  <c r="U4304" i="1"/>
  <c r="BB4304" i="1"/>
  <c r="BD4304" i="1"/>
  <c r="CE4304" i="1"/>
  <c r="A4305" i="1"/>
  <c r="C4305" i="1"/>
  <c r="E4305" i="1"/>
  <c r="S4305" i="1"/>
  <c r="T4305" i="1"/>
  <c r="U4305" i="1"/>
  <c r="BB4305" i="1"/>
  <c r="BD4305" i="1"/>
  <c r="CE4305" i="1"/>
  <c r="A4306" i="1"/>
  <c r="C4306" i="1"/>
  <c r="E4306" i="1"/>
  <c r="S4306" i="1"/>
  <c r="T4306" i="1"/>
  <c r="U4306" i="1"/>
  <c r="BB4306" i="1"/>
  <c r="BD4306" i="1"/>
  <c r="CE4306" i="1"/>
  <c r="A4307" i="1"/>
  <c r="C4307" i="1"/>
  <c r="E4307" i="1"/>
  <c r="S4307" i="1"/>
  <c r="T4307" i="1"/>
  <c r="U4307" i="1"/>
  <c r="BB4307" i="1"/>
  <c r="BD4307" i="1"/>
  <c r="CE4307" i="1"/>
  <c r="A4308" i="1"/>
  <c r="C4308" i="1"/>
  <c r="E4308" i="1"/>
  <c r="S4308" i="1"/>
  <c r="T4308" i="1"/>
  <c r="U4308" i="1"/>
  <c r="BB4308" i="1"/>
  <c r="BD4308" i="1"/>
  <c r="CE4308" i="1"/>
  <c r="A4309" i="1"/>
  <c r="C4309" i="1"/>
  <c r="E4309" i="1"/>
  <c r="S4309" i="1"/>
  <c r="T4309" i="1"/>
  <c r="U4309" i="1"/>
  <c r="BB4309" i="1"/>
  <c r="BD4309" i="1"/>
  <c r="CE4309" i="1"/>
  <c r="A4310" i="1"/>
  <c r="C4310" i="1"/>
  <c r="E4310" i="1"/>
  <c r="S4310" i="1"/>
  <c r="T4310" i="1"/>
  <c r="U4310" i="1"/>
  <c r="BB4310" i="1"/>
  <c r="BD4310" i="1"/>
  <c r="CE4310" i="1"/>
  <c r="A4311" i="1"/>
  <c r="C4311" i="1"/>
  <c r="E4311" i="1"/>
  <c r="S4311" i="1"/>
  <c r="T4311" i="1"/>
  <c r="U4311" i="1"/>
  <c r="BB4311" i="1"/>
  <c r="BD4311" i="1"/>
  <c r="CE4311" i="1"/>
  <c r="A4312" i="1"/>
  <c r="C4312" i="1"/>
  <c r="E4312" i="1"/>
  <c r="S4312" i="1"/>
  <c r="T4312" i="1"/>
  <c r="U4312" i="1"/>
  <c r="BB4312" i="1"/>
  <c r="BD4312" i="1"/>
  <c r="CE4312" i="1"/>
  <c r="A4313" i="1"/>
  <c r="C4313" i="1"/>
  <c r="E4313" i="1"/>
  <c r="S4313" i="1"/>
  <c r="T4313" i="1"/>
  <c r="U4313" i="1"/>
  <c r="BB4313" i="1"/>
  <c r="BD4313" i="1"/>
  <c r="CE4313" i="1"/>
  <c r="A4314" i="1"/>
  <c r="C4314" i="1"/>
  <c r="E4314" i="1"/>
  <c r="S4314" i="1"/>
  <c r="T4314" i="1"/>
  <c r="U4314" i="1"/>
  <c r="BB4314" i="1"/>
  <c r="BD4314" i="1"/>
  <c r="CE4314" i="1"/>
  <c r="A4315" i="1"/>
  <c r="C4315" i="1"/>
  <c r="E4315" i="1"/>
  <c r="S4315" i="1"/>
  <c r="T4315" i="1"/>
  <c r="U4315" i="1"/>
  <c r="BB4315" i="1"/>
  <c r="BD4315" i="1"/>
  <c r="CE4315" i="1"/>
  <c r="A4316" i="1"/>
  <c r="C4316" i="1"/>
  <c r="E4316" i="1"/>
  <c r="S4316" i="1"/>
  <c r="T4316" i="1"/>
  <c r="U4316" i="1"/>
  <c r="BB4316" i="1"/>
  <c r="BD4316" i="1"/>
  <c r="CE4316" i="1"/>
  <c r="A4317" i="1"/>
  <c r="C4317" i="1"/>
  <c r="E4317" i="1"/>
  <c r="S4317" i="1"/>
  <c r="T4317" i="1"/>
  <c r="U4317" i="1"/>
  <c r="BB4317" i="1"/>
  <c r="BD4317" i="1"/>
  <c r="CE4317" i="1"/>
  <c r="A4318" i="1"/>
  <c r="C4318" i="1"/>
  <c r="E4318" i="1"/>
  <c r="S4318" i="1"/>
  <c r="T4318" i="1"/>
  <c r="U4318" i="1"/>
  <c r="BB4318" i="1"/>
  <c r="BD4318" i="1"/>
  <c r="CE4318" i="1"/>
  <c r="A4319" i="1"/>
  <c r="C4319" i="1"/>
  <c r="E4319" i="1"/>
  <c r="S4319" i="1"/>
  <c r="T4319" i="1"/>
  <c r="U4319" i="1"/>
  <c r="BB4319" i="1"/>
  <c r="BD4319" i="1"/>
  <c r="CE4319" i="1"/>
  <c r="A4320" i="1"/>
  <c r="C4320" i="1"/>
  <c r="E4320" i="1"/>
  <c r="S4320" i="1"/>
  <c r="T4320" i="1"/>
  <c r="U4320" i="1"/>
  <c r="BB4320" i="1"/>
  <c r="BD4320" i="1"/>
  <c r="CE4320" i="1"/>
  <c r="A4321" i="1"/>
  <c r="C4321" i="1"/>
  <c r="E4321" i="1"/>
  <c r="S4321" i="1"/>
  <c r="T4321" i="1"/>
  <c r="U4321" i="1"/>
  <c r="BB4321" i="1"/>
  <c r="BD4321" i="1"/>
  <c r="CE4321" i="1"/>
  <c r="A4322" i="1"/>
  <c r="C4322" i="1"/>
  <c r="E4322" i="1"/>
  <c r="S4322" i="1"/>
  <c r="T4322" i="1"/>
  <c r="U4322" i="1"/>
  <c r="BB4322" i="1"/>
  <c r="BD4322" i="1"/>
  <c r="CE4322" i="1"/>
  <c r="A4323" i="1"/>
  <c r="C4323" i="1"/>
  <c r="E4323" i="1"/>
  <c r="S4323" i="1"/>
  <c r="T4323" i="1"/>
  <c r="U4323" i="1"/>
  <c r="BB4323" i="1"/>
  <c r="BD4323" i="1"/>
  <c r="CE4323" i="1"/>
  <c r="A4324" i="1"/>
  <c r="C4324" i="1"/>
  <c r="E4324" i="1"/>
  <c r="S4324" i="1"/>
  <c r="T4324" i="1"/>
  <c r="U4324" i="1"/>
  <c r="BB4324" i="1"/>
  <c r="BD4324" i="1"/>
  <c r="CE4324" i="1"/>
  <c r="A4325" i="1"/>
  <c r="C4325" i="1"/>
  <c r="E4325" i="1"/>
  <c r="S4325" i="1"/>
  <c r="T4325" i="1"/>
  <c r="U4325" i="1"/>
  <c r="BB4325" i="1"/>
  <c r="BD4325" i="1"/>
  <c r="CE4325" i="1"/>
  <c r="A4326" i="1"/>
  <c r="C4326" i="1"/>
  <c r="E4326" i="1"/>
  <c r="S4326" i="1"/>
  <c r="T4326" i="1"/>
  <c r="U4326" i="1"/>
  <c r="BB4326" i="1"/>
  <c r="BD4326" i="1"/>
  <c r="CE4326" i="1"/>
  <c r="A4327" i="1"/>
  <c r="C4327" i="1"/>
  <c r="E4327" i="1"/>
  <c r="S4327" i="1"/>
  <c r="T4327" i="1"/>
  <c r="U4327" i="1"/>
  <c r="BB4327" i="1"/>
  <c r="BD4327" i="1"/>
  <c r="CE4327" i="1"/>
  <c r="A4328" i="1"/>
  <c r="C4328" i="1"/>
  <c r="E4328" i="1"/>
  <c r="S4328" i="1"/>
  <c r="T4328" i="1"/>
  <c r="U4328" i="1"/>
  <c r="BB4328" i="1"/>
  <c r="BD4328" i="1"/>
  <c r="CE4328" i="1"/>
  <c r="A4329" i="1"/>
  <c r="C4329" i="1"/>
  <c r="E4329" i="1"/>
  <c r="S4329" i="1"/>
  <c r="T4329" i="1"/>
  <c r="U4329" i="1"/>
  <c r="BB4329" i="1"/>
  <c r="BD4329" i="1"/>
  <c r="CE4329" i="1"/>
  <c r="A4330" i="1"/>
  <c r="C4330" i="1"/>
  <c r="E4330" i="1"/>
  <c r="S4330" i="1"/>
  <c r="T4330" i="1"/>
  <c r="U4330" i="1"/>
  <c r="BB4330" i="1"/>
  <c r="BD4330" i="1"/>
  <c r="CE4330" i="1"/>
  <c r="A4331" i="1"/>
  <c r="C4331" i="1"/>
  <c r="E4331" i="1"/>
  <c r="S4331" i="1"/>
  <c r="T4331" i="1"/>
  <c r="U4331" i="1"/>
  <c r="BB4331" i="1"/>
  <c r="BD4331" i="1"/>
  <c r="CE4331" i="1"/>
  <c r="A4332" i="1"/>
  <c r="C4332" i="1"/>
  <c r="E4332" i="1"/>
  <c r="S4332" i="1"/>
  <c r="T4332" i="1"/>
  <c r="U4332" i="1"/>
  <c r="BB4332" i="1"/>
  <c r="BD4332" i="1"/>
  <c r="CE4332" i="1"/>
  <c r="A4333" i="1"/>
  <c r="C4333" i="1"/>
  <c r="E4333" i="1"/>
  <c r="S4333" i="1"/>
  <c r="T4333" i="1"/>
  <c r="U4333" i="1"/>
  <c r="BB4333" i="1"/>
  <c r="BD4333" i="1"/>
  <c r="CE4333" i="1"/>
  <c r="A4334" i="1"/>
  <c r="C4334" i="1"/>
  <c r="E4334" i="1"/>
  <c r="S4334" i="1"/>
  <c r="T4334" i="1"/>
  <c r="U4334" i="1"/>
  <c r="BB4334" i="1"/>
  <c r="BD4334" i="1"/>
  <c r="CE4334" i="1"/>
  <c r="A4335" i="1"/>
  <c r="C4335" i="1"/>
  <c r="E4335" i="1"/>
  <c r="S4335" i="1"/>
  <c r="T4335" i="1"/>
  <c r="U4335" i="1"/>
  <c r="BB4335" i="1"/>
  <c r="BD4335" i="1"/>
  <c r="CE4335" i="1"/>
  <c r="A4336" i="1"/>
  <c r="C4336" i="1"/>
  <c r="E4336" i="1"/>
  <c r="S4336" i="1"/>
  <c r="T4336" i="1"/>
  <c r="U4336" i="1"/>
  <c r="BB4336" i="1"/>
  <c r="BD4336" i="1"/>
  <c r="CE4336" i="1"/>
  <c r="A4337" i="1"/>
  <c r="C4337" i="1"/>
  <c r="E4337" i="1"/>
  <c r="S4337" i="1"/>
  <c r="T4337" i="1"/>
  <c r="U4337" i="1"/>
  <c r="BB4337" i="1"/>
  <c r="BD4337" i="1"/>
  <c r="CE4337" i="1"/>
  <c r="A4338" i="1"/>
  <c r="C4338" i="1"/>
  <c r="E4338" i="1"/>
  <c r="S4338" i="1"/>
  <c r="T4338" i="1"/>
  <c r="U4338" i="1"/>
  <c r="BB4338" i="1"/>
  <c r="BD4338" i="1"/>
  <c r="CE4338" i="1"/>
  <c r="A4339" i="1"/>
  <c r="C4339" i="1"/>
  <c r="E4339" i="1"/>
  <c r="S4339" i="1"/>
  <c r="T4339" i="1"/>
  <c r="U4339" i="1"/>
  <c r="BB4339" i="1"/>
  <c r="BD4339" i="1"/>
  <c r="CE4339" i="1"/>
  <c r="A4340" i="1"/>
  <c r="C4340" i="1"/>
  <c r="E4340" i="1"/>
  <c r="S4340" i="1"/>
  <c r="T4340" i="1"/>
  <c r="U4340" i="1"/>
  <c r="BB4340" i="1"/>
  <c r="BD4340" i="1"/>
  <c r="CE4340" i="1"/>
  <c r="A4341" i="1"/>
  <c r="C4341" i="1"/>
  <c r="E4341" i="1"/>
  <c r="S4341" i="1"/>
  <c r="T4341" i="1"/>
  <c r="U4341" i="1"/>
  <c r="BB4341" i="1"/>
  <c r="BD4341" i="1"/>
  <c r="CE4341" i="1"/>
  <c r="A4342" i="1"/>
  <c r="C4342" i="1"/>
  <c r="E4342" i="1"/>
  <c r="S4342" i="1"/>
  <c r="T4342" i="1"/>
  <c r="U4342" i="1"/>
  <c r="BB4342" i="1"/>
  <c r="BD4342" i="1"/>
  <c r="CE4342" i="1"/>
  <c r="A4343" i="1"/>
  <c r="C4343" i="1"/>
  <c r="E4343" i="1"/>
  <c r="S4343" i="1"/>
  <c r="T4343" i="1"/>
  <c r="U4343" i="1"/>
  <c r="BB4343" i="1"/>
  <c r="BD4343" i="1"/>
  <c r="CE4343" i="1"/>
  <c r="A4344" i="1"/>
  <c r="C4344" i="1"/>
  <c r="E4344" i="1"/>
  <c r="S4344" i="1"/>
  <c r="T4344" i="1"/>
  <c r="U4344" i="1"/>
  <c r="BB4344" i="1"/>
  <c r="BD4344" i="1"/>
  <c r="CE4344" i="1"/>
  <c r="A4345" i="1"/>
  <c r="C4345" i="1"/>
  <c r="E4345" i="1"/>
  <c r="S4345" i="1"/>
  <c r="T4345" i="1"/>
  <c r="U4345" i="1"/>
  <c r="BB4345" i="1"/>
  <c r="BD4345" i="1"/>
  <c r="CE4345" i="1"/>
  <c r="A4346" i="1"/>
  <c r="C4346" i="1"/>
  <c r="E4346" i="1"/>
  <c r="S4346" i="1"/>
  <c r="T4346" i="1"/>
  <c r="U4346" i="1"/>
  <c r="BB4346" i="1"/>
  <c r="BD4346" i="1"/>
  <c r="CE4346" i="1"/>
  <c r="A4347" i="1"/>
  <c r="C4347" i="1"/>
  <c r="E4347" i="1"/>
  <c r="S4347" i="1"/>
  <c r="T4347" i="1"/>
  <c r="U4347" i="1"/>
  <c r="BB4347" i="1"/>
  <c r="BD4347" i="1"/>
  <c r="CE4347" i="1"/>
  <c r="A4348" i="1"/>
  <c r="C4348" i="1"/>
  <c r="E4348" i="1"/>
  <c r="S4348" i="1"/>
  <c r="T4348" i="1"/>
  <c r="U4348" i="1"/>
  <c r="BB4348" i="1"/>
  <c r="BD4348" i="1"/>
  <c r="CE4348" i="1"/>
  <c r="A4349" i="1"/>
  <c r="C4349" i="1"/>
  <c r="E4349" i="1"/>
  <c r="S4349" i="1"/>
  <c r="T4349" i="1"/>
  <c r="U4349" i="1"/>
  <c r="BB4349" i="1"/>
  <c r="BD4349" i="1"/>
  <c r="CE4349" i="1"/>
  <c r="A4350" i="1"/>
  <c r="C4350" i="1"/>
  <c r="E4350" i="1"/>
  <c r="S4350" i="1"/>
  <c r="T4350" i="1"/>
  <c r="U4350" i="1"/>
  <c r="BB4350" i="1"/>
  <c r="BD4350" i="1"/>
  <c r="CE4350" i="1"/>
  <c r="A4351" i="1"/>
  <c r="C4351" i="1"/>
  <c r="E4351" i="1"/>
  <c r="S4351" i="1"/>
  <c r="T4351" i="1"/>
  <c r="U4351" i="1"/>
  <c r="BB4351" i="1"/>
  <c r="BD4351" i="1"/>
  <c r="CE4351" i="1"/>
  <c r="A4352" i="1"/>
  <c r="C4352" i="1"/>
  <c r="E4352" i="1"/>
  <c r="S4352" i="1"/>
  <c r="T4352" i="1"/>
  <c r="U4352" i="1"/>
  <c r="BB4352" i="1"/>
  <c r="BD4352" i="1"/>
  <c r="CE4352" i="1"/>
  <c r="A4353" i="1"/>
  <c r="C4353" i="1"/>
  <c r="E4353" i="1"/>
  <c r="S4353" i="1"/>
  <c r="T4353" i="1"/>
  <c r="U4353" i="1"/>
  <c r="BB4353" i="1"/>
  <c r="BD4353" i="1"/>
  <c r="CE4353" i="1"/>
  <c r="A4354" i="1"/>
  <c r="C4354" i="1"/>
  <c r="E4354" i="1"/>
  <c r="S4354" i="1"/>
  <c r="T4354" i="1"/>
  <c r="U4354" i="1"/>
  <c r="BB4354" i="1"/>
  <c r="BD4354" i="1"/>
  <c r="CE4354" i="1"/>
  <c r="A4355" i="1"/>
  <c r="C4355" i="1"/>
  <c r="E4355" i="1"/>
  <c r="S4355" i="1"/>
  <c r="T4355" i="1"/>
  <c r="U4355" i="1"/>
  <c r="BB4355" i="1"/>
  <c r="BD4355" i="1"/>
  <c r="CE4355" i="1"/>
  <c r="A4356" i="1"/>
  <c r="C4356" i="1"/>
  <c r="E4356" i="1"/>
  <c r="S4356" i="1"/>
  <c r="T4356" i="1"/>
  <c r="U4356" i="1"/>
  <c r="BB4356" i="1"/>
  <c r="BD4356" i="1"/>
  <c r="CE4356" i="1"/>
  <c r="A4357" i="1"/>
  <c r="C4357" i="1"/>
  <c r="E4357" i="1"/>
  <c r="S4357" i="1"/>
  <c r="T4357" i="1"/>
  <c r="U4357" i="1"/>
  <c r="BB4357" i="1"/>
  <c r="BD4357" i="1"/>
  <c r="CE4357" i="1"/>
  <c r="A4358" i="1"/>
  <c r="C4358" i="1"/>
  <c r="E4358" i="1"/>
  <c r="S4358" i="1"/>
  <c r="T4358" i="1"/>
  <c r="U4358" i="1"/>
  <c r="BB4358" i="1"/>
  <c r="BD4358" i="1"/>
  <c r="CE4358" i="1"/>
  <c r="A4359" i="1"/>
  <c r="C4359" i="1"/>
  <c r="E4359" i="1"/>
  <c r="S4359" i="1"/>
  <c r="T4359" i="1"/>
  <c r="U4359" i="1"/>
  <c r="BB4359" i="1"/>
  <c r="BD4359" i="1"/>
  <c r="CE4359" i="1"/>
  <c r="A4360" i="1"/>
  <c r="C4360" i="1"/>
  <c r="E4360" i="1"/>
  <c r="S4360" i="1"/>
  <c r="T4360" i="1"/>
  <c r="U4360" i="1"/>
  <c r="BB4360" i="1"/>
  <c r="BD4360" i="1"/>
  <c r="CE4360" i="1"/>
  <c r="A4361" i="1"/>
  <c r="C4361" i="1"/>
  <c r="E4361" i="1"/>
  <c r="S4361" i="1"/>
  <c r="T4361" i="1"/>
  <c r="U4361" i="1"/>
  <c r="BB4361" i="1"/>
  <c r="BD4361" i="1"/>
  <c r="CE4361" i="1"/>
  <c r="A4362" i="1"/>
  <c r="C4362" i="1"/>
  <c r="E4362" i="1"/>
  <c r="S4362" i="1"/>
  <c r="T4362" i="1"/>
  <c r="U4362" i="1"/>
  <c r="BB4362" i="1"/>
  <c r="BD4362" i="1"/>
  <c r="CE4362" i="1"/>
  <c r="A4363" i="1"/>
  <c r="C4363" i="1"/>
  <c r="E4363" i="1"/>
  <c r="S4363" i="1"/>
  <c r="T4363" i="1"/>
  <c r="U4363" i="1"/>
  <c r="BB4363" i="1"/>
  <c r="BD4363" i="1"/>
  <c r="CE4363" i="1"/>
  <c r="A4364" i="1"/>
  <c r="C4364" i="1"/>
  <c r="E4364" i="1"/>
  <c r="S4364" i="1"/>
  <c r="T4364" i="1"/>
  <c r="U4364" i="1"/>
  <c r="BB4364" i="1"/>
  <c r="BD4364" i="1"/>
  <c r="CE4364" i="1"/>
  <c r="A4365" i="1"/>
  <c r="C4365" i="1"/>
  <c r="E4365" i="1"/>
  <c r="S4365" i="1"/>
  <c r="T4365" i="1"/>
  <c r="U4365" i="1"/>
  <c r="BB4365" i="1"/>
  <c r="BD4365" i="1"/>
  <c r="CE4365" i="1"/>
  <c r="A4366" i="1"/>
  <c r="C4366" i="1"/>
  <c r="E4366" i="1"/>
  <c r="S4366" i="1"/>
  <c r="T4366" i="1"/>
  <c r="U4366" i="1"/>
  <c r="BB4366" i="1"/>
  <c r="BD4366" i="1"/>
  <c r="CE4366" i="1"/>
  <c r="A4367" i="1"/>
  <c r="C4367" i="1"/>
  <c r="E4367" i="1"/>
  <c r="S4367" i="1"/>
  <c r="T4367" i="1"/>
  <c r="U4367" i="1"/>
  <c r="BB4367" i="1"/>
  <c r="BD4367" i="1"/>
  <c r="CE4367" i="1"/>
  <c r="A4368" i="1"/>
  <c r="C4368" i="1"/>
  <c r="E4368" i="1"/>
  <c r="S4368" i="1"/>
  <c r="T4368" i="1"/>
  <c r="U4368" i="1"/>
  <c r="BB4368" i="1"/>
  <c r="BD4368" i="1"/>
  <c r="CE4368" i="1"/>
  <c r="A4369" i="1"/>
  <c r="C4369" i="1"/>
  <c r="E4369" i="1"/>
  <c r="S4369" i="1"/>
  <c r="T4369" i="1"/>
  <c r="U4369" i="1"/>
  <c r="BB4369" i="1"/>
  <c r="BD4369" i="1"/>
  <c r="CE4369" i="1"/>
  <c r="A4370" i="1"/>
  <c r="C4370" i="1"/>
  <c r="E4370" i="1"/>
  <c r="S4370" i="1"/>
  <c r="T4370" i="1"/>
  <c r="U4370" i="1"/>
  <c r="BB4370" i="1"/>
  <c r="BD4370" i="1"/>
  <c r="CE4370" i="1"/>
  <c r="A4371" i="1"/>
  <c r="C4371" i="1"/>
  <c r="E4371" i="1"/>
  <c r="S4371" i="1"/>
  <c r="T4371" i="1"/>
  <c r="U4371" i="1"/>
  <c r="BB4371" i="1"/>
  <c r="BD4371" i="1"/>
  <c r="CE4371" i="1"/>
  <c r="A4372" i="1"/>
  <c r="C4372" i="1"/>
  <c r="E4372" i="1"/>
  <c r="S4372" i="1"/>
  <c r="T4372" i="1"/>
  <c r="U4372" i="1"/>
  <c r="BB4372" i="1"/>
  <c r="BD4372" i="1"/>
  <c r="CE4372" i="1"/>
  <c r="A4373" i="1"/>
  <c r="C4373" i="1"/>
  <c r="E4373" i="1"/>
  <c r="S4373" i="1"/>
  <c r="T4373" i="1"/>
  <c r="U4373" i="1"/>
  <c r="BB4373" i="1"/>
  <c r="BD4373" i="1"/>
  <c r="CE4373" i="1"/>
  <c r="A4374" i="1"/>
  <c r="C4374" i="1"/>
  <c r="E4374" i="1"/>
  <c r="S4374" i="1"/>
  <c r="T4374" i="1"/>
  <c r="U4374" i="1"/>
  <c r="BB4374" i="1"/>
  <c r="BD4374" i="1"/>
  <c r="CE4374" i="1"/>
  <c r="A4375" i="1"/>
  <c r="C4375" i="1"/>
  <c r="E4375" i="1"/>
  <c r="S4375" i="1"/>
  <c r="T4375" i="1"/>
  <c r="U4375" i="1"/>
  <c r="BB4375" i="1"/>
  <c r="BD4375" i="1"/>
  <c r="CE4375" i="1"/>
  <c r="A4376" i="1"/>
  <c r="C4376" i="1"/>
  <c r="E4376" i="1"/>
  <c r="S4376" i="1"/>
  <c r="T4376" i="1"/>
  <c r="U4376" i="1"/>
  <c r="BB4376" i="1"/>
  <c r="BD4376" i="1"/>
  <c r="CE4376" i="1"/>
  <c r="A4377" i="1"/>
  <c r="C4377" i="1"/>
  <c r="E4377" i="1"/>
  <c r="S4377" i="1"/>
  <c r="T4377" i="1"/>
  <c r="U4377" i="1"/>
  <c r="BB4377" i="1"/>
  <c r="BD4377" i="1"/>
  <c r="CE4377" i="1"/>
  <c r="A4378" i="1"/>
  <c r="C4378" i="1"/>
  <c r="E4378" i="1"/>
  <c r="S4378" i="1"/>
  <c r="T4378" i="1"/>
  <c r="U4378" i="1"/>
  <c r="BB4378" i="1"/>
  <c r="BD4378" i="1"/>
  <c r="CE4378" i="1"/>
  <c r="A4379" i="1"/>
  <c r="C4379" i="1"/>
  <c r="E4379" i="1"/>
  <c r="S4379" i="1"/>
  <c r="T4379" i="1"/>
  <c r="U4379" i="1"/>
  <c r="BB4379" i="1"/>
  <c r="BD4379" i="1"/>
  <c r="CE4379" i="1"/>
  <c r="A4380" i="1"/>
  <c r="C4380" i="1"/>
  <c r="E4380" i="1"/>
  <c r="S4380" i="1"/>
  <c r="T4380" i="1"/>
  <c r="U4380" i="1"/>
  <c r="BB4380" i="1"/>
  <c r="BD4380" i="1"/>
  <c r="CE4380" i="1"/>
  <c r="A4381" i="1"/>
  <c r="C4381" i="1"/>
  <c r="E4381" i="1"/>
  <c r="S4381" i="1"/>
  <c r="T4381" i="1"/>
  <c r="U4381" i="1"/>
  <c r="BB4381" i="1"/>
  <c r="BD4381" i="1"/>
  <c r="CE4381" i="1"/>
  <c r="A4382" i="1"/>
  <c r="C4382" i="1"/>
  <c r="E4382" i="1"/>
  <c r="S4382" i="1"/>
  <c r="T4382" i="1"/>
  <c r="U4382" i="1"/>
  <c r="BB4382" i="1"/>
  <c r="BD4382" i="1"/>
  <c r="CE4382" i="1"/>
  <c r="A4383" i="1"/>
  <c r="C4383" i="1"/>
  <c r="E4383" i="1"/>
  <c r="S4383" i="1"/>
  <c r="T4383" i="1"/>
  <c r="U4383" i="1"/>
  <c r="BB4383" i="1"/>
  <c r="BD4383" i="1"/>
  <c r="CE4383" i="1"/>
  <c r="A4384" i="1"/>
  <c r="C4384" i="1"/>
  <c r="E4384" i="1"/>
  <c r="S4384" i="1"/>
  <c r="T4384" i="1"/>
  <c r="U4384" i="1"/>
  <c r="BB4384" i="1"/>
  <c r="BD4384" i="1"/>
  <c r="CE4384" i="1"/>
  <c r="A4385" i="1"/>
  <c r="C4385" i="1"/>
  <c r="E4385" i="1"/>
  <c r="S4385" i="1"/>
  <c r="T4385" i="1"/>
  <c r="U4385" i="1"/>
  <c r="BB4385" i="1"/>
  <c r="BD4385" i="1"/>
  <c r="CE4385" i="1"/>
  <c r="A4386" i="1"/>
  <c r="C4386" i="1"/>
  <c r="E4386" i="1"/>
  <c r="S4386" i="1"/>
  <c r="T4386" i="1"/>
  <c r="U4386" i="1"/>
  <c r="BB4386" i="1"/>
  <c r="BD4386" i="1"/>
  <c r="CE4386" i="1"/>
  <c r="A4387" i="1"/>
  <c r="C4387" i="1"/>
  <c r="E4387" i="1"/>
  <c r="S4387" i="1"/>
  <c r="T4387" i="1"/>
  <c r="U4387" i="1"/>
  <c r="BB4387" i="1"/>
  <c r="BD4387" i="1"/>
  <c r="CE4387" i="1"/>
  <c r="A4388" i="1"/>
  <c r="C4388" i="1"/>
  <c r="E4388" i="1"/>
  <c r="S4388" i="1"/>
  <c r="T4388" i="1"/>
  <c r="U4388" i="1"/>
  <c r="BB4388" i="1"/>
  <c r="BD4388" i="1"/>
  <c r="CE4388" i="1"/>
  <c r="A4389" i="1"/>
  <c r="C4389" i="1"/>
  <c r="E4389" i="1"/>
  <c r="S4389" i="1"/>
  <c r="T4389" i="1"/>
  <c r="U4389" i="1"/>
  <c r="BB4389" i="1"/>
  <c r="BD4389" i="1"/>
  <c r="CE4389" i="1"/>
  <c r="A4390" i="1"/>
  <c r="C4390" i="1"/>
  <c r="E4390" i="1"/>
  <c r="S4390" i="1"/>
  <c r="T4390" i="1"/>
  <c r="U4390" i="1"/>
  <c r="BB4390" i="1"/>
  <c r="BD4390" i="1"/>
  <c r="CE4390" i="1"/>
  <c r="A4391" i="1"/>
  <c r="C4391" i="1"/>
  <c r="E4391" i="1"/>
  <c r="S4391" i="1"/>
  <c r="T4391" i="1"/>
  <c r="U4391" i="1"/>
  <c r="BB4391" i="1"/>
  <c r="BD4391" i="1"/>
  <c r="CE4391" i="1"/>
  <c r="A4392" i="1"/>
  <c r="C4392" i="1"/>
  <c r="E4392" i="1"/>
  <c r="S4392" i="1"/>
  <c r="T4392" i="1"/>
  <c r="U4392" i="1"/>
  <c r="BB4392" i="1"/>
  <c r="BD4392" i="1"/>
  <c r="CE4392" i="1"/>
  <c r="A4393" i="1"/>
  <c r="C4393" i="1"/>
  <c r="E4393" i="1"/>
  <c r="S4393" i="1"/>
  <c r="T4393" i="1"/>
  <c r="U4393" i="1"/>
  <c r="BB4393" i="1"/>
  <c r="BD4393" i="1"/>
  <c r="CE4393" i="1"/>
  <c r="A4394" i="1"/>
  <c r="C4394" i="1"/>
  <c r="E4394" i="1"/>
  <c r="S4394" i="1"/>
  <c r="T4394" i="1"/>
  <c r="U4394" i="1"/>
  <c r="BB4394" i="1"/>
  <c r="BD4394" i="1"/>
  <c r="CE4394" i="1"/>
  <c r="A4395" i="1"/>
  <c r="C4395" i="1"/>
  <c r="E4395" i="1"/>
  <c r="S4395" i="1"/>
  <c r="T4395" i="1"/>
  <c r="U4395" i="1"/>
  <c r="BB4395" i="1"/>
  <c r="BD4395" i="1"/>
  <c r="CE4395" i="1"/>
  <c r="A4396" i="1"/>
  <c r="C4396" i="1"/>
  <c r="E4396" i="1"/>
  <c r="S4396" i="1"/>
  <c r="T4396" i="1"/>
  <c r="U4396" i="1"/>
  <c r="BB4396" i="1"/>
  <c r="BD4396" i="1"/>
  <c r="CE4396" i="1"/>
  <c r="A4397" i="1"/>
  <c r="C4397" i="1"/>
  <c r="E4397" i="1"/>
  <c r="S4397" i="1"/>
  <c r="T4397" i="1"/>
  <c r="U4397" i="1"/>
  <c r="BB4397" i="1"/>
  <c r="BD4397" i="1"/>
  <c r="CE4397" i="1"/>
  <c r="A4398" i="1"/>
  <c r="C4398" i="1"/>
  <c r="E4398" i="1"/>
  <c r="S4398" i="1"/>
  <c r="T4398" i="1"/>
  <c r="U4398" i="1"/>
  <c r="BB4398" i="1"/>
  <c r="BD4398" i="1"/>
  <c r="CE4398" i="1"/>
  <c r="A4399" i="1"/>
  <c r="C4399" i="1"/>
  <c r="E4399" i="1"/>
  <c r="S4399" i="1"/>
  <c r="T4399" i="1"/>
  <c r="U4399" i="1"/>
  <c r="BB4399" i="1"/>
  <c r="BD4399" i="1"/>
  <c r="CE4399" i="1"/>
  <c r="A4400" i="1"/>
  <c r="C4400" i="1"/>
  <c r="E4400" i="1"/>
  <c r="S4400" i="1"/>
  <c r="T4400" i="1"/>
  <c r="U4400" i="1"/>
  <c r="BB4400" i="1"/>
  <c r="BD4400" i="1"/>
  <c r="CE4400" i="1"/>
  <c r="A4401" i="1"/>
  <c r="C4401" i="1"/>
  <c r="E4401" i="1"/>
  <c r="S4401" i="1"/>
  <c r="T4401" i="1"/>
  <c r="U4401" i="1"/>
  <c r="BB4401" i="1"/>
  <c r="BD4401" i="1"/>
  <c r="CE4401" i="1"/>
  <c r="A4402" i="1"/>
  <c r="C4402" i="1"/>
  <c r="E4402" i="1"/>
  <c r="S4402" i="1"/>
  <c r="T4402" i="1"/>
  <c r="U4402" i="1"/>
  <c r="BB4402" i="1"/>
  <c r="BD4402" i="1"/>
  <c r="CE4402" i="1"/>
  <c r="A4403" i="1"/>
  <c r="C4403" i="1"/>
  <c r="E4403" i="1"/>
  <c r="S4403" i="1"/>
  <c r="T4403" i="1"/>
  <c r="U4403" i="1"/>
  <c r="BB4403" i="1"/>
  <c r="BD4403" i="1"/>
  <c r="CE4403" i="1"/>
  <c r="A4404" i="1"/>
  <c r="C4404" i="1"/>
  <c r="E4404" i="1"/>
  <c r="S4404" i="1"/>
  <c r="T4404" i="1"/>
  <c r="U4404" i="1"/>
  <c r="BB4404" i="1"/>
  <c r="BD4404" i="1"/>
  <c r="CE4404" i="1"/>
  <c r="A4405" i="1"/>
  <c r="C4405" i="1"/>
  <c r="E4405" i="1"/>
  <c r="S4405" i="1"/>
  <c r="T4405" i="1"/>
  <c r="U4405" i="1"/>
  <c r="BB4405" i="1"/>
  <c r="BD4405" i="1"/>
  <c r="CE4405" i="1"/>
  <c r="A4406" i="1"/>
  <c r="C4406" i="1"/>
  <c r="E4406" i="1"/>
  <c r="S4406" i="1"/>
  <c r="T4406" i="1"/>
  <c r="U4406" i="1"/>
  <c r="BB4406" i="1"/>
  <c r="BD4406" i="1"/>
  <c r="CE4406" i="1"/>
  <c r="A4407" i="1"/>
  <c r="C4407" i="1"/>
  <c r="E4407" i="1"/>
  <c r="S4407" i="1"/>
  <c r="T4407" i="1"/>
  <c r="U4407" i="1"/>
  <c r="BB4407" i="1"/>
  <c r="BD4407" i="1"/>
  <c r="CE4407" i="1"/>
  <c r="A4408" i="1"/>
  <c r="C4408" i="1"/>
  <c r="E4408" i="1"/>
  <c r="S4408" i="1"/>
  <c r="T4408" i="1"/>
  <c r="U4408" i="1"/>
  <c r="BB4408" i="1"/>
  <c r="BD4408" i="1"/>
  <c r="CE4408" i="1"/>
  <c r="A4409" i="1"/>
  <c r="C4409" i="1"/>
  <c r="E4409" i="1"/>
  <c r="S4409" i="1"/>
  <c r="T4409" i="1"/>
  <c r="U4409" i="1"/>
  <c r="BB4409" i="1"/>
  <c r="BD4409" i="1"/>
  <c r="CE4409" i="1"/>
  <c r="A4410" i="1"/>
  <c r="C4410" i="1"/>
  <c r="E4410" i="1"/>
  <c r="S4410" i="1"/>
  <c r="T4410" i="1"/>
  <c r="U4410" i="1"/>
  <c r="BB4410" i="1"/>
  <c r="BD4410" i="1"/>
  <c r="CE4410" i="1"/>
  <c r="A4411" i="1"/>
  <c r="C4411" i="1"/>
  <c r="E4411" i="1"/>
  <c r="S4411" i="1"/>
  <c r="T4411" i="1"/>
  <c r="U4411" i="1"/>
  <c r="BB4411" i="1"/>
  <c r="BD4411" i="1"/>
  <c r="CE4411" i="1"/>
  <c r="A4412" i="1"/>
  <c r="C4412" i="1"/>
  <c r="E4412" i="1"/>
  <c r="S4412" i="1"/>
  <c r="T4412" i="1"/>
  <c r="U4412" i="1"/>
  <c r="BB4412" i="1"/>
  <c r="BD4412" i="1"/>
  <c r="CE4412" i="1"/>
  <c r="A4413" i="1"/>
  <c r="C4413" i="1"/>
  <c r="E4413" i="1"/>
  <c r="S4413" i="1"/>
  <c r="T4413" i="1"/>
  <c r="U4413" i="1"/>
  <c r="BB4413" i="1"/>
  <c r="BD4413" i="1"/>
  <c r="CE4413" i="1"/>
  <c r="A4414" i="1"/>
  <c r="C4414" i="1"/>
  <c r="E4414" i="1"/>
  <c r="S4414" i="1"/>
  <c r="T4414" i="1"/>
  <c r="U4414" i="1"/>
  <c r="BB4414" i="1"/>
  <c r="BD4414" i="1"/>
  <c r="CE4414" i="1"/>
  <c r="A4415" i="1"/>
  <c r="C4415" i="1"/>
  <c r="E4415" i="1"/>
  <c r="S4415" i="1"/>
  <c r="T4415" i="1"/>
  <c r="U4415" i="1"/>
  <c r="BB4415" i="1"/>
  <c r="BD4415" i="1"/>
  <c r="CE4415" i="1"/>
  <c r="A4416" i="1"/>
  <c r="C4416" i="1"/>
  <c r="E4416" i="1"/>
  <c r="S4416" i="1"/>
  <c r="T4416" i="1"/>
  <c r="U4416" i="1"/>
  <c r="BB4416" i="1"/>
  <c r="BD4416" i="1"/>
  <c r="CE4416" i="1"/>
  <c r="A4417" i="1"/>
  <c r="C4417" i="1"/>
  <c r="E4417" i="1"/>
  <c r="S4417" i="1"/>
  <c r="T4417" i="1"/>
  <c r="U4417" i="1"/>
  <c r="BB4417" i="1"/>
  <c r="BD4417" i="1"/>
  <c r="CE4417" i="1"/>
  <c r="A4418" i="1"/>
  <c r="C4418" i="1"/>
  <c r="E4418" i="1"/>
  <c r="S4418" i="1"/>
  <c r="T4418" i="1"/>
  <c r="U4418" i="1"/>
  <c r="BB4418" i="1"/>
  <c r="BD4418" i="1"/>
  <c r="CE4418" i="1"/>
  <c r="A4419" i="1"/>
  <c r="C4419" i="1"/>
  <c r="E4419" i="1"/>
  <c r="S4419" i="1"/>
  <c r="T4419" i="1"/>
  <c r="U4419" i="1"/>
  <c r="BB4419" i="1"/>
  <c r="BD4419" i="1"/>
  <c r="CE4419" i="1"/>
  <c r="A4420" i="1"/>
  <c r="C4420" i="1"/>
  <c r="E4420" i="1"/>
  <c r="S4420" i="1"/>
  <c r="T4420" i="1"/>
  <c r="U4420" i="1"/>
  <c r="BB4420" i="1"/>
  <c r="BD4420" i="1"/>
  <c r="CE4420" i="1"/>
  <c r="A4421" i="1"/>
  <c r="C4421" i="1"/>
  <c r="E4421" i="1"/>
  <c r="S4421" i="1"/>
  <c r="T4421" i="1"/>
  <c r="U4421" i="1"/>
  <c r="BB4421" i="1"/>
  <c r="BD4421" i="1"/>
  <c r="CE4421" i="1"/>
  <c r="A4422" i="1"/>
  <c r="C4422" i="1"/>
  <c r="E4422" i="1"/>
  <c r="S4422" i="1"/>
  <c r="T4422" i="1"/>
  <c r="U4422" i="1"/>
  <c r="BB4422" i="1"/>
  <c r="BD4422" i="1"/>
  <c r="CE4422" i="1"/>
  <c r="A4423" i="1"/>
  <c r="C4423" i="1"/>
  <c r="E4423" i="1"/>
  <c r="S4423" i="1"/>
  <c r="T4423" i="1"/>
  <c r="U4423" i="1"/>
  <c r="BB4423" i="1"/>
  <c r="BD4423" i="1"/>
  <c r="CE4423" i="1"/>
  <c r="A4424" i="1"/>
  <c r="C4424" i="1"/>
  <c r="E4424" i="1"/>
  <c r="S4424" i="1"/>
  <c r="T4424" i="1"/>
  <c r="U4424" i="1"/>
  <c r="BB4424" i="1"/>
  <c r="BD4424" i="1"/>
  <c r="CE4424" i="1"/>
  <c r="A4425" i="1"/>
  <c r="C4425" i="1"/>
  <c r="E4425" i="1"/>
  <c r="S4425" i="1"/>
  <c r="T4425" i="1"/>
  <c r="U4425" i="1"/>
  <c r="BB4425" i="1"/>
  <c r="BD4425" i="1"/>
  <c r="CE4425" i="1"/>
  <c r="A4426" i="1"/>
  <c r="C4426" i="1"/>
  <c r="E4426" i="1"/>
  <c r="S4426" i="1"/>
  <c r="T4426" i="1"/>
  <c r="U4426" i="1"/>
  <c r="BB4426" i="1"/>
  <c r="BD4426" i="1"/>
  <c r="CE4426" i="1"/>
  <c r="A4427" i="1"/>
  <c r="C4427" i="1"/>
  <c r="E4427" i="1"/>
  <c r="S4427" i="1"/>
  <c r="T4427" i="1"/>
  <c r="U4427" i="1"/>
  <c r="BB4427" i="1"/>
  <c r="BD4427" i="1"/>
  <c r="CE4427" i="1"/>
  <c r="A4428" i="1"/>
  <c r="C4428" i="1"/>
  <c r="E4428" i="1"/>
  <c r="S4428" i="1"/>
  <c r="T4428" i="1"/>
  <c r="U4428" i="1"/>
  <c r="BB4428" i="1"/>
  <c r="BD4428" i="1"/>
  <c r="CE4428" i="1"/>
  <c r="A4429" i="1"/>
  <c r="C4429" i="1"/>
  <c r="E4429" i="1"/>
  <c r="S4429" i="1"/>
  <c r="T4429" i="1"/>
  <c r="U4429" i="1"/>
  <c r="BB4429" i="1"/>
  <c r="BD4429" i="1"/>
  <c r="CE4429" i="1"/>
  <c r="A4430" i="1"/>
  <c r="C4430" i="1"/>
  <c r="E4430" i="1"/>
  <c r="S4430" i="1"/>
  <c r="T4430" i="1"/>
  <c r="U4430" i="1"/>
  <c r="BB4430" i="1"/>
  <c r="BD4430" i="1"/>
  <c r="CE4430" i="1"/>
  <c r="A4431" i="1"/>
  <c r="C4431" i="1"/>
  <c r="E4431" i="1"/>
  <c r="S4431" i="1"/>
  <c r="T4431" i="1"/>
  <c r="U4431" i="1"/>
  <c r="BB4431" i="1"/>
  <c r="BD4431" i="1"/>
  <c r="CE4431" i="1"/>
  <c r="A4432" i="1"/>
  <c r="C4432" i="1"/>
  <c r="E4432" i="1"/>
  <c r="S4432" i="1"/>
  <c r="T4432" i="1"/>
  <c r="U4432" i="1"/>
  <c r="BB4432" i="1"/>
  <c r="BD4432" i="1"/>
  <c r="CE4432" i="1"/>
  <c r="A4433" i="1"/>
  <c r="C4433" i="1"/>
  <c r="E4433" i="1"/>
  <c r="S4433" i="1"/>
  <c r="T4433" i="1"/>
  <c r="U4433" i="1"/>
  <c r="BB4433" i="1"/>
  <c r="BD4433" i="1"/>
  <c r="CE4433" i="1"/>
  <c r="A4434" i="1"/>
  <c r="C4434" i="1"/>
  <c r="E4434" i="1"/>
  <c r="S4434" i="1"/>
  <c r="T4434" i="1"/>
  <c r="U4434" i="1"/>
  <c r="BB4434" i="1"/>
  <c r="BD4434" i="1"/>
  <c r="CE4434" i="1"/>
  <c r="A4435" i="1"/>
  <c r="C4435" i="1"/>
  <c r="E4435" i="1"/>
  <c r="S4435" i="1"/>
  <c r="T4435" i="1"/>
  <c r="U4435" i="1"/>
  <c r="BB4435" i="1"/>
  <c r="BD4435" i="1"/>
  <c r="CE4435" i="1"/>
  <c r="A4436" i="1"/>
  <c r="C4436" i="1"/>
  <c r="E4436" i="1"/>
  <c r="S4436" i="1"/>
  <c r="T4436" i="1"/>
  <c r="U4436" i="1"/>
  <c r="BB4436" i="1"/>
  <c r="BD4436" i="1"/>
  <c r="CE4436" i="1"/>
  <c r="A4437" i="1"/>
  <c r="C4437" i="1"/>
  <c r="E4437" i="1"/>
  <c r="S4437" i="1"/>
  <c r="T4437" i="1"/>
  <c r="U4437" i="1"/>
  <c r="BB4437" i="1"/>
  <c r="BD4437" i="1"/>
  <c r="CE4437" i="1"/>
  <c r="A4438" i="1"/>
  <c r="C4438" i="1"/>
  <c r="E4438" i="1"/>
  <c r="S4438" i="1"/>
  <c r="T4438" i="1"/>
  <c r="U4438" i="1"/>
  <c r="BB4438" i="1"/>
  <c r="BD4438" i="1"/>
  <c r="CE4438" i="1"/>
  <c r="A4439" i="1"/>
  <c r="C4439" i="1"/>
  <c r="E4439" i="1"/>
  <c r="S4439" i="1"/>
  <c r="T4439" i="1"/>
  <c r="U4439" i="1"/>
  <c r="BB4439" i="1"/>
  <c r="BD4439" i="1"/>
  <c r="CE4439" i="1"/>
  <c r="A4440" i="1"/>
  <c r="C4440" i="1"/>
  <c r="E4440" i="1"/>
  <c r="S4440" i="1"/>
  <c r="T4440" i="1"/>
  <c r="U4440" i="1"/>
  <c r="BB4440" i="1"/>
  <c r="BD4440" i="1"/>
  <c r="CE4440" i="1"/>
  <c r="A4441" i="1"/>
  <c r="C4441" i="1"/>
  <c r="E4441" i="1"/>
  <c r="S4441" i="1"/>
  <c r="T4441" i="1"/>
  <c r="U4441" i="1"/>
  <c r="BB4441" i="1"/>
  <c r="BD4441" i="1"/>
  <c r="CE4441" i="1"/>
  <c r="A4442" i="1"/>
  <c r="C4442" i="1"/>
  <c r="E4442" i="1"/>
  <c r="S4442" i="1"/>
  <c r="T4442" i="1"/>
  <c r="U4442" i="1"/>
  <c r="BB4442" i="1"/>
  <c r="BD4442" i="1"/>
  <c r="CE4442" i="1"/>
  <c r="A4443" i="1"/>
  <c r="C4443" i="1"/>
  <c r="E4443" i="1"/>
  <c r="S4443" i="1"/>
  <c r="T4443" i="1"/>
  <c r="U4443" i="1"/>
  <c r="BB4443" i="1"/>
  <c r="BD4443" i="1"/>
  <c r="CE4443" i="1"/>
  <c r="A4444" i="1"/>
  <c r="C4444" i="1"/>
  <c r="E4444" i="1"/>
  <c r="S4444" i="1"/>
  <c r="T4444" i="1"/>
  <c r="U4444" i="1"/>
  <c r="BB4444" i="1"/>
  <c r="BD4444" i="1"/>
  <c r="CE4444" i="1"/>
  <c r="A4445" i="1"/>
  <c r="C4445" i="1"/>
  <c r="E4445" i="1"/>
  <c r="S4445" i="1"/>
  <c r="T4445" i="1"/>
  <c r="U4445" i="1"/>
  <c r="BB4445" i="1"/>
  <c r="BD4445" i="1"/>
  <c r="CE4445" i="1"/>
  <c r="A4446" i="1"/>
  <c r="C4446" i="1"/>
  <c r="E4446" i="1"/>
  <c r="S4446" i="1"/>
  <c r="T4446" i="1"/>
  <c r="U4446" i="1"/>
  <c r="BB4446" i="1"/>
  <c r="BD4446" i="1"/>
  <c r="CE4446" i="1"/>
  <c r="A4447" i="1"/>
  <c r="C4447" i="1"/>
  <c r="E4447" i="1"/>
  <c r="S4447" i="1"/>
  <c r="T4447" i="1"/>
  <c r="U4447" i="1"/>
  <c r="BB4447" i="1"/>
  <c r="BD4447" i="1"/>
  <c r="CE4447" i="1"/>
  <c r="A4448" i="1"/>
  <c r="C4448" i="1"/>
  <c r="E4448" i="1"/>
  <c r="S4448" i="1"/>
  <c r="T4448" i="1"/>
  <c r="U4448" i="1"/>
  <c r="BB4448" i="1"/>
  <c r="BD4448" i="1"/>
  <c r="CE4448" i="1"/>
  <c r="A4449" i="1"/>
  <c r="C4449" i="1"/>
  <c r="E4449" i="1"/>
  <c r="S4449" i="1"/>
  <c r="T4449" i="1"/>
  <c r="U4449" i="1"/>
  <c r="BB4449" i="1"/>
  <c r="BD4449" i="1"/>
  <c r="CE4449" i="1"/>
  <c r="A4450" i="1"/>
  <c r="C4450" i="1"/>
  <c r="E4450" i="1"/>
  <c r="S4450" i="1"/>
  <c r="T4450" i="1"/>
  <c r="U4450" i="1"/>
  <c r="BB4450" i="1"/>
  <c r="BD4450" i="1"/>
  <c r="CE4450" i="1"/>
  <c r="A4451" i="1"/>
  <c r="C4451" i="1"/>
  <c r="E4451" i="1"/>
  <c r="S4451" i="1"/>
  <c r="T4451" i="1"/>
  <c r="U4451" i="1"/>
  <c r="BB4451" i="1"/>
  <c r="BD4451" i="1"/>
  <c r="CE4451" i="1"/>
  <c r="A4452" i="1"/>
  <c r="C4452" i="1"/>
  <c r="E4452" i="1"/>
  <c r="S4452" i="1"/>
  <c r="T4452" i="1"/>
  <c r="U4452" i="1"/>
  <c r="BB4452" i="1"/>
  <c r="BD4452" i="1"/>
  <c r="CE4452" i="1"/>
  <c r="A4453" i="1"/>
  <c r="C4453" i="1"/>
  <c r="E4453" i="1"/>
  <c r="S4453" i="1"/>
  <c r="T4453" i="1"/>
  <c r="U4453" i="1"/>
  <c r="BB4453" i="1"/>
  <c r="BD4453" i="1"/>
  <c r="CE4453" i="1"/>
  <c r="A4454" i="1"/>
  <c r="C4454" i="1"/>
  <c r="E4454" i="1"/>
  <c r="S4454" i="1"/>
  <c r="T4454" i="1"/>
  <c r="U4454" i="1"/>
  <c r="BB4454" i="1"/>
  <c r="BD4454" i="1"/>
  <c r="CE4454" i="1"/>
  <c r="A4455" i="1"/>
  <c r="C4455" i="1"/>
  <c r="E4455" i="1"/>
  <c r="S4455" i="1"/>
  <c r="T4455" i="1"/>
  <c r="U4455" i="1"/>
  <c r="BB4455" i="1"/>
  <c r="BD4455" i="1"/>
  <c r="CE4455" i="1"/>
  <c r="A4456" i="1"/>
  <c r="C4456" i="1"/>
  <c r="E4456" i="1"/>
  <c r="S4456" i="1"/>
  <c r="T4456" i="1"/>
  <c r="U4456" i="1"/>
  <c r="BB4456" i="1"/>
  <c r="BD4456" i="1"/>
  <c r="CE4456" i="1"/>
  <c r="A4457" i="1"/>
  <c r="C4457" i="1"/>
  <c r="E4457" i="1"/>
  <c r="S4457" i="1"/>
  <c r="T4457" i="1"/>
  <c r="U4457" i="1"/>
  <c r="BB4457" i="1"/>
  <c r="BD4457" i="1"/>
  <c r="CE4457" i="1"/>
  <c r="A4458" i="1"/>
  <c r="C4458" i="1"/>
  <c r="E4458" i="1"/>
  <c r="S4458" i="1"/>
  <c r="T4458" i="1"/>
  <c r="U4458" i="1"/>
  <c r="BB4458" i="1"/>
  <c r="BD4458" i="1"/>
  <c r="CE4458" i="1"/>
  <c r="A4459" i="1"/>
  <c r="C4459" i="1"/>
  <c r="E4459" i="1"/>
  <c r="S4459" i="1"/>
  <c r="T4459" i="1"/>
  <c r="U4459" i="1"/>
  <c r="BB4459" i="1"/>
  <c r="BD4459" i="1"/>
  <c r="CE4459" i="1"/>
  <c r="A4460" i="1"/>
  <c r="C4460" i="1"/>
  <c r="E4460" i="1"/>
  <c r="S4460" i="1"/>
  <c r="T4460" i="1"/>
  <c r="U4460" i="1"/>
  <c r="BB4460" i="1"/>
  <c r="BD4460" i="1"/>
  <c r="CE4460" i="1"/>
  <c r="A4461" i="1"/>
  <c r="C4461" i="1"/>
  <c r="E4461" i="1"/>
  <c r="S4461" i="1"/>
  <c r="T4461" i="1"/>
  <c r="U4461" i="1"/>
  <c r="BB4461" i="1"/>
  <c r="BD4461" i="1"/>
  <c r="CE4461" i="1"/>
  <c r="A4462" i="1"/>
  <c r="C4462" i="1"/>
  <c r="E4462" i="1"/>
  <c r="S4462" i="1"/>
  <c r="T4462" i="1"/>
  <c r="U4462" i="1"/>
  <c r="BB4462" i="1"/>
  <c r="BD4462" i="1"/>
  <c r="CE4462" i="1"/>
  <c r="A4463" i="1"/>
  <c r="C4463" i="1"/>
  <c r="E4463" i="1"/>
  <c r="S4463" i="1"/>
  <c r="T4463" i="1"/>
  <c r="U4463" i="1"/>
  <c r="BB4463" i="1"/>
  <c r="BD4463" i="1"/>
  <c r="CE4463" i="1"/>
  <c r="A4464" i="1"/>
  <c r="C4464" i="1"/>
  <c r="E4464" i="1"/>
  <c r="S4464" i="1"/>
  <c r="T4464" i="1"/>
  <c r="U4464" i="1"/>
  <c r="BB4464" i="1"/>
  <c r="BD4464" i="1"/>
  <c r="CE4464" i="1"/>
  <c r="A4465" i="1"/>
  <c r="C4465" i="1"/>
  <c r="E4465" i="1"/>
  <c r="S4465" i="1"/>
  <c r="T4465" i="1"/>
  <c r="U4465" i="1"/>
  <c r="BB4465" i="1"/>
  <c r="BD4465" i="1"/>
  <c r="CE4465" i="1"/>
  <c r="A4466" i="1"/>
  <c r="C4466" i="1"/>
  <c r="E4466" i="1"/>
  <c r="S4466" i="1"/>
  <c r="T4466" i="1"/>
  <c r="U4466" i="1"/>
  <c r="BB4466" i="1"/>
  <c r="BD4466" i="1"/>
  <c r="CE4466" i="1"/>
  <c r="A4467" i="1"/>
  <c r="C4467" i="1"/>
  <c r="E4467" i="1"/>
  <c r="S4467" i="1"/>
  <c r="T4467" i="1"/>
  <c r="U4467" i="1"/>
  <c r="BB4467" i="1"/>
  <c r="BD4467" i="1"/>
  <c r="CE4467" i="1"/>
  <c r="A4468" i="1"/>
  <c r="C4468" i="1"/>
  <c r="E4468" i="1"/>
  <c r="S4468" i="1"/>
  <c r="T4468" i="1"/>
  <c r="U4468" i="1"/>
  <c r="BB4468" i="1"/>
  <c r="BD4468" i="1"/>
  <c r="CE4468" i="1"/>
  <c r="A4469" i="1"/>
  <c r="C4469" i="1"/>
  <c r="E4469" i="1"/>
  <c r="S4469" i="1"/>
  <c r="T4469" i="1"/>
  <c r="U4469" i="1"/>
  <c r="BB4469" i="1"/>
  <c r="BD4469" i="1"/>
  <c r="CE4469" i="1"/>
  <c r="A4470" i="1"/>
  <c r="C4470" i="1"/>
  <c r="E4470" i="1"/>
  <c r="S4470" i="1"/>
  <c r="T4470" i="1"/>
  <c r="U4470" i="1"/>
  <c r="BB4470" i="1"/>
  <c r="BD4470" i="1"/>
  <c r="CE4470" i="1"/>
  <c r="A4471" i="1"/>
  <c r="C4471" i="1"/>
  <c r="E4471" i="1"/>
  <c r="S4471" i="1"/>
  <c r="T4471" i="1"/>
  <c r="U4471" i="1"/>
  <c r="BB4471" i="1"/>
  <c r="BD4471" i="1"/>
  <c r="CE4471" i="1"/>
  <c r="A4472" i="1"/>
  <c r="C4472" i="1"/>
  <c r="E4472" i="1"/>
  <c r="S4472" i="1"/>
  <c r="T4472" i="1"/>
  <c r="U4472" i="1"/>
  <c r="BB4472" i="1"/>
  <c r="BD4472" i="1"/>
  <c r="CE4472" i="1"/>
  <c r="A4473" i="1"/>
  <c r="C4473" i="1"/>
  <c r="E4473" i="1"/>
  <c r="S4473" i="1"/>
  <c r="T4473" i="1"/>
  <c r="U4473" i="1"/>
  <c r="BB4473" i="1"/>
  <c r="BD4473" i="1"/>
  <c r="CE4473" i="1"/>
  <c r="A4474" i="1"/>
  <c r="C4474" i="1"/>
  <c r="E4474" i="1"/>
  <c r="S4474" i="1"/>
  <c r="T4474" i="1"/>
  <c r="U4474" i="1"/>
  <c r="BB4474" i="1"/>
  <c r="BD4474" i="1"/>
  <c r="CE4474" i="1"/>
  <c r="A4475" i="1"/>
  <c r="C4475" i="1"/>
  <c r="E4475" i="1"/>
  <c r="S4475" i="1"/>
  <c r="T4475" i="1"/>
  <c r="U4475" i="1"/>
  <c r="BB4475" i="1"/>
  <c r="BD4475" i="1"/>
  <c r="CE4475" i="1"/>
  <c r="A4476" i="1"/>
  <c r="C4476" i="1"/>
  <c r="E4476" i="1"/>
  <c r="S4476" i="1"/>
  <c r="T4476" i="1"/>
  <c r="U4476" i="1"/>
  <c r="BB4476" i="1"/>
  <c r="BD4476" i="1"/>
  <c r="CE4476" i="1"/>
  <c r="A4477" i="1"/>
  <c r="C4477" i="1"/>
  <c r="E4477" i="1"/>
  <c r="S4477" i="1"/>
  <c r="T4477" i="1"/>
  <c r="U4477" i="1"/>
  <c r="BB4477" i="1"/>
  <c r="BD4477" i="1"/>
  <c r="CE4477" i="1"/>
  <c r="A4478" i="1"/>
  <c r="C4478" i="1"/>
  <c r="E4478" i="1"/>
  <c r="S4478" i="1"/>
  <c r="T4478" i="1"/>
  <c r="U4478" i="1"/>
  <c r="BB4478" i="1"/>
  <c r="BD4478" i="1"/>
  <c r="CE4478" i="1"/>
  <c r="A4479" i="1"/>
  <c r="C4479" i="1"/>
  <c r="E4479" i="1"/>
  <c r="S4479" i="1"/>
  <c r="T4479" i="1"/>
  <c r="U4479" i="1"/>
  <c r="BB4479" i="1"/>
  <c r="BD4479" i="1"/>
  <c r="CE4479" i="1"/>
  <c r="A4480" i="1"/>
  <c r="C4480" i="1"/>
  <c r="E4480" i="1"/>
  <c r="S4480" i="1"/>
  <c r="T4480" i="1"/>
  <c r="U4480" i="1"/>
  <c r="BB4480" i="1"/>
  <c r="BD4480" i="1"/>
  <c r="CE4480" i="1"/>
  <c r="A4481" i="1"/>
  <c r="C4481" i="1"/>
  <c r="E4481" i="1"/>
  <c r="S4481" i="1"/>
  <c r="T4481" i="1"/>
  <c r="U4481" i="1"/>
  <c r="BB4481" i="1"/>
  <c r="BD4481" i="1"/>
  <c r="CE4481" i="1"/>
  <c r="A4482" i="1"/>
  <c r="C4482" i="1"/>
  <c r="E4482" i="1"/>
  <c r="S4482" i="1"/>
  <c r="T4482" i="1"/>
  <c r="U4482" i="1"/>
  <c r="BB4482" i="1"/>
  <c r="BD4482" i="1"/>
  <c r="CE4482" i="1"/>
  <c r="A4483" i="1"/>
  <c r="C4483" i="1"/>
  <c r="E4483" i="1"/>
  <c r="S4483" i="1"/>
  <c r="T4483" i="1"/>
  <c r="U4483" i="1"/>
  <c r="BB4483" i="1"/>
  <c r="BD4483" i="1"/>
  <c r="CE4483" i="1"/>
  <c r="A4484" i="1"/>
  <c r="C4484" i="1"/>
  <c r="E4484" i="1"/>
  <c r="S4484" i="1"/>
  <c r="T4484" i="1"/>
  <c r="U4484" i="1"/>
  <c r="BB4484" i="1"/>
  <c r="BD4484" i="1"/>
  <c r="CE4484" i="1"/>
  <c r="A4485" i="1"/>
  <c r="C4485" i="1"/>
  <c r="E4485" i="1"/>
  <c r="S4485" i="1"/>
  <c r="T4485" i="1"/>
  <c r="U4485" i="1"/>
  <c r="BB4485" i="1"/>
  <c r="BD4485" i="1"/>
  <c r="CE4485" i="1"/>
  <c r="A4486" i="1"/>
  <c r="C4486" i="1"/>
  <c r="E4486" i="1"/>
  <c r="S4486" i="1"/>
  <c r="T4486" i="1"/>
  <c r="U4486" i="1"/>
  <c r="BB4486" i="1"/>
  <c r="BD4486" i="1"/>
  <c r="CE4486" i="1"/>
  <c r="A4487" i="1"/>
  <c r="C4487" i="1"/>
  <c r="E4487" i="1"/>
  <c r="S4487" i="1"/>
  <c r="T4487" i="1"/>
  <c r="U4487" i="1"/>
  <c r="BB4487" i="1"/>
  <c r="BD4487" i="1"/>
  <c r="CE4487" i="1"/>
  <c r="A4488" i="1"/>
  <c r="C4488" i="1"/>
  <c r="E4488" i="1"/>
  <c r="S4488" i="1"/>
  <c r="T4488" i="1"/>
  <c r="U4488" i="1"/>
  <c r="BB4488" i="1"/>
  <c r="BD4488" i="1"/>
  <c r="CE4488" i="1"/>
  <c r="A4489" i="1"/>
  <c r="C4489" i="1"/>
  <c r="E4489" i="1"/>
  <c r="S4489" i="1"/>
  <c r="T4489" i="1"/>
  <c r="U4489" i="1"/>
  <c r="BB4489" i="1"/>
  <c r="BD4489" i="1"/>
  <c r="CE4489" i="1"/>
  <c r="A4490" i="1"/>
  <c r="C4490" i="1"/>
  <c r="E4490" i="1"/>
  <c r="S4490" i="1"/>
  <c r="T4490" i="1"/>
  <c r="U4490" i="1"/>
  <c r="BB4490" i="1"/>
  <c r="BD4490" i="1"/>
  <c r="CE4490" i="1"/>
  <c r="A4491" i="1"/>
  <c r="C4491" i="1"/>
  <c r="E4491" i="1"/>
  <c r="S4491" i="1"/>
  <c r="T4491" i="1"/>
  <c r="U4491" i="1"/>
  <c r="BB4491" i="1"/>
  <c r="BD4491" i="1"/>
  <c r="CE4491" i="1"/>
  <c r="A4492" i="1"/>
  <c r="C4492" i="1"/>
  <c r="E4492" i="1"/>
  <c r="S4492" i="1"/>
  <c r="T4492" i="1"/>
  <c r="U4492" i="1"/>
  <c r="BB4492" i="1"/>
  <c r="BD4492" i="1"/>
  <c r="CE4492" i="1"/>
  <c r="A4493" i="1"/>
  <c r="C4493" i="1"/>
  <c r="E4493" i="1"/>
  <c r="S4493" i="1"/>
  <c r="T4493" i="1"/>
  <c r="U4493" i="1"/>
  <c r="BB4493" i="1"/>
  <c r="BD4493" i="1"/>
  <c r="CE4493" i="1"/>
  <c r="A4494" i="1"/>
  <c r="C4494" i="1"/>
  <c r="E4494" i="1"/>
  <c r="S4494" i="1"/>
  <c r="T4494" i="1"/>
  <c r="U4494" i="1"/>
  <c r="BB4494" i="1"/>
  <c r="BD4494" i="1"/>
  <c r="CE4494" i="1"/>
  <c r="A4495" i="1"/>
  <c r="C4495" i="1"/>
  <c r="E4495" i="1"/>
  <c r="S4495" i="1"/>
  <c r="T4495" i="1"/>
  <c r="U4495" i="1"/>
  <c r="BB4495" i="1"/>
  <c r="BD4495" i="1"/>
  <c r="CE4495" i="1"/>
  <c r="A4496" i="1"/>
  <c r="C4496" i="1"/>
  <c r="E4496" i="1"/>
  <c r="S4496" i="1"/>
  <c r="T4496" i="1"/>
  <c r="U4496" i="1"/>
  <c r="BB4496" i="1"/>
  <c r="BD4496" i="1"/>
  <c r="CE4496" i="1"/>
  <c r="A4497" i="1"/>
  <c r="C4497" i="1"/>
  <c r="E4497" i="1"/>
  <c r="S4497" i="1"/>
  <c r="T4497" i="1"/>
  <c r="U4497" i="1"/>
  <c r="BB4497" i="1"/>
  <c r="BD4497" i="1"/>
  <c r="CE4497" i="1"/>
  <c r="A4498" i="1"/>
  <c r="C4498" i="1"/>
  <c r="E4498" i="1"/>
  <c r="S4498" i="1"/>
  <c r="T4498" i="1"/>
  <c r="U4498" i="1"/>
  <c r="BB4498" i="1"/>
  <c r="BD4498" i="1"/>
  <c r="CE4498" i="1"/>
  <c r="A4499" i="1"/>
  <c r="C4499" i="1"/>
  <c r="E4499" i="1"/>
  <c r="S4499" i="1"/>
  <c r="T4499" i="1"/>
  <c r="U4499" i="1"/>
  <c r="BB4499" i="1"/>
  <c r="BD4499" i="1"/>
  <c r="CE4499" i="1"/>
  <c r="A4500" i="1"/>
  <c r="C4500" i="1"/>
  <c r="E4500" i="1"/>
  <c r="S4500" i="1"/>
  <c r="T4500" i="1"/>
  <c r="U4500" i="1"/>
  <c r="BB4500" i="1"/>
  <c r="BD4500" i="1"/>
  <c r="CE4500" i="1"/>
  <c r="A4501" i="1"/>
  <c r="C4501" i="1"/>
  <c r="E4501" i="1"/>
  <c r="S4501" i="1"/>
  <c r="T4501" i="1"/>
  <c r="U4501" i="1"/>
  <c r="BB4501" i="1"/>
  <c r="BD4501" i="1"/>
  <c r="CE4501" i="1"/>
  <c r="A4502" i="1"/>
  <c r="C4502" i="1"/>
  <c r="E4502" i="1"/>
  <c r="S4502" i="1"/>
  <c r="T4502" i="1"/>
  <c r="U4502" i="1"/>
  <c r="BB4502" i="1"/>
  <c r="BD4502" i="1"/>
  <c r="CE4502" i="1"/>
  <c r="A4503" i="1"/>
  <c r="C4503" i="1"/>
  <c r="E4503" i="1"/>
  <c r="S4503" i="1"/>
  <c r="T4503" i="1"/>
  <c r="U4503" i="1"/>
  <c r="BB4503" i="1"/>
  <c r="BD4503" i="1"/>
  <c r="CE4503" i="1"/>
  <c r="A4504" i="1"/>
  <c r="C4504" i="1"/>
  <c r="E4504" i="1"/>
  <c r="S4504" i="1"/>
  <c r="T4504" i="1"/>
  <c r="U4504" i="1"/>
  <c r="BB4504" i="1"/>
  <c r="BD4504" i="1"/>
  <c r="CE4504" i="1"/>
  <c r="A4505" i="1"/>
  <c r="C4505" i="1"/>
  <c r="E4505" i="1"/>
  <c r="S4505" i="1"/>
  <c r="T4505" i="1"/>
  <c r="U4505" i="1"/>
  <c r="BB4505" i="1"/>
  <c r="BD4505" i="1"/>
  <c r="CE4505" i="1"/>
  <c r="A4506" i="1"/>
  <c r="C4506" i="1"/>
  <c r="E4506" i="1"/>
  <c r="S4506" i="1"/>
  <c r="T4506" i="1"/>
  <c r="U4506" i="1"/>
  <c r="BB4506" i="1"/>
  <c r="BD4506" i="1"/>
  <c r="CE4506" i="1"/>
  <c r="A4507" i="1"/>
  <c r="C4507" i="1"/>
  <c r="E4507" i="1"/>
  <c r="S4507" i="1"/>
  <c r="T4507" i="1"/>
  <c r="U4507" i="1"/>
  <c r="BB4507" i="1"/>
  <c r="BD4507" i="1"/>
  <c r="CE4507" i="1"/>
  <c r="A4508" i="1"/>
  <c r="C4508" i="1"/>
  <c r="E4508" i="1"/>
  <c r="S4508" i="1"/>
  <c r="T4508" i="1"/>
  <c r="U4508" i="1"/>
  <c r="BB4508" i="1"/>
  <c r="BD4508" i="1"/>
  <c r="CE4508" i="1"/>
  <c r="A4509" i="1"/>
  <c r="C4509" i="1"/>
  <c r="E4509" i="1"/>
  <c r="S4509" i="1"/>
  <c r="T4509" i="1"/>
  <c r="U4509" i="1"/>
  <c r="BB4509" i="1"/>
  <c r="BD4509" i="1"/>
  <c r="CE4509" i="1"/>
  <c r="A4510" i="1"/>
  <c r="C4510" i="1"/>
  <c r="E4510" i="1"/>
  <c r="S4510" i="1"/>
  <c r="T4510" i="1"/>
  <c r="U4510" i="1"/>
  <c r="BB4510" i="1"/>
  <c r="BD4510" i="1"/>
  <c r="CE4510" i="1"/>
  <c r="A4511" i="1"/>
  <c r="C4511" i="1"/>
  <c r="E4511" i="1"/>
  <c r="S4511" i="1"/>
  <c r="T4511" i="1"/>
  <c r="U4511" i="1"/>
  <c r="BB4511" i="1"/>
  <c r="BD4511" i="1"/>
  <c r="CE4511" i="1"/>
  <c r="A4512" i="1"/>
  <c r="C4512" i="1"/>
  <c r="E4512" i="1"/>
  <c r="S4512" i="1"/>
  <c r="T4512" i="1"/>
  <c r="U4512" i="1"/>
  <c r="BB4512" i="1"/>
  <c r="BD4512" i="1"/>
  <c r="CE4512" i="1"/>
  <c r="A4513" i="1"/>
  <c r="C4513" i="1"/>
  <c r="E4513" i="1"/>
  <c r="S4513" i="1"/>
  <c r="T4513" i="1"/>
  <c r="U4513" i="1"/>
  <c r="BB4513" i="1"/>
  <c r="BD4513" i="1"/>
  <c r="CE4513" i="1"/>
  <c r="A4514" i="1"/>
  <c r="C4514" i="1"/>
  <c r="E4514" i="1"/>
  <c r="S4514" i="1"/>
  <c r="T4514" i="1"/>
  <c r="U4514" i="1"/>
  <c r="BB4514" i="1"/>
  <c r="BD4514" i="1"/>
  <c r="CE4514" i="1"/>
  <c r="A4515" i="1"/>
  <c r="C4515" i="1"/>
  <c r="E4515" i="1"/>
  <c r="S4515" i="1"/>
  <c r="T4515" i="1"/>
  <c r="U4515" i="1"/>
  <c r="BB4515" i="1"/>
  <c r="BD4515" i="1"/>
  <c r="CE4515" i="1"/>
  <c r="A4516" i="1"/>
  <c r="C4516" i="1"/>
  <c r="E4516" i="1"/>
  <c r="S4516" i="1"/>
  <c r="T4516" i="1"/>
  <c r="U4516" i="1"/>
  <c r="BB4516" i="1"/>
  <c r="BD4516" i="1"/>
  <c r="CE4516" i="1"/>
  <c r="A4517" i="1"/>
  <c r="C4517" i="1"/>
  <c r="E4517" i="1"/>
  <c r="S4517" i="1"/>
  <c r="T4517" i="1"/>
  <c r="U4517" i="1"/>
  <c r="BB4517" i="1"/>
  <c r="BD4517" i="1"/>
  <c r="CE4517" i="1"/>
  <c r="A4518" i="1"/>
  <c r="C4518" i="1"/>
  <c r="E4518" i="1"/>
  <c r="S4518" i="1"/>
  <c r="T4518" i="1"/>
  <c r="U4518" i="1"/>
  <c r="BB4518" i="1"/>
  <c r="BD4518" i="1"/>
  <c r="CE4518" i="1"/>
  <c r="A4519" i="1"/>
  <c r="C4519" i="1"/>
  <c r="E4519" i="1"/>
  <c r="S4519" i="1"/>
  <c r="T4519" i="1"/>
  <c r="U4519" i="1"/>
  <c r="BB4519" i="1"/>
  <c r="BD4519" i="1"/>
  <c r="CE4519" i="1"/>
  <c r="A4520" i="1"/>
  <c r="C4520" i="1"/>
  <c r="E4520" i="1"/>
  <c r="S4520" i="1"/>
  <c r="T4520" i="1"/>
  <c r="U4520" i="1"/>
  <c r="BB4520" i="1"/>
  <c r="BD4520" i="1"/>
  <c r="CE4520" i="1"/>
  <c r="A4521" i="1"/>
  <c r="C4521" i="1"/>
  <c r="E4521" i="1"/>
  <c r="S4521" i="1"/>
  <c r="T4521" i="1"/>
  <c r="U4521" i="1"/>
  <c r="BB4521" i="1"/>
  <c r="BD4521" i="1"/>
  <c r="CE4521" i="1"/>
  <c r="A4522" i="1"/>
  <c r="C4522" i="1"/>
  <c r="E4522" i="1"/>
  <c r="S4522" i="1"/>
  <c r="T4522" i="1"/>
  <c r="U4522" i="1"/>
  <c r="BB4522" i="1"/>
  <c r="BD4522" i="1"/>
  <c r="CE4522" i="1"/>
  <c r="A4523" i="1"/>
  <c r="C4523" i="1"/>
  <c r="E4523" i="1"/>
  <c r="S4523" i="1"/>
  <c r="T4523" i="1"/>
  <c r="U4523" i="1"/>
  <c r="BB4523" i="1"/>
  <c r="BD4523" i="1"/>
  <c r="CE4523" i="1"/>
  <c r="A4524" i="1"/>
  <c r="C4524" i="1"/>
  <c r="E4524" i="1"/>
  <c r="S4524" i="1"/>
  <c r="T4524" i="1"/>
  <c r="U4524" i="1"/>
  <c r="BB4524" i="1"/>
  <c r="BD4524" i="1"/>
  <c r="CE4524" i="1"/>
  <c r="A4525" i="1"/>
  <c r="C4525" i="1"/>
  <c r="E4525" i="1"/>
  <c r="S4525" i="1"/>
  <c r="T4525" i="1"/>
  <c r="U4525" i="1"/>
  <c r="BB4525" i="1"/>
  <c r="BD4525" i="1"/>
  <c r="CE4525" i="1"/>
  <c r="A4526" i="1"/>
  <c r="C4526" i="1"/>
  <c r="E4526" i="1"/>
  <c r="S4526" i="1"/>
  <c r="T4526" i="1"/>
  <c r="U4526" i="1"/>
  <c r="BB4526" i="1"/>
  <c r="BD4526" i="1"/>
  <c r="CE4526" i="1"/>
  <c r="A4527" i="1"/>
  <c r="C4527" i="1"/>
  <c r="E4527" i="1"/>
  <c r="S4527" i="1"/>
  <c r="T4527" i="1"/>
  <c r="U4527" i="1"/>
  <c r="BB4527" i="1"/>
  <c r="BD4527" i="1"/>
  <c r="CE4527" i="1"/>
  <c r="A4528" i="1"/>
  <c r="C4528" i="1"/>
  <c r="E4528" i="1"/>
  <c r="S4528" i="1"/>
  <c r="T4528" i="1"/>
  <c r="U4528" i="1"/>
  <c r="BB4528" i="1"/>
  <c r="BD4528" i="1"/>
  <c r="CE4528" i="1"/>
  <c r="A4529" i="1"/>
  <c r="C4529" i="1"/>
  <c r="E4529" i="1"/>
  <c r="S4529" i="1"/>
  <c r="T4529" i="1"/>
  <c r="U4529" i="1"/>
  <c r="BB4529" i="1"/>
  <c r="BD4529" i="1"/>
  <c r="CE4529" i="1"/>
  <c r="A4530" i="1"/>
  <c r="C4530" i="1"/>
  <c r="E4530" i="1"/>
  <c r="S4530" i="1"/>
  <c r="T4530" i="1"/>
  <c r="U4530" i="1"/>
  <c r="BB4530" i="1"/>
  <c r="BD4530" i="1"/>
  <c r="CE4530" i="1"/>
  <c r="A4531" i="1"/>
  <c r="C4531" i="1"/>
  <c r="E4531" i="1"/>
  <c r="S4531" i="1"/>
  <c r="T4531" i="1"/>
  <c r="U4531" i="1"/>
  <c r="BB4531" i="1"/>
  <c r="BD4531" i="1"/>
  <c r="CE4531" i="1"/>
  <c r="A4532" i="1"/>
  <c r="C4532" i="1"/>
  <c r="E4532" i="1"/>
  <c r="S4532" i="1"/>
  <c r="T4532" i="1"/>
  <c r="U4532" i="1"/>
  <c r="BB4532" i="1"/>
  <c r="BD4532" i="1"/>
  <c r="CE4532" i="1"/>
  <c r="A4533" i="1"/>
  <c r="C4533" i="1"/>
  <c r="E4533" i="1"/>
  <c r="S4533" i="1"/>
  <c r="T4533" i="1"/>
  <c r="U4533" i="1"/>
  <c r="BB4533" i="1"/>
  <c r="BD4533" i="1"/>
  <c r="CE4533" i="1"/>
  <c r="A4534" i="1"/>
  <c r="C4534" i="1"/>
  <c r="E4534" i="1"/>
  <c r="S4534" i="1"/>
  <c r="T4534" i="1"/>
  <c r="U4534" i="1"/>
  <c r="BB4534" i="1"/>
  <c r="BD4534" i="1"/>
  <c r="CE4534" i="1"/>
  <c r="A4535" i="1"/>
  <c r="C4535" i="1"/>
  <c r="E4535" i="1"/>
  <c r="S4535" i="1"/>
  <c r="T4535" i="1"/>
  <c r="U4535" i="1"/>
  <c r="BB4535" i="1"/>
  <c r="BD4535" i="1"/>
  <c r="CE4535" i="1"/>
  <c r="A4536" i="1"/>
  <c r="C4536" i="1"/>
  <c r="E4536" i="1"/>
  <c r="S4536" i="1"/>
  <c r="T4536" i="1"/>
  <c r="U4536" i="1"/>
  <c r="BB4536" i="1"/>
  <c r="BD4536" i="1"/>
  <c r="CE4536" i="1"/>
  <c r="A4537" i="1"/>
  <c r="C4537" i="1"/>
  <c r="E4537" i="1"/>
  <c r="S4537" i="1"/>
  <c r="T4537" i="1"/>
  <c r="U4537" i="1"/>
  <c r="BB4537" i="1"/>
  <c r="BD4537" i="1"/>
  <c r="CE4537" i="1"/>
  <c r="A4538" i="1"/>
  <c r="C4538" i="1"/>
  <c r="E4538" i="1"/>
  <c r="S4538" i="1"/>
  <c r="T4538" i="1"/>
  <c r="U4538" i="1"/>
  <c r="BB4538" i="1"/>
  <c r="BD4538" i="1"/>
  <c r="CE4538" i="1"/>
  <c r="A4539" i="1"/>
  <c r="C4539" i="1"/>
  <c r="E4539" i="1"/>
  <c r="S4539" i="1"/>
  <c r="T4539" i="1"/>
  <c r="U4539" i="1"/>
  <c r="BB4539" i="1"/>
  <c r="BD4539" i="1"/>
  <c r="CE4539" i="1"/>
  <c r="A4540" i="1"/>
  <c r="C4540" i="1"/>
  <c r="E4540" i="1"/>
  <c r="S4540" i="1"/>
  <c r="T4540" i="1"/>
  <c r="U4540" i="1"/>
  <c r="BB4540" i="1"/>
  <c r="BD4540" i="1"/>
  <c r="CE4540" i="1"/>
  <c r="A4541" i="1"/>
  <c r="C4541" i="1"/>
  <c r="E4541" i="1"/>
  <c r="S4541" i="1"/>
  <c r="T4541" i="1"/>
  <c r="U4541" i="1"/>
  <c r="BB4541" i="1"/>
  <c r="BD4541" i="1"/>
  <c r="CE4541" i="1"/>
  <c r="A4542" i="1"/>
  <c r="C4542" i="1"/>
  <c r="E4542" i="1"/>
  <c r="S4542" i="1"/>
  <c r="T4542" i="1"/>
  <c r="U4542" i="1"/>
  <c r="BB4542" i="1"/>
  <c r="BD4542" i="1"/>
  <c r="CE4542" i="1"/>
  <c r="A4543" i="1"/>
  <c r="C4543" i="1"/>
  <c r="E4543" i="1"/>
  <c r="S4543" i="1"/>
  <c r="T4543" i="1"/>
  <c r="U4543" i="1"/>
  <c r="BB4543" i="1"/>
  <c r="BD4543" i="1"/>
  <c r="CE4543" i="1"/>
  <c r="A4544" i="1"/>
  <c r="C4544" i="1"/>
  <c r="E4544" i="1"/>
  <c r="S4544" i="1"/>
  <c r="T4544" i="1"/>
  <c r="U4544" i="1"/>
  <c r="BB4544" i="1"/>
  <c r="BD4544" i="1"/>
  <c r="CE4544" i="1"/>
  <c r="A4545" i="1"/>
  <c r="C4545" i="1"/>
  <c r="E4545" i="1"/>
  <c r="S4545" i="1"/>
  <c r="T4545" i="1"/>
  <c r="U4545" i="1"/>
  <c r="BB4545" i="1"/>
  <c r="BD4545" i="1"/>
  <c r="CE4545" i="1"/>
  <c r="A4546" i="1"/>
  <c r="C4546" i="1"/>
  <c r="E4546" i="1"/>
  <c r="S4546" i="1"/>
  <c r="T4546" i="1"/>
  <c r="U4546" i="1"/>
  <c r="BB4546" i="1"/>
  <c r="BD4546" i="1"/>
  <c r="CE4546" i="1"/>
  <c r="A4547" i="1"/>
  <c r="C4547" i="1"/>
  <c r="E4547" i="1"/>
  <c r="S4547" i="1"/>
  <c r="T4547" i="1"/>
  <c r="U4547" i="1"/>
  <c r="BB4547" i="1"/>
  <c r="BD4547" i="1"/>
  <c r="CE4547" i="1"/>
  <c r="A4548" i="1"/>
  <c r="C4548" i="1"/>
  <c r="E4548" i="1"/>
  <c r="S4548" i="1"/>
  <c r="T4548" i="1"/>
  <c r="U4548" i="1"/>
  <c r="BB4548" i="1"/>
  <c r="BD4548" i="1"/>
  <c r="CE4548" i="1"/>
  <c r="A4549" i="1"/>
  <c r="C4549" i="1"/>
  <c r="E4549" i="1"/>
  <c r="S4549" i="1"/>
  <c r="T4549" i="1"/>
  <c r="U4549" i="1"/>
  <c r="BB4549" i="1"/>
  <c r="BD4549" i="1"/>
  <c r="CE4549" i="1"/>
  <c r="A4550" i="1"/>
  <c r="C4550" i="1"/>
  <c r="E4550" i="1"/>
  <c r="S4550" i="1"/>
  <c r="T4550" i="1"/>
  <c r="U4550" i="1"/>
  <c r="BB4550" i="1"/>
  <c r="BD4550" i="1"/>
  <c r="CE4550" i="1"/>
  <c r="A4551" i="1"/>
  <c r="C4551" i="1"/>
  <c r="E4551" i="1"/>
  <c r="S4551" i="1"/>
  <c r="T4551" i="1"/>
  <c r="U4551" i="1"/>
  <c r="BB4551" i="1"/>
  <c r="BD4551" i="1"/>
  <c r="CE4551" i="1"/>
  <c r="A4552" i="1"/>
  <c r="C4552" i="1"/>
  <c r="E4552" i="1"/>
  <c r="S4552" i="1"/>
  <c r="T4552" i="1"/>
  <c r="U4552" i="1"/>
  <c r="BB4552" i="1"/>
  <c r="BD4552" i="1"/>
  <c r="CE4552" i="1"/>
  <c r="A4553" i="1"/>
  <c r="C4553" i="1"/>
  <c r="E4553" i="1"/>
  <c r="S4553" i="1"/>
  <c r="T4553" i="1"/>
  <c r="U4553" i="1"/>
  <c r="BB4553" i="1"/>
  <c r="BD4553" i="1"/>
  <c r="CE4553" i="1"/>
  <c r="A4554" i="1"/>
  <c r="C4554" i="1"/>
  <c r="E4554" i="1"/>
  <c r="S4554" i="1"/>
  <c r="T4554" i="1"/>
  <c r="U4554" i="1"/>
  <c r="BB4554" i="1"/>
  <c r="BD4554" i="1"/>
  <c r="CE4554" i="1"/>
  <c r="A4555" i="1"/>
  <c r="C4555" i="1"/>
  <c r="E4555" i="1"/>
  <c r="S4555" i="1"/>
  <c r="T4555" i="1"/>
  <c r="U4555" i="1"/>
  <c r="BB4555" i="1"/>
  <c r="BD4555" i="1"/>
  <c r="CE4555" i="1"/>
  <c r="A4556" i="1"/>
  <c r="C4556" i="1"/>
  <c r="E4556" i="1"/>
  <c r="S4556" i="1"/>
  <c r="T4556" i="1"/>
  <c r="U4556" i="1"/>
  <c r="BB4556" i="1"/>
  <c r="BD4556" i="1"/>
  <c r="CE4556" i="1"/>
  <c r="A4557" i="1"/>
  <c r="C4557" i="1"/>
  <c r="E4557" i="1"/>
  <c r="S4557" i="1"/>
  <c r="T4557" i="1"/>
  <c r="U4557" i="1"/>
  <c r="BB4557" i="1"/>
  <c r="BD4557" i="1"/>
  <c r="CE4557" i="1"/>
  <c r="A4558" i="1"/>
  <c r="C4558" i="1"/>
  <c r="E4558" i="1"/>
  <c r="S4558" i="1"/>
  <c r="T4558" i="1"/>
  <c r="U4558" i="1"/>
  <c r="BB4558" i="1"/>
  <c r="BD4558" i="1"/>
  <c r="CE4558" i="1"/>
  <c r="A4559" i="1"/>
  <c r="C4559" i="1"/>
  <c r="E4559" i="1"/>
  <c r="S4559" i="1"/>
  <c r="T4559" i="1"/>
  <c r="U4559" i="1"/>
  <c r="BB4559" i="1"/>
  <c r="BD4559" i="1"/>
  <c r="CE4559" i="1"/>
  <c r="A4560" i="1"/>
  <c r="C4560" i="1"/>
  <c r="E4560" i="1"/>
  <c r="S4560" i="1"/>
  <c r="T4560" i="1"/>
  <c r="U4560" i="1"/>
  <c r="BB4560" i="1"/>
  <c r="BD4560" i="1"/>
  <c r="CE4560" i="1"/>
  <c r="A4561" i="1"/>
  <c r="C4561" i="1"/>
  <c r="E4561" i="1"/>
  <c r="S4561" i="1"/>
  <c r="T4561" i="1"/>
  <c r="U4561" i="1"/>
  <c r="BB4561" i="1"/>
  <c r="BD4561" i="1"/>
  <c r="CE4561" i="1"/>
  <c r="A4562" i="1"/>
  <c r="C4562" i="1"/>
  <c r="E4562" i="1"/>
  <c r="S4562" i="1"/>
  <c r="T4562" i="1"/>
  <c r="U4562" i="1"/>
  <c r="BB4562" i="1"/>
  <c r="BD4562" i="1"/>
  <c r="CE4562" i="1"/>
  <c r="A4563" i="1"/>
  <c r="C4563" i="1"/>
  <c r="E4563" i="1"/>
  <c r="S4563" i="1"/>
  <c r="T4563" i="1"/>
  <c r="U4563" i="1"/>
  <c r="BB4563" i="1"/>
  <c r="BD4563" i="1"/>
  <c r="CE4563" i="1"/>
  <c r="A4564" i="1"/>
  <c r="C4564" i="1"/>
  <c r="E4564" i="1"/>
  <c r="S4564" i="1"/>
  <c r="T4564" i="1"/>
  <c r="U4564" i="1"/>
  <c r="BB4564" i="1"/>
  <c r="BD4564" i="1"/>
  <c r="CE4564" i="1"/>
  <c r="A4565" i="1"/>
  <c r="C4565" i="1"/>
  <c r="E4565" i="1"/>
  <c r="S4565" i="1"/>
  <c r="T4565" i="1"/>
  <c r="U4565" i="1"/>
  <c r="BB4565" i="1"/>
  <c r="BD4565" i="1"/>
  <c r="CE4565" i="1"/>
  <c r="A4566" i="1"/>
  <c r="C4566" i="1"/>
  <c r="E4566" i="1"/>
  <c r="S4566" i="1"/>
  <c r="T4566" i="1"/>
  <c r="U4566" i="1"/>
  <c r="BB4566" i="1"/>
  <c r="BD4566" i="1"/>
  <c r="CE4566" i="1"/>
  <c r="A4567" i="1"/>
  <c r="C4567" i="1"/>
  <c r="E4567" i="1"/>
  <c r="S4567" i="1"/>
  <c r="T4567" i="1"/>
  <c r="U4567" i="1"/>
  <c r="BB4567" i="1"/>
  <c r="BD4567" i="1"/>
  <c r="CE4567" i="1"/>
  <c r="A4568" i="1"/>
  <c r="C4568" i="1"/>
  <c r="E4568" i="1"/>
  <c r="S4568" i="1"/>
  <c r="T4568" i="1"/>
  <c r="U4568" i="1"/>
  <c r="BB4568" i="1"/>
  <c r="BD4568" i="1"/>
  <c r="CE4568" i="1"/>
  <c r="A4569" i="1"/>
  <c r="C4569" i="1"/>
  <c r="E4569" i="1"/>
  <c r="S4569" i="1"/>
  <c r="T4569" i="1"/>
  <c r="U4569" i="1"/>
  <c r="BB4569" i="1"/>
  <c r="BD4569" i="1"/>
  <c r="CE4569" i="1"/>
  <c r="A4570" i="1"/>
  <c r="C4570" i="1"/>
  <c r="E4570" i="1"/>
  <c r="S4570" i="1"/>
  <c r="T4570" i="1"/>
  <c r="U4570" i="1"/>
  <c r="BB4570" i="1"/>
  <c r="BD4570" i="1"/>
  <c r="CE4570" i="1"/>
  <c r="A4571" i="1"/>
  <c r="C4571" i="1"/>
  <c r="E4571" i="1"/>
  <c r="S4571" i="1"/>
  <c r="T4571" i="1"/>
  <c r="U4571" i="1"/>
  <c r="BB4571" i="1"/>
  <c r="BD4571" i="1"/>
  <c r="CE4571" i="1"/>
  <c r="A4572" i="1"/>
  <c r="C4572" i="1"/>
  <c r="E4572" i="1"/>
  <c r="S4572" i="1"/>
  <c r="T4572" i="1"/>
  <c r="U4572" i="1"/>
  <c r="BB4572" i="1"/>
  <c r="BD4572" i="1"/>
  <c r="CE4572" i="1"/>
  <c r="A4573" i="1"/>
  <c r="C4573" i="1"/>
  <c r="E4573" i="1"/>
  <c r="S4573" i="1"/>
  <c r="T4573" i="1"/>
  <c r="U4573" i="1"/>
  <c r="BB4573" i="1"/>
  <c r="BD4573" i="1"/>
  <c r="CE4573" i="1"/>
  <c r="A4574" i="1"/>
  <c r="C4574" i="1"/>
  <c r="E4574" i="1"/>
  <c r="S4574" i="1"/>
  <c r="T4574" i="1"/>
  <c r="U4574" i="1"/>
  <c r="BB4574" i="1"/>
  <c r="BD4574" i="1"/>
  <c r="CE4574" i="1"/>
  <c r="A4575" i="1"/>
  <c r="C4575" i="1"/>
  <c r="E4575" i="1"/>
  <c r="S4575" i="1"/>
  <c r="T4575" i="1"/>
  <c r="U4575" i="1"/>
  <c r="BB4575" i="1"/>
  <c r="BD4575" i="1"/>
  <c r="CE4575" i="1"/>
  <c r="A4576" i="1"/>
  <c r="C4576" i="1"/>
  <c r="E4576" i="1"/>
  <c r="S4576" i="1"/>
  <c r="T4576" i="1"/>
  <c r="U4576" i="1"/>
  <c r="BB4576" i="1"/>
  <c r="BD4576" i="1"/>
  <c r="CE4576" i="1"/>
  <c r="A4577" i="1"/>
  <c r="C4577" i="1"/>
  <c r="E4577" i="1"/>
  <c r="S4577" i="1"/>
  <c r="T4577" i="1"/>
  <c r="U4577" i="1"/>
  <c r="BB4577" i="1"/>
  <c r="BD4577" i="1"/>
  <c r="CE4577" i="1"/>
  <c r="A4578" i="1"/>
  <c r="C4578" i="1"/>
  <c r="E4578" i="1"/>
  <c r="S4578" i="1"/>
  <c r="T4578" i="1"/>
  <c r="U4578" i="1"/>
  <c r="BB4578" i="1"/>
  <c r="BD4578" i="1"/>
  <c r="CE4578" i="1"/>
  <c r="A4579" i="1"/>
  <c r="C4579" i="1"/>
  <c r="E4579" i="1"/>
  <c r="S4579" i="1"/>
  <c r="T4579" i="1"/>
  <c r="U4579" i="1"/>
  <c r="BB4579" i="1"/>
  <c r="BD4579" i="1"/>
  <c r="CE4579" i="1"/>
  <c r="A4580" i="1"/>
  <c r="C4580" i="1"/>
  <c r="E4580" i="1"/>
  <c r="S4580" i="1"/>
  <c r="T4580" i="1"/>
  <c r="U4580" i="1"/>
  <c r="BB4580" i="1"/>
  <c r="BD4580" i="1"/>
  <c r="CE4580" i="1"/>
  <c r="A4581" i="1"/>
  <c r="C4581" i="1"/>
  <c r="E4581" i="1"/>
  <c r="S4581" i="1"/>
  <c r="T4581" i="1"/>
  <c r="U4581" i="1"/>
  <c r="BB4581" i="1"/>
  <c r="BD4581" i="1"/>
  <c r="CE4581" i="1"/>
  <c r="A4582" i="1"/>
  <c r="C4582" i="1"/>
  <c r="E4582" i="1"/>
  <c r="S4582" i="1"/>
  <c r="T4582" i="1"/>
  <c r="U4582" i="1"/>
  <c r="BB4582" i="1"/>
  <c r="BD4582" i="1"/>
  <c r="CE4582" i="1"/>
  <c r="A4583" i="1"/>
  <c r="C4583" i="1"/>
  <c r="E4583" i="1"/>
  <c r="S4583" i="1"/>
  <c r="T4583" i="1"/>
  <c r="U4583" i="1"/>
  <c r="BB4583" i="1"/>
  <c r="BD4583" i="1"/>
  <c r="CE4583" i="1"/>
  <c r="A4584" i="1"/>
  <c r="C4584" i="1"/>
  <c r="E4584" i="1"/>
  <c r="S4584" i="1"/>
  <c r="T4584" i="1"/>
  <c r="U4584" i="1"/>
  <c r="BB4584" i="1"/>
  <c r="BD4584" i="1"/>
  <c r="CE4584" i="1"/>
  <c r="A4585" i="1"/>
  <c r="C4585" i="1"/>
  <c r="E4585" i="1"/>
  <c r="S4585" i="1"/>
  <c r="T4585" i="1"/>
  <c r="U4585" i="1"/>
  <c r="BB4585" i="1"/>
  <c r="BD4585" i="1"/>
  <c r="CE4585" i="1"/>
  <c r="A4586" i="1"/>
  <c r="C4586" i="1"/>
  <c r="E4586" i="1"/>
  <c r="S4586" i="1"/>
  <c r="T4586" i="1"/>
  <c r="U4586" i="1"/>
  <c r="BB4586" i="1"/>
  <c r="BD4586" i="1"/>
  <c r="CE4586" i="1"/>
  <c r="A4587" i="1"/>
  <c r="C4587" i="1"/>
  <c r="E4587" i="1"/>
  <c r="S4587" i="1"/>
  <c r="T4587" i="1"/>
  <c r="U4587" i="1"/>
  <c r="BB4587" i="1"/>
  <c r="BD4587" i="1"/>
  <c r="CE4587" i="1"/>
  <c r="A4588" i="1"/>
  <c r="C4588" i="1"/>
  <c r="E4588" i="1"/>
  <c r="S4588" i="1"/>
  <c r="T4588" i="1"/>
  <c r="U4588" i="1"/>
  <c r="BB4588" i="1"/>
  <c r="BD4588" i="1"/>
  <c r="CE4588" i="1"/>
  <c r="A4589" i="1"/>
  <c r="C4589" i="1"/>
  <c r="E4589" i="1"/>
  <c r="S4589" i="1"/>
  <c r="T4589" i="1"/>
  <c r="U4589" i="1"/>
  <c r="BB4589" i="1"/>
  <c r="BD4589" i="1"/>
  <c r="CE4589" i="1"/>
  <c r="A4590" i="1"/>
  <c r="C4590" i="1"/>
  <c r="E4590" i="1"/>
  <c r="S4590" i="1"/>
  <c r="T4590" i="1"/>
  <c r="U4590" i="1"/>
  <c r="BB4590" i="1"/>
  <c r="BD4590" i="1"/>
  <c r="CE4590" i="1"/>
  <c r="A4591" i="1"/>
  <c r="C4591" i="1"/>
  <c r="E4591" i="1"/>
  <c r="S4591" i="1"/>
  <c r="T4591" i="1"/>
  <c r="U4591" i="1"/>
  <c r="BB4591" i="1"/>
  <c r="BD4591" i="1"/>
  <c r="CE4591" i="1"/>
  <c r="A4592" i="1"/>
  <c r="C4592" i="1"/>
  <c r="E4592" i="1"/>
  <c r="S4592" i="1"/>
  <c r="T4592" i="1"/>
  <c r="U4592" i="1"/>
  <c r="BB4592" i="1"/>
  <c r="BD4592" i="1"/>
  <c r="CE4592" i="1"/>
  <c r="A4593" i="1"/>
  <c r="C4593" i="1"/>
  <c r="E4593" i="1"/>
  <c r="S4593" i="1"/>
  <c r="T4593" i="1"/>
  <c r="U4593" i="1"/>
  <c r="BB4593" i="1"/>
  <c r="BD4593" i="1"/>
  <c r="CE4593" i="1"/>
  <c r="A4594" i="1"/>
  <c r="C4594" i="1"/>
  <c r="E4594" i="1"/>
  <c r="S4594" i="1"/>
  <c r="T4594" i="1"/>
  <c r="U4594" i="1"/>
  <c r="BB4594" i="1"/>
  <c r="BD4594" i="1"/>
  <c r="CE4594" i="1"/>
  <c r="A4595" i="1"/>
  <c r="C4595" i="1"/>
  <c r="E4595" i="1"/>
  <c r="S4595" i="1"/>
  <c r="T4595" i="1"/>
  <c r="U4595" i="1"/>
  <c r="BB4595" i="1"/>
  <c r="BD4595" i="1"/>
  <c r="CE4595" i="1"/>
  <c r="A4596" i="1"/>
  <c r="C4596" i="1"/>
  <c r="E4596" i="1"/>
  <c r="S4596" i="1"/>
  <c r="T4596" i="1"/>
  <c r="U4596" i="1"/>
  <c r="BB4596" i="1"/>
  <c r="BD4596" i="1"/>
  <c r="CE4596" i="1"/>
  <c r="A4597" i="1"/>
  <c r="C4597" i="1"/>
  <c r="E4597" i="1"/>
  <c r="S4597" i="1"/>
  <c r="T4597" i="1"/>
  <c r="U4597" i="1"/>
  <c r="BB4597" i="1"/>
  <c r="BD4597" i="1"/>
  <c r="CE4597" i="1"/>
  <c r="A4598" i="1"/>
  <c r="C4598" i="1"/>
  <c r="E4598" i="1"/>
  <c r="S4598" i="1"/>
  <c r="T4598" i="1"/>
  <c r="U4598" i="1"/>
  <c r="BB4598" i="1"/>
  <c r="BD4598" i="1"/>
  <c r="CE4598" i="1"/>
  <c r="A4599" i="1"/>
  <c r="C4599" i="1"/>
  <c r="E4599" i="1"/>
  <c r="S4599" i="1"/>
  <c r="T4599" i="1"/>
  <c r="U4599" i="1"/>
  <c r="BB4599" i="1"/>
  <c r="BD4599" i="1"/>
  <c r="CE4599" i="1"/>
  <c r="A4600" i="1"/>
  <c r="C4600" i="1"/>
  <c r="E4600" i="1"/>
  <c r="S4600" i="1"/>
  <c r="T4600" i="1"/>
  <c r="U4600" i="1"/>
  <c r="BB4600" i="1"/>
  <c r="BD4600" i="1"/>
  <c r="CE4600" i="1"/>
  <c r="A4601" i="1"/>
  <c r="C4601" i="1"/>
  <c r="E4601" i="1"/>
  <c r="S4601" i="1"/>
  <c r="T4601" i="1"/>
  <c r="U4601" i="1"/>
  <c r="BB4601" i="1"/>
  <c r="BD4601" i="1"/>
  <c r="CE4601" i="1"/>
  <c r="A4602" i="1"/>
  <c r="C4602" i="1"/>
  <c r="E4602" i="1"/>
  <c r="S4602" i="1"/>
  <c r="T4602" i="1"/>
  <c r="U4602" i="1"/>
  <c r="BB4602" i="1"/>
  <c r="BD4602" i="1"/>
  <c r="CE4602" i="1"/>
  <c r="A4603" i="1"/>
  <c r="C4603" i="1"/>
  <c r="E4603" i="1"/>
  <c r="S4603" i="1"/>
  <c r="T4603" i="1"/>
  <c r="U4603" i="1"/>
  <c r="BB4603" i="1"/>
  <c r="BD4603" i="1"/>
  <c r="CE4603" i="1"/>
  <c r="A4604" i="1"/>
  <c r="C4604" i="1"/>
  <c r="E4604" i="1"/>
  <c r="S4604" i="1"/>
  <c r="T4604" i="1"/>
  <c r="U4604" i="1"/>
  <c r="BB4604" i="1"/>
  <c r="BD4604" i="1"/>
  <c r="CE4604" i="1"/>
  <c r="A4605" i="1"/>
  <c r="C4605" i="1"/>
  <c r="E4605" i="1"/>
  <c r="S4605" i="1"/>
  <c r="T4605" i="1"/>
  <c r="U4605" i="1"/>
  <c r="BB4605" i="1"/>
  <c r="BD4605" i="1"/>
  <c r="CE4605" i="1"/>
  <c r="A4606" i="1"/>
  <c r="C4606" i="1"/>
  <c r="E4606" i="1"/>
  <c r="S4606" i="1"/>
  <c r="T4606" i="1"/>
  <c r="U4606" i="1"/>
  <c r="BB4606" i="1"/>
  <c r="BD4606" i="1"/>
  <c r="CE4606" i="1"/>
  <c r="A4607" i="1"/>
  <c r="C4607" i="1"/>
  <c r="E4607" i="1"/>
  <c r="S4607" i="1"/>
  <c r="T4607" i="1"/>
  <c r="U4607" i="1"/>
  <c r="BB4607" i="1"/>
  <c r="BD4607" i="1"/>
  <c r="CE4607" i="1"/>
  <c r="A4608" i="1"/>
  <c r="C4608" i="1"/>
  <c r="E4608" i="1"/>
  <c r="S4608" i="1"/>
  <c r="T4608" i="1"/>
  <c r="U4608" i="1"/>
  <c r="BB4608" i="1"/>
  <c r="BD4608" i="1"/>
  <c r="CE4608" i="1"/>
  <c r="A4609" i="1"/>
  <c r="C4609" i="1"/>
  <c r="E4609" i="1"/>
  <c r="S4609" i="1"/>
  <c r="T4609" i="1"/>
  <c r="U4609" i="1"/>
  <c r="BB4609" i="1"/>
  <c r="BD4609" i="1"/>
  <c r="CE4609" i="1"/>
  <c r="A4610" i="1"/>
  <c r="C4610" i="1"/>
  <c r="E4610" i="1"/>
  <c r="S4610" i="1"/>
  <c r="T4610" i="1"/>
  <c r="U4610" i="1"/>
  <c r="BB4610" i="1"/>
  <c r="BD4610" i="1"/>
  <c r="CE4610" i="1"/>
  <c r="A4611" i="1"/>
  <c r="C4611" i="1"/>
  <c r="E4611" i="1"/>
  <c r="S4611" i="1"/>
  <c r="T4611" i="1"/>
  <c r="U4611" i="1"/>
  <c r="BB4611" i="1"/>
  <c r="BD4611" i="1"/>
  <c r="CE4611" i="1"/>
  <c r="A4612" i="1"/>
  <c r="C4612" i="1"/>
  <c r="E4612" i="1"/>
  <c r="S4612" i="1"/>
  <c r="T4612" i="1"/>
  <c r="U4612" i="1"/>
  <c r="BB4612" i="1"/>
  <c r="BD4612" i="1"/>
  <c r="CE4612" i="1"/>
  <c r="A4613" i="1"/>
  <c r="C4613" i="1"/>
  <c r="E4613" i="1"/>
  <c r="S4613" i="1"/>
  <c r="T4613" i="1"/>
  <c r="U4613" i="1"/>
  <c r="BB4613" i="1"/>
  <c r="BD4613" i="1"/>
  <c r="CE4613" i="1"/>
  <c r="A4614" i="1"/>
  <c r="C4614" i="1"/>
  <c r="E4614" i="1"/>
  <c r="S4614" i="1"/>
  <c r="T4614" i="1"/>
  <c r="U4614" i="1"/>
  <c r="BB4614" i="1"/>
  <c r="BD4614" i="1"/>
  <c r="CE4614" i="1"/>
  <c r="A4615" i="1"/>
  <c r="C4615" i="1"/>
  <c r="E4615" i="1"/>
  <c r="S4615" i="1"/>
  <c r="T4615" i="1"/>
  <c r="U4615" i="1"/>
  <c r="BB4615" i="1"/>
  <c r="BD4615" i="1"/>
  <c r="CE4615" i="1"/>
  <c r="A4616" i="1"/>
  <c r="C4616" i="1"/>
  <c r="E4616" i="1"/>
  <c r="S4616" i="1"/>
  <c r="T4616" i="1"/>
  <c r="U4616" i="1"/>
  <c r="BB4616" i="1"/>
  <c r="BD4616" i="1"/>
  <c r="CE4616" i="1"/>
  <c r="A4617" i="1"/>
  <c r="C4617" i="1"/>
  <c r="E4617" i="1"/>
  <c r="S4617" i="1"/>
  <c r="T4617" i="1"/>
  <c r="U4617" i="1"/>
  <c r="BB4617" i="1"/>
  <c r="BD4617" i="1"/>
  <c r="CE4617" i="1"/>
  <c r="A4618" i="1"/>
  <c r="C4618" i="1"/>
  <c r="E4618" i="1"/>
  <c r="S4618" i="1"/>
  <c r="T4618" i="1"/>
  <c r="U4618" i="1"/>
  <c r="BB4618" i="1"/>
  <c r="BD4618" i="1"/>
  <c r="CE4618" i="1"/>
  <c r="A4619" i="1"/>
  <c r="C4619" i="1"/>
  <c r="E4619" i="1"/>
  <c r="S4619" i="1"/>
  <c r="T4619" i="1"/>
  <c r="U4619" i="1"/>
  <c r="BB4619" i="1"/>
  <c r="BD4619" i="1"/>
  <c r="CE4619" i="1"/>
  <c r="A4620" i="1"/>
  <c r="C4620" i="1"/>
  <c r="E4620" i="1"/>
  <c r="S4620" i="1"/>
  <c r="T4620" i="1"/>
  <c r="U4620" i="1"/>
  <c r="BB4620" i="1"/>
  <c r="BD4620" i="1"/>
  <c r="CE4620" i="1"/>
  <c r="A4621" i="1"/>
  <c r="C4621" i="1"/>
  <c r="E4621" i="1"/>
  <c r="S4621" i="1"/>
  <c r="T4621" i="1"/>
  <c r="U4621" i="1"/>
  <c r="BB4621" i="1"/>
  <c r="BD4621" i="1"/>
  <c r="CE4621" i="1"/>
  <c r="A4622" i="1"/>
  <c r="C4622" i="1"/>
  <c r="E4622" i="1"/>
  <c r="S4622" i="1"/>
  <c r="T4622" i="1"/>
  <c r="U4622" i="1"/>
  <c r="BB4622" i="1"/>
  <c r="BD4622" i="1"/>
  <c r="CE4622" i="1"/>
  <c r="A4623" i="1"/>
  <c r="C4623" i="1"/>
  <c r="E4623" i="1"/>
  <c r="S4623" i="1"/>
  <c r="T4623" i="1"/>
  <c r="U4623" i="1"/>
  <c r="BB4623" i="1"/>
  <c r="BD4623" i="1"/>
  <c r="CE4623" i="1"/>
  <c r="A4624" i="1"/>
  <c r="C4624" i="1"/>
  <c r="E4624" i="1"/>
  <c r="S4624" i="1"/>
  <c r="T4624" i="1"/>
  <c r="U4624" i="1"/>
  <c r="BB4624" i="1"/>
  <c r="BD4624" i="1"/>
  <c r="CE4624" i="1"/>
  <c r="A4625" i="1"/>
  <c r="C4625" i="1"/>
  <c r="E4625" i="1"/>
  <c r="S4625" i="1"/>
  <c r="T4625" i="1"/>
  <c r="U4625" i="1"/>
  <c r="BB4625" i="1"/>
  <c r="BD4625" i="1"/>
  <c r="CE4625" i="1"/>
  <c r="A4626" i="1"/>
  <c r="C4626" i="1"/>
  <c r="E4626" i="1"/>
  <c r="S4626" i="1"/>
  <c r="T4626" i="1"/>
  <c r="U4626" i="1"/>
  <c r="BB4626" i="1"/>
  <c r="BD4626" i="1"/>
  <c r="CE4626" i="1"/>
  <c r="A4627" i="1"/>
  <c r="C4627" i="1"/>
  <c r="E4627" i="1"/>
  <c r="S4627" i="1"/>
  <c r="T4627" i="1"/>
  <c r="U4627" i="1"/>
  <c r="BB4627" i="1"/>
  <c r="BD4627" i="1"/>
  <c r="CE4627" i="1"/>
  <c r="A4628" i="1"/>
  <c r="C4628" i="1"/>
  <c r="E4628" i="1"/>
  <c r="S4628" i="1"/>
  <c r="T4628" i="1"/>
  <c r="U4628" i="1"/>
  <c r="BB4628" i="1"/>
  <c r="BD4628" i="1"/>
  <c r="CE4628" i="1"/>
  <c r="A4629" i="1"/>
  <c r="C4629" i="1"/>
  <c r="E4629" i="1"/>
  <c r="S4629" i="1"/>
  <c r="T4629" i="1"/>
  <c r="U4629" i="1"/>
  <c r="BB4629" i="1"/>
  <c r="BD4629" i="1"/>
  <c r="CE4629" i="1"/>
  <c r="A4630" i="1"/>
  <c r="C4630" i="1"/>
  <c r="E4630" i="1"/>
  <c r="S4630" i="1"/>
  <c r="T4630" i="1"/>
  <c r="U4630" i="1"/>
  <c r="BB4630" i="1"/>
  <c r="BD4630" i="1"/>
  <c r="CE4630" i="1"/>
  <c r="A4631" i="1"/>
  <c r="C4631" i="1"/>
  <c r="E4631" i="1"/>
  <c r="S4631" i="1"/>
  <c r="T4631" i="1"/>
  <c r="U4631" i="1"/>
  <c r="BB4631" i="1"/>
  <c r="BD4631" i="1"/>
  <c r="CE4631" i="1"/>
  <c r="A4632" i="1"/>
  <c r="C4632" i="1"/>
  <c r="E4632" i="1"/>
  <c r="S4632" i="1"/>
  <c r="T4632" i="1"/>
  <c r="U4632" i="1"/>
  <c r="BB4632" i="1"/>
  <c r="BD4632" i="1"/>
  <c r="CE4632" i="1"/>
  <c r="A4633" i="1"/>
  <c r="C4633" i="1"/>
  <c r="E4633" i="1"/>
  <c r="S4633" i="1"/>
  <c r="T4633" i="1"/>
  <c r="U4633" i="1"/>
  <c r="BB4633" i="1"/>
  <c r="BD4633" i="1"/>
  <c r="CE4633" i="1"/>
  <c r="A4634" i="1"/>
  <c r="C4634" i="1"/>
  <c r="E4634" i="1"/>
  <c r="S4634" i="1"/>
  <c r="T4634" i="1"/>
  <c r="U4634" i="1"/>
  <c r="BB4634" i="1"/>
  <c r="BD4634" i="1"/>
  <c r="CE4634" i="1"/>
  <c r="A4635" i="1"/>
  <c r="C4635" i="1"/>
  <c r="E4635" i="1"/>
  <c r="S4635" i="1"/>
  <c r="T4635" i="1"/>
  <c r="U4635" i="1"/>
  <c r="BB4635" i="1"/>
  <c r="BD4635" i="1"/>
  <c r="CE4635" i="1"/>
  <c r="A4636" i="1"/>
  <c r="C4636" i="1"/>
  <c r="E4636" i="1"/>
  <c r="S4636" i="1"/>
  <c r="T4636" i="1"/>
  <c r="U4636" i="1"/>
  <c r="BB4636" i="1"/>
  <c r="BD4636" i="1"/>
  <c r="CE4636" i="1"/>
  <c r="A4637" i="1"/>
  <c r="C4637" i="1"/>
  <c r="E4637" i="1"/>
  <c r="S4637" i="1"/>
  <c r="T4637" i="1"/>
  <c r="U4637" i="1"/>
  <c r="BB4637" i="1"/>
  <c r="BD4637" i="1"/>
  <c r="CE4637" i="1"/>
  <c r="A4638" i="1"/>
  <c r="C4638" i="1"/>
  <c r="E4638" i="1"/>
  <c r="S4638" i="1"/>
  <c r="T4638" i="1"/>
  <c r="U4638" i="1"/>
  <c r="BB4638" i="1"/>
  <c r="BD4638" i="1"/>
  <c r="CE4638" i="1"/>
  <c r="A4639" i="1"/>
  <c r="C4639" i="1"/>
  <c r="E4639" i="1"/>
  <c r="S4639" i="1"/>
  <c r="T4639" i="1"/>
  <c r="U4639" i="1"/>
  <c r="BB4639" i="1"/>
  <c r="BD4639" i="1"/>
  <c r="CE4639" i="1"/>
  <c r="A4640" i="1"/>
  <c r="C4640" i="1"/>
  <c r="E4640" i="1"/>
  <c r="S4640" i="1"/>
  <c r="T4640" i="1"/>
  <c r="U4640" i="1"/>
  <c r="BB4640" i="1"/>
  <c r="BD4640" i="1"/>
  <c r="CE4640" i="1"/>
  <c r="A4641" i="1"/>
  <c r="C4641" i="1"/>
  <c r="E4641" i="1"/>
  <c r="S4641" i="1"/>
  <c r="T4641" i="1"/>
  <c r="U4641" i="1"/>
  <c r="BB4641" i="1"/>
  <c r="BD4641" i="1"/>
  <c r="CE4641" i="1"/>
  <c r="A4642" i="1"/>
  <c r="C4642" i="1"/>
  <c r="E4642" i="1"/>
  <c r="S4642" i="1"/>
  <c r="T4642" i="1"/>
  <c r="U4642" i="1"/>
  <c r="BB4642" i="1"/>
  <c r="BD4642" i="1"/>
  <c r="CE4642" i="1"/>
  <c r="A4643" i="1"/>
  <c r="C4643" i="1"/>
  <c r="E4643" i="1"/>
  <c r="S4643" i="1"/>
  <c r="T4643" i="1"/>
  <c r="U4643" i="1"/>
  <c r="BB4643" i="1"/>
  <c r="BD4643" i="1"/>
  <c r="CE4643" i="1"/>
  <c r="A4644" i="1"/>
  <c r="C4644" i="1"/>
  <c r="E4644" i="1"/>
  <c r="S4644" i="1"/>
  <c r="T4644" i="1"/>
  <c r="U4644" i="1"/>
  <c r="BB4644" i="1"/>
  <c r="BD4644" i="1"/>
  <c r="CE4644" i="1"/>
  <c r="A4645" i="1"/>
  <c r="C4645" i="1"/>
  <c r="E4645" i="1"/>
  <c r="S4645" i="1"/>
  <c r="T4645" i="1"/>
  <c r="U4645" i="1"/>
  <c r="BB4645" i="1"/>
  <c r="BD4645" i="1"/>
  <c r="CE4645" i="1"/>
  <c r="A4646" i="1"/>
  <c r="C4646" i="1"/>
  <c r="E4646" i="1"/>
  <c r="S4646" i="1"/>
  <c r="T4646" i="1"/>
  <c r="U4646" i="1"/>
  <c r="BB4646" i="1"/>
  <c r="BD4646" i="1"/>
  <c r="CE4646" i="1"/>
  <c r="A4647" i="1"/>
  <c r="C4647" i="1"/>
  <c r="E4647" i="1"/>
  <c r="S4647" i="1"/>
  <c r="T4647" i="1"/>
  <c r="U4647" i="1"/>
  <c r="BB4647" i="1"/>
  <c r="BD4647" i="1"/>
  <c r="CE4647" i="1"/>
  <c r="A4648" i="1"/>
  <c r="C4648" i="1"/>
  <c r="E4648" i="1"/>
  <c r="S4648" i="1"/>
  <c r="T4648" i="1"/>
  <c r="U4648" i="1"/>
  <c r="BB4648" i="1"/>
  <c r="BD4648" i="1"/>
  <c r="CE4648" i="1"/>
  <c r="A4649" i="1"/>
  <c r="C4649" i="1"/>
  <c r="E4649" i="1"/>
  <c r="S4649" i="1"/>
  <c r="T4649" i="1"/>
  <c r="U4649" i="1"/>
  <c r="BB4649" i="1"/>
  <c r="BD4649" i="1"/>
  <c r="CE4649" i="1"/>
  <c r="A4650" i="1"/>
  <c r="C4650" i="1"/>
  <c r="E4650" i="1"/>
  <c r="S4650" i="1"/>
  <c r="T4650" i="1"/>
  <c r="U4650" i="1"/>
  <c r="BB4650" i="1"/>
  <c r="BD4650" i="1"/>
  <c r="CE4650" i="1"/>
  <c r="A4651" i="1"/>
  <c r="C4651" i="1"/>
  <c r="E4651" i="1"/>
  <c r="S4651" i="1"/>
  <c r="T4651" i="1"/>
  <c r="U4651" i="1"/>
  <c r="BB4651" i="1"/>
  <c r="BD4651" i="1"/>
  <c r="CE4651" i="1"/>
  <c r="A4652" i="1"/>
  <c r="C4652" i="1"/>
  <c r="E4652" i="1"/>
  <c r="S4652" i="1"/>
  <c r="T4652" i="1"/>
  <c r="U4652" i="1"/>
  <c r="BB4652" i="1"/>
  <c r="BD4652" i="1"/>
  <c r="CE4652" i="1"/>
  <c r="A4653" i="1"/>
  <c r="C4653" i="1"/>
  <c r="E4653" i="1"/>
  <c r="S4653" i="1"/>
  <c r="T4653" i="1"/>
  <c r="U4653" i="1"/>
  <c r="BB4653" i="1"/>
  <c r="BD4653" i="1"/>
  <c r="CE4653" i="1"/>
  <c r="A4654" i="1"/>
  <c r="C4654" i="1"/>
  <c r="E4654" i="1"/>
  <c r="S4654" i="1"/>
  <c r="T4654" i="1"/>
  <c r="U4654" i="1"/>
  <c r="BB4654" i="1"/>
  <c r="BD4654" i="1"/>
  <c r="CE4654" i="1"/>
  <c r="A4655" i="1"/>
  <c r="C4655" i="1"/>
  <c r="E4655" i="1"/>
  <c r="S4655" i="1"/>
  <c r="T4655" i="1"/>
  <c r="U4655" i="1"/>
  <c r="BB4655" i="1"/>
  <c r="BD4655" i="1"/>
  <c r="CE4655" i="1"/>
  <c r="A4656" i="1"/>
  <c r="C4656" i="1"/>
  <c r="E4656" i="1"/>
  <c r="S4656" i="1"/>
  <c r="T4656" i="1"/>
  <c r="U4656" i="1"/>
  <c r="BB4656" i="1"/>
  <c r="BD4656" i="1"/>
  <c r="CE4656" i="1"/>
  <c r="A4657" i="1"/>
  <c r="C4657" i="1"/>
  <c r="E4657" i="1"/>
  <c r="S4657" i="1"/>
  <c r="T4657" i="1"/>
  <c r="U4657" i="1"/>
  <c r="BB4657" i="1"/>
  <c r="BD4657" i="1"/>
  <c r="CE4657" i="1"/>
  <c r="A4658" i="1"/>
  <c r="C4658" i="1"/>
  <c r="E4658" i="1"/>
  <c r="S4658" i="1"/>
  <c r="T4658" i="1"/>
  <c r="U4658" i="1"/>
  <c r="BB4658" i="1"/>
  <c r="BD4658" i="1"/>
  <c r="CE4658" i="1"/>
  <c r="A4659" i="1"/>
  <c r="C4659" i="1"/>
  <c r="E4659" i="1"/>
  <c r="S4659" i="1"/>
  <c r="T4659" i="1"/>
  <c r="U4659" i="1"/>
  <c r="BB4659" i="1"/>
  <c r="BD4659" i="1"/>
  <c r="CE4659" i="1"/>
  <c r="A4660" i="1"/>
  <c r="C4660" i="1"/>
  <c r="E4660" i="1"/>
  <c r="S4660" i="1"/>
  <c r="T4660" i="1"/>
  <c r="U4660" i="1"/>
  <c r="BB4660" i="1"/>
  <c r="BD4660" i="1"/>
  <c r="CE4660" i="1"/>
  <c r="A4661" i="1"/>
  <c r="C4661" i="1"/>
  <c r="E4661" i="1"/>
  <c r="S4661" i="1"/>
  <c r="T4661" i="1"/>
  <c r="U4661" i="1"/>
  <c r="BB4661" i="1"/>
  <c r="BD4661" i="1"/>
  <c r="CE4661" i="1"/>
  <c r="A4662" i="1"/>
  <c r="C4662" i="1"/>
  <c r="E4662" i="1"/>
  <c r="S4662" i="1"/>
  <c r="T4662" i="1"/>
  <c r="U4662" i="1"/>
  <c r="BB4662" i="1"/>
  <c r="BD4662" i="1"/>
  <c r="CE4662" i="1"/>
  <c r="A4663" i="1"/>
  <c r="C4663" i="1"/>
  <c r="E4663" i="1"/>
  <c r="S4663" i="1"/>
  <c r="T4663" i="1"/>
  <c r="U4663" i="1"/>
  <c r="BB4663" i="1"/>
  <c r="BD4663" i="1"/>
  <c r="CE4663" i="1"/>
  <c r="A4664" i="1"/>
  <c r="C4664" i="1"/>
  <c r="E4664" i="1"/>
  <c r="S4664" i="1"/>
  <c r="T4664" i="1"/>
  <c r="U4664" i="1"/>
  <c r="BB4664" i="1"/>
  <c r="BD4664" i="1"/>
  <c r="CE4664" i="1"/>
  <c r="A4665" i="1"/>
  <c r="C4665" i="1"/>
  <c r="E4665" i="1"/>
  <c r="S4665" i="1"/>
  <c r="T4665" i="1"/>
  <c r="U4665" i="1"/>
  <c r="BB4665" i="1"/>
  <c r="BD4665" i="1"/>
  <c r="CE4665" i="1"/>
  <c r="A4666" i="1"/>
  <c r="C4666" i="1"/>
  <c r="E4666" i="1"/>
  <c r="S4666" i="1"/>
  <c r="T4666" i="1"/>
  <c r="U4666" i="1"/>
  <c r="BB4666" i="1"/>
  <c r="BD4666" i="1"/>
  <c r="CE4666" i="1"/>
  <c r="A4667" i="1"/>
  <c r="C4667" i="1"/>
  <c r="E4667" i="1"/>
  <c r="S4667" i="1"/>
  <c r="T4667" i="1"/>
  <c r="U4667" i="1"/>
  <c r="BB4667" i="1"/>
  <c r="BD4667" i="1"/>
  <c r="CE4667" i="1"/>
  <c r="A4668" i="1"/>
  <c r="C4668" i="1"/>
  <c r="E4668" i="1"/>
  <c r="S4668" i="1"/>
  <c r="T4668" i="1"/>
  <c r="U4668" i="1"/>
  <c r="BB4668" i="1"/>
  <c r="BD4668" i="1"/>
  <c r="CE4668" i="1"/>
  <c r="A4669" i="1"/>
  <c r="C4669" i="1"/>
  <c r="E4669" i="1"/>
  <c r="S4669" i="1"/>
  <c r="T4669" i="1"/>
  <c r="U4669" i="1"/>
  <c r="BB4669" i="1"/>
  <c r="BD4669" i="1"/>
  <c r="CE4669" i="1"/>
  <c r="A4670" i="1"/>
  <c r="C4670" i="1"/>
  <c r="E4670" i="1"/>
  <c r="S4670" i="1"/>
  <c r="T4670" i="1"/>
  <c r="U4670" i="1"/>
  <c r="BB4670" i="1"/>
  <c r="BD4670" i="1"/>
  <c r="CE4670" i="1"/>
  <c r="A4671" i="1"/>
  <c r="C4671" i="1"/>
  <c r="E4671" i="1"/>
  <c r="S4671" i="1"/>
  <c r="T4671" i="1"/>
  <c r="U4671" i="1"/>
  <c r="BB4671" i="1"/>
  <c r="BD4671" i="1"/>
  <c r="CE4671" i="1"/>
  <c r="A4672" i="1"/>
  <c r="C4672" i="1"/>
  <c r="E4672" i="1"/>
  <c r="S4672" i="1"/>
  <c r="T4672" i="1"/>
  <c r="U4672" i="1"/>
  <c r="BB4672" i="1"/>
  <c r="BD4672" i="1"/>
  <c r="CE4672" i="1"/>
  <c r="A4673" i="1"/>
  <c r="C4673" i="1"/>
  <c r="E4673" i="1"/>
  <c r="S4673" i="1"/>
  <c r="T4673" i="1"/>
  <c r="U4673" i="1"/>
  <c r="BB4673" i="1"/>
  <c r="BD4673" i="1"/>
  <c r="CE4673" i="1"/>
  <c r="A4674" i="1"/>
  <c r="C4674" i="1"/>
  <c r="E4674" i="1"/>
  <c r="S4674" i="1"/>
  <c r="T4674" i="1"/>
  <c r="U4674" i="1"/>
  <c r="BB4674" i="1"/>
  <c r="BD4674" i="1"/>
  <c r="CE4674" i="1"/>
  <c r="A4675" i="1"/>
  <c r="C4675" i="1"/>
  <c r="E4675" i="1"/>
  <c r="S4675" i="1"/>
  <c r="T4675" i="1"/>
  <c r="U4675" i="1"/>
  <c r="BB4675" i="1"/>
  <c r="BD4675" i="1"/>
  <c r="CE4675" i="1"/>
  <c r="A4676" i="1"/>
  <c r="C4676" i="1"/>
  <c r="E4676" i="1"/>
  <c r="S4676" i="1"/>
  <c r="T4676" i="1"/>
  <c r="U4676" i="1"/>
  <c r="BB4676" i="1"/>
  <c r="BD4676" i="1"/>
  <c r="CE4676" i="1"/>
  <c r="A4677" i="1"/>
  <c r="C4677" i="1"/>
  <c r="E4677" i="1"/>
  <c r="S4677" i="1"/>
  <c r="T4677" i="1"/>
  <c r="U4677" i="1"/>
  <c r="BB4677" i="1"/>
  <c r="BD4677" i="1"/>
  <c r="CE4677" i="1"/>
  <c r="A4678" i="1"/>
  <c r="C4678" i="1"/>
  <c r="E4678" i="1"/>
  <c r="S4678" i="1"/>
  <c r="T4678" i="1"/>
  <c r="U4678" i="1"/>
  <c r="BB4678" i="1"/>
  <c r="BD4678" i="1"/>
  <c r="CE4678" i="1"/>
  <c r="A4679" i="1"/>
  <c r="C4679" i="1"/>
  <c r="E4679" i="1"/>
  <c r="S4679" i="1"/>
  <c r="T4679" i="1"/>
  <c r="U4679" i="1"/>
  <c r="BB4679" i="1"/>
  <c r="BD4679" i="1"/>
  <c r="CE4679" i="1"/>
  <c r="A4680" i="1"/>
  <c r="C4680" i="1"/>
  <c r="E4680" i="1"/>
  <c r="S4680" i="1"/>
  <c r="T4680" i="1"/>
  <c r="U4680" i="1"/>
  <c r="BB4680" i="1"/>
  <c r="BD4680" i="1"/>
  <c r="CE4680" i="1"/>
  <c r="A4681" i="1"/>
  <c r="C4681" i="1"/>
  <c r="E4681" i="1"/>
  <c r="S4681" i="1"/>
  <c r="T4681" i="1"/>
  <c r="U4681" i="1"/>
  <c r="BB4681" i="1"/>
  <c r="BD4681" i="1"/>
  <c r="CE4681" i="1"/>
  <c r="A4682" i="1"/>
  <c r="C4682" i="1"/>
  <c r="E4682" i="1"/>
  <c r="S4682" i="1"/>
  <c r="T4682" i="1"/>
  <c r="U4682" i="1"/>
  <c r="BB4682" i="1"/>
  <c r="BD4682" i="1"/>
  <c r="CE4682" i="1"/>
  <c r="A4683" i="1"/>
  <c r="C4683" i="1"/>
  <c r="E4683" i="1"/>
  <c r="S4683" i="1"/>
  <c r="T4683" i="1"/>
  <c r="U4683" i="1"/>
  <c r="BB4683" i="1"/>
  <c r="BD4683" i="1"/>
  <c r="CE4683" i="1"/>
  <c r="A4684" i="1"/>
  <c r="C4684" i="1"/>
  <c r="E4684" i="1"/>
  <c r="S4684" i="1"/>
  <c r="T4684" i="1"/>
  <c r="U4684" i="1"/>
  <c r="BB4684" i="1"/>
  <c r="BD4684" i="1"/>
  <c r="CE4684" i="1"/>
  <c r="A4685" i="1"/>
  <c r="C4685" i="1"/>
  <c r="E4685" i="1"/>
  <c r="S4685" i="1"/>
  <c r="T4685" i="1"/>
  <c r="U4685" i="1"/>
  <c r="BB4685" i="1"/>
  <c r="BD4685" i="1"/>
  <c r="CE4685" i="1"/>
  <c r="A4686" i="1"/>
  <c r="C4686" i="1"/>
  <c r="E4686" i="1"/>
  <c r="S4686" i="1"/>
  <c r="T4686" i="1"/>
  <c r="U4686" i="1"/>
  <c r="BB4686" i="1"/>
  <c r="BD4686" i="1"/>
  <c r="CE4686" i="1"/>
  <c r="A4687" i="1"/>
  <c r="C4687" i="1"/>
  <c r="E4687" i="1"/>
  <c r="S4687" i="1"/>
  <c r="T4687" i="1"/>
  <c r="U4687" i="1"/>
  <c r="BB4687" i="1"/>
  <c r="BD4687" i="1"/>
  <c r="CE4687" i="1"/>
  <c r="A4688" i="1"/>
  <c r="C4688" i="1"/>
  <c r="E4688" i="1"/>
  <c r="S4688" i="1"/>
  <c r="T4688" i="1"/>
  <c r="U4688" i="1"/>
  <c r="BB4688" i="1"/>
  <c r="BD4688" i="1"/>
  <c r="CE4688" i="1"/>
  <c r="A4689" i="1"/>
  <c r="C4689" i="1"/>
  <c r="E4689" i="1"/>
  <c r="S4689" i="1"/>
  <c r="T4689" i="1"/>
  <c r="U4689" i="1"/>
  <c r="BB4689" i="1"/>
  <c r="BD4689" i="1"/>
  <c r="CE4689" i="1"/>
  <c r="A4690" i="1"/>
  <c r="C4690" i="1"/>
  <c r="E4690" i="1"/>
  <c r="S4690" i="1"/>
  <c r="T4690" i="1"/>
  <c r="U4690" i="1"/>
  <c r="BB4690" i="1"/>
  <c r="BD4690" i="1"/>
  <c r="CE4690" i="1"/>
  <c r="A4691" i="1"/>
  <c r="C4691" i="1"/>
  <c r="E4691" i="1"/>
  <c r="S4691" i="1"/>
  <c r="T4691" i="1"/>
  <c r="U4691" i="1"/>
  <c r="BB4691" i="1"/>
  <c r="BD4691" i="1"/>
  <c r="CE4691" i="1"/>
  <c r="A4692" i="1"/>
  <c r="C4692" i="1"/>
  <c r="E4692" i="1"/>
  <c r="S4692" i="1"/>
  <c r="T4692" i="1"/>
  <c r="U4692" i="1"/>
  <c r="BB4692" i="1"/>
  <c r="BD4692" i="1"/>
  <c r="CE4692" i="1"/>
  <c r="A4693" i="1"/>
  <c r="C4693" i="1"/>
  <c r="E4693" i="1"/>
  <c r="S4693" i="1"/>
  <c r="T4693" i="1"/>
  <c r="U4693" i="1"/>
  <c r="BB4693" i="1"/>
  <c r="BD4693" i="1"/>
  <c r="CE4693" i="1"/>
  <c r="A4694" i="1"/>
  <c r="C4694" i="1"/>
  <c r="E4694" i="1"/>
  <c r="S4694" i="1"/>
  <c r="T4694" i="1"/>
  <c r="U4694" i="1"/>
  <c r="BB4694" i="1"/>
  <c r="BD4694" i="1"/>
  <c r="CE4694" i="1"/>
  <c r="A4695" i="1"/>
  <c r="C4695" i="1"/>
  <c r="E4695" i="1"/>
  <c r="S4695" i="1"/>
  <c r="T4695" i="1"/>
  <c r="U4695" i="1"/>
  <c r="BB4695" i="1"/>
  <c r="BD4695" i="1"/>
  <c r="CE4695" i="1"/>
  <c r="A4696" i="1"/>
  <c r="C4696" i="1"/>
  <c r="E4696" i="1"/>
  <c r="S4696" i="1"/>
  <c r="T4696" i="1"/>
  <c r="U4696" i="1"/>
  <c r="BB4696" i="1"/>
  <c r="BD4696" i="1"/>
  <c r="CE4696" i="1"/>
  <c r="A4697" i="1"/>
  <c r="C4697" i="1"/>
  <c r="E4697" i="1"/>
  <c r="S4697" i="1"/>
  <c r="T4697" i="1"/>
  <c r="U4697" i="1"/>
  <c r="BB4697" i="1"/>
  <c r="BD4697" i="1"/>
  <c r="CE4697" i="1"/>
  <c r="A4698" i="1"/>
  <c r="C4698" i="1"/>
  <c r="E4698" i="1"/>
  <c r="S4698" i="1"/>
  <c r="T4698" i="1"/>
  <c r="U4698" i="1"/>
  <c r="BB4698" i="1"/>
  <c r="BD4698" i="1"/>
  <c r="CE4698" i="1"/>
  <c r="A4699" i="1"/>
  <c r="C4699" i="1"/>
  <c r="E4699" i="1"/>
  <c r="S4699" i="1"/>
  <c r="T4699" i="1"/>
  <c r="U4699" i="1"/>
  <c r="BB4699" i="1"/>
  <c r="BD4699" i="1"/>
  <c r="CE4699" i="1"/>
  <c r="A4700" i="1"/>
  <c r="C4700" i="1"/>
  <c r="E4700" i="1"/>
  <c r="S4700" i="1"/>
  <c r="T4700" i="1"/>
  <c r="U4700" i="1"/>
  <c r="BB4700" i="1"/>
  <c r="BD4700" i="1"/>
  <c r="CE4700" i="1"/>
  <c r="A4701" i="1"/>
  <c r="C4701" i="1"/>
  <c r="E4701" i="1"/>
  <c r="S4701" i="1"/>
  <c r="T4701" i="1"/>
  <c r="U4701" i="1"/>
  <c r="BB4701" i="1"/>
  <c r="BD4701" i="1"/>
  <c r="CE4701" i="1"/>
  <c r="A4702" i="1"/>
  <c r="C4702" i="1"/>
  <c r="E4702" i="1"/>
  <c r="S4702" i="1"/>
  <c r="T4702" i="1"/>
  <c r="U4702" i="1"/>
  <c r="BB4702" i="1"/>
  <c r="BD4702" i="1"/>
  <c r="CE4702" i="1"/>
  <c r="A4703" i="1"/>
  <c r="C4703" i="1"/>
  <c r="E4703" i="1"/>
  <c r="S4703" i="1"/>
  <c r="T4703" i="1"/>
  <c r="U4703" i="1"/>
  <c r="BB4703" i="1"/>
  <c r="BD4703" i="1"/>
  <c r="CE4703" i="1"/>
  <c r="A4704" i="1"/>
  <c r="C4704" i="1"/>
  <c r="E4704" i="1"/>
  <c r="S4704" i="1"/>
  <c r="T4704" i="1"/>
  <c r="U4704" i="1"/>
  <c r="BB4704" i="1"/>
  <c r="BD4704" i="1"/>
  <c r="CE4704" i="1"/>
  <c r="A4705" i="1"/>
  <c r="C4705" i="1"/>
  <c r="E4705" i="1"/>
  <c r="S4705" i="1"/>
  <c r="T4705" i="1"/>
  <c r="U4705" i="1"/>
  <c r="BB4705" i="1"/>
  <c r="BD4705" i="1"/>
  <c r="CE4705" i="1"/>
  <c r="A4706" i="1"/>
  <c r="C4706" i="1"/>
  <c r="E4706" i="1"/>
  <c r="S4706" i="1"/>
  <c r="T4706" i="1"/>
  <c r="U4706" i="1"/>
  <c r="BB4706" i="1"/>
  <c r="BD4706" i="1"/>
  <c r="CE4706" i="1"/>
  <c r="A4707" i="1"/>
  <c r="C4707" i="1"/>
  <c r="E4707" i="1"/>
  <c r="S4707" i="1"/>
  <c r="T4707" i="1"/>
  <c r="U4707" i="1"/>
  <c r="BB4707" i="1"/>
  <c r="BD4707" i="1"/>
  <c r="CE4707" i="1"/>
  <c r="A4708" i="1"/>
  <c r="C4708" i="1"/>
  <c r="E4708" i="1"/>
  <c r="S4708" i="1"/>
  <c r="T4708" i="1"/>
  <c r="U4708" i="1"/>
  <c r="BB4708" i="1"/>
  <c r="BD4708" i="1"/>
  <c r="CE4708" i="1"/>
  <c r="A4709" i="1"/>
  <c r="C4709" i="1"/>
  <c r="E4709" i="1"/>
  <c r="S4709" i="1"/>
  <c r="T4709" i="1"/>
  <c r="U4709" i="1"/>
  <c r="BB4709" i="1"/>
  <c r="BD4709" i="1"/>
  <c r="CE4709" i="1"/>
  <c r="A4710" i="1"/>
  <c r="C4710" i="1"/>
  <c r="E4710" i="1"/>
  <c r="S4710" i="1"/>
  <c r="T4710" i="1"/>
  <c r="U4710" i="1"/>
  <c r="BB4710" i="1"/>
  <c r="BD4710" i="1"/>
  <c r="CE4710" i="1"/>
  <c r="A4711" i="1"/>
  <c r="C4711" i="1"/>
  <c r="E4711" i="1"/>
  <c r="S4711" i="1"/>
  <c r="T4711" i="1"/>
  <c r="U4711" i="1"/>
  <c r="BB4711" i="1"/>
  <c r="BD4711" i="1"/>
  <c r="CE4711" i="1"/>
  <c r="A4712" i="1"/>
  <c r="C4712" i="1"/>
  <c r="E4712" i="1"/>
  <c r="S4712" i="1"/>
  <c r="T4712" i="1"/>
  <c r="U4712" i="1"/>
  <c r="BB4712" i="1"/>
  <c r="BD4712" i="1"/>
  <c r="CE4712" i="1"/>
  <c r="A4713" i="1"/>
  <c r="C4713" i="1"/>
  <c r="E4713" i="1"/>
  <c r="S4713" i="1"/>
  <c r="T4713" i="1"/>
  <c r="U4713" i="1"/>
  <c r="BB4713" i="1"/>
  <c r="BD4713" i="1"/>
  <c r="CE4713" i="1"/>
  <c r="A4714" i="1"/>
  <c r="C4714" i="1"/>
  <c r="E4714" i="1"/>
  <c r="S4714" i="1"/>
  <c r="T4714" i="1"/>
  <c r="U4714" i="1"/>
  <c r="BB4714" i="1"/>
  <c r="BD4714" i="1"/>
  <c r="CE4714" i="1"/>
  <c r="A4715" i="1"/>
  <c r="C4715" i="1"/>
  <c r="E4715" i="1"/>
  <c r="S4715" i="1"/>
  <c r="T4715" i="1"/>
  <c r="U4715" i="1"/>
  <c r="BB4715" i="1"/>
  <c r="BD4715" i="1"/>
  <c r="CE4715" i="1"/>
  <c r="A4716" i="1"/>
  <c r="C4716" i="1"/>
  <c r="E4716" i="1"/>
  <c r="S4716" i="1"/>
  <c r="T4716" i="1"/>
  <c r="U4716" i="1"/>
  <c r="BB4716" i="1"/>
  <c r="BD4716" i="1"/>
  <c r="CE4716" i="1"/>
  <c r="A4717" i="1"/>
  <c r="C4717" i="1"/>
  <c r="E4717" i="1"/>
  <c r="S4717" i="1"/>
  <c r="T4717" i="1"/>
  <c r="U4717" i="1"/>
  <c r="BB4717" i="1"/>
  <c r="BD4717" i="1"/>
  <c r="CE4717" i="1"/>
  <c r="A4718" i="1"/>
  <c r="C4718" i="1"/>
  <c r="E4718" i="1"/>
  <c r="S4718" i="1"/>
  <c r="T4718" i="1"/>
  <c r="U4718" i="1"/>
  <c r="BB4718" i="1"/>
  <c r="BD4718" i="1"/>
  <c r="CE4718" i="1"/>
  <c r="A4719" i="1"/>
  <c r="C4719" i="1"/>
  <c r="E4719" i="1"/>
  <c r="S4719" i="1"/>
  <c r="T4719" i="1"/>
  <c r="U4719" i="1"/>
  <c r="BB4719" i="1"/>
  <c r="BD4719" i="1"/>
  <c r="CE4719" i="1"/>
  <c r="A4720" i="1"/>
  <c r="C4720" i="1"/>
  <c r="E4720" i="1"/>
  <c r="S4720" i="1"/>
  <c r="T4720" i="1"/>
  <c r="U4720" i="1"/>
  <c r="BB4720" i="1"/>
  <c r="BD4720" i="1"/>
  <c r="CE4720" i="1"/>
  <c r="A4721" i="1"/>
  <c r="C4721" i="1"/>
  <c r="E4721" i="1"/>
  <c r="S4721" i="1"/>
  <c r="T4721" i="1"/>
  <c r="U4721" i="1"/>
  <c r="BB4721" i="1"/>
  <c r="BD4721" i="1"/>
  <c r="CE4721" i="1"/>
  <c r="A4722" i="1"/>
  <c r="C4722" i="1"/>
  <c r="E4722" i="1"/>
  <c r="S4722" i="1"/>
  <c r="T4722" i="1"/>
  <c r="U4722" i="1"/>
  <c r="BB4722" i="1"/>
  <c r="BD4722" i="1"/>
  <c r="CE4722" i="1"/>
  <c r="A4723" i="1"/>
  <c r="C4723" i="1"/>
  <c r="E4723" i="1"/>
  <c r="S4723" i="1"/>
  <c r="T4723" i="1"/>
  <c r="U4723" i="1"/>
  <c r="BB4723" i="1"/>
  <c r="BD4723" i="1"/>
  <c r="CE4723" i="1"/>
  <c r="A4724" i="1"/>
  <c r="C4724" i="1"/>
  <c r="E4724" i="1"/>
  <c r="S4724" i="1"/>
  <c r="T4724" i="1"/>
  <c r="U4724" i="1"/>
  <c r="BB4724" i="1"/>
  <c r="BD4724" i="1"/>
  <c r="CE4724" i="1"/>
  <c r="A4725" i="1"/>
  <c r="C4725" i="1"/>
  <c r="E4725" i="1"/>
  <c r="S4725" i="1"/>
  <c r="T4725" i="1"/>
  <c r="U4725" i="1"/>
  <c r="BB4725" i="1"/>
  <c r="BD4725" i="1"/>
  <c r="CE4725" i="1"/>
  <c r="A4726" i="1"/>
  <c r="C4726" i="1"/>
  <c r="E4726" i="1"/>
  <c r="S4726" i="1"/>
  <c r="T4726" i="1"/>
  <c r="U4726" i="1"/>
  <c r="BB4726" i="1"/>
  <c r="BD4726" i="1"/>
  <c r="CE4726" i="1"/>
  <c r="A4727" i="1"/>
  <c r="C4727" i="1"/>
  <c r="E4727" i="1"/>
  <c r="S4727" i="1"/>
  <c r="T4727" i="1"/>
  <c r="U4727" i="1"/>
  <c r="BB4727" i="1"/>
  <c r="BD4727" i="1"/>
  <c r="CE4727" i="1"/>
  <c r="A4728" i="1"/>
  <c r="C4728" i="1"/>
  <c r="E4728" i="1"/>
  <c r="S4728" i="1"/>
  <c r="T4728" i="1"/>
  <c r="U4728" i="1"/>
  <c r="BB4728" i="1"/>
  <c r="BD4728" i="1"/>
  <c r="CE4728" i="1"/>
  <c r="A4729" i="1"/>
  <c r="C4729" i="1"/>
  <c r="E4729" i="1"/>
  <c r="S4729" i="1"/>
  <c r="T4729" i="1"/>
  <c r="U4729" i="1"/>
  <c r="BB4729" i="1"/>
  <c r="BD4729" i="1"/>
  <c r="CE4729" i="1"/>
  <c r="A4730" i="1"/>
  <c r="C4730" i="1"/>
  <c r="E4730" i="1"/>
  <c r="S4730" i="1"/>
  <c r="T4730" i="1"/>
  <c r="U4730" i="1"/>
  <c r="BB4730" i="1"/>
  <c r="BD4730" i="1"/>
  <c r="CE4730" i="1"/>
  <c r="A4731" i="1"/>
  <c r="C4731" i="1"/>
  <c r="E4731" i="1"/>
  <c r="S4731" i="1"/>
  <c r="T4731" i="1"/>
  <c r="U4731" i="1"/>
  <c r="BB4731" i="1"/>
  <c r="BD4731" i="1"/>
  <c r="CE4731" i="1"/>
  <c r="A4732" i="1"/>
  <c r="C4732" i="1"/>
  <c r="E4732" i="1"/>
  <c r="S4732" i="1"/>
  <c r="T4732" i="1"/>
  <c r="U4732" i="1"/>
  <c r="BB4732" i="1"/>
  <c r="BD4732" i="1"/>
  <c r="CE4732" i="1"/>
  <c r="A4733" i="1"/>
  <c r="C4733" i="1"/>
  <c r="E4733" i="1"/>
  <c r="S4733" i="1"/>
  <c r="T4733" i="1"/>
  <c r="U4733" i="1"/>
  <c r="BB4733" i="1"/>
  <c r="BD4733" i="1"/>
  <c r="CE4733" i="1"/>
  <c r="A4734" i="1"/>
  <c r="C4734" i="1"/>
  <c r="E4734" i="1"/>
  <c r="S4734" i="1"/>
  <c r="T4734" i="1"/>
  <c r="U4734" i="1"/>
  <c r="BB4734" i="1"/>
  <c r="BD4734" i="1"/>
  <c r="CE4734" i="1"/>
  <c r="A4735" i="1"/>
  <c r="C4735" i="1"/>
  <c r="E4735" i="1"/>
  <c r="S4735" i="1"/>
  <c r="T4735" i="1"/>
  <c r="U4735" i="1"/>
  <c r="BB4735" i="1"/>
  <c r="BD4735" i="1"/>
  <c r="CE4735" i="1"/>
  <c r="A4736" i="1"/>
  <c r="C4736" i="1"/>
  <c r="E4736" i="1"/>
  <c r="S4736" i="1"/>
  <c r="T4736" i="1"/>
  <c r="U4736" i="1"/>
  <c r="BB4736" i="1"/>
  <c r="BD4736" i="1"/>
  <c r="CE4736" i="1"/>
  <c r="A4737" i="1"/>
  <c r="C4737" i="1"/>
  <c r="E4737" i="1"/>
  <c r="S4737" i="1"/>
  <c r="T4737" i="1"/>
  <c r="U4737" i="1"/>
  <c r="BB4737" i="1"/>
  <c r="BD4737" i="1"/>
  <c r="CE4737" i="1"/>
  <c r="A4738" i="1"/>
  <c r="C4738" i="1"/>
  <c r="E4738" i="1"/>
  <c r="S4738" i="1"/>
  <c r="T4738" i="1"/>
  <c r="U4738" i="1"/>
  <c r="BB4738" i="1"/>
  <c r="BD4738" i="1"/>
  <c r="CE4738" i="1"/>
  <c r="A4739" i="1"/>
  <c r="C4739" i="1"/>
  <c r="E4739" i="1"/>
  <c r="S4739" i="1"/>
  <c r="T4739" i="1"/>
  <c r="U4739" i="1"/>
  <c r="BB4739" i="1"/>
  <c r="BD4739" i="1"/>
  <c r="CE4739" i="1"/>
  <c r="A4740" i="1"/>
  <c r="C4740" i="1"/>
  <c r="E4740" i="1"/>
  <c r="S4740" i="1"/>
  <c r="T4740" i="1"/>
  <c r="U4740" i="1"/>
  <c r="BB4740" i="1"/>
  <c r="BD4740" i="1"/>
  <c r="CE4740" i="1"/>
  <c r="A4741" i="1"/>
  <c r="C4741" i="1"/>
  <c r="E4741" i="1"/>
  <c r="S4741" i="1"/>
  <c r="T4741" i="1"/>
  <c r="U4741" i="1"/>
  <c r="BB4741" i="1"/>
  <c r="BD4741" i="1"/>
  <c r="CE4741" i="1"/>
  <c r="A4742" i="1"/>
  <c r="C4742" i="1"/>
  <c r="E4742" i="1"/>
  <c r="S4742" i="1"/>
  <c r="T4742" i="1"/>
  <c r="U4742" i="1"/>
  <c r="BB4742" i="1"/>
  <c r="BD4742" i="1"/>
  <c r="CE4742" i="1"/>
  <c r="A4743" i="1"/>
  <c r="C4743" i="1"/>
  <c r="E4743" i="1"/>
  <c r="S4743" i="1"/>
  <c r="T4743" i="1"/>
  <c r="U4743" i="1"/>
  <c r="BB4743" i="1"/>
  <c r="BD4743" i="1"/>
  <c r="CE4743" i="1"/>
  <c r="A4744" i="1"/>
  <c r="C4744" i="1"/>
  <c r="E4744" i="1"/>
  <c r="S4744" i="1"/>
  <c r="T4744" i="1"/>
  <c r="U4744" i="1"/>
  <c r="BB4744" i="1"/>
  <c r="BD4744" i="1"/>
  <c r="CE4744" i="1"/>
  <c r="A4745" i="1"/>
  <c r="C4745" i="1"/>
  <c r="E4745" i="1"/>
  <c r="S4745" i="1"/>
  <c r="T4745" i="1"/>
  <c r="U4745" i="1"/>
  <c r="BB4745" i="1"/>
  <c r="BD4745" i="1"/>
  <c r="CE4745" i="1"/>
  <c r="A4746" i="1"/>
  <c r="C4746" i="1"/>
  <c r="E4746" i="1"/>
  <c r="S4746" i="1"/>
  <c r="T4746" i="1"/>
  <c r="U4746" i="1"/>
  <c r="BB4746" i="1"/>
  <c r="BD4746" i="1"/>
  <c r="CE4746" i="1"/>
  <c r="A4747" i="1"/>
  <c r="C4747" i="1"/>
  <c r="E4747" i="1"/>
  <c r="S4747" i="1"/>
  <c r="T4747" i="1"/>
  <c r="U4747" i="1"/>
  <c r="BB4747" i="1"/>
  <c r="BD4747" i="1"/>
  <c r="CE4747" i="1"/>
  <c r="A4748" i="1"/>
  <c r="C4748" i="1"/>
  <c r="E4748" i="1"/>
  <c r="S4748" i="1"/>
  <c r="T4748" i="1"/>
  <c r="U4748" i="1"/>
  <c r="BB4748" i="1"/>
  <c r="BD4748" i="1"/>
  <c r="CE4748" i="1"/>
  <c r="A4749" i="1"/>
  <c r="C4749" i="1"/>
  <c r="E4749" i="1"/>
  <c r="S4749" i="1"/>
  <c r="T4749" i="1"/>
  <c r="U4749" i="1"/>
  <c r="BB4749" i="1"/>
  <c r="BD4749" i="1"/>
  <c r="CE4749" i="1"/>
  <c r="A4750" i="1"/>
  <c r="C4750" i="1"/>
  <c r="E4750" i="1"/>
  <c r="S4750" i="1"/>
  <c r="T4750" i="1"/>
  <c r="U4750" i="1"/>
  <c r="BB4750" i="1"/>
  <c r="BD4750" i="1"/>
  <c r="CE4750" i="1"/>
  <c r="A4751" i="1"/>
  <c r="C4751" i="1"/>
  <c r="E4751" i="1"/>
  <c r="S4751" i="1"/>
  <c r="T4751" i="1"/>
  <c r="U4751" i="1"/>
  <c r="BB4751" i="1"/>
  <c r="BD4751" i="1"/>
  <c r="CE4751" i="1"/>
  <c r="A4752" i="1"/>
  <c r="C4752" i="1"/>
  <c r="E4752" i="1"/>
  <c r="S4752" i="1"/>
  <c r="T4752" i="1"/>
  <c r="U4752" i="1"/>
  <c r="BB4752" i="1"/>
  <c r="BD4752" i="1"/>
  <c r="CE4752" i="1"/>
  <c r="A4753" i="1"/>
  <c r="C4753" i="1"/>
  <c r="E4753" i="1"/>
  <c r="S4753" i="1"/>
  <c r="T4753" i="1"/>
  <c r="U4753" i="1"/>
  <c r="BB4753" i="1"/>
  <c r="BD4753" i="1"/>
  <c r="CE4753" i="1"/>
  <c r="A4754" i="1"/>
  <c r="C4754" i="1"/>
  <c r="E4754" i="1"/>
  <c r="S4754" i="1"/>
  <c r="T4754" i="1"/>
  <c r="U4754" i="1"/>
  <c r="BB4754" i="1"/>
  <c r="BD4754" i="1"/>
  <c r="CE4754" i="1"/>
  <c r="A4755" i="1"/>
  <c r="C4755" i="1"/>
  <c r="E4755" i="1"/>
  <c r="S4755" i="1"/>
  <c r="T4755" i="1"/>
  <c r="U4755" i="1"/>
  <c r="BB4755" i="1"/>
  <c r="BD4755" i="1"/>
  <c r="CE4755" i="1"/>
  <c r="A4756" i="1"/>
  <c r="C4756" i="1"/>
  <c r="E4756" i="1"/>
  <c r="S4756" i="1"/>
  <c r="T4756" i="1"/>
  <c r="U4756" i="1"/>
  <c r="BB4756" i="1"/>
  <c r="BD4756" i="1"/>
  <c r="CE4756" i="1"/>
  <c r="A4757" i="1"/>
  <c r="C4757" i="1"/>
  <c r="E4757" i="1"/>
  <c r="S4757" i="1"/>
  <c r="T4757" i="1"/>
  <c r="U4757" i="1"/>
  <c r="BB4757" i="1"/>
  <c r="BD4757" i="1"/>
  <c r="CE4757" i="1"/>
  <c r="A4758" i="1"/>
  <c r="C4758" i="1"/>
  <c r="E4758" i="1"/>
  <c r="S4758" i="1"/>
  <c r="T4758" i="1"/>
  <c r="U4758" i="1"/>
  <c r="BB4758" i="1"/>
  <c r="BD4758" i="1"/>
  <c r="CE4758" i="1"/>
  <c r="A4759" i="1"/>
  <c r="C4759" i="1"/>
  <c r="E4759" i="1"/>
  <c r="S4759" i="1"/>
  <c r="T4759" i="1"/>
  <c r="U4759" i="1"/>
  <c r="BB4759" i="1"/>
  <c r="BD4759" i="1"/>
  <c r="CE4759" i="1"/>
  <c r="A4760" i="1"/>
  <c r="C4760" i="1"/>
  <c r="E4760" i="1"/>
  <c r="S4760" i="1"/>
  <c r="T4760" i="1"/>
  <c r="U4760" i="1"/>
  <c r="BB4760" i="1"/>
  <c r="BD4760" i="1"/>
  <c r="CE4760" i="1"/>
  <c r="A4761" i="1"/>
  <c r="C4761" i="1"/>
  <c r="E4761" i="1"/>
  <c r="S4761" i="1"/>
  <c r="T4761" i="1"/>
  <c r="U4761" i="1"/>
  <c r="BB4761" i="1"/>
  <c r="BD4761" i="1"/>
  <c r="CE4761" i="1"/>
  <c r="A4762" i="1"/>
  <c r="C4762" i="1"/>
  <c r="E4762" i="1"/>
  <c r="S4762" i="1"/>
  <c r="T4762" i="1"/>
  <c r="U4762" i="1"/>
  <c r="BB4762" i="1"/>
  <c r="BD4762" i="1"/>
  <c r="CE4762" i="1"/>
  <c r="A4763" i="1"/>
  <c r="C4763" i="1"/>
  <c r="E4763" i="1"/>
  <c r="S4763" i="1"/>
  <c r="T4763" i="1"/>
  <c r="U4763" i="1"/>
  <c r="BB4763" i="1"/>
  <c r="BD4763" i="1"/>
  <c r="CE4763" i="1"/>
  <c r="A4764" i="1"/>
  <c r="C4764" i="1"/>
  <c r="E4764" i="1"/>
  <c r="S4764" i="1"/>
  <c r="T4764" i="1"/>
  <c r="U4764" i="1"/>
  <c r="BB4764" i="1"/>
  <c r="BD4764" i="1"/>
  <c r="CE4764" i="1"/>
  <c r="A4765" i="1"/>
  <c r="C4765" i="1"/>
  <c r="E4765" i="1"/>
  <c r="S4765" i="1"/>
  <c r="T4765" i="1"/>
  <c r="U4765" i="1"/>
  <c r="BB4765" i="1"/>
  <c r="BD4765" i="1"/>
  <c r="CE4765" i="1"/>
  <c r="A4766" i="1"/>
  <c r="C4766" i="1"/>
  <c r="E4766" i="1"/>
  <c r="S4766" i="1"/>
  <c r="T4766" i="1"/>
  <c r="U4766" i="1"/>
  <c r="BB4766" i="1"/>
  <c r="BD4766" i="1"/>
  <c r="CE4766" i="1"/>
  <c r="A4767" i="1"/>
  <c r="C4767" i="1"/>
  <c r="E4767" i="1"/>
  <c r="S4767" i="1"/>
  <c r="T4767" i="1"/>
  <c r="U4767" i="1"/>
  <c r="BB4767" i="1"/>
  <c r="BD4767" i="1"/>
  <c r="CE4767" i="1"/>
  <c r="A4768" i="1"/>
  <c r="C4768" i="1"/>
  <c r="E4768" i="1"/>
  <c r="S4768" i="1"/>
  <c r="T4768" i="1"/>
  <c r="U4768" i="1"/>
  <c r="BB4768" i="1"/>
  <c r="BD4768" i="1"/>
  <c r="CE4768" i="1"/>
  <c r="A4769" i="1"/>
  <c r="C4769" i="1"/>
  <c r="E4769" i="1"/>
  <c r="S4769" i="1"/>
  <c r="T4769" i="1"/>
  <c r="U4769" i="1"/>
  <c r="BB4769" i="1"/>
  <c r="BD4769" i="1"/>
  <c r="CE4769" i="1"/>
  <c r="A4770" i="1"/>
  <c r="C4770" i="1"/>
  <c r="E4770" i="1"/>
  <c r="S4770" i="1"/>
  <c r="T4770" i="1"/>
  <c r="U4770" i="1"/>
  <c r="BB4770" i="1"/>
  <c r="BD4770" i="1"/>
  <c r="CE4770" i="1"/>
  <c r="A4771" i="1"/>
  <c r="C4771" i="1"/>
  <c r="E4771" i="1"/>
  <c r="S4771" i="1"/>
  <c r="T4771" i="1"/>
  <c r="U4771" i="1"/>
  <c r="BB4771" i="1"/>
  <c r="BD4771" i="1"/>
  <c r="CE4771" i="1"/>
  <c r="A4772" i="1"/>
  <c r="C4772" i="1"/>
  <c r="E4772" i="1"/>
  <c r="S4772" i="1"/>
  <c r="T4772" i="1"/>
  <c r="U4772" i="1"/>
  <c r="BB4772" i="1"/>
  <c r="BD4772" i="1"/>
  <c r="CE4772" i="1"/>
  <c r="A4773" i="1"/>
  <c r="C4773" i="1"/>
  <c r="E4773" i="1"/>
  <c r="S4773" i="1"/>
  <c r="T4773" i="1"/>
  <c r="U4773" i="1"/>
  <c r="BB4773" i="1"/>
  <c r="BD4773" i="1"/>
  <c r="CE4773" i="1"/>
  <c r="A4774" i="1"/>
  <c r="C4774" i="1"/>
  <c r="E4774" i="1"/>
  <c r="S4774" i="1"/>
  <c r="T4774" i="1"/>
  <c r="U4774" i="1"/>
  <c r="BB4774" i="1"/>
  <c r="BD4774" i="1"/>
  <c r="CE4774" i="1"/>
  <c r="A4775" i="1"/>
  <c r="C4775" i="1"/>
  <c r="E4775" i="1"/>
  <c r="S4775" i="1"/>
  <c r="T4775" i="1"/>
  <c r="U4775" i="1"/>
  <c r="BB4775" i="1"/>
  <c r="BD4775" i="1"/>
  <c r="CE4775" i="1"/>
  <c r="A4776" i="1"/>
  <c r="C4776" i="1"/>
  <c r="E4776" i="1"/>
  <c r="S4776" i="1"/>
  <c r="T4776" i="1"/>
  <c r="U4776" i="1"/>
  <c r="BB4776" i="1"/>
  <c r="BD4776" i="1"/>
  <c r="CE4776" i="1"/>
  <c r="A4777" i="1"/>
  <c r="C4777" i="1"/>
  <c r="E4777" i="1"/>
  <c r="S4777" i="1"/>
  <c r="T4777" i="1"/>
  <c r="U4777" i="1"/>
  <c r="BB4777" i="1"/>
  <c r="BD4777" i="1"/>
  <c r="CE4777" i="1"/>
  <c r="A4778" i="1"/>
  <c r="C4778" i="1"/>
  <c r="E4778" i="1"/>
  <c r="S4778" i="1"/>
  <c r="T4778" i="1"/>
  <c r="U4778" i="1"/>
  <c r="BB4778" i="1"/>
  <c r="BD4778" i="1"/>
  <c r="CE4778" i="1"/>
  <c r="A4779" i="1"/>
  <c r="C4779" i="1"/>
  <c r="E4779" i="1"/>
  <c r="S4779" i="1"/>
  <c r="T4779" i="1"/>
  <c r="U4779" i="1"/>
  <c r="BB4779" i="1"/>
  <c r="BD4779" i="1"/>
  <c r="CE4779" i="1"/>
  <c r="A4780" i="1"/>
  <c r="C4780" i="1"/>
  <c r="E4780" i="1"/>
  <c r="S4780" i="1"/>
  <c r="T4780" i="1"/>
  <c r="U4780" i="1"/>
  <c r="BB4780" i="1"/>
  <c r="BD4780" i="1"/>
  <c r="CE4780" i="1"/>
  <c r="A4781" i="1"/>
  <c r="C4781" i="1"/>
  <c r="E4781" i="1"/>
  <c r="S4781" i="1"/>
  <c r="T4781" i="1"/>
  <c r="U4781" i="1"/>
  <c r="BB4781" i="1"/>
  <c r="BD4781" i="1"/>
  <c r="CE4781" i="1"/>
  <c r="A4782" i="1"/>
  <c r="C4782" i="1"/>
  <c r="E4782" i="1"/>
  <c r="S4782" i="1"/>
  <c r="T4782" i="1"/>
  <c r="U4782" i="1"/>
  <c r="BB4782" i="1"/>
  <c r="BD4782" i="1"/>
  <c r="CE4782" i="1"/>
  <c r="A4783" i="1"/>
  <c r="C4783" i="1"/>
  <c r="E4783" i="1"/>
  <c r="S4783" i="1"/>
  <c r="T4783" i="1"/>
  <c r="U4783" i="1"/>
  <c r="BB4783" i="1"/>
  <c r="BD4783" i="1"/>
  <c r="CE4783" i="1"/>
  <c r="A4784" i="1"/>
  <c r="C4784" i="1"/>
  <c r="E4784" i="1"/>
  <c r="S4784" i="1"/>
  <c r="T4784" i="1"/>
  <c r="U4784" i="1"/>
  <c r="BB4784" i="1"/>
  <c r="BD4784" i="1"/>
  <c r="CE4784" i="1"/>
  <c r="A4785" i="1"/>
  <c r="C4785" i="1"/>
  <c r="E4785" i="1"/>
  <c r="S4785" i="1"/>
  <c r="T4785" i="1"/>
  <c r="U4785" i="1"/>
  <c r="BB4785" i="1"/>
  <c r="BD4785" i="1"/>
  <c r="CE4785" i="1"/>
  <c r="A4786" i="1"/>
  <c r="C4786" i="1"/>
  <c r="E4786" i="1"/>
  <c r="S4786" i="1"/>
  <c r="T4786" i="1"/>
  <c r="U4786" i="1"/>
  <c r="BB4786" i="1"/>
  <c r="BD4786" i="1"/>
  <c r="CE4786" i="1"/>
  <c r="A4787" i="1"/>
  <c r="C4787" i="1"/>
  <c r="E4787" i="1"/>
  <c r="S4787" i="1"/>
  <c r="T4787" i="1"/>
  <c r="U4787" i="1"/>
  <c r="BB4787" i="1"/>
  <c r="BD4787" i="1"/>
  <c r="CE4787" i="1"/>
  <c r="A4788" i="1"/>
  <c r="C4788" i="1"/>
  <c r="E4788" i="1"/>
  <c r="S4788" i="1"/>
  <c r="T4788" i="1"/>
  <c r="U4788" i="1"/>
  <c r="BB4788" i="1"/>
  <c r="BD4788" i="1"/>
  <c r="CE4788" i="1"/>
  <c r="A4789" i="1"/>
  <c r="C4789" i="1"/>
  <c r="E4789" i="1"/>
  <c r="S4789" i="1"/>
  <c r="T4789" i="1"/>
  <c r="U4789" i="1"/>
  <c r="BB4789" i="1"/>
  <c r="BD4789" i="1"/>
  <c r="CE4789" i="1"/>
  <c r="A4790" i="1"/>
  <c r="C4790" i="1"/>
  <c r="E4790" i="1"/>
  <c r="S4790" i="1"/>
  <c r="T4790" i="1"/>
  <c r="U4790" i="1"/>
  <c r="BB4790" i="1"/>
  <c r="BD4790" i="1"/>
  <c r="CE4790" i="1"/>
  <c r="A4791" i="1"/>
  <c r="C4791" i="1"/>
  <c r="E4791" i="1"/>
  <c r="S4791" i="1"/>
  <c r="T4791" i="1"/>
  <c r="U4791" i="1"/>
  <c r="BB4791" i="1"/>
  <c r="BD4791" i="1"/>
  <c r="CE4791" i="1"/>
  <c r="A4792" i="1"/>
  <c r="C4792" i="1"/>
  <c r="E4792" i="1"/>
  <c r="S4792" i="1"/>
  <c r="T4792" i="1"/>
  <c r="U4792" i="1"/>
  <c r="BB4792" i="1"/>
  <c r="BD4792" i="1"/>
  <c r="CE4792" i="1"/>
  <c r="A4793" i="1"/>
  <c r="C4793" i="1"/>
  <c r="E4793" i="1"/>
  <c r="S4793" i="1"/>
  <c r="T4793" i="1"/>
  <c r="U4793" i="1"/>
  <c r="BB4793" i="1"/>
  <c r="BD4793" i="1"/>
  <c r="CE4793" i="1"/>
  <c r="A4794" i="1"/>
  <c r="C4794" i="1"/>
  <c r="E4794" i="1"/>
  <c r="S4794" i="1"/>
  <c r="T4794" i="1"/>
  <c r="U4794" i="1"/>
  <c r="BB4794" i="1"/>
  <c r="BD4794" i="1"/>
  <c r="CE4794" i="1"/>
  <c r="A4795" i="1"/>
  <c r="C4795" i="1"/>
  <c r="E4795" i="1"/>
  <c r="S4795" i="1"/>
  <c r="T4795" i="1"/>
  <c r="U4795" i="1"/>
  <c r="BB4795" i="1"/>
  <c r="BD4795" i="1"/>
  <c r="CE4795" i="1"/>
  <c r="A4796" i="1"/>
  <c r="C4796" i="1"/>
  <c r="E4796" i="1"/>
  <c r="S4796" i="1"/>
  <c r="T4796" i="1"/>
  <c r="U4796" i="1"/>
  <c r="BB4796" i="1"/>
  <c r="BD4796" i="1"/>
  <c r="CE4796" i="1"/>
  <c r="A4797" i="1"/>
  <c r="C4797" i="1"/>
  <c r="E4797" i="1"/>
  <c r="S4797" i="1"/>
  <c r="T4797" i="1"/>
  <c r="U4797" i="1"/>
  <c r="BB4797" i="1"/>
  <c r="BD4797" i="1"/>
  <c r="CE4797" i="1"/>
  <c r="A4798" i="1"/>
  <c r="C4798" i="1"/>
  <c r="E4798" i="1"/>
  <c r="S4798" i="1"/>
  <c r="T4798" i="1"/>
  <c r="U4798" i="1"/>
  <c r="BB4798" i="1"/>
  <c r="BD4798" i="1"/>
  <c r="CE4798" i="1"/>
  <c r="A4799" i="1"/>
  <c r="C4799" i="1"/>
  <c r="E4799" i="1"/>
  <c r="S4799" i="1"/>
  <c r="T4799" i="1"/>
  <c r="U4799" i="1"/>
  <c r="BB4799" i="1"/>
  <c r="BD4799" i="1"/>
  <c r="CE4799" i="1"/>
  <c r="A4800" i="1"/>
  <c r="C4800" i="1"/>
  <c r="E4800" i="1"/>
  <c r="S4800" i="1"/>
  <c r="T4800" i="1"/>
  <c r="U4800" i="1"/>
  <c r="BB4800" i="1"/>
  <c r="BD4800" i="1"/>
  <c r="CE4800" i="1"/>
  <c r="A4801" i="1"/>
  <c r="C4801" i="1"/>
  <c r="E4801" i="1"/>
  <c r="S4801" i="1"/>
  <c r="T4801" i="1"/>
  <c r="U4801" i="1"/>
  <c r="BB4801" i="1"/>
  <c r="BD4801" i="1"/>
  <c r="CE4801" i="1"/>
  <c r="A4802" i="1"/>
  <c r="C4802" i="1"/>
  <c r="E4802" i="1"/>
  <c r="S4802" i="1"/>
  <c r="T4802" i="1"/>
  <c r="U4802" i="1"/>
  <c r="BB4802" i="1"/>
  <c r="BD4802" i="1"/>
  <c r="CE4802" i="1"/>
  <c r="A4803" i="1"/>
  <c r="C4803" i="1"/>
  <c r="E4803" i="1"/>
  <c r="S4803" i="1"/>
  <c r="T4803" i="1"/>
  <c r="U4803" i="1"/>
  <c r="BB4803" i="1"/>
  <c r="BD4803" i="1"/>
  <c r="CE4803" i="1"/>
  <c r="A4804" i="1"/>
  <c r="C4804" i="1"/>
  <c r="E4804" i="1"/>
  <c r="S4804" i="1"/>
  <c r="T4804" i="1"/>
  <c r="U4804" i="1"/>
  <c r="BB4804" i="1"/>
  <c r="BD4804" i="1"/>
  <c r="CE4804" i="1"/>
  <c r="A4805" i="1"/>
  <c r="C4805" i="1"/>
  <c r="E4805" i="1"/>
  <c r="S4805" i="1"/>
  <c r="T4805" i="1"/>
  <c r="U4805" i="1"/>
  <c r="BB4805" i="1"/>
  <c r="BD4805" i="1"/>
  <c r="CE4805" i="1"/>
  <c r="A4806" i="1"/>
  <c r="C4806" i="1"/>
  <c r="E4806" i="1"/>
  <c r="S4806" i="1"/>
  <c r="T4806" i="1"/>
  <c r="U4806" i="1"/>
  <c r="BB4806" i="1"/>
  <c r="BD4806" i="1"/>
  <c r="CE4806" i="1"/>
  <c r="A4807" i="1"/>
  <c r="C4807" i="1"/>
  <c r="E4807" i="1"/>
  <c r="S4807" i="1"/>
  <c r="T4807" i="1"/>
  <c r="U4807" i="1"/>
  <c r="BB4807" i="1"/>
  <c r="BD4807" i="1"/>
  <c r="CE4807" i="1"/>
  <c r="A4808" i="1"/>
  <c r="C4808" i="1"/>
  <c r="E4808" i="1"/>
  <c r="S4808" i="1"/>
  <c r="T4808" i="1"/>
  <c r="U4808" i="1"/>
  <c r="BB4808" i="1"/>
  <c r="BD4808" i="1"/>
  <c r="CE4808" i="1"/>
  <c r="A4809" i="1"/>
  <c r="C4809" i="1"/>
  <c r="E4809" i="1"/>
  <c r="S4809" i="1"/>
  <c r="T4809" i="1"/>
  <c r="U4809" i="1"/>
  <c r="BB4809" i="1"/>
  <c r="BD4809" i="1"/>
  <c r="CE4809" i="1"/>
  <c r="A4810" i="1"/>
  <c r="C4810" i="1"/>
  <c r="E4810" i="1"/>
  <c r="S4810" i="1"/>
  <c r="T4810" i="1"/>
  <c r="U4810" i="1"/>
  <c r="BB4810" i="1"/>
  <c r="BD4810" i="1"/>
  <c r="CE4810" i="1"/>
  <c r="A4811" i="1"/>
  <c r="C4811" i="1"/>
  <c r="E4811" i="1"/>
  <c r="S4811" i="1"/>
  <c r="T4811" i="1"/>
  <c r="U4811" i="1"/>
  <c r="BB4811" i="1"/>
  <c r="BD4811" i="1"/>
  <c r="CE4811" i="1"/>
  <c r="A4812" i="1"/>
  <c r="C4812" i="1"/>
  <c r="E4812" i="1"/>
  <c r="S4812" i="1"/>
  <c r="T4812" i="1"/>
  <c r="U4812" i="1"/>
  <c r="BB4812" i="1"/>
  <c r="BD4812" i="1"/>
  <c r="CE4812" i="1"/>
  <c r="A4813" i="1"/>
  <c r="C4813" i="1"/>
  <c r="E4813" i="1"/>
  <c r="S4813" i="1"/>
  <c r="T4813" i="1"/>
  <c r="U4813" i="1"/>
  <c r="BB4813" i="1"/>
  <c r="BD4813" i="1"/>
  <c r="CE4813" i="1"/>
  <c r="A4814" i="1"/>
  <c r="C4814" i="1"/>
  <c r="E4814" i="1"/>
  <c r="S4814" i="1"/>
  <c r="T4814" i="1"/>
  <c r="U4814" i="1"/>
  <c r="BB4814" i="1"/>
  <c r="BD4814" i="1"/>
  <c r="CE4814" i="1"/>
  <c r="A4815" i="1"/>
  <c r="C4815" i="1"/>
  <c r="E4815" i="1"/>
  <c r="S4815" i="1"/>
  <c r="T4815" i="1"/>
  <c r="U4815" i="1"/>
  <c r="BB4815" i="1"/>
  <c r="BD4815" i="1"/>
  <c r="CE4815" i="1"/>
  <c r="A4816" i="1"/>
  <c r="C4816" i="1"/>
  <c r="E4816" i="1"/>
  <c r="S4816" i="1"/>
  <c r="T4816" i="1"/>
  <c r="U4816" i="1"/>
  <c r="BB4816" i="1"/>
  <c r="BD4816" i="1"/>
  <c r="CE4816" i="1"/>
  <c r="A4817" i="1"/>
  <c r="C4817" i="1"/>
  <c r="E4817" i="1"/>
  <c r="S4817" i="1"/>
  <c r="T4817" i="1"/>
  <c r="U4817" i="1"/>
  <c r="BB4817" i="1"/>
  <c r="BD4817" i="1"/>
  <c r="CE4817" i="1"/>
  <c r="A4818" i="1"/>
  <c r="C4818" i="1"/>
  <c r="E4818" i="1"/>
  <c r="S4818" i="1"/>
  <c r="T4818" i="1"/>
  <c r="U4818" i="1"/>
  <c r="BB4818" i="1"/>
  <c r="BD4818" i="1"/>
  <c r="CE4818" i="1"/>
  <c r="A4819" i="1"/>
  <c r="C4819" i="1"/>
  <c r="E4819" i="1"/>
  <c r="S4819" i="1"/>
  <c r="T4819" i="1"/>
  <c r="U4819" i="1"/>
  <c r="BB4819" i="1"/>
  <c r="BD4819" i="1"/>
  <c r="CE4819" i="1"/>
  <c r="A4820" i="1"/>
  <c r="C4820" i="1"/>
  <c r="E4820" i="1"/>
  <c r="S4820" i="1"/>
  <c r="T4820" i="1"/>
  <c r="U4820" i="1"/>
  <c r="BB4820" i="1"/>
  <c r="BD4820" i="1"/>
  <c r="CE4820" i="1"/>
  <c r="A4821" i="1"/>
  <c r="C4821" i="1"/>
  <c r="E4821" i="1"/>
  <c r="S4821" i="1"/>
  <c r="T4821" i="1"/>
  <c r="U4821" i="1"/>
  <c r="BB4821" i="1"/>
  <c r="BD4821" i="1"/>
  <c r="CE4821" i="1"/>
  <c r="A4822" i="1"/>
  <c r="C4822" i="1"/>
  <c r="E4822" i="1"/>
  <c r="S4822" i="1"/>
  <c r="T4822" i="1"/>
  <c r="U4822" i="1"/>
  <c r="BB4822" i="1"/>
  <c r="BD4822" i="1"/>
  <c r="CE4822" i="1"/>
  <c r="A4823" i="1"/>
  <c r="C4823" i="1"/>
  <c r="E4823" i="1"/>
  <c r="S4823" i="1"/>
  <c r="T4823" i="1"/>
  <c r="U4823" i="1"/>
  <c r="BB4823" i="1"/>
  <c r="BD4823" i="1"/>
  <c r="CE4823" i="1"/>
  <c r="A4824" i="1"/>
  <c r="C4824" i="1"/>
  <c r="E4824" i="1"/>
  <c r="S4824" i="1"/>
  <c r="T4824" i="1"/>
  <c r="U4824" i="1"/>
  <c r="BB4824" i="1"/>
  <c r="BD4824" i="1"/>
  <c r="CE4824" i="1"/>
  <c r="A4825" i="1"/>
  <c r="C4825" i="1"/>
  <c r="E4825" i="1"/>
  <c r="S4825" i="1"/>
  <c r="T4825" i="1"/>
  <c r="U4825" i="1"/>
  <c r="BB4825" i="1"/>
  <c r="BD4825" i="1"/>
  <c r="CE4825" i="1"/>
  <c r="A4826" i="1"/>
  <c r="C4826" i="1"/>
  <c r="E4826" i="1"/>
  <c r="S4826" i="1"/>
  <c r="T4826" i="1"/>
  <c r="U4826" i="1"/>
  <c r="BB4826" i="1"/>
  <c r="BD4826" i="1"/>
  <c r="CE4826" i="1"/>
  <c r="A4827" i="1"/>
  <c r="C4827" i="1"/>
  <c r="E4827" i="1"/>
  <c r="S4827" i="1"/>
  <c r="T4827" i="1"/>
  <c r="U4827" i="1"/>
  <c r="BB4827" i="1"/>
  <c r="BD4827" i="1"/>
  <c r="CE4827" i="1"/>
  <c r="A4828" i="1"/>
  <c r="C4828" i="1"/>
  <c r="E4828" i="1"/>
  <c r="S4828" i="1"/>
  <c r="T4828" i="1"/>
  <c r="U4828" i="1"/>
  <c r="BB4828" i="1"/>
  <c r="BD4828" i="1"/>
  <c r="CE4828" i="1"/>
  <c r="A4829" i="1"/>
  <c r="C4829" i="1"/>
  <c r="E4829" i="1"/>
  <c r="S4829" i="1"/>
  <c r="T4829" i="1"/>
  <c r="U4829" i="1"/>
  <c r="BB4829" i="1"/>
  <c r="BD4829" i="1"/>
  <c r="CE4829" i="1"/>
  <c r="A4830" i="1"/>
  <c r="C4830" i="1"/>
  <c r="E4830" i="1"/>
  <c r="S4830" i="1"/>
  <c r="T4830" i="1"/>
  <c r="U4830" i="1"/>
  <c r="BB4830" i="1"/>
  <c r="BD4830" i="1"/>
  <c r="CE4830" i="1"/>
  <c r="A4831" i="1"/>
  <c r="C4831" i="1"/>
  <c r="E4831" i="1"/>
  <c r="S4831" i="1"/>
  <c r="T4831" i="1"/>
  <c r="U4831" i="1"/>
  <c r="BB4831" i="1"/>
  <c r="BD4831" i="1"/>
  <c r="CE4831" i="1"/>
  <c r="A4832" i="1"/>
  <c r="C4832" i="1"/>
  <c r="E4832" i="1"/>
  <c r="S4832" i="1"/>
  <c r="T4832" i="1"/>
  <c r="U4832" i="1"/>
  <c r="BB4832" i="1"/>
  <c r="BD4832" i="1"/>
  <c r="CE4832" i="1"/>
  <c r="A4833" i="1"/>
  <c r="C4833" i="1"/>
  <c r="E4833" i="1"/>
  <c r="S4833" i="1"/>
  <c r="T4833" i="1"/>
  <c r="U4833" i="1"/>
  <c r="BB4833" i="1"/>
  <c r="BD4833" i="1"/>
  <c r="CE4833" i="1"/>
  <c r="A4834" i="1"/>
  <c r="C4834" i="1"/>
  <c r="E4834" i="1"/>
  <c r="S4834" i="1"/>
  <c r="T4834" i="1"/>
  <c r="U4834" i="1"/>
  <c r="BB4834" i="1"/>
  <c r="BD4834" i="1"/>
  <c r="CE4834" i="1"/>
  <c r="A4835" i="1"/>
  <c r="C4835" i="1"/>
  <c r="E4835" i="1"/>
  <c r="S4835" i="1"/>
  <c r="T4835" i="1"/>
  <c r="U4835" i="1"/>
  <c r="BB4835" i="1"/>
  <c r="BD4835" i="1"/>
  <c r="CE4835" i="1"/>
  <c r="A4836" i="1"/>
  <c r="C4836" i="1"/>
  <c r="E4836" i="1"/>
  <c r="S4836" i="1"/>
  <c r="T4836" i="1"/>
  <c r="U4836" i="1"/>
  <c r="BB4836" i="1"/>
  <c r="BD4836" i="1"/>
  <c r="CE4836" i="1"/>
  <c r="A4837" i="1"/>
  <c r="C4837" i="1"/>
  <c r="E4837" i="1"/>
  <c r="S4837" i="1"/>
  <c r="T4837" i="1"/>
  <c r="U4837" i="1"/>
  <c r="BB4837" i="1"/>
  <c r="BD4837" i="1"/>
  <c r="CE4837" i="1"/>
  <c r="A4838" i="1"/>
  <c r="C4838" i="1"/>
  <c r="E4838" i="1"/>
  <c r="S4838" i="1"/>
  <c r="T4838" i="1"/>
  <c r="U4838" i="1"/>
  <c r="BB4838" i="1"/>
  <c r="BD4838" i="1"/>
  <c r="CE4838" i="1"/>
  <c r="A4839" i="1"/>
  <c r="C4839" i="1"/>
  <c r="E4839" i="1"/>
  <c r="S4839" i="1"/>
  <c r="T4839" i="1"/>
  <c r="U4839" i="1"/>
  <c r="BB4839" i="1"/>
  <c r="BD4839" i="1"/>
  <c r="CE4839" i="1"/>
  <c r="A4840" i="1"/>
  <c r="C4840" i="1"/>
  <c r="E4840" i="1"/>
  <c r="S4840" i="1"/>
  <c r="T4840" i="1"/>
  <c r="U4840" i="1"/>
  <c r="BB4840" i="1"/>
  <c r="BD4840" i="1"/>
  <c r="CE4840" i="1"/>
  <c r="A4841" i="1"/>
  <c r="C4841" i="1"/>
  <c r="E4841" i="1"/>
  <c r="S4841" i="1"/>
  <c r="T4841" i="1"/>
  <c r="U4841" i="1"/>
  <c r="BB4841" i="1"/>
  <c r="BD4841" i="1"/>
  <c r="CE4841" i="1"/>
  <c r="A4842" i="1"/>
  <c r="C4842" i="1"/>
  <c r="E4842" i="1"/>
  <c r="S4842" i="1"/>
  <c r="T4842" i="1"/>
  <c r="U4842" i="1"/>
  <c r="BB4842" i="1"/>
  <c r="BD4842" i="1"/>
  <c r="CE4842" i="1"/>
  <c r="A4843" i="1"/>
  <c r="C4843" i="1"/>
  <c r="E4843" i="1"/>
  <c r="S4843" i="1"/>
  <c r="T4843" i="1"/>
  <c r="U4843" i="1"/>
  <c r="BB4843" i="1"/>
  <c r="BD4843" i="1"/>
  <c r="CE4843" i="1"/>
  <c r="A4844" i="1"/>
  <c r="C4844" i="1"/>
  <c r="E4844" i="1"/>
  <c r="S4844" i="1"/>
  <c r="T4844" i="1"/>
  <c r="U4844" i="1"/>
  <c r="BB4844" i="1"/>
  <c r="BD4844" i="1"/>
  <c r="CE4844" i="1"/>
  <c r="A4845" i="1"/>
  <c r="C4845" i="1"/>
  <c r="E4845" i="1"/>
  <c r="S4845" i="1"/>
  <c r="T4845" i="1"/>
  <c r="U4845" i="1"/>
  <c r="BB4845" i="1"/>
  <c r="BD4845" i="1"/>
  <c r="CE4845" i="1"/>
  <c r="A4846" i="1"/>
  <c r="C4846" i="1"/>
  <c r="E4846" i="1"/>
  <c r="S4846" i="1"/>
  <c r="T4846" i="1"/>
  <c r="U4846" i="1"/>
  <c r="BB4846" i="1"/>
  <c r="BD4846" i="1"/>
  <c r="CE4846" i="1"/>
  <c r="A4847" i="1"/>
  <c r="C4847" i="1"/>
  <c r="E4847" i="1"/>
  <c r="S4847" i="1"/>
  <c r="T4847" i="1"/>
  <c r="U4847" i="1"/>
  <c r="BB4847" i="1"/>
  <c r="BD4847" i="1"/>
  <c r="CE4847" i="1"/>
  <c r="A4848" i="1"/>
  <c r="C4848" i="1"/>
  <c r="E4848" i="1"/>
  <c r="S4848" i="1"/>
  <c r="T4848" i="1"/>
  <c r="U4848" i="1"/>
  <c r="BB4848" i="1"/>
  <c r="BD4848" i="1"/>
  <c r="CE4848" i="1"/>
  <c r="A4849" i="1"/>
  <c r="C4849" i="1"/>
  <c r="E4849" i="1"/>
  <c r="S4849" i="1"/>
  <c r="T4849" i="1"/>
  <c r="U4849" i="1"/>
  <c r="BB4849" i="1"/>
  <c r="BD4849" i="1"/>
  <c r="CE4849" i="1"/>
  <c r="A4850" i="1"/>
  <c r="C4850" i="1"/>
  <c r="E4850" i="1"/>
  <c r="S4850" i="1"/>
  <c r="T4850" i="1"/>
  <c r="U4850" i="1"/>
  <c r="BB4850" i="1"/>
  <c r="BD4850" i="1"/>
  <c r="CE4850" i="1"/>
  <c r="A4851" i="1"/>
  <c r="C4851" i="1"/>
  <c r="E4851" i="1"/>
  <c r="S4851" i="1"/>
  <c r="T4851" i="1"/>
  <c r="U4851" i="1"/>
  <c r="BB4851" i="1"/>
  <c r="BD4851" i="1"/>
  <c r="CE4851" i="1"/>
  <c r="A4852" i="1"/>
  <c r="C4852" i="1"/>
  <c r="E4852" i="1"/>
  <c r="S4852" i="1"/>
  <c r="T4852" i="1"/>
  <c r="U4852" i="1"/>
  <c r="BB4852" i="1"/>
  <c r="BD4852" i="1"/>
  <c r="CE4852" i="1"/>
  <c r="A4853" i="1"/>
  <c r="C4853" i="1"/>
  <c r="E4853" i="1"/>
  <c r="S4853" i="1"/>
  <c r="T4853" i="1"/>
  <c r="U4853" i="1"/>
  <c r="BB4853" i="1"/>
  <c r="BD4853" i="1"/>
  <c r="CE4853" i="1"/>
  <c r="A4854" i="1"/>
  <c r="C4854" i="1"/>
  <c r="E4854" i="1"/>
  <c r="S4854" i="1"/>
  <c r="T4854" i="1"/>
  <c r="U4854" i="1"/>
  <c r="BB4854" i="1"/>
  <c r="BD4854" i="1"/>
  <c r="CE4854" i="1"/>
  <c r="A4855" i="1"/>
  <c r="C4855" i="1"/>
  <c r="E4855" i="1"/>
  <c r="S4855" i="1"/>
  <c r="T4855" i="1"/>
  <c r="U4855" i="1"/>
  <c r="BB4855" i="1"/>
  <c r="BD4855" i="1"/>
  <c r="CE4855" i="1"/>
  <c r="A4856" i="1"/>
  <c r="C4856" i="1"/>
  <c r="E4856" i="1"/>
  <c r="S4856" i="1"/>
  <c r="T4856" i="1"/>
  <c r="U4856" i="1"/>
  <c r="BB4856" i="1"/>
  <c r="BD4856" i="1"/>
  <c r="CE4856" i="1"/>
  <c r="A4857" i="1"/>
  <c r="C4857" i="1"/>
  <c r="E4857" i="1"/>
  <c r="S4857" i="1"/>
  <c r="T4857" i="1"/>
  <c r="U4857" i="1"/>
  <c r="BB4857" i="1"/>
  <c r="BD4857" i="1"/>
  <c r="CE4857" i="1"/>
  <c r="A4858" i="1"/>
  <c r="C4858" i="1"/>
  <c r="E4858" i="1"/>
  <c r="S4858" i="1"/>
  <c r="T4858" i="1"/>
  <c r="U4858" i="1"/>
  <c r="BB4858" i="1"/>
  <c r="BD4858" i="1"/>
  <c r="CE4858" i="1"/>
  <c r="A4859" i="1"/>
  <c r="C4859" i="1"/>
  <c r="E4859" i="1"/>
  <c r="S4859" i="1"/>
  <c r="T4859" i="1"/>
  <c r="U4859" i="1"/>
  <c r="BB4859" i="1"/>
  <c r="BD4859" i="1"/>
  <c r="CE4859" i="1"/>
  <c r="A4860" i="1"/>
  <c r="C4860" i="1"/>
  <c r="E4860" i="1"/>
  <c r="S4860" i="1"/>
  <c r="T4860" i="1"/>
  <c r="U4860" i="1"/>
  <c r="BB4860" i="1"/>
  <c r="BD4860" i="1"/>
  <c r="CE4860" i="1"/>
  <c r="A4861" i="1"/>
  <c r="C4861" i="1"/>
  <c r="E4861" i="1"/>
  <c r="S4861" i="1"/>
  <c r="T4861" i="1"/>
  <c r="U4861" i="1"/>
  <c r="BB4861" i="1"/>
  <c r="BD4861" i="1"/>
  <c r="CE4861" i="1"/>
  <c r="A4862" i="1"/>
  <c r="C4862" i="1"/>
  <c r="E4862" i="1"/>
  <c r="S4862" i="1"/>
  <c r="T4862" i="1"/>
  <c r="U4862" i="1"/>
  <c r="BB4862" i="1"/>
  <c r="BD4862" i="1"/>
  <c r="CE4862" i="1"/>
  <c r="A4863" i="1"/>
  <c r="C4863" i="1"/>
  <c r="E4863" i="1"/>
  <c r="S4863" i="1"/>
  <c r="T4863" i="1"/>
  <c r="U4863" i="1"/>
  <c r="BB4863" i="1"/>
  <c r="BD4863" i="1"/>
  <c r="CE4863" i="1"/>
  <c r="A4864" i="1"/>
  <c r="C4864" i="1"/>
  <c r="E4864" i="1"/>
  <c r="S4864" i="1"/>
  <c r="T4864" i="1"/>
  <c r="U4864" i="1"/>
  <c r="BB4864" i="1"/>
  <c r="BD4864" i="1"/>
  <c r="CE4864" i="1"/>
  <c r="A4865" i="1"/>
  <c r="C4865" i="1"/>
  <c r="E4865" i="1"/>
  <c r="S4865" i="1"/>
  <c r="T4865" i="1"/>
  <c r="U4865" i="1"/>
  <c r="BB4865" i="1"/>
  <c r="BD4865" i="1"/>
  <c r="CE4865" i="1"/>
  <c r="A4866" i="1"/>
  <c r="C4866" i="1"/>
  <c r="E4866" i="1"/>
  <c r="S4866" i="1"/>
  <c r="T4866" i="1"/>
  <c r="U4866" i="1"/>
  <c r="BB4866" i="1"/>
  <c r="BD4866" i="1"/>
  <c r="CE4866" i="1"/>
  <c r="A4867" i="1"/>
  <c r="C4867" i="1"/>
  <c r="E4867" i="1"/>
  <c r="S4867" i="1"/>
  <c r="T4867" i="1"/>
  <c r="U4867" i="1"/>
  <c r="BB4867" i="1"/>
  <c r="BD4867" i="1"/>
  <c r="CE4867" i="1"/>
  <c r="A4868" i="1"/>
  <c r="C4868" i="1"/>
  <c r="E4868" i="1"/>
  <c r="S4868" i="1"/>
  <c r="T4868" i="1"/>
  <c r="U4868" i="1"/>
  <c r="BB4868" i="1"/>
  <c r="BD4868" i="1"/>
  <c r="CE4868" i="1"/>
  <c r="A4869" i="1"/>
  <c r="C4869" i="1"/>
  <c r="E4869" i="1"/>
  <c r="S4869" i="1"/>
  <c r="T4869" i="1"/>
  <c r="U4869" i="1"/>
  <c r="BB4869" i="1"/>
  <c r="BD4869" i="1"/>
  <c r="CE4869" i="1"/>
  <c r="A4870" i="1"/>
  <c r="C4870" i="1"/>
  <c r="E4870" i="1"/>
  <c r="S4870" i="1"/>
  <c r="T4870" i="1"/>
  <c r="U4870" i="1"/>
  <c r="BB4870" i="1"/>
  <c r="BD4870" i="1"/>
  <c r="CE4870" i="1"/>
  <c r="A4871" i="1"/>
  <c r="C4871" i="1"/>
  <c r="E4871" i="1"/>
  <c r="S4871" i="1"/>
  <c r="T4871" i="1"/>
  <c r="U4871" i="1"/>
  <c r="BB4871" i="1"/>
  <c r="BD4871" i="1"/>
  <c r="CE4871" i="1"/>
  <c r="A4872" i="1"/>
  <c r="C4872" i="1"/>
  <c r="E4872" i="1"/>
  <c r="S4872" i="1"/>
  <c r="T4872" i="1"/>
  <c r="U4872" i="1"/>
  <c r="BB4872" i="1"/>
  <c r="BD4872" i="1"/>
  <c r="CE4872" i="1"/>
  <c r="A4873" i="1"/>
  <c r="C4873" i="1"/>
  <c r="E4873" i="1"/>
  <c r="S4873" i="1"/>
  <c r="T4873" i="1"/>
  <c r="U4873" i="1"/>
  <c r="BB4873" i="1"/>
  <c r="BD4873" i="1"/>
  <c r="CE4873" i="1"/>
  <c r="A4874" i="1"/>
  <c r="C4874" i="1"/>
  <c r="E4874" i="1"/>
  <c r="S4874" i="1"/>
  <c r="T4874" i="1"/>
  <c r="U4874" i="1"/>
  <c r="BB4874" i="1"/>
  <c r="BD4874" i="1"/>
  <c r="CE4874" i="1"/>
  <c r="A4875" i="1"/>
  <c r="C4875" i="1"/>
  <c r="E4875" i="1"/>
  <c r="S4875" i="1"/>
  <c r="T4875" i="1"/>
  <c r="U4875" i="1"/>
  <c r="BB4875" i="1"/>
  <c r="BD4875" i="1"/>
  <c r="CE4875" i="1"/>
  <c r="A4876" i="1"/>
  <c r="C4876" i="1"/>
  <c r="E4876" i="1"/>
  <c r="S4876" i="1"/>
  <c r="T4876" i="1"/>
  <c r="U4876" i="1"/>
  <c r="BB4876" i="1"/>
  <c r="BD4876" i="1"/>
  <c r="CE4876" i="1"/>
  <c r="A4877" i="1"/>
  <c r="C4877" i="1"/>
  <c r="E4877" i="1"/>
  <c r="S4877" i="1"/>
  <c r="T4877" i="1"/>
  <c r="U4877" i="1"/>
  <c r="BB4877" i="1"/>
  <c r="BD4877" i="1"/>
  <c r="CE4877" i="1"/>
  <c r="A4878" i="1"/>
  <c r="C4878" i="1"/>
  <c r="E4878" i="1"/>
  <c r="S4878" i="1"/>
  <c r="T4878" i="1"/>
  <c r="U4878" i="1"/>
  <c r="BB4878" i="1"/>
  <c r="BD4878" i="1"/>
  <c r="CE4878" i="1"/>
  <c r="A4879" i="1"/>
  <c r="C4879" i="1"/>
  <c r="E4879" i="1"/>
  <c r="S4879" i="1"/>
  <c r="T4879" i="1"/>
  <c r="U4879" i="1"/>
  <c r="BB4879" i="1"/>
  <c r="BD4879" i="1"/>
  <c r="CE4879" i="1"/>
  <c r="A4880" i="1"/>
  <c r="C4880" i="1"/>
  <c r="E4880" i="1"/>
  <c r="S4880" i="1"/>
  <c r="T4880" i="1"/>
  <c r="U4880" i="1"/>
  <c r="BB4880" i="1"/>
  <c r="BD4880" i="1"/>
  <c r="CE4880" i="1"/>
  <c r="A4881" i="1"/>
  <c r="C4881" i="1"/>
  <c r="E4881" i="1"/>
  <c r="S4881" i="1"/>
  <c r="T4881" i="1"/>
  <c r="U4881" i="1"/>
  <c r="BB4881" i="1"/>
  <c r="BD4881" i="1"/>
  <c r="CE4881" i="1"/>
  <c r="A4882" i="1"/>
  <c r="C4882" i="1"/>
  <c r="E4882" i="1"/>
  <c r="S4882" i="1"/>
  <c r="T4882" i="1"/>
  <c r="U4882" i="1"/>
  <c r="BB4882" i="1"/>
  <c r="BD4882" i="1"/>
  <c r="CE4882" i="1"/>
  <c r="A4883" i="1"/>
  <c r="C4883" i="1"/>
  <c r="E4883" i="1"/>
  <c r="S4883" i="1"/>
  <c r="T4883" i="1"/>
  <c r="U4883" i="1"/>
  <c r="BB4883" i="1"/>
  <c r="BD4883" i="1"/>
  <c r="CE4883" i="1"/>
  <c r="A4884" i="1"/>
  <c r="C4884" i="1"/>
  <c r="E4884" i="1"/>
  <c r="S4884" i="1"/>
  <c r="T4884" i="1"/>
  <c r="U4884" i="1"/>
  <c r="BB4884" i="1"/>
  <c r="BD4884" i="1"/>
  <c r="CE4884" i="1"/>
  <c r="A4885" i="1"/>
  <c r="C4885" i="1"/>
  <c r="E4885" i="1"/>
  <c r="S4885" i="1"/>
  <c r="T4885" i="1"/>
  <c r="U4885" i="1"/>
  <c r="BB4885" i="1"/>
  <c r="BD4885" i="1"/>
  <c r="CE4885" i="1"/>
  <c r="A4886" i="1"/>
  <c r="C4886" i="1"/>
  <c r="E4886" i="1"/>
  <c r="S4886" i="1"/>
  <c r="T4886" i="1"/>
  <c r="U4886" i="1"/>
  <c r="BB4886" i="1"/>
  <c r="BD4886" i="1"/>
  <c r="CE4886" i="1"/>
  <c r="A4887" i="1"/>
  <c r="C4887" i="1"/>
  <c r="E4887" i="1"/>
  <c r="S4887" i="1"/>
  <c r="T4887" i="1"/>
  <c r="U4887" i="1"/>
  <c r="BB4887" i="1"/>
  <c r="BD4887" i="1"/>
  <c r="CE4887" i="1"/>
  <c r="A4888" i="1"/>
  <c r="C4888" i="1"/>
  <c r="E4888" i="1"/>
  <c r="S4888" i="1"/>
  <c r="T4888" i="1"/>
  <c r="U4888" i="1"/>
  <c r="BB4888" i="1"/>
  <c r="BD4888" i="1"/>
  <c r="CE4888" i="1"/>
  <c r="A4889" i="1"/>
  <c r="C4889" i="1"/>
  <c r="E4889" i="1"/>
  <c r="S4889" i="1"/>
  <c r="T4889" i="1"/>
  <c r="U4889" i="1"/>
  <c r="BB4889" i="1"/>
  <c r="BD4889" i="1"/>
  <c r="CE4889" i="1"/>
  <c r="A4890" i="1"/>
  <c r="C4890" i="1"/>
  <c r="E4890" i="1"/>
  <c r="S4890" i="1"/>
  <c r="T4890" i="1"/>
  <c r="U4890" i="1"/>
  <c r="BB4890" i="1"/>
  <c r="BD4890" i="1"/>
  <c r="CE4890" i="1"/>
  <c r="A4891" i="1"/>
  <c r="C4891" i="1"/>
  <c r="E4891" i="1"/>
  <c r="S4891" i="1"/>
  <c r="T4891" i="1"/>
  <c r="U4891" i="1"/>
  <c r="BB4891" i="1"/>
  <c r="BD4891" i="1"/>
  <c r="CE4891" i="1"/>
  <c r="A4892" i="1"/>
  <c r="C4892" i="1"/>
  <c r="E4892" i="1"/>
  <c r="S4892" i="1"/>
  <c r="T4892" i="1"/>
  <c r="U4892" i="1"/>
  <c r="BB4892" i="1"/>
  <c r="BD4892" i="1"/>
  <c r="CE4892" i="1"/>
  <c r="A4893" i="1"/>
  <c r="C4893" i="1"/>
  <c r="E4893" i="1"/>
  <c r="S4893" i="1"/>
  <c r="T4893" i="1"/>
  <c r="U4893" i="1"/>
  <c r="BB4893" i="1"/>
  <c r="BD4893" i="1"/>
  <c r="CE4893" i="1"/>
  <c r="A4894" i="1"/>
  <c r="C4894" i="1"/>
  <c r="E4894" i="1"/>
  <c r="S4894" i="1"/>
  <c r="T4894" i="1"/>
  <c r="U4894" i="1"/>
  <c r="BB4894" i="1"/>
  <c r="BD4894" i="1"/>
  <c r="CE4894" i="1"/>
  <c r="A4895" i="1"/>
  <c r="C4895" i="1"/>
  <c r="E4895" i="1"/>
  <c r="S4895" i="1"/>
  <c r="T4895" i="1"/>
  <c r="U4895" i="1"/>
  <c r="BB4895" i="1"/>
  <c r="BD4895" i="1"/>
  <c r="CE4895" i="1"/>
  <c r="A4896" i="1"/>
  <c r="C4896" i="1"/>
  <c r="E4896" i="1"/>
  <c r="S4896" i="1"/>
  <c r="T4896" i="1"/>
  <c r="U4896" i="1"/>
  <c r="BB4896" i="1"/>
  <c r="BD4896" i="1"/>
  <c r="CE4896" i="1"/>
  <c r="A4897" i="1"/>
  <c r="C4897" i="1"/>
  <c r="E4897" i="1"/>
  <c r="S4897" i="1"/>
  <c r="T4897" i="1"/>
  <c r="U4897" i="1"/>
  <c r="BB4897" i="1"/>
  <c r="BD4897" i="1"/>
  <c r="CE4897" i="1"/>
  <c r="A4898" i="1"/>
  <c r="C4898" i="1"/>
  <c r="E4898" i="1"/>
  <c r="S4898" i="1"/>
  <c r="T4898" i="1"/>
  <c r="U4898" i="1"/>
  <c r="BB4898" i="1"/>
  <c r="BD4898" i="1"/>
  <c r="CE4898" i="1"/>
  <c r="A4899" i="1"/>
  <c r="C4899" i="1"/>
  <c r="E4899" i="1"/>
  <c r="S4899" i="1"/>
  <c r="T4899" i="1"/>
  <c r="U4899" i="1"/>
  <c r="BB4899" i="1"/>
  <c r="BD4899" i="1"/>
  <c r="CE4899" i="1"/>
  <c r="A4900" i="1"/>
  <c r="C4900" i="1"/>
  <c r="E4900" i="1"/>
  <c r="S4900" i="1"/>
  <c r="T4900" i="1"/>
  <c r="U4900" i="1"/>
  <c r="BB4900" i="1"/>
  <c r="BD4900" i="1"/>
  <c r="CE4900" i="1"/>
  <c r="A4901" i="1"/>
  <c r="C4901" i="1"/>
  <c r="E4901" i="1"/>
  <c r="S4901" i="1"/>
  <c r="T4901" i="1"/>
  <c r="U4901" i="1"/>
  <c r="BB4901" i="1"/>
  <c r="BD4901" i="1"/>
  <c r="CE4901" i="1"/>
  <c r="A4902" i="1"/>
  <c r="C4902" i="1"/>
  <c r="E4902" i="1"/>
  <c r="S4902" i="1"/>
  <c r="T4902" i="1"/>
  <c r="U4902" i="1"/>
  <c r="BB4902" i="1"/>
  <c r="BD4902" i="1"/>
  <c r="CE4902" i="1"/>
  <c r="A4903" i="1"/>
  <c r="C4903" i="1"/>
  <c r="E4903" i="1"/>
  <c r="S4903" i="1"/>
  <c r="T4903" i="1"/>
  <c r="U4903" i="1"/>
  <c r="BB4903" i="1"/>
  <c r="BD4903" i="1"/>
  <c r="CE4903" i="1"/>
  <c r="A4904" i="1"/>
  <c r="C4904" i="1"/>
  <c r="E4904" i="1"/>
  <c r="S4904" i="1"/>
  <c r="T4904" i="1"/>
  <c r="U4904" i="1"/>
  <c r="BB4904" i="1"/>
  <c r="BD4904" i="1"/>
  <c r="CE4904" i="1"/>
  <c r="A4905" i="1"/>
  <c r="C4905" i="1"/>
  <c r="E4905" i="1"/>
  <c r="S4905" i="1"/>
  <c r="T4905" i="1"/>
  <c r="U4905" i="1"/>
  <c r="BB4905" i="1"/>
  <c r="BD4905" i="1"/>
  <c r="CE4905" i="1"/>
  <c r="A4906" i="1"/>
  <c r="C4906" i="1"/>
  <c r="E4906" i="1"/>
  <c r="S4906" i="1"/>
  <c r="T4906" i="1"/>
  <c r="U4906" i="1"/>
  <c r="BB4906" i="1"/>
  <c r="BD4906" i="1"/>
  <c r="CE4906" i="1"/>
  <c r="A4907" i="1"/>
  <c r="C4907" i="1"/>
  <c r="E4907" i="1"/>
  <c r="S4907" i="1"/>
  <c r="T4907" i="1"/>
  <c r="U4907" i="1"/>
  <c r="BB4907" i="1"/>
  <c r="BD4907" i="1"/>
  <c r="CE4907" i="1"/>
  <c r="A4908" i="1"/>
  <c r="C4908" i="1"/>
  <c r="E4908" i="1"/>
  <c r="S4908" i="1"/>
  <c r="T4908" i="1"/>
  <c r="U4908" i="1"/>
  <c r="BB4908" i="1"/>
  <c r="BD4908" i="1"/>
  <c r="CE4908" i="1"/>
  <c r="A4909" i="1"/>
  <c r="C4909" i="1"/>
  <c r="E4909" i="1"/>
  <c r="S4909" i="1"/>
  <c r="T4909" i="1"/>
  <c r="U4909" i="1"/>
  <c r="BB4909" i="1"/>
  <c r="BD4909" i="1"/>
  <c r="CE4909" i="1"/>
  <c r="A4910" i="1"/>
  <c r="C4910" i="1"/>
  <c r="E4910" i="1"/>
  <c r="S4910" i="1"/>
  <c r="T4910" i="1"/>
  <c r="U4910" i="1"/>
  <c r="BB4910" i="1"/>
  <c r="BD4910" i="1"/>
  <c r="CE4910" i="1"/>
  <c r="A4911" i="1"/>
  <c r="C4911" i="1"/>
  <c r="E4911" i="1"/>
  <c r="S4911" i="1"/>
  <c r="T4911" i="1"/>
  <c r="U4911" i="1"/>
  <c r="BB4911" i="1"/>
  <c r="BD4911" i="1"/>
  <c r="CE4911" i="1"/>
  <c r="A4912" i="1"/>
  <c r="C4912" i="1"/>
  <c r="E4912" i="1"/>
  <c r="S4912" i="1"/>
  <c r="T4912" i="1"/>
  <c r="U4912" i="1"/>
  <c r="BB4912" i="1"/>
  <c r="BD4912" i="1"/>
  <c r="CE4912" i="1"/>
  <c r="A4913" i="1"/>
  <c r="C4913" i="1"/>
  <c r="E4913" i="1"/>
  <c r="S4913" i="1"/>
  <c r="T4913" i="1"/>
  <c r="U4913" i="1"/>
  <c r="BB4913" i="1"/>
  <c r="BD4913" i="1"/>
  <c r="CE4913" i="1"/>
  <c r="A4914" i="1"/>
  <c r="C4914" i="1"/>
  <c r="E4914" i="1"/>
  <c r="S4914" i="1"/>
  <c r="T4914" i="1"/>
  <c r="U4914" i="1"/>
  <c r="BB4914" i="1"/>
  <c r="BD4914" i="1"/>
  <c r="CE4914" i="1"/>
  <c r="A4915" i="1"/>
  <c r="C4915" i="1"/>
  <c r="E4915" i="1"/>
  <c r="S4915" i="1"/>
  <c r="T4915" i="1"/>
  <c r="U4915" i="1"/>
  <c r="BB4915" i="1"/>
  <c r="BD4915" i="1"/>
  <c r="CE4915" i="1"/>
  <c r="A4916" i="1"/>
  <c r="C4916" i="1"/>
  <c r="E4916" i="1"/>
  <c r="S4916" i="1"/>
  <c r="T4916" i="1"/>
  <c r="U4916" i="1"/>
  <c r="BB4916" i="1"/>
  <c r="BD4916" i="1"/>
  <c r="CE4916" i="1"/>
  <c r="A4917" i="1"/>
  <c r="C4917" i="1"/>
  <c r="E4917" i="1"/>
  <c r="S4917" i="1"/>
  <c r="T4917" i="1"/>
  <c r="U4917" i="1"/>
  <c r="BB4917" i="1"/>
  <c r="BD4917" i="1"/>
  <c r="CE4917" i="1"/>
  <c r="A4918" i="1"/>
  <c r="C4918" i="1"/>
  <c r="E4918" i="1"/>
  <c r="S4918" i="1"/>
  <c r="T4918" i="1"/>
  <c r="U4918" i="1"/>
  <c r="BB4918" i="1"/>
  <c r="BD4918" i="1"/>
  <c r="CE4918" i="1"/>
  <c r="A4919" i="1"/>
  <c r="C4919" i="1"/>
  <c r="E4919" i="1"/>
  <c r="S4919" i="1"/>
  <c r="T4919" i="1"/>
  <c r="U4919" i="1"/>
  <c r="BB4919" i="1"/>
  <c r="BD4919" i="1"/>
  <c r="CE4919" i="1"/>
  <c r="A4920" i="1"/>
  <c r="C4920" i="1"/>
  <c r="E4920" i="1"/>
  <c r="S4920" i="1"/>
  <c r="T4920" i="1"/>
  <c r="U4920" i="1"/>
  <c r="BB4920" i="1"/>
  <c r="BD4920" i="1"/>
  <c r="CE4920" i="1"/>
  <c r="A4921" i="1"/>
  <c r="C4921" i="1"/>
  <c r="E4921" i="1"/>
  <c r="S4921" i="1"/>
  <c r="T4921" i="1"/>
  <c r="U4921" i="1"/>
  <c r="BB4921" i="1"/>
  <c r="BD4921" i="1"/>
  <c r="CE4921" i="1"/>
  <c r="A4922" i="1"/>
  <c r="C4922" i="1"/>
  <c r="E4922" i="1"/>
  <c r="S4922" i="1"/>
  <c r="T4922" i="1"/>
  <c r="U4922" i="1"/>
  <c r="BB4922" i="1"/>
  <c r="BD4922" i="1"/>
  <c r="CE4922" i="1"/>
  <c r="A4923" i="1"/>
  <c r="C4923" i="1"/>
  <c r="E4923" i="1"/>
  <c r="S4923" i="1"/>
  <c r="T4923" i="1"/>
  <c r="U4923" i="1"/>
  <c r="BB4923" i="1"/>
  <c r="BD4923" i="1"/>
  <c r="CE4923" i="1"/>
  <c r="A4924" i="1"/>
  <c r="C4924" i="1"/>
  <c r="E4924" i="1"/>
  <c r="S4924" i="1"/>
  <c r="T4924" i="1"/>
  <c r="U4924" i="1"/>
  <c r="BB4924" i="1"/>
  <c r="BD4924" i="1"/>
  <c r="CE4924" i="1"/>
  <c r="A4925" i="1"/>
  <c r="C4925" i="1"/>
  <c r="E4925" i="1"/>
  <c r="S4925" i="1"/>
  <c r="T4925" i="1"/>
  <c r="U4925" i="1"/>
  <c r="BB4925" i="1"/>
  <c r="BD4925" i="1"/>
  <c r="CE4925" i="1"/>
  <c r="A4926" i="1"/>
  <c r="C4926" i="1"/>
  <c r="E4926" i="1"/>
  <c r="S4926" i="1"/>
  <c r="T4926" i="1"/>
  <c r="U4926" i="1"/>
  <c r="BB4926" i="1"/>
  <c r="BD4926" i="1"/>
  <c r="CE4926" i="1"/>
  <c r="A4927" i="1"/>
  <c r="C4927" i="1"/>
  <c r="E4927" i="1"/>
  <c r="S4927" i="1"/>
  <c r="T4927" i="1"/>
  <c r="U4927" i="1"/>
  <c r="BB4927" i="1"/>
  <c r="BD4927" i="1"/>
  <c r="CE4927" i="1"/>
  <c r="A4928" i="1"/>
  <c r="C4928" i="1"/>
  <c r="E4928" i="1"/>
  <c r="S4928" i="1"/>
  <c r="T4928" i="1"/>
  <c r="U4928" i="1"/>
  <c r="BB4928" i="1"/>
  <c r="BD4928" i="1"/>
  <c r="CE4928" i="1"/>
  <c r="A4929" i="1"/>
  <c r="C4929" i="1"/>
  <c r="E4929" i="1"/>
  <c r="S4929" i="1"/>
  <c r="T4929" i="1"/>
  <c r="U4929" i="1"/>
  <c r="BB4929" i="1"/>
  <c r="BD4929" i="1"/>
  <c r="CE4929" i="1"/>
  <c r="A4930" i="1"/>
  <c r="C4930" i="1"/>
  <c r="E4930" i="1"/>
  <c r="S4930" i="1"/>
  <c r="T4930" i="1"/>
  <c r="U4930" i="1"/>
  <c r="BB4930" i="1"/>
  <c r="BD4930" i="1"/>
  <c r="CE4930" i="1"/>
  <c r="A4931" i="1"/>
  <c r="C4931" i="1"/>
  <c r="E4931" i="1"/>
  <c r="S4931" i="1"/>
  <c r="T4931" i="1"/>
  <c r="U4931" i="1"/>
  <c r="BB4931" i="1"/>
  <c r="BD4931" i="1"/>
  <c r="CE4931" i="1"/>
  <c r="A4932" i="1"/>
  <c r="C4932" i="1"/>
  <c r="E4932" i="1"/>
  <c r="S4932" i="1"/>
  <c r="T4932" i="1"/>
  <c r="U4932" i="1"/>
  <c r="BB4932" i="1"/>
  <c r="BD4932" i="1"/>
  <c r="CE4932" i="1"/>
  <c r="A4933" i="1"/>
  <c r="C4933" i="1"/>
  <c r="E4933" i="1"/>
  <c r="S4933" i="1"/>
  <c r="T4933" i="1"/>
  <c r="U4933" i="1"/>
  <c r="BB4933" i="1"/>
  <c r="BD4933" i="1"/>
  <c r="CE4933" i="1"/>
  <c r="A4934" i="1"/>
  <c r="C4934" i="1"/>
  <c r="E4934" i="1"/>
  <c r="S4934" i="1"/>
  <c r="T4934" i="1"/>
  <c r="U4934" i="1"/>
  <c r="BB4934" i="1"/>
  <c r="BD4934" i="1"/>
  <c r="CE4934" i="1"/>
  <c r="A4935" i="1"/>
  <c r="C4935" i="1"/>
  <c r="E4935" i="1"/>
  <c r="S4935" i="1"/>
  <c r="T4935" i="1"/>
  <c r="U4935" i="1"/>
  <c r="BB4935" i="1"/>
  <c r="BD4935" i="1"/>
  <c r="CE4935" i="1"/>
  <c r="A4936" i="1"/>
  <c r="C4936" i="1"/>
  <c r="E4936" i="1"/>
  <c r="S4936" i="1"/>
  <c r="T4936" i="1"/>
  <c r="U4936" i="1"/>
  <c r="BB4936" i="1"/>
  <c r="BD4936" i="1"/>
  <c r="CE4936" i="1"/>
  <c r="A4937" i="1"/>
  <c r="C4937" i="1"/>
  <c r="E4937" i="1"/>
  <c r="S4937" i="1"/>
  <c r="T4937" i="1"/>
  <c r="U4937" i="1"/>
  <c r="BB4937" i="1"/>
  <c r="BD4937" i="1"/>
  <c r="CE4937" i="1"/>
  <c r="A4938" i="1"/>
  <c r="C4938" i="1"/>
  <c r="E4938" i="1"/>
  <c r="S4938" i="1"/>
  <c r="T4938" i="1"/>
  <c r="U4938" i="1"/>
  <c r="BB4938" i="1"/>
  <c r="BD4938" i="1"/>
  <c r="CE4938" i="1"/>
  <c r="A4939" i="1"/>
  <c r="C4939" i="1"/>
  <c r="E4939" i="1"/>
  <c r="S4939" i="1"/>
  <c r="T4939" i="1"/>
  <c r="U4939" i="1"/>
  <c r="BB4939" i="1"/>
  <c r="BD4939" i="1"/>
  <c r="CE4939" i="1"/>
  <c r="A4940" i="1"/>
  <c r="C4940" i="1"/>
  <c r="E4940" i="1"/>
  <c r="S4940" i="1"/>
  <c r="T4940" i="1"/>
  <c r="U4940" i="1"/>
  <c r="BB4940" i="1"/>
  <c r="BD4940" i="1"/>
  <c r="CE4940" i="1"/>
  <c r="A4941" i="1"/>
  <c r="C4941" i="1"/>
  <c r="E4941" i="1"/>
  <c r="S4941" i="1"/>
  <c r="T4941" i="1"/>
  <c r="U4941" i="1"/>
  <c r="BB4941" i="1"/>
  <c r="BD4941" i="1"/>
  <c r="CE4941" i="1"/>
  <c r="A4942" i="1"/>
  <c r="C4942" i="1"/>
  <c r="E4942" i="1"/>
  <c r="S4942" i="1"/>
  <c r="T4942" i="1"/>
  <c r="U4942" i="1"/>
  <c r="BB4942" i="1"/>
  <c r="BD4942" i="1"/>
  <c r="CE4942" i="1"/>
  <c r="A4943" i="1"/>
  <c r="C4943" i="1"/>
  <c r="E4943" i="1"/>
  <c r="S4943" i="1"/>
  <c r="T4943" i="1"/>
  <c r="U4943" i="1"/>
  <c r="BB4943" i="1"/>
  <c r="BD4943" i="1"/>
  <c r="CE4943" i="1"/>
  <c r="A4944" i="1"/>
  <c r="C4944" i="1"/>
  <c r="E4944" i="1"/>
  <c r="S4944" i="1"/>
  <c r="T4944" i="1"/>
  <c r="U4944" i="1"/>
  <c r="BB4944" i="1"/>
  <c r="BD4944" i="1"/>
  <c r="CE4944" i="1"/>
  <c r="A4945" i="1"/>
  <c r="C4945" i="1"/>
  <c r="E4945" i="1"/>
  <c r="S4945" i="1"/>
  <c r="T4945" i="1"/>
  <c r="U4945" i="1"/>
  <c r="BB4945" i="1"/>
  <c r="BD4945" i="1"/>
  <c r="CE4945" i="1"/>
  <c r="A4946" i="1"/>
  <c r="C4946" i="1"/>
  <c r="E4946" i="1"/>
  <c r="S4946" i="1"/>
  <c r="T4946" i="1"/>
  <c r="U4946" i="1"/>
  <c r="BB4946" i="1"/>
  <c r="BD4946" i="1"/>
  <c r="CE4946" i="1"/>
  <c r="A4947" i="1"/>
  <c r="C4947" i="1"/>
  <c r="E4947" i="1"/>
  <c r="S4947" i="1"/>
  <c r="T4947" i="1"/>
  <c r="U4947" i="1"/>
  <c r="BB4947" i="1"/>
  <c r="BD4947" i="1"/>
  <c r="CE4947" i="1"/>
  <c r="A4948" i="1"/>
  <c r="C4948" i="1"/>
  <c r="E4948" i="1"/>
  <c r="S4948" i="1"/>
  <c r="T4948" i="1"/>
  <c r="U4948" i="1"/>
  <c r="BB4948" i="1"/>
  <c r="BD4948" i="1"/>
  <c r="CE4948" i="1"/>
  <c r="A4949" i="1"/>
  <c r="C4949" i="1"/>
  <c r="E4949" i="1"/>
  <c r="S4949" i="1"/>
  <c r="T4949" i="1"/>
  <c r="U4949" i="1"/>
  <c r="BB4949" i="1"/>
  <c r="BD4949" i="1"/>
  <c r="CE4949" i="1"/>
  <c r="A4950" i="1"/>
  <c r="C4950" i="1"/>
  <c r="E4950" i="1"/>
  <c r="S4950" i="1"/>
  <c r="T4950" i="1"/>
  <c r="U4950" i="1"/>
  <c r="BB4950" i="1"/>
  <c r="BD4950" i="1"/>
  <c r="CE4950" i="1"/>
  <c r="A4951" i="1"/>
  <c r="C4951" i="1"/>
  <c r="E4951" i="1"/>
  <c r="S4951" i="1"/>
  <c r="T4951" i="1"/>
  <c r="U4951" i="1"/>
  <c r="BB4951" i="1"/>
  <c r="BD4951" i="1"/>
  <c r="CE4951" i="1"/>
  <c r="A4952" i="1"/>
  <c r="C4952" i="1"/>
  <c r="E4952" i="1"/>
  <c r="S4952" i="1"/>
  <c r="T4952" i="1"/>
  <c r="U4952" i="1"/>
  <c r="BB4952" i="1"/>
  <c r="BD4952" i="1"/>
  <c r="CE4952" i="1"/>
  <c r="A4953" i="1"/>
  <c r="C4953" i="1"/>
  <c r="E4953" i="1"/>
  <c r="S4953" i="1"/>
  <c r="T4953" i="1"/>
  <c r="U4953" i="1"/>
  <c r="BB4953" i="1"/>
  <c r="BD4953" i="1"/>
  <c r="CE4953" i="1"/>
  <c r="A4954" i="1"/>
  <c r="C4954" i="1"/>
  <c r="E4954" i="1"/>
  <c r="S4954" i="1"/>
  <c r="T4954" i="1"/>
  <c r="U4954" i="1"/>
  <c r="BB4954" i="1"/>
  <c r="BD4954" i="1"/>
  <c r="CE4954" i="1"/>
  <c r="A4955" i="1"/>
  <c r="C4955" i="1"/>
  <c r="E4955" i="1"/>
  <c r="S4955" i="1"/>
  <c r="T4955" i="1"/>
  <c r="U4955" i="1"/>
  <c r="BB4955" i="1"/>
  <c r="BD4955" i="1"/>
  <c r="CE4955" i="1"/>
  <c r="A4956" i="1"/>
  <c r="C4956" i="1"/>
  <c r="E4956" i="1"/>
  <c r="S4956" i="1"/>
  <c r="T4956" i="1"/>
  <c r="U4956" i="1"/>
  <c r="BB4956" i="1"/>
  <c r="BD4956" i="1"/>
  <c r="CE4956" i="1"/>
  <c r="A4957" i="1"/>
  <c r="C4957" i="1"/>
  <c r="E4957" i="1"/>
  <c r="S4957" i="1"/>
  <c r="T4957" i="1"/>
  <c r="U4957" i="1"/>
  <c r="BB4957" i="1"/>
  <c r="BD4957" i="1"/>
  <c r="CE4957" i="1"/>
  <c r="A4958" i="1"/>
  <c r="C4958" i="1"/>
  <c r="E4958" i="1"/>
  <c r="S4958" i="1"/>
  <c r="T4958" i="1"/>
  <c r="U4958" i="1"/>
  <c r="BB4958" i="1"/>
  <c r="BD4958" i="1"/>
  <c r="CE4958" i="1"/>
  <c r="A4959" i="1"/>
  <c r="C4959" i="1"/>
  <c r="E4959" i="1"/>
  <c r="S4959" i="1"/>
  <c r="T4959" i="1"/>
  <c r="U4959" i="1"/>
  <c r="BB4959" i="1"/>
  <c r="BD4959" i="1"/>
  <c r="CE4959" i="1"/>
  <c r="A4960" i="1"/>
  <c r="C4960" i="1"/>
  <c r="E4960" i="1"/>
  <c r="S4960" i="1"/>
  <c r="T4960" i="1"/>
  <c r="U4960" i="1"/>
  <c r="BB4960" i="1"/>
  <c r="BD4960" i="1"/>
  <c r="CE4960" i="1"/>
  <c r="A4961" i="1"/>
  <c r="C4961" i="1"/>
  <c r="E4961" i="1"/>
  <c r="S4961" i="1"/>
  <c r="T4961" i="1"/>
  <c r="U4961" i="1"/>
  <c r="BB4961" i="1"/>
  <c r="BD4961" i="1"/>
  <c r="CE4961" i="1"/>
  <c r="A4962" i="1"/>
  <c r="C4962" i="1"/>
  <c r="E4962" i="1"/>
  <c r="S4962" i="1"/>
  <c r="T4962" i="1"/>
  <c r="U4962" i="1"/>
  <c r="BB4962" i="1"/>
  <c r="BD4962" i="1"/>
  <c r="CE4962" i="1"/>
  <c r="A4963" i="1"/>
  <c r="C4963" i="1"/>
  <c r="E4963" i="1"/>
  <c r="S4963" i="1"/>
  <c r="T4963" i="1"/>
  <c r="U4963" i="1"/>
  <c r="BB4963" i="1"/>
  <c r="BD4963" i="1"/>
  <c r="CE4963" i="1"/>
  <c r="A4964" i="1"/>
  <c r="C4964" i="1"/>
  <c r="E4964" i="1"/>
  <c r="S4964" i="1"/>
  <c r="T4964" i="1"/>
  <c r="U4964" i="1"/>
  <c r="BB4964" i="1"/>
  <c r="BD4964" i="1"/>
  <c r="CE4964" i="1"/>
  <c r="A4965" i="1"/>
  <c r="C4965" i="1"/>
  <c r="E4965" i="1"/>
  <c r="S4965" i="1"/>
  <c r="T4965" i="1"/>
  <c r="U4965" i="1"/>
  <c r="BB4965" i="1"/>
  <c r="BD4965" i="1"/>
  <c r="CE4965" i="1"/>
  <c r="A4966" i="1"/>
  <c r="C4966" i="1"/>
  <c r="E4966" i="1"/>
  <c r="S4966" i="1"/>
  <c r="T4966" i="1"/>
  <c r="U4966" i="1"/>
  <c r="BB4966" i="1"/>
  <c r="BD4966" i="1"/>
  <c r="CE4966" i="1"/>
  <c r="A4967" i="1"/>
  <c r="C4967" i="1"/>
  <c r="E4967" i="1"/>
  <c r="S4967" i="1"/>
  <c r="T4967" i="1"/>
  <c r="U4967" i="1"/>
  <c r="BB4967" i="1"/>
  <c r="BD4967" i="1"/>
  <c r="CE4967" i="1"/>
  <c r="A4968" i="1"/>
  <c r="C4968" i="1"/>
  <c r="E4968" i="1"/>
  <c r="S4968" i="1"/>
  <c r="T4968" i="1"/>
  <c r="U4968" i="1"/>
  <c r="BB4968" i="1"/>
  <c r="BD4968" i="1"/>
  <c r="CE4968" i="1"/>
  <c r="A4969" i="1"/>
  <c r="C4969" i="1"/>
  <c r="E4969" i="1"/>
  <c r="S4969" i="1"/>
  <c r="T4969" i="1"/>
  <c r="U4969" i="1"/>
  <c r="BB4969" i="1"/>
  <c r="BD4969" i="1"/>
  <c r="CE4969" i="1"/>
  <c r="A4970" i="1"/>
  <c r="C4970" i="1"/>
  <c r="E4970" i="1"/>
  <c r="S4970" i="1"/>
  <c r="T4970" i="1"/>
  <c r="U4970" i="1"/>
  <c r="BB4970" i="1"/>
  <c r="BD4970" i="1"/>
  <c r="CE4970" i="1"/>
  <c r="A4971" i="1"/>
  <c r="C4971" i="1"/>
  <c r="E4971" i="1"/>
  <c r="S4971" i="1"/>
  <c r="T4971" i="1"/>
  <c r="U4971" i="1"/>
  <c r="BB4971" i="1"/>
  <c r="BD4971" i="1"/>
  <c r="CE4971" i="1"/>
  <c r="A4972" i="1"/>
  <c r="C4972" i="1"/>
  <c r="E4972" i="1"/>
  <c r="S4972" i="1"/>
  <c r="T4972" i="1"/>
  <c r="U4972" i="1"/>
  <c r="BB4972" i="1"/>
  <c r="BD4972" i="1"/>
  <c r="CE4972" i="1"/>
  <c r="A4973" i="1"/>
  <c r="C4973" i="1"/>
  <c r="E4973" i="1"/>
  <c r="S4973" i="1"/>
  <c r="T4973" i="1"/>
  <c r="U4973" i="1"/>
  <c r="BB4973" i="1"/>
  <c r="BD4973" i="1"/>
  <c r="CE4973" i="1"/>
  <c r="A4974" i="1"/>
  <c r="C4974" i="1"/>
  <c r="E4974" i="1"/>
  <c r="S4974" i="1"/>
  <c r="T4974" i="1"/>
  <c r="U4974" i="1"/>
  <c r="BB4974" i="1"/>
  <c r="BD4974" i="1"/>
  <c r="CE4974" i="1"/>
  <c r="A4975" i="1"/>
  <c r="C4975" i="1"/>
  <c r="E4975" i="1"/>
  <c r="S4975" i="1"/>
  <c r="T4975" i="1"/>
  <c r="U4975" i="1"/>
  <c r="BB4975" i="1"/>
  <c r="BD4975" i="1"/>
  <c r="CE4975" i="1"/>
  <c r="A4976" i="1"/>
  <c r="C4976" i="1"/>
  <c r="E4976" i="1"/>
  <c r="S4976" i="1"/>
  <c r="T4976" i="1"/>
  <c r="U4976" i="1"/>
  <c r="BB4976" i="1"/>
  <c r="BD4976" i="1"/>
  <c r="CE4976" i="1"/>
  <c r="A4977" i="1"/>
  <c r="C4977" i="1"/>
  <c r="E4977" i="1"/>
  <c r="S4977" i="1"/>
  <c r="T4977" i="1"/>
  <c r="U4977" i="1"/>
  <c r="BB4977" i="1"/>
  <c r="BD4977" i="1"/>
  <c r="CE4977" i="1"/>
  <c r="A4978" i="1"/>
  <c r="C4978" i="1"/>
  <c r="E4978" i="1"/>
  <c r="S4978" i="1"/>
  <c r="T4978" i="1"/>
  <c r="U4978" i="1"/>
  <c r="BB4978" i="1"/>
  <c r="BD4978" i="1"/>
  <c r="CE4978" i="1"/>
  <c r="A4979" i="1"/>
  <c r="C4979" i="1"/>
  <c r="E4979" i="1"/>
  <c r="S4979" i="1"/>
  <c r="T4979" i="1"/>
  <c r="U4979" i="1"/>
  <c r="BB4979" i="1"/>
  <c r="BD4979" i="1"/>
  <c r="CE4979" i="1"/>
  <c r="A4980" i="1"/>
  <c r="C4980" i="1"/>
  <c r="E4980" i="1"/>
  <c r="S4980" i="1"/>
  <c r="T4980" i="1"/>
  <c r="U4980" i="1"/>
  <c r="BB4980" i="1"/>
  <c r="BD4980" i="1"/>
  <c r="CE4980" i="1"/>
  <c r="A4981" i="1"/>
  <c r="C4981" i="1"/>
  <c r="E4981" i="1"/>
  <c r="S4981" i="1"/>
  <c r="T4981" i="1"/>
  <c r="U4981" i="1"/>
  <c r="BB4981" i="1"/>
  <c r="BD4981" i="1"/>
  <c r="CE4981" i="1"/>
  <c r="A4982" i="1"/>
  <c r="C4982" i="1"/>
  <c r="E4982" i="1"/>
  <c r="S4982" i="1"/>
  <c r="T4982" i="1"/>
  <c r="U4982" i="1"/>
  <c r="BB4982" i="1"/>
  <c r="BD4982" i="1"/>
  <c r="CE4982" i="1"/>
  <c r="A4983" i="1"/>
  <c r="C4983" i="1"/>
  <c r="E4983" i="1"/>
  <c r="S4983" i="1"/>
  <c r="T4983" i="1"/>
  <c r="U4983" i="1"/>
  <c r="BB4983" i="1"/>
  <c r="BD4983" i="1"/>
  <c r="CE4983" i="1"/>
  <c r="A4984" i="1"/>
  <c r="C4984" i="1"/>
  <c r="E4984" i="1"/>
  <c r="S4984" i="1"/>
  <c r="T4984" i="1"/>
  <c r="U4984" i="1"/>
  <c r="BB4984" i="1"/>
  <c r="BD4984" i="1"/>
  <c r="CE4984" i="1"/>
  <c r="A4985" i="1"/>
  <c r="C4985" i="1"/>
  <c r="E4985" i="1"/>
  <c r="S4985" i="1"/>
  <c r="T4985" i="1"/>
  <c r="U4985" i="1"/>
  <c r="BB4985" i="1"/>
  <c r="BD4985" i="1"/>
  <c r="CE4985" i="1"/>
  <c r="A4986" i="1"/>
  <c r="C4986" i="1"/>
  <c r="E4986" i="1"/>
  <c r="S4986" i="1"/>
  <c r="T4986" i="1"/>
  <c r="U4986" i="1"/>
  <c r="BB4986" i="1"/>
  <c r="BD4986" i="1"/>
  <c r="CE4986" i="1"/>
  <c r="A4987" i="1"/>
  <c r="C4987" i="1"/>
  <c r="E4987" i="1"/>
  <c r="S4987" i="1"/>
  <c r="T4987" i="1"/>
  <c r="U4987" i="1"/>
  <c r="BB4987" i="1"/>
  <c r="BD4987" i="1"/>
  <c r="CE4987" i="1"/>
  <c r="A4988" i="1"/>
  <c r="C4988" i="1"/>
  <c r="E4988" i="1"/>
  <c r="S4988" i="1"/>
  <c r="T4988" i="1"/>
  <c r="U4988" i="1"/>
  <c r="BB4988" i="1"/>
  <c r="BD4988" i="1"/>
  <c r="CE4988" i="1"/>
  <c r="A4989" i="1"/>
  <c r="C4989" i="1"/>
  <c r="E4989" i="1"/>
  <c r="S4989" i="1"/>
  <c r="T4989" i="1"/>
  <c r="U4989" i="1"/>
  <c r="BB4989" i="1"/>
  <c r="BD4989" i="1"/>
  <c r="CE4989" i="1"/>
  <c r="A4990" i="1"/>
  <c r="C4990" i="1"/>
  <c r="E4990" i="1"/>
  <c r="S4990" i="1"/>
  <c r="T4990" i="1"/>
  <c r="U4990" i="1"/>
  <c r="BB4990" i="1"/>
  <c r="BD4990" i="1"/>
  <c r="CE4990" i="1"/>
  <c r="A4991" i="1"/>
  <c r="C4991" i="1"/>
  <c r="E4991" i="1"/>
  <c r="S4991" i="1"/>
  <c r="T4991" i="1"/>
  <c r="U4991" i="1"/>
  <c r="BB4991" i="1"/>
  <c r="BD4991" i="1"/>
  <c r="CE4991" i="1"/>
  <c r="A4992" i="1"/>
  <c r="C4992" i="1"/>
  <c r="E4992" i="1"/>
  <c r="S4992" i="1"/>
  <c r="T4992" i="1"/>
  <c r="U4992" i="1"/>
  <c r="BB4992" i="1"/>
  <c r="BD4992" i="1"/>
  <c r="CE4992" i="1"/>
  <c r="A4993" i="1"/>
  <c r="C4993" i="1"/>
  <c r="E4993" i="1"/>
  <c r="S4993" i="1"/>
  <c r="T4993" i="1"/>
  <c r="U4993" i="1"/>
  <c r="BB4993" i="1"/>
  <c r="BD4993" i="1"/>
  <c r="CE4993" i="1"/>
  <c r="A4994" i="1"/>
  <c r="C4994" i="1"/>
  <c r="E4994" i="1"/>
  <c r="S4994" i="1"/>
  <c r="T4994" i="1"/>
  <c r="U4994" i="1"/>
  <c r="BB4994" i="1"/>
  <c r="BD4994" i="1"/>
  <c r="CE4994" i="1"/>
  <c r="A4995" i="1"/>
  <c r="C4995" i="1"/>
  <c r="E4995" i="1"/>
  <c r="S4995" i="1"/>
  <c r="T4995" i="1"/>
  <c r="U4995" i="1"/>
  <c r="BB4995" i="1"/>
  <c r="BD4995" i="1"/>
  <c r="CE4995" i="1"/>
  <c r="A4996" i="1"/>
  <c r="C4996" i="1"/>
  <c r="E4996" i="1"/>
  <c r="S4996" i="1"/>
  <c r="T4996" i="1"/>
  <c r="U4996" i="1"/>
  <c r="BB4996" i="1"/>
  <c r="BD4996" i="1"/>
  <c r="CE4996" i="1"/>
  <c r="A4997" i="1"/>
  <c r="C4997" i="1"/>
  <c r="E4997" i="1"/>
  <c r="S4997" i="1"/>
  <c r="T4997" i="1"/>
  <c r="U4997" i="1"/>
  <c r="BB4997" i="1"/>
  <c r="BD4997" i="1"/>
  <c r="CE4997" i="1"/>
  <c r="A4998" i="1"/>
  <c r="C4998" i="1"/>
  <c r="E4998" i="1"/>
  <c r="S4998" i="1"/>
  <c r="T4998" i="1"/>
  <c r="U4998" i="1"/>
  <c r="BB4998" i="1"/>
  <c r="BD4998" i="1"/>
  <c r="CE4998" i="1"/>
  <c r="A4999" i="1"/>
  <c r="C4999" i="1"/>
  <c r="E4999" i="1"/>
  <c r="S4999" i="1"/>
  <c r="T4999" i="1"/>
  <c r="U4999" i="1"/>
  <c r="BB4999" i="1"/>
  <c r="BD4999" i="1"/>
  <c r="CE4999" i="1"/>
  <c r="A5000" i="1"/>
  <c r="C5000" i="1"/>
  <c r="E5000" i="1"/>
  <c r="S5000" i="1"/>
  <c r="T5000" i="1"/>
  <c r="U5000" i="1"/>
  <c r="BB5000" i="1"/>
  <c r="BD5000" i="1"/>
  <c r="CE5000" i="1"/>
  <c r="A5001" i="1"/>
  <c r="C5001" i="1"/>
  <c r="E5001" i="1"/>
  <c r="S5001" i="1"/>
  <c r="T5001" i="1"/>
  <c r="U5001" i="1"/>
  <c r="BB5001" i="1"/>
  <c r="BD5001" i="1"/>
  <c r="CE5001" i="1"/>
  <c r="A5002" i="1"/>
  <c r="C5002" i="1"/>
  <c r="E5002" i="1"/>
  <c r="S5002" i="1"/>
  <c r="T5002" i="1"/>
  <c r="U5002" i="1"/>
  <c r="BB5002" i="1"/>
  <c r="BD5002" i="1"/>
  <c r="CE5002" i="1"/>
  <c r="A5003" i="1"/>
  <c r="C5003" i="1"/>
  <c r="E5003" i="1"/>
  <c r="S5003" i="1"/>
  <c r="T5003" i="1"/>
  <c r="U5003" i="1"/>
  <c r="BB5003" i="1"/>
  <c r="BD5003" i="1"/>
  <c r="CE5003" i="1"/>
  <c r="A5004" i="1"/>
  <c r="C5004" i="1"/>
  <c r="E5004" i="1"/>
  <c r="S5004" i="1"/>
  <c r="T5004" i="1"/>
  <c r="U5004" i="1"/>
  <c r="BB5004" i="1"/>
  <c r="BD5004" i="1"/>
  <c r="CE5004" i="1"/>
  <c r="A5005" i="1"/>
  <c r="C5005" i="1"/>
  <c r="E5005" i="1"/>
  <c r="S5005" i="1"/>
  <c r="T5005" i="1"/>
  <c r="U5005" i="1"/>
  <c r="BB5005" i="1"/>
  <c r="BD5005" i="1"/>
  <c r="CE5005" i="1"/>
  <c r="A5006" i="1"/>
  <c r="C5006" i="1"/>
  <c r="E5006" i="1"/>
  <c r="S5006" i="1"/>
  <c r="T5006" i="1"/>
  <c r="U5006" i="1"/>
  <c r="BB5006" i="1"/>
  <c r="BD5006" i="1"/>
  <c r="CE5006" i="1"/>
  <c r="A5007" i="1"/>
  <c r="C5007" i="1"/>
  <c r="E5007" i="1"/>
  <c r="S5007" i="1"/>
  <c r="T5007" i="1"/>
  <c r="U5007" i="1"/>
  <c r="BB5007" i="1"/>
  <c r="BD5007" i="1"/>
  <c r="CE5007" i="1"/>
  <c r="A5008" i="1"/>
  <c r="C5008" i="1"/>
  <c r="E5008" i="1"/>
  <c r="S5008" i="1"/>
  <c r="T5008" i="1"/>
  <c r="U5008" i="1"/>
  <c r="BB5008" i="1"/>
  <c r="BD5008" i="1"/>
  <c r="CE5008" i="1"/>
  <c r="A5009" i="1"/>
  <c r="C5009" i="1"/>
  <c r="E5009" i="1"/>
  <c r="S5009" i="1"/>
  <c r="T5009" i="1"/>
  <c r="U5009" i="1"/>
  <c r="BB5009" i="1"/>
  <c r="BD5009" i="1"/>
  <c r="CE5009" i="1"/>
  <c r="A5010" i="1"/>
  <c r="C5010" i="1"/>
  <c r="E5010" i="1"/>
  <c r="S5010" i="1"/>
  <c r="T5010" i="1"/>
  <c r="U5010" i="1"/>
  <c r="BB5010" i="1"/>
  <c r="BD5010" i="1"/>
  <c r="CE5010" i="1"/>
  <c r="A5011" i="1"/>
  <c r="C5011" i="1"/>
  <c r="E5011" i="1"/>
  <c r="S5011" i="1"/>
  <c r="T5011" i="1"/>
  <c r="U5011" i="1"/>
  <c r="BB5011" i="1"/>
  <c r="BD5011" i="1"/>
  <c r="CE5011" i="1"/>
  <c r="A5012" i="1"/>
  <c r="C5012" i="1"/>
  <c r="E5012" i="1"/>
  <c r="S5012" i="1"/>
  <c r="T5012" i="1"/>
  <c r="U5012" i="1"/>
  <c r="BB5012" i="1"/>
  <c r="BD5012" i="1"/>
  <c r="CE5012" i="1"/>
  <c r="A5013" i="1"/>
  <c r="C5013" i="1"/>
  <c r="E5013" i="1"/>
  <c r="S5013" i="1"/>
  <c r="T5013" i="1"/>
  <c r="U5013" i="1"/>
  <c r="BB5013" i="1"/>
  <c r="BD5013" i="1"/>
  <c r="CE5013" i="1"/>
  <c r="A5014" i="1"/>
  <c r="C5014" i="1"/>
  <c r="E5014" i="1"/>
  <c r="S5014" i="1"/>
  <c r="T5014" i="1"/>
  <c r="U5014" i="1"/>
  <c r="BB5014" i="1"/>
  <c r="BD5014" i="1"/>
  <c r="CE5014" i="1"/>
  <c r="A5015" i="1"/>
  <c r="C5015" i="1"/>
  <c r="E5015" i="1"/>
  <c r="S5015" i="1"/>
  <c r="T5015" i="1"/>
  <c r="U5015" i="1"/>
  <c r="BB5015" i="1"/>
  <c r="BD5015" i="1"/>
  <c r="CE5015" i="1"/>
  <c r="A5016" i="1"/>
  <c r="C5016" i="1"/>
  <c r="E5016" i="1"/>
  <c r="S5016" i="1"/>
  <c r="T5016" i="1"/>
  <c r="U5016" i="1"/>
  <c r="BB5016" i="1"/>
  <c r="BD5016" i="1"/>
  <c r="CE5016" i="1"/>
  <c r="A5017" i="1"/>
  <c r="C5017" i="1"/>
  <c r="E5017" i="1"/>
  <c r="S5017" i="1"/>
  <c r="T5017" i="1"/>
  <c r="U5017" i="1"/>
  <c r="BB5017" i="1"/>
  <c r="BD5017" i="1"/>
  <c r="CE5017" i="1"/>
  <c r="A5018" i="1"/>
  <c r="C5018" i="1"/>
  <c r="E5018" i="1"/>
  <c r="S5018" i="1"/>
  <c r="T5018" i="1"/>
  <c r="U5018" i="1"/>
  <c r="BB5018" i="1"/>
  <c r="BD5018" i="1"/>
  <c r="CE5018" i="1"/>
  <c r="A5019" i="1"/>
  <c r="C5019" i="1"/>
  <c r="E5019" i="1"/>
  <c r="S5019" i="1"/>
  <c r="T5019" i="1"/>
  <c r="U5019" i="1"/>
  <c r="BB5019" i="1"/>
  <c r="BD5019" i="1"/>
  <c r="CE5019" i="1"/>
  <c r="A5020" i="1"/>
  <c r="C5020" i="1"/>
  <c r="E5020" i="1"/>
  <c r="S5020" i="1"/>
  <c r="T5020" i="1"/>
  <c r="U5020" i="1"/>
  <c r="BB5020" i="1"/>
  <c r="BD5020" i="1"/>
  <c r="CE5020" i="1"/>
  <c r="A5021" i="1"/>
  <c r="C5021" i="1"/>
  <c r="E5021" i="1"/>
  <c r="S5021" i="1"/>
  <c r="T5021" i="1"/>
  <c r="U5021" i="1"/>
  <c r="BB5021" i="1"/>
  <c r="BD5021" i="1"/>
  <c r="CE5021" i="1"/>
  <c r="A5022" i="1"/>
  <c r="C5022" i="1"/>
  <c r="E5022" i="1"/>
  <c r="S5022" i="1"/>
  <c r="T5022" i="1"/>
  <c r="U5022" i="1"/>
  <c r="BB5022" i="1"/>
  <c r="BD5022" i="1"/>
  <c r="CE5022" i="1"/>
  <c r="A5023" i="1"/>
  <c r="C5023" i="1"/>
  <c r="E5023" i="1"/>
  <c r="S5023" i="1"/>
  <c r="T5023" i="1"/>
  <c r="U5023" i="1"/>
  <c r="BB5023" i="1"/>
  <c r="BD5023" i="1"/>
  <c r="CE5023" i="1"/>
  <c r="A5024" i="1"/>
  <c r="C5024" i="1"/>
  <c r="E5024" i="1"/>
  <c r="S5024" i="1"/>
  <c r="T5024" i="1"/>
  <c r="U5024" i="1"/>
  <c r="BB5024" i="1"/>
  <c r="BD5024" i="1"/>
  <c r="CE5024" i="1"/>
  <c r="A5025" i="1"/>
  <c r="C5025" i="1"/>
  <c r="E5025" i="1"/>
  <c r="S5025" i="1"/>
  <c r="T5025" i="1"/>
  <c r="U5025" i="1"/>
  <c r="BB5025" i="1"/>
  <c r="BD5025" i="1"/>
  <c r="CE5025" i="1"/>
  <c r="A5026" i="1"/>
  <c r="C5026" i="1"/>
  <c r="E5026" i="1"/>
  <c r="S5026" i="1"/>
  <c r="T5026" i="1"/>
  <c r="U5026" i="1"/>
  <c r="BB5026" i="1"/>
  <c r="BD5026" i="1"/>
  <c r="CE5026" i="1"/>
  <c r="A5027" i="1"/>
  <c r="C5027" i="1"/>
  <c r="E5027" i="1"/>
  <c r="S5027" i="1"/>
  <c r="T5027" i="1"/>
  <c r="U5027" i="1"/>
  <c r="BB5027" i="1"/>
  <c r="BD5027" i="1"/>
  <c r="CE5027" i="1"/>
  <c r="A5028" i="1"/>
  <c r="C5028" i="1"/>
  <c r="E5028" i="1"/>
  <c r="S5028" i="1"/>
  <c r="T5028" i="1"/>
  <c r="U5028" i="1"/>
  <c r="BB5028" i="1"/>
  <c r="BD5028" i="1"/>
  <c r="CE5028" i="1"/>
  <c r="A5029" i="1"/>
  <c r="C5029" i="1"/>
  <c r="E5029" i="1"/>
  <c r="S5029" i="1"/>
  <c r="T5029" i="1"/>
  <c r="U5029" i="1"/>
  <c r="BB5029" i="1"/>
  <c r="BD5029" i="1"/>
  <c r="CE5029" i="1"/>
  <c r="A5030" i="1"/>
  <c r="C5030" i="1"/>
  <c r="E5030" i="1"/>
  <c r="S5030" i="1"/>
  <c r="T5030" i="1"/>
  <c r="U5030" i="1"/>
  <c r="BB5030" i="1"/>
  <c r="BD5030" i="1"/>
  <c r="CE5030" i="1"/>
  <c r="A5031" i="1"/>
  <c r="C5031" i="1"/>
  <c r="E5031" i="1"/>
  <c r="S5031" i="1"/>
  <c r="T5031" i="1"/>
  <c r="U5031" i="1"/>
  <c r="BB5031" i="1"/>
  <c r="BD5031" i="1"/>
  <c r="CE5031" i="1"/>
  <c r="A5032" i="1"/>
  <c r="C5032" i="1"/>
  <c r="E5032" i="1"/>
  <c r="S5032" i="1"/>
  <c r="T5032" i="1"/>
  <c r="U5032" i="1"/>
  <c r="BB5032" i="1"/>
  <c r="BD5032" i="1"/>
  <c r="CE5032" i="1"/>
  <c r="A5033" i="1"/>
  <c r="C5033" i="1"/>
  <c r="E5033" i="1"/>
  <c r="S5033" i="1"/>
  <c r="T5033" i="1"/>
  <c r="U5033" i="1"/>
  <c r="BB5033" i="1"/>
  <c r="BD5033" i="1"/>
  <c r="CE5033" i="1"/>
  <c r="A5034" i="1"/>
  <c r="C5034" i="1"/>
  <c r="E5034" i="1"/>
  <c r="S5034" i="1"/>
  <c r="T5034" i="1"/>
  <c r="U5034" i="1"/>
  <c r="BB5034" i="1"/>
  <c r="BD5034" i="1"/>
  <c r="CE5034" i="1"/>
  <c r="A5035" i="1"/>
  <c r="C5035" i="1"/>
  <c r="E5035" i="1"/>
  <c r="S5035" i="1"/>
  <c r="T5035" i="1"/>
  <c r="U5035" i="1"/>
  <c r="BB5035" i="1"/>
  <c r="BD5035" i="1"/>
  <c r="CE5035" i="1"/>
  <c r="A5036" i="1"/>
  <c r="C5036" i="1"/>
  <c r="E5036" i="1"/>
  <c r="S5036" i="1"/>
  <c r="T5036" i="1"/>
  <c r="U5036" i="1"/>
  <c r="BB5036" i="1"/>
  <c r="BD5036" i="1"/>
  <c r="CE5036" i="1"/>
  <c r="A5037" i="1"/>
  <c r="C5037" i="1"/>
  <c r="E5037" i="1"/>
  <c r="S5037" i="1"/>
  <c r="T5037" i="1"/>
  <c r="U5037" i="1"/>
  <c r="BB5037" i="1"/>
  <c r="BD5037" i="1"/>
  <c r="CE5037" i="1"/>
  <c r="A5038" i="1"/>
  <c r="C5038" i="1"/>
  <c r="E5038" i="1"/>
  <c r="S5038" i="1"/>
  <c r="T5038" i="1"/>
  <c r="U5038" i="1"/>
  <c r="BB5038" i="1"/>
  <c r="BD5038" i="1"/>
  <c r="CE5038" i="1"/>
  <c r="A5039" i="1"/>
  <c r="C5039" i="1"/>
  <c r="E5039" i="1"/>
  <c r="S5039" i="1"/>
  <c r="T5039" i="1"/>
  <c r="U5039" i="1"/>
  <c r="BB5039" i="1"/>
  <c r="BD5039" i="1"/>
  <c r="CE5039" i="1"/>
  <c r="A5040" i="1"/>
  <c r="C5040" i="1"/>
  <c r="E5040" i="1"/>
  <c r="S5040" i="1"/>
  <c r="T5040" i="1"/>
  <c r="U5040" i="1"/>
  <c r="BB5040" i="1"/>
  <c r="BD5040" i="1"/>
  <c r="CE5040" i="1"/>
  <c r="A5041" i="1"/>
  <c r="C5041" i="1"/>
  <c r="E5041" i="1"/>
  <c r="S5041" i="1"/>
  <c r="T5041" i="1"/>
  <c r="U5041" i="1"/>
  <c r="BB5041" i="1"/>
  <c r="BD5041" i="1"/>
  <c r="CE5041" i="1"/>
  <c r="A5042" i="1"/>
  <c r="C5042" i="1"/>
  <c r="E5042" i="1"/>
  <c r="S5042" i="1"/>
  <c r="T5042" i="1"/>
  <c r="U5042" i="1"/>
  <c r="BB5042" i="1"/>
  <c r="BD5042" i="1"/>
  <c r="CE5042" i="1"/>
  <c r="A5043" i="1"/>
  <c r="C5043" i="1"/>
  <c r="E5043" i="1"/>
  <c r="S5043" i="1"/>
  <c r="T5043" i="1"/>
  <c r="U5043" i="1"/>
  <c r="BB5043" i="1"/>
  <c r="BD5043" i="1"/>
  <c r="CE5043" i="1"/>
  <c r="A5044" i="1"/>
  <c r="C5044" i="1"/>
  <c r="E5044" i="1"/>
  <c r="S5044" i="1"/>
  <c r="T5044" i="1"/>
  <c r="U5044" i="1"/>
  <c r="BB5044" i="1"/>
  <c r="BD5044" i="1"/>
  <c r="CE5044" i="1"/>
  <c r="A5045" i="1"/>
  <c r="C5045" i="1"/>
  <c r="E5045" i="1"/>
  <c r="S5045" i="1"/>
  <c r="T5045" i="1"/>
  <c r="U5045" i="1"/>
  <c r="BB5045" i="1"/>
  <c r="BD5045" i="1"/>
  <c r="CE5045" i="1"/>
  <c r="A5046" i="1"/>
  <c r="C5046" i="1"/>
  <c r="E5046" i="1"/>
  <c r="S5046" i="1"/>
  <c r="T5046" i="1"/>
  <c r="U5046" i="1"/>
  <c r="BB5046" i="1"/>
  <c r="BD5046" i="1"/>
  <c r="CE5046" i="1"/>
  <c r="A5047" i="1"/>
  <c r="C5047" i="1"/>
  <c r="E5047" i="1"/>
  <c r="S5047" i="1"/>
  <c r="T5047" i="1"/>
  <c r="U5047" i="1"/>
  <c r="BB5047" i="1"/>
  <c r="BD5047" i="1"/>
  <c r="CE5047" i="1"/>
  <c r="A5048" i="1"/>
  <c r="C5048" i="1"/>
  <c r="E5048" i="1"/>
  <c r="S5048" i="1"/>
  <c r="T5048" i="1"/>
  <c r="U5048" i="1"/>
  <c r="BB5048" i="1"/>
  <c r="BD5048" i="1"/>
  <c r="CE5048" i="1"/>
  <c r="A5049" i="1"/>
  <c r="C5049" i="1"/>
  <c r="E5049" i="1"/>
  <c r="S5049" i="1"/>
  <c r="T5049" i="1"/>
  <c r="U5049" i="1"/>
  <c r="BB5049" i="1"/>
  <c r="BD5049" i="1"/>
  <c r="CE5049" i="1"/>
  <c r="A5050" i="1"/>
  <c r="C5050" i="1"/>
  <c r="E5050" i="1"/>
  <c r="S5050" i="1"/>
  <c r="T5050" i="1"/>
  <c r="U5050" i="1"/>
  <c r="BB5050" i="1"/>
  <c r="BD5050" i="1"/>
  <c r="CE5050" i="1"/>
  <c r="A5051" i="1"/>
  <c r="C5051" i="1"/>
  <c r="E5051" i="1"/>
  <c r="S5051" i="1"/>
  <c r="T5051" i="1"/>
  <c r="U5051" i="1"/>
  <c r="BB5051" i="1"/>
  <c r="BD5051" i="1"/>
  <c r="CE5051" i="1"/>
  <c r="A5052" i="1"/>
  <c r="C5052" i="1"/>
  <c r="E5052" i="1"/>
  <c r="S5052" i="1"/>
  <c r="T5052" i="1"/>
  <c r="U5052" i="1"/>
  <c r="BB5052" i="1"/>
  <c r="BD5052" i="1"/>
  <c r="CE5052" i="1"/>
  <c r="A5053" i="1"/>
  <c r="C5053" i="1"/>
  <c r="E5053" i="1"/>
  <c r="S5053" i="1"/>
  <c r="T5053" i="1"/>
  <c r="U5053" i="1"/>
  <c r="BB5053" i="1"/>
  <c r="BD5053" i="1"/>
  <c r="CE5053" i="1"/>
  <c r="A5054" i="1"/>
  <c r="C5054" i="1"/>
  <c r="E5054" i="1"/>
  <c r="S5054" i="1"/>
  <c r="T5054" i="1"/>
  <c r="U5054" i="1"/>
  <c r="BB5054" i="1"/>
  <c r="BD5054" i="1"/>
  <c r="CE5054" i="1"/>
  <c r="A5055" i="1"/>
  <c r="C5055" i="1"/>
  <c r="E5055" i="1"/>
  <c r="S5055" i="1"/>
  <c r="T5055" i="1"/>
  <c r="U5055" i="1"/>
  <c r="BB5055" i="1"/>
  <c r="BD5055" i="1"/>
  <c r="CE5055" i="1"/>
  <c r="A5056" i="1"/>
  <c r="C5056" i="1"/>
  <c r="E5056" i="1"/>
  <c r="S5056" i="1"/>
  <c r="T5056" i="1"/>
  <c r="U5056" i="1"/>
  <c r="BB5056" i="1"/>
  <c r="BD5056" i="1"/>
  <c r="CE5056" i="1"/>
  <c r="A5057" i="1"/>
  <c r="C5057" i="1"/>
  <c r="E5057" i="1"/>
  <c r="S5057" i="1"/>
  <c r="T5057" i="1"/>
  <c r="U5057" i="1"/>
  <c r="BB5057" i="1"/>
  <c r="BD5057" i="1"/>
  <c r="CE5057" i="1"/>
  <c r="A5058" i="1"/>
  <c r="C5058" i="1"/>
  <c r="E5058" i="1"/>
  <c r="S5058" i="1"/>
  <c r="T5058" i="1"/>
  <c r="U5058" i="1"/>
  <c r="BB5058" i="1"/>
  <c r="BD5058" i="1"/>
  <c r="CE5058" i="1"/>
  <c r="A5059" i="1"/>
  <c r="C5059" i="1"/>
  <c r="E5059" i="1"/>
  <c r="S5059" i="1"/>
  <c r="T5059" i="1"/>
  <c r="U5059" i="1"/>
  <c r="BB5059" i="1"/>
  <c r="BD5059" i="1"/>
  <c r="CE5059" i="1"/>
  <c r="A5060" i="1"/>
  <c r="C5060" i="1"/>
  <c r="E5060" i="1"/>
  <c r="S5060" i="1"/>
  <c r="T5060" i="1"/>
  <c r="U5060" i="1"/>
  <c r="BB5060" i="1"/>
  <c r="BD5060" i="1"/>
  <c r="CE5060" i="1"/>
  <c r="A5061" i="1"/>
  <c r="C5061" i="1"/>
  <c r="E5061" i="1"/>
  <c r="S5061" i="1"/>
  <c r="T5061" i="1"/>
  <c r="U5061" i="1"/>
  <c r="BB5061" i="1"/>
  <c r="BD5061" i="1"/>
  <c r="CE5061" i="1"/>
  <c r="A5062" i="1"/>
  <c r="C5062" i="1"/>
  <c r="E5062" i="1"/>
  <c r="S5062" i="1"/>
  <c r="T5062" i="1"/>
  <c r="U5062" i="1"/>
  <c r="BB5062" i="1"/>
  <c r="BD5062" i="1"/>
  <c r="CE5062" i="1"/>
  <c r="A5063" i="1"/>
  <c r="C5063" i="1"/>
  <c r="E5063" i="1"/>
  <c r="S5063" i="1"/>
  <c r="T5063" i="1"/>
  <c r="U5063" i="1"/>
  <c r="BB5063" i="1"/>
  <c r="BD5063" i="1"/>
  <c r="CE5063" i="1"/>
  <c r="A5064" i="1"/>
  <c r="C5064" i="1"/>
  <c r="E5064" i="1"/>
  <c r="S5064" i="1"/>
  <c r="T5064" i="1"/>
  <c r="U5064" i="1"/>
  <c r="BB5064" i="1"/>
  <c r="BD5064" i="1"/>
  <c r="CE5064" i="1"/>
  <c r="A5065" i="1"/>
  <c r="C5065" i="1"/>
  <c r="E5065" i="1"/>
  <c r="S5065" i="1"/>
  <c r="T5065" i="1"/>
  <c r="U5065" i="1"/>
  <c r="BB5065" i="1"/>
  <c r="BD5065" i="1"/>
  <c r="CE5065" i="1"/>
  <c r="A5066" i="1"/>
  <c r="C5066" i="1"/>
  <c r="E5066" i="1"/>
  <c r="S5066" i="1"/>
  <c r="T5066" i="1"/>
  <c r="U5066" i="1"/>
  <c r="BB5066" i="1"/>
  <c r="BD5066" i="1"/>
  <c r="CE5066" i="1"/>
  <c r="A5067" i="1"/>
  <c r="C5067" i="1"/>
  <c r="E5067" i="1"/>
  <c r="S5067" i="1"/>
  <c r="T5067" i="1"/>
  <c r="U5067" i="1"/>
  <c r="BB5067" i="1"/>
  <c r="BD5067" i="1"/>
  <c r="CE5067" i="1"/>
  <c r="A5068" i="1"/>
  <c r="C5068" i="1"/>
  <c r="E5068" i="1"/>
  <c r="S5068" i="1"/>
  <c r="T5068" i="1"/>
  <c r="U5068" i="1"/>
  <c r="BB5068" i="1"/>
  <c r="BD5068" i="1"/>
  <c r="CE5068" i="1"/>
  <c r="A5069" i="1"/>
  <c r="C5069" i="1"/>
  <c r="E5069" i="1"/>
  <c r="S5069" i="1"/>
  <c r="T5069" i="1"/>
  <c r="U5069" i="1"/>
  <c r="BB5069" i="1"/>
  <c r="BD5069" i="1"/>
  <c r="CE5069" i="1"/>
  <c r="A5070" i="1"/>
  <c r="C5070" i="1"/>
  <c r="E5070" i="1"/>
  <c r="S5070" i="1"/>
  <c r="T5070" i="1"/>
  <c r="U5070" i="1"/>
  <c r="BB5070" i="1"/>
  <c r="BD5070" i="1"/>
  <c r="CE5070" i="1"/>
  <c r="A5071" i="1"/>
  <c r="C5071" i="1"/>
  <c r="E5071" i="1"/>
  <c r="S5071" i="1"/>
  <c r="T5071" i="1"/>
  <c r="U5071" i="1"/>
  <c r="BB5071" i="1"/>
  <c r="BD5071" i="1"/>
  <c r="CE5071" i="1"/>
  <c r="A5072" i="1"/>
  <c r="C5072" i="1"/>
  <c r="E5072" i="1"/>
  <c r="S5072" i="1"/>
  <c r="T5072" i="1"/>
  <c r="U5072" i="1"/>
  <c r="BB5072" i="1"/>
  <c r="BD5072" i="1"/>
  <c r="CE5072" i="1"/>
  <c r="A5073" i="1"/>
  <c r="C5073" i="1"/>
  <c r="E5073" i="1"/>
  <c r="S5073" i="1"/>
  <c r="T5073" i="1"/>
  <c r="U5073" i="1"/>
  <c r="BB5073" i="1"/>
  <c r="BD5073" i="1"/>
  <c r="CE5073" i="1"/>
  <c r="A5074" i="1"/>
  <c r="C5074" i="1"/>
  <c r="E5074" i="1"/>
  <c r="S5074" i="1"/>
  <c r="T5074" i="1"/>
  <c r="U5074" i="1"/>
  <c r="BB5074" i="1"/>
  <c r="BD5074" i="1"/>
  <c r="CE5074" i="1"/>
  <c r="A5075" i="1"/>
  <c r="C5075" i="1"/>
  <c r="E5075" i="1"/>
  <c r="S5075" i="1"/>
  <c r="T5075" i="1"/>
  <c r="U5075" i="1"/>
  <c r="BB5075" i="1"/>
  <c r="BD5075" i="1"/>
  <c r="CE5075" i="1"/>
  <c r="A5076" i="1"/>
  <c r="C5076" i="1"/>
  <c r="E5076" i="1"/>
  <c r="S5076" i="1"/>
  <c r="T5076" i="1"/>
  <c r="U5076" i="1"/>
  <c r="BB5076" i="1"/>
  <c r="BD5076" i="1"/>
  <c r="CE5076" i="1"/>
  <c r="A5077" i="1"/>
  <c r="C5077" i="1"/>
  <c r="E5077" i="1"/>
  <c r="S5077" i="1"/>
  <c r="T5077" i="1"/>
  <c r="U5077" i="1"/>
  <c r="BB5077" i="1"/>
  <c r="BD5077" i="1"/>
  <c r="CE5077" i="1"/>
  <c r="A5078" i="1"/>
  <c r="C5078" i="1"/>
  <c r="E5078" i="1"/>
  <c r="S5078" i="1"/>
  <c r="T5078" i="1"/>
  <c r="U5078" i="1"/>
  <c r="BB5078" i="1"/>
  <c r="BD5078" i="1"/>
  <c r="CE5078" i="1"/>
  <c r="A5079" i="1"/>
  <c r="C5079" i="1"/>
  <c r="E5079" i="1"/>
  <c r="S5079" i="1"/>
  <c r="T5079" i="1"/>
  <c r="U5079" i="1"/>
  <c r="BB5079" i="1"/>
  <c r="BD5079" i="1"/>
  <c r="CE5079" i="1"/>
  <c r="A5080" i="1"/>
  <c r="C5080" i="1"/>
  <c r="E5080" i="1"/>
  <c r="S5080" i="1"/>
  <c r="T5080" i="1"/>
  <c r="U5080" i="1"/>
  <c r="BB5080" i="1"/>
  <c r="BD5080" i="1"/>
  <c r="CE5080" i="1"/>
  <c r="A5081" i="1"/>
  <c r="C5081" i="1"/>
  <c r="E5081" i="1"/>
  <c r="S5081" i="1"/>
  <c r="T5081" i="1"/>
  <c r="U5081" i="1"/>
  <c r="BB5081" i="1"/>
  <c r="BD5081" i="1"/>
  <c r="CE5081" i="1"/>
  <c r="A5082" i="1"/>
  <c r="C5082" i="1"/>
  <c r="E5082" i="1"/>
  <c r="S5082" i="1"/>
  <c r="T5082" i="1"/>
  <c r="U5082" i="1"/>
  <c r="BB5082" i="1"/>
  <c r="BD5082" i="1"/>
  <c r="CE5082" i="1"/>
  <c r="A5083" i="1"/>
  <c r="C5083" i="1"/>
  <c r="E5083" i="1"/>
  <c r="S5083" i="1"/>
  <c r="T5083" i="1"/>
  <c r="U5083" i="1"/>
  <c r="BB5083" i="1"/>
  <c r="BD5083" i="1"/>
  <c r="CE5083" i="1"/>
  <c r="A5084" i="1"/>
  <c r="C5084" i="1"/>
  <c r="E5084" i="1"/>
  <c r="S5084" i="1"/>
  <c r="T5084" i="1"/>
  <c r="U5084" i="1"/>
  <c r="BB5084" i="1"/>
  <c r="BD5084" i="1"/>
  <c r="CE5084" i="1"/>
  <c r="A5085" i="1"/>
  <c r="C5085" i="1"/>
  <c r="E5085" i="1"/>
  <c r="S5085" i="1"/>
  <c r="T5085" i="1"/>
  <c r="U5085" i="1"/>
  <c r="BB5085" i="1"/>
  <c r="BD5085" i="1"/>
  <c r="CE5085" i="1"/>
  <c r="A5086" i="1"/>
  <c r="C5086" i="1"/>
  <c r="E5086" i="1"/>
  <c r="S5086" i="1"/>
  <c r="T5086" i="1"/>
  <c r="U5086" i="1"/>
  <c r="BB5086" i="1"/>
  <c r="BD5086" i="1"/>
  <c r="CE5086" i="1"/>
  <c r="A5087" i="1"/>
  <c r="C5087" i="1"/>
  <c r="E5087" i="1"/>
  <c r="S5087" i="1"/>
  <c r="T5087" i="1"/>
  <c r="U5087" i="1"/>
  <c r="BB5087" i="1"/>
  <c r="BD5087" i="1"/>
  <c r="CE5087" i="1"/>
  <c r="A5088" i="1"/>
  <c r="C5088" i="1"/>
  <c r="E5088" i="1"/>
  <c r="S5088" i="1"/>
  <c r="T5088" i="1"/>
  <c r="U5088" i="1"/>
  <c r="BB5088" i="1"/>
  <c r="BD5088" i="1"/>
  <c r="CE5088" i="1"/>
  <c r="A5089" i="1"/>
  <c r="C5089" i="1"/>
  <c r="E5089" i="1"/>
  <c r="S5089" i="1"/>
  <c r="T5089" i="1"/>
  <c r="U5089" i="1"/>
  <c r="BB5089" i="1"/>
  <c r="BD5089" i="1"/>
  <c r="CE5089" i="1"/>
  <c r="A5090" i="1"/>
  <c r="C5090" i="1"/>
  <c r="E5090" i="1"/>
  <c r="S5090" i="1"/>
  <c r="T5090" i="1"/>
  <c r="U5090" i="1"/>
  <c r="BB5090" i="1"/>
  <c r="BD5090" i="1"/>
  <c r="CE5090" i="1"/>
  <c r="A5091" i="1"/>
  <c r="C5091" i="1"/>
  <c r="E5091" i="1"/>
  <c r="S5091" i="1"/>
  <c r="T5091" i="1"/>
  <c r="U5091" i="1"/>
  <c r="BB5091" i="1"/>
  <c r="BD5091" i="1"/>
  <c r="CE5091" i="1"/>
  <c r="A5092" i="1"/>
  <c r="C5092" i="1"/>
  <c r="E5092" i="1"/>
  <c r="S5092" i="1"/>
  <c r="T5092" i="1"/>
  <c r="U5092" i="1"/>
  <c r="BB5092" i="1"/>
  <c r="BD5092" i="1"/>
  <c r="CE5092" i="1"/>
  <c r="A5093" i="1"/>
  <c r="C5093" i="1"/>
  <c r="E5093" i="1"/>
  <c r="S5093" i="1"/>
  <c r="T5093" i="1"/>
  <c r="U5093" i="1"/>
  <c r="BB5093" i="1"/>
  <c r="BD5093" i="1"/>
  <c r="CE5093" i="1"/>
  <c r="A5094" i="1"/>
  <c r="C5094" i="1"/>
  <c r="E5094" i="1"/>
  <c r="S5094" i="1"/>
  <c r="T5094" i="1"/>
  <c r="U5094" i="1"/>
  <c r="BB5094" i="1"/>
  <c r="BD5094" i="1"/>
  <c r="CE5094" i="1"/>
  <c r="A5095" i="1"/>
  <c r="C5095" i="1"/>
  <c r="E5095" i="1"/>
  <c r="S5095" i="1"/>
  <c r="T5095" i="1"/>
  <c r="U5095" i="1"/>
  <c r="BB5095" i="1"/>
  <c r="BD5095" i="1"/>
  <c r="CE5095" i="1"/>
  <c r="A5096" i="1"/>
  <c r="C5096" i="1"/>
  <c r="E5096" i="1"/>
  <c r="S5096" i="1"/>
  <c r="T5096" i="1"/>
  <c r="U5096" i="1"/>
  <c r="BB5096" i="1"/>
  <c r="BD5096" i="1"/>
  <c r="CE5096" i="1"/>
  <c r="A5097" i="1"/>
  <c r="C5097" i="1"/>
  <c r="E5097" i="1"/>
  <c r="S5097" i="1"/>
  <c r="T5097" i="1"/>
  <c r="U5097" i="1"/>
  <c r="BB5097" i="1"/>
  <c r="BD5097" i="1"/>
  <c r="CE5097" i="1"/>
  <c r="A5098" i="1"/>
  <c r="C5098" i="1"/>
  <c r="E5098" i="1"/>
  <c r="S5098" i="1"/>
  <c r="T5098" i="1"/>
  <c r="U5098" i="1"/>
  <c r="BB5098" i="1"/>
  <c r="BD5098" i="1"/>
  <c r="CE5098" i="1"/>
  <c r="A5099" i="1"/>
  <c r="C5099" i="1"/>
  <c r="E5099" i="1"/>
  <c r="S5099" i="1"/>
  <c r="T5099" i="1"/>
  <c r="U5099" i="1"/>
  <c r="BB5099" i="1"/>
  <c r="BD5099" i="1"/>
  <c r="CE5099" i="1"/>
  <c r="A5100" i="1"/>
  <c r="C5100" i="1"/>
  <c r="E5100" i="1"/>
  <c r="S5100" i="1"/>
  <c r="T5100" i="1"/>
  <c r="U5100" i="1"/>
  <c r="BB5100" i="1"/>
  <c r="BD5100" i="1"/>
  <c r="CE5100" i="1"/>
  <c r="A5101" i="1"/>
  <c r="C5101" i="1"/>
  <c r="E5101" i="1"/>
  <c r="S5101" i="1"/>
  <c r="T5101" i="1"/>
  <c r="U5101" i="1"/>
  <c r="BB5101" i="1"/>
  <c r="BD5101" i="1"/>
  <c r="CE5101" i="1"/>
  <c r="A5102" i="1"/>
  <c r="C5102" i="1"/>
  <c r="E5102" i="1"/>
  <c r="S5102" i="1"/>
  <c r="T5102" i="1"/>
  <c r="U5102" i="1"/>
  <c r="BB5102" i="1"/>
  <c r="BD5102" i="1"/>
  <c r="CE5102" i="1"/>
  <c r="A5103" i="1"/>
  <c r="C5103" i="1"/>
  <c r="E5103" i="1"/>
  <c r="S5103" i="1"/>
  <c r="T5103" i="1"/>
  <c r="U5103" i="1"/>
  <c r="BB5103" i="1"/>
  <c r="BD5103" i="1"/>
  <c r="CE5103" i="1"/>
  <c r="A5104" i="1"/>
  <c r="C5104" i="1"/>
  <c r="E5104" i="1"/>
  <c r="S5104" i="1"/>
  <c r="T5104" i="1"/>
  <c r="U5104" i="1"/>
  <c r="BB5104" i="1"/>
  <c r="BD5104" i="1"/>
  <c r="CE5104" i="1"/>
  <c r="A5105" i="1"/>
  <c r="C5105" i="1"/>
  <c r="E5105" i="1"/>
  <c r="S5105" i="1"/>
  <c r="T5105" i="1"/>
  <c r="U5105" i="1"/>
  <c r="BB5105" i="1"/>
  <c r="BD5105" i="1"/>
  <c r="CE5105" i="1"/>
  <c r="A5106" i="1"/>
  <c r="C5106" i="1"/>
  <c r="E5106" i="1"/>
  <c r="S5106" i="1"/>
  <c r="T5106" i="1"/>
  <c r="U5106" i="1"/>
  <c r="BB5106" i="1"/>
  <c r="BD5106" i="1"/>
  <c r="CE5106" i="1"/>
  <c r="A5107" i="1"/>
  <c r="C5107" i="1"/>
  <c r="E5107" i="1"/>
  <c r="S5107" i="1"/>
  <c r="T5107" i="1"/>
  <c r="U5107" i="1"/>
  <c r="BB5107" i="1"/>
  <c r="BD5107" i="1"/>
  <c r="CE5107" i="1"/>
  <c r="A5108" i="1"/>
  <c r="C5108" i="1"/>
  <c r="E5108" i="1"/>
  <c r="S5108" i="1"/>
  <c r="T5108" i="1"/>
  <c r="U5108" i="1"/>
  <c r="BB5108" i="1"/>
  <c r="BD5108" i="1"/>
  <c r="CE5108" i="1"/>
  <c r="A5109" i="1"/>
  <c r="C5109" i="1"/>
  <c r="E5109" i="1"/>
  <c r="S5109" i="1"/>
  <c r="T5109" i="1"/>
  <c r="U5109" i="1"/>
  <c r="BB5109" i="1"/>
  <c r="BD5109" i="1"/>
  <c r="CE5109" i="1"/>
  <c r="A5110" i="1"/>
  <c r="C5110" i="1"/>
  <c r="E5110" i="1"/>
  <c r="S5110" i="1"/>
  <c r="T5110" i="1"/>
  <c r="U5110" i="1"/>
  <c r="BB5110" i="1"/>
  <c r="BD5110" i="1"/>
  <c r="CE5110" i="1"/>
  <c r="A5111" i="1"/>
  <c r="C5111" i="1"/>
  <c r="E5111" i="1"/>
  <c r="S5111" i="1"/>
  <c r="T5111" i="1"/>
  <c r="U5111" i="1"/>
  <c r="BB5111" i="1"/>
  <c r="BD5111" i="1"/>
  <c r="CE5111" i="1"/>
  <c r="A5112" i="1"/>
  <c r="C5112" i="1"/>
  <c r="E5112" i="1"/>
  <c r="S5112" i="1"/>
  <c r="T5112" i="1"/>
  <c r="U5112" i="1"/>
  <c r="BB5112" i="1"/>
  <c r="BD5112" i="1"/>
  <c r="CE5112" i="1"/>
  <c r="A5113" i="1"/>
  <c r="C5113" i="1"/>
  <c r="E5113" i="1"/>
  <c r="S5113" i="1"/>
  <c r="T5113" i="1"/>
  <c r="U5113" i="1"/>
  <c r="BB5113" i="1"/>
  <c r="BD5113" i="1"/>
  <c r="CE5113" i="1"/>
  <c r="A5114" i="1"/>
  <c r="C5114" i="1"/>
  <c r="E5114" i="1"/>
  <c r="S5114" i="1"/>
  <c r="T5114" i="1"/>
  <c r="U5114" i="1"/>
  <c r="BB5114" i="1"/>
  <c r="BD5114" i="1"/>
  <c r="CE5114" i="1"/>
  <c r="A5115" i="1"/>
  <c r="C5115" i="1"/>
  <c r="E5115" i="1"/>
  <c r="S5115" i="1"/>
  <c r="T5115" i="1"/>
  <c r="U5115" i="1"/>
  <c r="BB5115" i="1"/>
  <c r="BD5115" i="1"/>
  <c r="CE5115" i="1"/>
  <c r="A5116" i="1"/>
  <c r="C5116" i="1"/>
  <c r="E5116" i="1"/>
  <c r="S5116" i="1"/>
  <c r="T5116" i="1"/>
  <c r="U5116" i="1"/>
  <c r="BB5116" i="1"/>
  <c r="BD5116" i="1"/>
  <c r="CE5116" i="1"/>
  <c r="A5117" i="1"/>
  <c r="C5117" i="1"/>
  <c r="E5117" i="1"/>
  <c r="S5117" i="1"/>
  <c r="T5117" i="1"/>
  <c r="U5117" i="1"/>
  <c r="BB5117" i="1"/>
  <c r="BD5117" i="1"/>
  <c r="CE5117" i="1"/>
  <c r="A5118" i="1"/>
  <c r="C5118" i="1"/>
  <c r="E5118" i="1"/>
  <c r="S5118" i="1"/>
  <c r="T5118" i="1"/>
  <c r="U5118" i="1"/>
  <c r="BB5118" i="1"/>
  <c r="BD5118" i="1"/>
  <c r="CE5118" i="1"/>
  <c r="A5119" i="1"/>
  <c r="C5119" i="1"/>
  <c r="E5119" i="1"/>
  <c r="S5119" i="1"/>
  <c r="T5119" i="1"/>
  <c r="U5119" i="1"/>
  <c r="BB5119" i="1"/>
  <c r="BD5119" i="1"/>
  <c r="CE5119" i="1"/>
  <c r="A5120" i="1"/>
  <c r="C5120" i="1"/>
  <c r="E5120" i="1"/>
  <c r="S5120" i="1"/>
  <c r="T5120" i="1"/>
  <c r="U5120" i="1"/>
  <c r="BB5120" i="1"/>
  <c r="BD5120" i="1"/>
  <c r="CE5120" i="1"/>
  <c r="A5121" i="1"/>
  <c r="C5121" i="1"/>
  <c r="E5121" i="1"/>
  <c r="S5121" i="1"/>
  <c r="T5121" i="1"/>
  <c r="U5121" i="1"/>
  <c r="BB5121" i="1"/>
  <c r="BD5121" i="1"/>
  <c r="CE5121" i="1"/>
  <c r="A5122" i="1"/>
  <c r="C5122" i="1"/>
  <c r="E5122" i="1"/>
  <c r="S5122" i="1"/>
  <c r="T5122" i="1"/>
  <c r="U5122" i="1"/>
  <c r="BB5122" i="1"/>
  <c r="BD5122" i="1"/>
  <c r="CE5122" i="1"/>
  <c r="A5123" i="1"/>
  <c r="C5123" i="1"/>
  <c r="E5123" i="1"/>
  <c r="S5123" i="1"/>
  <c r="T5123" i="1"/>
  <c r="U5123" i="1"/>
  <c r="BB5123" i="1"/>
  <c r="BD5123" i="1"/>
  <c r="CE5123" i="1"/>
  <c r="A5124" i="1"/>
  <c r="C5124" i="1"/>
  <c r="E5124" i="1"/>
  <c r="S5124" i="1"/>
  <c r="T5124" i="1"/>
  <c r="U5124" i="1"/>
  <c r="BB5124" i="1"/>
  <c r="BD5124" i="1"/>
  <c r="CE5124" i="1"/>
  <c r="A5125" i="1"/>
  <c r="C5125" i="1"/>
  <c r="E5125" i="1"/>
  <c r="S5125" i="1"/>
  <c r="T5125" i="1"/>
  <c r="U5125" i="1"/>
  <c r="BB5125" i="1"/>
  <c r="BD5125" i="1"/>
  <c r="CE5125" i="1"/>
  <c r="A5126" i="1"/>
  <c r="C5126" i="1"/>
  <c r="E5126" i="1"/>
  <c r="S5126" i="1"/>
  <c r="T5126" i="1"/>
  <c r="U5126" i="1"/>
  <c r="BB5126" i="1"/>
  <c r="BD5126" i="1"/>
  <c r="CE5126" i="1"/>
  <c r="A5127" i="1"/>
  <c r="C5127" i="1"/>
  <c r="E5127" i="1"/>
  <c r="S5127" i="1"/>
  <c r="T5127" i="1"/>
  <c r="U5127" i="1"/>
  <c r="BB5127" i="1"/>
  <c r="BD5127" i="1"/>
  <c r="CE5127" i="1"/>
  <c r="A5128" i="1"/>
  <c r="C5128" i="1"/>
  <c r="E5128" i="1"/>
  <c r="S5128" i="1"/>
  <c r="T5128" i="1"/>
  <c r="U5128" i="1"/>
  <c r="BB5128" i="1"/>
  <c r="BD5128" i="1"/>
  <c r="CE5128" i="1"/>
  <c r="A5129" i="1"/>
  <c r="C5129" i="1"/>
  <c r="E5129" i="1"/>
  <c r="S5129" i="1"/>
  <c r="T5129" i="1"/>
  <c r="U5129" i="1"/>
  <c r="BB5129" i="1"/>
  <c r="BD5129" i="1"/>
  <c r="CE5129" i="1"/>
  <c r="A5130" i="1"/>
  <c r="C5130" i="1"/>
  <c r="E5130" i="1"/>
  <c r="S5130" i="1"/>
  <c r="T5130" i="1"/>
  <c r="U5130" i="1"/>
  <c r="BB5130" i="1"/>
  <c r="BD5130" i="1"/>
  <c r="CE5130" i="1"/>
  <c r="A5131" i="1"/>
  <c r="C5131" i="1"/>
  <c r="E5131" i="1"/>
  <c r="S5131" i="1"/>
  <c r="T5131" i="1"/>
  <c r="U5131" i="1"/>
  <c r="BB5131" i="1"/>
  <c r="BD5131" i="1"/>
  <c r="CE5131" i="1"/>
  <c r="A5132" i="1"/>
  <c r="C5132" i="1"/>
  <c r="E5132" i="1"/>
  <c r="S5132" i="1"/>
  <c r="T5132" i="1"/>
  <c r="U5132" i="1"/>
  <c r="BB5132" i="1"/>
  <c r="BD5132" i="1"/>
  <c r="CE5132" i="1"/>
  <c r="A5133" i="1"/>
  <c r="C5133" i="1"/>
  <c r="E5133" i="1"/>
  <c r="S5133" i="1"/>
  <c r="T5133" i="1"/>
  <c r="U5133" i="1"/>
  <c r="BB5133" i="1"/>
  <c r="BD5133" i="1"/>
  <c r="CE5133" i="1"/>
  <c r="A5134" i="1"/>
  <c r="C5134" i="1"/>
  <c r="E5134" i="1"/>
  <c r="S5134" i="1"/>
  <c r="T5134" i="1"/>
  <c r="U5134" i="1"/>
  <c r="BB5134" i="1"/>
  <c r="BD5134" i="1"/>
  <c r="CE5134" i="1"/>
  <c r="A5135" i="1"/>
  <c r="C5135" i="1"/>
  <c r="E5135" i="1"/>
  <c r="S5135" i="1"/>
  <c r="T5135" i="1"/>
  <c r="U5135" i="1"/>
  <c r="BB5135" i="1"/>
  <c r="BD5135" i="1"/>
  <c r="CE5135" i="1"/>
  <c r="A5136" i="1"/>
  <c r="C5136" i="1"/>
  <c r="E5136" i="1"/>
  <c r="S5136" i="1"/>
  <c r="T5136" i="1"/>
  <c r="U5136" i="1"/>
  <c r="BB5136" i="1"/>
  <c r="BD5136" i="1"/>
  <c r="CE5136" i="1"/>
  <c r="A5137" i="1"/>
  <c r="C5137" i="1"/>
  <c r="E5137" i="1"/>
  <c r="S5137" i="1"/>
  <c r="T5137" i="1"/>
  <c r="U5137" i="1"/>
  <c r="BB5137" i="1"/>
  <c r="BD5137" i="1"/>
  <c r="CE5137" i="1"/>
  <c r="A5138" i="1"/>
  <c r="C5138" i="1"/>
  <c r="E5138" i="1"/>
  <c r="S5138" i="1"/>
  <c r="T5138" i="1"/>
  <c r="U5138" i="1"/>
  <c r="BB5138" i="1"/>
  <c r="BD5138" i="1"/>
  <c r="CE5138" i="1"/>
  <c r="A5139" i="1"/>
  <c r="C5139" i="1"/>
  <c r="E5139" i="1"/>
  <c r="S5139" i="1"/>
  <c r="T5139" i="1"/>
  <c r="U5139" i="1"/>
  <c r="BB5139" i="1"/>
  <c r="BD5139" i="1"/>
  <c r="CE5139" i="1"/>
  <c r="A5140" i="1"/>
  <c r="C5140" i="1"/>
  <c r="E5140" i="1"/>
  <c r="S5140" i="1"/>
  <c r="T5140" i="1"/>
  <c r="U5140" i="1"/>
  <c r="BB5140" i="1"/>
  <c r="BD5140" i="1"/>
  <c r="CE5140" i="1"/>
  <c r="A5141" i="1"/>
  <c r="C5141" i="1"/>
  <c r="E5141" i="1"/>
  <c r="S5141" i="1"/>
  <c r="T5141" i="1"/>
  <c r="U5141" i="1"/>
  <c r="BB5141" i="1"/>
  <c r="BD5141" i="1"/>
  <c r="CE5141" i="1"/>
  <c r="A5142" i="1"/>
  <c r="C5142" i="1"/>
  <c r="E5142" i="1"/>
  <c r="S5142" i="1"/>
  <c r="T5142" i="1"/>
  <c r="U5142" i="1"/>
  <c r="BB5142" i="1"/>
  <c r="BD5142" i="1"/>
  <c r="CE5142" i="1"/>
  <c r="A5143" i="1"/>
  <c r="C5143" i="1"/>
  <c r="E5143" i="1"/>
  <c r="S5143" i="1"/>
  <c r="T5143" i="1"/>
  <c r="U5143" i="1"/>
  <c r="BB5143" i="1"/>
  <c r="BD5143" i="1"/>
  <c r="CE5143" i="1"/>
  <c r="A5144" i="1"/>
  <c r="C5144" i="1"/>
  <c r="E5144" i="1"/>
  <c r="S5144" i="1"/>
  <c r="T5144" i="1"/>
  <c r="U5144" i="1"/>
  <c r="BB5144" i="1"/>
  <c r="BD5144" i="1"/>
  <c r="CE5144" i="1"/>
  <c r="A5145" i="1"/>
  <c r="C5145" i="1"/>
  <c r="E5145" i="1"/>
  <c r="S5145" i="1"/>
  <c r="T5145" i="1"/>
  <c r="U5145" i="1"/>
  <c r="BB5145" i="1"/>
  <c r="BD5145" i="1"/>
  <c r="CE5145" i="1"/>
  <c r="A5146" i="1"/>
  <c r="C5146" i="1"/>
  <c r="E5146" i="1"/>
  <c r="S5146" i="1"/>
  <c r="T5146" i="1"/>
  <c r="U5146" i="1"/>
  <c r="BB5146" i="1"/>
  <c r="BD5146" i="1"/>
  <c r="CE5146" i="1"/>
  <c r="A5147" i="1"/>
  <c r="C5147" i="1"/>
  <c r="E5147" i="1"/>
  <c r="S5147" i="1"/>
  <c r="T5147" i="1"/>
  <c r="U5147" i="1"/>
  <c r="BB5147" i="1"/>
  <c r="BD5147" i="1"/>
  <c r="CE5147" i="1"/>
  <c r="A5148" i="1"/>
  <c r="C5148" i="1"/>
  <c r="E5148" i="1"/>
  <c r="S5148" i="1"/>
  <c r="T5148" i="1"/>
  <c r="U5148" i="1"/>
  <c r="BB5148" i="1"/>
  <c r="BD5148" i="1"/>
  <c r="CE5148" i="1"/>
  <c r="A5149" i="1"/>
  <c r="C5149" i="1"/>
  <c r="E5149" i="1"/>
  <c r="S5149" i="1"/>
  <c r="T5149" i="1"/>
  <c r="U5149" i="1"/>
  <c r="BB5149" i="1"/>
  <c r="BD5149" i="1"/>
  <c r="CE5149" i="1"/>
  <c r="A5150" i="1"/>
  <c r="C5150" i="1"/>
  <c r="E5150" i="1"/>
  <c r="S5150" i="1"/>
  <c r="T5150" i="1"/>
  <c r="U5150" i="1"/>
  <c r="BB5150" i="1"/>
  <c r="BD5150" i="1"/>
  <c r="CE5150" i="1"/>
  <c r="A5151" i="1"/>
  <c r="C5151" i="1"/>
  <c r="E5151" i="1"/>
  <c r="S5151" i="1"/>
  <c r="T5151" i="1"/>
  <c r="U5151" i="1"/>
  <c r="BB5151" i="1"/>
  <c r="BD5151" i="1"/>
  <c r="CE5151" i="1"/>
  <c r="A5152" i="1"/>
  <c r="C5152" i="1"/>
  <c r="E5152" i="1"/>
  <c r="S5152" i="1"/>
  <c r="T5152" i="1"/>
  <c r="U5152" i="1"/>
  <c r="BB5152" i="1"/>
  <c r="BD5152" i="1"/>
  <c r="CE5152" i="1"/>
  <c r="A5153" i="1"/>
  <c r="C5153" i="1"/>
  <c r="E5153" i="1"/>
  <c r="S5153" i="1"/>
  <c r="T5153" i="1"/>
  <c r="U5153" i="1"/>
  <c r="BB5153" i="1"/>
  <c r="BD5153" i="1"/>
  <c r="CE5153" i="1"/>
  <c r="A5154" i="1"/>
  <c r="C5154" i="1"/>
  <c r="E5154" i="1"/>
  <c r="S5154" i="1"/>
  <c r="T5154" i="1"/>
  <c r="U5154" i="1"/>
  <c r="BB5154" i="1"/>
  <c r="BD5154" i="1"/>
  <c r="CE5154" i="1"/>
  <c r="A5155" i="1"/>
  <c r="C5155" i="1"/>
  <c r="E5155" i="1"/>
  <c r="S5155" i="1"/>
  <c r="T5155" i="1"/>
  <c r="U5155" i="1"/>
  <c r="BB5155" i="1"/>
  <c r="BD5155" i="1"/>
  <c r="CE5155" i="1"/>
  <c r="A5156" i="1"/>
  <c r="C5156" i="1"/>
  <c r="E5156" i="1"/>
  <c r="S5156" i="1"/>
  <c r="T5156" i="1"/>
  <c r="U5156" i="1"/>
  <c r="BB5156" i="1"/>
  <c r="BD5156" i="1"/>
  <c r="CE5156" i="1"/>
  <c r="A5157" i="1"/>
  <c r="C5157" i="1"/>
  <c r="E5157" i="1"/>
  <c r="S5157" i="1"/>
  <c r="T5157" i="1"/>
  <c r="U5157" i="1"/>
  <c r="BB5157" i="1"/>
  <c r="BD5157" i="1"/>
  <c r="CE5157" i="1"/>
  <c r="A5158" i="1"/>
  <c r="C5158" i="1"/>
  <c r="E5158" i="1"/>
  <c r="S5158" i="1"/>
  <c r="T5158" i="1"/>
  <c r="U5158" i="1"/>
  <c r="BB5158" i="1"/>
  <c r="BD5158" i="1"/>
  <c r="CE5158" i="1"/>
  <c r="A5159" i="1"/>
  <c r="C5159" i="1"/>
  <c r="E5159" i="1"/>
  <c r="S5159" i="1"/>
  <c r="T5159" i="1"/>
  <c r="U5159" i="1"/>
  <c r="BB5159" i="1"/>
  <c r="BD5159" i="1"/>
  <c r="CE5159" i="1"/>
  <c r="A5160" i="1"/>
  <c r="C5160" i="1"/>
  <c r="E5160" i="1"/>
  <c r="S5160" i="1"/>
  <c r="T5160" i="1"/>
  <c r="U5160" i="1"/>
  <c r="BB5160" i="1"/>
  <c r="BD5160" i="1"/>
  <c r="CE5160" i="1"/>
  <c r="A5161" i="1"/>
  <c r="C5161" i="1"/>
  <c r="E5161" i="1"/>
  <c r="S5161" i="1"/>
  <c r="T5161" i="1"/>
  <c r="U5161" i="1"/>
  <c r="BB5161" i="1"/>
  <c r="BD5161" i="1"/>
  <c r="CE5161" i="1"/>
  <c r="A5162" i="1"/>
  <c r="C5162" i="1"/>
  <c r="E5162" i="1"/>
  <c r="S5162" i="1"/>
  <c r="T5162" i="1"/>
  <c r="U5162" i="1"/>
  <c r="BB5162" i="1"/>
  <c r="BD5162" i="1"/>
  <c r="CE5162" i="1"/>
  <c r="A5163" i="1"/>
  <c r="C5163" i="1"/>
  <c r="E5163" i="1"/>
  <c r="S5163" i="1"/>
  <c r="T5163" i="1"/>
  <c r="U5163" i="1"/>
  <c r="BB5163" i="1"/>
  <c r="BD5163" i="1"/>
  <c r="CE5163" i="1"/>
  <c r="A5164" i="1"/>
  <c r="C5164" i="1"/>
  <c r="E5164" i="1"/>
  <c r="S5164" i="1"/>
  <c r="T5164" i="1"/>
  <c r="U5164" i="1"/>
  <c r="BB5164" i="1"/>
  <c r="BD5164" i="1"/>
  <c r="CE5164" i="1"/>
  <c r="A5165" i="1"/>
  <c r="C5165" i="1"/>
  <c r="E5165" i="1"/>
  <c r="S5165" i="1"/>
  <c r="T5165" i="1"/>
  <c r="U5165" i="1"/>
  <c r="BB5165" i="1"/>
  <c r="BD5165" i="1"/>
  <c r="CE5165" i="1"/>
  <c r="A5166" i="1"/>
  <c r="C5166" i="1"/>
  <c r="E5166" i="1"/>
  <c r="S5166" i="1"/>
  <c r="T5166" i="1"/>
  <c r="U5166" i="1"/>
  <c r="BB5166" i="1"/>
  <c r="BD5166" i="1"/>
  <c r="CE5166" i="1"/>
  <c r="A5167" i="1"/>
  <c r="C5167" i="1"/>
  <c r="E5167" i="1"/>
  <c r="S5167" i="1"/>
  <c r="T5167" i="1"/>
  <c r="U5167" i="1"/>
  <c r="BB5167" i="1"/>
  <c r="BD5167" i="1"/>
  <c r="CE5167" i="1"/>
  <c r="A5168" i="1"/>
  <c r="C5168" i="1"/>
  <c r="E5168" i="1"/>
  <c r="S5168" i="1"/>
  <c r="T5168" i="1"/>
  <c r="U5168" i="1"/>
  <c r="BB5168" i="1"/>
  <c r="BD5168" i="1"/>
  <c r="CE5168" i="1"/>
  <c r="A5169" i="1"/>
  <c r="C5169" i="1"/>
  <c r="E5169" i="1"/>
  <c r="S5169" i="1"/>
  <c r="T5169" i="1"/>
  <c r="U5169" i="1"/>
  <c r="BB5169" i="1"/>
  <c r="BD5169" i="1"/>
  <c r="CE5169" i="1"/>
  <c r="A5170" i="1"/>
  <c r="C5170" i="1"/>
  <c r="E5170" i="1"/>
  <c r="S5170" i="1"/>
  <c r="T5170" i="1"/>
  <c r="U5170" i="1"/>
  <c r="BB5170" i="1"/>
  <c r="BD5170" i="1"/>
  <c r="CE5170" i="1"/>
  <c r="A5171" i="1"/>
  <c r="C5171" i="1"/>
  <c r="E5171" i="1"/>
  <c r="S5171" i="1"/>
  <c r="T5171" i="1"/>
  <c r="U5171" i="1"/>
  <c r="BB5171" i="1"/>
  <c r="BD5171" i="1"/>
  <c r="CE5171" i="1"/>
  <c r="A5172" i="1"/>
  <c r="C5172" i="1"/>
  <c r="E5172" i="1"/>
  <c r="S5172" i="1"/>
  <c r="T5172" i="1"/>
  <c r="U5172" i="1"/>
  <c r="BB5172" i="1"/>
  <c r="BD5172" i="1"/>
  <c r="CE5172" i="1"/>
  <c r="A5173" i="1"/>
  <c r="C5173" i="1"/>
  <c r="E5173" i="1"/>
  <c r="S5173" i="1"/>
  <c r="T5173" i="1"/>
  <c r="U5173" i="1"/>
  <c r="BB5173" i="1"/>
  <c r="BD5173" i="1"/>
  <c r="CE5173" i="1"/>
  <c r="A5174" i="1"/>
  <c r="C5174" i="1"/>
  <c r="E5174" i="1"/>
  <c r="S5174" i="1"/>
  <c r="T5174" i="1"/>
  <c r="U5174" i="1"/>
  <c r="BB5174" i="1"/>
  <c r="BD5174" i="1"/>
  <c r="CE5174" i="1"/>
  <c r="A5175" i="1"/>
  <c r="C5175" i="1"/>
  <c r="E5175" i="1"/>
  <c r="S5175" i="1"/>
  <c r="T5175" i="1"/>
  <c r="U5175" i="1"/>
  <c r="BB5175" i="1"/>
  <c r="BD5175" i="1"/>
  <c r="CE5175" i="1"/>
  <c r="A5176" i="1"/>
  <c r="C5176" i="1"/>
  <c r="E5176" i="1"/>
  <c r="S5176" i="1"/>
  <c r="T5176" i="1"/>
  <c r="U5176" i="1"/>
  <c r="BB5176" i="1"/>
  <c r="BD5176" i="1"/>
  <c r="CE5176" i="1"/>
  <c r="A5177" i="1"/>
  <c r="C5177" i="1"/>
  <c r="E5177" i="1"/>
  <c r="S5177" i="1"/>
  <c r="T5177" i="1"/>
  <c r="U5177" i="1"/>
  <c r="BB5177" i="1"/>
  <c r="BD5177" i="1"/>
  <c r="CE5177" i="1"/>
  <c r="A5178" i="1"/>
  <c r="C5178" i="1"/>
  <c r="E5178" i="1"/>
  <c r="S5178" i="1"/>
  <c r="T5178" i="1"/>
  <c r="U5178" i="1"/>
  <c r="BB5178" i="1"/>
  <c r="BD5178" i="1"/>
  <c r="CE5178" i="1"/>
  <c r="A5179" i="1"/>
  <c r="C5179" i="1"/>
  <c r="E5179" i="1"/>
  <c r="S5179" i="1"/>
  <c r="T5179" i="1"/>
  <c r="U5179" i="1"/>
  <c r="BB5179" i="1"/>
  <c r="BD5179" i="1"/>
  <c r="CE5179" i="1"/>
  <c r="A5180" i="1"/>
  <c r="C5180" i="1"/>
  <c r="E5180" i="1"/>
  <c r="S5180" i="1"/>
  <c r="T5180" i="1"/>
  <c r="U5180" i="1"/>
  <c r="BB5180" i="1"/>
  <c r="BD5180" i="1"/>
  <c r="CE5180" i="1"/>
  <c r="A5181" i="1"/>
  <c r="C5181" i="1"/>
  <c r="E5181" i="1"/>
  <c r="S5181" i="1"/>
  <c r="T5181" i="1"/>
  <c r="U5181" i="1"/>
  <c r="BB5181" i="1"/>
  <c r="BD5181" i="1"/>
  <c r="CE5181" i="1"/>
  <c r="A5182" i="1"/>
  <c r="C5182" i="1"/>
  <c r="E5182" i="1"/>
  <c r="S5182" i="1"/>
  <c r="T5182" i="1"/>
  <c r="U5182" i="1"/>
  <c r="BB5182" i="1"/>
  <c r="BD5182" i="1"/>
  <c r="CE5182" i="1"/>
  <c r="A5183" i="1"/>
  <c r="C5183" i="1"/>
  <c r="E5183" i="1"/>
  <c r="S5183" i="1"/>
  <c r="T5183" i="1"/>
  <c r="U5183" i="1"/>
  <c r="BB5183" i="1"/>
  <c r="BD5183" i="1"/>
  <c r="CE5183" i="1"/>
  <c r="A5184" i="1"/>
  <c r="C5184" i="1"/>
  <c r="E5184" i="1"/>
  <c r="S5184" i="1"/>
  <c r="T5184" i="1"/>
  <c r="U5184" i="1"/>
  <c r="BB5184" i="1"/>
  <c r="BD5184" i="1"/>
  <c r="CE5184" i="1"/>
  <c r="A5185" i="1"/>
  <c r="C5185" i="1"/>
  <c r="E5185" i="1"/>
  <c r="S5185" i="1"/>
  <c r="T5185" i="1"/>
  <c r="U5185" i="1"/>
  <c r="BB5185" i="1"/>
  <c r="BD5185" i="1"/>
  <c r="CE5185" i="1"/>
  <c r="A5186" i="1"/>
  <c r="C5186" i="1"/>
  <c r="E5186" i="1"/>
  <c r="S5186" i="1"/>
  <c r="T5186" i="1"/>
  <c r="U5186" i="1"/>
  <c r="BB5186" i="1"/>
  <c r="BD5186" i="1"/>
  <c r="CE5186" i="1"/>
  <c r="A5187" i="1"/>
  <c r="C5187" i="1"/>
  <c r="E5187" i="1"/>
  <c r="S5187" i="1"/>
  <c r="T5187" i="1"/>
  <c r="U5187" i="1"/>
  <c r="BB5187" i="1"/>
  <c r="BD5187" i="1"/>
  <c r="CE5187" i="1"/>
  <c r="A5188" i="1"/>
  <c r="C5188" i="1"/>
  <c r="E5188" i="1"/>
  <c r="S5188" i="1"/>
  <c r="T5188" i="1"/>
  <c r="U5188" i="1"/>
  <c r="BB5188" i="1"/>
  <c r="BD5188" i="1"/>
  <c r="CE5188" i="1"/>
  <c r="A5189" i="1"/>
  <c r="C5189" i="1"/>
  <c r="E5189" i="1"/>
  <c r="S5189" i="1"/>
  <c r="T5189" i="1"/>
  <c r="U5189" i="1"/>
  <c r="BB5189" i="1"/>
  <c r="BD5189" i="1"/>
  <c r="CE5189" i="1"/>
  <c r="A5190" i="1"/>
  <c r="C5190" i="1"/>
  <c r="E5190" i="1"/>
  <c r="S5190" i="1"/>
  <c r="T5190" i="1"/>
  <c r="U5190" i="1"/>
  <c r="BB5190" i="1"/>
  <c r="BD5190" i="1"/>
  <c r="CE5190" i="1"/>
  <c r="A5191" i="1"/>
  <c r="C5191" i="1"/>
  <c r="E5191" i="1"/>
  <c r="S5191" i="1"/>
  <c r="T5191" i="1"/>
  <c r="U5191" i="1"/>
  <c r="BB5191" i="1"/>
  <c r="BD5191" i="1"/>
  <c r="CE5191" i="1"/>
  <c r="A5192" i="1"/>
  <c r="C5192" i="1"/>
  <c r="E5192" i="1"/>
  <c r="S5192" i="1"/>
  <c r="T5192" i="1"/>
  <c r="U5192" i="1"/>
  <c r="BB5192" i="1"/>
  <c r="BD5192" i="1"/>
  <c r="CE5192" i="1"/>
  <c r="A5193" i="1"/>
  <c r="C5193" i="1"/>
  <c r="E5193" i="1"/>
  <c r="S5193" i="1"/>
  <c r="T5193" i="1"/>
  <c r="U5193" i="1"/>
  <c r="BB5193" i="1"/>
  <c r="BD5193" i="1"/>
  <c r="CE5193" i="1"/>
  <c r="A5194" i="1"/>
  <c r="C5194" i="1"/>
  <c r="E5194" i="1"/>
  <c r="S5194" i="1"/>
  <c r="T5194" i="1"/>
  <c r="U5194" i="1"/>
  <c r="BB5194" i="1"/>
  <c r="BD5194" i="1"/>
  <c r="CE5194" i="1"/>
  <c r="A5195" i="1"/>
  <c r="C5195" i="1"/>
  <c r="E5195" i="1"/>
  <c r="S5195" i="1"/>
  <c r="T5195" i="1"/>
  <c r="U5195" i="1"/>
  <c r="BB5195" i="1"/>
  <c r="BD5195" i="1"/>
  <c r="CE5195" i="1"/>
  <c r="A5196" i="1"/>
  <c r="C5196" i="1"/>
  <c r="E5196" i="1"/>
  <c r="S5196" i="1"/>
  <c r="T5196" i="1"/>
  <c r="U5196" i="1"/>
  <c r="BB5196" i="1"/>
  <c r="BD5196" i="1"/>
  <c r="CE5196" i="1"/>
  <c r="A5197" i="1"/>
  <c r="C5197" i="1"/>
  <c r="E5197" i="1"/>
  <c r="S5197" i="1"/>
  <c r="T5197" i="1"/>
  <c r="U5197" i="1"/>
  <c r="BB5197" i="1"/>
  <c r="BD5197" i="1"/>
  <c r="CE5197" i="1"/>
  <c r="A5198" i="1"/>
  <c r="C5198" i="1"/>
  <c r="E5198" i="1"/>
  <c r="S5198" i="1"/>
  <c r="T5198" i="1"/>
  <c r="U5198" i="1"/>
  <c r="BB5198" i="1"/>
  <c r="BD5198" i="1"/>
  <c r="CE5198" i="1"/>
  <c r="A5199" i="1"/>
  <c r="C5199" i="1"/>
  <c r="E5199" i="1"/>
  <c r="S5199" i="1"/>
  <c r="T5199" i="1"/>
  <c r="U5199" i="1"/>
  <c r="BB5199" i="1"/>
  <c r="BD5199" i="1"/>
  <c r="CE5199" i="1"/>
  <c r="A5200" i="1"/>
  <c r="C5200" i="1"/>
  <c r="E5200" i="1"/>
  <c r="S5200" i="1"/>
  <c r="T5200" i="1"/>
  <c r="U5200" i="1"/>
  <c r="BB5200" i="1"/>
  <c r="BD5200" i="1"/>
  <c r="CE5200" i="1"/>
  <c r="A5201" i="1"/>
  <c r="C5201" i="1"/>
  <c r="E5201" i="1"/>
  <c r="S5201" i="1"/>
  <c r="T5201" i="1"/>
  <c r="U5201" i="1"/>
  <c r="BB5201" i="1"/>
  <c r="BD5201" i="1"/>
  <c r="CE5201" i="1"/>
  <c r="A5202" i="1"/>
  <c r="C5202" i="1"/>
  <c r="E5202" i="1"/>
  <c r="S5202" i="1"/>
  <c r="T5202" i="1"/>
  <c r="U5202" i="1"/>
  <c r="BB5202" i="1"/>
  <c r="BD5202" i="1"/>
  <c r="CE5202" i="1"/>
  <c r="A5203" i="1"/>
  <c r="C5203" i="1"/>
  <c r="E5203" i="1"/>
  <c r="S5203" i="1"/>
  <c r="T5203" i="1"/>
  <c r="U5203" i="1"/>
  <c r="BB5203" i="1"/>
  <c r="BD5203" i="1"/>
  <c r="CE5203" i="1"/>
  <c r="A5204" i="1"/>
  <c r="C5204" i="1"/>
  <c r="E5204" i="1"/>
  <c r="S5204" i="1"/>
  <c r="T5204" i="1"/>
  <c r="U5204" i="1"/>
  <c r="BB5204" i="1"/>
  <c r="BD5204" i="1"/>
  <c r="CE5204" i="1"/>
  <c r="A5205" i="1"/>
  <c r="C5205" i="1"/>
  <c r="E5205" i="1"/>
  <c r="S5205" i="1"/>
  <c r="T5205" i="1"/>
  <c r="U5205" i="1"/>
  <c r="BB5205" i="1"/>
  <c r="BD5205" i="1"/>
  <c r="CE5205" i="1"/>
  <c r="A5206" i="1"/>
  <c r="C5206" i="1"/>
  <c r="E5206" i="1"/>
  <c r="S5206" i="1"/>
  <c r="T5206" i="1"/>
  <c r="U5206" i="1"/>
  <c r="BB5206" i="1"/>
  <c r="BD5206" i="1"/>
  <c r="CE5206" i="1"/>
  <c r="A5207" i="1"/>
  <c r="C5207" i="1"/>
  <c r="E5207" i="1"/>
  <c r="S5207" i="1"/>
  <c r="T5207" i="1"/>
  <c r="U5207" i="1"/>
  <c r="BB5207" i="1"/>
  <c r="BD5207" i="1"/>
  <c r="CE5207" i="1"/>
  <c r="A5208" i="1"/>
  <c r="C5208" i="1"/>
  <c r="E5208" i="1"/>
  <c r="S5208" i="1"/>
  <c r="T5208" i="1"/>
  <c r="U5208" i="1"/>
  <c r="BB5208" i="1"/>
  <c r="BD5208" i="1"/>
  <c r="CE5208" i="1"/>
  <c r="A5209" i="1"/>
  <c r="C5209" i="1"/>
  <c r="E5209" i="1"/>
  <c r="S5209" i="1"/>
  <c r="T5209" i="1"/>
  <c r="U5209" i="1"/>
  <c r="BB5209" i="1"/>
  <c r="BD5209" i="1"/>
  <c r="CE5209" i="1"/>
  <c r="A5210" i="1"/>
  <c r="C5210" i="1"/>
  <c r="E5210" i="1"/>
  <c r="S5210" i="1"/>
  <c r="T5210" i="1"/>
  <c r="U5210" i="1"/>
  <c r="BB5210" i="1"/>
  <c r="BD5210" i="1"/>
  <c r="CE5210" i="1"/>
  <c r="A5211" i="1"/>
  <c r="C5211" i="1"/>
  <c r="E5211" i="1"/>
  <c r="S5211" i="1"/>
  <c r="T5211" i="1"/>
  <c r="U5211" i="1"/>
  <c r="BB5211" i="1"/>
  <c r="BD5211" i="1"/>
  <c r="CE5211" i="1"/>
  <c r="A5212" i="1"/>
  <c r="C5212" i="1"/>
  <c r="E5212" i="1"/>
  <c r="S5212" i="1"/>
  <c r="T5212" i="1"/>
  <c r="U5212" i="1"/>
  <c r="BB5212" i="1"/>
  <c r="BD5212" i="1"/>
  <c r="CE5212" i="1"/>
  <c r="A5213" i="1"/>
  <c r="C5213" i="1"/>
  <c r="E5213" i="1"/>
  <c r="S5213" i="1"/>
  <c r="T5213" i="1"/>
  <c r="U5213" i="1"/>
  <c r="BB5213" i="1"/>
  <c r="BD5213" i="1"/>
  <c r="CE5213" i="1"/>
  <c r="A5214" i="1"/>
  <c r="C5214" i="1"/>
  <c r="E5214" i="1"/>
  <c r="S5214" i="1"/>
  <c r="T5214" i="1"/>
  <c r="U5214" i="1"/>
  <c r="BB5214" i="1"/>
  <c r="BD5214" i="1"/>
  <c r="CE5214" i="1"/>
  <c r="A5215" i="1"/>
  <c r="C5215" i="1"/>
  <c r="E5215" i="1"/>
  <c r="S5215" i="1"/>
  <c r="T5215" i="1"/>
  <c r="U5215" i="1"/>
  <c r="BB5215" i="1"/>
  <c r="BD5215" i="1"/>
  <c r="CE5215" i="1"/>
  <c r="A5216" i="1"/>
  <c r="C5216" i="1"/>
  <c r="E5216" i="1"/>
  <c r="S5216" i="1"/>
  <c r="T5216" i="1"/>
  <c r="U5216" i="1"/>
  <c r="BB5216" i="1"/>
  <c r="BD5216" i="1"/>
  <c r="CE5216" i="1"/>
  <c r="A5217" i="1"/>
  <c r="C5217" i="1"/>
  <c r="E5217" i="1"/>
  <c r="S5217" i="1"/>
  <c r="T5217" i="1"/>
  <c r="U5217" i="1"/>
  <c r="BB5217" i="1"/>
  <c r="BD5217" i="1"/>
  <c r="CE5217" i="1"/>
  <c r="A5218" i="1"/>
  <c r="C5218" i="1"/>
  <c r="E5218" i="1"/>
  <c r="S5218" i="1"/>
  <c r="T5218" i="1"/>
  <c r="U5218" i="1"/>
  <c r="BB5218" i="1"/>
  <c r="BD5218" i="1"/>
  <c r="CE5218" i="1"/>
  <c r="A5219" i="1"/>
  <c r="C5219" i="1"/>
  <c r="E5219" i="1"/>
  <c r="S5219" i="1"/>
  <c r="T5219" i="1"/>
  <c r="U5219" i="1"/>
  <c r="BB5219" i="1"/>
  <c r="BD5219" i="1"/>
  <c r="CE5219" i="1"/>
  <c r="A5220" i="1"/>
  <c r="C5220" i="1"/>
  <c r="E5220" i="1"/>
  <c r="S5220" i="1"/>
  <c r="T5220" i="1"/>
  <c r="U5220" i="1"/>
  <c r="BB5220" i="1"/>
  <c r="BD5220" i="1"/>
  <c r="CE5220" i="1"/>
  <c r="A5221" i="1"/>
  <c r="C5221" i="1"/>
  <c r="E5221" i="1"/>
  <c r="S5221" i="1"/>
  <c r="T5221" i="1"/>
  <c r="U5221" i="1"/>
  <c r="BB5221" i="1"/>
  <c r="BD5221" i="1"/>
  <c r="CE5221" i="1"/>
  <c r="A5222" i="1"/>
  <c r="C5222" i="1"/>
  <c r="E5222" i="1"/>
  <c r="S5222" i="1"/>
  <c r="T5222" i="1"/>
  <c r="U5222" i="1"/>
  <c r="BB5222" i="1"/>
  <c r="BD5222" i="1"/>
  <c r="CE5222" i="1"/>
  <c r="A5223" i="1"/>
  <c r="C5223" i="1"/>
  <c r="E5223" i="1"/>
  <c r="S5223" i="1"/>
  <c r="T5223" i="1"/>
  <c r="U5223" i="1"/>
  <c r="BB5223" i="1"/>
  <c r="BD5223" i="1"/>
  <c r="CE5223" i="1"/>
  <c r="A5224" i="1"/>
  <c r="C5224" i="1"/>
  <c r="E5224" i="1"/>
  <c r="S5224" i="1"/>
  <c r="T5224" i="1"/>
  <c r="U5224" i="1"/>
  <c r="BB5224" i="1"/>
  <c r="BD5224" i="1"/>
  <c r="CE5224" i="1"/>
  <c r="A5225" i="1"/>
  <c r="C5225" i="1"/>
  <c r="E5225" i="1"/>
  <c r="S5225" i="1"/>
  <c r="T5225" i="1"/>
  <c r="U5225" i="1"/>
  <c r="BB5225" i="1"/>
  <c r="BD5225" i="1"/>
  <c r="CE5225" i="1"/>
  <c r="A5226" i="1"/>
  <c r="C5226" i="1"/>
  <c r="E5226" i="1"/>
  <c r="S5226" i="1"/>
  <c r="T5226" i="1"/>
  <c r="U5226" i="1"/>
  <c r="BB5226" i="1"/>
  <c r="BD5226" i="1"/>
  <c r="CE5226" i="1"/>
  <c r="A5227" i="1"/>
  <c r="C5227" i="1"/>
  <c r="E5227" i="1"/>
  <c r="S5227" i="1"/>
  <c r="T5227" i="1"/>
  <c r="U5227" i="1"/>
  <c r="BB5227" i="1"/>
  <c r="BD5227" i="1"/>
  <c r="CE5227" i="1"/>
  <c r="A5228" i="1"/>
  <c r="C5228" i="1"/>
  <c r="E5228" i="1"/>
  <c r="S5228" i="1"/>
  <c r="T5228" i="1"/>
  <c r="U5228" i="1"/>
  <c r="BB5228" i="1"/>
  <c r="BD5228" i="1"/>
  <c r="CE5228" i="1"/>
  <c r="A5229" i="1"/>
  <c r="C5229" i="1"/>
  <c r="E5229" i="1"/>
  <c r="S5229" i="1"/>
  <c r="T5229" i="1"/>
  <c r="U5229" i="1"/>
  <c r="BB5229" i="1"/>
  <c r="BD5229" i="1"/>
  <c r="CE5229" i="1"/>
  <c r="A5230" i="1"/>
  <c r="C5230" i="1"/>
  <c r="E5230" i="1"/>
  <c r="S5230" i="1"/>
  <c r="T5230" i="1"/>
  <c r="U5230" i="1"/>
  <c r="BB5230" i="1"/>
  <c r="BD5230" i="1"/>
  <c r="CE5230" i="1"/>
  <c r="A5231" i="1"/>
  <c r="C5231" i="1"/>
  <c r="E5231" i="1"/>
  <c r="S5231" i="1"/>
  <c r="T5231" i="1"/>
  <c r="U5231" i="1"/>
  <c r="BB5231" i="1"/>
  <c r="BD5231" i="1"/>
  <c r="CE5231" i="1"/>
  <c r="A5232" i="1"/>
  <c r="C5232" i="1"/>
  <c r="E5232" i="1"/>
  <c r="S5232" i="1"/>
  <c r="T5232" i="1"/>
  <c r="U5232" i="1"/>
  <c r="BB5232" i="1"/>
  <c r="BD5232" i="1"/>
  <c r="CE5232" i="1"/>
  <c r="A5233" i="1"/>
  <c r="C5233" i="1"/>
  <c r="E5233" i="1"/>
  <c r="S5233" i="1"/>
  <c r="T5233" i="1"/>
  <c r="U5233" i="1"/>
  <c r="BB5233" i="1"/>
  <c r="BD5233" i="1"/>
  <c r="CE5233" i="1"/>
  <c r="A5234" i="1"/>
  <c r="C5234" i="1"/>
  <c r="E5234" i="1"/>
  <c r="S5234" i="1"/>
  <c r="T5234" i="1"/>
  <c r="U5234" i="1"/>
  <c r="BB5234" i="1"/>
  <c r="BD5234" i="1"/>
  <c r="CE5234" i="1"/>
  <c r="A5235" i="1"/>
  <c r="C5235" i="1"/>
  <c r="E5235" i="1"/>
  <c r="S5235" i="1"/>
  <c r="T5235" i="1"/>
  <c r="U5235" i="1"/>
  <c r="BB5235" i="1"/>
  <c r="BD5235" i="1"/>
  <c r="CE5235" i="1"/>
  <c r="A5236" i="1"/>
  <c r="C5236" i="1"/>
  <c r="E5236" i="1"/>
  <c r="S5236" i="1"/>
  <c r="T5236" i="1"/>
  <c r="U5236" i="1"/>
  <c r="BB5236" i="1"/>
  <c r="BD5236" i="1"/>
  <c r="CE5236" i="1"/>
  <c r="A5237" i="1"/>
  <c r="C5237" i="1"/>
  <c r="E5237" i="1"/>
  <c r="S5237" i="1"/>
  <c r="T5237" i="1"/>
  <c r="U5237" i="1"/>
  <c r="BB5237" i="1"/>
  <c r="BD5237" i="1"/>
  <c r="CE5237" i="1"/>
  <c r="A5238" i="1"/>
  <c r="C5238" i="1"/>
  <c r="E5238" i="1"/>
  <c r="S5238" i="1"/>
  <c r="T5238" i="1"/>
  <c r="U5238" i="1"/>
  <c r="BB5238" i="1"/>
  <c r="BD5238" i="1"/>
  <c r="CE5238" i="1"/>
  <c r="A5239" i="1"/>
  <c r="C5239" i="1"/>
  <c r="E5239" i="1"/>
  <c r="S5239" i="1"/>
  <c r="T5239" i="1"/>
  <c r="U5239" i="1"/>
  <c r="BB5239" i="1"/>
  <c r="BD5239" i="1"/>
  <c r="CE5239" i="1"/>
  <c r="A5240" i="1"/>
  <c r="C5240" i="1"/>
  <c r="E5240" i="1"/>
  <c r="S5240" i="1"/>
  <c r="T5240" i="1"/>
  <c r="U5240" i="1"/>
  <c r="BB5240" i="1"/>
  <c r="BD5240" i="1"/>
  <c r="CE5240" i="1"/>
  <c r="A5241" i="1"/>
  <c r="C5241" i="1"/>
  <c r="E5241" i="1"/>
  <c r="S5241" i="1"/>
  <c r="T5241" i="1"/>
  <c r="U5241" i="1"/>
  <c r="BB5241" i="1"/>
  <c r="BD5241" i="1"/>
  <c r="CE5241" i="1"/>
  <c r="A5242" i="1"/>
  <c r="C5242" i="1"/>
  <c r="E5242" i="1"/>
  <c r="S5242" i="1"/>
  <c r="T5242" i="1"/>
  <c r="U5242" i="1"/>
  <c r="BB5242" i="1"/>
  <c r="BD5242" i="1"/>
  <c r="CE5242" i="1"/>
  <c r="A5243" i="1"/>
  <c r="C5243" i="1"/>
  <c r="E5243" i="1"/>
  <c r="S5243" i="1"/>
  <c r="T5243" i="1"/>
  <c r="U5243" i="1"/>
  <c r="BB5243" i="1"/>
  <c r="BD5243" i="1"/>
  <c r="CE5243" i="1"/>
  <c r="A5244" i="1"/>
  <c r="C5244" i="1"/>
  <c r="E5244" i="1"/>
  <c r="S5244" i="1"/>
  <c r="T5244" i="1"/>
  <c r="U5244" i="1"/>
  <c r="BB5244" i="1"/>
  <c r="BD5244" i="1"/>
  <c r="CE5244" i="1"/>
  <c r="A5245" i="1"/>
  <c r="C5245" i="1"/>
  <c r="E5245" i="1"/>
  <c r="S5245" i="1"/>
  <c r="T5245" i="1"/>
  <c r="U5245" i="1"/>
  <c r="BB5245" i="1"/>
  <c r="BD5245" i="1"/>
  <c r="CE5245" i="1"/>
  <c r="A5246" i="1"/>
  <c r="C5246" i="1"/>
  <c r="E5246" i="1"/>
  <c r="S5246" i="1"/>
  <c r="T5246" i="1"/>
  <c r="U5246" i="1"/>
  <c r="BB5246" i="1"/>
  <c r="BD5246" i="1"/>
  <c r="CE5246" i="1"/>
  <c r="A5247" i="1"/>
  <c r="C5247" i="1"/>
  <c r="E5247" i="1"/>
  <c r="S5247" i="1"/>
  <c r="T5247" i="1"/>
  <c r="U5247" i="1"/>
  <c r="BB5247" i="1"/>
  <c r="BD5247" i="1"/>
  <c r="CE5247" i="1"/>
  <c r="A5248" i="1"/>
  <c r="C5248" i="1"/>
  <c r="E5248" i="1"/>
  <c r="S5248" i="1"/>
  <c r="T5248" i="1"/>
  <c r="U5248" i="1"/>
  <c r="BB5248" i="1"/>
  <c r="BD5248" i="1"/>
  <c r="CE5248" i="1"/>
  <c r="A5249" i="1"/>
  <c r="C5249" i="1"/>
  <c r="E5249" i="1"/>
  <c r="S5249" i="1"/>
  <c r="T5249" i="1"/>
  <c r="U5249" i="1"/>
  <c r="BB5249" i="1"/>
  <c r="BD5249" i="1"/>
  <c r="CE5249" i="1"/>
  <c r="A5250" i="1"/>
  <c r="C5250" i="1"/>
  <c r="E5250" i="1"/>
  <c r="S5250" i="1"/>
  <c r="T5250" i="1"/>
  <c r="U5250" i="1"/>
  <c r="BB5250" i="1"/>
  <c r="BD5250" i="1"/>
  <c r="CE5250" i="1"/>
  <c r="A5251" i="1"/>
  <c r="C5251" i="1"/>
  <c r="E5251" i="1"/>
  <c r="S5251" i="1"/>
  <c r="T5251" i="1"/>
  <c r="U5251" i="1"/>
  <c r="BB5251" i="1"/>
  <c r="BD5251" i="1"/>
  <c r="CE5251" i="1"/>
  <c r="A5252" i="1"/>
  <c r="C5252" i="1"/>
  <c r="E5252" i="1"/>
  <c r="S5252" i="1"/>
  <c r="T5252" i="1"/>
  <c r="U5252" i="1"/>
  <c r="BB5252" i="1"/>
  <c r="BD5252" i="1"/>
  <c r="CE5252" i="1"/>
  <c r="A5253" i="1"/>
  <c r="C5253" i="1"/>
  <c r="E5253" i="1"/>
  <c r="S5253" i="1"/>
  <c r="T5253" i="1"/>
  <c r="U5253" i="1"/>
  <c r="BB5253" i="1"/>
  <c r="BD5253" i="1"/>
  <c r="CE5253" i="1"/>
  <c r="A5254" i="1"/>
  <c r="C5254" i="1"/>
  <c r="E5254" i="1"/>
  <c r="S5254" i="1"/>
  <c r="T5254" i="1"/>
  <c r="U5254" i="1"/>
  <c r="BB5254" i="1"/>
  <c r="BD5254" i="1"/>
  <c r="CE5254" i="1"/>
  <c r="A5255" i="1"/>
  <c r="C5255" i="1"/>
  <c r="E5255" i="1"/>
  <c r="S5255" i="1"/>
  <c r="T5255" i="1"/>
  <c r="U5255" i="1"/>
  <c r="BB5255" i="1"/>
  <c r="BD5255" i="1"/>
  <c r="CE5255" i="1"/>
  <c r="A5256" i="1"/>
  <c r="C5256" i="1"/>
  <c r="E5256" i="1"/>
  <c r="S5256" i="1"/>
  <c r="T5256" i="1"/>
  <c r="U5256" i="1"/>
  <c r="BB5256" i="1"/>
  <c r="BD5256" i="1"/>
  <c r="CE5256" i="1"/>
  <c r="A5257" i="1"/>
  <c r="C5257" i="1"/>
  <c r="E5257" i="1"/>
  <c r="S5257" i="1"/>
  <c r="T5257" i="1"/>
  <c r="U5257" i="1"/>
  <c r="BB5257" i="1"/>
  <c r="BD5257" i="1"/>
  <c r="CE5257" i="1"/>
  <c r="A5258" i="1"/>
  <c r="C5258" i="1"/>
  <c r="E5258" i="1"/>
  <c r="S5258" i="1"/>
  <c r="T5258" i="1"/>
  <c r="U5258" i="1"/>
  <c r="BB5258" i="1"/>
  <c r="BD5258" i="1"/>
  <c r="CE5258" i="1"/>
  <c r="A5259" i="1"/>
  <c r="C5259" i="1"/>
  <c r="E5259" i="1"/>
  <c r="S5259" i="1"/>
  <c r="T5259" i="1"/>
  <c r="U5259" i="1"/>
  <c r="BB5259" i="1"/>
  <c r="BD5259" i="1"/>
  <c r="CE5259" i="1"/>
  <c r="A5260" i="1"/>
  <c r="C5260" i="1"/>
  <c r="E5260" i="1"/>
  <c r="S5260" i="1"/>
  <c r="T5260" i="1"/>
  <c r="U5260" i="1"/>
  <c r="BB5260" i="1"/>
  <c r="BD5260" i="1"/>
  <c r="CE5260" i="1"/>
  <c r="A5261" i="1"/>
  <c r="C5261" i="1"/>
  <c r="E5261" i="1"/>
  <c r="S5261" i="1"/>
  <c r="T5261" i="1"/>
  <c r="U5261" i="1"/>
  <c r="BB5261" i="1"/>
  <c r="BD5261" i="1"/>
  <c r="CE5261" i="1"/>
  <c r="A5262" i="1"/>
  <c r="C5262" i="1"/>
  <c r="E5262" i="1"/>
  <c r="S5262" i="1"/>
  <c r="T5262" i="1"/>
  <c r="U5262" i="1"/>
  <c r="BB5262" i="1"/>
  <c r="BD5262" i="1"/>
  <c r="CE5262" i="1"/>
  <c r="A5263" i="1"/>
  <c r="C5263" i="1"/>
  <c r="E5263" i="1"/>
  <c r="S5263" i="1"/>
  <c r="T5263" i="1"/>
  <c r="U5263" i="1"/>
  <c r="BB5263" i="1"/>
  <c r="BD5263" i="1"/>
  <c r="CE5263" i="1"/>
  <c r="A5264" i="1"/>
  <c r="C5264" i="1"/>
  <c r="E5264" i="1"/>
  <c r="S5264" i="1"/>
  <c r="T5264" i="1"/>
  <c r="U5264" i="1"/>
  <c r="BB5264" i="1"/>
  <c r="BD5264" i="1"/>
  <c r="CE5264" i="1"/>
  <c r="A5265" i="1"/>
  <c r="C5265" i="1"/>
  <c r="E5265" i="1"/>
  <c r="S5265" i="1"/>
  <c r="T5265" i="1"/>
  <c r="U5265" i="1"/>
  <c r="BB5265" i="1"/>
  <c r="BD5265" i="1"/>
  <c r="CE5265" i="1"/>
  <c r="A5266" i="1"/>
  <c r="C5266" i="1"/>
  <c r="E5266" i="1"/>
  <c r="S5266" i="1"/>
  <c r="T5266" i="1"/>
  <c r="U5266" i="1"/>
  <c r="BB5266" i="1"/>
  <c r="BD5266" i="1"/>
  <c r="CE5266" i="1"/>
  <c r="A5267" i="1"/>
  <c r="C5267" i="1"/>
  <c r="E5267" i="1"/>
  <c r="S5267" i="1"/>
  <c r="T5267" i="1"/>
  <c r="U5267" i="1"/>
  <c r="BB5267" i="1"/>
  <c r="BD5267" i="1"/>
  <c r="CE5267" i="1"/>
  <c r="A5268" i="1"/>
  <c r="C5268" i="1"/>
  <c r="E5268" i="1"/>
  <c r="S5268" i="1"/>
  <c r="T5268" i="1"/>
  <c r="U5268" i="1"/>
  <c r="BB5268" i="1"/>
  <c r="BD5268" i="1"/>
  <c r="CE5268" i="1"/>
  <c r="A5269" i="1"/>
  <c r="C5269" i="1"/>
  <c r="E5269" i="1"/>
  <c r="S5269" i="1"/>
  <c r="T5269" i="1"/>
  <c r="U5269" i="1"/>
  <c r="BB5269" i="1"/>
  <c r="BD5269" i="1"/>
  <c r="CE5269" i="1"/>
  <c r="A5270" i="1"/>
  <c r="C5270" i="1"/>
  <c r="E5270" i="1"/>
  <c r="S5270" i="1"/>
  <c r="T5270" i="1"/>
  <c r="U5270" i="1"/>
  <c r="BB5270" i="1"/>
  <c r="BD5270" i="1"/>
  <c r="CE5270" i="1"/>
  <c r="A5271" i="1"/>
  <c r="C5271" i="1"/>
  <c r="E5271" i="1"/>
  <c r="S5271" i="1"/>
  <c r="T5271" i="1"/>
  <c r="U5271" i="1"/>
  <c r="BB5271" i="1"/>
  <c r="BD5271" i="1"/>
  <c r="CE5271" i="1"/>
  <c r="A5272" i="1"/>
  <c r="C5272" i="1"/>
  <c r="E5272" i="1"/>
  <c r="S5272" i="1"/>
  <c r="T5272" i="1"/>
  <c r="U5272" i="1"/>
  <c r="BB5272" i="1"/>
  <c r="BD5272" i="1"/>
  <c r="CE5272" i="1"/>
  <c r="A5273" i="1"/>
  <c r="C5273" i="1"/>
  <c r="E5273" i="1"/>
  <c r="S5273" i="1"/>
  <c r="T5273" i="1"/>
  <c r="U5273" i="1"/>
  <c r="BB5273" i="1"/>
  <c r="BD5273" i="1"/>
  <c r="CE5273" i="1"/>
  <c r="A5274" i="1"/>
  <c r="C5274" i="1"/>
  <c r="E5274" i="1"/>
  <c r="S5274" i="1"/>
  <c r="T5274" i="1"/>
  <c r="U5274" i="1"/>
  <c r="BB5274" i="1"/>
  <c r="BD5274" i="1"/>
  <c r="CE5274" i="1"/>
  <c r="A5275" i="1"/>
  <c r="C5275" i="1"/>
  <c r="E5275" i="1"/>
  <c r="S5275" i="1"/>
  <c r="T5275" i="1"/>
  <c r="U5275" i="1"/>
  <c r="BB5275" i="1"/>
  <c r="BD5275" i="1"/>
  <c r="CE5275" i="1"/>
  <c r="A5276" i="1"/>
  <c r="C5276" i="1"/>
  <c r="E5276" i="1"/>
  <c r="S5276" i="1"/>
  <c r="T5276" i="1"/>
  <c r="U5276" i="1"/>
  <c r="BB5276" i="1"/>
  <c r="BD5276" i="1"/>
  <c r="CE5276" i="1"/>
  <c r="A5277" i="1"/>
  <c r="C5277" i="1"/>
  <c r="E5277" i="1"/>
  <c r="S5277" i="1"/>
  <c r="T5277" i="1"/>
  <c r="U5277" i="1"/>
  <c r="BB5277" i="1"/>
  <c r="BD5277" i="1"/>
  <c r="CE5277" i="1"/>
  <c r="A5278" i="1"/>
  <c r="C5278" i="1"/>
  <c r="E5278" i="1"/>
  <c r="S5278" i="1"/>
  <c r="T5278" i="1"/>
  <c r="U5278" i="1"/>
  <c r="BB5278" i="1"/>
  <c r="BD5278" i="1"/>
  <c r="CE5278" i="1"/>
  <c r="A5279" i="1"/>
  <c r="C5279" i="1"/>
  <c r="E5279" i="1"/>
  <c r="S5279" i="1"/>
  <c r="T5279" i="1"/>
  <c r="U5279" i="1"/>
  <c r="BB5279" i="1"/>
  <c r="BD5279" i="1"/>
  <c r="CE5279" i="1"/>
  <c r="A5280" i="1"/>
  <c r="C5280" i="1"/>
  <c r="E5280" i="1"/>
  <c r="S5280" i="1"/>
  <c r="T5280" i="1"/>
  <c r="U5280" i="1"/>
  <c r="BB5280" i="1"/>
  <c r="BD5280" i="1"/>
  <c r="CE5280" i="1"/>
  <c r="A5281" i="1"/>
  <c r="C5281" i="1"/>
  <c r="E5281" i="1"/>
  <c r="S5281" i="1"/>
  <c r="T5281" i="1"/>
  <c r="U5281" i="1"/>
  <c r="BB5281" i="1"/>
  <c r="BD5281" i="1"/>
  <c r="CE5281" i="1"/>
  <c r="A5282" i="1"/>
  <c r="C5282" i="1"/>
  <c r="E5282" i="1"/>
  <c r="S5282" i="1"/>
  <c r="T5282" i="1"/>
  <c r="U5282" i="1"/>
  <c r="BB5282" i="1"/>
  <c r="BD5282" i="1"/>
  <c r="CE5282" i="1"/>
  <c r="A5283" i="1"/>
  <c r="C5283" i="1"/>
  <c r="E5283" i="1"/>
  <c r="S5283" i="1"/>
  <c r="T5283" i="1"/>
  <c r="U5283" i="1"/>
  <c r="BB5283" i="1"/>
  <c r="BD5283" i="1"/>
  <c r="CE5283" i="1"/>
  <c r="A5284" i="1"/>
  <c r="C5284" i="1"/>
  <c r="E5284" i="1"/>
  <c r="S5284" i="1"/>
  <c r="T5284" i="1"/>
  <c r="U5284" i="1"/>
  <c r="BB5284" i="1"/>
  <c r="BD5284" i="1"/>
  <c r="CE5284" i="1"/>
  <c r="A5285" i="1"/>
  <c r="C5285" i="1"/>
  <c r="E5285" i="1"/>
  <c r="S5285" i="1"/>
  <c r="T5285" i="1"/>
  <c r="U5285" i="1"/>
  <c r="BB5285" i="1"/>
  <c r="BD5285" i="1"/>
  <c r="CE5285" i="1"/>
  <c r="A5286" i="1"/>
  <c r="C5286" i="1"/>
  <c r="E5286" i="1"/>
  <c r="S5286" i="1"/>
  <c r="T5286" i="1"/>
  <c r="U5286" i="1"/>
  <c r="BB5286" i="1"/>
  <c r="BD5286" i="1"/>
  <c r="CE5286" i="1"/>
  <c r="A5287" i="1"/>
  <c r="C5287" i="1"/>
  <c r="E5287" i="1"/>
  <c r="S5287" i="1"/>
  <c r="T5287" i="1"/>
  <c r="U5287" i="1"/>
  <c r="BB5287" i="1"/>
  <c r="BD5287" i="1"/>
  <c r="CE5287" i="1"/>
  <c r="A5288" i="1"/>
  <c r="C5288" i="1"/>
  <c r="E5288" i="1"/>
  <c r="S5288" i="1"/>
  <c r="T5288" i="1"/>
  <c r="U5288" i="1"/>
  <c r="BB5288" i="1"/>
  <c r="BD5288" i="1"/>
  <c r="CE5288" i="1"/>
  <c r="A5289" i="1"/>
  <c r="C5289" i="1"/>
  <c r="E5289" i="1"/>
  <c r="S5289" i="1"/>
  <c r="T5289" i="1"/>
  <c r="U5289" i="1"/>
  <c r="BB5289" i="1"/>
  <c r="BD5289" i="1"/>
  <c r="CE5289" i="1"/>
  <c r="A5290" i="1"/>
  <c r="C5290" i="1"/>
  <c r="E5290" i="1"/>
  <c r="S5290" i="1"/>
  <c r="T5290" i="1"/>
  <c r="U5290" i="1"/>
  <c r="BB5290" i="1"/>
  <c r="BD5290" i="1"/>
  <c r="CE5290" i="1"/>
  <c r="A5291" i="1"/>
  <c r="C5291" i="1"/>
  <c r="E5291" i="1"/>
  <c r="S5291" i="1"/>
  <c r="T5291" i="1"/>
  <c r="U5291" i="1"/>
  <c r="BB5291" i="1"/>
  <c r="BD5291" i="1"/>
  <c r="CE5291" i="1"/>
  <c r="A5292" i="1"/>
  <c r="C5292" i="1"/>
  <c r="E5292" i="1"/>
  <c r="S5292" i="1"/>
  <c r="T5292" i="1"/>
  <c r="U5292" i="1"/>
  <c r="BB5292" i="1"/>
  <c r="BD5292" i="1"/>
  <c r="CE5292" i="1"/>
  <c r="A5293" i="1"/>
  <c r="C5293" i="1"/>
  <c r="E5293" i="1"/>
  <c r="S5293" i="1"/>
  <c r="T5293" i="1"/>
  <c r="U5293" i="1"/>
  <c r="BB5293" i="1"/>
  <c r="BD5293" i="1"/>
  <c r="CE5293" i="1"/>
  <c r="A5294" i="1"/>
  <c r="C5294" i="1"/>
  <c r="E5294" i="1"/>
  <c r="S5294" i="1"/>
  <c r="T5294" i="1"/>
  <c r="U5294" i="1"/>
  <c r="BB5294" i="1"/>
  <c r="BD5294" i="1"/>
  <c r="CE5294" i="1"/>
  <c r="A5295" i="1"/>
  <c r="C5295" i="1"/>
  <c r="E5295" i="1"/>
  <c r="S5295" i="1"/>
  <c r="T5295" i="1"/>
  <c r="U5295" i="1"/>
  <c r="BB5295" i="1"/>
  <c r="BD5295" i="1"/>
  <c r="CE5295" i="1"/>
  <c r="A5296" i="1"/>
  <c r="C5296" i="1"/>
  <c r="E5296" i="1"/>
  <c r="S5296" i="1"/>
  <c r="T5296" i="1"/>
  <c r="U5296" i="1"/>
  <c r="BB5296" i="1"/>
  <c r="BD5296" i="1"/>
  <c r="CE5296" i="1"/>
  <c r="A5297" i="1"/>
  <c r="C5297" i="1"/>
  <c r="E5297" i="1"/>
  <c r="S5297" i="1"/>
  <c r="T5297" i="1"/>
  <c r="U5297" i="1"/>
  <c r="BB5297" i="1"/>
  <c r="BD5297" i="1"/>
  <c r="CE5297" i="1"/>
  <c r="A5298" i="1"/>
  <c r="C5298" i="1"/>
  <c r="E5298" i="1"/>
  <c r="S5298" i="1"/>
  <c r="T5298" i="1"/>
  <c r="U5298" i="1"/>
  <c r="BB5298" i="1"/>
  <c r="BD5298" i="1"/>
  <c r="CE5298" i="1"/>
  <c r="A5299" i="1"/>
  <c r="C5299" i="1"/>
  <c r="E5299" i="1"/>
  <c r="S5299" i="1"/>
  <c r="T5299" i="1"/>
  <c r="U5299" i="1"/>
  <c r="BB5299" i="1"/>
  <c r="BD5299" i="1"/>
  <c r="CE5299" i="1"/>
  <c r="A5300" i="1"/>
  <c r="C5300" i="1"/>
  <c r="E5300" i="1"/>
  <c r="S5300" i="1"/>
  <c r="T5300" i="1"/>
  <c r="U5300" i="1"/>
  <c r="BB5300" i="1"/>
  <c r="BD5300" i="1"/>
  <c r="CE5300" i="1"/>
  <c r="A5301" i="1"/>
  <c r="C5301" i="1"/>
  <c r="E5301" i="1"/>
  <c r="S5301" i="1"/>
  <c r="T5301" i="1"/>
  <c r="U5301" i="1"/>
  <c r="BB5301" i="1"/>
  <c r="BD5301" i="1"/>
  <c r="CE5301" i="1"/>
  <c r="A5302" i="1"/>
  <c r="C5302" i="1"/>
  <c r="E5302" i="1"/>
  <c r="S5302" i="1"/>
  <c r="T5302" i="1"/>
  <c r="U5302" i="1"/>
  <c r="BB5302" i="1"/>
  <c r="BD5302" i="1"/>
  <c r="CE5302" i="1"/>
  <c r="A5303" i="1"/>
  <c r="C5303" i="1"/>
  <c r="E5303" i="1"/>
  <c r="S5303" i="1"/>
  <c r="T5303" i="1"/>
  <c r="U5303" i="1"/>
  <c r="BB5303" i="1"/>
  <c r="BD5303" i="1"/>
  <c r="CE5303" i="1"/>
  <c r="A5304" i="1"/>
  <c r="C5304" i="1"/>
  <c r="E5304" i="1"/>
  <c r="S5304" i="1"/>
  <c r="T5304" i="1"/>
  <c r="U5304" i="1"/>
  <c r="BB5304" i="1"/>
  <c r="BD5304" i="1"/>
  <c r="CE5304" i="1"/>
  <c r="A5305" i="1"/>
  <c r="C5305" i="1"/>
  <c r="E5305" i="1"/>
  <c r="S5305" i="1"/>
  <c r="T5305" i="1"/>
  <c r="U5305" i="1"/>
  <c r="BB5305" i="1"/>
  <c r="BD5305" i="1"/>
  <c r="CE5305" i="1"/>
  <c r="A5306" i="1"/>
  <c r="C5306" i="1"/>
  <c r="E5306" i="1"/>
  <c r="S5306" i="1"/>
  <c r="T5306" i="1"/>
  <c r="U5306" i="1"/>
  <c r="BB5306" i="1"/>
  <c r="BD5306" i="1"/>
  <c r="CE5306" i="1"/>
  <c r="A5307" i="1"/>
  <c r="C5307" i="1"/>
  <c r="E5307" i="1"/>
  <c r="S5307" i="1"/>
  <c r="T5307" i="1"/>
  <c r="U5307" i="1"/>
  <c r="BB5307" i="1"/>
  <c r="BD5307" i="1"/>
  <c r="CE5307" i="1"/>
  <c r="A5308" i="1"/>
  <c r="C5308" i="1"/>
  <c r="E5308" i="1"/>
  <c r="S5308" i="1"/>
  <c r="T5308" i="1"/>
  <c r="U5308" i="1"/>
  <c r="BB5308" i="1"/>
  <c r="BD5308" i="1"/>
  <c r="CE5308" i="1"/>
  <c r="A5309" i="1"/>
  <c r="C5309" i="1"/>
  <c r="E5309" i="1"/>
  <c r="S5309" i="1"/>
  <c r="T5309" i="1"/>
  <c r="U5309" i="1"/>
  <c r="BB5309" i="1"/>
  <c r="BD5309" i="1"/>
  <c r="CE5309" i="1"/>
  <c r="A5310" i="1"/>
  <c r="C5310" i="1"/>
  <c r="E5310" i="1"/>
  <c r="S5310" i="1"/>
  <c r="T5310" i="1"/>
  <c r="U5310" i="1"/>
  <c r="BB5310" i="1"/>
  <c r="BD5310" i="1"/>
  <c r="CE5310" i="1"/>
  <c r="A5311" i="1"/>
  <c r="C5311" i="1"/>
  <c r="E5311" i="1"/>
  <c r="S5311" i="1"/>
  <c r="T5311" i="1"/>
  <c r="U5311" i="1"/>
  <c r="BB5311" i="1"/>
  <c r="BD5311" i="1"/>
  <c r="CE5311" i="1"/>
  <c r="A5312" i="1"/>
  <c r="C5312" i="1"/>
  <c r="E5312" i="1"/>
  <c r="S5312" i="1"/>
  <c r="T5312" i="1"/>
  <c r="U5312" i="1"/>
  <c r="BB5312" i="1"/>
  <c r="BD5312" i="1"/>
  <c r="CE5312" i="1"/>
  <c r="A5313" i="1"/>
  <c r="C5313" i="1"/>
  <c r="E5313" i="1"/>
  <c r="S5313" i="1"/>
  <c r="T5313" i="1"/>
  <c r="U5313" i="1"/>
  <c r="BB5313" i="1"/>
  <c r="BD5313" i="1"/>
  <c r="CE5313" i="1"/>
  <c r="A5314" i="1"/>
  <c r="C5314" i="1"/>
  <c r="E5314" i="1"/>
  <c r="S5314" i="1"/>
  <c r="T5314" i="1"/>
  <c r="U5314" i="1"/>
  <c r="BB5314" i="1"/>
  <c r="BD5314" i="1"/>
  <c r="CE5314" i="1"/>
  <c r="A5315" i="1"/>
  <c r="C5315" i="1"/>
  <c r="E5315" i="1"/>
  <c r="S5315" i="1"/>
  <c r="T5315" i="1"/>
  <c r="U5315" i="1"/>
  <c r="BB5315" i="1"/>
  <c r="BD5315" i="1"/>
  <c r="CE5315" i="1"/>
  <c r="A5316" i="1"/>
  <c r="C5316" i="1"/>
  <c r="E5316" i="1"/>
  <c r="S5316" i="1"/>
  <c r="T5316" i="1"/>
  <c r="U5316" i="1"/>
  <c r="BB5316" i="1"/>
  <c r="BD5316" i="1"/>
  <c r="CE5316" i="1"/>
  <c r="A5317" i="1"/>
  <c r="C5317" i="1"/>
  <c r="E5317" i="1"/>
  <c r="S5317" i="1"/>
  <c r="T5317" i="1"/>
  <c r="U5317" i="1"/>
  <c r="BB5317" i="1"/>
  <c r="BD5317" i="1"/>
  <c r="CE5317" i="1"/>
  <c r="A5318" i="1"/>
  <c r="C5318" i="1"/>
  <c r="E5318" i="1"/>
  <c r="S5318" i="1"/>
  <c r="T5318" i="1"/>
  <c r="U5318" i="1"/>
  <c r="BB5318" i="1"/>
  <c r="BD5318" i="1"/>
  <c r="CE5318" i="1"/>
  <c r="A5319" i="1"/>
  <c r="C5319" i="1"/>
  <c r="E5319" i="1"/>
  <c r="S5319" i="1"/>
  <c r="T5319" i="1"/>
  <c r="U5319" i="1"/>
  <c r="BB5319" i="1"/>
  <c r="BD5319" i="1"/>
  <c r="CE5319" i="1"/>
  <c r="A5320" i="1"/>
  <c r="C5320" i="1"/>
  <c r="E5320" i="1"/>
  <c r="S5320" i="1"/>
  <c r="T5320" i="1"/>
  <c r="U5320" i="1"/>
  <c r="BB5320" i="1"/>
  <c r="BD5320" i="1"/>
  <c r="CE5320" i="1"/>
  <c r="A5321" i="1"/>
  <c r="C5321" i="1"/>
  <c r="E5321" i="1"/>
  <c r="S5321" i="1"/>
  <c r="T5321" i="1"/>
  <c r="U5321" i="1"/>
  <c r="BB5321" i="1"/>
  <c r="BD5321" i="1"/>
  <c r="CE5321" i="1"/>
  <c r="A5322" i="1"/>
  <c r="C5322" i="1"/>
  <c r="E5322" i="1"/>
  <c r="S5322" i="1"/>
  <c r="T5322" i="1"/>
  <c r="U5322" i="1"/>
  <c r="BB5322" i="1"/>
  <c r="BD5322" i="1"/>
  <c r="CE5322" i="1"/>
  <c r="A5323" i="1"/>
  <c r="C5323" i="1"/>
  <c r="E5323" i="1"/>
  <c r="S5323" i="1"/>
  <c r="T5323" i="1"/>
  <c r="U5323" i="1"/>
  <c r="BB5323" i="1"/>
  <c r="BD5323" i="1"/>
  <c r="CE5323" i="1"/>
  <c r="A5324" i="1"/>
  <c r="C5324" i="1"/>
  <c r="E5324" i="1"/>
  <c r="S5324" i="1"/>
  <c r="T5324" i="1"/>
  <c r="U5324" i="1"/>
  <c r="BB5324" i="1"/>
  <c r="BD5324" i="1"/>
  <c r="CE5324" i="1"/>
  <c r="A5325" i="1"/>
  <c r="C5325" i="1"/>
  <c r="E5325" i="1"/>
  <c r="S5325" i="1"/>
  <c r="T5325" i="1"/>
  <c r="U5325" i="1"/>
  <c r="BB5325" i="1"/>
  <c r="BD5325" i="1"/>
  <c r="CE5325" i="1"/>
  <c r="A5326" i="1"/>
  <c r="C5326" i="1"/>
  <c r="E5326" i="1"/>
  <c r="S5326" i="1"/>
  <c r="T5326" i="1"/>
  <c r="U5326" i="1"/>
  <c r="BB5326" i="1"/>
  <c r="BD5326" i="1"/>
  <c r="CE5326" i="1"/>
  <c r="A5327" i="1"/>
  <c r="C5327" i="1"/>
  <c r="E5327" i="1"/>
  <c r="S5327" i="1"/>
  <c r="T5327" i="1"/>
  <c r="U5327" i="1"/>
  <c r="BB5327" i="1"/>
  <c r="BD5327" i="1"/>
  <c r="CE5327" i="1"/>
  <c r="A5328" i="1"/>
  <c r="C5328" i="1"/>
  <c r="E5328" i="1"/>
  <c r="S5328" i="1"/>
  <c r="T5328" i="1"/>
  <c r="U5328" i="1"/>
  <c r="BB5328" i="1"/>
  <c r="BD5328" i="1"/>
  <c r="CE5328" i="1"/>
  <c r="A5329" i="1"/>
  <c r="C5329" i="1"/>
  <c r="E5329" i="1"/>
  <c r="S5329" i="1"/>
  <c r="T5329" i="1"/>
  <c r="U5329" i="1"/>
  <c r="BB5329" i="1"/>
  <c r="BD5329" i="1"/>
  <c r="CE5329" i="1"/>
  <c r="A5330" i="1"/>
  <c r="C5330" i="1"/>
  <c r="E5330" i="1"/>
  <c r="S5330" i="1"/>
  <c r="T5330" i="1"/>
  <c r="U5330" i="1"/>
  <c r="BB5330" i="1"/>
  <c r="BD5330" i="1"/>
  <c r="CE5330" i="1"/>
  <c r="A5331" i="1"/>
  <c r="C5331" i="1"/>
  <c r="E5331" i="1"/>
  <c r="S5331" i="1"/>
  <c r="T5331" i="1"/>
  <c r="U5331" i="1"/>
  <c r="BB5331" i="1"/>
  <c r="BD5331" i="1"/>
  <c r="CE5331" i="1"/>
  <c r="A5332" i="1"/>
  <c r="C5332" i="1"/>
  <c r="E5332" i="1"/>
  <c r="S5332" i="1"/>
  <c r="T5332" i="1"/>
  <c r="U5332" i="1"/>
  <c r="BB5332" i="1"/>
  <c r="BD5332" i="1"/>
  <c r="CE5332" i="1"/>
  <c r="A5333" i="1"/>
  <c r="C5333" i="1"/>
  <c r="E5333" i="1"/>
  <c r="S5333" i="1"/>
  <c r="T5333" i="1"/>
  <c r="U5333" i="1"/>
  <c r="BB5333" i="1"/>
  <c r="BD5333" i="1"/>
  <c r="CE5333" i="1"/>
  <c r="A5334" i="1"/>
  <c r="C5334" i="1"/>
  <c r="E5334" i="1"/>
  <c r="S5334" i="1"/>
  <c r="T5334" i="1"/>
  <c r="U5334" i="1"/>
  <c r="BB5334" i="1"/>
  <c r="BD5334" i="1"/>
  <c r="CE5334" i="1"/>
  <c r="A5335" i="1"/>
  <c r="C5335" i="1"/>
  <c r="E5335" i="1"/>
  <c r="S5335" i="1"/>
  <c r="T5335" i="1"/>
  <c r="U5335" i="1"/>
  <c r="BB5335" i="1"/>
  <c r="BD5335" i="1"/>
  <c r="CE5335" i="1"/>
  <c r="A5336" i="1"/>
  <c r="C5336" i="1"/>
  <c r="E5336" i="1"/>
  <c r="S5336" i="1"/>
  <c r="T5336" i="1"/>
  <c r="U5336" i="1"/>
  <c r="BB5336" i="1"/>
  <c r="BD5336" i="1"/>
  <c r="CE5336" i="1"/>
  <c r="A5337" i="1"/>
  <c r="C5337" i="1"/>
  <c r="E5337" i="1"/>
  <c r="S5337" i="1"/>
  <c r="T5337" i="1"/>
  <c r="U5337" i="1"/>
  <c r="BB5337" i="1"/>
  <c r="BD5337" i="1"/>
  <c r="CE5337" i="1"/>
  <c r="A5338" i="1"/>
  <c r="C5338" i="1"/>
  <c r="E5338" i="1"/>
  <c r="S5338" i="1"/>
  <c r="T5338" i="1"/>
  <c r="U5338" i="1"/>
  <c r="BB5338" i="1"/>
  <c r="BD5338" i="1"/>
  <c r="CE5338" i="1"/>
  <c r="A5339" i="1"/>
  <c r="C5339" i="1"/>
  <c r="E5339" i="1"/>
  <c r="S5339" i="1"/>
  <c r="T5339" i="1"/>
  <c r="U5339" i="1"/>
  <c r="BB5339" i="1"/>
  <c r="BD5339" i="1"/>
  <c r="CE5339" i="1"/>
  <c r="A5340" i="1"/>
  <c r="C5340" i="1"/>
  <c r="E5340" i="1"/>
  <c r="S5340" i="1"/>
  <c r="T5340" i="1"/>
  <c r="U5340" i="1"/>
  <c r="BB5340" i="1"/>
  <c r="BD5340" i="1"/>
  <c r="CE5340" i="1"/>
  <c r="A5341" i="1"/>
  <c r="C5341" i="1"/>
  <c r="E5341" i="1"/>
  <c r="S5341" i="1"/>
  <c r="T5341" i="1"/>
  <c r="U5341" i="1"/>
  <c r="BB5341" i="1"/>
  <c r="BD5341" i="1"/>
  <c r="CE5341" i="1"/>
  <c r="A5342" i="1"/>
  <c r="C5342" i="1"/>
  <c r="E5342" i="1"/>
  <c r="S5342" i="1"/>
  <c r="T5342" i="1"/>
  <c r="U5342" i="1"/>
  <c r="BB5342" i="1"/>
  <c r="BD5342" i="1"/>
  <c r="CE5342" i="1"/>
  <c r="A5343" i="1"/>
  <c r="C5343" i="1"/>
  <c r="E5343" i="1"/>
  <c r="S5343" i="1"/>
  <c r="T5343" i="1"/>
  <c r="U5343" i="1"/>
  <c r="BB5343" i="1"/>
  <c r="BD5343" i="1"/>
  <c r="CE5343" i="1"/>
  <c r="A5344" i="1"/>
  <c r="C5344" i="1"/>
  <c r="E5344" i="1"/>
  <c r="S5344" i="1"/>
  <c r="T5344" i="1"/>
  <c r="U5344" i="1"/>
  <c r="BB5344" i="1"/>
  <c r="BD5344" i="1"/>
  <c r="CE5344" i="1"/>
  <c r="A5345" i="1"/>
  <c r="C5345" i="1"/>
  <c r="E5345" i="1"/>
  <c r="S5345" i="1"/>
  <c r="T5345" i="1"/>
  <c r="U5345" i="1"/>
  <c r="BB5345" i="1"/>
  <c r="BD5345" i="1"/>
  <c r="CE5345" i="1"/>
  <c r="A5346" i="1"/>
  <c r="C5346" i="1"/>
  <c r="E5346" i="1"/>
  <c r="S5346" i="1"/>
  <c r="T5346" i="1"/>
  <c r="U5346" i="1"/>
  <c r="BB5346" i="1"/>
  <c r="BD5346" i="1"/>
  <c r="CE5346" i="1"/>
  <c r="A5347" i="1"/>
  <c r="C5347" i="1"/>
  <c r="E5347" i="1"/>
  <c r="S5347" i="1"/>
  <c r="T5347" i="1"/>
  <c r="U5347" i="1"/>
  <c r="BB5347" i="1"/>
  <c r="BD5347" i="1"/>
  <c r="CE5347" i="1"/>
  <c r="A5348" i="1"/>
  <c r="C5348" i="1"/>
  <c r="E5348" i="1"/>
  <c r="S5348" i="1"/>
  <c r="T5348" i="1"/>
  <c r="U5348" i="1"/>
  <c r="BB5348" i="1"/>
  <c r="BD5348" i="1"/>
  <c r="CE5348" i="1"/>
  <c r="A5349" i="1"/>
  <c r="C5349" i="1"/>
  <c r="E5349" i="1"/>
  <c r="S5349" i="1"/>
  <c r="T5349" i="1"/>
  <c r="U5349" i="1"/>
  <c r="BB5349" i="1"/>
  <c r="BD5349" i="1"/>
  <c r="CE5349" i="1"/>
  <c r="A5350" i="1"/>
  <c r="C5350" i="1"/>
  <c r="E5350" i="1"/>
  <c r="S5350" i="1"/>
  <c r="T5350" i="1"/>
  <c r="U5350" i="1"/>
  <c r="BB5350" i="1"/>
  <c r="BD5350" i="1"/>
  <c r="CE5350" i="1"/>
  <c r="A5351" i="1"/>
  <c r="C5351" i="1"/>
  <c r="E5351" i="1"/>
  <c r="S5351" i="1"/>
  <c r="T5351" i="1"/>
  <c r="U5351" i="1"/>
  <c r="BB5351" i="1"/>
  <c r="BD5351" i="1"/>
  <c r="CE5351" i="1"/>
  <c r="A5352" i="1"/>
  <c r="C5352" i="1"/>
  <c r="E5352" i="1"/>
  <c r="S5352" i="1"/>
  <c r="T5352" i="1"/>
  <c r="U5352" i="1"/>
  <c r="BB5352" i="1"/>
  <c r="BD5352" i="1"/>
  <c r="CE5352" i="1"/>
  <c r="A5353" i="1"/>
  <c r="C5353" i="1"/>
  <c r="E5353" i="1"/>
  <c r="S5353" i="1"/>
  <c r="T5353" i="1"/>
  <c r="U5353" i="1"/>
  <c r="BB5353" i="1"/>
  <c r="BD5353" i="1"/>
  <c r="CE5353" i="1"/>
  <c r="A5354" i="1"/>
  <c r="C5354" i="1"/>
  <c r="E5354" i="1"/>
  <c r="S5354" i="1"/>
  <c r="T5354" i="1"/>
  <c r="U5354" i="1"/>
  <c r="BB5354" i="1"/>
  <c r="BD5354" i="1"/>
  <c r="CE5354" i="1"/>
  <c r="A5355" i="1"/>
  <c r="C5355" i="1"/>
  <c r="E5355" i="1"/>
  <c r="S5355" i="1"/>
  <c r="T5355" i="1"/>
  <c r="U5355" i="1"/>
  <c r="BB5355" i="1"/>
  <c r="BD5355" i="1"/>
  <c r="CE5355" i="1"/>
  <c r="A5356" i="1"/>
  <c r="C5356" i="1"/>
  <c r="E5356" i="1"/>
  <c r="S5356" i="1"/>
  <c r="T5356" i="1"/>
  <c r="U5356" i="1"/>
  <c r="BB5356" i="1"/>
  <c r="BD5356" i="1"/>
  <c r="CE5356" i="1"/>
  <c r="A5357" i="1"/>
  <c r="C5357" i="1"/>
  <c r="E5357" i="1"/>
  <c r="S5357" i="1"/>
  <c r="T5357" i="1"/>
  <c r="U5357" i="1"/>
  <c r="BB5357" i="1"/>
  <c r="BD5357" i="1"/>
  <c r="CE5357" i="1"/>
  <c r="A5358" i="1"/>
  <c r="C5358" i="1"/>
  <c r="E5358" i="1"/>
  <c r="S5358" i="1"/>
  <c r="T5358" i="1"/>
  <c r="U5358" i="1"/>
  <c r="BB5358" i="1"/>
  <c r="BD5358" i="1"/>
  <c r="CE5358" i="1"/>
  <c r="A5359" i="1"/>
  <c r="C5359" i="1"/>
  <c r="E5359" i="1"/>
  <c r="S5359" i="1"/>
  <c r="T5359" i="1"/>
  <c r="U5359" i="1"/>
  <c r="BB5359" i="1"/>
  <c r="BD5359" i="1"/>
  <c r="CE5359" i="1"/>
  <c r="A5360" i="1"/>
  <c r="C5360" i="1"/>
  <c r="E5360" i="1"/>
  <c r="S5360" i="1"/>
  <c r="T5360" i="1"/>
  <c r="U5360" i="1"/>
  <c r="BB5360" i="1"/>
  <c r="BD5360" i="1"/>
  <c r="CE5360" i="1"/>
  <c r="A5361" i="1"/>
  <c r="C5361" i="1"/>
  <c r="E5361" i="1"/>
  <c r="S5361" i="1"/>
  <c r="T5361" i="1"/>
  <c r="U5361" i="1"/>
  <c r="BB5361" i="1"/>
  <c r="BD5361" i="1"/>
  <c r="CE5361" i="1"/>
  <c r="A5362" i="1"/>
  <c r="C5362" i="1"/>
  <c r="E5362" i="1"/>
  <c r="S5362" i="1"/>
  <c r="T5362" i="1"/>
  <c r="U5362" i="1"/>
  <c r="BB5362" i="1"/>
  <c r="BD5362" i="1"/>
  <c r="CE5362" i="1"/>
  <c r="A5363" i="1"/>
  <c r="C5363" i="1"/>
  <c r="E5363" i="1"/>
  <c r="S5363" i="1"/>
  <c r="T5363" i="1"/>
  <c r="U5363" i="1"/>
  <c r="BB5363" i="1"/>
  <c r="BD5363" i="1"/>
  <c r="CE5363" i="1"/>
  <c r="A5364" i="1"/>
  <c r="C5364" i="1"/>
  <c r="E5364" i="1"/>
  <c r="S5364" i="1"/>
  <c r="T5364" i="1"/>
  <c r="U5364" i="1"/>
  <c r="BB5364" i="1"/>
  <c r="BD5364" i="1"/>
  <c r="CE5364" i="1"/>
  <c r="A5365" i="1"/>
  <c r="C5365" i="1"/>
  <c r="E5365" i="1"/>
  <c r="S5365" i="1"/>
  <c r="T5365" i="1"/>
  <c r="U5365" i="1"/>
  <c r="BB5365" i="1"/>
  <c r="BD5365" i="1"/>
  <c r="CE5365" i="1"/>
  <c r="A5366" i="1"/>
  <c r="C5366" i="1"/>
  <c r="E5366" i="1"/>
  <c r="S5366" i="1"/>
  <c r="T5366" i="1"/>
  <c r="U5366" i="1"/>
  <c r="BB5366" i="1"/>
  <c r="BD5366" i="1"/>
  <c r="CE5366" i="1"/>
  <c r="A5367" i="1"/>
  <c r="C5367" i="1"/>
  <c r="E5367" i="1"/>
  <c r="S5367" i="1"/>
  <c r="T5367" i="1"/>
  <c r="U5367" i="1"/>
  <c r="BB5367" i="1"/>
  <c r="BD5367" i="1"/>
  <c r="CE5367" i="1"/>
  <c r="A5368" i="1"/>
  <c r="C5368" i="1"/>
  <c r="E5368" i="1"/>
  <c r="S5368" i="1"/>
  <c r="T5368" i="1"/>
  <c r="U5368" i="1"/>
  <c r="BB5368" i="1"/>
  <c r="BD5368" i="1"/>
  <c r="CE5368" i="1"/>
  <c r="A5369" i="1"/>
  <c r="C5369" i="1"/>
  <c r="E5369" i="1"/>
  <c r="S5369" i="1"/>
  <c r="T5369" i="1"/>
  <c r="U5369" i="1"/>
  <c r="BB5369" i="1"/>
  <c r="BD5369" i="1"/>
  <c r="CE5369" i="1"/>
  <c r="A5370" i="1"/>
  <c r="C5370" i="1"/>
  <c r="E5370" i="1"/>
  <c r="S5370" i="1"/>
  <c r="T5370" i="1"/>
  <c r="U5370" i="1"/>
  <c r="BB5370" i="1"/>
  <c r="BD5370" i="1"/>
  <c r="CE5370" i="1"/>
  <c r="A5371" i="1"/>
  <c r="C5371" i="1"/>
  <c r="E5371" i="1"/>
  <c r="S5371" i="1"/>
  <c r="T5371" i="1"/>
  <c r="U5371" i="1"/>
  <c r="BB5371" i="1"/>
  <c r="BD5371" i="1"/>
  <c r="CE5371" i="1"/>
  <c r="A5372" i="1"/>
  <c r="C5372" i="1"/>
  <c r="E5372" i="1"/>
  <c r="S5372" i="1"/>
  <c r="T5372" i="1"/>
  <c r="U5372" i="1"/>
  <c r="BB5372" i="1"/>
  <c r="BD5372" i="1"/>
  <c r="CE5372" i="1"/>
  <c r="A5373" i="1"/>
  <c r="C5373" i="1"/>
  <c r="E5373" i="1"/>
  <c r="S5373" i="1"/>
  <c r="T5373" i="1"/>
  <c r="U5373" i="1"/>
  <c r="BB5373" i="1"/>
  <c r="BD5373" i="1"/>
  <c r="CE5373" i="1"/>
  <c r="A5374" i="1"/>
  <c r="C5374" i="1"/>
  <c r="E5374" i="1"/>
  <c r="S5374" i="1"/>
  <c r="T5374" i="1"/>
  <c r="U5374" i="1"/>
  <c r="BB5374" i="1"/>
  <c r="BD5374" i="1"/>
  <c r="CE5374" i="1"/>
  <c r="A5375" i="1"/>
  <c r="C5375" i="1"/>
  <c r="E5375" i="1"/>
  <c r="S5375" i="1"/>
  <c r="T5375" i="1"/>
  <c r="U5375" i="1"/>
  <c r="BB5375" i="1"/>
  <c r="BD5375" i="1"/>
  <c r="CE5375" i="1"/>
  <c r="A5376" i="1"/>
  <c r="C5376" i="1"/>
  <c r="E5376" i="1"/>
  <c r="S5376" i="1"/>
  <c r="T5376" i="1"/>
  <c r="U5376" i="1"/>
  <c r="BB5376" i="1"/>
  <c r="BD5376" i="1"/>
  <c r="CE5376" i="1"/>
  <c r="A5377" i="1"/>
  <c r="C5377" i="1"/>
  <c r="E5377" i="1"/>
  <c r="S5377" i="1"/>
  <c r="T5377" i="1"/>
  <c r="U5377" i="1"/>
  <c r="BB5377" i="1"/>
  <c r="BD5377" i="1"/>
  <c r="CE5377" i="1"/>
  <c r="A5378" i="1"/>
  <c r="C5378" i="1"/>
  <c r="E5378" i="1"/>
  <c r="S5378" i="1"/>
  <c r="T5378" i="1"/>
  <c r="U5378" i="1"/>
  <c r="BB5378" i="1"/>
  <c r="BD5378" i="1"/>
  <c r="CE5378" i="1"/>
  <c r="A5379" i="1"/>
  <c r="C5379" i="1"/>
  <c r="E5379" i="1"/>
  <c r="S5379" i="1"/>
  <c r="T5379" i="1"/>
  <c r="U5379" i="1"/>
  <c r="BB5379" i="1"/>
  <c r="BD5379" i="1"/>
  <c r="CE5379" i="1"/>
  <c r="A5380" i="1"/>
  <c r="C5380" i="1"/>
  <c r="E5380" i="1"/>
  <c r="S5380" i="1"/>
  <c r="T5380" i="1"/>
  <c r="U5380" i="1"/>
  <c r="BB5380" i="1"/>
  <c r="BD5380" i="1"/>
  <c r="CE5380" i="1"/>
  <c r="A5381" i="1"/>
  <c r="C5381" i="1"/>
  <c r="E5381" i="1"/>
  <c r="S5381" i="1"/>
  <c r="T5381" i="1"/>
  <c r="U5381" i="1"/>
  <c r="BB5381" i="1"/>
  <c r="BD5381" i="1"/>
  <c r="CE5381" i="1"/>
  <c r="A5382" i="1"/>
  <c r="C5382" i="1"/>
  <c r="E5382" i="1"/>
  <c r="S5382" i="1"/>
  <c r="T5382" i="1"/>
  <c r="U5382" i="1"/>
  <c r="BB5382" i="1"/>
  <c r="BD5382" i="1"/>
  <c r="CE5382" i="1"/>
  <c r="A5383" i="1"/>
  <c r="C5383" i="1"/>
  <c r="E5383" i="1"/>
  <c r="S5383" i="1"/>
  <c r="T5383" i="1"/>
  <c r="U5383" i="1"/>
  <c r="BB5383" i="1"/>
  <c r="BD5383" i="1"/>
  <c r="CE5383" i="1"/>
  <c r="A5384" i="1"/>
  <c r="C5384" i="1"/>
  <c r="E5384" i="1"/>
  <c r="S5384" i="1"/>
  <c r="T5384" i="1"/>
  <c r="U5384" i="1"/>
  <c r="BB5384" i="1"/>
  <c r="BD5384" i="1"/>
  <c r="CE5384" i="1"/>
  <c r="A5385" i="1"/>
  <c r="C5385" i="1"/>
  <c r="E5385" i="1"/>
  <c r="S5385" i="1"/>
  <c r="T5385" i="1"/>
  <c r="U5385" i="1"/>
  <c r="BB5385" i="1"/>
  <c r="BD5385" i="1"/>
  <c r="CE5385" i="1"/>
  <c r="A5386" i="1"/>
  <c r="C5386" i="1"/>
  <c r="E5386" i="1"/>
  <c r="S5386" i="1"/>
  <c r="T5386" i="1"/>
  <c r="U5386" i="1"/>
  <c r="BB5386" i="1"/>
  <c r="BD5386" i="1"/>
  <c r="CE5386" i="1"/>
  <c r="A5387" i="1"/>
  <c r="C5387" i="1"/>
  <c r="E5387" i="1"/>
  <c r="S5387" i="1"/>
  <c r="T5387" i="1"/>
  <c r="U5387" i="1"/>
  <c r="BB5387" i="1"/>
  <c r="BD5387" i="1"/>
  <c r="CE5387" i="1"/>
  <c r="A5388" i="1"/>
  <c r="C5388" i="1"/>
  <c r="E5388" i="1"/>
  <c r="S5388" i="1"/>
  <c r="T5388" i="1"/>
  <c r="U5388" i="1"/>
  <c r="BB5388" i="1"/>
  <c r="BD5388" i="1"/>
  <c r="CE5388" i="1"/>
  <c r="A5389" i="1"/>
  <c r="C5389" i="1"/>
  <c r="E5389" i="1"/>
  <c r="S5389" i="1"/>
  <c r="T5389" i="1"/>
  <c r="U5389" i="1"/>
  <c r="BB5389" i="1"/>
  <c r="BD5389" i="1"/>
  <c r="CE5389" i="1"/>
  <c r="A5390" i="1"/>
  <c r="C5390" i="1"/>
  <c r="E5390" i="1"/>
  <c r="S5390" i="1"/>
  <c r="T5390" i="1"/>
  <c r="U5390" i="1"/>
  <c r="BB5390" i="1"/>
  <c r="BD5390" i="1"/>
  <c r="CE5390" i="1"/>
  <c r="A5391" i="1"/>
  <c r="C5391" i="1"/>
  <c r="E5391" i="1"/>
  <c r="S5391" i="1"/>
  <c r="T5391" i="1"/>
  <c r="U5391" i="1"/>
  <c r="BB5391" i="1"/>
  <c r="BD5391" i="1"/>
  <c r="CE5391" i="1"/>
  <c r="A5392" i="1"/>
  <c r="C5392" i="1"/>
  <c r="E5392" i="1"/>
  <c r="S5392" i="1"/>
  <c r="T5392" i="1"/>
  <c r="U5392" i="1"/>
  <c r="BB5392" i="1"/>
  <c r="BD5392" i="1"/>
  <c r="CE5392" i="1"/>
  <c r="A5393" i="1"/>
  <c r="C5393" i="1"/>
  <c r="E5393" i="1"/>
  <c r="S5393" i="1"/>
  <c r="T5393" i="1"/>
  <c r="U5393" i="1"/>
  <c r="BB5393" i="1"/>
  <c r="BD5393" i="1"/>
  <c r="CE5393" i="1"/>
  <c r="A5394" i="1"/>
  <c r="C5394" i="1"/>
  <c r="E5394" i="1"/>
  <c r="S5394" i="1"/>
  <c r="T5394" i="1"/>
  <c r="U5394" i="1"/>
  <c r="BB5394" i="1"/>
  <c r="BD5394" i="1"/>
  <c r="CE5394" i="1"/>
  <c r="A5395" i="1"/>
  <c r="C5395" i="1"/>
  <c r="E5395" i="1"/>
  <c r="S5395" i="1"/>
  <c r="T5395" i="1"/>
  <c r="U5395" i="1"/>
  <c r="BB5395" i="1"/>
  <c r="BD5395" i="1"/>
  <c r="CE5395" i="1"/>
  <c r="A5396" i="1"/>
  <c r="C5396" i="1"/>
  <c r="E5396" i="1"/>
  <c r="S5396" i="1"/>
  <c r="T5396" i="1"/>
  <c r="U5396" i="1"/>
  <c r="BB5396" i="1"/>
  <c r="BD5396" i="1"/>
  <c r="CE5396" i="1"/>
  <c r="A5397" i="1"/>
  <c r="C5397" i="1"/>
  <c r="E5397" i="1"/>
  <c r="S5397" i="1"/>
  <c r="T5397" i="1"/>
  <c r="U5397" i="1"/>
  <c r="BB5397" i="1"/>
  <c r="BD5397" i="1"/>
  <c r="CE5397" i="1"/>
  <c r="A5398" i="1"/>
  <c r="C5398" i="1"/>
  <c r="E5398" i="1"/>
  <c r="S5398" i="1"/>
  <c r="T5398" i="1"/>
  <c r="U5398" i="1"/>
  <c r="BB5398" i="1"/>
  <c r="BD5398" i="1"/>
  <c r="CE5398" i="1"/>
  <c r="A5399" i="1"/>
  <c r="C5399" i="1"/>
  <c r="E5399" i="1"/>
  <c r="S5399" i="1"/>
  <c r="T5399" i="1"/>
  <c r="U5399" i="1"/>
  <c r="BB5399" i="1"/>
  <c r="BD5399" i="1"/>
  <c r="CE5399" i="1"/>
  <c r="A5400" i="1"/>
  <c r="C5400" i="1"/>
  <c r="E5400" i="1"/>
  <c r="S5400" i="1"/>
  <c r="T5400" i="1"/>
  <c r="U5400" i="1"/>
  <c r="BB5400" i="1"/>
  <c r="BD5400" i="1"/>
  <c r="CE5400" i="1"/>
  <c r="A5401" i="1"/>
  <c r="C5401" i="1"/>
  <c r="E5401" i="1"/>
  <c r="S5401" i="1"/>
  <c r="T5401" i="1"/>
  <c r="U5401" i="1"/>
  <c r="BB5401" i="1"/>
  <c r="BD5401" i="1"/>
  <c r="CE5401" i="1"/>
  <c r="A5402" i="1"/>
  <c r="C5402" i="1"/>
  <c r="E5402" i="1"/>
  <c r="S5402" i="1"/>
  <c r="T5402" i="1"/>
  <c r="U5402" i="1"/>
  <c r="BB5402" i="1"/>
  <c r="BD5402" i="1"/>
  <c r="CE5402" i="1"/>
  <c r="A5403" i="1"/>
  <c r="C5403" i="1"/>
  <c r="E5403" i="1"/>
  <c r="S5403" i="1"/>
  <c r="T5403" i="1"/>
  <c r="U5403" i="1"/>
  <c r="BB5403" i="1"/>
  <c r="BD5403" i="1"/>
  <c r="CE5403" i="1"/>
  <c r="A5404" i="1"/>
  <c r="C5404" i="1"/>
  <c r="E5404" i="1"/>
  <c r="S5404" i="1"/>
  <c r="T5404" i="1"/>
  <c r="U5404" i="1"/>
  <c r="BB5404" i="1"/>
  <c r="BD5404" i="1"/>
  <c r="CE5404" i="1"/>
  <c r="A5405" i="1"/>
  <c r="C5405" i="1"/>
  <c r="E5405" i="1"/>
  <c r="S5405" i="1"/>
  <c r="T5405" i="1"/>
  <c r="U5405" i="1"/>
  <c r="BB5405" i="1"/>
  <c r="BD5405" i="1"/>
  <c r="CE5405" i="1"/>
  <c r="A5406" i="1"/>
  <c r="C5406" i="1"/>
  <c r="E5406" i="1"/>
  <c r="S5406" i="1"/>
  <c r="T5406" i="1"/>
  <c r="U5406" i="1"/>
  <c r="BB5406" i="1"/>
  <c r="BD5406" i="1"/>
  <c r="CE5406" i="1"/>
  <c r="A5407" i="1"/>
  <c r="C5407" i="1"/>
  <c r="E5407" i="1"/>
  <c r="S5407" i="1"/>
  <c r="T5407" i="1"/>
  <c r="U5407" i="1"/>
  <c r="BB5407" i="1"/>
  <c r="BD5407" i="1"/>
  <c r="CE5407" i="1"/>
  <c r="A5408" i="1"/>
  <c r="C5408" i="1"/>
  <c r="E5408" i="1"/>
  <c r="S5408" i="1"/>
  <c r="T5408" i="1"/>
  <c r="U5408" i="1"/>
  <c r="BB5408" i="1"/>
  <c r="BD5408" i="1"/>
  <c r="CE5408" i="1"/>
  <c r="A5409" i="1"/>
  <c r="C5409" i="1"/>
  <c r="E5409" i="1"/>
  <c r="S5409" i="1"/>
  <c r="T5409" i="1"/>
  <c r="U5409" i="1"/>
  <c r="BB5409" i="1"/>
  <c r="BD5409" i="1"/>
  <c r="CE5409" i="1"/>
  <c r="A5410" i="1"/>
  <c r="C5410" i="1"/>
  <c r="E5410" i="1"/>
  <c r="S5410" i="1"/>
  <c r="T5410" i="1"/>
  <c r="U5410" i="1"/>
  <c r="BB5410" i="1"/>
  <c r="BD5410" i="1"/>
  <c r="CE5410" i="1"/>
  <c r="A5411" i="1"/>
  <c r="C5411" i="1"/>
  <c r="E5411" i="1"/>
  <c r="S5411" i="1"/>
  <c r="T5411" i="1"/>
  <c r="U5411" i="1"/>
  <c r="BB5411" i="1"/>
  <c r="BD5411" i="1"/>
  <c r="CE5411" i="1"/>
  <c r="A5412" i="1"/>
  <c r="C5412" i="1"/>
  <c r="E5412" i="1"/>
  <c r="S5412" i="1"/>
  <c r="T5412" i="1"/>
  <c r="U5412" i="1"/>
  <c r="BB5412" i="1"/>
  <c r="BD5412" i="1"/>
  <c r="CE5412" i="1"/>
  <c r="A5413" i="1"/>
  <c r="C5413" i="1"/>
  <c r="E5413" i="1"/>
  <c r="S5413" i="1"/>
  <c r="T5413" i="1"/>
  <c r="U5413" i="1"/>
  <c r="BB5413" i="1"/>
  <c r="BD5413" i="1"/>
  <c r="CE5413" i="1"/>
  <c r="A5414" i="1"/>
  <c r="C5414" i="1"/>
  <c r="E5414" i="1"/>
  <c r="S5414" i="1"/>
  <c r="T5414" i="1"/>
  <c r="U5414" i="1"/>
  <c r="BB5414" i="1"/>
  <c r="BD5414" i="1"/>
  <c r="CE5414" i="1"/>
  <c r="A5415" i="1"/>
  <c r="C5415" i="1"/>
  <c r="E5415" i="1"/>
  <c r="S5415" i="1"/>
  <c r="T5415" i="1"/>
  <c r="U5415" i="1"/>
  <c r="BB5415" i="1"/>
  <c r="BD5415" i="1"/>
  <c r="CE5415" i="1"/>
  <c r="A5416" i="1"/>
  <c r="C5416" i="1"/>
  <c r="E5416" i="1"/>
  <c r="S5416" i="1"/>
  <c r="T5416" i="1"/>
  <c r="U5416" i="1"/>
  <c r="BB5416" i="1"/>
  <c r="BD5416" i="1"/>
  <c r="CE5416" i="1"/>
  <c r="A5417" i="1"/>
  <c r="C5417" i="1"/>
  <c r="E5417" i="1"/>
  <c r="S5417" i="1"/>
  <c r="T5417" i="1"/>
  <c r="U5417" i="1"/>
  <c r="BB5417" i="1"/>
  <c r="BD5417" i="1"/>
  <c r="CE5417" i="1"/>
  <c r="A5418" i="1"/>
  <c r="C5418" i="1"/>
  <c r="E5418" i="1"/>
  <c r="S5418" i="1"/>
  <c r="T5418" i="1"/>
  <c r="U5418" i="1"/>
  <c r="BB5418" i="1"/>
  <c r="BD5418" i="1"/>
  <c r="CE5418" i="1"/>
  <c r="A5419" i="1"/>
  <c r="C5419" i="1"/>
  <c r="E5419" i="1"/>
  <c r="S5419" i="1"/>
  <c r="T5419" i="1"/>
  <c r="U5419" i="1"/>
  <c r="BB5419" i="1"/>
  <c r="BD5419" i="1"/>
  <c r="CE5419" i="1"/>
  <c r="A5420" i="1"/>
  <c r="C5420" i="1"/>
  <c r="E5420" i="1"/>
  <c r="S5420" i="1"/>
  <c r="T5420" i="1"/>
  <c r="U5420" i="1"/>
  <c r="BB5420" i="1"/>
  <c r="BD5420" i="1"/>
  <c r="CE5420" i="1"/>
  <c r="A5421" i="1"/>
  <c r="C5421" i="1"/>
  <c r="E5421" i="1"/>
  <c r="S5421" i="1"/>
  <c r="T5421" i="1"/>
  <c r="U5421" i="1"/>
  <c r="BB5421" i="1"/>
  <c r="BD5421" i="1"/>
  <c r="CE5421" i="1"/>
  <c r="A5422" i="1"/>
  <c r="C5422" i="1"/>
  <c r="E5422" i="1"/>
  <c r="S5422" i="1"/>
  <c r="T5422" i="1"/>
  <c r="U5422" i="1"/>
  <c r="BB5422" i="1"/>
  <c r="BD5422" i="1"/>
  <c r="CE5422" i="1"/>
  <c r="A5423" i="1"/>
  <c r="C5423" i="1"/>
  <c r="E5423" i="1"/>
  <c r="S5423" i="1"/>
  <c r="T5423" i="1"/>
  <c r="U5423" i="1"/>
  <c r="BB5423" i="1"/>
  <c r="BD5423" i="1"/>
  <c r="CE5423" i="1"/>
  <c r="A5424" i="1"/>
  <c r="C5424" i="1"/>
  <c r="E5424" i="1"/>
  <c r="S5424" i="1"/>
  <c r="T5424" i="1"/>
  <c r="U5424" i="1"/>
  <c r="BB5424" i="1"/>
  <c r="BD5424" i="1"/>
  <c r="CE5424" i="1"/>
  <c r="A5425" i="1"/>
  <c r="C5425" i="1"/>
  <c r="E5425" i="1"/>
  <c r="S5425" i="1"/>
  <c r="T5425" i="1"/>
  <c r="U5425" i="1"/>
  <c r="BB5425" i="1"/>
  <c r="BD5425" i="1"/>
  <c r="CE5425" i="1"/>
  <c r="A5426" i="1"/>
  <c r="C5426" i="1"/>
  <c r="E5426" i="1"/>
  <c r="S5426" i="1"/>
  <c r="T5426" i="1"/>
  <c r="U5426" i="1"/>
  <c r="BB5426" i="1"/>
  <c r="BD5426" i="1"/>
  <c r="CE5426" i="1"/>
  <c r="A5427" i="1"/>
  <c r="C5427" i="1"/>
  <c r="E5427" i="1"/>
  <c r="S5427" i="1"/>
  <c r="T5427" i="1"/>
  <c r="U5427" i="1"/>
  <c r="BB5427" i="1"/>
  <c r="BD5427" i="1"/>
  <c r="CE5427" i="1"/>
  <c r="A5428" i="1"/>
  <c r="C5428" i="1"/>
  <c r="E5428" i="1"/>
  <c r="S5428" i="1"/>
  <c r="T5428" i="1"/>
  <c r="U5428" i="1"/>
  <c r="BB5428" i="1"/>
  <c r="BD5428" i="1"/>
  <c r="CE5428" i="1"/>
  <c r="A5429" i="1"/>
  <c r="C5429" i="1"/>
  <c r="E5429" i="1"/>
  <c r="S5429" i="1"/>
  <c r="T5429" i="1"/>
  <c r="U5429" i="1"/>
  <c r="BB5429" i="1"/>
  <c r="BD5429" i="1"/>
  <c r="CE5429" i="1"/>
  <c r="A5430" i="1"/>
  <c r="C5430" i="1"/>
  <c r="E5430" i="1"/>
  <c r="S5430" i="1"/>
  <c r="T5430" i="1"/>
  <c r="U5430" i="1"/>
  <c r="BB5430" i="1"/>
  <c r="BD5430" i="1"/>
  <c r="CE5430" i="1"/>
  <c r="A5431" i="1"/>
  <c r="C5431" i="1"/>
  <c r="E5431" i="1"/>
  <c r="S5431" i="1"/>
  <c r="T5431" i="1"/>
  <c r="U5431" i="1"/>
  <c r="BB5431" i="1"/>
  <c r="BD5431" i="1"/>
  <c r="CE5431" i="1"/>
  <c r="A5432" i="1"/>
  <c r="C5432" i="1"/>
  <c r="E5432" i="1"/>
  <c r="S5432" i="1"/>
  <c r="T5432" i="1"/>
  <c r="U5432" i="1"/>
  <c r="BB5432" i="1"/>
  <c r="BD5432" i="1"/>
  <c r="CE5432" i="1"/>
  <c r="A5433" i="1"/>
  <c r="C5433" i="1"/>
  <c r="E5433" i="1"/>
  <c r="S5433" i="1"/>
  <c r="T5433" i="1"/>
  <c r="U5433" i="1"/>
  <c r="BB5433" i="1"/>
  <c r="BD5433" i="1"/>
  <c r="CE5433" i="1"/>
  <c r="A5434" i="1"/>
  <c r="C5434" i="1"/>
  <c r="E5434" i="1"/>
  <c r="S5434" i="1"/>
  <c r="T5434" i="1"/>
  <c r="U5434" i="1"/>
  <c r="BB5434" i="1"/>
  <c r="BD5434" i="1"/>
  <c r="CE5434" i="1"/>
  <c r="A5435" i="1"/>
  <c r="C5435" i="1"/>
  <c r="E5435" i="1"/>
  <c r="S5435" i="1"/>
  <c r="T5435" i="1"/>
  <c r="U5435" i="1"/>
  <c r="BB5435" i="1"/>
  <c r="BD5435" i="1"/>
  <c r="CE5435" i="1"/>
  <c r="A5436" i="1"/>
  <c r="C5436" i="1"/>
  <c r="E5436" i="1"/>
  <c r="S5436" i="1"/>
  <c r="T5436" i="1"/>
  <c r="U5436" i="1"/>
  <c r="BB5436" i="1"/>
  <c r="BD5436" i="1"/>
  <c r="CE5436" i="1"/>
  <c r="A5437" i="1"/>
  <c r="C5437" i="1"/>
  <c r="E5437" i="1"/>
  <c r="S5437" i="1"/>
  <c r="T5437" i="1"/>
  <c r="U5437" i="1"/>
  <c r="BB5437" i="1"/>
  <c r="BD5437" i="1"/>
  <c r="CE5437" i="1"/>
  <c r="A5438" i="1"/>
  <c r="C5438" i="1"/>
  <c r="E5438" i="1"/>
  <c r="S5438" i="1"/>
  <c r="T5438" i="1"/>
  <c r="U5438" i="1"/>
  <c r="BB5438" i="1"/>
  <c r="BD5438" i="1"/>
  <c r="CE5438" i="1"/>
  <c r="A5439" i="1"/>
  <c r="C5439" i="1"/>
  <c r="E5439" i="1"/>
  <c r="S5439" i="1"/>
  <c r="T5439" i="1"/>
  <c r="U5439" i="1"/>
  <c r="BB5439" i="1"/>
  <c r="BD5439" i="1"/>
  <c r="CE5439" i="1"/>
  <c r="A5440" i="1"/>
  <c r="C5440" i="1"/>
  <c r="E5440" i="1"/>
  <c r="S5440" i="1"/>
  <c r="T5440" i="1"/>
  <c r="U5440" i="1"/>
  <c r="BB5440" i="1"/>
  <c r="BD5440" i="1"/>
  <c r="CE5440" i="1"/>
  <c r="A5441" i="1"/>
  <c r="C5441" i="1"/>
  <c r="E5441" i="1"/>
  <c r="S5441" i="1"/>
  <c r="T5441" i="1"/>
  <c r="U5441" i="1"/>
  <c r="BB5441" i="1"/>
  <c r="BD5441" i="1"/>
  <c r="CE5441" i="1"/>
  <c r="A5442" i="1"/>
  <c r="C5442" i="1"/>
  <c r="E5442" i="1"/>
  <c r="S5442" i="1"/>
  <c r="T5442" i="1"/>
  <c r="U5442" i="1"/>
  <c r="BB5442" i="1"/>
  <c r="BD5442" i="1"/>
  <c r="CE5442" i="1"/>
  <c r="A5443" i="1"/>
  <c r="C5443" i="1"/>
  <c r="E5443" i="1"/>
  <c r="S5443" i="1"/>
  <c r="T5443" i="1"/>
  <c r="U5443" i="1"/>
  <c r="BB5443" i="1"/>
  <c r="BD5443" i="1"/>
  <c r="CE5443" i="1"/>
</calcChain>
</file>

<file path=xl/sharedStrings.xml><?xml version="1.0" encoding="utf-8"?>
<sst xmlns="http://schemas.openxmlformats.org/spreadsheetml/2006/main" count="65428" uniqueCount="1705">
  <si>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</si>
  <si>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</si>
  <si>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</si>
  <si>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</si>
  <si>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</si>
  <si>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</si>
  <si>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</si>
  <si>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</si>
  <si>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</si>
  <si>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</si>
  <si>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</si>
  <si>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</si>
  <si>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</si>
  <si>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</si>
  <si>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</si>
  <si>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</si>
  <si>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</si>
  <si>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</si>
  <si>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</si>
  <si>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</si>
  <si>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</si>
  <si>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</si>
  <si>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</si>
  <si>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</si>
  <si>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</si>
  <si>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</si>
  <si>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</si>
  <si>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</si>
  <si>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</si>
  <si>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</si>
  <si>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</si>
  <si>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</si>
  <si>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</si>
  <si>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</si>
  <si>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</si>
  <si>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</si>
  <si>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</si>
  <si>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</si>
  <si>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</si>
  <si>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</si>
  <si>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</si>
  <si>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</si>
  <si>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</si>
  <si>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</si>
  <si>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</si>
  <si>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</si>
  <si>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</si>
  <si>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</si>
  <si>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</si>
  <si>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</si>
  <si>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</si>
  <si>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</si>
  <si>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</si>
  <si>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</si>
  <si>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</si>
  <si>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</si>
  <si>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</si>
  <si>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</si>
  <si>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</si>
  <si>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</si>
  <si>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</si>
  <si>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</si>
  <si>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</si>
  <si>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</si>
  <si>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</si>
  <si>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</si>
  <si>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</si>
  <si>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</si>
  <si>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</si>
  <si>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</si>
  <si>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</si>
  <si>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</si>
  <si>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</si>
  <si>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</si>
  <si>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</si>
  <si>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</si>
  <si>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</si>
  <si>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</si>
  <si>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</si>
  <si>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</si>
  <si>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</si>
  <si>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</si>
  <si>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</si>
  <si>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</si>
  <si>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</si>
  <si>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</si>
  <si>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</si>
  <si>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</si>
  <si>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</si>
  <si>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</si>
  <si>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</si>
  <si>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</si>
  <si>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</si>
  <si>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</si>
  <si>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</si>
  <si>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</si>
  <si>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</si>
  <si>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</si>
  <si>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</si>
  <si>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</si>
  <si>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</si>
  <si>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</si>
  <si>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</si>
  <si>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</si>
  <si>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</si>
  <si>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</si>
  <si>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</si>
  <si>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</si>
  <si>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</si>
  <si>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</si>
  <si>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</si>
  <si>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</si>
  <si>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</si>
  <si>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</si>
  <si>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</si>
  <si>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</si>
  <si>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NC_Port</t>
  </si>
  <si>
    <t>InRule</t>
  </si>
  <si>
    <t>X_Rule</t>
  </si>
  <si>
    <t>X_ME</t>
  </si>
  <si>
    <t>X_IA</t>
  </si>
  <si>
    <t>X_KM</t>
  </si>
  <si>
    <t>X_OC</t>
  </si>
  <si>
    <t>AltCorrection</t>
  </si>
  <si>
    <t>C2</t>
  </si>
  <si>
    <t>Northern California TRACON CTV</t>
  </si>
  <si>
    <t>TerminalCTV</t>
  </si>
  <si>
    <t>A</t>
  </si>
  <si>
    <t>None</t>
  </si>
  <si>
    <t>038:57:16.02 N</t>
  </si>
  <si>
    <t>121:05:05.92 W</t>
  </si>
  <si>
    <t>GNSS</t>
  </si>
  <si>
    <t>PassiveRanging</t>
  </si>
  <si>
    <t>RS - UAT Radio Channel</t>
  </si>
  <si>
    <t>172-05</t>
  </si>
  <si>
    <t>SMF</t>
  </si>
  <si>
    <t>BE</t>
  </si>
  <si>
    <t>Truckee-Tahoe</t>
  </si>
  <si>
    <t>Terminal</t>
  </si>
  <si>
    <t>NoneAvailable</t>
  </si>
  <si>
    <t>C1</t>
  </si>
  <si>
    <t>Oakland</t>
  </si>
  <si>
    <t>EnrouteCTV</t>
  </si>
  <si>
    <t>BA</t>
  </si>
  <si>
    <t>Enroute</t>
  </si>
  <si>
    <t>BC</t>
  </si>
  <si>
    <t>Marysville-Beale AFB</t>
  </si>
  <si>
    <t>Sacramento-McClellan</t>
  </si>
  <si>
    <t>038:57:16.18 N</t>
  </si>
  <si>
    <t>121:05:04.69 W</t>
  </si>
  <si>
    <t>038:57:16.26 N</t>
  </si>
  <si>
    <t>121:05:03.37 W</t>
  </si>
  <si>
    <t>038:57:16.33 N</t>
  </si>
  <si>
    <t>121:05:02.06 W</t>
  </si>
  <si>
    <t>038:57:16.49 N</t>
  </si>
  <si>
    <t>121:05:00.75 W</t>
  </si>
  <si>
    <t>038:57:16.64 N</t>
  </si>
  <si>
    <t>121:04:59.20 W</t>
  </si>
  <si>
    <t>038:57:16.80 N</t>
  </si>
  <si>
    <t>121:04:57.73 W</t>
  </si>
  <si>
    <t>038:57:16.87 N</t>
  </si>
  <si>
    <t>121:04:56.42 W</t>
  </si>
  <si>
    <t>038:57:17.03 N</t>
  </si>
  <si>
    <t>121:04:55.03 W</t>
  </si>
  <si>
    <t>038:57:17.11 N</t>
  </si>
  <si>
    <t>121:04:53.80 W</t>
  </si>
  <si>
    <t>038:57:17.34 N</t>
  </si>
  <si>
    <t>121:04:52.40 W</t>
  </si>
  <si>
    <t>038:57:17.49 N</t>
  </si>
  <si>
    <t>121:04:51.09 W</t>
  </si>
  <si>
    <t>038:57:17.57 N</t>
  </si>
  <si>
    <t>121:04:49.70 W</t>
  </si>
  <si>
    <t>038:57:17.96 N</t>
  </si>
  <si>
    <t>121:04:48.23 W</t>
  </si>
  <si>
    <t>038:57:18.19 N</t>
  </si>
  <si>
    <t>121:04:46.77 W</t>
  </si>
  <si>
    <t>038:57:18.26 N</t>
  </si>
  <si>
    <t>121:04:45.53 W</t>
  </si>
  <si>
    <t>038:57:18.34 N</t>
  </si>
  <si>
    <t>121:04:44.14 W</t>
  </si>
  <si>
    <t>038:57:18.42 N</t>
  </si>
  <si>
    <t>121:04:42.75 W</t>
  </si>
  <si>
    <t>038:57:18.65 N</t>
  </si>
  <si>
    <t>121:04:41.36 W</t>
  </si>
  <si>
    <t>038:57:18.88 N</t>
  </si>
  <si>
    <t>121:04:39.74 W</t>
  </si>
  <si>
    <t>038:57:19.04 N</t>
  </si>
  <si>
    <t>121:04:38.27 W</t>
  </si>
  <si>
    <t>TimeDifferenceOfArrival</t>
  </si>
  <si>
    <t>038:57:19.35 N</t>
  </si>
  <si>
    <t>121:04:36.80 W</t>
  </si>
  <si>
    <t>038:57:19.42 N</t>
  </si>
  <si>
    <t>121:04:35.41 W</t>
  </si>
  <si>
    <t>038:57:19.58 N</t>
  </si>
  <si>
    <t>121:04:33.94 W</t>
  </si>
  <si>
    <t>038:57:19.81 N</t>
  </si>
  <si>
    <t>121:04:32.55 W</t>
  </si>
  <si>
    <t>038:57:19.96 N</t>
  </si>
  <si>
    <t>121:04:31.08 W</t>
  </si>
  <si>
    <t>038:57:20.50 N</t>
  </si>
  <si>
    <t>121:04:29.38 W</t>
  </si>
  <si>
    <t>038:57:20.12 N</t>
  </si>
  <si>
    <t>121:04:28.30 W</t>
  </si>
  <si>
    <t>038:57:20.35 N</t>
  </si>
  <si>
    <t>121:04:26.84 W</t>
  </si>
  <si>
    <t>038:57:20.43 N</t>
  </si>
  <si>
    <t>121:04:25.45 W</t>
  </si>
  <si>
    <t>121:04:23.98 W</t>
  </si>
  <si>
    <t>121:04:22.43 W</t>
  </si>
  <si>
    <t>038:57:20.58 N</t>
  </si>
  <si>
    <t>121:04:20.96 W</t>
  </si>
  <si>
    <t>121:04:19.42 W</t>
  </si>
  <si>
    <t>121:04:17.87 W</t>
  </si>
  <si>
    <t>121:04:16.33 W</t>
  </si>
  <si>
    <t>121:04:14.86 W</t>
  </si>
  <si>
    <t>121:04:13.32 W</t>
  </si>
  <si>
    <t>121:04:11.85 W</t>
  </si>
  <si>
    <t>038:57:20.66 N</t>
  </si>
  <si>
    <t>121:04:10.30 W</t>
  </si>
  <si>
    <t>121:04:08.84 W</t>
  </si>
  <si>
    <t>121:04:07.29 W</t>
  </si>
  <si>
    <t>038:57:20.74 N</t>
  </si>
  <si>
    <t>121:04:05.75 W</t>
  </si>
  <si>
    <t>038:57:20.81 N</t>
  </si>
  <si>
    <t>121:04:04.28 W</t>
  </si>
  <si>
    <t>038:57:21.28 N</t>
  </si>
  <si>
    <t>121:04:02.35 W</t>
  </si>
  <si>
    <t>038:57:20.89 N</t>
  </si>
  <si>
    <t>121:04:01.11 W</t>
  </si>
  <si>
    <t>038:57:20.97 N</t>
  </si>
  <si>
    <t>121:03:59.57 W</t>
  </si>
  <si>
    <t>121:03:57.94 W</t>
  </si>
  <si>
    <t>121:03:56.32 W</t>
  </si>
  <si>
    <t>038:57:21.04 N</t>
  </si>
  <si>
    <t>121:03:54.70 W</t>
  </si>
  <si>
    <t>121:03:53.08 W</t>
  </si>
  <si>
    <t>121:03:51.46 W</t>
  </si>
  <si>
    <t>121:03:49.91 W</t>
  </si>
  <si>
    <t>121:03:48.29 W</t>
  </si>
  <si>
    <t>121:03:46.67 W</t>
  </si>
  <si>
    <t>121:03:44.97 W</t>
  </si>
  <si>
    <t>121:03:43.42 W</t>
  </si>
  <si>
    <t>121:03:41.80 W</t>
  </si>
  <si>
    <t>121:03:40.18 W</t>
  </si>
  <si>
    <t>121:03:38.56 W</t>
  </si>
  <si>
    <t>121:03:36.86 W</t>
  </si>
  <si>
    <t>121:03:35.23 W</t>
  </si>
  <si>
    <t>121:03:33.38 W</t>
  </si>
  <si>
    <t>121:03:31.99 W</t>
  </si>
  <si>
    <t>121:03:30.44 W</t>
  </si>
  <si>
    <t>121:03:28.82 W</t>
  </si>
  <si>
    <t>121:03:27.35 W</t>
  </si>
  <si>
    <t>038:57:20.27 N</t>
  </si>
  <si>
    <t>121:03:25.81 W</t>
  </si>
  <si>
    <t>038:57:20.04 N</t>
  </si>
  <si>
    <t>121:03:24.34 W</t>
  </si>
  <si>
    <t>121:03:22.80 W</t>
  </si>
  <si>
    <t>121:03:21.33 W</t>
  </si>
  <si>
    <t>121:03:19.86 W</t>
  </si>
  <si>
    <t>121:03:18.39 W</t>
  </si>
  <si>
    <t>121:03:16.93 W</t>
  </si>
  <si>
    <t>121:03:15.38 W</t>
  </si>
  <si>
    <t>038:57:20.20 N</t>
  </si>
  <si>
    <t>121:03:13.99 W</t>
  </si>
  <si>
    <t>121:03:12.52 W</t>
  </si>
  <si>
    <t>121:03:11.06 W</t>
  </si>
  <si>
    <t>121:03:09.82 W</t>
  </si>
  <si>
    <t>121:03:08.35 W</t>
  </si>
  <si>
    <t>038:57:21.35 N</t>
  </si>
  <si>
    <t>121:03:07.19 W</t>
  </si>
  <si>
    <t>038:57:21.89 N</t>
  </si>
  <si>
    <t>121:03:05.96 W</t>
  </si>
  <si>
    <t>038:57:22.51 N</t>
  </si>
  <si>
    <t>121:03:04.80 W</t>
  </si>
  <si>
    <t>038:57:23.21 N</t>
  </si>
  <si>
    <t>121:03:03.79 W</t>
  </si>
  <si>
    <t>038:57:23.90 N</t>
  </si>
  <si>
    <t>121:03:02.87 W</t>
  </si>
  <si>
    <t>038:57:24.75 N</t>
  </si>
  <si>
    <t>121:03:02.02 W</t>
  </si>
  <si>
    <t>038:57:25.68 N</t>
  </si>
  <si>
    <t>121:03:01.32 W</t>
  </si>
  <si>
    <t>038:57:26.53 N</t>
  </si>
  <si>
    <t>121:03:00.63 W</t>
  </si>
  <si>
    <t>038:57:27.53 N</t>
  </si>
  <si>
    <t>121:03:00.24 W</t>
  </si>
  <si>
    <t>038:57:28.62 N</t>
  </si>
  <si>
    <t>121:02:59.85 W</t>
  </si>
  <si>
    <t>038:57:29.70 N</t>
  </si>
  <si>
    <t>121:02:59.55 W</t>
  </si>
  <si>
    <t>038:57:30.78 N</t>
  </si>
  <si>
    <t>121:02:59.31 W</t>
  </si>
  <si>
    <t>172-03</t>
  </si>
  <si>
    <t>WLW</t>
  </si>
  <si>
    <t>038:57:31.94 N</t>
  </si>
  <si>
    <t>121:02:59.08 W</t>
  </si>
  <si>
    <t>038:57:33.10 N</t>
  </si>
  <si>
    <t>121:02:58.93 W</t>
  </si>
  <si>
    <t>038:57:34.25 N</t>
  </si>
  <si>
    <t>121:02:58.85 W</t>
  </si>
  <si>
    <t>038:57:35.34 N</t>
  </si>
  <si>
    <t>121:02:58.77 W</t>
  </si>
  <si>
    <t>038:57:36.49 N</t>
  </si>
  <si>
    <t>038:57:37.65 N</t>
  </si>
  <si>
    <t>038:57:38.73 N</t>
  </si>
  <si>
    <t>038:57:39.97 N</t>
  </si>
  <si>
    <t>038:57:41.05 N</t>
  </si>
  <si>
    <t>038:57:42.21 N</t>
  </si>
  <si>
    <t>038:57:43.37 N</t>
  </si>
  <si>
    <t>038:57:44.68 N</t>
  </si>
  <si>
    <t>038:57:45.92 N</t>
  </si>
  <si>
    <t>038:57:47.23 N</t>
  </si>
  <si>
    <t>121:02:59.01 W</t>
  </si>
  <si>
    <t>038:57:48.55 N</t>
  </si>
  <si>
    <t>038:57:49.86 N</t>
  </si>
  <si>
    <t>121:02:59.16 W</t>
  </si>
  <si>
    <t>038:57:51.33 N</t>
  </si>
  <si>
    <t>038:57:52.72 N</t>
  </si>
  <si>
    <t>121:02:59.24 W</t>
  </si>
  <si>
    <t>038:57:54.11 N</t>
  </si>
  <si>
    <t>121:02:59.39 W</t>
  </si>
  <si>
    <t>038:57:55.57 N</t>
  </si>
  <si>
    <t>121:02:59.47 W</t>
  </si>
  <si>
    <t>038:57:56.97 N</t>
  </si>
  <si>
    <t>038:57:58.36 N</t>
  </si>
  <si>
    <t>038:58:00.13 N</t>
  </si>
  <si>
    <t>038:58:01.29 N</t>
  </si>
  <si>
    <t>121:02:59.78 W</t>
  </si>
  <si>
    <t>038:58:02.68 N</t>
  </si>
  <si>
    <t>038:58:03.99 N</t>
  </si>
  <si>
    <t>121:02:59.93 W</t>
  </si>
  <si>
    <t>038:58:05.39 N</t>
  </si>
  <si>
    <t>038:58:06.78 N</t>
  </si>
  <si>
    <t>121:03:00.01 W</t>
  </si>
  <si>
    <t>038:58:08.17 N</t>
  </si>
  <si>
    <t>121:03:00.09 W</t>
  </si>
  <si>
    <t>038:58:09.56 N</t>
  </si>
  <si>
    <t>121:03:00.16 W</t>
  </si>
  <si>
    <t>038:58:10.95 N</t>
  </si>
  <si>
    <t>038:58:12.34 N</t>
  </si>
  <si>
    <t>038:58:13.73 N</t>
  </si>
  <si>
    <t>121:03:00.32 W</t>
  </si>
  <si>
    <t>038:58:15.43 N</t>
  </si>
  <si>
    <t>038:58:16.82 N</t>
  </si>
  <si>
    <t>121:03:00.40 W</t>
  </si>
  <si>
    <t>038:58:18.21 N</t>
  </si>
  <si>
    <t>121:03:00.55 W</t>
  </si>
  <si>
    <t>038:58:19.60 N</t>
  </si>
  <si>
    <t>038:58:20.99 N</t>
  </si>
  <si>
    <t>121:03:00.78 W</t>
  </si>
  <si>
    <t>038:58:21.99 N</t>
  </si>
  <si>
    <t>121:03:01.17 W</t>
  </si>
  <si>
    <t>038:58:23.38 N</t>
  </si>
  <si>
    <t>038:58:24.85 N</t>
  </si>
  <si>
    <t>121:03:01.48 W</t>
  </si>
  <si>
    <t>038:58:26.32 N</t>
  </si>
  <si>
    <t>121:03:01.71 W</t>
  </si>
  <si>
    <t>038:58:27.71 N</t>
  </si>
  <si>
    <t>121:03:01.86 W</t>
  </si>
  <si>
    <t>038:58:29.10 N</t>
  </si>
  <si>
    <t>121:03:02.17 W</t>
  </si>
  <si>
    <t>038:58:30.57 N</t>
  </si>
  <si>
    <t>121:03:02.40 W</t>
  </si>
  <si>
    <t>038:58:32.42 N</t>
  </si>
  <si>
    <t>038:58:33.43 N</t>
  </si>
  <si>
    <t>121:03:02.79 W</t>
  </si>
  <si>
    <t>038:58:35.20 N</t>
  </si>
  <si>
    <t>038:58:36.36 N</t>
  </si>
  <si>
    <t>121:03:03.25 W</t>
  </si>
  <si>
    <t>038:58:38.14 N</t>
  </si>
  <si>
    <t>121:03:03.33 W</t>
  </si>
  <si>
    <t>038:58:39.53 N</t>
  </si>
  <si>
    <t>121:03:03.56 W</t>
  </si>
  <si>
    <t>038:58:40.69 N</t>
  </si>
  <si>
    <t>121:03:04.03 W</t>
  </si>
  <si>
    <t>038:58:42.08 N</t>
  </si>
  <si>
    <t>121:03:04.26 W</t>
  </si>
  <si>
    <t>038:58:43.47 N</t>
  </si>
  <si>
    <t>121:03:04.49 W</t>
  </si>
  <si>
    <t>038:58:44.86 N</t>
  </si>
  <si>
    <t>038:58:46.25 N</t>
  </si>
  <si>
    <t>121:03:05.03 W</t>
  </si>
  <si>
    <t>038:58:47.64 N</t>
  </si>
  <si>
    <t>121:03:05.26 W</t>
  </si>
  <si>
    <t>038:58:49.42 N</t>
  </si>
  <si>
    <t>038:58:50.88 N</t>
  </si>
  <si>
    <t>121:03:05.57 W</t>
  </si>
  <si>
    <t>038:58:51.89 N</t>
  </si>
  <si>
    <t>038:58:53.36 N</t>
  </si>
  <si>
    <t>121:03:06.27 W</t>
  </si>
  <si>
    <t>038:58:55.06 N</t>
  </si>
  <si>
    <t>121:03:06.19 W</t>
  </si>
  <si>
    <t>038:58:56.06 N</t>
  </si>
  <si>
    <t>121:03:06.65 W</t>
  </si>
  <si>
    <t>038:58:57.53 N</t>
  </si>
  <si>
    <t>121:03:06.88 W</t>
  </si>
  <si>
    <t>038:58:58.99 N</t>
  </si>
  <si>
    <t>121:03:07.12 W</t>
  </si>
  <si>
    <t>038:59:00.46 N</t>
  </si>
  <si>
    <t>121:03:07.35 W</t>
  </si>
  <si>
    <t>038:59:02.01 N</t>
  </si>
  <si>
    <t>121:03:07.58 W</t>
  </si>
  <si>
    <t>172-06</t>
  </si>
  <si>
    <t>JAQ</t>
  </si>
  <si>
    <t>038:59:03.48 N</t>
  </si>
  <si>
    <t>121:03:07.89 W</t>
  </si>
  <si>
    <t>038:59:05.33 N</t>
  </si>
  <si>
    <t>038:59:06.41 N</t>
  </si>
  <si>
    <t>121:03:08.27 W</t>
  </si>
  <si>
    <t>038:59:07.96 N</t>
  </si>
  <si>
    <t>121:03:08.51 W</t>
  </si>
  <si>
    <t>038:59:09.42 N</t>
  </si>
  <si>
    <t>121:03:08.74 W</t>
  </si>
  <si>
    <t>038:59:10.97 N</t>
  </si>
  <si>
    <t>121:03:08.97 W</t>
  </si>
  <si>
    <t>038:59:12.44 N</t>
  </si>
  <si>
    <t>121:03:09.20 W</t>
  </si>
  <si>
    <t>038:59:13.90 N</t>
  </si>
  <si>
    <t>121:03:09.43 W</t>
  </si>
  <si>
    <t>038:59:15.29 N</t>
  </si>
  <si>
    <t>121:03:09.59 W</t>
  </si>
  <si>
    <t>038:59:16.76 N</t>
  </si>
  <si>
    <t>038:59:18.15 N</t>
  </si>
  <si>
    <t>121:03:09.90 W</t>
  </si>
  <si>
    <t>038:59:19.62 N</t>
  </si>
  <si>
    <t>121:03:10.13 W</t>
  </si>
  <si>
    <t>038:59:21.01 N</t>
  </si>
  <si>
    <t>121:03:10.28 W</t>
  </si>
  <si>
    <t>038:59:22.48 N</t>
  </si>
  <si>
    <t>121:03:10.36 W</t>
  </si>
  <si>
    <t>038:59:23.87 N</t>
  </si>
  <si>
    <t>121:03:10.51 W</t>
  </si>
  <si>
    <t>038:59:25.26 N</t>
  </si>
  <si>
    <t>121:03:10.59 W</t>
  </si>
  <si>
    <t>038:59:26.65 N</t>
  </si>
  <si>
    <t>038:59:28.04 N</t>
  </si>
  <si>
    <t>038:59:29.51 N</t>
  </si>
  <si>
    <t>038:59:30.74 N</t>
  </si>
  <si>
    <t>038:59:32.06 N</t>
  </si>
  <si>
    <t>038:59:33.29 N</t>
  </si>
  <si>
    <t>038:59:34.61 N</t>
  </si>
  <si>
    <t>121:03:09.67 W</t>
  </si>
  <si>
    <t>038:59:35.92 N</t>
  </si>
  <si>
    <t>121:03:09.51 W</t>
  </si>
  <si>
    <t>038:59:37.23 N</t>
  </si>
  <si>
    <t>121:03:09.28 W</t>
  </si>
  <si>
    <t>038:59:38.55 N</t>
  </si>
  <si>
    <t>121:03:09.12 W</t>
  </si>
  <si>
    <t>038:59:39.86 N</t>
  </si>
  <si>
    <t>038:59:41.17 N</t>
  </si>
  <si>
    <t>121:03:08.82 W</t>
  </si>
  <si>
    <t>038:59:42.56 N</t>
  </si>
  <si>
    <t>038:59:43.95 N</t>
  </si>
  <si>
    <t>038:59:45.34 N</t>
  </si>
  <si>
    <t>038:59:46.73 N</t>
  </si>
  <si>
    <t>121:03:08.89 W</t>
  </si>
  <si>
    <t>038:59:48.12 N</t>
  </si>
  <si>
    <t>038:59:49.67 N</t>
  </si>
  <si>
    <t>038:59:51.06 N</t>
  </si>
  <si>
    <t>121:03:09.36 W</t>
  </si>
  <si>
    <t>038:59:52.60 N</t>
  </si>
  <si>
    <t>038:59:54.07 N</t>
  </si>
  <si>
    <t>038:59:55.54 N</t>
  </si>
  <si>
    <t>038:59:57.09 N</t>
  </si>
  <si>
    <t>121:03:10.67 W</t>
  </si>
  <si>
    <t>038:59:58.63 N</t>
  </si>
  <si>
    <t>039:00:00.10 N</t>
  </si>
  <si>
    <t>121:03:11.44 W</t>
  </si>
  <si>
    <t>039:00:01.64 N</t>
  </si>
  <si>
    <t>121:03:11.83 W</t>
  </si>
  <si>
    <t>039:00:03.11 N</t>
  </si>
  <si>
    <t>121:03:12.21 W</t>
  </si>
  <si>
    <t>039:00:04.66 N</t>
  </si>
  <si>
    <t>121:03:12.60 W</t>
  </si>
  <si>
    <t>039:00:06.12 N</t>
  </si>
  <si>
    <t>121:03:12.99 W</t>
  </si>
  <si>
    <t>039:00:07.51 N</t>
  </si>
  <si>
    <t>121:03:13.37 W</t>
  </si>
  <si>
    <t>039:00:08.98 N</t>
  </si>
  <si>
    <t>121:03:13.68 W</t>
  </si>
  <si>
    <t>039:00:10.45 N</t>
  </si>
  <si>
    <t>121:03:14.07 W</t>
  </si>
  <si>
    <t>039:00:11.84 N</t>
  </si>
  <si>
    <t>121:03:14.45 W</t>
  </si>
  <si>
    <t>039:00:13.23 N</t>
  </si>
  <si>
    <t>121:03:14.76 W</t>
  </si>
  <si>
    <t>039:00:14.62 N</t>
  </si>
  <si>
    <t>121:03:15.15 W</t>
  </si>
  <si>
    <t>039:00:16.09 N</t>
  </si>
  <si>
    <t>121:03:15.46 W</t>
  </si>
  <si>
    <t>039:00:17.48 N</t>
  </si>
  <si>
    <t>121:03:15.77 W</t>
  </si>
  <si>
    <t>039:00:18.95 N</t>
  </si>
  <si>
    <t>121:03:16.15 W</t>
  </si>
  <si>
    <t>039:00:20.34 N</t>
  </si>
  <si>
    <t>121:03:16.39 W</t>
  </si>
  <si>
    <t>039:00:21.80 N</t>
  </si>
  <si>
    <t>121:03:16.69 W</t>
  </si>
  <si>
    <t>039:00:23.19 N</t>
  </si>
  <si>
    <t>121:03:17.00 W</t>
  </si>
  <si>
    <t>039:00:24.66 N</t>
  </si>
  <si>
    <t>121:03:17.31 W</t>
  </si>
  <si>
    <t>039:00:26.13 N</t>
  </si>
  <si>
    <t>121:03:17.54 W</t>
  </si>
  <si>
    <t>039:00:27.60 N</t>
  </si>
  <si>
    <t>121:03:17.85 W</t>
  </si>
  <si>
    <t>039:00:29.07 N</t>
  </si>
  <si>
    <t>121:03:18.16 W</t>
  </si>
  <si>
    <t>039:00:30.53 N</t>
  </si>
  <si>
    <t>121:03:18.47 W</t>
  </si>
  <si>
    <t>039:00:32.00 N</t>
  </si>
  <si>
    <t>121:03:18.78 W</t>
  </si>
  <si>
    <t>039:00:33.47 N</t>
  </si>
  <si>
    <t>121:03:19.09 W</t>
  </si>
  <si>
    <t>039:00:34.94 N</t>
  </si>
  <si>
    <t>121:03:19.32 W</t>
  </si>
  <si>
    <t>039:00:36.40 N</t>
  </si>
  <si>
    <t>121:03:19.55 W</t>
  </si>
  <si>
    <t>039:00:37.79 N</t>
  </si>
  <si>
    <t>121:03:19.78 W</t>
  </si>
  <si>
    <t>039:00:39.19 N</t>
  </si>
  <si>
    <t>039:00:40.58 N</t>
  </si>
  <si>
    <t>039:00:42.04 N</t>
  </si>
  <si>
    <t>039:00:43.36 N</t>
  </si>
  <si>
    <t>121:03:19.71 W</t>
  </si>
  <si>
    <t>039:00:44.67 N</t>
  </si>
  <si>
    <t>121:03:19.63 W</t>
  </si>
  <si>
    <t>039:00:45.98 N</t>
  </si>
  <si>
    <t>121:03:19.40 W</t>
  </si>
  <si>
    <t>039:00:47.30 N</t>
  </si>
  <si>
    <t>121:03:19.24 W</t>
  </si>
  <si>
    <t>039:00:48.45 N</t>
  </si>
  <si>
    <t>121:03:18.93 W</t>
  </si>
  <si>
    <t>039:00:49.77 N</t>
  </si>
  <si>
    <t>121:03:18.63 W</t>
  </si>
  <si>
    <t>039:00:51.00 N</t>
  </si>
  <si>
    <t>121:03:18.24 W</t>
  </si>
  <si>
    <t>039:00:52.24 N</t>
  </si>
  <si>
    <t>039:00:53.48 N</t>
  </si>
  <si>
    <t>121:03:17.47 W</t>
  </si>
  <si>
    <t>039:00:54.79 N</t>
  </si>
  <si>
    <t>039:00:56.03 N</t>
  </si>
  <si>
    <t>121:03:16.46 W</t>
  </si>
  <si>
    <t>039:00:57.26 N</t>
  </si>
  <si>
    <t>121:03:15.92 W</t>
  </si>
  <si>
    <t>039:00:58.42 N</t>
  </si>
  <si>
    <t>121:03:15.30 W</t>
  </si>
  <si>
    <t>039:00:59.66 N</t>
  </si>
  <si>
    <t>039:01:00.89 N</t>
  </si>
  <si>
    <t>121:03:14.15 W</t>
  </si>
  <si>
    <t>039:01:02.13 N</t>
  </si>
  <si>
    <t>121:03:13.60 W</t>
  </si>
  <si>
    <t>039:01:03.36 N</t>
  </si>
  <si>
    <t>039:01:04.52 N</t>
  </si>
  <si>
    <t>121:03:12.29 W</t>
  </si>
  <si>
    <t>039:01:05.76 N</t>
  </si>
  <si>
    <t>121:03:11.67 W</t>
  </si>
  <si>
    <t>039:01:06.99 N</t>
  </si>
  <si>
    <t>039:01:08.08 N</t>
  </si>
  <si>
    <t>121:03:10.44 W</t>
  </si>
  <si>
    <t>039:01:09.23 N</t>
  </si>
  <si>
    <t>121:03:09.74 W</t>
  </si>
  <si>
    <t>039:01:10.39 N</t>
  </si>
  <si>
    <t>039:01:11.47 N</t>
  </si>
  <si>
    <t>039:01:12.56 N</t>
  </si>
  <si>
    <t>039:01:13.71 N</t>
  </si>
  <si>
    <t>039:01:14.80 N</t>
  </si>
  <si>
    <t>039:01:15.88 N</t>
  </si>
  <si>
    <t>039:01:16.96 N</t>
  </si>
  <si>
    <t>039:01:18.12 N</t>
  </si>
  <si>
    <t>039:01:19.20 N</t>
  </si>
  <si>
    <t>039:01:20.28 N</t>
  </si>
  <si>
    <t>121:03:02.48 W</t>
  </si>
  <si>
    <t>039:01:21.36 N</t>
  </si>
  <si>
    <t>039:01:22.52 N</t>
  </si>
  <si>
    <t>121:03:00.86 W</t>
  </si>
  <si>
    <t>039:01:23.60 N</t>
  </si>
  <si>
    <t>039:01:24.76 N</t>
  </si>
  <si>
    <t>039:01:25.84 N</t>
  </si>
  <si>
    <t>121:02:58.46 W</t>
  </si>
  <si>
    <t>039:01:26.92 N</t>
  </si>
  <si>
    <t>121:02:57.54 W</t>
  </si>
  <si>
    <t>039:01:28.08 N</t>
  </si>
  <si>
    <t>121:02:56.69 W</t>
  </si>
  <si>
    <t>039:01:29.24 N</t>
  </si>
  <si>
    <t>121:02:55.76 W</t>
  </si>
  <si>
    <t>039:01:30.32 N</t>
  </si>
  <si>
    <t>121:02:54.91 W</t>
  </si>
  <si>
    <t>039:01:31.48 N</t>
  </si>
  <si>
    <t>121:02:54.06 W</t>
  </si>
  <si>
    <t>039:01:32.64 N</t>
  </si>
  <si>
    <t>121:02:53.21 W</t>
  </si>
  <si>
    <t>039:01:33.80 N</t>
  </si>
  <si>
    <t>121:02:52.44 W</t>
  </si>
  <si>
    <t>039:01:35.04 N</t>
  </si>
  <si>
    <t>121:02:51.67 W</t>
  </si>
  <si>
    <t>039:01:36.27 N</t>
  </si>
  <si>
    <t>121:02:50.89 W</t>
  </si>
  <si>
    <t>039:01:37.58 N</t>
  </si>
  <si>
    <t>121:02:50.28 W</t>
  </si>
  <si>
    <t>039:01:38.90 N</t>
  </si>
  <si>
    <t>121:02:49.66 W</t>
  </si>
  <si>
    <t>039:01:40.29 N</t>
  </si>
  <si>
    <t>121:02:49.12 W</t>
  </si>
  <si>
    <t>039:01:41.68 N</t>
  </si>
  <si>
    <t>121:02:48.65 W</t>
  </si>
  <si>
    <t>039:01:42.99 N</t>
  </si>
  <si>
    <t>121:02:48.19 W</t>
  </si>
  <si>
    <t>039:01:44.30 N</t>
  </si>
  <si>
    <t>121:02:47.73 W</t>
  </si>
  <si>
    <t>039:01:45.70 N</t>
  </si>
  <si>
    <t>121:02:47.42 W</t>
  </si>
  <si>
    <t>039:01:47.16 N</t>
  </si>
  <si>
    <t>121:02:47.11 W</t>
  </si>
  <si>
    <t>039:01:48.55 N</t>
  </si>
  <si>
    <t>121:02:46.80 W</t>
  </si>
  <si>
    <t>039:01:49.94 N</t>
  </si>
  <si>
    <t>121:02:46.49 W</t>
  </si>
  <si>
    <t>039:01:51.41 N</t>
  </si>
  <si>
    <t>121:02:46.18 W</t>
  </si>
  <si>
    <t>039:01:52.80 N</t>
  </si>
  <si>
    <t>121:02:45.87 W</t>
  </si>
  <si>
    <t>039:01:54.12 N</t>
  </si>
  <si>
    <t>121:02:45.56 W</t>
  </si>
  <si>
    <t>039:01:55.58 N</t>
  </si>
  <si>
    <t>121:02:45.25 W</t>
  </si>
  <si>
    <t>039:01:56.90 N</t>
  </si>
  <si>
    <t>121:02:45.02 W</t>
  </si>
  <si>
    <t>039:01:58.29 N</t>
  </si>
  <si>
    <t>121:02:44.71 W</t>
  </si>
  <si>
    <t>039:01:59.60 N</t>
  </si>
  <si>
    <t>121:02:44.33 W</t>
  </si>
  <si>
    <t>039:02:00.99 N</t>
  </si>
  <si>
    <t>121:02:44.10 W</t>
  </si>
  <si>
    <t>039:02:02.38 N</t>
  </si>
  <si>
    <t>121:02:43.79 W</t>
  </si>
  <si>
    <t>039:02:03.69 N</t>
  </si>
  <si>
    <t>121:02:43.40 W</t>
  </si>
  <si>
    <t>039:02:05.08 N</t>
  </si>
  <si>
    <t>121:02:43.09 W</t>
  </si>
  <si>
    <t>039:02:06.40 N</t>
  </si>
  <si>
    <t>121:02:42.78 W</t>
  </si>
  <si>
    <t>039:02:07.63 N</t>
  </si>
  <si>
    <t>121:02:42.40 W</t>
  </si>
  <si>
    <t>039:02:08.95 N</t>
  </si>
  <si>
    <t>121:02:42.09 W</t>
  </si>
  <si>
    <t>039:02:10.26 N</t>
  </si>
  <si>
    <t>121:02:41.62 W</t>
  </si>
  <si>
    <t>039:02:11.65 N</t>
  </si>
  <si>
    <t>121:02:41.24 W</t>
  </si>
  <si>
    <t>039:02:12.96 N</t>
  </si>
  <si>
    <t>121:02:40.85 W</t>
  </si>
  <si>
    <t>039:02:14.28 N</t>
  </si>
  <si>
    <t>121:02:40.47 W</t>
  </si>
  <si>
    <t>039:02:15.59 N</t>
  </si>
  <si>
    <t>121:02:40.00 W</t>
  </si>
  <si>
    <t>039:02:16.83 N</t>
  </si>
  <si>
    <t>121:02:39.54 W</t>
  </si>
  <si>
    <t>039:02:18.22 N</t>
  </si>
  <si>
    <t>121:02:39.15 W</t>
  </si>
  <si>
    <t>039:02:19.53 N</t>
  </si>
  <si>
    <t>121:02:38.69 W</t>
  </si>
  <si>
    <t>039:02:20.84 N</t>
  </si>
  <si>
    <t>121:02:38.23 W</t>
  </si>
  <si>
    <t>039:02:22.31 N</t>
  </si>
  <si>
    <t>121:02:37.84 W</t>
  </si>
  <si>
    <t>039:02:23.62 N</t>
  </si>
  <si>
    <t>121:02:37.30 W</t>
  </si>
  <si>
    <t>039:02:25.01 N</t>
  </si>
  <si>
    <t>121:02:36.83 W</t>
  </si>
  <si>
    <t>039:02:26.40 N</t>
  </si>
  <si>
    <t>121:02:36.37 W</t>
  </si>
  <si>
    <t>039:02:27.87 N</t>
  </si>
  <si>
    <t>121:02:35.99 W</t>
  </si>
  <si>
    <t>039:02:29.26 N</t>
  </si>
  <si>
    <t>121:02:35.44 W</t>
  </si>
  <si>
    <t>039:02:30.65 N</t>
  </si>
  <si>
    <t>121:02:35.06 W</t>
  </si>
  <si>
    <t>039:02:32.04 N</t>
  </si>
  <si>
    <t>121:02:34.67 W</t>
  </si>
  <si>
    <t>039:02:33.43 N</t>
  </si>
  <si>
    <t>121:02:34.21 W</t>
  </si>
  <si>
    <t>039:02:34.82 N</t>
  </si>
  <si>
    <t>121:02:33.75 W</t>
  </si>
  <si>
    <t>039:02:36.22 N</t>
  </si>
  <si>
    <t>121:02:33.36 W</t>
  </si>
  <si>
    <t>039:02:37.76 N</t>
  </si>
  <si>
    <t>121:02:33.05 W</t>
  </si>
  <si>
    <t>039:02:39.23 N</t>
  </si>
  <si>
    <t>121:02:32.66 W</t>
  </si>
  <si>
    <t>039:02:40.62 N</t>
  </si>
  <si>
    <t>121:02:32.28 W</t>
  </si>
  <si>
    <t>039:02:42.09 N</t>
  </si>
  <si>
    <t>121:02:31.89 W</t>
  </si>
  <si>
    <t>039:02:43.55 N</t>
  </si>
  <si>
    <t>121:02:31.58 W</t>
  </si>
  <si>
    <t>039:02:45.02 N</t>
  </si>
  <si>
    <t>121:02:31.27 W</t>
  </si>
  <si>
    <t>039:02:46.41 N</t>
  </si>
  <si>
    <t>121:02:30.96 W</t>
  </si>
  <si>
    <t>039:02:47.96 N</t>
  </si>
  <si>
    <t>121:02:30.66 W</t>
  </si>
  <si>
    <t>039:02:49.42 N</t>
  </si>
  <si>
    <t>121:02:30.50 W</t>
  </si>
  <si>
    <t>039:02:50.89 N</t>
  </si>
  <si>
    <t>121:02:30.27 W</t>
  </si>
  <si>
    <t>039:02:52.44 N</t>
  </si>
  <si>
    <t>121:02:30.11 W</t>
  </si>
  <si>
    <t>039:02:53.98 N</t>
  </si>
  <si>
    <t>121:02:29.96 W</t>
  </si>
  <si>
    <t>039:02:55.45 N</t>
  </si>
  <si>
    <t>121:02:29.81 W</t>
  </si>
  <si>
    <t>039:02:57.07 N</t>
  </si>
  <si>
    <t>121:02:29.73 W</t>
  </si>
  <si>
    <t>039:02:58.54 N</t>
  </si>
  <si>
    <t>121:02:29.65 W</t>
  </si>
  <si>
    <t>039:03:00.08 N</t>
  </si>
  <si>
    <t>121:02:29.57 W</t>
  </si>
  <si>
    <t>039:03:01.63 N</t>
  </si>
  <si>
    <t>039:03:03.10 N</t>
  </si>
  <si>
    <t>121:02:29.50 W</t>
  </si>
  <si>
    <t>039:03:04.57 N</t>
  </si>
  <si>
    <t>039:03:06.11 N</t>
  </si>
  <si>
    <t>039:03:07.73 N</t>
  </si>
  <si>
    <t>039:03:09.20 N</t>
  </si>
  <si>
    <t>039:03:10.74 N</t>
  </si>
  <si>
    <t>039:03:12.29 N</t>
  </si>
  <si>
    <t>121:02:29.42 W</t>
  </si>
  <si>
    <t>039:03:13.83 N</t>
  </si>
  <si>
    <t>039:03:15.30 N</t>
  </si>
  <si>
    <t>121:02:29.34 W</t>
  </si>
  <si>
    <t>039:03:16.85 N</t>
  </si>
  <si>
    <t>039:03:18.39 N</t>
  </si>
  <si>
    <t>039:03:19.86 N</t>
  </si>
  <si>
    <t>039:03:21.33 N</t>
  </si>
  <si>
    <t>039:03:22.87 N</t>
  </si>
  <si>
    <t>039:03:24.34 N</t>
  </si>
  <si>
    <t>039:03:25.89 N</t>
  </si>
  <si>
    <t>039:03:27.35 N</t>
  </si>
  <si>
    <t>039:03:28.90 N</t>
  </si>
  <si>
    <t>039:03:30.37 N</t>
  </si>
  <si>
    <t>039:03:31.91 N</t>
  </si>
  <si>
    <t>039:03:33.46 N</t>
  </si>
  <si>
    <t>039:03:34.92 N</t>
  </si>
  <si>
    <t>039:03:36.47 N</t>
  </si>
  <si>
    <t>039:03:38.09 N</t>
  </si>
  <si>
    <t>039:03:39.48 N</t>
  </si>
  <si>
    <t>039:03:40.95 N</t>
  </si>
  <si>
    <t>039:03:42.49 N</t>
  </si>
  <si>
    <t>039:03:43.96 N</t>
  </si>
  <si>
    <t>039:03:45.51 N</t>
  </si>
  <si>
    <t>039:03:47.13 N</t>
  </si>
  <si>
    <t>039:03:48.75 N</t>
  </si>
  <si>
    <t>039:03:50.14 N</t>
  </si>
  <si>
    <t>039:03:51.69 N</t>
  </si>
  <si>
    <t>039:03:53.15 N</t>
  </si>
  <si>
    <t>121:02:29.26 W</t>
  </si>
  <si>
    <t>039:03:54.70 N</t>
  </si>
  <si>
    <t>121:02:29.19 W</t>
  </si>
  <si>
    <t>039:03:56.24 N</t>
  </si>
  <si>
    <t>121:02:29.11 W</t>
  </si>
  <si>
    <t>039:03:57.71 N</t>
  </si>
  <si>
    <t>121:02:29.03 W</t>
  </si>
  <si>
    <t>039:03:59.18 N</t>
  </si>
  <si>
    <t>121:02:28.96 W</t>
  </si>
  <si>
    <t>039:04:00.72 N</t>
  </si>
  <si>
    <t>039:04:02.27 N</t>
  </si>
  <si>
    <t>121:02:28.88 W</t>
  </si>
  <si>
    <t>039:04:03.66 N</t>
  </si>
  <si>
    <t>121:02:28.80 W</t>
  </si>
  <si>
    <t>039:04:05.20 N</t>
  </si>
  <si>
    <t>121:02:28.72 W</t>
  </si>
  <si>
    <t>039:04:06.75 N</t>
  </si>
  <si>
    <t>121:02:28.49 W</t>
  </si>
  <si>
    <t>039:04:08.22 N</t>
  </si>
  <si>
    <t>121:02:28.18 W</t>
  </si>
  <si>
    <t>039:04:09.68 N</t>
  </si>
  <si>
    <t>121:02:27.80 W</t>
  </si>
  <si>
    <t>039:04:11.23 N</t>
  </si>
  <si>
    <t>121:02:27.33 W</t>
  </si>
  <si>
    <t>039:04:12.62 N</t>
  </si>
  <si>
    <t>121:02:26.87 W</t>
  </si>
  <si>
    <t>039:04:14.09 N</t>
  </si>
  <si>
    <t>121:02:26.41 W</t>
  </si>
  <si>
    <t>039:04:15.56 N</t>
  </si>
  <si>
    <t>121:02:26.02 W</t>
  </si>
  <si>
    <t>039:04:17.02 N</t>
  </si>
  <si>
    <t>121:02:25.63 W</t>
  </si>
  <si>
    <t>039:04:18.41 N</t>
  </si>
  <si>
    <t>121:02:25.33 W</t>
  </si>
  <si>
    <t>039:04:19.96 N</t>
  </si>
  <si>
    <t>121:02:25.02 W</t>
  </si>
  <si>
    <t>039:04:21.43 N</t>
  </si>
  <si>
    <t>121:02:24.71 W</t>
  </si>
  <si>
    <t>039:04:22.82 N</t>
  </si>
  <si>
    <t>121:02:24.32 W</t>
  </si>
  <si>
    <t>039:04:24.36 N</t>
  </si>
  <si>
    <t>121:02:24.09 W</t>
  </si>
  <si>
    <t>039:04:25.75 N</t>
  </si>
  <si>
    <t>121:02:23.78 W</t>
  </si>
  <si>
    <t>039:04:27.22 N</t>
  </si>
  <si>
    <t>121:02:23.47 W</t>
  </si>
  <si>
    <t>039:04:28.77 N</t>
  </si>
  <si>
    <t>121:02:23.24 W</t>
  </si>
  <si>
    <t>039:04:30.23 N</t>
  </si>
  <si>
    <t>121:02:22.93 W</t>
  </si>
  <si>
    <t>039:04:31.78 N</t>
  </si>
  <si>
    <t>121:02:22.62 W</t>
  </si>
  <si>
    <t>039:04:33.32 N</t>
  </si>
  <si>
    <t>121:02:22.31 W</t>
  </si>
  <si>
    <t>039:04:34.79 N</t>
  </si>
  <si>
    <t>121:02:22.08 W</t>
  </si>
  <si>
    <t>039:04:36.41 N</t>
  </si>
  <si>
    <t>121:02:21.85 W</t>
  </si>
  <si>
    <t>039:04:37.88 N</t>
  </si>
  <si>
    <t>121:02:21.54 W</t>
  </si>
  <si>
    <t>039:04:39.43 N</t>
  </si>
  <si>
    <t>121:02:21.31 W</t>
  </si>
  <si>
    <t>039:04:40.89 N</t>
  </si>
  <si>
    <t>121:02:21.00 W</t>
  </si>
  <si>
    <t>039:04:42.36 N</t>
  </si>
  <si>
    <t>121:02:20.84 W</t>
  </si>
  <si>
    <t>039:04:43.83 N</t>
  </si>
  <si>
    <t>121:02:20.54 W</t>
  </si>
  <si>
    <t>039:04:45.30 N</t>
  </si>
  <si>
    <t>121:02:20.30 W</t>
  </si>
  <si>
    <t>039:04:46.69 N</t>
  </si>
  <si>
    <t>121:02:20.00 W</t>
  </si>
  <si>
    <t>039:04:48.08 N</t>
  </si>
  <si>
    <t>121:02:19.76 W</t>
  </si>
  <si>
    <t>039:04:49.54 N</t>
  </si>
  <si>
    <t>121:02:19.45 W</t>
  </si>
  <si>
    <t>039:04:50.94 N</t>
  </si>
  <si>
    <t>121:02:19.22 W</t>
  </si>
  <si>
    <t>039:04:52.33 N</t>
  </si>
  <si>
    <t>121:02:18.91 W</t>
  </si>
  <si>
    <t>039:04:53.72 N</t>
  </si>
  <si>
    <t>121:02:18.60 W</t>
  </si>
  <si>
    <t>039:04:55.03 N</t>
  </si>
  <si>
    <t>121:02:18.22 W</t>
  </si>
  <si>
    <t>039:04:56.42 N</t>
  </si>
  <si>
    <t>121:02:17.99 W</t>
  </si>
  <si>
    <t>039:04:57.89 N</t>
  </si>
  <si>
    <t>121:02:17.68 W</t>
  </si>
  <si>
    <t>039:04:59.28 N</t>
  </si>
  <si>
    <t>121:02:17.37 W</t>
  </si>
  <si>
    <t>039:05:00.67 N</t>
  </si>
  <si>
    <t>121:02:17.06 W</t>
  </si>
  <si>
    <t>039:05:02.06 N</t>
  </si>
  <si>
    <t>121:02:16.75 W</t>
  </si>
  <si>
    <t>039:05:03.45 N</t>
  </si>
  <si>
    <t>121:02:16.36 W</t>
  </si>
  <si>
    <t>039:05:04.84 N</t>
  </si>
  <si>
    <t>121:02:15.98 W</t>
  </si>
  <si>
    <t>039:05:06.31 N</t>
  </si>
  <si>
    <t>121:02:15.82 W</t>
  </si>
  <si>
    <t>039:05:07.78 N</t>
  </si>
  <si>
    <t>121:02:15.36 W</t>
  </si>
  <si>
    <t>039:05:09.24 N</t>
  </si>
  <si>
    <t>121:02:15.05 W</t>
  </si>
  <si>
    <t>039:05:10.63 N</t>
  </si>
  <si>
    <t>121:02:14.74 W</t>
  </si>
  <si>
    <t>039:05:12.02 N</t>
  </si>
  <si>
    <t>121:02:14.43 W</t>
  </si>
  <si>
    <t>039:05:13.49 N</t>
  </si>
  <si>
    <t>121:02:13.97 W</t>
  </si>
  <si>
    <t>039:05:14.88 N</t>
  </si>
  <si>
    <t>121:02:13.58 W</t>
  </si>
  <si>
    <t>039:05:16.35 N</t>
  </si>
  <si>
    <t>121:02:13.12 W</t>
  </si>
  <si>
    <t>039:05:17.74 N</t>
  </si>
  <si>
    <t>121:02:12.73 W</t>
  </si>
  <si>
    <t>039:05:19.05 N</t>
  </si>
  <si>
    <t>121:02:12.50 W</t>
  </si>
  <si>
    <t>039:05:20.37 N</t>
  </si>
  <si>
    <t>121:02:12.04 W</t>
  </si>
  <si>
    <t>039:05:21.76 N</t>
  </si>
  <si>
    <t>121:02:11.65 W</t>
  </si>
  <si>
    <t>039:05:23.15 N</t>
  </si>
  <si>
    <t>121:02:11.27 W</t>
  </si>
  <si>
    <t>039:05:24.46 N</t>
  </si>
  <si>
    <t>121:02:10.88 W</t>
  </si>
  <si>
    <t>039:05:25.85 N</t>
  </si>
  <si>
    <t>121:02:10.49 W</t>
  </si>
  <si>
    <t>039:05:27.24 N</t>
  </si>
  <si>
    <t>121:02:10.18 W</t>
  </si>
  <si>
    <t>039:05:28.63 N</t>
  </si>
  <si>
    <t>121:02:09.80 W</t>
  </si>
  <si>
    <t>039:05:30.02 N</t>
  </si>
  <si>
    <t>121:02:09.49 W</t>
  </si>
  <si>
    <t>039:05:31.41 N</t>
  </si>
  <si>
    <t>121:02:09.18 W</t>
  </si>
  <si>
    <t>039:05:32.80 N</t>
  </si>
  <si>
    <t>121:02:08.87 W</t>
  </si>
  <si>
    <t>039:05:34.19 N</t>
  </si>
  <si>
    <t>121:02:08.49 W</t>
  </si>
  <si>
    <t>039:05:35.58 N</t>
  </si>
  <si>
    <t>121:02:08.10 W</t>
  </si>
  <si>
    <t>039:05:36.90 N</t>
  </si>
  <si>
    <t>121:02:07.79 W</t>
  </si>
  <si>
    <t>039:05:38.29 N</t>
  </si>
  <si>
    <t>121:02:07.48 W</t>
  </si>
  <si>
    <t>039:05:39.60 N</t>
  </si>
  <si>
    <t>121:02:07.09 W</t>
  </si>
  <si>
    <t>039:05:40.91 N</t>
  </si>
  <si>
    <t>121:02:06.79 W</t>
  </si>
  <si>
    <t>039:05:42.23 N</t>
  </si>
  <si>
    <t>121:02:06.48 W</t>
  </si>
  <si>
    <t>039:05:43.46 N</t>
  </si>
  <si>
    <t>121:02:06.09 W</t>
  </si>
  <si>
    <t>039:05:44.78 N</t>
  </si>
  <si>
    <t>121:02:05.78 W</t>
  </si>
  <si>
    <t>039:05:45.94 N</t>
  </si>
  <si>
    <t>121:02:05.40 W</t>
  </si>
  <si>
    <t>039:05:47.17 N</t>
  </si>
  <si>
    <t>121:02:05.09 W</t>
  </si>
  <si>
    <t>039:05:48.41 N</t>
  </si>
  <si>
    <t>121:02:04.78 W</t>
  </si>
  <si>
    <t>039:05:49.57 N</t>
  </si>
  <si>
    <t>121:02:04.47 W</t>
  </si>
  <si>
    <t>039:05:50.72 N</t>
  </si>
  <si>
    <t>121:02:04.16 W</t>
  </si>
  <si>
    <t>039:05:51.88 N</t>
  </si>
  <si>
    <t>121:02:03.85 W</t>
  </si>
  <si>
    <t>039:05:53.12 N</t>
  </si>
  <si>
    <t>121:02:03.39 W</t>
  </si>
  <si>
    <t>039:05:54.28 N</t>
  </si>
  <si>
    <t>121:02:03.00 W</t>
  </si>
  <si>
    <t>039:05:55.51 N</t>
  </si>
  <si>
    <t>121:02:02.69 W</t>
  </si>
  <si>
    <t>039:05:56.75 N</t>
  </si>
  <si>
    <t>121:02:02.31 W</t>
  </si>
  <si>
    <t>039:05:57.99 N</t>
  </si>
  <si>
    <t>121:02:02.00 W</t>
  </si>
  <si>
    <t>039:05:59.30 N</t>
  </si>
  <si>
    <t>121:02:01.69 W</t>
  </si>
  <si>
    <t>039:06:00.61 N</t>
  </si>
  <si>
    <t>121:02:01.38 W</t>
  </si>
  <si>
    <t>039:06:01.93 N</t>
  </si>
  <si>
    <t>121:02:01.07 W</t>
  </si>
  <si>
    <t>039:06:03.24 N</t>
  </si>
  <si>
    <t>121:02:00.84 W</t>
  </si>
  <si>
    <t>039:06:04.55 N</t>
  </si>
  <si>
    <t>121:02:00.53 W</t>
  </si>
  <si>
    <t>039:06:05.87 N</t>
  </si>
  <si>
    <t>121:02:00.37 W</t>
  </si>
  <si>
    <t>039:06:07.33 N</t>
  </si>
  <si>
    <t>121:02:00.14 W</t>
  </si>
  <si>
    <t>039:06:08.65 N</t>
  </si>
  <si>
    <t>121:01:59.83 W</t>
  </si>
  <si>
    <t>039:06:09.96 N</t>
  </si>
  <si>
    <t>121:01:59.52 W</t>
  </si>
  <si>
    <t>039:06:11.43 N</t>
  </si>
  <si>
    <t>121:01:59.29 W</t>
  </si>
  <si>
    <t>039:06:12.82 N</t>
  </si>
  <si>
    <t>121:01:59.06 W</t>
  </si>
  <si>
    <t>039:06:14.21 N</t>
  </si>
  <si>
    <t>121:01:58.83 W</t>
  </si>
  <si>
    <t>039:06:15.60 N</t>
  </si>
  <si>
    <t>121:01:58.67 W</t>
  </si>
  <si>
    <t>039:06:16.99 N</t>
  </si>
  <si>
    <t>121:01:58.44 W</t>
  </si>
  <si>
    <t>039:06:18.46 N</t>
  </si>
  <si>
    <t>121:01:58.29 W</t>
  </si>
  <si>
    <t>039:06:19.85 N</t>
  </si>
  <si>
    <t>121:01:58.06 W</t>
  </si>
  <si>
    <t>039:06:21.31 N</t>
  </si>
  <si>
    <t>121:01:57.90 W</t>
  </si>
  <si>
    <t>039:06:22.71 N</t>
  </si>
  <si>
    <t>121:01:57.75 W</t>
  </si>
  <si>
    <t>039:06:24.17 N</t>
  </si>
  <si>
    <t>121:01:57.59 W</t>
  </si>
  <si>
    <t>039:06:25.64 N</t>
  </si>
  <si>
    <t>121:01:57.44 W</t>
  </si>
  <si>
    <t>039:06:27.03 N</t>
  </si>
  <si>
    <t>121:01:57.28 W</t>
  </si>
  <si>
    <t>039:06:28.50 N</t>
  </si>
  <si>
    <t>121:01:57.13 W</t>
  </si>
  <si>
    <t>039:06:29.89 N</t>
  </si>
  <si>
    <t>121:01:57.05 W</t>
  </si>
  <si>
    <t>039:06:31.36 N</t>
  </si>
  <si>
    <t>121:01:56.98 W</t>
  </si>
  <si>
    <t>039:06:32.75 N</t>
  </si>
  <si>
    <t>121:01:56.90 W</t>
  </si>
  <si>
    <t>039:06:34.22 N</t>
  </si>
  <si>
    <t>121:01:56.82 W</t>
  </si>
  <si>
    <t>039:06:35.68 N</t>
  </si>
  <si>
    <t>121:01:56.74 W</t>
  </si>
  <si>
    <t>039:06:37.07 N</t>
  </si>
  <si>
    <t>121:01:56.67 W</t>
  </si>
  <si>
    <t>039:06:38.46 N</t>
  </si>
  <si>
    <t>121:01:56.59 W</t>
  </si>
  <si>
    <t>039:06:39.93 N</t>
  </si>
  <si>
    <t>121:01:56.51 W</t>
  </si>
  <si>
    <t>039:06:41.32 N</t>
  </si>
  <si>
    <t>121:01:56.43 W</t>
  </si>
  <si>
    <t>039:06:42.71 N</t>
  </si>
  <si>
    <t>121:01:56.28 W</t>
  </si>
  <si>
    <t>039:06:44.10 N</t>
  </si>
  <si>
    <t>121:01:56.13 W</t>
  </si>
  <si>
    <t>039:06:45.49 N</t>
  </si>
  <si>
    <t>121:01:56.05 W</t>
  </si>
  <si>
    <t>039:06:46.88 N</t>
  </si>
  <si>
    <t>121:01:55.97 W</t>
  </si>
  <si>
    <t>039:06:48.35 N</t>
  </si>
  <si>
    <t>121:01:55.89 W</t>
  </si>
  <si>
    <t>039:06:49.74 N</t>
  </si>
  <si>
    <t>039:06:51.13 N</t>
  </si>
  <si>
    <t>121:01:55.82 W</t>
  </si>
  <si>
    <t>039:06:52.60 N</t>
  </si>
  <si>
    <t>039:06:53.99 N</t>
  </si>
  <si>
    <t>121:01:55.74 W</t>
  </si>
  <si>
    <t>039:06:55.46 N</t>
  </si>
  <si>
    <t>039:06:56.77 N</t>
  </si>
  <si>
    <t>121:01:55.66 W</t>
  </si>
  <si>
    <t>039:06:58.16 N</t>
  </si>
  <si>
    <t>121:01:55.58 W</t>
  </si>
  <si>
    <t>039:06:59.55 N</t>
  </si>
  <si>
    <t>039:07:00.94 N</t>
  </si>
  <si>
    <t>121:01:55.51 W</t>
  </si>
  <si>
    <t>039:07:02.33 N</t>
  </si>
  <si>
    <t>121:01:55.43 W</t>
  </si>
  <si>
    <t>039:07:03.72 N</t>
  </si>
  <si>
    <t>121:01:55.35 W</t>
  </si>
  <si>
    <t>039:07:05.11 N</t>
  </si>
  <si>
    <t>121:01:55.28 W</t>
  </si>
  <si>
    <t>039:07:06.50 N</t>
  </si>
  <si>
    <t>039:07:07.90 N</t>
  </si>
  <si>
    <t>121:01:55.20 W</t>
  </si>
  <si>
    <t>039:07:09.36 N</t>
  </si>
  <si>
    <t>039:07:10.75 N</t>
  </si>
  <si>
    <t>039:07:12.14 N</t>
  </si>
  <si>
    <t>039:07:13.53 N</t>
  </si>
  <si>
    <t>121:01:55.12 W</t>
  </si>
  <si>
    <t>039:07:14.92 N</t>
  </si>
  <si>
    <t>039:07:16.24 N</t>
  </si>
  <si>
    <t>121:01:55.04 W</t>
  </si>
  <si>
    <t>039:07:17.71 N</t>
  </si>
  <si>
    <t>121:01:54.97 W</t>
  </si>
  <si>
    <t>039:07:19.10 N</t>
  </si>
  <si>
    <t>039:07:20.41 N</t>
  </si>
  <si>
    <t>121:01:54.81 W</t>
  </si>
  <si>
    <t>039:07:21.80 N</t>
  </si>
  <si>
    <t>121:01:54.74 W</t>
  </si>
  <si>
    <t>039:07:23.19 N</t>
  </si>
  <si>
    <t>121:01:54.66 W</t>
  </si>
  <si>
    <t>039:07:24.66 N</t>
  </si>
  <si>
    <t>039:07:26.05 N</t>
  </si>
  <si>
    <t>121:01:54.50 W</t>
  </si>
  <si>
    <t>039:07:27.52 N</t>
  </si>
  <si>
    <t>039:07:28.91 N</t>
  </si>
  <si>
    <t>121:01:54.43 W</t>
  </si>
  <si>
    <t>039:07:30.30 N</t>
  </si>
  <si>
    <t>121:01:54.35 W</t>
  </si>
  <si>
    <t>039:07:31.76 N</t>
  </si>
  <si>
    <t>121:01:54.27 W</t>
  </si>
  <si>
    <t>039:07:33.16 N</t>
  </si>
  <si>
    <t>121:01:54.19 W</t>
  </si>
  <si>
    <t>039:07:34.55 N</t>
  </si>
  <si>
    <t>121:01:54.12 W</t>
  </si>
  <si>
    <t>039:07:36.01 N</t>
  </si>
  <si>
    <t>121:01:54.04 W</t>
  </si>
  <si>
    <t>039:07:37.40 N</t>
  </si>
  <si>
    <t>039:07:38.79 N</t>
  </si>
  <si>
    <t>121:01:53.96 W</t>
  </si>
  <si>
    <t>039:07:40.26 N</t>
  </si>
  <si>
    <t>121:01:53.81 W</t>
  </si>
  <si>
    <t>039:07:41.65 N</t>
  </si>
  <si>
    <t>121:01:53.73 W</t>
  </si>
  <si>
    <t>039:07:43.04 N</t>
  </si>
  <si>
    <t>121:01:53.58 W</t>
  </si>
  <si>
    <t>039:07:44.43 N</t>
  </si>
  <si>
    <t>121:01:53.34 W</t>
  </si>
  <si>
    <t>039:07:45.90 N</t>
  </si>
  <si>
    <t>121:01:53.19 W</t>
  </si>
  <si>
    <t>039:07:47.37 N</t>
  </si>
  <si>
    <t>121:01:53.11 W</t>
  </si>
  <si>
    <t>039:07:48.76 N</t>
  </si>
  <si>
    <t>121:01:52.96 W</t>
  </si>
  <si>
    <t>039:07:50.23 N</t>
  </si>
  <si>
    <t>121:01:52.80 W</t>
  </si>
  <si>
    <t>039:07:51.62 N</t>
  </si>
  <si>
    <t>121:01:52.73 W</t>
  </si>
  <si>
    <t>039:07:53.01 N</t>
  </si>
  <si>
    <t>121:01:52.57 W</t>
  </si>
  <si>
    <t>039:07:54.40 N</t>
  </si>
  <si>
    <t>121:01:52.42 W</t>
  </si>
  <si>
    <t>039:07:55.79 N</t>
  </si>
  <si>
    <t>121:01:52.34 W</t>
  </si>
  <si>
    <t>039:07:57.26 N</t>
  </si>
  <si>
    <t>121:01:52.26 W</t>
  </si>
  <si>
    <t>039:07:58.65 N</t>
  </si>
  <si>
    <t>121:01:52.11 W</t>
  </si>
  <si>
    <t>039:08:00.04 N</t>
  </si>
  <si>
    <t>121:01:52.03 W</t>
  </si>
  <si>
    <t>039:08:01.51 N</t>
  </si>
  <si>
    <t>121:01:51.95 W</t>
  </si>
  <si>
    <t>039:08:02.90 N</t>
  </si>
  <si>
    <t>039:08:04.36 N</t>
  </si>
  <si>
    <t>121:01:51.88 W</t>
  </si>
  <si>
    <t>039:08:05.75 N</t>
  </si>
  <si>
    <t>039:08:07.22 N</t>
  </si>
  <si>
    <t>121:01:51.80 W</t>
  </si>
  <si>
    <t>039:08:08.61 N</t>
  </si>
  <si>
    <t>121:01:51.72 W</t>
  </si>
  <si>
    <t>039:08:10.00 N</t>
  </si>
  <si>
    <t>039:08:11.39 N</t>
  </si>
  <si>
    <t>121:01:51.65 W</t>
  </si>
  <si>
    <t>039:08:12.86 N</t>
  </si>
  <si>
    <t>039:08:14.25 N</t>
  </si>
  <si>
    <t>121:01:51.57 W</t>
  </si>
  <si>
    <t>039:08:15.56 N</t>
  </si>
  <si>
    <t>039:08:17.03 N</t>
  </si>
  <si>
    <t>039:08:18.50 N</t>
  </si>
  <si>
    <t>039:08:19.89 N</t>
  </si>
  <si>
    <t>039:08:21.28 N</t>
  </si>
  <si>
    <t>039:08:22.67 N</t>
  </si>
  <si>
    <t>039:08:24.06 N</t>
  </si>
  <si>
    <t>039:08:25.45 N</t>
  </si>
  <si>
    <t>039:08:26.92 N</t>
  </si>
  <si>
    <t>039:08:28.39 N</t>
  </si>
  <si>
    <t>039:08:29.78 N</t>
  </si>
  <si>
    <t>039:08:31.17 N</t>
  </si>
  <si>
    <t>039:08:32.64 N</t>
  </si>
  <si>
    <t>121:01:52.19 W</t>
  </si>
  <si>
    <t>039:08:34.10 N</t>
  </si>
  <si>
    <t>039:08:35.49 N</t>
  </si>
  <si>
    <t>039:08:36.96 N</t>
  </si>
  <si>
    <t>039:08:38.35 N</t>
  </si>
  <si>
    <t>039:08:39.74 N</t>
  </si>
  <si>
    <t>039:08:41.13 N</t>
  </si>
  <si>
    <t>121:01:52.65 W</t>
  </si>
  <si>
    <t>039:08:42.52 N</t>
  </si>
  <si>
    <t>039:08:44.07 N</t>
  </si>
  <si>
    <t>039:08:45.46 N</t>
  </si>
  <si>
    <t>039:08:46.77 N</t>
  </si>
  <si>
    <t>039:08:48.16 N</t>
  </si>
  <si>
    <t>039:08:49.55 N</t>
  </si>
  <si>
    <t>039:08:50.94 N</t>
  </si>
  <si>
    <t>039:08:52.41 N</t>
  </si>
  <si>
    <t>039:08:53.72 N</t>
  </si>
  <si>
    <t>039:08:55.04 N</t>
  </si>
  <si>
    <t>039:08:56.43 N</t>
  </si>
  <si>
    <t>121:01:52.49 W</t>
  </si>
  <si>
    <t>039:08:57.74 N</t>
  </si>
  <si>
    <t>039:08:59.13 N</t>
  </si>
  <si>
    <t>039:09:00.44 N</t>
  </si>
  <si>
    <t>039:09:01.76 N</t>
  </si>
  <si>
    <t>039:09:03.07 N</t>
  </si>
  <si>
    <t>039:09:04.54 N</t>
  </si>
  <si>
    <t>039:09:05.93 N</t>
  </si>
  <si>
    <t>039:09:07.40 N</t>
  </si>
  <si>
    <t>039:09:08.86 N</t>
  </si>
  <si>
    <t>039:09:10.33 N</t>
  </si>
  <si>
    <t>039:09:11.88 N</t>
  </si>
  <si>
    <t>039:09:13.42 N</t>
  </si>
  <si>
    <t>039:09:14.89 N</t>
  </si>
  <si>
    <t>121:01:51.41 W</t>
  </si>
  <si>
    <t>039:09:16.51 N</t>
  </si>
  <si>
    <t>121:01:51.34 W</t>
  </si>
  <si>
    <t>039:09:18.06 N</t>
  </si>
  <si>
    <t>039:09:19.60 N</t>
  </si>
  <si>
    <t>121:01:51.26 W</t>
  </si>
  <si>
    <t>039:09:21.22 N</t>
  </si>
  <si>
    <t>121:01:51.18 W</t>
  </si>
  <si>
    <t>039:09:22.77 N</t>
  </si>
  <si>
    <t>039:09:24.39 N</t>
  </si>
  <si>
    <t>121:01:51.10 W</t>
  </si>
  <si>
    <t>039:09:26.01 N</t>
  </si>
  <si>
    <t>039:09:27.56 N</t>
  </si>
  <si>
    <t>121:01:51.03 W</t>
  </si>
  <si>
    <t>039:09:29.10 N</t>
  </si>
  <si>
    <t>039:09:30.73 N</t>
  </si>
  <si>
    <t>039:09:32.27 N</t>
  </si>
  <si>
    <t>039:09:33.89 N</t>
  </si>
  <si>
    <t>039:09:35.44 N</t>
  </si>
  <si>
    <t>039:09:36.98 N</t>
  </si>
  <si>
    <t>039:09:38.61 N</t>
  </si>
  <si>
    <t>039:09:40.15 N</t>
  </si>
  <si>
    <t>039:09:41.70 N</t>
  </si>
  <si>
    <t>039:09:43.24 N</t>
  </si>
  <si>
    <t>039:09:44.79 N</t>
  </si>
  <si>
    <t>039:09:46.33 N</t>
  </si>
  <si>
    <t>039:09:47.87 N</t>
  </si>
  <si>
    <t>039:09:49.50 N</t>
  </si>
  <si>
    <t>039:09:51.04 N</t>
  </si>
  <si>
    <t>039:09:52.59 N</t>
  </si>
  <si>
    <t>039:09:54.13 N</t>
  </si>
  <si>
    <t>039:09:55.68 N</t>
  </si>
  <si>
    <t>039:09:57.22 N</t>
  </si>
  <si>
    <t>039:09:58.77 N</t>
  </si>
  <si>
    <t>039:10:00.31 N</t>
  </si>
  <si>
    <t>039:10:01.78 N</t>
  </si>
  <si>
    <t>039:10:03.32 N</t>
  </si>
  <si>
    <t>039:10:04.79 N</t>
  </si>
  <si>
    <t>121:01:50.87 W</t>
  </si>
  <si>
    <t>039:10:06.26 N</t>
  </si>
  <si>
    <t>121:01:50.72 W</t>
  </si>
  <si>
    <t>039:10:07.80 N</t>
  </si>
  <si>
    <t>121:01:50.56 W</t>
  </si>
  <si>
    <t>039:10:09.27 N</t>
  </si>
  <si>
    <t>121:01:50.41 W</t>
  </si>
  <si>
    <t>039:10:10.74 N</t>
  </si>
  <si>
    <t>121:01:50.25 W</t>
  </si>
  <si>
    <t>039:10:12.29 N</t>
  </si>
  <si>
    <t>121:01:50.02 W</t>
  </si>
  <si>
    <t>039:10:13.75 N</t>
  </si>
  <si>
    <t>121:01:49.79 W</t>
  </si>
  <si>
    <t>039:10:15.22 N</t>
  </si>
  <si>
    <t>121:01:49.56 W</t>
  </si>
  <si>
    <t>039:10:16.61 N</t>
  </si>
  <si>
    <t>121:01:49.33 W</t>
  </si>
  <si>
    <t>039:10:18.08 N</t>
  </si>
  <si>
    <t>121:01:49.10 W</t>
  </si>
  <si>
    <t>039:10:19.55 N</t>
  </si>
  <si>
    <t>121:01:48.86 W</t>
  </si>
  <si>
    <t>039:10:21.01 N</t>
  </si>
  <si>
    <t>121:01:48.56 W</t>
  </si>
  <si>
    <t>039:10:22.40 N</t>
  </si>
  <si>
    <t>121:01:48.32 W</t>
  </si>
  <si>
    <t>039:10:23.87 N</t>
  </si>
  <si>
    <t>121:01:48.01 W</t>
  </si>
  <si>
    <t>039:10:25.26 N</t>
  </si>
  <si>
    <t>121:01:47.63 W</t>
  </si>
  <si>
    <t>039:10:26.65 N</t>
  </si>
  <si>
    <t>121:01:47.32 W</t>
  </si>
  <si>
    <t>039:10:28.04 N</t>
  </si>
  <si>
    <t>121:01:46.93 W</t>
  </si>
  <si>
    <t>039:10:29.43 N</t>
  </si>
  <si>
    <t>121:01:46.47 W</t>
  </si>
  <si>
    <t>039:10:30.82 N</t>
  </si>
  <si>
    <t>121:01:46.08 W</t>
  </si>
  <si>
    <t>039:10:32.14 N</t>
  </si>
  <si>
    <t>121:01:45.70 W</t>
  </si>
  <si>
    <t>039:10:33.53 N</t>
  </si>
  <si>
    <t>121:01:45.16 W</t>
  </si>
  <si>
    <t>039:10:34.84 N</t>
  </si>
  <si>
    <t>121:01:44.62 W</t>
  </si>
  <si>
    <t>039:10:36.23 N</t>
  </si>
  <si>
    <t>121:01:44.15 W</t>
  </si>
  <si>
    <t>039:10:37.55 N</t>
  </si>
  <si>
    <t>121:01:43.61 W</t>
  </si>
  <si>
    <t>039:10:38.78 N</t>
  </si>
  <si>
    <t>121:01:42.99 W</t>
  </si>
  <si>
    <t>039:10:40.17 N</t>
  </si>
  <si>
    <t>121:01:42.38 W</t>
  </si>
  <si>
    <t>039:10:41.48 N</t>
  </si>
  <si>
    <t>121:01:41.83 W</t>
  </si>
  <si>
    <t>039:10:42.72 N</t>
  </si>
  <si>
    <t>121:01:41.29 W</t>
  </si>
  <si>
    <t>039:10:44.03 N</t>
  </si>
  <si>
    <t>121:01:40.68 W</t>
  </si>
  <si>
    <t>039:10:45.27 N</t>
  </si>
  <si>
    <t>121:01:40.14 W</t>
  </si>
  <si>
    <t>039:10:46.51 N</t>
  </si>
  <si>
    <t>121:01:39.36 W</t>
  </si>
  <si>
    <t>039:10:47.74 N</t>
  </si>
  <si>
    <t>121:01:38.74 W</t>
  </si>
  <si>
    <t>039:10:48.98 N</t>
  </si>
  <si>
    <t>121:01:38.05 W</t>
  </si>
  <si>
    <t>039:10:50.21 N</t>
  </si>
  <si>
    <t>121:01:37.43 W</t>
  </si>
  <si>
    <t>039:10:51.45 N</t>
  </si>
  <si>
    <t>121:01:36.81 W</t>
  </si>
  <si>
    <t>039:10:52.69 N</t>
  </si>
  <si>
    <t>121:01:36.12 W</t>
  </si>
  <si>
    <t>039:10:53.92 N</t>
  </si>
  <si>
    <t>121:01:35.42 W</t>
  </si>
  <si>
    <t>039:10:55.16 N</t>
  </si>
  <si>
    <t>121:01:34.73 W</t>
  </si>
  <si>
    <t>039:10:56.32 N</t>
  </si>
  <si>
    <t>121:01:33.96 W</t>
  </si>
  <si>
    <t>039:10:57.55 N</t>
  </si>
  <si>
    <t>121:01:33.18 W</t>
  </si>
  <si>
    <t>039:10:58.79 N</t>
  </si>
  <si>
    <t>121:01:32.49 W</t>
  </si>
  <si>
    <t>039:10:59.95 N</t>
  </si>
  <si>
    <t>121:01:31.64 W</t>
  </si>
  <si>
    <t>039:11:01.11 N</t>
  </si>
  <si>
    <t>121:01:30.87 W</t>
  </si>
  <si>
    <t>039:11:02.26 N</t>
  </si>
  <si>
    <t>121:01:30.09 W</t>
  </si>
  <si>
    <t>039:11:03.42 N</t>
  </si>
  <si>
    <t>121:01:29.24 W</t>
  </si>
  <si>
    <t>039:11:04.58 N</t>
  </si>
  <si>
    <t>121:01:28.47 W</t>
  </si>
  <si>
    <t>039:11:05.74 N</t>
  </si>
  <si>
    <t>121:01:27.70 W</t>
  </si>
  <si>
    <t>039:11:06.90 N</t>
  </si>
  <si>
    <t>121:01:26.85 W</t>
  </si>
  <si>
    <t>039:11:08.06 N</t>
  </si>
  <si>
    <t>121:01:26.08 W</t>
  </si>
  <si>
    <t>039:11:09.22 N</t>
  </si>
  <si>
    <t>121:01:25.23 W</t>
  </si>
  <si>
    <t>039:11:10.38 N</t>
  </si>
  <si>
    <t>121:01:24.45 W</t>
  </si>
  <si>
    <t>039:11:11.53 N</t>
  </si>
  <si>
    <t>121:01:23.68 W</t>
  </si>
  <si>
    <t>039:11:12.69 N</t>
  </si>
  <si>
    <t>121:01:22.91 W</t>
  </si>
  <si>
    <t>039:11:13.85 N</t>
  </si>
  <si>
    <t>121:01:22.06 W</t>
  </si>
  <si>
    <t>039:11:15.01 N</t>
  </si>
  <si>
    <t>121:01:21.29 W</t>
  </si>
  <si>
    <t>039:11:16.17 N</t>
  </si>
  <si>
    <t>121:01:20.51 W</t>
  </si>
  <si>
    <t>039:11:17.33 N</t>
  </si>
  <si>
    <t>121:01:19.66 W</t>
  </si>
  <si>
    <t>039:11:18.41 N</t>
  </si>
  <si>
    <t>121:01:18.89 W</t>
  </si>
  <si>
    <t>039:11:19.57 N</t>
  </si>
  <si>
    <t>121:01:18.12 W</t>
  </si>
  <si>
    <t>039:11:20.73 N</t>
  </si>
  <si>
    <t>121:01:17.27 W</t>
  </si>
  <si>
    <t>039:11:21.89 N</t>
  </si>
  <si>
    <t>121:01:16.57 W</t>
  </si>
  <si>
    <t>039:11:23.04 N</t>
  </si>
  <si>
    <t>121:01:15.80 W</t>
  </si>
  <si>
    <t>039:11:24.13 N</t>
  </si>
  <si>
    <t>121:01:15.03 W</t>
  </si>
  <si>
    <t>039:11:25.28 N</t>
  </si>
  <si>
    <t>121:01:14.26 W</t>
  </si>
  <si>
    <t>039:11:26.44 N</t>
  </si>
  <si>
    <t>121:01:13.48 W</t>
  </si>
  <si>
    <t>039:11:27.60 N</t>
  </si>
  <si>
    <t>121:01:12.79 W</t>
  </si>
  <si>
    <t>039:11:28.68 N</t>
  </si>
  <si>
    <t>121:01:12.02 W</t>
  </si>
  <si>
    <t>039:11:29.76 N</t>
  </si>
  <si>
    <t>121:01:11.24 W</t>
  </si>
  <si>
    <t>039:11:30.92 N</t>
  </si>
  <si>
    <t>121:01:10.55 W</t>
  </si>
  <si>
    <t>039:11:32.00 N</t>
  </si>
  <si>
    <t>121:01:09.78 W</t>
  </si>
  <si>
    <t>039:11:33.09 N</t>
  </si>
  <si>
    <t>121:01:09.08 W</t>
  </si>
  <si>
    <t>039:11:34.24 N</t>
  </si>
  <si>
    <t>121:01:08.31 W</t>
  </si>
  <si>
    <t>039:11:35.33 N</t>
  </si>
  <si>
    <t>121:01:07.61 W</t>
  </si>
  <si>
    <t>039:11:36.41 N</t>
  </si>
  <si>
    <t>121:01:06.92 W</t>
  </si>
  <si>
    <t>039:11:37.49 N</t>
  </si>
  <si>
    <t>121:01:06.15 W</t>
  </si>
  <si>
    <t>039:11:38.57 N</t>
  </si>
  <si>
    <t>121:01:05.37 W</t>
  </si>
  <si>
    <t>039:11:39.65 N</t>
  </si>
  <si>
    <t>121:01:04.60 W</t>
  </si>
  <si>
    <t>039:11:40.66 N</t>
  </si>
  <si>
    <t>121:01:03.91 W</t>
  </si>
  <si>
    <t>039:11:41.74 N</t>
  </si>
  <si>
    <t>121:01:03.13 W</t>
  </si>
  <si>
    <t>039:11:42.74 N</t>
  </si>
  <si>
    <t>121:01:02.44 W</t>
  </si>
  <si>
    <t>039:11:43.82 N</t>
  </si>
  <si>
    <t>121:01:01.74 W</t>
  </si>
  <si>
    <t>039:11:44.75 N</t>
  </si>
  <si>
    <t>121:01:00.97 W</t>
  </si>
  <si>
    <t>039:11:45.83 N</t>
  </si>
  <si>
    <t>121:01:00.28 W</t>
  </si>
  <si>
    <t>039:11:46.84 N</t>
  </si>
  <si>
    <t>121:00:59.50 W</t>
  </si>
  <si>
    <t>039:11:47.84 N</t>
  </si>
  <si>
    <t>121:00:58.81 W</t>
  </si>
  <si>
    <t>039:11:48.84 N</t>
  </si>
  <si>
    <t>121:00:58.04 W</t>
  </si>
  <si>
    <t>039:11:49.77 N</t>
  </si>
  <si>
    <t>121:00:57.26 W</t>
  </si>
  <si>
    <t>039:11:50.85 N</t>
  </si>
  <si>
    <t>121:00:56.49 W</t>
  </si>
  <si>
    <t>039:11:51.93 N</t>
  </si>
  <si>
    <t>121:00:55.72 W</t>
  </si>
  <si>
    <t>039:11:53.02 N</t>
  </si>
  <si>
    <t>121:00:55.02 W</t>
  </si>
  <si>
    <t>039:11:54.10 N</t>
  </si>
  <si>
    <t>121:00:54.17 W</t>
  </si>
  <si>
    <t>039:11:55.18 N</t>
  </si>
  <si>
    <t>121:00:53.48 W</t>
  </si>
  <si>
    <t>039:11:56.34 N</t>
  </si>
  <si>
    <t>121:00:52.71 W</t>
  </si>
  <si>
    <t>039:11:57.50 N</t>
  </si>
  <si>
    <t>121:00:51.93 W</t>
  </si>
  <si>
    <t>039:11:58.66 N</t>
  </si>
  <si>
    <t>121:00:51.16 W</t>
  </si>
  <si>
    <t>039:11:59.81 N</t>
  </si>
  <si>
    <t>121:00:50.39 W</t>
  </si>
  <si>
    <t>039:12:00.90 N</t>
  </si>
  <si>
    <t>121:00:49.54 W</t>
  </si>
  <si>
    <t>039:12:02.05 N</t>
  </si>
  <si>
    <t>121:00:48.61 W</t>
  </si>
  <si>
    <t>039:12:03.21 N</t>
  </si>
  <si>
    <t>121:00:47.76 W</t>
  </si>
  <si>
    <t>039:12:04.29 N</t>
  </si>
  <si>
    <t>121:00:46.91 W</t>
  </si>
  <si>
    <t>039:12:05.38 N</t>
  </si>
  <si>
    <t>121:00:45.91 W</t>
  </si>
  <si>
    <t>039:12:06.46 N</t>
  </si>
  <si>
    <t>121:00:45.06 W</t>
  </si>
  <si>
    <t>039:12:07.62 N</t>
  </si>
  <si>
    <t>121:00:44.05 W</t>
  </si>
  <si>
    <t>039:12:08.70 N</t>
  </si>
  <si>
    <t>121:00:43.05 W</t>
  </si>
  <si>
    <t>039:12:09.78 N</t>
  </si>
  <si>
    <t>121:00:42.05 W</t>
  </si>
  <si>
    <t>039:12:10.78 N</t>
  </si>
  <si>
    <t>121:00:41.04 W</t>
  </si>
  <si>
    <t>039:12:11.86 N</t>
  </si>
  <si>
    <t>121:00:40.04 W</t>
  </si>
  <si>
    <t>039:12:12.95 N</t>
  </si>
  <si>
    <t>121:00:39.11 W</t>
  </si>
  <si>
    <t>039:12:14.03 N</t>
  </si>
  <si>
    <t>121:00:38.11 W</t>
  </si>
  <si>
    <t>039:12:15.03 N</t>
  </si>
  <si>
    <t>121:00:37.18 W</t>
  </si>
  <si>
    <t>039:12:16.11 N</t>
  </si>
  <si>
    <t>121:00:36.10 W</t>
  </si>
  <si>
    <t>039:12:17.12 N</t>
  </si>
  <si>
    <t>121:00:35.09 W</t>
  </si>
  <si>
    <t>039:12:18.12 N</t>
  </si>
  <si>
    <t>121:00:34.01 W</t>
  </si>
  <si>
    <t>039:12:19.20 N</t>
  </si>
  <si>
    <t>121:00:33.01 W</t>
  </si>
  <si>
    <t>039:12:20.21 N</t>
  </si>
  <si>
    <t>121:00:31.93 W</t>
  </si>
  <si>
    <t>039:12:21.29 N</t>
  </si>
  <si>
    <t>121:00:30.92 W</t>
  </si>
  <si>
    <t>039:12:22.37 N</t>
  </si>
  <si>
    <t>121:00:29.84 W</t>
  </si>
  <si>
    <t>039:12:23.37 N</t>
  </si>
  <si>
    <t>121:00:28.84 W</t>
  </si>
  <si>
    <t>039:12:24.38 N</t>
  </si>
  <si>
    <t>121:00:27.75 W</t>
  </si>
  <si>
    <t>039:12:25.46 N</t>
  </si>
  <si>
    <t>121:00:26.67 W</t>
  </si>
  <si>
    <t>039:12:26.54 N</t>
  </si>
  <si>
    <t>121:00:25.67 W</t>
  </si>
  <si>
    <t>039:12:27.62 N</t>
  </si>
  <si>
    <t>121:00:24.66 W</t>
  </si>
  <si>
    <t>039:12:28.70 N</t>
  </si>
  <si>
    <t>121:00:23.74 W</t>
  </si>
  <si>
    <t>039:12:29.86 N</t>
  </si>
  <si>
    <t>121:00:22.81 W</t>
  </si>
  <si>
    <t>039:12:30.94 N</t>
  </si>
  <si>
    <t>121:00:21.88 W</t>
  </si>
  <si>
    <t>039:12:32.18 N</t>
  </si>
  <si>
    <t>121:00:21.03 W</t>
  </si>
  <si>
    <t>039:12:33.34 N</t>
  </si>
  <si>
    <t>121:00:20.18 W</t>
  </si>
  <si>
    <t>039:12:34.58 N</t>
  </si>
  <si>
    <t>121:00:19.49 W</t>
  </si>
  <si>
    <t>039:12:35.89 N</t>
  </si>
  <si>
    <t>121:00:18.79 W</t>
  </si>
  <si>
    <t>039:12:37.12 N</t>
  </si>
  <si>
    <t>121:00:18.10 W</t>
  </si>
  <si>
    <t>039:12:38.36 N</t>
  </si>
  <si>
    <t>121:00:17.48 W</t>
  </si>
  <si>
    <t>039:12:39.67 N</t>
  </si>
  <si>
    <t>121:00:16.86 W</t>
  </si>
  <si>
    <t>039:12:41.06 N</t>
  </si>
  <si>
    <t>121:00:16.32 W</t>
  </si>
  <si>
    <t>039:12:42.38 N</t>
  </si>
  <si>
    <t>121:00:15.78 W</t>
  </si>
  <si>
    <t>039:12:43.77 N</t>
  </si>
  <si>
    <t>121:00:15.24 W</t>
  </si>
  <si>
    <t>039:12:45.08 N</t>
  </si>
  <si>
    <t>121:00:14.78 W</t>
  </si>
  <si>
    <t>039:12:46.55 N</t>
  </si>
  <si>
    <t>121:00:14.31 W</t>
  </si>
  <si>
    <t>039:12:47.86 N</t>
  </si>
  <si>
    <t>121:00:13.70 W</t>
  </si>
  <si>
    <t>039:12:49.10 N</t>
  </si>
  <si>
    <t>121:00:13.15 W</t>
  </si>
  <si>
    <t>039:12:50.49 N</t>
  </si>
  <si>
    <t>121:00:12.54 W</t>
  </si>
  <si>
    <t>039:12:51.80 N</t>
  </si>
  <si>
    <t>121:00:11.92 W</t>
  </si>
  <si>
    <t>039:12:53.04 N</t>
  </si>
  <si>
    <t>121:00:11.30 W</t>
  </si>
  <si>
    <t>039:12:54.35 N</t>
  </si>
  <si>
    <t>121:00:10.68 W</t>
  </si>
  <si>
    <t>039:12:55.66 N</t>
  </si>
  <si>
    <t>121:00:10.06 W</t>
  </si>
  <si>
    <t>039:12:56.90 N</t>
  </si>
  <si>
    <t>121:00:09.29 W</t>
  </si>
  <si>
    <t>039:12:58.21 N</t>
  </si>
  <si>
    <t>121:00:08.60 W</t>
  </si>
  <si>
    <t>039:12:59.53 N</t>
  </si>
  <si>
    <t>121:00:07.98 W</t>
  </si>
  <si>
    <t>039:13:00.76 N</t>
  </si>
  <si>
    <t>121:00:07.28 W</t>
  </si>
  <si>
    <t>039:13:02.08 N</t>
  </si>
  <si>
    <t>121:00:06.59 W</t>
  </si>
  <si>
    <t>039:13:03.39 N</t>
  </si>
  <si>
    <t>121:00:05.97 W</t>
  </si>
  <si>
    <t>039:13:04.70 N</t>
  </si>
  <si>
    <t>121:00:05.28 W</t>
  </si>
  <si>
    <t>039:13:06.02 N</t>
  </si>
  <si>
    <t>121:00:04.66 W</t>
  </si>
  <si>
    <t>039:13:07.33 N</t>
  </si>
  <si>
    <t>121:00:04.04 W</t>
  </si>
  <si>
    <t>039:13:08.72 N</t>
  </si>
  <si>
    <t>121:00:03.58 W</t>
  </si>
  <si>
    <t>039:13:10.03 N</t>
  </si>
  <si>
    <t>121:00:03.03 W</t>
  </si>
  <si>
    <t>039:13:11.42 N</t>
  </si>
  <si>
    <t>121:00:02.65 W</t>
  </si>
  <si>
    <t>039:13:12.89 N</t>
  </si>
  <si>
    <t>121:00:02.26 W</t>
  </si>
  <si>
    <t>039:13:14.36 N</t>
  </si>
  <si>
    <t>121:00:01.95 W</t>
  </si>
  <si>
    <t>039:13:15.83 N</t>
  </si>
  <si>
    <t>121:00:01.72 W</t>
  </si>
  <si>
    <t>039:13:17.29 N</t>
  </si>
  <si>
    <t>121:00:01.57 W</t>
  </si>
  <si>
    <t>039:13:18.68 N</t>
  </si>
  <si>
    <t>121:00:01.34 W</t>
  </si>
  <si>
    <t>039:13:20.23 N</t>
  </si>
  <si>
    <t>039:13:21.62 N</t>
  </si>
  <si>
    <t>121:00:01.18 W</t>
  </si>
  <si>
    <t>039:13:23.09 N</t>
  </si>
  <si>
    <t>039:13:24.63 N</t>
  </si>
  <si>
    <t>039:13:26.10 N</t>
  </si>
  <si>
    <t>039:13:27.57 N</t>
  </si>
  <si>
    <t>039:13:29.03 N</t>
  </si>
  <si>
    <t>121:00:01.10 W</t>
  </si>
  <si>
    <t>039:13:30.50 N</t>
  </si>
  <si>
    <t>039:13:31.97 N</t>
  </si>
  <si>
    <t>121:00:01.03 W</t>
  </si>
  <si>
    <t>039:13:33.52 N</t>
  </si>
  <si>
    <t>039:13:34.98 N</t>
  </si>
  <si>
    <t>039:13:36.45 N</t>
  </si>
  <si>
    <t>121:00:00.95 W</t>
  </si>
  <si>
    <t>039:13:37.92 N</t>
  </si>
  <si>
    <t>039:13:39.39 N</t>
  </si>
  <si>
    <t>039:13:40.93 N</t>
  </si>
  <si>
    <t>039:13:42.40 N</t>
  </si>
  <si>
    <t>039:13:43.87 N</t>
  </si>
  <si>
    <t>039:13:45.41 N</t>
  </si>
  <si>
    <t>039:13:46.88 N</t>
  </si>
  <si>
    <t>039:13:48.42 N</t>
  </si>
  <si>
    <t>039:13:49.97 N</t>
  </si>
  <si>
    <t>121:00:01.49 W</t>
  </si>
  <si>
    <t>039:13:51.44 N</t>
  </si>
  <si>
    <t>121:00:01.80 W</t>
  </si>
  <si>
    <t>039:13:52.98 N</t>
  </si>
  <si>
    <t>121:00:02.34 W</t>
  </si>
  <si>
    <t>039:13:54.45 N</t>
  </si>
  <si>
    <t>039:13:55.92 N</t>
  </si>
  <si>
    <t>121:00:03.81 W</t>
  </si>
  <si>
    <t>039:13:57.38 N</t>
  </si>
  <si>
    <t>121:00:04.73 W</t>
  </si>
  <si>
    <t>039:13:58.78 N</t>
  </si>
  <si>
    <t>121:00:05.89 W</t>
  </si>
  <si>
    <t>039:14:00.09 N</t>
  </si>
  <si>
    <t>121:00:07.21 W</t>
  </si>
  <si>
    <t>039:14:01.40 N</t>
  </si>
  <si>
    <t>121:00:08.83 W</t>
  </si>
  <si>
    <t>039:14:02.56 N</t>
  </si>
  <si>
    <t>121:00:10.37 W</t>
  </si>
  <si>
    <t>039:14:03.64 N</t>
  </si>
  <si>
    <t>121:00:12.15 W</t>
  </si>
  <si>
    <t>039:14:04.65 N</t>
  </si>
  <si>
    <t>121:00:14.08 W</t>
  </si>
  <si>
    <t>039:14:05.50 N</t>
  </si>
  <si>
    <t>121:00:16.09 W</t>
  </si>
  <si>
    <t>039:14:06.19 N</t>
  </si>
  <si>
    <t>121:00:18.18 W</t>
  </si>
  <si>
    <t>039:14:06.89 N</t>
  </si>
  <si>
    <t>121:00:20.34 W</t>
  </si>
  <si>
    <t>039:14:07.35 N</t>
  </si>
  <si>
    <t>121:00:22.58 W</t>
  </si>
  <si>
    <t>039:14:07.74 N</t>
  </si>
  <si>
    <t>121:00:24.90 W</t>
  </si>
  <si>
    <t>039:14:08.12 N</t>
  </si>
  <si>
    <t>121:00:27.21 W</t>
  </si>
  <si>
    <t>039:14:08.28 N</t>
  </si>
  <si>
    <t>121:00:29.53 W</t>
  </si>
  <si>
    <t>039:14:08.35 N</t>
  </si>
  <si>
    <t>039:14:08.43 N</t>
  </si>
  <si>
    <t>121:00:34.32 W</t>
  </si>
  <si>
    <t>121:00:36.64 W</t>
  </si>
  <si>
    <t>039:14:08.20 N</t>
  </si>
  <si>
    <t>121:00:38.88 W</t>
  </si>
  <si>
    <t>039:14:08.04 N</t>
  </si>
  <si>
    <t>121:00:41.20 W</t>
  </si>
  <si>
    <t>039:14:07.89 N</t>
  </si>
  <si>
    <t>121:00:43.44 W</t>
  </si>
  <si>
    <t>121:00:45.68 W</t>
  </si>
  <si>
    <t>039:14:07.50 N</t>
  </si>
  <si>
    <t>121:00:47.92 W</t>
  </si>
  <si>
    <t>121:00:50.08 W</t>
  </si>
  <si>
    <t>039:14:07.12 N</t>
  </si>
  <si>
    <t>121:00:52.32 W</t>
  </si>
  <si>
    <t>121:00:54.48 W</t>
  </si>
  <si>
    <t>039:14:06.65 N</t>
  </si>
  <si>
    <t>121:00:56.72 W</t>
  </si>
  <si>
    <t>039:14:06.42 N</t>
  </si>
  <si>
    <t>121:00:58.89 W</t>
  </si>
  <si>
    <t>039:14:06.27 N</t>
  </si>
  <si>
    <t>121:01:01.13 W</t>
  </si>
  <si>
    <t>039:14:06.11 N</t>
  </si>
  <si>
    <t>121:01:03.21 W</t>
  </si>
  <si>
    <t>039:14:05.80 N</t>
  </si>
  <si>
    <t>121:01:05.45 W</t>
  </si>
  <si>
    <t>039:14:06.04 N</t>
  </si>
  <si>
    <t>121:01:07.38 W</t>
  </si>
  <si>
    <t>039:14:05.34 N</t>
  </si>
  <si>
    <t>039:14:05.11 N</t>
  </si>
  <si>
    <t>039:14:05.19 N</t>
  </si>
  <si>
    <t>121:01:13.87 W</t>
  </si>
  <si>
    <t>039:14:04.88 N</t>
  </si>
  <si>
    <t>121:01:16.03 W</t>
  </si>
  <si>
    <t>039:14:04.11 N</t>
  </si>
  <si>
    <t>121:01:20.44 W</t>
  </si>
  <si>
    <t>039:14:03.87 N</t>
  </si>
  <si>
    <t>121:01:22.45 W</t>
  </si>
  <si>
    <t>039:14:04.03 N</t>
  </si>
  <si>
    <t>121:01:24.22 W</t>
  </si>
  <si>
    <t>039:14:03.72 N</t>
  </si>
  <si>
    <t>121:01:26.23 W</t>
  </si>
  <si>
    <t>039:14:03.41 N</t>
  </si>
  <si>
    <t>121:01:28.32 W</t>
  </si>
  <si>
    <t>039:14:02.95 N</t>
  </si>
  <si>
    <t>121:01:30.17 W</t>
  </si>
  <si>
    <t>039:14:02.48 N</t>
  </si>
  <si>
    <t>121:01:32.18 W</t>
  </si>
  <si>
    <t>039:14:01.94 N</t>
  </si>
  <si>
    <t>039:14:01.17 N</t>
  </si>
  <si>
    <t>121:01:35.65 W</t>
  </si>
  <si>
    <t>039:13:59.86 N</t>
  </si>
  <si>
    <t>121:01:37.66 W</t>
  </si>
  <si>
    <t>039:13:59.01 N</t>
  </si>
  <si>
    <t>121:01:39.13 W</t>
  </si>
  <si>
    <t>039:13:58.08 N</t>
  </si>
  <si>
    <t>121:01:40.52 W</t>
  </si>
  <si>
    <t>039:13:57.08 N</t>
  </si>
  <si>
    <t>121:01:41.68 W</t>
  </si>
  <si>
    <t>039:13:55.99 N</t>
  </si>
  <si>
    <t>121:01:42.84 W</t>
  </si>
  <si>
    <t>039:13:54.99 N</t>
  </si>
  <si>
    <t>121:01:43.92 W</t>
  </si>
  <si>
    <t>039:13:53.91 N</t>
  </si>
  <si>
    <t>121:01:44.85 W</t>
  </si>
  <si>
    <t>039:13:52.67 N</t>
  </si>
  <si>
    <t>121:01:45.54 W</t>
  </si>
  <si>
    <t>039:13:51.51 N</t>
  </si>
  <si>
    <t>121:01:46.24 W</t>
  </si>
  <si>
    <t>039:13:50.28 N</t>
  </si>
  <si>
    <t>121:01:46.78 W</t>
  </si>
  <si>
    <t>039:13:48.96 N</t>
  </si>
  <si>
    <t>121:01:47.16 W</t>
  </si>
  <si>
    <t>039:13:47.88 N</t>
  </si>
  <si>
    <t>121:01:47.55 W</t>
  </si>
  <si>
    <t>039:13:46.72 N</t>
  </si>
  <si>
    <t>039:13:45.49 N</t>
  </si>
  <si>
    <t>039:13:44.41 N</t>
  </si>
  <si>
    <t>039:13:43.48 N</t>
  </si>
  <si>
    <t>039:13:42.55 N</t>
  </si>
  <si>
    <t>039:13:41.39 N</t>
  </si>
  <si>
    <t>121:01:46.55 W</t>
  </si>
  <si>
    <t>039:13:40.39 N</t>
  </si>
  <si>
    <t>121:01:46.01 W</t>
  </si>
  <si>
    <t>039:13:39.15 N</t>
  </si>
  <si>
    <t>121:01:45.62 W</t>
  </si>
  <si>
    <t>039:13:38.30 N</t>
  </si>
  <si>
    <t>121:01:45.00 W</t>
  </si>
  <si>
    <t>039:13:37.38 N</t>
  </si>
  <si>
    <t>121:01:44.31 W</t>
  </si>
  <si>
    <t>039:13:36.53 N</t>
  </si>
  <si>
    <t>121:01:43.53 W</t>
  </si>
  <si>
    <t>039:13:36.37 N</t>
  </si>
  <si>
    <t>039:13:35.68 N</t>
  </si>
  <si>
    <t>121:01:41.60 W</t>
  </si>
  <si>
    <t>121:01:40.75 W</t>
  </si>
  <si>
    <t>039:13:34.29 N</t>
  </si>
  <si>
    <t>121:01:39.83 W</t>
  </si>
  <si>
    <t>039:13:33.59 N</t>
  </si>
  <si>
    <t>121:01:38.98 W</t>
  </si>
  <si>
    <t>039:13:32.97 N</t>
  </si>
  <si>
    <t>121:01:38.13 W</t>
  </si>
  <si>
    <t>039:13:32.36 N</t>
  </si>
  <si>
    <t>121:01:37.20 W</t>
  </si>
  <si>
    <t>039:13:31.74 N</t>
  </si>
  <si>
    <t>121:01:36.27 W</t>
  </si>
  <si>
    <t>039:13:31.20 N</t>
  </si>
  <si>
    <t>121:01:34.65 W</t>
  </si>
  <si>
    <t>039:13:29.96 N</t>
  </si>
  <si>
    <t>121:01:33.72 W</t>
  </si>
  <si>
    <t>039:13:29.34 N</t>
  </si>
  <si>
    <t>121:01:32.95 W</t>
  </si>
  <si>
    <t>039:13:28.57 N</t>
  </si>
  <si>
    <t>039:13:27.80 N</t>
  </si>
  <si>
    <t>121:01:31.56 W</t>
  </si>
  <si>
    <t>039:13:27.03 N</t>
  </si>
  <si>
    <t>121:01:31.10 W</t>
  </si>
  <si>
    <t>121:01:30.79 W</t>
  </si>
  <si>
    <t>039:13:25.17 N</t>
  </si>
  <si>
    <t>121:01:30.63 W</t>
  </si>
  <si>
    <t>039:13:24.09 N</t>
  </si>
  <si>
    <t>039:13:21.70 N</t>
  </si>
  <si>
    <t>039:13:20.38 N</t>
  </si>
  <si>
    <t>121:01:32.33 W</t>
  </si>
  <si>
    <t>039:13:19.38 N</t>
  </si>
  <si>
    <t>039:13:18.45 N</t>
  </si>
  <si>
    <t>121:01:34.26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</si>
</sst>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0F54-9A9C-48C1-A4D4-63944ED17FAF}">
  <dimension ref="A1:DT5443"/>
  <sheetViews>
    <sheetView tabSelected="1" workbookViewId="0"/>
  </sheetViews>
  <sheetFormatPr defaultRowHeight="14.4" x14ac:dyDescent="0.3"/>
  <sheetData>
    <row r="1" spans="1:1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</row>
    <row r="2" spans="1:124" x14ac:dyDescent="0.3">
      <c r="A2" t="str">
        <f>"05/01/2025 15:04:33.170"</f>
        <v>05/01/2025 15:04:33.170</v>
      </c>
      <c r="C2" t="str">
        <f t="shared" ref="C2:C65" si="0">"FFDFD3C0"</f>
        <v>FFDFD3C0</v>
      </c>
      <c r="D2" t="s">
        <v>124</v>
      </c>
      <c r="E2" t="str">
        <f>"06"</f>
        <v>06</v>
      </c>
      <c r="F2">
        <v>2006</v>
      </c>
      <c r="G2" t="s">
        <v>125</v>
      </c>
      <c r="J2" t="s">
        <v>126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R2" t="s">
        <v>127</v>
      </c>
      <c r="S2" t="str">
        <f t="shared" ref="S2:T7" si="1">"15:04:32.000"</f>
        <v>15:04:32.000</v>
      </c>
      <c r="T2" t="str">
        <f t="shared" si="1"/>
        <v>15:04:32.000</v>
      </c>
      <c r="U2" t="str">
        <f t="shared" ref="U2:U65" si="2">"A68FCB"</f>
        <v>A68FCB</v>
      </c>
      <c r="V2">
        <v>0</v>
      </c>
      <c r="W2">
        <v>0</v>
      </c>
      <c r="X2">
        <v>2</v>
      </c>
      <c r="Y2">
        <v>0</v>
      </c>
      <c r="AA2">
        <v>1</v>
      </c>
      <c r="AB2">
        <v>8</v>
      </c>
      <c r="AC2">
        <v>3</v>
      </c>
      <c r="AD2">
        <v>0</v>
      </c>
      <c r="AE2">
        <v>9</v>
      </c>
      <c r="AF2" t="s">
        <v>128</v>
      </c>
      <c r="AG2">
        <v>0</v>
      </c>
      <c r="AH2">
        <v>3</v>
      </c>
      <c r="AI2">
        <v>1</v>
      </c>
      <c r="AJ2">
        <v>0</v>
      </c>
      <c r="AK2" t="s">
        <v>129</v>
      </c>
      <c r="AL2">
        <v>38.954450999999999</v>
      </c>
      <c r="AM2" t="s">
        <v>130</v>
      </c>
      <c r="AN2">
        <v>-121.084979</v>
      </c>
      <c r="AO2">
        <v>25</v>
      </c>
      <c r="AP2">
        <v>1500</v>
      </c>
      <c r="AQ2" t="s">
        <v>131</v>
      </c>
      <c r="AR2">
        <v>57</v>
      </c>
      <c r="AS2">
        <v>4</v>
      </c>
      <c r="AT2">
        <v>0</v>
      </c>
      <c r="BB2" t="str">
        <f t="shared" ref="BB2:BB65" si="3">"1200"</f>
        <v>1200</v>
      </c>
      <c r="BC2">
        <v>1</v>
      </c>
      <c r="BD2" t="str">
        <f t="shared" ref="BD2:BD65" si="4">"N52156  "</f>
        <v xml:space="preserve">N52156  </v>
      </c>
      <c r="BE2">
        <v>1</v>
      </c>
      <c r="BG2">
        <v>0</v>
      </c>
      <c r="BH2">
        <v>0</v>
      </c>
      <c r="BI2">
        <v>0</v>
      </c>
      <c r="BJ2">
        <v>1500</v>
      </c>
      <c r="BK2">
        <v>0</v>
      </c>
      <c r="BL2" t="s">
        <v>132</v>
      </c>
      <c r="BM2">
        <v>1</v>
      </c>
      <c r="BN2">
        <v>1</v>
      </c>
      <c r="BO2">
        <v>0</v>
      </c>
      <c r="BP2">
        <v>0</v>
      </c>
      <c r="BS2">
        <v>0.2</v>
      </c>
      <c r="BT2">
        <v>0</v>
      </c>
      <c r="BU2">
        <v>0</v>
      </c>
      <c r="CE2" t="str">
        <f t="shared" ref="CE2:CE7" si="5">"15:04:32.977"</f>
        <v>15:04:32.977</v>
      </c>
      <c r="CF2">
        <v>977189739</v>
      </c>
      <c r="CS2">
        <v>0</v>
      </c>
      <c r="CT2">
        <v>2</v>
      </c>
      <c r="CU2">
        <v>0</v>
      </c>
      <c r="CV2">
        <v>2</v>
      </c>
      <c r="CW2">
        <v>0</v>
      </c>
      <c r="CX2">
        <v>0</v>
      </c>
      <c r="CY2">
        <v>7</v>
      </c>
      <c r="CZ2" t="s">
        <v>133</v>
      </c>
      <c r="DA2">
        <v>275</v>
      </c>
      <c r="DB2">
        <v>0</v>
      </c>
      <c r="DC2" t="s">
        <v>134</v>
      </c>
      <c r="DD2" t="s">
        <v>135</v>
      </c>
      <c r="DG2">
        <v>3317517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4" x14ac:dyDescent="0.3">
      <c r="A3" t="str">
        <f>"05/01/2025 15:04:33.182"</f>
        <v>05/01/2025 15:04:33.182</v>
      </c>
      <c r="C3" t="str">
        <f t="shared" si="0"/>
        <v>FFDFD3C0</v>
      </c>
      <c r="D3" t="s">
        <v>136</v>
      </c>
      <c r="E3" t="str">
        <f>"20"</f>
        <v>20</v>
      </c>
      <c r="H3">
        <v>400</v>
      </c>
      <c r="I3" t="s">
        <v>137</v>
      </c>
      <c r="J3" t="s">
        <v>138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R3" t="s">
        <v>127</v>
      </c>
      <c r="S3" t="str">
        <f t="shared" si="1"/>
        <v>15:04:32.000</v>
      </c>
      <c r="T3" t="str">
        <f t="shared" si="1"/>
        <v>15:04:32.000</v>
      </c>
      <c r="U3" t="str">
        <f t="shared" si="2"/>
        <v>A68FCB</v>
      </c>
      <c r="V3">
        <v>0</v>
      </c>
      <c r="W3">
        <v>0</v>
      </c>
      <c r="X3">
        <v>2</v>
      </c>
      <c r="Y3">
        <v>0</v>
      </c>
      <c r="AA3">
        <v>1</v>
      </c>
      <c r="AB3">
        <v>8</v>
      </c>
      <c r="AC3">
        <v>3</v>
      </c>
      <c r="AD3">
        <v>0</v>
      </c>
      <c r="AE3">
        <v>9</v>
      </c>
      <c r="AF3" t="s">
        <v>128</v>
      </c>
      <c r="AG3">
        <v>0</v>
      </c>
      <c r="AH3">
        <v>0</v>
      </c>
      <c r="AI3">
        <v>1</v>
      </c>
      <c r="AJ3">
        <v>0</v>
      </c>
      <c r="AK3" t="s">
        <v>129</v>
      </c>
      <c r="AL3">
        <v>38.954450999999999</v>
      </c>
      <c r="AM3" t="s">
        <v>130</v>
      </c>
      <c r="AN3">
        <v>-121.084979</v>
      </c>
      <c r="AO3">
        <v>25</v>
      </c>
      <c r="AP3">
        <v>1500</v>
      </c>
      <c r="AQ3" t="s">
        <v>131</v>
      </c>
      <c r="AR3">
        <v>57</v>
      </c>
      <c r="AS3">
        <v>4</v>
      </c>
      <c r="AT3">
        <v>0</v>
      </c>
      <c r="BB3" t="str">
        <f t="shared" si="3"/>
        <v>1200</v>
      </c>
      <c r="BC3">
        <v>1</v>
      </c>
      <c r="BD3" t="str">
        <f t="shared" si="4"/>
        <v xml:space="preserve">N52156  </v>
      </c>
      <c r="BE3">
        <v>1</v>
      </c>
      <c r="BG3">
        <v>0</v>
      </c>
      <c r="BH3">
        <v>0</v>
      </c>
      <c r="BI3">
        <v>0</v>
      </c>
      <c r="BJ3">
        <v>1500</v>
      </c>
      <c r="BK3">
        <v>0</v>
      </c>
      <c r="BL3" t="s">
        <v>139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 t="shared" si="5"/>
        <v>15:04:32.977</v>
      </c>
      <c r="CF3">
        <v>977189739</v>
      </c>
      <c r="CS3">
        <v>0</v>
      </c>
      <c r="CT3">
        <v>2</v>
      </c>
      <c r="CU3">
        <v>0</v>
      </c>
      <c r="CV3">
        <v>2</v>
      </c>
      <c r="CW3">
        <v>0</v>
      </c>
      <c r="CX3">
        <v>0</v>
      </c>
      <c r="CY3">
        <v>7</v>
      </c>
      <c r="CZ3" t="s">
        <v>133</v>
      </c>
      <c r="DA3">
        <v>275</v>
      </c>
      <c r="DB3">
        <v>0</v>
      </c>
      <c r="DC3" t="s">
        <v>134</v>
      </c>
      <c r="DD3" t="s">
        <v>135</v>
      </c>
      <c r="DG3">
        <v>3317517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4" x14ac:dyDescent="0.3">
      <c r="A4" t="str">
        <f>"05/01/2025 15:04:33.208"</f>
        <v>05/01/2025 15:04:33.208</v>
      </c>
      <c r="C4" t="str">
        <f t="shared" si="0"/>
        <v>FFDFD3C0</v>
      </c>
      <c r="D4" t="s">
        <v>140</v>
      </c>
      <c r="E4" t="str">
        <f>"13"</f>
        <v>13</v>
      </c>
      <c r="F4">
        <v>1019</v>
      </c>
      <c r="G4" t="s">
        <v>141</v>
      </c>
      <c r="J4" t="s">
        <v>142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R4" t="s">
        <v>127</v>
      </c>
      <c r="S4" t="str">
        <f t="shared" si="1"/>
        <v>15:04:32.000</v>
      </c>
      <c r="T4" t="str">
        <f t="shared" si="1"/>
        <v>15:04:32.000</v>
      </c>
      <c r="U4" t="str">
        <f t="shared" si="2"/>
        <v>A68FCB</v>
      </c>
      <c r="V4">
        <v>0</v>
      </c>
      <c r="W4">
        <v>0</v>
      </c>
      <c r="X4">
        <v>2</v>
      </c>
      <c r="Y4">
        <v>0</v>
      </c>
      <c r="AA4">
        <v>1</v>
      </c>
      <c r="AB4">
        <v>8</v>
      </c>
      <c r="AC4">
        <v>3</v>
      </c>
      <c r="AD4">
        <v>0</v>
      </c>
      <c r="AE4">
        <v>9</v>
      </c>
      <c r="AF4" t="s">
        <v>128</v>
      </c>
      <c r="AG4">
        <v>0</v>
      </c>
      <c r="AH4">
        <v>3</v>
      </c>
      <c r="AI4">
        <v>1</v>
      </c>
      <c r="AJ4">
        <v>0</v>
      </c>
      <c r="AK4" t="s">
        <v>129</v>
      </c>
      <c r="AL4">
        <v>38.954450999999999</v>
      </c>
      <c r="AM4" t="s">
        <v>130</v>
      </c>
      <c r="AN4">
        <v>-121.084979</v>
      </c>
      <c r="AO4">
        <v>25</v>
      </c>
      <c r="AP4">
        <v>1500</v>
      </c>
      <c r="AQ4" t="s">
        <v>131</v>
      </c>
      <c r="AR4">
        <v>57</v>
      </c>
      <c r="AS4">
        <v>4</v>
      </c>
      <c r="AT4">
        <v>0</v>
      </c>
      <c r="BB4" t="str">
        <f t="shared" si="3"/>
        <v>1200</v>
      </c>
      <c r="BC4">
        <v>1</v>
      </c>
      <c r="BD4" t="str">
        <f t="shared" si="4"/>
        <v xml:space="preserve">N52156  </v>
      </c>
      <c r="BE4">
        <v>1</v>
      </c>
      <c r="BG4">
        <v>0</v>
      </c>
      <c r="BH4">
        <v>0</v>
      </c>
      <c r="BI4">
        <v>0</v>
      </c>
      <c r="BJ4">
        <v>1500</v>
      </c>
      <c r="BK4">
        <v>0</v>
      </c>
      <c r="BL4" t="s">
        <v>132</v>
      </c>
      <c r="BM4">
        <v>1</v>
      </c>
      <c r="BN4">
        <v>1</v>
      </c>
      <c r="BO4">
        <v>0</v>
      </c>
      <c r="BP4">
        <v>0</v>
      </c>
      <c r="BS4">
        <v>0.2</v>
      </c>
      <c r="BT4">
        <v>0</v>
      </c>
      <c r="BU4">
        <v>0</v>
      </c>
      <c r="CE4" t="str">
        <f t="shared" si="5"/>
        <v>15:04:32.977</v>
      </c>
      <c r="CF4">
        <v>977189739</v>
      </c>
      <c r="CS4">
        <v>0</v>
      </c>
      <c r="CT4">
        <v>2</v>
      </c>
      <c r="CU4">
        <v>0</v>
      </c>
      <c r="CV4">
        <v>2</v>
      </c>
      <c r="CW4">
        <v>0</v>
      </c>
      <c r="CX4">
        <v>0</v>
      </c>
      <c r="CY4">
        <v>7</v>
      </c>
      <c r="CZ4" t="s">
        <v>133</v>
      </c>
      <c r="DA4">
        <v>275</v>
      </c>
      <c r="DB4">
        <v>0</v>
      </c>
      <c r="DC4" t="s">
        <v>134</v>
      </c>
      <c r="DD4" t="s">
        <v>135</v>
      </c>
      <c r="DG4">
        <v>3317517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4" x14ac:dyDescent="0.3">
      <c r="A5" t="str">
        <f>"05/01/2025 15:04:33.212"</f>
        <v>05/01/2025 15:04:33.212</v>
      </c>
      <c r="C5" t="str">
        <f t="shared" si="0"/>
        <v>FFDFD3C0</v>
      </c>
      <c r="D5" t="s">
        <v>143</v>
      </c>
      <c r="E5" t="str">
        <f>"05"</f>
        <v>05</v>
      </c>
      <c r="H5">
        <v>172</v>
      </c>
      <c r="I5" t="s">
        <v>141</v>
      </c>
      <c r="J5" t="s">
        <v>144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R5" t="s">
        <v>127</v>
      </c>
      <c r="S5" t="str">
        <f t="shared" si="1"/>
        <v>15:04:32.000</v>
      </c>
      <c r="T5" t="str">
        <f t="shared" si="1"/>
        <v>15:04:32.000</v>
      </c>
      <c r="U5" t="str">
        <f t="shared" si="2"/>
        <v>A68FCB</v>
      </c>
      <c r="V5">
        <v>0</v>
      </c>
      <c r="W5">
        <v>0</v>
      </c>
      <c r="X5">
        <v>2</v>
      </c>
      <c r="Y5">
        <v>0</v>
      </c>
      <c r="AA5">
        <v>1</v>
      </c>
      <c r="AB5">
        <v>8</v>
      </c>
      <c r="AC5">
        <v>3</v>
      </c>
      <c r="AD5">
        <v>0</v>
      </c>
      <c r="AE5">
        <v>9</v>
      </c>
      <c r="AF5" t="s">
        <v>128</v>
      </c>
      <c r="AG5">
        <v>0</v>
      </c>
      <c r="AH5">
        <v>0</v>
      </c>
      <c r="AI5">
        <v>1</v>
      </c>
      <c r="AJ5">
        <v>0</v>
      </c>
      <c r="AK5" t="s">
        <v>129</v>
      </c>
      <c r="AL5">
        <v>38.954450999999999</v>
      </c>
      <c r="AM5" t="s">
        <v>130</v>
      </c>
      <c r="AN5">
        <v>-121.084979</v>
      </c>
      <c r="AO5">
        <v>25</v>
      </c>
      <c r="AP5">
        <v>1500</v>
      </c>
      <c r="AQ5" t="s">
        <v>131</v>
      </c>
      <c r="AR5">
        <v>57</v>
      </c>
      <c r="AS5">
        <v>4</v>
      </c>
      <c r="AT5">
        <v>0</v>
      </c>
      <c r="BB5" t="str">
        <f t="shared" si="3"/>
        <v>1200</v>
      </c>
      <c r="BC5">
        <v>1</v>
      </c>
      <c r="BD5" t="str">
        <f t="shared" si="4"/>
        <v xml:space="preserve">N52156  </v>
      </c>
      <c r="BE5">
        <v>1</v>
      </c>
      <c r="BG5">
        <v>0</v>
      </c>
      <c r="BH5">
        <v>0</v>
      </c>
      <c r="BI5">
        <v>0</v>
      </c>
      <c r="BJ5">
        <v>1500</v>
      </c>
      <c r="BK5">
        <v>0</v>
      </c>
      <c r="BL5" t="s">
        <v>139</v>
      </c>
      <c r="BM5">
        <v>1</v>
      </c>
      <c r="BN5">
        <v>1</v>
      </c>
      <c r="BO5">
        <v>0</v>
      </c>
      <c r="BP5">
        <v>0</v>
      </c>
      <c r="BT5">
        <v>0</v>
      </c>
      <c r="BU5">
        <v>0</v>
      </c>
      <c r="CE5" t="str">
        <f t="shared" si="5"/>
        <v>15:04:32.977</v>
      </c>
      <c r="CF5">
        <v>977189739</v>
      </c>
      <c r="CS5">
        <v>0</v>
      </c>
      <c r="CT5">
        <v>2</v>
      </c>
      <c r="CU5">
        <v>0</v>
      </c>
      <c r="CV5">
        <v>2</v>
      </c>
      <c r="CW5">
        <v>0</v>
      </c>
      <c r="CX5">
        <v>0</v>
      </c>
      <c r="CY5">
        <v>7</v>
      </c>
      <c r="CZ5" t="s">
        <v>133</v>
      </c>
      <c r="DA5">
        <v>275</v>
      </c>
      <c r="DB5">
        <v>0</v>
      </c>
      <c r="DC5" t="s">
        <v>134</v>
      </c>
      <c r="DD5" t="s">
        <v>135</v>
      </c>
      <c r="DG5">
        <v>3317517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4" x14ac:dyDescent="0.3">
      <c r="A6" t="str">
        <f>"05/01/2025 15:04:33.219"</f>
        <v>05/01/2025 15:04:33.219</v>
      </c>
      <c r="C6" t="str">
        <f t="shared" si="0"/>
        <v>FFDFD3C0</v>
      </c>
      <c r="D6" t="s">
        <v>145</v>
      </c>
      <c r="E6" t="str">
        <f>"05"</f>
        <v>05</v>
      </c>
      <c r="H6">
        <v>47</v>
      </c>
      <c r="I6" t="s">
        <v>146</v>
      </c>
      <c r="J6" t="s">
        <v>138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R6" t="s">
        <v>127</v>
      </c>
      <c r="S6" t="str">
        <f t="shared" si="1"/>
        <v>15:04:32.000</v>
      </c>
      <c r="T6" t="str">
        <f t="shared" si="1"/>
        <v>15:04:32.000</v>
      </c>
      <c r="U6" t="str">
        <f t="shared" si="2"/>
        <v>A68FCB</v>
      </c>
      <c r="V6">
        <v>0</v>
      </c>
      <c r="W6">
        <v>0</v>
      </c>
      <c r="X6">
        <v>2</v>
      </c>
      <c r="Y6">
        <v>0</v>
      </c>
      <c r="AA6">
        <v>1</v>
      </c>
      <c r="AB6">
        <v>8</v>
      </c>
      <c r="AC6">
        <v>3</v>
      </c>
      <c r="AD6">
        <v>0</v>
      </c>
      <c r="AE6">
        <v>9</v>
      </c>
      <c r="AF6" t="s">
        <v>128</v>
      </c>
      <c r="AG6">
        <v>0</v>
      </c>
      <c r="AH6">
        <v>0</v>
      </c>
      <c r="AI6">
        <v>1</v>
      </c>
      <c r="AJ6">
        <v>0</v>
      </c>
      <c r="AK6" t="s">
        <v>129</v>
      </c>
      <c r="AL6">
        <v>38.954450999999999</v>
      </c>
      <c r="AM6" t="s">
        <v>130</v>
      </c>
      <c r="AN6">
        <v>-121.084979</v>
      </c>
      <c r="AO6">
        <v>25</v>
      </c>
      <c r="AP6">
        <v>1500</v>
      </c>
      <c r="AQ6" t="s">
        <v>131</v>
      </c>
      <c r="AR6">
        <v>57</v>
      </c>
      <c r="AS6">
        <v>4</v>
      </c>
      <c r="AT6">
        <v>0</v>
      </c>
      <c r="BB6" t="str">
        <f t="shared" si="3"/>
        <v>1200</v>
      </c>
      <c r="BC6">
        <v>1</v>
      </c>
      <c r="BD6" t="str">
        <f t="shared" si="4"/>
        <v xml:space="preserve">N52156  </v>
      </c>
      <c r="BE6">
        <v>1</v>
      </c>
      <c r="BG6">
        <v>0</v>
      </c>
      <c r="BH6">
        <v>0</v>
      </c>
      <c r="BI6">
        <v>0</v>
      </c>
      <c r="BJ6">
        <v>1500</v>
      </c>
      <c r="BK6">
        <v>0</v>
      </c>
      <c r="BL6" t="s">
        <v>139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 t="shared" si="5"/>
        <v>15:04:32.977</v>
      </c>
      <c r="CF6">
        <v>977189739</v>
      </c>
      <c r="CS6">
        <v>0</v>
      </c>
      <c r="CT6">
        <v>2</v>
      </c>
      <c r="CU6">
        <v>0</v>
      </c>
      <c r="CV6">
        <v>2</v>
      </c>
      <c r="CW6">
        <v>0</v>
      </c>
      <c r="CX6">
        <v>0</v>
      </c>
      <c r="CY6">
        <v>7</v>
      </c>
      <c r="CZ6" t="s">
        <v>133</v>
      </c>
      <c r="DA6">
        <v>275</v>
      </c>
      <c r="DB6">
        <v>0</v>
      </c>
      <c r="DC6" t="s">
        <v>134</v>
      </c>
      <c r="DD6" t="s">
        <v>135</v>
      </c>
      <c r="DG6">
        <v>3317517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4" x14ac:dyDescent="0.3">
      <c r="A7" t="str">
        <f>"05/01/2025 15:04:33.219"</f>
        <v>05/01/2025 15:04:33.219</v>
      </c>
      <c r="C7" t="str">
        <f t="shared" si="0"/>
        <v>FFDFD3C0</v>
      </c>
      <c r="D7" t="s">
        <v>145</v>
      </c>
      <c r="E7" t="str">
        <f>"09"</f>
        <v>09</v>
      </c>
      <c r="H7">
        <v>51</v>
      </c>
      <c r="I7" t="s">
        <v>147</v>
      </c>
      <c r="J7" t="s">
        <v>138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R7" t="s">
        <v>127</v>
      </c>
      <c r="S7" t="str">
        <f t="shared" si="1"/>
        <v>15:04:32.000</v>
      </c>
      <c r="T7" t="str">
        <f t="shared" si="1"/>
        <v>15:04:32.000</v>
      </c>
      <c r="U7" t="str">
        <f t="shared" si="2"/>
        <v>A68FCB</v>
      </c>
      <c r="V7">
        <v>0</v>
      </c>
      <c r="W7">
        <v>0</v>
      </c>
      <c r="X7">
        <v>2</v>
      </c>
      <c r="Y7">
        <v>0</v>
      </c>
      <c r="AA7">
        <v>1</v>
      </c>
      <c r="AB7">
        <v>8</v>
      </c>
      <c r="AC7">
        <v>3</v>
      </c>
      <c r="AD7">
        <v>0</v>
      </c>
      <c r="AE7">
        <v>9</v>
      </c>
      <c r="AF7" t="s">
        <v>128</v>
      </c>
      <c r="AG7">
        <v>0</v>
      </c>
      <c r="AH7">
        <v>0</v>
      </c>
      <c r="AI7">
        <v>1</v>
      </c>
      <c r="AJ7">
        <v>0</v>
      </c>
      <c r="AK7" t="s">
        <v>129</v>
      </c>
      <c r="AL7">
        <v>38.954450999999999</v>
      </c>
      <c r="AM7" t="s">
        <v>130</v>
      </c>
      <c r="AN7">
        <v>-121.084979</v>
      </c>
      <c r="AO7">
        <v>25</v>
      </c>
      <c r="AP7">
        <v>1500</v>
      </c>
      <c r="AQ7" t="s">
        <v>131</v>
      </c>
      <c r="AR7">
        <v>57</v>
      </c>
      <c r="AS7">
        <v>4</v>
      </c>
      <c r="AT7">
        <v>0</v>
      </c>
      <c r="BB7" t="str">
        <f t="shared" si="3"/>
        <v>1200</v>
      </c>
      <c r="BC7">
        <v>1</v>
      </c>
      <c r="BD7" t="str">
        <f t="shared" si="4"/>
        <v xml:space="preserve">N52156  </v>
      </c>
      <c r="BE7">
        <v>1</v>
      </c>
      <c r="BG7">
        <v>0</v>
      </c>
      <c r="BH7">
        <v>0</v>
      </c>
      <c r="BI7">
        <v>0</v>
      </c>
      <c r="BJ7">
        <v>1500</v>
      </c>
      <c r="BK7">
        <v>0</v>
      </c>
      <c r="BL7" t="s">
        <v>139</v>
      </c>
      <c r="BM7">
        <v>1</v>
      </c>
      <c r="BN7">
        <v>1</v>
      </c>
      <c r="BO7">
        <v>0</v>
      </c>
      <c r="BP7">
        <v>0</v>
      </c>
      <c r="BT7">
        <v>0</v>
      </c>
      <c r="BU7">
        <v>0</v>
      </c>
      <c r="CE7" t="str">
        <f t="shared" si="5"/>
        <v>15:04:32.977</v>
      </c>
      <c r="CF7">
        <v>977189739</v>
      </c>
      <c r="CS7">
        <v>0</v>
      </c>
      <c r="CT7">
        <v>2</v>
      </c>
      <c r="CU7">
        <v>0</v>
      </c>
      <c r="CV7">
        <v>2</v>
      </c>
      <c r="CW7">
        <v>0</v>
      </c>
      <c r="CX7">
        <v>0</v>
      </c>
      <c r="CY7">
        <v>7</v>
      </c>
      <c r="CZ7" t="s">
        <v>133</v>
      </c>
      <c r="DA7">
        <v>275</v>
      </c>
      <c r="DB7">
        <v>0</v>
      </c>
      <c r="DC7" t="s">
        <v>134</v>
      </c>
      <c r="DD7" t="s">
        <v>135</v>
      </c>
      <c r="DG7">
        <v>3317517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4" x14ac:dyDescent="0.3">
      <c r="A8" t="str">
        <f>"05/01/2025 15:04:33.708"</f>
        <v>05/01/2025 15:04:33.708</v>
      </c>
      <c r="C8" t="str">
        <f t="shared" si="0"/>
        <v>FFDFD3C0</v>
      </c>
      <c r="D8" t="s">
        <v>140</v>
      </c>
      <c r="E8" t="str">
        <f>"13"</f>
        <v>13</v>
      </c>
      <c r="F8">
        <v>1019</v>
      </c>
      <c r="G8" t="s">
        <v>141</v>
      </c>
      <c r="J8" t="s">
        <v>142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R8" t="s">
        <v>127</v>
      </c>
      <c r="S8" t="str">
        <f t="shared" ref="S8:T13" si="6">"15:04:33.000"</f>
        <v>15:04:33.000</v>
      </c>
      <c r="T8" t="str">
        <f t="shared" si="6"/>
        <v>15:04:33.000</v>
      </c>
      <c r="U8" t="str">
        <f t="shared" si="2"/>
        <v>A68FCB</v>
      </c>
      <c r="V8">
        <v>0</v>
      </c>
      <c r="W8">
        <v>0</v>
      </c>
      <c r="X8">
        <v>2</v>
      </c>
      <c r="Y8">
        <v>0</v>
      </c>
      <c r="AA8">
        <v>1</v>
      </c>
      <c r="AB8">
        <v>8</v>
      </c>
      <c r="AC8">
        <v>3</v>
      </c>
      <c r="AD8">
        <v>0</v>
      </c>
      <c r="AE8">
        <v>9</v>
      </c>
      <c r="AF8" t="s">
        <v>128</v>
      </c>
      <c r="AG8">
        <v>0</v>
      </c>
      <c r="AH8">
        <v>3</v>
      </c>
      <c r="AI8">
        <v>1</v>
      </c>
      <c r="AJ8">
        <v>0</v>
      </c>
      <c r="AK8" t="s">
        <v>148</v>
      </c>
      <c r="AL8">
        <v>38.954493999999997</v>
      </c>
      <c r="AM8" t="s">
        <v>149</v>
      </c>
      <c r="AN8">
        <v>-121.08463500000001</v>
      </c>
      <c r="AO8">
        <v>25</v>
      </c>
      <c r="AP8">
        <v>1500</v>
      </c>
      <c r="AQ8" t="s">
        <v>131</v>
      </c>
      <c r="AR8">
        <v>59</v>
      </c>
      <c r="AS8">
        <v>3</v>
      </c>
      <c r="AT8">
        <v>64</v>
      </c>
      <c r="BB8" t="str">
        <f t="shared" si="3"/>
        <v>1200</v>
      </c>
      <c r="BC8">
        <v>1</v>
      </c>
      <c r="BD8" t="str">
        <f t="shared" si="4"/>
        <v xml:space="preserve">N52156  </v>
      </c>
      <c r="BE8">
        <v>1</v>
      </c>
      <c r="BG8">
        <v>0</v>
      </c>
      <c r="BH8">
        <v>0</v>
      </c>
      <c r="BI8">
        <v>0</v>
      </c>
      <c r="BJ8">
        <v>1475</v>
      </c>
      <c r="BK8">
        <v>-25</v>
      </c>
      <c r="BL8" t="s">
        <v>132</v>
      </c>
      <c r="BM8">
        <v>1</v>
      </c>
      <c r="BN8">
        <v>1</v>
      </c>
      <c r="BO8">
        <v>0</v>
      </c>
      <c r="BP8">
        <v>0</v>
      </c>
      <c r="BS8">
        <v>0.2</v>
      </c>
      <c r="BT8">
        <v>0</v>
      </c>
      <c r="BU8">
        <v>0</v>
      </c>
      <c r="CE8" t="str">
        <f t="shared" ref="CE8:CE13" si="7">"15:04:33.511"</f>
        <v>15:04:33.511</v>
      </c>
      <c r="CF8">
        <v>510938629</v>
      </c>
      <c r="CS8">
        <v>0</v>
      </c>
      <c r="CT8">
        <v>2</v>
      </c>
      <c r="CU8">
        <v>0</v>
      </c>
      <c r="CV8">
        <v>2</v>
      </c>
      <c r="CW8">
        <v>0</v>
      </c>
      <c r="CX8">
        <v>0</v>
      </c>
      <c r="CY8">
        <v>7</v>
      </c>
      <c r="CZ8" t="s">
        <v>133</v>
      </c>
      <c r="DA8">
        <v>275</v>
      </c>
      <c r="DB8">
        <v>0</v>
      </c>
      <c r="DC8" t="s">
        <v>134</v>
      </c>
      <c r="DD8" t="s">
        <v>135</v>
      </c>
      <c r="DG8">
        <v>3317522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4" x14ac:dyDescent="0.3">
      <c r="A9" t="str">
        <f>"05/01/2025 15:04:33.713"</f>
        <v>05/01/2025 15:04:33.713</v>
      </c>
      <c r="C9" t="str">
        <f t="shared" si="0"/>
        <v>FFDFD3C0</v>
      </c>
      <c r="D9" t="s">
        <v>143</v>
      </c>
      <c r="E9" t="str">
        <f>"05"</f>
        <v>05</v>
      </c>
      <c r="H9">
        <v>172</v>
      </c>
      <c r="I9" t="s">
        <v>141</v>
      </c>
      <c r="J9" t="s">
        <v>144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R9" t="s">
        <v>127</v>
      </c>
      <c r="S9" t="str">
        <f t="shared" si="6"/>
        <v>15:04:33.000</v>
      </c>
      <c r="T9" t="str">
        <f t="shared" si="6"/>
        <v>15:04:33.000</v>
      </c>
      <c r="U9" t="str">
        <f t="shared" si="2"/>
        <v>A68FCB</v>
      </c>
      <c r="V9">
        <v>0</v>
      </c>
      <c r="W9">
        <v>0</v>
      </c>
      <c r="X9">
        <v>2</v>
      </c>
      <c r="Y9">
        <v>0</v>
      </c>
      <c r="AA9">
        <v>1</v>
      </c>
      <c r="AB9">
        <v>8</v>
      </c>
      <c r="AC9">
        <v>3</v>
      </c>
      <c r="AD9">
        <v>0</v>
      </c>
      <c r="AE9">
        <v>9</v>
      </c>
      <c r="AF9" t="s">
        <v>128</v>
      </c>
      <c r="AG9">
        <v>0</v>
      </c>
      <c r="AH9">
        <v>0</v>
      </c>
      <c r="AI9">
        <v>1</v>
      </c>
      <c r="AJ9">
        <v>0</v>
      </c>
      <c r="AK9" t="s">
        <v>148</v>
      </c>
      <c r="AL9">
        <v>38.954493999999997</v>
      </c>
      <c r="AM9" t="s">
        <v>149</v>
      </c>
      <c r="AN9">
        <v>-121.08463500000001</v>
      </c>
      <c r="AO9">
        <v>25</v>
      </c>
      <c r="AP9">
        <v>1500</v>
      </c>
      <c r="AQ9" t="s">
        <v>131</v>
      </c>
      <c r="AR9">
        <v>59</v>
      </c>
      <c r="AS9">
        <v>3</v>
      </c>
      <c r="AT9">
        <v>64</v>
      </c>
      <c r="BB9" t="str">
        <f t="shared" si="3"/>
        <v>1200</v>
      </c>
      <c r="BC9">
        <v>1</v>
      </c>
      <c r="BD9" t="str">
        <f t="shared" si="4"/>
        <v xml:space="preserve">N52156  </v>
      </c>
      <c r="BE9">
        <v>1</v>
      </c>
      <c r="BG9">
        <v>0</v>
      </c>
      <c r="BH9">
        <v>0</v>
      </c>
      <c r="BI9">
        <v>0</v>
      </c>
      <c r="BJ9">
        <v>1475</v>
      </c>
      <c r="BK9">
        <v>-25</v>
      </c>
      <c r="BL9" t="s">
        <v>139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 t="shared" si="7"/>
        <v>15:04:33.511</v>
      </c>
      <c r="CF9">
        <v>510938629</v>
      </c>
      <c r="CS9">
        <v>0</v>
      </c>
      <c r="CT9">
        <v>2</v>
      </c>
      <c r="CU9">
        <v>0</v>
      </c>
      <c r="CV9">
        <v>2</v>
      </c>
      <c r="CW9">
        <v>0</v>
      </c>
      <c r="CX9">
        <v>0</v>
      </c>
      <c r="CY9">
        <v>7</v>
      </c>
      <c r="CZ9" t="s">
        <v>133</v>
      </c>
      <c r="DA9">
        <v>275</v>
      </c>
      <c r="DB9">
        <v>0</v>
      </c>
      <c r="DC9" t="s">
        <v>134</v>
      </c>
      <c r="DD9" t="s">
        <v>135</v>
      </c>
      <c r="DG9">
        <v>3317522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4" x14ac:dyDescent="0.3">
      <c r="A10" t="str">
        <f>"05/01/2025 15:04:33.720"</f>
        <v>05/01/2025 15:04:33.720</v>
      </c>
      <c r="C10" t="str">
        <f t="shared" si="0"/>
        <v>FFDFD3C0</v>
      </c>
      <c r="D10" t="s">
        <v>145</v>
      </c>
      <c r="E10" t="str">
        <f>"09"</f>
        <v>09</v>
      </c>
      <c r="H10">
        <v>51</v>
      </c>
      <c r="I10" t="s">
        <v>147</v>
      </c>
      <c r="J10" t="s">
        <v>138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R10" t="s">
        <v>127</v>
      </c>
      <c r="S10" t="str">
        <f t="shared" si="6"/>
        <v>15:04:33.000</v>
      </c>
      <c r="T10" t="str">
        <f t="shared" si="6"/>
        <v>15:04:33.000</v>
      </c>
      <c r="U10" t="str">
        <f t="shared" si="2"/>
        <v>A68FCB</v>
      </c>
      <c r="V10">
        <v>0</v>
      </c>
      <c r="W10">
        <v>0</v>
      </c>
      <c r="X10">
        <v>2</v>
      </c>
      <c r="Y10">
        <v>0</v>
      </c>
      <c r="AA10">
        <v>1</v>
      </c>
      <c r="AB10">
        <v>8</v>
      </c>
      <c r="AC10">
        <v>3</v>
      </c>
      <c r="AD10">
        <v>0</v>
      </c>
      <c r="AE10">
        <v>9</v>
      </c>
      <c r="AF10" t="s">
        <v>128</v>
      </c>
      <c r="AG10">
        <v>0</v>
      </c>
      <c r="AH10">
        <v>0</v>
      </c>
      <c r="AI10">
        <v>1</v>
      </c>
      <c r="AJ10">
        <v>0</v>
      </c>
      <c r="AK10" t="s">
        <v>148</v>
      </c>
      <c r="AL10">
        <v>38.954493999999997</v>
      </c>
      <c r="AM10" t="s">
        <v>149</v>
      </c>
      <c r="AN10">
        <v>-121.08463500000001</v>
      </c>
      <c r="AO10">
        <v>25</v>
      </c>
      <c r="AP10">
        <v>1500</v>
      </c>
      <c r="AQ10" t="s">
        <v>131</v>
      </c>
      <c r="AR10">
        <v>59</v>
      </c>
      <c r="AS10">
        <v>3</v>
      </c>
      <c r="AT10">
        <v>64</v>
      </c>
      <c r="BB10" t="str">
        <f t="shared" si="3"/>
        <v>1200</v>
      </c>
      <c r="BC10">
        <v>1</v>
      </c>
      <c r="BD10" t="str">
        <f t="shared" si="4"/>
        <v xml:space="preserve">N52156  </v>
      </c>
      <c r="BE10">
        <v>1</v>
      </c>
      <c r="BG10">
        <v>0</v>
      </c>
      <c r="BH10">
        <v>0</v>
      </c>
      <c r="BI10">
        <v>0</v>
      </c>
      <c r="BJ10">
        <v>1475</v>
      </c>
      <c r="BK10">
        <v>-25</v>
      </c>
      <c r="BL10" t="s">
        <v>139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 t="shared" si="7"/>
        <v>15:04:33.511</v>
      </c>
      <c r="CF10">
        <v>510938629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0</v>
      </c>
      <c r="CY10">
        <v>7</v>
      </c>
      <c r="CZ10" t="s">
        <v>133</v>
      </c>
      <c r="DA10">
        <v>275</v>
      </c>
      <c r="DB10">
        <v>0</v>
      </c>
      <c r="DC10" t="s">
        <v>134</v>
      </c>
      <c r="DD10" t="s">
        <v>135</v>
      </c>
      <c r="DG10">
        <v>3317522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4" x14ac:dyDescent="0.3">
      <c r="A11" t="str">
        <f>"05/01/2025 15:04:33.721"</f>
        <v>05/01/2025 15:04:33.721</v>
      </c>
      <c r="C11" t="str">
        <f t="shared" si="0"/>
        <v>FFDFD3C0</v>
      </c>
      <c r="D11" t="s">
        <v>124</v>
      </c>
      <c r="E11" t="str">
        <f>"06"</f>
        <v>06</v>
      </c>
      <c r="F11">
        <v>2006</v>
      </c>
      <c r="G11" t="s">
        <v>125</v>
      </c>
      <c r="J11" t="s">
        <v>126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R11" t="s">
        <v>127</v>
      </c>
      <c r="S11" t="str">
        <f t="shared" si="6"/>
        <v>15:04:33.000</v>
      </c>
      <c r="T11" t="str">
        <f t="shared" si="6"/>
        <v>15:04:33.000</v>
      </c>
      <c r="U11" t="str">
        <f t="shared" si="2"/>
        <v>A68FCB</v>
      </c>
      <c r="V11">
        <v>0</v>
      </c>
      <c r="W11">
        <v>0</v>
      </c>
      <c r="X11">
        <v>2</v>
      </c>
      <c r="Y11">
        <v>0</v>
      </c>
      <c r="AA11">
        <v>1</v>
      </c>
      <c r="AB11">
        <v>8</v>
      </c>
      <c r="AC11">
        <v>3</v>
      </c>
      <c r="AD11">
        <v>0</v>
      </c>
      <c r="AE11">
        <v>9</v>
      </c>
      <c r="AF11" t="s">
        <v>128</v>
      </c>
      <c r="AG11">
        <v>0</v>
      </c>
      <c r="AH11">
        <v>3</v>
      </c>
      <c r="AI11">
        <v>1</v>
      </c>
      <c r="AJ11">
        <v>0</v>
      </c>
      <c r="AK11" t="s">
        <v>148</v>
      </c>
      <c r="AL11">
        <v>38.954493999999997</v>
      </c>
      <c r="AM11" t="s">
        <v>149</v>
      </c>
      <c r="AN11">
        <v>-121.08463500000001</v>
      </c>
      <c r="AO11">
        <v>25</v>
      </c>
      <c r="AP11">
        <v>1500</v>
      </c>
      <c r="AQ11" t="s">
        <v>131</v>
      </c>
      <c r="AR11">
        <v>59</v>
      </c>
      <c r="AS11">
        <v>3</v>
      </c>
      <c r="AT11">
        <v>64</v>
      </c>
      <c r="BB11" t="str">
        <f t="shared" si="3"/>
        <v>1200</v>
      </c>
      <c r="BC11">
        <v>1</v>
      </c>
      <c r="BD11" t="str">
        <f t="shared" si="4"/>
        <v xml:space="preserve">N52156  </v>
      </c>
      <c r="BE11">
        <v>1</v>
      </c>
      <c r="BG11">
        <v>0</v>
      </c>
      <c r="BH11">
        <v>0</v>
      </c>
      <c r="BI11">
        <v>0</v>
      </c>
      <c r="BJ11">
        <v>1475</v>
      </c>
      <c r="BK11">
        <v>-25</v>
      </c>
      <c r="BL11" t="s">
        <v>132</v>
      </c>
      <c r="BM11">
        <v>1</v>
      </c>
      <c r="BN11">
        <v>1</v>
      </c>
      <c r="BO11">
        <v>0</v>
      </c>
      <c r="BP11">
        <v>0</v>
      </c>
      <c r="BS11">
        <v>0.2</v>
      </c>
      <c r="BT11">
        <v>0</v>
      </c>
      <c r="BU11">
        <v>0</v>
      </c>
      <c r="CE11" t="str">
        <f t="shared" si="7"/>
        <v>15:04:33.511</v>
      </c>
      <c r="CF11">
        <v>510938629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0</v>
      </c>
      <c r="CY11">
        <v>7</v>
      </c>
      <c r="CZ11" t="s">
        <v>133</v>
      </c>
      <c r="DA11">
        <v>275</v>
      </c>
      <c r="DB11">
        <v>0</v>
      </c>
      <c r="DC11" t="s">
        <v>134</v>
      </c>
      <c r="DD11" t="s">
        <v>135</v>
      </c>
      <c r="DG11">
        <v>3317522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4" x14ac:dyDescent="0.3">
      <c r="A12" t="str">
        <f>"05/01/2025 15:04:33.720"</f>
        <v>05/01/2025 15:04:33.720</v>
      </c>
      <c r="C12" t="str">
        <f t="shared" si="0"/>
        <v>FFDFD3C0</v>
      </c>
      <c r="D12" t="s">
        <v>145</v>
      </c>
      <c r="E12" t="str">
        <f>"05"</f>
        <v>05</v>
      </c>
      <c r="H12">
        <v>47</v>
      </c>
      <c r="I12" t="s">
        <v>146</v>
      </c>
      <c r="J12" t="s">
        <v>138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R12" t="s">
        <v>127</v>
      </c>
      <c r="S12" t="str">
        <f t="shared" si="6"/>
        <v>15:04:33.000</v>
      </c>
      <c r="T12" t="str">
        <f t="shared" si="6"/>
        <v>15:04:33.000</v>
      </c>
      <c r="U12" t="str">
        <f t="shared" si="2"/>
        <v>A68FCB</v>
      </c>
      <c r="V12">
        <v>0</v>
      </c>
      <c r="W12">
        <v>0</v>
      </c>
      <c r="X12">
        <v>2</v>
      </c>
      <c r="Y12">
        <v>0</v>
      </c>
      <c r="AA12">
        <v>1</v>
      </c>
      <c r="AB12">
        <v>8</v>
      </c>
      <c r="AC12">
        <v>3</v>
      </c>
      <c r="AD12">
        <v>0</v>
      </c>
      <c r="AE12">
        <v>9</v>
      </c>
      <c r="AF12" t="s">
        <v>128</v>
      </c>
      <c r="AG12">
        <v>0</v>
      </c>
      <c r="AH12">
        <v>0</v>
      </c>
      <c r="AI12">
        <v>1</v>
      </c>
      <c r="AJ12">
        <v>0</v>
      </c>
      <c r="AK12" t="s">
        <v>148</v>
      </c>
      <c r="AL12">
        <v>38.954493999999997</v>
      </c>
      <c r="AM12" t="s">
        <v>149</v>
      </c>
      <c r="AN12">
        <v>-121.08463500000001</v>
      </c>
      <c r="AO12">
        <v>25</v>
      </c>
      <c r="AP12">
        <v>1500</v>
      </c>
      <c r="AQ12" t="s">
        <v>131</v>
      </c>
      <c r="AR12">
        <v>59</v>
      </c>
      <c r="AS12">
        <v>3</v>
      </c>
      <c r="AT12">
        <v>64</v>
      </c>
      <c r="BB12" t="str">
        <f t="shared" si="3"/>
        <v>1200</v>
      </c>
      <c r="BC12">
        <v>1</v>
      </c>
      <c r="BD12" t="str">
        <f t="shared" si="4"/>
        <v xml:space="preserve">N52156  </v>
      </c>
      <c r="BE12">
        <v>1</v>
      </c>
      <c r="BG12">
        <v>0</v>
      </c>
      <c r="BH12">
        <v>0</v>
      </c>
      <c r="BI12">
        <v>0</v>
      </c>
      <c r="BJ12">
        <v>1475</v>
      </c>
      <c r="BK12">
        <v>-25</v>
      </c>
      <c r="BL12" t="s">
        <v>139</v>
      </c>
      <c r="BM12">
        <v>1</v>
      </c>
      <c r="BN12">
        <v>1</v>
      </c>
      <c r="BO12">
        <v>0</v>
      </c>
      <c r="BP12">
        <v>0</v>
      </c>
      <c r="BT12">
        <v>0</v>
      </c>
      <c r="BU12">
        <v>0</v>
      </c>
      <c r="CE12" t="str">
        <f t="shared" si="7"/>
        <v>15:04:33.511</v>
      </c>
      <c r="CF12">
        <v>510938629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0</v>
      </c>
      <c r="CY12">
        <v>7</v>
      </c>
      <c r="CZ12" t="s">
        <v>133</v>
      </c>
      <c r="DA12">
        <v>275</v>
      </c>
      <c r="DB12">
        <v>0</v>
      </c>
      <c r="DC12" t="s">
        <v>134</v>
      </c>
      <c r="DD12" t="s">
        <v>135</v>
      </c>
      <c r="DG12">
        <v>3317522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4" x14ac:dyDescent="0.3">
      <c r="A13" t="str">
        <f>"05/01/2025 15:04:33.733"</f>
        <v>05/01/2025 15:04:33.733</v>
      </c>
      <c r="C13" t="str">
        <f t="shared" si="0"/>
        <v>FFDFD3C0</v>
      </c>
      <c r="D13" t="s">
        <v>136</v>
      </c>
      <c r="E13" t="str">
        <f>"20"</f>
        <v>20</v>
      </c>
      <c r="H13">
        <v>400</v>
      </c>
      <c r="I13" t="s">
        <v>137</v>
      </c>
      <c r="J13" t="s">
        <v>138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R13" t="s">
        <v>127</v>
      </c>
      <c r="S13" t="str">
        <f t="shared" si="6"/>
        <v>15:04:33.000</v>
      </c>
      <c r="T13" t="str">
        <f t="shared" si="6"/>
        <v>15:04:33.000</v>
      </c>
      <c r="U13" t="str">
        <f t="shared" si="2"/>
        <v>A68FCB</v>
      </c>
      <c r="V13">
        <v>0</v>
      </c>
      <c r="W13">
        <v>0</v>
      </c>
      <c r="X13">
        <v>2</v>
      </c>
      <c r="Y13">
        <v>0</v>
      </c>
      <c r="AA13">
        <v>1</v>
      </c>
      <c r="AB13">
        <v>8</v>
      </c>
      <c r="AC13">
        <v>3</v>
      </c>
      <c r="AD13">
        <v>0</v>
      </c>
      <c r="AE13">
        <v>9</v>
      </c>
      <c r="AF13" t="s">
        <v>128</v>
      </c>
      <c r="AG13">
        <v>0</v>
      </c>
      <c r="AH13">
        <v>0</v>
      </c>
      <c r="AI13">
        <v>1</v>
      </c>
      <c r="AJ13">
        <v>0</v>
      </c>
      <c r="AK13" t="s">
        <v>148</v>
      </c>
      <c r="AL13">
        <v>38.954493999999997</v>
      </c>
      <c r="AM13" t="s">
        <v>149</v>
      </c>
      <c r="AN13">
        <v>-121.08463500000001</v>
      </c>
      <c r="AO13">
        <v>25</v>
      </c>
      <c r="AP13">
        <v>1500</v>
      </c>
      <c r="AQ13" t="s">
        <v>131</v>
      </c>
      <c r="AR13">
        <v>59</v>
      </c>
      <c r="AS13">
        <v>3</v>
      </c>
      <c r="AT13">
        <v>64</v>
      </c>
      <c r="BB13" t="str">
        <f t="shared" si="3"/>
        <v>1200</v>
      </c>
      <c r="BC13">
        <v>1</v>
      </c>
      <c r="BD13" t="str">
        <f t="shared" si="4"/>
        <v xml:space="preserve">N52156  </v>
      </c>
      <c r="BE13">
        <v>1</v>
      </c>
      <c r="BG13">
        <v>0</v>
      </c>
      <c r="BH13">
        <v>0</v>
      </c>
      <c r="BI13">
        <v>0</v>
      </c>
      <c r="BJ13">
        <v>1475</v>
      </c>
      <c r="BK13">
        <v>-25</v>
      </c>
      <c r="BL13" t="s">
        <v>139</v>
      </c>
      <c r="BM13">
        <v>1</v>
      </c>
      <c r="BN13">
        <v>1</v>
      </c>
      <c r="BO13">
        <v>0</v>
      </c>
      <c r="BP13">
        <v>0</v>
      </c>
      <c r="BT13">
        <v>0</v>
      </c>
      <c r="BU13">
        <v>0</v>
      </c>
      <c r="CE13" t="str">
        <f t="shared" si="7"/>
        <v>15:04:33.511</v>
      </c>
      <c r="CF13">
        <v>510938629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0</v>
      </c>
      <c r="CY13">
        <v>7</v>
      </c>
      <c r="CZ13" t="s">
        <v>133</v>
      </c>
      <c r="DA13">
        <v>275</v>
      </c>
      <c r="DB13">
        <v>0</v>
      </c>
      <c r="DC13" t="s">
        <v>134</v>
      </c>
      <c r="DD13" t="s">
        <v>135</v>
      </c>
      <c r="DG13">
        <v>3317522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4" x14ac:dyDescent="0.3">
      <c r="A14" t="str">
        <f>"05/01/2025 15:04:34.734"</f>
        <v>05/01/2025 15:04:34.734</v>
      </c>
      <c r="C14" t="str">
        <f t="shared" si="0"/>
        <v>FFDFD3C0</v>
      </c>
      <c r="D14" t="s">
        <v>136</v>
      </c>
      <c r="E14" t="str">
        <f>"20"</f>
        <v>20</v>
      </c>
      <c r="H14">
        <v>400</v>
      </c>
      <c r="I14" t="s">
        <v>137</v>
      </c>
      <c r="J14" t="s">
        <v>138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R14" t="s">
        <v>127</v>
      </c>
      <c r="S14" t="str">
        <f t="shared" ref="S14:T19" si="8">"15:04:34.000"</f>
        <v>15:04:34.000</v>
      </c>
      <c r="T14" t="str">
        <f t="shared" si="8"/>
        <v>15:04:34.000</v>
      </c>
      <c r="U14" t="str">
        <f t="shared" si="2"/>
        <v>A68FCB</v>
      </c>
      <c r="V14">
        <v>0</v>
      </c>
      <c r="W14">
        <v>0</v>
      </c>
      <c r="X14">
        <v>2</v>
      </c>
      <c r="Y14">
        <v>0</v>
      </c>
      <c r="AA14">
        <v>1</v>
      </c>
      <c r="AB14">
        <v>8</v>
      </c>
      <c r="AC14">
        <v>3</v>
      </c>
      <c r="AD14">
        <v>0</v>
      </c>
      <c r="AE14">
        <v>9</v>
      </c>
      <c r="AF14" t="s">
        <v>128</v>
      </c>
      <c r="AG14">
        <v>0</v>
      </c>
      <c r="AH14">
        <v>0</v>
      </c>
      <c r="AI14">
        <v>1</v>
      </c>
      <c r="AJ14">
        <v>0</v>
      </c>
      <c r="AK14" t="s">
        <v>150</v>
      </c>
      <c r="AL14">
        <v>38.954515000000001</v>
      </c>
      <c r="AM14" t="s">
        <v>151</v>
      </c>
      <c r="AN14">
        <v>-121.08427</v>
      </c>
      <c r="AO14">
        <v>25</v>
      </c>
      <c r="AP14">
        <v>1500</v>
      </c>
      <c r="AQ14" t="s">
        <v>131</v>
      </c>
      <c r="AR14">
        <v>61</v>
      </c>
      <c r="AS14">
        <v>6</v>
      </c>
      <c r="AT14">
        <v>0</v>
      </c>
      <c r="BB14" t="str">
        <f t="shared" si="3"/>
        <v>1200</v>
      </c>
      <c r="BC14">
        <v>1</v>
      </c>
      <c r="BD14" t="str">
        <f t="shared" si="4"/>
        <v xml:space="preserve">N52156  </v>
      </c>
      <c r="BE14">
        <v>1</v>
      </c>
      <c r="BG14">
        <v>0</v>
      </c>
      <c r="BH14">
        <v>0</v>
      </c>
      <c r="BI14">
        <v>0</v>
      </c>
      <c r="BJ14">
        <v>1475</v>
      </c>
      <c r="BK14">
        <v>-25</v>
      </c>
      <c r="BL14" t="s">
        <v>139</v>
      </c>
      <c r="BM14">
        <v>1</v>
      </c>
      <c r="BN14">
        <v>1</v>
      </c>
      <c r="BO14">
        <v>0</v>
      </c>
      <c r="BP14">
        <v>0</v>
      </c>
      <c r="BT14">
        <v>0</v>
      </c>
      <c r="BU14">
        <v>0</v>
      </c>
      <c r="CE14" t="str">
        <f t="shared" ref="CE14:CE19" si="9">"15:04:34.532"</f>
        <v>15:04:34.532</v>
      </c>
      <c r="CF14">
        <v>531938742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0</v>
      </c>
      <c r="CY14">
        <v>7</v>
      </c>
      <c r="CZ14" t="s">
        <v>133</v>
      </c>
      <c r="DA14">
        <v>275</v>
      </c>
      <c r="DB14">
        <v>0</v>
      </c>
      <c r="DC14" t="s">
        <v>134</v>
      </c>
      <c r="DD14" t="s">
        <v>135</v>
      </c>
      <c r="DG14">
        <v>3317525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4" x14ac:dyDescent="0.3">
      <c r="A15" t="str">
        <f>"05/01/2025 15:04:34.760"</f>
        <v>05/01/2025 15:04:34.760</v>
      </c>
      <c r="C15" t="str">
        <f t="shared" si="0"/>
        <v>FFDFD3C0</v>
      </c>
      <c r="D15" t="s">
        <v>140</v>
      </c>
      <c r="E15" t="str">
        <f>"13"</f>
        <v>13</v>
      </c>
      <c r="F15">
        <v>1019</v>
      </c>
      <c r="G15" t="s">
        <v>141</v>
      </c>
      <c r="J15" t="s">
        <v>142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R15" t="s">
        <v>127</v>
      </c>
      <c r="S15" t="str">
        <f t="shared" si="8"/>
        <v>15:04:34.000</v>
      </c>
      <c r="T15" t="str">
        <f t="shared" si="8"/>
        <v>15:04:34.000</v>
      </c>
      <c r="U15" t="str">
        <f t="shared" si="2"/>
        <v>A68FCB</v>
      </c>
      <c r="V15">
        <v>0</v>
      </c>
      <c r="W15">
        <v>0</v>
      </c>
      <c r="X15">
        <v>2</v>
      </c>
      <c r="Y15">
        <v>0</v>
      </c>
      <c r="AA15">
        <v>1</v>
      </c>
      <c r="AB15">
        <v>8</v>
      </c>
      <c r="AC15">
        <v>3</v>
      </c>
      <c r="AD15">
        <v>0</v>
      </c>
      <c r="AE15">
        <v>9</v>
      </c>
      <c r="AF15" t="s">
        <v>128</v>
      </c>
      <c r="AG15">
        <v>0</v>
      </c>
      <c r="AH15">
        <v>3</v>
      </c>
      <c r="AI15">
        <v>1</v>
      </c>
      <c r="AJ15">
        <v>0</v>
      </c>
      <c r="AK15" t="s">
        <v>150</v>
      </c>
      <c r="AL15">
        <v>38.954515000000001</v>
      </c>
      <c r="AM15" t="s">
        <v>151</v>
      </c>
      <c r="AN15">
        <v>-121.08427</v>
      </c>
      <c r="AO15">
        <v>25</v>
      </c>
      <c r="AP15">
        <v>1500</v>
      </c>
      <c r="AQ15" t="s">
        <v>131</v>
      </c>
      <c r="AR15">
        <v>61</v>
      </c>
      <c r="AS15">
        <v>6</v>
      </c>
      <c r="AT15">
        <v>0</v>
      </c>
      <c r="BB15" t="str">
        <f t="shared" si="3"/>
        <v>1200</v>
      </c>
      <c r="BC15">
        <v>1</v>
      </c>
      <c r="BD15" t="str">
        <f t="shared" si="4"/>
        <v xml:space="preserve">N52156  </v>
      </c>
      <c r="BE15">
        <v>1</v>
      </c>
      <c r="BG15">
        <v>0</v>
      </c>
      <c r="BH15">
        <v>0</v>
      </c>
      <c r="BI15">
        <v>0</v>
      </c>
      <c r="BJ15">
        <v>1475</v>
      </c>
      <c r="BK15">
        <v>-25</v>
      </c>
      <c r="BL15" t="s">
        <v>132</v>
      </c>
      <c r="BM15">
        <v>1</v>
      </c>
      <c r="BN15">
        <v>1</v>
      </c>
      <c r="BO15">
        <v>0</v>
      </c>
      <c r="BP15">
        <v>0</v>
      </c>
      <c r="BS15">
        <v>0.2</v>
      </c>
      <c r="BT15">
        <v>0</v>
      </c>
      <c r="BU15">
        <v>0</v>
      </c>
      <c r="CE15" t="str">
        <f t="shared" si="9"/>
        <v>15:04:34.532</v>
      </c>
      <c r="CF15">
        <v>531938742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0</v>
      </c>
      <c r="CY15">
        <v>7</v>
      </c>
      <c r="CZ15" t="s">
        <v>133</v>
      </c>
      <c r="DA15">
        <v>275</v>
      </c>
      <c r="DB15">
        <v>0</v>
      </c>
      <c r="DC15" t="s">
        <v>134</v>
      </c>
      <c r="DD15" t="s">
        <v>135</v>
      </c>
      <c r="DG15">
        <v>3317525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4" x14ac:dyDescent="0.3">
      <c r="A16" t="str">
        <f>"05/01/2025 15:04:34.765"</f>
        <v>05/01/2025 15:04:34.765</v>
      </c>
      <c r="C16" t="str">
        <f t="shared" si="0"/>
        <v>FFDFD3C0</v>
      </c>
      <c r="D16" t="s">
        <v>143</v>
      </c>
      <c r="E16" t="str">
        <f>"05"</f>
        <v>05</v>
      </c>
      <c r="H16">
        <v>172</v>
      </c>
      <c r="I16" t="s">
        <v>141</v>
      </c>
      <c r="J16" t="s">
        <v>144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R16" t="s">
        <v>127</v>
      </c>
      <c r="S16" t="str">
        <f t="shared" si="8"/>
        <v>15:04:34.000</v>
      </c>
      <c r="T16" t="str">
        <f t="shared" si="8"/>
        <v>15:04:34.000</v>
      </c>
      <c r="U16" t="str">
        <f t="shared" si="2"/>
        <v>A68FCB</v>
      </c>
      <c r="V16">
        <v>0</v>
      </c>
      <c r="W16">
        <v>0</v>
      </c>
      <c r="X16">
        <v>2</v>
      </c>
      <c r="Y16">
        <v>0</v>
      </c>
      <c r="AA16">
        <v>1</v>
      </c>
      <c r="AB16">
        <v>8</v>
      </c>
      <c r="AC16">
        <v>3</v>
      </c>
      <c r="AD16">
        <v>0</v>
      </c>
      <c r="AE16">
        <v>9</v>
      </c>
      <c r="AF16" t="s">
        <v>128</v>
      </c>
      <c r="AG16">
        <v>0</v>
      </c>
      <c r="AH16">
        <v>0</v>
      </c>
      <c r="AI16">
        <v>1</v>
      </c>
      <c r="AJ16">
        <v>0</v>
      </c>
      <c r="AK16" t="s">
        <v>150</v>
      </c>
      <c r="AL16">
        <v>38.954515000000001</v>
      </c>
      <c r="AM16" t="s">
        <v>151</v>
      </c>
      <c r="AN16">
        <v>-121.08427</v>
      </c>
      <c r="AO16">
        <v>25</v>
      </c>
      <c r="AP16">
        <v>1500</v>
      </c>
      <c r="AQ16" t="s">
        <v>131</v>
      </c>
      <c r="AR16">
        <v>61</v>
      </c>
      <c r="AS16">
        <v>6</v>
      </c>
      <c r="AT16">
        <v>0</v>
      </c>
      <c r="BB16" t="str">
        <f t="shared" si="3"/>
        <v>1200</v>
      </c>
      <c r="BC16">
        <v>1</v>
      </c>
      <c r="BD16" t="str">
        <f t="shared" si="4"/>
        <v xml:space="preserve">N52156  </v>
      </c>
      <c r="BE16">
        <v>1</v>
      </c>
      <c r="BG16">
        <v>0</v>
      </c>
      <c r="BH16">
        <v>0</v>
      </c>
      <c r="BI16">
        <v>0</v>
      </c>
      <c r="BJ16">
        <v>1475</v>
      </c>
      <c r="BK16">
        <v>-25</v>
      </c>
      <c r="BL16" t="s">
        <v>139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 t="shared" si="9"/>
        <v>15:04:34.532</v>
      </c>
      <c r="CF16">
        <v>531938742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0</v>
      </c>
      <c r="CY16">
        <v>7</v>
      </c>
      <c r="CZ16" t="s">
        <v>133</v>
      </c>
      <c r="DA16">
        <v>275</v>
      </c>
      <c r="DB16">
        <v>0</v>
      </c>
      <c r="DC16" t="s">
        <v>134</v>
      </c>
      <c r="DD16" t="s">
        <v>135</v>
      </c>
      <c r="DG16">
        <v>3317525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"05/01/2025 15:04:34.772"</f>
        <v>05/01/2025 15:04:34.772</v>
      </c>
      <c r="C17" t="str">
        <f t="shared" si="0"/>
        <v>FFDFD3C0</v>
      </c>
      <c r="D17" t="s">
        <v>145</v>
      </c>
      <c r="E17" t="str">
        <f>"09"</f>
        <v>09</v>
      </c>
      <c r="H17">
        <v>51</v>
      </c>
      <c r="I17" t="s">
        <v>147</v>
      </c>
      <c r="J17" t="s">
        <v>138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R17" t="s">
        <v>127</v>
      </c>
      <c r="S17" t="str">
        <f t="shared" si="8"/>
        <v>15:04:34.000</v>
      </c>
      <c r="T17" t="str">
        <f t="shared" si="8"/>
        <v>15:04:34.000</v>
      </c>
      <c r="U17" t="str">
        <f t="shared" si="2"/>
        <v>A68FCB</v>
      </c>
      <c r="V17">
        <v>0</v>
      </c>
      <c r="W17">
        <v>0</v>
      </c>
      <c r="X17">
        <v>2</v>
      </c>
      <c r="Y17">
        <v>0</v>
      </c>
      <c r="AA17">
        <v>1</v>
      </c>
      <c r="AB17">
        <v>8</v>
      </c>
      <c r="AC17">
        <v>3</v>
      </c>
      <c r="AD17">
        <v>0</v>
      </c>
      <c r="AE17">
        <v>9</v>
      </c>
      <c r="AF17" t="s">
        <v>128</v>
      </c>
      <c r="AG17">
        <v>0</v>
      </c>
      <c r="AH17">
        <v>0</v>
      </c>
      <c r="AI17">
        <v>1</v>
      </c>
      <c r="AJ17">
        <v>0</v>
      </c>
      <c r="AK17" t="s">
        <v>150</v>
      </c>
      <c r="AL17">
        <v>38.954515000000001</v>
      </c>
      <c r="AM17" t="s">
        <v>151</v>
      </c>
      <c r="AN17">
        <v>-121.08427</v>
      </c>
      <c r="AO17">
        <v>25</v>
      </c>
      <c r="AP17">
        <v>1500</v>
      </c>
      <c r="AQ17" t="s">
        <v>131</v>
      </c>
      <c r="AR17">
        <v>61</v>
      </c>
      <c r="AS17">
        <v>6</v>
      </c>
      <c r="AT17">
        <v>0</v>
      </c>
      <c r="BB17" t="str">
        <f t="shared" si="3"/>
        <v>1200</v>
      </c>
      <c r="BC17">
        <v>1</v>
      </c>
      <c r="BD17" t="str">
        <f t="shared" si="4"/>
        <v xml:space="preserve">N52156  </v>
      </c>
      <c r="BE17">
        <v>1</v>
      </c>
      <c r="BG17">
        <v>0</v>
      </c>
      <c r="BH17">
        <v>0</v>
      </c>
      <c r="BI17">
        <v>0</v>
      </c>
      <c r="BJ17">
        <v>1475</v>
      </c>
      <c r="BK17">
        <v>-25</v>
      </c>
      <c r="BL17" t="s">
        <v>139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 t="shared" si="9"/>
        <v>15:04:34.532</v>
      </c>
      <c r="CF17">
        <v>531938742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0</v>
      </c>
      <c r="CY17">
        <v>7</v>
      </c>
      <c r="CZ17" t="s">
        <v>133</v>
      </c>
      <c r="DA17">
        <v>275</v>
      </c>
      <c r="DB17">
        <v>0</v>
      </c>
      <c r="DC17" t="s">
        <v>134</v>
      </c>
      <c r="DD17" t="s">
        <v>135</v>
      </c>
      <c r="DG17">
        <v>3317525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"05/01/2025 15:04:34.773"</f>
        <v>05/01/2025 15:04:34.773</v>
      </c>
      <c r="C18" t="str">
        <f t="shared" si="0"/>
        <v>FFDFD3C0</v>
      </c>
      <c r="D18" t="s">
        <v>124</v>
      </c>
      <c r="E18" t="str">
        <f>"06"</f>
        <v>06</v>
      </c>
      <c r="F18">
        <v>2006</v>
      </c>
      <c r="G18" t="s">
        <v>125</v>
      </c>
      <c r="J18" t="s">
        <v>126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R18" t="s">
        <v>127</v>
      </c>
      <c r="S18" t="str">
        <f t="shared" si="8"/>
        <v>15:04:34.000</v>
      </c>
      <c r="T18" t="str">
        <f t="shared" si="8"/>
        <v>15:04:34.000</v>
      </c>
      <c r="U18" t="str">
        <f t="shared" si="2"/>
        <v>A68FCB</v>
      </c>
      <c r="V18">
        <v>0</v>
      </c>
      <c r="W18">
        <v>0</v>
      </c>
      <c r="X18">
        <v>2</v>
      </c>
      <c r="Y18">
        <v>0</v>
      </c>
      <c r="AA18">
        <v>1</v>
      </c>
      <c r="AB18">
        <v>8</v>
      </c>
      <c r="AC18">
        <v>3</v>
      </c>
      <c r="AD18">
        <v>0</v>
      </c>
      <c r="AE18">
        <v>9</v>
      </c>
      <c r="AF18" t="s">
        <v>128</v>
      </c>
      <c r="AG18">
        <v>0</v>
      </c>
      <c r="AH18">
        <v>3</v>
      </c>
      <c r="AI18">
        <v>1</v>
      </c>
      <c r="AJ18">
        <v>0</v>
      </c>
      <c r="AK18" t="s">
        <v>150</v>
      </c>
      <c r="AL18">
        <v>38.954515000000001</v>
      </c>
      <c r="AM18" t="s">
        <v>151</v>
      </c>
      <c r="AN18">
        <v>-121.08427</v>
      </c>
      <c r="AO18">
        <v>25</v>
      </c>
      <c r="AP18">
        <v>1500</v>
      </c>
      <c r="AQ18" t="s">
        <v>131</v>
      </c>
      <c r="AR18">
        <v>61</v>
      </c>
      <c r="AS18">
        <v>6</v>
      </c>
      <c r="AT18">
        <v>0</v>
      </c>
      <c r="BB18" t="str">
        <f t="shared" si="3"/>
        <v>1200</v>
      </c>
      <c r="BC18">
        <v>1</v>
      </c>
      <c r="BD18" t="str">
        <f t="shared" si="4"/>
        <v xml:space="preserve">N52156  </v>
      </c>
      <c r="BE18">
        <v>1</v>
      </c>
      <c r="BG18">
        <v>0</v>
      </c>
      <c r="BH18">
        <v>0</v>
      </c>
      <c r="BI18">
        <v>0</v>
      </c>
      <c r="BJ18">
        <v>1475</v>
      </c>
      <c r="BK18">
        <v>-25</v>
      </c>
      <c r="BL18" t="s">
        <v>132</v>
      </c>
      <c r="BM18">
        <v>1</v>
      </c>
      <c r="BN18">
        <v>1</v>
      </c>
      <c r="BO18">
        <v>0</v>
      </c>
      <c r="BP18">
        <v>0</v>
      </c>
      <c r="BS18">
        <v>0.2</v>
      </c>
      <c r="BT18">
        <v>0</v>
      </c>
      <c r="BU18">
        <v>0</v>
      </c>
      <c r="CE18" t="str">
        <f t="shared" si="9"/>
        <v>15:04:34.532</v>
      </c>
      <c r="CF18">
        <v>531938742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0</v>
      </c>
      <c r="CY18">
        <v>7</v>
      </c>
      <c r="CZ18" t="s">
        <v>133</v>
      </c>
      <c r="DA18">
        <v>275</v>
      </c>
      <c r="DB18">
        <v>0</v>
      </c>
      <c r="DC18" t="s">
        <v>134</v>
      </c>
      <c r="DD18" t="s">
        <v>135</v>
      </c>
      <c r="DG18">
        <v>3317525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"05/01/2025 15:04:34.772"</f>
        <v>05/01/2025 15:04:34.772</v>
      </c>
      <c r="C19" t="str">
        <f t="shared" si="0"/>
        <v>FFDFD3C0</v>
      </c>
      <c r="D19" t="s">
        <v>145</v>
      </c>
      <c r="E19" t="str">
        <f>"05"</f>
        <v>05</v>
      </c>
      <c r="H19">
        <v>47</v>
      </c>
      <c r="I19" t="s">
        <v>146</v>
      </c>
      <c r="J19" t="s">
        <v>138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R19" t="s">
        <v>127</v>
      </c>
      <c r="S19" t="str">
        <f t="shared" si="8"/>
        <v>15:04:34.000</v>
      </c>
      <c r="T19" t="str">
        <f t="shared" si="8"/>
        <v>15:04:34.000</v>
      </c>
      <c r="U19" t="str">
        <f t="shared" si="2"/>
        <v>A68FCB</v>
      </c>
      <c r="V19">
        <v>0</v>
      </c>
      <c r="W19">
        <v>0</v>
      </c>
      <c r="X19">
        <v>2</v>
      </c>
      <c r="Y19">
        <v>0</v>
      </c>
      <c r="AA19">
        <v>1</v>
      </c>
      <c r="AB19">
        <v>8</v>
      </c>
      <c r="AC19">
        <v>3</v>
      </c>
      <c r="AD19">
        <v>0</v>
      </c>
      <c r="AE19">
        <v>9</v>
      </c>
      <c r="AF19" t="s">
        <v>128</v>
      </c>
      <c r="AG19">
        <v>0</v>
      </c>
      <c r="AH19">
        <v>0</v>
      </c>
      <c r="AI19">
        <v>1</v>
      </c>
      <c r="AJ19">
        <v>0</v>
      </c>
      <c r="AK19" t="s">
        <v>150</v>
      </c>
      <c r="AL19">
        <v>38.954515000000001</v>
      </c>
      <c r="AM19" t="s">
        <v>151</v>
      </c>
      <c r="AN19">
        <v>-121.08427</v>
      </c>
      <c r="AO19">
        <v>25</v>
      </c>
      <c r="AP19">
        <v>1500</v>
      </c>
      <c r="AQ19" t="s">
        <v>131</v>
      </c>
      <c r="AR19">
        <v>61</v>
      </c>
      <c r="AS19">
        <v>6</v>
      </c>
      <c r="AT19">
        <v>0</v>
      </c>
      <c r="BB19" t="str">
        <f t="shared" si="3"/>
        <v>1200</v>
      </c>
      <c r="BC19">
        <v>1</v>
      </c>
      <c r="BD19" t="str">
        <f t="shared" si="4"/>
        <v xml:space="preserve">N52156  </v>
      </c>
      <c r="BE19">
        <v>1</v>
      </c>
      <c r="BG19">
        <v>0</v>
      </c>
      <c r="BH19">
        <v>0</v>
      </c>
      <c r="BI19">
        <v>0</v>
      </c>
      <c r="BJ19">
        <v>1475</v>
      </c>
      <c r="BK19">
        <v>-25</v>
      </c>
      <c r="BL19" t="s">
        <v>139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 t="shared" si="9"/>
        <v>15:04:34.532</v>
      </c>
      <c r="CF19">
        <v>531938742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0</v>
      </c>
      <c r="CY19">
        <v>7</v>
      </c>
      <c r="CZ19" t="s">
        <v>133</v>
      </c>
      <c r="DA19">
        <v>275</v>
      </c>
      <c r="DB19">
        <v>0</v>
      </c>
      <c r="DC19" t="s">
        <v>134</v>
      </c>
      <c r="DD19" t="s">
        <v>135</v>
      </c>
      <c r="DG19">
        <v>3317525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"05/01/2025 15:04:35.912"</f>
        <v>05/01/2025 15:04:35.912</v>
      </c>
      <c r="C20" t="str">
        <f t="shared" si="0"/>
        <v>FFDFD3C0</v>
      </c>
      <c r="D20" t="s">
        <v>140</v>
      </c>
      <c r="E20" t="str">
        <f>"13"</f>
        <v>13</v>
      </c>
      <c r="F20">
        <v>1019</v>
      </c>
      <c r="G20" t="s">
        <v>141</v>
      </c>
      <c r="J20" t="s">
        <v>142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R20" t="s">
        <v>127</v>
      </c>
      <c r="S20" t="str">
        <f t="shared" ref="S20:T25" si="10">"15:04:35.000"</f>
        <v>15:04:35.000</v>
      </c>
      <c r="T20" t="str">
        <f t="shared" si="10"/>
        <v>15:04:35.000</v>
      </c>
      <c r="U20" t="str">
        <f t="shared" si="2"/>
        <v>A68FCB</v>
      </c>
      <c r="V20">
        <v>0</v>
      </c>
      <c r="W20">
        <v>0</v>
      </c>
      <c r="X20">
        <v>2</v>
      </c>
      <c r="Y20">
        <v>0</v>
      </c>
      <c r="AA20">
        <v>1</v>
      </c>
      <c r="AB20">
        <v>8</v>
      </c>
      <c r="AC20">
        <v>3</v>
      </c>
      <c r="AD20">
        <v>0</v>
      </c>
      <c r="AE20">
        <v>9</v>
      </c>
      <c r="AF20" t="s">
        <v>128</v>
      </c>
      <c r="AG20">
        <v>0</v>
      </c>
      <c r="AH20">
        <v>3</v>
      </c>
      <c r="AI20">
        <v>1</v>
      </c>
      <c r="AJ20">
        <v>0</v>
      </c>
      <c r="AK20" t="s">
        <v>152</v>
      </c>
      <c r="AL20">
        <v>38.954537000000002</v>
      </c>
      <c r="AM20" t="s">
        <v>153</v>
      </c>
      <c r="AN20">
        <v>-121.083906</v>
      </c>
      <c r="AO20">
        <v>25</v>
      </c>
      <c r="AP20">
        <v>1500</v>
      </c>
      <c r="AQ20" t="s">
        <v>131</v>
      </c>
      <c r="AR20">
        <v>63</v>
      </c>
      <c r="AS20">
        <v>7</v>
      </c>
      <c r="AT20">
        <v>0</v>
      </c>
      <c r="BB20" t="str">
        <f t="shared" si="3"/>
        <v>1200</v>
      </c>
      <c r="BC20">
        <v>1</v>
      </c>
      <c r="BD20" t="str">
        <f t="shared" si="4"/>
        <v xml:space="preserve">N52156  </v>
      </c>
      <c r="BE20">
        <v>1</v>
      </c>
      <c r="BG20">
        <v>0</v>
      </c>
      <c r="BH20">
        <v>0</v>
      </c>
      <c r="BI20">
        <v>0</v>
      </c>
      <c r="BJ20">
        <v>1475</v>
      </c>
      <c r="BK20">
        <v>-25</v>
      </c>
      <c r="BL20" t="s">
        <v>132</v>
      </c>
      <c r="BM20">
        <v>1</v>
      </c>
      <c r="BN20">
        <v>1</v>
      </c>
      <c r="BO20">
        <v>0</v>
      </c>
      <c r="BP20">
        <v>0</v>
      </c>
      <c r="BS20">
        <v>0.2</v>
      </c>
      <c r="BT20">
        <v>0</v>
      </c>
      <c r="BU20">
        <v>0</v>
      </c>
      <c r="CE20" t="str">
        <f t="shared" ref="CE20:CE25" si="11">"15:04:35.674"</f>
        <v>15:04:35.674</v>
      </c>
      <c r="CF20">
        <v>674189341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1</v>
      </c>
      <c r="CY20">
        <v>7</v>
      </c>
      <c r="CZ20" t="s">
        <v>133</v>
      </c>
      <c r="DA20">
        <v>275</v>
      </c>
      <c r="DB20">
        <v>0</v>
      </c>
      <c r="DC20" t="s">
        <v>134</v>
      </c>
      <c r="DD20" t="s">
        <v>135</v>
      </c>
      <c r="DG20">
        <v>3317527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"05/01/2025 15:04:35.917"</f>
        <v>05/01/2025 15:04:35.917</v>
      </c>
      <c r="C21" t="str">
        <f t="shared" si="0"/>
        <v>FFDFD3C0</v>
      </c>
      <c r="D21" t="s">
        <v>143</v>
      </c>
      <c r="E21" t="str">
        <f>"05"</f>
        <v>05</v>
      </c>
      <c r="H21">
        <v>172</v>
      </c>
      <c r="I21" t="s">
        <v>141</v>
      </c>
      <c r="J21" t="s">
        <v>144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R21" t="s">
        <v>127</v>
      </c>
      <c r="S21" t="str">
        <f t="shared" si="10"/>
        <v>15:04:35.000</v>
      </c>
      <c r="T21" t="str">
        <f t="shared" si="10"/>
        <v>15:04:35.000</v>
      </c>
      <c r="U21" t="str">
        <f t="shared" si="2"/>
        <v>A68FCB</v>
      </c>
      <c r="V21">
        <v>0</v>
      </c>
      <c r="W21">
        <v>0</v>
      </c>
      <c r="X21">
        <v>2</v>
      </c>
      <c r="Y21">
        <v>0</v>
      </c>
      <c r="AA21">
        <v>1</v>
      </c>
      <c r="AB21">
        <v>8</v>
      </c>
      <c r="AC21">
        <v>3</v>
      </c>
      <c r="AD21">
        <v>0</v>
      </c>
      <c r="AE21">
        <v>9</v>
      </c>
      <c r="AF21" t="s">
        <v>128</v>
      </c>
      <c r="AG21">
        <v>0</v>
      </c>
      <c r="AH21">
        <v>0</v>
      </c>
      <c r="AI21">
        <v>1</v>
      </c>
      <c r="AJ21">
        <v>0</v>
      </c>
      <c r="AK21" t="s">
        <v>152</v>
      </c>
      <c r="AL21">
        <v>38.954537000000002</v>
      </c>
      <c r="AM21" t="s">
        <v>153</v>
      </c>
      <c r="AN21">
        <v>-121.083906</v>
      </c>
      <c r="AO21">
        <v>25</v>
      </c>
      <c r="AP21">
        <v>1500</v>
      </c>
      <c r="AQ21" t="s">
        <v>131</v>
      </c>
      <c r="AR21">
        <v>63</v>
      </c>
      <c r="AS21">
        <v>7</v>
      </c>
      <c r="AT21">
        <v>0</v>
      </c>
      <c r="BB21" t="str">
        <f t="shared" si="3"/>
        <v>1200</v>
      </c>
      <c r="BC21">
        <v>1</v>
      </c>
      <c r="BD21" t="str">
        <f t="shared" si="4"/>
        <v xml:space="preserve">N52156  </v>
      </c>
      <c r="BE21">
        <v>1</v>
      </c>
      <c r="BG21">
        <v>0</v>
      </c>
      <c r="BH21">
        <v>0</v>
      </c>
      <c r="BI21">
        <v>0</v>
      </c>
      <c r="BJ21">
        <v>1475</v>
      </c>
      <c r="BK21">
        <v>-25</v>
      </c>
      <c r="BL21" t="s">
        <v>139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 t="shared" si="11"/>
        <v>15:04:35.674</v>
      </c>
      <c r="CF21">
        <v>674189341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1</v>
      </c>
      <c r="CY21">
        <v>7</v>
      </c>
      <c r="CZ21" t="s">
        <v>133</v>
      </c>
      <c r="DA21">
        <v>275</v>
      </c>
      <c r="DB21">
        <v>0</v>
      </c>
      <c r="DC21" t="s">
        <v>134</v>
      </c>
      <c r="DD21" t="s">
        <v>135</v>
      </c>
      <c r="DG21">
        <v>3317527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"05/01/2025 15:04:35.923"</f>
        <v>05/01/2025 15:04:35.923</v>
      </c>
      <c r="C22" t="str">
        <f t="shared" si="0"/>
        <v>FFDFD3C0</v>
      </c>
      <c r="D22" t="s">
        <v>145</v>
      </c>
      <c r="E22" t="str">
        <f>"09"</f>
        <v>09</v>
      </c>
      <c r="H22">
        <v>51</v>
      </c>
      <c r="I22" t="s">
        <v>147</v>
      </c>
      <c r="J22" t="s">
        <v>138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R22" t="s">
        <v>127</v>
      </c>
      <c r="S22" t="str">
        <f t="shared" si="10"/>
        <v>15:04:35.000</v>
      </c>
      <c r="T22" t="str">
        <f t="shared" si="10"/>
        <v>15:04:35.000</v>
      </c>
      <c r="U22" t="str">
        <f t="shared" si="2"/>
        <v>A68FCB</v>
      </c>
      <c r="V22">
        <v>0</v>
      </c>
      <c r="W22">
        <v>0</v>
      </c>
      <c r="X22">
        <v>2</v>
      </c>
      <c r="Y22">
        <v>0</v>
      </c>
      <c r="AA22">
        <v>1</v>
      </c>
      <c r="AB22">
        <v>8</v>
      </c>
      <c r="AC22">
        <v>3</v>
      </c>
      <c r="AD22">
        <v>0</v>
      </c>
      <c r="AE22">
        <v>9</v>
      </c>
      <c r="AF22" t="s">
        <v>128</v>
      </c>
      <c r="AG22">
        <v>0</v>
      </c>
      <c r="AH22">
        <v>0</v>
      </c>
      <c r="AI22">
        <v>1</v>
      </c>
      <c r="AJ22">
        <v>0</v>
      </c>
      <c r="AK22" t="s">
        <v>152</v>
      </c>
      <c r="AL22">
        <v>38.954537000000002</v>
      </c>
      <c r="AM22" t="s">
        <v>153</v>
      </c>
      <c r="AN22">
        <v>-121.083906</v>
      </c>
      <c r="AO22">
        <v>25</v>
      </c>
      <c r="AP22">
        <v>1500</v>
      </c>
      <c r="AQ22" t="s">
        <v>131</v>
      </c>
      <c r="AR22">
        <v>63</v>
      </c>
      <c r="AS22">
        <v>7</v>
      </c>
      <c r="AT22">
        <v>0</v>
      </c>
      <c r="BB22" t="str">
        <f t="shared" si="3"/>
        <v>1200</v>
      </c>
      <c r="BC22">
        <v>1</v>
      </c>
      <c r="BD22" t="str">
        <f t="shared" si="4"/>
        <v xml:space="preserve">N52156  </v>
      </c>
      <c r="BE22">
        <v>1</v>
      </c>
      <c r="BG22">
        <v>0</v>
      </c>
      <c r="BH22">
        <v>0</v>
      </c>
      <c r="BI22">
        <v>0</v>
      </c>
      <c r="BJ22">
        <v>1475</v>
      </c>
      <c r="BK22">
        <v>-25</v>
      </c>
      <c r="BL22" t="s">
        <v>139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 t="shared" si="11"/>
        <v>15:04:35.674</v>
      </c>
      <c r="CF22">
        <v>674189341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1</v>
      </c>
      <c r="CY22">
        <v>7</v>
      </c>
      <c r="CZ22" t="s">
        <v>133</v>
      </c>
      <c r="DA22">
        <v>275</v>
      </c>
      <c r="DB22">
        <v>0</v>
      </c>
      <c r="DC22" t="s">
        <v>134</v>
      </c>
      <c r="DD22" t="s">
        <v>135</v>
      </c>
      <c r="DG22">
        <v>3317527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"05/01/2025 15:04:35.923"</f>
        <v>05/01/2025 15:04:35.923</v>
      </c>
      <c r="C23" t="str">
        <f t="shared" si="0"/>
        <v>FFDFD3C0</v>
      </c>
      <c r="D23" t="s">
        <v>145</v>
      </c>
      <c r="E23" t="str">
        <f>"05"</f>
        <v>05</v>
      </c>
      <c r="H23">
        <v>47</v>
      </c>
      <c r="I23" t="s">
        <v>146</v>
      </c>
      <c r="J23" t="s">
        <v>138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R23" t="s">
        <v>127</v>
      </c>
      <c r="S23" t="str">
        <f t="shared" si="10"/>
        <v>15:04:35.000</v>
      </c>
      <c r="T23" t="str">
        <f t="shared" si="10"/>
        <v>15:04:35.000</v>
      </c>
      <c r="U23" t="str">
        <f t="shared" si="2"/>
        <v>A68FCB</v>
      </c>
      <c r="V23">
        <v>0</v>
      </c>
      <c r="W23">
        <v>0</v>
      </c>
      <c r="X23">
        <v>2</v>
      </c>
      <c r="Y23">
        <v>0</v>
      </c>
      <c r="AA23">
        <v>1</v>
      </c>
      <c r="AB23">
        <v>8</v>
      </c>
      <c r="AC23">
        <v>3</v>
      </c>
      <c r="AD23">
        <v>0</v>
      </c>
      <c r="AE23">
        <v>9</v>
      </c>
      <c r="AF23" t="s">
        <v>128</v>
      </c>
      <c r="AG23">
        <v>0</v>
      </c>
      <c r="AH23">
        <v>0</v>
      </c>
      <c r="AI23">
        <v>1</v>
      </c>
      <c r="AJ23">
        <v>0</v>
      </c>
      <c r="AK23" t="s">
        <v>152</v>
      </c>
      <c r="AL23">
        <v>38.954537000000002</v>
      </c>
      <c r="AM23" t="s">
        <v>153</v>
      </c>
      <c r="AN23">
        <v>-121.083906</v>
      </c>
      <c r="AO23">
        <v>25</v>
      </c>
      <c r="AP23">
        <v>1500</v>
      </c>
      <c r="AQ23" t="s">
        <v>131</v>
      </c>
      <c r="AR23">
        <v>63</v>
      </c>
      <c r="AS23">
        <v>7</v>
      </c>
      <c r="AT23">
        <v>0</v>
      </c>
      <c r="BB23" t="str">
        <f t="shared" si="3"/>
        <v>1200</v>
      </c>
      <c r="BC23">
        <v>1</v>
      </c>
      <c r="BD23" t="str">
        <f t="shared" si="4"/>
        <v xml:space="preserve">N52156  </v>
      </c>
      <c r="BE23">
        <v>1</v>
      </c>
      <c r="BG23">
        <v>0</v>
      </c>
      <c r="BH23">
        <v>0</v>
      </c>
      <c r="BI23">
        <v>0</v>
      </c>
      <c r="BJ23">
        <v>1475</v>
      </c>
      <c r="BK23">
        <v>-25</v>
      </c>
      <c r="BL23" t="s">
        <v>139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 t="shared" si="11"/>
        <v>15:04:35.674</v>
      </c>
      <c r="CF23">
        <v>674189341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1</v>
      </c>
      <c r="CY23">
        <v>7</v>
      </c>
      <c r="CZ23" t="s">
        <v>133</v>
      </c>
      <c r="DA23">
        <v>275</v>
      </c>
      <c r="DB23">
        <v>0</v>
      </c>
      <c r="DC23" t="s">
        <v>134</v>
      </c>
      <c r="DD23" t="s">
        <v>135</v>
      </c>
      <c r="DG23">
        <v>3317527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"05/01/2025 15:04:35.925"</f>
        <v>05/01/2025 15:04:35.925</v>
      </c>
      <c r="C24" t="str">
        <f t="shared" si="0"/>
        <v>FFDFD3C0</v>
      </c>
      <c r="D24" t="s">
        <v>124</v>
      </c>
      <c r="E24" t="str">
        <f>"06"</f>
        <v>06</v>
      </c>
      <c r="F24">
        <v>2006</v>
      </c>
      <c r="G24" t="s">
        <v>125</v>
      </c>
      <c r="J24" t="s">
        <v>126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R24" t="s">
        <v>127</v>
      </c>
      <c r="S24" t="str">
        <f t="shared" si="10"/>
        <v>15:04:35.000</v>
      </c>
      <c r="T24" t="str">
        <f t="shared" si="10"/>
        <v>15:04:35.000</v>
      </c>
      <c r="U24" t="str">
        <f t="shared" si="2"/>
        <v>A68FCB</v>
      </c>
      <c r="V24">
        <v>0</v>
      </c>
      <c r="W24">
        <v>0</v>
      </c>
      <c r="X24">
        <v>2</v>
      </c>
      <c r="Y24">
        <v>0</v>
      </c>
      <c r="AA24">
        <v>1</v>
      </c>
      <c r="AB24">
        <v>8</v>
      </c>
      <c r="AC24">
        <v>3</v>
      </c>
      <c r="AD24">
        <v>0</v>
      </c>
      <c r="AE24">
        <v>9</v>
      </c>
      <c r="AF24" t="s">
        <v>128</v>
      </c>
      <c r="AG24">
        <v>0</v>
      </c>
      <c r="AH24">
        <v>3</v>
      </c>
      <c r="AI24">
        <v>1</v>
      </c>
      <c r="AJ24">
        <v>0</v>
      </c>
      <c r="AK24" t="s">
        <v>152</v>
      </c>
      <c r="AL24">
        <v>38.954537000000002</v>
      </c>
      <c r="AM24" t="s">
        <v>153</v>
      </c>
      <c r="AN24">
        <v>-121.083906</v>
      </c>
      <c r="AO24">
        <v>25</v>
      </c>
      <c r="AP24">
        <v>1500</v>
      </c>
      <c r="AQ24" t="s">
        <v>131</v>
      </c>
      <c r="AR24">
        <v>63</v>
      </c>
      <c r="AS24">
        <v>7</v>
      </c>
      <c r="AT24">
        <v>0</v>
      </c>
      <c r="BB24" t="str">
        <f t="shared" si="3"/>
        <v>1200</v>
      </c>
      <c r="BC24">
        <v>1</v>
      </c>
      <c r="BD24" t="str">
        <f t="shared" si="4"/>
        <v xml:space="preserve">N52156  </v>
      </c>
      <c r="BE24">
        <v>1</v>
      </c>
      <c r="BG24">
        <v>0</v>
      </c>
      <c r="BH24">
        <v>0</v>
      </c>
      <c r="BI24">
        <v>0</v>
      </c>
      <c r="BJ24">
        <v>1475</v>
      </c>
      <c r="BK24">
        <v>-25</v>
      </c>
      <c r="BL24" t="s">
        <v>132</v>
      </c>
      <c r="BM24">
        <v>1</v>
      </c>
      <c r="BN24">
        <v>1</v>
      </c>
      <c r="BO24">
        <v>0</v>
      </c>
      <c r="BP24">
        <v>0</v>
      </c>
      <c r="BS24">
        <v>0.2</v>
      </c>
      <c r="BT24">
        <v>0</v>
      </c>
      <c r="BU24">
        <v>0</v>
      </c>
      <c r="CE24" t="str">
        <f t="shared" si="11"/>
        <v>15:04:35.674</v>
      </c>
      <c r="CF24">
        <v>674189341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1</v>
      </c>
      <c r="CY24">
        <v>7</v>
      </c>
      <c r="CZ24" t="s">
        <v>133</v>
      </c>
      <c r="DA24">
        <v>275</v>
      </c>
      <c r="DB24">
        <v>0</v>
      </c>
      <c r="DC24" t="s">
        <v>134</v>
      </c>
      <c r="DD24" t="s">
        <v>135</v>
      </c>
      <c r="DG24">
        <v>3317527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"05/01/2025 15:04:35.936"</f>
        <v>05/01/2025 15:04:35.936</v>
      </c>
      <c r="C25" t="str">
        <f t="shared" si="0"/>
        <v>FFDFD3C0</v>
      </c>
      <c r="D25" t="s">
        <v>136</v>
      </c>
      <c r="E25" t="str">
        <f>"20"</f>
        <v>20</v>
      </c>
      <c r="H25">
        <v>400</v>
      </c>
      <c r="I25" t="s">
        <v>137</v>
      </c>
      <c r="J25" t="s">
        <v>138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R25" t="s">
        <v>127</v>
      </c>
      <c r="S25" t="str">
        <f t="shared" si="10"/>
        <v>15:04:35.000</v>
      </c>
      <c r="T25" t="str">
        <f t="shared" si="10"/>
        <v>15:04:35.000</v>
      </c>
      <c r="U25" t="str">
        <f t="shared" si="2"/>
        <v>A68FCB</v>
      </c>
      <c r="V25">
        <v>0</v>
      </c>
      <c r="W25">
        <v>0</v>
      </c>
      <c r="X25">
        <v>2</v>
      </c>
      <c r="Y25">
        <v>0</v>
      </c>
      <c r="AA25">
        <v>1</v>
      </c>
      <c r="AB25">
        <v>8</v>
      </c>
      <c r="AC25">
        <v>3</v>
      </c>
      <c r="AD25">
        <v>0</v>
      </c>
      <c r="AE25">
        <v>9</v>
      </c>
      <c r="AF25" t="s">
        <v>128</v>
      </c>
      <c r="AG25">
        <v>0</v>
      </c>
      <c r="AH25">
        <v>0</v>
      </c>
      <c r="AI25">
        <v>1</v>
      </c>
      <c r="AJ25">
        <v>0</v>
      </c>
      <c r="AK25" t="s">
        <v>152</v>
      </c>
      <c r="AL25">
        <v>38.954537000000002</v>
      </c>
      <c r="AM25" t="s">
        <v>153</v>
      </c>
      <c r="AN25">
        <v>-121.083906</v>
      </c>
      <c r="AO25">
        <v>25</v>
      </c>
      <c r="AP25">
        <v>1500</v>
      </c>
      <c r="AQ25" t="s">
        <v>131</v>
      </c>
      <c r="AR25">
        <v>63</v>
      </c>
      <c r="AS25">
        <v>7</v>
      </c>
      <c r="AT25">
        <v>0</v>
      </c>
      <c r="BB25" t="str">
        <f t="shared" si="3"/>
        <v>1200</v>
      </c>
      <c r="BC25">
        <v>1</v>
      </c>
      <c r="BD25" t="str">
        <f t="shared" si="4"/>
        <v xml:space="preserve">N52156  </v>
      </c>
      <c r="BE25">
        <v>1</v>
      </c>
      <c r="BG25">
        <v>0</v>
      </c>
      <c r="BH25">
        <v>0</v>
      </c>
      <c r="BI25">
        <v>0</v>
      </c>
      <c r="BJ25">
        <v>1475</v>
      </c>
      <c r="BK25">
        <v>-25</v>
      </c>
      <c r="BL25" t="s">
        <v>139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 t="shared" si="11"/>
        <v>15:04:35.674</v>
      </c>
      <c r="CF25">
        <v>674189341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1</v>
      </c>
      <c r="CY25">
        <v>7</v>
      </c>
      <c r="CZ25" t="s">
        <v>133</v>
      </c>
      <c r="DA25">
        <v>275</v>
      </c>
      <c r="DB25">
        <v>0</v>
      </c>
      <c r="DC25" t="s">
        <v>134</v>
      </c>
      <c r="DD25" t="s">
        <v>135</v>
      </c>
      <c r="DG25">
        <v>3317527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"05/01/2025 15:04:37.115"</f>
        <v>05/01/2025 15:04:37.115</v>
      </c>
      <c r="C26" t="str">
        <f t="shared" si="0"/>
        <v>FFDFD3C0</v>
      </c>
      <c r="D26" t="s">
        <v>140</v>
      </c>
      <c r="E26" t="str">
        <f>"13"</f>
        <v>13</v>
      </c>
      <c r="F26">
        <v>1019</v>
      </c>
      <c r="G26" t="s">
        <v>141</v>
      </c>
      <c r="J26" t="s">
        <v>142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R26" t="s">
        <v>127</v>
      </c>
      <c r="S26" t="str">
        <f t="shared" ref="S26:T31" si="12">"15:04:36.000"</f>
        <v>15:04:36.000</v>
      </c>
      <c r="T26" t="str">
        <f t="shared" si="12"/>
        <v>15:04:36.000</v>
      </c>
      <c r="U26" t="str">
        <f t="shared" si="2"/>
        <v>A68FCB</v>
      </c>
      <c r="V26">
        <v>0</v>
      </c>
      <c r="W26">
        <v>0</v>
      </c>
      <c r="X26">
        <v>2</v>
      </c>
      <c r="Y26">
        <v>0</v>
      </c>
      <c r="AA26">
        <v>1</v>
      </c>
      <c r="AB26">
        <v>8</v>
      </c>
      <c r="AC26">
        <v>3</v>
      </c>
      <c r="AD26">
        <v>0</v>
      </c>
      <c r="AE26">
        <v>9</v>
      </c>
      <c r="AF26" t="s">
        <v>128</v>
      </c>
      <c r="AG26">
        <v>0</v>
      </c>
      <c r="AH26">
        <v>3</v>
      </c>
      <c r="AI26">
        <v>1</v>
      </c>
      <c r="AJ26">
        <v>0</v>
      </c>
      <c r="AK26" t="s">
        <v>154</v>
      </c>
      <c r="AL26">
        <v>38.95458</v>
      </c>
      <c r="AM26" t="s">
        <v>155</v>
      </c>
      <c r="AN26">
        <v>-121.083541</v>
      </c>
      <c r="AO26">
        <v>25</v>
      </c>
      <c r="AP26">
        <v>1500</v>
      </c>
      <c r="AQ26" t="s">
        <v>131</v>
      </c>
      <c r="AR26">
        <v>65</v>
      </c>
      <c r="AS26">
        <v>7</v>
      </c>
      <c r="AT26">
        <v>0</v>
      </c>
      <c r="BB26" t="str">
        <f t="shared" si="3"/>
        <v>1200</v>
      </c>
      <c r="BC26">
        <v>1</v>
      </c>
      <c r="BD26" t="str">
        <f t="shared" si="4"/>
        <v xml:space="preserve">N52156  </v>
      </c>
      <c r="BE26">
        <v>1</v>
      </c>
      <c r="BG26">
        <v>0</v>
      </c>
      <c r="BH26">
        <v>0</v>
      </c>
      <c r="BI26">
        <v>0</v>
      </c>
      <c r="BJ26">
        <v>1475</v>
      </c>
      <c r="BK26">
        <v>-25</v>
      </c>
      <c r="BL26" t="s">
        <v>132</v>
      </c>
      <c r="BM26">
        <v>1</v>
      </c>
      <c r="BN26">
        <v>1</v>
      </c>
      <c r="BO26">
        <v>0</v>
      </c>
      <c r="BP26">
        <v>0</v>
      </c>
      <c r="BS26">
        <v>0.2</v>
      </c>
      <c r="BT26">
        <v>0</v>
      </c>
      <c r="BU26">
        <v>0</v>
      </c>
      <c r="CE26" t="str">
        <f t="shared" ref="CE26:CE31" si="13">"15:04:36.896"</f>
        <v>15:04:36.896</v>
      </c>
      <c r="CF26">
        <v>895940133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2</v>
      </c>
      <c r="CY26">
        <v>7</v>
      </c>
      <c r="CZ26" t="s">
        <v>133</v>
      </c>
      <c r="DA26">
        <v>275</v>
      </c>
      <c r="DB26">
        <v>0</v>
      </c>
      <c r="DC26" t="s">
        <v>134</v>
      </c>
      <c r="DD26" t="s">
        <v>135</v>
      </c>
      <c r="DG26">
        <v>3317534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"05/01/2025 15:04:37.119"</f>
        <v>05/01/2025 15:04:37.119</v>
      </c>
      <c r="C27" t="str">
        <f t="shared" si="0"/>
        <v>FFDFD3C0</v>
      </c>
      <c r="D27" t="s">
        <v>143</v>
      </c>
      <c r="E27" t="str">
        <f>"05"</f>
        <v>05</v>
      </c>
      <c r="H27">
        <v>172</v>
      </c>
      <c r="I27" t="s">
        <v>141</v>
      </c>
      <c r="J27" t="s">
        <v>144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R27" t="s">
        <v>127</v>
      </c>
      <c r="S27" t="str">
        <f t="shared" si="12"/>
        <v>15:04:36.000</v>
      </c>
      <c r="T27" t="str">
        <f t="shared" si="12"/>
        <v>15:04:36.000</v>
      </c>
      <c r="U27" t="str">
        <f t="shared" si="2"/>
        <v>A68FCB</v>
      </c>
      <c r="V27">
        <v>0</v>
      </c>
      <c r="W27">
        <v>0</v>
      </c>
      <c r="X27">
        <v>2</v>
      </c>
      <c r="Y27">
        <v>0</v>
      </c>
      <c r="AA27">
        <v>1</v>
      </c>
      <c r="AB27">
        <v>8</v>
      </c>
      <c r="AC27">
        <v>3</v>
      </c>
      <c r="AD27">
        <v>0</v>
      </c>
      <c r="AE27">
        <v>9</v>
      </c>
      <c r="AF27" t="s">
        <v>128</v>
      </c>
      <c r="AG27">
        <v>0</v>
      </c>
      <c r="AH27">
        <v>0</v>
      </c>
      <c r="AI27">
        <v>1</v>
      </c>
      <c r="AJ27">
        <v>0</v>
      </c>
      <c r="AK27" t="s">
        <v>154</v>
      </c>
      <c r="AL27">
        <v>38.95458</v>
      </c>
      <c r="AM27" t="s">
        <v>155</v>
      </c>
      <c r="AN27">
        <v>-121.083541</v>
      </c>
      <c r="AO27">
        <v>25</v>
      </c>
      <c r="AP27">
        <v>1500</v>
      </c>
      <c r="AQ27" t="s">
        <v>131</v>
      </c>
      <c r="AR27">
        <v>65</v>
      </c>
      <c r="AS27">
        <v>7</v>
      </c>
      <c r="AT27">
        <v>0</v>
      </c>
      <c r="BB27" t="str">
        <f t="shared" si="3"/>
        <v>1200</v>
      </c>
      <c r="BC27">
        <v>1</v>
      </c>
      <c r="BD27" t="str">
        <f t="shared" si="4"/>
        <v xml:space="preserve">N52156  </v>
      </c>
      <c r="BE27">
        <v>1</v>
      </c>
      <c r="BG27">
        <v>0</v>
      </c>
      <c r="BH27">
        <v>0</v>
      </c>
      <c r="BI27">
        <v>0</v>
      </c>
      <c r="BJ27">
        <v>1475</v>
      </c>
      <c r="BK27">
        <v>-25</v>
      </c>
      <c r="BL27" t="s">
        <v>139</v>
      </c>
      <c r="BM27">
        <v>1</v>
      </c>
      <c r="BN27">
        <v>1</v>
      </c>
      <c r="BO27">
        <v>0</v>
      </c>
      <c r="BP27">
        <v>0</v>
      </c>
      <c r="BT27">
        <v>0</v>
      </c>
      <c r="BU27">
        <v>0</v>
      </c>
      <c r="CE27" t="str">
        <f t="shared" si="13"/>
        <v>15:04:36.896</v>
      </c>
      <c r="CF27">
        <v>895940133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2</v>
      </c>
      <c r="CY27">
        <v>7</v>
      </c>
      <c r="CZ27" t="s">
        <v>133</v>
      </c>
      <c r="DA27">
        <v>275</v>
      </c>
      <c r="DB27">
        <v>0</v>
      </c>
      <c r="DC27" t="s">
        <v>134</v>
      </c>
      <c r="DD27" t="s">
        <v>135</v>
      </c>
      <c r="DG27">
        <v>3317534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"05/01/2025 15:04:37.127"</f>
        <v>05/01/2025 15:04:37.127</v>
      </c>
      <c r="C28" t="str">
        <f t="shared" si="0"/>
        <v>FFDFD3C0</v>
      </c>
      <c r="D28" t="s">
        <v>124</v>
      </c>
      <c r="E28" t="str">
        <f>"06"</f>
        <v>06</v>
      </c>
      <c r="F28">
        <v>2006</v>
      </c>
      <c r="G28" t="s">
        <v>125</v>
      </c>
      <c r="J28" t="s">
        <v>126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R28" t="s">
        <v>127</v>
      </c>
      <c r="S28" t="str">
        <f t="shared" si="12"/>
        <v>15:04:36.000</v>
      </c>
      <c r="T28" t="str">
        <f t="shared" si="12"/>
        <v>15:04:36.000</v>
      </c>
      <c r="U28" t="str">
        <f t="shared" si="2"/>
        <v>A68FCB</v>
      </c>
      <c r="V28">
        <v>0</v>
      </c>
      <c r="W28">
        <v>0</v>
      </c>
      <c r="X28">
        <v>2</v>
      </c>
      <c r="Y28">
        <v>0</v>
      </c>
      <c r="AA28">
        <v>1</v>
      </c>
      <c r="AB28">
        <v>8</v>
      </c>
      <c r="AC28">
        <v>3</v>
      </c>
      <c r="AD28">
        <v>0</v>
      </c>
      <c r="AE28">
        <v>9</v>
      </c>
      <c r="AF28" t="s">
        <v>128</v>
      </c>
      <c r="AG28">
        <v>0</v>
      </c>
      <c r="AH28">
        <v>3</v>
      </c>
      <c r="AI28">
        <v>1</v>
      </c>
      <c r="AJ28">
        <v>0</v>
      </c>
      <c r="AK28" t="s">
        <v>154</v>
      </c>
      <c r="AL28">
        <v>38.95458</v>
      </c>
      <c r="AM28" t="s">
        <v>155</v>
      </c>
      <c r="AN28">
        <v>-121.083541</v>
      </c>
      <c r="AO28">
        <v>25</v>
      </c>
      <c r="AP28">
        <v>1500</v>
      </c>
      <c r="AQ28" t="s">
        <v>131</v>
      </c>
      <c r="AR28">
        <v>65</v>
      </c>
      <c r="AS28">
        <v>7</v>
      </c>
      <c r="AT28">
        <v>0</v>
      </c>
      <c r="BB28" t="str">
        <f t="shared" si="3"/>
        <v>1200</v>
      </c>
      <c r="BC28">
        <v>1</v>
      </c>
      <c r="BD28" t="str">
        <f t="shared" si="4"/>
        <v xml:space="preserve">N52156  </v>
      </c>
      <c r="BE28">
        <v>1</v>
      </c>
      <c r="BG28">
        <v>0</v>
      </c>
      <c r="BH28">
        <v>0</v>
      </c>
      <c r="BI28">
        <v>0</v>
      </c>
      <c r="BJ28">
        <v>1475</v>
      </c>
      <c r="BK28">
        <v>-25</v>
      </c>
      <c r="BL28" t="s">
        <v>132</v>
      </c>
      <c r="BM28">
        <v>1</v>
      </c>
      <c r="BN28">
        <v>1</v>
      </c>
      <c r="BO28">
        <v>0</v>
      </c>
      <c r="BP28">
        <v>0</v>
      </c>
      <c r="BS28">
        <v>0.2</v>
      </c>
      <c r="BT28">
        <v>0</v>
      </c>
      <c r="BU28">
        <v>0</v>
      </c>
      <c r="CE28" t="str">
        <f t="shared" si="13"/>
        <v>15:04:36.896</v>
      </c>
      <c r="CF28">
        <v>895940133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2</v>
      </c>
      <c r="CY28">
        <v>7</v>
      </c>
      <c r="CZ28" t="s">
        <v>133</v>
      </c>
      <c r="DA28">
        <v>275</v>
      </c>
      <c r="DB28">
        <v>0</v>
      </c>
      <c r="DC28" t="s">
        <v>134</v>
      </c>
      <c r="DD28" t="s">
        <v>135</v>
      </c>
      <c r="DG28">
        <v>3317534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"05/01/2025 15:04:37.125"</f>
        <v>05/01/2025 15:04:37.125</v>
      </c>
      <c r="C29" t="str">
        <f t="shared" si="0"/>
        <v>FFDFD3C0</v>
      </c>
      <c r="D29" t="s">
        <v>145</v>
      </c>
      <c r="E29" t="str">
        <f>"09"</f>
        <v>09</v>
      </c>
      <c r="H29">
        <v>51</v>
      </c>
      <c r="I29" t="s">
        <v>147</v>
      </c>
      <c r="J29" t="s">
        <v>138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R29" t="s">
        <v>127</v>
      </c>
      <c r="S29" t="str">
        <f t="shared" si="12"/>
        <v>15:04:36.000</v>
      </c>
      <c r="T29" t="str">
        <f t="shared" si="12"/>
        <v>15:04:36.000</v>
      </c>
      <c r="U29" t="str">
        <f t="shared" si="2"/>
        <v>A68FCB</v>
      </c>
      <c r="V29">
        <v>0</v>
      </c>
      <c r="W29">
        <v>0</v>
      </c>
      <c r="X29">
        <v>2</v>
      </c>
      <c r="Y29">
        <v>0</v>
      </c>
      <c r="AA29">
        <v>1</v>
      </c>
      <c r="AB29">
        <v>8</v>
      </c>
      <c r="AC29">
        <v>3</v>
      </c>
      <c r="AD29">
        <v>0</v>
      </c>
      <c r="AE29">
        <v>9</v>
      </c>
      <c r="AF29" t="s">
        <v>128</v>
      </c>
      <c r="AG29">
        <v>0</v>
      </c>
      <c r="AH29">
        <v>0</v>
      </c>
      <c r="AI29">
        <v>1</v>
      </c>
      <c r="AJ29">
        <v>0</v>
      </c>
      <c r="AK29" t="s">
        <v>154</v>
      </c>
      <c r="AL29">
        <v>38.95458</v>
      </c>
      <c r="AM29" t="s">
        <v>155</v>
      </c>
      <c r="AN29">
        <v>-121.083541</v>
      </c>
      <c r="AO29">
        <v>25</v>
      </c>
      <c r="AP29">
        <v>1500</v>
      </c>
      <c r="AQ29" t="s">
        <v>131</v>
      </c>
      <c r="AR29">
        <v>65</v>
      </c>
      <c r="AS29">
        <v>7</v>
      </c>
      <c r="AT29">
        <v>0</v>
      </c>
      <c r="BB29" t="str">
        <f t="shared" si="3"/>
        <v>1200</v>
      </c>
      <c r="BC29">
        <v>1</v>
      </c>
      <c r="BD29" t="str">
        <f t="shared" si="4"/>
        <v xml:space="preserve">N52156  </v>
      </c>
      <c r="BE29">
        <v>1</v>
      </c>
      <c r="BG29">
        <v>0</v>
      </c>
      <c r="BH29">
        <v>0</v>
      </c>
      <c r="BI29">
        <v>0</v>
      </c>
      <c r="BJ29">
        <v>1475</v>
      </c>
      <c r="BK29">
        <v>-25</v>
      </c>
      <c r="BL29" t="s">
        <v>139</v>
      </c>
      <c r="BM29">
        <v>1</v>
      </c>
      <c r="BN29">
        <v>1</v>
      </c>
      <c r="BO29">
        <v>0</v>
      </c>
      <c r="BP29">
        <v>0</v>
      </c>
      <c r="BT29">
        <v>0</v>
      </c>
      <c r="BU29">
        <v>0</v>
      </c>
      <c r="CE29" t="str">
        <f t="shared" si="13"/>
        <v>15:04:36.896</v>
      </c>
      <c r="CF29">
        <v>895940133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2</v>
      </c>
      <c r="CY29">
        <v>7</v>
      </c>
      <c r="CZ29" t="s">
        <v>133</v>
      </c>
      <c r="DA29">
        <v>275</v>
      </c>
      <c r="DB29">
        <v>0</v>
      </c>
      <c r="DC29" t="s">
        <v>134</v>
      </c>
      <c r="DD29" t="s">
        <v>135</v>
      </c>
      <c r="DG29">
        <v>3317534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"05/01/2025 15:04:37.125"</f>
        <v>05/01/2025 15:04:37.125</v>
      </c>
      <c r="C30" t="str">
        <f t="shared" si="0"/>
        <v>FFDFD3C0</v>
      </c>
      <c r="D30" t="s">
        <v>145</v>
      </c>
      <c r="E30" t="str">
        <f>"05"</f>
        <v>05</v>
      </c>
      <c r="H30">
        <v>47</v>
      </c>
      <c r="I30" t="s">
        <v>146</v>
      </c>
      <c r="J30" t="s">
        <v>138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R30" t="s">
        <v>127</v>
      </c>
      <c r="S30" t="str">
        <f t="shared" si="12"/>
        <v>15:04:36.000</v>
      </c>
      <c r="T30" t="str">
        <f t="shared" si="12"/>
        <v>15:04:36.000</v>
      </c>
      <c r="U30" t="str">
        <f t="shared" si="2"/>
        <v>A68FCB</v>
      </c>
      <c r="V30">
        <v>0</v>
      </c>
      <c r="W30">
        <v>0</v>
      </c>
      <c r="X30">
        <v>2</v>
      </c>
      <c r="Y30">
        <v>0</v>
      </c>
      <c r="AA30">
        <v>1</v>
      </c>
      <c r="AB30">
        <v>8</v>
      </c>
      <c r="AC30">
        <v>3</v>
      </c>
      <c r="AD30">
        <v>0</v>
      </c>
      <c r="AE30">
        <v>9</v>
      </c>
      <c r="AF30" t="s">
        <v>128</v>
      </c>
      <c r="AG30">
        <v>0</v>
      </c>
      <c r="AH30">
        <v>0</v>
      </c>
      <c r="AI30">
        <v>1</v>
      </c>
      <c r="AJ30">
        <v>0</v>
      </c>
      <c r="AK30" t="s">
        <v>154</v>
      </c>
      <c r="AL30">
        <v>38.95458</v>
      </c>
      <c r="AM30" t="s">
        <v>155</v>
      </c>
      <c r="AN30">
        <v>-121.083541</v>
      </c>
      <c r="AO30">
        <v>25</v>
      </c>
      <c r="AP30">
        <v>1500</v>
      </c>
      <c r="AQ30" t="s">
        <v>131</v>
      </c>
      <c r="AR30">
        <v>65</v>
      </c>
      <c r="AS30">
        <v>7</v>
      </c>
      <c r="AT30">
        <v>0</v>
      </c>
      <c r="BB30" t="str">
        <f t="shared" si="3"/>
        <v>1200</v>
      </c>
      <c r="BC30">
        <v>1</v>
      </c>
      <c r="BD30" t="str">
        <f t="shared" si="4"/>
        <v xml:space="preserve">N52156  </v>
      </c>
      <c r="BE30">
        <v>1</v>
      </c>
      <c r="BG30">
        <v>0</v>
      </c>
      <c r="BH30">
        <v>0</v>
      </c>
      <c r="BI30">
        <v>0</v>
      </c>
      <c r="BJ30">
        <v>1475</v>
      </c>
      <c r="BK30">
        <v>-25</v>
      </c>
      <c r="BL30" t="s">
        <v>139</v>
      </c>
      <c r="BM30">
        <v>1</v>
      </c>
      <c r="BN30">
        <v>1</v>
      </c>
      <c r="BO30">
        <v>0</v>
      </c>
      <c r="BP30">
        <v>0</v>
      </c>
      <c r="BT30">
        <v>0</v>
      </c>
      <c r="BU30">
        <v>0</v>
      </c>
      <c r="CE30" t="str">
        <f t="shared" si="13"/>
        <v>15:04:36.896</v>
      </c>
      <c r="CF30">
        <v>895940133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2</v>
      </c>
      <c r="CY30">
        <v>7</v>
      </c>
      <c r="CZ30" t="s">
        <v>133</v>
      </c>
      <c r="DA30">
        <v>275</v>
      </c>
      <c r="DB30">
        <v>0</v>
      </c>
      <c r="DC30" t="s">
        <v>134</v>
      </c>
      <c r="DD30" t="s">
        <v>135</v>
      </c>
      <c r="DG30">
        <v>3317534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"05/01/2025 15:04:37.139"</f>
        <v>05/01/2025 15:04:37.139</v>
      </c>
      <c r="C31" t="str">
        <f t="shared" si="0"/>
        <v>FFDFD3C0</v>
      </c>
      <c r="D31" t="s">
        <v>136</v>
      </c>
      <c r="E31" t="str">
        <f>"20"</f>
        <v>20</v>
      </c>
      <c r="H31">
        <v>400</v>
      </c>
      <c r="I31" t="s">
        <v>137</v>
      </c>
      <c r="J31" t="s">
        <v>138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R31" t="s">
        <v>127</v>
      </c>
      <c r="S31" t="str">
        <f t="shared" si="12"/>
        <v>15:04:36.000</v>
      </c>
      <c r="T31" t="str">
        <f t="shared" si="12"/>
        <v>15:04:36.000</v>
      </c>
      <c r="U31" t="str">
        <f t="shared" si="2"/>
        <v>A68FCB</v>
      </c>
      <c r="V31">
        <v>0</v>
      </c>
      <c r="W31">
        <v>0</v>
      </c>
      <c r="X31">
        <v>2</v>
      </c>
      <c r="Y31">
        <v>0</v>
      </c>
      <c r="AA31">
        <v>1</v>
      </c>
      <c r="AB31">
        <v>8</v>
      </c>
      <c r="AC31">
        <v>3</v>
      </c>
      <c r="AD31">
        <v>0</v>
      </c>
      <c r="AE31">
        <v>9</v>
      </c>
      <c r="AF31" t="s">
        <v>128</v>
      </c>
      <c r="AG31">
        <v>0</v>
      </c>
      <c r="AH31">
        <v>0</v>
      </c>
      <c r="AI31">
        <v>1</v>
      </c>
      <c r="AJ31">
        <v>0</v>
      </c>
      <c r="AK31" t="s">
        <v>154</v>
      </c>
      <c r="AL31">
        <v>38.95458</v>
      </c>
      <c r="AM31" t="s">
        <v>155</v>
      </c>
      <c r="AN31">
        <v>-121.083541</v>
      </c>
      <c r="AO31">
        <v>25</v>
      </c>
      <c r="AP31">
        <v>1500</v>
      </c>
      <c r="AQ31" t="s">
        <v>131</v>
      </c>
      <c r="AR31">
        <v>65</v>
      </c>
      <c r="AS31">
        <v>7</v>
      </c>
      <c r="AT31">
        <v>0</v>
      </c>
      <c r="BB31" t="str">
        <f t="shared" si="3"/>
        <v>1200</v>
      </c>
      <c r="BC31">
        <v>1</v>
      </c>
      <c r="BD31" t="str">
        <f t="shared" si="4"/>
        <v xml:space="preserve">N52156  </v>
      </c>
      <c r="BE31">
        <v>1</v>
      </c>
      <c r="BG31">
        <v>0</v>
      </c>
      <c r="BH31">
        <v>0</v>
      </c>
      <c r="BI31">
        <v>0</v>
      </c>
      <c r="BJ31">
        <v>1475</v>
      </c>
      <c r="BK31">
        <v>-25</v>
      </c>
      <c r="BL31" t="s">
        <v>139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 t="shared" si="13"/>
        <v>15:04:36.896</v>
      </c>
      <c r="CF31">
        <v>895940133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2</v>
      </c>
      <c r="CY31">
        <v>7</v>
      </c>
      <c r="CZ31" t="s">
        <v>133</v>
      </c>
      <c r="DA31">
        <v>275</v>
      </c>
      <c r="DB31">
        <v>0</v>
      </c>
      <c r="DC31" t="s">
        <v>134</v>
      </c>
      <c r="DD31" t="s">
        <v>135</v>
      </c>
      <c r="DG31">
        <v>3317534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"05/01/2025 15:04:37.515"</f>
        <v>05/01/2025 15:04:37.515</v>
      </c>
      <c r="C32" t="str">
        <f t="shared" si="0"/>
        <v>FFDFD3C0</v>
      </c>
      <c r="D32" t="s">
        <v>140</v>
      </c>
      <c r="E32" t="str">
        <f>"13"</f>
        <v>13</v>
      </c>
      <c r="F32">
        <v>1019</v>
      </c>
      <c r="G32" t="s">
        <v>141</v>
      </c>
      <c r="J32" t="s">
        <v>142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R32" t="s">
        <v>127</v>
      </c>
      <c r="S32" t="str">
        <f t="shared" ref="S32:T37" si="14">"15:04:37.000"</f>
        <v>15:04:37.000</v>
      </c>
      <c r="T32" t="str">
        <f t="shared" si="14"/>
        <v>15:04:37.000</v>
      </c>
      <c r="U32" t="str">
        <f t="shared" si="2"/>
        <v>A68FCB</v>
      </c>
      <c r="V32">
        <v>0</v>
      </c>
      <c r="W32">
        <v>0</v>
      </c>
      <c r="X32">
        <v>2</v>
      </c>
      <c r="Y32">
        <v>0</v>
      </c>
      <c r="AA32">
        <v>1</v>
      </c>
      <c r="AB32">
        <v>8</v>
      </c>
      <c r="AC32">
        <v>3</v>
      </c>
      <c r="AD32">
        <v>0</v>
      </c>
      <c r="AE32">
        <v>9</v>
      </c>
      <c r="AF32" t="s">
        <v>128</v>
      </c>
      <c r="AG32">
        <v>0</v>
      </c>
      <c r="AH32">
        <v>3</v>
      </c>
      <c r="AI32">
        <v>1</v>
      </c>
      <c r="AJ32">
        <v>0</v>
      </c>
      <c r="AK32" t="s">
        <v>156</v>
      </c>
      <c r="AL32">
        <v>38.954622999999998</v>
      </c>
      <c r="AM32" t="s">
        <v>157</v>
      </c>
      <c r="AN32">
        <v>-121.083112</v>
      </c>
      <c r="AO32">
        <v>25</v>
      </c>
      <c r="AP32">
        <v>1500</v>
      </c>
      <c r="AQ32" t="s">
        <v>131</v>
      </c>
      <c r="AR32">
        <v>64</v>
      </c>
      <c r="AS32">
        <v>8</v>
      </c>
      <c r="AT32">
        <v>64</v>
      </c>
      <c r="BB32" t="str">
        <f t="shared" si="3"/>
        <v>1200</v>
      </c>
      <c r="BC32">
        <v>1</v>
      </c>
      <c r="BD32" t="str">
        <f t="shared" si="4"/>
        <v xml:space="preserve">N52156  </v>
      </c>
      <c r="BE32">
        <v>1</v>
      </c>
      <c r="BG32">
        <v>0</v>
      </c>
      <c r="BH32">
        <v>0</v>
      </c>
      <c r="BI32">
        <v>0</v>
      </c>
      <c r="BJ32">
        <v>1475</v>
      </c>
      <c r="BK32">
        <v>-25</v>
      </c>
      <c r="BL32" t="s">
        <v>132</v>
      </c>
      <c r="BM32">
        <v>1</v>
      </c>
      <c r="BN32">
        <v>1</v>
      </c>
      <c r="BO32">
        <v>0</v>
      </c>
      <c r="BP32">
        <v>0</v>
      </c>
      <c r="BS32">
        <v>0.2</v>
      </c>
      <c r="BT32">
        <v>0</v>
      </c>
      <c r="BU32">
        <v>0</v>
      </c>
      <c r="CE32" t="str">
        <f t="shared" ref="CE32:CE37" si="15">"15:04:37.247"</f>
        <v>15:04:37.247</v>
      </c>
      <c r="CF32">
        <v>247438530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2</v>
      </c>
      <c r="CY32">
        <v>7</v>
      </c>
      <c r="CZ32" t="s">
        <v>133</v>
      </c>
      <c r="DA32">
        <v>275</v>
      </c>
      <c r="DB32">
        <v>0</v>
      </c>
      <c r="DC32" t="s">
        <v>134</v>
      </c>
      <c r="DD32" t="s">
        <v>135</v>
      </c>
      <c r="DG32">
        <v>3317538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"05/01/2025 15:04:37.519"</f>
        <v>05/01/2025 15:04:37.519</v>
      </c>
      <c r="C33" t="str">
        <f t="shared" si="0"/>
        <v>FFDFD3C0</v>
      </c>
      <c r="D33" t="s">
        <v>143</v>
      </c>
      <c r="E33" t="str">
        <f>"05"</f>
        <v>05</v>
      </c>
      <c r="H33">
        <v>172</v>
      </c>
      <c r="I33" t="s">
        <v>141</v>
      </c>
      <c r="J33" t="s">
        <v>144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R33" t="s">
        <v>127</v>
      </c>
      <c r="S33" t="str">
        <f t="shared" si="14"/>
        <v>15:04:37.000</v>
      </c>
      <c r="T33" t="str">
        <f t="shared" si="14"/>
        <v>15:04:37.000</v>
      </c>
      <c r="U33" t="str">
        <f t="shared" si="2"/>
        <v>A68FCB</v>
      </c>
      <c r="V33">
        <v>0</v>
      </c>
      <c r="W33">
        <v>0</v>
      </c>
      <c r="X33">
        <v>2</v>
      </c>
      <c r="Y33">
        <v>0</v>
      </c>
      <c r="AA33">
        <v>1</v>
      </c>
      <c r="AB33">
        <v>8</v>
      </c>
      <c r="AC33">
        <v>3</v>
      </c>
      <c r="AD33">
        <v>0</v>
      </c>
      <c r="AE33">
        <v>9</v>
      </c>
      <c r="AF33" t="s">
        <v>128</v>
      </c>
      <c r="AG33">
        <v>0</v>
      </c>
      <c r="AH33">
        <v>3</v>
      </c>
      <c r="AI33">
        <v>1</v>
      </c>
      <c r="AJ33">
        <v>0</v>
      </c>
      <c r="AK33" t="s">
        <v>156</v>
      </c>
      <c r="AL33">
        <v>38.954622999999998</v>
      </c>
      <c r="AM33" t="s">
        <v>157</v>
      </c>
      <c r="AN33">
        <v>-121.083112</v>
      </c>
      <c r="AO33">
        <v>25</v>
      </c>
      <c r="AP33">
        <v>1500</v>
      </c>
      <c r="AQ33" t="s">
        <v>131</v>
      </c>
      <c r="AR33">
        <v>64</v>
      </c>
      <c r="AS33">
        <v>8</v>
      </c>
      <c r="AT33">
        <v>64</v>
      </c>
      <c r="BB33" t="str">
        <f t="shared" si="3"/>
        <v>1200</v>
      </c>
      <c r="BC33">
        <v>1</v>
      </c>
      <c r="BD33" t="str">
        <f t="shared" si="4"/>
        <v xml:space="preserve">N52156  </v>
      </c>
      <c r="BE33">
        <v>1</v>
      </c>
      <c r="BG33">
        <v>0</v>
      </c>
      <c r="BH33">
        <v>0</v>
      </c>
      <c r="BI33">
        <v>0</v>
      </c>
      <c r="BJ33">
        <v>1475</v>
      </c>
      <c r="BK33">
        <v>-25</v>
      </c>
      <c r="BL33" t="s">
        <v>139</v>
      </c>
      <c r="BM33">
        <v>1</v>
      </c>
      <c r="BN33">
        <v>1</v>
      </c>
      <c r="BO33">
        <v>0</v>
      </c>
      <c r="BP33">
        <v>0</v>
      </c>
      <c r="BT33">
        <v>0</v>
      </c>
      <c r="BU33">
        <v>0</v>
      </c>
      <c r="CE33" t="str">
        <f t="shared" si="15"/>
        <v>15:04:37.247</v>
      </c>
      <c r="CF33">
        <v>247438530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2</v>
      </c>
      <c r="CY33">
        <v>7</v>
      </c>
      <c r="CZ33" t="s">
        <v>133</v>
      </c>
      <c r="DA33">
        <v>275</v>
      </c>
      <c r="DB33">
        <v>0</v>
      </c>
      <c r="DC33" t="s">
        <v>134</v>
      </c>
      <c r="DD33" t="s">
        <v>135</v>
      </c>
      <c r="DG33">
        <v>3317538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"05/01/2025 15:04:37.525"</f>
        <v>05/01/2025 15:04:37.525</v>
      </c>
      <c r="C34" t="str">
        <f t="shared" si="0"/>
        <v>FFDFD3C0</v>
      </c>
      <c r="D34" t="s">
        <v>145</v>
      </c>
      <c r="E34" t="str">
        <f>"09"</f>
        <v>09</v>
      </c>
      <c r="H34">
        <v>51</v>
      </c>
      <c r="I34" t="s">
        <v>147</v>
      </c>
      <c r="J34" t="s">
        <v>138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R34" t="s">
        <v>127</v>
      </c>
      <c r="S34" t="str">
        <f t="shared" si="14"/>
        <v>15:04:37.000</v>
      </c>
      <c r="T34" t="str">
        <f t="shared" si="14"/>
        <v>15:04:37.000</v>
      </c>
      <c r="U34" t="str">
        <f t="shared" si="2"/>
        <v>A68FCB</v>
      </c>
      <c r="V34">
        <v>0</v>
      </c>
      <c r="W34">
        <v>0</v>
      </c>
      <c r="X34">
        <v>2</v>
      </c>
      <c r="Y34">
        <v>0</v>
      </c>
      <c r="AA34">
        <v>1</v>
      </c>
      <c r="AB34">
        <v>8</v>
      </c>
      <c r="AC34">
        <v>3</v>
      </c>
      <c r="AD34">
        <v>0</v>
      </c>
      <c r="AE34">
        <v>9</v>
      </c>
      <c r="AF34" t="s">
        <v>128</v>
      </c>
      <c r="AG34">
        <v>0</v>
      </c>
      <c r="AH34">
        <v>3</v>
      </c>
      <c r="AI34">
        <v>1</v>
      </c>
      <c r="AJ34">
        <v>0</v>
      </c>
      <c r="AK34" t="s">
        <v>156</v>
      </c>
      <c r="AL34">
        <v>38.954622999999998</v>
      </c>
      <c r="AM34" t="s">
        <v>157</v>
      </c>
      <c r="AN34">
        <v>-121.083112</v>
      </c>
      <c r="AO34">
        <v>25</v>
      </c>
      <c r="AP34">
        <v>1500</v>
      </c>
      <c r="AQ34" t="s">
        <v>131</v>
      </c>
      <c r="AR34">
        <v>64</v>
      </c>
      <c r="AS34">
        <v>8</v>
      </c>
      <c r="AT34">
        <v>64</v>
      </c>
      <c r="BB34" t="str">
        <f t="shared" si="3"/>
        <v>1200</v>
      </c>
      <c r="BC34">
        <v>1</v>
      </c>
      <c r="BD34" t="str">
        <f t="shared" si="4"/>
        <v xml:space="preserve">N52156  </v>
      </c>
      <c r="BE34">
        <v>1</v>
      </c>
      <c r="BG34">
        <v>0</v>
      </c>
      <c r="BH34">
        <v>0</v>
      </c>
      <c r="BI34">
        <v>0</v>
      </c>
      <c r="BJ34">
        <v>1475</v>
      </c>
      <c r="BK34">
        <v>-25</v>
      </c>
      <c r="BL34" t="s">
        <v>139</v>
      </c>
      <c r="BM34">
        <v>1</v>
      </c>
      <c r="BN34">
        <v>1</v>
      </c>
      <c r="BO34">
        <v>0</v>
      </c>
      <c r="BP34">
        <v>0</v>
      </c>
      <c r="BT34">
        <v>0</v>
      </c>
      <c r="BU34">
        <v>0</v>
      </c>
      <c r="CE34" t="str">
        <f t="shared" si="15"/>
        <v>15:04:37.247</v>
      </c>
      <c r="CF34">
        <v>247438530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2</v>
      </c>
      <c r="CY34">
        <v>7</v>
      </c>
      <c r="CZ34" t="s">
        <v>133</v>
      </c>
      <c r="DA34">
        <v>275</v>
      </c>
      <c r="DB34">
        <v>0</v>
      </c>
      <c r="DC34" t="s">
        <v>134</v>
      </c>
      <c r="DD34" t="s">
        <v>135</v>
      </c>
      <c r="DG34">
        <v>3317538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"05/01/2025 15:04:37.526"</f>
        <v>05/01/2025 15:04:37.526</v>
      </c>
      <c r="C35" t="str">
        <f t="shared" si="0"/>
        <v>FFDFD3C0</v>
      </c>
      <c r="D35" t="s">
        <v>145</v>
      </c>
      <c r="E35" t="str">
        <f>"05"</f>
        <v>05</v>
      </c>
      <c r="H35">
        <v>47</v>
      </c>
      <c r="I35" t="s">
        <v>146</v>
      </c>
      <c r="J35" t="s">
        <v>138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R35" t="s">
        <v>127</v>
      </c>
      <c r="S35" t="str">
        <f t="shared" si="14"/>
        <v>15:04:37.000</v>
      </c>
      <c r="T35" t="str">
        <f t="shared" si="14"/>
        <v>15:04:37.000</v>
      </c>
      <c r="U35" t="str">
        <f t="shared" si="2"/>
        <v>A68FCB</v>
      </c>
      <c r="V35">
        <v>0</v>
      </c>
      <c r="W35">
        <v>0</v>
      </c>
      <c r="X35">
        <v>2</v>
      </c>
      <c r="Y35">
        <v>0</v>
      </c>
      <c r="AA35">
        <v>1</v>
      </c>
      <c r="AB35">
        <v>8</v>
      </c>
      <c r="AC35">
        <v>3</v>
      </c>
      <c r="AD35">
        <v>0</v>
      </c>
      <c r="AE35">
        <v>9</v>
      </c>
      <c r="AF35" t="s">
        <v>128</v>
      </c>
      <c r="AG35">
        <v>0</v>
      </c>
      <c r="AH35">
        <v>3</v>
      </c>
      <c r="AI35">
        <v>1</v>
      </c>
      <c r="AJ35">
        <v>0</v>
      </c>
      <c r="AK35" t="s">
        <v>156</v>
      </c>
      <c r="AL35">
        <v>38.954622999999998</v>
      </c>
      <c r="AM35" t="s">
        <v>157</v>
      </c>
      <c r="AN35">
        <v>-121.083112</v>
      </c>
      <c r="AO35">
        <v>25</v>
      </c>
      <c r="AP35">
        <v>1500</v>
      </c>
      <c r="AQ35" t="s">
        <v>131</v>
      </c>
      <c r="AR35">
        <v>64</v>
      </c>
      <c r="AS35">
        <v>8</v>
      </c>
      <c r="AT35">
        <v>64</v>
      </c>
      <c r="BB35" t="str">
        <f t="shared" si="3"/>
        <v>1200</v>
      </c>
      <c r="BC35">
        <v>1</v>
      </c>
      <c r="BD35" t="str">
        <f t="shared" si="4"/>
        <v xml:space="preserve">N52156  </v>
      </c>
      <c r="BE35">
        <v>1</v>
      </c>
      <c r="BG35">
        <v>0</v>
      </c>
      <c r="BH35">
        <v>0</v>
      </c>
      <c r="BI35">
        <v>0</v>
      </c>
      <c r="BJ35">
        <v>1475</v>
      </c>
      <c r="BK35">
        <v>-25</v>
      </c>
      <c r="BL35" t="s">
        <v>139</v>
      </c>
      <c r="BM35">
        <v>1</v>
      </c>
      <c r="BN35">
        <v>1</v>
      </c>
      <c r="BO35">
        <v>0</v>
      </c>
      <c r="BP35">
        <v>0</v>
      </c>
      <c r="BT35">
        <v>0</v>
      </c>
      <c r="BU35">
        <v>0</v>
      </c>
      <c r="CE35" t="str">
        <f t="shared" si="15"/>
        <v>15:04:37.247</v>
      </c>
      <c r="CF35">
        <v>247438530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2</v>
      </c>
      <c r="CY35">
        <v>7</v>
      </c>
      <c r="CZ35" t="s">
        <v>133</v>
      </c>
      <c r="DA35">
        <v>275</v>
      </c>
      <c r="DB35">
        <v>0</v>
      </c>
      <c r="DC35" t="s">
        <v>134</v>
      </c>
      <c r="DD35" t="s">
        <v>135</v>
      </c>
      <c r="DG35">
        <v>3317538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"05/01/2025 15:04:37.528"</f>
        <v>05/01/2025 15:04:37.528</v>
      </c>
      <c r="C36" t="str">
        <f t="shared" si="0"/>
        <v>FFDFD3C0</v>
      </c>
      <c r="D36" t="s">
        <v>124</v>
      </c>
      <c r="E36" t="str">
        <f>"06"</f>
        <v>06</v>
      </c>
      <c r="F36">
        <v>2006</v>
      </c>
      <c r="G36" t="s">
        <v>125</v>
      </c>
      <c r="J36" t="s">
        <v>126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R36" t="s">
        <v>127</v>
      </c>
      <c r="S36" t="str">
        <f t="shared" si="14"/>
        <v>15:04:37.000</v>
      </c>
      <c r="T36" t="str">
        <f t="shared" si="14"/>
        <v>15:04:37.000</v>
      </c>
      <c r="U36" t="str">
        <f t="shared" si="2"/>
        <v>A68FCB</v>
      </c>
      <c r="V36">
        <v>0</v>
      </c>
      <c r="W36">
        <v>0</v>
      </c>
      <c r="X36">
        <v>2</v>
      </c>
      <c r="Y36">
        <v>0</v>
      </c>
      <c r="AA36">
        <v>1</v>
      </c>
      <c r="AB36">
        <v>8</v>
      </c>
      <c r="AC36">
        <v>3</v>
      </c>
      <c r="AD36">
        <v>0</v>
      </c>
      <c r="AE36">
        <v>9</v>
      </c>
      <c r="AF36" t="s">
        <v>128</v>
      </c>
      <c r="AG36">
        <v>0</v>
      </c>
      <c r="AH36">
        <v>3</v>
      </c>
      <c r="AI36">
        <v>1</v>
      </c>
      <c r="AJ36">
        <v>0</v>
      </c>
      <c r="AK36" t="s">
        <v>156</v>
      </c>
      <c r="AL36">
        <v>38.954622999999998</v>
      </c>
      <c r="AM36" t="s">
        <v>157</v>
      </c>
      <c r="AN36">
        <v>-121.083112</v>
      </c>
      <c r="AO36">
        <v>25</v>
      </c>
      <c r="AP36">
        <v>1500</v>
      </c>
      <c r="AQ36" t="s">
        <v>131</v>
      </c>
      <c r="AR36">
        <v>64</v>
      </c>
      <c r="AS36">
        <v>8</v>
      </c>
      <c r="AT36">
        <v>64</v>
      </c>
      <c r="BB36" t="str">
        <f t="shared" si="3"/>
        <v>1200</v>
      </c>
      <c r="BC36">
        <v>1</v>
      </c>
      <c r="BD36" t="str">
        <f t="shared" si="4"/>
        <v xml:space="preserve">N52156  </v>
      </c>
      <c r="BE36">
        <v>1</v>
      </c>
      <c r="BG36">
        <v>0</v>
      </c>
      <c r="BH36">
        <v>0</v>
      </c>
      <c r="BI36">
        <v>0</v>
      </c>
      <c r="BJ36">
        <v>1475</v>
      </c>
      <c r="BK36">
        <v>-25</v>
      </c>
      <c r="BL36" t="s">
        <v>132</v>
      </c>
      <c r="BM36">
        <v>1</v>
      </c>
      <c r="BN36">
        <v>1</v>
      </c>
      <c r="BO36">
        <v>0</v>
      </c>
      <c r="BP36">
        <v>0</v>
      </c>
      <c r="BS36">
        <v>0.2</v>
      </c>
      <c r="BT36">
        <v>0</v>
      </c>
      <c r="BU36">
        <v>0</v>
      </c>
      <c r="CE36" t="str">
        <f t="shared" si="15"/>
        <v>15:04:37.247</v>
      </c>
      <c r="CF36">
        <v>247438530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2</v>
      </c>
      <c r="CY36">
        <v>7</v>
      </c>
      <c r="CZ36" t="s">
        <v>133</v>
      </c>
      <c r="DA36">
        <v>275</v>
      </c>
      <c r="DB36">
        <v>0</v>
      </c>
      <c r="DC36" t="s">
        <v>134</v>
      </c>
      <c r="DD36" t="s">
        <v>135</v>
      </c>
      <c r="DG36">
        <v>3317538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"05/01/2025 15:04:37.538"</f>
        <v>05/01/2025 15:04:37.538</v>
      </c>
      <c r="C37" t="str">
        <f t="shared" si="0"/>
        <v>FFDFD3C0</v>
      </c>
      <c r="D37" t="s">
        <v>136</v>
      </c>
      <c r="E37" t="str">
        <f>"20"</f>
        <v>20</v>
      </c>
      <c r="H37">
        <v>400</v>
      </c>
      <c r="I37" t="s">
        <v>137</v>
      </c>
      <c r="J37" t="s">
        <v>138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R37" t="s">
        <v>127</v>
      </c>
      <c r="S37" t="str">
        <f t="shared" si="14"/>
        <v>15:04:37.000</v>
      </c>
      <c r="T37" t="str">
        <f t="shared" si="14"/>
        <v>15:04:37.000</v>
      </c>
      <c r="U37" t="str">
        <f t="shared" si="2"/>
        <v>A68FCB</v>
      </c>
      <c r="V37">
        <v>0</v>
      </c>
      <c r="W37">
        <v>0</v>
      </c>
      <c r="X37">
        <v>2</v>
      </c>
      <c r="Y37">
        <v>0</v>
      </c>
      <c r="AA37">
        <v>1</v>
      </c>
      <c r="AB37">
        <v>8</v>
      </c>
      <c r="AC37">
        <v>3</v>
      </c>
      <c r="AD37">
        <v>0</v>
      </c>
      <c r="AE37">
        <v>9</v>
      </c>
      <c r="AF37" t="s">
        <v>128</v>
      </c>
      <c r="AG37">
        <v>0</v>
      </c>
      <c r="AH37">
        <v>3</v>
      </c>
      <c r="AI37">
        <v>1</v>
      </c>
      <c r="AJ37">
        <v>0</v>
      </c>
      <c r="AK37" t="s">
        <v>156</v>
      </c>
      <c r="AL37">
        <v>38.954622999999998</v>
      </c>
      <c r="AM37" t="s">
        <v>157</v>
      </c>
      <c r="AN37">
        <v>-121.083112</v>
      </c>
      <c r="AO37">
        <v>25</v>
      </c>
      <c r="AP37">
        <v>1500</v>
      </c>
      <c r="AQ37" t="s">
        <v>131</v>
      </c>
      <c r="AR37">
        <v>64</v>
      </c>
      <c r="AS37">
        <v>8</v>
      </c>
      <c r="AT37">
        <v>64</v>
      </c>
      <c r="BB37" t="str">
        <f t="shared" si="3"/>
        <v>1200</v>
      </c>
      <c r="BC37">
        <v>1</v>
      </c>
      <c r="BD37" t="str">
        <f t="shared" si="4"/>
        <v xml:space="preserve">N52156  </v>
      </c>
      <c r="BE37">
        <v>1</v>
      </c>
      <c r="BG37">
        <v>0</v>
      </c>
      <c r="BH37">
        <v>0</v>
      </c>
      <c r="BI37">
        <v>0</v>
      </c>
      <c r="BJ37">
        <v>1475</v>
      </c>
      <c r="BK37">
        <v>-25</v>
      </c>
      <c r="BL37" t="s">
        <v>139</v>
      </c>
      <c r="BM37">
        <v>1</v>
      </c>
      <c r="BN37">
        <v>1</v>
      </c>
      <c r="BO37">
        <v>0</v>
      </c>
      <c r="BP37">
        <v>0</v>
      </c>
      <c r="BT37">
        <v>0</v>
      </c>
      <c r="BU37">
        <v>0</v>
      </c>
      <c r="CE37" t="str">
        <f t="shared" si="15"/>
        <v>15:04:37.247</v>
      </c>
      <c r="CF37">
        <v>247438530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2</v>
      </c>
      <c r="CY37">
        <v>7</v>
      </c>
      <c r="CZ37" t="s">
        <v>133</v>
      </c>
      <c r="DA37">
        <v>275</v>
      </c>
      <c r="DB37">
        <v>0</v>
      </c>
      <c r="DC37" t="s">
        <v>134</v>
      </c>
      <c r="DD37" t="s">
        <v>135</v>
      </c>
      <c r="DG37">
        <v>3317538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"05/01/2025 15:04:38.868"</f>
        <v>05/01/2025 15:04:38.868</v>
      </c>
      <c r="C38" t="str">
        <f t="shared" si="0"/>
        <v>FFDFD3C0</v>
      </c>
      <c r="D38" t="s">
        <v>140</v>
      </c>
      <c r="E38" t="str">
        <f>"13"</f>
        <v>13</v>
      </c>
      <c r="F38">
        <v>1019</v>
      </c>
      <c r="G38" t="s">
        <v>141</v>
      </c>
      <c r="J38" t="s">
        <v>142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R38" t="s">
        <v>127</v>
      </c>
      <c r="S38" t="str">
        <f t="shared" ref="S38:T43" si="16">"15:04:38.000"</f>
        <v>15:04:38.000</v>
      </c>
      <c r="T38" t="str">
        <f t="shared" si="16"/>
        <v>15:04:38.000</v>
      </c>
      <c r="U38" t="str">
        <f t="shared" si="2"/>
        <v>A68FCB</v>
      </c>
      <c r="V38">
        <v>0</v>
      </c>
      <c r="W38">
        <v>0</v>
      </c>
      <c r="X38">
        <v>2</v>
      </c>
      <c r="Y38">
        <v>0</v>
      </c>
      <c r="AA38">
        <v>1</v>
      </c>
      <c r="AB38">
        <v>8</v>
      </c>
      <c r="AC38">
        <v>3</v>
      </c>
      <c r="AD38">
        <v>0</v>
      </c>
      <c r="AE38">
        <v>9</v>
      </c>
      <c r="AF38" t="s">
        <v>128</v>
      </c>
      <c r="AG38">
        <v>0</v>
      </c>
      <c r="AH38">
        <v>3</v>
      </c>
      <c r="AI38">
        <v>1</v>
      </c>
      <c r="AJ38">
        <v>0</v>
      </c>
      <c r="AK38" t="s">
        <v>158</v>
      </c>
      <c r="AL38">
        <v>38.954666000000003</v>
      </c>
      <c r="AM38" t="s">
        <v>159</v>
      </c>
      <c r="AN38">
        <v>-121.08270400000001</v>
      </c>
      <c r="AO38">
        <v>25</v>
      </c>
      <c r="AP38">
        <v>1500</v>
      </c>
      <c r="AQ38" t="s">
        <v>131</v>
      </c>
      <c r="AR38">
        <v>65</v>
      </c>
      <c r="AS38">
        <v>8</v>
      </c>
      <c r="AT38">
        <v>128</v>
      </c>
      <c r="BB38" t="str">
        <f t="shared" si="3"/>
        <v>1200</v>
      </c>
      <c r="BC38">
        <v>1</v>
      </c>
      <c r="BD38" t="str">
        <f t="shared" si="4"/>
        <v xml:space="preserve">N52156  </v>
      </c>
      <c r="BE38">
        <v>1</v>
      </c>
      <c r="BG38">
        <v>0</v>
      </c>
      <c r="BH38">
        <v>0</v>
      </c>
      <c r="BI38">
        <v>0</v>
      </c>
      <c r="BJ38">
        <v>1475</v>
      </c>
      <c r="BK38">
        <v>-25</v>
      </c>
      <c r="BL38" t="s">
        <v>132</v>
      </c>
      <c r="BM38">
        <v>1</v>
      </c>
      <c r="BN38">
        <v>1</v>
      </c>
      <c r="BO38">
        <v>0</v>
      </c>
      <c r="BP38">
        <v>0</v>
      </c>
      <c r="BS38">
        <v>0.2</v>
      </c>
      <c r="BT38">
        <v>0</v>
      </c>
      <c r="BU38">
        <v>0</v>
      </c>
      <c r="CE38" t="str">
        <f t="shared" ref="CE38:CE43" si="17">"15:04:38.670"</f>
        <v>15:04:38.670</v>
      </c>
      <c r="CF38">
        <v>670189667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2</v>
      </c>
      <c r="CY38">
        <v>7</v>
      </c>
      <c r="CZ38" t="s">
        <v>133</v>
      </c>
      <c r="DA38">
        <v>275</v>
      </c>
      <c r="DB38">
        <v>0</v>
      </c>
      <c r="DC38" t="s">
        <v>134</v>
      </c>
      <c r="DD38" t="s">
        <v>135</v>
      </c>
      <c r="DG38">
        <v>3317550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"05/01/2025 15:04:38.872"</f>
        <v>05/01/2025 15:04:38.872</v>
      </c>
      <c r="C39" t="str">
        <f t="shared" si="0"/>
        <v>FFDFD3C0</v>
      </c>
      <c r="D39" t="s">
        <v>143</v>
      </c>
      <c r="E39" t="str">
        <f>"05"</f>
        <v>05</v>
      </c>
      <c r="H39">
        <v>172</v>
      </c>
      <c r="I39" t="s">
        <v>141</v>
      </c>
      <c r="J39" t="s">
        <v>144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R39" t="s">
        <v>127</v>
      </c>
      <c r="S39" t="str">
        <f t="shared" si="16"/>
        <v>15:04:38.000</v>
      </c>
      <c r="T39" t="str">
        <f t="shared" si="16"/>
        <v>15:04:38.000</v>
      </c>
      <c r="U39" t="str">
        <f t="shared" si="2"/>
        <v>A68FCB</v>
      </c>
      <c r="V39">
        <v>0</v>
      </c>
      <c r="W39">
        <v>0</v>
      </c>
      <c r="X39">
        <v>2</v>
      </c>
      <c r="Y39">
        <v>0</v>
      </c>
      <c r="AA39">
        <v>1</v>
      </c>
      <c r="AB39">
        <v>8</v>
      </c>
      <c r="AC39">
        <v>3</v>
      </c>
      <c r="AD39">
        <v>0</v>
      </c>
      <c r="AE39">
        <v>9</v>
      </c>
      <c r="AF39" t="s">
        <v>128</v>
      </c>
      <c r="AG39">
        <v>0</v>
      </c>
      <c r="AH39">
        <v>3</v>
      </c>
      <c r="AI39">
        <v>1</v>
      </c>
      <c r="AJ39">
        <v>0</v>
      </c>
      <c r="AK39" t="s">
        <v>158</v>
      </c>
      <c r="AL39">
        <v>38.954666000000003</v>
      </c>
      <c r="AM39" t="s">
        <v>159</v>
      </c>
      <c r="AN39">
        <v>-121.08270400000001</v>
      </c>
      <c r="AO39">
        <v>25</v>
      </c>
      <c r="AP39">
        <v>1500</v>
      </c>
      <c r="AQ39" t="s">
        <v>131</v>
      </c>
      <c r="AR39">
        <v>65</v>
      </c>
      <c r="AS39">
        <v>8</v>
      </c>
      <c r="AT39">
        <v>128</v>
      </c>
      <c r="BB39" t="str">
        <f t="shared" si="3"/>
        <v>1200</v>
      </c>
      <c r="BC39">
        <v>1</v>
      </c>
      <c r="BD39" t="str">
        <f t="shared" si="4"/>
        <v xml:space="preserve">N52156  </v>
      </c>
      <c r="BE39">
        <v>1</v>
      </c>
      <c r="BG39">
        <v>0</v>
      </c>
      <c r="BH39">
        <v>0</v>
      </c>
      <c r="BI39">
        <v>0</v>
      </c>
      <c r="BJ39">
        <v>1475</v>
      </c>
      <c r="BK39">
        <v>-25</v>
      </c>
      <c r="BL39" t="s">
        <v>139</v>
      </c>
      <c r="BM39">
        <v>1</v>
      </c>
      <c r="BN39">
        <v>1</v>
      </c>
      <c r="BO39">
        <v>0</v>
      </c>
      <c r="BP39">
        <v>0</v>
      </c>
      <c r="BT39">
        <v>0</v>
      </c>
      <c r="BU39">
        <v>0</v>
      </c>
      <c r="CE39" t="str">
        <f t="shared" si="17"/>
        <v>15:04:38.670</v>
      </c>
      <c r="CF39">
        <v>670189667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2</v>
      </c>
      <c r="CY39">
        <v>7</v>
      </c>
      <c r="CZ39" t="s">
        <v>133</v>
      </c>
      <c r="DA39">
        <v>275</v>
      </c>
      <c r="DB39">
        <v>0</v>
      </c>
      <c r="DC39" t="s">
        <v>134</v>
      </c>
      <c r="DD39" t="s">
        <v>135</v>
      </c>
      <c r="DG39">
        <v>3317550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"05/01/2025 15:04:38.878"</f>
        <v>05/01/2025 15:04:38.878</v>
      </c>
      <c r="C40" t="str">
        <f t="shared" si="0"/>
        <v>FFDFD3C0</v>
      </c>
      <c r="D40" t="s">
        <v>145</v>
      </c>
      <c r="E40" t="str">
        <f>"09"</f>
        <v>09</v>
      </c>
      <c r="H40">
        <v>51</v>
      </c>
      <c r="I40" t="s">
        <v>147</v>
      </c>
      <c r="J40" t="s">
        <v>138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R40" t="s">
        <v>127</v>
      </c>
      <c r="S40" t="str">
        <f t="shared" si="16"/>
        <v>15:04:38.000</v>
      </c>
      <c r="T40" t="str">
        <f t="shared" si="16"/>
        <v>15:04:38.000</v>
      </c>
      <c r="U40" t="str">
        <f t="shared" si="2"/>
        <v>A68FCB</v>
      </c>
      <c r="V40">
        <v>0</v>
      </c>
      <c r="W40">
        <v>0</v>
      </c>
      <c r="X40">
        <v>2</v>
      </c>
      <c r="Y40">
        <v>0</v>
      </c>
      <c r="AA40">
        <v>1</v>
      </c>
      <c r="AB40">
        <v>8</v>
      </c>
      <c r="AC40">
        <v>3</v>
      </c>
      <c r="AD40">
        <v>0</v>
      </c>
      <c r="AE40">
        <v>9</v>
      </c>
      <c r="AF40" t="s">
        <v>128</v>
      </c>
      <c r="AG40">
        <v>0</v>
      </c>
      <c r="AH40">
        <v>3</v>
      </c>
      <c r="AI40">
        <v>1</v>
      </c>
      <c r="AJ40">
        <v>0</v>
      </c>
      <c r="AK40" t="s">
        <v>158</v>
      </c>
      <c r="AL40">
        <v>38.954666000000003</v>
      </c>
      <c r="AM40" t="s">
        <v>159</v>
      </c>
      <c r="AN40">
        <v>-121.08270400000001</v>
      </c>
      <c r="AO40">
        <v>25</v>
      </c>
      <c r="AP40">
        <v>1500</v>
      </c>
      <c r="AQ40" t="s">
        <v>131</v>
      </c>
      <c r="AR40">
        <v>65</v>
      </c>
      <c r="AS40">
        <v>8</v>
      </c>
      <c r="AT40">
        <v>128</v>
      </c>
      <c r="BB40" t="str">
        <f t="shared" si="3"/>
        <v>1200</v>
      </c>
      <c r="BC40">
        <v>1</v>
      </c>
      <c r="BD40" t="str">
        <f t="shared" si="4"/>
        <v xml:space="preserve">N52156  </v>
      </c>
      <c r="BE40">
        <v>1</v>
      </c>
      <c r="BG40">
        <v>0</v>
      </c>
      <c r="BH40">
        <v>0</v>
      </c>
      <c r="BI40">
        <v>0</v>
      </c>
      <c r="BJ40">
        <v>1475</v>
      </c>
      <c r="BK40">
        <v>-25</v>
      </c>
      <c r="BL40" t="s">
        <v>139</v>
      </c>
      <c r="BM40">
        <v>1</v>
      </c>
      <c r="BN40">
        <v>1</v>
      </c>
      <c r="BO40">
        <v>0</v>
      </c>
      <c r="BP40">
        <v>0</v>
      </c>
      <c r="BT40">
        <v>0</v>
      </c>
      <c r="BU40">
        <v>0</v>
      </c>
      <c r="CE40" t="str">
        <f t="shared" si="17"/>
        <v>15:04:38.670</v>
      </c>
      <c r="CF40">
        <v>670189667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2</v>
      </c>
      <c r="CY40">
        <v>7</v>
      </c>
      <c r="CZ40" t="s">
        <v>133</v>
      </c>
      <c r="DA40">
        <v>275</v>
      </c>
      <c r="DB40">
        <v>0</v>
      </c>
      <c r="DC40" t="s">
        <v>134</v>
      </c>
      <c r="DD40" t="s">
        <v>135</v>
      </c>
      <c r="DG40">
        <v>3317550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"05/01/2025 15:04:38.878"</f>
        <v>05/01/2025 15:04:38.878</v>
      </c>
      <c r="C41" t="str">
        <f t="shared" si="0"/>
        <v>FFDFD3C0</v>
      </c>
      <c r="D41" t="s">
        <v>145</v>
      </c>
      <c r="E41" t="str">
        <f>"05"</f>
        <v>05</v>
      </c>
      <c r="H41">
        <v>47</v>
      </c>
      <c r="I41" t="s">
        <v>146</v>
      </c>
      <c r="J41" t="s">
        <v>138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R41" t="s">
        <v>127</v>
      </c>
      <c r="S41" t="str">
        <f t="shared" si="16"/>
        <v>15:04:38.000</v>
      </c>
      <c r="T41" t="str">
        <f t="shared" si="16"/>
        <v>15:04:38.000</v>
      </c>
      <c r="U41" t="str">
        <f t="shared" si="2"/>
        <v>A68FCB</v>
      </c>
      <c r="V41">
        <v>0</v>
      </c>
      <c r="W41">
        <v>0</v>
      </c>
      <c r="X41">
        <v>2</v>
      </c>
      <c r="Y41">
        <v>0</v>
      </c>
      <c r="AA41">
        <v>1</v>
      </c>
      <c r="AB41">
        <v>8</v>
      </c>
      <c r="AC41">
        <v>3</v>
      </c>
      <c r="AD41">
        <v>0</v>
      </c>
      <c r="AE41">
        <v>9</v>
      </c>
      <c r="AF41" t="s">
        <v>128</v>
      </c>
      <c r="AG41">
        <v>0</v>
      </c>
      <c r="AH41">
        <v>3</v>
      </c>
      <c r="AI41">
        <v>1</v>
      </c>
      <c r="AJ41">
        <v>0</v>
      </c>
      <c r="AK41" t="s">
        <v>158</v>
      </c>
      <c r="AL41">
        <v>38.954666000000003</v>
      </c>
      <c r="AM41" t="s">
        <v>159</v>
      </c>
      <c r="AN41">
        <v>-121.08270400000001</v>
      </c>
      <c r="AO41">
        <v>25</v>
      </c>
      <c r="AP41">
        <v>1500</v>
      </c>
      <c r="AQ41" t="s">
        <v>131</v>
      </c>
      <c r="AR41">
        <v>65</v>
      </c>
      <c r="AS41">
        <v>8</v>
      </c>
      <c r="AT41">
        <v>128</v>
      </c>
      <c r="BB41" t="str">
        <f t="shared" si="3"/>
        <v>1200</v>
      </c>
      <c r="BC41">
        <v>1</v>
      </c>
      <c r="BD41" t="str">
        <f t="shared" si="4"/>
        <v xml:space="preserve">N52156  </v>
      </c>
      <c r="BE41">
        <v>1</v>
      </c>
      <c r="BG41">
        <v>0</v>
      </c>
      <c r="BH41">
        <v>0</v>
      </c>
      <c r="BI41">
        <v>0</v>
      </c>
      <c r="BJ41">
        <v>1475</v>
      </c>
      <c r="BK41">
        <v>-25</v>
      </c>
      <c r="BL41" t="s">
        <v>139</v>
      </c>
      <c r="BM41">
        <v>1</v>
      </c>
      <c r="BN41">
        <v>1</v>
      </c>
      <c r="BO41">
        <v>0</v>
      </c>
      <c r="BP41">
        <v>0</v>
      </c>
      <c r="BT41">
        <v>0</v>
      </c>
      <c r="BU41">
        <v>0</v>
      </c>
      <c r="CE41" t="str">
        <f t="shared" si="17"/>
        <v>15:04:38.670</v>
      </c>
      <c r="CF41">
        <v>670189667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2</v>
      </c>
      <c r="CY41">
        <v>7</v>
      </c>
      <c r="CZ41" t="s">
        <v>133</v>
      </c>
      <c r="DA41">
        <v>275</v>
      </c>
      <c r="DB41">
        <v>0</v>
      </c>
      <c r="DC41" t="s">
        <v>134</v>
      </c>
      <c r="DD41" t="s">
        <v>135</v>
      </c>
      <c r="DG41">
        <v>3317550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"05/01/2025 15:04:38.880"</f>
        <v>05/01/2025 15:04:38.880</v>
      </c>
      <c r="C42" t="str">
        <f t="shared" si="0"/>
        <v>FFDFD3C0</v>
      </c>
      <c r="D42" t="s">
        <v>124</v>
      </c>
      <c r="E42" t="str">
        <f>"06"</f>
        <v>06</v>
      </c>
      <c r="F42">
        <v>2006</v>
      </c>
      <c r="G42" t="s">
        <v>125</v>
      </c>
      <c r="J42" t="s">
        <v>126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R42" t="s">
        <v>127</v>
      </c>
      <c r="S42" t="str">
        <f t="shared" si="16"/>
        <v>15:04:38.000</v>
      </c>
      <c r="T42" t="str">
        <f t="shared" si="16"/>
        <v>15:04:38.000</v>
      </c>
      <c r="U42" t="str">
        <f t="shared" si="2"/>
        <v>A68FCB</v>
      </c>
      <c r="V42">
        <v>0</v>
      </c>
      <c r="W42">
        <v>0</v>
      </c>
      <c r="X42">
        <v>2</v>
      </c>
      <c r="Y42">
        <v>0</v>
      </c>
      <c r="AA42">
        <v>1</v>
      </c>
      <c r="AB42">
        <v>8</v>
      </c>
      <c r="AC42">
        <v>3</v>
      </c>
      <c r="AD42">
        <v>0</v>
      </c>
      <c r="AE42">
        <v>9</v>
      </c>
      <c r="AF42" t="s">
        <v>128</v>
      </c>
      <c r="AG42">
        <v>0</v>
      </c>
      <c r="AH42">
        <v>3</v>
      </c>
      <c r="AI42">
        <v>1</v>
      </c>
      <c r="AJ42">
        <v>0</v>
      </c>
      <c r="AK42" t="s">
        <v>158</v>
      </c>
      <c r="AL42">
        <v>38.954666000000003</v>
      </c>
      <c r="AM42" t="s">
        <v>159</v>
      </c>
      <c r="AN42">
        <v>-121.08270400000001</v>
      </c>
      <c r="AO42">
        <v>25</v>
      </c>
      <c r="AP42">
        <v>1500</v>
      </c>
      <c r="AQ42" t="s">
        <v>131</v>
      </c>
      <c r="AR42">
        <v>65</v>
      </c>
      <c r="AS42">
        <v>8</v>
      </c>
      <c r="AT42">
        <v>128</v>
      </c>
      <c r="BB42" t="str">
        <f t="shared" si="3"/>
        <v>1200</v>
      </c>
      <c r="BC42">
        <v>1</v>
      </c>
      <c r="BD42" t="str">
        <f t="shared" si="4"/>
        <v xml:space="preserve">N52156  </v>
      </c>
      <c r="BE42">
        <v>1</v>
      </c>
      <c r="BG42">
        <v>0</v>
      </c>
      <c r="BH42">
        <v>0</v>
      </c>
      <c r="BI42">
        <v>0</v>
      </c>
      <c r="BJ42">
        <v>1475</v>
      </c>
      <c r="BK42">
        <v>-25</v>
      </c>
      <c r="BL42" t="s">
        <v>132</v>
      </c>
      <c r="BM42">
        <v>1</v>
      </c>
      <c r="BN42">
        <v>1</v>
      </c>
      <c r="BO42">
        <v>0</v>
      </c>
      <c r="BP42">
        <v>0</v>
      </c>
      <c r="BS42">
        <v>0.2</v>
      </c>
      <c r="BT42">
        <v>0</v>
      </c>
      <c r="BU42">
        <v>0</v>
      </c>
      <c r="CE42" t="str">
        <f t="shared" si="17"/>
        <v>15:04:38.670</v>
      </c>
      <c r="CF42">
        <v>670189667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2</v>
      </c>
      <c r="CY42">
        <v>7</v>
      </c>
      <c r="CZ42" t="s">
        <v>133</v>
      </c>
      <c r="DA42">
        <v>275</v>
      </c>
      <c r="DB42">
        <v>0</v>
      </c>
      <c r="DC42" t="s">
        <v>134</v>
      </c>
      <c r="DD42" t="s">
        <v>135</v>
      </c>
      <c r="DG42">
        <v>3317550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"05/01/2025 15:04:38.890"</f>
        <v>05/01/2025 15:04:38.890</v>
      </c>
      <c r="C43" t="str">
        <f t="shared" si="0"/>
        <v>FFDFD3C0</v>
      </c>
      <c r="D43" t="s">
        <v>136</v>
      </c>
      <c r="E43" t="str">
        <f>"20"</f>
        <v>20</v>
      </c>
      <c r="H43">
        <v>400</v>
      </c>
      <c r="I43" t="s">
        <v>137</v>
      </c>
      <c r="J43" t="s">
        <v>138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R43" t="s">
        <v>127</v>
      </c>
      <c r="S43" t="str">
        <f t="shared" si="16"/>
        <v>15:04:38.000</v>
      </c>
      <c r="T43" t="str">
        <f t="shared" si="16"/>
        <v>15:04:38.000</v>
      </c>
      <c r="U43" t="str">
        <f t="shared" si="2"/>
        <v>A68FCB</v>
      </c>
      <c r="V43">
        <v>0</v>
      </c>
      <c r="W43">
        <v>0</v>
      </c>
      <c r="X43">
        <v>2</v>
      </c>
      <c r="Y43">
        <v>0</v>
      </c>
      <c r="AA43">
        <v>1</v>
      </c>
      <c r="AB43">
        <v>8</v>
      </c>
      <c r="AC43">
        <v>3</v>
      </c>
      <c r="AD43">
        <v>0</v>
      </c>
      <c r="AE43">
        <v>9</v>
      </c>
      <c r="AF43" t="s">
        <v>128</v>
      </c>
      <c r="AG43">
        <v>0</v>
      </c>
      <c r="AH43">
        <v>3</v>
      </c>
      <c r="AI43">
        <v>1</v>
      </c>
      <c r="AJ43">
        <v>0</v>
      </c>
      <c r="AK43" t="s">
        <v>158</v>
      </c>
      <c r="AL43">
        <v>38.954666000000003</v>
      </c>
      <c r="AM43" t="s">
        <v>159</v>
      </c>
      <c r="AN43">
        <v>-121.08270400000001</v>
      </c>
      <c r="AO43">
        <v>25</v>
      </c>
      <c r="AP43">
        <v>1500</v>
      </c>
      <c r="AQ43" t="s">
        <v>131</v>
      </c>
      <c r="AR43">
        <v>65</v>
      </c>
      <c r="AS43">
        <v>8</v>
      </c>
      <c r="AT43">
        <v>128</v>
      </c>
      <c r="BB43" t="str">
        <f t="shared" si="3"/>
        <v>1200</v>
      </c>
      <c r="BC43">
        <v>1</v>
      </c>
      <c r="BD43" t="str">
        <f t="shared" si="4"/>
        <v xml:space="preserve">N52156  </v>
      </c>
      <c r="BE43">
        <v>1</v>
      </c>
      <c r="BG43">
        <v>0</v>
      </c>
      <c r="BH43">
        <v>0</v>
      </c>
      <c r="BI43">
        <v>0</v>
      </c>
      <c r="BJ43">
        <v>1475</v>
      </c>
      <c r="BK43">
        <v>-25</v>
      </c>
      <c r="BL43" t="s">
        <v>139</v>
      </c>
      <c r="BM43">
        <v>1</v>
      </c>
      <c r="BN43">
        <v>1</v>
      </c>
      <c r="BO43">
        <v>0</v>
      </c>
      <c r="BP43">
        <v>0</v>
      </c>
      <c r="BT43">
        <v>0</v>
      </c>
      <c r="BU43">
        <v>0</v>
      </c>
      <c r="CE43" t="str">
        <f t="shared" si="17"/>
        <v>15:04:38.670</v>
      </c>
      <c r="CF43">
        <v>670189667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2</v>
      </c>
      <c r="CY43">
        <v>7</v>
      </c>
      <c r="CZ43" t="s">
        <v>133</v>
      </c>
      <c r="DA43">
        <v>275</v>
      </c>
      <c r="DB43">
        <v>0</v>
      </c>
      <c r="DC43" t="s">
        <v>134</v>
      </c>
      <c r="DD43" t="s">
        <v>135</v>
      </c>
      <c r="DG43">
        <v>3317550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"05/01/2025 15:04:39.469"</f>
        <v>05/01/2025 15:04:39.469</v>
      </c>
      <c r="C44" t="str">
        <f t="shared" si="0"/>
        <v>FFDFD3C0</v>
      </c>
      <c r="D44" t="s">
        <v>140</v>
      </c>
      <c r="E44" t="str">
        <f>"13"</f>
        <v>13</v>
      </c>
      <c r="F44">
        <v>1019</v>
      </c>
      <c r="G44" t="s">
        <v>141</v>
      </c>
      <c r="J44" t="s">
        <v>142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R44" t="s">
        <v>127</v>
      </c>
      <c r="S44" t="str">
        <f t="shared" ref="S44:T49" si="18">"15:04:39.000"</f>
        <v>15:04:39.000</v>
      </c>
      <c r="T44" t="str">
        <f t="shared" si="18"/>
        <v>15:04:39.000</v>
      </c>
      <c r="U44" t="str">
        <f t="shared" si="2"/>
        <v>A68FCB</v>
      </c>
      <c r="V44">
        <v>0</v>
      </c>
      <c r="W44">
        <v>0</v>
      </c>
      <c r="X44">
        <v>2</v>
      </c>
      <c r="Y44">
        <v>0</v>
      </c>
      <c r="AA44">
        <v>1</v>
      </c>
      <c r="AB44">
        <v>8</v>
      </c>
      <c r="AC44">
        <v>3</v>
      </c>
      <c r="AD44">
        <v>0</v>
      </c>
      <c r="AE44">
        <v>9</v>
      </c>
      <c r="AF44" t="s">
        <v>128</v>
      </c>
      <c r="AG44">
        <v>0</v>
      </c>
      <c r="AH44">
        <v>3</v>
      </c>
      <c r="AI44">
        <v>1</v>
      </c>
      <c r="AJ44">
        <v>0</v>
      </c>
      <c r="AK44" t="s">
        <v>160</v>
      </c>
      <c r="AL44">
        <v>38.954687</v>
      </c>
      <c r="AM44" t="s">
        <v>161</v>
      </c>
      <c r="AN44">
        <v>-121.082339</v>
      </c>
      <c r="AO44">
        <v>25</v>
      </c>
      <c r="AP44">
        <v>1600</v>
      </c>
      <c r="AQ44" t="s">
        <v>131</v>
      </c>
      <c r="AR44">
        <v>64</v>
      </c>
      <c r="AS44">
        <v>11</v>
      </c>
      <c r="AT44">
        <v>64</v>
      </c>
      <c r="BB44" t="str">
        <f t="shared" si="3"/>
        <v>1200</v>
      </c>
      <c r="BC44">
        <v>1</v>
      </c>
      <c r="BD44" t="str">
        <f t="shared" si="4"/>
        <v xml:space="preserve">N52156  </v>
      </c>
      <c r="BE44">
        <v>1</v>
      </c>
      <c r="BG44">
        <v>0</v>
      </c>
      <c r="BH44">
        <v>0</v>
      </c>
      <c r="BI44">
        <v>0</v>
      </c>
      <c r="BJ44">
        <v>1500</v>
      </c>
      <c r="BK44">
        <v>-100</v>
      </c>
      <c r="BL44" t="s">
        <v>132</v>
      </c>
      <c r="BM44">
        <v>1</v>
      </c>
      <c r="BN44">
        <v>1</v>
      </c>
      <c r="BO44">
        <v>0</v>
      </c>
      <c r="BP44">
        <v>0</v>
      </c>
      <c r="BS44">
        <v>0.2</v>
      </c>
      <c r="BT44">
        <v>0</v>
      </c>
      <c r="BU44">
        <v>0</v>
      </c>
      <c r="CE44" t="str">
        <f t="shared" ref="CE44:CE49" si="19">"15:04:39.231"</f>
        <v>15:04:39.231</v>
      </c>
      <c r="CF44">
        <v>230688641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3</v>
      </c>
      <c r="CY44">
        <v>7</v>
      </c>
      <c r="CZ44" t="s">
        <v>133</v>
      </c>
      <c r="DA44">
        <v>275</v>
      </c>
      <c r="DB44">
        <v>0</v>
      </c>
      <c r="DC44" t="s">
        <v>134</v>
      </c>
      <c r="DD44" t="s">
        <v>135</v>
      </c>
      <c r="DG44">
        <v>3317557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"05/01/2025 15:04:39.473"</f>
        <v>05/01/2025 15:04:39.473</v>
      </c>
      <c r="C45" t="str">
        <f t="shared" si="0"/>
        <v>FFDFD3C0</v>
      </c>
      <c r="D45" t="s">
        <v>143</v>
      </c>
      <c r="E45" t="str">
        <f>"05"</f>
        <v>05</v>
      </c>
      <c r="H45">
        <v>172</v>
      </c>
      <c r="I45" t="s">
        <v>141</v>
      </c>
      <c r="J45" t="s">
        <v>144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R45" t="s">
        <v>127</v>
      </c>
      <c r="S45" t="str">
        <f t="shared" si="18"/>
        <v>15:04:39.000</v>
      </c>
      <c r="T45" t="str">
        <f t="shared" si="18"/>
        <v>15:04:39.000</v>
      </c>
      <c r="U45" t="str">
        <f t="shared" si="2"/>
        <v>A68FCB</v>
      </c>
      <c r="V45">
        <v>0</v>
      </c>
      <c r="W45">
        <v>0</v>
      </c>
      <c r="X45">
        <v>2</v>
      </c>
      <c r="Y45">
        <v>0</v>
      </c>
      <c r="AA45">
        <v>1</v>
      </c>
      <c r="AB45">
        <v>8</v>
      </c>
      <c r="AC45">
        <v>3</v>
      </c>
      <c r="AD45">
        <v>0</v>
      </c>
      <c r="AE45">
        <v>9</v>
      </c>
      <c r="AF45" t="s">
        <v>128</v>
      </c>
      <c r="AG45">
        <v>0</v>
      </c>
      <c r="AH45">
        <v>3</v>
      </c>
      <c r="AI45">
        <v>1</v>
      </c>
      <c r="AJ45">
        <v>0</v>
      </c>
      <c r="AK45" t="s">
        <v>160</v>
      </c>
      <c r="AL45">
        <v>38.954687</v>
      </c>
      <c r="AM45" t="s">
        <v>161</v>
      </c>
      <c r="AN45">
        <v>-121.082339</v>
      </c>
      <c r="AO45">
        <v>25</v>
      </c>
      <c r="AP45">
        <v>1600</v>
      </c>
      <c r="AQ45" t="s">
        <v>131</v>
      </c>
      <c r="AR45">
        <v>64</v>
      </c>
      <c r="AS45">
        <v>11</v>
      </c>
      <c r="AT45">
        <v>64</v>
      </c>
      <c r="BB45" t="str">
        <f t="shared" si="3"/>
        <v>1200</v>
      </c>
      <c r="BC45">
        <v>1</v>
      </c>
      <c r="BD45" t="str">
        <f t="shared" si="4"/>
        <v xml:space="preserve">N52156  </v>
      </c>
      <c r="BE45">
        <v>1</v>
      </c>
      <c r="BG45">
        <v>0</v>
      </c>
      <c r="BH45">
        <v>0</v>
      </c>
      <c r="BI45">
        <v>0</v>
      </c>
      <c r="BJ45">
        <v>1500</v>
      </c>
      <c r="BK45">
        <v>-100</v>
      </c>
      <c r="BL45" t="s">
        <v>139</v>
      </c>
      <c r="BM45">
        <v>1</v>
      </c>
      <c r="BN45">
        <v>1</v>
      </c>
      <c r="BO45">
        <v>0</v>
      </c>
      <c r="BP45">
        <v>0</v>
      </c>
      <c r="BT45">
        <v>0</v>
      </c>
      <c r="BU45">
        <v>0</v>
      </c>
      <c r="CE45" t="str">
        <f t="shared" si="19"/>
        <v>15:04:39.231</v>
      </c>
      <c r="CF45">
        <v>230688641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3</v>
      </c>
      <c r="CY45">
        <v>7</v>
      </c>
      <c r="CZ45" t="s">
        <v>133</v>
      </c>
      <c r="DA45">
        <v>275</v>
      </c>
      <c r="DB45">
        <v>0</v>
      </c>
      <c r="DC45" t="s">
        <v>134</v>
      </c>
      <c r="DD45" t="s">
        <v>135</v>
      </c>
      <c r="DG45">
        <v>3317557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"05/01/2025 15:04:39.479"</f>
        <v>05/01/2025 15:04:39.479</v>
      </c>
      <c r="C46" t="str">
        <f t="shared" si="0"/>
        <v>FFDFD3C0</v>
      </c>
      <c r="D46" t="s">
        <v>145</v>
      </c>
      <c r="E46" t="str">
        <f>"09"</f>
        <v>09</v>
      </c>
      <c r="H46">
        <v>51</v>
      </c>
      <c r="I46" t="s">
        <v>147</v>
      </c>
      <c r="J46" t="s">
        <v>138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R46" t="s">
        <v>127</v>
      </c>
      <c r="S46" t="str">
        <f t="shared" si="18"/>
        <v>15:04:39.000</v>
      </c>
      <c r="T46" t="str">
        <f t="shared" si="18"/>
        <v>15:04:39.000</v>
      </c>
      <c r="U46" t="str">
        <f t="shared" si="2"/>
        <v>A68FCB</v>
      </c>
      <c r="V46">
        <v>0</v>
      </c>
      <c r="W46">
        <v>0</v>
      </c>
      <c r="X46">
        <v>2</v>
      </c>
      <c r="Y46">
        <v>0</v>
      </c>
      <c r="AA46">
        <v>1</v>
      </c>
      <c r="AB46">
        <v>8</v>
      </c>
      <c r="AC46">
        <v>3</v>
      </c>
      <c r="AD46">
        <v>0</v>
      </c>
      <c r="AE46">
        <v>9</v>
      </c>
      <c r="AF46" t="s">
        <v>128</v>
      </c>
      <c r="AG46">
        <v>0</v>
      </c>
      <c r="AH46">
        <v>3</v>
      </c>
      <c r="AI46">
        <v>1</v>
      </c>
      <c r="AJ46">
        <v>0</v>
      </c>
      <c r="AK46" t="s">
        <v>160</v>
      </c>
      <c r="AL46">
        <v>38.954687</v>
      </c>
      <c r="AM46" t="s">
        <v>161</v>
      </c>
      <c r="AN46">
        <v>-121.082339</v>
      </c>
      <c r="AO46">
        <v>25</v>
      </c>
      <c r="AP46">
        <v>1600</v>
      </c>
      <c r="AQ46" t="s">
        <v>131</v>
      </c>
      <c r="AR46">
        <v>64</v>
      </c>
      <c r="AS46">
        <v>11</v>
      </c>
      <c r="AT46">
        <v>64</v>
      </c>
      <c r="BB46" t="str">
        <f t="shared" si="3"/>
        <v>1200</v>
      </c>
      <c r="BC46">
        <v>1</v>
      </c>
      <c r="BD46" t="str">
        <f t="shared" si="4"/>
        <v xml:space="preserve">N52156  </v>
      </c>
      <c r="BE46">
        <v>1</v>
      </c>
      <c r="BG46">
        <v>0</v>
      </c>
      <c r="BH46">
        <v>0</v>
      </c>
      <c r="BI46">
        <v>0</v>
      </c>
      <c r="BJ46">
        <v>1500</v>
      </c>
      <c r="BK46">
        <v>-100</v>
      </c>
      <c r="BL46" t="s">
        <v>139</v>
      </c>
      <c r="BM46">
        <v>1</v>
      </c>
      <c r="BN46">
        <v>1</v>
      </c>
      <c r="BO46">
        <v>0</v>
      </c>
      <c r="BP46">
        <v>0</v>
      </c>
      <c r="BT46">
        <v>0</v>
      </c>
      <c r="BU46">
        <v>0</v>
      </c>
      <c r="CE46" t="str">
        <f t="shared" si="19"/>
        <v>15:04:39.231</v>
      </c>
      <c r="CF46">
        <v>230688641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3</v>
      </c>
      <c r="CY46">
        <v>7</v>
      </c>
      <c r="CZ46" t="s">
        <v>133</v>
      </c>
      <c r="DA46">
        <v>275</v>
      </c>
      <c r="DB46">
        <v>0</v>
      </c>
      <c r="DC46" t="s">
        <v>134</v>
      </c>
      <c r="DD46" t="s">
        <v>135</v>
      </c>
      <c r="DG46">
        <v>3317557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"05/01/2025 15:04:39.479"</f>
        <v>05/01/2025 15:04:39.479</v>
      </c>
      <c r="C47" t="str">
        <f t="shared" si="0"/>
        <v>FFDFD3C0</v>
      </c>
      <c r="D47" t="s">
        <v>145</v>
      </c>
      <c r="E47" t="str">
        <f>"05"</f>
        <v>05</v>
      </c>
      <c r="H47">
        <v>47</v>
      </c>
      <c r="I47" t="s">
        <v>146</v>
      </c>
      <c r="J47" t="s">
        <v>138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R47" t="s">
        <v>127</v>
      </c>
      <c r="S47" t="str">
        <f t="shared" si="18"/>
        <v>15:04:39.000</v>
      </c>
      <c r="T47" t="str">
        <f t="shared" si="18"/>
        <v>15:04:39.000</v>
      </c>
      <c r="U47" t="str">
        <f t="shared" si="2"/>
        <v>A68FCB</v>
      </c>
      <c r="V47">
        <v>0</v>
      </c>
      <c r="W47">
        <v>0</v>
      </c>
      <c r="X47">
        <v>2</v>
      </c>
      <c r="Y47">
        <v>0</v>
      </c>
      <c r="AA47">
        <v>1</v>
      </c>
      <c r="AB47">
        <v>8</v>
      </c>
      <c r="AC47">
        <v>3</v>
      </c>
      <c r="AD47">
        <v>0</v>
      </c>
      <c r="AE47">
        <v>9</v>
      </c>
      <c r="AF47" t="s">
        <v>128</v>
      </c>
      <c r="AG47">
        <v>0</v>
      </c>
      <c r="AH47">
        <v>3</v>
      </c>
      <c r="AI47">
        <v>1</v>
      </c>
      <c r="AJ47">
        <v>0</v>
      </c>
      <c r="AK47" t="s">
        <v>160</v>
      </c>
      <c r="AL47">
        <v>38.954687</v>
      </c>
      <c r="AM47" t="s">
        <v>161</v>
      </c>
      <c r="AN47">
        <v>-121.082339</v>
      </c>
      <c r="AO47">
        <v>25</v>
      </c>
      <c r="AP47">
        <v>1600</v>
      </c>
      <c r="AQ47" t="s">
        <v>131</v>
      </c>
      <c r="AR47">
        <v>64</v>
      </c>
      <c r="AS47">
        <v>11</v>
      </c>
      <c r="AT47">
        <v>64</v>
      </c>
      <c r="BB47" t="str">
        <f t="shared" si="3"/>
        <v>1200</v>
      </c>
      <c r="BC47">
        <v>1</v>
      </c>
      <c r="BD47" t="str">
        <f t="shared" si="4"/>
        <v xml:space="preserve">N52156  </v>
      </c>
      <c r="BE47">
        <v>1</v>
      </c>
      <c r="BG47">
        <v>0</v>
      </c>
      <c r="BH47">
        <v>0</v>
      </c>
      <c r="BI47">
        <v>0</v>
      </c>
      <c r="BJ47">
        <v>1500</v>
      </c>
      <c r="BK47">
        <v>-100</v>
      </c>
      <c r="BL47" t="s">
        <v>139</v>
      </c>
      <c r="BM47">
        <v>1</v>
      </c>
      <c r="BN47">
        <v>1</v>
      </c>
      <c r="BO47">
        <v>0</v>
      </c>
      <c r="BP47">
        <v>0</v>
      </c>
      <c r="BT47">
        <v>0</v>
      </c>
      <c r="BU47">
        <v>0</v>
      </c>
      <c r="CE47" t="str">
        <f t="shared" si="19"/>
        <v>15:04:39.231</v>
      </c>
      <c r="CF47">
        <v>230688641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3</v>
      </c>
      <c r="CY47">
        <v>7</v>
      </c>
      <c r="CZ47" t="s">
        <v>133</v>
      </c>
      <c r="DA47">
        <v>275</v>
      </c>
      <c r="DB47">
        <v>0</v>
      </c>
      <c r="DC47" t="s">
        <v>134</v>
      </c>
      <c r="DD47" t="s">
        <v>135</v>
      </c>
      <c r="DG47">
        <v>3317557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"05/01/2025 15:04:39.481"</f>
        <v>05/01/2025 15:04:39.481</v>
      </c>
      <c r="C48" t="str">
        <f t="shared" si="0"/>
        <v>FFDFD3C0</v>
      </c>
      <c r="D48" t="s">
        <v>124</v>
      </c>
      <c r="E48" t="str">
        <f>"06"</f>
        <v>06</v>
      </c>
      <c r="F48">
        <v>2006</v>
      </c>
      <c r="G48" t="s">
        <v>125</v>
      </c>
      <c r="J48" t="s">
        <v>126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R48" t="s">
        <v>127</v>
      </c>
      <c r="S48" t="str">
        <f t="shared" si="18"/>
        <v>15:04:39.000</v>
      </c>
      <c r="T48" t="str">
        <f t="shared" si="18"/>
        <v>15:04:39.000</v>
      </c>
      <c r="U48" t="str">
        <f t="shared" si="2"/>
        <v>A68FCB</v>
      </c>
      <c r="V48">
        <v>0</v>
      </c>
      <c r="W48">
        <v>0</v>
      </c>
      <c r="X48">
        <v>2</v>
      </c>
      <c r="Y48">
        <v>0</v>
      </c>
      <c r="AA48">
        <v>1</v>
      </c>
      <c r="AB48">
        <v>8</v>
      </c>
      <c r="AC48">
        <v>3</v>
      </c>
      <c r="AD48">
        <v>0</v>
      </c>
      <c r="AE48">
        <v>9</v>
      </c>
      <c r="AF48" t="s">
        <v>128</v>
      </c>
      <c r="AG48">
        <v>0</v>
      </c>
      <c r="AH48">
        <v>3</v>
      </c>
      <c r="AI48">
        <v>1</v>
      </c>
      <c r="AJ48">
        <v>0</v>
      </c>
      <c r="AK48" t="s">
        <v>160</v>
      </c>
      <c r="AL48">
        <v>38.954687</v>
      </c>
      <c r="AM48" t="s">
        <v>161</v>
      </c>
      <c r="AN48">
        <v>-121.082339</v>
      </c>
      <c r="AO48">
        <v>25</v>
      </c>
      <c r="AP48">
        <v>1600</v>
      </c>
      <c r="AQ48" t="s">
        <v>131</v>
      </c>
      <c r="AR48">
        <v>64</v>
      </c>
      <c r="AS48">
        <v>11</v>
      </c>
      <c r="AT48">
        <v>64</v>
      </c>
      <c r="BB48" t="str">
        <f t="shared" si="3"/>
        <v>1200</v>
      </c>
      <c r="BC48">
        <v>1</v>
      </c>
      <c r="BD48" t="str">
        <f t="shared" si="4"/>
        <v xml:space="preserve">N52156  </v>
      </c>
      <c r="BE48">
        <v>1</v>
      </c>
      <c r="BG48">
        <v>0</v>
      </c>
      <c r="BH48">
        <v>0</v>
      </c>
      <c r="BI48">
        <v>0</v>
      </c>
      <c r="BJ48">
        <v>1500</v>
      </c>
      <c r="BK48">
        <v>-100</v>
      </c>
      <c r="BL48" t="s">
        <v>132</v>
      </c>
      <c r="BM48">
        <v>1</v>
      </c>
      <c r="BN48">
        <v>1</v>
      </c>
      <c r="BO48">
        <v>0</v>
      </c>
      <c r="BP48">
        <v>0</v>
      </c>
      <c r="BS48">
        <v>0.2</v>
      </c>
      <c r="BT48">
        <v>0</v>
      </c>
      <c r="BU48">
        <v>0</v>
      </c>
      <c r="CE48" t="str">
        <f t="shared" si="19"/>
        <v>15:04:39.231</v>
      </c>
      <c r="CF48">
        <v>230688641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3</v>
      </c>
      <c r="CY48">
        <v>7</v>
      </c>
      <c r="CZ48" t="s">
        <v>133</v>
      </c>
      <c r="DA48">
        <v>275</v>
      </c>
      <c r="DB48">
        <v>0</v>
      </c>
      <c r="DC48" t="s">
        <v>134</v>
      </c>
      <c r="DD48" t="s">
        <v>135</v>
      </c>
      <c r="DG48">
        <v>3317557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"05/01/2025 15:04:39.491"</f>
        <v>05/01/2025 15:04:39.491</v>
      </c>
      <c r="C49" t="str">
        <f t="shared" si="0"/>
        <v>FFDFD3C0</v>
      </c>
      <c r="D49" t="s">
        <v>136</v>
      </c>
      <c r="E49" t="str">
        <f>"20"</f>
        <v>20</v>
      </c>
      <c r="H49">
        <v>400</v>
      </c>
      <c r="I49" t="s">
        <v>137</v>
      </c>
      <c r="J49" t="s">
        <v>138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R49" t="s">
        <v>127</v>
      </c>
      <c r="S49" t="str">
        <f t="shared" si="18"/>
        <v>15:04:39.000</v>
      </c>
      <c r="T49" t="str">
        <f t="shared" si="18"/>
        <v>15:04:39.000</v>
      </c>
      <c r="U49" t="str">
        <f t="shared" si="2"/>
        <v>A68FCB</v>
      </c>
      <c r="V49">
        <v>0</v>
      </c>
      <c r="W49">
        <v>0</v>
      </c>
      <c r="X49">
        <v>2</v>
      </c>
      <c r="Y49">
        <v>0</v>
      </c>
      <c r="AA49">
        <v>1</v>
      </c>
      <c r="AB49">
        <v>8</v>
      </c>
      <c r="AC49">
        <v>3</v>
      </c>
      <c r="AD49">
        <v>0</v>
      </c>
      <c r="AE49">
        <v>9</v>
      </c>
      <c r="AF49" t="s">
        <v>128</v>
      </c>
      <c r="AG49">
        <v>0</v>
      </c>
      <c r="AH49">
        <v>3</v>
      </c>
      <c r="AI49">
        <v>1</v>
      </c>
      <c r="AJ49">
        <v>0</v>
      </c>
      <c r="AK49" t="s">
        <v>160</v>
      </c>
      <c r="AL49">
        <v>38.954687</v>
      </c>
      <c r="AM49" t="s">
        <v>161</v>
      </c>
      <c r="AN49">
        <v>-121.082339</v>
      </c>
      <c r="AO49">
        <v>25</v>
      </c>
      <c r="AP49">
        <v>1600</v>
      </c>
      <c r="AQ49" t="s">
        <v>131</v>
      </c>
      <c r="AR49">
        <v>64</v>
      </c>
      <c r="AS49">
        <v>11</v>
      </c>
      <c r="AT49">
        <v>64</v>
      </c>
      <c r="BB49" t="str">
        <f t="shared" si="3"/>
        <v>1200</v>
      </c>
      <c r="BC49">
        <v>1</v>
      </c>
      <c r="BD49" t="str">
        <f t="shared" si="4"/>
        <v xml:space="preserve">N52156  </v>
      </c>
      <c r="BE49">
        <v>1</v>
      </c>
      <c r="BG49">
        <v>0</v>
      </c>
      <c r="BH49">
        <v>0</v>
      </c>
      <c r="BI49">
        <v>0</v>
      </c>
      <c r="BJ49">
        <v>1500</v>
      </c>
      <c r="BK49">
        <v>-100</v>
      </c>
      <c r="BL49" t="s">
        <v>139</v>
      </c>
      <c r="BM49">
        <v>1</v>
      </c>
      <c r="BN49">
        <v>1</v>
      </c>
      <c r="BO49">
        <v>0</v>
      </c>
      <c r="BP49">
        <v>0</v>
      </c>
      <c r="BT49">
        <v>0</v>
      </c>
      <c r="BU49">
        <v>0</v>
      </c>
      <c r="CE49" t="str">
        <f t="shared" si="19"/>
        <v>15:04:39.231</v>
      </c>
      <c r="CF49">
        <v>230688641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3</v>
      </c>
      <c r="CY49">
        <v>7</v>
      </c>
      <c r="CZ49" t="s">
        <v>133</v>
      </c>
      <c r="DA49">
        <v>275</v>
      </c>
      <c r="DB49">
        <v>0</v>
      </c>
      <c r="DC49" t="s">
        <v>134</v>
      </c>
      <c r="DD49" t="s">
        <v>135</v>
      </c>
      <c r="DG49">
        <v>3317557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"05/01/2025 15:04:41.094"</f>
        <v>05/01/2025 15:04:41.094</v>
      </c>
      <c r="C50" t="str">
        <f t="shared" si="0"/>
        <v>FFDFD3C0</v>
      </c>
      <c r="D50" t="s">
        <v>136</v>
      </c>
      <c r="E50" t="str">
        <f>"20"</f>
        <v>20</v>
      </c>
      <c r="H50">
        <v>400</v>
      </c>
      <c r="I50" t="s">
        <v>137</v>
      </c>
      <c r="J50" t="s">
        <v>138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R50" t="s">
        <v>127</v>
      </c>
      <c r="S50" t="str">
        <f t="shared" ref="S50:T55" si="20">"15:04:40.000"</f>
        <v>15:04:40.000</v>
      </c>
      <c r="T50" t="str">
        <f t="shared" si="20"/>
        <v>15:04:40.000</v>
      </c>
      <c r="U50" t="str">
        <f t="shared" si="2"/>
        <v>A68FCB</v>
      </c>
      <c r="V50">
        <v>0</v>
      </c>
      <c r="W50">
        <v>0</v>
      </c>
      <c r="X50">
        <v>2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128</v>
      </c>
      <c r="AG50">
        <v>0</v>
      </c>
      <c r="AH50">
        <v>3</v>
      </c>
      <c r="AI50">
        <v>1</v>
      </c>
      <c r="AJ50">
        <v>0</v>
      </c>
      <c r="AK50" t="s">
        <v>162</v>
      </c>
      <c r="AL50">
        <v>38.954729999999998</v>
      </c>
      <c r="AM50" t="s">
        <v>163</v>
      </c>
      <c r="AN50">
        <v>-121.081953</v>
      </c>
      <c r="AO50">
        <v>25</v>
      </c>
      <c r="AP50">
        <v>1600</v>
      </c>
      <c r="AQ50" t="s">
        <v>131</v>
      </c>
      <c r="AR50">
        <v>59</v>
      </c>
      <c r="AS50">
        <v>-2</v>
      </c>
      <c r="AT50">
        <v>704</v>
      </c>
      <c r="BB50" t="str">
        <f t="shared" si="3"/>
        <v>1200</v>
      </c>
      <c r="BC50">
        <v>1</v>
      </c>
      <c r="BD50" t="str">
        <f t="shared" si="4"/>
        <v xml:space="preserve">N52156  </v>
      </c>
      <c r="BE50">
        <v>1</v>
      </c>
      <c r="BG50">
        <v>0</v>
      </c>
      <c r="BH50">
        <v>0</v>
      </c>
      <c r="BI50">
        <v>0</v>
      </c>
      <c r="BJ50">
        <v>1500</v>
      </c>
      <c r="BK50">
        <v>-100</v>
      </c>
      <c r="BL50" t="s">
        <v>139</v>
      </c>
      <c r="BM50">
        <v>1</v>
      </c>
      <c r="BN50">
        <v>1</v>
      </c>
      <c r="BO50">
        <v>0</v>
      </c>
      <c r="BP50">
        <v>0</v>
      </c>
      <c r="BT50">
        <v>0</v>
      </c>
      <c r="BU50">
        <v>0</v>
      </c>
      <c r="CE50" t="str">
        <f t="shared" ref="CE50:CE55" si="21">"15:04:40.854"</f>
        <v>15:04:40.854</v>
      </c>
      <c r="CF50">
        <v>854190325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4</v>
      </c>
      <c r="CY50">
        <v>7</v>
      </c>
      <c r="CZ50" t="s">
        <v>133</v>
      </c>
      <c r="DA50">
        <v>275</v>
      </c>
      <c r="DB50">
        <v>0</v>
      </c>
      <c r="DC50" t="s">
        <v>134</v>
      </c>
      <c r="DD50" t="s">
        <v>135</v>
      </c>
      <c r="DG50">
        <v>3317570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"05/01/2025 15:04:41.121"</f>
        <v>05/01/2025 15:04:41.121</v>
      </c>
      <c r="C51" t="str">
        <f t="shared" si="0"/>
        <v>FFDFD3C0</v>
      </c>
      <c r="D51" t="s">
        <v>140</v>
      </c>
      <c r="E51" t="str">
        <f>"13"</f>
        <v>13</v>
      </c>
      <c r="F51">
        <v>1019</v>
      </c>
      <c r="G51" t="s">
        <v>141</v>
      </c>
      <c r="J51" t="s">
        <v>142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R51" t="s">
        <v>127</v>
      </c>
      <c r="S51" t="str">
        <f t="shared" si="20"/>
        <v>15:04:40.000</v>
      </c>
      <c r="T51" t="str">
        <f t="shared" si="20"/>
        <v>15:04:40.000</v>
      </c>
      <c r="U51" t="str">
        <f t="shared" si="2"/>
        <v>A68FCB</v>
      </c>
      <c r="V51">
        <v>0</v>
      </c>
      <c r="W51">
        <v>0</v>
      </c>
      <c r="X51">
        <v>2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128</v>
      </c>
      <c r="AG51">
        <v>0</v>
      </c>
      <c r="AH51">
        <v>3</v>
      </c>
      <c r="AI51">
        <v>1</v>
      </c>
      <c r="AJ51">
        <v>0</v>
      </c>
      <c r="AK51" t="s">
        <v>162</v>
      </c>
      <c r="AL51">
        <v>38.954729999999998</v>
      </c>
      <c r="AM51" t="s">
        <v>163</v>
      </c>
      <c r="AN51">
        <v>-121.081953</v>
      </c>
      <c r="AO51">
        <v>25</v>
      </c>
      <c r="AP51">
        <v>1600</v>
      </c>
      <c r="AQ51" t="s">
        <v>131</v>
      </c>
      <c r="AR51">
        <v>59</v>
      </c>
      <c r="AS51">
        <v>-2</v>
      </c>
      <c r="AT51">
        <v>704</v>
      </c>
      <c r="BB51" t="str">
        <f t="shared" si="3"/>
        <v>1200</v>
      </c>
      <c r="BC51">
        <v>1</v>
      </c>
      <c r="BD51" t="str">
        <f t="shared" si="4"/>
        <v xml:space="preserve">N52156  </v>
      </c>
      <c r="BE51">
        <v>1</v>
      </c>
      <c r="BG51">
        <v>0</v>
      </c>
      <c r="BH51">
        <v>0</v>
      </c>
      <c r="BI51">
        <v>0</v>
      </c>
      <c r="BJ51">
        <v>1500</v>
      </c>
      <c r="BK51">
        <v>-100</v>
      </c>
      <c r="BL51" t="s">
        <v>132</v>
      </c>
      <c r="BM51">
        <v>1</v>
      </c>
      <c r="BN51">
        <v>1</v>
      </c>
      <c r="BO51">
        <v>0</v>
      </c>
      <c r="BP51">
        <v>0</v>
      </c>
      <c r="BS51">
        <v>0.2</v>
      </c>
      <c r="BT51">
        <v>0</v>
      </c>
      <c r="BU51">
        <v>0</v>
      </c>
      <c r="CE51" t="str">
        <f t="shared" si="21"/>
        <v>15:04:40.854</v>
      </c>
      <c r="CF51">
        <v>854190325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4</v>
      </c>
      <c r="CY51">
        <v>7</v>
      </c>
      <c r="CZ51" t="s">
        <v>133</v>
      </c>
      <c r="DA51">
        <v>275</v>
      </c>
      <c r="DB51">
        <v>0</v>
      </c>
      <c r="DC51" t="s">
        <v>134</v>
      </c>
      <c r="DD51" t="s">
        <v>135</v>
      </c>
      <c r="DG51">
        <v>3317570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"05/01/2025 15:04:41.126"</f>
        <v>05/01/2025 15:04:41.126</v>
      </c>
      <c r="C52" t="str">
        <f t="shared" si="0"/>
        <v>FFDFD3C0</v>
      </c>
      <c r="D52" t="s">
        <v>143</v>
      </c>
      <c r="E52" t="str">
        <f>"05"</f>
        <v>05</v>
      </c>
      <c r="H52">
        <v>172</v>
      </c>
      <c r="I52" t="s">
        <v>141</v>
      </c>
      <c r="J52" t="s">
        <v>144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R52" t="s">
        <v>127</v>
      </c>
      <c r="S52" t="str">
        <f t="shared" si="20"/>
        <v>15:04:40.000</v>
      </c>
      <c r="T52" t="str">
        <f t="shared" si="20"/>
        <v>15:04:40.000</v>
      </c>
      <c r="U52" t="str">
        <f t="shared" si="2"/>
        <v>A68FCB</v>
      </c>
      <c r="V52">
        <v>0</v>
      </c>
      <c r="W52">
        <v>0</v>
      </c>
      <c r="X52">
        <v>2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128</v>
      </c>
      <c r="AG52">
        <v>0</v>
      </c>
      <c r="AH52">
        <v>3</v>
      </c>
      <c r="AI52">
        <v>1</v>
      </c>
      <c r="AJ52">
        <v>0</v>
      </c>
      <c r="AK52" t="s">
        <v>162</v>
      </c>
      <c r="AL52">
        <v>38.954729999999998</v>
      </c>
      <c r="AM52" t="s">
        <v>163</v>
      </c>
      <c r="AN52">
        <v>-121.081953</v>
      </c>
      <c r="AO52">
        <v>25</v>
      </c>
      <c r="AP52">
        <v>1600</v>
      </c>
      <c r="AQ52" t="s">
        <v>131</v>
      </c>
      <c r="AR52">
        <v>59</v>
      </c>
      <c r="AS52">
        <v>-2</v>
      </c>
      <c r="AT52">
        <v>704</v>
      </c>
      <c r="BB52" t="str">
        <f t="shared" si="3"/>
        <v>1200</v>
      </c>
      <c r="BC52">
        <v>1</v>
      </c>
      <c r="BD52" t="str">
        <f t="shared" si="4"/>
        <v xml:space="preserve">N52156  </v>
      </c>
      <c r="BE52">
        <v>1</v>
      </c>
      <c r="BG52">
        <v>0</v>
      </c>
      <c r="BH52">
        <v>0</v>
      </c>
      <c r="BI52">
        <v>0</v>
      </c>
      <c r="BJ52">
        <v>1500</v>
      </c>
      <c r="BK52">
        <v>-100</v>
      </c>
      <c r="BL52" t="s">
        <v>139</v>
      </c>
      <c r="BM52">
        <v>1</v>
      </c>
      <c r="BN52">
        <v>1</v>
      </c>
      <c r="BO52">
        <v>0</v>
      </c>
      <c r="BP52">
        <v>0</v>
      </c>
      <c r="BT52">
        <v>0</v>
      </c>
      <c r="BU52">
        <v>0</v>
      </c>
      <c r="CE52" t="str">
        <f t="shared" si="21"/>
        <v>15:04:40.854</v>
      </c>
      <c r="CF52">
        <v>854190325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4</v>
      </c>
      <c r="CY52">
        <v>7</v>
      </c>
      <c r="CZ52" t="s">
        <v>133</v>
      </c>
      <c r="DA52">
        <v>275</v>
      </c>
      <c r="DB52">
        <v>0</v>
      </c>
      <c r="DC52" t="s">
        <v>134</v>
      </c>
      <c r="DD52" t="s">
        <v>135</v>
      </c>
      <c r="DG52">
        <v>3317570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"05/01/2025 15:04:41.132"</f>
        <v>05/01/2025 15:04:41.132</v>
      </c>
      <c r="C53" t="str">
        <f t="shared" si="0"/>
        <v>FFDFD3C0</v>
      </c>
      <c r="D53" t="s">
        <v>145</v>
      </c>
      <c r="E53" t="str">
        <f>"05"</f>
        <v>05</v>
      </c>
      <c r="H53">
        <v>47</v>
      </c>
      <c r="I53" t="s">
        <v>146</v>
      </c>
      <c r="J53" t="s">
        <v>138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R53" t="s">
        <v>127</v>
      </c>
      <c r="S53" t="str">
        <f t="shared" si="20"/>
        <v>15:04:40.000</v>
      </c>
      <c r="T53" t="str">
        <f t="shared" si="20"/>
        <v>15:04:40.000</v>
      </c>
      <c r="U53" t="str">
        <f t="shared" si="2"/>
        <v>A68FCB</v>
      </c>
      <c r="V53">
        <v>0</v>
      </c>
      <c r="W53">
        <v>0</v>
      </c>
      <c r="X53">
        <v>2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128</v>
      </c>
      <c r="AG53">
        <v>0</v>
      </c>
      <c r="AH53">
        <v>3</v>
      </c>
      <c r="AI53">
        <v>1</v>
      </c>
      <c r="AJ53">
        <v>0</v>
      </c>
      <c r="AK53" t="s">
        <v>162</v>
      </c>
      <c r="AL53">
        <v>38.954729999999998</v>
      </c>
      <c r="AM53" t="s">
        <v>163</v>
      </c>
      <c r="AN53">
        <v>-121.081953</v>
      </c>
      <c r="AO53">
        <v>25</v>
      </c>
      <c r="AP53">
        <v>1600</v>
      </c>
      <c r="AQ53" t="s">
        <v>131</v>
      </c>
      <c r="AR53">
        <v>59</v>
      </c>
      <c r="AS53">
        <v>-2</v>
      </c>
      <c r="AT53">
        <v>704</v>
      </c>
      <c r="BB53" t="str">
        <f t="shared" si="3"/>
        <v>1200</v>
      </c>
      <c r="BC53">
        <v>1</v>
      </c>
      <c r="BD53" t="str">
        <f t="shared" si="4"/>
        <v xml:space="preserve">N52156  </v>
      </c>
      <c r="BE53">
        <v>1</v>
      </c>
      <c r="BG53">
        <v>0</v>
      </c>
      <c r="BH53">
        <v>0</v>
      </c>
      <c r="BI53">
        <v>0</v>
      </c>
      <c r="BJ53">
        <v>1500</v>
      </c>
      <c r="BK53">
        <v>-100</v>
      </c>
      <c r="BL53" t="s">
        <v>139</v>
      </c>
      <c r="BM53">
        <v>1</v>
      </c>
      <c r="BN53">
        <v>1</v>
      </c>
      <c r="BO53">
        <v>0</v>
      </c>
      <c r="BP53">
        <v>0</v>
      </c>
      <c r="BT53">
        <v>0</v>
      </c>
      <c r="BU53">
        <v>0</v>
      </c>
      <c r="CE53" t="str">
        <f t="shared" si="21"/>
        <v>15:04:40.854</v>
      </c>
      <c r="CF53">
        <v>854190325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4</v>
      </c>
      <c r="CY53">
        <v>7</v>
      </c>
      <c r="CZ53" t="s">
        <v>133</v>
      </c>
      <c r="DA53">
        <v>275</v>
      </c>
      <c r="DB53">
        <v>0</v>
      </c>
      <c r="DC53" t="s">
        <v>134</v>
      </c>
      <c r="DD53" t="s">
        <v>135</v>
      </c>
      <c r="DG53">
        <v>3317570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"05/01/2025 15:04:41.134"</f>
        <v>05/01/2025 15:04:41.134</v>
      </c>
      <c r="C54" t="str">
        <f t="shared" si="0"/>
        <v>FFDFD3C0</v>
      </c>
      <c r="D54" t="s">
        <v>124</v>
      </c>
      <c r="E54" t="str">
        <f>"06"</f>
        <v>06</v>
      </c>
      <c r="F54">
        <v>2006</v>
      </c>
      <c r="G54" t="s">
        <v>125</v>
      </c>
      <c r="J54" t="s">
        <v>126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R54" t="s">
        <v>127</v>
      </c>
      <c r="S54" t="str">
        <f t="shared" si="20"/>
        <v>15:04:40.000</v>
      </c>
      <c r="T54" t="str">
        <f t="shared" si="20"/>
        <v>15:04:40.000</v>
      </c>
      <c r="U54" t="str">
        <f t="shared" si="2"/>
        <v>A68FCB</v>
      </c>
      <c r="V54">
        <v>0</v>
      </c>
      <c r="W54">
        <v>0</v>
      </c>
      <c r="X54">
        <v>2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128</v>
      </c>
      <c r="AG54">
        <v>0</v>
      </c>
      <c r="AH54">
        <v>3</v>
      </c>
      <c r="AI54">
        <v>1</v>
      </c>
      <c r="AJ54">
        <v>0</v>
      </c>
      <c r="AK54" t="s">
        <v>162</v>
      </c>
      <c r="AL54">
        <v>38.954729999999998</v>
      </c>
      <c r="AM54" t="s">
        <v>163</v>
      </c>
      <c r="AN54">
        <v>-121.081953</v>
      </c>
      <c r="AO54">
        <v>25</v>
      </c>
      <c r="AP54">
        <v>1600</v>
      </c>
      <c r="AQ54" t="s">
        <v>131</v>
      </c>
      <c r="AR54">
        <v>59</v>
      </c>
      <c r="AS54">
        <v>-2</v>
      </c>
      <c r="AT54">
        <v>704</v>
      </c>
      <c r="BB54" t="str">
        <f t="shared" si="3"/>
        <v>1200</v>
      </c>
      <c r="BC54">
        <v>1</v>
      </c>
      <c r="BD54" t="str">
        <f t="shared" si="4"/>
        <v xml:space="preserve">N52156  </v>
      </c>
      <c r="BE54">
        <v>1</v>
      </c>
      <c r="BG54">
        <v>0</v>
      </c>
      <c r="BH54">
        <v>0</v>
      </c>
      <c r="BI54">
        <v>0</v>
      </c>
      <c r="BJ54">
        <v>1500</v>
      </c>
      <c r="BK54">
        <v>-100</v>
      </c>
      <c r="BL54" t="s">
        <v>132</v>
      </c>
      <c r="BM54">
        <v>1</v>
      </c>
      <c r="BN54">
        <v>1</v>
      </c>
      <c r="BO54">
        <v>0</v>
      </c>
      <c r="BP54">
        <v>0</v>
      </c>
      <c r="BS54">
        <v>0.2</v>
      </c>
      <c r="BT54">
        <v>0</v>
      </c>
      <c r="BU54">
        <v>0</v>
      </c>
      <c r="CE54" t="str">
        <f t="shared" si="21"/>
        <v>15:04:40.854</v>
      </c>
      <c r="CF54">
        <v>854190325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4</v>
      </c>
      <c r="CY54">
        <v>7</v>
      </c>
      <c r="CZ54" t="s">
        <v>133</v>
      </c>
      <c r="DA54">
        <v>275</v>
      </c>
      <c r="DB54">
        <v>0</v>
      </c>
      <c r="DC54" t="s">
        <v>134</v>
      </c>
      <c r="DD54" t="s">
        <v>135</v>
      </c>
      <c r="DG54">
        <v>3317570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"05/01/2025 15:04:41.132"</f>
        <v>05/01/2025 15:04:41.132</v>
      </c>
      <c r="C55" t="str">
        <f t="shared" si="0"/>
        <v>FFDFD3C0</v>
      </c>
      <c r="D55" t="s">
        <v>145</v>
      </c>
      <c r="E55" t="str">
        <f>"09"</f>
        <v>09</v>
      </c>
      <c r="H55">
        <v>51</v>
      </c>
      <c r="I55" t="s">
        <v>147</v>
      </c>
      <c r="J55" t="s">
        <v>138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R55" t="s">
        <v>127</v>
      </c>
      <c r="S55" t="str">
        <f t="shared" si="20"/>
        <v>15:04:40.000</v>
      </c>
      <c r="T55" t="str">
        <f t="shared" si="20"/>
        <v>15:04:40.000</v>
      </c>
      <c r="U55" t="str">
        <f t="shared" si="2"/>
        <v>A68FCB</v>
      </c>
      <c r="V55">
        <v>0</v>
      </c>
      <c r="W55">
        <v>0</v>
      </c>
      <c r="X55">
        <v>2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128</v>
      </c>
      <c r="AG55">
        <v>0</v>
      </c>
      <c r="AH55">
        <v>3</v>
      </c>
      <c r="AI55">
        <v>1</v>
      </c>
      <c r="AJ55">
        <v>0</v>
      </c>
      <c r="AK55" t="s">
        <v>162</v>
      </c>
      <c r="AL55">
        <v>38.954729999999998</v>
      </c>
      <c r="AM55" t="s">
        <v>163</v>
      </c>
      <c r="AN55">
        <v>-121.081953</v>
      </c>
      <c r="AO55">
        <v>25</v>
      </c>
      <c r="AP55">
        <v>1600</v>
      </c>
      <c r="AQ55" t="s">
        <v>131</v>
      </c>
      <c r="AR55">
        <v>59</v>
      </c>
      <c r="AS55">
        <v>-2</v>
      </c>
      <c r="AT55">
        <v>704</v>
      </c>
      <c r="BB55" t="str">
        <f t="shared" si="3"/>
        <v>1200</v>
      </c>
      <c r="BC55">
        <v>1</v>
      </c>
      <c r="BD55" t="str">
        <f t="shared" si="4"/>
        <v xml:space="preserve">N52156  </v>
      </c>
      <c r="BE55">
        <v>1</v>
      </c>
      <c r="BG55">
        <v>0</v>
      </c>
      <c r="BH55">
        <v>0</v>
      </c>
      <c r="BI55">
        <v>0</v>
      </c>
      <c r="BJ55">
        <v>1500</v>
      </c>
      <c r="BK55">
        <v>-100</v>
      </c>
      <c r="BL55" t="s">
        <v>139</v>
      </c>
      <c r="BM55">
        <v>1</v>
      </c>
      <c r="BN55">
        <v>1</v>
      </c>
      <c r="BO55">
        <v>0</v>
      </c>
      <c r="BP55">
        <v>0</v>
      </c>
      <c r="BT55">
        <v>0</v>
      </c>
      <c r="BU55">
        <v>0</v>
      </c>
      <c r="CE55" t="str">
        <f t="shared" si="21"/>
        <v>15:04:40.854</v>
      </c>
      <c r="CF55">
        <v>854190325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4</v>
      </c>
      <c r="CY55">
        <v>7</v>
      </c>
      <c r="CZ55" t="s">
        <v>133</v>
      </c>
      <c r="DA55">
        <v>275</v>
      </c>
      <c r="DB55">
        <v>0</v>
      </c>
      <c r="DC55" t="s">
        <v>134</v>
      </c>
      <c r="DD55" t="s">
        <v>135</v>
      </c>
      <c r="DG55">
        <v>3317570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"05/01/2025 15:04:41.672"</f>
        <v>05/01/2025 15:04:41.672</v>
      </c>
      <c r="C56" t="str">
        <f t="shared" si="0"/>
        <v>FFDFD3C0</v>
      </c>
      <c r="D56" t="s">
        <v>140</v>
      </c>
      <c r="E56" t="str">
        <f>"13"</f>
        <v>13</v>
      </c>
      <c r="F56">
        <v>1019</v>
      </c>
      <c r="G56" t="s">
        <v>141</v>
      </c>
      <c r="J56" t="s">
        <v>142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R56" t="s">
        <v>127</v>
      </c>
      <c r="S56" t="str">
        <f t="shared" ref="S56:T61" si="22">"15:04:41.000"</f>
        <v>15:04:41.000</v>
      </c>
      <c r="T56" t="str">
        <f t="shared" si="22"/>
        <v>15:04:41.000</v>
      </c>
      <c r="U56" t="str">
        <f t="shared" si="2"/>
        <v>A68FCB</v>
      </c>
      <c r="V56">
        <v>0</v>
      </c>
      <c r="W56">
        <v>0</v>
      </c>
      <c r="X56">
        <v>2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128</v>
      </c>
      <c r="AG56">
        <v>0</v>
      </c>
      <c r="AH56">
        <v>3</v>
      </c>
      <c r="AI56">
        <v>1</v>
      </c>
      <c r="AJ56">
        <v>0</v>
      </c>
      <c r="AK56" t="s">
        <v>164</v>
      </c>
      <c r="AL56">
        <v>38.954751000000002</v>
      </c>
      <c r="AM56" t="s">
        <v>165</v>
      </c>
      <c r="AN56">
        <v>-121.08161</v>
      </c>
      <c r="AO56">
        <v>25</v>
      </c>
      <c r="AP56">
        <v>1600</v>
      </c>
      <c r="AQ56" t="s">
        <v>131</v>
      </c>
      <c r="AR56">
        <v>55</v>
      </c>
      <c r="AS56">
        <v>-13</v>
      </c>
      <c r="AT56">
        <v>1600</v>
      </c>
      <c r="BB56" t="str">
        <f t="shared" si="3"/>
        <v>1200</v>
      </c>
      <c r="BC56">
        <v>1</v>
      </c>
      <c r="BD56" t="str">
        <f t="shared" si="4"/>
        <v xml:space="preserve">N52156  </v>
      </c>
      <c r="BE56">
        <v>1</v>
      </c>
      <c r="BG56">
        <v>0</v>
      </c>
      <c r="BH56">
        <v>0</v>
      </c>
      <c r="BI56">
        <v>0</v>
      </c>
      <c r="BJ56">
        <v>1525</v>
      </c>
      <c r="BK56">
        <v>-75</v>
      </c>
      <c r="BL56" t="s">
        <v>132</v>
      </c>
      <c r="BM56">
        <v>1</v>
      </c>
      <c r="BN56">
        <v>1</v>
      </c>
      <c r="BO56">
        <v>0</v>
      </c>
      <c r="BP56">
        <v>0</v>
      </c>
      <c r="BS56">
        <v>0.36</v>
      </c>
      <c r="BT56">
        <v>0</v>
      </c>
      <c r="BU56">
        <v>0</v>
      </c>
      <c r="CE56" t="str">
        <f t="shared" ref="CE56:CE61" si="23">"15:04:41.423"</f>
        <v>15:04:41.423</v>
      </c>
      <c r="CF56">
        <v>423189316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4</v>
      </c>
      <c r="CY56">
        <v>7</v>
      </c>
      <c r="CZ56" t="s">
        <v>133</v>
      </c>
      <c r="DA56">
        <v>275</v>
      </c>
      <c r="DB56">
        <v>0</v>
      </c>
      <c r="DC56" t="s">
        <v>134</v>
      </c>
      <c r="DD56" t="s">
        <v>135</v>
      </c>
      <c r="DG56">
        <v>3317576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"05/01/2025 15:04:41.677"</f>
        <v>05/01/2025 15:04:41.677</v>
      </c>
      <c r="C57" t="str">
        <f t="shared" si="0"/>
        <v>FFDFD3C0</v>
      </c>
      <c r="D57" t="s">
        <v>143</v>
      </c>
      <c r="E57" t="str">
        <f>"05"</f>
        <v>05</v>
      </c>
      <c r="H57">
        <v>172</v>
      </c>
      <c r="I57" t="s">
        <v>141</v>
      </c>
      <c r="J57" t="s">
        <v>144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R57" t="s">
        <v>127</v>
      </c>
      <c r="S57" t="str">
        <f t="shared" si="22"/>
        <v>15:04:41.000</v>
      </c>
      <c r="T57" t="str">
        <f t="shared" si="22"/>
        <v>15:04:41.000</v>
      </c>
      <c r="U57" t="str">
        <f t="shared" si="2"/>
        <v>A68FCB</v>
      </c>
      <c r="V57">
        <v>0</v>
      </c>
      <c r="W57">
        <v>0</v>
      </c>
      <c r="X57">
        <v>2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128</v>
      </c>
      <c r="AG57">
        <v>0</v>
      </c>
      <c r="AH57">
        <v>3</v>
      </c>
      <c r="AI57">
        <v>1</v>
      </c>
      <c r="AJ57">
        <v>0</v>
      </c>
      <c r="AK57" t="s">
        <v>164</v>
      </c>
      <c r="AL57">
        <v>38.954751000000002</v>
      </c>
      <c r="AM57" t="s">
        <v>165</v>
      </c>
      <c r="AN57">
        <v>-121.08161</v>
      </c>
      <c r="AO57">
        <v>25</v>
      </c>
      <c r="AP57">
        <v>1600</v>
      </c>
      <c r="AQ57" t="s">
        <v>131</v>
      </c>
      <c r="AR57">
        <v>55</v>
      </c>
      <c r="AS57">
        <v>-13</v>
      </c>
      <c r="AT57">
        <v>1600</v>
      </c>
      <c r="BB57" t="str">
        <f t="shared" si="3"/>
        <v>1200</v>
      </c>
      <c r="BC57">
        <v>1</v>
      </c>
      <c r="BD57" t="str">
        <f t="shared" si="4"/>
        <v xml:space="preserve">N52156  </v>
      </c>
      <c r="BE57">
        <v>1</v>
      </c>
      <c r="BG57">
        <v>0</v>
      </c>
      <c r="BH57">
        <v>0</v>
      </c>
      <c r="BI57">
        <v>0</v>
      </c>
      <c r="BJ57">
        <v>1525</v>
      </c>
      <c r="BK57">
        <v>-75</v>
      </c>
      <c r="BL57" t="s">
        <v>132</v>
      </c>
      <c r="BM57">
        <v>1</v>
      </c>
      <c r="BN57">
        <v>1</v>
      </c>
      <c r="BO57">
        <v>0</v>
      </c>
      <c r="BP57">
        <v>0</v>
      </c>
      <c r="BS57">
        <v>0.36</v>
      </c>
      <c r="BT57">
        <v>0</v>
      </c>
      <c r="BU57">
        <v>0</v>
      </c>
      <c r="CE57" t="str">
        <f t="shared" si="23"/>
        <v>15:04:41.423</v>
      </c>
      <c r="CF57">
        <v>423189316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4</v>
      </c>
      <c r="CY57">
        <v>7</v>
      </c>
      <c r="CZ57" t="s">
        <v>133</v>
      </c>
      <c r="DA57">
        <v>275</v>
      </c>
      <c r="DB57">
        <v>0</v>
      </c>
      <c r="DC57" t="s">
        <v>134</v>
      </c>
      <c r="DD57" t="s">
        <v>135</v>
      </c>
      <c r="DG57">
        <v>3317576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"05/01/2025 15:04:41.683"</f>
        <v>05/01/2025 15:04:41.683</v>
      </c>
      <c r="C58" t="str">
        <f t="shared" si="0"/>
        <v>FFDFD3C0</v>
      </c>
      <c r="D58" t="s">
        <v>145</v>
      </c>
      <c r="E58" t="str">
        <f>"05"</f>
        <v>05</v>
      </c>
      <c r="H58">
        <v>47</v>
      </c>
      <c r="I58" t="s">
        <v>146</v>
      </c>
      <c r="J58" t="s">
        <v>138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R58" t="s">
        <v>127</v>
      </c>
      <c r="S58" t="str">
        <f t="shared" si="22"/>
        <v>15:04:41.000</v>
      </c>
      <c r="T58" t="str">
        <f t="shared" si="22"/>
        <v>15:04:41.000</v>
      </c>
      <c r="U58" t="str">
        <f t="shared" si="2"/>
        <v>A68FCB</v>
      </c>
      <c r="V58">
        <v>0</v>
      </c>
      <c r="W58">
        <v>0</v>
      </c>
      <c r="X58">
        <v>2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128</v>
      </c>
      <c r="AG58">
        <v>0</v>
      </c>
      <c r="AH58">
        <v>3</v>
      </c>
      <c r="AI58">
        <v>1</v>
      </c>
      <c r="AJ58">
        <v>0</v>
      </c>
      <c r="AK58" t="s">
        <v>164</v>
      </c>
      <c r="AL58">
        <v>38.954751000000002</v>
      </c>
      <c r="AM58" t="s">
        <v>165</v>
      </c>
      <c r="AN58">
        <v>-121.08161</v>
      </c>
      <c r="AO58">
        <v>25</v>
      </c>
      <c r="AP58">
        <v>1600</v>
      </c>
      <c r="AQ58" t="s">
        <v>131</v>
      </c>
      <c r="AR58">
        <v>55</v>
      </c>
      <c r="AS58">
        <v>-13</v>
      </c>
      <c r="AT58">
        <v>1600</v>
      </c>
      <c r="BB58" t="str">
        <f t="shared" si="3"/>
        <v>1200</v>
      </c>
      <c r="BC58">
        <v>1</v>
      </c>
      <c r="BD58" t="str">
        <f t="shared" si="4"/>
        <v xml:space="preserve">N52156  </v>
      </c>
      <c r="BE58">
        <v>1</v>
      </c>
      <c r="BG58">
        <v>0</v>
      </c>
      <c r="BH58">
        <v>0</v>
      </c>
      <c r="BI58">
        <v>0</v>
      </c>
      <c r="BJ58">
        <v>1525</v>
      </c>
      <c r="BK58">
        <v>-75</v>
      </c>
      <c r="BL58" t="s">
        <v>132</v>
      </c>
      <c r="BM58">
        <v>1</v>
      </c>
      <c r="BN58">
        <v>1</v>
      </c>
      <c r="BO58">
        <v>0</v>
      </c>
      <c r="BP58">
        <v>0</v>
      </c>
      <c r="BS58">
        <v>0.36</v>
      </c>
      <c r="BT58">
        <v>0</v>
      </c>
      <c r="BU58">
        <v>0</v>
      </c>
      <c r="CE58" t="str">
        <f t="shared" si="23"/>
        <v>15:04:41.423</v>
      </c>
      <c r="CF58">
        <v>423189316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4</v>
      </c>
      <c r="CY58">
        <v>7</v>
      </c>
      <c r="CZ58" t="s">
        <v>133</v>
      </c>
      <c r="DA58">
        <v>275</v>
      </c>
      <c r="DB58">
        <v>0</v>
      </c>
      <c r="DC58" t="s">
        <v>134</v>
      </c>
      <c r="DD58" t="s">
        <v>135</v>
      </c>
      <c r="DG58">
        <v>3317576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"05/01/2025 15:04:41.683"</f>
        <v>05/01/2025 15:04:41.683</v>
      </c>
      <c r="C59" t="str">
        <f t="shared" si="0"/>
        <v>FFDFD3C0</v>
      </c>
      <c r="D59" t="s">
        <v>145</v>
      </c>
      <c r="E59" t="str">
        <f>"09"</f>
        <v>09</v>
      </c>
      <c r="H59">
        <v>51</v>
      </c>
      <c r="I59" t="s">
        <v>147</v>
      </c>
      <c r="J59" t="s">
        <v>138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R59" t="s">
        <v>127</v>
      </c>
      <c r="S59" t="str">
        <f t="shared" si="22"/>
        <v>15:04:41.000</v>
      </c>
      <c r="T59" t="str">
        <f t="shared" si="22"/>
        <v>15:04:41.000</v>
      </c>
      <c r="U59" t="str">
        <f t="shared" si="2"/>
        <v>A68FCB</v>
      </c>
      <c r="V59">
        <v>0</v>
      </c>
      <c r="W59">
        <v>0</v>
      </c>
      <c r="X59">
        <v>2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128</v>
      </c>
      <c r="AG59">
        <v>0</v>
      </c>
      <c r="AH59">
        <v>3</v>
      </c>
      <c r="AI59">
        <v>1</v>
      </c>
      <c r="AJ59">
        <v>0</v>
      </c>
      <c r="AK59" t="s">
        <v>164</v>
      </c>
      <c r="AL59">
        <v>38.954751000000002</v>
      </c>
      <c r="AM59" t="s">
        <v>165</v>
      </c>
      <c r="AN59">
        <v>-121.08161</v>
      </c>
      <c r="AO59">
        <v>25</v>
      </c>
      <c r="AP59">
        <v>1600</v>
      </c>
      <c r="AQ59" t="s">
        <v>131</v>
      </c>
      <c r="AR59">
        <v>55</v>
      </c>
      <c r="AS59">
        <v>-13</v>
      </c>
      <c r="AT59">
        <v>1600</v>
      </c>
      <c r="BB59" t="str">
        <f t="shared" si="3"/>
        <v>1200</v>
      </c>
      <c r="BC59">
        <v>1</v>
      </c>
      <c r="BD59" t="str">
        <f t="shared" si="4"/>
        <v xml:space="preserve">N52156  </v>
      </c>
      <c r="BE59">
        <v>1</v>
      </c>
      <c r="BG59">
        <v>0</v>
      </c>
      <c r="BH59">
        <v>0</v>
      </c>
      <c r="BI59">
        <v>0</v>
      </c>
      <c r="BJ59">
        <v>1525</v>
      </c>
      <c r="BK59">
        <v>-75</v>
      </c>
      <c r="BL59" t="s">
        <v>132</v>
      </c>
      <c r="BM59">
        <v>1</v>
      </c>
      <c r="BN59">
        <v>1</v>
      </c>
      <c r="BO59">
        <v>0</v>
      </c>
      <c r="BP59">
        <v>0</v>
      </c>
      <c r="BS59">
        <v>0.36</v>
      </c>
      <c r="BT59">
        <v>0</v>
      </c>
      <c r="BU59">
        <v>0</v>
      </c>
      <c r="CE59" t="str">
        <f t="shared" si="23"/>
        <v>15:04:41.423</v>
      </c>
      <c r="CF59">
        <v>423189316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4</v>
      </c>
      <c r="CY59">
        <v>7</v>
      </c>
      <c r="CZ59" t="s">
        <v>133</v>
      </c>
      <c r="DA59">
        <v>275</v>
      </c>
      <c r="DB59">
        <v>0</v>
      </c>
      <c r="DC59" t="s">
        <v>134</v>
      </c>
      <c r="DD59" t="s">
        <v>135</v>
      </c>
      <c r="DG59">
        <v>3317576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"05/01/2025 15:04:41.685"</f>
        <v>05/01/2025 15:04:41.685</v>
      </c>
      <c r="C60" t="str">
        <f t="shared" si="0"/>
        <v>FFDFD3C0</v>
      </c>
      <c r="D60" t="s">
        <v>124</v>
      </c>
      <c r="E60" t="str">
        <f>"06"</f>
        <v>06</v>
      </c>
      <c r="F60">
        <v>2006</v>
      </c>
      <c r="G60" t="s">
        <v>125</v>
      </c>
      <c r="J60" t="s">
        <v>126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R60" t="s">
        <v>127</v>
      </c>
      <c r="S60" t="str">
        <f t="shared" si="22"/>
        <v>15:04:41.000</v>
      </c>
      <c r="T60" t="str">
        <f t="shared" si="22"/>
        <v>15:04:41.000</v>
      </c>
      <c r="U60" t="str">
        <f t="shared" si="2"/>
        <v>A68FCB</v>
      </c>
      <c r="V60">
        <v>0</v>
      </c>
      <c r="W60">
        <v>0</v>
      </c>
      <c r="X60">
        <v>2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128</v>
      </c>
      <c r="AG60">
        <v>0</v>
      </c>
      <c r="AH60">
        <v>3</v>
      </c>
      <c r="AI60">
        <v>1</v>
      </c>
      <c r="AJ60">
        <v>0</v>
      </c>
      <c r="AK60" t="s">
        <v>164</v>
      </c>
      <c r="AL60">
        <v>38.954751000000002</v>
      </c>
      <c r="AM60" t="s">
        <v>165</v>
      </c>
      <c r="AN60">
        <v>-121.08161</v>
      </c>
      <c r="AO60">
        <v>25</v>
      </c>
      <c r="AP60">
        <v>1600</v>
      </c>
      <c r="AQ60" t="s">
        <v>131</v>
      </c>
      <c r="AR60">
        <v>55</v>
      </c>
      <c r="AS60">
        <v>-13</v>
      </c>
      <c r="AT60">
        <v>1600</v>
      </c>
      <c r="BB60" t="str">
        <f t="shared" si="3"/>
        <v>1200</v>
      </c>
      <c r="BC60">
        <v>1</v>
      </c>
      <c r="BD60" t="str">
        <f t="shared" si="4"/>
        <v xml:space="preserve">N52156  </v>
      </c>
      <c r="BE60">
        <v>1</v>
      </c>
      <c r="BG60">
        <v>0</v>
      </c>
      <c r="BH60">
        <v>0</v>
      </c>
      <c r="BI60">
        <v>0</v>
      </c>
      <c r="BJ60">
        <v>1525</v>
      </c>
      <c r="BK60">
        <v>-75</v>
      </c>
      <c r="BL60" t="s">
        <v>132</v>
      </c>
      <c r="BM60">
        <v>1</v>
      </c>
      <c r="BN60">
        <v>1</v>
      </c>
      <c r="BO60">
        <v>0</v>
      </c>
      <c r="BP60">
        <v>0</v>
      </c>
      <c r="BS60">
        <v>0.36</v>
      </c>
      <c r="BT60">
        <v>0</v>
      </c>
      <c r="BU60">
        <v>0</v>
      </c>
      <c r="CE60" t="str">
        <f t="shared" si="23"/>
        <v>15:04:41.423</v>
      </c>
      <c r="CF60">
        <v>423189316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4</v>
      </c>
      <c r="CY60">
        <v>7</v>
      </c>
      <c r="CZ60" t="s">
        <v>133</v>
      </c>
      <c r="DA60">
        <v>275</v>
      </c>
      <c r="DB60">
        <v>0</v>
      </c>
      <c r="DC60" t="s">
        <v>134</v>
      </c>
      <c r="DD60" t="s">
        <v>135</v>
      </c>
      <c r="DG60">
        <v>3317576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"05/01/2025 15:04:41.695"</f>
        <v>05/01/2025 15:04:41.695</v>
      </c>
      <c r="C61" t="str">
        <f t="shared" si="0"/>
        <v>FFDFD3C0</v>
      </c>
      <c r="D61" t="s">
        <v>136</v>
      </c>
      <c r="E61" t="str">
        <f>"20"</f>
        <v>20</v>
      </c>
      <c r="H61">
        <v>400</v>
      </c>
      <c r="I61" t="s">
        <v>137</v>
      </c>
      <c r="J61" t="s">
        <v>138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R61" t="s">
        <v>127</v>
      </c>
      <c r="S61" t="str">
        <f t="shared" si="22"/>
        <v>15:04:41.000</v>
      </c>
      <c r="T61" t="str">
        <f t="shared" si="22"/>
        <v>15:04:41.000</v>
      </c>
      <c r="U61" t="str">
        <f t="shared" si="2"/>
        <v>A68FCB</v>
      </c>
      <c r="V61">
        <v>0</v>
      </c>
      <c r="W61">
        <v>0</v>
      </c>
      <c r="X61">
        <v>2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128</v>
      </c>
      <c r="AG61">
        <v>0</v>
      </c>
      <c r="AH61">
        <v>3</v>
      </c>
      <c r="AI61">
        <v>1</v>
      </c>
      <c r="AJ61">
        <v>0</v>
      </c>
      <c r="AK61" t="s">
        <v>164</v>
      </c>
      <c r="AL61">
        <v>38.954751000000002</v>
      </c>
      <c r="AM61" t="s">
        <v>165</v>
      </c>
      <c r="AN61">
        <v>-121.08161</v>
      </c>
      <c r="AO61">
        <v>25</v>
      </c>
      <c r="AP61">
        <v>1600</v>
      </c>
      <c r="AQ61" t="s">
        <v>131</v>
      </c>
      <c r="AR61">
        <v>55</v>
      </c>
      <c r="AS61">
        <v>-13</v>
      </c>
      <c r="AT61">
        <v>1600</v>
      </c>
      <c r="BB61" t="str">
        <f t="shared" si="3"/>
        <v>1200</v>
      </c>
      <c r="BC61">
        <v>1</v>
      </c>
      <c r="BD61" t="str">
        <f t="shared" si="4"/>
        <v xml:space="preserve">N52156  </v>
      </c>
      <c r="BE61">
        <v>1</v>
      </c>
      <c r="BG61">
        <v>0</v>
      </c>
      <c r="BH61">
        <v>0</v>
      </c>
      <c r="BI61">
        <v>0</v>
      </c>
      <c r="BJ61">
        <v>1525</v>
      </c>
      <c r="BK61">
        <v>-75</v>
      </c>
      <c r="BL61" t="s">
        <v>132</v>
      </c>
      <c r="BM61">
        <v>1</v>
      </c>
      <c r="BN61">
        <v>1</v>
      </c>
      <c r="BO61">
        <v>0</v>
      </c>
      <c r="BP61">
        <v>0</v>
      </c>
      <c r="BS61">
        <v>0.36</v>
      </c>
      <c r="BT61">
        <v>0</v>
      </c>
      <c r="BU61">
        <v>0</v>
      </c>
      <c r="CE61" t="str">
        <f t="shared" si="23"/>
        <v>15:04:41.423</v>
      </c>
      <c r="CF61">
        <v>423189316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4</v>
      </c>
      <c r="CY61">
        <v>7</v>
      </c>
      <c r="CZ61" t="s">
        <v>133</v>
      </c>
      <c r="DA61">
        <v>275</v>
      </c>
      <c r="DB61">
        <v>0</v>
      </c>
      <c r="DC61" t="s">
        <v>134</v>
      </c>
      <c r="DD61" t="s">
        <v>135</v>
      </c>
      <c r="DG61">
        <v>3317576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"05/01/2025 15:04:42.879"</f>
        <v>05/01/2025 15:04:42.879</v>
      </c>
      <c r="C62" t="str">
        <f t="shared" si="0"/>
        <v>FFDFD3C0</v>
      </c>
      <c r="D62" t="s">
        <v>143</v>
      </c>
      <c r="E62" t="str">
        <f>"05"</f>
        <v>05</v>
      </c>
      <c r="H62">
        <v>172</v>
      </c>
      <c r="I62" t="s">
        <v>141</v>
      </c>
      <c r="J62" t="s">
        <v>144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R62" t="s">
        <v>127</v>
      </c>
      <c r="S62" t="str">
        <f t="shared" ref="S62:T67" si="24">"15:04:42.000"</f>
        <v>15:04:42.000</v>
      </c>
      <c r="T62" t="str">
        <f t="shared" si="24"/>
        <v>15:04:42.000</v>
      </c>
      <c r="U62" t="str">
        <f t="shared" si="2"/>
        <v>A68FCB</v>
      </c>
      <c r="V62">
        <v>0</v>
      </c>
      <c r="W62">
        <v>0</v>
      </c>
      <c r="X62">
        <v>2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128</v>
      </c>
      <c r="AG62">
        <v>0</v>
      </c>
      <c r="AH62">
        <v>3</v>
      </c>
      <c r="AI62">
        <v>1</v>
      </c>
      <c r="AJ62">
        <v>0</v>
      </c>
      <c r="AK62" t="s">
        <v>166</v>
      </c>
      <c r="AL62">
        <v>38.954816000000001</v>
      </c>
      <c r="AM62" t="s">
        <v>167</v>
      </c>
      <c r="AN62">
        <v>-121.08122299999999</v>
      </c>
      <c r="AO62">
        <v>25</v>
      </c>
      <c r="AP62">
        <v>1600</v>
      </c>
      <c r="AQ62" t="s">
        <v>131</v>
      </c>
      <c r="AR62">
        <v>65</v>
      </c>
      <c r="AS62">
        <v>10</v>
      </c>
      <c r="AT62">
        <v>896</v>
      </c>
      <c r="BB62" t="str">
        <f t="shared" si="3"/>
        <v>1200</v>
      </c>
      <c r="BC62">
        <v>1</v>
      </c>
      <c r="BD62" t="str">
        <f t="shared" si="4"/>
        <v xml:space="preserve">N52156  </v>
      </c>
      <c r="BE62">
        <v>1</v>
      </c>
      <c r="BG62">
        <v>0</v>
      </c>
      <c r="BH62">
        <v>0</v>
      </c>
      <c r="BI62">
        <v>0</v>
      </c>
      <c r="BJ62">
        <v>1550</v>
      </c>
      <c r="BK62">
        <v>-50</v>
      </c>
      <c r="BL62" t="s">
        <v>132</v>
      </c>
      <c r="BM62">
        <v>1</v>
      </c>
      <c r="BN62">
        <v>1</v>
      </c>
      <c r="BO62">
        <v>0</v>
      </c>
      <c r="BP62">
        <v>0</v>
      </c>
      <c r="BS62">
        <v>0.12</v>
      </c>
      <c r="BT62">
        <v>0</v>
      </c>
      <c r="BU62">
        <v>0</v>
      </c>
      <c r="CE62" t="str">
        <f t="shared" ref="CE62:CE67" si="25">"15:04:42.648"</f>
        <v>15:04:42.648</v>
      </c>
      <c r="CF62">
        <v>647689948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133</v>
      </c>
      <c r="DA62">
        <v>275</v>
      </c>
      <c r="DB62">
        <v>0</v>
      </c>
      <c r="DC62" t="s">
        <v>134</v>
      </c>
      <c r="DD62" t="s">
        <v>135</v>
      </c>
      <c r="DG62">
        <v>3317593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"05/01/2025 15:04:42.884"</f>
        <v>05/01/2025 15:04:42.884</v>
      </c>
      <c r="C63" t="str">
        <f t="shared" si="0"/>
        <v>FFDFD3C0</v>
      </c>
      <c r="D63" t="s">
        <v>145</v>
      </c>
      <c r="E63" t="str">
        <f>"05"</f>
        <v>05</v>
      </c>
      <c r="H63">
        <v>47</v>
      </c>
      <c r="I63" t="s">
        <v>146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R63" t="s">
        <v>127</v>
      </c>
      <c r="S63" t="str">
        <f t="shared" si="24"/>
        <v>15:04:42.000</v>
      </c>
      <c r="T63" t="str">
        <f t="shared" si="24"/>
        <v>15:04:42.000</v>
      </c>
      <c r="U63" t="str">
        <f t="shared" si="2"/>
        <v>A68FCB</v>
      </c>
      <c r="V63">
        <v>0</v>
      </c>
      <c r="W63">
        <v>0</v>
      </c>
      <c r="X63">
        <v>2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128</v>
      </c>
      <c r="AG63">
        <v>0</v>
      </c>
      <c r="AH63">
        <v>3</v>
      </c>
      <c r="AI63">
        <v>1</v>
      </c>
      <c r="AJ63">
        <v>0</v>
      </c>
      <c r="AK63" t="s">
        <v>166</v>
      </c>
      <c r="AL63">
        <v>38.954816000000001</v>
      </c>
      <c r="AM63" t="s">
        <v>167</v>
      </c>
      <c r="AN63">
        <v>-121.08122299999999</v>
      </c>
      <c r="AO63">
        <v>25</v>
      </c>
      <c r="AP63">
        <v>1600</v>
      </c>
      <c r="AQ63" t="s">
        <v>131</v>
      </c>
      <c r="AR63">
        <v>65</v>
      </c>
      <c r="AS63">
        <v>10</v>
      </c>
      <c r="AT63">
        <v>896</v>
      </c>
      <c r="BB63" t="str">
        <f t="shared" si="3"/>
        <v>1200</v>
      </c>
      <c r="BC63">
        <v>1</v>
      </c>
      <c r="BD63" t="str">
        <f t="shared" si="4"/>
        <v xml:space="preserve">N52156  </v>
      </c>
      <c r="BE63">
        <v>1</v>
      </c>
      <c r="BG63">
        <v>0</v>
      </c>
      <c r="BH63">
        <v>0</v>
      </c>
      <c r="BI63">
        <v>0</v>
      </c>
      <c r="BJ63">
        <v>1550</v>
      </c>
      <c r="BK63">
        <v>-50</v>
      </c>
      <c r="BL63" t="s">
        <v>132</v>
      </c>
      <c r="BM63">
        <v>1</v>
      </c>
      <c r="BN63">
        <v>1</v>
      </c>
      <c r="BO63">
        <v>0</v>
      </c>
      <c r="BP63">
        <v>0</v>
      </c>
      <c r="BS63">
        <v>0.12</v>
      </c>
      <c r="BT63">
        <v>0</v>
      </c>
      <c r="BU63">
        <v>0</v>
      </c>
      <c r="CE63" t="str">
        <f t="shared" si="25"/>
        <v>15:04:42.648</v>
      </c>
      <c r="CF63">
        <v>647689948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133</v>
      </c>
      <c r="DA63">
        <v>275</v>
      </c>
      <c r="DB63">
        <v>0</v>
      </c>
      <c r="DC63" t="s">
        <v>134</v>
      </c>
      <c r="DD63" t="s">
        <v>135</v>
      </c>
      <c r="DG63">
        <v>3317593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"05/01/2025 15:04:42.885"</f>
        <v>05/01/2025 15:04:42.885</v>
      </c>
      <c r="C64" t="str">
        <f t="shared" si="0"/>
        <v>FFDFD3C0</v>
      </c>
      <c r="D64" t="s">
        <v>145</v>
      </c>
      <c r="E64" t="str">
        <f>"09"</f>
        <v>09</v>
      </c>
      <c r="H64">
        <v>51</v>
      </c>
      <c r="I64" t="s">
        <v>147</v>
      </c>
      <c r="J64" t="s">
        <v>138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R64" t="s">
        <v>127</v>
      </c>
      <c r="S64" t="str">
        <f t="shared" si="24"/>
        <v>15:04:42.000</v>
      </c>
      <c r="T64" t="str">
        <f t="shared" si="24"/>
        <v>15:04:42.000</v>
      </c>
      <c r="U64" t="str">
        <f t="shared" si="2"/>
        <v>A68FCB</v>
      </c>
      <c r="V64">
        <v>0</v>
      </c>
      <c r="W64">
        <v>0</v>
      </c>
      <c r="X64">
        <v>2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128</v>
      </c>
      <c r="AG64">
        <v>0</v>
      </c>
      <c r="AH64">
        <v>3</v>
      </c>
      <c r="AI64">
        <v>1</v>
      </c>
      <c r="AJ64">
        <v>0</v>
      </c>
      <c r="AK64" t="s">
        <v>166</v>
      </c>
      <c r="AL64">
        <v>38.954816000000001</v>
      </c>
      <c r="AM64" t="s">
        <v>167</v>
      </c>
      <c r="AN64">
        <v>-121.08122299999999</v>
      </c>
      <c r="AO64">
        <v>25</v>
      </c>
      <c r="AP64">
        <v>1600</v>
      </c>
      <c r="AQ64" t="s">
        <v>131</v>
      </c>
      <c r="AR64">
        <v>65</v>
      </c>
      <c r="AS64">
        <v>10</v>
      </c>
      <c r="AT64">
        <v>896</v>
      </c>
      <c r="BB64" t="str">
        <f t="shared" si="3"/>
        <v>1200</v>
      </c>
      <c r="BC64">
        <v>1</v>
      </c>
      <c r="BD64" t="str">
        <f t="shared" si="4"/>
        <v xml:space="preserve">N52156  </v>
      </c>
      <c r="BE64">
        <v>1</v>
      </c>
      <c r="BG64">
        <v>0</v>
      </c>
      <c r="BH64">
        <v>0</v>
      </c>
      <c r="BI64">
        <v>0</v>
      </c>
      <c r="BJ64">
        <v>1550</v>
      </c>
      <c r="BK64">
        <v>-50</v>
      </c>
      <c r="BL64" t="s">
        <v>132</v>
      </c>
      <c r="BM64">
        <v>1</v>
      </c>
      <c r="BN64">
        <v>1</v>
      </c>
      <c r="BO64">
        <v>0</v>
      </c>
      <c r="BP64">
        <v>0</v>
      </c>
      <c r="BS64">
        <v>0.12</v>
      </c>
      <c r="BT64">
        <v>0</v>
      </c>
      <c r="BU64">
        <v>0</v>
      </c>
      <c r="CE64" t="str">
        <f t="shared" si="25"/>
        <v>15:04:42.648</v>
      </c>
      <c r="CF64">
        <v>647689948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133</v>
      </c>
      <c r="DA64">
        <v>275</v>
      </c>
      <c r="DB64">
        <v>0</v>
      </c>
      <c r="DC64" t="s">
        <v>134</v>
      </c>
      <c r="DD64" t="s">
        <v>135</v>
      </c>
      <c r="DG64">
        <v>3317593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"05/01/2025 15:04:42.887"</f>
        <v>05/01/2025 15:04:42.887</v>
      </c>
      <c r="C65" t="str">
        <f t="shared" si="0"/>
        <v>FFDFD3C0</v>
      </c>
      <c r="D65" t="s">
        <v>124</v>
      </c>
      <c r="E65" t="str">
        <f>"06"</f>
        <v>06</v>
      </c>
      <c r="F65">
        <v>2006</v>
      </c>
      <c r="G65" t="s">
        <v>125</v>
      </c>
      <c r="J65" t="s">
        <v>126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R65" t="s">
        <v>127</v>
      </c>
      <c r="S65" t="str">
        <f t="shared" si="24"/>
        <v>15:04:42.000</v>
      </c>
      <c r="T65" t="str">
        <f t="shared" si="24"/>
        <v>15:04:42.000</v>
      </c>
      <c r="U65" t="str">
        <f t="shared" si="2"/>
        <v>A68FCB</v>
      </c>
      <c r="V65">
        <v>0</v>
      </c>
      <c r="W65">
        <v>0</v>
      </c>
      <c r="X65">
        <v>2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128</v>
      </c>
      <c r="AG65">
        <v>0</v>
      </c>
      <c r="AH65">
        <v>3</v>
      </c>
      <c r="AI65">
        <v>1</v>
      </c>
      <c r="AJ65">
        <v>0</v>
      </c>
      <c r="AK65" t="s">
        <v>166</v>
      </c>
      <c r="AL65">
        <v>38.954816000000001</v>
      </c>
      <c r="AM65" t="s">
        <v>167</v>
      </c>
      <c r="AN65">
        <v>-121.08122299999999</v>
      </c>
      <c r="AO65">
        <v>25</v>
      </c>
      <c r="AP65">
        <v>1600</v>
      </c>
      <c r="AQ65" t="s">
        <v>131</v>
      </c>
      <c r="AR65">
        <v>65</v>
      </c>
      <c r="AS65">
        <v>10</v>
      </c>
      <c r="AT65">
        <v>896</v>
      </c>
      <c r="BB65" t="str">
        <f t="shared" si="3"/>
        <v>1200</v>
      </c>
      <c r="BC65">
        <v>1</v>
      </c>
      <c r="BD65" t="str">
        <f t="shared" si="4"/>
        <v xml:space="preserve">N52156  </v>
      </c>
      <c r="BE65">
        <v>1</v>
      </c>
      <c r="BG65">
        <v>0</v>
      </c>
      <c r="BH65">
        <v>0</v>
      </c>
      <c r="BI65">
        <v>0</v>
      </c>
      <c r="BJ65">
        <v>1550</v>
      </c>
      <c r="BK65">
        <v>-50</v>
      </c>
      <c r="BL65" t="s">
        <v>132</v>
      </c>
      <c r="BM65">
        <v>1</v>
      </c>
      <c r="BN65">
        <v>1</v>
      </c>
      <c r="BO65">
        <v>0</v>
      </c>
      <c r="BP65">
        <v>0</v>
      </c>
      <c r="BS65">
        <v>0.12</v>
      </c>
      <c r="BT65">
        <v>0</v>
      </c>
      <c r="BU65">
        <v>0</v>
      </c>
      <c r="CE65" t="str">
        <f t="shared" si="25"/>
        <v>15:04:42.648</v>
      </c>
      <c r="CF65">
        <v>647689948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133</v>
      </c>
      <c r="DA65">
        <v>275</v>
      </c>
      <c r="DB65">
        <v>0</v>
      </c>
      <c r="DC65" t="s">
        <v>134</v>
      </c>
      <c r="DD65" t="s">
        <v>135</v>
      </c>
      <c r="DG65">
        <v>3317593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"05/01/2025 15:04:42.897"</f>
        <v>05/01/2025 15:04:42.897</v>
      </c>
      <c r="C66" t="str">
        <f t="shared" ref="C66:C129" si="26">"FFDFD3C0"</f>
        <v>FFDFD3C0</v>
      </c>
      <c r="D66" t="s">
        <v>136</v>
      </c>
      <c r="E66" t="str">
        <f>"20"</f>
        <v>20</v>
      </c>
      <c r="H66">
        <v>400</v>
      </c>
      <c r="I66" t="s">
        <v>137</v>
      </c>
      <c r="J66" t="s">
        <v>138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R66" t="s">
        <v>127</v>
      </c>
      <c r="S66" t="str">
        <f t="shared" si="24"/>
        <v>15:04:42.000</v>
      </c>
      <c r="T66" t="str">
        <f t="shared" si="24"/>
        <v>15:04:42.000</v>
      </c>
      <c r="U66" t="str">
        <f t="shared" ref="U66:U129" si="27">"A68FCB"</f>
        <v>A68FCB</v>
      </c>
      <c r="V66">
        <v>0</v>
      </c>
      <c r="W66">
        <v>0</v>
      </c>
      <c r="X66">
        <v>2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128</v>
      </c>
      <c r="AG66">
        <v>0</v>
      </c>
      <c r="AH66">
        <v>3</v>
      </c>
      <c r="AI66">
        <v>1</v>
      </c>
      <c r="AJ66">
        <v>0</v>
      </c>
      <c r="AK66" t="s">
        <v>166</v>
      </c>
      <c r="AL66">
        <v>38.954816000000001</v>
      </c>
      <c r="AM66" t="s">
        <v>167</v>
      </c>
      <c r="AN66">
        <v>-121.08122299999999</v>
      </c>
      <c r="AO66">
        <v>25</v>
      </c>
      <c r="AP66">
        <v>1600</v>
      </c>
      <c r="AQ66" t="s">
        <v>131</v>
      </c>
      <c r="AR66">
        <v>65</v>
      </c>
      <c r="AS66">
        <v>10</v>
      </c>
      <c r="AT66">
        <v>896</v>
      </c>
      <c r="BB66" t="str">
        <f t="shared" ref="BB66:BB129" si="28">"1200"</f>
        <v>1200</v>
      </c>
      <c r="BC66">
        <v>1</v>
      </c>
      <c r="BD66" t="str">
        <f t="shared" ref="BD66:BD129" si="29">"N52156  "</f>
        <v xml:space="preserve">N52156  </v>
      </c>
      <c r="BE66">
        <v>1</v>
      </c>
      <c r="BG66">
        <v>0</v>
      </c>
      <c r="BH66">
        <v>0</v>
      </c>
      <c r="BI66">
        <v>0</v>
      </c>
      <c r="BJ66">
        <v>1550</v>
      </c>
      <c r="BK66">
        <v>-50</v>
      </c>
      <c r="BL66" t="s">
        <v>132</v>
      </c>
      <c r="BM66">
        <v>1</v>
      </c>
      <c r="BN66">
        <v>1</v>
      </c>
      <c r="BO66">
        <v>0</v>
      </c>
      <c r="BP66">
        <v>0</v>
      </c>
      <c r="BS66">
        <v>0.12</v>
      </c>
      <c r="BT66">
        <v>0</v>
      </c>
      <c r="BU66">
        <v>0</v>
      </c>
      <c r="CE66" t="str">
        <f t="shared" si="25"/>
        <v>15:04:42.648</v>
      </c>
      <c r="CF66">
        <v>647689948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133</v>
      </c>
      <c r="DA66">
        <v>275</v>
      </c>
      <c r="DB66">
        <v>0</v>
      </c>
      <c r="DC66" t="s">
        <v>134</v>
      </c>
      <c r="DD66" t="s">
        <v>135</v>
      </c>
      <c r="DG66">
        <v>3317593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"05/01/2025 15:04:42.924"</f>
        <v>05/01/2025 15:04:42.924</v>
      </c>
      <c r="C67" t="str">
        <f t="shared" si="26"/>
        <v>FFDFD3C0</v>
      </c>
      <c r="D67" t="s">
        <v>140</v>
      </c>
      <c r="E67" t="str">
        <f>"13"</f>
        <v>13</v>
      </c>
      <c r="F67">
        <v>1019</v>
      </c>
      <c r="G67" t="s">
        <v>141</v>
      </c>
      <c r="J67" t="s">
        <v>142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R67" t="s">
        <v>127</v>
      </c>
      <c r="S67" t="str">
        <f t="shared" si="24"/>
        <v>15:04:42.000</v>
      </c>
      <c r="T67" t="str">
        <f t="shared" si="24"/>
        <v>15:04:42.000</v>
      </c>
      <c r="U67" t="str">
        <f t="shared" si="27"/>
        <v>A68FCB</v>
      </c>
      <c r="V67">
        <v>0</v>
      </c>
      <c r="W67">
        <v>0</v>
      </c>
      <c r="X67">
        <v>2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128</v>
      </c>
      <c r="AG67">
        <v>0</v>
      </c>
      <c r="AH67">
        <v>3</v>
      </c>
      <c r="AI67">
        <v>1</v>
      </c>
      <c r="AJ67">
        <v>0</v>
      </c>
      <c r="AK67" t="s">
        <v>166</v>
      </c>
      <c r="AL67">
        <v>38.954816000000001</v>
      </c>
      <c r="AM67" t="s">
        <v>167</v>
      </c>
      <c r="AN67">
        <v>-121.08122299999999</v>
      </c>
      <c r="AO67">
        <v>25</v>
      </c>
      <c r="AP67">
        <v>1600</v>
      </c>
      <c r="AQ67" t="s">
        <v>131</v>
      </c>
      <c r="AR67">
        <v>65</v>
      </c>
      <c r="AS67">
        <v>10</v>
      </c>
      <c r="AT67">
        <v>896</v>
      </c>
      <c r="BB67" t="str">
        <f t="shared" si="28"/>
        <v>1200</v>
      </c>
      <c r="BC67">
        <v>1</v>
      </c>
      <c r="BD67" t="str">
        <f t="shared" si="29"/>
        <v xml:space="preserve">N52156  </v>
      </c>
      <c r="BE67">
        <v>1</v>
      </c>
      <c r="BG67">
        <v>0</v>
      </c>
      <c r="BH67">
        <v>0</v>
      </c>
      <c r="BI67">
        <v>0</v>
      </c>
      <c r="BJ67">
        <v>1550</v>
      </c>
      <c r="BK67">
        <v>-50</v>
      </c>
      <c r="BL67" t="s">
        <v>132</v>
      </c>
      <c r="BM67">
        <v>1</v>
      </c>
      <c r="BN67">
        <v>1</v>
      </c>
      <c r="BO67">
        <v>0</v>
      </c>
      <c r="BP67">
        <v>0</v>
      </c>
      <c r="BS67">
        <v>0.12</v>
      </c>
      <c r="BT67">
        <v>0</v>
      </c>
      <c r="BU67">
        <v>0</v>
      </c>
      <c r="CE67" t="str">
        <f t="shared" si="25"/>
        <v>15:04:42.648</v>
      </c>
      <c r="CF67">
        <v>647689948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133</v>
      </c>
      <c r="DA67">
        <v>275</v>
      </c>
      <c r="DB67">
        <v>0</v>
      </c>
      <c r="DC67" t="s">
        <v>134</v>
      </c>
      <c r="DD67" t="s">
        <v>135</v>
      </c>
      <c r="DG67">
        <v>3317593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"05/01/2025 15:04:43.848"</f>
        <v>05/01/2025 15:04:43.848</v>
      </c>
      <c r="C68" t="str">
        <f t="shared" si="26"/>
        <v>FFDFD3C0</v>
      </c>
      <c r="D68" t="s">
        <v>136</v>
      </c>
      <c r="E68" t="str">
        <f>"20"</f>
        <v>20</v>
      </c>
      <c r="H68">
        <v>400</v>
      </c>
      <c r="I68" t="s">
        <v>137</v>
      </c>
      <c r="J68" t="s">
        <v>138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R68" t="s">
        <v>127</v>
      </c>
      <c r="S68" t="str">
        <f t="shared" ref="S68:T73" si="30">"15:04:43.000"</f>
        <v>15:04:43.000</v>
      </c>
      <c r="T68" t="str">
        <f t="shared" si="30"/>
        <v>15:04:43.000</v>
      </c>
      <c r="U68" t="str">
        <f t="shared" si="27"/>
        <v>A68FCB</v>
      </c>
      <c r="V68">
        <v>0</v>
      </c>
      <c r="W68">
        <v>0</v>
      </c>
      <c r="X68">
        <v>2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128</v>
      </c>
      <c r="AG68">
        <v>0</v>
      </c>
      <c r="AH68">
        <v>3</v>
      </c>
      <c r="AI68">
        <v>1</v>
      </c>
      <c r="AJ68">
        <v>0</v>
      </c>
      <c r="AK68" t="s">
        <v>168</v>
      </c>
      <c r="AL68">
        <v>38.954858999999999</v>
      </c>
      <c r="AM68" t="s">
        <v>169</v>
      </c>
      <c r="AN68">
        <v>-121.080859</v>
      </c>
      <c r="AO68">
        <v>25</v>
      </c>
      <c r="AP68">
        <v>1600</v>
      </c>
      <c r="AQ68" t="s">
        <v>131</v>
      </c>
      <c r="AR68">
        <v>63</v>
      </c>
      <c r="AS68">
        <v>9</v>
      </c>
      <c r="AT68">
        <v>640</v>
      </c>
      <c r="BB68" t="str">
        <f t="shared" si="28"/>
        <v>1200</v>
      </c>
      <c r="BC68">
        <v>1</v>
      </c>
      <c r="BD68" t="str">
        <f t="shared" si="29"/>
        <v xml:space="preserve">N52156  </v>
      </c>
      <c r="BE68">
        <v>1</v>
      </c>
      <c r="BG68">
        <v>0</v>
      </c>
      <c r="BH68">
        <v>0</v>
      </c>
      <c r="BI68">
        <v>0</v>
      </c>
      <c r="BJ68">
        <v>1550</v>
      </c>
      <c r="BK68">
        <v>-50</v>
      </c>
      <c r="BL68" t="s">
        <v>132</v>
      </c>
      <c r="BM68">
        <v>1</v>
      </c>
      <c r="BN68">
        <v>1</v>
      </c>
      <c r="BO68">
        <v>0</v>
      </c>
      <c r="BP68">
        <v>0</v>
      </c>
      <c r="BS68">
        <v>0.12</v>
      </c>
      <c r="BT68">
        <v>0</v>
      </c>
      <c r="BU68">
        <v>0</v>
      </c>
      <c r="CE68" t="str">
        <f t="shared" ref="CE68:CE73" si="31">"15:04:43.625"</f>
        <v>15:04:43.625</v>
      </c>
      <c r="CF68">
        <v>625439995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133</v>
      </c>
      <c r="DA68">
        <v>275</v>
      </c>
      <c r="DB68">
        <v>0</v>
      </c>
      <c r="DC68" t="s">
        <v>134</v>
      </c>
      <c r="DD68" t="s">
        <v>135</v>
      </c>
      <c r="DG68">
        <v>3317608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"05/01/2025 15:04:43.875"</f>
        <v>05/01/2025 15:04:43.875</v>
      </c>
      <c r="C69" t="str">
        <f t="shared" si="26"/>
        <v>FFDFD3C0</v>
      </c>
      <c r="D69" t="s">
        <v>140</v>
      </c>
      <c r="E69" t="str">
        <f>"13"</f>
        <v>13</v>
      </c>
      <c r="F69">
        <v>1019</v>
      </c>
      <c r="G69" t="s">
        <v>141</v>
      </c>
      <c r="J69" t="s">
        <v>142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R69" t="s">
        <v>127</v>
      </c>
      <c r="S69" t="str">
        <f t="shared" si="30"/>
        <v>15:04:43.000</v>
      </c>
      <c r="T69" t="str">
        <f t="shared" si="30"/>
        <v>15:04:43.000</v>
      </c>
      <c r="U69" t="str">
        <f t="shared" si="27"/>
        <v>A68FCB</v>
      </c>
      <c r="V69">
        <v>0</v>
      </c>
      <c r="W69">
        <v>0</v>
      </c>
      <c r="X69">
        <v>2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128</v>
      </c>
      <c r="AG69">
        <v>0</v>
      </c>
      <c r="AH69">
        <v>3</v>
      </c>
      <c r="AI69">
        <v>1</v>
      </c>
      <c r="AJ69">
        <v>0</v>
      </c>
      <c r="AK69" t="s">
        <v>168</v>
      </c>
      <c r="AL69">
        <v>38.954858999999999</v>
      </c>
      <c r="AM69" t="s">
        <v>169</v>
      </c>
      <c r="AN69">
        <v>-121.080859</v>
      </c>
      <c r="AO69">
        <v>25</v>
      </c>
      <c r="AP69">
        <v>1600</v>
      </c>
      <c r="AQ69" t="s">
        <v>131</v>
      </c>
      <c r="AR69">
        <v>63</v>
      </c>
      <c r="AS69">
        <v>9</v>
      </c>
      <c r="AT69">
        <v>640</v>
      </c>
      <c r="BB69" t="str">
        <f t="shared" si="28"/>
        <v>1200</v>
      </c>
      <c r="BC69">
        <v>1</v>
      </c>
      <c r="BD69" t="str">
        <f t="shared" si="29"/>
        <v xml:space="preserve">N52156  </v>
      </c>
      <c r="BE69">
        <v>1</v>
      </c>
      <c r="BG69">
        <v>0</v>
      </c>
      <c r="BH69">
        <v>0</v>
      </c>
      <c r="BI69">
        <v>0</v>
      </c>
      <c r="BJ69">
        <v>1550</v>
      </c>
      <c r="BK69">
        <v>-50</v>
      </c>
      <c r="BL69" t="s">
        <v>132</v>
      </c>
      <c r="BM69">
        <v>1</v>
      </c>
      <c r="BN69">
        <v>1</v>
      </c>
      <c r="BO69">
        <v>0</v>
      </c>
      <c r="BP69">
        <v>0</v>
      </c>
      <c r="BS69">
        <v>0.12</v>
      </c>
      <c r="BT69">
        <v>0</v>
      </c>
      <c r="BU69">
        <v>0</v>
      </c>
      <c r="CE69" t="str">
        <f t="shared" si="31"/>
        <v>15:04:43.625</v>
      </c>
      <c r="CF69">
        <v>625439995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133</v>
      </c>
      <c r="DA69">
        <v>275</v>
      </c>
      <c r="DB69">
        <v>0</v>
      </c>
      <c r="DC69" t="s">
        <v>134</v>
      </c>
      <c r="DD69" t="s">
        <v>135</v>
      </c>
      <c r="DG69">
        <v>3317608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"05/01/2025 15:04:43.881"</f>
        <v>05/01/2025 15:04:43.881</v>
      </c>
      <c r="C70" t="str">
        <f t="shared" si="26"/>
        <v>FFDFD3C0</v>
      </c>
      <c r="D70" t="s">
        <v>143</v>
      </c>
      <c r="E70" t="str">
        <f>"05"</f>
        <v>05</v>
      </c>
      <c r="H70">
        <v>172</v>
      </c>
      <c r="I70" t="s">
        <v>141</v>
      </c>
      <c r="J70" t="s">
        <v>144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R70" t="s">
        <v>127</v>
      </c>
      <c r="S70" t="str">
        <f t="shared" si="30"/>
        <v>15:04:43.000</v>
      </c>
      <c r="T70" t="str">
        <f t="shared" si="30"/>
        <v>15:04:43.000</v>
      </c>
      <c r="U70" t="str">
        <f t="shared" si="27"/>
        <v>A68FCB</v>
      </c>
      <c r="V70">
        <v>0</v>
      </c>
      <c r="W70">
        <v>0</v>
      </c>
      <c r="X70">
        <v>2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128</v>
      </c>
      <c r="AG70">
        <v>0</v>
      </c>
      <c r="AH70">
        <v>3</v>
      </c>
      <c r="AI70">
        <v>1</v>
      </c>
      <c r="AJ70">
        <v>0</v>
      </c>
      <c r="AK70" t="s">
        <v>168</v>
      </c>
      <c r="AL70">
        <v>38.954858999999999</v>
      </c>
      <c r="AM70" t="s">
        <v>169</v>
      </c>
      <c r="AN70">
        <v>-121.080859</v>
      </c>
      <c r="AO70">
        <v>25</v>
      </c>
      <c r="AP70">
        <v>1600</v>
      </c>
      <c r="AQ70" t="s">
        <v>131</v>
      </c>
      <c r="AR70">
        <v>63</v>
      </c>
      <c r="AS70">
        <v>9</v>
      </c>
      <c r="AT70">
        <v>640</v>
      </c>
      <c r="BB70" t="str">
        <f t="shared" si="28"/>
        <v>1200</v>
      </c>
      <c r="BC70">
        <v>1</v>
      </c>
      <c r="BD70" t="str">
        <f t="shared" si="29"/>
        <v xml:space="preserve">N52156  </v>
      </c>
      <c r="BE70">
        <v>1</v>
      </c>
      <c r="BG70">
        <v>0</v>
      </c>
      <c r="BH70">
        <v>0</v>
      </c>
      <c r="BI70">
        <v>0</v>
      </c>
      <c r="BJ70">
        <v>1550</v>
      </c>
      <c r="BK70">
        <v>-50</v>
      </c>
      <c r="BL70" t="s">
        <v>132</v>
      </c>
      <c r="BM70">
        <v>1</v>
      </c>
      <c r="BN70">
        <v>1</v>
      </c>
      <c r="BO70">
        <v>0</v>
      </c>
      <c r="BP70">
        <v>0</v>
      </c>
      <c r="BS70">
        <v>0.12</v>
      </c>
      <c r="BT70">
        <v>0</v>
      </c>
      <c r="BU70">
        <v>0</v>
      </c>
      <c r="CE70" t="str">
        <f t="shared" si="31"/>
        <v>15:04:43.625</v>
      </c>
      <c r="CF70">
        <v>625439995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133</v>
      </c>
      <c r="DA70">
        <v>275</v>
      </c>
      <c r="DB70">
        <v>0</v>
      </c>
      <c r="DC70" t="s">
        <v>134</v>
      </c>
      <c r="DD70" t="s">
        <v>135</v>
      </c>
      <c r="DG70">
        <v>3317608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"05/01/2025 15:04:43.886"</f>
        <v>05/01/2025 15:04:43.886</v>
      </c>
      <c r="C71" t="str">
        <f t="shared" si="26"/>
        <v>FFDFD3C0</v>
      </c>
      <c r="D71" t="s">
        <v>145</v>
      </c>
      <c r="E71" t="str">
        <f>"05"</f>
        <v>05</v>
      </c>
      <c r="H71">
        <v>47</v>
      </c>
      <c r="I71" t="s">
        <v>146</v>
      </c>
      <c r="J71" t="s">
        <v>138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R71" t="s">
        <v>127</v>
      </c>
      <c r="S71" t="str">
        <f t="shared" si="30"/>
        <v>15:04:43.000</v>
      </c>
      <c r="T71" t="str">
        <f t="shared" si="30"/>
        <v>15:04:43.000</v>
      </c>
      <c r="U71" t="str">
        <f t="shared" si="27"/>
        <v>A68FCB</v>
      </c>
      <c r="V71">
        <v>0</v>
      </c>
      <c r="W71">
        <v>0</v>
      </c>
      <c r="X71">
        <v>2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128</v>
      </c>
      <c r="AG71">
        <v>0</v>
      </c>
      <c r="AH71">
        <v>3</v>
      </c>
      <c r="AI71">
        <v>1</v>
      </c>
      <c r="AJ71">
        <v>0</v>
      </c>
      <c r="AK71" t="s">
        <v>168</v>
      </c>
      <c r="AL71">
        <v>38.954858999999999</v>
      </c>
      <c r="AM71" t="s">
        <v>169</v>
      </c>
      <c r="AN71">
        <v>-121.080859</v>
      </c>
      <c r="AO71">
        <v>25</v>
      </c>
      <c r="AP71">
        <v>1600</v>
      </c>
      <c r="AQ71" t="s">
        <v>131</v>
      </c>
      <c r="AR71">
        <v>63</v>
      </c>
      <c r="AS71">
        <v>9</v>
      </c>
      <c r="AT71">
        <v>640</v>
      </c>
      <c r="BB71" t="str">
        <f t="shared" si="28"/>
        <v>1200</v>
      </c>
      <c r="BC71">
        <v>1</v>
      </c>
      <c r="BD71" t="str">
        <f t="shared" si="29"/>
        <v xml:space="preserve">N52156  </v>
      </c>
      <c r="BE71">
        <v>1</v>
      </c>
      <c r="BG71">
        <v>0</v>
      </c>
      <c r="BH71">
        <v>0</v>
      </c>
      <c r="BI71">
        <v>0</v>
      </c>
      <c r="BJ71">
        <v>1550</v>
      </c>
      <c r="BK71">
        <v>-50</v>
      </c>
      <c r="BL71" t="s">
        <v>132</v>
      </c>
      <c r="BM71">
        <v>1</v>
      </c>
      <c r="BN71">
        <v>1</v>
      </c>
      <c r="BO71">
        <v>0</v>
      </c>
      <c r="BP71">
        <v>0</v>
      </c>
      <c r="BS71">
        <v>0.12</v>
      </c>
      <c r="BT71">
        <v>0</v>
      </c>
      <c r="BU71">
        <v>0</v>
      </c>
      <c r="CE71" t="str">
        <f t="shared" si="31"/>
        <v>15:04:43.625</v>
      </c>
      <c r="CF71">
        <v>625439995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133</v>
      </c>
      <c r="DA71">
        <v>275</v>
      </c>
      <c r="DB71">
        <v>0</v>
      </c>
      <c r="DC71" t="s">
        <v>134</v>
      </c>
      <c r="DD71" t="s">
        <v>135</v>
      </c>
      <c r="DG71">
        <v>3317608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"05/01/2025 15:04:43.886"</f>
        <v>05/01/2025 15:04:43.886</v>
      </c>
      <c r="C72" t="str">
        <f t="shared" si="26"/>
        <v>FFDFD3C0</v>
      </c>
      <c r="D72" t="s">
        <v>145</v>
      </c>
      <c r="E72" t="str">
        <f>"09"</f>
        <v>09</v>
      </c>
      <c r="H72">
        <v>51</v>
      </c>
      <c r="I72" t="s">
        <v>147</v>
      </c>
      <c r="J72" t="s">
        <v>138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R72" t="s">
        <v>127</v>
      </c>
      <c r="S72" t="str">
        <f t="shared" si="30"/>
        <v>15:04:43.000</v>
      </c>
      <c r="T72" t="str">
        <f t="shared" si="30"/>
        <v>15:04:43.000</v>
      </c>
      <c r="U72" t="str">
        <f t="shared" si="27"/>
        <v>A68FCB</v>
      </c>
      <c r="V72">
        <v>0</v>
      </c>
      <c r="W72">
        <v>0</v>
      </c>
      <c r="X72">
        <v>2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128</v>
      </c>
      <c r="AG72">
        <v>0</v>
      </c>
      <c r="AH72">
        <v>3</v>
      </c>
      <c r="AI72">
        <v>1</v>
      </c>
      <c r="AJ72">
        <v>0</v>
      </c>
      <c r="AK72" t="s">
        <v>168</v>
      </c>
      <c r="AL72">
        <v>38.954858999999999</v>
      </c>
      <c r="AM72" t="s">
        <v>169</v>
      </c>
      <c r="AN72">
        <v>-121.080859</v>
      </c>
      <c r="AO72">
        <v>25</v>
      </c>
      <c r="AP72">
        <v>1600</v>
      </c>
      <c r="AQ72" t="s">
        <v>131</v>
      </c>
      <c r="AR72">
        <v>63</v>
      </c>
      <c r="AS72">
        <v>9</v>
      </c>
      <c r="AT72">
        <v>640</v>
      </c>
      <c r="BB72" t="str">
        <f t="shared" si="28"/>
        <v>1200</v>
      </c>
      <c r="BC72">
        <v>1</v>
      </c>
      <c r="BD72" t="str">
        <f t="shared" si="29"/>
        <v xml:space="preserve">N52156  </v>
      </c>
      <c r="BE72">
        <v>1</v>
      </c>
      <c r="BG72">
        <v>0</v>
      </c>
      <c r="BH72">
        <v>0</v>
      </c>
      <c r="BI72">
        <v>0</v>
      </c>
      <c r="BJ72">
        <v>1550</v>
      </c>
      <c r="BK72">
        <v>-50</v>
      </c>
      <c r="BL72" t="s">
        <v>132</v>
      </c>
      <c r="BM72">
        <v>1</v>
      </c>
      <c r="BN72">
        <v>1</v>
      </c>
      <c r="BO72">
        <v>0</v>
      </c>
      <c r="BP72">
        <v>0</v>
      </c>
      <c r="BS72">
        <v>0.12</v>
      </c>
      <c r="BT72">
        <v>0</v>
      </c>
      <c r="BU72">
        <v>0</v>
      </c>
      <c r="CE72" t="str">
        <f t="shared" si="31"/>
        <v>15:04:43.625</v>
      </c>
      <c r="CF72">
        <v>625439995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133</v>
      </c>
      <c r="DA72">
        <v>275</v>
      </c>
      <c r="DB72">
        <v>0</v>
      </c>
      <c r="DC72" t="s">
        <v>134</v>
      </c>
      <c r="DD72" t="s">
        <v>135</v>
      </c>
      <c r="DG72">
        <v>3317608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"05/01/2025 15:04:43.889"</f>
        <v>05/01/2025 15:04:43.889</v>
      </c>
      <c r="C73" t="str">
        <f t="shared" si="26"/>
        <v>FFDFD3C0</v>
      </c>
      <c r="D73" t="s">
        <v>124</v>
      </c>
      <c r="E73" t="str">
        <f>"06"</f>
        <v>06</v>
      </c>
      <c r="F73">
        <v>2006</v>
      </c>
      <c r="G73" t="s">
        <v>125</v>
      </c>
      <c r="J73" t="s">
        <v>126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R73" t="s">
        <v>127</v>
      </c>
      <c r="S73" t="str">
        <f t="shared" si="30"/>
        <v>15:04:43.000</v>
      </c>
      <c r="T73" t="str">
        <f t="shared" si="30"/>
        <v>15:04:43.000</v>
      </c>
      <c r="U73" t="str">
        <f t="shared" si="27"/>
        <v>A68FCB</v>
      </c>
      <c r="V73">
        <v>0</v>
      </c>
      <c r="W73">
        <v>0</v>
      </c>
      <c r="X73">
        <v>2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128</v>
      </c>
      <c r="AG73">
        <v>0</v>
      </c>
      <c r="AH73">
        <v>3</v>
      </c>
      <c r="AI73">
        <v>1</v>
      </c>
      <c r="AJ73">
        <v>0</v>
      </c>
      <c r="AK73" t="s">
        <v>168</v>
      </c>
      <c r="AL73">
        <v>38.954858999999999</v>
      </c>
      <c r="AM73" t="s">
        <v>169</v>
      </c>
      <c r="AN73">
        <v>-121.080859</v>
      </c>
      <c r="AO73">
        <v>25</v>
      </c>
      <c r="AP73">
        <v>1600</v>
      </c>
      <c r="AQ73" t="s">
        <v>131</v>
      </c>
      <c r="AR73">
        <v>63</v>
      </c>
      <c r="AS73">
        <v>9</v>
      </c>
      <c r="AT73">
        <v>640</v>
      </c>
      <c r="BB73" t="str">
        <f t="shared" si="28"/>
        <v>1200</v>
      </c>
      <c r="BC73">
        <v>1</v>
      </c>
      <c r="BD73" t="str">
        <f t="shared" si="29"/>
        <v xml:space="preserve">N52156  </v>
      </c>
      <c r="BE73">
        <v>1</v>
      </c>
      <c r="BG73">
        <v>0</v>
      </c>
      <c r="BH73">
        <v>0</v>
      </c>
      <c r="BI73">
        <v>0</v>
      </c>
      <c r="BJ73">
        <v>1550</v>
      </c>
      <c r="BK73">
        <v>-50</v>
      </c>
      <c r="BL73" t="s">
        <v>132</v>
      </c>
      <c r="BM73">
        <v>1</v>
      </c>
      <c r="BN73">
        <v>1</v>
      </c>
      <c r="BO73">
        <v>0</v>
      </c>
      <c r="BP73">
        <v>0</v>
      </c>
      <c r="BS73">
        <v>0.12</v>
      </c>
      <c r="BT73">
        <v>0</v>
      </c>
      <c r="BU73">
        <v>0</v>
      </c>
      <c r="CE73" t="str">
        <f t="shared" si="31"/>
        <v>15:04:43.625</v>
      </c>
      <c r="CF73">
        <v>625439995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133</v>
      </c>
      <c r="DA73">
        <v>275</v>
      </c>
      <c r="DB73">
        <v>0</v>
      </c>
      <c r="DC73" t="s">
        <v>134</v>
      </c>
      <c r="DD73" t="s">
        <v>135</v>
      </c>
      <c r="DG73">
        <v>3317608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"05/01/2025 15:04:44.477"</f>
        <v>05/01/2025 15:04:44.477</v>
      </c>
      <c r="C74" t="str">
        <f t="shared" si="26"/>
        <v>FFDFD3C0</v>
      </c>
      <c r="D74" t="s">
        <v>140</v>
      </c>
      <c r="E74" t="str">
        <f>"13"</f>
        <v>13</v>
      </c>
      <c r="F74">
        <v>1019</v>
      </c>
      <c r="G74" t="s">
        <v>141</v>
      </c>
      <c r="J74" t="s">
        <v>142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R74" t="s">
        <v>127</v>
      </c>
      <c r="S74" t="str">
        <f t="shared" ref="S74:T79" si="32">"15:04:44.000"</f>
        <v>15:04:44.000</v>
      </c>
      <c r="T74" t="str">
        <f t="shared" si="32"/>
        <v>15:04:44.000</v>
      </c>
      <c r="U74" t="str">
        <f t="shared" si="27"/>
        <v>A68FCB</v>
      </c>
      <c r="V74">
        <v>0</v>
      </c>
      <c r="W74">
        <v>0</v>
      </c>
      <c r="X74">
        <v>2</v>
      </c>
      <c r="Y74">
        <v>0</v>
      </c>
      <c r="AA74">
        <v>1</v>
      </c>
      <c r="AB74">
        <v>8</v>
      </c>
      <c r="AC74">
        <v>3</v>
      </c>
      <c r="AD74">
        <v>0</v>
      </c>
      <c r="AE74">
        <v>9</v>
      </c>
      <c r="AF74" t="s">
        <v>128</v>
      </c>
      <c r="AG74">
        <v>0</v>
      </c>
      <c r="AH74">
        <v>3</v>
      </c>
      <c r="AI74">
        <v>1</v>
      </c>
      <c r="AJ74">
        <v>0</v>
      </c>
      <c r="AK74" t="s">
        <v>170</v>
      </c>
      <c r="AL74">
        <v>38.954880000000003</v>
      </c>
      <c r="AM74" t="s">
        <v>171</v>
      </c>
      <c r="AN74">
        <v>-121.080472</v>
      </c>
      <c r="AO74">
        <v>25</v>
      </c>
      <c r="AP74">
        <v>1600</v>
      </c>
      <c r="AQ74" t="s">
        <v>131</v>
      </c>
      <c r="AR74">
        <v>64</v>
      </c>
      <c r="AS74">
        <v>14</v>
      </c>
      <c r="AT74">
        <v>384</v>
      </c>
      <c r="BB74" t="str">
        <f t="shared" si="28"/>
        <v>1200</v>
      </c>
      <c r="BC74">
        <v>1</v>
      </c>
      <c r="BD74" t="str">
        <f t="shared" si="29"/>
        <v xml:space="preserve">N52156  </v>
      </c>
      <c r="BE74">
        <v>1</v>
      </c>
      <c r="BG74">
        <v>0</v>
      </c>
      <c r="BH74">
        <v>0</v>
      </c>
      <c r="BI74">
        <v>0</v>
      </c>
      <c r="BJ74">
        <v>1550</v>
      </c>
      <c r="BK74">
        <v>-50</v>
      </c>
      <c r="BL74" t="s">
        <v>132</v>
      </c>
      <c r="BM74">
        <v>1</v>
      </c>
      <c r="BN74">
        <v>1</v>
      </c>
      <c r="BO74">
        <v>0</v>
      </c>
      <c r="BP74">
        <v>0</v>
      </c>
      <c r="BS74">
        <v>0.12</v>
      </c>
      <c r="BT74">
        <v>0</v>
      </c>
      <c r="BU74">
        <v>0</v>
      </c>
      <c r="CE74" t="str">
        <f t="shared" ref="CE74:CE79" si="33">"15:04:44.251"</f>
        <v>15:04:44.251</v>
      </c>
      <c r="CF74">
        <v>250689159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133</v>
      </c>
      <c r="DA74">
        <v>275</v>
      </c>
      <c r="DB74">
        <v>0</v>
      </c>
      <c r="DC74" t="s">
        <v>134</v>
      </c>
      <c r="DD74" t="s">
        <v>135</v>
      </c>
      <c r="DG74">
        <v>3317615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"05/01/2025 15:04:44.482"</f>
        <v>05/01/2025 15:04:44.482</v>
      </c>
      <c r="C75" t="str">
        <f t="shared" si="26"/>
        <v>FFDFD3C0</v>
      </c>
      <c r="D75" t="s">
        <v>143</v>
      </c>
      <c r="E75" t="str">
        <f>"05"</f>
        <v>05</v>
      </c>
      <c r="H75">
        <v>172</v>
      </c>
      <c r="I75" t="s">
        <v>141</v>
      </c>
      <c r="J75" t="s">
        <v>144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R75" t="s">
        <v>127</v>
      </c>
      <c r="S75" t="str">
        <f t="shared" si="32"/>
        <v>15:04:44.000</v>
      </c>
      <c r="T75" t="str">
        <f t="shared" si="32"/>
        <v>15:04:44.000</v>
      </c>
      <c r="U75" t="str">
        <f t="shared" si="27"/>
        <v>A68FCB</v>
      </c>
      <c r="V75">
        <v>0</v>
      </c>
      <c r="W75">
        <v>0</v>
      </c>
      <c r="X75">
        <v>2</v>
      </c>
      <c r="Y75">
        <v>0</v>
      </c>
      <c r="AA75">
        <v>1</v>
      </c>
      <c r="AB75">
        <v>8</v>
      </c>
      <c r="AC75">
        <v>3</v>
      </c>
      <c r="AD75">
        <v>0</v>
      </c>
      <c r="AE75">
        <v>9</v>
      </c>
      <c r="AF75" t="s">
        <v>128</v>
      </c>
      <c r="AG75">
        <v>0</v>
      </c>
      <c r="AH75">
        <v>3</v>
      </c>
      <c r="AI75">
        <v>1</v>
      </c>
      <c r="AJ75">
        <v>0</v>
      </c>
      <c r="AK75" t="s">
        <v>170</v>
      </c>
      <c r="AL75">
        <v>38.954880000000003</v>
      </c>
      <c r="AM75" t="s">
        <v>171</v>
      </c>
      <c r="AN75">
        <v>-121.080472</v>
      </c>
      <c r="AO75">
        <v>25</v>
      </c>
      <c r="AP75">
        <v>1600</v>
      </c>
      <c r="AQ75" t="s">
        <v>131</v>
      </c>
      <c r="AR75">
        <v>64</v>
      </c>
      <c r="AS75">
        <v>14</v>
      </c>
      <c r="AT75">
        <v>384</v>
      </c>
      <c r="BB75" t="str">
        <f t="shared" si="28"/>
        <v>1200</v>
      </c>
      <c r="BC75">
        <v>1</v>
      </c>
      <c r="BD75" t="str">
        <f t="shared" si="29"/>
        <v xml:space="preserve">N52156  </v>
      </c>
      <c r="BE75">
        <v>1</v>
      </c>
      <c r="BG75">
        <v>0</v>
      </c>
      <c r="BH75">
        <v>0</v>
      </c>
      <c r="BI75">
        <v>0</v>
      </c>
      <c r="BJ75">
        <v>1550</v>
      </c>
      <c r="BK75">
        <v>-50</v>
      </c>
      <c r="BL75" t="s">
        <v>132</v>
      </c>
      <c r="BM75">
        <v>1</v>
      </c>
      <c r="BN75">
        <v>1</v>
      </c>
      <c r="BO75">
        <v>0</v>
      </c>
      <c r="BP75">
        <v>0</v>
      </c>
      <c r="BS75">
        <v>0.12</v>
      </c>
      <c r="BT75">
        <v>0</v>
      </c>
      <c r="BU75">
        <v>0</v>
      </c>
      <c r="CE75" t="str">
        <f t="shared" si="33"/>
        <v>15:04:44.251</v>
      </c>
      <c r="CF75">
        <v>250689159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133</v>
      </c>
      <c r="DA75">
        <v>275</v>
      </c>
      <c r="DB75">
        <v>0</v>
      </c>
      <c r="DC75" t="s">
        <v>134</v>
      </c>
      <c r="DD75" t="s">
        <v>135</v>
      </c>
      <c r="DG75">
        <v>3317615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"05/01/2025 15:04:44.487"</f>
        <v>05/01/2025 15:04:44.487</v>
      </c>
      <c r="C76" t="str">
        <f t="shared" si="26"/>
        <v>FFDFD3C0</v>
      </c>
      <c r="D76" t="s">
        <v>145</v>
      </c>
      <c r="E76" t="str">
        <f>"05"</f>
        <v>05</v>
      </c>
      <c r="H76">
        <v>47</v>
      </c>
      <c r="I76" t="s">
        <v>146</v>
      </c>
      <c r="J76" t="s">
        <v>138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R76" t="s">
        <v>127</v>
      </c>
      <c r="S76" t="str">
        <f t="shared" si="32"/>
        <v>15:04:44.000</v>
      </c>
      <c r="T76" t="str">
        <f t="shared" si="32"/>
        <v>15:04:44.000</v>
      </c>
      <c r="U76" t="str">
        <f t="shared" si="27"/>
        <v>A68FCB</v>
      </c>
      <c r="V76">
        <v>0</v>
      </c>
      <c r="W76">
        <v>0</v>
      </c>
      <c r="X76">
        <v>2</v>
      </c>
      <c r="Y76">
        <v>0</v>
      </c>
      <c r="AA76">
        <v>1</v>
      </c>
      <c r="AB76">
        <v>8</v>
      </c>
      <c r="AC76">
        <v>3</v>
      </c>
      <c r="AD76">
        <v>0</v>
      </c>
      <c r="AE76">
        <v>9</v>
      </c>
      <c r="AF76" t="s">
        <v>128</v>
      </c>
      <c r="AG76">
        <v>0</v>
      </c>
      <c r="AH76">
        <v>3</v>
      </c>
      <c r="AI76">
        <v>1</v>
      </c>
      <c r="AJ76">
        <v>0</v>
      </c>
      <c r="AK76" t="s">
        <v>170</v>
      </c>
      <c r="AL76">
        <v>38.954880000000003</v>
      </c>
      <c r="AM76" t="s">
        <v>171</v>
      </c>
      <c r="AN76">
        <v>-121.080472</v>
      </c>
      <c r="AO76">
        <v>25</v>
      </c>
      <c r="AP76">
        <v>1600</v>
      </c>
      <c r="AQ76" t="s">
        <v>131</v>
      </c>
      <c r="AR76">
        <v>64</v>
      </c>
      <c r="AS76">
        <v>14</v>
      </c>
      <c r="AT76">
        <v>384</v>
      </c>
      <c r="BB76" t="str">
        <f t="shared" si="28"/>
        <v>1200</v>
      </c>
      <c r="BC76">
        <v>1</v>
      </c>
      <c r="BD76" t="str">
        <f t="shared" si="29"/>
        <v xml:space="preserve">N52156  </v>
      </c>
      <c r="BE76">
        <v>1</v>
      </c>
      <c r="BG76">
        <v>0</v>
      </c>
      <c r="BH76">
        <v>0</v>
      </c>
      <c r="BI76">
        <v>0</v>
      </c>
      <c r="BJ76">
        <v>1550</v>
      </c>
      <c r="BK76">
        <v>-50</v>
      </c>
      <c r="BL76" t="s">
        <v>132</v>
      </c>
      <c r="BM76">
        <v>1</v>
      </c>
      <c r="BN76">
        <v>1</v>
      </c>
      <c r="BO76">
        <v>0</v>
      </c>
      <c r="BP76">
        <v>0</v>
      </c>
      <c r="BS76">
        <v>0.12</v>
      </c>
      <c r="BT76">
        <v>0</v>
      </c>
      <c r="BU76">
        <v>0</v>
      </c>
      <c r="CE76" t="str">
        <f t="shared" si="33"/>
        <v>15:04:44.251</v>
      </c>
      <c r="CF76">
        <v>250689159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133</v>
      </c>
      <c r="DA76">
        <v>275</v>
      </c>
      <c r="DB76">
        <v>0</v>
      </c>
      <c r="DC76" t="s">
        <v>134</v>
      </c>
      <c r="DD76" t="s">
        <v>135</v>
      </c>
      <c r="DG76">
        <v>3317615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"05/01/2025 15:04:44.487"</f>
        <v>05/01/2025 15:04:44.487</v>
      </c>
      <c r="C77" t="str">
        <f t="shared" si="26"/>
        <v>FFDFD3C0</v>
      </c>
      <c r="D77" t="s">
        <v>145</v>
      </c>
      <c r="E77" t="str">
        <f>"09"</f>
        <v>09</v>
      </c>
      <c r="H77">
        <v>51</v>
      </c>
      <c r="I77" t="s">
        <v>147</v>
      </c>
      <c r="J77" t="s">
        <v>138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R77" t="s">
        <v>127</v>
      </c>
      <c r="S77" t="str">
        <f t="shared" si="32"/>
        <v>15:04:44.000</v>
      </c>
      <c r="T77" t="str">
        <f t="shared" si="32"/>
        <v>15:04:44.000</v>
      </c>
      <c r="U77" t="str">
        <f t="shared" si="27"/>
        <v>A68FCB</v>
      </c>
      <c r="V77">
        <v>0</v>
      </c>
      <c r="W77">
        <v>0</v>
      </c>
      <c r="X77">
        <v>2</v>
      </c>
      <c r="Y77">
        <v>0</v>
      </c>
      <c r="AA77">
        <v>1</v>
      </c>
      <c r="AB77">
        <v>8</v>
      </c>
      <c r="AC77">
        <v>3</v>
      </c>
      <c r="AD77">
        <v>0</v>
      </c>
      <c r="AE77">
        <v>9</v>
      </c>
      <c r="AF77" t="s">
        <v>128</v>
      </c>
      <c r="AG77">
        <v>0</v>
      </c>
      <c r="AH77">
        <v>3</v>
      </c>
      <c r="AI77">
        <v>1</v>
      </c>
      <c r="AJ77">
        <v>0</v>
      </c>
      <c r="AK77" t="s">
        <v>170</v>
      </c>
      <c r="AL77">
        <v>38.954880000000003</v>
      </c>
      <c r="AM77" t="s">
        <v>171</v>
      </c>
      <c r="AN77">
        <v>-121.080472</v>
      </c>
      <c r="AO77">
        <v>25</v>
      </c>
      <c r="AP77">
        <v>1600</v>
      </c>
      <c r="AQ77" t="s">
        <v>131</v>
      </c>
      <c r="AR77">
        <v>64</v>
      </c>
      <c r="AS77">
        <v>14</v>
      </c>
      <c r="AT77">
        <v>384</v>
      </c>
      <c r="BB77" t="str">
        <f t="shared" si="28"/>
        <v>1200</v>
      </c>
      <c r="BC77">
        <v>1</v>
      </c>
      <c r="BD77" t="str">
        <f t="shared" si="29"/>
        <v xml:space="preserve">N52156  </v>
      </c>
      <c r="BE77">
        <v>1</v>
      </c>
      <c r="BG77">
        <v>0</v>
      </c>
      <c r="BH77">
        <v>0</v>
      </c>
      <c r="BI77">
        <v>0</v>
      </c>
      <c r="BJ77">
        <v>1550</v>
      </c>
      <c r="BK77">
        <v>-50</v>
      </c>
      <c r="BL77" t="s">
        <v>132</v>
      </c>
      <c r="BM77">
        <v>1</v>
      </c>
      <c r="BN77">
        <v>1</v>
      </c>
      <c r="BO77">
        <v>0</v>
      </c>
      <c r="BP77">
        <v>0</v>
      </c>
      <c r="BS77">
        <v>0.12</v>
      </c>
      <c r="BT77">
        <v>0</v>
      </c>
      <c r="BU77">
        <v>0</v>
      </c>
      <c r="CE77" t="str">
        <f t="shared" si="33"/>
        <v>15:04:44.251</v>
      </c>
      <c r="CF77">
        <v>250689159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133</v>
      </c>
      <c r="DA77">
        <v>275</v>
      </c>
      <c r="DB77">
        <v>0</v>
      </c>
      <c r="DC77" t="s">
        <v>134</v>
      </c>
      <c r="DD77" t="s">
        <v>135</v>
      </c>
      <c r="DG77">
        <v>3317615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"05/01/2025 15:04:44.491"</f>
        <v>05/01/2025 15:04:44.491</v>
      </c>
      <c r="C78" t="str">
        <f t="shared" si="26"/>
        <v>FFDFD3C0</v>
      </c>
      <c r="D78" t="s">
        <v>124</v>
      </c>
      <c r="E78" t="str">
        <f>"06"</f>
        <v>06</v>
      </c>
      <c r="F78">
        <v>2006</v>
      </c>
      <c r="G78" t="s">
        <v>125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R78" t="s">
        <v>127</v>
      </c>
      <c r="S78" t="str">
        <f t="shared" si="32"/>
        <v>15:04:44.000</v>
      </c>
      <c r="T78" t="str">
        <f t="shared" si="32"/>
        <v>15:04:44.000</v>
      </c>
      <c r="U78" t="str">
        <f t="shared" si="27"/>
        <v>A68FCB</v>
      </c>
      <c r="V78">
        <v>0</v>
      </c>
      <c r="W78">
        <v>0</v>
      </c>
      <c r="X78">
        <v>2</v>
      </c>
      <c r="Y78">
        <v>0</v>
      </c>
      <c r="AA78">
        <v>1</v>
      </c>
      <c r="AB78">
        <v>8</v>
      </c>
      <c r="AC78">
        <v>3</v>
      </c>
      <c r="AD78">
        <v>0</v>
      </c>
      <c r="AE78">
        <v>9</v>
      </c>
      <c r="AF78" t="s">
        <v>128</v>
      </c>
      <c r="AG78">
        <v>0</v>
      </c>
      <c r="AH78">
        <v>3</v>
      </c>
      <c r="AI78">
        <v>1</v>
      </c>
      <c r="AJ78">
        <v>0</v>
      </c>
      <c r="AK78" t="s">
        <v>170</v>
      </c>
      <c r="AL78">
        <v>38.954880000000003</v>
      </c>
      <c r="AM78" t="s">
        <v>171</v>
      </c>
      <c r="AN78">
        <v>-121.080472</v>
      </c>
      <c r="AO78">
        <v>25</v>
      </c>
      <c r="AP78">
        <v>1600</v>
      </c>
      <c r="AQ78" t="s">
        <v>131</v>
      </c>
      <c r="AR78">
        <v>64</v>
      </c>
      <c r="AS78">
        <v>14</v>
      </c>
      <c r="AT78">
        <v>384</v>
      </c>
      <c r="BB78" t="str">
        <f t="shared" si="28"/>
        <v>1200</v>
      </c>
      <c r="BC78">
        <v>1</v>
      </c>
      <c r="BD78" t="str">
        <f t="shared" si="29"/>
        <v xml:space="preserve">N52156  </v>
      </c>
      <c r="BE78">
        <v>1</v>
      </c>
      <c r="BG78">
        <v>0</v>
      </c>
      <c r="BH78">
        <v>0</v>
      </c>
      <c r="BI78">
        <v>0</v>
      </c>
      <c r="BJ78">
        <v>1550</v>
      </c>
      <c r="BK78">
        <v>-50</v>
      </c>
      <c r="BL78" t="s">
        <v>132</v>
      </c>
      <c r="BM78">
        <v>1</v>
      </c>
      <c r="BN78">
        <v>1</v>
      </c>
      <c r="BO78">
        <v>0</v>
      </c>
      <c r="BP78">
        <v>0</v>
      </c>
      <c r="BS78">
        <v>0.12</v>
      </c>
      <c r="BT78">
        <v>0</v>
      </c>
      <c r="BU78">
        <v>0</v>
      </c>
      <c r="CE78" t="str">
        <f t="shared" si="33"/>
        <v>15:04:44.251</v>
      </c>
      <c r="CF78">
        <v>250689159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133</v>
      </c>
      <c r="DA78">
        <v>275</v>
      </c>
      <c r="DB78">
        <v>0</v>
      </c>
      <c r="DC78" t="s">
        <v>134</v>
      </c>
      <c r="DD78" t="s">
        <v>135</v>
      </c>
      <c r="DG78">
        <v>3317615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"05/01/2025 15:04:44.500"</f>
        <v>05/01/2025 15:04:44.500</v>
      </c>
      <c r="C79" t="str">
        <f t="shared" si="26"/>
        <v>FFDFD3C0</v>
      </c>
      <c r="D79" t="s">
        <v>136</v>
      </c>
      <c r="E79" t="str">
        <f>"20"</f>
        <v>20</v>
      </c>
      <c r="H79">
        <v>400</v>
      </c>
      <c r="I79" t="s">
        <v>137</v>
      </c>
      <c r="J79" t="s">
        <v>138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R79" t="s">
        <v>127</v>
      </c>
      <c r="S79" t="str">
        <f t="shared" si="32"/>
        <v>15:04:44.000</v>
      </c>
      <c r="T79" t="str">
        <f t="shared" si="32"/>
        <v>15:04:44.000</v>
      </c>
      <c r="U79" t="str">
        <f t="shared" si="27"/>
        <v>A68FCB</v>
      </c>
      <c r="V79">
        <v>0</v>
      </c>
      <c r="W79">
        <v>0</v>
      </c>
      <c r="X79">
        <v>2</v>
      </c>
      <c r="Y79">
        <v>0</v>
      </c>
      <c r="AA79">
        <v>1</v>
      </c>
      <c r="AB79">
        <v>8</v>
      </c>
      <c r="AC79">
        <v>3</v>
      </c>
      <c r="AD79">
        <v>0</v>
      </c>
      <c r="AE79">
        <v>9</v>
      </c>
      <c r="AF79" t="s">
        <v>128</v>
      </c>
      <c r="AG79">
        <v>0</v>
      </c>
      <c r="AH79">
        <v>3</v>
      </c>
      <c r="AI79">
        <v>1</v>
      </c>
      <c r="AJ79">
        <v>0</v>
      </c>
      <c r="AK79" t="s">
        <v>170</v>
      </c>
      <c r="AL79">
        <v>38.954880000000003</v>
      </c>
      <c r="AM79" t="s">
        <v>171</v>
      </c>
      <c r="AN79">
        <v>-121.080472</v>
      </c>
      <c r="AO79">
        <v>25</v>
      </c>
      <c r="AP79">
        <v>1600</v>
      </c>
      <c r="AQ79" t="s">
        <v>131</v>
      </c>
      <c r="AR79">
        <v>64</v>
      </c>
      <c r="AS79">
        <v>14</v>
      </c>
      <c r="AT79">
        <v>384</v>
      </c>
      <c r="BB79" t="str">
        <f t="shared" si="28"/>
        <v>1200</v>
      </c>
      <c r="BC79">
        <v>1</v>
      </c>
      <c r="BD79" t="str">
        <f t="shared" si="29"/>
        <v xml:space="preserve">N52156  </v>
      </c>
      <c r="BE79">
        <v>1</v>
      </c>
      <c r="BG79">
        <v>0</v>
      </c>
      <c r="BH79">
        <v>0</v>
      </c>
      <c r="BI79">
        <v>0</v>
      </c>
      <c r="BJ79">
        <v>1550</v>
      </c>
      <c r="BK79">
        <v>-50</v>
      </c>
      <c r="BL79" t="s">
        <v>132</v>
      </c>
      <c r="BM79">
        <v>1</v>
      </c>
      <c r="BN79">
        <v>1</v>
      </c>
      <c r="BO79">
        <v>0</v>
      </c>
      <c r="BP79">
        <v>0</v>
      </c>
      <c r="BS79">
        <v>0.12</v>
      </c>
      <c r="BT79">
        <v>0</v>
      </c>
      <c r="BU79">
        <v>0</v>
      </c>
      <c r="CE79" t="str">
        <f t="shared" si="33"/>
        <v>15:04:44.251</v>
      </c>
      <c r="CF79">
        <v>250689159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133</v>
      </c>
      <c r="DA79">
        <v>275</v>
      </c>
      <c r="DB79">
        <v>0</v>
      </c>
      <c r="DC79" t="s">
        <v>134</v>
      </c>
      <c r="DD79" t="s">
        <v>135</v>
      </c>
      <c r="DG79">
        <v>3317615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"05/01/2025 15:04:45.478"</f>
        <v>05/01/2025 15:04:45.478</v>
      </c>
      <c r="C80" t="str">
        <f t="shared" si="26"/>
        <v>FFDFD3C0</v>
      </c>
      <c r="D80" t="s">
        <v>140</v>
      </c>
      <c r="E80" t="str">
        <f>"13"</f>
        <v>13</v>
      </c>
      <c r="F80">
        <v>1019</v>
      </c>
      <c r="G80" t="s">
        <v>141</v>
      </c>
      <c r="J80" t="s">
        <v>142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R80" t="s">
        <v>127</v>
      </c>
      <c r="S80" t="str">
        <f t="shared" ref="S80:T85" si="34">"15:04:45.000"</f>
        <v>15:04:45.000</v>
      </c>
      <c r="T80" t="str">
        <f t="shared" si="34"/>
        <v>15:04:45.000</v>
      </c>
      <c r="U80" t="str">
        <f t="shared" si="27"/>
        <v>A68FCB</v>
      </c>
      <c r="V80">
        <v>0</v>
      </c>
      <c r="W80">
        <v>0</v>
      </c>
      <c r="X80">
        <v>2</v>
      </c>
      <c r="Y80">
        <v>0</v>
      </c>
      <c r="AA80">
        <v>1</v>
      </c>
      <c r="AB80">
        <v>8</v>
      </c>
      <c r="AC80">
        <v>3</v>
      </c>
      <c r="AD80">
        <v>0</v>
      </c>
      <c r="AE80">
        <v>9</v>
      </c>
      <c r="AF80" t="s">
        <v>128</v>
      </c>
      <c r="AG80">
        <v>0</v>
      </c>
      <c r="AH80">
        <v>3</v>
      </c>
      <c r="AI80">
        <v>1</v>
      </c>
      <c r="AJ80">
        <v>0</v>
      </c>
      <c r="AK80" t="s">
        <v>172</v>
      </c>
      <c r="AL80">
        <v>38.954988</v>
      </c>
      <c r="AM80" t="s">
        <v>173</v>
      </c>
      <c r="AN80">
        <v>-121.080065</v>
      </c>
      <c r="AO80">
        <v>25</v>
      </c>
      <c r="AP80">
        <v>1600</v>
      </c>
      <c r="AQ80" t="s">
        <v>131</v>
      </c>
      <c r="AR80">
        <v>69</v>
      </c>
      <c r="AS80">
        <v>21</v>
      </c>
      <c r="AT80">
        <v>-256</v>
      </c>
      <c r="BB80" t="str">
        <f t="shared" si="28"/>
        <v>1200</v>
      </c>
      <c r="BC80">
        <v>1</v>
      </c>
      <c r="BD80" t="str">
        <f t="shared" si="29"/>
        <v xml:space="preserve">N52156  </v>
      </c>
      <c r="BE80">
        <v>1</v>
      </c>
      <c r="BG80">
        <v>0</v>
      </c>
      <c r="BH80">
        <v>0</v>
      </c>
      <c r="BI80">
        <v>0</v>
      </c>
      <c r="BJ80">
        <v>1550</v>
      </c>
      <c r="BK80">
        <v>-50</v>
      </c>
      <c r="BL80" t="s">
        <v>132</v>
      </c>
      <c r="BM80">
        <v>1</v>
      </c>
      <c r="BN80">
        <v>1</v>
      </c>
      <c r="BO80">
        <v>0</v>
      </c>
      <c r="BP80">
        <v>0</v>
      </c>
      <c r="BS80">
        <v>0.12</v>
      </c>
      <c r="BT80">
        <v>0</v>
      </c>
      <c r="BU80">
        <v>0</v>
      </c>
      <c r="CE80" t="str">
        <f t="shared" ref="CE80:CE85" si="35">"15:04:45.238"</f>
        <v>15:04:45.238</v>
      </c>
      <c r="CF80">
        <v>237689422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133</v>
      </c>
      <c r="DA80">
        <v>275</v>
      </c>
      <c r="DB80">
        <v>0</v>
      </c>
      <c r="DC80" t="s">
        <v>134</v>
      </c>
      <c r="DD80" t="s">
        <v>135</v>
      </c>
      <c r="DG80">
        <v>3317629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"05/01/2025 15:04:45.484"</f>
        <v>05/01/2025 15:04:45.484</v>
      </c>
      <c r="C81" t="str">
        <f t="shared" si="26"/>
        <v>FFDFD3C0</v>
      </c>
      <c r="D81" t="s">
        <v>143</v>
      </c>
      <c r="E81" t="str">
        <f>"05"</f>
        <v>05</v>
      </c>
      <c r="H81">
        <v>172</v>
      </c>
      <c r="I81" t="s">
        <v>141</v>
      </c>
      <c r="J81" t="s">
        <v>144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R81" t="s">
        <v>127</v>
      </c>
      <c r="S81" t="str">
        <f t="shared" si="34"/>
        <v>15:04:45.000</v>
      </c>
      <c r="T81" t="str">
        <f t="shared" si="34"/>
        <v>15:04:45.000</v>
      </c>
      <c r="U81" t="str">
        <f t="shared" si="27"/>
        <v>A68FCB</v>
      </c>
      <c r="V81">
        <v>0</v>
      </c>
      <c r="W81">
        <v>0</v>
      </c>
      <c r="X81">
        <v>2</v>
      </c>
      <c r="Y81">
        <v>0</v>
      </c>
      <c r="AA81">
        <v>1</v>
      </c>
      <c r="AB81">
        <v>8</v>
      </c>
      <c r="AC81">
        <v>3</v>
      </c>
      <c r="AD81">
        <v>0</v>
      </c>
      <c r="AE81">
        <v>9</v>
      </c>
      <c r="AF81" t="s">
        <v>128</v>
      </c>
      <c r="AG81">
        <v>0</v>
      </c>
      <c r="AH81">
        <v>3</v>
      </c>
      <c r="AI81">
        <v>1</v>
      </c>
      <c r="AJ81">
        <v>0</v>
      </c>
      <c r="AK81" t="s">
        <v>172</v>
      </c>
      <c r="AL81">
        <v>38.954988</v>
      </c>
      <c r="AM81" t="s">
        <v>173</v>
      </c>
      <c r="AN81">
        <v>-121.080065</v>
      </c>
      <c r="AO81">
        <v>25</v>
      </c>
      <c r="AP81">
        <v>1600</v>
      </c>
      <c r="AQ81" t="s">
        <v>131</v>
      </c>
      <c r="AR81">
        <v>69</v>
      </c>
      <c r="AS81">
        <v>21</v>
      </c>
      <c r="AT81">
        <v>-256</v>
      </c>
      <c r="BB81" t="str">
        <f t="shared" si="28"/>
        <v>1200</v>
      </c>
      <c r="BC81">
        <v>1</v>
      </c>
      <c r="BD81" t="str">
        <f t="shared" si="29"/>
        <v xml:space="preserve">N52156  </v>
      </c>
      <c r="BE81">
        <v>1</v>
      </c>
      <c r="BG81">
        <v>0</v>
      </c>
      <c r="BH81">
        <v>0</v>
      </c>
      <c r="BI81">
        <v>0</v>
      </c>
      <c r="BJ81">
        <v>1550</v>
      </c>
      <c r="BK81">
        <v>-50</v>
      </c>
      <c r="BL81" t="s">
        <v>132</v>
      </c>
      <c r="BM81">
        <v>1</v>
      </c>
      <c r="BN81">
        <v>1</v>
      </c>
      <c r="BO81">
        <v>0</v>
      </c>
      <c r="BP81">
        <v>0</v>
      </c>
      <c r="BS81">
        <v>0.12</v>
      </c>
      <c r="BT81">
        <v>0</v>
      </c>
      <c r="BU81">
        <v>0</v>
      </c>
      <c r="CE81" t="str">
        <f t="shared" si="35"/>
        <v>15:04:45.238</v>
      </c>
      <c r="CF81">
        <v>237689422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133</v>
      </c>
      <c r="DA81">
        <v>275</v>
      </c>
      <c r="DB81">
        <v>0</v>
      </c>
      <c r="DC81" t="s">
        <v>134</v>
      </c>
      <c r="DD81" t="s">
        <v>135</v>
      </c>
      <c r="DG81">
        <v>3317629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"05/01/2025 15:04:45.489"</f>
        <v>05/01/2025 15:04:45.489</v>
      </c>
      <c r="C82" t="str">
        <f t="shared" si="26"/>
        <v>FFDFD3C0</v>
      </c>
      <c r="D82" t="s">
        <v>145</v>
      </c>
      <c r="E82" t="str">
        <f>"09"</f>
        <v>09</v>
      </c>
      <c r="H82">
        <v>51</v>
      </c>
      <c r="I82" t="s">
        <v>147</v>
      </c>
      <c r="J82" t="s">
        <v>138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R82" t="s">
        <v>127</v>
      </c>
      <c r="S82" t="str">
        <f t="shared" si="34"/>
        <v>15:04:45.000</v>
      </c>
      <c r="T82" t="str">
        <f t="shared" si="34"/>
        <v>15:04:45.000</v>
      </c>
      <c r="U82" t="str">
        <f t="shared" si="27"/>
        <v>A68FCB</v>
      </c>
      <c r="V82">
        <v>0</v>
      </c>
      <c r="W82">
        <v>0</v>
      </c>
      <c r="X82">
        <v>2</v>
      </c>
      <c r="Y82">
        <v>0</v>
      </c>
      <c r="AA82">
        <v>1</v>
      </c>
      <c r="AB82">
        <v>8</v>
      </c>
      <c r="AC82">
        <v>3</v>
      </c>
      <c r="AD82">
        <v>0</v>
      </c>
      <c r="AE82">
        <v>9</v>
      </c>
      <c r="AF82" t="s">
        <v>128</v>
      </c>
      <c r="AG82">
        <v>0</v>
      </c>
      <c r="AH82">
        <v>3</v>
      </c>
      <c r="AI82">
        <v>1</v>
      </c>
      <c r="AJ82">
        <v>0</v>
      </c>
      <c r="AK82" t="s">
        <v>172</v>
      </c>
      <c r="AL82">
        <v>38.954988</v>
      </c>
      <c r="AM82" t="s">
        <v>173</v>
      </c>
      <c r="AN82">
        <v>-121.080065</v>
      </c>
      <c r="AO82">
        <v>25</v>
      </c>
      <c r="AP82">
        <v>1600</v>
      </c>
      <c r="AQ82" t="s">
        <v>131</v>
      </c>
      <c r="AR82">
        <v>69</v>
      </c>
      <c r="AS82">
        <v>21</v>
      </c>
      <c r="AT82">
        <v>-256</v>
      </c>
      <c r="BB82" t="str">
        <f t="shared" si="28"/>
        <v>1200</v>
      </c>
      <c r="BC82">
        <v>1</v>
      </c>
      <c r="BD82" t="str">
        <f t="shared" si="29"/>
        <v xml:space="preserve">N52156  </v>
      </c>
      <c r="BE82">
        <v>1</v>
      </c>
      <c r="BG82">
        <v>0</v>
      </c>
      <c r="BH82">
        <v>0</v>
      </c>
      <c r="BI82">
        <v>0</v>
      </c>
      <c r="BJ82">
        <v>1550</v>
      </c>
      <c r="BK82">
        <v>-50</v>
      </c>
      <c r="BL82" t="s">
        <v>132</v>
      </c>
      <c r="BM82">
        <v>1</v>
      </c>
      <c r="BN82">
        <v>1</v>
      </c>
      <c r="BO82">
        <v>0</v>
      </c>
      <c r="BP82">
        <v>0</v>
      </c>
      <c r="BS82">
        <v>0.12</v>
      </c>
      <c r="BT82">
        <v>0</v>
      </c>
      <c r="BU82">
        <v>0</v>
      </c>
      <c r="CE82" t="str">
        <f t="shared" si="35"/>
        <v>15:04:45.238</v>
      </c>
      <c r="CF82">
        <v>237689422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133</v>
      </c>
      <c r="DA82">
        <v>275</v>
      </c>
      <c r="DB82">
        <v>0</v>
      </c>
      <c r="DC82" t="s">
        <v>134</v>
      </c>
      <c r="DD82" t="s">
        <v>135</v>
      </c>
      <c r="DG82">
        <v>3317629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"05/01/2025 15:04:45.489"</f>
        <v>05/01/2025 15:04:45.489</v>
      </c>
      <c r="C83" t="str">
        <f t="shared" si="26"/>
        <v>FFDFD3C0</v>
      </c>
      <c r="D83" t="s">
        <v>145</v>
      </c>
      <c r="E83" t="str">
        <f>"05"</f>
        <v>05</v>
      </c>
      <c r="H83">
        <v>47</v>
      </c>
      <c r="I83" t="s">
        <v>146</v>
      </c>
      <c r="J83" t="s">
        <v>138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R83" t="s">
        <v>127</v>
      </c>
      <c r="S83" t="str">
        <f t="shared" si="34"/>
        <v>15:04:45.000</v>
      </c>
      <c r="T83" t="str">
        <f t="shared" si="34"/>
        <v>15:04:45.000</v>
      </c>
      <c r="U83" t="str">
        <f t="shared" si="27"/>
        <v>A68FCB</v>
      </c>
      <c r="V83">
        <v>0</v>
      </c>
      <c r="W83">
        <v>0</v>
      </c>
      <c r="X83">
        <v>2</v>
      </c>
      <c r="Y83">
        <v>0</v>
      </c>
      <c r="AA83">
        <v>1</v>
      </c>
      <c r="AB83">
        <v>8</v>
      </c>
      <c r="AC83">
        <v>3</v>
      </c>
      <c r="AD83">
        <v>0</v>
      </c>
      <c r="AE83">
        <v>9</v>
      </c>
      <c r="AF83" t="s">
        <v>128</v>
      </c>
      <c r="AG83">
        <v>0</v>
      </c>
      <c r="AH83">
        <v>3</v>
      </c>
      <c r="AI83">
        <v>1</v>
      </c>
      <c r="AJ83">
        <v>0</v>
      </c>
      <c r="AK83" t="s">
        <v>172</v>
      </c>
      <c r="AL83">
        <v>38.954988</v>
      </c>
      <c r="AM83" t="s">
        <v>173</v>
      </c>
      <c r="AN83">
        <v>-121.080065</v>
      </c>
      <c r="AO83">
        <v>25</v>
      </c>
      <c r="AP83">
        <v>1600</v>
      </c>
      <c r="AQ83" t="s">
        <v>131</v>
      </c>
      <c r="AR83">
        <v>69</v>
      </c>
      <c r="AS83">
        <v>21</v>
      </c>
      <c r="AT83">
        <v>-256</v>
      </c>
      <c r="BB83" t="str">
        <f t="shared" si="28"/>
        <v>1200</v>
      </c>
      <c r="BC83">
        <v>1</v>
      </c>
      <c r="BD83" t="str">
        <f t="shared" si="29"/>
        <v xml:space="preserve">N52156  </v>
      </c>
      <c r="BE83">
        <v>1</v>
      </c>
      <c r="BG83">
        <v>0</v>
      </c>
      <c r="BH83">
        <v>0</v>
      </c>
      <c r="BI83">
        <v>0</v>
      </c>
      <c r="BJ83">
        <v>1550</v>
      </c>
      <c r="BK83">
        <v>-50</v>
      </c>
      <c r="BL83" t="s">
        <v>132</v>
      </c>
      <c r="BM83">
        <v>1</v>
      </c>
      <c r="BN83">
        <v>1</v>
      </c>
      <c r="BO83">
        <v>0</v>
      </c>
      <c r="BP83">
        <v>0</v>
      </c>
      <c r="BS83">
        <v>0.12</v>
      </c>
      <c r="BT83">
        <v>0</v>
      </c>
      <c r="BU83">
        <v>0</v>
      </c>
      <c r="CE83" t="str">
        <f t="shared" si="35"/>
        <v>15:04:45.238</v>
      </c>
      <c r="CF83">
        <v>237689422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133</v>
      </c>
      <c r="DA83">
        <v>275</v>
      </c>
      <c r="DB83">
        <v>0</v>
      </c>
      <c r="DC83" t="s">
        <v>134</v>
      </c>
      <c r="DD83" t="s">
        <v>135</v>
      </c>
      <c r="DG83">
        <v>3317629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"05/01/2025 15:04:45.492"</f>
        <v>05/01/2025 15:04:45.492</v>
      </c>
      <c r="C84" t="str">
        <f t="shared" si="26"/>
        <v>FFDFD3C0</v>
      </c>
      <c r="D84" t="s">
        <v>124</v>
      </c>
      <c r="E84" t="str">
        <f>"06"</f>
        <v>06</v>
      </c>
      <c r="F84">
        <v>2006</v>
      </c>
      <c r="G84" t="s">
        <v>125</v>
      </c>
      <c r="J84" t="s">
        <v>126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R84" t="s">
        <v>127</v>
      </c>
      <c r="S84" t="str">
        <f t="shared" si="34"/>
        <v>15:04:45.000</v>
      </c>
      <c r="T84" t="str">
        <f t="shared" si="34"/>
        <v>15:04:45.000</v>
      </c>
      <c r="U84" t="str">
        <f t="shared" si="27"/>
        <v>A68FCB</v>
      </c>
      <c r="V84">
        <v>0</v>
      </c>
      <c r="W84">
        <v>0</v>
      </c>
      <c r="X84">
        <v>2</v>
      </c>
      <c r="Y84">
        <v>0</v>
      </c>
      <c r="AA84">
        <v>1</v>
      </c>
      <c r="AB84">
        <v>8</v>
      </c>
      <c r="AC84">
        <v>3</v>
      </c>
      <c r="AD84">
        <v>0</v>
      </c>
      <c r="AE84">
        <v>9</v>
      </c>
      <c r="AF84" t="s">
        <v>128</v>
      </c>
      <c r="AG84">
        <v>0</v>
      </c>
      <c r="AH84">
        <v>3</v>
      </c>
      <c r="AI84">
        <v>1</v>
      </c>
      <c r="AJ84">
        <v>0</v>
      </c>
      <c r="AK84" t="s">
        <v>172</v>
      </c>
      <c r="AL84">
        <v>38.954988</v>
      </c>
      <c r="AM84" t="s">
        <v>173</v>
      </c>
      <c r="AN84">
        <v>-121.080065</v>
      </c>
      <c r="AO84">
        <v>25</v>
      </c>
      <c r="AP84">
        <v>1600</v>
      </c>
      <c r="AQ84" t="s">
        <v>131</v>
      </c>
      <c r="AR84">
        <v>69</v>
      </c>
      <c r="AS84">
        <v>21</v>
      </c>
      <c r="AT84">
        <v>-256</v>
      </c>
      <c r="BB84" t="str">
        <f t="shared" si="28"/>
        <v>1200</v>
      </c>
      <c r="BC84">
        <v>1</v>
      </c>
      <c r="BD84" t="str">
        <f t="shared" si="29"/>
        <v xml:space="preserve">N52156  </v>
      </c>
      <c r="BE84">
        <v>1</v>
      </c>
      <c r="BG84">
        <v>0</v>
      </c>
      <c r="BH84">
        <v>0</v>
      </c>
      <c r="BI84">
        <v>0</v>
      </c>
      <c r="BJ84">
        <v>1550</v>
      </c>
      <c r="BK84">
        <v>-50</v>
      </c>
      <c r="BL84" t="s">
        <v>132</v>
      </c>
      <c r="BM84">
        <v>1</v>
      </c>
      <c r="BN84">
        <v>1</v>
      </c>
      <c r="BO84">
        <v>0</v>
      </c>
      <c r="BP84">
        <v>0</v>
      </c>
      <c r="BS84">
        <v>0.12</v>
      </c>
      <c r="BT84">
        <v>0</v>
      </c>
      <c r="BU84">
        <v>0</v>
      </c>
      <c r="CE84" t="str">
        <f t="shared" si="35"/>
        <v>15:04:45.238</v>
      </c>
      <c r="CF84">
        <v>237689422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133</v>
      </c>
      <c r="DA84">
        <v>275</v>
      </c>
      <c r="DB84">
        <v>0</v>
      </c>
      <c r="DC84" t="s">
        <v>134</v>
      </c>
      <c r="DD84" t="s">
        <v>135</v>
      </c>
      <c r="DG84">
        <v>3317629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"05/01/2025 15:04:45.501"</f>
        <v>05/01/2025 15:04:45.501</v>
      </c>
      <c r="C85" t="str">
        <f t="shared" si="26"/>
        <v>FFDFD3C0</v>
      </c>
      <c r="D85" t="s">
        <v>136</v>
      </c>
      <c r="E85" t="str">
        <f>"20"</f>
        <v>20</v>
      </c>
      <c r="H85">
        <v>400</v>
      </c>
      <c r="I85" t="s">
        <v>137</v>
      </c>
      <c r="J85" t="s">
        <v>138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R85" t="s">
        <v>127</v>
      </c>
      <c r="S85" t="str">
        <f t="shared" si="34"/>
        <v>15:04:45.000</v>
      </c>
      <c r="T85" t="str">
        <f t="shared" si="34"/>
        <v>15:04:45.000</v>
      </c>
      <c r="U85" t="str">
        <f t="shared" si="27"/>
        <v>A68FCB</v>
      </c>
      <c r="V85">
        <v>0</v>
      </c>
      <c r="W85">
        <v>0</v>
      </c>
      <c r="X85">
        <v>2</v>
      </c>
      <c r="Y85">
        <v>0</v>
      </c>
      <c r="AA85">
        <v>1</v>
      </c>
      <c r="AB85">
        <v>8</v>
      </c>
      <c r="AC85">
        <v>3</v>
      </c>
      <c r="AD85">
        <v>0</v>
      </c>
      <c r="AE85">
        <v>9</v>
      </c>
      <c r="AF85" t="s">
        <v>128</v>
      </c>
      <c r="AG85">
        <v>0</v>
      </c>
      <c r="AH85">
        <v>3</v>
      </c>
      <c r="AI85">
        <v>1</v>
      </c>
      <c r="AJ85">
        <v>0</v>
      </c>
      <c r="AK85" t="s">
        <v>172</v>
      </c>
      <c r="AL85">
        <v>38.954988</v>
      </c>
      <c r="AM85" t="s">
        <v>173</v>
      </c>
      <c r="AN85">
        <v>-121.080065</v>
      </c>
      <c r="AO85">
        <v>25</v>
      </c>
      <c r="AP85">
        <v>1600</v>
      </c>
      <c r="AQ85" t="s">
        <v>131</v>
      </c>
      <c r="AR85">
        <v>69</v>
      </c>
      <c r="AS85">
        <v>21</v>
      </c>
      <c r="AT85">
        <v>-256</v>
      </c>
      <c r="BB85" t="str">
        <f t="shared" si="28"/>
        <v>1200</v>
      </c>
      <c r="BC85">
        <v>1</v>
      </c>
      <c r="BD85" t="str">
        <f t="shared" si="29"/>
        <v xml:space="preserve">N52156  </v>
      </c>
      <c r="BE85">
        <v>1</v>
      </c>
      <c r="BG85">
        <v>0</v>
      </c>
      <c r="BH85">
        <v>0</v>
      </c>
      <c r="BI85">
        <v>0</v>
      </c>
      <c r="BJ85">
        <v>1550</v>
      </c>
      <c r="BK85">
        <v>-50</v>
      </c>
      <c r="BL85" t="s">
        <v>132</v>
      </c>
      <c r="BM85">
        <v>1</v>
      </c>
      <c r="BN85">
        <v>1</v>
      </c>
      <c r="BO85">
        <v>0</v>
      </c>
      <c r="BP85">
        <v>0</v>
      </c>
      <c r="BS85">
        <v>0.12</v>
      </c>
      <c r="BT85">
        <v>0</v>
      </c>
      <c r="BU85">
        <v>0</v>
      </c>
      <c r="CE85" t="str">
        <f t="shared" si="35"/>
        <v>15:04:45.238</v>
      </c>
      <c r="CF85">
        <v>237689422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133</v>
      </c>
      <c r="DA85">
        <v>275</v>
      </c>
      <c r="DB85">
        <v>0</v>
      </c>
      <c r="DC85" t="s">
        <v>134</v>
      </c>
      <c r="DD85" t="s">
        <v>135</v>
      </c>
      <c r="DG85">
        <v>3317629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"05/01/2025 15:04:47.082"</f>
        <v>05/01/2025 15:04:47.082</v>
      </c>
      <c r="C86" t="str">
        <f t="shared" si="26"/>
        <v>FFDFD3C0</v>
      </c>
      <c r="D86" t="s">
        <v>140</v>
      </c>
      <c r="E86" t="str">
        <f>"13"</f>
        <v>13</v>
      </c>
      <c r="F86">
        <v>1019</v>
      </c>
      <c r="G86" t="s">
        <v>141</v>
      </c>
      <c r="J86" t="s">
        <v>142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R86" t="s">
        <v>127</v>
      </c>
      <c r="S86" t="str">
        <f t="shared" ref="S86:T91" si="36">"15:04:46.000"</f>
        <v>15:04:46.000</v>
      </c>
      <c r="T86" t="str">
        <f t="shared" si="36"/>
        <v>15:04:46.000</v>
      </c>
      <c r="U86" t="str">
        <f t="shared" si="27"/>
        <v>A68FCB</v>
      </c>
      <c r="V86">
        <v>0</v>
      </c>
      <c r="W86">
        <v>0</v>
      </c>
      <c r="X86">
        <v>2</v>
      </c>
      <c r="Y86">
        <v>0</v>
      </c>
      <c r="AA86">
        <v>1</v>
      </c>
      <c r="AB86">
        <v>8</v>
      </c>
      <c r="AC86">
        <v>3</v>
      </c>
      <c r="AD86">
        <v>0</v>
      </c>
      <c r="AE86">
        <v>9</v>
      </c>
      <c r="AF86" t="s">
        <v>128</v>
      </c>
      <c r="AG86">
        <v>0</v>
      </c>
      <c r="AH86">
        <v>3</v>
      </c>
      <c r="AI86">
        <v>1</v>
      </c>
      <c r="AJ86">
        <v>0</v>
      </c>
      <c r="AK86" t="s">
        <v>174</v>
      </c>
      <c r="AL86">
        <v>38.955052000000002</v>
      </c>
      <c r="AM86" t="s">
        <v>175</v>
      </c>
      <c r="AN86">
        <v>-121.079657</v>
      </c>
      <c r="AO86">
        <v>25</v>
      </c>
      <c r="AP86">
        <v>1600</v>
      </c>
      <c r="AQ86" t="s">
        <v>131</v>
      </c>
      <c r="AR86">
        <v>62</v>
      </c>
      <c r="AS86">
        <v>0</v>
      </c>
      <c r="AT86">
        <v>0</v>
      </c>
      <c r="BB86" t="str">
        <f t="shared" si="28"/>
        <v>1200</v>
      </c>
      <c r="BC86">
        <v>1</v>
      </c>
      <c r="BD86" t="str">
        <f t="shared" si="29"/>
        <v xml:space="preserve">N52156  </v>
      </c>
      <c r="BE86">
        <v>1</v>
      </c>
      <c r="BG86">
        <v>0</v>
      </c>
      <c r="BH86">
        <v>0</v>
      </c>
      <c r="BI86">
        <v>0</v>
      </c>
      <c r="BJ86">
        <v>1550</v>
      </c>
      <c r="BK86">
        <v>-50</v>
      </c>
      <c r="BL86" t="s">
        <v>132</v>
      </c>
      <c r="BM86">
        <v>1</v>
      </c>
      <c r="BN86">
        <v>1</v>
      </c>
      <c r="BO86">
        <v>0</v>
      </c>
      <c r="BP86">
        <v>0</v>
      </c>
      <c r="BS86">
        <v>0.12</v>
      </c>
      <c r="BT86">
        <v>0</v>
      </c>
      <c r="BU86">
        <v>0</v>
      </c>
      <c r="CE86" t="str">
        <f t="shared" ref="CE86:CE91" si="37">"15:04:46.865"</f>
        <v>15:04:46.865</v>
      </c>
      <c r="CF86">
        <v>864941151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133</v>
      </c>
      <c r="DA86">
        <v>275</v>
      </c>
      <c r="DB86">
        <v>0</v>
      </c>
      <c r="DC86" t="s">
        <v>134</v>
      </c>
      <c r="DD86" t="s">
        <v>135</v>
      </c>
      <c r="DG86">
        <v>3317644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"05/01/2025 15:04:47.087"</f>
        <v>05/01/2025 15:04:47.087</v>
      </c>
      <c r="C87" t="str">
        <f t="shared" si="26"/>
        <v>FFDFD3C0</v>
      </c>
      <c r="D87" t="s">
        <v>143</v>
      </c>
      <c r="E87" t="str">
        <f>"05"</f>
        <v>05</v>
      </c>
      <c r="H87">
        <v>172</v>
      </c>
      <c r="I87" t="s">
        <v>141</v>
      </c>
      <c r="J87" t="s">
        <v>144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R87" t="s">
        <v>127</v>
      </c>
      <c r="S87" t="str">
        <f t="shared" si="36"/>
        <v>15:04:46.000</v>
      </c>
      <c r="T87" t="str">
        <f t="shared" si="36"/>
        <v>15:04:46.000</v>
      </c>
      <c r="U87" t="str">
        <f t="shared" si="27"/>
        <v>A68FCB</v>
      </c>
      <c r="V87">
        <v>0</v>
      </c>
      <c r="W87">
        <v>0</v>
      </c>
      <c r="X87">
        <v>2</v>
      </c>
      <c r="Y87">
        <v>0</v>
      </c>
      <c r="AA87">
        <v>1</v>
      </c>
      <c r="AB87">
        <v>8</v>
      </c>
      <c r="AC87">
        <v>3</v>
      </c>
      <c r="AD87">
        <v>0</v>
      </c>
      <c r="AE87">
        <v>9</v>
      </c>
      <c r="AF87" t="s">
        <v>128</v>
      </c>
      <c r="AG87">
        <v>0</v>
      </c>
      <c r="AH87">
        <v>3</v>
      </c>
      <c r="AI87">
        <v>1</v>
      </c>
      <c r="AJ87">
        <v>0</v>
      </c>
      <c r="AK87" t="s">
        <v>174</v>
      </c>
      <c r="AL87">
        <v>38.955052000000002</v>
      </c>
      <c r="AM87" t="s">
        <v>175</v>
      </c>
      <c r="AN87">
        <v>-121.079657</v>
      </c>
      <c r="AO87">
        <v>25</v>
      </c>
      <c r="AP87">
        <v>1600</v>
      </c>
      <c r="AQ87" t="s">
        <v>131</v>
      </c>
      <c r="AR87">
        <v>62</v>
      </c>
      <c r="AS87">
        <v>0</v>
      </c>
      <c r="AT87">
        <v>0</v>
      </c>
      <c r="BB87" t="str">
        <f t="shared" si="28"/>
        <v>1200</v>
      </c>
      <c r="BC87">
        <v>1</v>
      </c>
      <c r="BD87" t="str">
        <f t="shared" si="29"/>
        <v xml:space="preserve">N52156  </v>
      </c>
      <c r="BE87">
        <v>1</v>
      </c>
      <c r="BG87">
        <v>0</v>
      </c>
      <c r="BH87">
        <v>0</v>
      </c>
      <c r="BI87">
        <v>0</v>
      </c>
      <c r="BJ87">
        <v>1550</v>
      </c>
      <c r="BK87">
        <v>-50</v>
      </c>
      <c r="BL87" t="s">
        <v>132</v>
      </c>
      <c r="BM87">
        <v>1</v>
      </c>
      <c r="BN87">
        <v>1</v>
      </c>
      <c r="BO87">
        <v>0</v>
      </c>
      <c r="BP87">
        <v>0</v>
      </c>
      <c r="BS87">
        <v>0.12</v>
      </c>
      <c r="BT87">
        <v>0</v>
      </c>
      <c r="BU87">
        <v>0</v>
      </c>
      <c r="CE87" t="str">
        <f t="shared" si="37"/>
        <v>15:04:46.865</v>
      </c>
      <c r="CF87">
        <v>864941151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133</v>
      </c>
      <c r="DA87">
        <v>275</v>
      </c>
      <c r="DB87">
        <v>0</v>
      </c>
      <c r="DC87" t="s">
        <v>134</v>
      </c>
      <c r="DD87" t="s">
        <v>135</v>
      </c>
      <c r="DG87">
        <v>3317644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"05/01/2025 15:04:47.091"</f>
        <v>05/01/2025 15:04:47.091</v>
      </c>
      <c r="C88" t="str">
        <f t="shared" si="26"/>
        <v>FFDFD3C0</v>
      </c>
      <c r="D88" t="s">
        <v>145</v>
      </c>
      <c r="E88" t="str">
        <f>"05"</f>
        <v>05</v>
      </c>
      <c r="H88">
        <v>47</v>
      </c>
      <c r="I88" t="s">
        <v>146</v>
      </c>
      <c r="J88" t="s">
        <v>138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R88" t="s">
        <v>127</v>
      </c>
      <c r="S88" t="str">
        <f t="shared" si="36"/>
        <v>15:04:46.000</v>
      </c>
      <c r="T88" t="str">
        <f t="shared" si="36"/>
        <v>15:04:46.000</v>
      </c>
      <c r="U88" t="str">
        <f t="shared" si="27"/>
        <v>A68FCB</v>
      </c>
      <c r="V88">
        <v>0</v>
      </c>
      <c r="W88">
        <v>0</v>
      </c>
      <c r="X88">
        <v>2</v>
      </c>
      <c r="Y88">
        <v>0</v>
      </c>
      <c r="AA88">
        <v>1</v>
      </c>
      <c r="AB88">
        <v>8</v>
      </c>
      <c r="AC88">
        <v>3</v>
      </c>
      <c r="AD88">
        <v>0</v>
      </c>
      <c r="AE88">
        <v>9</v>
      </c>
      <c r="AF88" t="s">
        <v>128</v>
      </c>
      <c r="AG88">
        <v>0</v>
      </c>
      <c r="AH88">
        <v>3</v>
      </c>
      <c r="AI88">
        <v>1</v>
      </c>
      <c r="AJ88">
        <v>0</v>
      </c>
      <c r="AK88" t="s">
        <v>174</v>
      </c>
      <c r="AL88">
        <v>38.955052000000002</v>
      </c>
      <c r="AM88" t="s">
        <v>175</v>
      </c>
      <c r="AN88">
        <v>-121.079657</v>
      </c>
      <c r="AO88">
        <v>25</v>
      </c>
      <c r="AP88">
        <v>1600</v>
      </c>
      <c r="AQ88" t="s">
        <v>131</v>
      </c>
      <c r="AR88">
        <v>62</v>
      </c>
      <c r="AS88">
        <v>0</v>
      </c>
      <c r="AT88">
        <v>0</v>
      </c>
      <c r="BB88" t="str">
        <f t="shared" si="28"/>
        <v>1200</v>
      </c>
      <c r="BC88">
        <v>1</v>
      </c>
      <c r="BD88" t="str">
        <f t="shared" si="29"/>
        <v xml:space="preserve">N52156  </v>
      </c>
      <c r="BE88">
        <v>1</v>
      </c>
      <c r="BG88">
        <v>0</v>
      </c>
      <c r="BH88">
        <v>0</v>
      </c>
      <c r="BI88">
        <v>0</v>
      </c>
      <c r="BJ88">
        <v>1550</v>
      </c>
      <c r="BK88">
        <v>-50</v>
      </c>
      <c r="BL88" t="s">
        <v>132</v>
      </c>
      <c r="BM88">
        <v>1</v>
      </c>
      <c r="BN88">
        <v>1</v>
      </c>
      <c r="BO88">
        <v>0</v>
      </c>
      <c r="BP88">
        <v>0</v>
      </c>
      <c r="BS88">
        <v>0.12</v>
      </c>
      <c r="BT88">
        <v>0</v>
      </c>
      <c r="BU88">
        <v>0</v>
      </c>
      <c r="CE88" t="str">
        <f t="shared" si="37"/>
        <v>15:04:46.865</v>
      </c>
      <c r="CF88">
        <v>864941151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133</v>
      </c>
      <c r="DA88">
        <v>275</v>
      </c>
      <c r="DB88">
        <v>0</v>
      </c>
      <c r="DC88" t="s">
        <v>134</v>
      </c>
      <c r="DD88" t="s">
        <v>135</v>
      </c>
      <c r="DG88">
        <v>3317644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"05/01/2025 15:04:47.094"</f>
        <v>05/01/2025 15:04:47.094</v>
      </c>
      <c r="C89" t="str">
        <f t="shared" si="26"/>
        <v>FFDFD3C0</v>
      </c>
      <c r="D89" t="s">
        <v>124</v>
      </c>
      <c r="E89" t="str">
        <f>"06"</f>
        <v>06</v>
      </c>
      <c r="F89">
        <v>2006</v>
      </c>
      <c r="G89" t="s">
        <v>125</v>
      </c>
      <c r="J89" t="s">
        <v>126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R89" t="s">
        <v>127</v>
      </c>
      <c r="S89" t="str">
        <f t="shared" si="36"/>
        <v>15:04:46.000</v>
      </c>
      <c r="T89" t="str">
        <f t="shared" si="36"/>
        <v>15:04:46.000</v>
      </c>
      <c r="U89" t="str">
        <f t="shared" si="27"/>
        <v>A68FCB</v>
      </c>
      <c r="V89">
        <v>0</v>
      </c>
      <c r="W89">
        <v>0</v>
      </c>
      <c r="X89">
        <v>2</v>
      </c>
      <c r="Y89">
        <v>0</v>
      </c>
      <c r="AA89">
        <v>1</v>
      </c>
      <c r="AB89">
        <v>8</v>
      </c>
      <c r="AC89">
        <v>3</v>
      </c>
      <c r="AD89">
        <v>0</v>
      </c>
      <c r="AE89">
        <v>9</v>
      </c>
      <c r="AF89" t="s">
        <v>128</v>
      </c>
      <c r="AG89">
        <v>0</v>
      </c>
      <c r="AH89">
        <v>3</v>
      </c>
      <c r="AI89">
        <v>1</v>
      </c>
      <c r="AJ89">
        <v>0</v>
      </c>
      <c r="AK89" t="s">
        <v>174</v>
      </c>
      <c r="AL89">
        <v>38.955052000000002</v>
      </c>
      <c r="AM89" t="s">
        <v>175</v>
      </c>
      <c r="AN89">
        <v>-121.079657</v>
      </c>
      <c r="AO89">
        <v>25</v>
      </c>
      <c r="AP89">
        <v>1600</v>
      </c>
      <c r="AQ89" t="s">
        <v>131</v>
      </c>
      <c r="AR89">
        <v>62</v>
      </c>
      <c r="AS89">
        <v>0</v>
      </c>
      <c r="AT89">
        <v>0</v>
      </c>
      <c r="BB89" t="str">
        <f t="shared" si="28"/>
        <v>1200</v>
      </c>
      <c r="BC89">
        <v>1</v>
      </c>
      <c r="BD89" t="str">
        <f t="shared" si="29"/>
        <v xml:space="preserve">N52156  </v>
      </c>
      <c r="BE89">
        <v>1</v>
      </c>
      <c r="BG89">
        <v>0</v>
      </c>
      <c r="BH89">
        <v>0</v>
      </c>
      <c r="BI89">
        <v>0</v>
      </c>
      <c r="BJ89">
        <v>1550</v>
      </c>
      <c r="BK89">
        <v>-50</v>
      </c>
      <c r="BL89" t="s">
        <v>132</v>
      </c>
      <c r="BM89">
        <v>1</v>
      </c>
      <c r="BN89">
        <v>1</v>
      </c>
      <c r="BO89">
        <v>0</v>
      </c>
      <c r="BP89">
        <v>0</v>
      </c>
      <c r="BS89">
        <v>0.12</v>
      </c>
      <c r="BT89">
        <v>0</v>
      </c>
      <c r="BU89">
        <v>0</v>
      </c>
      <c r="CE89" t="str">
        <f t="shared" si="37"/>
        <v>15:04:46.865</v>
      </c>
      <c r="CF89">
        <v>864941151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133</v>
      </c>
      <c r="DA89">
        <v>275</v>
      </c>
      <c r="DB89">
        <v>0</v>
      </c>
      <c r="DC89" t="s">
        <v>134</v>
      </c>
      <c r="DD89" t="s">
        <v>135</v>
      </c>
      <c r="DG89">
        <v>3317644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"05/01/2025 15:04:47.092"</f>
        <v>05/01/2025 15:04:47.092</v>
      </c>
      <c r="C90" t="str">
        <f t="shared" si="26"/>
        <v>FFDFD3C0</v>
      </c>
      <c r="D90" t="s">
        <v>145</v>
      </c>
      <c r="E90" t="str">
        <f>"09"</f>
        <v>09</v>
      </c>
      <c r="H90">
        <v>51</v>
      </c>
      <c r="I90" t="s">
        <v>147</v>
      </c>
      <c r="J90" t="s">
        <v>138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R90" t="s">
        <v>127</v>
      </c>
      <c r="S90" t="str">
        <f t="shared" si="36"/>
        <v>15:04:46.000</v>
      </c>
      <c r="T90" t="str">
        <f t="shared" si="36"/>
        <v>15:04:46.000</v>
      </c>
      <c r="U90" t="str">
        <f t="shared" si="27"/>
        <v>A68FCB</v>
      </c>
      <c r="V90">
        <v>0</v>
      </c>
      <c r="W90">
        <v>0</v>
      </c>
      <c r="X90">
        <v>2</v>
      </c>
      <c r="Y90">
        <v>0</v>
      </c>
      <c r="AA90">
        <v>1</v>
      </c>
      <c r="AB90">
        <v>8</v>
      </c>
      <c r="AC90">
        <v>3</v>
      </c>
      <c r="AD90">
        <v>0</v>
      </c>
      <c r="AE90">
        <v>9</v>
      </c>
      <c r="AF90" t="s">
        <v>128</v>
      </c>
      <c r="AG90">
        <v>0</v>
      </c>
      <c r="AH90">
        <v>3</v>
      </c>
      <c r="AI90">
        <v>1</v>
      </c>
      <c r="AJ90">
        <v>0</v>
      </c>
      <c r="AK90" t="s">
        <v>174</v>
      </c>
      <c r="AL90">
        <v>38.955052000000002</v>
      </c>
      <c r="AM90" t="s">
        <v>175</v>
      </c>
      <c r="AN90">
        <v>-121.079657</v>
      </c>
      <c r="AO90">
        <v>25</v>
      </c>
      <c r="AP90">
        <v>1600</v>
      </c>
      <c r="AQ90" t="s">
        <v>131</v>
      </c>
      <c r="AR90">
        <v>62</v>
      </c>
      <c r="AS90">
        <v>0</v>
      </c>
      <c r="AT90">
        <v>0</v>
      </c>
      <c r="BB90" t="str">
        <f t="shared" si="28"/>
        <v>1200</v>
      </c>
      <c r="BC90">
        <v>1</v>
      </c>
      <c r="BD90" t="str">
        <f t="shared" si="29"/>
        <v xml:space="preserve">N52156  </v>
      </c>
      <c r="BE90">
        <v>1</v>
      </c>
      <c r="BG90">
        <v>0</v>
      </c>
      <c r="BH90">
        <v>0</v>
      </c>
      <c r="BI90">
        <v>0</v>
      </c>
      <c r="BJ90">
        <v>1550</v>
      </c>
      <c r="BK90">
        <v>-50</v>
      </c>
      <c r="BL90" t="s">
        <v>132</v>
      </c>
      <c r="BM90">
        <v>1</v>
      </c>
      <c r="BN90">
        <v>1</v>
      </c>
      <c r="BO90">
        <v>0</v>
      </c>
      <c r="BP90">
        <v>0</v>
      </c>
      <c r="BS90">
        <v>0.12</v>
      </c>
      <c r="BT90">
        <v>0</v>
      </c>
      <c r="BU90">
        <v>0</v>
      </c>
      <c r="CE90" t="str">
        <f t="shared" si="37"/>
        <v>15:04:46.865</v>
      </c>
      <c r="CF90">
        <v>864941151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133</v>
      </c>
      <c r="DA90">
        <v>275</v>
      </c>
      <c r="DB90">
        <v>0</v>
      </c>
      <c r="DC90" t="s">
        <v>134</v>
      </c>
      <c r="DD90" t="s">
        <v>135</v>
      </c>
      <c r="DG90">
        <v>3317644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"05/01/2025 15:04:47.104"</f>
        <v>05/01/2025 15:04:47.104</v>
      </c>
      <c r="C91" t="str">
        <f t="shared" si="26"/>
        <v>FFDFD3C0</v>
      </c>
      <c r="D91" t="s">
        <v>136</v>
      </c>
      <c r="E91" t="str">
        <f>"20"</f>
        <v>20</v>
      </c>
      <c r="H91">
        <v>400</v>
      </c>
      <c r="I91" t="s">
        <v>137</v>
      </c>
      <c r="J91" t="s">
        <v>138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R91" t="s">
        <v>127</v>
      </c>
      <c r="S91" t="str">
        <f t="shared" si="36"/>
        <v>15:04:46.000</v>
      </c>
      <c r="T91" t="str">
        <f t="shared" si="36"/>
        <v>15:04:46.000</v>
      </c>
      <c r="U91" t="str">
        <f t="shared" si="27"/>
        <v>A68FCB</v>
      </c>
      <c r="V91">
        <v>0</v>
      </c>
      <c r="W91">
        <v>0</v>
      </c>
      <c r="X91">
        <v>2</v>
      </c>
      <c r="Y91">
        <v>0</v>
      </c>
      <c r="AA91">
        <v>1</v>
      </c>
      <c r="AB91">
        <v>8</v>
      </c>
      <c r="AC91">
        <v>3</v>
      </c>
      <c r="AD91">
        <v>0</v>
      </c>
      <c r="AE91">
        <v>9</v>
      </c>
      <c r="AF91" t="s">
        <v>128</v>
      </c>
      <c r="AG91">
        <v>0</v>
      </c>
      <c r="AH91">
        <v>3</v>
      </c>
      <c r="AI91">
        <v>1</v>
      </c>
      <c r="AJ91">
        <v>0</v>
      </c>
      <c r="AK91" t="s">
        <v>174</v>
      </c>
      <c r="AL91">
        <v>38.955052000000002</v>
      </c>
      <c r="AM91" t="s">
        <v>175</v>
      </c>
      <c r="AN91">
        <v>-121.079657</v>
      </c>
      <c r="AO91">
        <v>25</v>
      </c>
      <c r="AP91">
        <v>1600</v>
      </c>
      <c r="AQ91" t="s">
        <v>131</v>
      </c>
      <c r="AR91">
        <v>62</v>
      </c>
      <c r="AS91">
        <v>0</v>
      </c>
      <c r="AT91">
        <v>0</v>
      </c>
      <c r="BB91" t="str">
        <f t="shared" si="28"/>
        <v>1200</v>
      </c>
      <c r="BC91">
        <v>1</v>
      </c>
      <c r="BD91" t="str">
        <f t="shared" si="29"/>
        <v xml:space="preserve">N52156  </v>
      </c>
      <c r="BE91">
        <v>1</v>
      </c>
      <c r="BG91">
        <v>0</v>
      </c>
      <c r="BH91">
        <v>0</v>
      </c>
      <c r="BI91">
        <v>0</v>
      </c>
      <c r="BJ91">
        <v>1550</v>
      </c>
      <c r="BK91">
        <v>-50</v>
      </c>
      <c r="BL91" t="s">
        <v>132</v>
      </c>
      <c r="BM91">
        <v>1</v>
      </c>
      <c r="BN91">
        <v>1</v>
      </c>
      <c r="BO91">
        <v>0</v>
      </c>
      <c r="BP91">
        <v>0</v>
      </c>
      <c r="BS91">
        <v>0.12</v>
      </c>
      <c r="BT91">
        <v>0</v>
      </c>
      <c r="BU91">
        <v>0</v>
      </c>
      <c r="CE91" t="str">
        <f t="shared" si="37"/>
        <v>15:04:46.865</v>
      </c>
      <c r="CF91">
        <v>864941151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133</v>
      </c>
      <c r="DA91">
        <v>275</v>
      </c>
      <c r="DB91">
        <v>0</v>
      </c>
      <c r="DC91" t="s">
        <v>134</v>
      </c>
      <c r="DD91" t="s">
        <v>135</v>
      </c>
      <c r="DG91">
        <v>3317644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"05/01/2025 15:04:47.492"</f>
        <v>05/01/2025 15:04:47.492</v>
      </c>
      <c r="C92" t="str">
        <f t="shared" si="26"/>
        <v>FFDFD3C0</v>
      </c>
      <c r="D92" t="s">
        <v>145</v>
      </c>
      <c r="E92" t="str">
        <f>"05"</f>
        <v>05</v>
      </c>
      <c r="H92">
        <v>47</v>
      </c>
      <c r="I92" t="s">
        <v>146</v>
      </c>
      <c r="J92" t="s">
        <v>138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R92" t="s">
        <v>127</v>
      </c>
      <c r="S92" t="str">
        <f t="shared" ref="S92:T97" si="38">"15:04:47.000"</f>
        <v>15:04:47.000</v>
      </c>
      <c r="T92" t="str">
        <f t="shared" si="38"/>
        <v>15:04:47.000</v>
      </c>
      <c r="U92" t="str">
        <f t="shared" si="27"/>
        <v>A68FCB</v>
      </c>
      <c r="V92">
        <v>0</v>
      </c>
      <c r="W92">
        <v>0</v>
      </c>
      <c r="X92">
        <v>2</v>
      </c>
      <c r="Y92">
        <v>0</v>
      </c>
      <c r="AA92">
        <v>1</v>
      </c>
      <c r="AB92">
        <v>8</v>
      </c>
      <c r="AC92">
        <v>3</v>
      </c>
      <c r="AD92">
        <v>0</v>
      </c>
      <c r="AE92">
        <v>9</v>
      </c>
      <c r="AF92" t="s">
        <v>128</v>
      </c>
      <c r="AG92">
        <v>0</v>
      </c>
      <c r="AH92">
        <v>3</v>
      </c>
      <c r="AI92">
        <v>1</v>
      </c>
      <c r="AJ92">
        <v>0</v>
      </c>
      <c r="AK92" t="s">
        <v>176</v>
      </c>
      <c r="AL92">
        <v>38.955072999999999</v>
      </c>
      <c r="AM92" t="s">
        <v>177</v>
      </c>
      <c r="AN92">
        <v>-121.079314</v>
      </c>
      <c r="AO92">
        <v>25</v>
      </c>
      <c r="AP92">
        <v>1600</v>
      </c>
      <c r="AQ92" t="s">
        <v>131</v>
      </c>
      <c r="AR92">
        <v>62</v>
      </c>
      <c r="AS92">
        <v>0</v>
      </c>
      <c r="AT92">
        <v>320</v>
      </c>
      <c r="BB92" t="str">
        <f t="shared" si="28"/>
        <v>1200</v>
      </c>
      <c r="BC92">
        <v>1</v>
      </c>
      <c r="BD92" t="str">
        <f t="shared" si="29"/>
        <v xml:space="preserve">N52156  </v>
      </c>
      <c r="BE92">
        <v>1</v>
      </c>
      <c r="BG92">
        <v>0</v>
      </c>
      <c r="BH92">
        <v>0</v>
      </c>
      <c r="BI92">
        <v>0</v>
      </c>
      <c r="BJ92">
        <v>1550</v>
      </c>
      <c r="BK92">
        <v>-50</v>
      </c>
      <c r="BL92" t="s">
        <v>132</v>
      </c>
      <c r="BM92">
        <v>1</v>
      </c>
      <c r="BN92">
        <v>1</v>
      </c>
      <c r="BO92">
        <v>0</v>
      </c>
      <c r="BP92">
        <v>0</v>
      </c>
      <c r="BS92">
        <v>0.24</v>
      </c>
      <c r="BT92">
        <v>0</v>
      </c>
      <c r="BU92">
        <v>0</v>
      </c>
      <c r="CE92" t="str">
        <f t="shared" ref="CE92:CE97" si="39">"15:04:47.261"</f>
        <v>15:04:47.261</v>
      </c>
      <c r="CF92">
        <v>260689669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133</v>
      </c>
      <c r="DA92">
        <v>275</v>
      </c>
      <c r="DB92">
        <v>0</v>
      </c>
      <c r="DC92" t="s">
        <v>134</v>
      </c>
      <c r="DD92" t="s">
        <v>135</v>
      </c>
      <c r="DG92">
        <v>3317654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"05/01/2025 15:04:47.493"</f>
        <v>05/01/2025 15:04:47.493</v>
      </c>
      <c r="C93" t="str">
        <f t="shared" si="26"/>
        <v>FFDFD3C0</v>
      </c>
      <c r="D93" t="s">
        <v>145</v>
      </c>
      <c r="E93" t="str">
        <f>"09"</f>
        <v>09</v>
      </c>
      <c r="H93">
        <v>51</v>
      </c>
      <c r="I93" t="s">
        <v>147</v>
      </c>
      <c r="J93" t="s">
        <v>138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R93" t="s">
        <v>127</v>
      </c>
      <c r="S93" t="str">
        <f t="shared" si="38"/>
        <v>15:04:47.000</v>
      </c>
      <c r="T93" t="str">
        <f t="shared" si="38"/>
        <v>15:04:47.000</v>
      </c>
      <c r="U93" t="str">
        <f t="shared" si="27"/>
        <v>A68FCB</v>
      </c>
      <c r="V93">
        <v>0</v>
      </c>
      <c r="W93">
        <v>0</v>
      </c>
      <c r="X93">
        <v>2</v>
      </c>
      <c r="Y93">
        <v>0</v>
      </c>
      <c r="AA93">
        <v>1</v>
      </c>
      <c r="AB93">
        <v>8</v>
      </c>
      <c r="AC93">
        <v>3</v>
      </c>
      <c r="AD93">
        <v>0</v>
      </c>
      <c r="AE93">
        <v>9</v>
      </c>
      <c r="AF93" t="s">
        <v>128</v>
      </c>
      <c r="AG93">
        <v>0</v>
      </c>
      <c r="AH93">
        <v>3</v>
      </c>
      <c r="AI93">
        <v>1</v>
      </c>
      <c r="AJ93">
        <v>0</v>
      </c>
      <c r="AK93" t="s">
        <v>176</v>
      </c>
      <c r="AL93">
        <v>38.955072999999999</v>
      </c>
      <c r="AM93" t="s">
        <v>177</v>
      </c>
      <c r="AN93">
        <v>-121.079314</v>
      </c>
      <c r="AO93">
        <v>25</v>
      </c>
      <c r="AP93">
        <v>1600</v>
      </c>
      <c r="AQ93" t="s">
        <v>131</v>
      </c>
      <c r="AR93">
        <v>62</v>
      </c>
      <c r="AS93">
        <v>0</v>
      </c>
      <c r="AT93">
        <v>320</v>
      </c>
      <c r="BB93" t="str">
        <f t="shared" si="28"/>
        <v>1200</v>
      </c>
      <c r="BC93">
        <v>1</v>
      </c>
      <c r="BD93" t="str">
        <f t="shared" si="29"/>
        <v xml:space="preserve">N52156  </v>
      </c>
      <c r="BE93">
        <v>1</v>
      </c>
      <c r="BG93">
        <v>0</v>
      </c>
      <c r="BH93">
        <v>0</v>
      </c>
      <c r="BI93">
        <v>0</v>
      </c>
      <c r="BJ93">
        <v>1550</v>
      </c>
      <c r="BK93">
        <v>-50</v>
      </c>
      <c r="BL93" t="s">
        <v>132</v>
      </c>
      <c r="BM93">
        <v>1</v>
      </c>
      <c r="BN93">
        <v>1</v>
      </c>
      <c r="BO93">
        <v>0</v>
      </c>
      <c r="BP93">
        <v>0</v>
      </c>
      <c r="BS93">
        <v>0.24</v>
      </c>
      <c r="BT93">
        <v>0</v>
      </c>
      <c r="BU93">
        <v>0</v>
      </c>
      <c r="CE93" t="str">
        <f t="shared" si="39"/>
        <v>15:04:47.261</v>
      </c>
      <c r="CF93">
        <v>260689669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133</v>
      </c>
      <c r="DA93">
        <v>275</v>
      </c>
      <c r="DB93">
        <v>0</v>
      </c>
      <c r="DC93" t="s">
        <v>134</v>
      </c>
      <c r="DD93" t="s">
        <v>135</v>
      </c>
      <c r="DG93">
        <v>3317654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"05/01/2025 15:04:47.495"</f>
        <v>05/01/2025 15:04:47.495</v>
      </c>
      <c r="C94" t="str">
        <f t="shared" si="26"/>
        <v>FFDFD3C0</v>
      </c>
      <c r="D94" t="s">
        <v>124</v>
      </c>
      <c r="E94" t="str">
        <f>"06"</f>
        <v>06</v>
      </c>
      <c r="F94">
        <v>2006</v>
      </c>
      <c r="G94" t="s">
        <v>125</v>
      </c>
      <c r="J94" t="s">
        <v>126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R94" t="s">
        <v>127</v>
      </c>
      <c r="S94" t="str">
        <f t="shared" si="38"/>
        <v>15:04:47.000</v>
      </c>
      <c r="T94" t="str">
        <f t="shared" si="38"/>
        <v>15:04:47.000</v>
      </c>
      <c r="U94" t="str">
        <f t="shared" si="27"/>
        <v>A68FCB</v>
      </c>
      <c r="V94">
        <v>0</v>
      </c>
      <c r="W94">
        <v>0</v>
      </c>
      <c r="X94">
        <v>2</v>
      </c>
      <c r="Y94">
        <v>0</v>
      </c>
      <c r="AA94">
        <v>1</v>
      </c>
      <c r="AB94">
        <v>8</v>
      </c>
      <c r="AC94">
        <v>3</v>
      </c>
      <c r="AD94">
        <v>0</v>
      </c>
      <c r="AE94">
        <v>9</v>
      </c>
      <c r="AF94" t="s">
        <v>128</v>
      </c>
      <c r="AG94">
        <v>0</v>
      </c>
      <c r="AH94">
        <v>3</v>
      </c>
      <c r="AI94">
        <v>1</v>
      </c>
      <c r="AJ94">
        <v>0</v>
      </c>
      <c r="AK94" t="s">
        <v>176</v>
      </c>
      <c r="AL94">
        <v>38.955072999999999</v>
      </c>
      <c r="AM94" t="s">
        <v>177</v>
      </c>
      <c r="AN94">
        <v>-121.079314</v>
      </c>
      <c r="AO94">
        <v>25</v>
      </c>
      <c r="AP94">
        <v>1600</v>
      </c>
      <c r="AQ94" t="s">
        <v>131</v>
      </c>
      <c r="AR94">
        <v>62</v>
      </c>
      <c r="AS94">
        <v>0</v>
      </c>
      <c r="AT94">
        <v>320</v>
      </c>
      <c r="BB94" t="str">
        <f t="shared" si="28"/>
        <v>1200</v>
      </c>
      <c r="BC94">
        <v>1</v>
      </c>
      <c r="BD94" t="str">
        <f t="shared" si="29"/>
        <v xml:space="preserve">N52156  </v>
      </c>
      <c r="BE94">
        <v>1</v>
      </c>
      <c r="BG94">
        <v>0</v>
      </c>
      <c r="BH94">
        <v>0</v>
      </c>
      <c r="BI94">
        <v>0</v>
      </c>
      <c r="BJ94">
        <v>1550</v>
      </c>
      <c r="BK94">
        <v>-50</v>
      </c>
      <c r="BL94" t="s">
        <v>132</v>
      </c>
      <c r="BM94">
        <v>1</v>
      </c>
      <c r="BN94">
        <v>1</v>
      </c>
      <c r="BO94">
        <v>0</v>
      </c>
      <c r="BP94">
        <v>0</v>
      </c>
      <c r="BS94">
        <v>0.24</v>
      </c>
      <c r="BT94">
        <v>0</v>
      </c>
      <c r="BU94">
        <v>0</v>
      </c>
      <c r="CE94" t="str">
        <f t="shared" si="39"/>
        <v>15:04:47.261</v>
      </c>
      <c r="CF94">
        <v>260689669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133</v>
      </c>
      <c r="DA94">
        <v>275</v>
      </c>
      <c r="DB94">
        <v>0</v>
      </c>
      <c r="DC94" t="s">
        <v>134</v>
      </c>
      <c r="DD94" t="s">
        <v>135</v>
      </c>
      <c r="DG94">
        <v>3317654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"05/01/2025 15:04:47.505"</f>
        <v>05/01/2025 15:04:47.505</v>
      </c>
      <c r="C95" t="str">
        <f t="shared" si="26"/>
        <v>FFDFD3C0</v>
      </c>
      <c r="D95" t="s">
        <v>136</v>
      </c>
      <c r="E95" t="str">
        <f>"20"</f>
        <v>20</v>
      </c>
      <c r="H95">
        <v>400</v>
      </c>
      <c r="I95" t="s">
        <v>137</v>
      </c>
      <c r="J95" t="s">
        <v>138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R95" t="s">
        <v>127</v>
      </c>
      <c r="S95" t="str">
        <f t="shared" si="38"/>
        <v>15:04:47.000</v>
      </c>
      <c r="T95" t="str">
        <f t="shared" si="38"/>
        <v>15:04:47.000</v>
      </c>
      <c r="U95" t="str">
        <f t="shared" si="27"/>
        <v>A68FCB</v>
      </c>
      <c r="V95">
        <v>0</v>
      </c>
      <c r="W95">
        <v>0</v>
      </c>
      <c r="X95">
        <v>2</v>
      </c>
      <c r="Y95">
        <v>0</v>
      </c>
      <c r="AA95">
        <v>1</v>
      </c>
      <c r="AB95">
        <v>8</v>
      </c>
      <c r="AC95">
        <v>3</v>
      </c>
      <c r="AD95">
        <v>0</v>
      </c>
      <c r="AE95">
        <v>9</v>
      </c>
      <c r="AF95" t="s">
        <v>128</v>
      </c>
      <c r="AG95">
        <v>0</v>
      </c>
      <c r="AH95">
        <v>3</v>
      </c>
      <c r="AI95">
        <v>1</v>
      </c>
      <c r="AJ95">
        <v>0</v>
      </c>
      <c r="AK95" t="s">
        <v>176</v>
      </c>
      <c r="AL95">
        <v>38.955072999999999</v>
      </c>
      <c r="AM95" t="s">
        <v>177</v>
      </c>
      <c r="AN95">
        <v>-121.079314</v>
      </c>
      <c r="AO95">
        <v>25</v>
      </c>
      <c r="AP95">
        <v>1600</v>
      </c>
      <c r="AQ95" t="s">
        <v>131</v>
      </c>
      <c r="AR95">
        <v>62</v>
      </c>
      <c r="AS95">
        <v>0</v>
      </c>
      <c r="AT95">
        <v>320</v>
      </c>
      <c r="BB95" t="str">
        <f t="shared" si="28"/>
        <v>1200</v>
      </c>
      <c r="BC95">
        <v>1</v>
      </c>
      <c r="BD95" t="str">
        <f t="shared" si="29"/>
        <v xml:space="preserve">N52156  </v>
      </c>
      <c r="BE95">
        <v>1</v>
      </c>
      <c r="BG95">
        <v>0</v>
      </c>
      <c r="BH95">
        <v>0</v>
      </c>
      <c r="BI95">
        <v>0</v>
      </c>
      <c r="BJ95">
        <v>1550</v>
      </c>
      <c r="BK95">
        <v>-50</v>
      </c>
      <c r="BL95" t="s">
        <v>132</v>
      </c>
      <c r="BM95">
        <v>1</v>
      </c>
      <c r="BN95">
        <v>1</v>
      </c>
      <c r="BO95">
        <v>0</v>
      </c>
      <c r="BP95">
        <v>0</v>
      </c>
      <c r="BS95">
        <v>0.24</v>
      </c>
      <c r="BT95">
        <v>0</v>
      </c>
      <c r="BU95">
        <v>0</v>
      </c>
      <c r="CE95" t="str">
        <f t="shared" si="39"/>
        <v>15:04:47.261</v>
      </c>
      <c r="CF95">
        <v>260689669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133</v>
      </c>
      <c r="DA95">
        <v>275</v>
      </c>
      <c r="DB95">
        <v>0</v>
      </c>
      <c r="DC95" t="s">
        <v>134</v>
      </c>
      <c r="DD95" t="s">
        <v>135</v>
      </c>
      <c r="DG95">
        <v>3317654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"05/01/2025 15:04:47.532"</f>
        <v>05/01/2025 15:04:47.532</v>
      </c>
      <c r="C96" t="str">
        <f t="shared" si="26"/>
        <v>FFDFD3C0</v>
      </c>
      <c r="D96" t="s">
        <v>140</v>
      </c>
      <c r="E96" t="str">
        <f>"13"</f>
        <v>13</v>
      </c>
      <c r="F96">
        <v>1019</v>
      </c>
      <c r="G96" t="s">
        <v>141</v>
      </c>
      <c r="J96" t="s">
        <v>142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R96" t="s">
        <v>127</v>
      </c>
      <c r="S96" t="str">
        <f t="shared" si="38"/>
        <v>15:04:47.000</v>
      </c>
      <c r="T96" t="str">
        <f t="shared" si="38"/>
        <v>15:04:47.000</v>
      </c>
      <c r="U96" t="str">
        <f t="shared" si="27"/>
        <v>A68FCB</v>
      </c>
      <c r="V96">
        <v>0</v>
      </c>
      <c r="W96">
        <v>0</v>
      </c>
      <c r="X96">
        <v>2</v>
      </c>
      <c r="Y96">
        <v>0</v>
      </c>
      <c r="AA96">
        <v>1</v>
      </c>
      <c r="AB96">
        <v>8</v>
      </c>
      <c r="AC96">
        <v>3</v>
      </c>
      <c r="AD96">
        <v>0</v>
      </c>
      <c r="AE96">
        <v>9</v>
      </c>
      <c r="AF96" t="s">
        <v>128</v>
      </c>
      <c r="AG96">
        <v>0</v>
      </c>
      <c r="AH96">
        <v>3</v>
      </c>
      <c r="AI96">
        <v>1</v>
      </c>
      <c r="AJ96">
        <v>0</v>
      </c>
      <c r="AK96" t="s">
        <v>176</v>
      </c>
      <c r="AL96">
        <v>38.955072999999999</v>
      </c>
      <c r="AM96" t="s">
        <v>177</v>
      </c>
      <c r="AN96">
        <v>-121.079314</v>
      </c>
      <c r="AO96">
        <v>25</v>
      </c>
      <c r="AP96">
        <v>1600</v>
      </c>
      <c r="AQ96" t="s">
        <v>131</v>
      </c>
      <c r="AR96">
        <v>62</v>
      </c>
      <c r="AS96">
        <v>0</v>
      </c>
      <c r="AT96">
        <v>320</v>
      </c>
      <c r="BB96" t="str">
        <f t="shared" si="28"/>
        <v>1200</v>
      </c>
      <c r="BC96">
        <v>1</v>
      </c>
      <c r="BD96" t="str">
        <f t="shared" si="29"/>
        <v xml:space="preserve">N52156  </v>
      </c>
      <c r="BE96">
        <v>1</v>
      </c>
      <c r="BG96">
        <v>0</v>
      </c>
      <c r="BH96">
        <v>0</v>
      </c>
      <c r="BI96">
        <v>0</v>
      </c>
      <c r="BJ96">
        <v>1550</v>
      </c>
      <c r="BK96">
        <v>-50</v>
      </c>
      <c r="BL96" t="s">
        <v>132</v>
      </c>
      <c r="BM96">
        <v>1</v>
      </c>
      <c r="BN96">
        <v>1</v>
      </c>
      <c r="BO96">
        <v>0</v>
      </c>
      <c r="BP96">
        <v>0</v>
      </c>
      <c r="BS96">
        <v>0.24</v>
      </c>
      <c r="BT96">
        <v>0</v>
      </c>
      <c r="BU96">
        <v>0</v>
      </c>
      <c r="CE96" t="str">
        <f t="shared" si="39"/>
        <v>15:04:47.261</v>
      </c>
      <c r="CF96">
        <v>260689669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133</v>
      </c>
      <c r="DA96">
        <v>275</v>
      </c>
      <c r="DB96">
        <v>0</v>
      </c>
      <c r="DC96" t="s">
        <v>134</v>
      </c>
      <c r="DD96" t="s">
        <v>135</v>
      </c>
      <c r="DG96">
        <v>3317654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"05/01/2025 15:04:47.538"</f>
        <v>05/01/2025 15:04:47.538</v>
      </c>
      <c r="C97" t="str">
        <f t="shared" si="26"/>
        <v>FFDFD3C0</v>
      </c>
      <c r="D97" t="s">
        <v>143</v>
      </c>
      <c r="E97" t="str">
        <f>"05"</f>
        <v>05</v>
      </c>
      <c r="H97">
        <v>172</v>
      </c>
      <c r="I97" t="s">
        <v>141</v>
      </c>
      <c r="J97" t="s">
        <v>144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R97" t="s">
        <v>127</v>
      </c>
      <c r="S97" t="str">
        <f t="shared" si="38"/>
        <v>15:04:47.000</v>
      </c>
      <c r="T97" t="str">
        <f t="shared" si="38"/>
        <v>15:04:47.000</v>
      </c>
      <c r="U97" t="str">
        <f t="shared" si="27"/>
        <v>A68FCB</v>
      </c>
      <c r="V97">
        <v>0</v>
      </c>
      <c r="W97">
        <v>0</v>
      </c>
      <c r="X97">
        <v>2</v>
      </c>
      <c r="Y97">
        <v>0</v>
      </c>
      <c r="AA97">
        <v>1</v>
      </c>
      <c r="AB97">
        <v>8</v>
      </c>
      <c r="AC97">
        <v>3</v>
      </c>
      <c r="AD97">
        <v>0</v>
      </c>
      <c r="AE97">
        <v>9</v>
      </c>
      <c r="AF97" t="s">
        <v>128</v>
      </c>
      <c r="AG97">
        <v>0</v>
      </c>
      <c r="AH97">
        <v>3</v>
      </c>
      <c r="AI97">
        <v>1</v>
      </c>
      <c r="AJ97">
        <v>0</v>
      </c>
      <c r="AK97" t="s">
        <v>176</v>
      </c>
      <c r="AL97">
        <v>38.955072999999999</v>
      </c>
      <c r="AM97" t="s">
        <v>177</v>
      </c>
      <c r="AN97">
        <v>-121.079314</v>
      </c>
      <c r="AO97">
        <v>25</v>
      </c>
      <c r="AP97">
        <v>1600</v>
      </c>
      <c r="AQ97" t="s">
        <v>131</v>
      </c>
      <c r="AR97">
        <v>62</v>
      </c>
      <c r="AS97">
        <v>0</v>
      </c>
      <c r="AT97">
        <v>320</v>
      </c>
      <c r="BB97" t="str">
        <f t="shared" si="28"/>
        <v>1200</v>
      </c>
      <c r="BC97">
        <v>1</v>
      </c>
      <c r="BD97" t="str">
        <f t="shared" si="29"/>
        <v xml:space="preserve">N52156  </v>
      </c>
      <c r="BE97">
        <v>1</v>
      </c>
      <c r="BG97">
        <v>0</v>
      </c>
      <c r="BH97">
        <v>0</v>
      </c>
      <c r="BI97">
        <v>0</v>
      </c>
      <c r="BJ97">
        <v>1550</v>
      </c>
      <c r="BK97">
        <v>-50</v>
      </c>
      <c r="BL97" t="s">
        <v>132</v>
      </c>
      <c r="BM97">
        <v>1</v>
      </c>
      <c r="BN97">
        <v>1</v>
      </c>
      <c r="BO97">
        <v>0</v>
      </c>
      <c r="BP97">
        <v>0</v>
      </c>
      <c r="BS97">
        <v>0.24</v>
      </c>
      <c r="BT97">
        <v>0</v>
      </c>
      <c r="BU97">
        <v>0</v>
      </c>
      <c r="CE97" t="str">
        <f t="shared" si="39"/>
        <v>15:04:47.261</v>
      </c>
      <c r="CF97">
        <v>260689669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133</v>
      </c>
      <c r="DA97">
        <v>275</v>
      </c>
      <c r="DB97">
        <v>0</v>
      </c>
      <c r="DC97" t="s">
        <v>134</v>
      </c>
      <c r="DD97" t="s">
        <v>135</v>
      </c>
      <c r="DG97">
        <v>3317654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"05/01/2025 15:04:49.098"</f>
        <v>05/01/2025 15:04:49.098</v>
      </c>
      <c r="C98" t="str">
        <f t="shared" si="26"/>
        <v>FFDFD3C0</v>
      </c>
      <c r="D98" t="s">
        <v>124</v>
      </c>
      <c r="E98" t="str">
        <f>"06"</f>
        <v>06</v>
      </c>
      <c r="F98">
        <v>2006</v>
      </c>
      <c r="G98" t="s">
        <v>125</v>
      </c>
      <c r="J98" t="s">
        <v>126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R98" t="s">
        <v>127</v>
      </c>
      <c r="S98" t="str">
        <f t="shared" ref="S98:T103" si="40">"15:04:48.000"</f>
        <v>15:04:48.000</v>
      </c>
      <c r="T98" t="str">
        <f t="shared" si="40"/>
        <v>15:04:48.000</v>
      </c>
      <c r="U98" t="str">
        <f t="shared" si="27"/>
        <v>A68FCB</v>
      </c>
      <c r="V98">
        <v>0</v>
      </c>
      <c r="W98">
        <v>0</v>
      </c>
      <c r="X98">
        <v>2</v>
      </c>
      <c r="Y98">
        <v>0</v>
      </c>
      <c r="AA98">
        <v>1</v>
      </c>
      <c r="AB98">
        <v>8</v>
      </c>
      <c r="AC98">
        <v>3</v>
      </c>
      <c r="AD98">
        <v>0</v>
      </c>
      <c r="AE98">
        <v>9</v>
      </c>
      <c r="AF98" t="s">
        <v>128</v>
      </c>
      <c r="AG98">
        <v>0</v>
      </c>
      <c r="AH98">
        <v>3</v>
      </c>
      <c r="AI98">
        <v>1</v>
      </c>
      <c r="AJ98">
        <v>0</v>
      </c>
      <c r="AK98" t="s">
        <v>178</v>
      </c>
      <c r="AL98">
        <v>38.955095</v>
      </c>
      <c r="AM98" t="s">
        <v>179</v>
      </c>
      <c r="AN98">
        <v>-121.078928</v>
      </c>
      <c r="AO98">
        <v>25</v>
      </c>
      <c r="AP98">
        <v>1600</v>
      </c>
      <c r="AQ98" t="s">
        <v>131</v>
      </c>
      <c r="AR98">
        <v>69</v>
      </c>
      <c r="AS98">
        <v>11</v>
      </c>
      <c r="AT98">
        <v>768</v>
      </c>
      <c r="BB98" t="str">
        <f t="shared" si="28"/>
        <v>1200</v>
      </c>
      <c r="BC98">
        <v>1</v>
      </c>
      <c r="BD98" t="str">
        <f t="shared" si="29"/>
        <v xml:space="preserve">N52156  </v>
      </c>
      <c r="BE98">
        <v>1</v>
      </c>
      <c r="BG98">
        <v>0</v>
      </c>
      <c r="BH98">
        <v>0</v>
      </c>
      <c r="BI98">
        <v>0</v>
      </c>
      <c r="BJ98">
        <v>1550</v>
      </c>
      <c r="BK98">
        <v>-50</v>
      </c>
      <c r="BL98" t="s">
        <v>132</v>
      </c>
      <c r="BM98">
        <v>1</v>
      </c>
      <c r="BN98">
        <v>1</v>
      </c>
      <c r="BO98">
        <v>0</v>
      </c>
      <c r="BP98">
        <v>0</v>
      </c>
      <c r="BS98">
        <v>0.24</v>
      </c>
      <c r="BT98">
        <v>0</v>
      </c>
      <c r="BU98">
        <v>0</v>
      </c>
      <c r="CE98" t="str">
        <f t="shared" ref="CE98:CE103" si="41">"15:04:48.888"</f>
        <v>15:04:48.888</v>
      </c>
      <c r="CF98">
        <v>888441376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133</v>
      </c>
      <c r="DA98">
        <v>275</v>
      </c>
      <c r="DB98">
        <v>0</v>
      </c>
      <c r="DC98" t="s">
        <v>134</v>
      </c>
      <c r="DD98" t="s">
        <v>135</v>
      </c>
      <c r="DG98">
        <v>3317669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"05/01/2025 15:04:49.107"</f>
        <v>05/01/2025 15:04:49.107</v>
      </c>
      <c r="C99" t="str">
        <f t="shared" si="26"/>
        <v>FFDFD3C0</v>
      </c>
      <c r="D99" t="s">
        <v>136</v>
      </c>
      <c r="E99" t="str">
        <f>"20"</f>
        <v>20</v>
      </c>
      <c r="H99">
        <v>400</v>
      </c>
      <c r="I99" t="s">
        <v>137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R99" t="s">
        <v>127</v>
      </c>
      <c r="S99" t="str">
        <f t="shared" si="40"/>
        <v>15:04:48.000</v>
      </c>
      <c r="T99" t="str">
        <f t="shared" si="40"/>
        <v>15:04:48.000</v>
      </c>
      <c r="U99" t="str">
        <f t="shared" si="27"/>
        <v>A68FCB</v>
      </c>
      <c r="V99">
        <v>0</v>
      </c>
      <c r="W99">
        <v>0</v>
      </c>
      <c r="X99">
        <v>2</v>
      </c>
      <c r="Y99">
        <v>0</v>
      </c>
      <c r="AA99">
        <v>1</v>
      </c>
      <c r="AB99">
        <v>8</v>
      </c>
      <c r="AC99">
        <v>3</v>
      </c>
      <c r="AD99">
        <v>0</v>
      </c>
      <c r="AE99">
        <v>9</v>
      </c>
      <c r="AF99" t="s">
        <v>128</v>
      </c>
      <c r="AG99">
        <v>0</v>
      </c>
      <c r="AH99">
        <v>3</v>
      </c>
      <c r="AI99">
        <v>1</v>
      </c>
      <c r="AJ99">
        <v>0</v>
      </c>
      <c r="AK99" t="s">
        <v>178</v>
      </c>
      <c r="AL99">
        <v>38.955095</v>
      </c>
      <c r="AM99" t="s">
        <v>179</v>
      </c>
      <c r="AN99">
        <v>-121.078928</v>
      </c>
      <c r="AO99">
        <v>25</v>
      </c>
      <c r="AP99">
        <v>1600</v>
      </c>
      <c r="AQ99" t="s">
        <v>131</v>
      </c>
      <c r="AR99">
        <v>69</v>
      </c>
      <c r="AS99">
        <v>11</v>
      </c>
      <c r="AT99">
        <v>768</v>
      </c>
      <c r="BB99" t="str">
        <f t="shared" si="28"/>
        <v>1200</v>
      </c>
      <c r="BC99">
        <v>1</v>
      </c>
      <c r="BD99" t="str">
        <f t="shared" si="29"/>
        <v xml:space="preserve">N52156  </v>
      </c>
      <c r="BE99">
        <v>1</v>
      </c>
      <c r="BG99">
        <v>0</v>
      </c>
      <c r="BH99">
        <v>0</v>
      </c>
      <c r="BI99">
        <v>0</v>
      </c>
      <c r="BJ99">
        <v>1550</v>
      </c>
      <c r="BK99">
        <v>-50</v>
      </c>
      <c r="BL99" t="s">
        <v>132</v>
      </c>
      <c r="BM99">
        <v>1</v>
      </c>
      <c r="BN99">
        <v>1</v>
      </c>
      <c r="BO99">
        <v>0</v>
      </c>
      <c r="BP99">
        <v>0</v>
      </c>
      <c r="BS99">
        <v>0.24</v>
      </c>
      <c r="BT99">
        <v>0</v>
      </c>
      <c r="BU99">
        <v>0</v>
      </c>
      <c r="CE99" t="str">
        <f t="shared" si="41"/>
        <v>15:04:48.888</v>
      </c>
      <c r="CF99">
        <v>888441376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133</v>
      </c>
      <c r="DA99">
        <v>275</v>
      </c>
      <c r="DB99">
        <v>0</v>
      </c>
      <c r="DC99" t="s">
        <v>134</v>
      </c>
      <c r="DD99" t="s">
        <v>135</v>
      </c>
      <c r="DG99">
        <v>3317669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"05/01/2025 15:04:49.134"</f>
        <v>05/01/2025 15:04:49.134</v>
      </c>
      <c r="C100" t="str">
        <f t="shared" si="26"/>
        <v>FFDFD3C0</v>
      </c>
      <c r="D100" t="s">
        <v>140</v>
      </c>
      <c r="E100" t="str">
        <f>"13"</f>
        <v>13</v>
      </c>
      <c r="F100">
        <v>1019</v>
      </c>
      <c r="G100" t="s">
        <v>141</v>
      </c>
      <c r="J100" t="s">
        <v>142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R100" t="s">
        <v>127</v>
      </c>
      <c r="S100" t="str">
        <f t="shared" si="40"/>
        <v>15:04:48.000</v>
      </c>
      <c r="T100" t="str">
        <f t="shared" si="40"/>
        <v>15:04:48.000</v>
      </c>
      <c r="U100" t="str">
        <f t="shared" si="27"/>
        <v>A68FCB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8</v>
      </c>
      <c r="AC100">
        <v>3</v>
      </c>
      <c r="AD100">
        <v>0</v>
      </c>
      <c r="AE100">
        <v>9</v>
      </c>
      <c r="AF100" t="s">
        <v>128</v>
      </c>
      <c r="AG100">
        <v>0</v>
      </c>
      <c r="AH100">
        <v>3</v>
      </c>
      <c r="AI100">
        <v>1</v>
      </c>
      <c r="AJ100">
        <v>0</v>
      </c>
      <c r="AK100" t="s">
        <v>178</v>
      </c>
      <c r="AL100">
        <v>38.955095</v>
      </c>
      <c r="AM100" t="s">
        <v>179</v>
      </c>
      <c r="AN100">
        <v>-121.078928</v>
      </c>
      <c r="AO100">
        <v>25</v>
      </c>
      <c r="AP100">
        <v>1600</v>
      </c>
      <c r="AQ100" t="s">
        <v>131</v>
      </c>
      <c r="AR100">
        <v>69</v>
      </c>
      <c r="AS100">
        <v>11</v>
      </c>
      <c r="AT100">
        <v>768</v>
      </c>
      <c r="BB100" t="str">
        <f t="shared" si="28"/>
        <v>1200</v>
      </c>
      <c r="BC100">
        <v>1</v>
      </c>
      <c r="BD100" t="str">
        <f t="shared" si="29"/>
        <v xml:space="preserve">N52156  </v>
      </c>
      <c r="BE100">
        <v>1</v>
      </c>
      <c r="BG100">
        <v>0</v>
      </c>
      <c r="BH100">
        <v>0</v>
      </c>
      <c r="BI100">
        <v>0</v>
      </c>
      <c r="BJ100">
        <v>1550</v>
      </c>
      <c r="BK100">
        <v>-50</v>
      </c>
      <c r="BL100" t="s">
        <v>132</v>
      </c>
      <c r="BM100">
        <v>1</v>
      </c>
      <c r="BN100">
        <v>1</v>
      </c>
      <c r="BO100">
        <v>0</v>
      </c>
      <c r="BP100">
        <v>0</v>
      </c>
      <c r="BS100">
        <v>0.24</v>
      </c>
      <c r="BT100">
        <v>0</v>
      </c>
      <c r="BU100">
        <v>0</v>
      </c>
      <c r="CE100" t="str">
        <f t="shared" si="41"/>
        <v>15:04:48.888</v>
      </c>
      <c r="CF100">
        <v>888441376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133</v>
      </c>
      <c r="DA100">
        <v>275</v>
      </c>
      <c r="DB100">
        <v>0</v>
      </c>
      <c r="DC100" t="s">
        <v>134</v>
      </c>
      <c r="DD100" t="s">
        <v>135</v>
      </c>
      <c r="DG100">
        <v>3317669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"05/01/2025 15:04:49.141"</f>
        <v>05/01/2025 15:04:49.141</v>
      </c>
      <c r="C101" t="str">
        <f t="shared" si="26"/>
        <v>FFDFD3C0</v>
      </c>
      <c r="D101" t="s">
        <v>143</v>
      </c>
      <c r="E101" t="str">
        <f>"05"</f>
        <v>05</v>
      </c>
      <c r="H101">
        <v>172</v>
      </c>
      <c r="I101" t="s">
        <v>141</v>
      </c>
      <c r="J101" t="s">
        <v>144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R101" t="s">
        <v>127</v>
      </c>
      <c r="S101" t="str">
        <f t="shared" si="40"/>
        <v>15:04:48.000</v>
      </c>
      <c r="T101" t="str">
        <f t="shared" si="40"/>
        <v>15:04:48.000</v>
      </c>
      <c r="U101" t="str">
        <f t="shared" si="27"/>
        <v>A68FCB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8</v>
      </c>
      <c r="AC101">
        <v>3</v>
      </c>
      <c r="AD101">
        <v>0</v>
      </c>
      <c r="AE101">
        <v>9</v>
      </c>
      <c r="AF101" t="s">
        <v>128</v>
      </c>
      <c r="AG101">
        <v>0</v>
      </c>
      <c r="AH101">
        <v>3</v>
      </c>
      <c r="AI101">
        <v>1</v>
      </c>
      <c r="AJ101">
        <v>0</v>
      </c>
      <c r="AK101" t="s">
        <v>178</v>
      </c>
      <c r="AL101">
        <v>38.955095</v>
      </c>
      <c r="AM101" t="s">
        <v>179</v>
      </c>
      <c r="AN101">
        <v>-121.078928</v>
      </c>
      <c r="AO101">
        <v>25</v>
      </c>
      <c r="AP101">
        <v>1600</v>
      </c>
      <c r="AQ101" t="s">
        <v>131</v>
      </c>
      <c r="AR101">
        <v>69</v>
      </c>
      <c r="AS101">
        <v>11</v>
      </c>
      <c r="AT101">
        <v>768</v>
      </c>
      <c r="BB101" t="str">
        <f t="shared" si="28"/>
        <v>1200</v>
      </c>
      <c r="BC101">
        <v>1</v>
      </c>
      <c r="BD101" t="str">
        <f t="shared" si="29"/>
        <v xml:space="preserve">N52156  </v>
      </c>
      <c r="BE101">
        <v>1</v>
      </c>
      <c r="BG101">
        <v>0</v>
      </c>
      <c r="BH101">
        <v>0</v>
      </c>
      <c r="BI101">
        <v>0</v>
      </c>
      <c r="BJ101">
        <v>1550</v>
      </c>
      <c r="BK101">
        <v>-50</v>
      </c>
      <c r="BL101" t="s">
        <v>132</v>
      </c>
      <c r="BM101">
        <v>1</v>
      </c>
      <c r="BN101">
        <v>1</v>
      </c>
      <c r="BO101">
        <v>0</v>
      </c>
      <c r="BP101">
        <v>0</v>
      </c>
      <c r="BS101">
        <v>0.24</v>
      </c>
      <c r="BT101">
        <v>0</v>
      </c>
      <c r="BU101">
        <v>0</v>
      </c>
      <c r="CE101" t="str">
        <f t="shared" si="41"/>
        <v>15:04:48.888</v>
      </c>
      <c r="CF101">
        <v>888441376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133</v>
      </c>
      <c r="DA101">
        <v>275</v>
      </c>
      <c r="DB101">
        <v>0</v>
      </c>
      <c r="DC101" t="s">
        <v>134</v>
      </c>
      <c r="DD101" t="s">
        <v>135</v>
      </c>
      <c r="DG101">
        <v>3317669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"05/01/2025 15:04:49.145"</f>
        <v>05/01/2025 15:04:49.145</v>
      </c>
      <c r="C102" t="str">
        <f t="shared" si="26"/>
        <v>FFDFD3C0</v>
      </c>
      <c r="D102" t="s">
        <v>145</v>
      </c>
      <c r="E102" t="str">
        <f>"05"</f>
        <v>05</v>
      </c>
      <c r="H102">
        <v>47</v>
      </c>
      <c r="I102" t="s">
        <v>146</v>
      </c>
      <c r="J102" t="s">
        <v>138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R102" t="s">
        <v>127</v>
      </c>
      <c r="S102" t="str">
        <f t="shared" si="40"/>
        <v>15:04:48.000</v>
      </c>
      <c r="T102" t="str">
        <f t="shared" si="40"/>
        <v>15:04:48.000</v>
      </c>
      <c r="U102" t="str">
        <f t="shared" si="27"/>
        <v>A68FCB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8</v>
      </c>
      <c r="AC102">
        <v>3</v>
      </c>
      <c r="AD102">
        <v>0</v>
      </c>
      <c r="AE102">
        <v>9</v>
      </c>
      <c r="AF102" t="s">
        <v>128</v>
      </c>
      <c r="AG102">
        <v>0</v>
      </c>
      <c r="AH102">
        <v>3</v>
      </c>
      <c r="AI102">
        <v>1</v>
      </c>
      <c r="AJ102">
        <v>0</v>
      </c>
      <c r="AK102" t="s">
        <v>178</v>
      </c>
      <c r="AL102">
        <v>38.955095</v>
      </c>
      <c r="AM102" t="s">
        <v>179</v>
      </c>
      <c r="AN102">
        <v>-121.078928</v>
      </c>
      <c r="AO102">
        <v>25</v>
      </c>
      <c r="AP102">
        <v>1600</v>
      </c>
      <c r="AQ102" t="s">
        <v>131</v>
      </c>
      <c r="AR102">
        <v>69</v>
      </c>
      <c r="AS102">
        <v>11</v>
      </c>
      <c r="AT102">
        <v>768</v>
      </c>
      <c r="BB102" t="str">
        <f t="shared" si="28"/>
        <v>1200</v>
      </c>
      <c r="BC102">
        <v>1</v>
      </c>
      <c r="BD102" t="str">
        <f t="shared" si="29"/>
        <v xml:space="preserve">N52156  </v>
      </c>
      <c r="BE102">
        <v>1</v>
      </c>
      <c r="BG102">
        <v>0</v>
      </c>
      <c r="BH102">
        <v>0</v>
      </c>
      <c r="BI102">
        <v>0</v>
      </c>
      <c r="BJ102">
        <v>1550</v>
      </c>
      <c r="BK102">
        <v>-50</v>
      </c>
      <c r="BL102" t="s">
        <v>132</v>
      </c>
      <c r="BM102">
        <v>1</v>
      </c>
      <c r="BN102">
        <v>1</v>
      </c>
      <c r="BO102">
        <v>0</v>
      </c>
      <c r="BP102">
        <v>0</v>
      </c>
      <c r="BS102">
        <v>0.24</v>
      </c>
      <c r="BT102">
        <v>0</v>
      </c>
      <c r="BU102">
        <v>0</v>
      </c>
      <c r="CE102" t="str">
        <f t="shared" si="41"/>
        <v>15:04:48.888</v>
      </c>
      <c r="CF102">
        <v>888441376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133</v>
      </c>
      <c r="DA102">
        <v>275</v>
      </c>
      <c r="DB102">
        <v>0</v>
      </c>
      <c r="DC102" t="s">
        <v>134</v>
      </c>
      <c r="DD102" t="s">
        <v>135</v>
      </c>
      <c r="DG102">
        <v>3317669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"05/01/2025 15:04:49.146"</f>
        <v>05/01/2025 15:04:49.146</v>
      </c>
      <c r="C103" t="str">
        <f t="shared" si="26"/>
        <v>FFDFD3C0</v>
      </c>
      <c r="D103" t="s">
        <v>145</v>
      </c>
      <c r="E103" t="str">
        <f>"09"</f>
        <v>09</v>
      </c>
      <c r="H103">
        <v>51</v>
      </c>
      <c r="I103" t="s">
        <v>147</v>
      </c>
      <c r="J103" t="s">
        <v>138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R103" t="s">
        <v>127</v>
      </c>
      <c r="S103" t="str">
        <f t="shared" si="40"/>
        <v>15:04:48.000</v>
      </c>
      <c r="T103" t="str">
        <f t="shared" si="40"/>
        <v>15:04:48.000</v>
      </c>
      <c r="U103" t="str">
        <f t="shared" si="27"/>
        <v>A68FCB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8</v>
      </c>
      <c r="AC103">
        <v>3</v>
      </c>
      <c r="AD103">
        <v>0</v>
      </c>
      <c r="AE103">
        <v>9</v>
      </c>
      <c r="AF103" t="s">
        <v>128</v>
      </c>
      <c r="AG103">
        <v>0</v>
      </c>
      <c r="AH103">
        <v>3</v>
      </c>
      <c r="AI103">
        <v>1</v>
      </c>
      <c r="AJ103">
        <v>0</v>
      </c>
      <c r="AK103" t="s">
        <v>178</v>
      </c>
      <c r="AL103">
        <v>38.955095</v>
      </c>
      <c r="AM103" t="s">
        <v>179</v>
      </c>
      <c r="AN103">
        <v>-121.078928</v>
      </c>
      <c r="AO103">
        <v>25</v>
      </c>
      <c r="AP103">
        <v>1600</v>
      </c>
      <c r="AQ103" t="s">
        <v>131</v>
      </c>
      <c r="AR103">
        <v>69</v>
      </c>
      <c r="AS103">
        <v>11</v>
      </c>
      <c r="AT103">
        <v>768</v>
      </c>
      <c r="BB103" t="str">
        <f t="shared" si="28"/>
        <v>1200</v>
      </c>
      <c r="BC103">
        <v>1</v>
      </c>
      <c r="BD103" t="str">
        <f t="shared" si="29"/>
        <v xml:space="preserve">N52156  </v>
      </c>
      <c r="BE103">
        <v>1</v>
      </c>
      <c r="BG103">
        <v>0</v>
      </c>
      <c r="BH103">
        <v>0</v>
      </c>
      <c r="BI103">
        <v>0</v>
      </c>
      <c r="BJ103">
        <v>1550</v>
      </c>
      <c r="BK103">
        <v>-50</v>
      </c>
      <c r="BL103" t="s">
        <v>132</v>
      </c>
      <c r="BM103">
        <v>1</v>
      </c>
      <c r="BN103">
        <v>1</v>
      </c>
      <c r="BO103">
        <v>0</v>
      </c>
      <c r="BP103">
        <v>0</v>
      </c>
      <c r="BS103">
        <v>0.24</v>
      </c>
      <c r="BT103">
        <v>0</v>
      </c>
      <c r="BU103">
        <v>0</v>
      </c>
      <c r="CE103" t="str">
        <f t="shared" si="41"/>
        <v>15:04:48.888</v>
      </c>
      <c r="CF103">
        <v>888441376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133</v>
      </c>
      <c r="DA103">
        <v>275</v>
      </c>
      <c r="DB103">
        <v>0</v>
      </c>
      <c r="DC103" t="s">
        <v>134</v>
      </c>
      <c r="DD103" t="s">
        <v>135</v>
      </c>
      <c r="DG103">
        <v>3317669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"05/01/2025 15:04:49.900"</f>
        <v>05/01/2025 15:04:49.900</v>
      </c>
      <c r="C104" t="str">
        <f t="shared" si="26"/>
        <v>FFDFD3C0</v>
      </c>
      <c r="D104" t="s">
        <v>124</v>
      </c>
      <c r="E104" t="str">
        <f>"06"</f>
        <v>06</v>
      </c>
      <c r="F104">
        <v>2006</v>
      </c>
      <c r="G104" t="s">
        <v>125</v>
      </c>
      <c r="J104" t="s">
        <v>126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R104" t="s">
        <v>127</v>
      </c>
      <c r="S104" t="str">
        <f t="shared" ref="S104:T109" si="42">"15:04:49.000"</f>
        <v>15:04:49.000</v>
      </c>
      <c r="T104" t="str">
        <f t="shared" si="42"/>
        <v>15:04:49.000</v>
      </c>
      <c r="U104" t="str">
        <f t="shared" si="27"/>
        <v>A68FCB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8</v>
      </c>
      <c r="AC104">
        <v>3</v>
      </c>
      <c r="AD104">
        <v>0</v>
      </c>
      <c r="AE104">
        <v>9</v>
      </c>
      <c r="AF104" t="s">
        <v>128</v>
      </c>
      <c r="AG104">
        <v>0</v>
      </c>
      <c r="AH104">
        <v>3</v>
      </c>
      <c r="AI104">
        <v>1</v>
      </c>
      <c r="AJ104">
        <v>0</v>
      </c>
      <c r="AK104" t="s">
        <v>180</v>
      </c>
      <c r="AL104">
        <v>38.955115999999997</v>
      </c>
      <c r="AM104" t="s">
        <v>181</v>
      </c>
      <c r="AN104">
        <v>-121.078541</v>
      </c>
      <c r="AO104">
        <v>25</v>
      </c>
      <c r="AP104">
        <v>1600</v>
      </c>
      <c r="AQ104" t="s">
        <v>131</v>
      </c>
      <c r="AR104">
        <v>67</v>
      </c>
      <c r="AS104">
        <v>9</v>
      </c>
      <c r="AT104">
        <v>576</v>
      </c>
      <c r="BB104" t="str">
        <f t="shared" si="28"/>
        <v>1200</v>
      </c>
      <c r="BC104">
        <v>1</v>
      </c>
      <c r="BD104" t="str">
        <f t="shared" si="29"/>
        <v xml:space="preserve">N52156  </v>
      </c>
      <c r="BE104">
        <v>1</v>
      </c>
      <c r="BG104">
        <v>0</v>
      </c>
      <c r="BH104">
        <v>0</v>
      </c>
      <c r="BI104">
        <v>0</v>
      </c>
      <c r="BJ104">
        <v>1600</v>
      </c>
      <c r="BK104">
        <v>0</v>
      </c>
      <c r="BL104" t="s">
        <v>132</v>
      </c>
      <c r="BM104">
        <v>1</v>
      </c>
      <c r="BN104">
        <v>1</v>
      </c>
      <c r="BO104">
        <v>0</v>
      </c>
      <c r="BP104">
        <v>0</v>
      </c>
      <c r="BS104">
        <v>0.24</v>
      </c>
      <c r="BT104">
        <v>0</v>
      </c>
      <c r="BU104">
        <v>0</v>
      </c>
      <c r="CE104" t="str">
        <f t="shared" ref="CE104:CE109" si="43">"15:04:49.693"</f>
        <v>15:04:49.693</v>
      </c>
      <c r="CF104">
        <v>693190973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133</v>
      </c>
      <c r="DA104">
        <v>275</v>
      </c>
      <c r="DB104">
        <v>0</v>
      </c>
      <c r="DC104" t="s">
        <v>134</v>
      </c>
      <c r="DD104" t="s">
        <v>135</v>
      </c>
      <c r="DG104">
        <v>3317679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"05/01/2025 15:04:49.908"</f>
        <v>05/01/2025 15:04:49.908</v>
      </c>
      <c r="C105" t="str">
        <f t="shared" si="26"/>
        <v>FFDFD3C0</v>
      </c>
      <c r="D105" t="s">
        <v>136</v>
      </c>
      <c r="E105" t="str">
        <f>"20"</f>
        <v>20</v>
      </c>
      <c r="H105">
        <v>400</v>
      </c>
      <c r="I105" t="s">
        <v>137</v>
      </c>
      <c r="J105" t="s">
        <v>138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R105" t="s">
        <v>127</v>
      </c>
      <c r="S105" t="str">
        <f t="shared" si="42"/>
        <v>15:04:49.000</v>
      </c>
      <c r="T105" t="str">
        <f t="shared" si="42"/>
        <v>15:04:49.000</v>
      </c>
      <c r="U105" t="str">
        <f t="shared" si="27"/>
        <v>A68FCB</v>
      </c>
      <c r="V105">
        <v>0</v>
      </c>
      <c r="W105">
        <v>0</v>
      </c>
      <c r="X105">
        <v>2</v>
      </c>
      <c r="Y105">
        <v>0</v>
      </c>
      <c r="AA105">
        <v>1</v>
      </c>
      <c r="AB105">
        <v>8</v>
      </c>
      <c r="AC105">
        <v>3</v>
      </c>
      <c r="AD105">
        <v>0</v>
      </c>
      <c r="AE105">
        <v>9</v>
      </c>
      <c r="AF105" t="s">
        <v>128</v>
      </c>
      <c r="AG105">
        <v>0</v>
      </c>
      <c r="AH105">
        <v>3</v>
      </c>
      <c r="AI105">
        <v>1</v>
      </c>
      <c r="AJ105">
        <v>0</v>
      </c>
      <c r="AK105" t="s">
        <v>180</v>
      </c>
      <c r="AL105">
        <v>38.955115999999997</v>
      </c>
      <c r="AM105" t="s">
        <v>181</v>
      </c>
      <c r="AN105">
        <v>-121.078541</v>
      </c>
      <c r="AO105">
        <v>25</v>
      </c>
      <c r="AP105">
        <v>1600</v>
      </c>
      <c r="AQ105" t="s">
        <v>131</v>
      </c>
      <c r="AR105">
        <v>67</v>
      </c>
      <c r="AS105">
        <v>9</v>
      </c>
      <c r="AT105">
        <v>576</v>
      </c>
      <c r="BB105" t="str">
        <f t="shared" si="28"/>
        <v>1200</v>
      </c>
      <c r="BC105">
        <v>1</v>
      </c>
      <c r="BD105" t="str">
        <f t="shared" si="29"/>
        <v xml:space="preserve">N52156  </v>
      </c>
      <c r="BE105">
        <v>1</v>
      </c>
      <c r="BG105">
        <v>0</v>
      </c>
      <c r="BH105">
        <v>0</v>
      </c>
      <c r="BI105">
        <v>0</v>
      </c>
      <c r="BJ105">
        <v>1600</v>
      </c>
      <c r="BK105">
        <v>0</v>
      </c>
      <c r="BL105" t="s">
        <v>132</v>
      </c>
      <c r="BM105">
        <v>1</v>
      </c>
      <c r="BN105">
        <v>1</v>
      </c>
      <c r="BO105">
        <v>0</v>
      </c>
      <c r="BP105">
        <v>0</v>
      </c>
      <c r="BS105">
        <v>0.24</v>
      </c>
      <c r="BT105">
        <v>0</v>
      </c>
      <c r="BU105">
        <v>0</v>
      </c>
      <c r="CE105" t="str">
        <f t="shared" si="43"/>
        <v>15:04:49.693</v>
      </c>
      <c r="CF105">
        <v>693190973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133</v>
      </c>
      <c r="DA105">
        <v>275</v>
      </c>
      <c r="DB105">
        <v>0</v>
      </c>
      <c r="DC105" t="s">
        <v>134</v>
      </c>
      <c r="DD105" t="s">
        <v>135</v>
      </c>
      <c r="DG105">
        <v>3317679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"05/01/2025 15:04:49.936"</f>
        <v>05/01/2025 15:04:49.936</v>
      </c>
      <c r="C106" t="str">
        <f t="shared" si="26"/>
        <v>FFDFD3C0</v>
      </c>
      <c r="D106" t="s">
        <v>140</v>
      </c>
      <c r="E106" t="str">
        <f>"13"</f>
        <v>13</v>
      </c>
      <c r="F106">
        <v>1019</v>
      </c>
      <c r="G106" t="s">
        <v>141</v>
      </c>
      <c r="J106" t="s">
        <v>142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R106" t="s">
        <v>127</v>
      </c>
      <c r="S106" t="str">
        <f t="shared" si="42"/>
        <v>15:04:49.000</v>
      </c>
      <c r="T106" t="str">
        <f t="shared" si="42"/>
        <v>15:04:49.000</v>
      </c>
      <c r="U106" t="str">
        <f t="shared" si="27"/>
        <v>A68FCB</v>
      </c>
      <c r="V106">
        <v>0</v>
      </c>
      <c r="W106">
        <v>0</v>
      </c>
      <c r="X106">
        <v>2</v>
      </c>
      <c r="Y106">
        <v>0</v>
      </c>
      <c r="AA106">
        <v>1</v>
      </c>
      <c r="AB106">
        <v>8</v>
      </c>
      <c r="AC106">
        <v>3</v>
      </c>
      <c r="AD106">
        <v>0</v>
      </c>
      <c r="AE106">
        <v>9</v>
      </c>
      <c r="AF106" t="s">
        <v>128</v>
      </c>
      <c r="AG106">
        <v>0</v>
      </c>
      <c r="AH106">
        <v>3</v>
      </c>
      <c r="AI106">
        <v>1</v>
      </c>
      <c r="AJ106">
        <v>0</v>
      </c>
      <c r="AK106" t="s">
        <v>180</v>
      </c>
      <c r="AL106">
        <v>38.955115999999997</v>
      </c>
      <c r="AM106" t="s">
        <v>181</v>
      </c>
      <c r="AN106">
        <v>-121.078541</v>
      </c>
      <c r="AO106">
        <v>25</v>
      </c>
      <c r="AP106">
        <v>1600</v>
      </c>
      <c r="AQ106" t="s">
        <v>131</v>
      </c>
      <c r="AR106">
        <v>67</v>
      </c>
      <c r="AS106">
        <v>9</v>
      </c>
      <c r="AT106">
        <v>576</v>
      </c>
      <c r="BB106" t="str">
        <f t="shared" si="28"/>
        <v>1200</v>
      </c>
      <c r="BC106">
        <v>1</v>
      </c>
      <c r="BD106" t="str">
        <f t="shared" si="29"/>
        <v xml:space="preserve">N52156  </v>
      </c>
      <c r="BE106">
        <v>1</v>
      </c>
      <c r="BG106">
        <v>0</v>
      </c>
      <c r="BH106">
        <v>0</v>
      </c>
      <c r="BI106">
        <v>0</v>
      </c>
      <c r="BJ106">
        <v>1600</v>
      </c>
      <c r="BK106">
        <v>0</v>
      </c>
      <c r="BL106" t="s">
        <v>132</v>
      </c>
      <c r="BM106">
        <v>1</v>
      </c>
      <c r="BN106">
        <v>1</v>
      </c>
      <c r="BO106">
        <v>0</v>
      </c>
      <c r="BP106">
        <v>0</v>
      </c>
      <c r="BS106">
        <v>0.24</v>
      </c>
      <c r="BT106">
        <v>0</v>
      </c>
      <c r="BU106">
        <v>0</v>
      </c>
      <c r="CE106" t="str">
        <f t="shared" si="43"/>
        <v>15:04:49.693</v>
      </c>
      <c r="CF106">
        <v>693190973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133</v>
      </c>
      <c r="DA106">
        <v>275</v>
      </c>
      <c r="DB106">
        <v>0</v>
      </c>
      <c r="DC106" t="s">
        <v>134</v>
      </c>
      <c r="DD106" t="s">
        <v>135</v>
      </c>
      <c r="DG106">
        <v>3317679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"05/01/2025 15:04:49.942"</f>
        <v>05/01/2025 15:04:49.942</v>
      </c>
      <c r="C107" t="str">
        <f t="shared" si="26"/>
        <v>FFDFD3C0</v>
      </c>
      <c r="D107" t="s">
        <v>143</v>
      </c>
      <c r="E107" t="str">
        <f>"05"</f>
        <v>05</v>
      </c>
      <c r="H107">
        <v>172</v>
      </c>
      <c r="I107" t="s">
        <v>141</v>
      </c>
      <c r="J107" t="s">
        <v>144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R107" t="s">
        <v>127</v>
      </c>
      <c r="S107" t="str">
        <f t="shared" si="42"/>
        <v>15:04:49.000</v>
      </c>
      <c r="T107" t="str">
        <f t="shared" si="42"/>
        <v>15:04:49.000</v>
      </c>
      <c r="U107" t="str">
        <f t="shared" si="27"/>
        <v>A68FCB</v>
      </c>
      <c r="V107">
        <v>0</v>
      </c>
      <c r="W107">
        <v>0</v>
      </c>
      <c r="X107">
        <v>2</v>
      </c>
      <c r="Y107">
        <v>0</v>
      </c>
      <c r="AA107">
        <v>1</v>
      </c>
      <c r="AB107">
        <v>8</v>
      </c>
      <c r="AC107">
        <v>3</v>
      </c>
      <c r="AD107">
        <v>0</v>
      </c>
      <c r="AE107">
        <v>9</v>
      </c>
      <c r="AF107" t="s">
        <v>128</v>
      </c>
      <c r="AG107">
        <v>0</v>
      </c>
      <c r="AH107">
        <v>3</v>
      </c>
      <c r="AI107">
        <v>1</v>
      </c>
      <c r="AJ107">
        <v>0</v>
      </c>
      <c r="AK107" t="s">
        <v>180</v>
      </c>
      <c r="AL107">
        <v>38.955115999999997</v>
      </c>
      <c r="AM107" t="s">
        <v>181</v>
      </c>
      <c r="AN107">
        <v>-121.078541</v>
      </c>
      <c r="AO107">
        <v>25</v>
      </c>
      <c r="AP107">
        <v>1600</v>
      </c>
      <c r="AQ107" t="s">
        <v>131</v>
      </c>
      <c r="AR107">
        <v>67</v>
      </c>
      <c r="AS107">
        <v>9</v>
      </c>
      <c r="AT107">
        <v>576</v>
      </c>
      <c r="BB107" t="str">
        <f t="shared" si="28"/>
        <v>1200</v>
      </c>
      <c r="BC107">
        <v>1</v>
      </c>
      <c r="BD107" t="str">
        <f t="shared" si="29"/>
        <v xml:space="preserve">N52156  </v>
      </c>
      <c r="BE107">
        <v>1</v>
      </c>
      <c r="BG107">
        <v>0</v>
      </c>
      <c r="BH107">
        <v>0</v>
      </c>
      <c r="BI107">
        <v>0</v>
      </c>
      <c r="BJ107">
        <v>1600</v>
      </c>
      <c r="BK107">
        <v>0</v>
      </c>
      <c r="BL107" t="s">
        <v>132</v>
      </c>
      <c r="BM107">
        <v>1</v>
      </c>
      <c r="BN107">
        <v>1</v>
      </c>
      <c r="BO107">
        <v>0</v>
      </c>
      <c r="BP107">
        <v>0</v>
      </c>
      <c r="BS107">
        <v>0.24</v>
      </c>
      <c r="BT107">
        <v>0</v>
      </c>
      <c r="BU107">
        <v>0</v>
      </c>
      <c r="CE107" t="str">
        <f t="shared" si="43"/>
        <v>15:04:49.693</v>
      </c>
      <c r="CF107">
        <v>693190973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133</v>
      </c>
      <c r="DA107">
        <v>275</v>
      </c>
      <c r="DB107">
        <v>0</v>
      </c>
      <c r="DC107" t="s">
        <v>134</v>
      </c>
      <c r="DD107" t="s">
        <v>135</v>
      </c>
      <c r="DG107">
        <v>3317679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"05/01/2025 15:04:49.947"</f>
        <v>05/01/2025 15:04:49.947</v>
      </c>
      <c r="C108" t="str">
        <f t="shared" si="26"/>
        <v>FFDFD3C0</v>
      </c>
      <c r="D108" t="s">
        <v>145</v>
      </c>
      <c r="E108" t="str">
        <f>"05"</f>
        <v>05</v>
      </c>
      <c r="H108">
        <v>47</v>
      </c>
      <c r="I108" t="s">
        <v>146</v>
      </c>
      <c r="J108" t="s">
        <v>138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R108" t="s">
        <v>127</v>
      </c>
      <c r="S108" t="str">
        <f t="shared" si="42"/>
        <v>15:04:49.000</v>
      </c>
      <c r="T108" t="str">
        <f t="shared" si="42"/>
        <v>15:04:49.000</v>
      </c>
      <c r="U108" t="str">
        <f t="shared" si="27"/>
        <v>A68FCB</v>
      </c>
      <c r="V108">
        <v>0</v>
      </c>
      <c r="W108">
        <v>0</v>
      </c>
      <c r="X108">
        <v>2</v>
      </c>
      <c r="Y108">
        <v>0</v>
      </c>
      <c r="AA108">
        <v>1</v>
      </c>
      <c r="AB108">
        <v>8</v>
      </c>
      <c r="AC108">
        <v>3</v>
      </c>
      <c r="AD108">
        <v>0</v>
      </c>
      <c r="AE108">
        <v>9</v>
      </c>
      <c r="AF108" t="s">
        <v>128</v>
      </c>
      <c r="AG108">
        <v>0</v>
      </c>
      <c r="AH108">
        <v>3</v>
      </c>
      <c r="AI108">
        <v>1</v>
      </c>
      <c r="AJ108">
        <v>0</v>
      </c>
      <c r="AK108" t="s">
        <v>180</v>
      </c>
      <c r="AL108">
        <v>38.955115999999997</v>
      </c>
      <c r="AM108" t="s">
        <v>181</v>
      </c>
      <c r="AN108">
        <v>-121.078541</v>
      </c>
      <c r="AO108">
        <v>25</v>
      </c>
      <c r="AP108">
        <v>1600</v>
      </c>
      <c r="AQ108" t="s">
        <v>131</v>
      </c>
      <c r="AR108">
        <v>67</v>
      </c>
      <c r="AS108">
        <v>9</v>
      </c>
      <c r="AT108">
        <v>576</v>
      </c>
      <c r="BB108" t="str">
        <f t="shared" si="28"/>
        <v>1200</v>
      </c>
      <c r="BC108">
        <v>1</v>
      </c>
      <c r="BD108" t="str">
        <f t="shared" si="29"/>
        <v xml:space="preserve">N52156  </v>
      </c>
      <c r="BE108">
        <v>1</v>
      </c>
      <c r="BG108">
        <v>0</v>
      </c>
      <c r="BH108">
        <v>0</v>
      </c>
      <c r="BI108">
        <v>0</v>
      </c>
      <c r="BJ108">
        <v>1600</v>
      </c>
      <c r="BK108">
        <v>0</v>
      </c>
      <c r="BL108" t="s">
        <v>132</v>
      </c>
      <c r="BM108">
        <v>1</v>
      </c>
      <c r="BN108">
        <v>1</v>
      </c>
      <c r="BO108">
        <v>0</v>
      </c>
      <c r="BP108">
        <v>0</v>
      </c>
      <c r="BS108">
        <v>0.24</v>
      </c>
      <c r="BT108">
        <v>0</v>
      </c>
      <c r="BU108">
        <v>0</v>
      </c>
      <c r="CE108" t="str">
        <f t="shared" si="43"/>
        <v>15:04:49.693</v>
      </c>
      <c r="CF108">
        <v>693190973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133</v>
      </c>
      <c r="DA108">
        <v>275</v>
      </c>
      <c r="DB108">
        <v>0</v>
      </c>
      <c r="DC108" t="s">
        <v>134</v>
      </c>
      <c r="DD108" t="s">
        <v>135</v>
      </c>
      <c r="DG108">
        <v>3317679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"05/01/2025 15:04:49.947"</f>
        <v>05/01/2025 15:04:49.947</v>
      </c>
      <c r="C109" t="str">
        <f t="shared" si="26"/>
        <v>FFDFD3C0</v>
      </c>
      <c r="D109" t="s">
        <v>145</v>
      </c>
      <c r="E109" t="str">
        <f>"09"</f>
        <v>09</v>
      </c>
      <c r="H109">
        <v>51</v>
      </c>
      <c r="I109" t="s">
        <v>147</v>
      </c>
      <c r="J109" t="s">
        <v>138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R109" t="s">
        <v>127</v>
      </c>
      <c r="S109" t="str">
        <f t="shared" si="42"/>
        <v>15:04:49.000</v>
      </c>
      <c r="T109" t="str">
        <f t="shared" si="42"/>
        <v>15:04:49.000</v>
      </c>
      <c r="U109" t="str">
        <f t="shared" si="27"/>
        <v>A68FCB</v>
      </c>
      <c r="V109">
        <v>0</v>
      </c>
      <c r="W109">
        <v>0</v>
      </c>
      <c r="X109">
        <v>2</v>
      </c>
      <c r="Y109">
        <v>0</v>
      </c>
      <c r="AA109">
        <v>1</v>
      </c>
      <c r="AB109">
        <v>8</v>
      </c>
      <c r="AC109">
        <v>3</v>
      </c>
      <c r="AD109">
        <v>0</v>
      </c>
      <c r="AE109">
        <v>9</v>
      </c>
      <c r="AF109" t="s">
        <v>128</v>
      </c>
      <c r="AG109">
        <v>0</v>
      </c>
      <c r="AH109">
        <v>3</v>
      </c>
      <c r="AI109">
        <v>1</v>
      </c>
      <c r="AJ109">
        <v>0</v>
      </c>
      <c r="AK109" t="s">
        <v>180</v>
      </c>
      <c r="AL109">
        <v>38.955115999999997</v>
      </c>
      <c r="AM109" t="s">
        <v>181</v>
      </c>
      <c r="AN109">
        <v>-121.078541</v>
      </c>
      <c r="AO109">
        <v>25</v>
      </c>
      <c r="AP109">
        <v>1600</v>
      </c>
      <c r="AQ109" t="s">
        <v>131</v>
      </c>
      <c r="AR109">
        <v>67</v>
      </c>
      <c r="AS109">
        <v>9</v>
      </c>
      <c r="AT109">
        <v>576</v>
      </c>
      <c r="BB109" t="str">
        <f t="shared" si="28"/>
        <v>1200</v>
      </c>
      <c r="BC109">
        <v>1</v>
      </c>
      <c r="BD109" t="str">
        <f t="shared" si="29"/>
        <v xml:space="preserve">N52156  </v>
      </c>
      <c r="BE109">
        <v>1</v>
      </c>
      <c r="BG109">
        <v>0</v>
      </c>
      <c r="BH109">
        <v>0</v>
      </c>
      <c r="BI109">
        <v>0</v>
      </c>
      <c r="BJ109">
        <v>1600</v>
      </c>
      <c r="BK109">
        <v>0</v>
      </c>
      <c r="BL109" t="s">
        <v>132</v>
      </c>
      <c r="BM109">
        <v>1</v>
      </c>
      <c r="BN109">
        <v>1</v>
      </c>
      <c r="BO109">
        <v>0</v>
      </c>
      <c r="BP109">
        <v>0</v>
      </c>
      <c r="BS109">
        <v>0.24</v>
      </c>
      <c r="BT109">
        <v>0</v>
      </c>
      <c r="BU109">
        <v>0</v>
      </c>
      <c r="CE109" t="str">
        <f t="shared" si="43"/>
        <v>15:04:49.693</v>
      </c>
      <c r="CF109">
        <v>693190973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133</v>
      </c>
      <c r="DA109">
        <v>275</v>
      </c>
      <c r="DB109">
        <v>0</v>
      </c>
      <c r="DC109" t="s">
        <v>134</v>
      </c>
      <c r="DD109" t="s">
        <v>135</v>
      </c>
      <c r="DG109">
        <v>3317679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"05/01/2025 15:04:51.144"</f>
        <v>05/01/2025 15:04:51.144</v>
      </c>
      <c r="C110" t="str">
        <f t="shared" si="26"/>
        <v>FFDFD3C0</v>
      </c>
      <c r="D110" t="s">
        <v>143</v>
      </c>
      <c r="E110" t="str">
        <f>"05"</f>
        <v>05</v>
      </c>
      <c r="H110">
        <v>172</v>
      </c>
      <c r="I110" t="s">
        <v>141</v>
      </c>
      <c r="J110" t="s">
        <v>144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R110" t="s">
        <v>127</v>
      </c>
      <c r="S110" t="str">
        <f t="shared" ref="S110:T115" si="44">"15:04:50.000"</f>
        <v>15:04:50.000</v>
      </c>
      <c r="T110" t="str">
        <f t="shared" si="44"/>
        <v>15:04:50.000</v>
      </c>
      <c r="U110" t="str">
        <f t="shared" si="27"/>
        <v>A68FCB</v>
      </c>
      <c r="V110">
        <v>0</v>
      </c>
      <c r="W110">
        <v>0</v>
      </c>
      <c r="X110">
        <v>2</v>
      </c>
      <c r="Y110">
        <v>0</v>
      </c>
      <c r="AA110">
        <v>1</v>
      </c>
      <c r="AB110">
        <v>8</v>
      </c>
      <c r="AC110">
        <v>3</v>
      </c>
      <c r="AD110">
        <v>0</v>
      </c>
      <c r="AE110">
        <v>9</v>
      </c>
      <c r="AF110" t="s">
        <v>138</v>
      </c>
      <c r="AG110">
        <v>0</v>
      </c>
      <c r="AH110">
        <v>3</v>
      </c>
      <c r="AI110">
        <v>1</v>
      </c>
      <c r="AJ110">
        <v>0</v>
      </c>
      <c r="AK110" t="s">
        <v>182</v>
      </c>
      <c r="AL110">
        <v>38.955181000000003</v>
      </c>
      <c r="AM110" t="s">
        <v>183</v>
      </c>
      <c r="AN110">
        <v>-121.078155</v>
      </c>
      <c r="AO110">
        <v>25</v>
      </c>
      <c r="AP110">
        <v>1600</v>
      </c>
      <c r="AQ110" t="s">
        <v>131</v>
      </c>
      <c r="AR110">
        <v>65</v>
      </c>
      <c r="AS110">
        <v>12</v>
      </c>
      <c r="AT110">
        <v>576</v>
      </c>
      <c r="BB110" t="str">
        <f t="shared" si="28"/>
        <v>1200</v>
      </c>
      <c r="BC110">
        <v>1</v>
      </c>
      <c r="BD110" t="str">
        <f t="shared" si="29"/>
        <v xml:space="preserve">N52156  </v>
      </c>
      <c r="BE110">
        <v>1</v>
      </c>
      <c r="BG110">
        <v>0</v>
      </c>
      <c r="BH110">
        <v>0</v>
      </c>
      <c r="BI110">
        <v>0</v>
      </c>
      <c r="BJ110">
        <v>1600</v>
      </c>
      <c r="BK110">
        <v>0</v>
      </c>
      <c r="BL110" t="s">
        <v>132</v>
      </c>
      <c r="BM110">
        <v>1</v>
      </c>
      <c r="BN110">
        <v>1</v>
      </c>
      <c r="BO110">
        <v>0</v>
      </c>
      <c r="BP110">
        <v>0</v>
      </c>
      <c r="BS110">
        <v>0.24</v>
      </c>
      <c r="BT110">
        <v>0</v>
      </c>
      <c r="BU110">
        <v>0</v>
      </c>
      <c r="CE110" t="str">
        <f t="shared" ref="CE110:CE115" si="45">"15:04:50.922"</f>
        <v>15:04:50.922</v>
      </c>
      <c r="CF110">
        <v>921941666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133</v>
      </c>
      <c r="DA110">
        <v>275</v>
      </c>
      <c r="DB110">
        <v>0</v>
      </c>
      <c r="DC110" t="s">
        <v>134</v>
      </c>
      <c r="DD110" t="s">
        <v>135</v>
      </c>
      <c r="DG110">
        <v>3317693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"05/01/2025 15:04:51.150"</f>
        <v>05/01/2025 15:04:51.150</v>
      </c>
      <c r="C111" t="str">
        <f t="shared" si="26"/>
        <v>FFDFD3C0</v>
      </c>
      <c r="D111" t="s">
        <v>145</v>
      </c>
      <c r="E111" t="str">
        <f>"09"</f>
        <v>09</v>
      </c>
      <c r="H111">
        <v>51</v>
      </c>
      <c r="I111" t="s">
        <v>147</v>
      </c>
      <c r="J111" t="s">
        <v>138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R111" t="s">
        <v>127</v>
      </c>
      <c r="S111" t="str">
        <f t="shared" si="44"/>
        <v>15:04:50.000</v>
      </c>
      <c r="T111" t="str">
        <f t="shared" si="44"/>
        <v>15:04:50.000</v>
      </c>
      <c r="U111" t="str">
        <f t="shared" si="27"/>
        <v>A68FCB</v>
      </c>
      <c r="V111">
        <v>0</v>
      </c>
      <c r="W111">
        <v>0</v>
      </c>
      <c r="X111">
        <v>2</v>
      </c>
      <c r="Y111">
        <v>0</v>
      </c>
      <c r="AA111">
        <v>1</v>
      </c>
      <c r="AB111">
        <v>8</v>
      </c>
      <c r="AC111">
        <v>3</v>
      </c>
      <c r="AD111">
        <v>0</v>
      </c>
      <c r="AE111">
        <v>9</v>
      </c>
      <c r="AF111" t="s">
        <v>138</v>
      </c>
      <c r="AG111">
        <v>0</v>
      </c>
      <c r="AH111">
        <v>3</v>
      </c>
      <c r="AI111">
        <v>1</v>
      </c>
      <c r="AJ111">
        <v>0</v>
      </c>
      <c r="AK111" t="s">
        <v>182</v>
      </c>
      <c r="AL111">
        <v>38.955181000000003</v>
      </c>
      <c r="AM111" t="s">
        <v>183</v>
      </c>
      <c r="AN111">
        <v>-121.078155</v>
      </c>
      <c r="AO111">
        <v>25</v>
      </c>
      <c r="AP111">
        <v>1600</v>
      </c>
      <c r="AQ111" t="s">
        <v>131</v>
      </c>
      <c r="AR111">
        <v>65</v>
      </c>
      <c r="AS111">
        <v>12</v>
      </c>
      <c r="AT111">
        <v>576</v>
      </c>
      <c r="BB111" t="str">
        <f t="shared" si="28"/>
        <v>1200</v>
      </c>
      <c r="BC111">
        <v>1</v>
      </c>
      <c r="BD111" t="str">
        <f t="shared" si="29"/>
        <v xml:space="preserve">N52156  </v>
      </c>
      <c r="BE111">
        <v>1</v>
      </c>
      <c r="BG111">
        <v>0</v>
      </c>
      <c r="BH111">
        <v>0</v>
      </c>
      <c r="BI111">
        <v>0</v>
      </c>
      <c r="BJ111">
        <v>1600</v>
      </c>
      <c r="BK111">
        <v>0</v>
      </c>
      <c r="BL111" t="s">
        <v>132</v>
      </c>
      <c r="BM111">
        <v>1</v>
      </c>
      <c r="BN111">
        <v>1</v>
      </c>
      <c r="BO111">
        <v>0</v>
      </c>
      <c r="BP111">
        <v>0</v>
      </c>
      <c r="BS111">
        <v>0.24</v>
      </c>
      <c r="BT111">
        <v>0</v>
      </c>
      <c r="BU111">
        <v>0</v>
      </c>
      <c r="CE111" t="str">
        <f t="shared" si="45"/>
        <v>15:04:50.922</v>
      </c>
      <c r="CF111">
        <v>921941666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133</v>
      </c>
      <c r="DA111">
        <v>275</v>
      </c>
      <c r="DB111">
        <v>0</v>
      </c>
      <c r="DC111" t="s">
        <v>134</v>
      </c>
      <c r="DD111" t="s">
        <v>135</v>
      </c>
      <c r="DG111">
        <v>3317693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"05/01/2025 15:04:51.148"</f>
        <v>05/01/2025 15:04:51.148</v>
      </c>
      <c r="C112" t="str">
        <f t="shared" si="26"/>
        <v>FFDFD3C0</v>
      </c>
      <c r="D112" t="s">
        <v>145</v>
      </c>
      <c r="E112" t="str">
        <f>"05"</f>
        <v>05</v>
      </c>
      <c r="H112">
        <v>47</v>
      </c>
      <c r="I112" t="s">
        <v>146</v>
      </c>
      <c r="J112" t="s">
        <v>138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R112" t="s">
        <v>127</v>
      </c>
      <c r="S112" t="str">
        <f t="shared" si="44"/>
        <v>15:04:50.000</v>
      </c>
      <c r="T112" t="str">
        <f t="shared" si="44"/>
        <v>15:04:50.000</v>
      </c>
      <c r="U112" t="str">
        <f t="shared" si="27"/>
        <v>A68FCB</v>
      </c>
      <c r="V112">
        <v>0</v>
      </c>
      <c r="W112">
        <v>0</v>
      </c>
      <c r="X112">
        <v>2</v>
      </c>
      <c r="Y112">
        <v>0</v>
      </c>
      <c r="AA112">
        <v>1</v>
      </c>
      <c r="AB112">
        <v>8</v>
      </c>
      <c r="AC112">
        <v>3</v>
      </c>
      <c r="AD112">
        <v>0</v>
      </c>
      <c r="AE112">
        <v>9</v>
      </c>
      <c r="AF112" t="s">
        <v>138</v>
      </c>
      <c r="AG112">
        <v>0</v>
      </c>
      <c r="AH112">
        <v>3</v>
      </c>
      <c r="AI112">
        <v>1</v>
      </c>
      <c r="AJ112">
        <v>0</v>
      </c>
      <c r="AK112" t="s">
        <v>182</v>
      </c>
      <c r="AL112">
        <v>38.955181000000003</v>
      </c>
      <c r="AM112" t="s">
        <v>183</v>
      </c>
      <c r="AN112">
        <v>-121.078155</v>
      </c>
      <c r="AO112">
        <v>25</v>
      </c>
      <c r="AP112">
        <v>1600</v>
      </c>
      <c r="AQ112" t="s">
        <v>131</v>
      </c>
      <c r="AR112">
        <v>65</v>
      </c>
      <c r="AS112">
        <v>12</v>
      </c>
      <c r="AT112">
        <v>576</v>
      </c>
      <c r="BB112" t="str">
        <f t="shared" si="28"/>
        <v>1200</v>
      </c>
      <c r="BC112">
        <v>1</v>
      </c>
      <c r="BD112" t="str">
        <f t="shared" si="29"/>
        <v xml:space="preserve">N52156  </v>
      </c>
      <c r="BE112">
        <v>1</v>
      </c>
      <c r="BG112">
        <v>0</v>
      </c>
      <c r="BH112">
        <v>0</v>
      </c>
      <c r="BI112">
        <v>0</v>
      </c>
      <c r="BJ112">
        <v>1600</v>
      </c>
      <c r="BK112">
        <v>0</v>
      </c>
      <c r="BL112" t="s">
        <v>132</v>
      </c>
      <c r="BM112">
        <v>1</v>
      </c>
      <c r="BN112">
        <v>1</v>
      </c>
      <c r="BO112">
        <v>0</v>
      </c>
      <c r="BP112">
        <v>0</v>
      </c>
      <c r="BS112">
        <v>0.24</v>
      </c>
      <c r="BT112">
        <v>0</v>
      </c>
      <c r="BU112">
        <v>0</v>
      </c>
      <c r="CE112" t="str">
        <f t="shared" si="45"/>
        <v>15:04:50.922</v>
      </c>
      <c r="CF112">
        <v>921941666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133</v>
      </c>
      <c r="DA112">
        <v>275</v>
      </c>
      <c r="DB112">
        <v>0</v>
      </c>
      <c r="DC112" t="s">
        <v>134</v>
      </c>
      <c r="DD112" t="s">
        <v>135</v>
      </c>
      <c r="DG112">
        <v>3317693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"05/01/2025 15:04:51.152"</f>
        <v>05/01/2025 15:04:51.152</v>
      </c>
      <c r="C113" t="str">
        <f t="shared" si="26"/>
        <v>FFDFD3C0</v>
      </c>
      <c r="D113" t="s">
        <v>124</v>
      </c>
      <c r="E113" t="str">
        <f>"06"</f>
        <v>06</v>
      </c>
      <c r="F113">
        <v>2006</v>
      </c>
      <c r="G113" t="s">
        <v>125</v>
      </c>
      <c r="J113" t="s">
        <v>126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R113" t="s">
        <v>127</v>
      </c>
      <c r="S113" t="str">
        <f t="shared" si="44"/>
        <v>15:04:50.000</v>
      </c>
      <c r="T113" t="str">
        <f t="shared" si="44"/>
        <v>15:04:50.000</v>
      </c>
      <c r="U113" t="str">
        <f t="shared" si="27"/>
        <v>A68FCB</v>
      </c>
      <c r="V113">
        <v>0</v>
      </c>
      <c r="W113">
        <v>0</v>
      </c>
      <c r="X113">
        <v>2</v>
      </c>
      <c r="Y113">
        <v>0</v>
      </c>
      <c r="AA113">
        <v>1</v>
      </c>
      <c r="AB113">
        <v>8</v>
      </c>
      <c r="AC113">
        <v>3</v>
      </c>
      <c r="AD113">
        <v>0</v>
      </c>
      <c r="AE113">
        <v>9</v>
      </c>
      <c r="AF113" t="s">
        <v>138</v>
      </c>
      <c r="AG113">
        <v>0</v>
      </c>
      <c r="AH113">
        <v>3</v>
      </c>
      <c r="AI113">
        <v>1</v>
      </c>
      <c r="AJ113">
        <v>0</v>
      </c>
      <c r="AK113" t="s">
        <v>182</v>
      </c>
      <c r="AL113">
        <v>38.955181000000003</v>
      </c>
      <c r="AM113" t="s">
        <v>183</v>
      </c>
      <c r="AN113">
        <v>-121.078155</v>
      </c>
      <c r="AO113">
        <v>25</v>
      </c>
      <c r="AP113">
        <v>1600</v>
      </c>
      <c r="AQ113" t="s">
        <v>131</v>
      </c>
      <c r="AR113">
        <v>65</v>
      </c>
      <c r="AS113">
        <v>12</v>
      </c>
      <c r="AT113">
        <v>576</v>
      </c>
      <c r="BB113" t="str">
        <f t="shared" si="28"/>
        <v>1200</v>
      </c>
      <c r="BC113">
        <v>1</v>
      </c>
      <c r="BD113" t="str">
        <f t="shared" si="29"/>
        <v xml:space="preserve">N52156  </v>
      </c>
      <c r="BE113">
        <v>1</v>
      </c>
      <c r="BG113">
        <v>0</v>
      </c>
      <c r="BH113">
        <v>0</v>
      </c>
      <c r="BI113">
        <v>0</v>
      </c>
      <c r="BJ113">
        <v>1600</v>
      </c>
      <c r="BK113">
        <v>0</v>
      </c>
      <c r="BL113" t="s">
        <v>132</v>
      </c>
      <c r="BM113">
        <v>1</v>
      </c>
      <c r="BN113">
        <v>1</v>
      </c>
      <c r="BO113">
        <v>0</v>
      </c>
      <c r="BP113">
        <v>0</v>
      </c>
      <c r="BS113">
        <v>0.24</v>
      </c>
      <c r="BT113">
        <v>0</v>
      </c>
      <c r="BU113">
        <v>0</v>
      </c>
      <c r="CE113" t="str">
        <f t="shared" si="45"/>
        <v>15:04:50.922</v>
      </c>
      <c r="CF113">
        <v>921941666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133</v>
      </c>
      <c r="DA113">
        <v>275</v>
      </c>
      <c r="DB113">
        <v>0</v>
      </c>
      <c r="DC113" t="s">
        <v>134</v>
      </c>
      <c r="DD113" t="s">
        <v>135</v>
      </c>
      <c r="DG113">
        <v>3317693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"05/01/2025 15:04:51.160"</f>
        <v>05/01/2025 15:04:51.160</v>
      </c>
      <c r="C114" t="str">
        <f t="shared" si="26"/>
        <v>FFDFD3C0</v>
      </c>
      <c r="D114" t="s">
        <v>136</v>
      </c>
      <c r="E114" t="str">
        <f>"20"</f>
        <v>20</v>
      </c>
      <c r="H114">
        <v>400</v>
      </c>
      <c r="I114" t="s">
        <v>137</v>
      </c>
      <c r="J114" t="s">
        <v>138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R114" t="s">
        <v>127</v>
      </c>
      <c r="S114" t="str">
        <f t="shared" si="44"/>
        <v>15:04:50.000</v>
      </c>
      <c r="T114" t="str">
        <f t="shared" si="44"/>
        <v>15:04:50.000</v>
      </c>
      <c r="U114" t="str">
        <f t="shared" si="27"/>
        <v>A68FCB</v>
      </c>
      <c r="V114">
        <v>0</v>
      </c>
      <c r="W114">
        <v>0</v>
      </c>
      <c r="X114">
        <v>2</v>
      </c>
      <c r="Y114">
        <v>0</v>
      </c>
      <c r="AA114">
        <v>1</v>
      </c>
      <c r="AB114">
        <v>8</v>
      </c>
      <c r="AC114">
        <v>3</v>
      </c>
      <c r="AD114">
        <v>0</v>
      </c>
      <c r="AE114">
        <v>9</v>
      </c>
      <c r="AF114" t="s">
        <v>138</v>
      </c>
      <c r="AG114">
        <v>0</v>
      </c>
      <c r="AH114">
        <v>3</v>
      </c>
      <c r="AI114">
        <v>1</v>
      </c>
      <c r="AJ114">
        <v>0</v>
      </c>
      <c r="AK114" t="s">
        <v>182</v>
      </c>
      <c r="AL114">
        <v>38.955181000000003</v>
      </c>
      <c r="AM114" t="s">
        <v>183</v>
      </c>
      <c r="AN114">
        <v>-121.078155</v>
      </c>
      <c r="AO114">
        <v>25</v>
      </c>
      <c r="AP114">
        <v>1600</v>
      </c>
      <c r="AQ114" t="s">
        <v>131</v>
      </c>
      <c r="AR114">
        <v>65</v>
      </c>
      <c r="AS114">
        <v>12</v>
      </c>
      <c r="AT114">
        <v>576</v>
      </c>
      <c r="BB114" t="str">
        <f t="shared" si="28"/>
        <v>1200</v>
      </c>
      <c r="BC114">
        <v>1</v>
      </c>
      <c r="BD114" t="str">
        <f t="shared" si="29"/>
        <v xml:space="preserve">N52156  </v>
      </c>
      <c r="BE114">
        <v>1</v>
      </c>
      <c r="BG114">
        <v>0</v>
      </c>
      <c r="BH114">
        <v>0</v>
      </c>
      <c r="BI114">
        <v>0</v>
      </c>
      <c r="BJ114">
        <v>1600</v>
      </c>
      <c r="BK114">
        <v>0</v>
      </c>
      <c r="BL114" t="s">
        <v>132</v>
      </c>
      <c r="BM114">
        <v>1</v>
      </c>
      <c r="BN114">
        <v>1</v>
      </c>
      <c r="BO114">
        <v>0</v>
      </c>
      <c r="BP114">
        <v>0</v>
      </c>
      <c r="BS114">
        <v>0.24</v>
      </c>
      <c r="BT114">
        <v>0</v>
      </c>
      <c r="BU114">
        <v>0</v>
      </c>
      <c r="CE114" t="str">
        <f t="shared" si="45"/>
        <v>15:04:50.922</v>
      </c>
      <c r="CF114">
        <v>921941666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133</v>
      </c>
      <c r="DA114">
        <v>275</v>
      </c>
      <c r="DB114">
        <v>0</v>
      </c>
      <c r="DC114" t="s">
        <v>134</v>
      </c>
      <c r="DD114" t="s">
        <v>135</v>
      </c>
      <c r="DG114">
        <v>3317693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"05/01/2025 15:04:51.188"</f>
        <v>05/01/2025 15:04:51.188</v>
      </c>
      <c r="C115" t="str">
        <f t="shared" si="26"/>
        <v>FFDFD3C0</v>
      </c>
      <c r="D115" t="s">
        <v>140</v>
      </c>
      <c r="E115" t="str">
        <f>"13"</f>
        <v>13</v>
      </c>
      <c r="F115">
        <v>1019</v>
      </c>
      <c r="G115" t="s">
        <v>141</v>
      </c>
      <c r="J115" t="s">
        <v>142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R115" t="s">
        <v>127</v>
      </c>
      <c r="S115" t="str">
        <f t="shared" si="44"/>
        <v>15:04:50.000</v>
      </c>
      <c r="T115" t="str">
        <f t="shared" si="44"/>
        <v>15:04:50.000</v>
      </c>
      <c r="U115" t="str">
        <f t="shared" si="27"/>
        <v>A68FCB</v>
      </c>
      <c r="V115">
        <v>0</v>
      </c>
      <c r="W115">
        <v>0</v>
      </c>
      <c r="X115">
        <v>2</v>
      </c>
      <c r="Y115">
        <v>0</v>
      </c>
      <c r="AA115">
        <v>1</v>
      </c>
      <c r="AB115">
        <v>8</v>
      </c>
      <c r="AC115">
        <v>3</v>
      </c>
      <c r="AD115">
        <v>0</v>
      </c>
      <c r="AE115">
        <v>9</v>
      </c>
      <c r="AF115" t="s">
        <v>138</v>
      </c>
      <c r="AG115">
        <v>0</v>
      </c>
      <c r="AH115">
        <v>3</v>
      </c>
      <c r="AI115">
        <v>1</v>
      </c>
      <c r="AJ115">
        <v>0</v>
      </c>
      <c r="AK115" t="s">
        <v>182</v>
      </c>
      <c r="AL115">
        <v>38.955181000000003</v>
      </c>
      <c r="AM115" t="s">
        <v>183</v>
      </c>
      <c r="AN115">
        <v>-121.078155</v>
      </c>
      <c r="AO115">
        <v>25</v>
      </c>
      <c r="AP115">
        <v>1600</v>
      </c>
      <c r="AQ115" t="s">
        <v>131</v>
      </c>
      <c r="AR115">
        <v>65</v>
      </c>
      <c r="AS115">
        <v>12</v>
      </c>
      <c r="AT115">
        <v>576</v>
      </c>
      <c r="BB115" t="str">
        <f t="shared" si="28"/>
        <v>1200</v>
      </c>
      <c r="BC115">
        <v>1</v>
      </c>
      <c r="BD115" t="str">
        <f t="shared" si="29"/>
        <v xml:space="preserve">N52156  </v>
      </c>
      <c r="BE115">
        <v>1</v>
      </c>
      <c r="BG115">
        <v>0</v>
      </c>
      <c r="BH115">
        <v>0</v>
      </c>
      <c r="BI115">
        <v>0</v>
      </c>
      <c r="BJ115">
        <v>1600</v>
      </c>
      <c r="BK115">
        <v>0</v>
      </c>
      <c r="BL115" t="s">
        <v>132</v>
      </c>
      <c r="BM115">
        <v>1</v>
      </c>
      <c r="BN115">
        <v>1</v>
      </c>
      <c r="BO115">
        <v>0</v>
      </c>
      <c r="BP115">
        <v>0</v>
      </c>
      <c r="BS115">
        <v>0.24</v>
      </c>
      <c r="BT115">
        <v>0</v>
      </c>
      <c r="BU115">
        <v>0</v>
      </c>
      <c r="CE115" t="str">
        <f t="shared" si="45"/>
        <v>15:04:50.922</v>
      </c>
      <c r="CF115">
        <v>921941666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5</v>
      </c>
      <c r="CY115">
        <v>7</v>
      </c>
      <c r="CZ115" t="s">
        <v>133</v>
      </c>
      <c r="DA115">
        <v>275</v>
      </c>
      <c r="DB115">
        <v>0</v>
      </c>
      <c r="DC115" t="s">
        <v>134</v>
      </c>
      <c r="DD115" t="s">
        <v>135</v>
      </c>
      <c r="DG115">
        <v>3317693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"05/01/2025 15:04:51.538"</f>
        <v>05/01/2025 15:04:51.538</v>
      </c>
      <c r="C116" t="str">
        <f t="shared" si="26"/>
        <v>FFDFD3C0</v>
      </c>
      <c r="D116" t="s">
        <v>140</v>
      </c>
      <c r="E116" t="str">
        <f>"13"</f>
        <v>13</v>
      </c>
      <c r="F116">
        <v>1019</v>
      </c>
      <c r="G116" t="s">
        <v>141</v>
      </c>
      <c r="J116" t="s">
        <v>142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R116" t="s">
        <v>127</v>
      </c>
      <c r="S116" t="str">
        <f t="shared" ref="S116:T121" si="46">"15:04:51.000"</f>
        <v>15:04:51.000</v>
      </c>
      <c r="T116" t="str">
        <f t="shared" si="46"/>
        <v>15:04:51.000</v>
      </c>
      <c r="U116" t="str">
        <f t="shared" si="27"/>
        <v>A68FCB</v>
      </c>
      <c r="V116">
        <v>0</v>
      </c>
      <c r="W116">
        <v>0</v>
      </c>
      <c r="X116">
        <v>2</v>
      </c>
      <c r="Y116">
        <v>0</v>
      </c>
      <c r="AA116">
        <v>1</v>
      </c>
      <c r="AB116">
        <v>8</v>
      </c>
      <c r="AC116">
        <v>3</v>
      </c>
      <c r="AD116">
        <v>0</v>
      </c>
      <c r="AE116">
        <v>9</v>
      </c>
      <c r="AF116" t="s">
        <v>138</v>
      </c>
      <c r="AG116">
        <v>0</v>
      </c>
      <c r="AH116">
        <v>3</v>
      </c>
      <c r="AI116">
        <v>1</v>
      </c>
      <c r="AJ116">
        <v>0</v>
      </c>
      <c r="AK116" t="s">
        <v>184</v>
      </c>
      <c r="AL116">
        <v>38.955244999999998</v>
      </c>
      <c r="AM116" t="s">
        <v>185</v>
      </c>
      <c r="AN116">
        <v>-121.077704</v>
      </c>
      <c r="AO116">
        <v>25</v>
      </c>
      <c r="AP116">
        <v>1600</v>
      </c>
      <c r="AQ116" t="s">
        <v>131</v>
      </c>
      <c r="AR116">
        <v>68</v>
      </c>
      <c r="AS116">
        <v>11</v>
      </c>
      <c r="AT116">
        <v>448</v>
      </c>
      <c r="BB116" t="str">
        <f t="shared" si="28"/>
        <v>1200</v>
      </c>
      <c r="BC116">
        <v>1</v>
      </c>
      <c r="BD116" t="str">
        <f t="shared" si="29"/>
        <v xml:space="preserve">N52156  </v>
      </c>
      <c r="BE116">
        <v>1</v>
      </c>
      <c r="BG116">
        <v>0</v>
      </c>
      <c r="BH116">
        <v>0</v>
      </c>
      <c r="BI116">
        <v>0</v>
      </c>
      <c r="BJ116">
        <v>1600</v>
      </c>
      <c r="BK116">
        <v>0</v>
      </c>
      <c r="BL116" t="s">
        <v>132</v>
      </c>
      <c r="BM116">
        <v>1</v>
      </c>
      <c r="BN116">
        <v>1</v>
      </c>
      <c r="BO116">
        <v>0</v>
      </c>
      <c r="BP116">
        <v>0</v>
      </c>
      <c r="BS116">
        <v>0.24</v>
      </c>
      <c r="BT116">
        <v>0</v>
      </c>
      <c r="BU116">
        <v>0</v>
      </c>
      <c r="CE116" t="str">
        <f t="shared" ref="CE116:CE121" si="47">"15:04:51.336"</f>
        <v>15:04:51.336</v>
      </c>
      <c r="CF116">
        <v>336440203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133</v>
      </c>
      <c r="DA116">
        <v>275</v>
      </c>
      <c r="DB116">
        <v>0</v>
      </c>
      <c r="DC116" t="s">
        <v>134</v>
      </c>
      <c r="DD116" t="s">
        <v>135</v>
      </c>
      <c r="DG116">
        <v>3317700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"05/01/2025 15:04:51.545"</f>
        <v>05/01/2025 15:04:51.545</v>
      </c>
      <c r="C117" t="str">
        <f t="shared" si="26"/>
        <v>FFDFD3C0</v>
      </c>
      <c r="D117" t="s">
        <v>143</v>
      </c>
      <c r="E117" t="str">
        <f>"05"</f>
        <v>05</v>
      </c>
      <c r="H117">
        <v>172</v>
      </c>
      <c r="I117" t="s">
        <v>141</v>
      </c>
      <c r="J117" t="s">
        <v>144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R117" t="s">
        <v>127</v>
      </c>
      <c r="S117" t="str">
        <f t="shared" si="46"/>
        <v>15:04:51.000</v>
      </c>
      <c r="T117" t="str">
        <f t="shared" si="46"/>
        <v>15:04:51.000</v>
      </c>
      <c r="U117" t="str">
        <f t="shared" si="27"/>
        <v>A68FCB</v>
      </c>
      <c r="V117">
        <v>0</v>
      </c>
      <c r="W117">
        <v>0</v>
      </c>
      <c r="X117">
        <v>2</v>
      </c>
      <c r="Y117">
        <v>0</v>
      </c>
      <c r="AA117">
        <v>1</v>
      </c>
      <c r="AB117">
        <v>8</v>
      </c>
      <c r="AC117">
        <v>3</v>
      </c>
      <c r="AD117">
        <v>0</v>
      </c>
      <c r="AE117">
        <v>9</v>
      </c>
      <c r="AF117" t="s">
        <v>138</v>
      </c>
      <c r="AG117">
        <v>0</v>
      </c>
      <c r="AH117">
        <v>3</v>
      </c>
      <c r="AI117">
        <v>1</v>
      </c>
      <c r="AJ117">
        <v>0</v>
      </c>
      <c r="AK117" t="s">
        <v>184</v>
      </c>
      <c r="AL117">
        <v>38.955244999999998</v>
      </c>
      <c r="AM117" t="s">
        <v>185</v>
      </c>
      <c r="AN117">
        <v>-121.077704</v>
      </c>
      <c r="AO117">
        <v>25</v>
      </c>
      <c r="AP117">
        <v>1600</v>
      </c>
      <c r="AQ117" t="s">
        <v>131</v>
      </c>
      <c r="AR117">
        <v>68</v>
      </c>
      <c r="AS117">
        <v>11</v>
      </c>
      <c r="AT117">
        <v>448</v>
      </c>
      <c r="BB117" t="str">
        <f t="shared" si="28"/>
        <v>1200</v>
      </c>
      <c r="BC117">
        <v>1</v>
      </c>
      <c r="BD117" t="str">
        <f t="shared" si="29"/>
        <v xml:space="preserve">N52156  </v>
      </c>
      <c r="BE117">
        <v>1</v>
      </c>
      <c r="BG117">
        <v>0</v>
      </c>
      <c r="BH117">
        <v>0</v>
      </c>
      <c r="BI117">
        <v>0</v>
      </c>
      <c r="BJ117">
        <v>1600</v>
      </c>
      <c r="BK117">
        <v>0</v>
      </c>
      <c r="BL117" t="s">
        <v>132</v>
      </c>
      <c r="BM117">
        <v>1</v>
      </c>
      <c r="BN117">
        <v>1</v>
      </c>
      <c r="BO117">
        <v>0</v>
      </c>
      <c r="BP117">
        <v>0</v>
      </c>
      <c r="BS117">
        <v>0.24</v>
      </c>
      <c r="BT117">
        <v>0</v>
      </c>
      <c r="BU117">
        <v>0</v>
      </c>
      <c r="CE117" t="str">
        <f t="shared" si="47"/>
        <v>15:04:51.336</v>
      </c>
      <c r="CF117">
        <v>336440203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133</v>
      </c>
      <c r="DA117">
        <v>275</v>
      </c>
      <c r="DB117">
        <v>0</v>
      </c>
      <c r="DC117" t="s">
        <v>134</v>
      </c>
      <c r="DD117" t="s">
        <v>135</v>
      </c>
      <c r="DG117">
        <v>3317700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"05/01/2025 15:04:51.549"</f>
        <v>05/01/2025 15:04:51.549</v>
      </c>
      <c r="C118" t="str">
        <f t="shared" si="26"/>
        <v>FFDFD3C0</v>
      </c>
      <c r="D118" t="s">
        <v>145</v>
      </c>
      <c r="E118" t="str">
        <f>"05"</f>
        <v>05</v>
      </c>
      <c r="H118">
        <v>47</v>
      </c>
      <c r="I118" t="s">
        <v>146</v>
      </c>
      <c r="J118" t="s">
        <v>138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R118" t="s">
        <v>127</v>
      </c>
      <c r="S118" t="str">
        <f t="shared" si="46"/>
        <v>15:04:51.000</v>
      </c>
      <c r="T118" t="str">
        <f t="shared" si="46"/>
        <v>15:04:51.000</v>
      </c>
      <c r="U118" t="str">
        <f t="shared" si="27"/>
        <v>A68FCB</v>
      </c>
      <c r="V118">
        <v>0</v>
      </c>
      <c r="W118">
        <v>0</v>
      </c>
      <c r="X118">
        <v>2</v>
      </c>
      <c r="Y118">
        <v>0</v>
      </c>
      <c r="AA118">
        <v>1</v>
      </c>
      <c r="AB118">
        <v>8</v>
      </c>
      <c r="AC118">
        <v>3</v>
      </c>
      <c r="AD118">
        <v>0</v>
      </c>
      <c r="AE118">
        <v>9</v>
      </c>
      <c r="AF118" t="s">
        <v>138</v>
      </c>
      <c r="AG118">
        <v>0</v>
      </c>
      <c r="AH118">
        <v>3</v>
      </c>
      <c r="AI118">
        <v>1</v>
      </c>
      <c r="AJ118">
        <v>0</v>
      </c>
      <c r="AK118" t="s">
        <v>184</v>
      </c>
      <c r="AL118">
        <v>38.955244999999998</v>
      </c>
      <c r="AM118" t="s">
        <v>185</v>
      </c>
      <c r="AN118">
        <v>-121.077704</v>
      </c>
      <c r="AO118">
        <v>25</v>
      </c>
      <c r="AP118">
        <v>1600</v>
      </c>
      <c r="AQ118" t="s">
        <v>131</v>
      </c>
      <c r="AR118">
        <v>68</v>
      </c>
      <c r="AS118">
        <v>11</v>
      </c>
      <c r="AT118">
        <v>448</v>
      </c>
      <c r="BB118" t="str">
        <f t="shared" si="28"/>
        <v>1200</v>
      </c>
      <c r="BC118">
        <v>1</v>
      </c>
      <c r="BD118" t="str">
        <f t="shared" si="29"/>
        <v xml:space="preserve">N52156  </v>
      </c>
      <c r="BE118">
        <v>1</v>
      </c>
      <c r="BG118">
        <v>0</v>
      </c>
      <c r="BH118">
        <v>0</v>
      </c>
      <c r="BI118">
        <v>0</v>
      </c>
      <c r="BJ118">
        <v>1600</v>
      </c>
      <c r="BK118">
        <v>0</v>
      </c>
      <c r="BL118" t="s">
        <v>132</v>
      </c>
      <c r="BM118">
        <v>1</v>
      </c>
      <c r="BN118">
        <v>1</v>
      </c>
      <c r="BO118">
        <v>0</v>
      </c>
      <c r="BP118">
        <v>0</v>
      </c>
      <c r="BS118">
        <v>0.24</v>
      </c>
      <c r="BT118">
        <v>0</v>
      </c>
      <c r="BU118">
        <v>0</v>
      </c>
      <c r="CE118" t="str">
        <f t="shared" si="47"/>
        <v>15:04:51.336</v>
      </c>
      <c r="CF118">
        <v>336440203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133</v>
      </c>
      <c r="DA118">
        <v>275</v>
      </c>
      <c r="DB118">
        <v>0</v>
      </c>
      <c r="DC118" t="s">
        <v>134</v>
      </c>
      <c r="DD118" t="s">
        <v>135</v>
      </c>
      <c r="DG118">
        <v>3317700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"05/01/2025 15:04:51.550"</f>
        <v>05/01/2025 15:04:51.550</v>
      </c>
      <c r="C119" t="str">
        <f t="shared" si="26"/>
        <v>FFDFD3C0</v>
      </c>
      <c r="D119" t="s">
        <v>145</v>
      </c>
      <c r="E119" t="str">
        <f>"09"</f>
        <v>09</v>
      </c>
      <c r="H119">
        <v>51</v>
      </c>
      <c r="I119" t="s">
        <v>147</v>
      </c>
      <c r="J119" t="s">
        <v>138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R119" t="s">
        <v>127</v>
      </c>
      <c r="S119" t="str">
        <f t="shared" si="46"/>
        <v>15:04:51.000</v>
      </c>
      <c r="T119" t="str">
        <f t="shared" si="46"/>
        <v>15:04:51.000</v>
      </c>
      <c r="U119" t="str">
        <f t="shared" si="27"/>
        <v>A68FCB</v>
      </c>
      <c r="V119">
        <v>0</v>
      </c>
      <c r="W119">
        <v>0</v>
      </c>
      <c r="X119">
        <v>2</v>
      </c>
      <c r="Y119">
        <v>0</v>
      </c>
      <c r="AA119">
        <v>1</v>
      </c>
      <c r="AB119">
        <v>8</v>
      </c>
      <c r="AC119">
        <v>3</v>
      </c>
      <c r="AD119">
        <v>0</v>
      </c>
      <c r="AE119">
        <v>9</v>
      </c>
      <c r="AF119" t="s">
        <v>138</v>
      </c>
      <c r="AG119">
        <v>0</v>
      </c>
      <c r="AH119">
        <v>3</v>
      </c>
      <c r="AI119">
        <v>1</v>
      </c>
      <c r="AJ119">
        <v>0</v>
      </c>
      <c r="AK119" t="s">
        <v>184</v>
      </c>
      <c r="AL119">
        <v>38.955244999999998</v>
      </c>
      <c r="AM119" t="s">
        <v>185</v>
      </c>
      <c r="AN119">
        <v>-121.077704</v>
      </c>
      <c r="AO119">
        <v>25</v>
      </c>
      <c r="AP119">
        <v>1600</v>
      </c>
      <c r="AQ119" t="s">
        <v>131</v>
      </c>
      <c r="AR119">
        <v>68</v>
      </c>
      <c r="AS119">
        <v>11</v>
      </c>
      <c r="AT119">
        <v>448</v>
      </c>
      <c r="BB119" t="str">
        <f t="shared" si="28"/>
        <v>1200</v>
      </c>
      <c r="BC119">
        <v>1</v>
      </c>
      <c r="BD119" t="str">
        <f t="shared" si="29"/>
        <v xml:space="preserve">N52156  </v>
      </c>
      <c r="BE119">
        <v>1</v>
      </c>
      <c r="BG119">
        <v>0</v>
      </c>
      <c r="BH119">
        <v>0</v>
      </c>
      <c r="BI119">
        <v>0</v>
      </c>
      <c r="BJ119">
        <v>1600</v>
      </c>
      <c r="BK119">
        <v>0</v>
      </c>
      <c r="BL119" t="s">
        <v>132</v>
      </c>
      <c r="BM119">
        <v>1</v>
      </c>
      <c r="BN119">
        <v>1</v>
      </c>
      <c r="BO119">
        <v>0</v>
      </c>
      <c r="BP119">
        <v>0</v>
      </c>
      <c r="BS119">
        <v>0.24</v>
      </c>
      <c r="BT119">
        <v>0</v>
      </c>
      <c r="BU119">
        <v>0</v>
      </c>
      <c r="CE119" t="str">
        <f t="shared" si="47"/>
        <v>15:04:51.336</v>
      </c>
      <c r="CF119">
        <v>336440203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5</v>
      </c>
      <c r="CY119">
        <v>7</v>
      </c>
      <c r="CZ119" t="s">
        <v>133</v>
      </c>
      <c r="DA119">
        <v>275</v>
      </c>
      <c r="DB119">
        <v>0</v>
      </c>
      <c r="DC119" t="s">
        <v>134</v>
      </c>
      <c r="DD119" t="s">
        <v>135</v>
      </c>
      <c r="DG119">
        <v>3317700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"05/01/2025 15:04:51.553"</f>
        <v>05/01/2025 15:04:51.553</v>
      </c>
      <c r="C120" t="str">
        <f t="shared" si="26"/>
        <v>FFDFD3C0</v>
      </c>
      <c r="D120" t="s">
        <v>124</v>
      </c>
      <c r="E120" t="str">
        <f>"06"</f>
        <v>06</v>
      </c>
      <c r="F120">
        <v>2006</v>
      </c>
      <c r="G120" t="s">
        <v>125</v>
      </c>
      <c r="J120" t="s">
        <v>126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R120" t="s">
        <v>127</v>
      </c>
      <c r="S120" t="str">
        <f t="shared" si="46"/>
        <v>15:04:51.000</v>
      </c>
      <c r="T120" t="str">
        <f t="shared" si="46"/>
        <v>15:04:51.000</v>
      </c>
      <c r="U120" t="str">
        <f t="shared" si="27"/>
        <v>A68FCB</v>
      </c>
      <c r="V120">
        <v>0</v>
      </c>
      <c r="W120">
        <v>0</v>
      </c>
      <c r="X120">
        <v>2</v>
      </c>
      <c r="Y120">
        <v>0</v>
      </c>
      <c r="AA120">
        <v>1</v>
      </c>
      <c r="AB120">
        <v>8</v>
      </c>
      <c r="AC120">
        <v>3</v>
      </c>
      <c r="AD120">
        <v>0</v>
      </c>
      <c r="AE120">
        <v>9</v>
      </c>
      <c r="AF120" t="s">
        <v>138</v>
      </c>
      <c r="AG120">
        <v>0</v>
      </c>
      <c r="AH120">
        <v>3</v>
      </c>
      <c r="AI120">
        <v>1</v>
      </c>
      <c r="AJ120">
        <v>0</v>
      </c>
      <c r="AK120" t="s">
        <v>184</v>
      </c>
      <c r="AL120">
        <v>38.955244999999998</v>
      </c>
      <c r="AM120" t="s">
        <v>185</v>
      </c>
      <c r="AN120">
        <v>-121.077704</v>
      </c>
      <c r="AO120">
        <v>25</v>
      </c>
      <c r="AP120">
        <v>1600</v>
      </c>
      <c r="AQ120" t="s">
        <v>131</v>
      </c>
      <c r="AR120">
        <v>68</v>
      </c>
      <c r="AS120">
        <v>11</v>
      </c>
      <c r="AT120">
        <v>448</v>
      </c>
      <c r="BB120" t="str">
        <f t="shared" si="28"/>
        <v>1200</v>
      </c>
      <c r="BC120">
        <v>1</v>
      </c>
      <c r="BD120" t="str">
        <f t="shared" si="29"/>
        <v xml:space="preserve">N52156  </v>
      </c>
      <c r="BE120">
        <v>1</v>
      </c>
      <c r="BG120">
        <v>0</v>
      </c>
      <c r="BH120">
        <v>0</v>
      </c>
      <c r="BI120">
        <v>0</v>
      </c>
      <c r="BJ120">
        <v>1600</v>
      </c>
      <c r="BK120">
        <v>0</v>
      </c>
      <c r="BL120" t="s">
        <v>132</v>
      </c>
      <c r="BM120">
        <v>1</v>
      </c>
      <c r="BN120">
        <v>1</v>
      </c>
      <c r="BO120">
        <v>0</v>
      </c>
      <c r="BP120">
        <v>0</v>
      </c>
      <c r="BS120">
        <v>0.24</v>
      </c>
      <c r="BT120">
        <v>0</v>
      </c>
      <c r="BU120">
        <v>0</v>
      </c>
      <c r="CE120" t="str">
        <f t="shared" si="47"/>
        <v>15:04:51.336</v>
      </c>
      <c r="CF120">
        <v>336440203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5</v>
      </c>
      <c r="CY120">
        <v>7</v>
      </c>
      <c r="CZ120" t="s">
        <v>133</v>
      </c>
      <c r="DA120">
        <v>275</v>
      </c>
      <c r="DB120">
        <v>0</v>
      </c>
      <c r="DC120" t="s">
        <v>134</v>
      </c>
      <c r="DD120" t="s">
        <v>135</v>
      </c>
      <c r="DG120">
        <v>3317700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"05/01/2025 15:04:51.561"</f>
        <v>05/01/2025 15:04:51.561</v>
      </c>
      <c r="C121" t="str">
        <f t="shared" si="26"/>
        <v>FFDFD3C0</v>
      </c>
      <c r="D121" t="s">
        <v>136</v>
      </c>
      <c r="E121" t="str">
        <f>"20"</f>
        <v>20</v>
      </c>
      <c r="H121">
        <v>400</v>
      </c>
      <c r="I121" t="s">
        <v>137</v>
      </c>
      <c r="J121" t="s">
        <v>138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R121" t="s">
        <v>127</v>
      </c>
      <c r="S121" t="str">
        <f t="shared" si="46"/>
        <v>15:04:51.000</v>
      </c>
      <c r="T121" t="str">
        <f t="shared" si="46"/>
        <v>15:04:51.000</v>
      </c>
      <c r="U121" t="str">
        <f t="shared" si="27"/>
        <v>A68FCB</v>
      </c>
      <c r="V121">
        <v>0</v>
      </c>
      <c r="W121">
        <v>0</v>
      </c>
      <c r="X121">
        <v>2</v>
      </c>
      <c r="Y121">
        <v>0</v>
      </c>
      <c r="AA121">
        <v>1</v>
      </c>
      <c r="AB121">
        <v>8</v>
      </c>
      <c r="AC121">
        <v>3</v>
      </c>
      <c r="AD121">
        <v>0</v>
      </c>
      <c r="AE121">
        <v>9</v>
      </c>
      <c r="AF121" t="s">
        <v>138</v>
      </c>
      <c r="AG121">
        <v>0</v>
      </c>
      <c r="AH121">
        <v>3</v>
      </c>
      <c r="AI121">
        <v>1</v>
      </c>
      <c r="AJ121">
        <v>0</v>
      </c>
      <c r="AK121" t="s">
        <v>184</v>
      </c>
      <c r="AL121">
        <v>38.955244999999998</v>
      </c>
      <c r="AM121" t="s">
        <v>185</v>
      </c>
      <c r="AN121">
        <v>-121.077704</v>
      </c>
      <c r="AO121">
        <v>25</v>
      </c>
      <c r="AP121">
        <v>1600</v>
      </c>
      <c r="AQ121" t="s">
        <v>131</v>
      </c>
      <c r="AR121">
        <v>68</v>
      </c>
      <c r="AS121">
        <v>11</v>
      </c>
      <c r="AT121">
        <v>448</v>
      </c>
      <c r="BB121" t="str">
        <f t="shared" si="28"/>
        <v>1200</v>
      </c>
      <c r="BC121">
        <v>1</v>
      </c>
      <c r="BD121" t="str">
        <f t="shared" si="29"/>
        <v xml:space="preserve">N52156  </v>
      </c>
      <c r="BE121">
        <v>1</v>
      </c>
      <c r="BG121">
        <v>0</v>
      </c>
      <c r="BH121">
        <v>0</v>
      </c>
      <c r="BI121">
        <v>0</v>
      </c>
      <c r="BJ121">
        <v>1600</v>
      </c>
      <c r="BK121">
        <v>0</v>
      </c>
      <c r="BL121" t="s">
        <v>132</v>
      </c>
      <c r="BM121">
        <v>1</v>
      </c>
      <c r="BN121">
        <v>1</v>
      </c>
      <c r="BO121">
        <v>0</v>
      </c>
      <c r="BP121">
        <v>0</v>
      </c>
      <c r="BS121">
        <v>0.24</v>
      </c>
      <c r="BT121">
        <v>0</v>
      </c>
      <c r="BU121">
        <v>0</v>
      </c>
      <c r="CE121" t="str">
        <f t="shared" si="47"/>
        <v>15:04:51.336</v>
      </c>
      <c r="CF121">
        <v>336440203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5</v>
      </c>
      <c r="CY121">
        <v>7</v>
      </c>
      <c r="CZ121" t="s">
        <v>133</v>
      </c>
      <c r="DA121">
        <v>275</v>
      </c>
      <c r="DB121">
        <v>0</v>
      </c>
      <c r="DC121" t="s">
        <v>134</v>
      </c>
      <c r="DD121" t="s">
        <v>135</v>
      </c>
      <c r="DG121">
        <v>3317700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"05/01/2025 15:04:52.991"</f>
        <v>05/01/2025 15:04:52.991</v>
      </c>
      <c r="C122" t="str">
        <f t="shared" si="26"/>
        <v>FFDFD3C0</v>
      </c>
      <c r="D122" t="s">
        <v>140</v>
      </c>
      <c r="E122" t="str">
        <f>"13"</f>
        <v>13</v>
      </c>
      <c r="F122">
        <v>1019</v>
      </c>
      <c r="G122" t="s">
        <v>141</v>
      </c>
      <c r="J122" t="s">
        <v>142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R122" t="s">
        <v>127</v>
      </c>
      <c r="S122" t="str">
        <f t="shared" ref="S122:T127" si="48">"15:04:52.000"</f>
        <v>15:04:52.000</v>
      </c>
      <c r="T122" t="str">
        <f t="shared" si="48"/>
        <v>15:04:52.000</v>
      </c>
      <c r="U122" t="str">
        <f t="shared" si="27"/>
        <v>A68FCB</v>
      </c>
      <c r="V122">
        <v>0</v>
      </c>
      <c r="W122">
        <v>0</v>
      </c>
      <c r="X122">
        <v>2</v>
      </c>
      <c r="Y122">
        <v>0</v>
      </c>
      <c r="AA122">
        <v>1</v>
      </c>
      <c r="AB122">
        <v>8</v>
      </c>
      <c r="AC122">
        <v>3</v>
      </c>
      <c r="AD122">
        <v>0</v>
      </c>
      <c r="AE122">
        <v>9</v>
      </c>
      <c r="AF122" t="s">
        <v>138</v>
      </c>
      <c r="AG122">
        <v>0</v>
      </c>
      <c r="AH122">
        <v>3</v>
      </c>
      <c r="AI122">
        <v>1</v>
      </c>
      <c r="AJ122">
        <v>0</v>
      </c>
      <c r="AK122" t="s">
        <v>186</v>
      </c>
      <c r="AL122">
        <v>38.955288000000003</v>
      </c>
      <c r="AM122" t="s">
        <v>187</v>
      </c>
      <c r="AN122">
        <v>-121.077297</v>
      </c>
      <c r="AO122">
        <v>25</v>
      </c>
      <c r="AP122">
        <v>1600</v>
      </c>
      <c r="AQ122" t="s">
        <v>131</v>
      </c>
      <c r="AR122">
        <v>68</v>
      </c>
      <c r="AS122">
        <v>10</v>
      </c>
      <c r="AT122">
        <v>384</v>
      </c>
      <c r="BB122" t="str">
        <f t="shared" si="28"/>
        <v>1200</v>
      </c>
      <c r="BC122">
        <v>1</v>
      </c>
      <c r="BD122" t="str">
        <f t="shared" si="29"/>
        <v xml:space="preserve">N52156  </v>
      </c>
      <c r="BE122">
        <v>1</v>
      </c>
      <c r="BG122">
        <v>0</v>
      </c>
      <c r="BH122">
        <v>0</v>
      </c>
      <c r="BI122">
        <v>0</v>
      </c>
      <c r="BJ122">
        <v>1600</v>
      </c>
      <c r="BK122">
        <v>0</v>
      </c>
      <c r="BL122" t="s">
        <v>188</v>
      </c>
      <c r="BM122">
        <v>1</v>
      </c>
      <c r="BN122">
        <v>1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 t="shared" ref="CE122:CE127" si="49">"15:04:52.766"</f>
        <v>15:04:52.766</v>
      </c>
      <c r="CF122">
        <v>766441471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133</v>
      </c>
      <c r="DA122">
        <v>275</v>
      </c>
      <c r="DB122">
        <v>0</v>
      </c>
      <c r="DC122" t="s">
        <v>134</v>
      </c>
      <c r="DD122" t="s">
        <v>135</v>
      </c>
      <c r="DG122">
        <v>3317716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"05/01/2025 15:04:52.997"</f>
        <v>05/01/2025 15:04:52.997</v>
      </c>
      <c r="C123" t="str">
        <f t="shared" si="26"/>
        <v>FFDFD3C0</v>
      </c>
      <c r="D123" t="s">
        <v>143</v>
      </c>
      <c r="E123" t="str">
        <f>"05"</f>
        <v>05</v>
      </c>
      <c r="H123">
        <v>172</v>
      </c>
      <c r="I123" t="s">
        <v>141</v>
      </c>
      <c r="J123" t="s">
        <v>144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R123" t="s">
        <v>127</v>
      </c>
      <c r="S123" t="str">
        <f t="shared" si="48"/>
        <v>15:04:52.000</v>
      </c>
      <c r="T123" t="str">
        <f t="shared" si="48"/>
        <v>15:04:52.000</v>
      </c>
      <c r="U123" t="str">
        <f t="shared" si="27"/>
        <v>A68FCB</v>
      </c>
      <c r="V123">
        <v>0</v>
      </c>
      <c r="W123">
        <v>0</v>
      </c>
      <c r="X123">
        <v>2</v>
      </c>
      <c r="Y123">
        <v>0</v>
      </c>
      <c r="AA123">
        <v>1</v>
      </c>
      <c r="AB123">
        <v>8</v>
      </c>
      <c r="AC123">
        <v>3</v>
      </c>
      <c r="AD123">
        <v>0</v>
      </c>
      <c r="AE123">
        <v>9</v>
      </c>
      <c r="AF123" t="s">
        <v>138</v>
      </c>
      <c r="AG123">
        <v>0</v>
      </c>
      <c r="AH123">
        <v>3</v>
      </c>
      <c r="AI123">
        <v>1</v>
      </c>
      <c r="AJ123">
        <v>0</v>
      </c>
      <c r="AK123" t="s">
        <v>186</v>
      </c>
      <c r="AL123">
        <v>38.955288000000003</v>
      </c>
      <c r="AM123" t="s">
        <v>187</v>
      </c>
      <c r="AN123">
        <v>-121.077297</v>
      </c>
      <c r="AO123">
        <v>25</v>
      </c>
      <c r="AP123">
        <v>1600</v>
      </c>
      <c r="AQ123" t="s">
        <v>131</v>
      </c>
      <c r="AR123">
        <v>68</v>
      </c>
      <c r="AS123">
        <v>10</v>
      </c>
      <c r="AT123">
        <v>384</v>
      </c>
      <c r="BB123" t="str">
        <f t="shared" si="28"/>
        <v>1200</v>
      </c>
      <c r="BC123">
        <v>1</v>
      </c>
      <c r="BD123" t="str">
        <f t="shared" si="29"/>
        <v xml:space="preserve">N52156  </v>
      </c>
      <c r="BE123">
        <v>1</v>
      </c>
      <c r="BG123">
        <v>0</v>
      </c>
      <c r="BH123">
        <v>0</v>
      </c>
      <c r="BI123">
        <v>0</v>
      </c>
      <c r="BJ123">
        <v>1600</v>
      </c>
      <c r="BK123">
        <v>0</v>
      </c>
      <c r="BL123" t="s">
        <v>188</v>
      </c>
      <c r="BM123">
        <v>1</v>
      </c>
      <c r="BN123">
        <v>1</v>
      </c>
      <c r="BO123">
        <v>0</v>
      </c>
      <c r="BP123">
        <v>0</v>
      </c>
      <c r="BS123">
        <v>0</v>
      </c>
      <c r="BT123">
        <v>0</v>
      </c>
      <c r="BU123">
        <v>0</v>
      </c>
      <c r="CE123" t="str">
        <f t="shared" si="49"/>
        <v>15:04:52.766</v>
      </c>
      <c r="CF123">
        <v>766441471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133</v>
      </c>
      <c r="DA123">
        <v>275</v>
      </c>
      <c r="DB123">
        <v>0</v>
      </c>
      <c r="DC123" t="s">
        <v>134</v>
      </c>
      <c r="DD123" t="s">
        <v>135</v>
      </c>
      <c r="DG123">
        <v>3317716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"05/01/2025 15:04:53.001"</f>
        <v>05/01/2025 15:04:53.001</v>
      </c>
      <c r="C124" t="str">
        <f t="shared" si="26"/>
        <v>FFDFD3C0</v>
      </c>
      <c r="D124" t="s">
        <v>145</v>
      </c>
      <c r="E124" t="str">
        <f>"05"</f>
        <v>05</v>
      </c>
      <c r="H124">
        <v>47</v>
      </c>
      <c r="I124" t="s">
        <v>146</v>
      </c>
      <c r="J124" t="s">
        <v>138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R124" t="s">
        <v>127</v>
      </c>
      <c r="S124" t="str">
        <f t="shared" si="48"/>
        <v>15:04:52.000</v>
      </c>
      <c r="T124" t="str">
        <f t="shared" si="48"/>
        <v>15:04:52.000</v>
      </c>
      <c r="U124" t="str">
        <f t="shared" si="27"/>
        <v>A68FCB</v>
      </c>
      <c r="V124">
        <v>0</v>
      </c>
      <c r="W124">
        <v>0</v>
      </c>
      <c r="X124">
        <v>2</v>
      </c>
      <c r="Y124">
        <v>0</v>
      </c>
      <c r="AA124">
        <v>1</v>
      </c>
      <c r="AB124">
        <v>8</v>
      </c>
      <c r="AC124">
        <v>3</v>
      </c>
      <c r="AD124">
        <v>0</v>
      </c>
      <c r="AE124">
        <v>9</v>
      </c>
      <c r="AF124" t="s">
        <v>138</v>
      </c>
      <c r="AG124">
        <v>0</v>
      </c>
      <c r="AH124">
        <v>3</v>
      </c>
      <c r="AI124">
        <v>1</v>
      </c>
      <c r="AJ124">
        <v>0</v>
      </c>
      <c r="AK124" t="s">
        <v>186</v>
      </c>
      <c r="AL124">
        <v>38.955288000000003</v>
      </c>
      <c r="AM124" t="s">
        <v>187</v>
      </c>
      <c r="AN124">
        <v>-121.077297</v>
      </c>
      <c r="AO124">
        <v>25</v>
      </c>
      <c r="AP124">
        <v>1600</v>
      </c>
      <c r="AQ124" t="s">
        <v>131</v>
      </c>
      <c r="AR124">
        <v>68</v>
      </c>
      <c r="AS124">
        <v>10</v>
      </c>
      <c r="AT124">
        <v>384</v>
      </c>
      <c r="BB124" t="str">
        <f t="shared" si="28"/>
        <v>1200</v>
      </c>
      <c r="BC124">
        <v>1</v>
      </c>
      <c r="BD124" t="str">
        <f t="shared" si="29"/>
        <v xml:space="preserve">N52156  </v>
      </c>
      <c r="BE124">
        <v>1</v>
      </c>
      <c r="BG124">
        <v>0</v>
      </c>
      <c r="BH124">
        <v>0</v>
      </c>
      <c r="BI124">
        <v>0</v>
      </c>
      <c r="BJ124">
        <v>1600</v>
      </c>
      <c r="BK124">
        <v>0</v>
      </c>
      <c r="BL124" t="s">
        <v>188</v>
      </c>
      <c r="BM124">
        <v>1</v>
      </c>
      <c r="BN124">
        <v>1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 t="shared" si="49"/>
        <v>15:04:52.766</v>
      </c>
      <c r="CF124">
        <v>766441471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133</v>
      </c>
      <c r="DA124">
        <v>275</v>
      </c>
      <c r="DB124">
        <v>0</v>
      </c>
      <c r="DC124" t="s">
        <v>134</v>
      </c>
      <c r="DD124" t="s">
        <v>135</v>
      </c>
      <c r="DG124">
        <v>3317716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"05/01/2025 15:04:53.003"</f>
        <v>05/01/2025 15:04:53.003</v>
      </c>
      <c r="C125" t="str">
        <f t="shared" si="26"/>
        <v>FFDFD3C0</v>
      </c>
      <c r="D125" t="s">
        <v>145</v>
      </c>
      <c r="E125" t="str">
        <f>"09"</f>
        <v>09</v>
      </c>
      <c r="H125">
        <v>51</v>
      </c>
      <c r="I125" t="s">
        <v>147</v>
      </c>
      <c r="J125" t="s">
        <v>138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R125" t="s">
        <v>127</v>
      </c>
      <c r="S125" t="str">
        <f t="shared" si="48"/>
        <v>15:04:52.000</v>
      </c>
      <c r="T125" t="str">
        <f t="shared" si="48"/>
        <v>15:04:52.000</v>
      </c>
      <c r="U125" t="str">
        <f t="shared" si="27"/>
        <v>A68FCB</v>
      </c>
      <c r="V125">
        <v>0</v>
      </c>
      <c r="W125">
        <v>0</v>
      </c>
      <c r="X125">
        <v>2</v>
      </c>
      <c r="Y125">
        <v>0</v>
      </c>
      <c r="AA125">
        <v>1</v>
      </c>
      <c r="AB125">
        <v>8</v>
      </c>
      <c r="AC125">
        <v>3</v>
      </c>
      <c r="AD125">
        <v>0</v>
      </c>
      <c r="AE125">
        <v>9</v>
      </c>
      <c r="AF125" t="s">
        <v>138</v>
      </c>
      <c r="AG125">
        <v>0</v>
      </c>
      <c r="AH125">
        <v>3</v>
      </c>
      <c r="AI125">
        <v>1</v>
      </c>
      <c r="AJ125">
        <v>0</v>
      </c>
      <c r="AK125" t="s">
        <v>186</v>
      </c>
      <c r="AL125">
        <v>38.955288000000003</v>
      </c>
      <c r="AM125" t="s">
        <v>187</v>
      </c>
      <c r="AN125">
        <v>-121.077297</v>
      </c>
      <c r="AO125">
        <v>25</v>
      </c>
      <c r="AP125">
        <v>1600</v>
      </c>
      <c r="AQ125" t="s">
        <v>131</v>
      </c>
      <c r="AR125">
        <v>68</v>
      </c>
      <c r="AS125">
        <v>10</v>
      </c>
      <c r="AT125">
        <v>384</v>
      </c>
      <c r="BB125" t="str">
        <f t="shared" si="28"/>
        <v>1200</v>
      </c>
      <c r="BC125">
        <v>1</v>
      </c>
      <c r="BD125" t="str">
        <f t="shared" si="29"/>
        <v xml:space="preserve">N52156  </v>
      </c>
      <c r="BE125">
        <v>1</v>
      </c>
      <c r="BG125">
        <v>0</v>
      </c>
      <c r="BH125">
        <v>0</v>
      </c>
      <c r="BI125">
        <v>0</v>
      </c>
      <c r="BJ125">
        <v>1600</v>
      </c>
      <c r="BK125">
        <v>0</v>
      </c>
      <c r="BL125" t="s">
        <v>188</v>
      </c>
      <c r="BM125">
        <v>1</v>
      </c>
      <c r="BN125">
        <v>1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 t="shared" si="49"/>
        <v>15:04:52.766</v>
      </c>
      <c r="CF125">
        <v>766441471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5</v>
      </c>
      <c r="CY125">
        <v>7</v>
      </c>
      <c r="CZ125" t="s">
        <v>133</v>
      </c>
      <c r="DA125">
        <v>275</v>
      </c>
      <c r="DB125">
        <v>0</v>
      </c>
      <c r="DC125" t="s">
        <v>134</v>
      </c>
      <c r="DD125" t="s">
        <v>135</v>
      </c>
      <c r="DG125">
        <v>3317716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"05/01/2025 15:04:53.005"</f>
        <v>05/01/2025 15:04:53.005</v>
      </c>
      <c r="C126" t="str">
        <f t="shared" si="26"/>
        <v>FFDFD3C0</v>
      </c>
      <c r="D126" t="s">
        <v>124</v>
      </c>
      <c r="E126" t="str">
        <f>"06"</f>
        <v>06</v>
      </c>
      <c r="F126">
        <v>2006</v>
      </c>
      <c r="G126" t="s">
        <v>125</v>
      </c>
      <c r="J126" t="s">
        <v>126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R126" t="s">
        <v>127</v>
      </c>
      <c r="S126" t="str">
        <f t="shared" si="48"/>
        <v>15:04:52.000</v>
      </c>
      <c r="T126" t="str">
        <f t="shared" si="48"/>
        <v>15:04:52.000</v>
      </c>
      <c r="U126" t="str">
        <f t="shared" si="27"/>
        <v>A68FCB</v>
      </c>
      <c r="V126">
        <v>0</v>
      </c>
      <c r="W126">
        <v>0</v>
      </c>
      <c r="X126">
        <v>2</v>
      </c>
      <c r="Y126">
        <v>0</v>
      </c>
      <c r="AA126">
        <v>1</v>
      </c>
      <c r="AB126">
        <v>8</v>
      </c>
      <c r="AC126">
        <v>3</v>
      </c>
      <c r="AD126">
        <v>0</v>
      </c>
      <c r="AE126">
        <v>9</v>
      </c>
      <c r="AF126" t="s">
        <v>138</v>
      </c>
      <c r="AG126">
        <v>0</v>
      </c>
      <c r="AH126">
        <v>3</v>
      </c>
      <c r="AI126">
        <v>1</v>
      </c>
      <c r="AJ126">
        <v>0</v>
      </c>
      <c r="AK126" t="s">
        <v>186</v>
      </c>
      <c r="AL126">
        <v>38.955288000000003</v>
      </c>
      <c r="AM126" t="s">
        <v>187</v>
      </c>
      <c r="AN126">
        <v>-121.077297</v>
      </c>
      <c r="AO126">
        <v>25</v>
      </c>
      <c r="AP126">
        <v>1600</v>
      </c>
      <c r="AQ126" t="s">
        <v>131</v>
      </c>
      <c r="AR126">
        <v>68</v>
      </c>
      <c r="AS126">
        <v>10</v>
      </c>
      <c r="AT126">
        <v>384</v>
      </c>
      <c r="BB126" t="str">
        <f t="shared" si="28"/>
        <v>1200</v>
      </c>
      <c r="BC126">
        <v>1</v>
      </c>
      <c r="BD126" t="str">
        <f t="shared" si="29"/>
        <v xml:space="preserve">N52156  </v>
      </c>
      <c r="BE126">
        <v>1</v>
      </c>
      <c r="BG126">
        <v>0</v>
      </c>
      <c r="BH126">
        <v>0</v>
      </c>
      <c r="BI126">
        <v>0</v>
      </c>
      <c r="BJ126">
        <v>1600</v>
      </c>
      <c r="BK126">
        <v>0</v>
      </c>
      <c r="BL126" t="s">
        <v>188</v>
      </c>
      <c r="BM126">
        <v>1</v>
      </c>
      <c r="BN126">
        <v>1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 t="shared" si="49"/>
        <v>15:04:52.766</v>
      </c>
      <c r="CF126">
        <v>766441471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133</v>
      </c>
      <c r="DA126">
        <v>275</v>
      </c>
      <c r="DB126">
        <v>0</v>
      </c>
      <c r="DC126" t="s">
        <v>134</v>
      </c>
      <c r="DD126" t="s">
        <v>135</v>
      </c>
      <c r="DG126">
        <v>3317716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"05/01/2025 15:04:53.014"</f>
        <v>05/01/2025 15:04:53.014</v>
      </c>
      <c r="C127" t="str">
        <f t="shared" si="26"/>
        <v>FFDFD3C0</v>
      </c>
      <c r="D127" t="s">
        <v>136</v>
      </c>
      <c r="E127" t="str">
        <f>"20"</f>
        <v>20</v>
      </c>
      <c r="H127">
        <v>400</v>
      </c>
      <c r="I127" t="s">
        <v>137</v>
      </c>
      <c r="J127" t="s">
        <v>138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R127" t="s">
        <v>127</v>
      </c>
      <c r="S127" t="str">
        <f t="shared" si="48"/>
        <v>15:04:52.000</v>
      </c>
      <c r="T127" t="str">
        <f t="shared" si="48"/>
        <v>15:04:52.000</v>
      </c>
      <c r="U127" t="str">
        <f t="shared" si="27"/>
        <v>A68FCB</v>
      </c>
      <c r="V127">
        <v>0</v>
      </c>
      <c r="W127">
        <v>0</v>
      </c>
      <c r="X127">
        <v>2</v>
      </c>
      <c r="Y127">
        <v>0</v>
      </c>
      <c r="AA127">
        <v>1</v>
      </c>
      <c r="AB127">
        <v>8</v>
      </c>
      <c r="AC127">
        <v>3</v>
      </c>
      <c r="AD127">
        <v>0</v>
      </c>
      <c r="AE127">
        <v>9</v>
      </c>
      <c r="AF127" t="s">
        <v>138</v>
      </c>
      <c r="AG127">
        <v>0</v>
      </c>
      <c r="AH127">
        <v>3</v>
      </c>
      <c r="AI127">
        <v>1</v>
      </c>
      <c r="AJ127">
        <v>0</v>
      </c>
      <c r="AK127" t="s">
        <v>186</v>
      </c>
      <c r="AL127">
        <v>38.955288000000003</v>
      </c>
      <c r="AM127" t="s">
        <v>187</v>
      </c>
      <c r="AN127">
        <v>-121.077297</v>
      </c>
      <c r="AO127">
        <v>25</v>
      </c>
      <c r="AP127">
        <v>1600</v>
      </c>
      <c r="AQ127" t="s">
        <v>131</v>
      </c>
      <c r="AR127">
        <v>68</v>
      </c>
      <c r="AS127">
        <v>10</v>
      </c>
      <c r="AT127">
        <v>384</v>
      </c>
      <c r="BB127" t="str">
        <f t="shared" si="28"/>
        <v>1200</v>
      </c>
      <c r="BC127">
        <v>1</v>
      </c>
      <c r="BD127" t="str">
        <f t="shared" si="29"/>
        <v xml:space="preserve">N52156  </v>
      </c>
      <c r="BE127">
        <v>1</v>
      </c>
      <c r="BG127">
        <v>0</v>
      </c>
      <c r="BH127">
        <v>0</v>
      </c>
      <c r="BI127">
        <v>0</v>
      </c>
      <c r="BJ127">
        <v>1600</v>
      </c>
      <c r="BK127">
        <v>0</v>
      </c>
      <c r="BL127" t="s">
        <v>188</v>
      </c>
      <c r="BM127">
        <v>1</v>
      </c>
      <c r="BN127">
        <v>1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 t="shared" si="49"/>
        <v>15:04:52.766</v>
      </c>
      <c r="CF127">
        <v>766441471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5</v>
      </c>
      <c r="CY127">
        <v>7</v>
      </c>
      <c r="CZ127" t="s">
        <v>133</v>
      </c>
      <c r="DA127">
        <v>275</v>
      </c>
      <c r="DB127">
        <v>0</v>
      </c>
      <c r="DC127" t="s">
        <v>134</v>
      </c>
      <c r="DD127" t="s">
        <v>135</v>
      </c>
      <c r="DG127">
        <v>3317716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"05/01/2025 15:04:53.803"</f>
        <v>05/01/2025 15:04:53.803</v>
      </c>
      <c r="C128" t="str">
        <f t="shared" si="26"/>
        <v>FFDFD3C0</v>
      </c>
      <c r="D128" t="s">
        <v>145</v>
      </c>
      <c r="E128" t="str">
        <f>"05"</f>
        <v>05</v>
      </c>
      <c r="H128">
        <v>47</v>
      </c>
      <c r="I128" t="s">
        <v>146</v>
      </c>
      <c r="J128" t="s">
        <v>138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R128" t="s">
        <v>127</v>
      </c>
      <c r="S128" t="str">
        <f t="shared" ref="S128:T133" si="50">"15:04:53.000"</f>
        <v>15:04:53.000</v>
      </c>
      <c r="T128" t="str">
        <f t="shared" si="50"/>
        <v>15:04:53.000</v>
      </c>
      <c r="U128" t="str">
        <f t="shared" si="27"/>
        <v>A68FCB</v>
      </c>
      <c r="V128">
        <v>0</v>
      </c>
      <c r="W128">
        <v>0</v>
      </c>
      <c r="X128">
        <v>2</v>
      </c>
      <c r="Y128">
        <v>0</v>
      </c>
      <c r="AA128">
        <v>1</v>
      </c>
      <c r="AB128">
        <v>8</v>
      </c>
      <c r="AC128">
        <v>3</v>
      </c>
      <c r="AD128">
        <v>0</v>
      </c>
      <c r="AE128">
        <v>9</v>
      </c>
      <c r="AF128" t="s">
        <v>138</v>
      </c>
      <c r="AG128">
        <v>0</v>
      </c>
      <c r="AH128">
        <v>3</v>
      </c>
      <c r="AI128">
        <v>1</v>
      </c>
      <c r="AJ128">
        <v>0</v>
      </c>
      <c r="AK128" t="s">
        <v>189</v>
      </c>
      <c r="AL128">
        <v>38.955373999999999</v>
      </c>
      <c r="AM128" t="s">
        <v>190</v>
      </c>
      <c r="AN128">
        <v>-121.07688899999999</v>
      </c>
      <c r="AO128">
        <v>25</v>
      </c>
      <c r="AP128">
        <v>1700</v>
      </c>
      <c r="AQ128" t="s">
        <v>131</v>
      </c>
      <c r="AR128">
        <v>66</v>
      </c>
      <c r="AS128">
        <v>10</v>
      </c>
      <c r="AT128">
        <v>384</v>
      </c>
      <c r="BB128" t="str">
        <f t="shared" si="28"/>
        <v>1200</v>
      </c>
      <c r="BC128">
        <v>1</v>
      </c>
      <c r="BD128" t="str">
        <f t="shared" si="29"/>
        <v xml:space="preserve">N52156  </v>
      </c>
      <c r="BE128">
        <v>1</v>
      </c>
      <c r="BG128">
        <v>0</v>
      </c>
      <c r="BH128">
        <v>0</v>
      </c>
      <c r="BI128">
        <v>0</v>
      </c>
      <c r="BJ128">
        <v>1600</v>
      </c>
      <c r="BK128">
        <v>-100</v>
      </c>
      <c r="BL128" t="s">
        <v>188</v>
      </c>
      <c r="BM128">
        <v>1</v>
      </c>
      <c r="BN128">
        <v>1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 t="shared" ref="CE128:CE133" si="51">"15:04:53.590"</f>
        <v>15:04:53.590</v>
      </c>
      <c r="CF128">
        <v>590441104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133</v>
      </c>
      <c r="DA128">
        <v>275</v>
      </c>
      <c r="DB128">
        <v>0</v>
      </c>
      <c r="DC128" t="s">
        <v>134</v>
      </c>
      <c r="DD128" t="s">
        <v>135</v>
      </c>
      <c r="DG128">
        <v>3317726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"05/01/2025 15:04:53.806"</f>
        <v>05/01/2025 15:04:53.806</v>
      </c>
      <c r="C129" t="str">
        <f t="shared" si="26"/>
        <v>FFDFD3C0</v>
      </c>
      <c r="D129" t="s">
        <v>124</v>
      </c>
      <c r="E129" t="str">
        <f>"06"</f>
        <v>06</v>
      </c>
      <c r="F129">
        <v>2006</v>
      </c>
      <c r="G129" t="s">
        <v>125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R129" t="s">
        <v>127</v>
      </c>
      <c r="S129" t="str">
        <f t="shared" si="50"/>
        <v>15:04:53.000</v>
      </c>
      <c r="T129" t="str">
        <f t="shared" si="50"/>
        <v>15:04:53.000</v>
      </c>
      <c r="U129" t="str">
        <f t="shared" si="27"/>
        <v>A68FCB</v>
      </c>
      <c r="V129">
        <v>0</v>
      </c>
      <c r="W129">
        <v>0</v>
      </c>
      <c r="X129">
        <v>2</v>
      </c>
      <c r="Y129">
        <v>0</v>
      </c>
      <c r="AA129">
        <v>1</v>
      </c>
      <c r="AB129">
        <v>8</v>
      </c>
      <c r="AC129">
        <v>3</v>
      </c>
      <c r="AD129">
        <v>0</v>
      </c>
      <c r="AE129">
        <v>9</v>
      </c>
      <c r="AF129" t="s">
        <v>138</v>
      </c>
      <c r="AG129">
        <v>0</v>
      </c>
      <c r="AH129">
        <v>3</v>
      </c>
      <c r="AI129">
        <v>1</v>
      </c>
      <c r="AJ129">
        <v>0</v>
      </c>
      <c r="AK129" t="s">
        <v>189</v>
      </c>
      <c r="AL129">
        <v>38.955373999999999</v>
      </c>
      <c r="AM129" t="s">
        <v>190</v>
      </c>
      <c r="AN129">
        <v>-121.07688899999999</v>
      </c>
      <c r="AO129">
        <v>25</v>
      </c>
      <c r="AP129">
        <v>1700</v>
      </c>
      <c r="AQ129" t="s">
        <v>131</v>
      </c>
      <c r="AR129">
        <v>66</v>
      </c>
      <c r="AS129">
        <v>10</v>
      </c>
      <c r="AT129">
        <v>384</v>
      </c>
      <c r="BB129" t="str">
        <f t="shared" si="28"/>
        <v>1200</v>
      </c>
      <c r="BC129">
        <v>1</v>
      </c>
      <c r="BD129" t="str">
        <f t="shared" si="29"/>
        <v xml:space="preserve">N52156  </v>
      </c>
      <c r="BE129">
        <v>1</v>
      </c>
      <c r="BG129">
        <v>0</v>
      </c>
      <c r="BH129">
        <v>0</v>
      </c>
      <c r="BI129">
        <v>0</v>
      </c>
      <c r="BJ129">
        <v>1600</v>
      </c>
      <c r="BK129">
        <v>-100</v>
      </c>
      <c r="BL129" t="s">
        <v>188</v>
      </c>
      <c r="BM129">
        <v>1</v>
      </c>
      <c r="BN129">
        <v>1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 t="shared" si="51"/>
        <v>15:04:53.590</v>
      </c>
      <c r="CF129">
        <v>590441104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5</v>
      </c>
      <c r="CY129">
        <v>7</v>
      </c>
      <c r="CZ129" t="s">
        <v>133</v>
      </c>
      <c r="DA129">
        <v>275</v>
      </c>
      <c r="DB129">
        <v>0</v>
      </c>
      <c r="DC129" t="s">
        <v>134</v>
      </c>
      <c r="DD129" t="s">
        <v>135</v>
      </c>
      <c r="DG129">
        <v>3317726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"05/01/2025 15:04:53.804"</f>
        <v>05/01/2025 15:04:53.804</v>
      </c>
      <c r="C130" t="str">
        <f t="shared" ref="C130:C193" si="52">"FFDFD3C0"</f>
        <v>FFDFD3C0</v>
      </c>
      <c r="D130" t="s">
        <v>145</v>
      </c>
      <c r="E130" t="str">
        <f>"09"</f>
        <v>09</v>
      </c>
      <c r="H130">
        <v>51</v>
      </c>
      <c r="I130" t="s">
        <v>147</v>
      </c>
      <c r="J130" t="s">
        <v>138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R130" t="s">
        <v>127</v>
      </c>
      <c r="S130" t="str">
        <f t="shared" si="50"/>
        <v>15:04:53.000</v>
      </c>
      <c r="T130" t="str">
        <f t="shared" si="50"/>
        <v>15:04:53.000</v>
      </c>
      <c r="U130" t="str">
        <f t="shared" ref="U130:U193" si="53">"A68FCB"</f>
        <v>A68FCB</v>
      </c>
      <c r="V130">
        <v>0</v>
      </c>
      <c r="W130">
        <v>0</v>
      </c>
      <c r="X130">
        <v>2</v>
      </c>
      <c r="Y130">
        <v>0</v>
      </c>
      <c r="AA130">
        <v>1</v>
      </c>
      <c r="AB130">
        <v>8</v>
      </c>
      <c r="AC130">
        <v>3</v>
      </c>
      <c r="AD130">
        <v>0</v>
      </c>
      <c r="AE130">
        <v>9</v>
      </c>
      <c r="AF130" t="s">
        <v>138</v>
      </c>
      <c r="AG130">
        <v>0</v>
      </c>
      <c r="AH130">
        <v>3</v>
      </c>
      <c r="AI130">
        <v>1</v>
      </c>
      <c r="AJ130">
        <v>0</v>
      </c>
      <c r="AK130" t="s">
        <v>189</v>
      </c>
      <c r="AL130">
        <v>38.955373999999999</v>
      </c>
      <c r="AM130" t="s">
        <v>190</v>
      </c>
      <c r="AN130">
        <v>-121.07688899999999</v>
      </c>
      <c r="AO130">
        <v>25</v>
      </c>
      <c r="AP130">
        <v>1700</v>
      </c>
      <c r="AQ130" t="s">
        <v>131</v>
      </c>
      <c r="AR130">
        <v>66</v>
      </c>
      <c r="AS130">
        <v>10</v>
      </c>
      <c r="AT130">
        <v>384</v>
      </c>
      <c r="BB130" t="str">
        <f t="shared" ref="BB130:BB193" si="54">"1200"</f>
        <v>1200</v>
      </c>
      <c r="BC130">
        <v>1</v>
      </c>
      <c r="BD130" t="str">
        <f t="shared" ref="BD130:BD193" si="55">"N52156  "</f>
        <v xml:space="preserve">N52156  </v>
      </c>
      <c r="BE130">
        <v>1</v>
      </c>
      <c r="BG130">
        <v>0</v>
      </c>
      <c r="BH130">
        <v>0</v>
      </c>
      <c r="BI130">
        <v>0</v>
      </c>
      <c r="BJ130">
        <v>1600</v>
      </c>
      <c r="BK130">
        <v>-100</v>
      </c>
      <c r="BL130" t="s">
        <v>188</v>
      </c>
      <c r="BM130">
        <v>1</v>
      </c>
      <c r="BN130">
        <v>1</v>
      </c>
      <c r="BO130">
        <v>0</v>
      </c>
      <c r="BP130">
        <v>0</v>
      </c>
      <c r="BS130">
        <v>0</v>
      </c>
      <c r="BT130">
        <v>0</v>
      </c>
      <c r="BU130">
        <v>0</v>
      </c>
      <c r="CE130" t="str">
        <f t="shared" si="51"/>
        <v>15:04:53.590</v>
      </c>
      <c r="CF130">
        <v>590441104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5</v>
      </c>
      <c r="CY130">
        <v>7</v>
      </c>
      <c r="CZ130" t="s">
        <v>133</v>
      </c>
      <c r="DA130">
        <v>275</v>
      </c>
      <c r="DB130">
        <v>0</v>
      </c>
      <c r="DC130" t="s">
        <v>134</v>
      </c>
      <c r="DD130" t="s">
        <v>135</v>
      </c>
      <c r="DG130">
        <v>3317726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"05/01/2025 15:04:53.815"</f>
        <v>05/01/2025 15:04:53.815</v>
      </c>
      <c r="C131" t="str">
        <f t="shared" si="52"/>
        <v>FFDFD3C0</v>
      </c>
      <c r="D131" t="s">
        <v>136</v>
      </c>
      <c r="E131" t="str">
        <f>"20"</f>
        <v>20</v>
      </c>
      <c r="H131">
        <v>400</v>
      </c>
      <c r="I131" t="s">
        <v>137</v>
      </c>
      <c r="J131" t="s">
        <v>138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R131" t="s">
        <v>127</v>
      </c>
      <c r="S131" t="str">
        <f t="shared" si="50"/>
        <v>15:04:53.000</v>
      </c>
      <c r="T131" t="str">
        <f t="shared" si="50"/>
        <v>15:04:53.000</v>
      </c>
      <c r="U131" t="str">
        <f t="shared" si="53"/>
        <v>A68FCB</v>
      </c>
      <c r="V131">
        <v>0</v>
      </c>
      <c r="W131">
        <v>0</v>
      </c>
      <c r="X131">
        <v>2</v>
      </c>
      <c r="Y131">
        <v>0</v>
      </c>
      <c r="AA131">
        <v>1</v>
      </c>
      <c r="AB131">
        <v>8</v>
      </c>
      <c r="AC131">
        <v>3</v>
      </c>
      <c r="AD131">
        <v>0</v>
      </c>
      <c r="AE131">
        <v>9</v>
      </c>
      <c r="AF131" t="s">
        <v>138</v>
      </c>
      <c r="AG131">
        <v>0</v>
      </c>
      <c r="AH131">
        <v>3</v>
      </c>
      <c r="AI131">
        <v>1</v>
      </c>
      <c r="AJ131">
        <v>0</v>
      </c>
      <c r="AK131" t="s">
        <v>189</v>
      </c>
      <c r="AL131">
        <v>38.955373999999999</v>
      </c>
      <c r="AM131" t="s">
        <v>190</v>
      </c>
      <c r="AN131">
        <v>-121.07688899999999</v>
      </c>
      <c r="AO131">
        <v>25</v>
      </c>
      <c r="AP131">
        <v>1700</v>
      </c>
      <c r="AQ131" t="s">
        <v>131</v>
      </c>
      <c r="AR131">
        <v>66</v>
      </c>
      <c r="AS131">
        <v>10</v>
      </c>
      <c r="AT131">
        <v>384</v>
      </c>
      <c r="BB131" t="str">
        <f t="shared" si="54"/>
        <v>1200</v>
      </c>
      <c r="BC131">
        <v>1</v>
      </c>
      <c r="BD131" t="str">
        <f t="shared" si="55"/>
        <v xml:space="preserve">N52156  </v>
      </c>
      <c r="BE131">
        <v>1</v>
      </c>
      <c r="BG131">
        <v>0</v>
      </c>
      <c r="BH131">
        <v>0</v>
      </c>
      <c r="BI131">
        <v>0</v>
      </c>
      <c r="BJ131">
        <v>1600</v>
      </c>
      <c r="BK131">
        <v>-100</v>
      </c>
      <c r="BL131" t="s">
        <v>188</v>
      </c>
      <c r="BM131">
        <v>1</v>
      </c>
      <c r="BN131">
        <v>1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 t="shared" si="51"/>
        <v>15:04:53.590</v>
      </c>
      <c r="CF131">
        <v>590441104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5</v>
      </c>
      <c r="CY131">
        <v>7</v>
      </c>
      <c r="CZ131" t="s">
        <v>133</v>
      </c>
      <c r="DA131">
        <v>275</v>
      </c>
      <c r="DB131">
        <v>0</v>
      </c>
      <c r="DC131" t="s">
        <v>134</v>
      </c>
      <c r="DD131" t="s">
        <v>135</v>
      </c>
      <c r="DG131">
        <v>3317726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"05/01/2025 15:04:53.842"</f>
        <v>05/01/2025 15:04:53.842</v>
      </c>
      <c r="C132" t="str">
        <f t="shared" si="52"/>
        <v>FFDFD3C0</v>
      </c>
      <c r="D132" t="s">
        <v>140</v>
      </c>
      <c r="E132" t="str">
        <f>"13"</f>
        <v>13</v>
      </c>
      <c r="F132">
        <v>1019</v>
      </c>
      <c r="G132" t="s">
        <v>141</v>
      </c>
      <c r="J132" t="s">
        <v>142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R132" t="s">
        <v>127</v>
      </c>
      <c r="S132" t="str">
        <f t="shared" si="50"/>
        <v>15:04:53.000</v>
      </c>
      <c r="T132" t="str">
        <f t="shared" si="50"/>
        <v>15:04:53.000</v>
      </c>
      <c r="U132" t="str">
        <f t="shared" si="53"/>
        <v>A68FCB</v>
      </c>
      <c r="V132">
        <v>0</v>
      </c>
      <c r="W132">
        <v>0</v>
      </c>
      <c r="X132">
        <v>2</v>
      </c>
      <c r="Y132">
        <v>0</v>
      </c>
      <c r="AA132">
        <v>1</v>
      </c>
      <c r="AB132">
        <v>8</v>
      </c>
      <c r="AC132">
        <v>3</v>
      </c>
      <c r="AD132">
        <v>0</v>
      </c>
      <c r="AE132">
        <v>9</v>
      </c>
      <c r="AF132" t="s">
        <v>138</v>
      </c>
      <c r="AG132">
        <v>0</v>
      </c>
      <c r="AH132">
        <v>3</v>
      </c>
      <c r="AI132">
        <v>1</v>
      </c>
      <c r="AJ132">
        <v>0</v>
      </c>
      <c r="AK132" t="s">
        <v>189</v>
      </c>
      <c r="AL132">
        <v>38.955373999999999</v>
      </c>
      <c r="AM132" t="s">
        <v>190</v>
      </c>
      <c r="AN132">
        <v>-121.07688899999999</v>
      </c>
      <c r="AO132">
        <v>25</v>
      </c>
      <c r="AP132">
        <v>1700</v>
      </c>
      <c r="AQ132" t="s">
        <v>131</v>
      </c>
      <c r="AR132">
        <v>66</v>
      </c>
      <c r="AS132">
        <v>10</v>
      </c>
      <c r="AT132">
        <v>384</v>
      </c>
      <c r="BB132" t="str">
        <f t="shared" si="54"/>
        <v>1200</v>
      </c>
      <c r="BC132">
        <v>1</v>
      </c>
      <c r="BD132" t="str">
        <f t="shared" si="55"/>
        <v xml:space="preserve">N52156  </v>
      </c>
      <c r="BE132">
        <v>1</v>
      </c>
      <c r="BG132">
        <v>0</v>
      </c>
      <c r="BH132">
        <v>0</v>
      </c>
      <c r="BI132">
        <v>0</v>
      </c>
      <c r="BJ132">
        <v>1600</v>
      </c>
      <c r="BK132">
        <v>-100</v>
      </c>
      <c r="BL132" t="s">
        <v>188</v>
      </c>
      <c r="BM132">
        <v>1</v>
      </c>
      <c r="BN132">
        <v>1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 t="shared" si="51"/>
        <v>15:04:53.590</v>
      </c>
      <c r="CF132">
        <v>590441104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5</v>
      </c>
      <c r="CY132">
        <v>7</v>
      </c>
      <c r="CZ132" t="s">
        <v>133</v>
      </c>
      <c r="DA132">
        <v>275</v>
      </c>
      <c r="DB132">
        <v>0</v>
      </c>
      <c r="DC132" t="s">
        <v>134</v>
      </c>
      <c r="DD132" t="s">
        <v>135</v>
      </c>
      <c r="DG132">
        <v>3317726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"05/01/2025 15:04:53.849"</f>
        <v>05/01/2025 15:04:53.849</v>
      </c>
      <c r="C133" t="str">
        <f t="shared" si="52"/>
        <v>FFDFD3C0</v>
      </c>
      <c r="D133" t="s">
        <v>143</v>
      </c>
      <c r="E133" t="str">
        <f>"05"</f>
        <v>05</v>
      </c>
      <c r="H133">
        <v>172</v>
      </c>
      <c r="I133" t="s">
        <v>141</v>
      </c>
      <c r="J133" t="s">
        <v>144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R133" t="s">
        <v>127</v>
      </c>
      <c r="S133" t="str">
        <f t="shared" si="50"/>
        <v>15:04:53.000</v>
      </c>
      <c r="T133" t="str">
        <f t="shared" si="50"/>
        <v>15:04:53.000</v>
      </c>
      <c r="U133" t="str">
        <f t="shared" si="53"/>
        <v>A68FCB</v>
      </c>
      <c r="V133">
        <v>0</v>
      </c>
      <c r="W133">
        <v>0</v>
      </c>
      <c r="X133">
        <v>2</v>
      </c>
      <c r="Y133">
        <v>0</v>
      </c>
      <c r="AA133">
        <v>1</v>
      </c>
      <c r="AB133">
        <v>8</v>
      </c>
      <c r="AC133">
        <v>3</v>
      </c>
      <c r="AD133">
        <v>0</v>
      </c>
      <c r="AE133">
        <v>9</v>
      </c>
      <c r="AF133" t="s">
        <v>138</v>
      </c>
      <c r="AG133">
        <v>0</v>
      </c>
      <c r="AH133">
        <v>3</v>
      </c>
      <c r="AI133">
        <v>1</v>
      </c>
      <c r="AJ133">
        <v>0</v>
      </c>
      <c r="AK133" t="s">
        <v>189</v>
      </c>
      <c r="AL133">
        <v>38.955373999999999</v>
      </c>
      <c r="AM133" t="s">
        <v>190</v>
      </c>
      <c r="AN133">
        <v>-121.07688899999999</v>
      </c>
      <c r="AO133">
        <v>25</v>
      </c>
      <c r="AP133">
        <v>1700</v>
      </c>
      <c r="AQ133" t="s">
        <v>131</v>
      </c>
      <c r="AR133">
        <v>66</v>
      </c>
      <c r="AS133">
        <v>10</v>
      </c>
      <c r="AT133">
        <v>384</v>
      </c>
      <c r="BB133" t="str">
        <f t="shared" si="54"/>
        <v>1200</v>
      </c>
      <c r="BC133">
        <v>1</v>
      </c>
      <c r="BD133" t="str">
        <f t="shared" si="55"/>
        <v xml:space="preserve">N52156  </v>
      </c>
      <c r="BE133">
        <v>1</v>
      </c>
      <c r="BG133">
        <v>0</v>
      </c>
      <c r="BH133">
        <v>0</v>
      </c>
      <c r="BI133">
        <v>0</v>
      </c>
      <c r="BJ133">
        <v>1600</v>
      </c>
      <c r="BK133">
        <v>-100</v>
      </c>
      <c r="BL133" t="s">
        <v>188</v>
      </c>
      <c r="BM133">
        <v>1</v>
      </c>
      <c r="BN133">
        <v>1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 t="shared" si="51"/>
        <v>15:04:53.590</v>
      </c>
      <c r="CF133">
        <v>590441104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5</v>
      </c>
      <c r="CY133">
        <v>7</v>
      </c>
      <c r="CZ133" t="s">
        <v>133</v>
      </c>
      <c r="DA133">
        <v>275</v>
      </c>
      <c r="DB133">
        <v>0</v>
      </c>
      <c r="DC133" t="s">
        <v>134</v>
      </c>
      <c r="DD133" t="s">
        <v>135</v>
      </c>
      <c r="DG133">
        <v>3317726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"05/01/2025 15:04:54.444"</f>
        <v>05/01/2025 15:04:54.444</v>
      </c>
      <c r="C134" t="str">
        <f t="shared" si="52"/>
        <v>FFDFD3C0</v>
      </c>
      <c r="D134" t="s">
        <v>140</v>
      </c>
      <c r="E134" t="str">
        <f>"13"</f>
        <v>13</v>
      </c>
      <c r="F134">
        <v>1019</v>
      </c>
      <c r="G134" t="s">
        <v>141</v>
      </c>
      <c r="J134" t="s">
        <v>142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R134" t="s">
        <v>127</v>
      </c>
      <c r="S134" t="str">
        <f t="shared" ref="S134:T139" si="56">"15:04:54.000"</f>
        <v>15:04:54.000</v>
      </c>
      <c r="T134" t="str">
        <f t="shared" si="56"/>
        <v>15:04:54.000</v>
      </c>
      <c r="U134" t="str">
        <f t="shared" si="53"/>
        <v>A68FCB</v>
      </c>
      <c r="V134">
        <v>0</v>
      </c>
      <c r="W134">
        <v>0</v>
      </c>
      <c r="X134">
        <v>2</v>
      </c>
      <c r="Y134">
        <v>0</v>
      </c>
      <c r="AA134">
        <v>1</v>
      </c>
      <c r="AB134">
        <v>8</v>
      </c>
      <c r="AC134">
        <v>3</v>
      </c>
      <c r="AD134">
        <v>0</v>
      </c>
      <c r="AE134">
        <v>9</v>
      </c>
      <c r="AF134" t="s">
        <v>138</v>
      </c>
      <c r="AG134">
        <v>0</v>
      </c>
      <c r="AH134">
        <v>3</v>
      </c>
      <c r="AI134">
        <v>1</v>
      </c>
      <c r="AJ134">
        <v>0</v>
      </c>
      <c r="AK134" t="s">
        <v>191</v>
      </c>
      <c r="AL134">
        <v>38.955395000000003</v>
      </c>
      <c r="AM134" t="s">
        <v>192</v>
      </c>
      <c r="AN134">
        <v>-121.076503</v>
      </c>
      <c r="AO134">
        <v>25</v>
      </c>
      <c r="AP134">
        <v>1700</v>
      </c>
      <c r="AQ134" t="s">
        <v>131</v>
      </c>
      <c r="AR134">
        <v>67</v>
      </c>
      <c r="AS134">
        <v>10</v>
      </c>
      <c r="AT134">
        <v>448</v>
      </c>
      <c r="BB134" t="str">
        <f t="shared" si="54"/>
        <v>1200</v>
      </c>
      <c r="BC134">
        <v>1</v>
      </c>
      <c r="BD134" t="str">
        <f t="shared" si="55"/>
        <v xml:space="preserve">N52156  </v>
      </c>
      <c r="BE134">
        <v>1</v>
      </c>
      <c r="BG134">
        <v>0</v>
      </c>
      <c r="BH134">
        <v>0</v>
      </c>
      <c r="BI134">
        <v>0</v>
      </c>
      <c r="BJ134">
        <v>1600</v>
      </c>
      <c r="BK134">
        <v>-100</v>
      </c>
      <c r="BL134" t="s">
        <v>188</v>
      </c>
      <c r="BM134">
        <v>1</v>
      </c>
      <c r="BN134">
        <v>1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 t="shared" ref="CE134:CE139" si="57">"15:04:54.222"</f>
        <v>15:04:54.222</v>
      </c>
      <c r="CF134">
        <v>221690238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133</v>
      </c>
      <c r="DA134">
        <v>275</v>
      </c>
      <c r="DB134">
        <v>0</v>
      </c>
      <c r="DC134" t="s">
        <v>134</v>
      </c>
      <c r="DD134" t="s">
        <v>135</v>
      </c>
      <c r="DG134">
        <v>3317737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"05/01/2025 15:04:54.450"</f>
        <v>05/01/2025 15:04:54.450</v>
      </c>
      <c r="C135" t="str">
        <f t="shared" si="52"/>
        <v>FFDFD3C0</v>
      </c>
      <c r="D135" t="s">
        <v>143</v>
      </c>
      <c r="E135" t="str">
        <f>"05"</f>
        <v>05</v>
      </c>
      <c r="H135">
        <v>172</v>
      </c>
      <c r="I135" t="s">
        <v>141</v>
      </c>
      <c r="J135" t="s">
        <v>144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R135" t="s">
        <v>127</v>
      </c>
      <c r="S135" t="str">
        <f t="shared" si="56"/>
        <v>15:04:54.000</v>
      </c>
      <c r="T135" t="str">
        <f t="shared" si="56"/>
        <v>15:04:54.000</v>
      </c>
      <c r="U135" t="str">
        <f t="shared" si="53"/>
        <v>A68FCB</v>
      </c>
      <c r="V135">
        <v>0</v>
      </c>
      <c r="W135">
        <v>0</v>
      </c>
      <c r="X135">
        <v>2</v>
      </c>
      <c r="Y135">
        <v>0</v>
      </c>
      <c r="AA135">
        <v>1</v>
      </c>
      <c r="AB135">
        <v>8</v>
      </c>
      <c r="AC135">
        <v>3</v>
      </c>
      <c r="AD135">
        <v>0</v>
      </c>
      <c r="AE135">
        <v>9</v>
      </c>
      <c r="AF135" t="s">
        <v>138</v>
      </c>
      <c r="AG135">
        <v>0</v>
      </c>
      <c r="AH135">
        <v>3</v>
      </c>
      <c r="AI135">
        <v>1</v>
      </c>
      <c r="AJ135">
        <v>0</v>
      </c>
      <c r="AK135" t="s">
        <v>191</v>
      </c>
      <c r="AL135">
        <v>38.955395000000003</v>
      </c>
      <c r="AM135" t="s">
        <v>192</v>
      </c>
      <c r="AN135">
        <v>-121.076503</v>
      </c>
      <c r="AO135">
        <v>25</v>
      </c>
      <c r="AP135">
        <v>1700</v>
      </c>
      <c r="AQ135" t="s">
        <v>131</v>
      </c>
      <c r="AR135">
        <v>67</v>
      </c>
      <c r="AS135">
        <v>10</v>
      </c>
      <c r="AT135">
        <v>448</v>
      </c>
      <c r="BB135" t="str">
        <f t="shared" si="54"/>
        <v>1200</v>
      </c>
      <c r="BC135">
        <v>1</v>
      </c>
      <c r="BD135" t="str">
        <f t="shared" si="55"/>
        <v xml:space="preserve">N52156  </v>
      </c>
      <c r="BE135">
        <v>1</v>
      </c>
      <c r="BG135">
        <v>0</v>
      </c>
      <c r="BH135">
        <v>0</v>
      </c>
      <c r="BI135">
        <v>0</v>
      </c>
      <c r="BJ135">
        <v>1600</v>
      </c>
      <c r="BK135">
        <v>-100</v>
      </c>
      <c r="BL135" t="s">
        <v>188</v>
      </c>
      <c r="BM135">
        <v>1</v>
      </c>
      <c r="BN135">
        <v>1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 t="shared" si="57"/>
        <v>15:04:54.222</v>
      </c>
      <c r="CF135">
        <v>221690238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133</v>
      </c>
      <c r="DA135">
        <v>275</v>
      </c>
      <c r="DB135">
        <v>0</v>
      </c>
      <c r="DC135" t="s">
        <v>134</v>
      </c>
      <c r="DD135" t="s">
        <v>135</v>
      </c>
      <c r="DG135">
        <v>3317737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"05/01/2025 15:04:54.454"</f>
        <v>05/01/2025 15:04:54.454</v>
      </c>
      <c r="C136" t="str">
        <f t="shared" si="52"/>
        <v>FFDFD3C0</v>
      </c>
      <c r="D136" t="s">
        <v>145</v>
      </c>
      <c r="E136" t="str">
        <f>"05"</f>
        <v>05</v>
      </c>
      <c r="H136">
        <v>47</v>
      </c>
      <c r="I136" t="s">
        <v>146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R136" t="s">
        <v>127</v>
      </c>
      <c r="S136" t="str">
        <f t="shared" si="56"/>
        <v>15:04:54.000</v>
      </c>
      <c r="T136" t="str">
        <f t="shared" si="56"/>
        <v>15:04:54.000</v>
      </c>
      <c r="U136" t="str">
        <f t="shared" si="53"/>
        <v>A68FCB</v>
      </c>
      <c r="V136">
        <v>0</v>
      </c>
      <c r="W136">
        <v>0</v>
      </c>
      <c r="X136">
        <v>2</v>
      </c>
      <c r="Y136">
        <v>0</v>
      </c>
      <c r="AA136">
        <v>1</v>
      </c>
      <c r="AB136">
        <v>8</v>
      </c>
      <c r="AC136">
        <v>3</v>
      </c>
      <c r="AD136">
        <v>0</v>
      </c>
      <c r="AE136">
        <v>9</v>
      </c>
      <c r="AF136" t="s">
        <v>138</v>
      </c>
      <c r="AG136">
        <v>0</v>
      </c>
      <c r="AH136">
        <v>3</v>
      </c>
      <c r="AI136">
        <v>1</v>
      </c>
      <c r="AJ136">
        <v>0</v>
      </c>
      <c r="AK136" t="s">
        <v>191</v>
      </c>
      <c r="AL136">
        <v>38.955395000000003</v>
      </c>
      <c r="AM136" t="s">
        <v>192</v>
      </c>
      <c r="AN136">
        <v>-121.076503</v>
      </c>
      <c r="AO136">
        <v>25</v>
      </c>
      <c r="AP136">
        <v>1700</v>
      </c>
      <c r="AQ136" t="s">
        <v>131</v>
      </c>
      <c r="AR136">
        <v>67</v>
      </c>
      <c r="AS136">
        <v>10</v>
      </c>
      <c r="AT136">
        <v>448</v>
      </c>
      <c r="BB136" t="str">
        <f t="shared" si="54"/>
        <v>1200</v>
      </c>
      <c r="BC136">
        <v>1</v>
      </c>
      <c r="BD136" t="str">
        <f t="shared" si="55"/>
        <v xml:space="preserve">N52156  </v>
      </c>
      <c r="BE136">
        <v>1</v>
      </c>
      <c r="BG136">
        <v>0</v>
      </c>
      <c r="BH136">
        <v>0</v>
      </c>
      <c r="BI136">
        <v>0</v>
      </c>
      <c r="BJ136">
        <v>1600</v>
      </c>
      <c r="BK136">
        <v>-100</v>
      </c>
      <c r="BL136" t="s">
        <v>188</v>
      </c>
      <c r="BM136">
        <v>1</v>
      </c>
      <c r="BN136">
        <v>1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 t="shared" si="57"/>
        <v>15:04:54.222</v>
      </c>
      <c r="CF136">
        <v>221690238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133</v>
      </c>
      <c r="DA136">
        <v>275</v>
      </c>
      <c r="DB136">
        <v>0</v>
      </c>
      <c r="DC136" t="s">
        <v>134</v>
      </c>
      <c r="DD136" t="s">
        <v>135</v>
      </c>
      <c r="DG136">
        <v>3317737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"05/01/2025 15:04:54.455"</f>
        <v>05/01/2025 15:04:54.455</v>
      </c>
      <c r="C137" t="str">
        <f t="shared" si="52"/>
        <v>FFDFD3C0</v>
      </c>
      <c r="D137" t="s">
        <v>145</v>
      </c>
      <c r="E137" t="str">
        <f>"09"</f>
        <v>09</v>
      </c>
      <c r="H137">
        <v>51</v>
      </c>
      <c r="I137" t="s">
        <v>147</v>
      </c>
      <c r="J137" t="s">
        <v>138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R137" t="s">
        <v>127</v>
      </c>
      <c r="S137" t="str">
        <f t="shared" si="56"/>
        <v>15:04:54.000</v>
      </c>
      <c r="T137" t="str">
        <f t="shared" si="56"/>
        <v>15:04:54.000</v>
      </c>
      <c r="U137" t="str">
        <f t="shared" si="53"/>
        <v>A68FCB</v>
      </c>
      <c r="V137">
        <v>0</v>
      </c>
      <c r="W137">
        <v>0</v>
      </c>
      <c r="X137">
        <v>2</v>
      </c>
      <c r="Y137">
        <v>0</v>
      </c>
      <c r="AA137">
        <v>1</v>
      </c>
      <c r="AB137">
        <v>8</v>
      </c>
      <c r="AC137">
        <v>3</v>
      </c>
      <c r="AD137">
        <v>0</v>
      </c>
      <c r="AE137">
        <v>9</v>
      </c>
      <c r="AF137" t="s">
        <v>138</v>
      </c>
      <c r="AG137">
        <v>0</v>
      </c>
      <c r="AH137">
        <v>3</v>
      </c>
      <c r="AI137">
        <v>1</v>
      </c>
      <c r="AJ137">
        <v>0</v>
      </c>
      <c r="AK137" t="s">
        <v>191</v>
      </c>
      <c r="AL137">
        <v>38.955395000000003</v>
      </c>
      <c r="AM137" t="s">
        <v>192</v>
      </c>
      <c r="AN137">
        <v>-121.076503</v>
      </c>
      <c r="AO137">
        <v>25</v>
      </c>
      <c r="AP137">
        <v>1700</v>
      </c>
      <c r="AQ137" t="s">
        <v>131</v>
      </c>
      <c r="AR137">
        <v>67</v>
      </c>
      <c r="AS137">
        <v>10</v>
      </c>
      <c r="AT137">
        <v>448</v>
      </c>
      <c r="BB137" t="str">
        <f t="shared" si="54"/>
        <v>1200</v>
      </c>
      <c r="BC137">
        <v>1</v>
      </c>
      <c r="BD137" t="str">
        <f t="shared" si="55"/>
        <v xml:space="preserve">N52156  </v>
      </c>
      <c r="BE137">
        <v>1</v>
      </c>
      <c r="BG137">
        <v>0</v>
      </c>
      <c r="BH137">
        <v>0</v>
      </c>
      <c r="BI137">
        <v>0</v>
      </c>
      <c r="BJ137">
        <v>1600</v>
      </c>
      <c r="BK137">
        <v>-100</v>
      </c>
      <c r="BL137" t="s">
        <v>188</v>
      </c>
      <c r="BM137">
        <v>1</v>
      </c>
      <c r="BN137">
        <v>1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 t="shared" si="57"/>
        <v>15:04:54.222</v>
      </c>
      <c r="CF137">
        <v>221690238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133</v>
      </c>
      <c r="DA137">
        <v>275</v>
      </c>
      <c r="DB137">
        <v>0</v>
      </c>
      <c r="DC137" t="s">
        <v>134</v>
      </c>
      <c r="DD137" t="s">
        <v>135</v>
      </c>
      <c r="DG137">
        <v>3317737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"05/01/2025 15:04:54.457"</f>
        <v>05/01/2025 15:04:54.457</v>
      </c>
      <c r="C138" t="str">
        <f t="shared" si="52"/>
        <v>FFDFD3C0</v>
      </c>
      <c r="D138" t="s">
        <v>124</v>
      </c>
      <c r="E138" t="str">
        <f>"06"</f>
        <v>06</v>
      </c>
      <c r="F138">
        <v>2006</v>
      </c>
      <c r="G138" t="s">
        <v>125</v>
      </c>
      <c r="J138" t="s">
        <v>126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R138" t="s">
        <v>127</v>
      </c>
      <c r="S138" t="str">
        <f t="shared" si="56"/>
        <v>15:04:54.000</v>
      </c>
      <c r="T138" t="str">
        <f t="shared" si="56"/>
        <v>15:04:54.000</v>
      </c>
      <c r="U138" t="str">
        <f t="shared" si="53"/>
        <v>A68FCB</v>
      </c>
      <c r="V138">
        <v>0</v>
      </c>
      <c r="W138">
        <v>0</v>
      </c>
      <c r="X138">
        <v>2</v>
      </c>
      <c r="Y138">
        <v>0</v>
      </c>
      <c r="AA138">
        <v>1</v>
      </c>
      <c r="AB138">
        <v>8</v>
      </c>
      <c r="AC138">
        <v>3</v>
      </c>
      <c r="AD138">
        <v>0</v>
      </c>
      <c r="AE138">
        <v>9</v>
      </c>
      <c r="AF138" t="s">
        <v>138</v>
      </c>
      <c r="AG138">
        <v>0</v>
      </c>
      <c r="AH138">
        <v>3</v>
      </c>
      <c r="AI138">
        <v>1</v>
      </c>
      <c r="AJ138">
        <v>0</v>
      </c>
      <c r="AK138" t="s">
        <v>191</v>
      </c>
      <c r="AL138">
        <v>38.955395000000003</v>
      </c>
      <c r="AM138" t="s">
        <v>192</v>
      </c>
      <c r="AN138">
        <v>-121.076503</v>
      </c>
      <c r="AO138">
        <v>25</v>
      </c>
      <c r="AP138">
        <v>1700</v>
      </c>
      <c r="AQ138" t="s">
        <v>131</v>
      </c>
      <c r="AR138">
        <v>67</v>
      </c>
      <c r="AS138">
        <v>10</v>
      </c>
      <c r="AT138">
        <v>448</v>
      </c>
      <c r="BB138" t="str">
        <f t="shared" si="54"/>
        <v>1200</v>
      </c>
      <c r="BC138">
        <v>1</v>
      </c>
      <c r="BD138" t="str">
        <f t="shared" si="55"/>
        <v xml:space="preserve">N52156  </v>
      </c>
      <c r="BE138">
        <v>1</v>
      </c>
      <c r="BG138">
        <v>0</v>
      </c>
      <c r="BH138">
        <v>0</v>
      </c>
      <c r="BI138">
        <v>0</v>
      </c>
      <c r="BJ138">
        <v>1600</v>
      </c>
      <c r="BK138">
        <v>-100</v>
      </c>
      <c r="BL138" t="s">
        <v>188</v>
      </c>
      <c r="BM138">
        <v>1</v>
      </c>
      <c r="BN138">
        <v>1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 t="shared" si="57"/>
        <v>15:04:54.222</v>
      </c>
      <c r="CF138">
        <v>221690238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133</v>
      </c>
      <c r="DA138">
        <v>275</v>
      </c>
      <c r="DB138">
        <v>0</v>
      </c>
      <c r="DC138" t="s">
        <v>134</v>
      </c>
      <c r="DD138" t="s">
        <v>135</v>
      </c>
      <c r="DG138">
        <v>3317737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"05/01/2025 15:04:54.467"</f>
        <v>05/01/2025 15:04:54.467</v>
      </c>
      <c r="C139" t="str">
        <f t="shared" si="52"/>
        <v>FFDFD3C0</v>
      </c>
      <c r="D139" t="s">
        <v>136</v>
      </c>
      <c r="E139" t="str">
        <f>"20"</f>
        <v>20</v>
      </c>
      <c r="H139">
        <v>400</v>
      </c>
      <c r="I139" t="s">
        <v>137</v>
      </c>
      <c r="J139" t="s">
        <v>138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R139" t="s">
        <v>127</v>
      </c>
      <c r="S139" t="str">
        <f t="shared" si="56"/>
        <v>15:04:54.000</v>
      </c>
      <c r="T139" t="str">
        <f t="shared" si="56"/>
        <v>15:04:54.000</v>
      </c>
      <c r="U139" t="str">
        <f t="shared" si="53"/>
        <v>A68FCB</v>
      </c>
      <c r="V139">
        <v>0</v>
      </c>
      <c r="W139">
        <v>0</v>
      </c>
      <c r="X139">
        <v>2</v>
      </c>
      <c r="Y139">
        <v>0</v>
      </c>
      <c r="AA139">
        <v>1</v>
      </c>
      <c r="AB139">
        <v>8</v>
      </c>
      <c r="AC139">
        <v>3</v>
      </c>
      <c r="AD139">
        <v>0</v>
      </c>
      <c r="AE139">
        <v>9</v>
      </c>
      <c r="AF139" t="s">
        <v>138</v>
      </c>
      <c r="AG139">
        <v>0</v>
      </c>
      <c r="AH139">
        <v>3</v>
      </c>
      <c r="AI139">
        <v>1</v>
      </c>
      <c r="AJ139">
        <v>0</v>
      </c>
      <c r="AK139" t="s">
        <v>191</v>
      </c>
      <c r="AL139">
        <v>38.955395000000003</v>
      </c>
      <c r="AM139" t="s">
        <v>192</v>
      </c>
      <c r="AN139">
        <v>-121.076503</v>
      </c>
      <c r="AO139">
        <v>25</v>
      </c>
      <c r="AP139">
        <v>1700</v>
      </c>
      <c r="AQ139" t="s">
        <v>131</v>
      </c>
      <c r="AR139">
        <v>67</v>
      </c>
      <c r="AS139">
        <v>10</v>
      </c>
      <c r="AT139">
        <v>448</v>
      </c>
      <c r="BB139" t="str">
        <f t="shared" si="54"/>
        <v>1200</v>
      </c>
      <c r="BC139">
        <v>1</v>
      </c>
      <c r="BD139" t="str">
        <f t="shared" si="55"/>
        <v xml:space="preserve">N52156  </v>
      </c>
      <c r="BE139">
        <v>1</v>
      </c>
      <c r="BG139">
        <v>0</v>
      </c>
      <c r="BH139">
        <v>0</v>
      </c>
      <c r="BI139">
        <v>0</v>
      </c>
      <c r="BJ139">
        <v>1600</v>
      </c>
      <c r="BK139">
        <v>-100</v>
      </c>
      <c r="BL139" t="s">
        <v>188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 t="shared" si="57"/>
        <v>15:04:54.222</v>
      </c>
      <c r="CF139">
        <v>221690238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133</v>
      </c>
      <c r="DA139">
        <v>275</v>
      </c>
      <c r="DB139">
        <v>0</v>
      </c>
      <c r="DC139" t="s">
        <v>134</v>
      </c>
      <c r="DD139" t="s">
        <v>135</v>
      </c>
      <c r="DG139">
        <v>3317737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"05/01/2025 15:04:55.495"</f>
        <v>05/01/2025 15:04:55.495</v>
      </c>
      <c r="C140" t="str">
        <f t="shared" si="52"/>
        <v>FFDFD3C0</v>
      </c>
      <c r="D140" t="s">
        <v>140</v>
      </c>
      <c r="E140" t="str">
        <f>"13"</f>
        <v>13</v>
      </c>
      <c r="F140">
        <v>1019</v>
      </c>
      <c r="G140" t="s">
        <v>141</v>
      </c>
      <c r="J140" t="s">
        <v>142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R140" t="s">
        <v>127</v>
      </c>
      <c r="S140" t="str">
        <f t="shared" ref="S140:T145" si="58">"15:04:55.000"</f>
        <v>15:04:55.000</v>
      </c>
      <c r="T140" t="str">
        <f t="shared" si="58"/>
        <v>15:04:55.000</v>
      </c>
      <c r="U140" t="str">
        <f t="shared" si="53"/>
        <v>A68FCB</v>
      </c>
      <c r="V140">
        <v>0</v>
      </c>
      <c r="W140">
        <v>0</v>
      </c>
      <c r="X140">
        <v>2</v>
      </c>
      <c r="Y140">
        <v>0</v>
      </c>
      <c r="AA140">
        <v>1</v>
      </c>
      <c r="AB140">
        <v>8</v>
      </c>
      <c r="AC140">
        <v>3</v>
      </c>
      <c r="AD140">
        <v>0</v>
      </c>
      <c r="AE140">
        <v>9</v>
      </c>
      <c r="AF140" t="s">
        <v>138</v>
      </c>
      <c r="AG140">
        <v>0</v>
      </c>
      <c r="AH140">
        <v>3</v>
      </c>
      <c r="AI140">
        <v>1</v>
      </c>
      <c r="AJ140">
        <v>0</v>
      </c>
      <c r="AK140" t="s">
        <v>193</v>
      </c>
      <c r="AL140">
        <v>38.955438000000001</v>
      </c>
      <c r="AM140" t="s">
        <v>194</v>
      </c>
      <c r="AN140">
        <v>-121.076095</v>
      </c>
      <c r="AO140">
        <v>25</v>
      </c>
      <c r="AP140">
        <v>1700</v>
      </c>
      <c r="AQ140" t="s">
        <v>131</v>
      </c>
      <c r="AR140">
        <v>70</v>
      </c>
      <c r="AS140">
        <v>13</v>
      </c>
      <c r="AT140">
        <v>256</v>
      </c>
      <c r="BB140" t="str">
        <f t="shared" si="54"/>
        <v>1200</v>
      </c>
      <c r="BC140">
        <v>1</v>
      </c>
      <c r="BD140" t="str">
        <f t="shared" si="55"/>
        <v xml:space="preserve">N52156  </v>
      </c>
      <c r="BE140">
        <v>1</v>
      </c>
      <c r="BG140">
        <v>0</v>
      </c>
      <c r="BH140">
        <v>0</v>
      </c>
      <c r="BI140">
        <v>0</v>
      </c>
      <c r="BJ140">
        <v>1625</v>
      </c>
      <c r="BK140">
        <v>-75</v>
      </c>
      <c r="BL140" t="s">
        <v>188</v>
      </c>
      <c r="BM140">
        <v>1</v>
      </c>
      <c r="BN140">
        <v>1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 t="shared" ref="CE140:CE145" si="59">"15:04:55.255"</f>
        <v>15:04:55.255</v>
      </c>
      <c r="CF140">
        <v>254940396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5</v>
      </c>
      <c r="CY140">
        <v>7</v>
      </c>
      <c r="CZ140" t="s">
        <v>133</v>
      </c>
      <c r="DA140">
        <v>275</v>
      </c>
      <c r="DB140">
        <v>0</v>
      </c>
      <c r="DC140" t="s">
        <v>134</v>
      </c>
      <c r="DD140" t="s">
        <v>135</v>
      </c>
      <c r="DG140">
        <v>3317753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"05/01/2025 15:04:55.501"</f>
        <v>05/01/2025 15:04:55.501</v>
      </c>
      <c r="C141" t="str">
        <f t="shared" si="52"/>
        <v>FFDFD3C0</v>
      </c>
      <c r="D141" t="s">
        <v>143</v>
      </c>
      <c r="E141" t="str">
        <f>"05"</f>
        <v>05</v>
      </c>
      <c r="H141">
        <v>172</v>
      </c>
      <c r="I141" t="s">
        <v>141</v>
      </c>
      <c r="J141" t="s">
        <v>144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R141" t="s">
        <v>127</v>
      </c>
      <c r="S141" t="str">
        <f t="shared" si="58"/>
        <v>15:04:55.000</v>
      </c>
      <c r="T141" t="str">
        <f t="shared" si="58"/>
        <v>15:04:55.000</v>
      </c>
      <c r="U141" t="str">
        <f t="shared" si="53"/>
        <v>A68FCB</v>
      </c>
      <c r="V141">
        <v>0</v>
      </c>
      <c r="W141">
        <v>0</v>
      </c>
      <c r="X141">
        <v>2</v>
      </c>
      <c r="Y141">
        <v>0</v>
      </c>
      <c r="AA141">
        <v>1</v>
      </c>
      <c r="AB141">
        <v>8</v>
      </c>
      <c r="AC141">
        <v>3</v>
      </c>
      <c r="AD141">
        <v>0</v>
      </c>
      <c r="AE141">
        <v>9</v>
      </c>
      <c r="AF141" t="s">
        <v>138</v>
      </c>
      <c r="AG141">
        <v>0</v>
      </c>
      <c r="AH141">
        <v>3</v>
      </c>
      <c r="AI141">
        <v>1</v>
      </c>
      <c r="AJ141">
        <v>0</v>
      </c>
      <c r="AK141" t="s">
        <v>193</v>
      </c>
      <c r="AL141">
        <v>38.955438000000001</v>
      </c>
      <c r="AM141" t="s">
        <v>194</v>
      </c>
      <c r="AN141">
        <v>-121.076095</v>
      </c>
      <c r="AO141">
        <v>25</v>
      </c>
      <c r="AP141">
        <v>1700</v>
      </c>
      <c r="AQ141" t="s">
        <v>131</v>
      </c>
      <c r="AR141">
        <v>70</v>
      </c>
      <c r="AS141">
        <v>13</v>
      </c>
      <c r="AT141">
        <v>256</v>
      </c>
      <c r="BB141" t="str">
        <f t="shared" si="54"/>
        <v>1200</v>
      </c>
      <c r="BC141">
        <v>1</v>
      </c>
      <c r="BD141" t="str">
        <f t="shared" si="55"/>
        <v xml:space="preserve">N52156  </v>
      </c>
      <c r="BE141">
        <v>1</v>
      </c>
      <c r="BG141">
        <v>0</v>
      </c>
      <c r="BH141">
        <v>0</v>
      </c>
      <c r="BI141">
        <v>0</v>
      </c>
      <c r="BJ141">
        <v>1625</v>
      </c>
      <c r="BK141">
        <v>-75</v>
      </c>
      <c r="BL141" t="s">
        <v>188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 t="shared" si="59"/>
        <v>15:04:55.255</v>
      </c>
      <c r="CF141">
        <v>254940396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5</v>
      </c>
      <c r="CY141">
        <v>7</v>
      </c>
      <c r="CZ141" t="s">
        <v>133</v>
      </c>
      <c r="DA141">
        <v>275</v>
      </c>
      <c r="DB141">
        <v>0</v>
      </c>
      <c r="DC141" t="s">
        <v>134</v>
      </c>
      <c r="DD141" t="s">
        <v>135</v>
      </c>
      <c r="DG141">
        <v>3317753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"05/01/2025 15:04:55.506"</f>
        <v>05/01/2025 15:04:55.506</v>
      </c>
      <c r="C142" t="str">
        <f t="shared" si="52"/>
        <v>FFDFD3C0</v>
      </c>
      <c r="D142" t="s">
        <v>145</v>
      </c>
      <c r="E142" t="str">
        <f>"05"</f>
        <v>05</v>
      </c>
      <c r="H142">
        <v>47</v>
      </c>
      <c r="I142" t="s">
        <v>146</v>
      </c>
      <c r="J142" t="s">
        <v>138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R142" t="s">
        <v>127</v>
      </c>
      <c r="S142" t="str">
        <f t="shared" si="58"/>
        <v>15:04:55.000</v>
      </c>
      <c r="T142" t="str">
        <f t="shared" si="58"/>
        <v>15:04:55.000</v>
      </c>
      <c r="U142" t="str">
        <f t="shared" si="53"/>
        <v>A68FCB</v>
      </c>
      <c r="V142">
        <v>0</v>
      </c>
      <c r="W142">
        <v>0</v>
      </c>
      <c r="X142">
        <v>2</v>
      </c>
      <c r="Y142">
        <v>0</v>
      </c>
      <c r="AA142">
        <v>1</v>
      </c>
      <c r="AB142">
        <v>8</v>
      </c>
      <c r="AC142">
        <v>3</v>
      </c>
      <c r="AD142">
        <v>0</v>
      </c>
      <c r="AE142">
        <v>9</v>
      </c>
      <c r="AF142" t="s">
        <v>138</v>
      </c>
      <c r="AG142">
        <v>0</v>
      </c>
      <c r="AH142">
        <v>3</v>
      </c>
      <c r="AI142">
        <v>1</v>
      </c>
      <c r="AJ142">
        <v>0</v>
      </c>
      <c r="AK142" t="s">
        <v>193</v>
      </c>
      <c r="AL142">
        <v>38.955438000000001</v>
      </c>
      <c r="AM142" t="s">
        <v>194</v>
      </c>
      <c r="AN142">
        <v>-121.076095</v>
      </c>
      <c r="AO142">
        <v>25</v>
      </c>
      <c r="AP142">
        <v>1700</v>
      </c>
      <c r="AQ142" t="s">
        <v>131</v>
      </c>
      <c r="AR142">
        <v>70</v>
      </c>
      <c r="AS142">
        <v>13</v>
      </c>
      <c r="AT142">
        <v>256</v>
      </c>
      <c r="BB142" t="str">
        <f t="shared" si="54"/>
        <v>1200</v>
      </c>
      <c r="BC142">
        <v>1</v>
      </c>
      <c r="BD142" t="str">
        <f t="shared" si="55"/>
        <v xml:space="preserve">N52156  </v>
      </c>
      <c r="BE142">
        <v>1</v>
      </c>
      <c r="BG142">
        <v>0</v>
      </c>
      <c r="BH142">
        <v>0</v>
      </c>
      <c r="BI142">
        <v>0</v>
      </c>
      <c r="BJ142">
        <v>1625</v>
      </c>
      <c r="BK142">
        <v>-75</v>
      </c>
      <c r="BL142" t="s">
        <v>188</v>
      </c>
      <c r="BM142">
        <v>1</v>
      </c>
      <c r="BN142">
        <v>1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 t="shared" si="59"/>
        <v>15:04:55.255</v>
      </c>
      <c r="CF142">
        <v>254940396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5</v>
      </c>
      <c r="CY142">
        <v>7</v>
      </c>
      <c r="CZ142" t="s">
        <v>133</v>
      </c>
      <c r="DA142">
        <v>275</v>
      </c>
      <c r="DB142">
        <v>0</v>
      </c>
      <c r="DC142" t="s">
        <v>134</v>
      </c>
      <c r="DD142" t="s">
        <v>135</v>
      </c>
      <c r="DG142">
        <v>3317753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"05/01/2025 15:04:55.507"</f>
        <v>05/01/2025 15:04:55.507</v>
      </c>
      <c r="C143" t="str">
        <f t="shared" si="52"/>
        <v>FFDFD3C0</v>
      </c>
      <c r="D143" t="s">
        <v>145</v>
      </c>
      <c r="E143" t="str">
        <f>"09"</f>
        <v>09</v>
      </c>
      <c r="H143">
        <v>51</v>
      </c>
      <c r="I143" t="s">
        <v>147</v>
      </c>
      <c r="J143" t="s">
        <v>138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R143" t="s">
        <v>127</v>
      </c>
      <c r="S143" t="str">
        <f t="shared" si="58"/>
        <v>15:04:55.000</v>
      </c>
      <c r="T143" t="str">
        <f t="shared" si="58"/>
        <v>15:04:55.000</v>
      </c>
      <c r="U143" t="str">
        <f t="shared" si="53"/>
        <v>A68FCB</v>
      </c>
      <c r="V143">
        <v>0</v>
      </c>
      <c r="W143">
        <v>0</v>
      </c>
      <c r="X143">
        <v>2</v>
      </c>
      <c r="Y143">
        <v>0</v>
      </c>
      <c r="AA143">
        <v>1</v>
      </c>
      <c r="AB143">
        <v>8</v>
      </c>
      <c r="AC143">
        <v>3</v>
      </c>
      <c r="AD143">
        <v>0</v>
      </c>
      <c r="AE143">
        <v>9</v>
      </c>
      <c r="AF143" t="s">
        <v>138</v>
      </c>
      <c r="AG143">
        <v>0</v>
      </c>
      <c r="AH143">
        <v>3</v>
      </c>
      <c r="AI143">
        <v>1</v>
      </c>
      <c r="AJ143">
        <v>0</v>
      </c>
      <c r="AK143" t="s">
        <v>193</v>
      </c>
      <c r="AL143">
        <v>38.955438000000001</v>
      </c>
      <c r="AM143" t="s">
        <v>194</v>
      </c>
      <c r="AN143">
        <v>-121.076095</v>
      </c>
      <c r="AO143">
        <v>25</v>
      </c>
      <c r="AP143">
        <v>1700</v>
      </c>
      <c r="AQ143" t="s">
        <v>131</v>
      </c>
      <c r="AR143">
        <v>70</v>
      </c>
      <c r="AS143">
        <v>13</v>
      </c>
      <c r="AT143">
        <v>256</v>
      </c>
      <c r="BB143" t="str">
        <f t="shared" si="54"/>
        <v>1200</v>
      </c>
      <c r="BC143">
        <v>1</v>
      </c>
      <c r="BD143" t="str">
        <f t="shared" si="55"/>
        <v xml:space="preserve">N52156  </v>
      </c>
      <c r="BE143">
        <v>1</v>
      </c>
      <c r="BG143">
        <v>0</v>
      </c>
      <c r="BH143">
        <v>0</v>
      </c>
      <c r="BI143">
        <v>0</v>
      </c>
      <c r="BJ143">
        <v>1625</v>
      </c>
      <c r="BK143">
        <v>-75</v>
      </c>
      <c r="BL143" t="s">
        <v>188</v>
      </c>
      <c r="BM143">
        <v>1</v>
      </c>
      <c r="BN143">
        <v>1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 t="shared" si="59"/>
        <v>15:04:55.255</v>
      </c>
      <c r="CF143">
        <v>254940396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133</v>
      </c>
      <c r="DA143">
        <v>275</v>
      </c>
      <c r="DB143">
        <v>0</v>
      </c>
      <c r="DC143" t="s">
        <v>134</v>
      </c>
      <c r="DD143" t="s">
        <v>135</v>
      </c>
      <c r="DG143">
        <v>3317753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"05/01/2025 15:04:55.509"</f>
        <v>05/01/2025 15:04:55.509</v>
      </c>
      <c r="C144" t="str">
        <f t="shared" si="52"/>
        <v>FFDFD3C0</v>
      </c>
      <c r="D144" t="s">
        <v>124</v>
      </c>
      <c r="E144" t="str">
        <f>"06"</f>
        <v>06</v>
      </c>
      <c r="F144">
        <v>2006</v>
      </c>
      <c r="G144" t="s">
        <v>125</v>
      </c>
      <c r="J144" t="s">
        <v>126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R144" t="s">
        <v>127</v>
      </c>
      <c r="S144" t="str">
        <f t="shared" si="58"/>
        <v>15:04:55.000</v>
      </c>
      <c r="T144" t="str">
        <f t="shared" si="58"/>
        <v>15:04:55.000</v>
      </c>
      <c r="U144" t="str">
        <f t="shared" si="53"/>
        <v>A68FCB</v>
      </c>
      <c r="V144">
        <v>0</v>
      </c>
      <c r="W144">
        <v>0</v>
      </c>
      <c r="X144">
        <v>2</v>
      </c>
      <c r="Y144">
        <v>0</v>
      </c>
      <c r="AA144">
        <v>1</v>
      </c>
      <c r="AB144">
        <v>8</v>
      </c>
      <c r="AC144">
        <v>3</v>
      </c>
      <c r="AD144">
        <v>0</v>
      </c>
      <c r="AE144">
        <v>9</v>
      </c>
      <c r="AF144" t="s">
        <v>138</v>
      </c>
      <c r="AG144">
        <v>0</v>
      </c>
      <c r="AH144">
        <v>3</v>
      </c>
      <c r="AI144">
        <v>1</v>
      </c>
      <c r="AJ144">
        <v>0</v>
      </c>
      <c r="AK144" t="s">
        <v>193</v>
      </c>
      <c r="AL144">
        <v>38.955438000000001</v>
      </c>
      <c r="AM144" t="s">
        <v>194</v>
      </c>
      <c r="AN144">
        <v>-121.076095</v>
      </c>
      <c r="AO144">
        <v>25</v>
      </c>
      <c r="AP144">
        <v>1700</v>
      </c>
      <c r="AQ144" t="s">
        <v>131</v>
      </c>
      <c r="AR144">
        <v>70</v>
      </c>
      <c r="AS144">
        <v>13</v>
      </c>
      <c r="AT144">
        <v>256</v>
      </c>
      <c r="BB144" t="str">
        <f t="shared" si="54"/>
        <v>1200</v>
      </c>
      <c r="BC144">
        <v>1</v>
      </c>
      <c r="BD144" t="str">
        <f t="shared" si="55"/>
        <v xml:space="preserve">N52156  </v>
      </c>
      <c r="BE144">
        <v>1</v>
      </c>
      <c r="BG144">
        <v>0</v>
      </c>
      <c r="BH144">
        <v>0</v>
      </c>
      <c r="BI144">
        <v>0</v>
      </c>
      <c r="BJ144">
        <v>1625</v>
      </c>
      <c r="BK144">
        <v>-75</v>
      </c>
      <c r="BL144" t="s">
        <v>188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 t="shared" si="59"/>
        <v>15:04:55.255</v>
      </c>
      <c r="CF144">
        <v>254940396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133</v>
      </c>
      <c r="DA144">
        <v>275</v>
      </c>
      <c r="DB144">
        <v>0</v>
      </c>
      <c r="DC144" t="s">
        <v>134</v>
      </c>
      <c r="DD144" t="s">
        <v>135</v>
      </c>
      <c r="DG144">
        <v>3317753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"05/01/2025 15:04:55.519"</f>
        <v>05/01/2025 15:04:55.519</v>
      </c>
      <c r="C145" t="str">
        <f t="shared" si="52"/>
        <v>FFDFD3C0</v>
      </c>
      <c r="D145" t="s">
        <v>136</v>
      </c>
      <c r="E145" t="str">
        <f>"20"</f>
        <v>20</v>
      </c>
      <c r="H145">
        <v>400</v>
      </c>
      <c r="I145" t="s">
        <v>137</v>
      </c>
      <c r="J145" t="s">
        <v>138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R145" t="s">
        <v>127</v>
      </c>
      <c r="S145" t="str">
        <f t="shared" si="58"/>
        <v>15:04:55.000</v>
      </c>
      <c r="T145" t="str">
        <f t="shared" si="58"/>
        <v>15:04:55.000</v>
      </c>
      <c r="U145" t="str">
        <f t="shared" si="53"/>
        <v>A68FCB</v>
      </c>
      <c r="V145">
        <v>0</v>
      </c>
      <c r="W145">
        <v>0</v>
      </c>
      <c r="X145">
        <v>2</v>
      </c>
      <c r="Y145">
        <v>0</v>
      </c>
      <c r="AA145">
        <v>1</v>
      </c>
      <c r="AB145">
        <v>8</v>
      </c>
      <c r="AC145">
        <v>3</v>
      </c>
      <c r="AD145">
        <v>0</v>
      </c>
      <c r="AE145">
        <v>9</v>
      </c>
      <c r="AF145" t="s">
        <v>138</v>
      </c>
      <c r="AG145">
        <v>0</v>
      </c>
      <c r="AH145">
        <v>3</v>
      </c>
      <c r="AI145">
        <v>1</v>
      </c>
      <c r="AJ145">
        <v>0</v>
      </c>
      <c r="AK145" t="s">
        <v>193</v>
      </c>
      <c r="AL145">
        <v>38.955438000000001</v>
      </c>
      <c r="AM145" t="s">
        <v>194</v>
      </c>
      <c r="AN145">
        <v>-121.076095</v>
      </c>
      <c r="AO145">
        <v>25</v>
      </c>
      <c r="AP145">
        <v>1700</v>
      </c>
      <c r="AQ145" t="s">
        <v>131</v>
      </c>
      <c r="AR145">
        <v>70</v>
      </c>
      <c r="AS145">
        <v>13</v>
      </c>
      <c r="AT145">
        <v>256</v>
      </c>
      <c r="BB145" t="str">
        <f t="shared" si="54"/>
        <v>1200</v>
      </c>
      <c r="BC145">
        <v>1</v>
      </c>
      <c r="BD145" t="str">
        <f t="shared" si="55"/>
        <v xml:space="preserve">N52156  </v>
      </c>
      <c r="BE145">
        <v>1</v>
      </c>
      <c r="BG145">
        <v>0</v>
      </c>
      <c r="BH145">
        <v>0</v>
      </c>
      <c r="BI145">
        <v>0</v>
      </c>
      <c r="BJ145">
        <v>1625</v>
      </c>
      <c r="BK145">
        <v>-75</v>
      </c>
      <c r="BL145" t="s">
        <v>188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 t="shared" si="59"/>
        <v>15:04:55.255</v>
      </c>
      <c r="CF145">
        <v>254940396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133</v>
      </c>
      <c r="DA145">
        <v>275</v>
      </c>
      <c r="DB145">
        <v>0</v>
      </c>
      <c r="DC145" t="s">
        <v>134</v>
      </c>
      <c r="DD145" t="s">
        <v>135</v>
      </c>
      <c r="DG145">
        <v>3317753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"05/01/2025 15:04:56.497"</f>
        <v>05/01/2025 15:04:56.497</v>
      </c>
      <c r="C146" t="str">
        <f t="shared" si="52"/>
        <v>FFDFD3C0</v>
      </c>
      <c r="D146" t="s">
        <v>140</v>
      </c>
      <c r="E146" t="str">
        <f>"13"</f>
        <v>13</v>
      </c>
      <c r="F146">
        <v>1019</v>
      </c>
      <c r="G146" t="s">
        <v>141</v>
      </c>
      <c r="J146" t="s">
        <v>142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R146" t="s">
        <v>127</v>
      </c>
      <c r="S146" t="str">
        <f t="shared" ref="S146:T151" si="60">"15:04:56.000"</f>
        <v>15:04:56.000</v>
      </c>
      <c r="T146" t="str">
        <f t="shared" si="60"/>
        <v>15:04:56.000</v>
      </c>
      <c r="U146" t="str">
        <f t="shared" si="53"/>
        <v>A68FCB</v>
      </c>
      <c r="V146">
        <v>0</v>
      </c>
      <c r="W146">
        <v>0</v>
      </c>
      <c r="X146">
        <v>2</v>
      </c>
      <c r="Y146">
        <v>0</v>
      </c>
      <c r="AA146">
        <v>1</v>
      </c>
      <c r="AB146">
        <v>8</v>
      </c>
      <c r="AC146">
        <v>3</v>
      </c>
      <c r="AD146">
        <v>0</v>
      </c>
      <c r="AE146">
        <v>9</v>
      </c>
      <c r="AF146" t="s">
        <v>138</v>
      </c>
      <c r="AG146">
        <v>0</v>
      </c>
      <c r="AH146">
        <v>3</v>
      </c>
      <c r="AI146">
        <v>1</v>
      </c>
      <c r="AJ146">
        <v>0</v>
      </c>
      <c r="AK146" t="s">
        <v>195</v>
      </c>
      <c r="AL146">
        <v>38.955503</v>
      </c>
      <c r="AM146" t="s">
        <v>196</v>
      </c>
      <c r="AN146">
        <v>-121.075709</v>
      </c>
      <c r="AO146">
        <v>25</v>
      </c>
      <c r="AP146">
        <v>1700</v>
      </c>
      <c r="AQ146" t="s">
        <v>131</v>
      </c>
      <c r="AR146">
        <v>67</v>
      </c>
      <c r="AS146">
        <v>9</v>
      </c>
      <c r="AT146">
        <v>448</v>
      </c>
      <c r="BB146" t="str">
        <f t="shared" si="54"/>
        <v>1200</v>
      </c>
      <c r="BC146">
        <v>1</v>
      </c>
      <c r="BD146" t="str">
        <f t="shared" si="55"/>
        <v xml:space="preserve">N52156  </v>
      </c>
      <c r="BE146">
        <v>1</v>
      </c>
      <c r="BG146">
        <v>0</v>
      </c>
      <c r="BH146">
        <v>0</v>
      </c>
      <c r="BI146">
        <v>0</v>
      </c>
      <c r="BJ146">
        <v>1625</v>
      </c>
      <c r="BK146">
        <v>-75</v>
      </c>
      <c r="BL146" t="s">
        <v>188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 t="shared" ref="CE146:CE151" si="61">"15:04:56.287"</f>
        <v>15:04:56.287</v>
      </c>
      <c r="CF146">
        <v>287440560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133</v>
      </c>
      <c r="DA146">
        <v>275</v>
      </c>
      <c r="DB146">
        <v>0</v>
      </c>
      <c r="DC146" t="s">
        <v>134</v>
      </c>
      <c r="DD146" t="s">
        <v>135</v>
      </c>
      <c r="DG146">
        <v>3317774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"05/01/2025 15:04:56.503"</f>
        <v>05/01/2025 15:04:56.503</v>
      </c>
      <c r="C147" t="str">
        <f t="shared" si="52"/>
        <v>FFDFD3C0</v>
      </c>
      <c r="D147" t="s">
        <v>143</v>
      </c>
      <c r="E147" t="str">
        <f>"05"</f>
        <v>05</v>
      </c>
      <c r="H147">
        <v>172</v>
      </c>
      <c r="I147" t="s">
        <v>141</v>
      </c>
      <c r="J147" t="s">
        <v>144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R147" t="s">
        <v>127</v>
      </c>
      <c r="S147" t="str">
        <f t="shared" si="60"/>
        <v>15:04:56.000</v>
      </c>
      <c r="T147" t="str">
        <f t="shared" si="60"/>
        <v>15:04:56.000</v>
      </c>
      <c r="U147" t="str">
        <f t="shared" si="53"/>
        <v>A68FCB</v>
      </c>
      <c r="V147">
        <v>0</v>
      </c>
      <c r="W147">
        <v>0</v>
      </c>
      <c r="X147">
        <v>2</v>
      </c>
      <c r="Y147">
        <v>0</v>
      </c>
      <c r="AA147">
        <v>1</v>
      </c>
      <c r="AB147">
        <v>8</v>
      </c>
      <c r="AC147">
        <v>3</v>
      </c>
      <c r="AD147">
        <v>0</v>
      </c>
      <c r="AE147">
        <v>9</v>
      </c>
      <c r="AF147" t="s">
        <v>138</v>
      </c>
      <c r="AG147">
        <v>0</v>
      </c>
      <c r="AH147">
        <v>3</v>
      </c>
      <c r="AI147">
        <v>1</v>
      </c>
      <c r="AJ147">
        <v>0</v>
      </c>
      <c r="AK147" t="s">
        <v>195</v>
      </c>
      <c r="AL147">
        <v>38.955503</v>
      </c>
      <c r="AM147" t="s">
        <v>196</v>
      </c>
      <c r="AN147">
        <v>-121.075709</v>
      </c>
      <c r="AO147">
        <v>25</v>
      </c>
      <c r="AP147">
        <v>1700</v>
      </c>
      <c r="AQ147" t="s">
        <v>131</v>
      </c>
      <c r="AR147">
        <v>67</v>
      </c>
      <c r="AS147">
        <v>9</v>
      </c>
      <c r="AT147">
        <v>448</v>
      </c>
      <c r="BB147" t="str">
        <f t="shared" si="54"/>
        <v>1200</v>
      </c>
      <c r="BC147">
        <v>1</v>
      </c>
      <c r="BD147" t="str">
        <f t="shared" si="55"/>
        <v xml:space="preserve">N52156  </v>
      </c>
      <c r="BE147">
        <v>1</v>
      </c>
      <c r="BG147">
        <v>0</v>
      </c>
      <c r="BH147">
        <v>0</v>
      </c>
      <c r="BI147">
        <v>0</v>
      </c>
      <c r="BJ147">
        <v>1625</v>
      </c>
      <c r="BK147">
        <v>-75</v>
      </c>
      <c r="BL147" t="s">
        <v>188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 t="shared" si="61"/>
        <v>15:04:56.287</v>
      </c>
      <c r="CF147">
        <v>287440560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133</v>
      </c>
      <c r="DA147">
        <v>275</v>
      </c>
      <c r="DB147">
        <v>0</v>
      </c>
      <c r="DC147" t="s">
        <v>134</v>
      </c>
      <c r="DD147" t="s">
        <v>135</v>
      </c>
      <c r="DG147">
        <v>3317774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"05/01/2025 15:04:56.507"</f>
        <v>05/01/2025 15:04:56.507</v>
      </c>
      <c r="C148" t="str">
        <f t="shared" si="52"/>
        <v>FFDFD3C0</v>
      </c>
      <c r="D148" t="s">
        <v>145</v>
      </c>
      <c r="E148" t="str">
        <f>"05"</f>
        <v>05</v>
      </c>
      <c r="H148">
        <v>47</v>
      </c>
      <c r="I148" t="s">
        <v>146</v>
      </c>
      <c r="J148" t="s">
        <v>138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R148" t="s">
        <v>127</v>
      </c>
      <c r="S148" t="str">
        <f t="shared" si="60"/>
        <v>15:04:56.000</v>
      </c>
      <c r="T148" t="str">
        <f t="shared" si="60"/>
        <v>15:04:56.000</v>
      </c>
      <c r="U148" t="str">
        <f t="shared" si="53"/>
        <v>A68FCB</v>
      </c>
      <c r="V148">
        <v>0</v>
      </c>
      <c r="W148">
        <v>0</v>
      </c>
      <c r="X148">
        <v>2</v>
      </c>
      <c r="Y148">
        <v>0</v>
      </c>
      <c r="AA148">
        <v>1</v>
      </c>
      <c r="AB148">
        <v>8</v>
      </c>
      <c r="AC148">
        <v>3</v>
      </c>
      <c r="AD148">
        <v>0</v>
      </c>
      <c r="AE148">
        <v>9</v>
      </c>
      <c r="AF148" t="s">
        <v>138</v>
      </c>
      <c r="AG148">
        <v>0</v>
      </c>
      <c r="AH148">
        <v>3</v>
      </c>
      <c r="AI148">
        <v>1</v>
      </c>
      <c r="AJ148">
        <v>0</v>
      </c>
      <c r="AK148" t="s">
        <v>195</v>
      </c>
      <c r="AL148">
        <v>38.955503</v>
      </c>
      <c r="AM148" t="s">
        <v>196</v>
      </c>
      <c r="AN148">
        <v>-121.075709</v>
      </c>
      <c r="AO148">
        <v>25</v>
      </c>
      <c r="AP148">
        <v>1700</v>
      </c>
      <c r="AQ148" t="s">
        <v>131</v>
      </c>
      <c r="AR148">
        <v>67</v>
      </c>
      <c r="AS148">
        <v>9</v>
      </c>
      <c r="AT148">
        <v>448</v>
      </c>
      <c r="BB148" t="str">
        <f t="shared" si="54"/>
        <v>1200</v>
      </c>
      <c r="BC148">
        <v>1</v>
      </c>
      <c r="BD148" t="str">
        <f t="shared" si="55"/>
        <v xml:space="preserve">N52156  </v>
      </c>
      <c r="BE148">
        <v>1</v>
      </c>
      <c r="BG148">
        <v>0</v>
      </c>
      <c r="BH148">
        <v>0</v>
      </c>
      <c r="BI148">
        <v>0</v>
      </c>
      <c r="BJ148">
        <v>1625</v>
      </c>
      <c r="BK148">
        <v>-75</v>
      </c>
      <c r="BL148" t="s">
        <v>188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 t="shared" si="61"/>
        <v>15:04:56.287</v>
      </c>
      <c r="CF148">
        <v>287440560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133</v>
      </c>
      <c r="DA148">
        <v>275</v>
      </c>
      <c r="DB148">
        <v>0</v>
      </c>
      <c r="DC148" t="s">
        <v>134</v>
      </c>
      <c r="DD148" t="s">
        <v>135</v>
      </c>
      <c r="DG148">
        <v>3317774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"05/01/2025 15:04:56.509"</f>
        <v>05/01/2025 15:04:56.509</v>
      </c>
      <c r="C149" t="str">
        <f t="shared" si="52"/>
        <v>FFDFD3C0</v>
      </c>
      <c r="D149" t="s">
        <v>145</v>
      </c>
      <c r="E149" t="str">
        <f>"09"</f>
        <v>09</v>
      </c>
      <c r="H149">
        <v>51</v>
      </c>
      <c r="I149" t="s">
        <v>147</v>
      </c>
      <c r="J149" t="s">
        <v>138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R149" t="s">
        <v>127</v>
      </c>
      <c r="S149" t="str">
        <f t="shared" si="60"/>
        <v>15:04:56.000</v>
      </c>
      <c r="T149" t="str">
        <f t="shared" si="60"/>
        <v>15:04:56.000</v>
      </c>
      <c r="U149" t="str">
        <f t="shared" si="53"/>
        <v>A68FCB</v>
      </c>
      <c r="V149">
        <v>0</v>
      </c>
      <c r="W149">
        <v>0</v>
      </c>
      <c r="X149">
        <v>2</v>
      </c>
      <c r="Y149">
        <v>0</v>
      </c>
      <c r="AA149">
        <v>1</v>
      </c>
      <c r="AB149">
        <v>8</v>
      </c>
      <c r="AC149">
        <v>3</v>
      </c>
      <c r="AD149">
        <v>0</v>
      </c>
      <c r="AE149">
        <v>9</v>
      </c>
      <c r="AF149" t="s">
        <v>138</v>
      </c>
      <c r="AG149">
        <v>0</v>
      </c>
      <c r="AH149">
        <v>3</v>
      </c>
      <c r="AI149">
        <v>1</v>
      </c>
      <c r="AJ149">
        <v>0</v>
      </c>
      <c r="AK149" t="s">
        <v>195</v>
      </c>
      <c r="AL149">
        <v>38.955503</v>
      </c>
      <c r="AM149" t="s">
        <v>196</v>
      </c>
      <c r="AN149">
        <v>-121.075709</v>
      </c>
      <c r="AO149">
        <v>25</v>
      </c>
      <c r="AP149">
        <v>1700</v>
      </c>
      <c r="AQ149" t="s">
        <v>131</v>
      </c>
      <c r="AR149">
        <v>67</v>
      </c>
      <c r="AS149">
        <v>9</v>
      </c>
      <c r="AT149">
        <v>448</v>
      </c>
      <c r="BB149" t="str">
        <f t="shared" si="54"/>
        <v>1200</v>
      </c>
      <c r="BC149">
        <v>1</v>
      </c>
      <c r="BD149" t="str">
        <f t="shared" si="55"/>
        <v xml:space="preserve">N52156  </v>
      </c>
      <c r="BE149">
        <v>1</v>
      </c>
      <c r="BG149">
        <v>0</v>
      </c>
      <c r="BH149">
        <v>0</v>
      </c>
      <c r="BI149">
        <v>0</v>
      </c>
      <c r="BJ149">
        <v>1625</v>
      </c>
      <c r="BK149">
        <v>-75</v>
      </c>
      <c r="BL149" t="s">
        <v>188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 t="shared" si="61"/>
        <v>15:04:56.287</v>
      </c>
      <c r="CF149">
        <v>287440560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133</v>
      </c>
      <c r="DA149">
        <v>275</v>
      </c>
      <c r="DB149">
        <v>0</v>
      </c>
      <c r="DC149" t="s">
        <v>134</v>
      </c>
      <c r="DD149" t="s">
        <v>135</v>
      </c>
      <c r="DG149">
        <v>3317774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"05/01/2025 15:04:56.511"</f>
        <v>05/01/2025 15:04:56.511</v>
      </c>
      <c r="C150" t="str">
        <f t="shared" si="52"/>
        <v>FFDFD3C0</v>
      </c>
      <c r="D150" t="s">
        <v>124</v>
      </c>
      <c r="E150" t="str">
        <f>"06"</f>
        <v>06</v>
      </c>
      <c r="F150">
        <v>2006</v>
      </c>
      <c r="G150" t="s">
        <v>125</v>
      </c>
      <c r="J150" t="s">
        <v>126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R150" t="s">
        <v>127</v>
      </c>
      <c r="S150" t="str">
        <f t="shared" si="60"/>
        <v>15:04:56.000</v>
      </c>
      <c r="T150" t="str">
        <f t="shared" si="60"/>
        <v>15:04:56.000</v>
      </c>
      <c r="U150" t="str">
        <f t="shared" si="53"/>
        <v>A68FCB</v>
      </c>
      <c r="V150">
        <v>0</v>
      </c>
      <c r="W150">
        <v>0</v>
      </c>
      <c r="X150">
        <v>2</v>
      </c>
      <c r="Y150">
        <v>0</v>
      </c>
      <c r="AA150">
        <v>1</v>
      </c>
      <c r="AB150">
        <v>8</v>
      </c>
      <c r="AC150">
        <v>3</v>
      </c>
      <c r="AD150">
        <v>0</v>
      </c>
      <c r="AE150">
        <v>9</v>
      </c>
      <c r="AF150" t="s">
        <v>138</v>
      </c>
      <c r="AG150">
        <v>0</v>
      </c>
      <c r="AH150">
        <v>3</v>
      </c>
      <c r="AI150">
        <v>1</v>
      </c>
      <c r="AJ150">
        <v>0</v>
      </c>
      <c r="AK150" t="s">
        <v>195</v>
      </c>
      <c r="AL150">
        <v>38.955503</v>
      </c>
      <c r="AM150" t="s">
        <v>196</v>
      </c>
      <c r="AN150">
        <v>-121.075709</v>
      </c>
      <c r="AO150">
        <v>25</v>
      </c>
      <c r="AP150">
        <v>1700</v>
      </c>
      <c r="AQ150" t="s">
        <v>131</v>
      </c>
      <c r="AR150">
        <v>67</v>
      </c>
      <c r="AS150">
        <v>9</v>
      </c>
      <c r="AT150">
        <v>448</v>
      </c>
      <c r="BB150" t="str">
        <f t="shared" si="54"/>
        <v>1200</v>
      </c>
      <c r="BC150">
        <v>1</v>
      </c>
      <c r="BD150" t="str">
        <f t="shared" si="55"/>
        <v xml:space="preserve">N52156  </v>
      </c>
      <c r="BE150">
        <v>1</v>
      </c>
      <c r="BG150">
        <v>0</v>
      </c>
      <c r="BH150">
        <v>0</v>
      </c>
      <c r="BI150">
        <v>0</v>
      </c>
      <c r="BJ150">
        <v>1625</v>
      </c>
      <c r="BK150">
        <v>-75</v>
      </c>
      <c r="BL150" t="s">
        <v>188</v>
      </c>
      <c r="BM150">
        <v>1</v>
      </c>
      <c r="BN150">
        <v>1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 t="shared" si="61"/>
        <v>15:04:56.287</v>
      </c>
      <c r="CF150">
        <v>287440560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5</v>
      </c>
      <c r="CY150">
        <v>7</v>
      </c>
      <c r="CZ150" t="s">
        <v>133</v>
      </c>
      <c r="DA150">
        <v>275</v>
      </c>
      <c r="DB150">
        <v>0</v>
      </c>
      <c r="DC150" t="s">
        <v>134</v>
      </c>
      <c r="DD150" t="s">
        <v>135</v>
      </c>
      <c r="DG150">
        <v>3317774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"05/01/2025 15:04:56.521"</f>
        <v>05/01/2025 15:04:56.521</v>
      </c>
      <c r="C151" t="str">
        <f t="shared" si="52"/>
        <v>FFDFD3C0</v>
      </c>
      <c r="D151" t="s">
        <v>136</v>
      </c>
      <c r="E151" t="str">
        <f>"20"</f>
        <v>20</v>
      </c>
      <c r="H151">
        <v>400</v>
      </c>
      <c r="I151" t="s">
        <v>137</v>
      </c>
      <c r="J151" t="s">
        <v>138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R151" t="s">
        <v>127</v>
      </c>
      <c r="S151" t="str">
        <f t="shared" si="60"/>
        <v>15:04:56.000</v>
      </c>
      <c r="T151" t="str">
        <f t="shared" si="60"/>
        <v>15:04:56.000</v>
      </c>
      <c r="U151" t="str">
        <f t="shared" si="53"/>
        <v>A68FCB</v>
      </c>
      <c r="V151">
        <v>0</v>
      </c>
      <c r="W151">
        <v>0</v>
      </c>
      <c r="X151">
        <v>2</v>
      </c>
      <c r="Y151">
        <v>0</v>
      </c>
      <c r="AA151">
        <v>1</v>
      </c>
      <c r="AB151">
        <v>8</v>
      </c>
      <c r="AC151">
        <v>3</v>
      </c>
      <c r="AD151">
        <v>0</v>
      </c>
      <c r="AE151">
        <v>9</v>
      </c>
      <c r="AF151" t="s">
        <v>138</v>
      </c>
      <c r="AG151">
        <v>0</v>
      </c>
      <c r="AH151">
        <v>3</v>
      </c>
      <c r="AI151">
        <v>1</v>
      </c>
      <c r="AJ151">
        <v>0</v>
      </c>
      <c r="AK151" t="s">
        <v>195</v>
      </c>
      <c r="AL151">
        <v>38.955503</v>
      </c>
      <c r="AM151" t="s">
        <v>196</v>
      </c>
      <c r="AN151">
        <v>-121.075709</v>
      </c>
      <c r="AO151">
        <v>25</v>
      </c>
      <c r="AP151">
        <v>1700</v>
      </c>
      <c r="AQ151" t="s">
        <v>131</v>
      </c>
      <c r="AR151">
        <v>67</v>
      </c>
      <c r="AS151">
        <v>9</v>
      </c>
      <c r="AT151">
        <v>448</v>
      </c>
      <c r="BB151" t="str">
        <f t="shared" si="54"/>
        <v>1200</v>
      </c>
      <c r="BC151">
        <v>1</v>
      </c>
      <c r="BD151" t="str">
        <f t="shared" si="55"/>
        <v xml:space="preserve">N52156  </v>
      </c>
      <c r="BE151">
        <v>1</v>
      </c>
      <c r="BG151">
        <v>0</v>
      </c>
      <c r="BH151">
        <v>0</v>
      </c>
      <c r="BI151">
        <v>0</v>
      </c>
      <c r="BJ151">
        <v>1625</v>
      </c>
      <c r="BK151">
        <v>-75</v>
      </c>
      <c r="BL151" t="s">
        <v>188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 t="shared" si="61"/>
        <v>15:04:56.287</v>
      </c>
      <c r="CF151">
        <v>287440560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5</v>
      </c>
      <c r="CY151">
        <v>7</v>
      </c>
      <c r="CZ151" t="s">
        <v>133</v>
      </c>
      <c r="DA151">
        <v>275</v>
      </c>
      <c r="DB151">
        <v>0</v>
      </c>
      <c r="DC151" t="s">
        <v>134</v>
      </c>
      <c r="DD151" t="s">
        <v>135</v>
      </c>
      <c r="DG151">
        <v>3317774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"05/01/2025 15:04:58.155"</f>
        <v>05/01/2025 15:04:58.155</v>
      </c>
      <c r="C152" t="str">
        <f t="shared" si="52"/>
        <v>FFDFD3C0</v>
      </c>
      <c r="D152" t="s">
        <v>143</v>
      </c>
      <c r="E152" t="str">
        <f>"05"</f>
        <v>05</v>
      </c>
      <c r="H152">
        <v>172</v>
      </c>
      <c r="I152" t="s">
        <v>141</v>
      </c>
      <c r="J152" t="s">
        <v>144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R152" t="s">
        <v>127</v>
      </c>
      <c r="S152" t="str">
        <f t="shared" ref="S152:T157" si="62">"15:04:57.000"</f>
        <v>15:04:57.000</v>
      </c>
      <c r="T152" t="str">
        <f t="shared" si="62"/>
        <v>15:04:57.000</v>
      </c>
      <c r="U152" t="str">
        <f t="shared" si="53"/>
        <v>A68FCB</v>
      </c>
      <c r="V152">
        <v>0</v>
      </c>
      <c r="W152">
        <v>0</v>
      </c>
      <c r="X152">
        <v>2</v>
      </c>
      <c r="Y152">
        <v>0</v>
      </c>
      <c r="AA152">
        <v>1</v>
      </c>
      <c r="AB152">
        <v>8</v>
      </c>
      <c r="AC152">
        <v>3</v>
      </c>
      <c r="AD152">
        <v>0</v>
      </c>
      <c r="AE152">
        <v>9</v>
      </c>
      <c r="AF152" t="s">
        <v>138</v>
      </c>
      <c r="AG152">
        <v>0</v>
      </c>
      <c r="AH152">
        <v>3</v>
      </c>
      <c r="AI152">
        <v>1</v>
      </c>
      <c r="AJ152">
        <v>0</v>
      </c>
      <c r="AK152" t="s">
        <v>197</v>
      </c>
      <c r="AL152">
        <v>38.955545000000001</v>
      </c>
      <c r="AM152" t="s">
        <v>198</v>
      </c>
      <c r="AN152">
        <v>-121.075301</v>
      </c>
      <c r="AO152">
        <v>25</v>
      </c>
      <c r="AP152">
        <v>1700</v>
      </c>
      <c r="AQ152" t="s">
        <v>131</v>
      </c>
      <c r="AR152">
        <v>64</v>
      </c>
      <c r="AS152">
        <v>7</v>
      </c>
      <c r="AT152">
        <v>256</v>
      </c>
      <c r="BB152" t="str">
        <f t="shared" si="54"/>
        <v>1200</v>
      </c>
      <c r="BC152">
        <v>1</v>
      </c>
      <c r="BD152" t="str">
        <f t="shared" si="55"/>
        <v xml:space="preserve">N52156  </v>
      </c>
      <c r="BE152">
        <v>1</v>
      </c>
      <c r="BG152">
        <v>0</v>
      </c>
      <c r="BH152">
        <v>0</v>
      </c>
      <c r="BI152">
        <v>0</v>
      </c>
      <c r="BJ152">
        <v>1650</v>
      </c>
      <c r="BK152">
        <v>-50</v>
      </c>
      <c r="BL152" t="s">
        <v>188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 t="shared" ref="CE152:CE157" si="63">"15:04:57.930"</f>
        <v>15:04:57.930</v>
      </c>
      <c r="CF152">
        <v>929942571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5</v>
      </c>
      <c r="CY152">
        <v>7</v>
      </c>
      <c r="CZ152" t="s">
        <v>133</v>
      </c>
      <c r="DA152">
        <v>275</v>
      </c>
      <c r="DB152">
        <v>0</v>
      </c>
      <c r="DC152" t="s">
        <v>134</v>
      </c>
      <c r="DD152" t="s">
        <v>135</v>
      </c>
      <c r="DG152">
        <v>3317800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"05/01/2025 15:04:58.161"</f>
        <v>05/01/2025 15:04:58.161</v>
      </c>
      <c r="C153" t="str">
        <f t="shared" si="52"/>
        <v>FFDFD3C0</v>
      </c>
      <c r="D153" t="s">
        <v>145</v>
      </c>
      <c r="E153" t="str">
        <f>"05"</f>
        <v>05</v>
      </c>
      <c r="H153">
        <v>47</v>
      </c>
      <c r="I153" t="s">
        <v>146</v>
      </c>
      <c r="J153" t="s">
        <v>138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R153" t="s">
        <v>127</v>
      </c>
      <c r="S153" t="str">
        <f t="shared" si="62"/>
        <v>15:04:57.000</v>
      </c>
      <c r="T153" t="str">
        <f t="shared" si="62"/>
        <v>15:04:57.000</v>
      </c>
      <c r="U153" t="str">
        <f t="shared" si="53"/>
        <v>A68FCB</v>
      </c>
      <c r="V153">
        <v>0</v>
      </c>
      <c r="W153">
        <v>0</v>
      </c>
      <c r="X153">
        <v>2</v>
      </c>
      <c r="Y153">
        <v>0</v>
      </c>
      <c r="AA153">
        <v>1</v>
      </c>
      <c r="AB153">
        <v>8</v>
      </c>
      <c r="AC153">
        <v>3</v>
      </c>
      <c r="AD153">
        <v>0</v>
      </c>
      <c r="AE153">
        <v>9</v>
      </c>
      <c r="AF153" t="s">
        <v>138</v>
      </c>
      <c r="AG153">
        <v>0</v>
      </c>
      <c r="AH153">
        <v>3</v>
      </c>
      <c r="AI153">
        <v>1</v>
      </c>
      <c r="AJ153">
        <v>0</v>
      </c>
      <c r="AK153" t="s">
        <v>197</v>
      </c>
      <c r="AL153">
        <v>38.955545000000001</v>
      </c>
      <c r="AM153" t="s">
        <v>198</v>
      </c>
      <c r="AN153">
        <v>-121.075301</v>
      </c>
      <c r="AO153">
        <v>25</v>
      </c>
      <c r="AP153">
        <v>1700</v>
      </c>
      <c r="AQ153" t="s">
        <v>131</v>
      </c>
      <c r="AR153">
        <v>64</v>
      </c>
      <c r="AS153">
        <v>7</v>
      </c>
      <c r="AT153">
        <v>256</v>
      </c>
      <c r="BB153" t="str">
        <f t="shared" si="54"/>
        <v>1200</v>
      </c>
      <c r="BC153">
        <v>1</v>
      </c>
      <c r="BD153" t="str">
        <f t="shared" si="55"/>
        <v xml:space="preserve">N52156  </v>
      </c>
      <c r="BE153">
        <v>1</v>
      </c>
      <c r="BG153">
        <v>0</v>
      </c>
      <c r="BH153">
        <v>0</v>
      </c>
      <c r="BI153">
        <v>0</v>
      </c>
      <c r="BJ153">
        <v>1650</v>
      </c>
      <c r="BK153">
        <v>-50</v>
      </c>
      <c r="BL153" t="s">
        <v>188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 t="shared" si="63"/>
        <v>15:04:57.930</v>
      </c>
      <c r="CF153">
        <v>929942571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133</v>
      </c>
      <c r="DA153">
        <v>275</v>
      </c>
      <c r="DB153">
        <v>0</v>
      </c>
      <c r="DC153" t="s">
        <v>134</v>
      </c>
      <c r="DD153" t="s">
        <v>135</v>
      </c>
      <c r="DG153">
        <v>3317800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"05/01/2025 15:04:58.162"</f>
        <v>05/01/2025 15:04:58.162</v>
      </c>
      <c r="C154" t="str">
        <f t="shared" si="52"/>
        <v>FFDFD3C0</v>
      </c>
      <c r="D154" t="s">
        <v>145</v>
      </c>
      <c r="E154" t="str">
        <f>"09"</f>
        <v>09</v>
      </c>
      <c r="H154">
        <v>51</v>
      </c>
      <c r="I154" t="s">
        <v>147</v>
      </c>
      <c r="J154" t="s">
        <v>138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R154" t="s">
        <v>127</v>
      </c>
      <c r="S154" t="str">
        <f t="shared" si="62"/>
        <v>15:04:57.000</v>
      </c>
      <c r="T154" t="str">
        <f t="shared" si="62"/>
        <v>15:04:57.000</v>
      </c>
      <c r="U154" t="str">
        <f t="shared" si="53"/>
        <v>A68FCB</v>
      </c>
      <c r="V154">
        <v>0</v>
      </c>
      <c r="W154">
        <v>0</v>
      </c>
      <c r="X154">
        <v>2</v>
      </c>
      <c r="Y154">
        <v>0</v>
      </c>
      <c r="AA154">
        <v>1</v>
      </c>
      <c r="AB154">
        <v>8</v>
      </c>
      <c r="AC154">
        <v>3</v>
      </c>
      <c r="AD154">
        <v>0</v>
      </c>
      <c r="AE154">
        <v>9</v>
      </c>
      <c r="AF154" t="s">
        <v>138</v>
      </c>
      <c r="AG154">
        <v>0</v>
      </c>
      <c r="AH154">
        <v>3</v>
      </c>
      <c r="AI154">
        <v>1</v>
      </c>
      <c r="AJ154">
        <v>0</v>
      </c>
      <c r="AK154" t="s">
        <v>197</v>
      </c>
      <c r="AL154">
        <v>38.955545000000001</v>
      </c>
      <c r="AM154" t="s">
        <v>198</v>
      </c>
      <c r="AN154">
        <v>-121.075301</v>
      </c>
      <c r="AO154">
        <v>25</v>
      </c>
      <c r="AP154">
        <v>1700</v>
      </c>
      <c r="AQ154" t="s">
        <v>131</v>
      </c>
      <c r="AR154">
        <v>64</v>
      </c>
      <c r="AS154">
        <v>7</v>
      </c>
      <c r="AT154">
        <v>256</v>
      </c>
      <c r="BB154" t="str">
        <f t="shared" si="54"/>
        <v>1200</v>
      </c>
      <c r="BC154">
        <v>1</v>
      </c>
      <c r="BD154" t="str">
        <f t="shared" si="55"/>
        <v xml:space="preserve">N52156  </v>
      </c>
      <c r="BE154">
        <v>1</v>
      </c>
      <c r="BG154">
        <v>0</v>
      </c>
      <c r="BH154">
        <v>0</v>
      </c>
      <c r="BI154">
        <v>0</v>
      </c>
      <c r="BJ154">
        <v>1650</v>
      </c>
      <c r="BK154">
        <v>-50</v>
      </c>
      <c r="BL154" t="s">
        <v>188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 t="shared" si="63"/>
        <v>15:04:57.930</v>
      </c>
      <c r="CF154">
        <v>929942571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133</v>
      </c>
      <c r="DA154">
        <v>275</v>
      </c>
      <c r="DB154">
        <v>0</v>
      </c>
      <c r="DC154" t="s">
        <v>134</v>
      </c>
      <c r="DD154" t="s">
        <v>135</v>
      </c>
      <c r="DG154">
        <v>3317800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"05/01/2025 15:04:58.164"</f>
        <v>05/01/2025 15:04:58.164</v>
      </c>
      <c r="C155" t="str">
        <f t="shared" si="52"/>
        <v>FFDFD3C0</v>
      </c>
      <c r="D155" t="s">
        <v>124</v>
      </c>
      <c r="E155" t="str">
        <f>"06"</f>
        <v>06</v>
      </c>
      <c r="F155">
        <v>2006</v>
      </c>
      <c r="G155" t="s">
        <v>125</v>
      </c>
      <c r="J155" t="s">
        <v>126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R155" t="s">
        <v>127</v>
      </c>
      <c r="S155" t="str">
        <f t="shared" si="62"/>
        <v>15:04:57.000</v>
      </c>
      <c r="T155" t="str">
        <f t="shared" si="62"/>
        <v>15:04:57.000</v>
      </c>
      <c r="U155" t="str">
        <f t="shared" si="53"/>
        <v>A68FCB</v>
      </c>
      <c r="V155">
        <v>0</v>
      </c>
      <c r="W155">
        <v>0</v>
      </c>
      <c r="X155">
        <v>2</v>
      </c>
      <c r="Y155">
        <v>0</v>
      </c>
      <c r="AA155">
        <v>1</v>
      </c>
      <c r="AB155">
        <v>8</v>
      </c>
      <c r="AC155">
        <v>3</v>
      </c>
      <c r="AD155">
        <v>0</v>
      </c>
      <c r="AE155">
        <v>9</v>
      </c>
      <c r="AF155" t="s">
        <v>138</v>
      </c>
      <c r="AG155">
        <v>0</v>
      </c>
      <c r="AH155">
        <v>3</v>
      </c>
      <c r="AI155">
        <v>1</v>
      </c>
      <c r="AJ155">
        <v>0</v>
      </c>
      <c r="AK155" t="s">
        <v>197</v>
      </c>
      <c r="AL155">
        <v>38.955545000000001</v>
      </c>
      <c r="AM155" t="s">
        <v>198</v>
      </c>
      <c r="AN155">
        <v>-121.075301</v>
      </c>
      <c r="AO155">
        <v>25</v>
      </c>
      <c r="AP155">
        <v>1700</v>
      </c>
      <c r="AQ155" t="s">
        <v>131</v>
      </c>
      <c r="AR155">
        <v>64</v>
      </c>
      <c r="AS155">
        <v>7</v>
      </c>
      <c r="AT155">
        <v>256</v>
      </c>
      <c r="BB155" t="str">
        <f t="shared" si="54"/>
        <v>1200</v>
      </c>
      <c r="BC155">
        <v>1</v>
      </c>
      <c r="BD155" t="str">
        <f t="shared" si="55"/>
        <v xml:space="preserve">N52156  </v>
      </c>
      <c r="BE155">
        <v>1</v>
      </c>
      <c r="BG155">
        <v>0</v>
      </c>
      <c r="BH155">
        <v>0</v>
      </c>
      <c r="BI155">
        <v>0</v>
      </c>
      <c r="BJ155">
        <v>1650</v>
      </c>
      <c r="BK155">
        <v>-50</v>
      </c>
      <c r="BL155" t="s">
        <v>188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 t="shared" si="63"/>
        <v>15:04:57.930</v>
      </c>
      <c r="CF155">
        <v>929942571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133</v>
      </c>
      <c r="DA155">
        <v>275</v>
      </c>
      <c r="DB155">
        <v>0</v>
      </c>
      <c r="DC155" t="s">
        <v>134</v>
      </c>
      <c r="DD155" t="s">
        <v>135</v>
      </c>
      <c r="DG155">
        <v>3317800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"05/01/2025 15:04:58.173"</f>
        <v>05/01/2025 15:04:58.173</v>
      </c>
      <c r="C156" t="str">
        <f t="shared" si="52"/>
        <v>FFDFD3C0</v>
      </c>
      <c r="D156" t="s">
        <v>136</v>
      </c>
      <c r="E156" t="str">
        <f>"20"</f>
        <v>20</v>
      </c>
      <c r="H156">
        <v>400</v>
      </c>
      <c r="I156" t="s">
        <v>137</v>
      </c>
      <c r="J156" t="s">
        <v>138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R156" t="s">
        <v>127</v>
      </c>
      <c r="S156" t="str">
        <f t="shared" si="62"/>
        <v>15:04:57.000</v>
      </c>
      <c r="T156" t="str">
        <f t="shared" si="62"/>
        <v>15:04:57.000</v>
      </c>
      <c r="U156" t="str">
        <f t="shared" si="53"/>
        <v>A68FCB</v>
      </c>
      <c r="V156">
        <v>0</v>
      </c>
      <c r="W156">
        <v>0</v>
      </c>
      <c r="X156">
        <v>2</v>
      </c>
      <c r="Y156">
        <v>0</v>
      </c>
      <c r="AA156">
        <v>1</v>
      </c>
      <c r="AB156">
        <v>8</v>
      </c>
      <c r="AC156">
        <v>3</v>
      </c>
      <c r="AD156">
        <v>0</v>
      </c>
      <c r="AE156">
        <v>9</v>
      </c>
      <c r="AF156" t="s">
        <v>138</v>
      </c>
      <c r="AG156">
        <v>0</v>
      </c>
      <c r="AH156">
        <v>3</v>
      </c>
      <c r="AI156">
        <v>1</v>
      </c>
      <c r="AJ156">
        <v>0</v>
      </c>
      <c r="AK156" t="s">
        <v>197</v>
      </c>
      <c r="AL156">
        <v>38.955545000000001</v>
      </c>
      <c r="AM156" t="s">
        <v>198</v>
      </c>
      <c r="AN156">
        <v>-121.075301</v>
      </c>
      <c r="AO156">
        <v>25</v>
      </c>
      <c r="AP156">
        <v>1700</v>
      </c>
      <c r="AQ156" t="s">
        <v>131</v>
      </c>
      <c r="AR156">
        <v>64</v>
      </c>
      <c r="AS156">
        <v>7</v>
      </c>
      <c r="AT156">
        <v>256</v>
      </c>
      <c r="BB156" t="str">
        <f t="shared" si="54"/>
        <v>1200</v>
      </c>
      <c r="BC156">
        <v>1</v>
      </c>
      <c r="BD156" t="str">
        <f t="shared" si="55"/>
        <v xml:space="preserve">N52156  </v>
      </c>
      <c r="BE156">
        <v>1</v>
      </c>
      <c r="BG156">
        <v>0</v>
      </c>
      <c r="BH156">
        <v>0</v>
      </c>
      <c r="BI156">
        <v>0</v>
      </c>
      <c r="BJ156">
        <v>1650</v>
      </c>
      <c r="BK156">
        <v>-50</v>
      </c>
      <c r="BL156" t="s">
        <v>188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 t="shared" si="63"/>
        <v>15:04:57.930</v>
      </c>
      <c r="CF156">
        <v>929942571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133</v>
      </c>
      <c r="DA156">
        <v>275</v>
      </c>
      <c r="DB156">
        <v>0</v>
      </c>
      <c r="DC156" t="s">
        <v>134</v>
      </c>
      <c r="DD156" t="s">
        <v>135</v>
      </c>
      <c r="DG156">
        <v>3317800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"05/01/2025 15:04:58.200"</f>
        <v>05/01/2025 15:04:58.200</v>
      </c>
      <c r="C157" t="str">
        <f t="shared" si="52"/>
        <v>FFDFD3C0</v>
      </c>
      <c r="D157" t="s">
        <v>140</v>
      </c>
      <c r="E157" t="str">
        <f>"13"</f>
        <v>13</v>
      </c>
      <c r="F157">
        <v>1019</v>
      </c>
      <c r="G157" t="s">
        <v>141</v>
      </c>
      <c r="J157" t="s">
        <v>142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R157" t="s">
        <v>127</v>
      </c>
      <c r="S157" t="str">
        <f t="shared" si="62"/>
        <v>15:04:57.000</v>
      </c>
      <c r="T157" t="str">
        <f t="shared" si="62"/>
        <v>15:04:57.000</v>
      </c>
      <c r="U157" t="str">
        <f t="shared" si="53"/>
        <v>A68FCB</v>
      </c>
      <c r="V157">
        <v>0</v>
      </c>
      <c r="W157">
        <v>0</v>
      </c>
      <c r="X157">
        <v>2</v>
      </c>
      <c r="Y157">
        <v>0</v>
      </c>
      <c r="AA157">
        <v>1</v>
      </c>
      <c r="AB157">
        <v>8</v>
      </c>
      <c r="AC157">
        <v>3</v>
      </c>
      <c r="AD157">
        <v>0</v>
      </c>
      <c r="AE157">
        <v>9</v>
      </c>
      <c r="AF157" t="s">
        <v>138</v>
      </c>
      <c r="AG157">
        <v>0</v>
      </c>
      <c r="AH157">
        <v>3</v>
      </c>
      <c r="AI157">
        <v>1</v>
      </c>
      <c r="AJ157">
        <v>0</v>
      </c>
      <c r="AK157" t="s">
        <v>197</v>
      </c>
      <c r="AL157">
        <v>38.955545000000001</v>
      </c>
      <c r="AM157" t="s">
        <v>198</v>
      </c>
      <c r="AN157">
        <v>-121.075301</v>
      </c>
      <c r="AO157">
        <v>25</v>
      </c>
      <c r="AP157">
        <v>1700</v>
      </c>
      <c r="AQ157" t="s">
        <v>131</v>
      </c>
      <c r="AR157">
        <v>64</v>
      </c>
      <c r="AS157">
        <v>7</v>
      </c>
      <c r="AT157">
        <v>256</v>
      </c>
      <c r="BB157" t="str">
        <f t="shared" si="54"/>
        <v>1200</v>
      </c>
      <c r="BC157">
        <v>1</v>
      </c>
      <c r="BD157" t="str">
        <f t="shared" si="55"/>
        <v xml:space="preserve">N52156  </v>
      </c>
      <c r="BE157">
        <v>1</v>
      </c>
      <c r="BG157">
        <v>0</v>
      </c>
      <c r="BH157">
        <v>0</v>
      </c>
      <c r="BI157">
        <v>0</v>
      </c>
      <c r="BJ157">
        <v>1650</v>
      </c>
      <c r="BK157">
        <v>-50</v>
      </c>
      <c r="BL157" t="s">
        <v>188</v>
      </c>
      <c r="BM157">
        <v>1</v>
      </c>
      <c r="BN157">
        <v>1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 t="shared" si="63"/>
        <v>15:04:57.930</v>
      </c>
      <c r="CF157">
        <v>929942571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133</v>
      </c>
      <c r="DA157">
        <v>275</v>
      </c>
      <c r="DB157">
        <v>0</v>
      </c>
      <c r="DC157" t="s">
        <v>134</v>
      </c>
      <c r="DD157" t="s">
        <v>135</v>
      </c>
      <c r="DG157">
        <v>3317800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"05/01/2025 15:04:59.202"</f>
        <v>05/01/2025 15:04:59.202</v>
      </c>
      <c r="C158" t="str">
        <f t="shared" si="52"/>
        <v>FFDFD3C0</v>
      </c>
      <c r="D158" t="s">
        <v>140</v>
      </c>
      <c r="E158" t="str">
        <f>"13"</f>
        <v>13</v>
      </c>
      <c r="F158">
        <v>1019</v>
      </c>
      <c r="G158" t="s">
        <v>141</v>
      </c>
      <c r="J158" t="s">
        <v>142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R158" t="s">
        <v>127</v>
      </c>
      <c r="S158" t="str">
        <f t="shared" ref="S158:T163" si="64">"15:04:58.000"</f>
        <v>15:04:58.000</v>
      </c>
      <c r="T158" t="str">
        <f t="shared" si="64"/>
        <v>15:04:58.000</v>
      </c>
      <c r="U158" t="str">
        <f t="shared" si="53"/>
        <v>A68FCB</v>
      </c>
      <c r="V158">
        <v>0</v>
      </c>
      <c r="W158">
        <v>0</v>
      </c>
      <c r="X158">
        <v>2</v>
      </c>
      <c r="Y158">
        <v>0</v>
      </c>
      <c r="AA158">
        <v>1</v>
      </c>
      <c r="AB158">
        <v>8</v>
      </c>
      <c r="AC158">
        <v>3</v>
      </c>
      <c r="AD158">
        <v>0</v>
      </c>
      <c r="AE158">
        <v>9</v>
      </c>
      <c r="AF158" t="s">
        <v>138</v>
      </c>
      <c r="AG158">
        <v>0</v>
      </c>
      <c r="AH158">
        <v>3</v>
      </c>
      <c r="AI158">
        <v>1</v>
      </c>
      <c r="AJ158">
        <v>0</v>
      </c>
      <c r="AK158" t="s">
        <v>199</v>
      </c>
      <c r="AL158">
        <v>38.955696000000003</v>
      </c>
      <c r="AM158" t="s">
        <v>200</v>
      </c>
      <c r="AN158">
        <v>-121.07482899999999</v>
      </c>
      <c r="AO158">
        <v>25</v>
      </c>
      <c r="AP158">
        <v>1700</v>
      </c>
      <c r="AQ158" t="s">
        <v>131</v>
      </c>
      <c r="AR158">
        <v>65</v>
      </c>
      <c r="AS158">
        <v>5</v>
      </c>
      <c r="AT158">
        <v>384</v>
      </c>
      <c r="BB158" t="str">
        <f t="shared" si="54"/>
        <v>1200</v>
      </c>
      <c r="BC158">
        <v>1</v>
      </c>
      <c r="BD158" t="str">
        <f t="shared" si="55"/>
        <v xml:space="preserve">N52156  </v>
      </c>
      <c r="BE158">
        <v>1</v>
      </c>
      <c r="BG158">
        <v>0</v>
      </c>
      <c r="BH158">
        <v>0</v>
      </c>
      <c r="BI158">
        <v>0</v>
      </c>
      <c r="BJ158">
        <v>1650</v>
      </c>
      <c r="BK158">
        <v>-50</v>
      </c>
      <c r="BL158" t="s">
        <v>188</v>
      </c>
      <c r="BM158">
        <v>1</v>
      </c>
      <c r="BN158">
        <v>1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 t="shared" ref="CE158:CE163" si="65">"15:04:58.965"</f>
        <v>15:04:58.965</v>
      </c>
      <c r="CF158">
        <v>964692745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133</v>
      </c>
      <c r="DA158">
        <v>275</v>
      </c>
      <c r="DB158">
        <v>0</v>
      </c>
      <c r="DC158" t="s">
        <v>134</v>
      </c>
      <c r="DD158" t="s">
        <v>135</v>
      </c>
      <c r="DG158">
        <v>3317816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"05/01/2025 15:04:59.207"</f>
        <v>05/01/2025 15:04:59.207</v>
      </c>
      <c r="C159" t="str">
        <f t="shared" si="52"/>
        <v>FFDFD3C0</v>
      </c>
      <c r="D159" t="s">
        <v>143</v>
      </c>
      <c r="E159" t="str">
        <f>"05"</f>
        <v>05</v>
      </c>
      <c r="H159">
        <v>172</v>
      </c>
      <c r="I159" t="s">
        <v>141</v>
      </c>
      <c r="J159" t="s">
        <v>144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R159" t="s">
        <v>127</v>
      </c>
      <c r="S159" t="str">
        <f t="shared" si="64"/>
        <v>15:04:58.000</v>
      </c>
      <c r="T159" t="str">
        <f t="shared" si="64"/>
        <v>15:04:58.000</v>
      </c>
      <c r="U159" t="str">
        <f t="shared" si="53"/>
        <v>A68FCB</v>
      </c>
      <c r="V159">
        <v>0</v>
      </c>
      <c r="W159">
        <v>0</v>
      </c>
      <c r="X159">
        <v>2</v>
      </c>
      <c r="Y159">
        <v>0</v>
      </c>
      <c r="AA159">
        <v>1</v>
      </c>
      <c r="AB159">
        <v>8</v>
      </c>
      <c r="AC159">
        <v>3</v>
      </c>
      <c r="AD159">
        <v>0</v>
      </c>
      <c r="AE159">
        <v>9</v>
      </c>
      <c r="AF159" t="s">
        <v>138</v>
      </c>
      <c r="AG159">
        <v>0</v>
      </c>
      <c r="AH159">
        <v>3</v>
      </c>
      <c r="AI159">
        <v>1</v>
      </c>
      <c r="AJ159">
        <v>0</v>
      </c>
      <c r="AK159" t="s">
        <v>199</v>
      </c>
      <c r="AL159">
        <v>38.955696000000003</v>
      </c>
      <c r="AM159" t="s">
        <v>200</v>
      </c>
      <c r="AN159">
        <v>-121.07482899999999</v>
      </c>
      <c r="AO159">
        <v>25</v>
      </c>
      <c r="AP159">
        <v>1700</v>
      </c>
      <c r="AQ159" t="s">
        <v>131</v>
      </c>
      <c r="AR159">
        <v>65</v>
      </c>
      <c r="AS159">
        <v>5</v>
      </c>
      <c r="AT159">
        <v>384</v>
      </c>
      <c r="BB159" t="str">
        <f t="shared" si="54"/>
        <v>1200</v>
      </c>
      <c r="BC159">
        <v>1</v>
      </c>
      <c r="BD159" t="str">
        <f t="shared" si="55"/>
        <v xml:space="preserve">N52156  </v>
      </c>
      <c r="BE159">
        <v>1</v>
      </c>
      <c r="BG159">
        <v>0</v>
      </c>
      <c r="BH159">
        <v>0</v>
      </c>
      <c r="BI159">
        <v>0</v>
      </c>
      <c r="BJ159">
        <v>1650</v>
      </c>
      <c r="BK159">
        <v>-50</v>
      </c>
      <c r="BL159" t="s">
        <v>188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 t="shared" si="65"/>
        <v>15:04:58.965</v>
      </c>
      <c r="CF159">
        <v>964692745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133</v>
      </c>
      <c r="DA159">
        <v>275</v>
      </c>
      <c r="DB159">
        <v>0</v>
      </c>
      <c r="DC159" t="s">
        <v>134</v>
      </c>
      <c r="DD159" t="s">
        <v>135</v>
      </c>
      <c r="DG159">
        <v>3317816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"05/01/2025 15:04:59.212"</f>
        <v>05/01/2025 15:04:59.212</v>
      </c>
      <c r="C160" t="str">
        <f t="shared" si="52"/>
        <v>FFDFD3C0</v>
      </c>
      <c r="D160" t="s">
        <v>145</v>
      </c>
      <c r="E160" t="str">
        <f>"05"</f>
        <v>05</v>
      </c>
      <c r="H160">
        <v>47</v>
      </c>
      <c r="I160" t="s">
        <v>146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R160" t="s">
        <v>127</v>
      </c>
      <c r="S160" t="str">
        <f t="shared" si="64"/>
        <v>15:04:58.000</v>
      </c>
      <c r="T160" t="str">
        <f t="shared" si="64"/>
        <v>15:04:58.000</v>
      </c>
      <c r="U160" t="str">
        <f t="shared" si="53"/>
        <v>A68FCB</v>
      </c>
      <c r="V160">
        <v>0</v>
      </c>
      <c r="W160">
        <v>0</v>
      </c>
      <c r="X160">
        <v>2</v>
      </c>
      <c r="Y160">
        <v>0</v>
      </c>
      <c r="AA160">
        <v>1</v>
      </c>
      <c r="AB160">
        <v>8</v>
      </c>
      <c r="AC160">
        <v>3</v>
      </c>
      <c r="AD160">
        <v>0</v>
      </c>
      <c r="AE160">
        <v>9</v>
      </c>
      <c r="AF160" t="s">
        <v>138</v>
      </c>
      <c r="AG160">
        <v>0</v>
      </c>
      <c r="AH160">
        <v>3</v>
      </c>
      <c r="AI160">
        <v>1</v>
      </c>
      <c r="AJ160">
        <v>0</v>
      </c>
      <c r="AK160" t="s">
        <v>199</v>
      </c>
      <c r="AL160">
        <v>38.955696000000003</v>
      </c>
      <c r="AM160" t="s">
        <v>200</v>
      </c>
      <c r="AN160">
        <v>-121.07482899999999</v>
      </c>
      <c r="AO160">
        <v>25</v>
      </c>
      <c r="AP160">
        <v>1700</v>
      </c>
      <c r="AQ160" t="s">
        <v>131</v>
      </c>
      <c r="AR160">
        <v>65</v>
      </c>
      <c r="AS160">
        <v>5</v>
      </c>
      <c r="AT160">
        <v>384</v>
      </c>
      <c r="BB160" t="str">
        <f t="shared" si="54"/>
        <v>1200</v>
      </c>
      <c r="BC160">
        <v>1</v>
      </c>
      <c r="BD160" t="str">
        <f t="shared" si="55"/>
        <v xml:space="preserve">N52156  </v>
      </c>
      <c r="BE160">
        <v>1</v>
      </c>
      <c r="BG160">
        <v>0</v>
      </c>
      <c r="BH160">
        <v>0</v>
      </c>
      <c r="BI160">
        <v>0</v>
      </c>
      <c r="BJ160">
        <v>1650</v>
      </c>
      <c r="BK160">
        <v>-50</v>
      </c>
      <c r="BL160" t="s">
        <v>188</v>
      </c>
      <c r="BM160">
        <v>1</v>
      </c>
      <c r="BN160">
        <v>1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 t="shared" si="65"/>
        <v>15:04:58.965</v>
      </c>
      <c r="CF160">
        <v>964692745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133</v>
      </c>
      <c r="DA160">
        <v>275</v>
      </c>
      <c r="DB160">
        <v>0</v>
      </c>
      <c r="DC160" t="s">
        <v>134</v>
      </c>
      <c r="DD160" t="s">
        <v>135</v>
      </c>
      <c r="DG160">
        <v>3317816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"05/01/2025 15:04:59.214"</f>
        <v>05/01/2025 15:04:59.214</v>
      </c>
      <c r="C161" t="str">
        <f t="shared" si="52"/>
        <v>FFDFD3C0</v>
      </c>
      <c r="D161" t="s">
        <v>145</v>
      </c>
      <c r="E161" t="str">
        <f>"09"</f>
        <v>09</v>
      </c>
      <c r="H161">
        <v>51</v>
      </c>
      <c r="I161" t="s">
        <v>147</v>
      </c>
      <c r="J161" t="s">
        <v>138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R161" t="s">
        <v>127</v>
      </c>
      <c r="S161" t="str">
        <f t="shared" si="64"/>
        <v>15:04:58.000</v>
      </c>
      <c r="T161" t="str">
        <f t="shared" si="64"/>
        <v>15:04:58.000</v>
      </c>
      <c r="U161" t="str">
        <f t="shared" si="53"/>
        <v>A68FCB</v>
      </c>
      <c r="V161">
        <v>0</v>
      </c>
      <c r="W161">
        <v>0</v>
      </c>
      <c r="X161">
        <v>2</v>
      </c>
      <c r="Y161">
        <v>0</v>
      </c>
      <c r="AA161">
        <v>1</v>
      </c>
      <c r="AB161">
        <v>8</v>
      </c>
      <c r="AC161">
        <v>3</v>
      </c>
      <c r="AD161">
        <v>0</v>
      </c>
      <c r="AE161">
        <v>9</v>
      </c>
      <c r="AF161" t="s">
        <v>138</v>
      </c>
      <c r="AG161">
        <v>0</v>
      </c>
      <c r="AH161">
        <v>3</v>
      </c>
      <c r="AI161">
        <v>1</v>
      </c>
      <c r="AJ161">
        <v>0</v>
      </c>
      <c r="AK161" t="s">
        <v>199</v>
      </c>
      <c r="AL161">
        <v>38.955696000000003</v>
      </c>
      <c r="AM161" t="s">
        <v>200</v>
      </c>
      <c r="AN161">
        <v>-121.07482899999999</v>
      </c>
      <c r="AO161">
        <v>25</v>
      </c>
      <c r="AP161">
        <v>1700</v>
      </c>
      <c r="AQ161" t="s">
        <v>131</v>
      </c>
      <c r="AR161">
        <v>65</v>
      </c>
      <c r="AS161">
        <v>5</v>
      </c>
      <c r="AT161">
        <v>384</v>
      </c>
      <c r="BB161" t="str">
        <f t="shared" si="54"/>
        <v>1200</v>
      </c>
      <c r="BC161">
        <v>1</v>
      </c>
      <c r="BD161" t="str">
        <f t="shared" si="55"/>
        <v xml:space="preserve">N52156  </v>
      </c>
      <c r="BE161">
        <v>1</v>
      </c>
      <c r="BG161">
        <v>0</v>
      </c>
      <c r="BH161">
        <v>0</v>
      </c>
      <c r="BI161">
        <v>0</v>
      </c>
      <c r="BJ161">
        <v>1650</v>
      </c>
      <c r="BK161">
        <v>-50</v>
      </c>
      <c r="BL161" t="s">
        <v>188</v>
      </c>
      <c r="BM161">
        <v>1</v>
      </c>
      <c r="BN161">
        <v>1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 t="shared" si="65"/>
        <v>15:04:58.965</v>
      </c>
      <c r="CF161">
        <v>964692745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133</v>
      </c>
      <c r="DA161">
        <v>275</v>
      </c>
      <c r="DB161">
        <v>0</v>
      </c>
      <c r="DC161" t="s">
        <v>134</v>
      </c>
      <c r="DD161" t="s">
        <v>135</v>
      </c>
      <c r="DG161">
        <v>3317816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"05/01/2025 15:04:59.216"</f>
        <v>05/01/2025 15:04:59.216</v>
      </c>
      <c r="C162" t="str">
        <f t="shared" si="52"/>
        <v>FFDFD3C0</v>
      </c>
      <c r="D162" t="s">
        <v>124</v>
      </c>
      <c r="E162" t="str">
        <f>"06"</f>
        <v>06</v>
      </c>
      <c r="F162">
        <v>2006</v>
      </c>
      <c r="G162" t="s">
        <v>125</v>
      </c>
      <c r="J162" t="s">
        <v>126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R162" t="s">
        <v>127</v>
      </c>
      <c r="S162" t="str">
        <f t="shared" si="64"/>
        <v>15:04:58.000</v>
      </c>
      <c r="T162" t="str">
        <f t="shared" si="64"/>
        <v>15:04:58.000</v>
      </c>
      <c r="U162" t="str">
        <f t="shared" si="53"/>
        <v>A68FCB</v>
      </c>
      <c r="V162">
        <v>0</v>
      </c>
      <c r="W162">
        <v>0</v>
      </c>
      <c r="X162">
        <v>2</v>
      </c>
      <c r="Y162">
        <v>0</v>
      </c>
      <c r="AA162">
        <v>1</v>
      </c>
      <c r="AB162">
        <v>8</v>
      </c>
      <c r="AC162">
        <v>3</v>
      </c>
      <c r="AD162">
        <v>0</v>
      </c>
      <c r="AE162">
        <v>9</v>
      </c>
      <c r="AF162" t="s">
        <v>138</v>
      </c>
      <c r="AG162">
        <v>0</v>
      </c>
      <c r="AH162">
        <v>3</v>
      </c>
      <c r="AI162">
        <v>1</v>
      </c>
      <c r="AJ162">
        <v>0</v>
      </c>
      <c r="AK162" t="s">
        <v>199</v>
      </c>
      <c r="AL162">
        <v>38.955696000000003</v>
      </c>
      <c r="AM162" t="s">
        <v>200</v>
      </c>
      <c r="AN162">
        <v>-121.07482899999999</v>
      </c>
      <c r="AO162">
        <v>25</v>
      </c>
      <c r="AP162">
        <v>1700</v>
      </c>
      <c r="AQ162" t="s">
        <v>131</v>
      </c>
      <c r="AR162">
        <v>65</v>
      </c>
      <c r="AS162">
        <v>5</v>
      </c>
      <c r="AT162">
        <v>384</v>
      </c>
      <c r="BB162" t="str">
        <f t="shared" si="54"/>
        <v>1200</v>
      </c>
      <c r="BC162">
        <v>1</v>
      </c>
      <c r="BD162" t="str">
        <f t="shared" si="55"/>
        <v xml:space="preserve">N52156  </v>
      </c>
      <c r="BE162">
        <v>1</v>
      </c>
      <c r="BG162">
        <v>0</v>
      </c>
      <c r="BH162">
        <v>0</v>
      </c>
      <c r="BI162">
        <v>0</v>
      </c>
      <c r="BJ162">
        <v>1650</v>
      </c>
      <c r="BK162">
        <v>-50</v>
      </c>
      <c r="BL162" t="s">
        <v>188</v>
      </c>
      <c r="BM162">
        <v>1</v>
      </c>
      <c r="BN162">
        <v>1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 t="shared" si="65"/>
        <v>15:04:58.965</v>
      </c>
      <c r="CF162">
        <v>964692745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133</v>
      </c>
      <c r="DA162">
        <v>275</v>
      </c>
      <c r="DB162">
        <v>0</v>
      </c>
      <c r="DC162" t="s">
        <v>134</v>
      </c>
      <c r="DD162" t="s">
        <v>135</v>
      </c>
      <c r="DG162">
        <v>3317816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"05/01/2025 15:04:59.225"</f>
        <v>05/01/2025 15:04:59.225</v>
      </c>
      <c r="C163" t="str">
        <f t="shared" si="52"/>
        <v>FFDFD3C0</v>
      </c>
      <c r="D163" t="s">
        <v>136</v>
      </c>
      <c r="E163" t="str">
        <f>"20"</f>
        <v>20</v>
      </c>
      <c r="H163">
        <v>400</v>
      </c>
      <c r="I163" t="s">
        <v>137</v>
      </c>
      <c r="J163" t="s">
        <v>138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R163" t="s">
        <v>127</v>
      </c>
      <c r="S163" t="str">
        <f t="shared" si="64"/>
        <v>15:04:58.000</v>
      </c>
      <c r="T163" t="str">
        <f t="shared" si="64"/>
        <v>15:04:58.000</v>
      </c>
      <c r="U163" t="str">
        <f t="shared" si="53"/>
        <v>A68FCB</v>
      </c>
      <c r="V163">
        <v>0</v>
      </c>
      <c r="W163">
        <v>0</v>
      </c>
      <c r="X163">
        <v>2</v>
      </c>
      <c r="Y163">
        <v>0</v>
      </c>
      <c r="AA163">
        <v>1</v>
      </c>
      <c r="AB163">
        <v>8</v>
      </c>
      <c r="AC163">
        <v>3</v>
      </c>
      <c r="AD163">
        <v>0</v>
      </c>
      <c r="AE163">
        <v>9</v>
      </c>
      <c r="AF163" t="s">
        <v>138</v>
      </c>
      <c r="AG163">
        <v>0</v>
      </c>
      <c r="AH163">
        <v>3</v>
      </c>
      <c r="AI163">
        <v>1</v>
      </c>
      <c r="AJ163">
        <v>0</v>
      </c>
      <c r="AK163" t="s">
        <v>199</v>
      </c>
      <c r="AL163">
        <v>38.955696000000003</v>
      </c>
      <c r="AM163" t="s">
        <v>200</v>
      </c>
      <c r="AN163">
        <v>-121.07482899999999</v>
      </c>
      <c r="AO163">
        <v>25</v>
      </c>
      <c r="AP163">
        <v>1700</v>
      </c>
      <c r="AQ163" t="s">
        <v>131</v>
      </c>
      <c r="AR163">
        <v>65</v>
      </c>
      <c r="AS163">
        <v>5</v>
      </c>
      <c r="AT163">
        <v>384</v>
      </c>
      <c r="BB163" t="str">
        <f t="shared" si="54"/>
        <v>1200</v>
      </c>
      <c r="BC163">
        <v>1</v>
      </c>
      <c r="BD163" t="str">
        <f t="shared" si="55"/>
        <v xml:space="preserve">N52156  </v>
      </c>
      <c r="BE163">
        <v>1</v>
      </c>
      <c r="BG163">
        <v>0</v>
      </c>
      <c r="BH163">
        <v>0</v>
      </c>
      <c r="BI163">
        <v>0</v>
      </c>
      <c r="BJ163">
        <v>1650</v>
      </c>
      <c r="BK163">
        <v>-50</v>
      </c>
      <c r="BL163" t="s">
        <v>188</v>
      </c>
      <c r="BM163">
        <v>1</v>
      </c>
      <c r="BN163">
        <v>1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 t="shared" si="65"/>
        <v>15:04:58.965</v>
      </c>
      <c r="CF163">
        <v>964692745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133</v>
      </c>
      <c r="DA163">
        <v>275</v>
      </c>
      <c r="DB163">
        <v>0</v>
      </c>
      <c r="DC163" t="s">
        <v>134</v>
      </c>
      <c r="DD163" t="s">
        <v>135</v>
      </c>
      <c r="DG163">
        <v>3317816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"05/01/2025 15:04:59.413"</f>
        <v>05/01/2025 15:04:59.413</v>
      </c>
      <c r="C164" t="str">
        <f t="shared" si="52"/>
        <v>FFDFD3C0</v>
      </c>
      <c r="D164" t="s">
        <v>145</v>
      </c>
      <c r="E164" t="str">
        <f>"05"</f>
        <v>05</v>
      </c>
      <c r="H164">
        <v>47</v>
      </c>
      <c r="I164" t="s">
        <v>146</v>
      </c>
      <c r="J164" t="s">
        <v>138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R164" t="s">
        <v>127</v>
      </c>
      <c r="S164" t="str">
        <f t="shared" ref="S164:T169" si="66">"15:04:59.000"</f>
        <v>15:04:59.000</v>
      </c>
      <c r="T164" t="str">
        <f t="shared" si="66"/>
        <v>15:04:59.000</v>
      </c>
      <c r="U164" t="str">
        <f t="shared" si="53"/>
        <v>A68FCB</v>
      </c>
      <c r="V164">
        <v>0</v>
      </c>
      <c r="W164">
        <v>0</v>
      </c>
      <c r="X164">
        <v>2</v>
      </c>
      <c r="Y164">
        <v>0</v>
      </c>
      <c r="AA164">
        <v>1</v>
      </c>
      <c r="AB164">
        <v>8</v>
      </c>
      <c r="AC164">
        <v>3</v>
      </c>
      <c r="AD164">
        <v>0</v>
      </c>
      <c r="AE164">
        <v>9</v>
      </c>
      <c r="AF164" t="s">
        <v>138</v>
      </c>
      <c r="AG164">
        <v>0</v>
      </c>
      <c r="AH164">
        <v>3</v>
      </c>
      <c r="AI164">
        <v>1</v>
      </c>
      <c r="AJ164">
        <v>0</v>
      </c>
      <c r="AK164" t="s">
        <v>201</v>
      </c>
      <c r="AL164">
        <v>38.955587999999999</v>
      </c>
      <c r="AM164" t="s">
        <v>202</v>
      </c>
      <c r="AN164">
        <v>-121.074529</v>
      </c>
      <c r="AO164">
        <v>25</v>
      </c>
      <c r="AP164">
        <v>1700</v>
      </c>
      <c r="AQ164" t="s">
        <v>131</v>
      </c>
      <c r="AR164">
        <v>65</v>
      </c>
      <c r="AS164">
        <v>5</v>
      </c>
      <c r="AT164">
        <v>384</v>
      </c>
      <c r="BB164" t="str">
        <f t="shared" si="54"/>
        <v>1200</v>
      </c>
      <c r="BC164">
        <v>1</v>
      </c>
      <c r="BD164" t="str">
        <f t="shared" si="55"/>
        <v xml:space="preserve">N52156  </v>
      </c>
      <c r="BE164">
        <v>1</v>
      </c>
      <c r="BG164">
        <v>0</v>
      </c>
      <c r="BH164">
        <v>0</v>
      </c>
      <c r="BI164">
        <v>0</v>
      </c>
      <c r="BJ164">
        <v>1650</v>
      </c>
      <c r="BK164">
        <v>-50</v>
      </c>
      <c r="BL164" t="s">
        <v>188</v>
      </c>
      <c r="BM164">
        <v>1</v>
      </c>
      <c r="BN164">
        <v>1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 t="shared" ref="CE164:CE169" si="67">"15:04:59.216"</f>
        <v>15:04:59.216</v>
      </c>
      <c r="CF164">
        <v>216190943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133</v>
      </c>
      <c r="DA164">
        <v>275</v>
      </c>
      <c r="DB164">
        <v>0</v>
      </c>
      <c r="DC164" t="s">
        <v>134</v>
      </c>
      <c r="DD164" t="s">
        <v>135</v>
      </c>
      <c r="DG164">
        <v>3317822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"05/01/2025 15:04:59.414"</f>
        <v>05/01/2025 15:04:59.414</v>
      </c>
      <c r="C165" t="str">
        <f t="shared" si="52"/>
        <v>FFDFD3C0</v>
      </c>
      <c r="D165" t="s">
        <v>145</v>
      </c>
      <c r="E165" t="str">
        <f>"09"</f>
        <v>09</v>
      </c>
      <c r="H165">
        <v>51</v>
      </c>
      <c r="I165" t="s">
        <v>147</v>
      </c>
      <c r="J165" t="s">
        <v>138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R165" t="s">
        <v>127</v>
      </c>
      <c r="S165" t="str">
        <f t="shared" si="66"/>
        <v>15:04:59.000</v>
      </c>
      <c r="T165" t="str">
        <f t="shared" si="66"/>
        <v>15:04:59.000</v>
      </c>
      <c r="U165" t="str">
        <f t="shared" si="53"/>
        <v>A68FCB</v>
      </c>
      <c r="V165">
        <v>0</v>
      </c>
      <c r="W165">
        <v>0</v>
      </c>
      <c r="X165">
        <v>2</v>
      </c>
      <c r="Y165">
        <v>0</v>
      </c>
      <c r="AA165">
        <v>1</v>
      </c>
      <c r="AB165">
        <v>8</v>
      </c>
      <c r="AC165">
        <v>3</v>
      </c>
      <c r="AD165">
        <v>0</v>
      </c>
      <c r="AE165">
        <v>9</v>
      </c>
      <c r="AF165" t="s">
        <v>138</v>
      </c>
      <c r="AG165">
        <v>0</v>
      </c>
      <c r="AH165">
        <v>3</v>
      </c>
      <c r="AI165">
        <v>1</v>
      </c>
      <c r="AJ165">
        <v>0</v>
      </c>
      <c r="AK165" t="s">
        <v>201</v>
      </c>
      <c r="AL165">
        <v>38.955587999999999</v>
      </c>
      <c r="AM165" t="s">
        <v>202</v>
      </c>
      <c r="AN165">
        <v>-121.074529</v>
      </c>
      <c r="AO165">
        <v>25</v>
      </c>
      <c r="AP165">
        <v>1700</v>
      </c>
      <c r="AQ165" t="s">
        <v>131</v>
      </c>
      <c r="AR165">
        <v>65</v>
      </c>
      <c r="AS165">
        <v>5</v>
      </c>
      <c r="AT165">
        <v>384</v>
      </c>
      <c r="BB165" t="str">
        <f t="shared" si="54"/>
        <v>1200</v>
      </c>
      <c r="BC165">
        <v>1</v>
      </c>
      <c r="BD165" t="str">
        <f t="shared" si="55"/>
        <v xml:space="preserve">N52156  </v>
      </c>
      <c r="BE165">
        <v>1</v>
      </c>
      <c r="BG165">
        <v>0</v>
      </c>
      <c r="BH165">
        <v>0</v>
      </c>
      <c r="BI165">
        <v>0</v>
      </c>
      <c r="BJ165">
        <v>1650</v>
      </c>
      <c r="BK165">
        <v>-50</v>
      </c>
      <c r="BL165" t="s">
        <v>188</v>
      </c>
      <c r="BM165">
        <v>1</v>
      </c>
      <c r="BN165">
        <v>1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 t="shared" si="67"/>
        <v>15:04:59.216</v>
      </c>
      <c r="CF165">
        <v>216190943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133</v>
      </c>
      <c r="DA165">
        <v>275</v>
      </c>
      <c r="DB165">
        <v>0</v>
      </c>
      <c r="DC165" t="s">
        <v>134</v>
      </c>
      <c r="DD165" t="s">
        <v>135</v>
      </c>
      <c r="DG165">
        <v>3317822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"05/01/2025 15:04:59.417"</f>
        <v>05/01/2025 15:04:59.417</v>
      </c>
      <c r="C166" t="str">
        <f t="shared" si="52"/>
        <v>FFDFD3C0</v>
      </c>
      <c r="D166" t="s">
        <v>124</v>
      </c>
      <c r="E166" t="str">
        <f>"06"</f>
        <v>06</v>
      </c>
      <c r="F166">
        <v>2006</v>
      </c>
      <c r="G166" t="s">
        <v>125</v>
      </c>
      <c r="J166" t="s">
        <v>126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R166" t="s">
        <v>127</v>
      </c>
      <c r="S166" t="str">
        <f t="shared" si="66"/>
        <v>15:04:59.000</v>
      </c>
      <c r="T166" t="str">
        <f t="shared" si="66"/>
        <v>15:04:59.000</v>
      </c>
      <c r="U166" t="str">
        <f t="shared" si="53"/>
        <v>A68FCB</v>
      </c>
      <c r="V166">
        <v>0</v>
      </c>
      <c r="W166">
        <v>0</v>
      </c>
      <c r="X166">
        <v>2</v>
      </c>
      <c r="Y166">
        <v>0</v>
      </c>
      <c r="AA166">
        <v>1</v>
      </c>
      <c r="AB166">
        <v>8</v>
      </c>
      <c r="AC166">
        <v>3</v>
      </c>
      <c r="AD166">
        <v>0</v>
      </c>
      <c r="AE166">
        <v>9</v>
      </c>
      <c r="AF166" t="s">
        <v>138</v>
      </c>
      <c r="AG166">
        <v>0</v>
      </c>
      <c r="AH166">
        <v>3</v>
      </c>
      <c r="AI166">
        <v>1</v>
      </c>
      <c r="AJ166">
        <v>0</v>
      </c>
      <c r="AK166" t="s">
        <v>201</v>
      </c>
      <c r="AL166">
        <v>38.955587999999999</v>
      </c>
      <c r="AM166" t="s">
        <v>202</v>
      </c>
      <c r="AN166">
        <v>-121.074529</v>
      </c>
      <c r="AO166">
        <v>25</v>
      </c>
      <c r="AP166">
        <v>1700</v>
      </c>
      <c r="AQ166" t="s">
        <v>131</v>
      </c>
      <c r="AR166">
        <v>65</v>
      </c>
      <c r="AS166">
        <v>5</v>
      </c>
      <c r="AT166">
        <v>384</v>
      </c>
      <c r="BB166" t="str">
        <f t="shared" si="54"/>
        <v>1200</v>
      </c>
      <c r="BC166">
        <v>1</v>
      </c>
      <c r="BD166" t="str">
        <f t="shared" si="55"/>
        <v xml:space="preserve">N52156  </v>
      </c>
      <c r="BE166">
        <v>1</v>
      </c>
      <c r="BG166">
        <v>0</v>
      </c>
      <c r="BH166">
        <v>0</v>
      </c>
      <c r="BI166">
        <v>0</v>
      </c>
      <c r="BJ166">
        <v>1650</v>
      </c>
      <c r="BK166">
        <v>-50</v>
      </c>
      <c r="BL166" t="s">
        <v>188</v>
      </c>
      <c r="BM166">
        <v>1</v>
      </c>
      <c r="BN166">
        <v>1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 t="shared" si="67"/>
        <v>15:04:59.216</v>
      </c>
      <c r="CF166">
        <v>216190943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133</v>
      </c>
      <c r="DA166">
        <v>275</v>
      </c>
      <c r="DB166">
        <v>0</v>
      </c>
      <c r="DC166" t="s">
        <v>134</v>
      </c>
      <c r="DD166" t="s">
        <v>135</v>
      </c>
      <c r="DG166">
        <v>3317822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"05/01/2025 15:04:59.425"</f>
        <v>05/01/2025 15:04:59.425</v>
      </c>
      <c r="C167" t="str">
        <f t="shared" si="52"/>
        <v>FFDFD3C0</v>
      </c>
      <c r="D167" t="s">
        <v>136</v>
      </c>
      <c r="E167" t="str">
        <f>"20"</f>
        <v>20</v>
      </c>
      <c r="H167">
        <v>400</v>
      </c>
      <c r="I167" t="s">
        <v>137</v>
      </c>
      <c r="J167" t="s">
        <v>138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R167" t="s">
        <v>127</v>
      </c>
      <c r="S167" t="str">
        <f t="shared" si="66"/>
        <v>15:04:59.000</v>
      </c>
      <c r="T167" t="str">
        <f t="shared" si="66"/>
        <v>15:04:59.000</v>
      </c>
      <c r="U167" t="str">
        <f t="shared" si="53"/>
        <v>A68FCB</v>
      </c>
      <c r="V167">
        <v>0</v>
      </c>
      <c r="W167">
        <v>0</v>
      </c>
      <c r="X167">
        <v>2</v>
      </c>
      <c r="Y167">
        <v>0</v>
      </c>
      <c r="AA167">
        <v>1</v>
      </c>
      <c r="AB167">
        <v>8</v>
      </c>
      <c r="AC167">
        <v>3</v>
      </c>
      <c r="AD167">
        <v>0</v>
      </c>
      <c r="AE167">
        <v>9</v>
      </c>
      <c r="AF167" t="s">
        <v>138</v>
      </c>
      <c r="AG167">
        <v>0</v>
      </c>
      <c r="AH167">
        <v>3</v>
      </c>
      <c r="AI167">
        <v>1</v>
      </c>
      <c r="AJ167">
        <v>0</v>
      </c>
      <c r="AK167" t="s">
        <v>201</v>
      </c>
      <c r="AL167">
        <v>38.955587999999999</v>
      </c>
      <c r="AM167" t="s">
        <v>202</v>
      </c>
      <c r="AN167">
        <v>-121.074529</v>
      </c>
      <c r="AO167">
        <v>25</v>
      </c>
      <c r="AP167">
        <v>1700</v>
      </c>
      <c r="AQ167" t="s">
        <v>131</v>
      </c>
      <c r="AR167">
        <v>65</v>
      </c>
      <c r="AS167">
        <v>5</v>
      </c>
      <c r="AT167">
        <v>384</v>
      </c>
      <c r="BB167" t="str">
        <f t="shared" si="54"/>
        <v>1200</v>
      </c>
      <c r="BC167">
        <v>1</v>
      </c>
      <c r="BD167" t="str">
        <f t="shared" si="55"/>
        <v xml:space="preserve">N52156  </v>
      </c>
      <c r="BE167">
        <v>1</v>
      </c>
      <c r="BG167">
        <v>0</v>
      </c>
      <c r="BH167">
        <v>0</v>
      </c>
      <c r="BI167">
        <v>0</v>
      </c>
      <c r="BJ167">
        <v>1650</v>
      </c>
      <c r="BK167">
        <v>-50</v>
      </c>
      <c r="BL167" t="s">
        <v>188</v>
      </c>
      <c r="BM167">
        <v>1</v>
      </c>
      <c r="BN167">
        <v>1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 t="shared" si="67"/>
        <v>15:04:59.216</v>
      </c>
      <c r="CF167">
        <v>216190943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133</v>
      </c>
      <c r="DA167">
        <v>275</v>
      </c>
      <c r="DB167">
        <v>0</v>
      </c>
      <c r="DC167" t="s">
        <v>134</v>
      </c>
      <c r="DD167" t="s">
        <v>135</v>
      </c>
      <c r="DG167">
        <v>3317822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"05/01/2025 15:04:59.452"</f>
        <v>05/01/2025 15:04:59.452</v>
      </c>
      <c r="C168" t="str">
        <f t="shared" si="52"/>
        <v>FFDFD3C0</v>
      </c>
      <c r="D168" t="s">
        <v>140</v>
      </c>
      <c r="E168" t="str">
        <f>"13"</f>
        <v>13</v>
      </c>
      <c r="F168">
        <v>1019</v>
      </c>
      <c r="G168" t="s">
        <v>141</v>
      </c>
      <c r="J168" t="s">
        <v>142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R168" t="s">
        <v>127</v>
      </c>
      <c r="S168" t="str">
        <f t="shared" si="66"/>
        <v>15:04:59.000</v>
      </c>
      <c r="T168" t="str">
        <f t="shared" si="66"/>
        <v>15:04:59.000</v>
      </c>
      <c r="U168" t="str">
        <f t="shared" si="53"/>
        <v>A68FCB</v>
      </c>
      <c r="V168">
        <v>0</v>
      </c>
      <c r="W168">
        <v>0</v>
      </c>
      <c r="X168">
        <v>2</v>
      </c>
      <c r="Y168">
        <v>0</v>
      </c>
      <c r="AA168">
        <v>1</v>
      </c>
      <c r="AB168">
        <v>8</v>
      </c>
      <c r="AC168">
        <v>3</v>
      </c>
      <c r="AD168">
        <v>0</v>
      </c>
      <c r="AE168">
        <v>9</v>
      </c>
      <c r="AF168" t="s">
        <v>138</v>
      </c>
      <c r="AG168">
        <v>0</v>
      </c>
      <c r="AH168">
        <v>3</v>
      </c>
      <c r="AI168">
        <v>1</v>
      </c>
      <c r="AJ168">
        <v>0</v>
      </c>
      <c r="AK168" t="s">
        <v>201</v>
      </c>
      <c r="AL168">
        <v>38.955587999999999</v>
      </c>
      <c r="AM168" t="s">
        <v>202</v>
      </c>
      <c r="AN168">
        <v>-121.074529</v>
      </c>
      <c r="AO168">
        <v>25</v>
      </c>
      <c r="AP168">
        <v>1700</v>
      </c>
      <c r="AQ168" t="s">
        <v>131</v>
      </c>
      <c r="AR168">
        <v>65</v>
      </c>
      <c r="AS168">
        <v>5</v>
      </c>
      <c r="AT168">
        <v>384</v>
      </c>
      <c r="BB168" t="str">
        <f t="shared" si="54"/>
        <v>1200</v>
      </c>
      <c r="BC168">
        <v>1</v>
      </c>
      <c r="BD168" t="str">
        <f t="shared" si="55"/>
        <v xml:space="preserve">N52156  </v>
      </c>
      <c r="BE168">
        <v>1</v>
      </c>
      <c r="BG168">
        <v>0</v>
      </c>
      <c r="BH168">
        <v>0</v>
      </c>
      <c r="BI168">
        <v>0</v>
      </c>
      <c r="BJ168">
        <v>1650</v>
      </c>
      <c r="BK168">
        <v>-50</v>
      </c>
      <c r="BL168" t="s">
        <v>188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 t="shared" si="67"/>
        <v>15:04:59.216</v>
      </c>
      <c r="CF168">
        <v>216190943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133</v>
      </c>
      <c r="DA168">
        <v>275</v>
      </c>
      <c r="DB168">
        <v>0</v>
      </c>
      <c r="DC168" t="s">
        <v>134</v>
      </c>
      <c r="DD168" t="s">
        <v>135</v>
      </c>
      <c r="DG168">
        <v>3317822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"05/01/2025 15:04:59.457"</f>
        <v>05/01/2025 15:04:59.457</v>
      </c>
      <c r="C169" t="str">
        <f t="shared" si="52"/>
        <v>FFDFD3C0</v>
      </c>
      <c r="D169" t="s">
        <v>143</v>
      </c>
      <c r="E169" t="str">
        <f>"05"</f>
        <v>05</v>
      </c>
      <c r="H169">
        <v>172</v>
      </c>
      <c r="I169" t="s">
        <v>141</v>
      </c>
      <c r="J169" t="s">
        <v>144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R169" t="s">
        <v>127</v>
      </c>
      <c r="S169" t="str">
        <f t="shared" si="66"/>
        <v>15:04:59.000</v>
      </c>
      <c r="T169" t="str">
        <f t="shared" si="66"/>
        <v>15:04:59.000</v>
      </c>
      <c r="U169" t="str">
        <f t="shared" si="53"/>
        <v>A68FCB</v>
      </c>
      <c r="V169">
        <v>0</v>
      </c>
      <c r="W169">
        <v>0</v>
      </c>
      <c r="X169">
        <v>2</v>
      </c>
      <c r="Y169">
        <v>0</v>
      </c>
      <c r="AA169">
        <v>1</v>
      </c>
      <c r="AB169">
        <v>8</v>
      </c>
      <c r="AC169">
        <v>3</v>
      </c>
      <c r="AD169">
        <v>0</v>
      </c>
      <c r="AE169">
        <v>9</v>
      </c>
      <c r="AF169" t="s">
        <v>138</v>
      </c>
      <c r="AG169">
        <v>0</v>
      </c>
      <c r="AH169">
        <v>3</v>
      </c>
      <c r="AI169">
        <v>1</v>
      </c>
      <c r="AJ169">
        <v>0</v>
      </c>
      <c r="AK169" t="s">
        <v>201</v>
      </c>
      <c r="AL169">
        <v>38.955587999999999</v>
      </c>
      <c r="AM169" t="s">
        <v>202</v>
      </c>
      <c r="AN169">
        <v>-121.074529</v>
      </c>
      <c r="AO169">
        <v>25</v>
      </c>
      <c r="AP169">
        <v>1700</v>
      </c>
      <c r="AQ169" t="s">
        <v>131</v>
      </c>
      <c r="AR169">
        <v>65</v>
      </c>
      <c r="AS169">
        <v>5</v>
      </c>
      <c r="AT169">
        <v>384</v>
      </c>
      <c r="BB169" t="str">
        <f t="shared" si="54"/>
        <v>1200</v>
      </c>
      <c r="BC169">
        <v>1</v>
      </c>
      <c r="BD169" t="str">
        <f t="shared" si="55"/>
        <v xml:space="preserve">N52156  </v>
      </c>
      <c r="BE169">
        <v>1</v>
      </c>
      <c r="BG169">
        <v>0</v>
      </c>
      <c r="BH169">
        <v>0</v>
      </c>
      <c r="BI169">
        <v>0</v>
      </c>
      <c r="BJ169">
        <v>1650</v>
      </c>
      <c r="BK169">
        <v>-50</v>
      </c>
      <c r="BL169" t="s">
        <v>188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 t="shared" si="67"/>
        <v>15:04:59.216</v>
      </c>
      <c r="CF169">
        <v>216190943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133</v>
      </c>
      <c r="DA169">
        <v>275</v>
      </c>
      <c r="DB169">
        <v>0</v>
      </c>
      <c r="DC169" t="s">
        <v>134</v>
      </c>
      <c r="DD169" t="s">
        <v>135</v>
      </c>
      <c r="DG169">
        <v>3317822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"05/01/2025 15:05:00.665"</f>
        <v>05/01/2025 15:05:00.665</v>
      </c>
      <c r="C170" t="str">
        <f t="shared" si="52"/>
        <v>FFDFD3C0</v>
      </c>
      <c r="D170" t="s">
        <v>145</v>
      </c>
      <c r="E170" t="str">
        <f>"05"</f>
        <v>05</v>
      </c>
      <c r="H170">
        <v>47</v>
      </c>
      <c r="I170" t="s">
        <v>146</v>
      </c>
      <c r="J170" t="s">
        <v>138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R170" t="s">
        <v>127</v>
      </c>
      <c r="S170" t="str">
        <f t="shared" ref="S170:T175" si="68">"15:05:00.000"</f>
        <v>15:05:00.000</v>
      </c>
      <c r="T170" t="str">
        <f t="shared" si="68"/>
        <v>15:05:00.000</v>
      </c>
      <c r="U170" t="str">
        <f t="shared" si="53"/>
        <v>A68FCB</v>
      </c>
      <c r="V170">
        <v>0</v>
      </c>
      <c r="W170">
        <v>0</v>
      </c>
      <c r="X170">
        <v>2</v>
      </c>
      <c r="Y170">
        <v>0</v>
      </c>
      <c r="AA170">
        <v>1</v>
      </c>
      <c r="AB170">
        <v>8</v>
      </c>
      <c r="AC170">
        <v>3</v>
      </c>
      <c r="AD170">
        <v>0</v>
      </c>
      <c r="AE170">
        <v>9</v>
      </c>
      <c r="AF170" t="s">
        <v>138</v>
      </c>
      <c r="AG170">
        <v>0</v>
      </c>
      <c r="AH170">
        <v>3</v>
      </c>
      <c r="AI170">
        <v>1</v>
      </c>
      <c r="AJ170">
        <v>0</v>
      </c>
      <c r="AK170" t="s">
        <v>203</v>
      </c>
      <c r="AL170">
        <v>38.955652999999998</v>
      </c>
      <c r="AM170" t="s">
        <v>204</v>
      </c>
      <c r="AN170">
        <v>-121.07412100000001</v>
      </c>
      <c r="AO170">
        <v>25</v>
      </c>
      <c r="AP170">
        <v>1700</v>
      </c>
      <c r="AQ170" t="s">
        <v>131</v>
      </c>
      <c r="AR170">
        <v>67</v>
      </c>
      <c r="AS170">
        <v>5</v>
      </c>
      <c r="AT170">
        <v>320</v>
      </c>
      <c r="BB170" t="str">
        <f t="shared" si="54"/>
        <v>1200</v>
      </c>
      <c r="BC170">
        <v>1</v>
      </c>
      <c r="BD170" t="str">
        <f t="shared" si="55"/>
        <v xml:space="preserve">N52156  </v>
      </c>
      <c r="BE170">
        <v>1</v>
      </c>
      <c r="BG170">
        <v>0</v>
      </c>
      <c r="BH170">
        <v>0</v>
      </c>
      <c r="BI170">
        <v>0</v>
      </c>
      <c r="BJ170">
        <v>1675</v>
      </c>
      <c r="BK170">
        <v>-25</v>
      </c>
      <c r="BL170" t="s">
        <v>188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 t="shared" ref="CE170:CE175" si="69">"15:05:00.450"</f>
        <v>15:05:00.450</v>
      </c>
      <c r="CF170">
        <v>450441609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133</v>
      </c>
      <c r="DA170">
        <v>275</v>
      </c>
      <c r="DB170">
        <v>0</v>
      </c>
      <c r="DC170" t="s">
        <v>134</v>
      </c>
      <c r="DD170" t="s">
        <v>135</v>
      </c>
      <c r="DG170">
        <v>3317840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"05/01/2025 15:05:00.666"</f>
        <v>05/01/2025 15:05:00.666</v>
      </c>
      <c r="C171" t="str">
        <f t="shared" si="52"/>
        <v>FFDFD3C0</v>
      </c>
      <c r="D171" t="s">
        <v>145</v>
      </c>
      <c r="E171" t="str">
        <f>"09"</f>
        <v>09</v>
      </c>
      <c r="H171">
        <v>51</v>
      </c>
      <c r="I171" t="s">
        <v>147</v>
      </c>
      <c r="J171" t="s">
        <v>138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R171" t="s">
        <v>127</v>
      </c>
      <c r="S171" t="str">
        <f t="shared" si="68"/>
        <v>15:05:00.000</v>
      </c>
      <c r="T171" t="str">
        <f t="shared" si="68"/>
        <v>15:05:00.000</v>
      </c>
      <c r="U171" t="str">
        <f t="shared" si="53"/>
        <v>A68FCB</v>
      </c>
      <c r="V171">
        <v>0</v>
      </c>
      <c r="W171">
        <v>0</v>
      </c>
      <c r="X171">
        <v>2</v>
      </c>
      <c r="Y171">
        <v>0</v>
      </c>
      <c r="AA171">
        <v>1</v>
      </c>
      <c r="AB171">
        <v>8</v>
      </c>
      <c r="AC171">
        <v>3</v>
      </c>
      <c r="AD171">
        <v>0</v>
      </c>
      <c r="AE171">
        <v>9</v>
      </c>
      <c r="AF171" t="s">
        <v>138</v>
      </c>
      <c r="AG171">
        <v>0</v>
      </c>
      <c r="AH171">
        <v>3</v>
      </c>
      <c r="AI171">
        <v>1</v>
      </c>
      <c r="AJ171">
        <v>0</v>
      </c>
      <c r="AK171" t="s">
        <v>203</v>
      </c>
      <c r="AL171">
        <v>38.955652999999998</v>
      </c>
      <c r="AM171" t="s">
        <v>204</v>
      </c>
      <c r="AN171">
        <v>-121.07412100000001</v>
      </c>
      <c r="AO171">
        <v>25</v>
      </c>
      <c r="AP171">
        <v>1700</v>
      </c>
      <c r="AQ171" t="s">
        <v>131</v>
      </c>
      <c r="AR171">
        <v>67</v>
      </c>
      <c r="AS171">
        <v>5</v>
      </c>
      <c r="AT171">
        <v>320</v>
      </c>
      <c r="BB171" t="str">
        <f t="shared" si="54"/>
        <v>1200</v>
      </c>
      <c r="BC171">
        <v>1</v>
      </c>
      <c r="BD171" t="str">
        <f t="shared" si="55"/>
        <v xml:space="preserve">N52156  </v>
      </c>
      <c r="BE171">
        <v>1</v>
      </c>
      <c r="BG171">
        <v>0</v>
      </c>
      <c r="BH171">
        <v>0</v>
      </c>
      <c r="BI171">
        <v>0</v>
      </c>
      <c r="BJ171">
        <v>1675</v>
      </c>
      <c r="BK171">
        <v>-25</v>
      </c>
      <c r="BL171" t="s">
        <v>188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 t="shared" si="69"/>
        <v>15:05:00.450</v>
      </c>
      <c r="CF171">
        <v>450441609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133</v>
      </c>
      <c r="DA171">
        <v>275</v>
      </c>
      <c r="DB171">
        <v>0</v>
      </c>
      <c r="DC171" t="s">
        <v>134</v>
      </c>
      <c r="DD171" t="s">
        <v>135</v>
      </c>
      <c r="DG171">
        <v>3317840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"05/01/2025 15:05:00.668"</f>
        <v>05/01/2025 15:05:00.668</v>
      </c>
      <c r="C172" t="str">
        <f t="shared" si="52"/>
        <v>FFDFD3C0</v>
      </c>
      <c r="D172" t="s">
        <v>124</v>
      </c>
      <c r="E172" t="str">
        <f>"06"</f>
        <v>06</v>
      </c>
      <c r="F172">
        <v>2006</v>
      </c>
      <c r="G172" t="s">
        <v>125</v>
      </c>
      <c r="J172" t="s">
        <v>126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R172" t="s">
        <v>127</v>
      </c>
      <c r="S172" t="str">
        <f t="shared" si="68"/>
        <v>15:05:00.000</v>
      </c>
      <c r="T172" t="str">
        <f t="shared" si="68"/>
        <v>15:05:00.000</v>
      </c>
      <c r="U172" t="str">
        <f t="shared" si="53"/>
        <v>A68FCB</v>
      </c>
      <c r="V172">
        <v>0</v>
      </c>
      <c r="W172">
        <v>0</v>
      </c>
      <c r="X172">
        <v>2</v>
      </c>
      <c r="Y172">
        <v>0</v>
      </c>
      <c r="AA172">
        <v>1</v>
      </c>
      <c r="AB172">
        <v>8</v>
      </c>
      <c r="AC172">
        <v>3</v>
      </c>
      <c r="AD172">
        <v>0</v>
      </c>
      <c r="AE172">
        <v>9</v>
      </c>
      <c r="AF172" t="s">
        <v>138</v>
      </c>
      <c r="AG172">
        <v>0</v>
      </c>
      <c r="AH172">
        <v>3</v>
      </c>
      <c r="AI172">
        <v>1</v>
      </c>
      <c r="AJ172">
        <v>0</v>
      </c>
      <c r="AK172" t="s">
        <v>203</v>
      </c>
      <c r="AL172">
        <v>38.955652999999998</v>
      </c>
      <c r="AM172" t="s">
        <v>204</v>
      </c>
      <c r="AN172">
        <v>-121.07412100000001</v>
      </c>
      <c r="AO172">
        <v>25</v>
      </c>
      <c r="AP172">
        <v>1700</v>
      </c>
      <c r="AQ172" t="s">
        <v>131</v>
      </c>
      <c r="AR172">
        <v>67</v>
      </c>
      <c r="AS172">
        <v>5</v>
      </c>
      <c r="AT172">
        <v>320</v>
      </c>
      <c r="BB172" t="str">
        <f t="shared" si="54"/>
        <v>1200</v>
      </c>
      <c r="BC172">
        <v>1</v>
      </c>
      <c r="BD172" t="str">
        <f t="shared" si="55"/>
        <v xml:space="preserve">N52156  </v>
      </c>
      <c r="BE172">
        <v>1</v>
      </c>
      <c r="BG172">
        <v>0</v>
      </c>
      <c r="BH172">
        <v>0</v>
      </c>
      <c r="BI172">
        <v>0</v>
      </c>
      <c r="BJ172">
        <v>1675</v>
      </c>
      <c r="BK172">
        <v>-25</v>
      </c>
      <c r="BL172" t="s">
        <v>188</v>
      </c>
      <c r="BM172">
        <v>1</v>
      </c>
      <c r="BN172">
        <v>1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 t="shared" si="69"/>
        <v>15:05:00.450</v>
      </c>
      <c r="CF172">
        <v>450441609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5</v>
      </c>
      <c r="CY172">
        <v>7</v>
      </c>
      <c r="CZ172" t="s">
        <v>133</v>
      </c>
      <c r="DA172">
        <v>275</v>
      </c>
      <c r="DB172">
        <v>0</v>
      </c>
      <c r="DC172" t="s">
        <v>134</v>
      </c>
      <c r="DD172" t="s">
        <v>135</v>
      </c>
      <c r="DG172">
        <v>3317840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"05/01/2025 15:05:00.678"</f>
        <v>05/01/2025 15:05:00.678</v>
      </c>
      <c r="C173" t="str">
        <f t="shared" si="52"/>
        <v>FFDFD3C0</v>
      </c>
      <c r="D173" t="s">
        <v>136</v>
      </c>
      <c r="E173" t="str">
        <f>"20"</f>
        <v>20</v>
      </c>
      <c r="H173">
        <v>400</v>
      </c>
      <c r="I173" t="s">
        <v>137</v>
      </c>
      <c r="J173" t="s">
        <v>138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R173" t="s">
        <v>127</v>
      </c>
      <c r="S173" t="str">
        <f t="shared" si="68"/>
        <v>15:05:00.000</v>
      </c>
      <c r="T173" t="str">
        <f t="shared" si="68"/>
        <v>15:05:00.000</v>
      </c>
      <c r="U173" t="str">
        <f t="shared" si="53"/>
        <v>A68FCB</v>
      </c>
      <c r="V173">
        <v>0</v>
      </c>
      <c r="W173">
        <v>0</v>
      </c>
      <c r="X173">
        <v>2</v>
      </c>
      <c r="Y173">
        <v>0</v>
      </c>
      <c r="AA173">
        <v>1</v>
      </c>
      <c r="AB173">
        <v>8</v>
      </c>
      <c r="AC173">
        <v>3</v>
      </c>
      <c r="AD173">
        <v>0</v>
      </c>
      <c r="AE173">
        <v>9</v>
      </c>
      <c r="AF173" t="s">
        <v>138</v>
      </c>
      <c r="AG173">
        <v>0</v>
      </c>
      <c r="AH173">
        <v>3</v>
      </c>
      <c r="AI173">
        <v>1</v>
      </c>
      <c r="AJ173">
        <v>0</v>
      </c>
      <c r="AK173" t="s">
        <v>203</v>
      </c>
      <c r="AL173">
        <v>38.955652999999998</v>
      </c>
      <c r="AM173" t="s">
        <v>204</v>
      </c>
      <c r="AN173">
        <v>-121.07412100000001</v>
      </c>
      <c r="AO173">
        <v>25</v>
      </c>
      <c r="AP173">
        <v>1700</v>
      </c>
      <c r="AQ173" t="s">
        <v>131</v>
      </c>
      <c r="AR173">
        <v>67</v>
      </c>
      <c r="AS173">
        <v>5</v>
      </c>
      <c r="AT173">
        <v>320</v>
      </c>
      <c r="BB173" t="str">
        <f t="shared" si="54"/>
        <v>1200</v>
      </c>
      <c r="BC173">
        <v>1</v>
      </c>
      <c r="BD173" t="str">
        <f t="shared" si="55"/>
        <v xml:space="preserve">N52156  </v>
      </c>
      <c r="BE173">
        <v>1</v>
      </c>
      <c r="BG173">
        <v>0</v>
      </c>
      <c r="BH173">
        <v>0</v>
      </c>
      <c r="BI173">
        <v>0</v>
      </c>
      <c r="BJ173">
        <v>1675</v>
      </c>
      <c r="BK173">
        <v>-25</v>
      </c>
      <c r="BL173" t="s">
        <v>188</v>
      </c>
      <c r="BM173">
        <v>1</v>
      </c>
      <c r="BN173">
        <v>1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 t="shared" si="69"/>
        <v>15:05:00.450</v>
      </c>
      <c r="CF173">
        <v>450441609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5</v>
      </c>
      <c r="CY173">
        <v>7</v>
      </c>
      <c r="CZ173" t="s">
        <v>133</v>
      </c>
      <c r="DA173">
        <v>275</v>
      </c>
      <c r="DB173">
        <v>0</v>
      </c>
      <c r="DC173" t="s">
        <v>134</v>
      </c>
      <c r="DD173" t="s">
        <v>135</v>
      </c>
      <c r="DG173">
        <v>3317840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"05/01/2025 15:05:00.704"</f>
        <v>05/01/2025 15:05:00.704</v>
      </c>
      <c r="C174" t="str">
        <f t="shared" si="52"/>
        <v>FFDFD3C0</v>
      </c>
      <c r="D174" t="s">
        <v>140</v>
      </c>
      <c r="E174" t="str">
        <f>"13"</f>
        <v>13</v>
      </c>
      <c r="F174">
        <v>1019</v>
      </c>
      <c r="G174" t="s">
        <v>141</v>
      </c>
      <c r="J174" t="s">
        <v>142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R174" t="s">
        <v>127</v>
      </c>
      <c r="S174" t="str">
        <f t="shared" si="68"/>
        <v>15:05:00.000</v>
      </c>
      <c r="T174" t="str">
        <f t="shared" si="68"/>
        <v>15:05:00.000</v>
      </c>
      <c r="U174" t="str">
        <f t="shared" si="53"/>
        <v>A68FCB</v>
      </c>
      <c r="V174">
        <v>0</v>
      </c>
      <c r="W174">
        <v>0</v>
      </c>
      <c r="X174">
        <v>2</v>
      </c>
      <c r="Y174">
        <v>0</v>
      </c>
      <c r="AA174">
        <v>1</v>
      </c>
      <c r="AB174">
        <v>8</v>
      </c>
      <c r="AC174">
        <v>3</v>
      </c>
      <c r="AD174">
        <v>0</v>
      </c>
      <c r="AE174">
        <v>9</v>
      </c>
      <c r="AF174" t="s">
        <v>138</v>
      </c>
      <c r="AG174">
        <v>0</v>
      </c>
      <c r="AH174">
        <v>3</v>
      </c>
      <c r="AI174">
        <v>1</v>
      </c>
      <c r="AJ174">
        <v>0</v>
      </c>
      <c r="AK174" t="s">
        <v>203</v>
      </c>
      <c r="AL174">
        <v>38.955652999999998</v>
      </c>
      <c r="AM174" t="s">
        <v>204</v>
      </c>
      <c r="AN174">
        <v>-121.07412100000001</v>
      </c>
      <c r="AO174">
        <v>25</v>
      </c>
      <c r="AP174">
        <v>1700</v>
      </c>
      <c r="AQ174" t="s">
        <v>131</v>
      </c>
      <c r="AR174">
        <v>67</v>
      </c>
      <c r="AS174">
        <v>5</v>
      </c>
      <c r="AT174">
        <v>320</v>
      </c>
      <c r="BB174" t="str">
        <f t="shared" si="54"/>
        <v>1200</v>
      </c>
      <c r="BC174">
        <v>1</v>
      </c>
      <c r="BD174" t="str">
        <f t="shared" si="55"/>
        <v xml:space="preserve">N52156  </v>
      </c>
      <c r="BE174">
        <v>1</v>
      </c>
      <c r="BG174">
        <v>0</v>
      </c>
      <c r="BH174">
        <v>0</v>
      </c>
      <c r="BI174">
        <v>0</v>
      </c>
      <c r="BJ174">
        <v>1675</v>
      </c>
      <c r="BK174">
        <v>-25</v>
      </c>
      <c r="BL174" t="s">
        <v>188</v>
      </c>
      <c r="BM174">
        <v>1</v>
      </c>
      <c r="BN174">
        <v>1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 t="shared" si="69"/>
        <v>15:05:00.450</v>
      </c>
      <c r="CF174">
        <v>450441609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5</v>
      </c>
      <c r="CY174">
        <v>7</v>
      </c>
      <c r="CZ174" t="s">
        <v>133</v>
      </c>
      <c r="DA174">
        <v>275</v>
      </c>
      <c r="DB174">
        <v>0</v>
      </c>
      <c r="DC174" t="s">
        <v>134</v>
      </c>
      <c r="DD174" t="s">
        <v>135</v>
      </c>
      <c r="DG174">
        <v>3317840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"05/01/2025 15:05:00.709"</f>
        <v>05/01/2025 15:05:00.709</v>
      </c>
      <c r="C175" t="str">
        <f t="shared" si="52"/>
        <v>FFDFD3C0</v>
      </c>
      <c r="D175" t="s">
        <v>143</v>
      </c>
      <c r="E175" t="str">
        <f>"05"</f>
        <v>05</v>
      </c>
      <c r="H175">
        <v>172</v>
      </c>
      <c r="I175" t="s">
        <v>141</v>
      </c>
      <c r="J175" t="s">
        <v>144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R175" t="s">
        <v>127</v>
      </c>
      <c r="S175" t="str">
        <f t="shared" si="68"/>
        <v>15:05:00.000</v>
      </c>
      <c r="T175" t="str">
        <f t="shared" si="68"/>
        <v>15:05:00.000</v>
      </c>
      <c r="U175" t="str">
        <f t="shared" si="53"/>
        <v>A68FCB</v>
      </c>
      <c r="V175">
        <v>0</v>
      </c>
      <c r="W175">
        <v>0</v>
      </c>
      <c r="X175">
        <v>2</v>
      </c>
      <c r="Y175">
        <v>0</v>
      </c>
      <c r="AA175">
        <v>1</v>
      </c>
      <c r="AB175">
        <v>8</v>
      </c>
      <c r="AC175">
        <v>3</v>
      </c>
      <c r="AD175">
        <v>0</v>
      </c>
      <c r="AE175">
        <v>9</v>
      </c>
      <c r="AF175" t="s">
        <v>138</v>
      </c>
      <c r="AG175">
        <v>0</v>
      </c>
      <c r="AH175">
        <v>3</v>
      </c>
      <c r="AI175">
        <v>1</v>
      </c>
      <c r="AJ175">
        <v>0</v>
      </c>
      <c r="AK175" t="s">
        <v>203</v>
      </c>
      <c r="AL175">
        <v>38.955652999999998</v>
      </c>
      <c r="AM175" t="s">
        <v>204</v>
      </c>
      <c r="AN175">
        <v>-121.07412100000001</v>
      </c>
      <c r="AO175">
        <v>25</v>
      </c>
      <c r="AP175">
        <v>1700</v>
      </c>
      <c r="AQ175" t="s">
        <v>131</v>
      </c>
      <c r="AR175">
        <v>67</v>
      </c>
      <c r="AS175">
        <v>5</v>
      </c>
      <c r="AT175">
        <v>320</v>
      </c>
      <c r="BB175" t="str">
        <f t="shared" si="54"/>
        <v>1200</v>
      </c>
      <c r="BC175">
        <v>1</v>
      </c>
      <c r="BD175" t="str">
        <f t="shared" si="55"/>
        <v xml:space="preserve">N52156  </v>
      </c>
      <c r="BE175">
        <v>1</v>
      </c>
      <c r="BG175">
        <v>0</v>
      </c>
      <c r="BH175">
        <v>0</v>
      </c>
      <c r="BI175">
        <v>0</v>
      </c>
      <c r="BJ175">
        <v>1675</v>
      </c>
      <c r="BK175">
        <v>-25</v>
      </c>
      <c r="BL175" t="s">
        <v>188</v>
      </c>
      <c r="BM175">
        <v>1</v>
      </c>
      <c r="BN175">
        <v>1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 t="shared" si="69"/>
        <v>15:05:00.450</v>
      </c>
      <c r="CF175">
        <v>450441609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5</v>
      </c>
      <c r="CY175">
        <v>7</v>
      </c>
      <c r="CZ175" t="s">
        <v>133</v>
      </c>
      <c r="DA175">
        <v>275</v>
      </c>
      <c r="DB175">
        <v>0</v>
      </c>
      <c r="DC175" t="s">
        <v>134</v>
      </c>
      <c r="DD175" t="s">
        <v>135</v>
      </c>
      <c r="DG175">
        <v>3317840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"05/01/2025 15:05:01.555"</f>
        <v>05/01/2025 15:05:01.555</v>
      </c>
      <c r="C176" t="str">
        <f t="shared" si="52"/>
        <v>FFDFD3C0</v>
      </c>
      <c r="D176" t="s">
        <v>140</v>
      </c>
      <c r="E176" t="str">
        <f>"13"</f>
        <v>13</v>
      </c>
      <c r="F176">
        <v>1019</v>
      </c>
      <c r="G176" t="s">
        <v>141</v>
      </c>
      <c r="J176" t="s">
        <v>142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R176" t="s">
        <v>127</v>
      </c>
      <c r="S176" t="str">
        <f t="shared" ref="S176:T181" si="70">"15:05:01.000"</f>
        <v>15:05:01.000</v>
      </c>
      <c r="T176" t="str">
        <f t="shared" si="70"/>
        <v>15:05:01.000</v>
      </c>
      <c r="U176" t="str">
        <f t="shared" si="53"/>
        <v>A68FCB</v>
      </c>
      <c r="V176">
        <v>0</v>
      </c>
      <c r="W176">
        <v>0</v>
      </c>
      <c r="X176">
        <v>2</v>
      </c>
      <c r="Y176">
        <v>0</v>
      </c>
      <c r="AA176">
        <v>1</v>
      </c>
      <c r="AB176">
        <v>8</v>
      </c>
      <c r="AC176">
        <v>3</v>
      </c>
      <c r="AD176">
        <v>0</v>
      </c>
      <c r="AE176">
        <v>9</v>
      </c>
      <c r="AF176" t="s">
        <v>138</v>
      </c>
      <c r="AG176">
        <v>0</v>
      </c>
      <c r="AH176">
        <v>3</v>
      </c>
      <c r="AI176">
        <v>1</v>
      </c>
      <c r="AJ176">
        <v>0</v>
      </c>
      <c r="AK176" t="s">
        <v>205</v>
      </c>
      <c r="AL176">
        <v>38.955674000000002</v>
      </c>
      <c r="AM176" t="s">
        <v>206</v>
      </c>
      <c r="AN176">
        <v>-121.073735</v>
      </c>
      <c r="AO176">
        <v>25</v>
      </c>
      <c r="AP176">
        <v>1700</v>
      </c>
      <c r="AQ176" t="s">
        <v>131</v>
      </c>
      <c r="AR176">
        <v>68</v>
      </c>
      <c r="AS176">
        <v>4</v>
      </c>
      <c r="AT176">
        <v>256</v>
      </c>
      <c r="BB176" t="str">
        <f t="shared" si="54"/>
        <v>1200</v>
      </c>
      <c r="BC176">
        <v>1</v>
      </c>
      <c r="BD176" t="str">
        <f t="shared" si="55"/>
        <v xml:space="preserve">N52156  </v>
      </c>
      <c r="BE176">
        <v>1</v>
      </c>
      <c r="BG176">
        <v>0</v>
      </c>
      <c r="BH176">
        <v>0</v>
      </c>
      <c r="BI176">
        <v>0</v>
      </c>
      <c r="BJ176">
        <v>1675</v>
      </c>
      <c r="BK176">
        <v>-25</v>
      </c>
      <c r="BL176" t="s">
        <v>188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 t="shared" ref="CE176:CE181" si="71">"15:05:01.311"</f>
        <v>15:05:01.311</v>
      </c>
      <c r="CF176">
        <v>311191335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5</v>
      </c>
      <c r="CY176">
        <v>7</v>
      </c>
      <c r="CZ176" t="s">
        <v>133</v>
      </c>
      <c r="DA176">
        <v>275</v>
      </c>
      <c r="DB176">
        <v>0</v>
      </c>
      <c r="DC176" t="s">
        <v>134</v>
      </c>
      <c r="DD176" t="s">
        <v>135</v>
      </c>
      <c r="DG176">
        <v>3317851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"05/01/2025 15:05:01.561"</f>
        <v>05/01/2025 15:05:01.561</v>
      </c>
      <c r="C177" t="str">
        <f t="shared" si="52"/>
        <v>FFDFD3C0</v>
      </c>
      <c r="D177" t="s">
        <v>143</v>
      </c>
      <c r="E177" t="str">
        <f>"05"</f>
        <v>05</v>
      </c>
      <c r="H177">
        <v>172</v>
      </c>
      <c r="I177" t="s">
        <v>141</v>
      </c>
      <c r="J177" t="s">
        <v>144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R177" t="s">
        <v>127</v>
      </c>
      <c r="S177" t="str">
        <f t="shared" si="70"/>
        <v>15:05:01.000</v>
      </c>
      <c r="T177" t="str">
        <f t="shared" si="70"/>
        <v>15:05:01.000</v>
      </c>
      <c r="U177" t="str">
        <f t="shared" si="53"/>
        <v>A68FCB</v>
      </c>
      <c r="V177">
        <v>0</v>
      </c>
      <c r="W177">
        <v>0</v>
      </c>
      <c r="X177">
        <v>2</v>
      </c>
      <c r="Y177">
        <v>0</v>
      </c>
      <c r="AA177">
        <v>1</v>
      </c>
      <c r="AB177">
        <v>8</v>
      </c>
      <c r="AC177">
        <v>3</v>
      </c>
      <c r="AD177">
        <v>0</v>
      </c>
      <c r="AE177">
        <v>9</v>
      </c>
      <c r="AF177" t="s">
        <v>138</v>
      </c>
      <c r="AG177">
        <v>0</v>
      </c>
      <c r="AH177">
        <v>3</v>
      </c>
      <c r="AI177">
        <v>1</v>
      </c>
      <c r="AJ177">
        <v>0</v>
      </c>
      <c r="AK177" t="s">
        <v>205</v>
      </c>
      <c r="AL177">
        <v>38.955674000000002</v>
      </c>
      <c r="AM177" t="s">
        <v>206</v>
      </c>
      <c r="AN177">
        <v>-121.073735</v>
      </c>
      <c r="AO177">
        <v>25</v>
      </c>
      <c r="AP177">
        <v>1700</v>
      </c>
      <c r="AQ177" t="s">
        <v>131</v>
      </c>
      <c r="AR177">
        <v>68</v>
      </c>
      <c r="AS177">
        <v>4</v>
      </c>
      <c r="AT177">
        <v>256</v>
      </c>
      <c r="BB177" t="str">
        <f t="shared" si="54"/>
        <v>1200</v>
      </c>
      <c r="BC177">
        <v>1</v>
      </c>
      <c r="BD177" t="str">
        <f t="shared" si="55"/>
        <v xml:space="preserve">N52156  </v>
      </c>
      <c r="BE177">
        <v>1</v>
      </c>
      <c r="BG177">
        <v>0</v>
      </c>
      <c r="BH177">
        <v>0</v>
      </c>
      <c r="BI177">
        <v>0</v>
      </c>
      <c r="BJ177">
        <v>1675</v>
      </c>
      <c r="BK177">
        <v>-25</v>
      </c>
      <c r="BL177" t="s">
        <v>188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 t="shared" si="71"/>
        <v>15:05:01.311</v>
      </c>
      <c r="CF177">
        <v>311191335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5</v>
      </c>
      <c r="CY177">
        <v>7</v>
      </c>
      <c r="CZ177" t="s">
        <v>133</v>
      </c>
      <c r="DA177">
        <v>275</v>
      </c>
      <c r="DB177">
        <v>0</v>
      </c>
      <c r="DC177" t="s">
        <v>134</v>
      </c>
      <c r="DD177" t="s">
        <v>135</v>
      </c>
      <c r="DG177">
        <v>3317851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"05/01/2025 15:05:01.567"</f>
        <v>05/01/2025 15:05:01.567</v>
      </c>
      <c r="C178" t="str">
        <f t="shared" si="52"/>
        <v>FFDFD3C0</v>
      </c>
      <c r="D178" t="s">
        <v>145</v>
      </c>
      <c r="E178" t="str">
        <f>"05"</f>
        <v>05</v>
      </c>
      <c r="H178">
        <v>47</v>
      </c>
      <c r="I178" t="s">
        <v>146</v>
      </c>
      <c r="J178" t="s">
        <v>138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R178" t="s">
        <v>127</v>
      </c>
      <c r="S178" t="str">
        <f t="shared" si="70"/>
        <v>15:05:01.000</v>
      </c>
      <c r="T178" t="str">
        <f t="shared" si="70"/>
        <v>15:05:01.000</v>
      </c>
      <c r="U178" t="str">
        <f t="shared" si="53"/>
        <v>A68FCB</v>
      </c>
      <c r="V178">
        <v>0</v>
      </c>
      <c r="W178">
        <v>0</v>
      </c>
      <c r="X178">
        <v>2</v>
      </c>
      <c r="Y178">
        <v>0</v>
      </c>
      <c r="AA178">
        <v>1</v>
      </c>
      <c r="AB178">
        <v>8</v>
      </c>
      <c r="AC178">
        <v>3</v>
      </c>
      <c r="AD178">
        <v>0</v>
      </c>
      <c r="AE178">
        <v>9</v>
      </c>
      <c r="AF178" t="s">
        <v>138</v>
      </c>
      <c r="AG178">
        <v>0</v>
      </c>
      <c r="AH178">
        <v>3</v>
      </c>
      <c r="AI178">
        <v>1</v>
      </c>
      <c r="AJ178">
        <v>0</v>
      </c>
      <c r="AK178" t="s">
        <v>205</v>
      </c>
      <c r="AL178">
        <v>38.955674000000002</v>
      </c>
      <c r="AM178" t="s">
        <v>206</v>
      </c>
      <c r="AN178">
        <v>-121.073735</v>
      </c>
      <c r="AO178">
        <v>25</v>
      </c>
      <c r="AP178">
        <v>1700</v>
      </c>
      <c r="AQ178" t="s">
        <v>131</v>
      </c>
      <c r="AR178">
        <v>68</v>
      </c>
      <c r="AS178">
        <v>4</v>
      </c>
      <c r="AT178">
        <v>256</v>
      </c>
      <c r="BB178" t="str">
        <f t="shared" si="54"/>
        <v>1200</v>
      </c>
      <c r="BC178">
        <v>1</v>
      </c>
      <c r="BD178" t="str">
        <f t="shared" si="55"/>
        <v xml:space="preserve">N52156  </v>
      </c>
      <c r="BE178">
        <v>1</v>
      </c>
      <c r="BG178">
        <v>0</v>
      </c>
      <c r="BH178">
        <v>0</v>
      </c>
      <c r="BI178">
        <v>0</v>
      </c>
      <c r="BJ178">
        <v>1675</v>
      </c>
      <c r="BK178">
        <v>-25</v>
      </c>
      <c r="BL178" t="s">
        <v>188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 t="shared" si="71"/>
        <v>15:05:01.311</v>
      </c>
      <c r="CF178">
        <v>311191335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5</v>
      </c>
      <c r="CY178">
        <v>7</v>
      </c>
      <c r="CZ178" t="s">
        <v>133</v>
      </c>
      <c r="DA178">
        <v>275</v>
      </c>
      <c r="DB178">
        <v>0</v>
      </c>
      <c r="DC178" t="s">
        <v>134</v>
      </c>
      <c r="DD178" t="s">
        <v>135</v>
      </c>
      <c r="DG178">
        <v>3317851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"05/01/2025 15:05:01.568"</f>
        <v>05/01/2025 15:05:01.568</v>
      </c>
      <c r="C179" t="str">
        <f t="shared" si="52"/>
        <v>FFDFD3C0</v>
      </c>
      <c r="D179" t="s">
        <v>145</v>
      </c>
      <c r="E179" t="str">
        <f>"09"</f>
        <v>09</v>
      </c>
      <c r="H179">
        <v>51</v>
      </c>
      <c r="I179" t="s">
        <v>147</v>
      </c>
      <c r="J179" t="s">
        <v>138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R179" t="s">
        <v>127</v>
      </c>
      <c r="S179" t="str">
        <f t="shared" si="70"/>
        <v>15:05:01.000</v>
      </c>
      <c r="T179" t="str">
        <f t="shared" si="70"/>
        <v>15:05:01.000</v>
      </c>
      <c r="U179" t="str">
        <f t="shared" si="53"/>
        <v>A68FCB</v>
      </c>
      <c r="V179">
        <v>0</v>
      </c>
      <c r="W179">
        <v>0</v>
      </c>
      <c r="X179">
        <v>2</v>
      </c>
      <c r="Y179">
        <v>0</v>
      </c>
      <c r="AA179">
        <v>1</v>
      </c>
      <c r="AB179">
        <v>8</v>
      </c>
      <c r="AC179">
        <v>3</v>
      </c>
      <c r="AD179">
        <v>0</v>
      </c>
      <c r="AE179">
        <v>9</v>
      </c>
      <c r="AF179" t="s">
        <v>138</v>
      </c>
      <c r="AG179">
        <v>0</v>
      </c>
      <c r="AH179">
        <v>3</v>
      </c>
      <c r="AI179">
        <v>1</v>
      </c>
      <c r="AJ179">
        <v>0</v>
      </c>
      <c r="AK179" t="s">
        <v>205</v>
      </c>
      <c r="AL179">
        <v>38.955674000000002</v>
      </c>
      <c r="AM179" t="s">
        <v>206</v>
      </c>
      <c r="AN179">
        <v>-121.073735</v>
      </c>
      <c r="AO179">
        <v>25</v>
      </c>
      <c r="AP179">
        <v>1700</v>
      </c>
      <c r="AQ179" t="s">
        <v>131</v>
      </c>
      <c r="AR179">
        <v>68</v>
      </c>
      <c r="AS179">
        <v>4</v>
      </c>
      <c r="AT179">
        <v>256</v>
      </c>
      <c r="BB179" t="str">
        <f t="shared" si="54"/>
        <v>1200</v>
      </c>
      <c r="BC179">
        <v>1</v>
      </c>
      <c r="BD179" t="str">
        <f t="shared" si="55"/>
        <v xml:space="preserve">N52156  </v>
      </c>
      <c r="BE179">
        <v>1</v>
      </c>
      <c r="BG179">
        <v>0</v>
      </c>
      <c r="BH179">
        <v>0</v>
      </c>
      <c r="BI179">
        <v>0</v>
      </c>
      <c r="BJ179">
        <v>1675</v>
      </c>
      <c r="BK179">
        <v>-25</v>
      </c>
      <c r="BL179" t="s">
        <v>188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 t="shared" si="71"/>
        <v>15:05:01.311</v>
      </c>
      <c r="CF179">
        <v>311191335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5</v>
      </c>
      <c r="CY179">
        <v>7</v>
      </c>
      <c r="CZ179" t="s">
        <v>133</v>
      </c>
      <c r="DA179">
        <v>275</v>
      </c>
      <c r="DB179">
        <v>0</v>
      </c>
      <c r="DC179" t="s">
        <v>134</v>
      </c>
      <c r="DD179" t="s">
        <v>135</v>
      </c>
      <c r="DG179">
        <v>3317851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"05/01/2025 15:05:01.571"</f>
        <v>05/01/2025 15:05:01.571</v>
      </c>
      <c r="C180" t="str">
        <f t="shared" si="52"/>
        <v>FFDFD3C0</v>
      </c>
      <c r="D180" t="s">
        <v>124</v>
      </c>
      <c r="E180" t="str">
        <f>"06"</f>
        <v>06</v>
      </c>
      <c r="F180">
        <v>2006</v>
      </c>
      <c r="G180" t="s">
        <v>125</v>
      </c>
      <c r="J180" t="s">
        <v>126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R180" t="s">
        <v>127</v>
      </c>
      <c r="S180" t="str">
        <f t="shared" si="70"/>
        <v>15:05:01.000</v>
      </c>
      <c r="T180" t="str">
        <f t="shared" si="70"/>
        <v>15:05:01.000</v>
      </c>
      <c r="U180" t="str">
        <f t="shared" si="53"/>
        <v>A68FCB</v>
      </c>
      <c r="V180">
        <v>0</v>
      </c>
      <c r="W180">
        <v>0</v>
      </c>
      <c r="X180">
        <v>2</v>
      </c>
      <c r="Y180">
        <v>0</v>
      </c>
      <c r="AA180">
        <v>1</v>
      </c>
      <c r="AB180">
        <v>8</v>
      </c>
      <c r="AC180">
        <v>3</v>
      </c>
      <c r="AD180">
        <v>0</v>
      </c>
      <c r="AE180">
        <v>9</v>
      </c>
      <c r="AF180" t="s">
        <v>138</v>
      </c>
      <c r="AG180">
        <v>0</v>
      </c>
      <c r="AH180">
        <v>3</v>
      </c>
      <c r="AI180">
        <v>1</v>
      </c>
      <c r="AJ180">
        <v>0</v>
      </c>
      <c r="AK180" t="s">
        <v>205</v>
      </c>
      <c r="AL180">
        <v>38.955674000000002</v>
      </c>
      <c r="AM180" t="s">
        <v>206</v>
      </c>
      <c r="AN180">
        <v>-121.073735</v>
      </c>
      <c r="AO180">
        <v>25</v>
      </c>
      <c r="AP180">
        <v>1700</v>
      </c>
      <c r="AQ180" t="s">
        <v>131</v>
      </c>
      <c r="AR180">
        <v>68</v>
      </c>
      <c r="AS180">
        <v>4</v>
      </c>
      <c r="AT180">
        <v>256</v>
      </c>
      <c r="BB180" t="str">
        <f t="shared" si="54"/>
        <v>1200</v>
      </c>
      <c r="BC180">
        <v>1</v>
      </c>
      <c r="BD180" t="str">
        <f t="shared" si="55"/>
        <v xml:space="preserve">N52156  </v>
      </c>
      <c r="BE180">
        <v>1</v>
      </c>
      <c r="BG180">
        <v>0</v>
      </c>
      <c r="BH180">
        <v>0</v>
      </c>
      <c r="BI180">
        <v>0</v>
      </c>
      <c r="BJ180">
        <v>1675</v>
      </c>
      <c r="BK180">
        <v>-25</v>
      </c>
      <c r="BL180" t="s">
        <v>188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 t="shared" si="71"/>
        <v>15:05:01.311</v>
      </c>
      <c r="CF180">
        <v>311191335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5</v>
      </c>
      <c r="CY180">
        <v>7</v>
      </c>
      <c r="CZ180" t="s">
        <v>133</v>
      </c>
      <c r="DA180">
        <v>275</v>
      </c>
      <c r="DB180">
        <v>0</v>
      </c>
      <c r="DC180" t="s">
        <v>134</v>
      </c>
      <c r="DD180" t="s">
        <v>135</v>
      </c>
      <c r="DG180">
        <v>3317851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"05/01/2025 15:05:01.579"</f>
        <v>05/01/2025 15:05:01.579</v>
      </c>
      <c r="C181" t="str">
        <f t="shared" si="52"/>
        <v>FFDFD3C0</v>
      </c>
      <c r="D181" t="s">
        <v>136</v>
      </c>
      <c r="E181" t="str">
        <f>"20"</f>
        <v>20</v>
      </c>
      <c r="H181">
        <v>400</v>
      </c>
      <c r="I181" t="s">
        <v>137</v>
      </c>
      <c r="J181" t="s">
        <v>138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R181" t="s">
        <v>127</v>
      </c>
      <c r="S181" t="str">
        <f t="shared" si="70"/>
        <v>15:05:01.000</v>
      </c>
      <c r="T181" t="str">
        <f t="shared" si="70"/>
        <v>15:05:01.000</v>
      </c>
      <c r="U181" t="str">
        <f t="shared" si="53"/>
        <v>A68FCB</v>
      </c>
      <c r="V181">
        <v>0</v>
      </c>
      <c r="W181">
        <v>0</v>
      </c>
      <c r="X181">
        <v>2</v>
      </c>
      <c r="Y181">
        <v>0</v>
      </c>
      <c r="AA181">
        <v>1</v>
      </c>
      <c r="AB181">
        <v>8</v>
      </c>
      <c r="AC181">
        <v>3</v>
      </c>
      <c r="AD181">
        <v>0</v>
      </c>
      <c r="AE181">
        <v>9</v>
      </c>
      <c r="AF181" t="s">
        <v>138</v>
      </c>
      <c r="AG181">
        <v>0</v>
      </c>
      <c r="AH181">
        <v>3</v>
      </c>
      <c r="AI181">
        <v>1</v>
      </c>
      <c r="AJ181">
        <v>0</v>
      </c>
      <c r="AK181" t="s">
        <v>205</v>
      </c>
      <c r="AL181">
        <v>38.955674000000002</v>
      </c>
      <c r="AM181" t="s">
        <v>206</v>
      </c>
      <c r="AN181">
        <v>-121.073735</v>
      </c>
      <c r="AO181">
        <v>25</v>
      </c>
      <c r="AP181">
        <v>1700</v>
      </c>
      <c r="AQ181" t="s">
        <v>131</v>
      </c>
      <c r="AR181">
        <v>68</v>
      </c>
      <c r="AS181">
        <v>4</v>
      </c>
      <c r="AT181">
        <v>256</v>
      </c>
      <c r="BB181" t="str">
        <f t="shared" si="54"/>
        <v>1200</v>
      </c>
      <c r="BC181">
        <v>1</v>
      </c>
      <c r="BD181" t="str">
        <f t="shared" si="55"/>
        <v xml:space="preserve">N52156  </v>
      </c>
      <c r="BE181">
        <v>1</v>
      </c>
      <c r="BG181">
        <v>0</v>
      </c>
      <c r="BH181">
        <v>0</v>
      </c>
      <c r="BI181">
        <v>0</v>
      </c>
      <c r="BJ181">
        <v>1675</v>
      </c>
      <c r="BK181">
        <v>-25</v>
      </c>
      <c r="BL181" t="s">
        <v>188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 t="shared" si="71"/>
        <v>15:05:01.311</v>
      </c>
      <c r="CF181">
        <v>311191335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133</v>
      </c>
      <c r="DA181">
        <v>275</v>
      </c>
      <c r="DB181">
        <v>0</v>
      </c>
      <c r="DC181" t="s">
        <v>134</v>
      </c>
      <c r="DD181" t="s">
        <v>135</v>
      </c>
      <c r="DG181">
        <v>3317851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"05/01/2025 15:05:02.773"</f>
        <v>05/01/2025 15:05:02.773</v>
      </c>
      <c r="C182" t="str">
        <f t="shared" si="52"/>
        <v>FFDFD3C0</v>
      </c>
      <c r="D182" t="s">
        <v>124</v>
      </c>
      <c r="E182" t="str">
        <f>"06"</f>
        <v>06</v>
      </c>
      <c r="F182">
        <v>2006</v>
      </c>
      <c r="G182" t="s">
        <v>125</v>
      </c>
      <c r="J182" t="s">
        <v>126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R182" t="s">
        <v>127</v>
      </c>
      <c r="S182" t="str">
        <f t="shared" ref="S182:T187" si="72">"15:05:02.000"</f>
        <v>15:05:02.000</v>
      </c>
      <c r="T182" t="str">
        <f t="shared" si="72"/>
        <v>15:05:02.000</v>
      </c>
      <c r="U182" t="str">
        <f t="shared" si="53"/>
        <v>A68FCB</v>
      </c>
      <c r="V182">
        <v>0</v>
      </c>
      <c r="W182">
        <v>0</v>
      </c>
      <c r="X182">
        <v>2</v>
      </c>
      <c r="Y182">
        <v>0</v>
      </c>
      <c r="AA182">
        <v>1</v>
      </c>
      <c r="AB182">
        <v>8</v>
      </c>
      <c r="AC182">
        <v>3</v>
      </c>
      <c r="AD182">
        <v>0</v>
      </c>
      <c r="AE182">
        <v>9</v>
      </c>
      <c r="AF182" t="s">
        <v>138</v>
      </c>
      <c r="AG182">
        <v>0</v>
      </c>
      <c r="AH182">
        <v>3</v>
      </c>
      <c r="AI182">
        <v>1</v>
      </c>
      <c r="AJ182">
        <v>0</v>
      </c>
      <c r="AK182" t="s">
        <v>199</v>
      </c>
      <c r="AL182">
        <v>38.955696000000003</v>
      </c>
      <c r="AM182" t="s">
        <v>207</v>
      </c>
      <c r="AN182">
        <v>-121.07332700000001</v>
      </c>
      <c r="AO182">
        <v>25</v>
      </c>
      <c r="AP182">
        <v>1700</v>
      </c>
      <c r="AQ182" t="s">
        <v>131</v>
      </c>
      <c r="AR182">
        <v>69</v>
      </c>
      <c r="AS182">
        <v>4</v>
      </c>
      <c r="AT182">
        <v>256</v>
      </c>
      <c r="BB182" t="str">
        <f t="shared" si="54"/>
        <v>1200</v>
      </c>
      <c r="BC182">
        <v>1</v>
      </c>
      <c r="BD182" t="str">
        <f t="shared" si="55"/>
        <v xml:space="preserve">N52156  </v>
      </c>
      <c r="BE182">
        <v>1</v>
      </c>
      <c r="BG182">
        <v>0</v>
      </c>
      <c r="BH182">
        <v>0</v>
      </c>
      <c r="BI182">
        <v>0</v>
      </c>
      <c r="BJ182">
        <v>1675</v>
      </c>
      <c r="BK182">
        <v>-25</v>
      </c>
      <c r="BL182" t="s">
        <v>188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 t="shared" ref="CE182:CE187" si="73">"15:05:02.546"</f>
        <v>15:05:02.546</v>
      </c>
      <c r="CF182">
        <v>545942036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5</v>
      </c>
      <c r="CY182">
        <v>7</v>
      </c>
      <c r="CZ182" t="s">
        <v>133</v>
      </c>
      <c r="DA182">
        <v>275</v>
      </c>
      <c r="DB182">
        <v>0</v>
      </c>
      <c r="DC182" t="s">
        <v>134</v>
      </c>
      <c r="DD182" t="s">
        <v>135</v>
      </c>
      <c r="DG182">
        <v>3317866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"05/01/2025 15:05:02.781"</f>
        <v>05/01/2025 15:05:02.781</v>
      </c>
      <c r="C183" t="str">
        <f t="shared" si="52"/>
        <v>FFDFD3C0</v>
      </c>
      <c r="D183" t="s">
        <v>136</v>
      </c>
      <c r="E183" t="str">
        <f>"20"</f>
        <v>20</v>
      </c>
      <c r="H183">
        <v>400</v>
      </c>
      <c r="I183" t="s">
        <v>137</v>
      </c>
      <c r="J183" t="s">
        <v>138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R183" t="s">
        <v>127</v>
      </c>
      <c r="S183" t="str">
        <f t="shared" si="72"/>
        <v>15:05:02.000</v>
      </c>
      <c r="T183" t="str">
        <f t="shared" si="72"/>
        <v>15:05:02.000</v>
      </c>
      <c r="U183" t="str">
        <f t="shared" si="53"/>
        <v>A68FCB</v>
      </c>
      <c r="V183">
        <v>0</v>
      </c>
      <c r="W183">
        <v>0</v>
      </c>
      <c r="X183">
        <v>2</v>
      </c>
      <c r="Y183">
        <v>0</v>
      </c>
      <c r="AA183">
        <v>1</v>
      </c>
      <c r="AB183">
        <v>8</v>
      </c>
      <c r="AC183">
        <v>3</v>
      </c>
      <c r="AD183">
        <v>0</v>
      </c>
      <c r="AE183">
        <v>9</v>
      </c>
      <c r="AF183" t="s">
        <v>138</v>
      </c>
      <c r="AG183">
        <v>0</v>
      </c>
      <c r="AH183">
        <v>3</v>
      </c>
      <c r="AI183">
        <v>1</v>
      </c>
      <c r="AJ183">
        <v>0</v>
      </c>
      <c r="AK183" t="s">
        <v>199</v>
      </c>
      <c r="AL183">
        <v>38.955696000000003</v>
      </c>
      <c r="AM183" t="s">
        <v>207</v>
      </c>
      <c r="AN183">
        <v>-121.07332700000001</v>
      </c>
      <c r="AO183">
        <v>25</v>
      </c>
      <c r="AP183">
        <v>1700</v>
      </c>
      <c r="AQ183" t="s">
        <v>131</v>
      </c>
      <c r="AR183">
        <v>69</v>
      </c>
      <c r="AS183">
        <v>4</v>
      </c>
      <c r="AT183">
        <v>256</v>
      </c>
      <c r="BB183" t="str">
        <f t="shared" si="54"/>
        <v>1200</v>
      </c>
      <c r="BC183">
        <v>1</v>
      </c>
      <c r="BD183" t="str">
        <f t="shared" si="55"/>
        <v xml:space="preserve">N52156  </v>
      </c>
      <c r="BE183">
        <v>1</v>
      </c>
      <c r="BG183">
        <v>0</v>
      </c>
      <c r="BH183">
        <v>0</v>
      </c>
      <c r="BI183">
        <v>0</v>
      </c>
      <c r="BJ183">
        <v>1675</v>
      </c>
      <c r="BK183">
        <v>-25</v>
      </c>
      <c r="BL183" t="s">
        <v>188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 t="shared" si="73"/>
        <v>15:05:02.546</v>
      </c>
      <c r="CF183">
        <v>545942036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133</v>
      </c>
      <c r="DA183">
        <v>275</v>
      </c>
      <c r="DB183">
        <v>0</v>
      </c>
      <c r="DC183" t="s">
        <v>134</v>
      </c>
      <c r="DD183" t="s">
        <v>135</v>
      </c>
      <c r="DG183">
        <v>3317866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"05/01/2025 15:05:02.807"</f>
        <v>05/01/2025 15:05:02.807</v>
      </c>
      <c r="C184" t="str">
        <f t="shared" si="52"/>
        <v>FFDFD3C0</v>
      </c>
      <c r="D184" t="s">
        <v>140</v>
      </c>
      <c r="E184" t="str">
        <f>"13"</f>
        <v>13</v>
      </c>
      <c r="F184">
        <v>1019</v>
      </c>
      <c r="G184" t="s">
        <v>141</v>
      </c>
      <c r="J184" t="s">
        <v>142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R184" t="s">
        <v>127</v>
      </c>
      <c r="S184" t="str">
        <f t="shared" si="72"/>
        <v>15:05:02.000</v>
      </c>
      <c r="T184" t="str">
        <f t="shared" si="72"/>
        <v>15:05:02.000</v>
      </c>
      <c r="U184" t="str">
        <f t="shared" si="53"/>
        <v>A68FCB</v>
      </c>
      <c r="V184">
        <v>0</v>
      </c>
      <c r="W184">
        <v>0</v>
      </c>
      <c r="X184">
        <v>2</v>
      </c>
      <c r="Y184">
        <v>0</v>
      </c>
      <c r="AA184">
        <v>1</v>
      </c>
      <c r="AB184">
        <v>8</v>
      </c>
      <c r="AC184">
        <v>3</v>
      </c>
      <c r="AD184">
        <v>0</v>
      </c>
      <c r="AE184">
        <v>9</v>
      </c>
      <c r="AF184" t="s">
        <v>138</v>
      </c>
      <c r="AG184">
        <v>0</v>
      </c>
      <c r="AH184">
        <v>3</v>
      </c>
      <c r="AI184">
        <v>1</v>
      </c>
      <c r="AJ184">
        <v>0</v>
      </c>
      <c r="AK184" t="s">
        <v>199</v>
      </c>
      <c r="AL184">
        <v>38.955696000000003</v>
      </c>
      <c r="AM184" t="s">
        <v>207</v>
      </c>
      <c r="AN184">
        <v>-121.07332700000001</v>
      </c>
      <c r="AO184">
        <v>25</v>
      </c>
      <c r="AP184">
        <v>1700</v>
      </c>
      <c r="AQ184" t="s">
        <v>131</v>
      </c>
      <c r="AR184">
        <v>69</v>
      </c>
      <c r="AS184">
        <v>4</v>
      </c>
      <c r="AT184">
        <v>256</v>
      </c>
      <c r="BB184" t="str">
        <f t="shared" si="54"/>
        <v>1200</v>
      </c>
      <c r="BC184">
        <v>1</v>
      </c>
      <c r="BD184" t="str">
        <f t="shared" si="55"/>
        <v xml:space="preserve">N52156  </v>
      </c>
      <c r="BE184">
        <v>1</v>
      </c>
      <c r="BG184">
        <v>0</v>
      </c>
      <c r="BH184">
        <v>0</v>
      </c>
      <c r="BI184">
        <v>0</v>
      </c>
      <c r="BJ184">
        <v>1675</v>
      </c>
      <c r="BK184">
        <v>-25</v>
      </c>
      <c r="BL184" t="s">
        <v>188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 t="shared" si="73"/>
        <v>15:05:02.546</v>
      </c>
      <c r="CF184">
        <v>545942036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133</v>
      </c>
      <c r="DA184">
        <v>275</v>
      </c>
      <c r="DB184">
        <v>0</v>
      </c>
      <c r="DC184" t="s">
        <v>134</v>
      </c>
      <c r="DD184" t="s">
        <v>135</v>
      </c>
      <c r="DG184">
        <v>3317866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"05/01/2025 15:05:02.814"</f>
        <v>05/01/2025 15:05:02.814</v>
      </c>
      <c r="C185" t="str">
        <f t="shared" si="52"/>
        <v>FFDFD3C0</v>
      </c>
      <c r="D185" t="s">
        <v>143</v>
      </c>
      <c r="E185" t="str">
        <f>"05"</f>
        <v>05</v>
      </c>
      <c r="H185">
        <v>172</v>
      </c>
      <c r="I185" t="s">
        <v>141</v>
      </c>
      <c r="J185" t="s">
        <v>144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R185" t="s">
        <v>127</v>
      </c>
      <c r="S185" t="str">
        <f t="shared" si="72"/>
        <v>15:05:02.000</v>
      </c>
      <c r="T185" t="str">
        <f t="shared" si="72"/>
        <v>15:05:02.000</v>
      </c>
      <c r="U185" t="str">
        <f t="shared" si="53"/>
        <v>A68FCB</v>
      </c>
      <c r="V185">
        <v>0</v>
      </c>
      <c r="W185">
        <v>0</v>
      </c>
      <c r="X185">
        <v>2</v>
      </c>
      <c r="Y185">
        <v>0</v>
      </c>
      <c r="AA185">
        <v>1</v>
      </c>
      <c r="AB185">
        <v>8</v>
      </c>
      <c r="AC185">
        <v>3</v>
      </c>
      <c r="AD185">
        <v>0</v>
      </c>
      <c r="AE185">
        <v>9</v>
      </c>
      <c r="AF185" t="s">
        <v>138</v>
      </c>
      <c r="AG185">
        <v>0</v>
      </c>
      <c r="AH185">
        <v>3</v>
      </c>
      <c r="AI185">
        <v>1</v>
      </c>
      <c r="AJ185">
        <v>0</v>
      </c>
      <c r="AK185" t="s">
        <v>199</v>
      </c>
      <c r="AL185">
        <v>38.955696000000003</v>
      </c>
      <c r="AM185" t="s">
        <v>207</v>
      </c>
      <c r="AN185">
        <v>-121.07332700000001</v>
      </c>
      <c r="AO185">
        <v>25</v>
      </c>
      <c r="AP185">
        <v>1700</v>
      </c>
      <c r="AQ185" t="s">
        <v>131</v>
      </c>
      <c r="AR185">
        <v>69</v>
      </c>
      <c r="AS185">
        <v>4</v>
      </c>
      <c r="AT185">
        <v>256</v>
      </c>
      <c r="BB185" t="str">
        <f t="shared" si="54"/>
        <v>1200</v>
      </c>
      <c r="BC185">
        <v>1</v>
      </c>
      <c r="BD185" t="str">
        <f t="shared" si="55"/>
        <v xml:space="preserve">N52156  </v>
      </c>
      <c r="BE185">
        <v>1</v>
      </c>
      <c r="BG185">
        <v>0</v>
      </c>
      <c r="BH185">
        <v>0</v>
      </c>
      <c r="BI185">
        <v>0</v>
      </c>
      <c r="BJ185">
        <v>1675</v>
      </c>
      <c r="BK185">
        <v>-25</v>
      </c>
      <c r="BL185" t="s">
        <v>188</v>
      </c>
      <c r="BM185">
        <v>1</v>
      </c>
      <c r="BN185">
        <v>1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 t="shared" si="73"/>
        <v>15:05:02.546</v>
      </c>
      <c r="CF185">
        <v>545942036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133</v>
      </c>
      <c r="DA185">
        <v>275</v>
      </c>
      <c r="DB185">
        <v>0</v>
      </c>
      <c r="DC185" t="s">
        <v>134</v>
      </c>
      <c r="DD185" t="s">
        <v>135</v>
      </c>
      <c r="DG185">
        <v>3317866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"05/01/2025 15:05:02.819"</f>
        <v>05/01/2025 15:05:02.819</v>
      </c>
      <c r="C186" t="str">
        <f t="shared" si="52"/>
        <v>FFDFD3C0</v>
      </c>
      <c r="D186" t="s">
        <v>145</v>
      </c>
      <c r="E186" t="str">
        <f>"05"</f>
        <v>05</v>
      </c>
      <c r="H186">
        <v>47</v>
      </c>
      <c r="I186" t="s">
        <v>146</v>
      </c>
      <c r="J186" t="s">
        <v>138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R186" t="s">
        <v>127</v>
      </c>
      <c r="S186" t="str">
        <f t="shared" si="72"/>
        <v>15:05:02.000</v>
      </c>
      <c r="T186" t="str">
        <f t="shared" si="72"/>
        <v>15:05:02.000</v>
      </c>
      <c r="U186" t="str">
        <f t="shared" si="53"/>
        <v>A68FCB</v>
      </c>
      <c r="V186">
        <v>0</v>
      </c>
      <c r="W186">
        <v>0</v>
      </c>
      <c r="X186">
        <v>2</v>
      </c>
      <c r="Y186">
        <v>0</v>
      </c>
      <c r="AA186">
        <v>1</v>
      </c>
      <c r="AB186">
        <v>8</v>
      </c>
      <c r="AC186">
        <v>3</v>
      </c>
      <c r="AD186">
        <v>0</v>
      </c>
      <c r="AE186">
        <v>9</v>
      </c>
      <c r="AF186" t="s">
        <v>138</v>
      </c>
      <c r="AG186">
        <v>0</v>
      </c>
      <c r="AH186">
        <v>3</v>
      </c>
      <c r="AI186">
        <v>1</v>
      </c>
      <c r="AJ186">
        <v>0</v>
      </c>
      <c r="AK186" t="s">
        <v>199</v>
      </c>
      <c r="AL186">
        <v>38.955696000000003</v>
      </c>
      <c r="AM186" t="s">
        <v>207</v>
      </c>
      <c r="AN186">
        <v>-121.07332700000001</v>
      </c>
      <c r="AO186">
        <v>25</v>
      </c>
      <c r="AP186">
        <v>1700</v>
      </c>
      <c r="AQ186" t="s">
        <v>131</v>
      </c>
      <c r="AR186">
        <v>69</v>
      </c>
      <c r="AS186">
        <v>4</v>
      </c>
      <c r="AT186">
        <v>256</v>
      </c>
      <c r="BB186" t="str">
        <f t="shared" si="54"/>
        <v>1200</v>
      </c>
      <c r="BC186">
        <v>1</v>
      </c>
      <c r="BD186" t="str">
        <f t="shared" si="55"/>
        <v xml:space="preserve">N52156  </v>
      </c>
      <c r="BE186">
        <v>1</v>
      </c>
      <c r="BG186">
        <v>0</v>
      </c>
      <c r="BH186">
        <v>0</v>
      </c>
      <c r="BI186">
        <v>0</v>
      </c>
      <c r="BJ186">
        <v>1675</v>
      </c>
      <c r="BK186">
        <v>-25</v>
      </c>
      <c r="BL186" t="s">
        <v>188</v>
      </c>
      <c r="BM186">
        <v>1</v>
      </c>
      <c r="BN186">
        <v>1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 t="shared" si="73"/>
        <v>15:05:02.546</v>
      </c>
      <c r="CF186">
        <v>545942036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133</v>
      </c>
      <c r="DA186">
        <v>275</v>
      </c>
      <c r="DB186">
        <v>0</v>
      </c>
      <c r="DC186" t="s">
        <v>134</v>
      </c>
      <c r="DD186" t="s">
        <v>135</v>
      </c>
      <c r="DG186">
        <v>3317866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"05/01/2025 15:05:02.820"</f>
        <v>05/01/2025 15:05:02.820</v>
      </c>
      <c r="C187" t="str">
        <f t="shared" si="52"/>
        <v>FFDFD3C0</v>
      </c>
      <c r="D187" t="s">
        <v>145</v>
      </c>
      <c r="E187" t="str">
        <f>"09"</f>
        <v>09</v>
      </c>
      <c r="H187">
        <v>51</v>
      </c>
      <c r="I187" t="s">
        <v>147</v>
      </c>
      <c r="J187" t="s">
        <v>138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R187" t="s">
        <v>127</v>
      </c>
      <c r="S187" t="str">
        <f t="shared" si="72"/>
        <v>15:05:02.000</v>
      </c>
      <c r="T187" t="str">
        <f t="shared" si="72"/>
        <v>15:05:02.000</v>
      </c>
      <c r="U187" t="str">
        <f t="shared" si="53"/>
        <v>A68FCB</v>
      </c>
      <c r="V187">
        <v>0</v>
      </c>
      <c r="W187">
        <v>0</v>
      </c>
      <c r="X187">
        <v>2</v>
      </c>
      <c r="Y187">
        <v>0</v>
      </c>
      <c r="AA187">
        <v>1</v>
      </c>
      <c r="AB187">
        <v>8</v>
      </c>
      <c r="AC187">
        <v>3</v>
      </c>
      <c r="AD187">
        <v>0</v>
      </c>
      <c r="AE187">
        <v>9</v>
      </c>
      <c r="AF187" t="s">
        <v>138</v>
      </c>
      <c r="AG187">
        <v>0</v>
      </c>
      <c r="AH187">
        <v>3</v>
      </c>
      <c r="AI187">
        <v>1</v>
      </c>
      <c r="AJ187">
        <v>0</v>
      </c>
      <c r="AK187" t="s">
        <v>199</v>
      </c>
      <c r="AL187">
        <v>38.955696000000003</v>
      </c>
      <c r="AM187" t="s">
        <v>207</v>
      </c>
      <c r="AN187">
        <v>-121.07332700000001</v>
      </c>
      <c r="AO187">
        <v>25</v>
      </c>
      <c r="AP187">
        <v>1700</v>
      </c>
      <c r="AQ187" t="s">
        <v>131</v>
      </c>
      <c r="AR187">
        <v>69</v>
      </c>
      <c r="AS187">
        <v>4</v>
      </c>
      <c r="AT187">
        <v>256</v>
      </c>
      <c r="BB187" t="str">
        <f t="shared" si="54"/>
        <v>1200</v>
      </c>
      <c r="BC187">
        <v>1</v>
      </c>
      <c r="BD187" t="str">
        <f t="shared" si="55"/>
        <v xml:space="preserve">N52156  </v>
      </c>
      <c r="BE187">
        <v>1</v>
      </c>
      <c r="BG187">
        <v>0</v>
      </c>
      <c r="BH187">
        <v>0</v>
      </c>
      <c r="BI187">
        <v>0</v>
      </c>
      <c r="BJ187">
        <v>1675</v>
      </c>
      <c r="BK187">
        <v>-25</v>
      </c>
      <c r="BL187" t="s">
        <v>188</v>
      </c>
      <c r="BM187">
        <v>1</v>
      </c>
      <c r="BN187">
        <v>1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 t="shared" si="73"/>
        <v>15:05:02.546</v>
      </c>
      <c r="CF187">
        <v>545942036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133</v>
      </c>
      <c r="DA187">
        <v>275</v>
      </c>
      <c r="DB187">
        <v>0</v>
      </c>
      <c r="DC187" t="s">
        <v>134</v>
      </c>
      <c r="DD187" t="s">
        <v>135</v>
      </c>
      <c r="DG187">
        <v>3317866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"05/01/2025 15:05:04.060"</f>
        <v>05/01/2025 15:05:04.060</v>
      </c>
      <c r="C188" t="str">
        <f t="shared" si="52"/>
        <v>FFDFD3C0</v>
      </c>
      <c r="D188" t="s">
        <v>140</v>
      </c>
      <c r="E188" t="str">
        <f>"13"</f>
        <v>13</v>
      </c>
      <c r="F188">
        <v>1019</v>
      </c>
      <c r="G188" t="s">
        <v>141</v>
      </c>
      <c r="J188" t="s">
        <v>142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R188" t="s">
        <v>127</v>
      </c>
      <c r="S188" t="str">
        <f t="shared" ref="S188:T193" si="74">"15:05:03.000"</f>
        <v>15:05:03.000</v>
      </c>
      <c r="T188" t="str">
        <f t="shared" si="74"/>
        <v>15:05:03.000</v>
      </c>
      <c r="U188" t="str">
        <f t="shared" si="53"/>
        <v>A68FCB</v>
      </c>
      <c r="V188">
        <v>0</v>
      </c>
      <c r="W188">
        <v>0</v>
      </c>
      <c r="X188">
        <v>2</v>
      </c>
      <c r="Y188">
        <v>0</v>
      </c>
      <c r="AA188">
        <v>1</v>
      </c>
      <c r="AB188">
        <v>8</v>
      </c>
      <c r="AC188">
        <v>3</v>
      </c>
      <c r="AD188">
        <v>0</v>
      </c>
      <c r="AE188">
        <v>9</v>
      </c>
      <c r="AF188" t="s">
        <v>138</v>
      </c>
      <c r="AG188">
        <v>0</v>
      </c>
      <c r="AH188">
        <v>3</v>
      </c>
      <c r="AI188">
        <v>1</v>
      </c>
      <c r="AJ188">
        <v>0</v>
      </c>
      <c r="AK188" t="s">
        <v>205</v>
      </c>
      <c r="AL188">
        <v>38.955674000000002</v>
      </c>
      <c r="AM188" t="s">
        <v>208</v>
      </c>
      <c r="AN188">
        <v>-121.072898</v>
      </c>
      <c r="AO188">
        <v>25</v>
      </c>
      <c r="AP188">
        <v>1700</v>
      </c>
      <c r="AQ188" t="s">
        <v>131</v>
      </c>
      <c r="AR188">
        <v>70</v>
      </c>
      <c r="AS188">
        <v>2</v>
      </c>
      <c r="AT188">
        <v>256</v>
      </c>
      <c r="BB188" t="str">
        <f t="shared" si="54"/>
        <v>1200</v>
      </c>
      <c r="BC188">
        <v>1</v>
      </c>
      <c r="BD188" t="str">
        <f t="shared" si="55"/>
        <v xml:space="preserve">N52156  </v>
      </c>
      <c r="BE188">
        <v>1</v>
      </c>
      <c r="BG188">
        <v>0</v>
      </c>
      <c r="BH188">
        <v>0</v>
      </c>
      <c r="BI188">
        <v>0</v>
      </c>
      <c r="BJ188">
        <v>1700</v>
      </c>
      <c r="BK188">
        <v>0</v>
      </c>
      <c r="BL188" t="s">
        <v>188</v>
      </c>
      <c r="BM188">
        <v>1</v>
      </c>
      <c r="BN188">
        <v>1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 t="shared" ref="CE188:CE193" si="75">"15:05:03.816"</f>
        <v>15:05:03.816</v>
      </c>
      <c r="CF188">
        <v>816442816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133</v>
      </c>
      <c r="DA188">
        <v>275</v>
      </c>
      <c r="DB188">
        <v>0</v>
      </c>
      <c r="DC188" t="s">
        <v>134</v>
      </c>
      <c r="DD188" t="s">
        <v>135</v>
      </c>
      <c r="DG188">
        <v>3317884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"05/01/2025 15:05:04.065"</f>
        <v>05/01/2025 15:05:04.065</v>
      </c>
      <c r="C189" t="str">
        <f t="shared" si="52"/>
        <v>FFDFD3C0</v>
      </c>
      <c r="D189" t="s">
        <v>143</v>
      </c>
      <c r="E189" t="str">
        <f>"05"</f>
        <v>05</v>
      </c>
      <c r="H189">
        <v>172</v>
      </c>
      <c r="I189" t="s">
        <v>141</v>
      </c>
      <c r="J189" t="s">
        <v>144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R189" t="s">
        <v>127</v>
      </c>
      <c r="S189" t="str">
        <f t="shared" si="74"/>
        <v>15:05:03.000</v>
      </c>
      <c r="T189" t="str">
        <f t="shared" si="74"/>
        <v>15:05:03.000</v>
      </c>
      <c r="U189" t="str">
        <f t="shared" si="53"/>
        <v>A68FCB</v>
      </c>
      <c r="V189">
        <v>0</v>
      </c>
      <c r="W189">
        <v>0</v>
      </c>
      <c r="X189">
        <v>2</v>
      </c>
      <c r="Y189">
        <v>0</v>
      </c>
      <c r="AA189">
        <v>1</v>
      </c>
      <c r="AB189">
        <v>8</v>
      </c>
      <c r="AC189">
        <v>3</v>
      </c>
      <c r="AD189">
        <v>0</v>
      </c>
      <c r="AE189">
        <v>9</v>
      </c>
      <c r="AF189" t="s">
        <v>138</v>
      </c>
      <c r="AG189">
        <v>0</v>
      </c>
      <c r="AH189">
        <v>3</v>
      </c>
      <c r="AI189">
        <v>1</v>
      </c>
      <c r="AJ189">
        <v>0</v>
      </c>
      <c r="AK189" t="s">
        <v>205</v>
      </c>
      <c r="AL189">
        <v>38.955674000000002</v>
      </c>
      <c r="AM189" t="s">
        <v>208</v>
      </c>
      <c r="AN189">
        <v>-121.072898</v>
      </c>
      <c r="AO189">
        <v>25</v>
      </c>
      <c r="AP189">
        <v>1700</v>
      </c>
      <c r="AQ189" t="s">
        <v>131</v>
      </c>
      <c r="AR189">
        <v>70</v>
      </c>
      <c r="AS189">
        <v>2</v>
      </c>
      <c r="AT189">
        <v>256</v>
      </c>
      <c r="BB189" t="str">
        <f t="shared" si="54"/>
        <v>1200</v>
      </c>
      <c r="BC189">
        <v>1</v>
      </c>
      <c r="BD189" t="str">
        <f t="shared" si="55"/>
        <v xml:space="preserve">N52156  </v>
      </c>
      <c r="BE189">
        <v>1</v>
      </c>
      <c r="BG189">
        <v>0</v>
      </c>
      <c r="BH189">
        <v>0</v>
      </c>
      <c r="BI189">
        <v>0</v>
      </c>
      <c r="BJ189">
        <v>1700</v>
      </c>
      <c r="BK189">
        <v>0</v>
      </c>
      <c r="BL189" t="s">
        <v>188</v>
      </c>
      <c r="BM189">
        <v>1</v>
      </c>
      <c r="BN189">
        <v>1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 t="shared" si="75"/>
        <v>15:05:03.816</v>
      </c>
      <c r="CF189">
        <v>816442816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5</v>
      </c>
      <c r="CY189">
        <v>7</v>
      </c>
      <c r="CZ189" t="s">
        <v>133</v>
      </c>
      <c r="DA189">
        <v>275</v>
      </c>
      <c r="DB189">
        <v>0</v>
      </c>
      <c r="DC189" t="s">
        <v>134</v>
      </c>
      <c r="DD189" t="s">
        <v>135</v>
      </c>
      <c r="DG189">
        <v>3317884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"05/01/2025 15:05:04.071"</f>
        <v>05/01/2025 15:05:04.071</v>
      </c>
      <c r="C190" t="str">
        <f t="shared" si="52"/>
        <v>FFDFD3C0</v>
      </c>
      <c r="D190" t="s">
        <v>145</v>
      </c>
      <c r="E190" t="str">
        <f>"05"</f>
        <v>05</v>
      </c>
      <c r="H190">
        <v>47</v>
      </c>
      <c r="I190" t="s">
        <v>146</v>
      </c>
      <c r="J190" t="s">
        <v>138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R190" t="s">
        <v>127</v>
      </c>
      <c r="S190" t="str">
        <f t="shared" si="74"/>
        <v>15:05:03.000</v>
      </c>
      <c r="T190" t="str">
        <f t="shared" si="74"/>
        <v>15:05:03.000</v>
      </c>
      <c r="U190" t="str">
        <f t="shared" si="53"/>
        <v>A68FCB</v>
      </c>
      <c r="V190">
        <v>0</v>
      </c>
      <c r="W190">
        <v>0</v>
      </c>
      <c r="X190">
        <v>2</v>
      </c>
      <c r="Y190">
        <v>0</v>
      </c>
      <c r="AA190">
        <v>1</v>
      </c>
      <c r="AB190">
        <v>8</v>
      </c>
      <c r="AC190">
        <v>3</v>
      </c>
      <c r="AD190">
        <v>0</v>
      </c>
      <c r="AE190">
        <v>9</v>
      </c>
      <c r="AF190" t="s">
        <v>138</v>
      </c>
      <c r="AG190">
        <v>0</v>
      </c>
      <c r="AH190">
        <v>3</v>
      </c>
      <c r="AI190">
        <v>1</v>
      </c>
      <c r="AJ190">
        <v>0</v>
      </c>
      <c r="AK190" t="s">
        <v>205</v>
      </c>
      <c r="AL190">
        <v>38.955674000000002</v>
      </c>
      <c r="AM190" t="s">
        <v>208</v>
      </c>
      <c r="AN190">
        <v>-121.072898</v>
      </c>
      <c r="AO190">
        <v>25</v>
      </c>
      <c r="AP190">
        <v>1700</v>
      </c>
      <c r="AQ190" t="s">
        <v>131</v>
      </c>
      <c r="AR190">
        <v>70</v>
      </c>
      <c r="AS190">
        <v>2</v>
      </c>
      <c r="AT190">
        <v>256</v>
      </c>
      <c r="BB190" t="str">
        <f t="shared" si="54"/>
        <v>1200</v>
      </c>
      <c r="BC190">
        <v>1</v>
      </c>
      <c r="BD190" t="str">
        <f t="shared" si="55"/>
        <v xml:space="preserve">N52156  </v>
      </c>
      <c r="BE190">
        <v>1</v>
      </c>
      <c r="BG190">
        <v>0</v>
      </c>
      <c r="BH190">
        <v>0</v>
      </c>
      <c r="BI190">
        <v>0</v>
      </c>
      <c r="BJ190">
        <v>1700</v>
      </c>
      <c r="BK190">
        <v>0</v>
      </c>
      <c r="BL190" t="s">
        <v>188</v>
      </c>
      <c r="BM190">
        <v>1</v>
      </c>
      <c r="BN190">
        <v>1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 t="shared" si="75"/>
        <v>15:05:03.816</v>
      </c>
      <c r="CF190">
        <v>816442816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133</v>
      </c>
      <c r="DA190">
        <v>275</v>
      </c>
      <c r="DB190">
        <v>0</v>
      </c>
      <c r="DC190" t="s">
        <v>134</v>
      </c>
      <c r="DD190" t="s">
        <v>135</v>
      </c>
      <c r="DG190">
        <v>3317884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"05/01/2025 15:05:04.072"</f>
        <v>05/01/2025 15:05:04.072</v>
      </c>
      <c r="C191" t="str">
        <f t="shared" si="52"/>
        <v>FFDFD3C0</v>
      </c>
      <c r="D191" t="s">
        <v>145</v>
      </c>
      <c r="E191" t="str">
        <f>"09"</f>
        <v>09</v>
      </c>
      <c r="H191">
        <v>51</v>
      </c>
      <c r="I191" t="s">
        <v>147</v>
      </c>
      <c r="J191" t="s">
        <v>138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R191" t="s">
        <v>127</v>
      </c>
      <c r="S191" t="str">
        <f t="shared" si="74"/>
        <v>15:05:03.000</v>
      </c>
      <c r="T191" t="str">
        <f t="shared" si="74"/>
        <v>15:05:03.000</v>
      </c>
      <c r="U191" t="str">
        <f t="shared" si="53"/>
        <v>A68FCB</v>
      </c>
      <c r="V191">
        <v>0</v>
      </c>
      <c r="W191">
        <v>0</v>
      </c>
      <c r="X191">
        <v>2</v>
      </c>
      <c r="Y191">
        <v>0</v>
      </c>
      <c r="AA191">
        <v>1</v>
      </c>
      <c r="AB191">
        <v>8</v>
      </c>
      <c r="AC191">
        <v>3</v>
      </c>
      <c r="AD191">
        <v>0</v>
      </c>
      <c r="AE191">
        <v>9</v>
      </c>
      <c r="AF191" t="s">
        <v>138</v>
      </c>
      <c r="AG191">
        <v>0</v>
      </c>
      <c r="AH191">
        <v>3</v>
      </c>
      <c r="AI191">
        <v>1</v>
      </c>
      <c r="AJ191">
        <v>0</v>
      </c>
      <c r="AK191" t="s">
        <v>205</v>
      </c>
      <c r="AL191">
        <v>38.955674000000002</v>
      </c>
      <c r="AM191" t="s">
        <v>208</v>
      </c>
      <c r="AN191">
        <v>-121.072898</v>
      </c>
      <c r="AO191">
        <v>25</v>
      </c>
      <c r="AP191">
        <v>1700</v>
      </c>
      <c r="AQ191" t="s">
        <v>131</v>
      </c>
      <c r="AR191">
        <v>70</v>
      </c>
      <c r="AS191">
        <v>2</v>
      </c>
      <c r="AT191">
        <v>256</v>
      </c>
      <c r="BB191" t="str">
        <f t="shared" si="54"/>
        <v>1200</v>
      </c>
      <c r="BC191">
        <v>1</v>
      </c>
      <c r="BD191" t="str">
        <f t="shared" si="55"/>
        <v xml:space="preserve">N52156  </v>
      </c>
      <c r="BE191">
        <v>1</v>
      </c>
      <c r="BG191">
        <v>0</v>
      </c>
      <c r="BH191">
        <v>0</v>
      </c>
      <c r="BI191">
        <v>0</v>
      </c>
      <c r="BJ191">
        <v>1700</v>
      </c>
      <c r="BK191">
        <v>0</v>
      </c>
      <c r="BL191" t="s">
        <v>188</v>
      </c>
      <c r="BM191">
        <v>1</v>
      </c>
      <c r="BN191">
        <v>1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 t="shared" si="75"/>
        <v>15:05:03.816</v>
      </c>
      <c r="CF191">
        <v>816442816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5</v>
      </c>
      <c r="CY191">
        <v>7</v>
      </c>
      <c r="CZ191" t="s">
        <v>133</v>
      </c>
      <c r="DA191">
        <v>275</v>
      </c>
      <c r="DB191">
        <v>0</v>
      </c>
      <c r="DC191" t="s">
        <v>134</v>
      </c>
      <c r="DD191" t="s">
        <v>135</v>
      </c>
      <c r="DG191">
        <v>3317884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"05/01/2025 15:05:04.076"</f>
        <v>05/01/2025 15:05:04.076</v>
      </c>
      <c r="C192" t="str">
        <f t="shared" si="52"/>
        <v>FFDFD3C0</v>
      </c>
      <c r="D192" t="s">
        <v>124</v>
      </c>
      <c r="E192" t="str">
        <f>"06"</f>
        <v>06</v>
      </c>
      <c r="F192">
        <v>2006</v>
      </c>
      <c r="G192" t="s">
        <v>125</v>
      </c>
      <c r="J192" t="s">
        <v>126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R192" t="s">
        <v>127</v>
      </c>
      <c r="S192" t="str">
        <f t="shared" si="74"/>
        <v>15:05:03.000</v>
      </c>
      <c r="T192" t="str">
        <f t="shared" si="74"/>
        <v>15:05:03.000</v>
      </c>
      <c r="U192" t="str">
        <f t="shared" si="53"/>
        <v>A68FCB</v>
      </c>
      <c r="V192">
        <v>0</v>
      </c>
      <c r="W192">
        <v>0</v>
      </c>
      <c r="X192">
        <v>2</v>
      </c>
      <c r="Y192">
        <v>0</v>
      </c>
      <c r="AA192">
        <v>1</v>
      </c>
      <c r="AB192">
        <v>8</v>
      </c>
      <c r="AC192">
        <v>3</v>
      </c>
      <c r="AD192">
        <v>0</v>
      </c>
      <c r="AE192">
        <v>9</v>
      </c>
      <c r="AF192" t="s">
        <v>138</v>
      </c>
      <c r="AG192">
        <v>0</v>
      </c>
      <c r="AH192">
        <v>3</v>
      </c>
      <c r="AI192">
        <v>1</v>
      </c>
      <c r="AJ192">
        <v>0</v>
      </c>
      <c r="AK192" t="s">
        <v>205</v>
      </c>
      <c r="AL192">
        <v>38.955674000000002</v>
      </c>
      <c r="AM192" t="s">
        <v>208</v>
      </c>
      <c r="AN192">
        <v>-121.072898</v>
      </c>
      <c r="AO192">
        <v>25</v>
      </c>
      <c r="AP192">
        <v>1700</v>
      </c>
      <c r="AQ192" t="s">
        <v>131</v>
      </c>
      <c r="AR192">
        <v>70</v>
      </c>
      <c r="AS192">
        <v>2</v>
      </c>
      <c r="AT192">
        <v>256</v>
      </c>
      <c r="BB192" t="str">
        <f t="shared" si="54"/>
        <v>1200</v>
      </c>
      <c r="BC192">
        <v>1</v>
      </c>
      <c r="BD192" t="str">
        <f t="shared" si="55"/>
        <v xml:space="preserve">N52156  </v>
      </c>
      <c r="BE192">
        <v>1</v>
      </c>
      <c r="BG192">
        <v>0</v>
      </c>
      <c r="BH192">
        <v>0</v>
      </c>
      <c r="BI192">
        <v>0</v>
      </c>
      <c r="BJ192">
        <v>1700</v>
      </c>
      <c r="BK192">
        <v>0</v>
      </c>
      <c r="BL192" t="s">
        <v>188</v>
      </c>
      <c r="BM192">
        <v>1</v>
      </c>
      <c r="BN192">
        <v>1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 t="shared" si="75"/>
        <v>15:05:03.816</v>
      </c>
      <c r="CF192">
        <v>816442816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5</v>
      </c>
      <c r="CY192">
        <v>7</v>
      </c>
      <c r="CZ192" t="s">
        <v>133</v>
      </c>
      <c r="DA192">
        <v>275</v>
      </c>
      <c r="DB192">
        <v>0</v>
      </c>
      <c r="DC192" t="s">
        <v>134</v>
      </c>
      <c r="DD192" t="s">
        <v>135</v>
      </c>
      <c r="DG192">
        <v>3317884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"05/01/2025 15:05:04.083"</f>
        <v>05/01/2025 15:05:04.083</v>
      </c>
      <c r="C193" t="str">
        <f t="shared" si="52"/>
        <v>FFDFD3C0</v>
      </c>
      <c r="D193" t="s">
        <v>136</v>
      </c>
      <c r="E193" t="str">
        <f>"20"</f>
        <v>20</v>
      </c>
      <c r="H193">
        <v>400</v>
      </c>
      <c r="I193" t="s">
        <v>137</v>
      </c>
      <c r="J193" t="s">
        <v>138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R193" t="s">
        <v>127</v>
      </c>
      <c r="S193" t="str">
        <f t="shared" si="74"/>
        <v>15:05:03.000</v>
      </c>
      <c r="T193" t="str">
        <f t="shared" si="74"/>
        <v>15:05:03.000</v>
      </c>
      <c r="U193" t="str">
        <f t="shared" si="53"/>
        <v>A68FCB</v>
      </c>
      <c r="V193">
        <v>0</v>
      </c>
      <c r="W193">
        <v>0</v>
      </c>
      <c r="X193">
        <v>2</v>
      </c>
      <c r="Y193">
        <v>0</v>
      </c>
      <c r="AA193">
        <v>1</v>
      </c>
      <c r="AB193">
        <v>8</v>
      </c>
      <c r="AC193">
        <v>3</v>
      </c>
      <c r="AD193">
        <v>0</v>
      </c>
      <c r="AE193">
        <v>9</v>
      </c>
      <c r="AF193" t="s">
        <v>138</v>
      </c>
      <c r="AG193">
        <v>0</v>
      </c>
      <c r="AH193">
        <v>3</v>
      </c>
      <c r="AI193">
        <v>1</v>
      </c>
      <c r="AJ193">
        <v>0</v>
      </c>
      <c r="AK193" t="s">
        <v>205</v>
      </c>
      <c r="AL193">
        <v>38.955674000000002</v>
      </c>
      <c r="AM193" t="s">
        <v>208</v>
      </c>
      <c r="AN193">
        <v>-121.072898</v>
      </c>
      <c r="AO193">
        <v>25</v>
      </c>
      <c r="AP193">
        <v>1700</v>
      </c>
      <c r="AQ193" t="s">
        <v>131</v>
      </c>
      <c r="AR193">
        <v>70</v>
      </c>
      <c r="AS193">
        <v>2</v>
      </c>
      <c r="AT193">
        <v>256</v>
      </c>
      <c r="BB193" t="str">
        <f t="shared" si="54"/>
        <v>1200</v>
      </c>
      <c r="BC193">
        <v>1</v>
      </c>
      <c r="BD193" t="str">
        <f t="shared" si="55"/>
        <v xml:space="preserve">N52156  </v>
      </c>
      <c r="BE193">
        <v>1</v>
      </c>
      <c r="BG193">
        <v>0</v>
      </c>
      <c r="BH193">
        <v>0</v>
      </c>
      <c r="BI193">
        <v>0</v>
      </c>
      <c r="BJ193">
        <v>1700</v>
      </c>
      <c r="BK193">
        <v>0</v>
      </c>
      <c r="BL193" t="s">
        <v>188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 t="shared" si="75"/>
        <v>15:05:03.816</v>
      </c>
      <c r="CF193">
        <v>816442816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5</v>
      </c>
      <c r="CY193">
        <v>7</v>
      </c>
      <c r="CZ193" t="s">
        <v>133</v>
      </c>
      <c r="DA193">
        <v>275</v>
      </c>
      <c r="DB193">
        <v>0</v>
      </c>
      <c r="DC193" t="s">
        <v>134</v>
      </c>
      <c r="DD193" t="s">
        <v>135</v>
      </c>
      <c r="DG193">
        <v>3317884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"05/01/2025 15:05:04.661"</f>
        <v>05/01/2025 15:05:04.661</v>
      </c>
      <c r="C194" t="str">
        <f t="shared" ref="C194:C257" si="76">"FFDFD3C0"</f>
        <v>FFDFD3C0</v>
      </c>
      <c r="D194" t="s">
        <v>140</v>
      </c>
      <c r="E194" t="str">
        <f>"13"</f>
        <v>13</v>
      </c>
      <c r="F194">
        <v>1019</v>
      </c>
      <c r="G194" t="s">
        <v>141</v>
      </c>
      <c r="J194" t="s">
        <v>142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R194" t="s">
        <v>127</v>
      </c>
      <c r="S194" t="str">
        <f t="shared" ref="S194:T199" si="77">"15:05:04.000"</f>
        <v>15:05:04.000</v>
      </c>
      <c r="T194" t="str">
        <f t="shared" si="77"/>
        <v>15:05:04.000</v>
      </c>
      <c r="U194" t="str">
        <f t="shared" ref="U194:U257" si="78">"A68FCB"</f>
        <v>A68FCB</v>
      </c>
      <c r="V194">
        <v>0</v>
      </c>
      <c r="W194">
        <v>0</v>
      </c>
      <c r="X194">
        <v>2</v>
      </c>
      <c r="Y194">
        <v>0</v>
      </c>
      <c r="AA194">
        <v>1</v>
      </c>
      <c r="AB194">
        <v>8</v>
      </c>
      <c r="AC194">
        <v>3</v>
      </c>
      <c r="AD194">
        <v>0</v>
      </c>
      <c r="AE194">
        <v>9</v>
      </c>
      <c r="AF194" t="s">
        <v>138</v>
      </c>
      <c r="AG194">
        <v>0</v>
      </c>
      <c r="AH194">
        <v>3</v>
      </c>
      <c r="AI194">
        <v>1</v>
      </c>
      <c r="AJ194">
        <v>0</v>
      </c>
      <c r="AK194" t="s">
        <v>209</v>
      </c>
      <c r="AL194">
        <v>38.955717</v>
      </c>
      <c r="AM194" t="s">
        <v>210</v>
      </c>
      <c r="AN194">
        <v>-121.07249</v>
      </c>
      <c r="AO194">
        <v>25</v>
      </c>
      <c r="AP194">
        <v>1700</v>
      </c>
      <c r="AQ194" t="s">
        <v>131</v>
      </c>
      <c r="AR194">
        <v>70</v>
      </c>
      <c r="AS194">
        <v>2</v>
      </c>
      <c r="AT194">
        <v>256</v>
      </c>
      <c r="BB194" t="str">
        <f t="shared" ref="BB194:BB257" si="79">"1200"</f>
        <v>1200</v>
      </c>
      <c r="BC194">
        <v>1</v>
      </c>
      <c r="BD194" t="str">
        <f t="shared" ref="BD194:BD257" si="80">"N52156  "</f>
        <v xml:space="preserve">N52156  </v>
      </c>
      <c r="BE194">
        <v>1</v>
      </c>
      <c r="BG194">
        <v>0</v>
      </c>
      <c r="BH194">
        <v>0</v>
      </c>
      <c r="BI194">
        <v>0</v>
      </c>
      <c r="BJ194">
        <v>1700</v>
      </c>
      <c r="BK194">
        <v>0</v>
      </c>
      <c r="BL194" t="s">
        <v>188</v>
      </c>
      <c r="BM194">
        <v>1</v>
      </c>
      <c r="BN194">
        <v>1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 t="shared" ref="CE194:CE199" si="81">"15:05:04.451"</f>
        <v>15:05:04.451</v>
      </c>
      <c r="CF194">
        <v>451191989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133</v>
      </c>
      <c r="DA194">
        <v>275</v>
      </c>
      <c r="DB194">
        <v>0</v>
      </c>
      <c r="DC194" t="s">
        <v>134</v>
      </c>
      <c r="DD194" t="s">
        <v>135</v>
      </c>
      <c r="DG194">
        <v>3317891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"05/01/2025 15:05:04.666"</f>
        <v>05/01/2025 15:05:04.666</v>
      </c>
      <c r="C195" t="str">
        <f t="shared" si="76"/>
        <v>FFDFD3C0</v>
      </c>
      <c r="D195" t="s">
        <v>143</v>
      </c>
      <c r="E195" t="str">
        <f>"05"</f>
        <v>05</v>
      </c>
      <c r="H195">
        <v>172</v>
      </c>
      <c r="I195" t="s">
        <v>141</v>
      </c>
      <c r="J195" t="s">
        <v>144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R195" t="s">
        <v>127</v>
      </c>
      <c r="S195" t="str">
        <f t="shared" si="77"/>
        <v>15:05:04.000</v>
      </c>
      <c r="T195" t="str">
        <f t="shared" si="77"/>
        <v>15:05:04.000</v>
      </c>
      <c r="U195" t="str">
        <f t="shared" si="78"/>
        <v>A68FCB</v>
      </c>
      <c r="V195">
        <v>0</v>
      </c>
      <c r="W195">
        <v>0</v>
      </c>
      <c r="X195">
        <v>2</v>
      </c>
      <c r="Y195">
        <v>0</v>
      </c>
      <c r="AA195">
        <v>1</v>
      </c>
      <c r="AB195">
        <v>8</v>
      </c>
      <c r="AC195">
        <v>3</v>
      </c>
      <c r="AD195">
        <v>0</v>
      </c>
      <c r="AE195">
        <v>9</v>
      </c>
      <c r="AF195" t="s">
        <v>138</v>
      </c>
      <c r="AG195">
        <v>0</v>
      </c>
      <c r="AH195">
        <v>3</v>
      </c>
      <c r="AI195">
        <v>1</v>
      </c>
      <c r="AJ195">
        <v>0</v>
      </c>
      <c r="AK195" t="s">
        <v>209</v>
      </c>
      <c r="AL195">
        <v>38.955717</v>
      </c>
      <c r="AM195" t="s">
        <v>210</v>
      </c>
      <c r="AN195">
        <v>-121.07249</v>
      </c>
      <c r="AO195">
        <v>25</v>
      </c>
      <c r="AP195">
        <v>1700</v>
      </c>
      <c r="AQ195" t="s">
        <v>131</v>
      </c>
      <c r="AR195">
        <v>70</v>
      </c>
      <c r="AS195">
        <v>2</v>
      </c>
      <c r="AT195">
        <v>256</v>
      </c>
      <c r="BB195" t="str">
        <f t="shared" si="79"/>
        <v>1200</v>
      </c>
      <c r="BC195">
        <v>1</v>
      </c>
      <c r="BD195" t="str">
        <f t="shared" si="80"/>
        <v xml:space="preserve">N52156  </v>
      </c>
      <c r="BE195">
        <v>1</v>
      </c>
      <c r="BG195">
        <v>0</v>
      </c>
      <c r="BH195">
        <v>0</v>
      </c>
      <c r="BI195">
        <v>0</v>
      </c>
      <c r="BJ195">
        <v>1700</v>
      </c>
      <c r="BK195">
        <v>0</v>
      </c>
      <c r="BL195" t="s">
        <v>188</v>
      </c>
      <c r="BM195">
        <v>1</v>
      </c>
      <c r="BN195">
        <v>1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 t="shared" si="81"/>
        <v>15:05:04.451</v>
      </c>
      <c r="CF195">
        <v>451191989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133</v>
      </c>
      <c r="DA195">
        <v>275</v>
      </c>
      <c r="DB195">
        <v>0</v>
      </c>
      <c r="DC195" t="s">
        <v>134</v>
      </c>
      <c r="DD195" t="s">
        <v>135</v>
      </c>
      <c r="DG195">
        <v>3317891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"05/01/2025 15:05:04.672"</f>
        <v>05/01/2025 15:05:04.672</v>
      </c>
      <c r="C196" t="str">
        <f t="shared" si="76"/>
        <v>FFDFD3C0</v>
      </c>
      <c r="D196" t="s">
        <v>145</v>
      </c>
      <c r="E196" t="str">
        <f>"05"</f>
        <v>05</v>
      </c>
      <c r="H196">
        <v>47</v>
      </c>
      <c r="I196" t="s">
        <v>146</v>
      </c>
      <c r="J196" t="s">
        <v>138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R196" t="s">
        <v>127</v>
      </c>
      <c r="S196" t="str">
        <f t="shared" si="77"/>
        <v>15:05:04.000</v>
      </c>
      <c r="T196" t="str">
        <f t="shared" si="77"/>
        <v>15:05:04.000</v>
      </c>
      <c r="U196" t="str">
        <f t="shared" si="78"/>
        <v>A68FCB</v>
      </c>
      <c r="V196">
        <v>0</v>
      </c>
      <c r="W196">
        <v>0</v>
      </c>
      <c r="X196">
        <v>2</v>
      </c>
      <c r="Y196">
        <v>0</v>
      </c>
      <c r="AA196">
        <v>1</v>
      </c>
      <c r="AB196">
        <v>8</v>
      </c>
      <c r="AC196">
        <v>3</v>
      </c>
      <c r="AD196">
        <v>0</v>
      </c>
      <c r="AE196">
        <v>9</v>
      </c>
      <c r="AF196" t="s">
        <v>138</v>
      </c>
      <c r="AG196">
        <v>0</v>
      </c>
      <c r="AH196">
        <v>3</v>
      </c>
      <c r="AI196">
        <v>1</v>
      </c>
      <c r="AJ196">
        <v>0</v>
      </c>
      <c r="AK196" t="s">
        <v>209</v>
      </c>
      <c r="AL196">
        <v>38.955717</v>
      </c>
      <c r="AM196" t="s">
        <v>210</v>
      </c>
      <c r="AN196">
        <v>-121.07249</v>
      </c>
      <c r="AO196">
        <v>25</v>
      </c>
      <c r="AP196">
        <v>1700</v>
      </c>
      <c r="AQ196" t="s">
        <v>131</v>
      </c>
      <c r="AR196">
        <v>70</v>
      </c>
      <c r="AS196">
        <v>2</v>
      </c>
      <c r="AT196">
        <v>256</v>
      </c>
      <c r="BB196" t="str">
        <f t="shared" si="79"/>
        <v>1200</v>
      </c>
      <c r="BC196">
        <v>1</v>
      </c>
      <c r="BD196" t="str">
        <f t="shared" si="80"/>
        <v xml:space="preserve">N52156  </v>
      </c>
      <c r="BE196">
        <v>1</v>
      </c>
      <c r="BG196">
        <v>0</v>
      </c>
      <c r="BH196">
        <v>0</v>
      </c>
      <c r="BI196">
        <v>0</v>
      </c>
      <c r="BJ196">
        <v>1700</v>
      </c>
      <c r="BK196">
        <v>0</v>
      </c>
      <c r="BL196" t="s">
        <v>188</v>
      </c>
      <c r="BM196">
        <v>1</v>
      </c>
      <c r="BN196">
        <v>1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 t="shared" si="81"/>
        <v>15:05:04.451</v>
      </c>
      <c r="CF196">
        <v>451191989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133</v>
      </c>
      <c r="DA196">
        <v>275</v>
      </c>
      <c r="DB196">
        <v>0</v>
      </c>
      <c r="DC196" t="s">
        <v>134</v>
      </c>
      <c r="DD196" t="s">
        <v>135</v>
      </c>
      <c r="DG196">
        <v>3317891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"05/01/2025 15:05:04.673"</f>
        <v>05/01/2025 15:05:04.673</v>
      </c>
      <c r="C197" t="str">
        <f t="shared" si="76"/>
        <v>FFDFD3C0</v>
      </c>
      <c r="D197" t="s">
        <v>145</v>
      </c>
      <c r="E197" t="str">
        <f>"09"</f>
        <v>09</v>
      </c>
      <c r="H197">
        <v>51</v>
      </c>
      <c r="I197" t="s">
        <v>147</v>
      </c>
      <c r="J197" t="s">
        <v>138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R197" t="s">
        <v>127</v>
      </c>
      <c r="S197" t="str">
        <f t="shared" si="77"/>
        <v>15:05:04.000</v>
      </c>
      <c r="T197" t="str">
        <f t="shared" si="77"/>
        <v>15:05:04.000</v>
      </c>
      <c r="U197" t="str">
        <f t="shared" si="78"/>
        <v>A68FCB</v>
      </c>
      <c r="V197">
        <v>0</v>
      </c>
      <c r="W197">
        <v>0</v>
      </c>
      <c r="X197">
        <v>2</v>
      </c>
      <c r="Y197">
        <v>0</v>
      </c>
      <c r="AA197">
        <v>1</v>
      </c>
      <c r="AB197">
        <v>8</v>
      </c>
      <c r="AC197">
        <v>3</v>
      </c>
      <c r="AD197">
        <v>0</v>
      </c>
      <c r="AE197">
        <v>9</v>
      </c>
      <c r="AF197" t="s">
        <v>138</v>
      </c>
      <c r="AG197">
        <v>0</v>
      </c>
      <c r="AH197">
        <v>3</v>
      </c>
      <c r="AI197">
        <v>1</v>
      </c>
      <c r="AJ197">
        <v>0</v>
      </c>
      <c r="AK197" t="s">
        <v>209</v>
      </c>
      <c r="AL197">
        <v>38.955717</v>
      </c>
      <c r="AM197" t="s">
        <v>210</v>
      </c>
      <c r="AN197">
        <v>-121.07249</v>
      </c>
      <c r="AO197">
        <v>25</v>
      </c>
      <c r="AP197">
        <v>1700</v>
      </c>
      <c r="AQ197" t="s">
        <v>131</v>
      </c>
      <c r="AR197">
        <v>70</v>
      </c>
      <c r="AS197">
        <v>2</v>
      </c>
      <c r="AT197">
        <v>256</v>
      </c>
      <c r="BB197" t="str">
        <f t="shared" si="79"/>
        <v>1200</v>
      </c>
      <c r="BC197">
        <v>1</v>
      </c>
      <c r="BD197" t="str">
        <f t="shared" si="80"/>
        <v xml:space="preserve">N52156  </v>
      </c>
      <c r="BE197">
        <v>1</v>
      </c>
      <c r="BG197">
        <v>0</v>
      </c>
      <c r="BH197">
        <v>0</v>
      </c>
      <c r="BI197">
        <v>0</v>
      </c>
      <c r="BJ197">
        <v>1700</v>
      </c>
      <c r="BK197">
        <v>0</v>
      </c>
      <c r="BL197" t="s">
        <v>188</v>
      </c>
      <c r="BM197">
        <v>1</v>
      </c>
      <c r="BN197">
        <v>1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 t="shared" si="81"/>
        <v>15:05:04.451</v>
      </c>
      <c r="CF197">
        <v>451191989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133</v>
      </c>
      <c r="DA197">
        <v>275</v>
      </c>
      <c r="DB197">
        <v>0</v>
      </c>
      <c r="DC197" t="s">
        <v>134</v>
      </c>
      <c r="DD197" t="s">
        <v>135</v>
      </c>
      <c r="DG197">
        <v>3317891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"05/01/2025 15:05:04.677"</f>
        <v>05/01/2025 15:05:04.677</v>
      </c>
      <c r="C198" t="str">
        <f t="shared" si="76"/>
        <v>FFDFD3C0</v>
      </c>
      <c r="D198" t="s">
        <v>124</v>
      </c>
      <c r="E198" t="str">
        <f>"06"</f>
        <v>06</v>
      </c>
      <c r="F198">
        <v>2006</v>
      </c>
      <c r="G198" t="s">
        <v>125</v>
      </c>
      <c r="J198" t="s">
        <v>126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R198" t="s">
        <v>127</v>
      </c>
      <c r="S198" t="str">
        <f t="shared" si="77"/>
        <v>15:05:04.000</v>
      </c>
      <c r="T198" t="str">
        <f t="shared" si="77"/>
        <v>15:05:04.000</v>
      </c>
      <c r="U198" t="str">
        <f t="shared" si="78"/>
        <v>A68FCB</v>
      </c>
      <c r="V198">
        <v>0</v>
      </c>
      <c r="W198">
        <v>0</v>
      </c>
      <c r="X198">
        <v>2</v>
      </c>
      <c r="Y198">
        <v>0</v>
      </c>
      <c r="AA198">
        <v>1</v>
      </c>
      <c r="AB198">
        <v>8</v>
      </c>
      <c r="AC198">
        <v>3</v>
      </c>
      <c r="AD198">
        <v>0</v>
      </c>
      <c r="AE198">
        <v>9</v>
      </c>
      <c r="AF198" t="s">
        <v>138</v>
      </c>
      <c r="AG198">
        <v>0</v>
      </c>
      <c r="AH198">
        <v>3</v>
      </c>
      <c r="AI198">
        <v>1</v>
      </c>
      <c r="AJ198">
        <v>0</v>
      </c>
      <c r="AK198" t="s">
        <v>209</v>
      </c>
      <c r="AL198">
        <v>38.955717</v>
      </c>
      <c r="AM198" t="s">
        <v>210</v>
      </c>
      <c r="AN198">
        <v>-121.07249</v>
      </c>
      <c r="AO198">
        <v>25</v>
      </c>
      <c r="AP198">
        <v>1700</v>
      </c>
      <c r="AQ198" t="s">
        <v>131</v>
      </c>
      <c r="AR198">
        <v>70</v>
      </c>
      <c r="AS198">
        <v>2</v>
      </c>
      <c r="AT198">
        <v>256</v>
      </c>
      <c r="BB198" t="str">
        <f t="shared" si="79"/>
        <v>1200</v>
      </c>
      <c r="BC198">
        <v>1</v>
      </c>
      <c r="BD198" t="str">
        <f t="shared" si="80"/>
        <v xml:space="preserve">N52156  </v>
      </c>
      <c r="BE198">
        <v>1</v>
      </c>
      <c r="BG198">
        <v>0</v>
      </c>
      <c r="BH198">
        <v>0</v>
      </c>
      <c r="BI198">
        <v>0</v>
      </c>
      <c r="BJ198">
        <v>1700</v>
      </c>
      <c r="BK198">
        <v>0</v>
      </c>
      <c r="BL198" t="s">
        <v>188</v>
      </c>
      <c r="BM198">
        <v>1</v>
      </c>
      <c r="BN198">
        <v>1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 t="shared" si="81"/>
        <v>15:05:04.451</v>
      </c>
      <c r="CF198">
        <v>451191989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5</v>
      </c>
      <c r="CY198">
        <v>7</v>
      </c>
      <c r="CZ198" t="s">
        <v>133</v>
      </c>
      <c r="DA198">
        <v>275</v>
      </c>
      <c r="DB198">
        <v>0</v>
      </c>
      <c r="DC198" t="s">
        <v>134</v>
      </c>
      <c r="DD198" t="s">
        <v>135</v>
      </c>
      <c r="DG198">
        <v>3317891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"05/01/2025 15:05:04.684"</f>
        <v>05/01/2025 15:05:04.684</v>
      </c>
      <c r="C199" t="str">
        <f t="shared" si="76"/>
        <v>FFDFD3C0</v>
      </c>
      <c r="D199" t="s">
        <v>136</v>
      </c>
      <c r="E199" t="str">
        <f>"20"</f>
        <v>20</v>
      </c>
      <c r="H199">
        <v>400</v>
      </c>
      <c r="I199" t="s">
        <v>137</v>
      </c>
      <c r="J199" t="s">
        <v>138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R199" t="s">
        <v>127</v>
      </c>
      <c r="S199" t="str">
        <f t="shared" si="77"/>
        <v>15:05:04.000</v>
      </c>
      <c r="T199" t="str">
        <f t="shared" si="77"/>
        <v>15:05:04.000</v>
      </c>
      <c r="U199" t="str">
        <f t="shared" si="78"/>
        <v>A68FCB</v>
      </c>
      <c r="V199">
        <v>0</v>
      </c>
      <c r="W199">
        <v>0</v>
      </c>
      <c r="X199">
        <v>2</v>
      </c>
      <c r="Y199">
        <v>0</v>
      </c>
      <c r="AA199">
        <v>1</v>
      </c>
      <c r="AB199">
        <v>8</v>
      </c>
      <c r="AC199">
        <v>3</v>
      </c>
      <c r="AD199">
        <v>0</v>
      </c>
      <c r="AE199">
        <v>9</v>
      </c>
      <c r="AF199" t="s">
        <v>138</v>
      </c>
      <c r="AG199">
        <v>0</v>
      </c>
      <c r="AH199">
        <v>3</v>
      </c>
      <c r="AI199">
        <v>1</v>
      </c>
      <c r="AJ199">
        <v>0</v>
      </c>
      <c r="AK199" t="s">
        <v>209</v>
      </c>
      <c r="AL199">
        <v>38.955717</v>
      </c>
      <c r="AM199" t="s">
        <v>210</v>
      </c>
      <c r="AN199">
        <v>-121.07249</v>
      </c>
      <c r="AO199">
        <v>25</v>
      </c>
      <c r="AP199">
        <v>1700</v>
      </c>
      <c r="AQ199" t="s">
        <v>131</v>
      </c>
      <c r="AR199">
        <v>70</v>
      </c>
      <c r="AS199">
        <v>2</v>
      </c>
      <c r="AT199">
        <v>256</v>
      </c>
      <c r="BB199" t="str">
        <f t="shared" si="79"/>
        <v>1200</v>
      </c>
      <c r="BC199">
        <v>1</v>
      </c>
      <c r="BD199" t="str">
        <f t="shared" si="80"/>
        <v xml:space="preserve">N52156  </v>
      </c>
      <c r="BE199">
        <v>1</v>
      </c>
      <c r="BG199">
        <v>0</v>
      </c>
      <c r="BH199">
        <v>0</v>
      </c>
      <c r="BI199">
        <v>0</v>
      </c>
      <c r="BJ199">
        <v>1700</v>
      </c>
      <c r="BK199">
        <v>0</v>
      </c>
      <c r="BL199" t="s">
        <v>188</v>
      </c>
      <c r="BM199">
        <v>1</v>
      </c>
      <c r="BN199">
        <v>1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 t="shared" si="81"/>
        <v>15:05:04.451</v>
      </c>
      <c r="CF199">
        <v>451191989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133</v>
      </c>
      <c r="DA199">
        <v>275</v>
      </c>
      <c r="DB199">
        <v>0</v>
      </c>
      <c r="DC199" t="s">
        <v>134</v>
      </c>
      <c r="DD199" t="s">
        <v>135</v>
      </c>
      <c r="DG199">
        <v>3317891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"05/01/2025 15:05:06.164"</f>
        <v>05/01/2025 15:05:06.164</v>
      </c>
      <c r="C200" t="str">
        <f t="shared" si="76"/>
        <v>FFDFD3C0</v>
      </c>
      <c r="D200" t="s">
        <v>140</v>
      </c>
      <c r="E200" t="str">
        <f>"13"</f>
        <v>13</v>
      </c>
      <c r="F200">
        <v>1019</v>
      </c>
      <c r="G200" t="s">
        <v>141</v>
      </c>
      <c r="J200" t="s">
        <v>142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R200" t="s">
        <v>127</v>
      </c>
      <c r="S200" t="str">
        <f t="shared" ref="S200:T205" si="82">"15:05:05.000"</f>
        <v>15:05:05.000</v>
      </c>
      <c r="T200" t="str">
        <f t="shared" si="82"/>
        <v>15:05:05.000</v>
      </c>
      <c r="U200" t="str">
        <f t="shared" si="78"/>
        <v>A68FCB</v>
      </c>
      <c r="V200">
        <v>0</v>
      </c>
      <c r="W200">
        <v>0</v>
      </c>
      <c r="X200">
        <v>2</v>
      </c>
      <c r="Y200">
        <v>0</v>
      </c>
      <c r="AA200">
        <v>1</v>
      </c>
      <c r="AB200">
        <v>8</v>
      </c>
      <c r="AC200">
        <v>3</v>
      </c>
      <c r="AD200">
        <v>0</v>
      </c>
      <c r="AE200">
        <v>9</v>
      </c>
      <c r="AF200" t="s">
        <v>138</v>
      </c>
      <c r="AG200">
        <v>0</v>
      </c>
      <c r="AH200">
        <v>3</v>
      </c>
      <c r="AI200">
        <v>1</v>
      </c>
      <c r="AJ200">
        <v>0</v>
      </c>
      <c r="AK200" t="s">
        <v>209</v>
      </c>
      <c r="AL200">
        <v>38.955717</v>
      </c>
      <c r="AM200" t="s">
        <v>211</v>
      </c>
      <c r="AN200">
        <v>-121.07206100000001</v>
      </c>
      <c r="AO200">
        <v>25</v>
      </c>
      <c r="AP200">
        <v>1800</v>
      </c>
      <c r="AQ200" t="s">
        <v>131</v>
      </c>
      <c r="AR200">
        <v>72</v>
      </c>
      <c r="AS200">
        <v>2</v>
      </c>
      <c r="AT200">
        <v>384</v>
      </c>
      <c r="BB200" t="str">
        <f t="shared" si="79"/>
        <v>1200</v>
      </c>
      <c r="BC200">
        <v>1</v>
      </c>
      <c r="BD200" t="str">
        <f t="shared" si="80"/>
        <v xml:space="preserve">N52156  </v>
      </c>
      <c r="BE200">
        <v>1</v>
      </c>
      <c r="BG200">
        <v>0</v>
      </c>
      <c r="BH200">
        <v>0</v>
      </c>
      <c r="BI200">
        <v>0</v>
      </c>
      <c r="BJ200">
        <v>1725</v>
      </c>
      <c r="BK200">
        <v>-75</v>
      </c>
      <c r="BL200" t="s">
        <v>188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 t="shared" ref="CE200:CE205" si="83">"15:05:05.931"</f>
        <v>15:05:05.931</v>
      </c>
      <c r="CF200">
        <v>931443349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5</v>
      </c>
      <c r="CY200">
        <v>7</v>
      </c>
      <c r="CZ200" t="s">
        <v>133</v>
      </c>
      <c r="DA200">
        <v>275</v>
      </c>
      <c r="DB200">
        <v>0</v>
      </c>
      <c r="DC200" t="s">
        <v>134</v>
      </c>
      <c r="DD200" t="s">
        <v>135</v>
      </c>
      <c r="DG200">
        <v>3317908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"05/01/2025 15:05:06.169"</f>
        <v>05/01/2025 15:05:06.169</v>
      </c>
      <c r="C201" t="str">
        <f t="shared" si="76"/>
        <v>FFDFD3C0</v>
      </c>
      <c r="D201" t="s">
        <v>143</v>
      </c>
      <c r="E201" t="str">
        <f>"05"</f>
        <v>05</v>
      </c>
      <c r="H201">
        <v>172</v>
      </c>
      <c r="I201" t="s">
        <v>141</v>
      </c>
      <c r="J201" t="s">
        <v>144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R201" t="s">
        <v>127</v>
      </c>
      <c r="S201" t="str">
        <f t="shared" si="82"/>
        <v>15:05:05.000</v>
      </c>
      <c r="T201" t="str">
        <f t="shared" si="82"/>
        <v>15:05:05.000</v>
      </c>
      <c r="U201" t="str">
        <f t="shared" si="78"/>
        <v>A68FCB</v>
      </c>
      <c r="V201">
        <v>0</v>
      </c>
      <c r="W201">
        <v>0</v>
      </c>
      <c r="X201">
        <v>2</v>
      </c>
      <c r="Y201">
        <v>0</v>
      </c>
      <c r="AA201">
        <v>1</v>
      </c>
      <c r="AB201">
        <v>8</v>
      </c>
      <c r="AC201">
        <v>3</v>
      </c>
      <c r="AD201">
        <v>0</v>
      </c>
      <c r="AE201">
        <v>9</v>
      </c>
      <c r="AF201" t="s">
        <v>138</v>
      </c>
      <c r="AG201">
        <v>0</v>
      </c>
      <c r="AH201">
        <v>3</v>
      </c>
      <c r="AI201">
        <v>1</v>
      </c>
      <c r="AJ201">
        <v>0</v>
      </c>
      <c r="AK201" t="s">
        <v>209</v>
      </c>
      <c r="AL201">
        <v>38.955717</v>
      </c>
      <c r="AM201" t="s">
        <v>211</v>
      </c>
      <c r="AN201">
        <v>-121.07206100000001</v>
      </c>
      <c r="AO201">
        <v>25</v>
      </c>
      <c r="AP201">
        <v>1800</v>
      </c>
      <c r="AQ201" t="s">
        <v>131</v>
      </c>
      <c r="AR201">
        <v>72</v>
      </c>
      <c r="AS201">
        <v>2</v>
      </c>
      <c r="AT201">
        <v>384</v>
      </c>
      <c r="BB201" t="str">
        <f t="shared" si="79"/>
        <v>1200</v>
      </c>
      <c r="BC201">
        <v>1</v>
      </c>
      <c r="BD201" t="str">
        <f t="shared" si="80"/>
        <v xml:space="preserve">N52156  </v>
      </c>
      <c r="BE201">
        <v>1</v>
      </c>
      <c r="BG201">
        <v>0</v>
      </c>
      <c r="BH201">
        <v>0</v>
      </c>
      <c r="BI201">
        <v>0</v>
      </c>
      <c r="BJ201">
        <v>1725</v>
      </c>
      <c r="BK201">
        <v>-75</v>
      </c>
      <c r="BL201" t="s">
        <v>188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 t="shared" si="83"/>
        <v>15:05:05.931</v>
      </c>
      <c r="CF201">
        <v>931443349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5</v>
      </c>
      <c r="CY201">
        <v>7</v>
      </c>
      <c r="CZ201" t="s">
        <v>133</v>
      </c>
      <c r="DA201">
        <v>275</v>
      </c>
      <c r="DB201">
        <v>0</v>
      </c>
      <c r="DC201" t="s">
        <v>134</v>
      </c>
      <c r="DD201" t="s">
        <v>135</v>
      </c>
      <c r="DG201">
        <v>3317908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"05/01/2025 15:05:06.175"</f>
        <v>05/01/2025 15:05:06.175</v>
      </c>
      <c r="C202" t="str">
        <f t="shared" si="76"/>
        <v>FFDFD3C0</v>
      </c>
      <c r="D202" t="s">
        <v>145</v>
      </c>
      <c r="E202" t="str">
        <f>"09"</f>
        <v>09</v>
      </c>
      <c r="H202">
        <v>51</v>
      </c>
      <c r="I202" t="s">
        <v>147</v>
      </c>
      <c r="J202" t="s">
        <v>138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R202" t="s">
        <v>127</v>
      </c>
      <c r="S202" t="str">
        <f t="shared" si="82"/>
        <v>15:05:05.000</v>
      </c>
      <c r="T202" t="str">
        <f t="shared" si="82"/>
        <v>15:05:05.000</v>
      </c>
      <c r="U202" t="str">
        <f t="shared" si="78"/>
        <v>A68FCB</v>
      </c>
      <c r="V202">
        <v>0</v>
      </c>
      <c r="W202">
        <v>0</v>
      </c>
      <c r="X202">
        <v>2</v>
      </c>
      <c r="Y202">
        <v>0</v>
      </c>
      <c r="AA202">
        <v>1</v>
      </c>
      <c r="AB202">
        <v>8</v>
      </c>
      <c r="AC202">
        <v>3</v>
      </c>
      <c r="AD202">
        <v>0</v>
      </c>
      <c r="AE202">
        <v>9</v>
      </c>
      <c r="AF202" t="s">
        <v>138</v>
      </c>
      <c r="AG202">
        <v>0</v>
      </c>
      <c r="AH202">
        <v>3</v>
      </c>
      <c r="AI202">
        <v>1</v>
      </c>
      <c r="AJ202">
        <v>0</v>
      </c>
      <c r="AK202" t="s">
        <v>209</v>
      </c>
      <c r="AL202">
        <v>38.955717</v>
      </c>
      <c r="AM202" t="s">
        <v>211</v>
      </c>
      <c r="AN202">
        <v>-121.07206100000001</v>
      </c>
      <c r="AO202">
        <v>25</v>
      </c>
      <c r="AP202">
        <v>1800</v>
      </c>
      <c r="AQ202" t="s">
        <v>131</v>
      </c>
      <c r="AR202">
        <v>72</v>
      </c>
      <c r="AS202">
        <v>2</v>
      </c>
      <c r="AT202">
        <v>384</v>
      </c>
      <c r="BB202" t="str">
        <f t="shared" si="79"/>
        <v>1200</v>
      </c>
      <c r="BC202">
        <v>1</v>
      </c>
      <c r="BD202" t="str">
        <f t="shared" si="80"/>
        <v xml:space="preserve">N52156  </v>
      </c>
      <c r="BE202">
        <v>1</v>
      </c>
      <c r="BG202">
        <v>0</v>
      </c>
      <c r="BH202">
        <v>0</v>
      </c>
      <c r="BI202">
        <v>0</v>
      </c>
      <c r="BJ202">
        <v>1725</v>
      </c>
      <c r="BK202">
        <v>-75</v>
      </c>
      <c r="BL202" t="s">
        <v>188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 t="shared" si="83"/>
        <v>15:05:05.931</v>
      </c>
      <c r="CF202">
        <v>931443349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133</v>
      </c>
      <c r="DA202">
        <v>275</v>
      </c>
      <c r="DB202">
        <v>0</v>
      </c>
      <c r="DC202" t="s">
        <v>134</v>
      </c>
      <c r="DD202" t="s">
        <v>135</v>
      </c>
      <c r="DG202">
        <v>3317908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"05/01/2025 15:05:06.175"</f>
        <v>05/01/2025 15:05:06.175</v>
      </c>
      <c r="C203" t="str">
        <f t="shared" si="76"/>
        <v>FFDFD3C0</v>
      </c>
      <c r="D203" t="s">
        <v>145</v>
      </c>
      <c r="E203" t="str">
        <f>"05"</f>
        <v>05</v>
      </c>
      <c r="H203">
        <v>47</v>
      </c>
      <c r="I203" t="s">
        <v>146</v>
      </c>
      <c r="J203" t="s">
        <v>138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R203" t="s">
        <v>127</v>
      </c>
      <c r="S203" t="str">
        <f t="shared" si="82"/>
        <v>15:05:05.000</v>
      </c>
      <c r="T203" t="str">
        <f t="shared" si="82"/>
        <v>15:05:05.000</v>
      </c>
      <c r="U203" t="str">
        <f t="shared" si="78"/>
        <v>A68FCB</v>
      </c>
      <c r="V203">
        <v>0</v>
      </c>
      <c r="W203">
        <v>0</v>
      </c>
      <c r="X203">
        <v>2</v>
      </c>
      <c r="Y203">
        <v>0</v>
      </c>
      <c r="AA203">
        <v>1</v>
      </c>
      <c r="AB203">
        <v>8</v>
      </c>
      <c r="AC203">
        <v>3</v>
      </c>
      <c r="AD203">
        <v>0</v>
      </c>
      <c r="AE203">
        <v>9</v>
      </c>
      <c r="AF203" t="s">
        <v>138</v>
      </c>
      <c r="AG203">
        <v>0</v>
      </c>
      <c r="AH203">
        <v>3</v>
      </c>
      <c r="AI203">
        <v>1</v>
      </c>
      <c r="AJ203">
        <v>0</v>
      </c>
      <c r="AK203" t="s">
        <v>209</v>
      </c>
      <c r="AL203">
        <v>38.955717</v>
      </c>
      <c r="AM203" t="s">
        <v>211</v>
      </c>
      <c r="AN203">
        <v>-121.07206100000001</v>
      </c>
      <c r="AO203">
        <v>25</v>
      </c>
      <c r="AP203">
        <v>1800</v>
      </c>
      <c r="AQ203" t="s">
        <v>131</v>
      </c>
      <c r="AR203">
        <v>72</v>
      </c>
      <c r="AS203">
        <v>2</v>
      </c>
      <c r="AT203">
        <v>384</v>
      </c>
      <c r="BB203" t="str">
        <f t="shared" si="79"/>
        <v>1200</v>
      </c>
      <c r="BC203">
        <v>1</v>
      </c>
      <c r="BD203" t="str">
        <f t="shared" si="80"/>
        <v xml:space="preserve">N52156  </v>
      </c>
      <c r="BE203">
        <v>1</v>
      </c>
      <c r="BG203">
        <v>0</v>
      </c>
      <c r="BH203">
        <v>0</v>
      </c>
      <c r="BI203">
        <v>0</v>
      </c>
      <c r="BJ203">
        <v>1725</v>
      </c>
      <c r="BK203">
        <v>-75</v>
      </c>
      <c r="BL203" t="s">
        <v>188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 t="shared" si="83"/>
        <v>15:05:05.931</v>
      </c>
      <c r="CF203">
        <v>931443349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133</v>
      </c>
      <c r="DA203">
        <v>275</v>
      </c>
      <c r="DB203">
        <v>0</v>
      </c>
      <c r="DC203" t="s">
        <v>134</v>
      </c>
      <c r="DD203" t="s">
        <v>135</v>
      </c>
      <c r="DG203">
        <v>3317908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"05/01/2025 15:05:06.179"</f>
        <v>05/01/2025 15:05:06.179</v>
      </c>
      <c r="C204" t="str">
        <f t="shared" si="76"/>
        <v>FFDFD3C0</v>
      </c>
      <c r="D204" t="s">
        <v>124</v>
      </c>
      <c r="E204" t="str">
        <f>"06"</f>
        <v>06</v>
      </c>
      <c r="F204">
        <v>2006</v>
      </c>
      <c r="G204" t="s">
        <v>125</v>
      </c>
      <c r="J204" t="s">
        <v>126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R204" t="s">
        <v>127</v>
      </c>
      <c r="S204" t="str">
        <f t="shared" si="82"/>
        <v>15:05:05.000</v>
      </c>
      <c r="T204" t="str">
        <f t="shared" si="82"/>
        <v>15:05:05.000</v>
      </c>
      <c r="U204" t="str">
        <f t="shared" si="78"/>
        <v>A68FCB</v>
      </c>
      <c r="V204">
        <v>0</v>
      </c>
      <c r="W204">
        <v>0</v>
      </c>
      <c r="X204">
        <v>2</v>
      </c>
      <c r="Y204">
        <v>0</v>
      </c>
      <c r="AA204">
        <v>1</v>
      </c>
      <c r="AB204">
        <v>8</v>
      </c>
      <c r="AC204">
        <v>3</v>
      </c>
      <c r="AD204">
        <v>0</v>
      </c>
      <c r="AE204">
        <v>9</v>
      </c>
      <c r="AF204" t="s">
        <v>138</v>
      </c>
      <c r="AG204">
        <v>0</v>
      </c>
      <c r="AH204">
        <v>3</v>
      </c>
      <c r="AI204">
        <v>1</v>
      </c>
      <c r="AJ204">
        <v>0</v>
      </c>
      <c r="AK204" t="s">
        <v>209</v>
      </c>
      <c r="AL204">
        <v>38.955717</v>
      </c>
      <c r="AM204" t="s">
        <v>211</v>
      </c>
      <c r="AN204">
        <v>-121.07206100000001</v>
      </c>
      <c r="AO204">
        <v>25</v>
      </c>
      <c r="AP204">
        <v>1800</v>
      </c>
      <c r="AQ204" t="s">
        <v>131</v>
      </c>
      <c r="AR204">
        <v>72</v>
      </c>
      <c r="AS204">
        <v>2</v>
      </c>
      <c r="AT204">
        <v>384</v>
      </c>
      <c r="BB204" t="str">
        <f t="shared" si="79"/>
        <v>1200</v>
      </c>
      <c r="BC204">
        <v>1</v>
      </c>
      <c r="BD204" t="str">
        <f t="shared" si="80"/>
        <v xml:space="preserve">N52156  </v>
      </c>
      <c r="BE204">
        <v>1</v>
      </c>
      <c r="BG204">
        <v>0</v>
      </c>
      <c r="BH204">
        <v>0</v>
      </c>
      <c r="BI204">
        <v>0</v>
      </c>
      <c r="BJ204">
        <v>1725</v>
      </c>
      <c r="BK204">
        <v>-75</v>
      </c>
      <c r="BL204" t="s">
        <v>188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 t="shared" si="83"/>
        <v>15:05:05.931</v>
      </c>
      <c r="CF204">
        <v>931443349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133</v>
      </c>
      <c r="DA204">
        <v>275</v>
      </c>
      <c r="DB204">
        <v>0</v>
      </c>
      <c r="DC204" t="s">
        <v>134</v>
      </c>
      <c r="DD204" t="s">
        <v>135</v>
      </c>
      <c r="DG204">
        <v>3317908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"05/01/2025 15:05:06.187"</f>
        <v>05/01/2025 15:05:06.187</v>
      </c>
      <c r="C205" t="str">
        <f t="shared" si="76"/>
        <v>FFDFD3C0</v>
      </c>
      <c r="D205" t="s">
        <v>136</v>
      </c>
      <c r="E205" t="str">
        <f>"20"</f>
        <v>20</v>
      </c>
      <c r="H205">
        <v>400</v>
      </c>
      <c r="I205" t="s">
        <v>137</v>
      </c>
      <c r="J205" t="s">
        <v>138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R205" t="s">
        <v>127</v>
      </c>
      <c r="S205" t="str">
        <f t="shared" si="82"/>
        <v>15:05:05.000</v>
      </c>
      <c r="T205" t="str">
        <f t="shared" si="82"/>
        <v>15:05:05.000</v>
      </c>
      <c r="U205" t="str">
        <f t="shared" si="78"/>
        <v>A68FCB</v>
      </c>
      <c r="V205">
        <v>0</v>
      </c>
      <c r="W205">
        <v>0</v>
      </c>
      <c r="X205">
        <v>2</v>
      </c>
      <c r="Y205">
        <v>0</v>
      </c>
      <c r="AA205">
        <v>1</v>
      </c>
      <c r="AB205">
        <v>8</v>
      </c>
      <c r="AC205">
        <v>3</v>
      </c>
      <c r="AD205">
        <v>0</v>
      </c>
      <c r="AE205">
        <v>9</v>
      </c>
      <c r="AF205" t="s">
        <v>138</v>
      </c>
      <c r="AG205">
        <v>0</v>
      </c>
      <c r="AH205">
        <v>3</v>
      </c>
      <c r="AI205">
        <v>1</v>
      </c>
      <c r="AJ205">
        <v>0</v>
      </c>
      <c r="AK205" t="s">
        <v>209</v>
      </c>
      <c r="AL205">
        <v>38.955717</v>
      </c>
      <c r="AM205" t="s">
        <v>211</v>
      </c>
      <c r="AN205">
        <v>-121.07206100000001</v>
      </c>
      <c r="AO205">
        <v>25</v>
      </c>
      <c r="AP205">
        <v>1800</v>
      </c>
      <c r="AQ205" t="s">
        <v>131</v>
      </c>
      <c r="AR205">
        <v>72</v>
      </c>
      <c r="AS205">
        <v>2</v>
      </c>
      <c r="AT205">
        <v>384</v>
      </c>
      <c r="BB205" t="str">
        <f t="shared" si="79"/>
        <v>1200</v>
      </c>
      <c r="BC205">
        <v>1</v>
      </c>
      <c r="BD205" t="str">
        <f t="shared" si="80"/>
        <v xml:space="preserve">N52156  </v>
      </c>
      <c r="BE205">
        <v>1</v>
      </c>
      <c r="BG205">
        <v>0</v>
      </c>
      <c r="BH205">
        <v>0</v>
      </c>
      <c r="BI205">
        <v>0</v>
      </c>
      <c r="BJ205">
        <v>1725</v>
      </c>
      <c r="BK205">
        <v>-75</v>
      </c>
      <c r="BL205" t="s">
        <v>188</v>
      </c>
      <c r="BM205">
        <v>1</v>
      </c>
      <c r="BN205">
        <v>1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 t="shared" si="83"/>
        <v>15:05:05.931</v>
      </c>
      <c r="CF205">
        <v>931443349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133</v>
      </c>
      <c r="DA205">
        <v>275</v>
      </c>
      <c r="DB205">
        <v>0</v>
      </c>
      <c r="DC205" t="s">
        <v>134</v>
      </c>
      <c r="DD205" t="s">
        <v>135</v>
      </c>
      <c r="DG205">
        <v>3317908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"05/01/2025 15:05:06.776"</f>
        <v>05/01/2025 15:05:06.776</v>
      </c>
      <c r="C206" t="str">
        <f t="shared" si="76"/>
        <v>FFDFD3C0</v>
      </c>
      <c r="D206" t="s">
        <v>145</v>
      </c>
      <c r="E206" t="str">
        <f>"09"</f>
        <v>09</v>
      </c>
      <c r="H206">
        <v>51</v>
      </c>
      <c r="I206" t="s">
        <v>147</v>
      </c>
      <c r="J206" t="s">
        <v>138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R206" t="s">
        <v>127</v>
      </c>
      <c r="S206" t="str">
        <f t="shared" ref="S206:T211" si="84">"15:05:06.000"</f>
        <v>15:05:06.000</v>
      </c>
      <c r="T206" t="str">
        <f t="shared" si="84"/>
        <v>15:05:06.000</v>
      </c>
      <c r="U206" t="str">
        <f t="shared" si="78"/>
        <v>A68FCB</v>
      </c>
      <c r="V206">
        <v>0</v>
      </c>
      <c r="W206">
        <v>0</v>
      </c>
      <c r="X206">
        <v>2</v>
      </c>
      <c r="Y206">
        <v>0</v>
      </c>
      <c r="AA206">
        <v>1</v>
      </c>
      <c r="AB206">
        <v>8</v>
      </c>
      <c r="AC206">
        <v>3</v>
      </c>
      <c r="AD206">
        <v>0</v>
      </c>
      <c r="AE206">
        <v>9</v>
      </c>
      <c r="AF206" t="s">
        <v>138</v>
      </c>
      <c r="AG206">
        <v>0</v>
      </c>
      <c r="AH206">
        <v>3</v>
      </c>
      <c r="AI206">
        <v>1</v>
      </c>
      <c r="AJ206">
        <v>0</v>
      </c>
      <c r="AK206" t="s">
        <v>209</v>
      </c>
      <c r="AL206">
        <v>38.955717</v>
      </c>
      <c r="AM206" t="s">
        <v>212</v>
      </c>
      <c r="AN206">
        <v>-121.07163199999999</v>
      </c>
      <c r="AO206">
        <v>25</v>
      </c>
      <c r="AP206">
        <v>1800</v>
      </c>
      <c r="AQ206" t="s">
        <v>131</v>
      </c>
      <c r="AR206">
        <v>71</v>
      </c>
      <c r="AS206">
        <v>0</v>
      </c>
      <c r="AT206">
        <v>448</v>
      </c>
      <c r="BB206" t="str">
        <f t="shared" si="79"/>
        <v>1200</v>
      </c>
      <c r="BC206">
        <v>1</v>
      </c>
      <c r="BD206" t="str">
        <f t="shared" si="80"/>
        <v xml:space="preserve">N52156  </v>
      </c>
      <c r="BE206">
        <v>1</v>
      </c>
      <c r="BG206">
        <v>0</v>
      </c>
      <c r="BH206">
        <v>0</v>
      </c>
      <c r="BI206">
        <v>0</v>
      </c>
      <c r="BJ206">
        <v>1725</v>
      </c>
      <c r="BK206">
        <v>-75</v>
      </c>
      <c r="BL206" t="s">
        <v>188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 t="shared" ref="CE206:CE211" si="85">"15:05:06.566"</f>
        <v>15:05:06.566</v>
      </c>
      <c r="CF206">
        <v>566442484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3</v>
      </c>
      <c r="CY206">
        <v>7</v>
      </c>
      <c r="CZ206" t="s">
        <v>133</v>
      </c>
      <c r="DA206">
        <v>275</v>
      </c>
      <c r="DB206">
        <v>0</v>
      </c>
      <c r="DC206" t="s">
        <v>134</v>
      </c>
      <c r="DD206" t="s">
        <v>135</v>
      </c>
      <c r="DG206">
        <v>3317917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"05/01/2025 15:05:06.776"</f>
        <v>05/01/2025 15:05:06.776</v>
      </c>
      <c r="C207" t="str">
        <f t="shared" si="76"/>
        <v>FFDFD3C0</v>
      </c>
      <c r="D207" t="s">
        <v>145</v>
      </c>
      <c r="E207" t="str">
        <f>"05"</f>
        <v>05</v>
      </c>
      <c r="H207">
        <v>47</v>
      </c>
      <c r="I207" t="s">
        <v>146</v>
      </c>
      <c r="J207" t="s">
        <v>138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R207" t="s">
        <v>127</v>
      </c>
      <c r="S207" t="str">
        <f t="shared" si="84"/>
        <v>15:05:06.000</v>
      </c>
      <c r="T207" t="str">
        <f t="shared" si="84"/>
        <v>15:05:06.000</v>
      </c>
      <c r="U207" t="str">
        <f t="shared" si="78"/>
        <v>A68FCB</v>
      </c>
      <c r="V207">
        <v>0</v>
      </c>
      <c r="W207">
        <v>0</v>
      </c>
      <c r="X207">
        <v>2</v>
      </c>
      <c r="Y207">
        <v>0</v>
      </c>
      <c r="AA207">
        <v>1</v>
      </c>
      <c r="AB207">
        <v>8</v>
      </c>
      <c r="AC207">
        <v>3</v>
      </c>
      <c r="AD207">
        <v>0</v>
      </c>
      <c r="AE207">
        <v>9</v>
      </c>
      <c r="AF207" t="s">
        <v>138</v>
      </c>
      <c r="AG207">
        <v>0</v>
      </c>
      <c r="AH207">
        <v>3</v>
      </c>
      <c r="AI207">
        <v>1</v>
      </c>
      <c r="AJ207">
        <v>0</v>
      </c>
      <c r="AK207" t="s">
        <v>209</v>
      </c>
      <c r="AL207">
        <v>38.955717</v>
      </c>
      <c r="AM207" t="s">
        <v>212</v>
      </c>
      <c r="AN207">
        <v>-121.07163199999999</v>
      </c>
      <c r="AO207">
        <v>25</v>
      </c>
      <c r="AP207">
        <v>1800</v>
      </c>
      <c r="AQ207" t="s">
        <v>131</v>
      </c>
      <c r="AR207">
        <v>71</v>
      </c>
      <c r="AS207">
        <v>0</v>
      </c>
      <c r="AT207">
        <v>448</v>
      </c>
      <c r="BB207" t="str">
        <f t="shared" si="79"/>
        <v>1200</v>
      </c>
      <c r="BC207">
        <v>1</v>
      </c>
      <c r="BD207" t="str">
        <f t="shared" si="80"/>
        <v xml:space="preserve">N52156  </v>
      </c>
      <c r="BE207">
        <v>1</v>
      </c>
      <c r="BG207">
        <v>0</v>
      </c>
      <c r="BH207">
        <v>0</v>
      </c>
      <c r="BI207">
        <v>0</v>
      </c>
      <c r="BJ207">
        <v>1725</v>
      </c>
      <c r="BK207">
        <v>-75</v>
      </c>
      <c r="BL207" t="s">
        <v>188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 t="shared" si="85"/>
        <v>15:05:06.566</v>
      </c>
      <c r="CF207">
        <v>566442484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3</v>
      </c>
      <c r="CY207">
        <v>7</v>
      </c>
      <c r="CZ207" t="s">
        <v>133</v>
      </c>
      <c r="DA207">
        <v>275</v>
      </c>
      <c r="DB207">
        <v>0</v>
      </c>
      <c r="DC207" t="s">
        <v>134</v>
      </c>
      <c r="DD207" t="s">
        <v>135</v>
      </c>
      <c r="DG207">
        <v>3317917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"05/01/2025 15:05:06.780"</f>
        <v>05/01/2025 15:05:06.780</v>
      </c>
      <c r="C208" t="str">
        <f t="shared" si="76"/>
        <v>FFDFD3C0</v>
      </c>
      <c r="D208" t="s">
        <v>124</v>
      </c>
      <c r="E208" t="str">
        <f>"06"</f>
        <v>06</v>
      </c>
      <c r="F208">
        <v>2006</v>
      </c>
      <c r="G208" t="s">
        <v>125</v>
      </c>
      <c r="J208" t="s">
        <v>126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R208" t="s">
        <v>127</v>
      </c>
      <c r="S208" t="str">
        <f t="shared" si="84"/>
        <v>15:05:06.000</v>
      </c>
      <c r="T208" t="str">
        <f t="shared" si="84"/>
        <v>15:05:06.000</v>
      </c>
      <c r="U208" t="str">
        <f t="shared" si="78"/>
        <v>A68FCB</v>
      </c>
      <c r="V208">
        <v>0</v>
      </c>
      <c r="W208">
        <v>0</v>
      </c>
      <c r="X208">
        <v>2</v>
      </c>
      <c r="Y208">
        <v>0</v>
      </c>
      <c r="AA208">
        <v>1</v>
      </c>
      <c r="AB208">
        <v>8</v>
      </c>
      <c r="AC208">
        <v>3</v>
      </c>
      <c r="AD208">
        <v>0</v>
      </c>
      <c r="AE208">
        <v>9</v>
      </c>
      <c r="AF208" t="s">
        <v>138</v>
      </c>
      <c r="AG208">
        <v>0</v>
      </c>
      <c r="AH208">
        <v>3</v>
      </c>
      <c r="AI208">
        <v>1</v>
      </c>
      <c r="AJ208">
        <v>0</v>
      </c>
      <c r="AK208" t="s">
        <v>209</v>
      </c>
      <c r="AL208">
        <v>38.955717</v>
      </c>
      <c r="AM208" t="s">
        <v>212</v>
      </c>
      <c r="AN208">
        <v>-121.07163199999999</v>
      </c>
      <c r="AO208">
        <v>25</v>
      </c>
      <c r="AP208">
        <v>1800</v>
      </c>
      <c r="AQ208" t="s">
        <v>131</v>
      </c>
      <c r="AR208">
        <v>71</v>
      </c>
      <c r="AS208">
        <v>0</v>
      </c>
      <c r="AT208">
        <v>448</v>
      </c>
      <c r="BB208" t="str">
        <f t="shared" si="79"/>
        <v>1200</v>
      </c>
      <c r="BC208">
        <v>1</v>
      </c>
      <c r="BD208" t="str">
        <f t="shared" si="80"/>
        <v xml:space="preserve">N52156  </v>
      </c>
      <c r="BE208">
        <v>1</v>
      </c>
      <c r="BG208">
        <v>0</v>
      </c>
      <c r="BH208">
        <v>0</v>
      </c>
      <c r="BI208">
        <v>0</v>
      </c>
      <c r="BJ208">
        <v>1725</v>
      </c>
      <c r="BK208">
        <v>-75</v>
      </c>
      <c r="BL208" t="s">
        <v>188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 t="shared" si="85"/>
        <v>15:05:06.566</v>
      </c>
      <c r="CF208">
        <v>566442484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3</v>
      </c>
      <c r="CY208">
        <v>7</v>
      </c>
      <c r="CZ208" t="s">
        <v>133</v>
      </c>
      <c r="DA208">
        <v>275</v>
      </c>
      <c r="DB208">
        <v>0</v>
      </c>
      <c r="DC208" t="s">
        <v>134</v>
      </c>
      <c r="DD208" t="s">
        <v>135</v>
      </c>
      <c r="DG208">
        <v>3317917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"05/01/2025 15:05:06.787"</f>
        <v>05/01/2025 15:05:06.787</v>
      </c>
      <c r="C209" t="str">
        <f t="shared" si="76"/>
        <v>FFDFD3C0</v>
      </c>
      <c r="D209" t="s">
        <v>136</v>
      </c>
      <c r="E209" t="str">
        <f>"20"</f>
        <v>20</v>
      </c>
      <c r="H209">
        <v>400</v>
      </c>
      <c r="I209" t="s">
        <v>137</v>
      </c>
      <c r="J209" t="s">
        <v>138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R209" t="s">
        <v>127</v>
      </c>
      <c r="S209" t="str">
        <f t="shared" si="84"/>
        <v>15:05:06.000</v>
      </c>
      <c r="T209" t="str">
        <f t="shared" si="84"/>
        <v>15:05:06.000</v>
      </c>
      <c r="U209" t="str">
        <f t="shared" si="78"/>
        <v>A68FCB</v>
      </c>
      <c r="V209">
        <v>0</v>
      </c>
      <c r="W209">
        <v>0</v>
      </c>
      <c r="X209">
        <v>2</v>
      </c>
      <c r="Y209">
        <v>0</v>
      </c>
      <c r="AA209">
        <v>1</v>
      </c>
      <c r="AB209">
        <v>8</v>
      </c>
      <c r="AC209">
        <v>3</v>
      </c>
      <c r="AD209">
        <v>0</v>
      </c>
      <c r="AE209">
        <v>9</v>
      </c>
      <c r="AF209" t="s">
        <v>138</v>
      </c>
      <c r="AG209">
        <v>0</v>
      </c>
      <c r="AH209">
        <v>3</v>
      </c>
      <c r="AI209">
        <v>1</v>
      </c>
      <c r="AJ209">
        <v>0</v>
      </c>
      <c r="AK209" t="s">
        <v>209</v>
      </c>
      <c r="AL209">
        <v>38.955717</v>
      </c>
      <c r="AM209" t="s">
        <v>212</v>
      </c>
      <c r="AN209">
        <v>-121.07163199999999</v>
      </c>
      <c r="AO209">
        <v>25</v>
      </c>
      <c r="AP209">
        <v>1800</v>
      </c>
      <c r="AQ209" t="s">
        <v>131</v>
      </c>
      <c r="AR209">
        <v>71</v>
      </c>
      <c r="AS209">
        <v>0</v>
      </c>
      <c r="AT209">
        <v>448</v>
      </c>
      <c r="BB209" t="str">
        <f t="shared" si="79"/>
        <v>1200</v>
      </c>
      <c r="BC209">
        <v>1</v>
      </c>
      <c r="BD209" t="str">
        <f t="shared" si="80"/>
        <v xml:space="preserve">N52156  </v>
      </c>
      <c r="BE209">
        <v>1</v>
      </c>
      <c r="BG209">
        <v>0</v>
      </c>
      <c r="BH209">
        <v>0</v>
      </c>
      <c r="BI209">
        <v>0</v>
      </c>
      <c r="BJ209">
        <v>1725</v>
      </c>
      <c r="BK209">
        <v>-75</v>
      </c>
      <c r="BL209" t="s">
        <v>188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 t="shared" si="85"/>
        <v>15:05:06.566</v>
      </c>
      <c r="CF209">
        <v>566442484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3</v>
      </c>
      <c r="CY209">
        <v>7</v>
      </c>
      <c r="CZ209" t="s">
        <v>133</v>
      </c>
      <c r="DA209">
        <v>275</v>
      </c>
      <c r="DB209">
        <v>0</v>
      </c>
      <c r="DC209" t="s">
        <v>134</v>
      </c>
      <c r="DD209" t="s">
        <v>135</v>
      </c>
      <c r="DG209">
        <v>3317917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"05/01/2025 15:05:06.815"</f>
        <v>05/01/2025 15:05:06.815</v>
      </c>
      <c r="C210" t="str">
        <f t="shared" si="76"/>
        <v>FFDFD3C0</v>
      </c>
      <c r="D210" t="s">
        <v>140</v>
      </c>
      <c r="E210" t="str">
        <f>"13"</f>
        <v>13</v>
      </c>
      <c r="F210">
        <v>1019</v>
      </c>
      <c r="G210" t="s">
        <v>141</v>
      </c>
      <c r="J210" t="s">
        <v>142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R210" t="s">
        <v>127</v>
      </c>
      <c r="S210" t="str">
        <f t="shared" si="84"/>
        <v>15:05:06.000</v>
      </c>
      <c r="T210" t="str">
        <f t="shared" si="84"/>
        <v>15:05:06.000</v>
      </c>
      <c r="U210" t="str">
        <f t="shared" si="78"/>
        <v>A68FCB</v>
      </c>
      <c r="V210">
        <v>0</v>
      </c>
      <c r="W210">
        <v>0</v>
      </c>
      <c r="X210">
        <v>2</v>
      </c>
      <c r="Y210">
        <v>0</v>
      </c>
      <c r="AA210">
        <v>1</v>
      </c>
      <c r="AB210">
        <v>8</v>
      </c>
      <c r="AC210">
        <v>3</v>
      </c>
      <c r="AD210">
        <v>0</v>
      </c>
      <c r="AE210">
        <v>9</v>
      </c>
      <c r="AF210" t="s">
        <v>138</v>
      </c>
      <c r="AG210">
        <v>0</v>
      </c>
      <c r="AH210">
        <v>3</v>
      </c>
      <c r="AI210">
        <v>1</v>
      </c>
      <c r="AJ210">
        <v>0</v>
      </c>
      <c r="AK210" t="s">
        <v>209</v>
      </c>
      <c r="AL210">
        <v>38.955717</v>
      </c>
      <c r="AM210" t="s">
        <v>212</v>
      </c>
      <c r="AN210">
        <v>-121.07163199999999</v>
      </c>
      <c r="AO210">
        <v>25</v>
      </c>
      <c r="AP210">
        <v>1800</v>
      </c>
      <c r="AQ210" t="s">
        <v>131</v>
      </c>
      <c r="AR210">
        <v>71</v>
      </c>
      <c r="AS210">
        <v>0</v>
      </c>
      <c r="AT210">
        <v>448</v>
      </c>
      <c r="BB210" t="str">
        <f t="shared" si="79"/>
        <v>1200</v>
      </c>
      <c r="BC210">
        <v>1</v>
      </c>
      <c r="BD210" t="str">
        <f t="shared" si="80"/>
        <v xml:space="preserve">N52156  </v>
      </c>
      <c r="BE210">
        <v>1</v>
      </c>
      <c r="BG210">
        <v>0</v>
      </c>
      <c r="BH210">
        <v>0</v>
      </c>
      <c r="BI210">
        <v>0</v>
      </c>
      <c r="BJ210">
        <v>1725</v>
      </c>
      <c r="BK210">
        <v>-75</v>
      </c>
      <c r="BL210" t="s">
        <v>188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 t="shared" si="85"/>
        <v>15:05:06.566</v>
      </c>
      <c r="CF210">
        <v>566442484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3</v>
      </c>
      <c r="CY210">
        <v>7</v>
      </c>
      <c r="CZ210" t="s">
        <v>133</v>
      </c>
      <c r="DA210">
        <v>275</v>
      </c>
      <c r="DB210">
        <v>0</v>
      </c>
      <c r="DC210" t="s">
        <v>134</v>
      </c>
      <c r="DD210" t="s">
        <v>135</v>
      </c>
      <c r="DG210">
        <v>3317917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"05/01/2025 15:05:06.820"</f>
        <v>05/01/2025 15:05:06.820</v>
      </c>
      <c r="C211" t="str">
        <f t="shared" si="76"/>
        <v>FFDFD3C0</v>
      </c>
      <c r="D211" t="s">
        <v>143</v>
      </c>
      <c r="E211" t="str">
        <f>"05"</f>
        <v>05</v>
      </c>
      <c r="H211">
        <v>172</v>
      </c>
      <c r="I211" t="s">
        <v>141</v>
      </c>
      <c r="J211" t="s">
        <v>144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R211" t="s">
        <v>127</v>
      </c>
      <c r="S211" t="str">
        <f t="shared" si="84"/>
        <v>15:05:06.000</v>
      </c>
      <c r="T211" t="str">
        <f t="shared" si="84"/>
        <v>15:05:06.000</v>
      </c>
      <c r="U211" t="str">
        <f t="shared" si="78"/>
        <v>A68FCB</v>
      </c>
      <c r="V211">
        <v>0</v>
      </c>
      <c r="W211">
        <v>0</v>
      </c>
      <c r="X211">
        <v>2</v>
      </c>
      <c r="Y211">
        <v>0</v>
      </c>
      <c r="AA211">
        <v>1</v>
      </c>
      <c r="AB211">
        <v>8</v>
      </c>
      <c r="AC211">
        <v>3</v>
      </c>
      <c r="AD211">
        <v>0</v>
      </c>
      <c r="AE211">
        <v>9</v>
      </c>
      <c r="AF211" t="s">
        <v>138</v>
      </c>
      <c r="AG211">
        <v>0</v>
      </c>
      <c r="AH211">
        <v>3</v>
      </c>
      <c r="AI211">
        <v>1</v>
      </c>
      <c r="AJ211">
        <v>0</v>
      </c>
      <c r="AK211" t="s">
        <v>209</v>
      </c>
      <c r="AL211">
        <v>38.955717</v>
      </c>
      <c r="AM211" t="s">
        <v>212</v>
      </c>
      <c r="AN211">
        <v>-121.07163199999999</v>
      </c>
      <c r="AO211">
        <v>25</v>
      </c>
      <c r="AP211">
        <v>1800</v>
      </c>
      <c r="AQ211" t="s">
        <v>131</v>
      </c>
      <c r="AR211">
        <v>71</v>
      </c>
      <c r="AS211">
        <v>0</v>
      </c>
      <c r="AT211">
        <v>448</v>
      </c>
      <c r="BB211" t="str">
        <f t="shared" si="79"/>
        <v>1200</v>
      </c>
      <c r="BC211">
        <v>1</v>
      </c>
      <c r="BD211" t="str">
        <f t="shared" si="80"/>
        <v xml:space="preserve">N52156  </v>
      </c>
      <c r="BE211">
        <v>1</v>
      </c>
      <c r="BG211">
        <v>0</v>
      </c>
      <c r="BH211">
        <v>0</v>
      </c>
      <c r="BI211">
        <v>0</v>
      </c>
      <c r="BJ211">
        <v>1725</v>
      </c>
      <c r="BK211">
        <v>-75</v>
      </c>
      <c r="BL211" t="s">
        <v>188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 t="shared" si="85"/>
        <v>15:05:06.566</v>
      </c>
      <c r="CF211">
        <v>566442484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3</v>
      </c>
      <c r="CY211">
        <v>7</v>
      </c>
      <c r="CZ211" t="s">
        <v>133</v>
      </c>
      <c r="DA211">
        <v>275</v>
      </c>
      <c r="DB211">
        <v>0</v>
      </c>
      <c r="DC211" t="s">
        <v>134</v>
      </c>
      <c r="DD211" t="s">
        <v>135</v>
      </c>
      <c r="DG211">
        <v>3317917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"05/01/2025 15:05:07.667"</f>
        <v>05/01/2025 15:05:07.667</v>
      </c>
      <c r="C212" t="str">
        <f t="shared" si="76"/>
        <v>FFDFD3C0</v>
      </c>
      <c r="D212" t="s">
        <v>140</v>
      </c>
      <c r="E212" t="str">
        <f>"13"</f>
        <v>13</v>
      </c>
      <c r="F212">
        <v>1019</v>
      </c>
      <c r="G212" t="s">
        <v>141</v>
      </c>
      <c r="J212" t="s">
        <v>142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R212" t="s">
        <v>127</v>
      </c>
      <c r="S212" t="str">
        <f t="shared" ref="S212:T217" si="86">"15:05:07.000"</f>
        <v>15:05:07.000</v>
      </c>
      <c r="T212" t="str">
        <f t="shared" si="86"/>
        <v>15:05:07.000</v>
      </c>
      <c r="U212" t="str">
        <f t="shared" si="78"/>
        <v>A68FCB</v>
      </c>
      <c r="V212">
        <v>0</v>
      </c>
      <c r="W212">
        <v>0</v>
      </c>
      <c r="X212">
        <v>2</v>
      </c>
      <c r="Y212">
        <v>0</v>
      </c>
      <c r="AA212">
        <v>1</v>
      </c>
      <c r="AB212">
        <v>8</v>
      </c>
      <c r="AC212">
        <v>3</v>
      </c>
      <c r="AD212">
        <v>0</v>
      </c>
      <c r="AE212">
        <v>9</v>
      </c>
      <c r="AF212" t="s">
        <v>138</v>
      </c>
      <c r="AG212">
        <v>0</v>
      </c>
      <c r="AH212">
        <v>3</v>
      </c>
      <c r="AI212">
        <v>1</v>
      </c>
      <c r="AJ212">
        <v>0</v>
      </c>
      <c r="AK212" t="s">
        <v>209</v>
      </c>
      <c r="AL212">
        <v>38.955717</v>
      </c>
      <c r="AM212" t="s">
        <v>213</v>
      </c>
      <c r="AN212">
        <v>-121.071203</v>
      </c>
      <c r="AO212">
        <v>25</v>
      </c>
      <c r="AP212">
        <v>1800</v>
      </c>
      <c r="AQ212" t="s">
        <v>131</v>
      </c>
      <c r="AR212">
        <v>69</v>
      </c>
      <c r="AS212">
        <v>-1</v>
      </c>
      <c r="AT212">
        <v>512</v>
      </c>
      <c r="BB212" t="str">
        <f t="shared" si="79"/>
        <v>1200</v>
      </c>
      <c r="BC212">
        <v>1</v>
      </c>
      <c r="BD212" t="str">
        <f t="shared" si="80"/>
        <v xml:space="preserve">N52156  </v>
      </c>
      <c r="BE212">
        <v>1</v>
      </c>
      <c r="BG212">
        <v>0</v>
      </c>
      <c r="BH212">
        <v>0</v>
      </c>
      <c r="BI212">
        <v>0</v>
      </c>
      <c r="BJ212">
        <v>1725</v>
      </c>
      <c r="BK212">
        <v>-75</v>
      </c>
      <c r="BL212" t="s">
        <v>188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 t="shared" ref="CE212:CE217" si="87">"15:05:07.456"</f>
        <v>15:05:07.456</v>
      </c>
      <c r="CF212">
        <v>456442314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4</v>
      </c>
      <c r="CY212">
        <v>7</v>
      </c>
      <c r="CZ212" t="s">
        <v>133</v>
      </c>
      <c r="DA212">
        <v>275</v>
      </c>
      <c r="DB212">
        <v>0</v>
      </c>
      <c r="DC212" t="s">
        <v>134</v>
      </c>
      <c r="DD212" t="s">
        <v>135</v>
      </c>
      <c r="DG212">
        <v>3317931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"05/01/2025 15:05:07.672"</f>
        <v>05/01/2025 15:05:07.672</v>
      </c>
      <c r="C213" t="str">
        <f t="shared" si="76"/>
        <v>FFDFD3C0</v>
      </c>
      <c r="D213" t="s">
        <v>143</v>
      </c>
      <c r="E213" t="str">
        <f>"05"</f>
        <v>05</v>
      </c>
      <c r="H213">
        <v>172</v>
      </c>
      <c r="I213" t="s">
        <v>141</v>
      </c>
      <c r="J213" t="s">
        <v>144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R213" t="s">
        <v>127</v>
      </c>
      <c r="S213" t="str">
        <f t="shared" si="86"/>
        <v>15:05:07.000</v>
      </c>
      <c r="T213" t="str">
        <f t="shared" si="86"/>
        <v>15:05:07.000</v>
      </c>
      <c r="U213" t="str">
        <f t="shared" si="78"/>
        <v>A68FCB</v>
      </c>
      <c r="V213">
        <v>0</v>
      </c>
      <c r="W213">
        <v>0</v>
      </c>
      <c r="X213">
        <v>2</v>
      </c>
      <c r="Y213">
        <v>0</v>
      </c>
      <c r="AA213">
        <v>1</v>
      </c>
      <c r="AB213">
        <v>8</v>
      </c>
      <c r="AC213">
        <v>3</v>
      </c>
      <c r="AD213">
        <v>0</v>
      </c>
      <c r="AE213">
        <v>9</v>
      </c>
      <c r="AF213" t="s">
        <v>138</v>
      </c>
      <c r="AG213">
        <v>0</v>
      </c>
      <c r="AH213">
        <v>3</v>
      </c>
      <c r="AI213">
        <v>1</v>
      </c>
      <c r="AJ213">
        <v>0</v>
      </c>
      <c r="AK213" t="s">
        <v>209</v>
      </c>
      <c r="AL213">
        <v>38.955717</v>
      </c>
      <c r="AM213" t="s">
        <v>213</v>
      </c>
      <c r="AN213">
        <v>-121.071203</v>
      </c>
      <c r="AO213">
        <v>25</v>
      </c>
      <c r="AP213">
        <v>1800</v>
      </c>
      <c r="AQ213" t="s">
        <v>131</v>
      </c>
      <c r="AR213">
        <v>69</v>
      </c>
      <c r="AS213">
        <v>-1</v>
      </c>
      <c r="AT213">
        <v>512</v>
      </c>
      <c r="BB213" t="str">
        <f t="shared" si="79"/>
        <v>1200</v>
      </c>
      <c r="BC213">
        <v>1</v>
      </c>
      <c r="BD213" t="str">
        <f t="shared" si="80"/>
        <v xml:space="preserve">N52156  </v>
      </c>
      <c r="BE213">
        <v>1</v>
      </c>
      <c r="BG213">
        <v>0</v>
      </c>
      <c r="BH213">
        <v>0</v>
      </c>
      <c r="BI213">
        <v>0</v>
      </c>
      <c r="BJ213">
        <v>1725</v>
      </c>
      <c r="BK213">
        <v>-75</v>
      </c>
      <c r="BL213" t="s">
        <v>188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 t="shared" si="87"/>
        <v>15:05:07.456</v>
      </c>
      <c r="CF213">
        <v>456442314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4</v>
      </c>
      <c r="CY213">
        <v>7</v>
      </c>
      <c r="CZ213" t="s">
        <v>133</v>
      </c>
      <c r="DA213">
        <v>275</v>
      </c>
      <c r="DB213">
        <v>0</v>
      </c>
      <c r="DC213" t="s">
        <v>134</v>
      </c>
      <c r="DD213" t="s">
        <v>135</v>
      </c>
      <c r="DG213">
        <v>3317931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"05/01/2025 15:05:07.677"</f>
        <v>05/01/2025 15:05:07.677</v>
      </c>
      <c r="C214" t="str">
        <f t="shared" si="76"/>
        <v>FFDFD3C0</v>
      </c>
      <c r="D214" t="s">
        <v>145</v>
      </c>
      <c r="E214" t="str">
        <f>"05"</f>
        <v>05</v>
      </c>
      <c r="H214">
        <v>47</v>
      </c>
      <c r="I214" t="s">
        <v>146</v>
      </c>
      <c r="J214" t="s">
        <v>138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R214" t="s">
        <v>127</v>
      </c>
      <c r="S214" t="str">
        <f t="shared" si="86"/>
        <v>15:05:07.000</v>
      </c>
      <c r="T214" t="str">
        <f t="shared" si="86"/>
        <v>15:05:07.000</v>
      </c>
      <c r="U214" t="str">
        <f t="shared" si="78"/>
        <v>A68FCB</v>
      </c>
      <c r="V214">
        <v>0</v>
      </c>
      <c r="W214">
        <v>0</v>
      </c>
      <c r="X214">
        <v>2</v>
      </c>
      <c r="Y214">
        <v>0</v>
      </c>
      <c r="AA214">
        <v>1</v>
      </c>
      <c r="AB214">
        <v>8</v>
      </c>
      <c r="AC214">
        <v>3</v>
      </c>
      <c r="AD214">
        <v>0</v>
      </c>
      <c r="AE214">
        <v>9</v>
      </c>
      <c r="AF214" t="s">
        <v>138</v>
      </c>
      <c r="AG214">
        <v>0</v>
      </c>
      <c r="AH214">
        <v>3</v>
      </c>
      <c r="AI214">
        <v>1</v>
      </c>
      <c r="AJ214">
        <v>0</v>
      </c>
      <c r="AK214" t="s">
        <v>209</v>
      </c>
      <c r="AL214">
        <v>38.955717</v>
      </c>
      <c r="AM214" t="s">
        <v>213</v>
      </c>
      <c r="AN214">
        <v>-121.071203</v>
      </c>
      <c r="AO214">
        <v>25</v>
      </c>
      <c r="AP214">
        <v>1800</v>
      </c>
      <c r="AQ214" t="s">
        <v>131</v>
      </c>
      <c r="AR214">
        <v>69</v>
      </c>
      <c r="AS214">
        <v>-1</v>
      </c>
      <c r="AT214">
        <v>512</v>
      </c>
      <c r="BB214" t="str">
        <f t="shared" si="79"/>
        <v>1200</v>
      </c>
      <c r="BC214">
        <v>1</v>
      </c>
      <c r="BD214" t="str">
        <f t="shared" si="80"/>
        <v xml:space="preserve">N52156  </v>
      </c>
      <c r="BE214">
        <v>1</v>
      </c>
      <c r="BG214">
        <v>0</v>
      </c>
      <c r="BH214">
        <v>0</v>
      </c>
      <c r="BI214">
        <v>0</v>
      </c>
      <c r="BJ214">
        <v>1725</v>
      </c>
      <c r="BK214">
        <v>-75</v>
      </c>
      <c r="BL214" t="s">
        <v>188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 t="shared" si="87"/>
        <v>15:05:07.456</v>
      </c>
      <c r="CF214">
        <v>456442314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4</v>
      </c>
      <c r="CY214">
        <v>7</v>
      </c>
      <c r="CZ214" t="s">
        <v>133</v>
      </c>
      <c r="DA214">
        <v>275</v>
      </c>
      <c r="DB214">
        <v>0</v>
      </c>
      <c r="DC214" t="s">
        <v>134</v>
      </c>
      <c r="DD214" t="s">
        <v>135</v>
      </c>
      <c r="DG214">
        <v>3317931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"05/01/2025 15:05:07.678"</f>
        <v>05/01/2025 15:05:07.678</v>
      </c>
      <c r="C215" t="str">
        <f t="shared" si="76"/>
        <v>FFDFD3C0</v>
      </c>
      <c r="D215" t="s">
        <v>145</v>
      </c>
      <c r="E215" t="str">
        <f>"09"</f>
        <v>09</v>
      </c>
      <c r="H215">
        <v>51</v>
      </c>
      <c r="I215" t="s">
        <v>147</v>
      </c>
      <c r="J215" t="s">
        <v>138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R215" t="s">
        <v>127</v>
      </c>
      <c r="S215" t="str">
        <f t="shared" si="86"/>
        <v>15:05:07.000</v>
      </c>
      <c r="T215" t="str">
        <f t="shared" si="86"/>
        <v>15:05:07.000</v>
      </c>
      <c r="U215" t="str">
        <f t="shared" si="78"/>
        <v>A68FCB</v>
      </c>
      <c r="V215">
        <v>0</v>
      </c>
      <c r="W215">
        <v>0</v>
      </c>
      <c r="X215">
        <v>2</v>
      </c>
      <c r="Y215">
        <v>0</v>
      </c>
      <c r="AA215">
        <v>1</v>
      </c>
      <c r="AB215">
        <v>8</v>
      </c>
      <c r="AC215">
        <v>3</v>
      </c>
      <c r="AD215">
        <v>0</v>
      </c>
      <c r="AE215">
        <v>9</v>
      </c>
      <c r="AF215" t="s">
        <v>138</v>
      </c>
      <c r="AG215">
        <v>0</v>
      </c>
      <c r="AH215">
        <v>3</v>
      </c>
      <c r="AI215">
        <v>1</v>
      </c>
      <c r="AJ215">
        <v>0</v>
      </c>
      <c r="AK215" t="s">
        <v>209</v>
      </c>
      <c r="AL215">
        <v>38.955717</v>
      </c>
      <c r="AM215" t="s">
        <v>213</v>
      </c>
      <c r="AN215">
        <v>-121.071203</v>
      </c>
      <c r="AO215">
        <v>25</v>
      </c>
      <c r="AP215">
        <v>1800</v>
      </c>
      <c r="AQ215" t="s">
        <v>131</v>
      </c>
      <c r="AR215">
        <v>69</v>
      </c>
      <c r="AS215">
        <v>-1</v>
      </c>
      <c r="AT215">
        <v>512</v>
      </c>
      <c r="BB215" t="str">
        <f t="shared" si="79"/>
        <v>1200</v>
      </c>
      <c r="BC215">
        <v>1</v>
      </c>
      <c r="BD215" t="str">
        <f t="shared" si="80"/>
        <v xml:space="preserve">N52156  </v>
      </c>
      <c r="BE215">
        <v>1</v>
      </c>
      <c r="BG215">
        <v>0</v>
      </c>
      <c r="BH215">
        <v>0</v>
      </c>
      <c r="BI215">
        <v>0</v>
      </c>
      <c r="BJ215">
        <v>1725</v>
      </c>
      <c r="BK215">
        <v>-75</v>
      </c>
      <c r="BL215" t="s">
        <v>188</v>
      </c>
      <c r="BM215">
        <v>1</v>
      </c>
      <c r="BN215">
        <v>1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 t="shared" si="87"/>
        <v>15:05:07.456</v>
      </c>
      <c r="CF215">
        <v>456442314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4</v>
      </c>
      <c r="CY215">
        <v>7</v>
      </c>
      <c r="CZ215" t="s">
        <v>133</v>
      </c>
      <c r="DA215">
        <v>275</v>
      </c>
      <c r="DB215">
        <v>0</v>
      </c>
      <c r="DC215" t="s">
        <v>134</v>
      </c>
      <c r="DD215" t="s">
        <v>135</v>
      </c>
      <c r="DG215">
        <v>3317931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"05/01/2025 15:05:07.681"</f>
        <v>05/01/2025 15:05:07.681</v>
      </c>
      <c r="C216" t="str">
        <f t="shared" si="76"/>
        <v>FFDFD3C0</v>
      </c>
      <c r="D216" t="s">
        <v>124</v>
      </c>
      <c r="E216" t="str">
        <f>"06"</f>
        <v>06</v>
      </c>
      <c r="F216">
        <v>2006</v>
      </c>
      <c r="G216" t="s">
        <v>125</v>
      </c>
      <c r="J216" t="s">
        <v>126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R216" t="s">
        <v>127</v>
      </c>
      <c r="S216" t="str">
        <f t="shared" si="86"/>
        <v>15:05:07.000</v>
      </c>
      <c r="T216" t="str">
        <f t="shared" si="86"/>
        <v>15:05:07.000</v>
      </c>
      <c r="U216" t="str">
        <f t="shared" si="78"/>
        <v>A68FCB</v>
      </c>
      <c r="V216">
        <v>0</v>
      </c>
      <c r="W216">
        <v>0</v>
      </c>
      <c r="X216">
        <v>2</v>
      </c>
      <c r="Y216">
        <v>0</v>
      </c>
      <c r="AA216">
        <v>1</v>
      </c>
      <c r="AB216">
        <v>8</v>
      </c>
      <c r="AC216">
        <v>3</v>
      </c>
      <c r="AD216">
        <v>0</v>
      </c>
      <c r="AE216">
        <v>9</v>
      </c>
      <c r="AF216" t="s">
        <v>138</v>
      </c>
      <c r="AG216">
        <v>0</v>
      </c>
      <c r="AH216">
        <v>3</v>
      </c>
      <c r="AI216">
        <v>1</v>
      </c>
      <c r="AJ216">
        <v>0</v>
      </c>
      <c r="AK216" t="s">
        <v>209</v>
      </c>
      <c r="AL216">
        <v>38.955717</v>
      </c>
      <c r="AM216" t="s">
        <v>213</v>
      </c>
      <c r="AN216">
        <v>-121.071203</v>
      </c>
      <c r="AO216">
        <v>25</v>
      </c>
      <c r="AP216">
        <v>1800</v>
      </c>
      <c r="AQ216" t="s">
        <v>131</v>
      </c>
      <c r="AR216">
        <v>69</v>
      </c>
      <c r="AS216">
        <v>-1</v>
      </c>
      <c r="AT216">
        <v>512</v>
      </c>
      <c r="BB216" t="str">
        <f t="shared" si="79"/>
        <v>1200</v>
      </c>
      <c r="BC216">
        <v>1</v>
      </c>
      <c r="BD216" t="str">
        <f t="shared" si="80"/>
        <v xml:space="preserve">N52156  </v>
      </c>
      <c r="BE216">
        <v>1</v>
      </c>
      <c r="BG216">
        <v>0</v>
      </c>
      <c r="BH216">
        <v>0</v>
      </c>
      <c r="BI216">
        <v>0</v>
      </c>
      <c r="BJ216">
        <v>1725</v>
      </c>
      <c r="BK216">
        <v>-75</v>
      </c>
      <c r="BL216" t="s">
        <v>188</v>
      </c>
      <c r="BM216">
        <v>1</v>
      </c>
      <c r="BN216">
        <v>1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 t="shared" si="87"/>
        <v>15:05:07.456</v>
      </c>
      <c r="CF216">
        <v>456442314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4</v>
      </c>
      <c r="CY216">
        <v>7</v>
      </c>
      <c r="CZ216" t="s">
        <v>133</v>
      </c>
      <c r="DA216">
        <v>275</v>
      </c>
      <c r="DB216">
        <v>0</v>
      </c>
      <c r="DC216" t="s">
        <v>134</v>
      </c>
      <c r="DD216" t="s">
        <v>135</v>
      </c>
      <c r="DG216">
        <v>3317931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"05/01/2025 15:05:07.689"</f>
        <v>05/01/2025 15:05:07.689</v>
      </c>
      <c r="C217" t="str">
        <f t="shared" si="76"/>
        <v>FFDFD3C0</v>
      </c>
      <c r="D217" t="s">
        <v>136</v>
      </c>
      <c r="E217" t="str">
        <f>"20"</f>
        <v>20</v>
      </c>
      <c r="H217">
        <v>400</v>
      </c>
      <c r="I217" t="s">
        <v>137</v>
      </c>
      <c r="J217" t="s">
        <v>138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R217" t="s">
        <v>127</v>
      </c>
      <c r="S217" t="str">
        <f t="shared" si="86"/>
        <v>15:05:07.000</v>
      </c>
      <c r="T217" t="str">
        <f t="shared" si="86"/>
        <v>15:05:07.000</v>
      </c>
      <c r="U217" t="str">
        <f t="shared" si="78"/>
        <v>A68FCB</v>
      </c>
      <c r="V217">
        <v>0</v>
      </c>
      <c r="W217">
        <v>0</v>
      </c>
      <c r="X217">
        <v>2</v>
      </c>
      <c r="Y217">
        <v>0</v>
      </c>
      <c r="AA217">
        <v>1</v>
      </c>
      <c r="AB217">
        <v>8</v>
      </c>
      <c r="AC217">
        <v>3</v>
      </c>
      <c r="AD217">
        <v>0</v>
      </c>
      <c r="AE217">
        <v>9</v>
      </c>
      <c r="AF217" t="s">
        <v>138</v>
      </c>
      <c r="AG217">
        <v>0</v>
      </c>
      <c r="AH217">
        <v>3</v>
      </c>
      <c r="AI217">
        <v>1</v>
      </c>
      <c r="AJ217">
        <v>0</v>
      </c>
      <c r="AK217" t="s">
        <v>209</v>
      </c>
      <c r="AL217">
        <v>38.955717</v>
      </c>
      <c r="AM217" t="s">
        <v>213</v>
      </c>
      <c r="AN217">
        <v>-121.071203</v>
      </c>
      <c r="AO217">
        <v>25</v>
      </c>
      <c r="AP217">
        <v>1800</v>
      </c>
      <c r="AQ217" t="s">
        <v>131</v>
      </c>
      <c r="AR217">
        <v>69</v>
      </c>
      <c r="AS217">
        <v>-1</v>
      </c>
      <c r="AT217">
        <v>512</v>
      </c>
      <c r="BB217" t="str">
        <f t="shared" si="79"/>
        <v>1200</v>
      </c>
      <c r="BC217">
        <v>1</v>
      </c>
      <c r="BD217" t="str">
        <f t="shared" si="80"/>
        <v xml:space="preserve">N52156  </v>
      </c>
      <c r="BE217">
        <v>1</v>
      </c>
      <c r="BG217">
        <v>0</v>
      </c>
      <c r="BH217">
        <v>0</v>
      </c>
      <c r="BI217">
        <v>0</v>
      </c>
      <c r="BJ217">
        <v>1725</v>
      </c>
      <c r="BK217">
        <v>-75</v>
      </c>
      <c r="BL217" t="s">
        <v>188</v>
      </c>
      <c r="BM217">
        <v>1</v>
      </c>
      <c r="BN217">
        <v>1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 t="shared" si="87"/>
        <v>15:05:07.456</v>
      </c>
      <c r="CF217">
        <v>456442314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4</v>
      </c>
      <c r="CY217">
        <v>7</v>
      </c>
      <c r="CZ217" t="s">
        <v>133</v>
      </c>
      <c r="DA217">
        <v>275</v>
      </c>
      <c r="DB217">
        <v>0</v>
      </c>
      <c r="DC217" t="s">
        <v>134</v>
      </c>
      <c r="DD217" t="s">
        <v>135</v>
      </c>
      <c r="DG217">
        <v>3317931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"05/01/2025 15:05:09.119"</f>
        <v>05/01/2025 15:05:09.119</v>
      </c>
      <c r="C218" t="str">
        <f t="shared" si="76"/>
        <v>FFDFD3C0</v>
      </c>
      <c r="D218" t="s">
        <v>140</v>
      </c>
      <c r="E218" t="str">
        <f>"13"</f>
        <v>13</v>
      </c>
      <c r="F218">
        <v>1019</v>
      </c>
      <c r="G218" t="s">
        <v>141</v>
      </c>
      <c r="J218" t="s">
        <v>142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R218" t="s">
        <v>127</v>
      </c>
      <c r="S218" t="str">
        <f t="shared" ref="S218:T223" si="88">"15:05:08.000"</f>
        <v>15:05:08.000</v>
      </c>
      <c r="T218" t="str">
        <f t="shared" si="88"/>
        <v>15:05:08.000</v>
      </c>
      <c r="U218" t="str">
        <f t="shared" si="78"/>
        <v>A68FCB</v>
      </c>
      <c r="V218">
        <v>0</v>
      </c>
      <c r="W218">
        <v>0</v>
      </c>
      <c r="X218">
        <v>2</v>
      </c>
      <c r="Y218">
        <v>0</v>
      </c>
      <c r="AA218">
        <v>1</v>
      </c>
      <c r="AB218">
        <v>8</v>
      </c>
      <c r="AC218">
        <v>3</v>
      </c>
      <c r="AD218">
        <v>0</v>
      </c>
      <c r="AE218">
        <v>9</v>
      </c>
      <c r="AF218" t="s">
        <v>138</v>
      </c>
      <c r="AG218">
        <v>0</v>
      </c>
      <c r="AH218">
        <v>3</v>
      </c>
      <c r="AI218">
        <v>1</v>
      </c>
      <c r="AJ218">
        <v>0</v>
      </c>
      <c r="AK218" t="s">
        <v>209</v>
      </c>
      <c r="AL218">
        <v>38.955717</v>
      </c>
      <c r="AM218" t="s">
        <v>214</v>
      </c>
      <c r="AN218">
        <v>-121.070795</v>
      </c>
      <c r="AO218">
        <v>25</v>
      </c>
      <c r="AP218">
        <v>1800</v>
      </c>
      <c r="AQ218" t="s">
        <v>131</v>
      </c>
      <c r="AR218">
        <v>70</v>
      </c>
      <c r="AS218">
        <v>1</v>
      </c>
      <c r="AT218">
        <v>576</v>
      </c>
      <c r="BB218" t="str">
        <f t="shared" si="79"/>
        <v>1200</v>
      </c>
      <c r="BC218">
        <v>1</v>
      </c>
      <c r="BD218" t="str">
        <f t="shared" si="80"/>
        <v xml:space="preserve">N52156  </v>
      </c>
      <c r="BE218">
        <v>1</v>
      </c>
      <c r="BG218">
        <v>0</v>
      </c>
      <c r="BH218">
        <v>0</v>
      </c>
      <c r="BI218">
        <v>0</v>
      </c>
      <c r="BJ218">
        <v>1725</v>
      </c>
      <c r="BK218">
        <v>-75</v>
      </c>
      <c r="BL218" t="s">
        <v>188</v>
      </c>
      <c r="BM218">
        <v>1</v>
      </c>
      <c r="BN218">
        <v>1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 t="shared" ref="CE218:CE223" si="89">"15:05:08.891"</f>
        <v>15:05:08.891</v>
      </c>
      <c r="CF218">
        <v>891443473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4</v>
      </c>
      <c r="CY218">
        <v>7</v>
      </c>
      <c r="CZ218" t="s">
        <v>133</v>
      </c>
      <c r="DA218">
        <v>275</v>
      </c>
      <c r="DB218">
        <v>0</v>
      </c>
      <c r="DC218" t="s">
        <v>134</v>
      </c>
      <c r="DD218" t="s">
        <v>135</v>
      </c>
      <c r="DG218">
        <v>3317946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"05/01/2025 15:05:09.125"</f>
        <v>05/01/2025 15:05:09.125</v>
      </c>
      <c r="C219" t="str">
        <f t="shared" si="76"/>
        <v>FFDFD3C0</v>
      </c>
      <c r="D219" t="s">
        <v>143</v>
      </c>
      <c r="E219" t="str">
        <f>"05"</f>
        <v>05</v>
      </c>
      <c r="H219">
        <v>172</v>
      </c>
      <c r="I219" t="s">
        <v>141</v>
      </c>
      <c r="J219" t="s">
        <v>144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R219" t="s">
        <v>127</v>
      </c>
      <c r="S219" t="str">
        <f t="shared" si="88"/>
        <v>15:05:08.000</v>
      </c>
      <c r="T219" t="str">
        <f t="shared" si="88"/>
        <v>15:05:08.000</v>
      </c>
      <c r="U219" t="str">
        <f t="shared" si="78"/>
        <v>A68FCB</v>
      </c>
      <c r="V219">
        <v>0</v>
      </c>
      <c r="W219">
        <v>0</v>
      </c>
      <c r="X219">
        <v>2</v>
      </c>
      <c r="Y219">
        <v>0</v>
      </c>
      <c r="AA219">
        <v>1</v>
      </c>
      <c r="AB219">
        <v>8</v>
      </c>
      <c r="AC219">
        <v>3</v>
      </c>
      <c r="AD219">
        <v>0</v>
      </c>
      <c r="AE219">
        <v>9</v>
      </c>
      <c r="AF219" t="s">
        <v>138</v>
      </c>
      <c r="AG219">
        <v>0</v>
      </c>
      <c r="AH219">
        <v>3</v>
      </c>
      <c r="AI219">
        <v>1</v>
      </c>
      <c r="AJ219">
        <v>0</v>
      </c>
      <c r="AK219" t="s">
        <v>209</v>
      </c>
      <c r="AL219">
        <v>38.955717</v>
      </c>
      <c r="AM219" t="s">
        <v>214</v>
      </c>
      <c r="AN219">
        <v>-121.070795</v>
      </c>
      <c r="AO219">
        <v>25</v>
      </c>
      <c r="AP219">
        <v>1800</v>
      </c>
      <c r="AQ219" t="s">
        <v>131</v>
      </c>
      <c r="AR219">
        <v>70</v>
      </c>
      <c r="AS219">
        <v>1</v>
      </c>
      <c r="AT219">
        <v>576</v>
      </c>
      <c r="BB219" t="str">
        <f t="shared" si="79"/>
        <v>1200</v>
      </c>
      <c r="BC219">
        <v>1</v>
      </c>
      <c r="BD219" t="str">
        <f t="shared" si="80"/>
        <v xml:space="preserve">N52156  </v>
      </c>
      <c r="BE219">
        <v>1</v>
      </c>
      <c r="BG219">
        <v>0</v>
      </c>
      <c r="BH219">
        <v>0</v>
      </c>
      <c r="BI219">
        <v>0</v>
      </c>
      <c r="BJ219">
        <v>1725</v>
      </c>
      <c r="BK219">
        <v>-75</v>
      </c>
      <c r="BL219" t="s">
        <v>188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 t="shared" si="89"/>
        <v>15:05:08.891</v>
      </c>
      <c r="CF219">
        <v>891443473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4</v>
      </c>
      <c r="CY219">
        <v>7</v>
      </c>
      <c r="CZ219" t="s">
        <v>133</v>
      </c>
      <c r="DA219">
        <v>275</v>
      </c>
      <c r="DB219">
        <v>0</v>
      </c>
      <c r="DC219" t="s">
        <v>134</v>
      </c>
      <c r="DD219" t="s">
        <v>135</v>
      </c>
      <c r="DG219">
        <v>3317946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"05/01/2025 15:05:09.131"</f>
        <v>05/01/2025 15:05:09.131</v>
      </c>
      <c r="C220" t="str">
        <f t="shared" si="76"/>
        <v>FFDFD3C0</v>
      </c>
      <c r="D220" t="s">
        <v>145</v>
      </c>
      <c r="E220" t="str">
        <f>"09"</f>
        <v>09</v>
      </c>
      <c r="H220">
        <v>51</v>
      </c>
      <c r="I220" t="s">
        <v>147</v>
      </c>
      <c r="J220" t="s">
        <v>138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R220" t="s">
        <v>127</v>
      </c>
      <c r="S220" t="str">
        <f t="shared" si="88"/>
        <v>15:05:08.000</v>
      </c>
      <c r="T220" t="str">
        <f t="shared" si="88"/>
        <v>15:05:08.000</v>
      </c>
      <c r="U220" t="str">
        <f t="shared" si="78"/>
        <v>A68FCB</v>
      </c>
      <c r="V220">
        <v>0</v>
      </c>
      <c r="W220">
        <v>0</v>
      </c>
      <c r="X220">
        <v>2</v>
      </c>
      <c r="Y220">
        <v>0</v>
      </c>
      <c r="AA220">
        <v>1</v>
      </c>
      <c r="AB220">
        <v>8</v>
      </c>
      <c r="AC220">
        <v>3</v>
      </c>
      <c r="AD220">
        <v>0</v>
      </c>
      <c r="AE220">
        <v>9</v>
      </c>
      <c r="AF220" t="s">
        <v>138</v>
      </c>
      <c r="AG220">
        <v>0</v>
      </c>
      <c r="AH220">
        <v>3</v>
      </c>
      <c r="AI220">
        <v>1</v>
      </c>
      <c r="AJ220">
        <v>0</v>
      </c>
      <c r="AK220" t="s">
        <v>209</v>
      </c>
      <c r="AL220">
        <v>38.955717</v>
      </c>
      <c r="AM220" t="s">
        <v>214</v>
      </c>
      <c r="AN220">
        <v>-121.070795</v>
      </c>
      <c r="AO220">
        <v>25</v>
      </c>
      <c r="AP220">
        <v>1800</v>
      </c>
      <c r="AQ220" t="s">
        <v>131</v>
      </c>
      <c r="AR220">
        <v>70</v>
      </c>
      <c r="AS220">
        <v>1</v>
      </c>
      <c r="AT220">
        <v>576</v>
      </c>
      <c r="BB220" t="str">
        <f t="shared" si="79"/>
        <v>1200</v>
      </c>
      <c r="BC220">
        <v>1</v>
      </c>
      <c r="BD220" t="str">
        <f t="shared" si="80"/>
        <v xml:space="preserve">N52156  </v>
      </c>
      <c r="BE220">
        <v>1</v>
      </c>
      <c r="BG220">
        <v>0</v>
      </c>
      <c r="BH220">
        <v>0</v>
      </c>
      <c r="BI220">
        <v>0</v>
      </c>
      <c r="BJ220">
        <v>1725</v>
      </c>
      <c r="BK220">
        <v>-75</v>
      </c>
      <c r="BL220" t="s">
        <v>188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 t="shared" si="89"/>
        <v>15:05:08.891</v>
      </c>
      <c r="CF220">
        <v>891443473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4</v>
      </c>
      <c r="CY220">
        <v>7</v>
      </c>
      <c r="CZ220" t="s">
        <v>133</v>
      </c>
      <c r="DA220">
        <v>275</v>
      </c>
      <c r="DB220">
        <v>0</v>
      </c>
      <c r="DC220" t="s">
        <v>134</v>
      </c>
      <c r="DD220" t="s">
        <v>135</v>
      </c>
      <c r="DG220">
        <v>3317946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"05/01/2025 15:05:09.129"</f>
        <v>05/01/2025 15:05:09.129</v>
      </c>
      <c r="C221" t="str">
        <f t="shared" si="76"/>
        <v>FFDFD3C0</v>
      </c>
      <c r="D221" t="s">
        <v>145</v>
      </c>
      <c r="E221" t="str">
        <f>"05"</f>
        <v>05</v>
      </c>
      <c r="H221">
        <v>47</v>
      </c>
      <c r="I221" t="s">
        <v>146</v>
      </c>
      <c r="J221" t="s">
        <v>138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R221" t="s">
        <v>127</v>
      </c>
      <c r="S221" t="str">
        <f t="shared" si="88"/>
        <v>15:05:08.000</v>
      </c>
      <c r="T221" t="str">
        <f t="shared" si="88"/>
        <v>15:05:08.000</v>
      </c>
      <c r="U221" t="str">
        <f t="shared" si="78"/>
        <v>A68FCB</v>
      </c>
      <c r="V221">
        <v>0</v>
      </c>
      <c r="W221">
        <v>0</v>
      </c>
      <c r="X221">
        <v>2</v>
      </c>
      <c r="Y221">
        <v>0</v>
      </c>
      <c r="AA221">
        <v>1</v>
      </c>
      <c r="AB221">
        <v>8</v>
      </c>
      <c r="AC221">
        <v>3</v>
      </c>
      <c r="AD221">
        <v>0</v>
      </c>
      <c r="AE221">
        <v>9</v>
      </c>
      <c r="AF221" t="s">
        <v>138</v>
      </c>
      <c r="AG221">
        <v>0</v>
      </c>
      <c r="AH221">
        <v>3</v>
      </c>
      <c r="AI221">
        <v>1</v>
      </c>
      <c r="AJ221">
        <v>0</v>
      </c>
      <c r="AK221" t="s">
        <v>209</v>
      </c>
      <c r="AL221">
        <v>38.955717</v>
      </c>
      <c r="AM221" t="s">
        <v>214</v>
      </c>
      <c r="AN221">
        <v>-121.070795</v>
      </c>
      <c r="AO221">
        <v>25</v>
      </c>
      <c r="AP221">
        <v>1800</v>
      </c>
      <c r="AQ221" t="s">
        <v>131</v>
      </c>
      <c r="AR221">
        <v>70</v>
      </c>
      <c r="AS221">
        <v>1</v>
      </c>
      <c r="AT221">
        <v>576</v>
      </c>
      <c r="BB221" t="str">
        <f t="shared" si="79"/>
        <v>1200</v>
      </c>
      <c r="BC221">
        <v>1</v>
      </c>
      <c r="BD221" t="str">
        <f t="shared" si="80"/>
        <v xml:space="preserve">N52156  </v>
      </c>
      <c r="BE221">
        <v>1</v>
      </c>
      <c r="BG221">
        <v>0</v>
      </c>
      <c r="BH221">
        <v>0</v>
      </c>
      <c r="BI221">
        <v>0</v>
      </c>
      <c r="BJ221">
        <v>1725</v>
      </c>
      <c r="BK221">
        <v>-75</v>
      </c>
      <c r="BL221" t="s">
        <v>188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 t="shared" si="89"/>
        <v>15:05:08.891</v>
      </c>
      <c r="CF221">
        <v>891443473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4</v>
      </c>
      <c r="CY221">
        <v>7</v>
      </c>
      <c r="CZ221" t="s">
        <v>133</v>
      </c>
      <c r="DA221">
        <v>275</v>
      </c>
      <c r="DB221">
        <v>0</v>
      </c>
      <c r="DC221" t="s">
        <v>134</v>
      </c>
      <c r="DD221" t="s">
        <v>135</v>
      </c>
      <c r="DG221">
        <v>3317946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"05/01/2025 15:05:09.134"</f>
        <v>05/01/2025 15:05:09.134</v>
      </c>
      <c r="C222" t="str">
        <f t="shared" si="76"/>
        <v>FFDFD3C0</v>
      </c>
      <c r="D222" t="s">
        <v>124</v>
      </c>
      <c r="E222" t="str">
        <f>"06"</f>
        <v>06</v>
      </c>
      <c r="F222">
        <v>2006</v>
      </c>
      <c r="G222" t="s">
        <v>125</v>
      </c>
      <c r="J222" t="s">
        <v>126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R222" t="s">
        <v>127</v>
      </c>
      <c r="S222" t="str">
        <f t="shared" si="88"/>
        <v>15:05:08.000</v>
      </c>
      <c r="T222" t="str">
        <f t="shared" si="88"/>
        <v>15:05:08.000</v>
      </c>
      <c r="U222" t="str">
        <f t="shared" si="78"/>
        <v>A68FCB</v>
      </c>
      <c r="V222">
        <v>0</v>
      </c>
      <c r="W222">
        <v>0</v>
      </c>
      <c r="X222">
        <v>2</v>
      </c>
      <c r="Y222">
        <v>0</v>
      </c>
      <c r="AA222">
        <v>1</v>
      </c>
      <c r="AB222">
        <v>8</v>
      </c>
      <c r="AC222">
        <v>3</v>
      </c>
      <c r="AD222">
        <v>0</v>
      </c>
      <c r="AE222">
        <v>9</v>
      </c>
      <c r="AF222" t="s">
        <v>138</v>
      </c>
      <c r="AG222">
        <v>0</v>
      </c>
      <c r="AH222">
        <v>3</v>
      </c>
      <c r="AI222">
        <v>1</v>
      </c>
      <c r="AJ222">
        <v>0</v>
      </c>
      <c r="AK222" t="s">
        <v>209</v>
      </c>
      <c r="AL222">
        <v>38.955717</v>
      </c>
      <c r="AM222" t="s">
        <v>214</v>
      </c>
      <c r="AN222">
        <v>-121.070795</v>
      </c>
      <c r="AO222">
        <v>25</v>
      </c>
      <c r="AP222">
        <v>1800</v>
      </c>
      <c r="AQ222" t="s">
        <v>131</v>
      </c>
      <c r="AR222">
        <v>70</v>
      </c>
      <c r="AS222">
        <v>1</v>
      </c>
      <c r="AT222">
        <v>576</v>
      </c>
      <c r="BB222" t="str">
        <f t="shared" si="79"/>
        <v>1200</v>
      </c>
      <c r="BC222">
        <v>1</v>
      </c>
      <c r="BD222" t="str">
        <f t="shared" si="80"/>
        <v xml:space="preserve">N52156  </v>
      </c>
      <c r="BE222">
        <v>1</v>
      </c>
      <c r="BG222">
        <v>0</v>
      </c>
      <c r="BH222">
        <v>0</v>
      </c>
      <c r="BI222">
        <v>0</v>
      </c>
      <c r="BJ222">
        <v>1725</v>
      </c>
      <c r="BK222">
        <v>-75</v>
      </c>
      <c r="BL222" t="s">
        <v>188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 t="shared" si="89"/>
        <v>15:05:08.891</v>
      </c>
      <c r="CF222">
        <v>891443473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4</v>
      </c>
      <c r="CY222">
        <v>7</v>
      </c>
      <c r="CZ222" t="s">
        <v>133</v>
      </c>
      <c r="DA222">
        <v>275</v>
      </c>
      <c r="DB222">
        <v>0</v>
      </c>
      <c r="DC222" t="s">
        <v>134</v>
      </c>
      <c r="DD222" t="s">
        <v>135</v>
      </c>
      <c r="DG222">
        <v>3317946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"05/01/2025 15:05:09.142"</f>
        <v>05/01/2025 15:05:09.142</v>
      </c>
      <c r="C223" t="str">
        <f t="shared" si="76"/>
        <v>FFDFD3C0</v>
      </c>
      <c r="D223" t="s">
        <v>136</v>
      </c>
      <c r="E223" t="str">
        <f>"20"</f>
        <v>20</v>
      </c>
      <c r="H223">
        <v>400</v>
      </c>
      <c r="I223" t="s">
        <v>137</v>
      </c>
      <c r="J223" t="s">
        <v>138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R223" t="s">
        <v>127</v>
      </c>
      <c r="S223" t="str">
        <f t="shared" si="88"/>
        <v>15:05:08.000</v>
      </c>
      <c r="T223" t="str">
        <f t="shared" si="88"/>
        <v>15:05:08.000</v>
      </c>
      <c r="U223" t="str">
        <f t="shared" si="78"/>
        <v>A68FCB</v>
      </c>
      <c r="V223">
        <v>0</v>
      </c>
      <c r="W223">
        <v>0</v>
      </c>
      <c r="X223">
        <v>2</v>
      </c>
      <c r="Y223">
        <v>0</v>
      </c>
      <c r="AA223">
        <v>1</v>
      </c>
      <c r="AB223">
        <v>8</v>
      </c>
      <c r="AC223">
        <v>3</v>
      </c>
      <c r="AD223">
        <v>0</v>
      </c>
      <c r="AE223">
        <v>9</v>
      </c>
      <c r="AF223" t="s">
        <v>138</v>
      </c>
      <c r="AG223">
        <v>0</v>
      </c>
      <c r="AH223">
        <v>3</v>
      </c>
      <c r="AI223">
        <v>1</v>
      </c>
      <c r="AJ223">
        <v>0</v>
      </c>
      <c r="AK223" t="s">
        <v>209</v>
      </c>
      <c r="AL223">
        <v>38.955717</v>
      </c>
      <c r="AM223" t="s">
        <v>214</v>
      </c>
      <c r="AN223">
        <v>-121.070795</v>
      </c>
      <c r="AO223">
        <v>25</v>
      </c>
      <c r="AP223">
        <v>1800</v>
      </c>
      <c r="AQ223" t="s">
        <v>131</v>
      </c>
      <c r="AR223">
        <v>70</v>
      </c>
      <c r="AS223">
        <v>1</v>
      </c>
      <c r="AT223">
        <v>576</v>
      </c>
      <c r="BB223" t="str">
        <f t="shared" si="79"/>
        <v>1200</v>
      </c>
      <c r="BC223">
        <v>1</v>
      </c>
      <c r="BD223" t="str">
        <f t="shared" si="80"/>
        <v xml:space="preserve">N52156  </v>
      </c>
      <c r="BE223">
        <v>1</v>
      </c>
      <c r="BG223">
        <v>0</v>
      </c>
      <c r="BH223">
        <v>0</v>
      </c>
      <c r="BI223">
        <v>0</v>
      </c>
      <c r="BJ223">
        <v>1725</v>
      </c>
      <c r="BK223">
        <v>-75</v>
      </c>
      <c r="BL223" t="s">
        <v>188</v>
      </c>
      <c r="BM223">
        <v>1</v>
      </c>
      <c r="BN223">
        <v>1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 t="shared" si="89"/>
        <v>15:05:08.891</v>
      </c>
      <c r="CF223">
        <v>891443473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4</v>
      </c>
      <c r="CY223">
        <v>7</v>
      </c>
      <c r="CZ223" t="s">
        <v>133</v>
      </c>
      <c r="DA223">
        <v>275</v>
      </c>
      <c r="DB223">
        <v>0</v>
      </c>
      <c r="DC223" t="s">
        <v>134</v>
      </c>
      <c r="DD223" t="s">
        <v>135</v>
      </c>
      <c r="DG223">
        <v>3317946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"05/01/2025 15:05:10.021"</f>
        <v>05/01/2025 15:05:10.021</v>
      </c>
      <c r="C224" t="str">
        <f t="shared" si="76"/>
        <v>FFDFD3C0</v>
      </c>
      <c r="D224" t="s">
        <v>140</v>
      </c>
      <c r="E224" t="str">
        <f>"13"</f>
        <v>13</v>
      </c>
      <c r="F224">
        <v>1019</v>
      </c>
      <c r="G224" t="s">
        <v>141</v>
      </c>
      <c r="J224" t="s">
        <v>142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R224" t="s">
        <v>127</v>
      </c>
      <c r="S224" t="str">
        <f t="shared" ref="S224:T229" si="90">"15:05:09.000"</f>
        <v>15:05:09.000</v>
      </c>
      <c r="T224" t="str">
        <f t="shared" si="90"/>
        <v>15:05:09.000</v>
      </c>
      <c r="U224" t="str">
        <f t="shared" si="78"/>
        <v>A68FCB</v>
      </c>
      <c r="V224">
        <v>0</v>
      </c>
      <c r="W224">
        <v>0</v>
      </c>
      <c r="X224">
        <v>2</v>
      </c>
      <c r="Y224">
        <v>0</v>
      </c>
      <c r="AA224">
        <v>1</v>
      </c>
      <c r="AB224">
        <v>8</v>
      </c>
      <c r="AC224">
        <v>3</v>
      </c>
      <c r="AD224">
        <v>0</v>
      </c>
      <c r="AE224">
        <v>9</v>
      </c>
      <c r="AF224" t="s">
        <v>138</v>
      </c>
      <c r="AG224">
        <v>0</v>
      </c>
      <c r="AH224">
        <v>3</v>
      </c>
      <c r="AI224">
        <v>1</v>
      </c>
      <c r="AJ224">
        <v>0</v>
      </c>
      <c r="AK224" t="s">
        <v>209</v>
      </c>
      <c r="AL224">
        <v>38.955717</v>
      </c>
      <c r="AM224" t="s">
        <v>215</v>
      </c>
      <c r="AN224">
        <v>-121.07036600000001</v>
      </c>
      <c r="AO224">
        <v>25</v>
      </c>
      <c r="AP224">
        <v>1800</v>
      </c>
      <c r="AQ224" t="s">
        <v>131</v>
      </c>
      <c r="AR224">
        <v>70</v>
      </c>
      <c r="AS224">
        <v>1</v>
      </c>
      <c r="AT224">
        <v>640</v>
      </c>
      <c r="BB224" t="str">
        <f t="shared" si="79"/>
        <v>1200</v>
      </c>
      <c r="BC224">
        <v>1</v>
      </c>
      <c r="BD224" t="str">
        <f t="shared" si="80"/>
        <v xml:space="preserve">N52156  </v>
      </c>
      <c r="BE224">
        <v>1</v>
      </c>
      <c r="BG224">
        <v>0</v>
      </c>
      <c r="BH224">
        <v>0</v>
      </c>
      <c r="BI224">
        <v>0</v>
      </c>
      <c r="BJ224">
        <v>1725</v>
      </c>
      <c r="BK224">
        <v>-75</v>
      </c>
      <c r="BL224" t="s">
        <v>188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 t="shared" ref="CE224:CE229" si="91">"15:05:09.791"</f>
        <v>15:05:09.791</v>
      </c>
      <c r="CF224">
        <v>791443590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4</v>
      </c>
      <c r="CY224">
        <v>7</v>
      </c>
      <c r="CZ224" t="s">
        <v>133</v>
      </c>
      <c r="DA224">
        <v>275</v>
      </c>
      <c r="DB224">
        <v>0</v>
      </c>
      <c r="DC224" t="s">
        <v>134</v>
      </c>
      <c r="DD224" t="s">
        <v>135</v>
      </c>
      <c r="DG224">
        <v>3317958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"05/01/2025 15:05:10.026"</f>
        <v>05/01/2025 15:05:10.026</v>
      </c>
      <c r="C225" t="str">
        <f t="shared" si="76"/>
        <v>FFDFD3C0</v>
      </c>
      <c r="D225" t="s">
        <v>143</v>
      </c>
      <c r="E225" t="str">
        <f>"05"</f>
        <v>05</v>
      </c>
      <c r="H225">
        <v>172</v>
      </c>
      <c r="I225" t="s">
        <v>141</v>
      </c>
      <c r="J225" t="s">
        <v>144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R225" t="s">
        <v>127</v>
      </c>
      <c r="S225" t="str">
        <f t="shared" si="90"/>
        <v>15:05:09.000</v>
      </c>
      <c r="T225" t="str">
        <f t="shared" si="90"/>
        <v>15:05:09.000</v>
      </c>
      <c r="U225" t="str">
        <f t="shared" si="78"/>
        <v>A68FCB</v>
      </c>
      <c r="V225">
        <v>0</v>
      </c>
      <c r="W225">
        <v>0</v>
      </c>
      <c r="X225">
        <v>2</v>
      </c>
      <c r="Y225">
        <v>0</v>
      </c>
      <c r="AA225">
        <v>1</v>
      </c>
      <c r="AB225">
        <v>8</v>
      </c>
      <c r="AC225">
        <v>3</v>
      </c>
      <c r="AD225">
        <v>0</v>
      </c>
      <c r="AE225">
        <v>9</v>
      </c>
      <c r="AF225" t="s">
        <v>138</v>
      </c>
      <c r="AG225">
        <v>0</v>
      </c>
      <c r="AH225">
        <v>3</v>
      </c>
      <c r="AI225">
        <v>1</v>
      </c>
      <c r="AJ225">
        <v>0</v>
      </c>
      <c r="AK225" t="s">
        <v>209</v>
      </c>
      <c r="AL225">
        <v>38.955717</v>
      </c>
      <c r="AM225" t="s">
        <v>215</v>
      </c>
      <c r="AN225">
        <v>-121.07036600000001</v>
      </c>
      <c r="AO225">
        <v>25</v>
      </c>
      <c r="AP225">
        <v>1800</v>
      </c>
      <c r="AQ225" t="s">
        <v>131</v>
      </c>
      <c r="AR225">
        <v>70</v>
      </c>
      <c r="AS225">
        <v>1</v>
      </c>
      <c r="AT225">
        <v>640</v>
      </c>
      <c r="BB225" t="str">
        <f t="shared" si="79"/>
        <v>1200</v>
      </c>
      <c r="BC225">
        <v>1</v>
      </c>
      <c r="BD225" t="str">
        <f t="shared" si="80"/>
        <v xml:space="preserve">N52156  </v>
      </c>
      <c r="BE225">
        <v>1</v>
      </c>
      <c r="BG225">
        <v>0</v>
      </c>
      <c r="BH225">
        <v>0</v>
      </c>
      <c r="BI225">
        <v>0</v>
      </c>
      <c r="BJ225">
        <v>1725</v>
      </c>
      <c r="BK225">
        <v>-75</v>
      </c>
      <c r="BL225" t="s">
        <v>188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 t="shared" si="91"/>
        <v>15:05:09.791</v>
      </c>
      <c r="CF225">
        <v>791443590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4</v>
      </c>
      <c r="CY225">
        <v>7</v>
      </c>
      <c r="CZ225" t="s">
        <v>133</v>
      </c>
      <c r="DA225">
        <v>275</v>
      </c>
      <c r="DB225">
        <v>0</v>
      </c>
      <c r="DC225" t="s">
        <v>134</v>
      </c>
      <c r="DD225" t="s">
        <v>135</v>
      </c>
      <c r="DG225">
        <v>3317958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"05/01/2025 15:05:10.031"</f>
        <v>05/01/2025 15:05:10.031</v>
      </c>
      <c r="C226" t="str">
        <f t="shared" si="76"/>
        <v>FFDFD3C0</v>
      </c>
      <c r="D226" t="s">
        <v>145</v>
      </c>
      <c r="E226" t="str">
        <f>"05"</f>
        <v>05</v>
      </c>
      <c r="H226">
        <v>47</v>
      </c>
      <c r="I226" t="s">
        <v>146</v>
      </c>
      <c r="J226" t="s">
        <v>138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R226" t="s">
        <v>127</v>
      </c>
      <c r="S226" t="str">
        <f t="shared" si="90"/>
        <v>15:05:09.000</v>
      </c>
      <c r="T226" t="str">
        <f t="shared" si="90"/>
        <v>15:05:09.000</v>
      </c>
      <c r="U226" t="str">
        <f t="shared" si="78"/>
        <v>A68FCB</v>
      </c>
      <c r="V226">
        <v>0</v>
      </c>
      <c r="W226">
        <v>0</v>
      </c>
      <c r="X226">
        <v>2</v>
      </c>
      <c r="Y226">
        <v>0</v>
      </c>
      <c r="AA226">
        <v>1</v>
      </c>
      <c r="AB226">
        <v>8</v>
      </c>
      <c r="AC226">
        <v>3</v>
      </c>
      <c r="AD226">
        <v>0</v>
      </c>
      <c r="AE226">
        <v>9</v>
      </c>
      <c r="AF226" t="s">
        <v>138</v>
      </c>
      <c r="AG226">
        <v>0</v>
      </c>
      <c r="AH226">
        <v>3</v>
      </c>
      <c r="AI226">
        <v>1</v>
      </c>
      <c r="AJ226">
        <v>0</v>
      </c>
      <c r="AK226" t="s">
        <v>209</v>
      </c>
      <c r="AL226">
        <v>38.955717</v>
      </c>
      <c r="AM226" t="s">
        <v>215</v>
      </c>
      <c r="AN226">
        <v>-121.07036600000001</v>
      </c>
      <c r="AO226">
        <v>25</v>
      </c>
      <c r="AP226">
        <v>1800</v>
      </c>
      <c r="AQ226" t="s">
        <v>131</v>
      </c>
      <c r="AR226">
        <v>70</v>
      </c>
      <c r="AS226">
        <v>1</v>
      </c>
      <c r="AT226">
        <v>640</v>
      </c>
      <c r="BB226" t="str">
        <f t="shared" si="79"/>
        <v>1200</v>
      </c>
      <c r="BC226">
        <v>1</v>
      </c>
      <c r="BD226" t="str">
        <f t="shared" si="80"/>
        <v xml:space="preserve">N52156  </v>
      </c>
      <c r="BE226">
        <v>1</v>
      </c>
      <c r="BG226">
        <v>0</v>
      </c>
      <c r="BH226">
        <v>0</v>
      </c>
      <c r="BI226">
        <v>0</v>
      </c>
      <c r="BJ226">
        <v>1725</v>
      </c>
      <c r="BK226">
        <v>-75</v>
      </c>
      <c r="BL226" t="s">
        <v>188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 t="shared" si="91"/>
        <v>15:05:09.791</v>
      </c>
      <c r="CF226">
        <v>791443590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4</v>
      </c>
      <c r="CY226">
        <v>7</v>
      </c>
      <c r="CZ226" t="s">
        <v>133</v>
      </c>
      <c r="DA226">
        <v>275</v>
      </c>
      <c r="DB226">
        <v>0</v>
      </c>
      <c r="DC226" t="s">
        <v>134</v>
      </c>
      <c r="DD226" t="s">
        <v>135</v>
      </c>
      <c r="DG226">
        <v>3317958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"05/01/2025 15:05:10.031"</f>
        <v>05/01/2025 15:05:10.031</v>
      </c>
      <c r="C227" t="str">
        <f t="shared" si="76"/>
        <v>FFDFD3C0</v>
      </c>
      <c r="D227" t="s">
        <v>145</v>
      </c>
      <c r="E227" t="str">
        <f>"09"</f>
        <v>09</v>
      </c>
      <c r="H227">
        <v>51</v>
      </c>
      <c r="I227" t="s">
        <v>147</v>
      </c>
      <c r="J227" t="s">
        <v>138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R227" t="s">
        <v>127</v>
      </c>
      <c r="S227" t="str">
        <f t="shared" si="90"/>
        <v>15:05:09.000</v>
      </c>
      <c r="T227" t="str">
        <f t="shared" si="90"/>
        <v>15:05:09.000</v>
      </c>
      <c r="U227" t="str">
        <f t="shared" si="78"/>
        <v>A68FCB</v>
      </c>
      <c r="V227">
        <v>0</v>
      </c>
      <c r="W227">
        <v>0</v>
      </c>
      <c r="X227">
        <v>2</v>
      </c>
      <c r="Y227">
        <v>0</v>
      </c>
      <c r="AA227">
        <v>1</v>
      </c>
      <c r="AB227">
        <v>8</v>
      </c>
      <c r="AC227">
        <v>3</v>
      </c>
      <c r="AD227">
        <v>0</v>
      </c>
      <c r="AE227">
        <v>9</v>
      </c>
      <c r="AF227" t="s">
        <v>138</v>
      </c>
      <c r="AG227">
        <v>0</v>
      </c>
      <c r="AH227">
        <v>3</v>
      </c>
      <c r="AI227">
        <v>1</v>
      </c>
      <c r="AJ227">
        <v>0</v>
      </c>
      <c r="AK227" t="s">
        <v>209</v>
      </c>
      <c r="AL227">
        <v>38.955717</v>
      </c>
      <c r="AM227" t="s">
        <v>215</v>
      </c>
      <c r="AN227">
        <v>-121.07036600000001</v>
      </c>
      <c r="AO227">
        <v>25</v>
      </c>
      <c r="AP227">
        <v>1800</v>
      </c>
      <c r="AQ227" t="s">
        <v>131</v>
      </c>
      <c r="AR227">
        <v>70</v>
      </c>
      <c r="AS227">
        <v>1</v>
      </c>
      <c r="AT227">
        <v>640</v>
      </c>
      <c r="BB227" t="str">
        <f t="shared" si="79"/>
        <v>1200</v>
      </c>
      <c r="BC227">
        <v>1</v>
      </c>
      <c r="BD227" t="str">
        <f t="shared" si="80"/>
        <v xml:space="preserve">N52156  </v>
      </c>
      <c r="BE227">
        <v>1</v>
      </c>
      <c r="BG227">
        <v>0</v>
      </c>
      <c r="BH227">
        <v>0</v>
      </c>
      <c r="BI227">
        <v>0</v>
      </c>
      <c r="BJ227">
        <v>1725</v>
      </c>
      <c r="BK227">
        <v>-75</v>
      </c>
      <c r="BL227" t="s">
        <v>188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 t="shared" si="91"/>
        <v>15:05:09.791</v>
      </c>
      <c r="CF227">
        <v>791443590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4</v>
      </c>
      <c r="CY227">
        <v>7</v>
      </c>
      <c r="CZ227" t="s">
        <v>133</v>
      </c>
      <c r="DA227">
        <v>275</v>
      </c>
      <c r="DB227">
        <v>0</v>
      </c>
      <c r="DC227" t="s">
        <v>134</v>
      </c>
      <c r="DD227" t="s">
        <v>135</v>
      </c>
      <c r="DG227">
        <v>3317958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"05/01/2025 15:05:10.035"</f>
        <v>05/01/2025 15:05:10.035</v>
      </c>
      <c r="C228" t="str">
        <f t="shared" si="76"/>
        <v>FFDFD3C0</v>
      </c>
      <c r="D228" t="s">
        <v>124</v>
      </c>
      <c r="E228" t="str">
        <f>"06"</f>
        <v>06</v>
      </c>
      <c r="F228">
        <v>2006</v>
      </c>
      <c r="G228" t="s">
        <v>125</v>
      </c>
      <c r="J228" t="s">
        <v>126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R228" t="s">
        <v>127</v>
      </c>
      <c r="S228" t="str">
        <f t="shared" si="90"/>
        <v>15:05:09.000</v>
      </c>
      <c r="T228" t="str">
        <f t="shared" si="90"/>
        <v>15:05:09.000</v>
      </c>
      <c r="U228" t="str">
        <f t="shared" si="78"/>
        <v>A68FCB</v>
      </c>
      <c r="V228">
        <v>0</v>
      </c>
      <c r="W228">
        <v>0</v>
      </c>
      <c r="X228">
        <v>2</v>
      </c>
      <c r="Y228">
        <v>0</v>
      </c>
      <c r="AA228">
        <v>1</v>
      </c>
      <c r="AB228">
        <v>8</v>
      </c>
      <c r="AC228">
        <v>3</v>
      </c>
      <c r="AD228">
        <v>0</v>
      </c>
      <c r="AE228">
        <v>9</v>
      </c>
      <c r="AF228" t="s">
        <v>138</v>
      </c>
      <c r="AG228">
        <v>0</v>
      </c>
      <c r="AH228">
        <v>3</v>
      </c>
      <c r="AI228">
        <v>1</v>
      </c>
      <c r="AJ228">
        <v>0</v>
      </c>
      <c r="AK228" t="s">
        <v>209</v>
      </c>
      <c r="AL228">
        <v>38.955717</v>
      </c>
      <c r="AM228" t="s">
        <v>215</v>
      </c>
      <c r="AN228">
        <v>-121.07036600000001</v>
      </c>
      <c r="AO228">
        <v>25</v>
      </c>
      <c r="AP228">
        <v>1800</v>
      </c>
      <c r="AQ228" t="s">
        <v>131</v>
      </c>
      <c r="AR228">
        <v>70</v>
      </c>
      <c r="AS228">
        <v>1</v>
      </c>
      <c r="AT228">
        <v>640</v>
      </c>
      <c r="BB228" t="str">
        <f t="shared" si="79"/>
        <v>1200</v>
      </c>
      <c r="BC228">
        <v>1</v>
      </c>
      <c r="BD228" t="str">
        <f t="shared" si="80"/>
        <v xml:space="preserve">N52156  </v>
      </c>
      <c r="BE228">
        <v>1</v>
      </c>
      <c r="BG228">
        <v>0</v>
      </c>
      <c r="BH228">
        <v>0</v>
      </c>
      <c r="BI228">
        <v>0</v>
      </c>
      <c r="BJ228">
        <v>1725</v>
      </c>
      <c r="BK228">
        <v>-75</v>
      </c>
      <c r="BL228" t="s">
        <v>188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 t="shared" si="91"/>
        <v>15:05:09.791</v>
      </c>
      <c r="CF228">
        <v>791443590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4</v>
      </c>
      <c r="CY228">
        <v>7</v>
      </c>
      <c r="CZ228" t="s">
        <v>133</v>
      </c>
      <c r="DA228">
        <v>275</v>
      </c>
      <c r="DB228">
        <v>0</v>
      </c>
      <c r="DC228" t="s">
        <v>134</v>
      </c>
      <c r="DD228" t="s">
        <v>135</v>
      </c>
      <c r="DG228">
        <v>3317958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"05/01/2025 15:05:10.043"</f>
        <v>05/01/2025 15:05:10.043</v>
      </c>
      <c r="C229" t="str">
        <f t="shared" si="76"/>
        <v>FFDFD3C0</v>
      </c>
      <c r="D229" t="s">
        <v>136</v>
      </c>
      <c r="E229" t="str">
        <f>"20"</f>
        <v>20</v>
      </c>
      <c r="H229">
        <v>400</v>
      </c>
      <c r="I229" t="s">
        <v>137</v>
      </c>
      <c r="J229" t="s">
        <v>138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R229" t="s">
        <v>127</v>
      </c>
      <c r="S229" t="str">
        <f t="shared" si="90"/>
        <v>15:05:09.000</v>
      </c>
      <c r="T229" t="str">
        <f t="shared" si="90"/>
        <v>15:05:09.000</v>
      </c>
      <c r="U229" t="str">
        <f t="shared" si="78"/>
        <v>A68FCB</v>
      </c>
      <c r="V229">
        <v>0</v>
      </c>
      <c r="W229">
        <v>0</v>
      </c>
      <c r="X229">
        <v>2</v>
      </c>
      <c r="Y229">
        <v>0</v>
      </c>
      <c r="AA229">
        <v>1</v>
      </c>
      <c r="AB229">
        <v>8</v>
      </c>
      <c r="AC229">
        <v>3</v>
      </c>
      <c r="AD229">
        <v>0</v>
      </c>
      <c r="AE229">
        <v>9</v>
      </c>
      <c r="AF229" t="s">
        <v>138</v>
      </c>
      <c r="AG229">
        <v>0</v>
      </c>
      <c r="AH229">
        <v>3</v>
      </c>
      <c r="AI229">
        <v>1</v>
      </c>
      <c r="AJ229">
        <v>0</v>
      </c>
      <c r="AK229" t="s">
        <v>209</v>
      </c>
      <c r="AL229">
        <v>38.955717</v>
      </c>
      <c r="AM229" t="s">
        <v>215</v>
      </c>
      <c r="AN229">
        <v>-121.07036600000001</v>
      </c>
      <c r="AO229">
        <v>25</v>
      </c>
      <c r="AP229">
        <v>1800</v>
      </c>
      <c r="AQ229" t="s">
        <v>131</v>
      </c>
      <c r="AR229">
        <v>70</v>
      </c>
      <c r="AS229">
        <v>1</v>
      </c>
      <c r="AT229">
        <v>640</v>
      </c>
      <c r="BB229" t="str">
        <f t="shared" si="79"/>
        <v>1200</v>
      </c>
      <c r="BC229">
        <v>1</v>
      </c>
      <c r="BD229" t="str">
        <f t="shared" si="80"/>
        <v xml:space="preserve">N52156  </v>
      </c>
      <c r="BE229">
        <v>1</v>
      </c>
      <c r="BG229">
        <v>0</v>
      </c>
      <c r="BH229">
        <v>0</v>
      </c>
      <c r="BI229">
        <v>0</v>
      </c>
      <c r="BJ229">
        <v>1725</v>
      </c>
      <c r="BK229">
        <v>-75</v>
      </c>
      <c r="BL229" t="s">
        <v>188</v>
      </c>
      <c r="BM229">
        <v>1</v>
      </c>
      <c r="BN229">
        <v>1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 t="shared" si="91"/>
        <v>15:05:09.791</v>
      </c>
      <c r="CF229">
        <v>791443590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4</v>
      </c>
      <c r="CY229">
        <v>7</v>
      </c>
      <c r="CZ229" t="s">
        <v>133</v>
      </c>
      <c r="DA229">
        <v>275</v>
      </c>
      <c r="DB229">
        <v>0</v>
      </c>
      <c r="DC229" t="s">
        <v>134</v>
      </c>
      <c r="DD229" t="s">
        <v>135</v>
      </c>
      <c r="DG229">
        <v>3317958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"05/01/2025 15:05:10.622"</f>
        <v>05/01/2025 15:05:10.622</v>
      </c>
      <c r="C230" t="str">
        <f t="shared" si="76"/>
        <v>FFDFD3C0</v>
      </c>
      <c r="D230" t="s">
        <v>140</v>
      </c>
      <c r="E230" t="str">
        <f>"13"</f>
        <v>13</v>
      </c>
      <c r="F230">
        <v>1019</v>
      </c>
      <c r="G230" t="s">
        <v>141</v>
      </c>
      <c r="J230" t="s">
        <v>142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R230" t="s">
        <v>127</v>
      </c>
      <c r="S230" t="str">
        <f t="shared" ref="S230:T235" si="92">"15:05:10.000"</f>
        <v>15:05:10.000</v>
      </c>
      <c r="T230" t="str">
        <f t="shared" si="92"/>
        <v>15:05:10.000</v>
      </c>
      <c r="U230" t="str">
        <f t="shared" si="78"/>
        <v>A68FCB</v>
      </c>
      <c r="V230">
        <v>0</v>
      </c>
      <c r="W230">
        <v>0</v>
      </c>
      <c r="X230">
        <v>2</v>
      </c>
      <c r="Y230">
        <v>0</v>
      </c>
      <c r="AA230">
        <v>1</v>
      </c>
      <c r="AB230">
        <v>8</v>
      </c>
      <c r="AC230">
        <v>3</v>
      </c>
      <c r="AD230">
        <v>0</v>
      </c>
      <c r="AE230">
        <v>9</v>
      </c>
      <c r="AF230" t="s">
        <v>138</v>
      </c>
      <c r="AG230">
        <v>0</v>
      </c>
      <c r="AH230">
        <v>3</v>
      </c>
      <c r="AI230">
        <v>1</v>
      </c>
      <c r="AJ230">
        <v>0</v>
      </c>
      <c r="AK230" t="s">
        <v>209</v>
      </c>
      <c r="AL230">
        <v>38.955717</v>
      </c>
      <c r="AM230" t="s">
        <v>216</v>
      </c>
      <c r="AN230">
        <v>-121.069958</v>
      </c>
      <c r="AO230">
        <v>25</v>
      </c>
      <c r="AP230">
        <v>1800</v>
      </c>
      <c r="AQ230" t="s">
        <v>131</v>
      </c>
      <c r="AR230">
        <v>70</v>
      </c>
      <c r="AS230">
        <v>1</v>
      </c>
      <c r="AT230">
        <v>640</v>
      </c>
      <c r="BB230" t="str">
        <f t="shared" si="79"/>
        <v>1200</v>
      </c>
      <c r="BC230">
        <v>1</v>
      </c>
      <c r="BD230" t="str">
        <f t="shared" si="80"/>
        <v xml:space="preserve">N52156  </v>
      </c>
      <c r="BE230">
        <v>1</v>
      </c>
      <c r="BG230">
        <v>0</v>
      </c>
      <c r="BH230">
        <v>0</v>
      </c>
      <c r="BI230">
        <v>0</v>
      </c>
      <c r="BJ230">
        <v>1725</v>
      </c>
      <c r="BK230">
        <v>-75</v>
      </c>
      <c r="BL230" t="s">
        <v>188</v>
      </c>
      <c r="BM230">
        <v>1</v>
      </c>
      <c r="BN230">
        <v>1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 t="shared" ref="CE230:CE235" si="93">"15:05:10.426"</f>
        <v>15:05:10.426</v>
      </c>
      <c r="CF230">
        <v>426442727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3</v>
      </c>
      <c r="CY230">
        <v>7</v>
      </c>
      <c r="CZ230" t="s">
        <v>133</v>
      </c>
      <c r="DA230">
        <v>275</v>
      </c>
      <c r="DB230">
        <v>0</v>
      </c>
      <c r="DC230" t="s">
        <v>134</v>
      </c>
      <c r="DD230" t="s">
        <v>135</v>
      </c>
      <c r="DG230">
        <v>3317965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"05/01/2025 15:05:10.627"</f>
        <v>05/01/2025 15:05:10.627</v>
      </c>
      <c r="C231" t="str">
        <f t="shared" si="76"/>
        <v>FFDFD3C0</v>
      </c>
      <c r="D231" t="s">
        <v>143</v>
      </c>
      <c r="E231" t="str">
        <f>"05"</f>
        <v>05</v>
      </c>
      <c r="H231">
        <v>172</v>
      </c>
      <c r="I231" t="s">
        <v>141</v>
      </c>
      <c r="J231" t="s">
        <v>144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R231" t="s">
        <v>127</v>
      </c>
      <c r="S231" t="str">
        <f t="shared" si="92"/>
        <v>15:05:10.000</v>
      </c>
      <c r="T231" t="str">
        <f t="shared" si="92"/>
        <v>15:05:10.000</v>
      </c>
      <c r="U231" t="str">
        <f t="shared" si="78"/>
        <v>A68FCB</v>
      </c>
      <c r="V231">
        <v>0</v>
      </c>
      <c r="W231">
        <v>0</v>
      </c>
      <c r="X231">
        <v>2</v>
      </c>
      <c r="Y231">
        <v>0</v>
      </c>
      <c r="AA231">
        <v>1</v>
      </c>
      <c r="AB231">
        <v>8</v>
      </c>
      <c r="AC231">
        <v>3</v>
      </c>
      <c r="AD231">
        <v>0</v>
      </c>
      <c r="AE231">
        <v>9</v>
      </c>
      <c r="AF231" t="s">
        <v>138</v>
      </c>
      <c r="AG231">
        <v>0</v>
      </c>
      <c r="AH231">
        <v>3</v>
      </c>
      <c r="AI231">
        <v>1</v>
      </c>
      <c r="AJ231">
        <v>0</v>
      </c>
      <c r="AK231" t="s">
        <v>209</v>
      </c>
      <c r="AL231">
        <v>38.955717</v>
      </c>
      <c r="AM231" t="s">
        <v>216</v>
      </c>
      <c r="AN231">
        <v>-121.069958</v>
      </c>
      <c r="AO231">
        <v>25</v>
      </c>
      <c r="AP231">
        <v>1800</v>
      </c>
      <c r="AQ231" t="s">
        <v>131</v>
      </c>
      <c r="AR231">
        <v>70</v>
      </c>
      <c r="AS231">
        <v>1</v>
      </c>
      <c r="AT231">
        <v>640</v>
      </c>
      <c r="BB231" t="str">
        <f t="shared" si="79"/>
        <v>1200</v>
      </c>
      <c r="BC231">
        <v>1</v>
      </c>
      <c r="BD231" t="str">
        <f t="shared" si="80"/>
        <v xml:space="preserve">N52156  </v>
      </c>
      <c r="BE231">
        <v>1</v>
      </c>
      <c r="BG231">
        <v>0</v>
      </c>
      <c r="BH231">
        <v>0</v>
      </c>
      <c r="BI231">
        <v>0</v>
      </c>
      <c r="BJ231">
        <v>1725</v>
      </c>
      <c r="BK231">
        <v>-75</v>
      </c>
      <c r="BL231" t="s">
        <v>188</v>
      </c>
      <c r="BM231">
        <v>1</v>
      </c>
      <c r="BN231">
        <v>1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 t="shared" si="93"/>
        <v>15:05:10.426</v>
      </c>
      <c r="CF231">
        <v>426442727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3</v>
      </c>
      <c r="CY231">
        <v>7</v>
      </c>
      <c r="CZ231" t="s">
        <v>133</v>
      </c>
      <c r="DA231">
        <v>275</v>
      </c>
      <c r="DB231">
        <v>0</v>
      </c>
      <c r="DC231" t="s">
        <v>134</v>
      </c>
      <c r="DD231" t="s">
        <v>135</v>
      </c>
      <c r="DG231">
        <v>3317965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"05/01/2025 15:05:10.632"</f>
        <v>05/01/2025 15:05:10.632</v>
      </c>
      <c r="C232" t="str">
        <f t="shared" si="76"/>
        <v>FFDFD3C0</v>
      </c>
      <c r="D232" t="s">
        <v>145</v>
      </c>
      <c r="E232" t="str">
        <f>"05"</f>
        <v>05</v>
      </c>
      <c r="H232">
        <v>47</v>
      </c>
      <c r="I232" t="s">
        <v>146</v>
      </c>
      <c r="J232" t="s">
        <v>138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R232" t="s">
        <v>127</v>
      </c>
      <c r="S232" t="str">
        <f t="shared" si="92"/>
        <v>15:05:10.000</v>
      </c>
      <c r="T232" t="str">
        <f t="shared" si="92"/>
        <v>15:05:10.000</v>
      </c>
      <c r="U232" t="str">
        <f t="shared" si="78"/>
        <v>A68FCB</v>
      </c>
      <c r="V232">
        <v>0</v>
      </c>
      <c r="W232">
        <v>0</v>
      </c>
      <c r="X232">
        <v>2</v>
      </c>
      <c r="Y232">
        <v>0</v>
      </c>
      <c r="AA232">
        <v>1</v>
      </c>
      <c r="AB232">
        <v>8</v>
      </c>
      <c r="AC232">
        <v>3</v>
      </c>
      <c r="AD232">
        <v>0</v>
      </c>
      <c r="AE232">
        <v>9</v>
      </c>
      <c r="AF232" t="s">
        <v>138</v>
      </c>
      <c r="AG232">
        <v>0</v>
      </c>
      <c r="AH232">
        <v>3</v>
      </c>
      <c r="AI232">
        <v>1</v>
      </c>
      <c r="AJ232">
        <v>0</v>
      </c>
      <c r="AK232" t="s">
        <v>209</v>
      </c>
      <c r="AL232">
        <v>38.955717</v>
      </c>
      <c r="AM232" t="s">
        <v>216</v>
      </c>
      <c r="AN232">
        <v>-121.069958</v>
      </c>
      <c r="AO232">
        <v>25</v>
      </c>
      <c r="AP232">
        <v>1800</v>
      </c>
      <c r="AQ232" t="s">
        <v>131</v>
      </c>
      <c r="AR232">
        <v>70</v>
      </c>
      <c r="AS232">
        <v>1</v>
      </c>
      <c r="AT232">
        <v>640</v>
      </c>
      <c r="BB232" t="str">
        <f t="shared" si="79"/>
        <v>1200</v>
      </c>
      <c r="BC232">
        <v>1</v>
      </c>
      <c r="BD232" t="str">
        <f t="shared" si="80"/>
        <v xml:space="preserve">N52156  </v>
      </c>
      <c r="BE232">
        <v>1</v>
      </c>
      <c r="BG232">
        <v>0</v>
      </c>
      <c r="BH232">
        <v>0</v>
      </c>
      <c r="BI232">
        <v>0</v>
      </c>
      <c r="BJ232">
        <v>1725</v>
      </c>
      <c r="BK232">
        <v>-75</v>
      </c>
      <c r="BL232" t="s">
        <v>188</v>
      </c>
      <c r="BM232">
        <v>1</v>
      </c>
      <c r="BN232">
        <v>1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 t="shared" si="93"/>
        <v>15:05:10.426</v>
      </c>
      <c r="CF232">
        <v>426442727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3</v>
      </c>
      <c r="CY232">
        <v>7</v>
      </c>
      <c r="CZ232" t="s">
        <v>133</v>
      </c>
      <c r="DA232">
        <v>275</v>
      </c>
      <c r="DB232">
        <v>0</v>
      </c>
      <c r="DC232" t="s">
        <v>134</v>
      </c>
      <c r="DD232" t="s">
        <v>135</v>
      </c>
      <c r="DG232">
        <v>3317965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"05/01/2025 15:05:10.632"</f>
        <v>05/01/2025 15:05:10.632</v>
      </c>
      <c r="C233" t="str">
        <f t="shared" si="76"/>
        <v>FFDFD3C0</v>
      </c>
      <c r="D233" t="s">
        <v>145</v>
      </c>
      <c r="E233" t="str">
        <f>"09"</f>
        <v>09</v>
      </c>
      <c r="H233">
        <v>51</v>
      </c>
      <c r="I233" t="s">
        <v>147</v>
      </c>
      <c r="J233" t="s">
        <v>138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R233" t="s">
        <v>127</v>
      </c>
      <c r="S233" t="str">
        <f t="shared" si="92"/>
        <v>15:05:10.000</v>
      </c>
      <c r="T233" t="str">
        <f t="shared" si="92"/>
        <v>15:05:10.000</v>
      </c>
      <c r="U233" t="str">
        <f t="shared" si="78"/>
        <v>A68FCB</v>
      </c>
      <c r="V233">
        <v>0</v>
      </c>
      <c r="W233">
        <v>0</v>
      </c>
      <c r="X233">
        <v>2</v>
      </c>
      <c r="Y233">
        <v>0</v>
      </c>
      <c r="AA233">
        <v>1</v>
      </c>
      <c r="AB233">
        <v>8</v>
      </c>
      <c r="AC233">
        <v>3</v>
      </c>
      <c r="AD233">
        <v>0</v>
      </c>
      <c r="AE233">
        <v>9</v>
      </c>
      <c r="AF233" t="s">
        <v>138</v>
      </c>
      <c r="AG233">
        <v>0</v>
      </c>
      <c r="AH233">
        <v>3</v>
      </c>
      <c r="AI233">
        <v>1</v>
      </c>
      <c r="AJ233">
        <v>0</v>
      </c>
      <c r="AK233" t="s">
        <v>209</v>
      </c>
      <c r="AL233">
        <v>38.955717</v>
      </c>
      <c r="AM233" t="s">
        <v>216</v>
      </c>
      <c r="AN233">
        <v>-121.069958</v>
      </c>
      <c r="AO233">
        <v>25</v>
      </c>
      <c r="AP233">
        <v>1800</v>
      </c>
      <c r="AQ233" t="s">
        <v>131</v>
      </c>
      <c r="AR233">
        <v>70</v>
      </c>
      <c r="AS233">
        <v>1</v>
      </c>
      <c r="AT233">
        <v>640</v>
      </c>
      <c r="BB233" t="str">
        <f t="shared" si="79"/>
        <v>1200</v>
      </c>
      <c r="BC233">
        <v>1</v>
      </c>
      <c r="BD233" t="str">
        <f t="shared" si="80"/>
        <v xml:space="preserve">N52156  </v>
      </c>
      <c r="BE233">
        <v>1</v>
      </c>
      <c r="BG233">
        <v>0</v>
      </c>
      <c r="BH233">
        <v>0</v>
      </c>
      <c r="BI233">
        <v>0</v>
      </c>
      <c r="BJ233">
        <v>1725</v>
      </c>
      <c r="BK233">
        <v>-75</v>
      </c>
      <c r="BL233" t="s">
        <v>188</v>
      </c>
      <c r="BM233">
        <v>1</v>
      </c>
      <c r="BN233">
        <v>1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 t="shared" si="93"/>
        <v>15:05:10.426</v>
      </c>
      <c r="CF233">
        <v>426442727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3</v>
      </c>
      <c r="CY233">
        <v>7</v>
      </c>
      <c r="CZ233" t="s">
        <v>133</v>
      </c>
      <c r="DA233">
        <v>275</v>
      </c>
      <c r="DB233">
        <v>0</v>
      </c>
      <c r="DC233" t="s">
        <v>134</v>
      </c>
      <c r="DD233" t="s">
        <v>135</v>
      </c>
      <c r="DG233">
        <v>3317965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"05/01/2025 15:05:10.636"</f>
        <v>05/01/2025 15:05:10.636</v>
      </c>
      <c r="C234" t="str">
        <f t="shared" si="76"/>
        <v>FFDFD3C0</v>
      </c>
      <c r="D234" t="s">
        <v>124</v>
      </c>
      <c r="E234" t="str">
        <f>"06"</f>
        <v>06</v>
      </c>
      <c r="F234">
        <v>2006</v>
      </c>
      <c r="G234" t="s">
        <v>125</v>
      </c>
      <c r="J234" t="s">
        <v>126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R234" t="s">
        <v>127</v>
      </c>
      <c r="S234" t="str">
        <f t="shared" si="92"/>
        <v>15:05:10.000</v>
      </c>
      <c r="T234" t="str">
        <f t="shared" si="92"/>
        <v>15:05:10.000</v>
      </c>
      <c r="U234" t="str">
        <f t="shared" si="78"/>
        <v>A68FCB</v>
      </c>
      <c r="V234">
        <v>0</v>
      </c>
      <c r="W234">
        <v>0</v>
      </c>
      <c r="X234">
        <v>2</v>
      </c>
      <c r="Y234">
        <v>0</v>
      </c>
      <c r="AA234">
        <v>1</v>
      </c>
      <c r="AB234">
        <v>8</v>
      </c>
      <c r="AC234">
        <v>3</v>
      </c>
      <c r="AD234">
        <v>0</v>
      </c>
      <c r="AE234">
        <v>9</v>
      </c>
      <c r="AF234" t="s">
        <v>138</v>
      </c>
      <c r="AG234">
        <v>0</v>
      </c>
      <c r="AH234">
        <v>3</v>
      </c>
      <c r="AI234">
        <v>1</v>
      </c>
      <c r="AJ234">
        <v>0</v>
      </c>
      <c r="AK234" t="s">
        <v>209</v>
      </c>
      <c r="AL234">
        <v>38.955717</v>
      </c>
      <c r="AM234" t="s">
        <v>216</v>
      </c>
      <c r="AN234">
        <v>-121.069958</v>
      </c>
      <c r="AO234">
        <v>25</v>
      </c>
      <c r="AP234">
        <v>1800</v>
      </c>
      <c r="AQ234" t="s">
        <v>131</v>
      </c>
      <c r="AR234">
        <v>70</v>
      </c>
      <c r="AS234">
        <v>1</v>
      </c>
      <c r="AT234">
        <v>640</v>
      </c>
      <c r="BB234" t="str">
        <f t="shared" si="79"/>
        <v>1200</v>
      </c>
      <c r="BC234">
        <v>1</v>
      </c>
      <c r="BD234" t="str">
        <f t="shared" si="80"/>
        <v xml:space="preserve">N52156  </v>
      </c>
      <c r="BE234">
        <v>1</v>
      </c>
      <c r="BG234">
        <v>0</v>
      </c>
      <c r="BH234">
        <v>0</v>
      </c>
      <c r="BI234">
        <v>0</v>
      </c>
      <c r="BJ234">
        <v>1725</v>
      </c>
      <c r="BK234">
        <v>-75</v>
      </c>
      <c r="BL234" t="s">
        <v>188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 t="shared" si="93"/>
        <v>15:05:10.426</v>
      </c>
      <c r="CF234">
        <v>426442727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3</v>
      </c>
      <c r="CY234">
        <v>7</v>
      </c>
      <c r="CZ234" t="s">
        <v>133</v>
      </c>
      <c r="DA234">
        <v>275</v>
      </c>
      <c r="DB234">
        <v>0</v>
      </c>
      <c r="DC234" t="s">
        <v>134</v>
      </c>
      <c r="DD234" t="s">
        <v>135</v>
      </c>
      <c r="DG234">
        <v>3317965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"05/01/2025 15:05:10.645"</f>
        <v>05/01/2025 15:05:10.645</v>
      </c>
      <c r="C235" t="str">
        <f t="shared" si="76"/>
        <v>FFDFD3C0</v>
      </c>
      <c r="D235" t="s">
        <v>136</v>
      </c>
      <c r="E235" t="str">
        <f>"20"</f>
        <v>20</v>
      </c>
      <c r="H235">
        <v>400</v>
      </c>
      <c r="I235" t="s">
        <v>137</v>
      </c>
      <c r="J235" t="s">
        <v>138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R235" t="s">
        <v>127</v>
      </c>
      <c r="S235" t="str">
        <f t="shared" si="92"/>
        <v>15:05:10.000</v>
      </c>
      <c r="T235" t="str">
        <f t="shared" si="92"/>
        <v>15:05:10.000</v>
      </c>
      <c r="U235" t="str">
        <f t="shared" si="78"/>
        <v>A68FCB</v>
      </c>
      <c r="V235">
        <v>0</v>
      </c>
      <c r="W235">
        <v>0</v>
      </c>
      <c r="X235">
        <v>2</v>
      </c>
      <c r="Y235">
        <v>0</v>
      </c>
      <c r="AA235">
        <v>1</v>
      </c>
      <c r="AB235">
        <v>8</v>
      </c>
      <c r="AC235">
        <v>3</v>
      </c>
      <c r="AD235">
        <v>0</v>
      </c>
      <c r="AE235">
        <v>9</v>
      </c>
      <c r="AF235" t="s">
        <v>138</v>
      </c>
      <c r="AG235">
        <v>0</v>
      </c>
      <c r="AH235">
        <v>3</v>
      </c>
      <c r="AI235">
        <v>1</v>
      </c>
      <c r="AJ235">
        <v>0</v>
      </c>
      <c r="AK235" t="s">
        <v>209</v>
      </c>
      <c r="AL235">
        <v>38.955717</v>
      </c>
      <c r="AM235" t="s">
        <v>216</v>
      </c>
      <c r="AN235">
        <v>-121.069958</v>
      </c>
      <c r="AO235">
        <v>25</v>
      </c>
      <c r="AP235">
        <v>1800</v>
      </c>
      <c r="AQ235" t="s">
        <v>131</v>
      </c>
      <c r="AR235">
        <v>70</v>
      </c>
      <c r="AS235">
        <v>1</v>
      </c>
      <c r="AT235">
        <v>640</v>
      </c>
      <c r="BB235" t="str">
        <f t="shared" si="79"/>
        <v>1200</v>
      </c>
      <c r="BC235">
        <v>1</v>
      </c>
      <c r="BD235" t="str">
        <f t="shared" si="80"/>
        <v xml:space="preserve">N52156  </v>
      </c>
      <c r="BE235">
        <v>1</v>
      </c>
      <c r="BG235">
        <v>0</v>
      </c>
      <c r="BH235">
        <v>0</v>
      </c>
      <c r="BI235">
        <v>0</v>
      </c>
      <c r="BJ235">
        <v>1725</v>
      </c>
      <c r="BK235">
        <v>-75</v>
      </c>
      <c r="BL235" t="s">
        <v>188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 t="shared" si="93"/>
        <v>15:05:10.426</v>
      </c>
      <c r="CF235">
        <v>426442727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3</v>
      </c>
      <c r="CY235">
        <v>7</v>
      </c>
      <c r="CZ235" t="s">
        <v>133</v>
      </c>
      <c r="DA235">
        <v>275</v>
      </c>
      <c r="DB235">
        <v>0</v>
      </c>
      <c r="DC235" t="s">
        <v>134</v>
      </c>
      <c r="DD235" t="s">
        <v>135</v>
      </c>
      <c r="DG235">
        <v>3317965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"05/01/2025 15:05:11.534"</f>
        <v>05/01/2025 15:05:11.534</v>
      </c>
      <c r="C236" t="str">
        <f t="shared" si="76"/>
        <v>FFDFD3C0</v>
      </c>
      <c r="D236" t="s">
        <v>145</v>
      </c>
      <c r="E236" t="str">
        <f>"09"</f>
        <v>09</v>
      </c>
      <c r="H236">
        <v>51</v>
      </c>
      <c r="I236" t="s">
        <v>147</v>
      </c>
      <c r="J236" t="s">
        <v>138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R236" t="s">
        <v>127</v>
      </c>
      <c r="S236" t="str">
        <f t="shared" ref="S236:T241" si="94">"15:05:11.000"</f>
        <v>15:05:11.000</v>
      </c>
      <c r="T236" t="str">
        <f t="shared" si="94"/>
        <v>15:05:11.000</v>
      </c>
      <c r="U236" t="str">
        <f t="shared" si="78"/>
        <v>A68FCB</v>
      </c>
      <c r="V236">
        <v>0</v>
      </c>
      <c r="W236">
        <v>0</v>
      </c>
      <c r="X236">
        <v>2</v>
      </c>
      <c r="Y236">
        <v>0</v>
      </c>
      <c r="AA236">
        <v>1</v>
      </c>
      <c r="AB236">
        <v>8</v>
      </c>
      <c r="AC236">
        <v>3</v>
      </c>
      <c r="AD236">
        <v>0</v>
      </c>
      <c r="AE236">
        <v>9</v>
      </c>
      <c r="AF236" t="s">
        <v>138</v>
      </c>
      <c r="AG236">
        <v>0</v>
      </c>
      <c r="AH236">
        <v>3</v>
      </c>
      <c r="AI236">
        <v>1</v>
      </c>
      <c r="AJ236">
        <v>0</v>
      </c>
      <c r="AK236" t="s">
        <v>217</v>
      </c>
      <c r="AL236">
        <v>38.955739000000001</v>
      </c>
      <c r="AM236" t="s">
        <v>218</v>
      </c>
      <c r="AN236">
        <v>-121.069529</v>
      </c>
      <c r="AO236">
        <v>25</v>
      </c>
      <c r="AP236">
        <v>1800</v>
      </c>
      <c r="AQ236" t="s">
        <v>131</v>
      </c>
      <c r="AR236">
        <v>70</v>
      </c>
      <c r="AS236">
        <v>1</v>
      </c>
      <c r="AT236">
        <v>640</v>
      </c>
      <c r="BB236" t="str">
        <f t="shared" si="79"/>
        <v>1200</v>
      </c>
      <c r="BC236">
        <v>1</v>
      </c>
      <c r="BD236" t="str">
        <f t="shared" si="80"/>
        <v xml:space="preserve">N52156  </v>
      </c>
      <c r="BE236">
        <v>1</v>
      </c>
      <c r="BG236">
        <v>0</v>
      </c>
      <c r="BH236">
        <v>0</v>
      </c>
      <c r="BI236">
        <v>0</v>
      </c>
      <c r="BJ236">
        <v>1775</v>
      </c>
      <c r="BK236">
        <v>-25</v>
      </c>
      <c r="BL236" t="s">
        <v>188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 t="shared" ref="CE236:CE241" si="95">"15:05:11.336"</f>
        <v>15:05:11.336</v>
      </c>
      <c r="CF236">
        <v>336192577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5</v>
      </c>
      <c r="CY236">
        <v>7</v>
      </c>
      <c r="CZ236" t="s">
        <v>133</v>
      </c>
      <c r="DA236">
        <v>275</v>
      </c>
      <c r="DB236">
        <v>0</v>
      </c>
      <c r="DC236" t="s">
        <v>134</v>
      </c>
      <c r="DD236" t="s">
        <v>135</v>
      </c>
      <c r="DG236">
        <v>3317977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"05/01/2025 15:05:11.533"</f>
        <v>05/01/2025 15:05:11.533</v>
      </c>
      <c r="C237" t="str">
        <f t="shared" si="76"/>
        <v>FFDFD3C0</v>
      </c>
      <c r="D237" t="s">
        <v>145</v>
      </c>
      <c r="E237" t="str">
        <f>"05"</f>
        <v>05</v>
      </c>
      <c r="H237">
        <v>47</v>
      </c>
      <c r="I237" t="s">
        <v>146</v>
      </c>
      <c r="J237" t="s">
        <v>138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R237" t="s">
        <v>127</v>
      </c>
      <c r="S237" t="str">
        <f t="shared" si="94"/>
        <v>15:05:11.000</v>
      </c>
      <c r="T237" t="str">
        <f t="shared" si="94"/>
        <v>15:05:11.000</v>
      </c>
      <c r="U237" t="str">
        <f t="shared" si="78"/>
        <v>A68FCB</v>
      </c>
      <c r="V237">
        <v>0</v>
      </c>
      <c r="W237">
        <v>0</v>
      </c>
      <c r="X237">
        <v>2</v>
      </c>
      <c r="Y237">
        <v>0</v>
      </c>
      <c r="AA237">
        <v>1</v>
      </c>
      <c r="AB237">
        <v>8</v>
      </c>
      <c r="AC237">
        <v>3</v>
      </c>
      <c r="AD237">
        <v>0</v>
      </c>
      <c r="AE237">
        <v>9</v>
      </c>
      <c r="AF237" t="s">
        <v>138</v>
      </c>
      <c r="AG237">
        <v>0</v>
      </c>
      <c r="AH237">
        <v>3</v>
      </c>
      <c r="AI237">
        <v>1</v>
      </c>
      <c r="AJ237">
        <v>0</v>
      </c>
      <c r="AK237" t="s">
        <v>217</v>
      </c>
      <c r="AL237">
        <v>38.955739000000001</v>
      </c>
      <c r="AM237" t="s">
        <v>218</v>
      </c>
      <c r="AN237">
        <v>-121.069529</v>
      </c>
      <c r="AO237">
        <v>25</v>
      </c>
      <c r="AP237">
        <v>1800</v>
      </c>
      <c r="AQ237" t="s">
        <v>131</v>
      </c>
      <c r="AR237">
        <v>70</v>
      </c>
      <c r="AS237">
        <v>1</v>
      </c>
      <c r="AT237">
        <v>640</v>
      </c>
      <c r="BB237" t="str">
        <f t="shared" si="79"/>
        <v>1200</v>
      </c>
      <c r="BC237">
        <v>1</v>
      </c>
      <c r="BD237" t="str">
        <f t="shared" si="80"/>
        <v xml:space="preserve">N52156  </v>
      </c>
      <c r="BE237">
        <v>1</v>
      </c>
      <c r="BG237">
        <v>0</v>
      </c>
      <c r="BH237">
        <v>0</v>
      </c>
      <c r="BI237">
        <v>0</v>
      </c>
      <c r="BJ237">
        <v>1775</v>
      </c>
      <c r="BK237">
        <v>-25</v>
      </c>
      <c r="BL237" t="s">
        <v>188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 t="shared" si="95"/>
        <v>15:05:11.336</v>
      </c>
      <c r="CF237">
        <v>336192577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5</v>
      </c>
      <c r="CY237">
        <v>7</v>
      </c>
      <c r="CZ237" t="s">
        <v>133</v>
      </c>
      <c r="DA237">
        <v>275</v>
      </c>
      <c r="DB237">
        <v>0</v>
      </c>
      <c r="DC237" t="s">
        <v>134</v>
      </c>
      <c r="DD237" t="s">
        <v>135</v>
      </c>
      <c r="DG237">
        <v>3317977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"05/01/2025 15:05:11.538"</f>
        <v>05/01/2025 15:05:11.538</v>
      </c>
      <c r="C238" t="str">
        <f t="shared" si="76"/>
        <v>FFDFD3C0</v>
      </c>
      <c r="D238" t="s">
        <v>124</v>
      </c>
      <c r="E238" t="str">
        <f>"06"</f>
        <v>06</v>
      </c>
      <c r="F238">
        <v>2006</v>
      </c>
      <c r="G238" t="s">
        <v>125</v>
      </c>
      <c r="J238" t="s">
        <v>126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R238" t="s">
        <v>127</v>
      </c>
      <c r="S238" t="str">
        <f t="shared" si="94"/>
        <v>15:05:11.000</v>
      </c>
      <c r="T238" t="str">
        <f t="shared" si="94"/>
        <v>15:05:11.000</v>
      </c>
      <c r="U238" t="str">
        <f t="shared" si="78"/>
        <v>A68FCB</v>
      </c>
      <c r="V238">
        <v>0</v>
      </c>
      <c r="W238">
        <v>0</v>
      </c>
      <c r="X238">
        <v>2</v>
      </c>
      <c r="Y238">
        <v>0</v>
      </c>
      <c r="AA238">
        <v>1</v>
      </c>
      <c r="AB238">
        <v>8</v>
      </c>
      <c r="AC238">
        <v>3</v>
      </c>
      <c r="AD238">
        <v>0</v>
      </c>
      <c r="AE238">
        <v>9</v>
      </c>
      <c r="AF238" t="s">
        <v>138</v>
      </c>
      <c r="AG238">
        <v>0</v>
      </c>
      <c r="AH238">
        <v>3</v>
      </c>
      <c r="AI238">
        <v>1</v>
      </c>
      <c r="AJ238">
        <v>0</v>
      </c>
      <c r="AK238" t="s">
        <v>217</v>
      </c>
      <c r="AL238">
        <v>38.955739000000001</v>
      </c>
      <c r="AM238" t="s">
        <v>218</v>
      </c>
      <c r="AN238">
        <v>-121.069529</v>
      </c>
      <c r="AO238">
        <v>25</v>
      </c>
      <c r="AP238">
        <v>1800</v>
      </c>
      <c r="AQ238" t="s">
        <v>131</v>
      </c>
      <c r="AR238">
        <v>70</v>
      </c>
      <c r="AS238">
        <v>1</v>
      </c>
      <c r="AT238">
        <v>640</v>
      </c>
      <c r="BB238" t="str">
        <f t="shared" si="79"/>
        <v>1200</v>
      </c>
      <c r="BC238">
        <v>1</v>
      </c>
      <c r="BD238" t="str">
        <f t="shared" si="80"/>
        <v xml:space="preserve">N52156  </v>
      </c>
      <c r="BE238">
        <v>1</v>
      </c>
      <c r="BG238">
        <v>0</v>
      </c>
      <c r="BH238">
        <v>0</v>
      </c>
      <c r="BI238">
        <v>0</v>
      </c>
      <c r="BJ238">
        <v>1775</v>
      </c>
      <c r="BK238">
        <v>-25</v>
      </c>
      <c r="BL238" t="s">
        <v>188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 t="shared" si="95"/>
        <v>15:05:11.336</v>
      </c>
      <c r="CF238">
        <v>336192577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5</v>
      </c>
      <c r="CY238">
        <v>7</v>
      </c>
      <c r="CZ238" t="s">
        <v>133</v>
      </c>
      <c r="DA238">
        <v>275</v>
      </c>
      <c r="DB238">
        <v>0</v>
      </c>
      <c r="DC238" t="s">
        <v>134</v>
      </c>
      <c r="DD238" t="s">
        <v>135</v>
      </c>
      <c r="DG238">
        <v>3317977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"05/01/2025 15:05:11.546"</f>
        <v>05/01/2025 15:05:11.546</v>
      </c>
      <c r="C239" t="str">
        <f t="shared" si="76"/>
        <v>FFDFD3C0</v>
      </c>
      <c r="D239" t="s">
        <v>136</v>
      </c>
      <c r="E239" t="str">
        <f>"20"</f>
        <v>20</v>
      </c>
      <c r="H239">
        <v>400</v>
      </c>
      <c r="I239" t="s">
        <v>137</v>
      </c>
      <c r="J239" t="s">
        <v>138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R239" t="s">
        <v>127</v>
      </c>
      <c r="S239" t="str">
        <f t="shared" si="94"/>
        <v>15:05:11.000</v>
      </c>
      <c r="T239" t="str">
        <f t="shared" si="94"/>
        <v>15:05:11.000</v>
      </c>
      <c r="U239" t="str">
        <f t="shared" si="78"/>
        <v>A68FCB</v>
      </c>
      <c r="V239">
        <v>0</v>
      </c>
      <c r="W239">
        <v>0</v>
      </c>
      <c r="X239">
        <v>2</v>
      </c>
      <c r="Y239">
        <v>0</v>
      </c>
      <c r="AA239">
        <v>1</v>
      </c>
      <c r="AB239">
        <v>8</v>
      </c>
      <c r="AC239">
        <v>3</v>
      </c>
      <c r="AD239">
        <v>0</v>
      </c>
      <c r="AE239">
        <v>9</v>
      </c>
      <c r="AF239" t="s">
        <v>138</v>
      </c>
      <c r="AG239">
        <v>0</v>
      </c>
      <c r="AH239">
        <v>3</v>
      </c>
      <c r="AI239">
        <v>1</v>
      </c>
      <c r="AJ239">
        <v>0</v>
      </c>
      <c r="AK239" t="s">
        <v>217</v>
      </c>
      <c r="AL239">
        <v>38.955739000000001</v>
      </c>
      <c r="AM239" t="s">
        <v>218</v>
      </c>
      <c r="AN239">
        <v>-121.069529</v>
      </c>
      <c r="AO239">
        <v>25</v>
      </c>
      <c r="AP239">
        <v>1800</v>
      </c>
      <c r="AQ239" t="s">
        <v>131</v>
      </c>
      <c r="AR239">
        <v>70</v>
      </c>
      <c r="AS239">
        <v>1</v>
      </c>
      <c r="AT239">
        <v>640</v>
      </c>
      <c r="BB239" t="str">
        <f t="shared" si="79"/>
        <v>1200</v>
      </c>
      <c r="BC239">
        <v>1</v>
      </c>
      <c r="BD239" t="str">
        <f t="shared" si="80"/>
        <v xml:space="preserve">N52156  </v>
      </c>
      <c r="BE239">
        <v>1</v>
      </c>
      <c r="BG239">
        <v>0</v>
      </c>
      <c r="BH239">
        <v>0</v>
      </c>
      <c r="BI239">
        <v>0</v>
      </c>
      <c r="BJ239">
        <v>1775</v>
      </c>
      <c r="BK239">
        <v>-25</v>
      </c>
      <c r="BL239" t="s">
        <v>188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 t="shared" si="95"/>
        <v>15:05:11.336</v>
      </c>
      <c r="CF239">
        <v>336192577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5</v>
      </c>
      <c r="CY239">
        <v>7</v>
      </c>
      <c r="CZ239" t="s">
        <v>133</v>
      </c>
      <c r="DA239">
        <v>275</v>
      </c>
      <c r="DB239">
        <v>0</v>
      </c>
      <c r="DC239" t="s">
        <v>134</v>
      </c>
      <c r="DD239" t="s">
        <v>135</v>
      </c>
      <c r="DG239">
        <v>3317977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"05/01/2025 15:05:11.574"</f>
        <v>05/01/2025 15:05:11.574</v>
      </c>
      <c r="C240" t="str">
        <f t="shared" si="76"/>
        <v>FFDFD3C0</v>
      </c>
      <c r="D240" t="s">
        <v>140</v>
      </c>
      <c r="E240" t="str">
        <f>"13"</f>
        <v>13</v>
      </c>
      <c r="F240">
        <v>1019</v>
      </c>
      <c r="G240" t="s">
        <v>141</v>
      </c>
      <c r="J240" t="s">
        <v>142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R240" t="s">
        <v>127</v>
      </c>
      <c r="S240" t="str">
        <f t="shared" si="94"/>
        <v>15:05:11.000</v>
      </c>
      <c r="T240" t="str">
        <f t="shared" si="94"/>
        <v>15:05:11.000</v>
      </c>
      <c r="U240" t="str">
        <f t="shared" si="78"/>
        <v>A68FCB</v>
      </c>
      <c r="V240">
        <v>0</v>
      </c>
      <c r="W240">
        <v>0</v>
      </c>
      <c r="X240">
        <v>2</v>
      </c>
      <c r="Y240">
        <v>0</v>
      </c>
      <c r="AA240">
        <v>1</v>
      </c>
      <c r="AB240">
        <v>8</v>
      </c>
      <c r="AC240">
        <v>3</v>
      </c>
      <c r="AD240">
        <v>0</v>
      </c>
      <c r="AE240">
        <v>9</v>
      </c>
      <c r="AF240" t="s">
        <v>138</v>
      </c>
      <c r="AG240">
        <v>0</v>
      </c>
      <c r="AH240">
        <v>3</v>
      </c>
      <c r="AI240">
        <v>1</v>
      </c>
      <c r="AJ240">
        <v>0</v>
      </c>
      <c r="AK240" t="s">
        <v>217</v>
      </c>
      <c r="AL240">
        <v>38.955739000000001</v>
      </c>
      <c r="AM240" t="s">
        <v>218</v>
      </c>
      <c r="AN240">
        <v>-121.069529</v>
      </c>
      <c r="AO240">
        <v>25</v>
      </c>
      <c r="AP240">
        <v>1800</v>
      </c>
      <c r="AQ240" t="s">
        <v>131</v>
      </c>
      <c r="AR240">
        <v>70</v>
      </c>
      <c r="AS240">
        <v>1</v>
      </c>
      <c r="AT240">
        <v>640</v>
      </c>
      <c r="BB240" t="str">
        <f t="shared" si="79"/>
        <v>1200</v>
      </c>
      <c r="BC240">
        <v>1</v>
      </c>
      <c r="BD240" t="str">
        <f t="shared" si="80"/>
        <v xml:space="preserve">N52156  </v>
      </c>
      <c r="BE240">
        <v>1</v>
      </c>
      <c r="BG240">
        <v>0</v>
      </c>
      <c r="BH240">
        <v>0</v>
      </c>
      <c r="BI240">
        <v>0</v>
      </c>
      <c r="BJ240">
        <v>1775</v>
      </c>
      <c r="BK240">
        <v>-25</v>
      </c>
      <c r="BL240" t="s">
        <v>188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 t="shared" si="95"/>
        <v>15:05:11.336</v>
      </c>
      <c r="CF240">
        <v>336192577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133</v>
      </c>
      <c r="DA240">
        <v>275</v>
      </c>
      <c r="DB240">
        <v>0</v>
      </c>
      <c r="DC240" t="s">
        <v>134</v>
      </c>
      <c r="DD240" t="s">
        <v>135</v>
      </c>
      <c r="DG240">
        <v>3317977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"05/01/2025 15:05:11.579"</f>
        <v>05/01/2025 15:05:11.579</v>
      </c>
      <c r="C241" t="str">
        <f t="shared" si="76"/>
        <v>FFDFD3C0</v>
      </c>
      <c r="D241" t="s">
        <v>143</v>
      </c>
      <c r="E241" t="str">
        <f>"05"</f>
        <v>05</v>
      </c>
      <c r="H241">
        <v>172</v>
      </c>
      <c r="I241" t="s">
        <v>141</v>
      </c>
      <c r="J241" t="s">
        <v>144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R241" t="s">
        <v>127</v>
      </c>
      <c r="S241" t="str">
        <f t="shared" si="94"/>
        <v>15:05:11.000</v>
      </c>
      <c r="T241" t="str">
        <f t="shared" si="94"/>
        <v>15:05:11.000</v>
      </c>
      <c r="U241" t="str">
        <f t="shared" si="78"/>
        <v>A68FCB</v>
      </c>
      <c r="V241">
        <v>0</v>
      </c>
      <c r="W241">
        <v>0</v>
      </c>
      <c r="X241">
        <v>2</v>
      </c>
      <c r="Y241">
        <v>0</v>
      </c>
      <c r="AA241">
        <v>1</v>
      </c>
      <c r="AB241">
        <v>8</v>
      </c>
      <c r="AC241">
        <v>3</v>
      </c>
      <c r="AD241">
        <v>0</v>
      </c>
      <c r="AE241">
        <v>9</v>
      </c>
      <c r="AF241" t="s">
        <v>138</v>
      </c>
      <c r="AG241">
        <v>0</v>
      </c>
      <c r="AH241">
        <v>3</v>
      </c>
      <c r="AI241">
        <v>1</v>
      </c>
      <c r="AJ241">
        <v>0</v>
      </c>
      <c r="AK241" t="s">
        <v>217</v>
      </c>
      <c r="AL241">
        <v>38.955739000000001</v>
      </c>
      <c r="AM241" t="s">
        <v>218</v>
      </c>
      <c r="AN241">
        <v>-121.069529</v>
      </c>
      <c r="AO241">
        <v>25</v>
      </c>
      <c r="AP241">
        <v>1800</v>
      </c>
      <c r="AQ241" t="s">
        <v>131</v>
      </c>
      <c r="AR241">
        <v>70</v>
      </c>
      <c r="AS241">
        <v>1</v>
      </c>
      <c r="AT241">
        <v>640</v>
      </c>
      <c r="BB241" t="str">
        <f t="shared" si="79"/>
        <v>1200</v>
      </c>
      <c r="BC241">
        <v>1</v>
      </c>
      <c r="BD241" t="str">
        <f t="shared" si="80"/>
        <v xml:space="preserve">N52156  </v>
      </c>
      <c r="BE241">
        <v>1</v>
      </c>
      <c r="BG241">
        <v>0</v>
      </c>
      <c r="BH241">
        <v>0</v>
      </c>
      <c r="BI241">
        <v>0</v>
      </c>
      <c r="BJ241">
        <v>1775</v>
      </c>
      <c r="BK241">
        <v>-25</v>
      </c>
      <c r="BL241" t="s">
        <v>188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 t="shared" si="95"/>
        <v>15:05:11.336</v>
      </c>
      <c r="CF241">
        <v>336192577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133</v>
      </c>
      <c r="DA241">
        <v>275</v>
      </c>
      <c r="DB241">
        <v>0</v>
      </c>
      <c r="DC241" t="s">
        <v>134</v>
      </c>
      <c r="DD241" t="s">
        <v>135</v>
      </c>
      <c r="DG241">
        <v>3317977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"05/01/2025 15:05:12.776"</f>
        <v>05/01/2025 15:05:12.776</v>
      </c>
      <c r="C242" t="str">
        <f t="shared" si="76"/>
        <v>FFDFD3C0</v>
      </c>
      <c r="D242" t="s">
        <v>140</v>
      </c>
      <c r="E242" t="str">
        <f>"13"</f>
        <v>13</v>
      </c>
      <c r="F242">
        <v>1019</v>
      </c>
      <c r="G242" t="s">
        <v>141</v>
      </c>
      <c r="J242" t="s">
        <v>142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R242" t="s">
        <v>127</v>
      </c>
      <c r="S242" t="str">
        <f t="shared" ref="S242:T247" si="96">"15:05:12.000"</f>
        <v>15:05:12.000</v>
      </c>
      <c r="T242" t="str">
        <f t="shared" si="96"/>
        <v>15:05:12.000</v>
      </c>
      <c r="U242" t="str">
        <f t="shared" si="78"/>
        <v>A68FCB</v>
      </c>
      <c r="V242">
        <v>0</v>
      </c>
      <c r="W242">
        <v>0</v>
      </c>
      <c r="X242">
        <v>2</v>
      </c>
      <c r="Y242">
        <v>0</v>
      </c>
      <c r="AA242">
        <v>1</v>
      </c>
      <c r="AB242">
        <v>8</v>
      </c>
      <c r="AC242">
        <v>3</v>
      </c>
      <c r="AD242">
        <v>0</v>
      </c>
      <c r="AE242">
        <v>9</v>
      </c>
      <c r="AF242" t="s">
        <v>138</v>
      </c>
      <c r="AG242">
        <v>0</v>
      </c>
      <c r="AH242">
        <v>3</v>
      </c>
      <c r="AI242">
        <v>1</v>
      </c>
      <c r="AJ242">
        <v>0</v>
      </c>
      <c r="AK242" t="s">
        <v>217</v>
      </c>
      <c r="AL242">
        <v>38.955739000000001</v>
      </c>
      <c r="AM242" t="s">
        <v>219</v>
      </c>
      <c r="AN242">
        <v>-121.069121</v>
      </c>
      <c r="AO242">
        <v>25</v>
      </c>
      <c r="AP242">
        <v>1800</v>
      </c>
      <c r="AQ242" t="s">
        <v>131</v>
      </c>
      <c r="AR242">
        <v>70</v>
      </c>
      <c r="AS242">
        <v>1</v>
      </c>
      <c r="AT242">
        <v>640</v>
      </c>
      <c r="BB242" t="str">
        <f t="shared" si="79"/>
        <v>1200</v>
      </c>
      <c r="BC242">
        <v>1</v>
      </c>
      <c r="BD242" t="str">
        <f t="shared" si="80"/>
        <v xml:space="preserve">N52156  </v>
      </c>
      <c r="BE242">
        <v>1</v>
      </c>
      <c r="BG242">
        <v>0</v>
      </c>
      <c r="BH242">
        <v>0</v>
      </c>
      <c r="BI242">
        <v>0</v>
      </c>
      <c r="BJ242">
        <v>1775</v>
      </c>
      <c r="BK242">
        <v>-25</v>
      </c>
      <c r="BL242" t="s">
        <v>188</v>
      </c>
      <c r="BM242">
        <v>1</v>
      </c>
      <c r="BN242">
        <v>1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 t="shared" ref="CE242:CE247" si="97">"15:05:12.571"</f>
        <v>15:05:12.571</v>
      </c>
      <c r="CF242">
        <v>571443313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133</v>
      </c>
      <c r="DA242">
        <v>275</v>
      </c>
      <c r="DB242">
        <v>0</v>
      </c>
      <c r="DC242" t="s">
        <v>134</v>
      </c>
      <c r="DD242" t="s">
        <v>135</v>
      </c>
      <c r="DG242">
        <v>3317994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"05/01/2025 15:05:12.781"</f>
        <v>05/01/2025 15:05:12.781</v>
      </c>
      <c r="C243" t="str">
        <f t="shared" si="76"/>
        <v>FFDFD3C0</v>
      </c>
      <c r="D243" t="s">
        <v>143</v>
      </c>
      <c r="E243" t="str">
        <f>"05"</f>
        <v>05</v>
      </c>
      <c r="H243">
        <v>172</v>
      </c>
      <c r="I243" t="s">
        <v>141</v>
      </c>
      <c r="J243" t="s">
        <v>144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R243" t="s">
        <v>127</v>
      </c>
      <c r="S243" t="str">
        <f t="shared" si="96"/>
        <v>15:05:12.000</v>
      </c>
      <c r="T243" t="str">
        <f t="shared" si="96"/>
        <v>15:05:12.000</v>
      </c>
      <c r="U243" t="str">
        <f t="shared" si="78"/>
        <v>A68FCB</v>
      </c>
      <c r="V243">
        <v>0</v>
      </c>
      <c r="W243">
        <v>0</v>
      </c>
      <c r="X243">
        <v>2</v>
      </c>
      <c r="Y243">
        <v>0</v>
      </c>
      <c r="AA243">
        <v>1</v>
      </c>
      <c r="AB243">
        <v>8</v>
      </c>
      <c r="AC243">
        <v>3</v>
      </c>
      <c r="AD243">
        <v>0</v>
      </c>
      <c r="AE243">
        <v>9</v>
      </c>
      <c r="AF243" t="s">
        <v>138</v>
      </c>
      <c r="AG243">
        <v>0</v>
      </c>
      <c r="AH243">
        <v>3</v>
      </c>
      <c r="AI243">
        <v>1</v>
      </c>
      <c r="AJ243">
        <v>0</v>
      </c>
      <c r="AK243" t="s">
        <v>217</v>
      </c>
      <c r="AL243">
        <v>38.955739000000001</v>
      </c>
      <c r="AM243" t="s">
        <v>219</v>
      </c>
      <c r="AN243">
        <v>-121.069121</v>
      </c>
      <c r="AO243">
        <v>25</v>
      </c>
      <c r="AP243">
        <v>1800</v>
      </c>
      <c r="AQ243" t="s">
        <v>131</v>
      </c>
      <c r="AR243">
        <v>70</v>
      </c>
      <c r="AS243">
        <v>1</v>
      </c>
      <c r="AT243">
        <v>640</v>
      </c>
      <c r="BB243" t="str">
        <f t="shared" si="79"/>
        <v>1200</v>
      </c>
      <c r="BC243">
        <v>1</v>
      </c>
      <c r="BD243" t="str">
        <f t="shared" si="80"/>
        <v xml:space="preserve">N52156  </v>
      </c>
      <c r="BE243">
        <v>1</v>
      </c>
      <c r="BG243">
        <v>0</v>
      </c>
      <c r="BH243">
        <v>0</v>
      </c>
      <c r="BI243">
        <v>0</v>
      </c>
      <c r="BJ243">
        <v>1775</v>
      </c>
      <c r="BK243">
        <v>-25</v>
      </c>
      <c r="BL243" t="s">
        <v>188</v>
      </c>
      <c r="BM243">
        <v>1</v>
      </c>
      <c r="BN243">
        <v>1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 t="shared" si="97"/>
        <v>15:05:12.571</v>
      </c>
      <c r="CF243">
        <v>571443313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133</v>
      </c>
      <c r="DA243">
        <v>275</v>
      </c>
      <c r="DB243">
        <v>0</v>
      </c>
      <c r="DC243" t="s">
        <v>134</v>
      </c>
      <c r="DD243" t="s">
        <v>135</v>
      </c>
      <c r="DG243">
        <v>3317994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"05/01/2025 15:05:12.786"</f>
        <v>05/01/2025 15:05:12.786</v>
      </c>
      <c r="C244" t="str">
        <f t="shared" si="76"/>
        <v>FFDFD3C0</v>
      </c>
      <c r="D244" t="s">
        <v>145</v>
      </c>
      <c r="E244" t="str">
        <f>"09"</f>
        <v>09</v>
      </c>
      <c r="H244">
        <v>51</v>
      </c>
      <c r="I244" t="s">
        <v>147</v>
      </c>
      <c r="J244" t="s">
        <v>138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R244" t="s">
        <v>127</v>
      </c>
      <c r="S244" t="str">
        <f t="shared" si="96"/>
        <v>15:05:12.000</v>
      </c>
      <c r="T244" t="str">
        <f t="shared" si="96"/>
        <v>15:05:12.000</v>
      </c>
      <c r="U244" t="str">
        <f t="shared" si="78"/>
        <v>A68FCB</v>
      </c>
      <c r="V244">
        <v>0</v>
      </c>
      <c r="W244">
        <v>0</v>
      </c>
      <c r="X244">
        <v>2</v>
      </c>
      <c r="Y244">
        <v>0</v>
      </c>
      <c r="AA244">
        <v>1</v>
      </c>
      <c r="AB244">
        <v>8</v>
      </c>
      <c r="AC244">
        <v>3</v>
      </c>
      <c r="AD244">
        <v>0</v>
      </c>
      <c r="AE244">
        <v>9</v>
      </c>
      <c r="AF244" t="s">
        <v>138</v>
      </c>
      <c r="AG244">
        <v>0</v>
      </c>
      <c r="AH244">
        <v>3</v>
      </c>
      <c r="AI244">
        <v>1</v>
      </c>
      <c r="AJ244">
        <v>0</v>
      </c>
      <c r="AK244" t="s">
        <v>217</v>
      </c>
      <c r="AL244">
        <v>38.955739000000001</v>
      </c>
      <c r="AM244" t="s">
        <v>219</v>
      </c>
      <c r="AN244">
        <v>-121.069121</v>
      </c>
      <c r="AO244">
        <v>25</v>
      </c>
      <c r="AP244">
        <v>1800</v>
      </c>
      <c r="AQ244" t="s">
        <v>131</v>
      </c>
      <c r="AR244">
        <v>70</v>
      </c>
      <c r="AS244">
        <v>1</v>
      </c>
      <c r="AT244">
        <v>640</v>
      </c>
      <c r="BB244" t="str">
        <f t="shared" si="79"/>
        <v>1200</v>
      </c>
      <c r="BC244">
        <v>1</v>
      </c>
      <c r="BD244" t="str">
        <f t="shared" si="80"/>
        <v xml:space="preserve">N52156  </v>
      </c>
      <c r="BE244">
        <v>1</v>
      </c>
      <c r="BG244">
        <v>0</v>
      </c>
      <c r="BH244">
        <v>0</v>
      </c>
      <c r="BI244">
        <v>0</v>
      </c>
      <c r="BJ244">
        <v>1775</v>
      </c>
      <c r="BK244">
        <v>-25</v>
      </c>
      <c r="BL244" t="s">
        <v>188</v>
      </c>
      <c r="BM244">
        <v>1</v>
      </c>
      <c r="BN244">
        <v>1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 t="shared" si="97"/>
        <v>15:05:12.571</v>
      </c>
      <c r="CF244">
        <v>571443313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133</v>
      </c>
      <c r="DA244">
        <v>275</v>
      </c>
      <c r="DB244">
        <v>0</v>
      </c>
      <c r="DC244" t="s">
        <v>134</v>
      </c>
      <c r="DD244" t="s">
        <v>135</v>
      </c>
      <c r="DG244">
        <v>3317994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"05/01/2025 15:05:12.785"</f>
        <v>05/01/2025 15:05:12.785</v>
      </c>
      <c r="C245" t="str">
        <f t="shared" si="76"/>
        <v>FFDFD3C0</v>
      </c>
      <c r="D245" t="s">
        <v>145</v>
      </c>
      <c r="E245" t="str">
        <f>"05"</f>
        <v>05</v>
      </c>
      <c r="H245">
        <v>47</v>
      </c>
      <c r="I245" t="s">
        <v>146</v>
      </c>
      <c r="J245" t="s">
        <v>138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R245" t="s">
        <v>127</v>
      </c>
      <c r="S245" t="str">
        <f t="shared" si="96"/>
        <v>15:05:12.000</v>
      </c>
      <c r="T245" t="str">
        <f t="shared" si="96"/>
        <v>15:05:12.000</v>
      </c>
      <c r="U245" t="str">
        <f t="shared" si="78"/>
        <v>A68FCB</v>
      </c>
      <c r="V245">
        <v>0</v>
      </c>
      <c r="W245">
        <v>0</v>
      </c>
      <c r="X245">
        <v>2</v>
      </c>
      <c r="Y245">
        <v>0</v>
      </c>
      <c r="AA245">
        <v>1</v>
      </c>
      <c r="AB245">
        <v>8</v>
      </c>
      <c r="AC245">
        <v>3</v>
      </c>
      <c r="AD245">
        <v>0</v>
      </c>
      <c r="AE245">
        <v>9</v>
      </c>
      <c r="AF245" t="s">
        <v>138</v>
      </c>
      <c r="AG245">
        <v>0</v>
      </c>
      <c r="AH245">
        <v>3</v>
      </c>
      <c r="AI245">
        <v>1</v>
      </c>
      <c r="AJ245">
        <v>0</v>
      </c>
      <c r="AK245" t="s">
        <v>217</v>
      </c>
      <c r="AL245">
        <v>38.955739000000001</v>
      </c>
      <c r="AM245" t="s">
        <v>219</v>
      </c>
      <c r="AN245">
        <v>-121.069121</v>
      </c>
      <c r="AO245">
        <v>25</v>
      </c>
      <c r="AP245">
        <v>1800</v>
      </c>
      <c r="AQ245" t="s">
        <v>131</v>
      </c>
      <c r="AR245">
        <v>70</v>
      </c>
      <c r="AS245">
        <v>1</v>
      </c>
      <c r="AT245">
        <v>640</v>
      </c>
      <c r="BB245" t="str">
        <f t="shared" si="79"/>
        <v>1200</v>
      </c>
      <c r="BC245">
        <v>1</v>
      </c>
      <c r="BD245" t="str">
        <f t="shared" si="80"/>
        <v xml:space="preserve">N52156  </v>
      </c>
      <c r="BE245">
        <v>1</v>
      </c>
      <c r="BG245">
        <v>0</v>
      </c>
      <c r="BH245">
        <v>0</v>
      </c>
      <c r="BI245">
        <v>0</v>
      </c>
      <c r="BJ245">
        <v>1775</v>
      </c>
      <c r="BK245">
        <v>-25</v>
      </c>
      <c r="BL245" t="s">
        <v>188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 t="shared" si="97"/>
        <v>15:05:12.571</v>
      </c>
      <c r="CF245">
        <v>571443313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133</v>
      </c>
      <c r="DA245">
        <v>275</v>
      </c>
      <c r="DB245">
        <v>0</v>
      </c>
      <c r="DC245" t="s">
        <v>134</v>
      </c>
      <c r="DD245" t="s">
        <v>135</v>
      </c>
      <c r="DG245">
        <v>3317994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"05/01/2025 15:05:12.790"</f>
        <v>05/01/2025 15:05:12.790</v>
      </c>
      <c r="C246" t="str">
        <f t="shared" si="76"/>
        <v>FFDFD3C0</v>
      </c>
      <c r="D246" t="s">
        <v>124</v>
      </c>
      <c r="E246" t="str">
        <f>"06"</f>
        <v>06</v>
      </c>
      <c r="F246">
        <v>2006</v>
      </c>
      <c r="G246" t="s">
        <v>125</v>
      </c>
      <c r="J246" t="s">
        <v>126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R246" t="s">
        <v>127</v>
      </c>
      <c r="S246" t="str">
        <f t="shared" si="96"/>
        <v>15:05:12.000</v>
      </c>
      <c r="T246" t="str">
        <f t="shared" si="96"/>
        <v>15:05:12.000</v>
      </c>
      <c r="U246" t="str">
        <f t="shared" si="78"/>
        <v>A68FCB</v>
      </c>
      <c r="V246">
        <v>0</v>
      </c>
      <c r="W246">
        <v>0</v>
      </c>
      <c r="X246">
        <v>2</v>
      </c>
      <c r="Y246">
        <v>0</v>
      </c>
      <c r="AA246">
        <v>1</v>
      </c>
      <c r="AB246">
        <v>8</v>
      </c>
      <c r="AC246">
        <v>3</v>
      </c>
      <c r="AD246">
        <v>0</v>
      </c>
      <c r="AE246">
        <v>9</v>
      </c>
      <c r="AF246" t="s">
        <v>138</v>
      </c>
      <c r="AG246">
        <v>0</v>
      </c>
      <c r="AH246">
        <v>3</v>
      </c>
      <c r="AI246">
        <v>1</v>
      </c>
      <c r="AJ246">
        <v>0</v>
      </c>
      <c r="AK246" t="s">
        <v>217</v>
      </c>
      <c r="AL246">
        <v>38.955739000000001</v>
      </c>
      <c r="AM246" t="s">
        <v>219</v>
      </c>
      <c r="AN246">
        <v>-121.069121</v>
      </c>
      <c r="AO246">
        <v>25</v>
      </c>
      <c r="AP246">
        <v>1800</v>
      </c>
      <c r="AQ246" t="s">
        <v>131</v>
      </c>
      <c r="AR246">
        <v>70</v>
      </c>
      <c r="AS246">
        <v>1</v>
      </c>
      <c r="AT246">
        <v>640</v>
      </c>
      <c r="BB246" t="str">
        <f t="shared" si="79"/>
        <v>1200</v>
      </c>
      <c r="BC246">
        <v>1</v>
      </c>
      <c r="BD246" t="str">
        <f t="shared" si="80"/>
        <v xml:space="preserve">N52156  </v>
      </c>
      <c r="BE246">
        <v>1</v>
      </c>
      <c r="BG246">
        <v>0</v>
      </c>
      <c r="BH246">
        <v>0</v>
      </c>
      <c r="BI246">
        <v>0</v>
      </c>
      <c r="BJ246">
        <v>1775</v>
      </c>
      <c r="BK246">
        <v>-25</v>
      </c>
      <c r="BL246" t="s">
        <v>188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 t="shared" si="97"/>
        <v>15:05:12.571</v>
      </c>
      <c r="CF246">
        <v>571443313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133</v>
      </c>
      <c r="DA246">
        <v>275</v>
      </c>
      <c r="DB246">
        <v>0</v>
      </c>
      <c r="DC246" t="s">
        <v>134</v>
      </c>
      <c r="DD246" t="s">
        <v>135</v>
      </c>
      <c r="DG246">
        <v>3317994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"05/01/2025 15:05:12.798"</f>
        <v>05/01/2025 15:05:12.798</v>
      </c>
      <c r="C247" t="str">
        <f t="shared" si="76"/>
        <v>FFDFD3C0</v>
      </c>
      <c r="D247" t="s">
        <v>136</v>
      </c>
      <c r="E247" t="str">
        <f>"20"</f>
        <v>20</v>
      </c>
      <c r="H247">
        <v>400</v>
      </c>
      <c r="I247" t="s">
        <v>137</v>
      </c>
      <c r="J247" t="s">
        <v>138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R247" t="s">
        <v>127</v>
      </c>
      <c r="S247" t="str">
        <f t="shared" si="96"/>
        <v>15:05:12.000</v>
      </c>
      <c r="T247" t="str">
        <f t="shared" si="96"/>
        <v>15:05:12.000</v>
      </c>
      <c r="U247" t="str">
        <f t="shared" si="78"/>
        <v>A68FCB</v>
      </c>
      <c r="V247">
        <v>0</v>
      </c>
      <c r="W247">
        <v>0</v>
      </c>
      <c r="X247">
        <v>2</v>
      </c>
      <c r="Y247">
        <v>0</v>
      </c>
      <c r="AA247">
        <v>1</v>
      </c>
      <c r="AB247">
        <v>8</v>
      </c>
      <c r="AC247">
        <v>3</v>
      </c>
      <c r="AD247">
        <v>0</v>
      </c>
      <c r="AE247">
        <v>9</v>
      </c>
      <c r="AF247" t="s">
        <v>138</v>
      </c>
      <c r="AG247">
        <v>0</v>
      </c>
      <c r="AH247">
        <v>3</v>
      </c>
      <c r="AI247">
        <v>1</v>
      </c>
      <c r="AJ247">
        <v>0</v>
      </c>
      <c r="AK247" t="s">
        <v>217</v>
      </c>
      <c r="AL247">
        <v>38.955739000000001</v>
      </c>
      <c r="AM247" t="s">
        <v>219</v>
      </c>
      <c r="AN247">
        <v>-121.069121</v>
      </c>
      <c r="AO247">
        <v>25</v>
      </c>
      <c r="AP247">
        <v>1800</v>
      </c>
      <c r="AQ247" t="s">
        <v>131</v>
      </c>
      <c r="AR247">
        <v>70</v>
      </c>
      <c r="AS247">
        <v>1</v>
      </c>
      <c r="AT247">
        <v>640</v>
      </c>
      <c r="BB247" t="str">
        <f t="shared" si="79"/>
        <v>1200</v>
      </c>
      <c r="BC247">
        <v>1</v>
      </c>
      <c r="BD247" t="str">
        <f t="shared" si="80"/>
        <v xml:space="preserve">N52156  </v>
      </c>
      <c r="BE247">
        <v>1</v>
      </c>
      <c r="BG247">
        <v>0</v>
      </c>
      <c r="BH247">
        <v>0</v>
      </c>
      <c r="BI247">
        <v>0</v>
      </c>
      <c r="BJ247">
        <v>1775</v>
      </c>
      <c r="BK247">
        <v>-25</v>
      </c>
      <c r="BL247" t="s">
        <v>188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 t="shared" si="97"/>
        <v>15:05:12.571</v>
      </c>
      <c r="CF247">
        <v>571443313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133</v>
      </c>
      <c r="DA247">
        <v>275</v>
      </c>
      <c r="DB247">
        <v>0</v>
      </c>
      <c r="DC247" t="s">
        <v>134</v>
      </c>
      <c r="DD247" t="s">
        <v>135</v>
      </c>
      <c r="DG247">
        <v>3317994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"05/01/2025 15:05:13.693"</f>
        <v>05/01/2025 15:05:13.693</v>
      </c>
      <c r="C248" t="str">
        <f t="shared" si="76"/>
        <v>FFDFD3C0</v>
      </c>
      <c r="D248" t="s">
        <v>124</v>
      </c>
      <c r="E248" t="str">
        <f>"06"</f>
        <v>06</v>
      </c>
      <c r="F248">
        <v>2006</v>
      </c>
      <c r="G248" t="s">
        <v>125</v>
      </c>
      <c r="J248" t="s">
        <v>126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R248" t="s">
        <v>127</v>
      </c>
      <c r="S248" t="str">
        <f t="shared" ref="S248:T253" si="98">"15:05:13.000"</f>
        <v>15:05:13.000</v>
      </c>
      <c r="T248" t="str">
        <f t="shared" si="98"/>
        <v>15:05:13.000</v>
      </c>
      <c r="U248" t="str">
        <f t="shared" si="78"/>
        <v>A68FCB</v>
      </c>
      <c r="V248">
        <v>0</v>
      </c>
      <c r="W248">
        <v>0</v>
      </c>
      <c r="X248">
        <v>2</v>
      </c>
      <c r="Y248">
        <v>0</v>
      </c>
      <c r="AA248">
        <v>1</v>
      </c>
      <c r="AB248">
        <v>8</v>
      </c>
      <c r="AC248">
        <v>3</v>
      </c>
      <c r="AD248">
        <v>0</v>
      </c>
      <c r="AE248">
        <v>9</v>
      </c>
      <c r="AF248" t="s">
        <v>138</v>
      </c>
      <c r="AG248">
        <v>0</v>
      </c>
      <c r="AH248">
        <v>3</v>
      </c>
      <c r="AI248">
        <v>1</v>
      </c>
      <c r="AJ248">
        <v>0</v>
      </c>
      <c r="AK248" t="s">
        <v>217</v>
      </c>
      <c r="AL248">
        <v>38.955739000000001</v>
      </c>
      <c r="AM248" t="s">
        <v>220</v>
      </c>
      <c r="AN248">
        <v>-121.068692</v>
      </c>
      <c r="AO248">
        <v>25</v>
      </c>
      <c r="AP248">
        <v>1900</v>
      </c>
      <c r="AQ248" t="s">
        <v>131</v>
      </c>
      <c r="AR248">
        <v>71</v>
      </c>
      <c r="AS248">
        <v>2</v>
      </c>
      <c r="AT248">
        <v>640</v>
      </c>
      <c r="BB248" t="str">
        <f t="shared" si="79"/>
        <v>1200</v>
      </c>
      <c r="BC248">
        <v>1</v>
      </c>
      <c r="BD248" t="str">
        <f t="shared" si="80"/>
        <v xml:space="preserve">N52156  </v>
      </c>
      <c r="BE248">
        <v>1</v>
      </c>
      <c r="BG248">
        <v>0</v>
      </c>
      <c r="BH248">
        <v>0</v>
      </c>
      <c r="BI248">
        <v>0</v>
      </c>
      <c r="BJ248">
        <v>1800</v>
      </c>
      <c r="BK248">
        <v>-100</v>
      </c>
      <c r="BL248" t="s">
        <v>188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 t="shared" ref="CE248:CE253" si="99">"15:05:13.491"</f>
        <v>15:05:13.491</v>
      </c>
      <c r="CF248">
        <v>490943181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4</v>
      </c>
      <c r="CY248">
        <v>7</v>
      </c>
      <c r="CZ248" t="s">
        <v>133</v>
      </c>
      <c r="DA248">
        <v>275</v>
      </c>
      <c r="DB248">
        <v>0</v>
      </c>
      <c r="DC248" t="s">
        <v>134</v>
      </c>
      <c r="DD248" t="s">
        <v>135</v>
      </c>
      <c r="DG248">
        <v>3318009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"05/01/2025 15:05:13.700"</f>
        <v>05/01/2025 15:05:13.700</v>
      </c>
      <c r="C249" t="str">
        <f t="shared" si="76"/>
        <v>FFDFD3C0</v>
      </c>
      <c r="D249" t="s">
        <v>136</v>
      </c>
      <c r="E249" t="str">
        <f>"20"</f>
        <v>20</v>
      </c>
      <c r="H249">
        <v>400</v>
      </c>
      <c r="I249" t="s">
        <v>137</v>
      </c>
      <c r="J249" t="s">
        <v>138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R249" t="s">
        <v>127</v>
      </c>
      <c r="S249" t="str">
        <f t="shared" si="98"/>
        <v>15:05:13.000</v>
      </c>
      <c r="T249" t="str">
        <f t="shared" si="98"/>
        <v>15:05:13.000</v>
      </c>
      <c r="U249" t="str">
        <f t="shared" si="78"/>
        <v>A68FCB</v>
      </c>
      <c r="V249">
        <v>0</v>
      </c>
      <c r="W249">
        <v>0</v>
      </c>
      <c r="X249">
        <v>2</v>
      </c>
      <c r="Y249">
        <v>0</v>
      </c>
      <c r="AA249">
        <v>1</v>
      </c>
      <c r="AB249">
        <v>8</v>
      </c>
      <c r="AC249">
        <v>3</v>
      </c>
      <c r="AD249">
        <v>0</v>
      </c>
      <c r="AE249">
        <v>9</v>
      </c>
      <c r="AF249" t="s">
        <v>138</v>
      </c>
      <c r="AG249">
        <v>0</v>
      </c>
      <c r="AH249">
        <v>3</v>
      </c>
      <c r="AI249">
        <v>1</v>
      </c>
      <c r="AJ249">
        <v>0</v>
      </c>
      <c r="AK249" t="s">
        <v>217</v>
      </c>
      <c r="AL249">
        <v>38.955739000000001</v>
      </c>
      <c r="AM249" t="s">
        <v>220</v>
      </c>
      <c r="AN249">
        <v>-121.068692</v>
      </c>
      <c r="AO249">
        <v>25</v>
      </c>
      <c r="AP249">
        <v>1900</v>
      </c>
      <c r="AQ249" t="s">
        <v>131</v>
      </c>
      <c r="AR249">
        <v>71</v>
      </c>
      <c r="AS249">
        <v>2</v>
      </c>
      <c r="AT249">
        <v>640</v>
      </c>
      <c r="BB249" t="str">
        <f t="shared" si="79"/>
        <v>1200</v>
      </c>
      <c r="BC249">
        <v>1</v>
      </c>
      <c r="BD249" t="str">
        <f t="shared" si="80"/>
        <v xml:space="preserve">N52156  </v>
      </c>
      <c r="BE249">
        <v>1</v>
      </c>
      <c r="BG249">
        <v>0</v>
      </c>
      <c r="BH249">
        <v>0</v>
      </c>
      <c r="BI249">
        <v>0</v>
      </c>
      <c r="BJ249">
        <v>1800</v>
      </c>
      <c r="BK249">
        <v>-100</v>
      </c>
      <c r="BL249" t="s">
        <v>188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 t="shared" si="99"/>
        <v>15:05:13.491</v>
      </c>
      <c r="CF249">
        <v>490943181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4</v>
      </c>
      <c r="CY249">
        <v>7</v>
      </c>
      <c r="CZ249" t="s">
        <v>133</v>
      </c>
      <c r="DA249">
        <v>275</v>
      </c>
      <c r="DB249">
        <v>0</v>
      </c>
      <c r="DC249" t="s">
        <v>134</v>
      </c>
      <c r="DD249" t="s">
        <v>135</v>
      </c>
      <c r="DG249">
        <v>3318009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"05/01/2025 15:05:13.728"</f>
        <v>05/01/2025 15:05:13.728</v>
      </c>
      <c r="C250" t="str">
        <f t="shared" si="76"/>
        <v>FFDFD3C0</v>
      </c>
      <c r="D250" t="s">
        <v>140</v>
      </c>
      <c r="E250" t="str">
        <f>"13"</f>
        <v>13</v>
      </c>
      <c r="F250">
        <v>1019</v>
      </c>
      <c r="G250" t="s">
        <v>141</v>
      </c>
      <c r="J250" t="s">
        <v>142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R250" t="s">
        <v>127</v>
      </c>
      <c r="S250" t="str">
        <f t="shared" si="98"/>
        <v>15:05:13.000</v>
      </c>
      <c r="T250" t="str">
        <f t="shared" si="98"/>
        <v>15:05:13.000</v>
      </c>
      <c r="U250" t="str">
        <f t="shared" si="78"/>
        <v>A68FCB</v>
      </c>
      <c r="V250">
        <v>0</v>
      </c>
      <c r="W250">
        <v>0</v>
      </c>
      <c r="X250">
        <v>2</v>
      </c>
      <c r="Y250">
        <v>0</v>
      </c>
      <c r="AA250">
        <v>1</v>
      </c>
      <c r="AB250">
        <v>8</v>
      </c>
      <c r="AC250">
        <v>3</v>
      </c>
      <c r="AD250">
        <v>0</v>
      </c>
      <c r="AE250">
        <v>9</v>
      </c>
      <c r="AF250" t="s">
        <v>138</v>
      </c>
      <c r="AG250">
        <v>0</v>
      </c>
      <c r="AH250">
        <v>3</v>
      </c>
      <c r="AI250">
        <v>1</v>
      </c>
      <c r="AJ250">
        <v>0</v>
      </c>
      <c r="AK250" t="s">
        <v>217</v>
      </c>
      <c r="AL250">
        <v>38.955739000000001</v>
      </c>
      <c r="AM250" t="s">
        <v>220</v>
      </c>
      <c r="AN250">
        <v>-121.068692</v>
      </c>
      <c r="AO250">
        <v>25</v>
      </c>
      <c r="AP250">
        <v>1900</v>
      </c>
      <c r="AQ250" t="s">
        <v>131</v>
      </c>
      <c r="AR250">
        <v>71</v>
      </c>
      <c r="AS250">
        <v>2</v>
      </c>
      <c r="AT250">
        <v>640</v>
      </c>
      <c r="BB250" t="str">
        <f t="shared" si="79"/>
        <v>1200</v>
      </c>
      <c r="BC250">
        <v>1</v>
      </c>
      <c r="BD250" t="str">
        <f t="shared" si="80"/>
        <v xml:space="preserve">N52156  </v>
      </c>
      <c r="BE250">
        <v>1</v>
      </c>
      <c r="BG250">
        <v>0</v>
      </c>
      <c r="BH250">
        <v>0</v>
      </c>
      <c r="BI250">
        <v>0</v>
      </c>
      <c r="BJ250">
        <v>1800</v>
      </c>
      <c r="BK250">
        <v>-100</v>
      </c>
      <c r="BL250" t="s">
        <v>188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 t="shared" si="99"/>
        <v>15:05:13.491</v>
      </c>
      <c r="CF250">
        <v>490943181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4</v>
      </c>
      <c r="CY250">
        <v>7</v>
      </c>
      <c r="CZ250" t="s">
        <v>133</v>
      </c>
      <c r="DA250">
        <v>275</v>
      </c>
      <c r="DB250">
        <v>0</v>
      </c>
      <c r="DC250" t="s">
        <v>134</v>
      </c>
      <c r="DD250" t="s">
        <v>135</v>
      </c>
      <c r="DG250">
        <v>3318009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"05/01/2025 15:05:13.732"</f>
        <v>05/01/2025 15:05:13.732</v>
      </c>
      <c r="C251" t="str">
        <f t="shared" si="76"/>
        <v>FFDFD3C0</v>
      </c>
      <c r="D251" t="s">
        <v>143</v>
      </c>
      <c r="E251" t="str">
        <f>"05"</f>
        <v>05</v>
      </c>
      <c r="H251">
        <v>172</v>
      </c>
      <c r="I251" t="s">
        <v>141</v>
      </c>
      <c r="J251" t="s">
        <v>144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R251" t="s">
        <v>127</v>
      </c>
      <c r="S251" t="str">
        <f t="shared" si="98"/>
        <v>15:05:13.000</v>
      </c>
      <c r="T251" t="str">
        <f t="shared" si="98"/>
        <v>15:05:13.000</v>
      </c>
      <c r="U251" t="str">
        <f t="shared" si="78"/>
        <v>A68FCB</v>
      </c>
      <c r="V251">
        <v>0</v>
      </c>
      <c r="W251">
        <v>0</v>
      </c>
      <c r="X251">
        <v>2</v>
      </c>
      <c r="Y251">
        <v>0</v>
      </c>
      <c r="AA251">
        <v>1</v>
      </c>
      <c r="AB251">
        <v>8</v>
      </c>
      <c r="AC251">
        <v>3</v>
      </c>
      <c r="AD251">
        <v>0</v>
      </c>
      <c r="AE251">
        <v>9</v>
      </c>
      <c r="AF251" t="s">
        <v>138</v>
      </c>
      <c r="AG251">
        <v>0</v>
      </c>
      <c r="AH251">
        <v>3</v>
      </c>
      <c r="AI251">
        <v>1</v>
      </c>
      <c r="AJ251">
        <v>0</v>
      </c>
      <c r="AK251" t="s">
        <v>217</v>
      </c>
      <c r="AL251">
        <v>38.955739000000001</v>
      </c>
      <c r="AM251" t="s">
        <v>220</v>
      </c>
      <c r="AN251">
        <v>-121.068692</v>
      </c>
      <c r="AO251">
        <v>25</v>
      </c>
      <c r="AP251">
        <v>1900</v>
      </c>
      <c r="AQ251" t="s">
        <v>131</v>
      </c>
      <c r="AR251">
        <v>71</v>
      </c>
      <c r="AS251">
        <v>2</v>
      </c>
      <c r="AT251">
        <v>640</v>
      </c>
      <c r="BB251" t="str">
        <f t="shared" si="79"/>
        <v>1200</v>
      </c>
      <c r="BC251">
        <v>1</v>
      </c>
      <c r="BD251" t="str">
        <f t="shared" si="80"/>
        <v xml:space="preserve">N52156  </v>
      </c>
      <c r="BE251">
        <v>1</v>
      </c>
      <c r="BG251">
        <v>0</v>
      </c>
      <c r="BH251">
        <v>0</v>
      </c>
      <c r="BI251">
        <v>0</v>
      </c>
      <c r="BJ251">
        <v>1800</v>
      </c>
      <c r="BK251">
        <v>-100</v>
      </c>
      <c r="BL251" t="s">
        <v>188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 t="shared" si="99"/>
        <v>15:05:13.491</v>
      </c>
      <c r="CF251">
        <v>490943181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4</v>
      </c>
      <c r="CY251">
        <v>7</v>
      </c>
      <c r="CZ251" t="s">
        <v>133</v>
      </c>
      <c r="DA251">
        <v>275</v>
      </c>
      <c r="DB251">
        <v>0</v>
      </c>
      <c r="DC251" t="s">
        <v>134</v>
      </c>
      <c r="DD251" t="s">
        <v>135</v>
      </c>
      <c r="DG251">
        <v>3318009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"05/01/2025 15:05:13.737"</f>
        <v>05/01/2025 15:05:13.737</v>
      </c>
      <c r="C252" t="str">
        <f t="shared" si="76"/>
        <v>FFDFD3C0</v>
      </c>
      <c r="D252" t="s">
        <v>145</v>
      </c>
      <c r="E252" t="str">
        <f>"05"</f>
        <v>05</v>
      </c>
      <c r="H252">
        <v>47</v>
      </c>
      <c r="I252" t="s">
        <v>146</v>
      </c>
      <c r="J252" t="s">
        <v>138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R252" t="s">
        <v>127</v>
      </c>
      <c r="S252" t="str">
        <f t="shared" si="98"/>
        <v>15:05:13.000</v>
      </c>
      <c r="T252" t="str">
        <f t="shared" si="98"/>
        <v>15:05:13.000</v>
      </c>
      <c r="U252" t="str">
        <f t="shared" si="78"/>
        <v>A68FCB</v>
      </c>
      <c r="V252">
        <v>0</v>
      </c>
      <c r="W252">
        <v>0</v>
      </c>
      <c r="X252">
        <v>2</v>
      </c>
      <c r="Y252">
        <v>0</v>
      </c>
      <c r="AA252">
        <v>1</v>
      </c>
      <c r="AB252">
        <v>8</v>
      </c>
      <c r="AC252">
        <v>3</v>
      </c>
      <c r="AD252">
        <v>0</v>
      </c>
      <c r="AE252">
        <v>9</v>
      </c>
      <c r="AF252" t="s">
        <v>138</v>
      </c>
      <c r="AG252">
        <v>0</v>
      </c>
      <c r="AH252">
        <v>3</v>
      </c>
      <c r="AI252">
        <v>1</v>
      </c>
      <c r="AJ252">
        <v>0</v>
      </c>
      <c r="AK252" t="s">
        <v>217</v>
      </c>
      <c r="AL252">
        <v>38.955739000000001</v>
      </c>
      <c r="AM252" t="s">
        <v>220</v>
      </c>
      <c r="AN252">
        <v>-121.068692</v>
      </c>
      <c r="AO252">
        <v>25</v>
      </c>
      <c r="AP252">
        <v>1900</v>
      </c>
      <c r="AQ252" t="s">
        <v>131</v>
      </c>
      <c r="AR252">
        <v>71</v>
      </c>
      <c r="AS252">
        <v>2</v>
      </c>
      <c r="AT252">
        <v>640</v>
      </c>
      <c r="BB252" t="str">
        <f t="shared" si="79"/>
        <v>1200</v>
      </c>
      <c r="BC252">
        <v>1</v>
      </c>
      <c r="BD252" t="str">
        <f t="shared" si="80"/>
        <v xml:space="preserve">N52156  </v>
      </c>
      <c r="BE252">
        <v>1</v>
      </c>
      <c r="BG252">
        <v>0</v>
      </c>
      <c r="BH252">
        <v>0</v>
      </c>
      <c r="BI252">
        <v>0</v>
      </c>
      <c r="BJ252">
        <v>1800</v>
      </c>
      <c r="BK252">
        <v>-100</v>
      </c>
      <c r="BL252" t="s">
        <v>188</v>
      </c>
      <c r="BM252">
        <v>1</v>
      </c>
      <c r="BN252">
        <v>1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 t="shared" si="99"/>
        <v>15:05:13.491</v>
      </c>
      <c r="CF252">
        <v>490943181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4</v>
      </c>
      <c r="CY252">
        <v>7</v>
      </c>
      <c r="CZ252" t="s">
        <v>133</v>
      </c>
      <c r="DA252">
        <v>275</v>
      </c>
      <c r="DB252">
        <v>0</v>
      </c>
      <c r="DC252" t="s">
        <v>134</v>
      </c>
      <c r="DD252" t="s">
        <v>135</v>
      </c>
      <c r="DG252">
        <v>3318009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"05/01/2025 15:05:13.738"</f>
        <v>05/01/2025 15:05:13.738</v>
      </c>
      <c r="C253" t="str">
        <f t="shared" si="76"/>
        <v>FFDFD3C0</v>
      </c>
      <c r="D253" t="s">
        <v>145</v>
      </c>
      <c r="E253" t="str">
        <f>"09"</f>
        <v>09</v>
      </c>
      <c r="H253">
        <v>51</v>
      </c>
      <c r="I253" t="s">
        <v>147</v>
      </c>
      <c r="J253" t="s">
        <v>138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R253" t="s">
        <v>127</v>
      </c>
      <c r="S253" t="str">
        <f t="shared" si="98"/>
        <v>15:05:13.000</v>
      </c>
      <c r="T253" t="str">
        <f t="shared" si="98"/>
        <v>15:05:13.000</v>
      </c>
      <c r="U253" t="str">
        <f t="shared" si="78"/>
        <v>A68FCB</v>
      </c>
      <c r="V253">
        <v>0</v>
      </c>
      <c r="W253">
        <v>0</v>
      </c>
      <c r="X253">
        <v>2</v>
      </c>
      <c r="Y253">
        <v>0</v>
      </c>
      <c r="AA253">
        <v>1</v>
      </c>
      <c r="AB253">
        <v>8</v>
      </c>
      <c r="AC253">
        <v>3</v>
      </c>
      <c r="AD253">
        <v>0</v>
      </c>
      <c r="AE253">
        <v>9</v>
      </c>
      <c r="AF253" t="s">
        <v>138</v>
      </c>
      <c r="AG253">
        <v>0</v>
      </c>
      <c r="AH253">
        <v>3</v>
      </c>
      <c r="AI253">
        <v>1</v>
      </c>
      <c r="AJ253">
        <v>0</v>
      </c>
      <c r="AK253" t="s">
        <v>217</v>
      </c>
      <c r="AL253">
        <v>38.955739000000001</v>
      </c>
      <c r="AM253" t="s">
        <v>220</v>
      </c>
      <c r="AN253">
        <v>-121.068692</v>
      </c>
      <c r="AO253">
        <v>25</v>
      </c>
      <c r="AP253">
        <v>1900</v>
      </c>
      <c r="AQ253" t="s">
        <v>131</v>
      </c>
      <c r="AR253">
        <v>71</v>
      </c>
      <c r="AS253">
        <v>2</v>
      </c>
      <c r="AT253">
        <v>640</v>
      </c>
      <c r="BB253" t="str">
        <f t="shared" si="79"/>
        <v>1200</v>
      </c>
      <c r="BC253">
        <v>1</v>
      </c>
      <c r="BD253" t="str">
        <f t="shared" si="80"/>
        <v xml:space="preserve">N52156  </v>
      </c>
      <c r="BE253">
        <v>1</v>
      </c>
      <c r="BG253">
        <v>0</v>
      </c>
      <c r="BH253">
        <v>0</v>
      </c>
      <c r="BI253">
        <v>0</v>
      </c>
      <c r="BJ253">
        <v>1800</v>
      </c>
      <c r="BK253">
        <v>-100</v>
      </c>
      <c r="BL253" t="s">
        <v>188</v>
      </c>
      <c r="BM253">
        <v>1</v>
      </c>
      <c r="BN253">
        <v>1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 t="shared" si="99"/>
        <v>15:05:13.491</v>
      </c>
      <c r="CF253">
        <v>490943181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4</v>
      </c>
      <c r="CY253">
        <v>7</v>
      </c>
      <c r="CZ253" t="s">
        <v>133</v>
      </c>
      <c r="DA253">
        <v>275</v>
      </c>
      <c r="DB253">
        <v>0</v>
      </c>
      <c r="DC253" t="s">
        <v>134</v>
      </c>
      <c r="DD253" t="s">
        <v>135</v>
      </c>
      <c r="DG253">
        <v>3318009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"05/01/2025 15:05:14.779"</f>
        <v>05/01/2025 15:05:14.779</v>
      </c>
      <c r="C254" t="str">
        <f t="shared" si="76"/>
        <v>FFDFD3C0</v>
      </c>
      <c r="D254" t="s">
        <v>140</v>
      </c>
      <c r="E254" t="str">
        <f>"13"</f>
        <v>13</v>
      </c>
      <c r="F254">
        <v>1019</v>
      </c>
      <c r="G254" t="s">
        <v>141</v>
      </c>
      <c r="J254" t="s">
        <v>142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R254" t="s">
        <v>127</v>
      </c>
      <c r="S254" t="str">
        <f t="shared" ref="S254:T259" si="100">"15:05:14.000"</f>
        <v>15:05:14.000</v>
      </c>
      <c r="T254" t="str">
        <f t="shared" si="100"/>
        <v>15:05:14.000</v>
      </c>
      <c r="U254" t="str">
        <f t="shared" si="78"/>
        <v>A68FCB</v>
      </c>
      <c r="V254">
        <v>0</v>
      </c>
      <c r="W254">
        <v>0</v>
      </c>
      <c r="X254">
        <v>2</v>
      </c>
      <c r="Y254">
        <v>0</v>
      </c>
      <c r="AA254">
        <v>1</v>
      </c>
      <c r="AB254">
        <v>8</v>
      </c>
      <c r="AC254">
        <v>3</v>
      </c>
      <c r="AD254">
        <v>0</v>
      </c>
      <c r="AE254">
        <v>9</v>
      </c>
      <c r="AF254" t="s">
        <v>138</v>
      </c>
      <c r="AG254">
        <v>0</v>
      </c>
      <c r="AH254">
        <v>3</v>
      </c>
      <c r="AI254">
        <v>1</v>
      </c>
      <c r="AJ254">
        <v>0</v>
      </c>
      <c r="AK254" t="s">
        <v>221</v>
      </c>
      <c r="AL254">
        <v>38.955759999999998</v>
      </c>
      <c r="AM254" t="s">
        <v>222</v>
      </c>
      <c r="AN254">
        <v>-121.068263</v>
      </c>
      <c r="AO254">
        <v>25</v>
      </c>
      <c r="AP254">
        <v>1900</v>
      </c>
      <c r="AQ254" t="s">
        <v>131</v>
      </c>
      <c r="AR254">
        <v>71</v>
      </c>
      <c r="AS254">
        <v>3</v>
      </c>
      <c r="AT254">
        <v>576</v>
      </c>
      <c r="BB254" t="str">
        <f t="shared" si="79"/>
        <v>1200</v>
      </c>
      <c r="BC254">
        <v>1</v>
      </c>
      <c r="BD254" t="str">
        <f t="shared" si="80"/>
        <v xml:space="preserve">N52156  </v>
      </c>
      <c r="BE254">
        <v>1</v>
      </c>
      <c r="BG254">
        <v>0</v>
      </c>
      <c r="BH254">
        <v>0</v>
      </c>
      <c r="BI254">
        <v>0</v>
      </c>
      <c r="BJ254">
        <v>1800</v>
      </c>
      <c r="BK254">
        <v>-100</v>
      </c>
      <c r="BL254" t="s">
        <v>188</v>
      </c>
      <c r="BM254">
        <v>1</v>
      </c>
      <c r="BN254">
        <v>1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 t="shared" ref="CE254:CE259" si="101">"15:05:14.526"</f>
        <v>15:05:14.526</v>
      </c>
      <c r="CF254">
        <v>526443380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133</v>
      </c>
      <c r="DA254">
        <v>275</v>
      </c>
      <c r="DB254">
        <v>0</v>
      </c>
      <c r="DC254" t="s">
        <v>134</v>
      </c>
      <c r="DD254" t="s">
        <v>135</v>
      </c>
      <c r="DG254">
        <v>3318021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"05/01/2025 15:05:14.784"</f>
        <v>05/01/2025 15:05:14.784</v>
      </c>
      <c r="C255" t="str">
        <f t="shared" si="76"/>
        <v>FFDFD3C0</v>
      </c>
      <c r="D255" t="s">
        <v>143</v>
      </c>
      <c r="E255" t="str">
        <f>"05"</f>
        <v>05</v>
      </c>
      <c r="H255">
        <v>172</v>
      </c>
      <c r="I255" t="s">
        <v>141</v>
      </c>
      <c r="J255" t="s">
        <v>144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R255" t="s">
        <v>127</v>
      </c>
      <c r="S255" t="str">
        <f t="shared" si="100"/>
        <v>15:05:14.000</v>
      </c>
      <c r="T255" t="str">
        <f t="shared" si="100"/>
        <v>15:05:14.000</v>
      </c>
      <c r="U255" t="str">
        <f t="shared" si="78"/>
        <v>A68FCB</v>
      </c>
      <c r="V255">
        <v>0</v>
      </c>
      <c r="W255">
        <v>0</v>
      </c>
      <c r="X255">
        <v>2</v>
      </c>
      <c r="Y255">
        <v>0</v>
      </c>
      <c r="AA255">
        <v>1</v>
      </c>
      <c r="AB255">
        <v>8</v>
      </c>
      <c r="AC255">
        <v>3</v>
      </c>
      <c r="AD255">
        <v>0</v>
      </c>
      <c r="AE255">
        <v>9</v>
      </c>
      <c r="AF255" t="s">
        <v>138</v>
      </c>
      <c r="AG255">
        <v>0</v>
      </c>
      <c r="AH255">
        <v>3</v>
      </c>
      <c r="AI255">
        <v>1</v>
      </c>
      <c r="AJ255">
        <v>0</v>
      </c>
      <c r="AK255" t="s">
        <v>221</v>
      </c>
      <c r="AL255">
        <v>38.955759999999998</v>
      </c>
      <c r="AM255" t="s">
        <v>222</v>
      </c>
      <c r="AN255">
        <v>-121.068263</v>
      </c>
      <c r="AO255">
        <v>25</v>
      </c>
      <c r="AP255">
        <v>1900</v>
      </c>
      <c r="AQ255" t="s">
        <v>131</v>
      </c>
      <c r="AR255">
        <v>71</v>
      </c>
      <c r="AS255">
        <v>3</v>
      </c>
      <c r="AT255">
        <v>576</v>
      </c>
      <c r="BB255" t="str">
        <f t="shared" si="79"/>
        <v>1200</v>
      </c>
      <c r="BC255">
        <v>1</v>
      </c>
      <c r="BD255" t="str">
        <f t="shared" si="80"/>
        <v xml:space="preserve">N52156  </v>
      </c>
      <c r="BE255">
        <v>1</v>
      </c>
      <c r="BG255">
        <v>0</v>
      </c>
      <c r="BH255">
        <v>0</v>
      </c>
      <c r="BI255">
        <v>0</v>
      </c>
      <c r="BJ255">
        <v>1800</v>
      </c>
      <c r="BK255">
        <v>-100</v>
      </c>
      <c r="BL255" t="s">
        <v>188</v>
      </c>
      <c r="BM255">
        <v>1</v>
      </c>
      <c r="BN255">
        <v>1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 t="shared" si="101"/>
        <v>15:05:14.526</v>
      </c>
      <c r="CF255">
        <v>526443380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133</v>
      </c>
      <c r="DA255">
        <v>275</v>
      </c>
      <c r="DB255">
        <v>0</v>
      </c>
      <c r="DC255" t="s">
        <v>134</v>
      </c>
      <c r="DD255" t="s">
        <v>135</v>
      </c>
      <c r="DG255">
        <v>3318021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"05/01/2025 15:05:14.790"</f>
        <v>05/01/2025 15:05:14.790</v>
      </c>
      <c r="C256" t="str">
        <f t="shared" si="76"/>
        <v>FFDFD3C0</v>
      </c>
      <c r="D256" t="s">
        <v>145</v>
      </c>
      <c r="E256" t="str">
        <f>"09"</f>
        <v>09</v>
      </c>
      <c r="H256">
        <v>51</v>
      </c>
      <c r="I256" t="s">
        <v>147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R256" t="s">
        <v>127</v>
      </c>
      <c r="S256" t="str">
        <f t="shared" si="100"/>
        <v>15:05:14.000</v>
      </c>
      <c r="T256" t="str">
        <f t="shared" si="100"/>
        <v>15:05:14.000</v>
      </c>
      <c r="U256" t="str">
        <f t="shared" si="78"/>
        <v>A68FCB</v>
      </c>
      <c r="V256">
        <v>0</v>
      </c>
      <c r="W256">
        <v>0</v>
      </c>
      <c r="X256">
        <v>2</v>
      </c>
      <c r="Y256">
        <v>0</v>
      </c>
      <c r="AA256">
        <v>1</v>
      </c>
      <c r="AB256">
        <v>8</v>
      </c>
      <c r="AC256">
        <v>3</v>
      </c>
      <c r="AD256">
        <v>0</v>
      </c>
      <c r="AE256">
        <v>9</v>
      </c>
      <c r="AF256" t="s">
        <v>138</v>
      </c>
      <c r="AG256">
        <v>0</v>
      </c>
      <c r="AH256">
        <v>3</v>
      </c>
      <c r="AI256">
        <v>1</v>
      </c>
      <c r="AJ256">
        <v>0</v>
      </c>
      <c r="AK256" t="s">
        <v>221</v>
      </c>
      <c r="AL256">
        <v>38.955759999999998</v>
      </c>
      <c r="AM256" t="s">
        <v>222</v>
      </c>
      <c r="AN256">
        <v>-121.068263</v>
      </c>
      <c r="AO256">
        <v>25</v>
      </c>
      <c r="AP256">
        <v>1900</v>
      </c>
      <c r="AQ256" t="s">
        <v>131</v>
      </c>
      <c r="AR256">
        <v>71</v>
      </c>
      <c r="AS256">
        <v>3</v>
      </c>
      <c r="AT256">
        <v>576</v>
      </c>
      <c r="BB256" t="str">
        <f t="shared" si="79"/>
        <v>1200</v>
      </c>
      <c r="BC256">
        <v>1</v>
      </c>
      <c r="BD256" t="str">
        <f t="shared" si="80"/>
        <v xml:space="preserve">N52156  </v>
      </c>
      <c r="BE256">
        <v>1</v>
      </c>
      <c r="BG256">
        <v>0</v>
      </c>
      <c r="BH256">
        <v>0</v>
      </c>
      <c r="BI256">
        <v>0</v>
      </c>
      <c r="BJ256">
        <v>1800</v>
      </c>
      <c r="BK256">
        <v>-100</v>
      </c>
      <c r="BL256" t="s">
        <v>188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 t="shared" si="101"/>
        <v>15:05:14.526</v>
      </c>
      <c r="CF256">
        <v>526443380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133</v>
      </c>
      <c r="DA256">
        <v>275</v>
      </c>
      <c r="DB256">
        <v>0</v>
      </c>
      <c r="DC256" t="s">
        <v>134</v>
      </c>
      <c r="DD256" t="s">
        <v>135</v>
      </c>
      <c r="DG256">
        <v>3318021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"05/01/2025 15:05:14.789"</f>
        <v>05/01/2025 15:05:14.789</v>
      </c>
      <c r="C257" t="str">
        <f t="shared" si="76"/>
        <v>FFDFD3C0</v>
      </c>
      <c r="D257" t="s">
        <v>145</v>
      </c>
      <c r="E257" t="str">
        <f>"05"</f>
        <v>05</v>
      </c>
      <c r="H257">
        <v>47</v>
      </c>
      <c r="I257" t="s">
        <v>146</v>
      </c>
      <c r="J257" t="s">
        <v>138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R257" t="s">
        <v>127</v>
      </c>
      <c r="S257" t="str">
        <f t="shared" si="100"/>
        <v>15:05:14.000</v>
      </c>
      <c r="T257" t="str">
        <f t="shared" si="100"/>
        <v>15:05:14.000</v>
      </c>
      <c r="U257" t="str">
        <f t="shared" si="78"/>
        <v>A68FCB</v>
      </c>
      <c r="V257">
        <v>0</v>
      </c>
      <c r="W257">
        <v>0</v>
      </c>
      <c r="X257">
        <v>2</v>
      </c>
      <c r="Y257">
        <v>0</v>
      </c>
      <c r="AA257">
        <v>1</v>
      </c>
      <c r="AB257">
        <v>8</v>
      </c>
      <c r="AC257">
        <v>3</v>
      </c>
      <c r="AD257">
        <v>0</v>
      </c>
      <c r="AE257">
        <v>9</v>
      </c>
      <c r="AF257" t="s">
        <v>138</v>
      </c>
      <c r="AG257">
        <v>0</v>
      </c>
      <c r="AH257">
        <v>3</v>
      </c>
      <c r="AI257">
        <v>1</v>
      </c>
      <c r="AJ257">
        <v>0</v>
      </c>
      <c r="AK257" t="s">
        <v>221</v>
      </c>
      <c r="AL257">
        <v>38.955759999999998</v>
      </c>
      <c r="AM257" t="s">
        <v>222</v>
      </c>
      <c r="AN257">
        <v>-121.068263</v>
      </c>
      <c r="AO257">
        <v>25</v>
      </c>
      <c r="AP257">
        <v>1900</v>
      </c>
      <c r="AQ257" t="s">
        <v>131</v>
      </c>
      <c r="AR257">
        <v>71</v>
      </c>
      <c r="AS257">
        <v>3</v>
      </c>
      <c r="AT257">
        <v>576</v>
      </c>
      <c r="BB257" t="str">
        <f t="shared" si="79"/>
        <v>1200</v>
      </c>
      <c r="BC257">
        <v>1</v>
      </c>
      <c r="BD257" t="str">
        <f t="shared" si="80"/>
        <v xml:space="preserve">N52156  </v>
      </c>
      <c r="BE257">
        <v>1</v>
      </c>
      <c r="BG257">
        <v>0</v>
      </c>
      <c r="BH257">
        <v>0</v>
      </c>
      <c r="BI257">
        <v>0</v>
      </c>
      <c r="BJ257">
        <v>1800</v>
      </c>
      <c r="BK257">
        <v>-100</v>
      </c>
      <c r="BL257" t="s">
        <v>188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 t="shared" si="101"/>
        <v>15:05:14.526</v>
      </c>
      <c r="CF257">
        <v>526443380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133</v>
      </c>
      <c r="DA257">
        <v>275</v>
      </c>
      <c r="DB257">
        <v>0</v>
      </c>
      <c r="DC257" t="s">
        <v>134</v>
      </c>
      <c r="DD257" t="s">
        <v>135</v>
      </c>
      <c r="DG257">
        <v>3318021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"05/01/2025 15:05:14.794"</f>
        <v>05/01/2025 15:05:14.794</v>
      </c>
      <c r="C258" t="str">
        <f t="shared" ref="C258:C321" si="102">"FFDFD3C0"</f>
        <v>FFDFD3C0</v>
      </c>
      <c r="D258" t="s">
        <v>124</v>
      </c>
      <c r="E258" t="str">
        <f>"06"</f>
        <v>06</v>
      </c>
      <c r="F258">
        <v>2006</v>
      </c>
      <c r="G258" t="s">
        <v>125</v>
      </c>
      <c r="J258" t="s">
        <v>126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R258" t="s">
        <v>127</v>
      </c>
      <c r="S258" t="str">
        <f t="shared" si="100"/>
        <v>15:05:14.000</v>
      </c>
      <c r="T258" t="str">
        <f t="shared" si="100"/>
        <v>15:05:14.000</v>
      </c>
      <c r="U258" t="str">
        <f t="shared" ref="U258:U321" si="103">"A68FCB"</f>
        <v>A68FCB</v>
      </c>
      <c r="V258">
        <v>0</v>
      </c>
      <c r="W258">
        <v>0</v>
      </c>
      <c r="X258">
        <v>2</v>
      </c>
      <c r="Y258">
        <v>0</v>
      </c>
      <c r="AA258">
        <v>1</v>
      </c>
      <c r="AB258">
        <v>8</v>
      </c>
      <c r="AC258">
        <v>3</v>
      </c>
      <c r="AD258">
        <v>0</v>
      </c>
      <c r="AE258">
        <v>9</v>
      </c>
      <c r="AF258" t="s">
        <v>138</v>
      </c>
      <c r="AG258">
        <v>0</v>
      </c>
      <c r="AH258">
        <v>3</v>
      </c>
      <c r="AI258">
        <v>1</v>
      </c>
      <c r="AJ258">
        <v>0</v>
      </c>
      <c r="AK258" t="s">
        <v>221</v>
      </c>
      <c r="AL258">
        <v>38.955759999999998</v>
      </c>
      <c r="AM258" t="s">
        <v>222</v>
      </c>
      <c r="AN258">
        <v>-121.068263</v>
      </c>
      <c r="AO258">
        <v>25</v>
      </c>
      <c r="AP258">
        <v>1900</v>
      </c>
      <c r="AQ258" t="s">
        <v>131</v>
      </c>
      <c r="AR258">
        <v>71</v>
      </c>
      <c r="AS258">
        <v>3</v>
      </c>
      <c r="AT258">
        <v>576</v>
      </c>
      <c r="BB258" t="str">
        <f t="shared" ref="BB258:BB321" si="104">"1200"</f>
        <v>1200</v>
      </c>
      <c r="BC258">
        <v>1</v>
      </c>
      <c r="BD258" t="str">
        <f t="shared" ref="BD258:BD321" si="105">"N52156  "</f>
        <v xml:space="preserve">N52156  </v>
      </c>
      <c r="BE258">
        <v>1</v>
      </c>
      <c r="BG258">
        <v>0</v>
      </c>
      <c r="BH258">
        <v>0</v>
      </c>
      <c r="BI258">
        <v>0</v>
      </c>
      <c r="BJ258">
        <v>1800</v>
      </c>
      <c r="BK258">
        <v>-100</v>
      </c>
      <c r="BL258" t="s">
        <v>188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 t="shared" si="101"/>
        <v>15:05:14.526</v>
      </c>
      <c r="CF258">
        <v>526443380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133</v>
      </c>
      <c r="DA258">
        <v>275</v>
      </c>
      <c r="DB258">
        <v>0</v>
      </c>
      <c r="DC258" t="s">
        <v>134</v>
      </c>
      <c r="DD258" t="s">
        <v>135</v>
      </c>
      <c r="DG258">
        <v>3318021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"05/01/2025 15:05:14.801"</f>
        <v>05/01/2025 15:05:14.801</v>
      </c>
      <c r="C259" t="str">
        <f t="shared" si="102"/>
        <v>FFDFD3C0</v>
      </c>
      <c r="D259" t="s">
        <v>136</v>
      </c>
      <c r="E259" t="str">
        <f>"20"</f>
        <v>20</v>
      </c>
      <c r="H259">
        <v>400</v>
      </c>
      <c r="I259" t="s">
        <v>137</v>
      </c>
      <c r="J259" t="s">
        <v>138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R259" t="s">
        <v>127</v>
      </c>
      <c r="S259" t="str">
        <f t="shared" si="100"/>
        <v>15:05:14.000</v>
      </c>
      <c r="T259" t="str">
        <f t="shared" si="100"/>
        <v>15:05:14.000</v>
      </c>
      <c r="U259" t="str">
        <f t="shared" si="103"/>
        <v>A68FCB</v>
      </c>
      <c r="V259">
        <v>0</v>
      </c>
      <c r="W259">
        <v>0</v>
      </c>
      <c r="X259">
        <v>2</v>
      </c>
      <c r="Y259">
        <v>0</v>
      </c>
      <c r="AA259">
        <v>1</v>
      </c>
      <c r="AB259">
        <v>8</v>
      </c>
      <c r="AC259">
        <v>3</v>
      </c>
      <c r="AD259">
        <v>0</v>
      </c>
      <c r="AE259">
        <v>9</v>
      </c>
      <c r="AF259" t="s">
        <v>138</v>
      </c>
      <c r="AG259">
        <v>0</v>
      </c>
      <c r="AH259">
        <v>3</v>
      </c>
      <c r="AI259">
        <v>1</v>
      </c>
      <c r="AJ259">
        <v>0</v>
      </c>
      <c r="AK259" t="s">
        <v>221</v>
      </c>
      <c r="AL259">
        <v>38.955759999999998</v>
      </c>
      <c r="AM259" t="s">
        <v>222</v>
      </c>
      <c r="AN259">
        <v>-121.068263</v>
      </c>
      <c r="AO259">
        <v>25</v>
      </c>
      <c r="AP259">
        <v>1900</v>
      </c>
      <c r="AQ259" t="s">
        <v>131</v>
      </c>
      <c r="AR259">
        <v>71</v>
      </c>
      <c r="AS259">
        <v>3</v>
      </c>
      <c r="AT259">
        <v>576</v>
      </c>
      <c r="BB259" t="str">
        <f t="shared" si="104"/>
        <v>1200</v>
      </c>
      <c r="BC259">
        <v>1</v>
      </c>
      <c r="BD259" t="str">
        <f t="shared" si="105"/>
        <v xml:space="preserve">N52156  </v>
      </c>
      <c r="BE259">
        <v>1</v>
      </c>
      <c r="BG259">
        <v>0</v>
      </c>
      <c r="BH259">
        <v>0</v>
      </c>
      <c r="BI259">
        <v>0</v>
      </c>
      <c r="BJ259">
        <v>1800</v>
      </c>
      <c r="BK259">
        <v>-100</v>
      </c>
      <c r="BL259" t="s">
        <v>188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 t="shared" si="101"/>
        <v>15:05:14.526</v>
      </c>
      <c r="CF259">
        <v>526443380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133</v>
      </c>
      <c r="DA259">
        <v>275</v>
      </c>
      <c r="DB259">
        <v>0</v>
      </c>
      <c r="DC259" t="s">
        <v>134</v>
      </c>
      <c r="DD259" t="s">
        <v>135</v>
      </c>
      <c r="DG259">
        <v>3318021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"05/01/2025 15:05:15.681"</f>
        <v>05/01/2025 15:05:15.681</v>
      </c>
      <c r="C260" t="str">
        <f t="shared" si="102"/>
        <v>FFDFD3C0</v>
      </c>
      <c r="D260" t="s">
        <v>140</v>
      </c>
      <c r="E260" t="str">
        <f>"13"</f>
        <v>13</v>
      </c>
      <c r="F260">
        <v>1019</v>
      </c>
      <c r="G260" t="s">
        <v>141</v>
      </c>
      <c r="J260" t="s">
        <v>142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R260" t="s">
        <v>127</v>
      </c>
      <c r="S260" t="str">
        <f t="shared" ref="S260:T265" si="106">"15:05:15.000"</f>
        <v>15:05:15.000</v>
      </c>
      <c r="T260" t="str">
        <f t="shared" si="106"/>
        <v>15:05:15.000</v>
      </c>
      <c r="U260" t="str">
        <f t="shared" si="103"/>
        <v>A68FCB</v>
      </c>
      <c r="V260">
        <v>0</v>
      </c>
      <c r="W260">
        <v>0</v>
      </c>
      <c r="X260">
        <v>2</v>
      </c>
      <c r="Y260">
        <v>0</v>
      </c>
      <c r="AA260">
        <v>1</v>
      </c>
      <c r="AB260">
        <v>8</v>
      </c>
      <c r="AC260">
        <v>3</v>
      </c>
      <c r="AD260">
        <v>0</v>
      </c>
      <c r="AE260">
        <v>9</v>
      </c>
      <c r="AF260" t="s">
        <v>138</v>
      </c>
      <c r="AG260">
        <v>0</v>
      </c>
      <c r="AH260">
        <v>3</v>
      </c>
      <c r="AI260">
        <v>1</v>
      </c>
      <c r="AJ260">
        <v>0</v>
      </c>
      <c r="AK260" t="s">
        <v>223</v>
      </c>
      <c r="AL260">
        <v>38.955781000000002</v>
      </c>
      <c r="AM260" t="s">
        <v>224</v>
      </c>
      <c r="AN260">
        <v>-121.06785499999999</v>
      </c>
      <c r="AO260">
        <v>25</v>
      </c>
      <c r="AP260">
        <v>1900</v>
      </c>
      <c r="AQ260" t="s">
        <v>131</v>
      </c>
      <c r="AR260">
        <v>72</v>
      </c>
      <c r="AS260">
        <v>3</v>
      </c>
      <c r="AT260">
        <v>512</v>
      </c>
      <c r="BB260" t="str">
        <f t="shared" si="104"/>
        <v>1200</v>
      </c>
      <c r="BC260">
        <v>1</v>
      </c>
      <c r="BD260" t="str">
        <f t="shared" si="105"/>
        <v xml:space="preserve">N52156  </v>
      </c>
      <c r="BE260">
        <v>1</v>
      </c>
      <c r="BG260">
        <v>0</v>
      </c>
      <c r="BH260">
        <v>0</v>
      </c>
      <c r="BI260">
        <v>0</v>
      </c>
      <c r="BJ260">
        <v>1800</v>
      </c>
      <c r="BK260">
        <v>-100</v>
      </c>
      <c r="BL260" t="s">
        <v>188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 t="shared" ref="CE260:CE265" si="107">"15:05:15.456"</f>
        <v>15:05:15.456</v>
      </c>
      <c r="CF260">
        <v>455693265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5</v>
      </c>
      <c r="CY260">
        <v>7</v>
      </c>
      <c r="CZ260" t="s">
        <v>133</v>
      </c>
      <c r="DA260">
        <v>275</v>
      </c>
      <c r="DB260">
        <v>0</v>
      </c>
      <c r="DC260" t="s">
        <v>134</v>
      </c>
      <c r="DD260" t="s">
        <v>135</v>
      </c>
      <c r="DG260">
        <v>3318033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"05/01/2025 15:05:15.686"</f>
        <v>05/01/2025 15:05:15.686</v>
      </c>
      <c r="C261" t="str">
        <f t="shared" si="102"/>
        <v>FFDFD3C0</v>
      </c>
      <c r="D261" t="s">
        <v>143</v>
      </c>
      <c r="E261" t="str">
        <f>"05"</f>
        <v>05</v>
      </c>
      <c r="H261">
        <v>172</v>
      </c>
      <c r="I261" t="s">
        <v>141</v>
      </c>
      <c r="J261" t="s">
        <v>144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R261" t="s">
        <v>127</v>
      </c>
      <c r="S261" t="str">
        <f t="shared" si="106"/>
        <v>15:05:15.000</v>
      </c>
      <c r="T261" t="str">
        <f t="shared" si="106"/>
        <v>15:05:15.000</v>
      </c>
      <c r="U261" t="str">
        <f t="shared" si="103"/>
        <v>A68FCB</v>
      </c>
      <c r="V261">
        <v>0</v>
      </c>
      <c r="W261">
        <v>0</v>
      </c>
      <c r="X261">
        <v>2</v>
      </c>
      <c r="Y261">
        <v>0</v>
      </c>
      <c r="AA261">
        <v>1</v>
      </c>
      <c r="AB261">
        <v>8</v>
      </c>
      <c r="AC261">
        <v>3</v>
      </c>
      <c r="AD261">
        <v>0</v>
      </c>
      <c r="AE261">
        <v>9</v>
      </c>
      <c r="AF261" t="s">
        <v>138</v>
      </c>
      <c r="AG261">
        <v>0</v>
      </c>
      <c r="AH261">
        <v>3</v>
      </c>
      <c r="AI261">
        <v>1</v>
      </c>
      <c r="AJ261">
        <v>0</v>
      </c>
      <c r="AK261" t="s">
        <v>223</v>
      </c>
      <c r="AL261">
        <v>38.955781000000002</v>
      </c>
      <c r="AM261" t="s">
        <v>224</v>
      </c>
      <c r="AN261">
        <v>-121.06785499999999</v>
      </c>
      <c r="AO261">
        <v>25</v>
      </c>
      <c r="AP261">
        <v>1900</v>
      </c>
      <c r="AQ261" t="s">
        <v>131</v>
      </c>
      <c r="AR261">
        <v>72</v>
      </c>
      <c r="AS261">
        <v>3</v>
      </c>
      <c r="AT261">
        <v>512</v>
      </c>
      <c r="BB261" t="str">
        <f t="shared" si="104"/>
        <v>1200</v>
      </c>
      <c r="BC261">
        <v>1</v>
      </c>
      <c r="BD261" t="str">
        <f t="shared" si="105"/>
        <v xml:space="preserve">N52156  </v>
      </c>
      <c r="BE261">
        <v>1</v>
      </c>
      <c r="BG261">
        <v>0</v>
      </c>
      <c r="BH261">
        <v>0</v>
      </c>
      <c r="BI261">
        <v>0</v>
      </c>
      <c r="BJ261">
        <v>1800</v>
      </c>
      <c r="BK261">
        <v>-100</v>
      </c>
      <c r="BL261" t="s">
        <v>188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 t="shared" si="107"/>
        <v>15:05:15.456</v>
      </c>
      <c r="CF261">
        <v>455693265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5</v>
      </c>
      <c r="CY261">
        <v>7</v>
      </c>
      <c r="CZ261" t="s">
        <v>133</v>
      </c>
      <c r="DA261">
        <v>275</v>
      </c>
      <c r="DB261">
        <v>0</v>
      </c>
      <c r="DC261" t="s">
        <v>134</v>
      </c>
      <c r="DD261" t="s">
        <v>135</v>
      </c>
      <c r="DG261">
        <v>3318033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"05/01/2025 15:05:15.691"</f>
        <v>05/01/2025 15:05:15.691</v>
      </c>
      <c r="C262" t="str">
        <f t="shared" si="102"/>
        <v>FFDFD3C0</v>
      </c>
      <c r="D262" t="s">
        <v>145</v>
      </c>
      <c r="E262" t="str">
        <f>"05"</f>
        <v>05</v>
      </c>
      <c r="H262">
        <v>47</v>
      </c>
      <c r="I262" t="s">
        <v>146</v>
      </c>
      <c r="J262" t="s">
        <v>138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R262" t="s">
        <v>127</v>
      </c>
      <c r="S262" t="str">
        <f t="shared" si="106"/>
        <v>15:05:15.000</v>
      </c>
      <c r="T262" t="str">
        <f t="shared" si="106"/>
        <v>15:05:15.000</v>
      </c>
      <c r="U262" t="str">
        <f t="shared" si="103"/>
        <v>A68FCB</v>
      </c>
      <c r="V262">
        <v>0</v>
      </c>
      <c r="W262">
        <v>0</v>
      </c>
      <c r="X262">
        <v>2</v>
      </c>
      <c r="Y262">
        <v>0</v>
      </c>
      <c r="AA262">
        <v>1</v>
      </c>
      <c r="AB262">
        <v>8</v>
      </c>
      <c r="AC262">
        <v>3</v>
      </c>
      <c r="AD262">
        <v>0</v>
      </c>
      <c r="AE262">
        <v>9</v>
      </c>
      <c r="AF262" t="s">
        <v>138</v>
      </c>
      <c r="AG262">
        <v>0</v>
      </c>
      <c r="AH262">
        <v>3</v>
      </c>
      <c r="AI262">
        <v>1</v>
      </c>
      <c r="AJ262">
        <v>0</v>
      </c>
      <c r="AK262" t="s">
        <v>223</v>
      </c>
      <c r="AL262">
        <v>38.955781000000002</v>
      </c>
      <c r="AM262" t="s">
        <v>224</v>
      </c>
      <c r="AN262">
        <v>-121.06785499999999</v>
      </c>
      <c r="AO262">
        <v>25</v>
      </c>
      <c r="AP262">
        <v>1900</v>
      </c>
      <c r="AQ262" t="s">
        <v>131</v>
      </c>
      <c r="AR262">
        <v>72</v>
      </c>
      <c r="AS262">
        <v>3</v>
      </c>
      <c r="AT262">
        <v>512</v>
      </c>
      <c r="BB262" t="str">
        <f t="shared" si="104"/>
        <v>1200</v>
      </c>
      <c r="BC262">
        <v>1</v>
      </c>
      <c r="BD262" t="str">
        <f t="shared" si="105"/>
        <v xml:space="preserve">N52156  </v>
      </c>
      <c r="BE262">
        <v>1</v>
      </c>
      <c r="BG262">
        <v>0</v>
      </c>
      <c r="BH262">
        <v>0</v>
      </c>
      <c r="BI262">
        <v>0</v>
      </c>
      <c r="BJ262">
        <v>1800</v>
      </c>
      <c r="BK262">
        <v>-100</v>
      </c>
      <c r="BL262" t="s">
        <v>188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 t="shared" si="107"/>
        <v>15:05:15.456</v>
      </c>
      <c r="CF262">
        <v>455693265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5</v>
      </c>
      <c r="CY262">
        <v>7</v>
      </c>
      <c r="CZ262" t="s">
        <v>133</v>
      </c>
      <c r="DA262">
        <v>275</v>
      </c>
      <c r="DB262">
        <v>0</v>
      </c>
      <c r="DC262" t="s">
        <v>134</v>
      </c>
      <c r="DD262" t="s">
        <v>135</v>
      </c>
      <c r="DG262">
        <v>3318033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"05/01/2025 15:05:15.691"</f>
        <v>05/01/2025 15:05:15.691</v>
      </c>
      <c r="C263" t="str">
        <f t="shared" si="102"/>
        <v>FFDFD3C0</v>
      </c>
      <c r="D263" t="s">
        <v>145</v>
      </c>
      <c r="E263" t="str">
        <f>"09"</f>
        <v>09</v>
      </c>
      <c r="H263">
        <v>51</v>
      </c>
      <c r="I263" t="s">
        <v>147</v>
      </c>
      <c r="J263" t="s">
        <v>138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R263" t="s">
        <v>127</v>
      </c>
      <c r="S263" t="str">
        <f t="shared" si="106"/>
        <v>15:05:15.000</v>
      </c>
      <c r="T263" t="str">
        <f t="shared" si="106"/>
        <v>15:05:15.000</v>
      </c>
      <c r="U263" t="str">
        <f t="shared" si="103"/>
        <v>A68FCB</v>
      </c>
      <c r="V263">
        <v>0</v>
      </c>
      <c r="W263">
        <v>0</v>
      </c>
      <c r="X263">
        <v>2</v>
      </c>
      <c r="Y263">
        <v>0</v>
      </c>
      <c r="AA263">
        <v>1</v>
      </c>
      <c r="AB263">
        <v>8</v>
      </c>
      <c r="AC263">
        <v>3</v>
      </c>
      <c r="AD263">
        <v>0</v>
      </c>
      <c r="AE263">
        <v>9</v>
      </c>
      <c r="AF263" t="s">
        <v>138</v>
      </c>
      <c r="AG263">
        <v>0</v>
      </c>
      <c r="AH263">
        <v>3</v>
      </c>
      <c r="AI263">
        <v>1</v>
      </c>
      <c r="AJ263">
        <v>0</v>
      </c>
      <c r="AK263" t="s">
        <v>223</v>
      </c>
      <c r="AL263">
        <v>38.955781000000002</v>
      </c>
      <c r="AM263" t="s">
        <v>224</v>
      </c>
      <c r="AN263">
        <v>-121.06785499999999</v>
      </c>
      <c r="AO263">
        <v>25</v>
      </c>
      <c r="AP263">
        <v>1900</v>
      </c>
      <c r="AQ263" t="s">
        <v>131</v>
      </c>
      <c r="AR263">
        <v>72</v>
      </c>
      <c r="AS263">
        <v>3</v>
      </c>
      <c r="AT263">
        <v>512</v>
      </c>
      <c r="BB263" t="str">
        <f t="shared" si="104"/>
        <v>1200</v>
      </c>
      <c r="BC263">
        <v>1</v>
      </c>
      <c r="BD263" t="str">
        <f t="shared" si="105"/>
        <v xml:space="preserve">N52156  </v>
      </c>
      <c r="BE263">
        <v>1</v>
      </c>
      <c r="BG263">
        <v>0</v>
      </c>
      <c r="BH263">
        <v>0</v>
      </c>
      <c r="BI263">
        <v>0</v>
      </c>
      <c r="BJ263">
        <v>1800</v>
      </c>
      <c r="BK263">
        <v>-100</v>
      </c>
      <c r="BL263" t="s">
        <v>188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 t="shared" si="107"/>
        <v>15:05:15.456</v>
      </c>
      <c r="CF263">
        <v>455693265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5</v>
      </c>
      <c r="CY263">
        <v>7</v>
      </c>
      <c r="CZ263" t="s">
        <v>133</v>
      </c>
      <c r="DA263">
        <v>275</v>
      </c>
      <c r="DB263">
        <v>0</v>
      </c>
      <c r="DC263" t="s">
        <v>134</v>
      </c>
      <c r="DD263" t="s">
        <v>135</v>
      </c>
      <c r="DG263">
        <v>3318033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"05/01/2025 15:05:15.695"</f>
        <v>05/01/2025 15:05:15.695</v>
      </c>
      <c r="C264" t="str">
        <f t="shared" si="102"/>
        <v>FFDFD3C0</v>
      </c>
      <c r="D264" t="s">
        <v>124</v>
      </c>
      <c r="E264" t="str">
        <f>"06"</f>
        <v>06</v>
      </c>
      <c r="F264">
        <v>2006</v>
      </c>
      <c r="G264" t="s">
        <v>125</v>
      </c>
      <c r="J264" t="s">
        <v>126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R264" t="s">
        <v>127</v>
      </c>
      <c r="S264" t="str">
        <f t="shared" si="106"/>
        <v>15:05:15.000</v>
      </c>
      <c r="T264" t="str">
        <f t="shared" si="106"/>
        <v>15:05:15.000</v>
      </c>
      <c r="U264" t="str">
        <f t="shared" si="103"/>
        <v>A68FCB</v>
      </c>
      <c r="V264">
        <v>0</v>
      </c>
      <c r="W264">
        <v>0</v>
      </c>
      <c r="X264">
        <v>2</v>
      </c>
      <c r="Y264">
        <v>0</v>
      </c>
      <c r="AA264">
        <v>1</v>
      </c>
      <c r="AB264">
        <v>8</v>
      </c>
      <c r="AC264">
        <v>3</v>
      </c>
      <c r="AD264">
        <v>0</v>
      </c>
      <c r="AE264">
        <v>9</v>
      </c>
      <c r="AF264" t="s">
        <v>138</v>
      </c>
      <c r="AG264">
        <v>0</v>
      </c>
      <c r="AH264">
        <v>3</v>
      </c>
      <c r="AI264">
        <v>1</v>
      </c>
      <c r="AJ264">
        <v>0</v>
      </c>
      <c r="AK264" t="s">
        <v>223</v>
      </c>
      <c r="AL264">
        <v>38.955781000000002</v>
      </c>
      <c r="AM264" t="s">
        <v>224</v>
      </c>
      <c r="AN264">
        <v>-121.06785499999999</v>
      </c>
      <c r="AO264">
        <v>25</v>
      </c>
      <c r="AP264">
        <v>1900</v>
      </c>
      <c r="AQ264" t="s">
        <v>131</v>
      </c>
      <c r="AR264">
        <v>72</v>
      </c>
      <c r="AS264">
        <v>3</v>
      </c>
      <c r="AT264">
        <v>512</v>
      </c>
      <c r="BB264" t="str">
        <f t="shared" si="104"/>
        <v>1200</v>
      </c>
      <c r="BC264">
        <v>1</v>
      </c>
      <c r="BD264" t="str">
        <f t="shared" si="105"/>
        <v xml:space="preserve">N52156  </v>
      </c>
      <c r="BE264">
        <v>1</v>
      </c>
      <c r="BG264">
        <v>0</v>
      </c>
      <c r="BH264">
        <v>0</v>
      </c>
      <c r="BI264">
        <v>0</v>
      </c>
      <c r="BJ264">
        <v>1800</v>
      </c>
      <c r="BK264">
        <v>-100</v>
      </c>
      <c r="BL264" t="s">
        <v>188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 t="shared" si="107"/>
        <v>15:05:15.456</v>
      </c>
      <c r="CF264">
        <v>455693265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5</v>
      </c>
      <c r="CY264">
        <v>7</v>
      </c>
      <c r="CZ264" t="s">
        <v>133</v>
      </c>
      <c r="DA264">
        <v>275</v>
      </c>
      <c r="DB264">
        <v>0</v>
      </c>
      <c r="DC264" t="s">
        <v>134</v>
      </c>
      <c r="DD264" t="s">
        <v>135</v>
      </c>
      <c r="DG264">
        <v>3318033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"05/01/2025 15:05:15.703"</f>
        <v>05/01/2025 15:05:15.703</v>
      </c>
      <c r="C265" t="str">
        <f t="shared" si="102"/>
        <v>FFDFD3C0</v>
      </c>
      <c r="D265" t="s">
        <v>136</v>
      </c>
      <c r="E265" t="str">
        <f>"20"</f>
        <v>20</v>
      </c>
      <c r="H265">
        <v>400</v>
      </c>
      <c r="I265" t="s">
        <v>137</v>
      </c>
      <c r="J265" t="s">
        <v>138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R265" t="s">
        <v>127</v>
      </c>
      <c r="S265" t="str">
        <f t="shared" si="106"/>
        <v>15:05:15.000</v>
      </c>
      <c r="T265" t="str">
        <f t="shared" si="106"/>
        <v>15:05:15.000</v>
      </c>
      <c r="U265" t="str">
        <f t="shared" si="103"/>
        <v>A68FCB</v>
      </c>
      <c r="V265">
        <v>0</v>
      </c>
      <c r="W265">
        <v>0</v>
      </c>
      <c r="X265">
        <v>2</v>
      </c>
      <c r="Y265">
        <v>0</v>
      </c>
      <c r="AA265">
        <v>1</v>
      </c>
      <c r="AB265">
        <v>8</v>
      </c>
      <c r="AC265">
        <v>3</v>
      </c>
      <c r="AD265">
        <v>0</v>
      </c>
      <c r="AE265">
        <v>9</v>
      </c>
      <c r="AF265" t="s">
        <v>138</v>
      </c>
      <c r="AG265">
        <v>0</v>
      </c>
      <c r="AH265">
        <v>3</v>
      </c>
      <c r="AI265">
        <v>1</v>
      </c>
      <c r="AJ265">
        <v>0</v>
      </c>
      <c r="AK265" t="s">
        <v>223</v>
      </c>
      <c r="AL265">
        <v>38.955781000000002</v>
      </c>
      <c r="AM265" t="s">
        <v>224</v>
      </c>
      <c r="AN265">
        <v>-121.06785499999999</v>
      </c>
      <c r="AO265">
        <v>25</v>
      </c>
      <c r="AP265">
        <v>1900</v>
      </c>
      <c r="AQ265" t="s">
        <v>131</v>
      </c>
      <c r="AR265">
        <v>72</v>
      </c>
      <c r="AS265">
        <v>3</v>
      </c>
      <c r="AT265">
        <v>512</v>
      </c>
      <c r="BB265" t="str">
        <f t="shared" si="104"/>
        <v>1200</v>
      </c>
      <c r="BC265">
        <v>1</v>
      </c>
      <c r="BD265" t="str">
        <f t="shared" si="105"/>
        <v xml:space="preserve">N52156  </v>
      </c>
      <c r="BE265">
        <v>1</v>
      </c>
      <c r="BG265">
        <v>0</v>
      </c>
      <c r="BH265">
        <v>0</v>
      </c>
      <c r="BI265">
        <v>0</v>
      </c>
      <c r="BJ265">
        <v>1800</v>
      </c>
      <c r="BK265">
        <v>-100</v>
      </c>
      <c r="BL265" t="s">
        <v>188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 t="shared" si="107"/>
        <v>15:05:15.456</v>
      </c>
      <c r="CF265">
        <v>455693265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5</v>
      </c>
      <c r="CY265">
        <v>7</v>
      </c>
      <c r="CZ265" t="s">
        <v>133</v>
      </c>
      <c r="DA265">
        <v>275</v>
      </c>
      <c r="DB265">
        <v>0</v>
      </c>
      <c r="DC265" t="s">
        <v>134</v>
      </c>
      <c r="DD265" t="s">
        <v>135</v>
      </c>
      <c r="DG265">
        <v>3318033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"05/01/2025 15:05:16.533"</f>
        <v>05/01/2025 15:05:16.533</v>
      </c>
      <c r="C266" t="str">
        <f t="shared" si="102"/>
        <v>FFDFD3C0</v>
      </c>
      <c r="D266" t="s">
        <v>140</v>
      </c>
      <c r="E266" t="str">
        <f>"13"</f>
        <v>13</v>
      </c>
      <c r="F266">
        <v>1019</v>
      </c>
      <c r="G266" t="s">
        <v>141</v>
      </c>
      <c r="J266" t="s">
        <v>142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R266" t="s">
        <v>127</v>
      </c>
      <c r="S266" t="str">
        <f t="shared" ref="S266:T271" si="108">"15:05:16.000"</f>
        <v>15:05:16.000</v>
      </c>
      <c r="T266" t="str">
        <f t="shared" si="108"/>
        <v>15:05:16.000</v>
      </c>
      <c r="U266" t="str">
        <f t="shared" si="103"/>
        <v>A68FCB</v>
      </c>
      <c r="V266">
        <v>0</v>
      </c>
      <c r="W266">
        <v>0</v>
      </c>
      <c r="X266">
        <v>2</v>
      </c>
      <c r="Y266">
        <v>0</v>
      </c>
      <c r="AA266">
        <v>1</v>
      </c>
      <c r="AB266">
        <v>8</v>
      </c>
      <c r="AC266">
        <v>3</v>
      </c>
      <c r="AD266">
        <v>0</v>
      </c>
      <c r="AE266">
        <v>9</v>
      </c>
      <c r="AF266" t="s">
        <v>138</v>
      </c>
      <c r="AG266">
        <v>0</v>
      </c>
      <c r="AH266">
        <v>3</v>
      </c>
      <c r="AI266">
        <v>1</v>
      </c>
      <c r="AJ266">
        <v>0</v>
      </c>
      <c r="AK266" t="s">
        <v>225</v>
      </c>
      <c r="AL266">
        <v>38.955910000000003</v>
      </c>
      <c r="AM266" t="s">
        <v>226</v>
      </c>
      <c r="AN266">
        <v>-121.067319</v>
      </c>
      <c r="AO266">
        <v>25</v>
      </c>
      <c r="AP266">
        <v>1900</v>
      </c>
      <c r="AQ266" t="s">
        <v>131</v>
      </c>
      <c r="AR266">
        <v>73</v>
      </c>
      <c r="AS266">
        <v>3</v>
      </c>
      <c r="AT266">
        <v>384</v>
      </c>
      <c r="BB266" t="str">
        <f t="shared" si="104"/>
        <v>1200</v>
      </c>
      <c r="BC266">
        <v>1</v>
      </c>
      <c r="BD266" t="str">
        <f t="shared" si="105"/>
        <v xml:space="preserve">N52156  </v>
      </c>
      <c r="BE266">
        <v>1</v>
      </c>
      <c r="BG266">
        <v>0</v>
      </c>
      <c r="BH266">
        <v>0</v>
      </c>
      <c r="BI266">
        <v>0</v>
      </c>
      <c r="BJ266">
        <v>1800</v>
      </c>
      <c r="BK266">
        <v>-100</v>
      </c>
      <c r="BL266" t="s">
        <v>188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 t="shared" ref="CE266:CE271" si="109">"15:05:16.293"</f>
        <v>15:05:16.293</v>
      </c>
      <c r="CF266">
        <v>292942963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5</v>
      </c>
      <c r="CY266">
        <v>7</v>
      </c>
      <c r="CZ266" t="s">
        <v>133</v>
      </c>
      <c r="DA266">
        <v>275</v>
      </c>
      <c r="DB266">
        <v>0</v>
      </c>
      <c r="DC266" t="s">
        <v>134</v>
      </c>
      <c r="DD266" t="s">
        <v>135</v>
      </c>
      <c r="DG266">
        <v>3318042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"05/01/2025 15:05:16.537"</f>
        <v>05/01/2025 15:05:16.537</v>
      </c>
      <c r="C267" t="str">
        <f t="shared" si="102"/>
        <v>FFDFD3C0</v>
      </c>
      <c r="D267" t="s">
        <v>143</v>
      </c>
      <c r="E267" t="str">
        <f>"05"</f>
        <v>05</v>
      </c>
      <c r="H267">
        <v>172</v>
      </c>
      <c r="I267" t="s">
        <v>141</v>
      </c>
      <c r="J267" t="s">
        <v>144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R267" t="s">
        <v>127</v>
      </c>
      <c r="S267" t="str">
        <f t="shared" si="108"/>
        <v>15:05:16.000</v>
      </c>
      <c r="T267" t="str">
        <f t="shared" si="108"/>
        <v>15:05:16.000</v>
      </c>
      <c r="U267" t="str">
        <f t="shared" si="103"/>
        <v>A68FCB</v>
      </c>
      <c r="V267">
        <v>0</v>
      </c>
      <c r="W267">
        <v>0</v>
      </c>
      <c r="X267">
        <v>2</v>
      </c>
      <c r="Y267">
        <v>0</v>
      </c>
      <c r="AA267">
        <v>1</v>
      </c>
      <c r="AB267">
        <v>8</v>
      </c>
      <c r="AC267">
        <v>3</v>
      </c>
      <c r="AD267">
        <v>0</v>
      </c>
      <c r="AE267">
        <v>9</v>
      </c>
      <c r="AF267" t="s">
        <v>138</v>
      </c>
      <c r="AG267">
        <v>0</v>
      </c>
      <c r="AH267">
        <v>3</v>
      </c>
      <c r="AI267">
        <v>1</v>
      </c>
      <c r="AJ267">
        <v>0</v>
      </c>
      <c r="AK267" t="s">
        <v>225</v>
      </c>
      <c r="AL267">
        <v>38.955910000000003</v>
      </c>
      <c r="AM267" t="s">
        <v>226</v>
      </c>
      <c r="AN267">
        <v>-121.067319</v>
      </c>
      <c r="AO267">
        <v>25</v>
      </c>
      <c r="AP267">
        <v>1900</v>
      </c>
      <c r="AQ267" t="s">
        <v>131</v>
      </c>
      <c r="AR267">
        <v>73</v>
      </c>
      <c r="AS267">
        <v>3</v>
      </c>
      <c r="AT267">
        <v>384</v>
      </c>
      <c r="BB267" t="str">
        <f t="shared" si="104"/>
        <v>1200</v>
      </c>
      <c r="BC267">
        <v>1</v>
      </c>
      <c r="BD267" t="str">
        <f t="shared" si="105"/>
        <v xml:space="preserve">N52156  </v>
      </c>
      <c r="BE267">
        <v>1</v>
      </c>
      <c r="BG267">
        <v>0</v>
      </c>
      <c r="BH267">
        <v>0</v>
      </c>
      <c r="BI267">
        <v>0</v>
      </c>
      <c r="BJ267">
        <v>1800</v>
      </c>
      <c r="BK267">
        <v>-100</v>
      </c>
      <c r="BL267" t="s">
        <v>188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 t="shared" si="109"/>
        <v>15:05:16.293</v>
      </c>
      <c r="CF267">
        <v>292942963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5</v>
      </c>
      <c r="CY267">
        <v>7</v>
      </c>
      <c r="CZ267" t="s">
        <v>133</v>
      </c>
      <c r="DA267">
        <v>275</v>
      </c>
      <c r="DB267">
        <v>0</v>
      </c>
      <c r="DC267" t="s">
        <v>134</v>
      </c>
      <c r="DD267" t="s">
        <v>135</v>
      </c>
      <c r="DG267">
        <v>3318042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"05/01/2025 15:05:16.542"</f>
        <v>05/01/2025 15:05:16.542</v>
      </c>
      <c r="C268" t="str">
        <f t="shared" si="102"/>
        <v>FFDFD3C0</v>
      </c>
      <c r="D268" t="s">
        <v>145</v>
      </c>
      <c r="E268" t="str">
        <f>"09"</f>
        <v>09</v>
      </c>
      <c r="H268">
        <v>51</v>
      </c>
      <c r="I268" t="s">
        <v>147</v>
      </c>
      <c r="J268" t="s">
        <v>138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R268" t="s">
        <v>127</v>
      </c>
      <c r="S268" t="str">
        <f t="shared" si="108"/>
        <v>15:05:16.000</v>
      </c>
      <c r="T268" t="str">
        <f t="shared" si="108"/>
        <v>15:05:16.000</v>
      </c>
      <c r="U268" t="str">
        <f t="shared" si="103"/>
        <v>A68FCB</v>
      </c>
      <c r="V268">
        <v>0</v>
      </c>
      <c r="W268">
        <v>0</v>
      </c>
      <c r="X268">
        <v>2</v>
      </c>
      <c r="Y268">
        <v>0</v>
      </c>
      <c r="AA268">
        <v>1</v>
      </c>
      <c r="AB268">
        <v>8</v>
      </c>
      <c r="AC268">
        <v>3</v>
      </c>
      <c r="AD268">
        <v>0</v>
      </c>
      <c r="AE268">
        <v>9</v>
      </c>
      <c r="AF268" t="s">
        <v>138</v>
      </c>
      <c r="AG268">
        <v>0</v>
      </c>
      <c r="AH268">
        <v>3</v>
      </c>
      <c r="AI268">
        <v>1</v>
      </c>
      <c r="AJ268">
        <v>0</v>
      </c>
      <c r="AK268" t="s">
        <v>225</v>
      </c>
      <c r="AL268">
        <v>38.955910000000003</v>
      </c>
      <c r="AM268" t="s">
        <v>226</v>
      </c>
      <c r="AN268">
        <v>-121.067319</v>
      </c>
      <c r="AO268">
        <v>25</v>
      </c>
      <c r="AP268">
        <v>1900</v>
      </c>
      <c r="AQ268" t="s">
        <v>131</v>
      </c>
      <c r="AR268">
        <v>73</v>
      </c>
      <c r="AS268">
        <v>3</v>
      </c>
      <c r="AT268">
        <v>384</v>
      </c>
      <c r="BB268" t="str">
        <f t="shared" si="104"/>
        <v>1200</v>
      </c>
      <c r="BC268">
        <v>1</v>
      </c>
      <c r="BD268" t="str">
        <f t="shared" si="105"/>
        <v xml:space="preserve">N52156  </v>
      </c>
      <c r="BE268">
        <v>1</v>
      </c>
      <c r="BG268">
        <v>0</v>
      </c>
      <c r="BH268">
        <v>0</v>
      </c>
      <c r="BI268">
        <v>0</v>
      </c>
      <c r="BJ268">
        <v>1800</v>
      </c>
      <c r="BK268">
        <v>-100</v>
      </c>
      <c r="BL268" t="s">
        <v>188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 t="shared" si="109"/>
        <v>15:05:16.293</v>
      </c>
      <c r="CF268">
        <v>292942963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133</v>
      </c>
      <c r="DA268">
        <v>275</v>
      </c>
      <c r="DB268">
        <v>0</v>
      </c>
      <c r="DC268" t="s">
        <v>134</v>
      </c>
      <c r="DD268" t="s">
        <v>135</v>
      </c>
      <c r="DG268">
        <v>3318042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"05/01/2025 15:05:16.542"</f>
        <v>05/01/2025 15:05:16.542</v>
      </c>
      <c r="C269" t="str">
        <f t="shared" si="102"/>
        <v>FFDFD3C0</v>
      </c>
      <c r="D269" t="s">
        <v>145</v>
      </c>
      <c r="E269" t="str">
        <f>"05"</f>
        <v>05</v>
      </c>
      <c r="H269">
        <v>47</v>
      </c>
      <c r="I269" t="s">
        <v>146</v>
      </c>
      <c r="J269" t="s">
        <v>138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R269" t="s">
        <v>127</v>
      </c>
      <c r="S269" t="str">
        <f t="shared" si="108"/>
        <v>15:05:16.000</v>
      </c>
      <c r="T269" t="str">
        <f t="shared" si="108"/>
        <v>15:05:16.000</v>
      </c>
      <c r="U269" t="str">
        <f t="shared" si="103"/>
        <v>A68FCB</v>
      </c>
      <c r="V269">
        <v>0</v>
      </c>
      <c r="W269">
        <v>0</v>
      </c>
      <c r="X269">
        <v>2</v>
      </c>
      <c r="Y269">
        <v>0</v>
      </c>
      <c r="AA269">
        <v>1</v>
      </c>
      <c r="AB269">
        <v>8</v>
      </c>
      <c r="AC269">
        <v>3</v>
      </c>
      <c r="AD269">
        <v>0</v>
      </c>
      <c r="AE269">
        <v>9</v>
      </c>
      <c r="AF269" t="s">
        <v>138</v>
      </c>
      <c r="AG269">
        <v>0</v>
      </c>
      <c r="AH269">
        <v>3</v>
      </c>
      <c r="AI269">
        <v>1</v>
      </c>
      <c r="AJ269">
        <v>0</v>
      </c>
      <c r="AK269" t="s">
        <v>225</v>
      </c>
      <c r="AL269">
        <v>38.955910000000003</v>
      </c>
      <c r="AM269" t="s">
        <v>226</v>
      </c>
      <c r="AN269">
        <v>-121.067319</v>
      </c>
      <c r="AO269">
        <v>25</v>
      </c>
      <c r="AP269">
        <v>1900</v>
      </c>
      <c r="AQ269" t="s">
        <v>131</v>
      </c>
      <c r="AR269">
        <v>73</v>
      </c>
      <c r="AS269">
        <v>3</v>
      </c>
      <c r="AT269">
        <v>384</v>
      </c>
      <c r="BB269" t="str">
        <f t="shared" si="104"/>
        <v>1200</v>
      </c>
      <c r="BC269">
        <v>1</v>
      </c>
      <c r="BD269" t="str">
        <f t="shared" si="105"/>
        <v xml:space="preserve">N52156  </v>
      </c>
      <c r="BE269">
        <v>1</v>
      </c>
      <c r="BG269">
        <v>0</v>
      </c>
      <c r="BH269">
        <v>0</v>
      </c>
      <c r="BI269">
        <v>0</v>
      </c>
      <c r="BJ269">
        <v>1800</v>
      </c>
      <c r="BK269">
        <v>-100</v>
      </c>
      <c r="BL269" t="s">
        <v>188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 t="shared" si="109"/>
        <v>15:05:16.293</v>
      </c>
      <c r="CF269">
        <v>292942963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133</v>
      </c>
      <c r="DA269">
        <v>275</v>
      </c>
      <c r="DB269">
        <v>0</v>
      </c>
      <c r="DC269" t="s">
        <v>134</v>
      </c>
      <c r="DD269" t="s">
        <v>135</v>
      </c>
      <c r="DG269">
        <v>3318042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"05/01/2025 15:05:16.546"</f>
        <v>05/01/2025 15:05:16.546</v>
      </c>
      <c r="C270" t="str">
        <f t="shared" si="102"/>
        <v>FFDFD3C0</v>
      </c>
      <c r="D270" t="s">
        <v>124</v>
      </c>
      <c r="E270" t="str">
        <f>"06"</f>
        <v>06</v>
      </c>
      <c r="F270">
        <v>2006</v>
      </c>
      <c r="G270" t="s">
        <v>125</v>
      </c>
      <c r="J270" t="s">
        <v>126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R270" t="s">
        <v>127</v>
      </c>
      <c r="S270" t="str">
        <f t="shared" si="108"/>
        <v>15:05:16.000</v>
      </c>
      <c r="T270" t="str">
        <f t="shared" si="108"/>
        <v>15:05:16.000</v>
      </c>
      <c r="U270" t="str">
        <f t="shared" si="103"/>
        <v>A68FCB</v>
      </c>
      <c r="V270">
        <v>0</v>
      </c>
      <c r="W270">
        <v>0</v>
      </c>
      <c r="X270">
        <v>2</v>
      </c>
      <c r="Y270">
        <v>0</v>
      </c>
      <c r="AA270">
        <v>1</v>
      </c>
      <c r="AB270">
        <v>8</v>
      </c>
      <c r="AC270">
        <v>3</v>
      </c>
      <c r="AD270">
        <v>0</v>
      </c>
      <c r="AE270">
        <v>9</v>
      </c>
      <c r="AF270" t="s">
        <v>138</v>
      </c>
      <c r="AG270">
        <v>0</v>
      </c>
      <c r="AH270">
        <v>3</v>
      </c>
      <c r="AI270">
        <v>1</v>
      </c>
      <c r="AJ270">
        <v>0</v>
      </c>
      <c r="AK270" t="s">
        <v>225</v>
      </c>
      <c r="AL270">
        <v>38.955910000000003</v>
      </c>
      <c r="AM270" t="s">
        <v>226</v>
      </c>
      <c r="AN270">
        <v>-121.067319</v>
      </c>
      <c r="AO270">
        <v>25</v>
      </c>
      <c r="AP270">
        <v>1900</v>
      </c>
      <c r="AQ270" t="s">
        <v>131</v>
      </c>
      <c r="AR270">
        <v>73</v>
      </c>
      <c r="AS270">
        <v>3</v>
      </c>
      <c r="AT270">
        <v>384</v>
      </c>
      <c r="BB270" t="str">
        <f t="shared" si="104"/>
        <v>1200</v>
      </c>
      <c r="BC270">
        <v>1</v>
      </c>
      <c r="BD270" t="str">
        <f t="shared" si="105"/>
        <v xml:space="preserve">N52156  </v>
      </c>
      <c r="BE270">
        <v>1</v>
      </c>
      <c r="BG270">
        <v>0</v>
      </c>
      <c r="BH270">
        <v>0</v>
      </c>
      <c r="BI270">
        <v>0</v>
      </c>
      <c r="BJ270">
        <v>1800</v>
      </c>
      <c r="BK270">
        <v>-100</v>
      </c>
      <c r="BL270" t="s">
        <v>188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 t="shared" si="109"/>
        <v>15:05:16.293</v>
      </c>
      <c r="CF270">
        <v>292942963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5</v>
      </c>
      <c r="CY270">
        <v>7</v>
      </c>
      <c r="CZ270" t="s">
        <v>133</v>
      </c>
      <c r="DA270">
        <v>275</v>
      </c>
      <c r="DB270">
        <v>0</v>
      </c>
      <c r="DC270" t="s">
        <v>134</v>
      </c>
      <c r="DD270" t="s">
        <v>135</v>
      </c>
      <c r="DG270">
        <v>3318042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"05/01/2025 15:05:16.554"</f>
        <v>05/01/2025 15:05:16.554</v>
      </c>
      <c r="C271" t="str">
        <f t="shared" si="102"/>
        <v>FFDFD3C0</v>
      </c>
      <c r="D271" t="s">
        <v>136</v>
      </c>
      <c r="E271" t="str">
        <f>"20"</f>
        <v>20</v>
      </c>
      <c r="H271">
        <v>400</v>
      </c>
      <c r="I271" t="s">
        <v>137</v>
      </c>
      <c r="J271" t="s">
        <v>138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R271" t="s">
        <v>127</v>
      </c>
      <c r="S271" t="str">
        <f t="shared" si="108"/>
        <v>15:05:16.000</v>
      </c>
      <c r="T271" t="str">
        <f t="shared" si="108"/>
        <v>15:05:16.000</v>
      </c>
      <c r="U271" t="str">
        <f t="shared" si="103"/>
        <v>A68FCB</v>
      </c>
      <c r="V271">
        <v>0</v>
      </c>
      <c r="W271">
        <v>0</v>
      </c>
      <c r="X271">
        <v>2</v>
      </c>
      <c r="Y271">
        <v>0</v>
      </c>
      <c r="AA271">
        <v>1</v>
      </c>
      <c r="AB271">
        <v>8</v>
      </c>
      <c r="AC271">
        <v>3</v>
      </c>
      <c r="AD271">
        <v>0</v>
      </c>
      <c r="AE271">
        <v>9</v>
      </c>
      <c r="AF271" t="s">
        <v>138</v>
      </c>
      <c r="AG271">
        <v>0</v>
      </c>
      <c r="AH271">
        <v>3</v>
      </c>
      <c r="AI271">
        <v>1</v>
      </c>
      <c r="AJ271">
        <v>0</v>
      </c>
      <c r="AK271" t="s">
        <v>225</v>
      </c>
      <c r="AL271">
        <v>38.955910000000003</v>
      </c>
      <c r="AM271" t="s">
        <v>226</v>
      </c>
      <c r="AN271">
        <v>-121.067319</v>
      </c>
      <c r="AO271">
        <v>25</v>
      </c>
      <c r="AP271">
        <v>1900</v>
      </c>
      <c r="AQ271" t="s">
        <v>131</v>
      </c>
      <c r="AR271">
        <v>73</v>
      </c>
      <c r="AS271">
        <v>3</v>
      </c>
      <c r="AT271">
        <v>384</v>
      </c>
      <c r="BB271" t="str">
        <f t="shared" si="104"/>
        <v>1200</v>
      </c>
      <c r="BC271">
        <v>1</v>
      </c>
      <c r="BD271" t="str">
        <f t="shared" si="105"/>
        <v xml:space="preserve">N52156  </v>
      </c>
      <c r="BE271">
        <v>1</v>
      </c>
      <c r="BG271">
        <v>0</v>
      </c>
      <c r="BH271">
        <v>0</v>
      </c>
      <c r="BI271">
        <v>0</v>
      </c>
      <c r="BJ271">
        <v>1800</v>
      </c>
      <c r="BK271">
        <v>-100</v>
      </c>
      <c r="BL271" t="s">
        <v>188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 t="shared" si="109"/>
        <v>15:05:16.293</v>
      </c>
      <c r="CF271">
        <v>292942963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133</v>
      </c>
      <c r="DA271">
        <v>275</v>
      </c>
      <c r="DB271">
        <v>0</v>
      </c>
      <c r="DC271" t="s">
        <v>134</v>
      </c>
      <c r="DD271" t="s">
        <v>135</v>
      </c>
      <c r="DG271">
        <v>3318042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"05/01/2025 15:05:17.844"</f>
        <v>05/01/2025 15:05:17.844</v>
      </c>
      <c r="C272" t="str">
        <f t="shared" si="102"/>
        <v>FFDFD3C0</v>
      </c>
      <c r="D272" t="s">
        <v>145</v>
      </c>
      <c r="E272" t="str">
        <f>"05"</f>
        <v>05</v>
      </c>
      <c r="H272">
        <v>47</v>
      </c>
      <c r="I272" t="s">
        <v>146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R272" t="s">
        <v>127</v>
      </c>
      <c r="S272" t="str">
        <f t="shared" ref="S272:T277" si="110">"15:05:17.000"</f>
        <v>15:05:17.000</v>
      </c>
      <c r="T272" t="str">
        <f t="shared" si="110"/>
        <v>15:05:17.000</v>
      </c>
      <c r="U272" t="str">
        <f t="shared" si="103"/>
        <v>A68FCB</v>
      </c>
      <c r="V272">
        <v>0</v>
      </c>
      <c r="W272">
        <v>0</v>
      </c>
      <c r="X272">
        <v>2</v>
      </c>
      <c r="Y272">
        <v>0</v>
      </c>
      <c r="AA272">
        <v>1</v>
      </c>
      <c r="AB272">
        <v>8</v>
      </c>
      <c r="AC272">
        <v>3</v>
      </c>
      <c r="AD272">
        <v>0</v>
      </c>
      <c r="AE272">
        <v>9</v>
      </c>
      <c r="AF272" t="s">
        <v>138</v>
      </c>
      <c r="AG272">
        <v>0</v>
      </c>
      <c r="AH272">
        <v>3</v>
      </c>
      <c r="AI272">
        <v>1</v>
      </c>
      <c r="AJ272">
        <v>0</v>
      </c>
      <c r="AK272" t="s">
        <v>227</v>
      </c>
      <c r="AL272">
        <v>38.955803000000003</v>
      </c>
      <c r="AM272" t="s">
        <v>228</v>
      </c>
      <c r="AN272">
        <v>-121.066976</v>
      </c>
      <c r="AO272">
        <v>25</v>
      </c>
      <c r="AP272">
        <v>1900</v>
      </c>
      <c r="AQ272" t="s">
        <v>131</v>
      </c>
      <c r="AR272">
        <v>74</v>
      </c>
      <c r="AS272">
        <v>3</v>
      </c>
      <c r="AT272">
        <v>384</v>
      </c>
      <c r="BB272" t="str">
        <f t="shared" si="104"/>
        <v>1200</v>
      </c>
      <c r="BC272">
        <v>1</v>
      </c>
      <c r="BD272" t="str">
        <f t="shared" si="105"/>
        <v xml:space="preserve">N52156  </v>
      </c>
      <c r="BE272">
        <v>1</v>
      </c>
      <c r="BG272">
        <v>0</v>
      </c>
      <c r="BH272">
        <v>0</v>
      </c>
      <c r="BI272">
        <v>0</v>
      </c>
      <c r="BJ272">
        <v>1800</v>
      </c>
      <c r="BK272">
        <v>-100</v>
      </c>
      <c r="BL272" t="s">
        <v>188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 t="shared" ref="CE272:CE277" si="111">"15:05:17.632"</f>
        <v>15:05:17.632</v>
      </c>
      <c r="CF272">
        <v>632193928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133</v>
      </c>
      <c r="DA272">
        <v>275</v>
      </c>
      <c r="DB272">
        <v>0</v>
      </c>
      <c r="DC272" t="s">
        <v>134</v>
      </c>
      <c r="DD272" t="s">
        <v>135</v>
      </c>
      <c r="DG272">
        <v>3318054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"05/01/2025 15:05:17.845"</f>
        <v>05/01/2025 15:05:17.845</v>
      </c>
      <c r="C273" t="str">
        <f t="shared" si="102"/>
        <v>FFDFD3C0</v>
      </c>
      <c r="D273" t="s">
        <v>145</v>
      </c>
      <c r="E273" t="str">
        <f>"09"</f>
        <v>09</v>
      </c>
      <c r="H273">
        <v>51</v>
      </c>
      <c r="I273" t="s">
        <v>147</v>
      </c>
      <c r="J273" t="s">
        <v>138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R273" t="s">
        <v>127</v>
      </c>
      <c r="S273" t="str">
        <f t="shared" si="110"/>
        <v>15:05:17.000</v>
      </c>
      <c r="T273" t="str">
        <f t="shared" si="110"/>
        <v>15:05:17.000</v>
      </c>
      <c r="U273" t="str">
        <f t="shared" si="103"/>
        <v>A68FCB</v>
      </c>
      <c r="V273">
        <v>0</v>
      </c>
      <c r="W273">
        <v>0</v>
      </c>
      <c r="X273">
        <v>2</v>
      </c>
      <c r="Y273">
        <v>0</v>
      </c>
      <c r="AA273">
        <v>1</v>
      </c>
      <c r="AB273">
        <v>8</v>
      </c>
      <c r="AC273">
        <v>3</v>
      </c>
      <c r="AD273">
        <v>0</v>
      </c>
      <c r="AE273">
        <v>9</v>
      </c>
      <c r="AF273" t="s">
        <v>138</v>
      </c>
      <c r="AG273">
        <v>0</v>
      </c>
      <c r="AH273">
        <v>3</v>
      </c>
      <c r="AI273">
        <v>1</v>
      </c>
      <c r="AJ273">
        <v>0</v>
      </c>
      <c r="AK273" t="s">
        <v>227</v>
      </c>
      <c r="AL273">
        <v>38.955803000000003</v>
      </c>
      <c r="AM273" t="s">
        <v>228</v>
      </c>
      <c r="AN273">
        <v>-121.066976</v>
      </c>
      <c r="AO273">
        <v>25</v>
      </c>
      <c r="AP273">
        <v>1900</v>
      </c>
      <c r="AQ273" t="s">
        <v>131</v>
      </c>
      <c r="AR273">
        <v>74</v>
      </c>
      <c r="AS273">
        <v>3</v>
      </c>
      <c r="AT273">
        <v>384</v>
      </c>
      <c r="BB273" t="str">
        <f t="shared" si="104"/>
        <v>1200</v>
      </c>
      <c r="BC273">
        <v>1</v>
      </c>
      <c r="BD273" t="str">
        <f t="shared" si="105"/>
        <v xml:space="preserve">N52156  </v>
      </c>
      <c r="BE273">
        <v>1</v>
      </c>
      <c r="BG273">
        <v>0</v>
      </c>
      <c r="BH273">
        <v>0</v>
      </c>
      <c r="BI273">
        <v>0</v>
      </c>
      <c r="BJ273">
        <v>1800</v>
      </c>
      <c r="BK273">
        <v>-100</v>
      </c>
      <c r="BL273" t="s">
        <v>188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 t="shared" si="111"/>
        <v>15:05:17.632</v>
      </c>
      <c r="CF273">
        <v>632193928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133</v>
      </c>
      <c r="DA273">
        <v>275</v>
      </c>
      <c r="DB273">
        <v>0</v>
      </c>
      <c r="DC273" t="s">
        <v>134</v>
      </c>
      <c r="DD273" t="s">
        <v>135</v>
      </c>
      <c r="DG273">
        <v>3318054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"05/01/2025 15:05:17.849"</f>
        <v>05/01/2025 15:05:17.849</v>
      </c>
      <c r="C274" t="str">
        <f t="shared" si="102"/>
        <v>FFDFD3C0</v>
      </c>
      <c r="D274" t="s">
        <v>124</v>
      </c>
      <c r="E274" t="str">
        <f>"06"</f>
        <v>06</v>
      </c>
      <c r="F274">
        <v>2006</v>
      </c>
      <c r="G274" t="s">
        <v>125</v>
      </c>
      <c r="J274" t="s">
        <v>126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R274" t="s">
        <v>127</v>
      </c>
      <c r="S274" t="str">
        <f t="shared" si="110"/>
        <v>15:05:17.000</v>
      </c>
      <c r="T274" t="str">
        <f t="shared" si="110"/>
        <v>15:05:17.000</v>
      </c>
      <c r="U274" t="str">
        <f t="shared" si="103"/>
        <v>A68FCB</v>
      </c>
      <c r="V274">
        <v>0</v>
      </c>
      <c r="W274">
        <v>0</v>
      </c>
      <c r="X274">
        <v>2</v>
      </c>
      <c r="Y274">
        <v>0</v>
      </c>
      <c r="AA274">
        <v>1</v>
      </c>
      <c r="AB274">
        <v>8</v>
      </c>
      <c r="AC274">
        <v>3</v>
      </c>
      <c r="AD274">
        <v>0</v>
      </c>
      <c r="AE274">
        <v>9</v>
      </c>
      <c r="AF274" t="s">
        <v>138</v>
      </c>
      <c r="AG274">
        <v>0</v>
      </c>
      <c r="AH274">
        <v>3</v>
      </c>
      <c r="AI274">
        <v>1</v>
      </c>
      <c r="AJ274">
        <v>0</v>
      </c>
      <c r="AK274" t="s">
        <v>227</v>
      </c>
      <c r="AL274">
        <v>38.955803000000003</v>
      </c>
      <c r="AM274" t="s">
        <v>228</v>
      </c>
      <c r="AN274">
        <v>-121.066976</v>
      </c>
      <c r="AO274">
        <v>25</v>
      </c>
      <c r="AP274">
        <v>1900</v>
      </c>
      <c r="AQ274" t="s">
        <v>131</v>
      </c>
      <c r="AR274">
        <v>74</v>
      </c>
      <c r="AS274">
        <v>3</v>
      </c>
      <c r="AT274">
        <v>384</v>
      </c>
      <c r="BB274" t="str">
        <f t="shared" si="104"/>
        <v>1200</v>
      </c>
      <c r="BC274">
        <v>1</v>
      </c>
      <c r="BD274" t="str">
        <f t="shared" si="105"/>
        <v xml:space="preserve">N52156  </v>
      </c>
      <c r="BE274">
        <v>1</v>
      </c>
      <c r="BG274">
        <v>0</v>
      </c>
      <c r="BH274">
        <v>0</v>
      </c>
      <c r="BI274">
        <v>0</v>
      </c>
      <c r="BJ274">
        <v>1800</v>
      </c>
      <c r="BK274">
        <v>-100</v>
      </c>
      <c r="BL274" t="s">
        <v>188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 t="shared" si="111"/>
        <v>15:05:17.632</v>
      </c>
      <c r="CF274">
        <v>632193928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133</v>
      </c>
      <c r="DA274">
        <v>275</v>
      </c>
      <c r="DB274">
        <v>0</v>
      </c>
      <c r="DC274" t="s">
        <v>134</v>
      </c>
      <c r="DD274" t="s">
        <v>135</v>
      </c>
      <c r="DG274">
        <v>3318054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"05/01/2025 15:05:17.857"</f>
        <v>05/01/2025 15:05:17.857</v>
      </c>
      <c r="C275" t="str">
        <f t="shared" si="102"/>
        <v>FFDFD3C0</v>
      </c>
      <c r="D275" t="s">
        <v>136</v>
      </c>
      <c r="E275" t="str">
        <f>"20"</f>
        <v>20</v>
      </c>
      <c r="H275">
        <v>400</v>
      </c>
      <c r="I275" t="s">
        <v>137</v>
      </c>
      <c r="J275" t="s">
        <v>138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R275" t="s">
        <v>127</v>
      </c>
      <c r="S275" t="str">
        <f t="shared" si="110"/>
        <v>15:05:17.000</v>
      </c>
      <c r="T275" t="str">
        <f t="shared" si="110"/>
        <v>15:05:17.000</v>
      </c>
      <c r="U275" t="str">
        <f t="shared" si="103"/>
        <v>A68FCB</v>
      </c>
      <c r="V275">
        <v>0</v>
      </c>
      <c r="W275">
        <v>0</v>
      </c>
      <c r="X275">
        <v>2</v>
      </c>
      <c r="Y275">
        <v>0</v>
      </c>
      <c r="AA275">
        <v>1</v>
      </c>
      <c r="AB275">
        <v>8</v>
      </c>
      <c r="AC275">
        <v>3</v>
      </c>
      <c r="AD275">
        <v>0</v>
      </c>
      <c r="AE275">
        <v>9</v>
      </c>
      <c r="AF275" t="s">
        <v>138</v>
      </c>
      <c r="AG275">
        <v>0</v>
      </c>
      <c r="AH275">
        <v>3</v>
      </c>
      <c r="AI275">
        <v>1</v>
      </c>
      <c r="AJ275">
        <v>0</v>
      </c>
      <c r="AK275" t="s">
        <v>227</v>
      </c>
      <c r="AL275">
        <v>38.955803000000003</v>
      </c>
      <c r="AM275" t="s">
        <v>228</v>
      </c>
      <c r="AN275">
        <v>-121.066976</v>
      </c>
      <c r="AO275">
        <v>25</v>
      </c>
      <c r="AP275">
        <v>1900</v>
      </c>
      <c r="AQ275" t="s">
        <v>131</v>
      </c>
      <c r="AR275">
        <v>74</v>
      </c>
      <c r="AS275">
        <v>3</v>
      </c>
      <c r="AT275">
        <v>384</v>
      </c>
      <c r="BB275" t="str">
        <f t="shared" si="104"/>
        <v>1200</v>
      </c>
      <c r="BC275">
        <v>1</v>
      </c>
      <c r="BD275" t="str">
        <f t="shared" si="105"/>
        <v xml:space="preserve">N52156  </v>
      </c>
      <c r="BE275">
        <v>1</v>
      </c>
      <c r="BG275">
        <v>0</v>
      </c>
      <c r="BH275">
        <v>0</v>
      </c>
      <c r="BI275">
        <v>0</v>
      </c>
      <c r="BJ275">
        <v>1800</v>
      </c>
      <c r="BK275">
        <v>-100</v>
      </c>
      <c r="BL275" t="s">
        <v>188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 t="shared" si="111"/>
        <v>15:05:17.632</v>
      </c>
      <c r="CF275">
        <v>632193928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133</v>
      </c>
      <c r="DA275">
        <v>275</v>
      </c>
      <c r="DB275">
        <v>0</v>
      </c>
      <c r="DC275" t="s">
        <v>134</v>
      </c>
      <c r="DD275" t="s">
        <v>135</v>
      </c>
      <c r="DG275">
        <v>3318054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"05/01/2025 15:05:17.885"</f>
        <v>05/01/2025 15:05:17.885</v>
      </c>
      <c r="C276" t="str">
        <f t="shared" si="102"/>
        <v>FFDFD3C0</v>
      </c>
      <c r="D276" t="s">
        <v>140</v>
      </c>
      <c r="E276" t="str">
        <f>"13"</f>
        <v>13</v>
      </c>
      <c r="F276">
        <v>1019</v>
      </c>
      <c r="G276" t="s">
        <v>141</v>
      </c>
      <c r="J276" t="s">
        <v>142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R276" t="s">
        <v>127</v>
      </c>
      <c r="S276" t="str">
        <f t="shared" si="110"/>
        <v>15:05:17.000</v>
      </c>
      <c r="T276" t="str">
        <f t="shared" si="110"/>
        <v>15:05:17.000</v>
      </c>
      <c r="U276" t="str">
        <f t="shared" si="103"/>
        <v>A68FCB</v>
      </c>
      <c r="V276">
        <v>0</v>
      </c>
      <c r="W276">
        <v>0</v>
      </c>
      <c r="X276">
        <v>2</v>
      </c>
      <c r="Y276">
        <v>0</v>
      </c>
      <c r="AA276">
        <v>1</v>
      </c>
      <c r="AB276">
        <v>8</v>
      </c>
      <c r="AC276">
        <v>3</v>
      </c>
      <c r="AD276">
        <v>0</v>
      </c>
      <c r="AE276">
        <v>9</v>
      </c>
      <c r="AF276" t="s">
        <v>138</v>
      </c>
      <c r="AG276">
        <v>0</v>
      </c>
      <c r="AH276">
        <v>3</v>
      </c>
      <c r="AI276">
        <v>1</v>
      </c>
      <c r="AJ276">
        <v>0</v>
      </c>
      <c r="AK276" t="s">
        <v>227</v>
      </c>
      <c r="AL276">
        <v>38.955803000000003</v>
      </c>
      <c r="AM276" t="s">
        <v>228</v>
      </c>
      <c r="AN276">
        <v>-121.066976</v>
      </c>
      <c r="AO276">
        <v>25</v>
      </c>
      <c r="AP276">
        <v>1900</v>
      </c>
      <c r="AQ276" t="s">
        <v>131</v>
      </c>
      <c r="AR276">
        <v>74</v>
      </c>
      <c r="AS276">
        <v>3</v>
      </c>
      <c r="AT276">
        <v>384</v>
      </c>
      <c r="BB276" t="str">
        <f t="shared" si="104"/>
        <v>1200</v>
      </c>
      <c r="BC276">
        <v>1</v>
      </c>
      <c r="BD276" t="str">
        <f t="shared" si="105"/>
        <v xml:space="preserve">N52156  </v>
      </c>
      <c r="BE276">
        <v>1</v>
      </c>
      <c r="BG276">
        <v>0</v>
      </c>
      <c r="BH276">
        <v>0</v>
      </c>
      <c r="BI276">
        <v>0</v>
      </c>
      <c r="BJ276">
        <v>1800</v>
      </c>
      <c r="BK276">
        <v>-100</v>
      </c>
      <c r="BL276" t="s">
        <v>188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 t="shared" si="111"/>
        <v>15:05:17.632</v>
      </c>
      <c r="CF276">
        <v>632193928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133</v>
      </c>
      <c r="DA276">
        <v>275</v>
      </c>
      <c r="DB276">
        <v>0</v>
      </c>
      <c r="DC276" t="s">
        <v>134</v>
      </c>
      <c r="DD276" t="s">
        <v>135</v>
      </c>
      <c r="DG276">
        <v>3318054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"05/01/2025 15:05:17.889"</f>
        <v>05/01/2025 15:05:17.889</v>
      </c>
      <c r="C277" t="str">
        <f t="shared" si="102"/>
        <v>FFDFD3C0</v>
      </c>
      <c r="D277" t="s">
        <v>143</v>
      </c>
      <c r="E277" t="str">
        <f>"05"</f>
        <v>05</v>
      </c>
      <c r="H277">
        <v>172</v>
      </c>
      <c r="I277" t="s">
        <v>141</v>
      </c>
      <c r="J277" t="s">
        <v>144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R277" t="s">
        <v>127</v>
      </c>
      <c r="S277" t="str">
        <f t="shared" si="110"/>
        <v>15:05:17.000</v>
      </c>
      <c r="T277" t="str">
        <f t="shared" si="110"/>
        <v>15:05:17.000</v>
      </c>
      <c r="U277" t="str">
        <f t="shared" si="103"/>
        <v>A68FCB</v>
      </c>
      <c r="V277">
        <v>0</v>
      </c>
      <c r="W277">
        <v>0</v>
      </c>
      <c r="X277">
        <v>2</v>
      </c>
      <c r="Y277">
        <v>0</v>
      </c>
      <c r="AA277">
        <v>1</v>
      </c>
      <c r="AB277">
        <v>8</v>
      </c>
      <c r="AC277">
        <v>3</v>
      </c>
      <c r="AD277">
        <v>0</v>
      </c>
      <c r="AE277">
        <v>9</v>
      </c>
      <c r="AF277" t="s">
        <v>138</v>
      </c>
      <c r="AG277">
        <v>0</v>
      </c>
      <c r="AH277">
        <v>3</v>
      </c>
      <c r="AI277">
        <v>1</v>
      </c>
      <c r="AJ277">
        <v>0</v>
      </c>
      <c r="AK277" t="s">
        <v>227</v>
      </c>
      <c r="AL277">
        <v>38.955803000000003</v>
      </c>
      <c r="AM277" t="s">
        <v>228</v>
      </c>
      <c r="AN277">
        <v>-121.066976</v>
      </c>
      <c r="AO277">
        <v>25</v>
      </c>
      <c r="AP277">
        <v>1900</v>
      </c>
      <c r="AQ277" t="s">
        <v>131</v>
      </c>
      <c r="AR277">
        <v>74</v>
      </c>
      <c r="AS277">
        <v>3</v>
      </c>
      <c r="AT277">
        <v>384</v>
      </c>
      <c r="BB277" t="str">
        <f t="shared" si="104"/>
        <v>1200</v>
      </c>
      <c r="BC277">
        <v>1</v>
      </c>
      <c r="BD277" t="str">
        <f t="shared" si="105"/>
        <v xml:space="preserve">N52156  </v>
      </c>
      <c r="BE277">
        <v>1</v>
      </c>
      <c r="BG277">
        <v>0</v>
      </c>
      <c r="BH277">
        <v>0</v>
      </c>
      <c r="BI277">
        <v>0</v>
      </c>
      <c r="BJ277">
        <v>1800</v>
      </c>
      <c r="BK277">
        <v>-100</v>
      </c>
      <c r="BL277" t="s">
        <v>188</v>
      </c>
      <c r="BM277">
        <v>1</v>
      </c>
      <c r="BN277">
        <v>1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 t="shared" si="111"/>
        <v>15:05:17.632</v>
      </c>
      <c r="CF277">
        <v>632193928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133</v>
      </c>
      <c r="DA277">
        <v>275</v>
      </c>
      <c r="DB277">
        <v>0</v>
      </c>
      <c r="DC277" t="s">
        <v>134</v>
      </c>
      <c r="DD277" t="s">
        <v>135</v>
      </c>
      <c r="DG277">
        <v>3318054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"05/01/2025 15:05:19.087"</f>
        <v>05/01/2025 15:05:19.087</v>
      </c>
      <c r="C278" t="str">
        <f t="shared" si="102"/>
        <v>FFDFD3C0</v>
      </c>
      <c r="D278" t="s">
        <v>140</v>
      </c>
      <c r="E278" t="str">
        <f>"13"</f>
        <v>13</v>
      </c>
      <c r="F278">
        <v>1019</v>
      </c>
      <c r="G278" t="s">
        <v>141</v>
      </c>
      <c r="J278" t="s">
        <v>142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R278" t="s">
        <v>127</v>
      </c>
      <c r="S278" t="str">
        <f t="shared" ref="S278:T283" si="112">"15:05:18.000"</f>
        <v>15:05:18.000</v>
      </c>
      <c r="T278" t="str">
        <f t="shared" si="112"/>
        <v>15:05:18.000</v>
      </c>
      <c r="U278" t="str">
        <f t="shared" si="103"/>
        <v>A68FCB</v>
      </c>
      <c r="V278">
        <v>0</v>
      </c>
      <c r="W278">
        <v>0</v>
      </c>
      <c r="X278">
        <v>2</v>
      </c>
      <c r="Y278">
        <v>0</v>
      </c>
      <c r="AA278">
        <v>1</v>
      </c>
      <c r="AB278">
        <v>8</v>
      </c>
      <c r="AC278">
        <v>3</v>
      </c>
      <c r="AD278">
        <v>0</v>
      </c>
      <c r="AE278">
        <v>9</v>
      </c>
      <c r="AF278" t="s">
        <v>138</v>
      </c>
      <c r="AG278">
        <v>0</v>
      </c>
      <c r="AH278">
        <v>3</v>
      </c>
      <c r="AI278">
        <v>1</v>
      </c>
      <c r="AJ278">
        <v>0</v>
      </c>
      <c r="AK278" t="s">
        <v>229</v>
      </c>
      <c r="AL278">
        <v>38.955824</v>
      </c>
      <c r="AM278" t="s">
        <v>230</v>
      </c>
      <c r="AN278">
        <v>-121.066546</v>
      </c>
      <c r="AO278">
        <v>25</v>
      </c>
      <c r="AP278">
        <v>1900</v>
      </c>
      <c r="AQ278" t="s">
        <v>131</v>
      </c>
      <c r="AR278">
        <v>75</v>
      </c>
      <c r="AS278">
        <v>2</v>
      </c>
      <c r="AT278">
        <v>384</v>
      </c>
      <c r="BB278" t="str">
        <f t="shared" si="104"/>
        <v>1200</v>
      </c>
      <c r="BC278">
        <v>1</v>
      </c>
      <c r="BD278" t="str">
        <f t="shared" si="105"/>
        <v xml:space="preserve">N52156  </v>
      </c>
      <c r="BE278">
        <v>1</v>
      </c>
      <c r="BG278">
        <v>0</v>
      </c>
      <c r="BH278">
        <v>0</v>
      </c>
      <c r="BI278">
        <v>0</v>
      </c>
      <c r="BJ278">
        <v>1800</v>
      </c>
      <c r="BK278">
        <v>-100</v>
      </c>
      <c r="BL278" t="s">
        <v>188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 t="shared" ref="CE278:CE283" si="113">"15:05:18.868"</f>
        <v>15:05:18.868</v>
      </c>
      <c r="CF278">
        <v>868444657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133</v>
      </c>
      <c r="DA278">
        <v>275</v>
      </c>
      <c r="DB278">
        <v>0</v>
      </c>
      <c r="DC278" t="s">
        <v>134</v>
      </c>
      <c r="DD278" t="s">
        <v>135</v>
      </c>
      <c r="DG278">
        <v>3318063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"05/01/2025 15:05:19.092"</f>
        <v>05/01/2025 15:05:19.092</v>
      </c>
      <c r="C279" t="str">
        <f t="shared" si="102"/>
        <v>FFDFD3C0</v>
      </c>
      <c r="D279" t="s">
        <v>143</v>
      </c>
      <c r="E279" t="str">
        <f>"05"</f>
        <v>05</v>
      </c>
      <c r="H279">
        <v>172</v>
      </c>
      <c r="I279" t="s">
        <v>141</v>
      </c>
      <c r="J279" t="s">
        <v>144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R279" t="s">
        <v>127</v>
      </c>
      <c r="S279" t="str">
        <f t="shared" si="112"/>
        <v>15:05:18.000</v>
      </c>
      <c r="T279" t="str">
        <f t="shared" si="112"/>
        <v>15:05:18.000</v>
      </c>
      <c r="U279" t="str">
        <f t="shared" si="103"/>
        <v>A68FCB</v>
      </c>
      <c r="V279">
        <v>0</v>
      </c>
      <c r="W279">
        <v>0</v>
      </c>
      <c r="X279">
        <v>2</v>
      </c>
      <c r="Y279">
        <v>0</v>
      </c>
      <c r="AA279">
        <v>1</v>
      </c>
      <c r="AB279">
        <v>8</v>
      </c>
      <c r="AC279">
        <v>3</v>
      </c>
      <c r="AD279">
        <v>0</v>
      </c>
      <c r="AE279">
        <v>9</v>
      </c>
      <c r="AF279" t="s">
        <v>138</v>
      </c>
      <c r="AG279">
        <v>0</v>
      </c>
      <c r="AH279">
        <v>3</v>
      </c>
      <c r="AI279">
        <v>1</v>
      </c>
      <c r="AJ279">
        <v>0</v>
      </c>
      <c r="AK279" t="s">
        <v>229</v>
      </c>
      <c r="AL279">
        <v>38.955824</v>
      </c>
      <c r="AM279" t="s">
        <v>230</v>
      </c>
      <c r="AN279">
        <v>-121.066546</v>
      </c>
      <c r="AO279">
        <v>25</v>
      </c>
      <c r="AP279">
        <v>1900</v>
      </c>
      <c r="AQ279" t="s">
        <v>131</v>
      </c>
      <c r="AR279">
        <v>75</v>
      </c>
      <c r="AS279">
        <v>2</v>
      </c>
      <c r="AT279">
        <v>384</v>
      </c>
      <c r="BB279" t="str">
        <f t="shared" si="104"/>
        <v>1200</v>
      </c>
      <c r="BC279">
        <v>1</v>
      </c>
      <c r="BD279" t="str">
        <f t="shared" si="105"/>
        <v xml:space="preserve">N52156  </v>
      </c>
      <c r="BE279">
        <v>1</v>
      </c>
      <c r="BG279">
        <v>0</v>
      </c>
      <c r="BH279">
        <v>0</v>
      </c>
      <c r="BI279">
        <v>0</v>
      </c>
      <c r="BJ279">
        <v>1800</v>
      </c>
      <c r="BK279">
        <v>-100</v>
      </c>
      <c r="BL279" t="s">
        <v>188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 t="shared" si="113"/>
        <v>15:05:18.868</v>
      </c>
      <c r="CF279">
        <v>868444657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133</v>
      </c>
      <c r="DA279">
        <v>275</v>
      </c>
      <c r="DB279">
        <v>0</v>
      </c>
      <c r="DC279" t="s">
        <v>134</v>
      </c>
      <c r="DD279" t="s">
        <v>135</v>
      </c>
      <c r="DG279">
        <v>3318063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"05/01/2025 15:05:19.096"</f>
        <v>05/01/2025 15:05:19.096</v>
      </c>
      <c r="C280" t="str">
        <f t="shared" si="102"/>
        <v>FFDFD3C0</v>
      </c>
      <c r="D280" t="s">
        <v>145</v>
      </c>
      <c r="E280" t="str">
        <f>"05"</f>
        <v>05</v>
      </c>
      <c r="H280">
        <v>47</v>
      </c>
      <c r="I280" t="s">
        <v>146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R280" t="s">
        <v>127</v>
      </c>
      <c r="S280" t="str">
        <f t="shared" si="112"/>
        <v>15:05:18.000</v>
      </c>
      <c r="T280" t="str">
        <f t="shared" si="112"/>
        <v>15:05:18.000</v>
      </c>
      <c r="U280" t="str">
        <f t="shared" si="103"/>
        <v>A68FCB</v>
      </c>
      <c r="V280">
        <v>0</v>
      </c>
      <c r="W280">
        <v>0</v>
      </c>
      <c r="X280">
        <v>2</v>
      </c>
      <c r="Y280">
        <v>0</v>
      </c>
      <c r="AA280">
        <v>1</v>
      </c>
      <c r="AB280">
        <v>8</v>
      </c>
      <c r="AC280">
        <v>3</v>
      </c>
      <c r="AD280">
        <v>0</v>
      </c>
      <c r="AE280">
        <v>9</v>
      </c>
      <c r="AF280" t="s">
        <v>138</v>
      </c>
      <c r="AG280">
        <v>0</v>
      </c>
      <c r="AH280">
        <v>3</v>
      </c>
      <c r="AI280">
        <v>1</v>
      </c>
      <c r="AJ280">
        <v>0</v>
      </c>
      <c r="AK280" t="s">
        <v>229</v>
      </c>
      <c r="AL280">
        <v>38.955824</v>
      </c>
      <c r="AM280" t="s">
        <v>230</v>
      </c>
      <c r="AN280">
        <v>-121.066546</v>
      </c>
      <c r="AO280">
        <v>25</v>
      </c>
      <c r="AP280">
        <v>1900</v>
      </c>
      <c r="AQ280" t="s">
        <v>131</v>
      </c>
      <c r="AR280">
        <v>75</v>
      </c>
      <c r="AS280">
        <v>2</v>
      </c>
      <c r="AT280">
        <v>384</v>
      </c>
      <c r="BB280" t="str">
        <f t="shared" si="104"/>
        <v>1200</v>
      </c>
      <c r="BC280">
        <v>1</v>
      </c>
      <c r="BD280" t="str">
        <f t="shared" si="105"/>
        <v xml:space="preserve">N52156  </v>
      </c>
      <c r="BE280">
        <v>1</v>
      </c>
      <c r="BG280">
        <v>0</v>
      </c>
      <c r="BH280">
        <v>0</v>
      </c>
      <c r="BI280">
        <v>0</v>
      </c>
      <c r="BJ280">
        <v>1800</v>
      </c>
      <c r="BK280">
        <v>-100</v>
      </c>
      <c r="BL280" t="s">
        <v>188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 t="shared" si="113"/>
        <v>15:05:18.868</v>
      </c>
      <c r="CF280">
        <v>868444657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133</v>
      </c>
      <c r="DA280">
        <v>275</v>
      </c>
      <c r="DB280">
        <v>0</v>
      </c>
      <c r="DC280" t="s">
        <v>134</v>
      </c>
      <c r="DD280" t="s">
        <v>135</v>
      </c>
      <c r="DG280">
        <v>3318063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"05/01/2025 15:05:19.097"</f>
        <v>05/01/2025 15:05:19.097</v>
      </c>
      <c r="C281" t="str">
        <f t="shared" si="102"/>
        <v>FFDFD3C0</v>
      </c>
      <c r="D281" t="s">
        <v>145</v>
      </c>
      <c r="E281" t="str">
        <f>"09"</f>
        <v>09</v>
      </c>
      <c r="H281">
        <v>51</v>
      </c>
      <c r="I281" t="s">
        <v>147</v>
      </c>
      <c r="J281" t="s">
        <v>138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R281" t="s">
        <v>127</v>
      </c>
      <c r="S281" t="str">
        <f t="shared" si="112"/>
        <v>15:05:18.000</v>
      </c>
      <c r="T281" t="str">
        <f t="shared" si="112"/>
        <v>15:05:18.000</v>
      </c>
      <c r="U281" t="str">
        <f t="shared" si="103"/>
        <v>A68FCB</v>
      </c>
      <c r="V281">
        <v>0</v>
      </c>
      <c r="W281">
        <v>0</v>
      </c>
      <c r="X281">
        <v>2</v>
      </c>
      <c r="Y281">
        <v>0</v>
      </c>
      <c r="AA281">
        <v>1</v>
      </c>
      <c r="AB281">
        <v>8</v>
      </c>
      <c r="AC281">
        <v>3</v>
      </c>
      <c r="AD281">
        <v>0</v>
      </c>
      <c r="AE281">
        <v>9</v>
      </c>
      <c r="AF281" t="s">
        <v>138</v>
      </c>
      <c r="AG281">
        <v>0</v>
      </c>
      <c r="AH281">
        <v>3</v>
      </c>
      <c r="AI281">
        <v>1</v>
      </c>
      <c r="AJ281">
        <v>0</v>
      </c>
      <c r="AK281" t="s">
        <v>229</v>
      </c>
      <c r="AL281">
        <v>38.955824</v>
      </c>
      <c r="AM281" t="s">
        <v>230</v>
      </c>
      <c r="AN281">
        <v>-121.066546</v>
      </c>
      <c r="AO281">
        <v>25</v>
      </c>
      <c r="AP281">
        <v>1900</v>
      </c>
      <c r="AQ281" t="s">
        <v>131</v>
      </c>
      <c r="AR281">
        <v>75</v>
      </c>
      <c r="AS281">
        <v>2</v>
      </c>
      <c r="AT281">
        <v>384</v>
      </c>
      <c r="BB281" t="str">
        <f t="shared" si="104"/>
        <v>1200</v>
      </c>
      <c r="BC281">
        <v>1</v>
      </c>
      <c r="BD281" t="str">
        <f t="shared" si="105"/>
        <v xml:space="preserve">N52156  </v>
      </c>
      <c r="BE281">
        <v>1</v>
      </c>
      <c r="BG281">
        <v>0</v>
      </c>
      <c r="BH281">
        <v>0</v>
      </c>
      <c r="BI281">
        <v>0</v>
      </c>
      <c r="BJ281">
        <v>1800</v>
      </c>
      <c r="BK281">
        <v>-100</v>
      </c>
      <c r="BL281" t="s">
        <v>188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 t="shared" si="113"/>
        <v>15:05:18.868</v>
      </c>
      <c r="CF281">
        <v>868444657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133</v>
      </c>
      <c r="DA281">
        <v>275</v>
      </c>
      <c r="DB281">
        <v>0</v>
      </c>
      <c r="DC281" t="s">
        <v>134</v>
      </c>
      <c r="DD281" t="s">
        <v>135</v>
      </c>
      <c r="DG281">
        <v>3318063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"05/01/2025 15:05:19.101"</f>
        <v>05/01/2025 15:05:19.101</v>
      </c>
      <c r="C282" t="str">
        <f t="shared" si="102"/>
        <v>FFDFD3C0</v>
      </c>
      <c r="D282" t="s">
        <v>124</v>
      </c>
      <c r="E282" t="str">
        <f>"06"</f>
        <v>06</v>
      </c>
      <c r="F282">
        <v>2006</v>
      </c>
      <c r="G282" t="s">
        <v>125</v>
      </c>
      <c r="J282" t="s">
        <v>126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R282" t="s">
        <v>127</v>
      </c>
      <c r="S282" t="str">
        <f t="shared" si="112"/>
        <v>15:05:18.000</v>
      </c>
      <c r="T282" t="str">
        <f t="shared" si="112"/>
        <v>15:05:18.000</v>
      </c>
      <c r="U282" t="str">
        <f t="shared" si="103"/>
        <v>A68FCB</v>
      </c>
      <c r="V282">
        <v>0</v>
      </c>
      <c r="W282">
        <v>0</v>
      </c>
      <c r="X282">
        <v>2</v>
      </c>
      <c r="Y282">
        <v>0</v>
      </c>
      <c r="AA282">
        <v>1</v>
      </c>
      <c r="AB282">
        <v>8</v>
      </c>
      <c r="AC282">
        <v>3</v>
      </c>
      <c r="AD282">
        <v>0</v>
      </c>
      <c r="AE282">
        <v>9</v>
      </c>
      <c r="AF282" t="s">
        <v>138</v>
      </c>
      <c r="AG282">
        <v>0</v>
      </c>
      <c r="AH282">
        <v>3</v>
      </c>
      <c r="AI282">
        <v>1</v>
      </c>
      <c r="AJ282">
        <v>0</v>
      </c>
      <c r="AK282" t="s">
        <v>229</v>
      </c>
      <c r="AL282">
        <v>38.955824</v>
      </c>
      <c r="AM282" t="s">
        <v>230</v>
      </c>
      <c r="AN282">
        <v>-121.066546</v>
      </c>
      <c r="AO282">
        <v>25</v>
      </c>
      <c r="AP282">
        <v>1900</v>
      </c>
      <c r="AQ282" t="s">
        <v>131</v>
      </c>
      <c r="AR282">
        <v>75</v>
      </c>
      <c r="AS282">
        <v>2</v>
      </c>
      <c r="AT282">
        <v>384</v>
      </c>
      <c r="BB282" t="str">
        <f t="shared" si="104"/>
        <v>1200</v>
      </c>
      <c r="BC282">
        <v>1</v>
      </c>
      <c r="BD282" t="str">
        <f t="shared" si="105"/>
        <v xml:space="preserve">N52156  </v>
      </c>
      <c r="BE282">
        <v>1</v>
      </c>
      <c r="BG282">
        <v>0</v>
      </c>
      <c r="BH282">
        <v>0</v>
      </c>
      <c r="BI282">
        <v>0</v>
      </c>
      <c r="BJ282">
        <v>1800</v>
      </c>
      <c r="BK282">
        <v>-100</v>
      </c>
      <c r="BL282" t="s">
        <v>188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 t="shared" si="113"/>
        <v>15:05:18.868</v>
      </c>
      <c r="CF282">
        <v>868444657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133</v>
      </c>
      <c r="DA282">
        <v>275</v>
      </c>
      <c r="DB282">
        <v>0</v>
      </c>
      <c r="DC282" t="s">
        <v>134</v>
      </c>
      <c r="DD282" t="s">
        <v>135</v>
      </c>
      <c r="DG282">
        <v>3318063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"05/01/2025 15:05:19.109"</f>
        <v>05/01/2025 15:05:19.109</v>
      </c>
      <c r="C283" t="str">
        <f t="shared" si="102"/>
        <v>FFDFD3C0</v>
      </c>
      <c r="D283" t="s">
        <v>136</v>
      </c>
      <c r="E283" t="str">
        <f>"20"</f>
        <v>20</v>
      </c>
      <c r="H283">
        <v>400</v>
      </c>
      <c r="I283" t="s">
        <v>137</v>
      </c>
      <c r="J283" t="s">
        <v>138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R283" t="s">
        <v>127</v>
      </c>
      <c r="S283" t="str">
        <f t="shared" si="112"/>
        <v>15:05:18.000</v>
      </c>
      <c r="T283" t="str">
        <f t="shared" si="112"/>
        <v>15:05:18.000</v>
      </c>
      <c r="U283" t="str">
        <f t="shared" si="103"/>
        <v>A68FCB</v>
      </c>
      <c r="V283">
        <v>0</v>
      </c>
      <c r="W283">
        <v>0</v>
      </c>
      <c r="X283">
        <v>2</v>
      </c>
      <c r="Y283">
        <v>0</v>
      </c>
      <c r="AA283">
        <v>1</v>
      </c>
      <c r="AB283">
        <v>8</v>
      </c>
      <c r="AC283">
        <v>3</v>
      </c>
      <c r="AD283">
        <v>0</v>
      </c>
      <c r="AE283">
        <v>9</v>
      </c>
      <c r="AF283" t="s">
        <v>138</v>
      </c>
      <c r="AG283">
        <v>0</v>
      </c>
      <c r="AH283">
        <v>3</v>
      </c>
      <c r="AI283">
        <v>1</v>
      </c>
      <c r="AJ283">
        <v>0</v>
      </c>
      <c r="AK283" t="s">
        <v>229</v>
      </c>
      <c r="AL283">
        <v>38.955824</v>
      </c>
      <c r="AM283" t="s">
        <v>230</v>
      </c>
      <c r="AN283">
        <v>-121.066546</v>
      </c>
      <c r="AO283">
        <v>25</v>
      </c>
      <c r="AP283">
        <v>1900</v>
      </c>
      <c r="AQ283" t="s">
        <v>131</v>
      </c>
      <c r="AR283">
        <v>75</v>
      </c>
      <c r="AS283">
        <v>2</v>
      </c>
      <c r="AT283">
        <v>384</v>
      </c>
      <c r="BB283" t="str">
        <f t="shared" si="104"/>
        <v>1200</v>
      </c>
      <c r="BC283">
        <v>1</v>
      </c>
      <c r="BD283" t="str">
        <f t="shared" si="105"/>
        <v xml:space="preserve">N52156  </v>
      </c>
      <c r="BE283">
        <v>1</v>
      </c>
      <c r="BG283">
        <v>0</v>
      </c>
      <c r="BH283">
        <v>0</v>
      </c>
      <c r="BI283">
        <v>0</v>
      </c>
      <c r="BJ283">
        <v>1800</v>
      </c>
      <c r="BK283">
        <v>-100</v>
      </c>
      <c r="BL283" t="s">
        <v>188</v>
      </c>
      <c r="BM283">
        <v>1</v>
      </c>
      <c r="BN283">
        <v>1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 t="shared" si="113"/>
        <v>15:05:18.868</v>
      </c>
      <c r="CF283">
        <v>868444657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133</v>
      </c>
      <c r="DA283">
        <v>275</v>
      </c>
      <c r="DB283">
        <v>0</v>
      </c>
      <c r="DC283" t="s">
        <v>134</v>
      </c>
      <c r="DD283" t="s">
        <v>135</v>
      </c>
      <c r="DG283">
        <v>3318063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"05/01/2025 15:05:20.038"</f>
        <v>05/01/2025 15:05:20.038</v>
      </c>
      <c r="C284" t="str">
        <f t="shared" si="102"/>
        <v>FFDFD3C0</v>
      </c>
      <c r="D284" t="s">
        <v>140</v>
      </c>
      <c r="E284" t="str">
        <f>"13"</f>
        <v>13</v>
      </c>
      <c r="F284">
        <v>1019</v>
      </c>
      <c r="G284" t="s">
        <v>141</v>
      </c>
      <c r="J284" t="s">
        <v>142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R284" t="s">
        <v>127</v>
      </c>
      <c r="S284" t="str">
        <f t="shared" ref="S284:T289" si="114">"15:05:19.000"</f>
        <v>15:05:19.000</v>
      </c>
      <c r="T284" t="str">
        <f t="shared" si="114"/>
        <v>15:05:19.000</v>
      </c>
      <c r="U284" t="str">
        <f t="shared" si="103"/>
        <v>A68FCB</v>
      </c>
      <c r="V284">
        <v>0</v>
      </c>
      <c r="W284">
        <v>0</v>
      </c>
      <c r="X284">
        <v>2</v>
      </c>
      <c r="Y284">
        <v>0</v>
      </c>
      <c r="AA284">
        <v>1</v>
      </c>
      <c r="AB284">
        <v>8</v>
      </c>
      <c r="AC284">
        <v>3</v>
      </c>
      <c r="AD284">
        <v>0</v>
      </c>
      <c r="AE284">
        <v>9</v>
      </c>
      <c r="AF284" t="s">
        <v>138</v>
      </c>
      <c r="AG284">
        <v>0</v>
      </c>
      <c r="AH284">
        <v>3</v>
      </c>
      <c r="AI284">
        <v>1</v>
      </c>
      <c r="AJ284">
        <v>0</v>
      </c>
      <c r="AK284" t="s">
        <v>229</v>
      </c>
      <c r="AL284">
        <v>38.955824</v>
      </c>
      <c r="AM284" t="s">
        <v>231</v>
      </c>
      <c r="AN284">
        <v>-121.066096</v>
      </c>
      <c r="AO284">
        <v>25</v>
      </c>
      <c r="AP284">
        <v>1900</v>
      </c>
      <c r="AQ284" t="s">
        <v>131</v>
      </c>
      <c r="AR284">
        <v>74</v>
      </c>
      <c r="AS284">
        <v>1</v>
      </c>
      <c r="AT284">
        <v>384</v>
      </c>
      <c r="BB284" t="str">
        <f t="shared" si="104"/>
        <v>1200</v>
      </c>
      <c r="BC284">
        <v>1</v>
      </c>
      <c r="BD284" t="str">
        <f t="shared" si="105"/>
        <v xml:space="preserve">N52156  </v>
      </c>
      <c r="BE284">
        <v>1</v>
      </c>
      <c r="BG284">
        <v>0</v>
      </c>
      <c r="BH284">
        <v>0</v>
      </c>
      <c r="BI284">
        <v>0</v>
      </c>
      <c r="BJ284">
        <v>1825</v>
      </c>
      <c r="BK284">
        <v>-75</v>
      </c>
      <c r="BL284" t="s">
        <v>188</v>
      </c>
      <c r="BM284">
        <v>1</v>
      </c>
      <c r="BN284">
        <v>1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 t="shared" ref="CE284:CE289" si="115">"15:05:19.818"</f>
        <v>15:05:19.818</v>
      </c>
      <c r="CF284">
        <v>818194635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133</v>
      </c>
      <c r="DA284">
        <v>275</v>
      </c>
      <c r="DB284">
        <v>0</v>
      </c>
      <c r="DC284" t="s">
        <v>134</v>
      </c>
      <c r="DD284" t="s">
        <v>135</v>
      </c>
      <c r="DG284">
        <v>3318075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"05/01/2025 15:05:20.044"</f>
        <v>05/01/2025 15:05:20.044</v>
      </c>
      <c r="C285" t="str">
        <f t="shared" si="102"/>
        <v>FFDFD3C0</v>
      </c>
      <c r="D285" t="s">
        <v>143</v>
      </c>
      <c r="E285" t="str">
        <f>"05"</f>
        <v>05</v>
      </c>
      <c r="H285">
        <v>172</v>
      </c>
      <c r="I285" t="s">
        <v>141</v>
      </c>
      <c r="J285" t="s">
        <v>144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R285" t="s">
        <v>127</v>
      </c>
      <c r="S285" t="str">
        <f t="shared" si="114"/>
        <v>15:05:19.000</v>
      </c>
      <c r="T285" t="str">
        <f t="shared" si="114"/>
        <v>15:05:19.000</v>
      </c>
      <c r="U285" t="str">
        <f t="shared" si="103"/>
        <v>A68FCB</v>
      </c>
      <c r="V285">
        <v>0</v>
      </c>
      <c r="W285">
        <v>0</v>
      </c>
      <c r="X285">
        <v>2</v>
      </c>
      <c r="Y285">
        <v>0</v>
      </c>
      <c r="AA285">
        <v>1</v>
      </c>
      <c r="AB285">
        <v>8</v>
      </c>
      <c r="AC285">
        <v>3</v>
      </c>
      <c r="AD285">
        <v>0</v>
      </c>
      <c r="AE285">
        <v>9</v>
      </c>
      <c r="AF285" t="s">
        <v>138</v>
      </c>
      <c r="AG285">
        <v>0</v>
      </c>
      <c r="AH285">
        <v>3</v>
      </c>
      <c r="AI285">
        <v>1</v>
      </c>
      <c r="AJ285">
        <v>0</v>
      </c>
      <c r="AK285" t="s">
        <v>229</v>
      </c>
      <c r="AL285">
        <v>38.955824</v>
      </c>
      <c r="AM285" t="s">
        <v>231</v>
      </c>
      <c r="AN285">
        <v>-121.066096</v>
      </c>
      <c r="AO285">
        <v>25</v>
      </c>
      <c r="AP285">
        <v>1900</v>
      </c>
      <c r="AQ285" t="s">
        <v>131</v>
      </c>
      <c r="AR285">
        <v>74</v>
      </c>
      <c r="AS285">
        <v>1</v>
      </c>
      <c r="AT285">
        <v>384</v>
      </c>
      <c r="BB285" t="str">
        <f t="shared" si="104"/>
        <v>1200</v>
      </c>
      <c r="BC285">
        <v>1</v>
      </c>
      <c r="BD285" t="str">
        <f t="shared" si="105"/>
        <v xml:space="preserve">N52156  </v>
      </c>
      <c r="BE285">
        <v>1</v>
      </c>
      <c r="BG285">
        <v>0</v>
      </c>
      <c r="BH285">
        <v>0</v>
      </c>
      <c r="BI285">
        <v>0</v>
      </c>
      <c r="BJ285">
        <v>1825</v>
      </c>
      <c r="BK285">
        <v>-75</v>
      </c>
      <c r="BL285" t="s">
        <v>188</v>
      </c>
      <c r="BM285">
        <v>1</v>
      </c>
      <c r="BN285">
        <v>1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 t="shared" si="115"/>
        <v>15:05:19.818</v>
      </c>
      <c r="CF285">
        <v>818194635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5</v>
      </c>
      <c r="CY285">
        <v>7</v>
      </c>
      <c r="CZ285" t="s">
        <v>133</v>
      </c>
      <c r="DA285">
        <v>275</v>
      </c>
      <c r="DB285">
        <v>0</v>
      </c>
      <c r="DC285" t="s">
        <v>134</v>
      </c>
      <c r="DD285" t="s">
        <v>135</v>
      </c>
      <c r="DG285">
        <v>3318075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"05/01/2025 15:05:20.049"</f>
        <v>05/01/2025 15:05:20.049</v>
      </c>
      <c r="C286" t="str">
        <f t="shared" si="102"/>
        <v>FFDFD3C0</v>
      </c>
      <c r="D286" t="s">
        <v>145</v>
      </c>
      <c r="E286" t="str">
        <f>"09"</f>
        <v>09</v>
      </c>
      <c r="H286">
        <v>51</v>
      </c>
      <c r="I286" t="s">
        <v>147</v>
      </c>
      <c r="J286" t="s">
        <v>138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R286" t="s">
        <v>127</v>
      </c>
      <c r="S286" t="str">
        <f t="shared" si="114"/>
        <v>15:05:19.000</v>
      </c>
      <c r="T286" t="str">
        <f t="shared" si="114"/>
        <v>15:05:19.000</v>
      </c>
      <c r="U286" t="str">
        <f t="shared" si="103"/>
        <v>A68FCB</v>
      </c>
      <c r="V286">
        <v>0</v>
      </c>
      <c r="W286">
        <v>0</v>
      </c>
      <c r="X286">
        <v>2</v>
      </c>
      <c r="Y286">
        <v>0</v>
      </c>
      <c r="AA286">
        <v>1</v>
      </c>
      <c r="AB286">
        <v>8</v>
      </c>
      <c r="AC286">
        <v>3</v>
      </c>
      <c r="AD286">
        <v>0</v>
      </c>
      <c r="AE286">
        <v>9</v>
      </c>
      <c r="AF286" t="s">
        <v>138</v>
      </c>
      <c r="AG286">
        <v>0</v>
      </c>
      <c r="AH286">
        <v>3</v>
      </c>
      <c r="AI286">
        <v>1</v>
      </c>
      <c r="AJ286">
        <v>0</v>
      </c>
      <c r="AK286" t="s">
        <v>229</v>
      </c>
      <c r="AL286">
        <v>38.955824</v>
      </c>
      <c r="AM286" t="s">
        <v>231</v>
      </c>
      <c r="AN286">
        <v>-121.066096</v>
      </c>
      <c r="AO286">
        <v>25</v>
      </c>
      <c r="AP286">
        <v>1900</v>
      </c>
      <c r="AQ286" t="s">
        <v>131</v>
      </c>
      <c r="AR286">
        <v>74</v>
      </c>
      <c r="AS286">
        <v>1</v>
      </c>
      <c r="AT286">
        <v>384</v>
      </c>
      <c r="BB286" t="str">
        <f t="shared" si="104"/>
        <v>1200</v>
      </c>
      <c r="BC286">
        <v>1</v>
      </c>
      <c r="BD286" t="str">
        <f t="shared" si="105"/>
        <v xml:space="preserve">N52156  </v>
      </c>
      <c r="BE286">
        <v>1</v>
      </c>
      <c r="BG286">
        <v>0</v>
      </c>
      <c r="BH286">
        <v>0</v>
      </c>
      <c r="BI286">
        <v>0</v>
      </c>
      <c r="BJ286">
        <v>1825</v>
      </c>
      <c r="BK286">
        <v>-75</v>
      </c>
      <c r="BL286" t="s">
        <v>188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 t="shared" si="115"/>
        <v>15:05:19.818</v>
      </c>
      <c r="CF286">
        <v>818194635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5</v>
      </c>
      <c r="CY286">
        <v>7</v>
      </c>
      <c r="CZ286" t="s">
        <v>133</v>
      </c>
      <c r="DA286">
        <v>275</v>
      </c>
      <c r="DB286">
        <v>0</v>
      </c>
      <c r="DC286" t="s">
        <v>134</v>
      </c>
      <c r="DD286" t="s">
        <v>135</v>
      </c>
      <c r="DG286">
        <v>3318075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"05/01/2025 15:05:20.048"</f>
        <v>05/01/2025 15:05:20.048</v>
      </c>
      <c r="C287" t="str">
        <f t="shared" si="102"/>
        <v>FFDFD3C0</v>
      </c>
      <c r="D287" t="s">
        <v>145</v>
      </c>
      <c r="E287" t="str">
        <f>"05"</f>
        <v>05</v>
      </c>
      <c r="H287">
        <v>47</v>
      </c>
      <c r="I287" t="s">
        <v>146</v>
      </c>
      <c r="J287" t="s">
        <v>138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R287" t="s">
        <v>127</v>
      </c>
      <c r="S287" t="str">
        <f t="shared" si="114"/>
        <v>15:05:19.000</v>
      </c>
      <c r="T287" t="str">
        <f t="shared" si="114"/>
        <v>15:05:19.000</v>
      </c>
      <c r="U287" t="str">
        <f t="shared" si="103"/>
        <v>A68FCB</v>
      </c>
      <c r="V287">
        <v>0</v>
      </c>
      <c r="W287">
        <v>0</v>
      </c>
      <c r="X287">
        <v>2</v>
      </c>
      <c r="Y287">
        <v>0</v>
      </c>
      <c r="AA287">
        <v>1</v>
      </c>
      <c r="AB287">
        <v>8</v>
      </c>
      <c r="AC287">
        <v>3</v>
      </c>
      <c r="AD287">
        <v>0</v>
      </c>
      <c r="AE287">
        <v>9</v>
      </c>
      <c r="AF287" t="s">
        <v>138</v>
      </c>
      <c r="AG287">
        <v>0</v>
      </c>
      <c r="AH287">
        <v>3</v>
      </c>
      <c r="AI287">
        <v>1</v>
      </c>
      <c r="AJ287">
        <v>0</v>
      </c>
      <c r="AK287" t="s">
        <v>229</v>
      </c>
      <c r="AL287">
        <v>38.955824</v>
      </c>
      <c r="AM287" t="s">
        <v>231</v>
      </c>
      <c r="AN287">
        <v>-121.066096</v>
      </c>
      <c r="AO287">
        <v>25</v>
      </c>
      <c r="AP287">
        <v>1900</v>
      </c>
      <c r="AQ287" t="s">
        <v>131</v>
      </c>
      <c r="AR287">
        <v>74</v>
      </c>
      <c r="AS287">
        <v>1</v>
      </c>
      <c r="AT287">
        <v>384</v>
      </c>
      <c r="BB287" t="str">
        <f t="shared" si="104"/>
        <v>1200</v>
      </c>
      <c r="BC287">
        <v>1</v>
      </c>
      <c r="BD287" t="str">
        <f t="shared" si="105"/>
        <v xml:space="preserve">N52156  </v>
      </c>
      <c r="BE287">
        <v>1</v>
      </c>
      <c r="BG287">
        <v>0</v>
      </c>
      <c r="BH287">
        <v>0</v>
      </c>
      <c r="BI287">
        <v>0</v>
      </c>
      <c r="BJ287">
        <v>1825</v>
      </c>
      <c r="BK287">
        <v>-75</v>
      </c>
      <c r="BL287" t="s">
        <v>188</v>
      </c>
      <c r="BM287">
        <v>1</v>
      </c>
      <c r="BN287">
        <v>1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 t="shared" si="115"/>
        <v>15:05:19.818</v>
      </c>
      <c r="CF287">
        <v>818194635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133</v>
      </c>
      <c r="DA287">
        <v>275</v>
      </c>
      <c r="DB287">
        <v>0</v>
      </c>
      <c r="DC287" t="s">
        <v>134</v>
      </c>
      <c r="DD287" t="s">
        <v>135</v>
      </c>
      <c r="DG287">
        <v>3318075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"05/01/2025 15:05:20.052"</f>
        <v>05/01/2025 15:05:20.052</v>
      </c>
      <c r="C288" t="str">
        <f t="shared" si="102"/>
        <v>FFDFD3C0</v>
      </c>
      <c r="D288" t="s">
        <v>124</v>
      </c>
      <c r="E288" t="str">
        <f>"06"</f>
        <v>06</v>
      </c>
      <c r="F288">
        <v>2006</v>
      </c>
      <c r="G288" t="s">
        <v>125</v>
      </c>
      <c r="J288" t="s">
        <v>126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R288" t="s">
        <v>127</v>
      </c>
      <c r="S288" t="str">
        <f t="shared" si="114"/>
        <v>15:05:19.000</v>
      </c>
      <c r="T288" t="str">
        <f t="shared" si="114"/>
        <v>15:05:19.000</v>
      </c>
      <c r="U288" t="str">
        <f t="shared" si="103"/>
        <v>A68FCB</v>
      </c>
      <c r="V288">
        <v>0</v>
      </c>
      <c r="W288">
        <v>0</v>
      </c>
      <c r="X288">
        <v>2</v>
      </c>
      <c r="Y288">
        <v>0</v>
      </c>
      <c r="AA288">
        <v>1</v>
      </c>
      <c r="AB288">
        <v>8</v>
      </c>
      <c r="AC288">
        <v>3</v>
      </c>
      <c r="AD288">
        <v>0</v>
      </c>
      <c r="AE288">
        <v>9</v>
      </c>
      <c r="AF288" t="s">
        <v>138</v>
      </c>
      <c r="AG288">
        <v>0</v>
      </c>
      <c r="AH288">
        <v>3</v>
      </c>
      <c r="AI288">
        <v>1</v>
      </c>
      <c r="AJ288">
        <v>0</v>
      </c>
      <c r="AK288" t="s">
        <v>229</v>
      </c>
      <c r="AL288">
        <v>38.955824</v>
      </c>
      <c r="AM288" t="s">
        <v>231</v>
      </c>
      <c r="AN288">
        <v>-121.066096</v>
      </c>
      <c r="AO288">
        <v>25</v>
      </c>
      <c r="AP288">
        <v>1900</v>
      </c>
      <c r="AQ288" t="s">
        <v>131</v>
      </c>
      <c r="AR288">
        <v>74</v>
      </c>
      <c r="AS288">
        <v>1</v>
      </c>
      <c r="AT288">
        <v>384</v>
      </c>
      <c r="BB288" t="str">
        <f t="shared" si="104"/>
        <v>1200</v>
      </c>
      <c r="BC288">
        <v>1</v>
      </c>
      <c r="BD288" t="str">
        <f t="shared" si="105"/>
        <v xml:space="preserve">N52156  </v>
      </c>
      <c r="BE288">
        <v>1</v>
      </c>
      <c r="BG288">
        <v>0</v>
      </c>
      <c r="BH288">
        <v>0</v>
      </c>
      <c r="BI288">
        <v>0</v>
      </c>
      <c r="BJ288">
        <v>1825</v>
      </c>
      <c r="BK288">
        <v>-75</v>
      </c>
      <c r="BL288" t="s">
        <v>188</v>
      </c>
      <c r="BM288">
        <v>1</v>
      </c>
      <c r="BN288">
        <v>1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 t="shared" si="115"/>
        <v>15:05:19.818</v>
      </c>
      <c r="CF288">
        <v>818194635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5</v>
      </c>
      <c r="CY288">
        <v>7</v>
      </c>
      <c r="CZ288" t="s">
        <v>133</v>
      </c>
      <c r="DA288">
        <v>275</v>
      </c>
      <c r="DB288">
        <v>0</v>
      </c>
      <c r="DC288" t="s">
        <v>134</v>
      </c>
      <c r="DD288" t="s">
        <v>135</v>
      </c>
      <c r="DG288">
        <v>3318075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"05/01/2025 15:05:20.061"</f>
        <v>05/01/2025 15:05:20.061</v>
      </c>
      <c r="C289" t="str">
        <f t="shared" si="102"/>
        <v>FFDFD3C0</v>
      </c>
      <c r="D289" t="s">
        <v>136</v>
      </c>
      <c r="E289" t="str">
        <f>"20"</f>
        <v>20</v>
      </c>
      <c r="H289">
        <v>400</v>
      </c>
      <c r="I289" t="s">
        <v>137</v>
      </c>
      <c r="J289" t="s">
        <v>138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R289" t="s">
        <v>127</v>
      </c>
      <c r="S289" t="str">
        <f t="shared" si="114"/>
        <v>15:05:19.000</v>
      </c>
      <c r="T289" t="str">
        <f t="shared" si="114"/>
        <v>15:05:19.000</v>
      </c>
      <c r="U289" t="str">
        <f t="shared" si="103"/>
        <v>A68FCB</v>
      </c>
      <c r="V289">
        <v>0</v>
      </c>
      <c r="W289">
        <v>0</v>
      </c>
      <c r="X289">
        <v>2</v>
      </c>
      <c r="Y289">
        <v>0</v>
      </c>
      <c r="AA289">
        <v>1</v>
      </c>
      <c r="AB289">
        <v>8</v>
      </c>
      <c r="AC289">
        <v>3</v>
      </c>
      <c r="AD289">
        <v>0</v>
      </c>
      <c r="AE289">
        <v>9</v>
      </c>
      <c r="AF289" t="s">
        <v>138</v>
      </c>
      <c r="AG289">
        <v>0</v>
      </c>
      <c r="AH289">
        <v>3</v>
      </c>
      <c r="AI289">
        <v>1</v>
      </c>
      <c r="AJ289">
        <v>0</v>
      </c>
      <c r="AK289" t="s">
        <v>229</v>
      </c>
      <c r="AL289">
        <v>38.955824</v>
      </c>
      <c r="AM289" t="s">
        <v>231</v>
      </c>
      <c r="AN289">
        <v>-121.066096</v>
      </c>
      <c r="AO289">
        <v>25</v>
      </c>
      <c r="AP289">
        <v>1900</v>
      </c>
      <c r="AQ289" t="s">
        <v>131</v>
      </c>
      <c r="AR289">
        <v>74</v>
      </c>
      <c r="AS289">
        <v>1</v>
      </c>
      <c r="AT289">
        <v>384</v>
      </c>
      <c r="BB289" t="str">
        <f t="shared" si="104"/>
        <v>1200</v>
      </c>
      <c r="BC289">
        <v>1</v>
      </c>
      <c r="BD289" t="str">
        <f t="shared" si="105"/>
        <v xml:space="preserve">N52156  </v>
      </c>
      <c r="BE289">
        <v>1</v>
      </c>
      <c r="BG289">
        <v>0</v>
      </c>
      <c r="BH289">
        <v>0</v>
      </c>
      <c r="BI289">
        <v>0</v>
      </c>
      <c r="BJ289">
        <v>1825</v>
      </c>
      <c r="BK289">
        <v>-75</v>
      </c>
      <c r="BL289" t="s">
        <v>188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 t="shared" si="115"/>
        <v>15:05:19.818</v>
      </c>
      <c r="CF289">
        <v>818194635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5</v>
      </c>
      <c r="CY289">
        <v>7</v>
      </c>
      <c r="CZ289" t="s">
        <v>133</v>
      </c>
      <c r="DA289">
        <v>275</v>
      </c>
      <c r="DB289">
        <v>0</v>
      </c>
      <c r="DC289" t="s">
        <v>134</v>
      </c>
      <c r="DD289" t="s">
        <v>135</v>
      </c>
      <c r="DG289">
        <v>3318075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"05/01/2025 15:05:20.489"</f>
        <v>05/01/2025 15:05:20.489</v>
      </c>
      <c r="C290" t="str">
        <f t="shared" si="102"/>
        <v>FFDFD3C0</v>
      </c>
      <c r="D290" t="s">
        <v>140</v>
      </c>
      <c r="E290" t="str">
        <f>"13"</f>
        <v>13</v>
      </c>
      <c r="F290">
        <v>1019</v>
      </c>
      <c r="G290" t="s">
        <v>141</v>
      </c>
      <c r="J290" t="s">
        <v>142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R290" t="s">
        <v>127</v>
      </c>
      <c r="S290" t="str">
        <f t="shared" ref="S290:T295" si="116">"15:05:20.000"</f>
        <v>15:05:20.000</v>
      </c>
      <c r="T290" t="str">
        <f t="shared" si="116"/>
        <v>15:05:20.000</v>
      </c>
      <c r="U290" t="str">
        <f t="shared" si="103"/>
        <v>A68FCB</v>
      </c>
      <c r="V290">
        <v>0</v>
      </c>
      <c r="W290">
        <v>0</v>
      </c>
      <c r="X290">
        <v>2</v>
      </c>
      <c r="Y290">
        <v>0</v>
      </c>
      <c r="AA290">
        <v>1</v>
      </c>
      <c r="AB290">
        <v>8</v>
      </c>
      <c r="AC290">
        <v>3</v>
      </c>
      <c r="AD290">
        <v>0</v>
      </c>
      <c r="AE290">
        <v>9</v>
      </c>
      <c r="AF290" t="s">
        <v>138</v>
      </c>
      <c r="AG290">
        <v>0</v>
      </c>
      <c r="AH290">
        <v>3</v>
      </c>
      <c r="AI290">
        <v>1</v>
      </c>
      <c r="AJ290">
        <v>0</v>
      </c>
      <c r="AK290" t="s">
        <v>229</v>
      </c>
      <c r="AL290">
        <v>38.955824</v>
      </c>
      <c r="AM290" t="s">
        <v>232</v>
      </c>
      <c r="AN290">
        <v>-121.065645</v>
      </c>
      <c r="AO290">
        <v>25</v>
      </c>
      <c r="AP290">
        <v>1900</v>
      </c>
      <c r="AQ290" t="s">
        <v>131</v>
      </c>
      <c r="AR290">
        <v>76</v>
      </c>
      <c r="AS290">
        <v>0</v>
      </c>
      <c r="AT290">
        <v>384</v>
      </c>
      <c r="BB290" t="str">
        <f t="shared" si="104"/>
        <v>1200</v>
      </c>
      <c r="BC290">
        <v>1</v>
      </c>
      <c r="BD290" t="str">
        <f t="shared" si="105"/>
        <v xml:space="preserve">N52156  </v>
      </c>
      <c r="BE290">
        <v>1</v>
      </c>
      <c r="BG290">
        <v>0</v>
      </c>
      <c r="BH290">
        <v>0</v>
      </c>
      <c r="BI290">
        <v>0</v>
      </c>
      <c r="BJ290">
        <v>1825</v>
      </c>
      <c r="BK290">
        <v>-75</v>
      </c>
      <c r="BL290" t="s">
        <v>188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 t="shared" ref="CE290:CE295" si="117">"15:05:20.254"</f>
        <v>15:05:20.254</v>
      </c>
      <c r="CF290">
        <v>254443555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5</v>
      </c>
      <c r="CY290">
        <v>7</v>
      </c>
      <c r="CZ290" t="s">
        <v>133</v>
      </c>
      <c r="DA290">
        <v>275</v>
      </c>
      <c r="DB290">
        <v>0</v>
      </c>
      <c r="DC290" t="s">
        <v>134</v>
      </c>
      <c r="DD290" t="s">
        <v>135</v>
      </c>
      <c r="DG290">
        <v>3318078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"05/01/2025 15:05:20.494"</f>
        <v>05/01/2025 15:05:20.494</v>
      </c>
      <c r="C291" t="str">
        <f t="shared" si="102"/>
        <v>FFDFD3C0</v>
      </c>
      <c r="D291" t="s">
        <v>143</v>
      </c>
      <c r="E291" t="str">
        <f>"05"</f>
        <v>05</v>
      </c>
      <c r="H291">
        <v>172</v>
      </c>
      <c r="I291" t="s">
        <v>141</v>
      </c>
      <c r="J291" t="s">
        <v>144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R291" t="s">
        <v>127</v>
      </c>
      <c r="S291" t="str">
        <f t="shared" si="116"/>
        <v>15:05:20.000</v>
      </c>
      <c r="T291" t="str">
        <f t="shared" si="116"/>
        <v>15:05:20.000</v>
      </c>
      <c r="U291" t="str">
        <f t="shared" si="103"/>
        <v>A68FCB</v>
      </c>
      <c r="V291">
        <v>0</v>
      </c>
      <c r="W291">
        <v>0</v>
      </c>
      <c r="X291">
        <v>2</v>
      </c>
      <c r="Y291">
        <v>0</v>
      </c>
      <c r="AA291">
        <v>1</v>
      </c>
      <c r="AB291">
        <v>8</v>
      </c>
      <c r="AC291">
        <v>3</v>
      </c>
      <c r="AD291">
        <v>0</v>
      </c>
      <c r="AE291">
        <v>9</v>
      </c>
      <c r="AF291" t="s">
        <v>138</v>
      </c>
      <c r="AG291">
        <v>0</v>
      </c>
      <c r="AH291">
        <v>3</v>
      </c>
      <c r="AI291">
        <v>1</v>
      </c>
      <c r="AJ291">
        <v>0</v>
      </c>
      <c r="AK291" t="s">
        <v>229</v>
      </c>
      <c r="AL291">
        <v>38.955824</v>
      </c>
      <c r="AM291" t="s">
        <v>232</v>
      </c>
      <c r="AN291">
        <v>-121.065645</v>
      </c>
      <c r="AO291">
        <v>25</v>
      </c>
      <c r="AP291">
        <v>1900</v>
      </c>
      <c r="AQ291" t="s">
        <v>131</v>
      </c>
      <c r="AR291">
        <v>76</v>
      </c>
      <c r="AS291">
        <v>0</v>
      </c>
      <c r="AT291">
        <v>384</v>
      </c>
      <c r="BB291" t="str">
        <f t="shared" si="104"/>
        <v>1200</v>
      </c>
      <c r="BC291">
        <v>1</v>
      </c>
      <c r="BD291" t="str">
        <f t="shared" si="105"/>
        <v xml:space="preserve">N52156  </v>
      </c>
      <c r="BE291">
        <v>1</v>
      </c>
      <c r="BG291">
        <v>0</v>
      </c>
      <c r="BH291">
        <v>0</v>
      </c>
      <c r="BI291">
        <v>0</v>
      </c>
      <c r="BJ291">
        <v>1825</v>
      </c>
      <c r="BK291">
        <v>-75</v>
      </c>
      <c r="BL291" t="s">
        <v>188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 t="shared" si="117"/>
        <v>15:05:20.254</v>
      </c>
      <c r="CF291">
        <v>254443555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5</v>
      </c>
      <c r="CY291">
        <v>7</v>
      </c>
      <c r="CZ291" t="s">
        <v>133</v>
      </c>
      <c r="DA291">
        <v>275</v>
      </c>
      <c r="DB291">
        <v>0</v>
      </c>
      <c r="DC291" t="s">
        <v>134</v>
      </c>
      <c r="DD291" t="s">
        <v>135</v>
      </c>
      <c r="DG291">
        <v>3318078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"05/01/2025 15:05:20.499"</f>
        <v>05/01/2025 15:05:20.499</v>
      </c>
      <c r="C292" t="str">
        <f t="shared" si="102"/>
        <v>FFDFD3C0</v>
      </c>
      <c r="D292" t="s">
        <v>145</v>
      </c>
      <c r="E292" t="str">
        <f>"09"</f>
        <v>09</v>
      </c>
      <c r="H292">
        <v>51</v>
      </c>
      <c r="I292" t="s">
        <v>147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R292" t="s">
        <v>127</v>
      </c>
      <c r="S292" t="str">
        <f t="shared" si="116"/>
        <v>15:05:20.000</v>
      </c>
      <c r="T292" t="str">
        <f t="shared" si="116"/>
        <v>15:05:20.000</v>
      </c>
      <c r="U292" t="str">
        <f t="shared" si="103"/>
        <v>A68FCB</v>
      </c>
      <c r="V292">
        <v>0</v>
      </c>
      <c r="W292">
        <v>0</v>
      </c>
      <c r="X292">
        <v>2</v>
      </c>
      <c r="Y292">
        <v>0</v>
      </c>
      <c r="AA292">
        <v>1</v>
      </c>
      <c r="AB292">
        <v>8</v>
      </c>
      <c r="AC292">
        <v>3</v>
      </c>
      <c r="AD292">
        <v>0</v>
      </c>
      <c r="AE292">
        <v>9</v>
      </c>
      <c r="AF292" t="s">
        <v>138</v>
      </c>
      <c r="AG292">
        <v>0</v>
      </c>
      <c r="AH292">
        <v>3</v>
      </c>
      <c r="AI292">
        <v>1</v>
      </c>
      <c r="AJ292">
        <v>0</v>
      </c>
      <c r="AK292" t="s">
        <v>229</v>
      </c>
      <c r="AL292">
        <v>38.955824</v>
      </c>
      <c r="AM292" t="s">
        <v>232</v>
      </c>
      <c r="AN292">
        <v>-121.065645</v>
      </c>
      <c r="AO292">
        <v>25</v>
      </c>
      <c r="AP292">
        <v>1900</v>
      </c>
      <c r="AQ292" t="s">
        <v>131</v>
      </c>
      <c r="AR292">
        <v>76</v>
      </c>
      <c r="AS292">
        <v>0</v>
      </c>
      <c r="AT292">
        <v>384</v>
      </c>
      <c r="BB292" t="str">
        <f t="shared" si="104"/>
        <v>1200</v>
      </c>
      <c r="BC292">
        <v>1</v>
      </c>
      <c r="BD292" t="str">
        <f t="shared" si="105"/>
        <v xml:space="preserve">N52156  </v>
      </c>
      <c r="BE292">
        <v>1</v>
      </c>
      <c r="BG292">
        <v>0</v>
      </c>
      <c r="BH292">
        <v>0</v>
      </c>
      <c r="BI292">
        <v>0</v>
      </c>
      <c r="BJ292">
        <v>1825</v>
      </c>
      <c r="BK292">
        <v>-75</v>
      </c>
      <c r="BL292" t="s">
        <v>188</v>
      </c>
      <c r="BM292">
        <v>1</v>
      </c>
      <c r="BN292">
        <v>1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 t="shared" si="117"/>
        <v>15:05:20.254</v>
      </c>
      <c r="CF292">
        <v>254443555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5</v>
      </c>
      <c r="CY292">
        <v>7</v>
      </c>
      <c r="CZ292" t="s">
        <v>133</v>
      </c>
      <c r="DA292">
        <v>275</v>
      </c>
      <c r="DB292">
        <v>0</v>
      </c>
      <c r="DC292" t="s">
        <v>134</v>
      </c>
      <c r="DD292" t="s">
        <v>135</v>
      </c>
      <c r="DG292">
        <v>3318078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"05/01/2025 15:05:20.499"</f>
        <v>05/01/2025 15:05:20.499</v>
      </c>
      <c r="C293" t="str">
        <f t="shared" si="102"/>
        <v>FFDFD3C0</v>
      </c>
      <c r="D293" t="s">
        <v>145</v>
      </c>
      <c r="E293" t="str">
        <f>"05"</f>
        <v>05</v>
      </c>
      <c r="H293">
        <v>47</v>
      </c>
      <c r="I293" t="s">
        <v>146</v>
      </c>
      <c r="J293" t="s">
        <v>138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R293" t="s">
        <v>127</v>
      </c>
      <c r="S293" t="str">
        <f t="shared" si="116"/>
        <v>15:05:20.000</v>
      </c>
      <c r="T293" t="str">
        <f t="shared" si="116"/>
        <v>15:05:20.000</v>
      </c>
      <c r="U293" t="str">
        <f t="shared" si="103"/>
        <v>A68FCB</v>
      </c>
      <c r="V293">
        <v>0</v>
      </c>
      <c r="W293">
        <v>0</v>
      </c>
      <c r="X293">
        <v>2</v>
      </c>
      <c r="Y293">
        <v>0</v>
      </c>
      <c r="AA293">
        <v>1</v>
      </c>
      <c r="AB293">
        <v>8</v>
      </c>
      <c r="AC293">
        <v>3</v>
      </c>
      <c r="AD293">
        <v>0</v>
      </c>
      <c r="AE293">
        <v>9</v>
      </c>
      <c r="AF293" t="s">
        <v>138</v>
      </c>
      <c r="AG293">
        <v>0</v>
      </c>
      <c r="AH293">
        <v>3</v>
      </c>
      <c r="AI293">
        <v>1</v>
      </c>
      <c r="AJ293">
        <v>0</v>
      </c>
      <c r="AK293" t="s">
        <v>229</v>
      </c>
      <c r="AL293">
        <v>38.955824</v>
      </c>
      <c r="AM293" t="s">
        <v>232</v>
      </c>
      <c r="AN293">
        <v>-121.065645</v>
      </c>
      <c r="AO293">
        <v>25</v>
      </c>
      <c r="AP293">
        <v>1900</v>
      </c>
      <c r="AQ293" t="s">
        <v>131</v>
      </c>
      <c r="AR293">
        <v>76</v>
      </c>
      <c r="AS293">
        <v>0</v>
      </c>
      <c r="AT293">
        <v>384</v>
      </c>
      <c r="BB293" t="str">
        <f t="shared" si="104"/>
        <v>1200</v>
      </c>
      <c r="BC293">
        <v>1</v>
      </c>
      <c r="BD293" t="str">
        <f t="shared" si="105"/>
        <v xml:space="preserve">N52156  </v>
      </c>
      <c r="BE293">
        <v>1</v>
      </c>
      <c r="BG293">
        <v>0</v>
      </c>
      <c r="BH293">
        <v>0</v>
      </c>
      <c r="BI293">
        <v>0</v>
      </c>
      <c r="BJ293">
        <v>1825</v>
      </c>
      <c r="BK293">
        <v>-75</v>
      </c>
      <c r="BL293" t="s">
        <v>188</v>
      </c>
      <c r="BM293">
        <v>1</v>
      </c>
      <c r="BN293">
        <v>1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 t="shared" si="117"/>
        <v>15:05:20.254</v>
      </c>
      <c r="CF293">
        <v>254443555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5</v>
      </c>
      <c r="CY293">
        <v>7</v>
      </c>
      <c r="CZ293" t="s">
        <v>133</v>
      </c>
      <c r="DA293">
        <v>275</v>
      </c>
      <c r="DB293">
        <v>0</v>
      </c>
      <c r="DC293" t="s">
        <v>134</v>
      </c>
      <c r="DD293" t="s">
        <v>135</v>
      </c>
      <c r="DG293">
        <v>3318078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"05/01/2025 15:05:20.503"</f>
        <v>05/01/2025 15:05:20.503</v>
      </c>
      <c r="C294" t="str">
        <f t="shared" si="102"/>
        <v>FFDFD3C0</v>
      </c>
      <c r="D294" t="s">
        <v>124</v>
      </c>
      <c r="E294" t="str">
        <f>"06"</f>
        <v>06</v>
      </c>
      <c r="F294">
        <v>2006</v>
      </c>
      <c r="G294" t="s">
        <v>125</v>
      </c>
      <c r="J294" t="s">
        <v>126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R294" t="s">
        <v>127</v>
      </c>
      <c r="S294" t="str">
        <f t="shared" si="116"/>
        <v>15:05:20.000</v>
      </c>
      <c r="T294" t="str">
        <f t="shared" si="116"/>
        <v>15:05:20.000</v>
      </c>
      <c r="U294" t="str">
        <f t="shared" si="103"/>
        <v>A68FCB</v>
      </c>
      <c r="V294">
        <v>0</v>
      </c>
      <c r="W294">
        <v>0</v>
      </c>
      <c r="X294">
        <v>2</v>
      </c>
      <c r="Y294">
        <v>0</v>
      </c>
      <c r="AA294">
        <v>1</v>
      </c>
      <c r="AB294">
        <v>8</v>
      </c>
      <c r="AC294">
        <v>3</v>
      </c>
      <c r="AD294">
        <v>0</v>
      </c>
      <c r="AE294">
        <v>9</v>
      </c>
      <c r="AF294" t="s">
        <v>138</v>
      </c>
      <c r="AG294">
        <v>0</v>
      </c>
      <c r="AH294">
        <v>3</v>
      </c>
      <c r="AI294">
        <v>1</v>
      </c>
      <c r="AJ294">
        <v>0</v>
      </c>
      <c r="AK294" t="s">
        <v>229</v>
      </c>
      <c r="AL294">
        <v>38.955824</v>
      </c>
      <c r="AM294" t="s">
        <v>232</v>
      </c>
      <c r="AN294">
        <v>-121.065645</v>
      </c>
      <c r="AO294">
        <v>25</v>
      </c>
      <c r="AP294">
        <v>1900</v>
      </c>
      <c r="AQ294" t="s">
        <v>131</v>
      </c>
      <c r="AR294">
        <v>76</v>
      </c>
      <c r="AS294">
        <v>0</v>
      </c>
      <c r="AT294">
        <v>384</v>
      </c>
      <c r="BB294" t="str">
        <f t="shared" si="104"/>
        <v>1200</v>
      </c>
      <c r="BC294">
        <v>1</v>
      </c>
      <c r="BD294" t="str">
        <f t="shared" si="105"/>
        <v xml:space="preserve">N52156  </v>
      </c>
      <c r="BE294">
        <v>1</v>
      </c>
      <c r="BG294">
        <v>0</v>
      </c>
      <c r="BH294">
        <v>0</v>
      </c>
      <c r="BI294">
        <v>0</v>
      </c>
      <c r="BJ294">
        <v>1825</v>
      </c>
      <c r="BK294">
        <v>-75</v>
      </c>
      <c r="BL294" t="s">
        <v>188</v>
      </c>
      <c r="BM294">
        <v>1</v>
      </c>
      <c r="BN294">
        <v>1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 t="shared" si="117"/>
        <v>15:05:20.254</v>
      </c>
      <c r="CF294">
        <v>254443555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5</v>
      </c>
      <c r="CY294">
        <v>7</v>
      </c>
      <c r="CZ294" t="s">
        <v>133</v>
      </c>
      <c r="DA294">
        <v>275</v>
      </c>
      <c r="DB294">
        <v>0</v>
      </c>
      <c r="DC294" t="s">
        <v>134</v>
      </c>
      <c r="DD294" t="s">
        <v>135</v>
      </c>
      <c r="DG294">
        <v>3318078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"05/01/2025 15:05:20.512"</f>
        <v>05/01/2025 15:05:20.512</v>
      </c>
      <c r="C295" t="str">
        <f t="shared" si="102"/>
        <v>FFDFD3C0</v>
      </c>
      <c r="D295" t="s">
        <v>136</v>
      </c>
      <c r="E295" t="str">
        <f>"20"</f>
        <v>20</v>
      </c>
      <c r="H295">
        <v>400</v>
      </c>
      <c r="I295" t="s">
        <v>137</v>
      </c>
      <c r="J295" t="s">
        <v>138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R295" t="s">
        <v>127</v>
      </c>
      <c r="S295" t="str">
        <f t="shared" si="116"/>
        <v>15:05:20.000</v>
      </c>
      <c r="T295" t="str">
        <f t="shared" si="116"/>
        <v>15:05:20.000</v>
      </c>
      <c r="U295" t="str">
        <f t="shared" si="103"/>
        <v>A68FCB</v>
      </c>
      <c r="V295">
        <v>0</v>
      </c>
      <c r="W295">
        <v>0</v>
      </c>
      <c r="X295">
        <v>2</v>
      </c>
      <c r="Y295">
        <v>0</v>
      </c>
      <c r="AA295">
        <v>1</v>
      </c>
      <c r="AB295">
        <v>8</v>
      </c>
      <c r="AC295">
        <v>3</v>
      </c>
      <c r="AD295">
        <v>0</v>
      </c>
      <c r="AE295">
        <v>9</v>
      </c>
      <c r="AF295" t="s">
        <v>138</v>
      </c>
      <c r="AG295">
        <v>0</v>
      </c>
      <c r="AH295">
        <v>3</v>
      </c>
      <c r="AI295">
        <v>1</v>
      </c>
      <c r="AJ295">
        <v>0</v>
      </c>
      <c r="AK295" t="s">
        <v>229</v>
      </c>
      <c r="AL295">
        <v>38.955824</v>
      </c>
      <c r="AM295" t="s">
        <v>232</v>
      </c>
      <c r="AN295">
        <v>-121.065645</v>
      </c>
      <c r="AO295">
        <v>25</v>
      </c>
      <c r="AP295">
        <v>1900</v>
      </c>
      <c r="AQ295" t="s">
        <v>131</v>
      </c>
      <c r="AR295">
        <v>76</v>
      </c>
      <c r="AS295">
        <v>0</v>
      </c>
      <c r="AT295">
        <v>384</v>
      </c>
      <c r="BB295" t="str">
        <f t="shared" si="104"/>
        <v>1200</v>
      </c>
      <c r="BC295">
        <v>1</v>
      </c>
      <c r="BD295" t="str">
        <f t="shared" si="105"/>
        <v xml:space="preserve">N52156  </v>
      </c>
      <c r="BE295">
        <v>1</v>
      </c>
      <c r="BG295">
        <v>0</v>
      </c>
      <c r="BH295">
        <v>0</v>
      </c>
      <c r="BI295">
        <v>0</v>
      </c>
      <c r="BJ295">
        <v>1825</v>
      </c>
      <c r="BK295">
        <v>-75</v>
      </c>
      <c r="BL295" t="s">
        <v>188</v>
      </c>
      <c r="BM295">
        <v>1</v>
      </c>
      <c r="BN295">
        <v>1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 t="shared" si="117"/>
        <v>15:05:20.254</v>
      </c>
      <c r="CF295">
        <v>254443555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133</v>
      </c>
      <c r="DA295">
        <v>275</v>
      </c>
      <c r="DB295">
        <v>0</v>
      </c>
      <c r="DC295" t="s">
        <v>134</v>
      </c>
      <c r="DD295" t="s">
        <v>135</v>
      </c>
      <c r="DG295">
        <v>3318078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"05/01/2025 15:05:21.441"</f>
        <v>05/01/2025 15:05:21.441</v>
      </c>
      <c r="C296" t="str">
        <f t="shared" si="102"/>
        <v>FFDFD3C0</v>
      </c>
      <c r="D296" t="s">
        <v>140</v>
      </c>
      <c r="E296" t="str">
        <f>"13"</f>
        <v>13</v>
      </c>
      <c r="F296">
        <v>1019</v>
      </c>
      <c r="G296" t="s">
        <v>141</v>
      </c>
      <c r="J296" t="s">
        <v>142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R296" t="s">
        <v>127</v>
      </c>
      <c r="S296" t="str">
        <f t="shared" ref="S296:T301" si="118">"15:05:21.000"</f>
        <v>15:05:21.000</v>
      </c>
      <c r="T296" t="str">
        <f t="shared" si="118"/>
        <v>15:05:21.000</v>
      </c>
      <c r="U296" t="str">
        <f t="shared" si="103"/>
        <v>A68FCB</v>
      </c>
      <c r="V296">
        <v>0</v>
      </c>
      <c r="W296">
        <v>0</v>
      </c>
      <c r="X296">
        <v>2</v>
      </c>
      <c r="Y296">
        <v>0</v>
      </c>
      <c r="AA296">
        <v>1</v>
      </c>
      <c r="AB296">
        <v>8</v>
      </c>
      <c r="AC296">
        <v>3</v>
      </c>
      <c r="AD296">
        <v>0</v>
      </c>
      <c r="AE296">
        <v>9</v>
      </c>
      <c r="AF296" t="s">
        <v>138</v>
      </c>
      <c r="AG296">
        <v>0</v>
      </c>
      <c r="AH296">
        <v>3</v>
      </c>
      <c r="AI296">
        <v>1</v>
      </c>
      <c r="AJ296">
        <v>0</v>
      </c>
      <c r="AK296" t="s">
        <v>233</v>
      </c>
      <c r="AL296">
        <v>38.955846000000001</v>
      </c>
      <c r="AM296" t="s">
        <v>234</v>
      </c>
      <c r="AN296">
        <v>-121.065195</v>
      </c>
      <c r="AO296">
        <v>25</v>
      </c>
      <c r="AP296">
        <v>1900</v>
      </c>
      <c r="AQ296" t="s">
        <v>131</v>
      </c>
      <c r="AR296">
        <v>78</v>
      </c>
      <c r="AS296">
        <v>5</v>
      </c>
      <c r="AT296">
        <v>192</v>
      </c>
      <c r="BB296" t="str">
        <f t="shared" si="104"/>
        <v>1200</v>
      </c>
      <c r="BC296">
        <v>1</v>
      </c>
      <c r="BD296" t="str">
        <f t="shared" si="105"/>
        <v xml:space="preserve">N52156  </v>
      </c>
      <c r="BE296">
        <v>1</v>
      </c>
      <c r="BG296">
        <v>0</v>
      </c>
      <c r="BH296">
        <v>0</v>
      </c>
      <c r="BI296">
        <v>0</v>
      </c>
      <c r="BJ296">
        <v>1850</v>
      </c>
      <c r="BK296">
        <v>-50</v>
      </c>
      <c r="BL296" t="s">
        <v>188</v>
      </c>
      <c r="BM296">
        <v>1</v>
      </c>
      <c r="BN296">
        <v>1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 t="shared" ref="CE296:CE301" si="119">"15:05:21.215"</f>
        <v>15:05:21.215</v>
      </c>
      <c r="CF296">
        <v>214693503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5</v>
      </c>
      <c r="CY296">
        <v>7</v>
      </c>
      <c r="CZ296" t="s">
        <v>133</v>
      </c>
      <c r="DA296">
        <v>275</v>
      </c>
      <c r="DB296">
        <v>0</v>
      </c>
      <c r="DC296" t="s">
        <v>134</v>
      </c>
      <c r="DD296" t="s">
        <v>135</v>
      </c>
      <c r="DG296">
        <v>3318092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"05/01/2025 15:05:21.446"</f>
        <v>05/01/2025 15:05:21.446</v>
      </c>
      <c r="C297" t="str">
        <f t="shared" si="102"/>
        <v>FFDFD3C0</v>
      </c>
      <c r="D297" t="s">
        <v>143</v>
      </c>
      <c r="E297" t="str">
        <f>"05"</f>
        <v>05</v>
      </c>
      <c r="H297">
        <v>172</v>
      </c>
      <c r="I297" t="s">
        <v>141</v>
      </c>
      <c r="J297" t="s">
        <v>144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R297" t="s">
        <v>127</v>
      </c>
      <c r="S297" t="str">
        <f t="shared" si="118"/>
        <v>15:05:21.000</v>
      </c>
      <c r="T297" t="str">
        <f t="shared" si="118"/>
        <v>15:05:21.000</v>
      </c>
      <c r="U297" t="str">
        <f t="shared" si="103"/>
        <v>A68FCB</v>
      </c>
      <c r="V297">
        <v>0</v>
      </c>
      <c r="W297">
        <v>0</v>
      </c>
      <c r="X297">
        <v>2</v>
      </c>
      <c r="Y297">
        <v>0</v>
      </c>
      <c r="AA297">
        <v>1</v>
      </c>
      <c r="AB297">
        <v>8</v>
      </c>
      <c r="AC297">
        <v>3</v>
      </c>
      <c r="AD297">
        <v>0</v>
      </c>
      <c r="AE297">
        <v>9</v>
      </c>
      <c r="AF297" t="s">
        <v>138</v>
      </c>
      <c r="AG297">
        <v>0</v>
      </c>
      <c r="AH297">
        <v>3</v>
      </c>
      <c r="AI297">
        <v>1</v>
      </c>
      <c r="AJ297">
        <v>0</v>
      </c>
      <c r="AK297" t="s">
        <v>233</v>
      </c>
      <c r="AL297">
        <v>38.955846000000001</v>
      </c>
      <c r="AM297" t="s">
        <v>234</v>
      </c>
      <c r="AN297">
        <v>-121.065195</v>
      </c>
      <c r="AO297">
        <v>25</v>
      </c>
      <c r="AP297">
        <v>1900</v>
      </c>
      <c r="AQ297" t="s">
        <v>131</v>
      </c>
      <c r="AR297">
        <v>78</v>
      </c>
      <c r="AS297">
        <v>5</v>
      </c>
      <c r="AT297">
        <v>192</v>
      </c>
      <c r="BB297" t="str">
        <f t="shared" si="104"/>
        <v>1200</v>
      </c>
      <c r="BC297">
        <v>1</v>
      </c>
      <c r="BD297" t="str">
        <f t="shared" si="105"/>
        <v xml:space="preserve">N52156  </v>
      </c>
      <c r="BE297">
        <v>1</v>
      </c>
      <c r="BG297">
        <v>0</v>
      </c>
      <c r="BH297">
        <v>0</v>
      </c>
      <c r="BI297">
        <v>0</v>
      </c>
      <c r="BJ297">
        <v>1850</v>
      </c>
      <c r="BK297">
        <v>-50</v>
      </c>
      <c r="BL297" t="s">
        <v>188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 t="shared" si="119"/>
        <v>15:05:21.215</v>
      </c>
      <c r="CF297">
        <v>214693503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5</v>
      </c>
      <c r="CY297">
        <v>7</v>
      </c>
      <c r="CZ297" t="s">
        <v>133</v>
      </c>
      <c r="DA297">
        <v>275</v>
      </c>
      <c r="DB297">
        <v>0</v>
      </c>
      <c r="DC297" t="s">
        <v>134</v>
      </c>
      <c r="DD297" t="s">
        <v>135</v>
      </c>
      <c r="DG297">
        <v>3318092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"05/01/2025 15:05:21.450"</f>
        <v>05/01/2025 15:05:21.450</v>
      </c>
      <c r="C298" t="str">
        <f t="shared" si="102"/>
        <v>FFDFD3C0</v>
      </c>
      <c r="D298" t="s">
        <v>145</v>
      </c>
      <c r="E298" t="str">
        <f>"05"</f>
        <v>05</v>
      </c>
      <c r="H298">
        <v>47</v>
      </c>
      <c r="I298" t="s">
        <v>146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R298" t="s">
        <v>127</v>
      </c>
      <c r="S298" t="str">
        <f t="shared" si="118"/>
        <v>15:05:21.000</v>
      </c>
      <c r="T298" t="str">
        <f t="shared" si="118"/>
        <v>15:05:21.000</v>
      </c>
      <c r="U298" t="str">
        <f t="shared" si="103"/>
        <v>A68FCB</v>
      </c>
      <c r="V298">
        <v>0</v>
      </c>
      <c r="W298">
        <v>0</v>
      </c>
      <c r="X298">
        <v>2</v>
      </c>
      <c r="Y298">
        <v>0</v>
      </c>
      <c r="AA298">
        <v>1</v>
      </c>
      <c r="AB298">
        <v>8</v>
      </c>
      <c r="AC298">
        <v>3</v>
      </c>
      <c r="AD298">
        <v>0</v>
      </c>
      <c r="AE298">
        <v>9</v>
      </c>
      <c r="AF298" t="s">
        <v>138</v>
      </c>
      <c r="AG298">
        <v>0</v>
      </c>
      <c r="AH298">
        <v>3</v>
      </c>
      <c r="AI298">
        <v>1</v>
      </c>
      <c r="AJ298">
        <v>0</v>
      </c>
      <c r="AK298" t="s">
        <v>233</v>
      </c>
      <c r="AL298">
        <v>38.955846000000001</v>
      </c>
      <c r="AM298" t="s">
        <v>234</v>
      </c>
      <c r="AN298">
        <v>-121.065195</v>
      </c>
      <c r="AO298">
        <v>25</v>
      </c>
      <c r="AP298">
        <v>1900</v>
      </c>
      <c r="AQ298" t="s">
        <v>131</v>
      </c>
      <c r="AR298">
        <v>78</v>
      </c>
      <c r="AS298">
        <v>5</v>
      </c>
      <c r="AT298">
        <v>192</v>
      </c>
      <c r="BB298" t="str">
        <f t="shared" si="104"/>
        <v>1200</v>
      </c>
      <c r="BC298">
        <v>1</v>
      </c>
      <c r="BD298" t="str">
        <f t="shared" si="105"/>
        <v xml:space="preserve">N52156  </v>
      </c>
      <c r="BE298">
        <v>1</v>
      </c>
      <c r="BG298">
        <v>0</v>
      </c>
      <c r="BH298">
        <v>0</v>
      </c>
      <c r="BI298">
        <v>0</v>
      </c>
      <c r="BJ298">
        <v>1850</v>
      </c>
      <c r="BK298">
        <v>-50</v>
      </c>
      <c r="BL298" t="s">
        <v>188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 t="shared" si="119"/>
        <v>15:05:21.215</v>
      </c>
      <c r="CF298">
        <v>214693503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133</v>
      </c>
      <c r="DA298">
        <v>275</v>
      </c>
      <c r="DB298">
        <v>0</v>
      </c>
      <c r="DC298" t="s">
        <v>134</v>
      </c>
      <c r="DD298" t="s">
        <v>135</v>
      </c>
      <c r="DG298">
        <v>3318092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"05/01/2025 15:05:21.451"</f>
        <v>05/01/2025 15:05:21.451</v>
      </c>
      <c r="C299" t="str">
        <f t="shared" si="102"/>
        <v>FFDFD3C0</v>
      </c>
      <c r="D299" t="s">
        <v>145</v>
      </c>
      <c r="E299" t="str">
        <f>"09"</f>
        <v>09</v>
      </c>
      <c r="H299">
        <v>51</v>
      </c>
      <c r="I299" t="s">
        <v>147</v>
      </c>
      <c r="J299" t="s">
        <v>138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R299" t="s">
        <v>127</v>
      </c>
      <c r="S299" t="str">
        <f t="shared" si="118"/>
        <v>15:05:21.000</v>
      </c>
      <c r="T299" t="str">
        <f t="shared" si="118"/>
        <v>15:05:21.000</v>
      </c>
      <c r="U299" t="str">
        <f t="shared" si="103"/>
        <v>A68FCB</v>
      </c>
      <c r="V299">
        <v>0</v>
      </c>
      <c r="W299">
        <v>0</v>
      </c>
      <c r="X299">
        <v>2</v>
      </c>
      <c r="Y299">
        <v>0</v>
      </c>
      <c r="AA299">
        <v>1</v>
      </c>
      <c r="AB299">
        <v>8</v>
      </c>
      <c r="AC299">
        <v>3</v>
      </c>
      <c r="AD299">
        <v>0</v>
      </c>
      <c r="AE299">
        <v>9</v>
      </c>
      <c r="AF299" t="s">
        <v>138</v>
      </c>
      <c r="AG299">
        <v>0</v>
      </c>
      <c r="AH299">
        <v>3</v>
      </c>
      <c r="AI299">
        <v>1</v>
      </c>
      <c r="AJ299">
        <v>0</v>
      </c>
      <c r="AK299" t="s">
        <v>233</v>
      </c>
      <c r="AL299">
        <v>38.955846000000001</v>
      </c>
      <c r="AM299" t="s">
        <v>234</v>
      </c>
      <c r="AN299">
        <v>-121.065195</v>
      </c>
      <c r="AO299">
        <v>25</v>
      </c>
      <c r="AP299">
        <v>1900</v>
      </c>
      <c r="AQ299" t="s">
        <v>131</v>
      </c>
      <c r="AR299">
        <v>78</v>
      </c>
      <c r="AS299">
        <v>5</v>
      </c>
      <c r="AT299">
        <v>192</v>
      </c>
      <c r="BB299" t="str">
        <f t="shared" si="104"/>
        <v>1200</v>
      </c>
      <c r="BC299">
        <v>1</v>
      </c>
      <c r="BD299" t="str">
        <f t="shared" si="105"/>
        <v xml:space="preserve">N52156  </v>
      </c>
      <c r="BE299">
        <v>1</v>
      </c>
      <c r="BG299">
        <v>0</v>
      </c>
      <c r="BH299">
        <v>0</v>
      </c>
      <c r="BI299">
        <v>0</v>
      </c>
      <c r="BJ299">
        <v>1850</v>
      </c>
      <c r="BK299">
        <v>-50</v>
      </c>
      <c r="BL299" t="s">
        <v>188</v>
      </c>
      <c r="BM299">
        <v>1</v>
      </c>
      <c r="BN299">
        <v>1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 t="shared" si="119"/>
        <v>15:05:21.215</v>
      </c>
      <c r="CF299">
        <v>214693503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133</v>
      </c>
      <c r="DA299">
        <v>275</v>
      </c>
      <c r="DB299">
        <v>0</v>
      </c>
      <c r="DC299" t="s">
        <v>134</v>
      </c>
      <c r="DD299" t="s">
        <v>135</v>
      </c>
      <c r="DG299">
        <v>3318092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"05/01/2025 15:05:21.454"</f>
        <v>05/01/2025 15:05:21.454</v>
      </c>
      <c r="C300" t="str">
        <f t="shared" si="102"/>
        <v>FFDFD3C0</v>
      </c>
      <c r="D300" t="s">
        <v>124</v>
      </c>
      <c r="E300" t="str">
        <f>"06"</f>
        <v>06</v>
      </c>
      <c r="F300">
        <v>2006</v>
      </c>
      <c r="G300" t="s">
        <v>125</v>
      </c>
      <c r="J300" t="s">
        <v>126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R300" t="s">
        <v>127</v>
      </c>
      <c r="S300" t="str">
        <f t="shared" si="118"/>
        <v>15:05:21.000</v>
      </c>
      <c r="T300" t="str">
        <f t="shared" si="118"/>
        <v>15:05:21.000</v>
      </c>
      <c r="U300" t="str">
        <f t="shared" si="103"/>
        <v>A68FCB</v>
      </c>
      <c r="V300">
        <v>0</v>
      </c>
      <c r="W300">
        <v>0</v>
      </c>
      <c r="X300">
        <v>2</v>
      </c>
      <c r="Y300">
        <v>0</v>
      </c>
      <c r="AA300">
        <v>1</v>
      </c>
      <c r="AB300">
        <v>8</v>
      </c>
      <c r="AC300">
        <v>3</v>
      </c>
      <c r="AD300">
        <v>0</v>
      </c>
      <c r="AE300">
        <v>9</v>
      </c>
      <c r="AF300" t="s">
        <v>138</v>
      </c>
      <c r="AG300">
        <v>0</v>
      </c>
      <c r="AH300">
        <v>3</v>
      </c>
      <c r="AI300">
        <v>1</v>
      </c>
      <c r="AJ300">
        <v>0</v>
      </c>
      <c r="AK300" t="s">
        <v>233</v>
      </c>
      <c r="AL300">
        <v>38.955846000000001</v>
      </c>
      <c r="AM300" t="s">
        <v>234</v>
      </c>
      <c r="AN300">
        <v>-121.065195</v>
      </c>
      <c r="AO300">
        <v>25</v>
      </c>
      <c r="AP300">
        <v>1900</v>
      </c>
      <c r="AQ300" t="s">
        <v>131</v>
      </c>
      <c r="AR300">
        <v>78</v>
      </c>
      <c r="AS300">
        <v>5</v>
      </c>
      <c r="AT300">
        <v>192</v>
      </c>
      <c r="BB300" t="str">
        <f t="shared" si="104"/>
        <v>1200</v>
      </c>
      <c r="BC300">
        <v>1</v>
      </c>
      <c r="BD300" t="str">
        <f t="shared" si="105"/>
        <v xml:space="preserve">N52156  </v>
      </c>
      <c r="BE300">
        <v>1</v>
      </c>
      <c r="BG300">
        <v>0</v>
      </c>
      <c r="BH300">
        <v>0</v>
      </c>
      <c r="BI300">
        <v>0</v>
      </c>
      <c r="BJ300">
        <v>1850</v>
      </c>
      <c r="BK300">
        <v>-50</v>
      </c>
      <c r="BL300" t="s">
        <v>188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 t="shared" si="119"/>
        <v>15:05:21.215</v>
      </c>
      <c r="CF300">
        <v>214693503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133</v>
      </c>
      <c r="DA300">
        <v>275</v>
      </c>
      <c r="DB300">
        <v>0</v>
      </c>
      <c r="DC300" t="s">
        <v>134</v>
      </c>
      <c r="DD300" t="s">
        <v>135</v>
      </c>
      <c r="DG300">
        <v>3318092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"05/01/2025 15:05:21.463"</f>
        <v>05/01/2025 15:05:21.463</v>
      </c>
      <c r="C301" t="str">
        <f t="shared" si="102"/>
        <v>FFDFD3C0</v>
      </c>
      <c r="D301" t="s">
        <v>136</v>
      </c>
      <c r="E301" t="str">
        <f>"20"</f>
        <v>20</v>
      </c>
      <c r="H301">
        <v>400</v>
      </c>
      <c r="I301" t="s">
        <v>137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R301" t="s">
        <v>127</v>
      </c>
      <c r="S301" t="str">
        <f t="shared" si="118"/>
        <v>15:05:21.000</v>
      </c>
      <c r="T301" t="str">
        <f t="shared" si="118"/>
        <v>15:05:21.000</v>
      </c>
      <c r="U301" t="str">
        <f t="shared" si="103"/>
        <v>A68FCB</v>
      </c>
      <c r="V301">
        <v>0</v>
      </c>
      <c r="W301">
        <v>0</v>
      </c>
      <c r="X301">
        <v>2</v>
      </c>
      <c r="Y301">
        <v>0</v>
      </c>
      <c r="AA301">
        <v>1</v>
      </c>
      <c r="AB301">
        <v>8</v>
      </c>
      <c r="AC301">
        <v>3</v>
      </c>
      <c r="AD301">
        <v>0</v>
      </c>
      <c r="AE301">
        <v>9</v>
      </c>
      <c r="AF301" t="s">
        <v>138</v>
      </c>
      <c r="AG301">
        <v>0</v>
      </c>
      <c r="AH301">
        <v>3</v>
      </c>
      <c r="AI301">
        <v>1</v>
      </c>
      <c r="AJ301">
        <v>0</v>
      </c>
      <c r="AK301" t="s">
        <v>233</v>
      </c>
      <c r="AL301">
        <v>38.955846000000001</v>
      </c>
      <c r="AM301" t="s">
        <v>234</v>
      </c>
      <c r="AN301">
        <v>-121.065195</v>
      </c>
      <c r="AO301">
        <v>25</v>
      </c>
      <c r="AP301">
        <v>1900</v>
      </c>
      <c r="AQ301" t="s">
        <v>131</v>
      </c>
      <c r="AR301">
        <v>78</v>
      </c>
      <c r="AS301">
        <v>5</v>
      </c>
      <c r="AT301">
        <v>192</v>
      </c>
      <c r="BB301" t="str">
        <f t="shared" si="104"/>
        <v>1200</v>
      </c>
      <c r="BC301">
        <v>1</v>
      </c>
      <c r="BD301" t="str">
        <f t="shared" si="105"/>
        <v xml:space="preserve">N52156  </v>
      </c>
      <c r="BE301">
        <v>1</v>
      </c>
      <c r="BG301">
        <v>0</v>
      </c>
      <c r="BH301">
        <v>0</v>
      </c>
      <c r="BI301">
        <v>0</v>
      </c>
      <c r="BJ301">
        <v>1850</v>
      </c>
      <c r="BK301">
        <v>-50</v>
      </c>
      <c r="BL301" t="s">
        <v>188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 t="shared" si="119"/>
        <v>15:05:21.215</v>
      </c>
      <c r="CF301">
        <v>214693503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5</v>
      </c>
      <c r="CY301">
        <v>7</v>
      </c>
      <c r="CZ301" t="s">
        <v>133</v>
      </c>
      <c r="DA301">
        <v>275</v>
      </c>
      <c r="DB301">
        <v>0</v>
      </c>
      <c r="DC301" t="s">
        <v>134</v>
      </c>
      <c r="DD301" t="s">
        <v>135</v>
      </c>
      <c r="DG301">
        <v>3318092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"05/01/2025 15:05:23.094"</f>
        <v>05/01/2025 15:05:23.094</v>
      </c>
      <c r="C302" t="str">
        <f t="shared" si="102"/>
        <v>FFDFD3C0</v>
      </c>
      <c r="D302" t="s">
        <v>140</v>
      </c>
      <c r="E302" t="str">
        <f>"13"</f>
        <v>13</v>
      </c>
      <c r="F302">
        <v>1019</v>
      </c>
      <c r="G302" t="s">
        <v>141</v>
      </c>
      <c r="J302" t="s">
        <v>142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R302" t="s">
        <v>127</v>
      </c>
      <c r="S302" t="str">
        <f t="shared" ref="S302:T307" si="120">"15:05:22.000"</f>
        <v>15:05:22.000</v>
      </c>
      <c r="T302" t="str">
        <f t="shared" si="120"/>
        <v>15:05:22.000</v>
      </c>
      <c r="U302" t="str">
        <f t="shared" si="103"/>
        <v>A68FCB</v>
      </c>
      <c r="V302">
        <v>0</v>
      </c>
      <c r="W302">
        <v>0</v>
      </c>
      <c r="X302">
        <v>2</v>
      </c>
      <c r="Y302">
        <v>0</v>
      </c>
      <c r="AA302">
        <v>1</v>
      </c>
      <c r="AB302">
        <v>8</v>
      </c>
      <c r="AC302">
        <v>3</v>
      </c>
      <c r="AD302">
        <v>0</v>
      </c>
      <c r="AE302">
        <v>9</v>
      </c>
      <c r="AF302" t="s">
        <v>138</v>
      </c>
      <c r="AG302">
        <v>0</v>
      </c>
      <c r="AH302">
        <v>3</v>
      </c>
      <c r="AI302">
        <v>1</v>
      </c>
      <c r="AJ302">
        <v>0</v>
      </c>
      <c r="AK302" t="s">
        <v>233</v>
      </c>
      <c r="AL302">
        <v>38.955846000000001</v>
      </c>
      <c r="AM302" t="s">
        <v>235</v>
      </c>
      <c r="AN302">
        <v>-121.064744</v>
      </c>
      <c r="AO302">
        <v>25</v>
      </c>
      <c r="AP302">
        <v>1900</v>
      </c>
      <c r="AQ302" t="s">
        <v>131</v>
      </c>
      <c r="AR302">
        <v>75</v>
      </c>
      <c r="AS302">
        <v>0</v>
      </c>
      <c r="AT302">
        <v>448</v>
      </c>
      <c r="BB302" t="str">
        <f t="shared" si="104"/>
        <v>1200</v>
      </c>
      <c r="BC302">
        <v>1</v>
      </c>
      <c r="BD302" t="str">
        <f t="shared" si="105"/>
        <v xml:space="preserve">N52156  </v>
      </c>
      <c r="BE302">
        <v>1</v>
      </c>
      <c r="BG302">
        <v>0</v>
      </c>
      <c r="BH302">
        <v>0</v>
      </c>
      <c r="BI302">
        <v>0</v>
      </c>
      <c r="BJ302">
        <v>1875</v>
      </c>
      <c r="BK302">
        <v>-25</v>
      </c>
      <c r="BL302" t="s">
        <v>188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 t="shared" ref="CE302:CE307" si="121">"15:05:22.851"</f>
        <v>15:05:22.851</v>
      </c>
      <c r="CF302">
        <v>851195276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5</v>
      </c>
      <c r="CY302">
        <v>7</v>
      </c>
      <c r="CZ302" t="s">
        <v>133</v>
      </c>
      <c r="DA302">
        <v>275</v>
      </c>
      <c r="DB302">
        <v>0</v>
      </c>
      <c r="DC302" t="s">
        <v>134</v>
      </c>
      <c r="DD302" t="s">
        <v>135</v>
      </c>
      <c r="DG302">
        <v>3318122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"05/01/2025 15:05:23.099"</f>
        <v>05/01/2025 15:05:23.099</v>
      </c>
      <c r="C303" t="str">
        <f t="shared" si="102"/>
        <v>FFDFD3C0</v>
      </c>
      <c r="D303" t="s">
        <v>143</v>
      </c>
      <c r="E303" t="str">
        <f>"05"</f>
        <v>05</v>
      </c>
      <c r="H303">
        <v>172</v>
      </c>
      <c r="I303" t="s">
        <v>141</v>
      </c>
      <c r="J303" t="s">
        <v>144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R303" t="s">
        <v>127</v>
      </c>
      <c r="S303" t="str">
        <f t="shared" si="120"/>
        <v>15:05:22.000</v>
      </c>
      <c r="T303" t="str">
        <f t="shared" si="120"/>
        <v>15:05:22.000</v>
      </c>
      <c r="U303" t="str">
        <f t="shared" si="103"/>
        <v>A68FCB</v>
      </c>
      <c r="V303">
        <v>0</v>
      </c>
      <c r="W303">
        <v>0</v>
      </c>
      <c r="X303">
        <v>2</v>
      </c>
      <c r="Y303">
        <v>0</v>
      </c>
      <c r="AA303">
        <v>1</v>
      </c>
      <c r="AB303">
        <v>8</v>
      </c>
      <c r="AC303">
        <v>3</v>
      </c>
      <c r="AD303">
        <v>0</v>
      </c>
      <c r="AE303">
        <v>9</v>
      </c>
      <c r="AF303" t="s">
        <v>138</v>
      </c>
      <c r="AG303">
        <v>0</v>
      </c>
      <c r="AH303">
        <v>3</v>
      </c>
      <c r="AI303">
        <v>1</v>
      </c>
      <c r="AJ303">
        <v>0</v>
      </c>
      <c r="AK303" t="s">
        <v>233</v>
      </c>
      <c r="AL303">
        <v>38.955846000000001</v>
      </c>
      <c r="AM303" t="s">
        <v>235</v>
      </c>
      <c r="AN303">
        <v>-121.064744</v>
      </c>
      <c r="AO303">
        <v>25</v>
      </c>
      <c r="AP303">
        <v>1900</v>
      </c>
      <c r="AQ303" t="s">
        <v>131</v>
      </c>
      <c r="AR303">
        <v>75</v>
      </c>
      <c r="AS303">
        <v>0</v>
      </c>
      <c r="AT303">
        <v>448</v>
      </c>
      <c r="BB303" t="str">
        <f t="shared" si="104"/>
        <v>1200</v>
      </c>
      <c r="BC303">
        <v>1</v>
      </c>
      <c r="BD303" t="str">
        <f t="shared" si="105"/>
        <v xml:space="preserve">N52156  </v>
      </c>
      <c r="BE303">
        <v>1</v>
      </c>
      <c r="BG303">
        <v>0</v>
      </c>
      <c r="BH303">
        <v>0</v>
      </c>
      <c r="BI303">
        <v>0</v>
      </c>
      <c r="BJ303">
        <v>1875</v>
      </c>
      <c r="BK303">
        <v>-25</v>
      </c>
      <c r="BL303" t="s">
        <v>188</v>
      </c>
      <c r="BM303">
        <v>1</v>
      </c>
      <c r="BN303">
        <v>1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 t="shared" si="121"/>
        <v>15:05:22.851</v>
      </c>
      <c r="CF303">
        <v>851195276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133</v>
      </c>
      <c r="DA303">
        <v>275</v>
      </c>
      <c r="DB303">
        <v>0</v>
      </c>
      <c r="DC303" t="s">
        <v>134</v>
      </c>
      <c r="DD303" t="s">
        <v>135</v>
      </c>
      <c r="DG303">
        <v>3318122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"05/01/2025 15:05:23.104"</f>
        <v>05/01/2025 15:05:23.104</v>
      </c>
      <c r="C304" t="str">
        <f t="shared" si="102"/>
        <v>FFDFD3C0</v>
      </c>
      <c r="D304" t="s">
        <v>145</v>
      </c>
      <c r="E304" t="str">
        <f>"09"</f>
        <v>09</v>
      </c>
      <c r="H304">
        <v>51</v>
      </c>
      <c r="I304" t="s">
        <v>147</v>
      </c>
      <c r="J304" t="s">
        <v>138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R304" t="s">
        <v>127</v>
      </c>
      <c r="S304" t="str">
        <f t="shared" si="120"/>
        <v>15:05:22.000</v>
      </c>
      <c r="T304" t="str">
        <f t="shared" si="120"/>
        <v>15:05:22.000</v>
      </c>
      <c r="U304" t="str">
        <f t="shared" si="103"/>
        <v>A68FCB</v>
      </c>
      <c r="V304">
        <v>0</v>
      </c>
      <c r="W304">
        <v>0</v>
      </c>
      <c r="X304">
        <v>2</v>
      </c>
      <c r="Y304">
        <v>0</v>
      </c>
      <c r="AA304">
        <v>1</v>
      </c>
      <c r="AB304">
        <v>8</v>
      </c>
      <c r="AC304">
        <v>3</v>
      </c>
      <c r="AD304">
        <v>0</v>
      </c>
      <c r="AE304">
        <v>9</v>
      </c>
      <c r="AF304" t="s">
        <v>138</v>
      </c>
      <c r="AG304">
        <v>0</v>
      </c>
      <c r="AH304">
        <v>3</v>
      </c>
      <c r="AI304">
        <v>1</v>
      </c>
      <c r="AJ304">
        <v>0</v>
      </c>
      <c r="AK304" t="s">
        <v>233</v>
      </c>
      <c r="AL304">
        <v>38.955846000000001</v>
      </c>
      <c r="AM304" t="s">
        <v>235</v>
      </c>
      <c r="AN304">
        <v>-121.064744</v>
      </c>
      <c r="AO304">
        <v>25</v>
      </c>
      <c r="AP304">
        <v>1900</v>
      </c>
      <c r="AQ304" t="s">
        <v>131</v>
      </c>
      <c r="AR304">
        <v>75</v>
      </c>
      <c r="AS304">
        <v>0</v>
      </c>
      <c r="AT304">
        <v>448</v>
      </c>
      <c r="BB304" t="str">
        <f t="shared" si="104"/>
        <v>1200</v>
      </c>
      <c r="BC304">
        <v>1</v>
      </c>
      <c r="BD304" t="str">
        <f t="shared" si="105"/>
        <v xml:space="preserve">N52156  </v>
      </c>
      <c r="BE304">
        <v>1</v>
      </c>
      <c r="BG304">
        <v>0</v>
      </c>
      <c r="BH304">
        <v>0</v>
      </c>
      <c r="BI304">
        <v>0</v>
      </c>
      <c r="BJ304">
        <v>1875</v>
      </c>
      <c r="BK304">
        <v>-25</v>
      </c>
      <c r="BL304" t="s">
        <v>188</v>
      </c>
      <c r="BM304">
        <v>1</v>
      </c>
      <c r="BN304">
        <v>1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 t="shared" si="121"/>
        <v>15:05:22.851</v>
      </c>
      <c r="CF304">
        <v>851195276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133</v>
      </c>
      <c r="DA304">
        <v>275</v>
      </c>
      <c r="DB304">
        <v>0</v>
      </c>
      <c r="DC304" t="s">
        <v>134</v>
      </c>
      <c r="DD304" t="s">
        <v>135</v>
      </c>
      <c r="DG304">
        <v>3318122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"05/01/2025 15:05:23.103"</f>
        <v>05/01/2025 15:05:23.103</v>
      </c>
      <c r="C305" t="str">
        <f t="shared" si="102"/>
        <v>FFDFD3C0</v>
      </c>
      <c r="D305" t="s">
        <v>145</v>
      </c>
      <c r="E305" t="str">
        <f>"05"</f>
        <v>05</v>
      </c>
      <c r="H305">
        <v>47</v>
      </c>
      <c r="I305" t="s">
        <v>146</v>
      </c>
      <c r="J305" t="s">
        <v>138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R305" t="s">
        <v>127</v>
      </c>
      <c r="S305" t="str">
        <f t="shared" si="120"/>
        <v>15:05:22.000</v>
      </c>
      <c r="T305" t="str">
        <f t="shared" si="120"/>
        <v>15:05:22.000</v>
      </c>
      <c r="U305" t="str">
        <f t="shared" si="103"/>
        <v>A68FCB</v>
      </c>
      <c r="V305">
        <v>0</v>
      </c>
      <c r="W305">
        <v>0</v>
      </c>
      <c r="X305">
        <v>2</v>
      </c>
      <c r="Y305">
        <v>0</v>
      </c>
      <c r="AA305">
        <v>1</v>
      </c>
      <c r="AB305">
        <v>8</v>
      </c>
      <c r="AC305">
        <v>3</v>
      </c>
      <c r="AD305">
        <v>0</v>
      </c>
      <c r="AE305">
        <v>9</v>
      </c>
      <c r="AF305" t="s">
        <v>138</v>
      </c>
      <c r="AG305">
        <v>0</v>
      </c>
      <c r="AH305">
        <v>3</v>
      </c>
      <c r="AI305">
        <v>1</v>
      </c>
      <c r="AJ305">
        <v>0</v>
      </c>
      <c r="AK305" t="s">
        <v>233</v>
      </c>
      <c r="AL305">
        <v>38.955846000000001</v>
      </c>
      <c r="AM305" t="s">
        <v>235</v>
      </c>
      <c r="AN305">
        <v>-121.064744</v>
      </c>
      <c r="AO305">
        <v>25</v>
      </c>
      <c r="AP305">
        <v>1900</v>
      </c>
      <c r="AQ305" t="s">
        <v>131</v>
      </c>
      <c r="AR305">
        <v>75</v>
      </c>
      <c r="AS305">
        <v>0</v>
      </c>
      <c r="AT305">
        <v>448</v>
      </c>
      <c r="BB305" t="str">
        <f t="shared" si="104"/>
        <v>1200</v>
      </c>
      <c r="BC305">
        <v>1</v>
      </c>
      <c r="BD305" t="str">
        <f t="shared" si="105"/>
        <v xml:space="preserve">N52156  </v>
      </c>
      <c r="BE305">
        <v>1</v>
      </c>
      <c r="BG305">
        <v>0</v>
      </c>
      <c r="BH305">
        <v>0</v>
      </c>
      <c r="BI305">
        <v>0</v>
      </c>
      <c r="BJ305">
        <v>1875</v>
      </c>
      <c r="BK305">
        <v>-25</v>
      </c>
      <c r="BL305" t="s">
        <v>188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 t="shared" si="121"/>
        <v>15:05:22.851</v>
      </c>
      <c r="CF305">
        <v>851195276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133</v>
      </c>
      <c r="DA305">
        <v>275</v>
      </c>
      <c r="DB305">
        <v>0</v>
      </c>
      <c r="DC305" t="s">
        <v>134</v>
      </c>
      <c r="DD305" t="s">
        <v>135</v>
      </c>
      <c r="DG305">
        <v>3318122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"05/01/2025 15:05:23.107"</f>
        <v>05/01/2025 15:05:23.107</v>
      </c>
      <c r="C306" t="str">
        <f t="shared" si="102"/>
        <v>FFDFD3C0</v>
      </c>
      <c r="D306" t="s">
        <v>124</v>
      </c>
      <c r="E306" t="str">
        <f>"06"</f>
        <v>06</v>
      </c>
      <c r="F306">
        <v>2006</v>
      </c>
      <c r="G306" t="s">
        <v>125</v>
      </c>
      <c r="J306" t="s">
        <v>126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R306" t="s">
        <v>127</v>
      </c>
      <c r="S306" t="str">
        <f t="shared" si="120"/>
        <v>15:05:22.000</v>
      </c>
      <c r="T306" t="str">
        <f t="shared" si="120"/>
        <v>15:05:22.000</v>
      </c>
      <c r="U306" t="str">
        <f t="shared" si="103"/>
        <v>A68FCB</v>
      </c>
      <c r="V306">
        <v>0</v>
      </c>
      <c r="W306">
        <v>0</v>
      </c>
      <c r="X306">
        <v>2</v>
      </c>
      <c r="Y306">
        <v>0</v>
      </c>
      <c r="AA306">
        <v>1</v>
      </c>
      <c r="AB306">
        <v>8</v>
      </c>
      <c r="AC306">
        <v>3</v>
      </c>
      <c r="AD306">
        <v>0</v>
      </c>
      <c r="AE306">
        <v>9</v>
      </c>
      <c r="AF306" t="s">
        <v>138</v>
      </c>
      <c r="AG306">
        <v>0</v>
      </c>
      <c r="AH306">
        <v>3</v>
      </c>
      <c r="AI306">
        <v>1</v>
      </c>
      <c r="AJ306">
        <v>0</v>
      </c>
      <c r="AK306" t="s">
        <v>233</v>
      </c>
      <c r="AL306">
        <v>38.955846000000001</v>
      </c>
      <c r="AM306" t="s">
        <v>235</v>
      </c>
      <c r="AN306">
        <v>-121.064744</v>
      </c>
      <c r="AO306">
        <v>25</v>
      </c>
      <c r="AP306">
        <v>1900</v>
      </c>
      <c r="AQ306" t="s">
        <v>131</v>
      </c>
      <c r="AR306">
        <v>75</v>
      </c>
      <c r="AS306">
        <v>0</v>
      </c>
      <c r="AT306">
        <v>448</v>
      </c>
      <c r="BB306" t="str">
        <f t="shared" si="104"/>
        <v>1200</v>
      </c>
      <c r="BC306">
        <v>1</v>
      </c>
      <c r="BD306" t="str">
        <f t="shared" si="105"/>
        <v xml:space="preserve">N52156  </v>
      </c>
      <c r="BE306">
        <v>1</v>
      </c>
      <c r="BG306">
        <v>0</v>
      </c>
      <c r="BH306">
        <v>0</v>
      </c>
      <c r="BI306">
        <v>0</v>
      </c>
      <c r="BJ306">
        <v>1875</v>
      </c>
      <c r="BK306">
        <v>-25</v>
      </c>
      <c r="BL306" t="s">
        <v>188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 t="shared" si="121"/>
        <v>15:05:22.851</v>
      </c>
      <c r="CF306">
        <v>851195276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133</v>
      </c>
      <c r="DA306">
        <v>275</v>
      </c>
      <c r="DB306">
        <v>0</v>
      </c>
      <c r="DC306" t="s">
        <v>134</v>
      </c>
      <c r="DD306" t="s">
        <v>135</v>
      </c>
      <c r="DG306">
        <v>3318122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"05/01/2025 15:05:23.116"</f>
        <v>05/01/2025 15:05:23.116</v>
      </c>
      <c r="C307" t="str">
        <f t="shared" si="102"/>
        <v>FFDFD3C0</v>
      </c>
      <c r="D307" t="s">
        <v>136</v>
      </c>
      <c r="E307" t="str">
        <f>"20"</f>
        <v>20</v>
      </c>
      <c r="H307">
        <v>400</v>
      </c>
      <c r="I307" t="s">
        <v>137</v>
      </c>
      <c r="J307" t="s">
        <v>138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R307" t="s">
        <v>127</v>
      </c>
      <c r="S307" t="str">
        <f t="shared" si="120"/>
        <v>15:05:22.000</v>
      </c>
      <c r="T307" t="str">
        <f t="shared" si="120"/>
        <v>15:05:22.000</v>
      </c>
      <c r="U307" t="str">
        <f t="shared" si="103"/>
        <v>A68FCB</v>
      </c>
      <c r="V307">
        <v>0</v>
      </c>
      <c r="W307">
        <v>0</v>
      </c>
      <c r="X307">
        <v>2</v>
      </c>
      <c r="Y307">
        <v>0</v>
      </c>
      <c r="AA307">
        <v>1</v>
      </c>
      <c r="AB307">
        <v>8</v>
      </c>
      <c r="AC307">
        <v>3</v>
      </c>
      <c r="AD307">
        <v>0</v>
      </c>
      <c r="AE307">
        <v>9</v>
      </c>
      <c r="AF307" t="s">
        <v>138</v>
      </c>
      <c r="AG307">
        <v>0</v>
      </c>
      <c r="AH307">
        <v>3</v>
      </c>
      <c r="AI307">
        <v>1</v>
      </c>
      <c r="AJ307">
        <v>0</v>
      </c>
      <c r="AK307" t="s">
        <v>233</v>
      </c>
      <c r="AL307">
        <v>38.955846000000001</v>
      </c>
      <c r="AM307" t="s">
        <v>235</v>
      </c>
      <c r="AN307">
        <v>-121.064744</v>
      </c>
      <c r="AO307">
        <v>25</v>
      </c>
      <c r="AP307">
        <v>1900</v>
      </c>
      <c r="AQ307" t="s">
        <v>131</v>
      </c>
      <c r="AR307">
        <v>75</v>
      </c>
      <c r="AS307">
        <v>0</v>
      </c>
      <c r="AT307">
        <v>448</v>
      </c>
      <c r="BB307" t="str">
        <f t="shared" si="104"/>
        <v>1200</v>
      </c>
      <c r="BC307">
        <v>1</v>
      </c>
      <c r="BD307" t="str">
        <f t="shared" si="105"/>
        <v xml:space="preserve">N52156  </v>
      </c>
      <c r="BE307">
        <v>1</v>
      </c>
      <c r="BG307">
        <v>0</v>
      </c>
      <c r="BH307">
        <v>0</v>
      </c>
      <c r="BI307">
        <v>0</v>
      </c>
      <c r="BJ307">
        <v>1875</v>
      </c>
      <c r="BK307">
        <v>-25</v>
      </c>
      <c r="BL307" t="s">
        <v>188</v>
      </c>
      <c r="BM307">
        <v>1</v>
      </c>
      <c r="BN307">
        <v>1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 t="shared" si="121"/>
        <v>15:05:22.851</v>
      </c>
      <c r="CF307">
        <v>851195276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133</v>
      </c>
      <c r="DA307">
        <v>275</v>
      </c>
      <c r="DB307">
        <v>0</v>
      </c>
      <c r="DC307" t="s">
        <v>134</v>
      </c>
      <c r="DD307" t="s">
        <v>135</v>
      </c>
      <c r="DG307">
        <v>3318122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"05/01/2025 15:05:23.845"</f>
        <v>05/01/2025 15:05:23.845</v>
      </c>
      <c r="C308" t="str">
        <f t="shared" si="102"/>
        <v>FFDFD3C0</v>
      </c>
      <c r="D308" t="s">
        <v>140</v>
      </c>
      <c r="E308" t="str">
        <f>"13"</f>
        <v>13</v>
      </c>
      <c r="F308">
        <v>1019</v>
      </c>
      <c r="G308" t="s">
        <v>141</v>
      </c>
      <c r="J308" t="s">
        <v>142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R308" t="s">
        <v>127</v>
      </c>
      <c r="S308" t="str">
        <f t="shared" ref="S308:T313" si="122">"15:05:23.000"</f>
        <v>15:05:23.000</v>
      </c>
      <c r="T308" t="str">
        <f t="shared" si="122"/>
        <v>15:05:23.000</v>
      </c>
      <c r="U308" t="str">
        <f t="shared" si="103"/>
        <v>A68FCB</v>
      </c>
      <c r="V308">
        <v>0</v>
      </c>
      <c r="W308">
        <v>0</v>
      </c>
      <c r="X308">
        <v>2</v>
      </c>
      <c r="Y308">
        <v>0</v>
      </c>
      <c r="AA308">
        <v>1</v>
      </c>
      <c r="AB308">
        <v>8</v>
      </c>
      <c r="AC308">
        <v>3</v>
      </c>
      <c r="AD308">
        <v>0</v>
      </c>
      <c r="AE308">
        <v>9</v>
      </c>
      <c r="AF308" t="s">
        <v>138</v>
      </c>
      <c r="AG308">
        <v>0</v>
      </c>
      <c r="AH308">
        <v>3</v>
      </c>
      <c r="AI308">
        <v>1</v>
      </c>
      <c r="AJ308">
        <v>0</v>
      </c>
      <c r="AK308" t="s">
        <v>233</v>
      </c>
      <c r="AL308">
        <v>38.955846000000001</v>
      </c>
      <c r="AM308" t="s">
        <v>236</v>
      </c>
      <c r="AN308">
        <v>-121.06429300000001</v>
      </c>
      <c r="AO308">
        <v>25</v>
      </c>
      <c r="AP308">
        <v>1900</v>
      </c>
      <c r="AQ308" t="s">
        <v>131</v>
      </c>
      <c r="AR308">
        <v>75</v>
      </c>
      <c r="AS308">
        <v>-1</v>
      </c>
      <c r="AT308">
        <v>512</v>
      </c>
      <c r="BB308" t="str">
        <f t="shared" si="104"/>
        <v>1200</v>
      </c>
      <c r="BC308">
        <v>1</v>
      </c>
      <c r="BD308" t="str">
        <f t="shared" si="105"/>
        <v xml:space="preserve">N52156  </v>
      </c>
      <c r="BE308">
        <v>1</v>
      </c>
      <c r="BG308">
        <v>0</v>
      </c>
      <c r="BH308">
        <v>0</v>
      </c>
      <c r="BI308">
        <v>0</v>
      </c>
      <c r="BJ308">
        <v>1875</v>
      </c>
      <c r="BK308">
        <v>-25</v>
      </c>
      <c r="BL308" t="s">
        <v>188</v>
      </c>
      <c r="BM308">
        <v>1</v>
      </c>
      <c r="BN308">
        <v>1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 t="shared" ref="CE308:CE313" si="123">"15:05:23.622"</f>
        <v>15:05:23.622</v>
      </c>
      <c r="CF308">
        <v>621694728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5</v>
      </c>
      <c r="CY308">
        <v>7</v>
      </c>
      <c r="CZ308" t="s">
        <v>133</v>
      </c>
      <c r="DA308">
        <v>275</v>
      </c>
      <c r="DB308">
        <v>0</v>
      </c>
      <c r="DC308" t="s">
        <v>134</v>
      </c>
      <c r="DD308" t="s">
        <v>135</v>
      </c>
      <c r="DG308">
        <v>3318134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"05/01/2025 15:05:23.850"</f>
        <v>05/01/2025 15:05:23.850</v>
      </c>
      <c r="C309" t="str">
        <f t="shared" si="102"/>
        <v>FFDFD3C0</v>
      </c>
      <c r="D309" t="s">
        <v>143</v>
      </c>
      <c r="E309" t="str">
        <f>"05"</f>
        <v>05</v>
      </c>
      <c r="H309">
        <v>172</v>
      </c>
      <c r="I309" t="s">
        <v>141</v>
      </c>
      <c r="J309" t="s">
        <v>144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R309" t="s">
        <v>127</v>
      </c>
      <c r="S309" t="str">
        <f t="shared" si="122"/>
        <v>15:05:23.000</v>
      </c>
      <c r="T309" t="str">
        <f t="shared" si="122"/>
        <v>15:05:23.000</v>
      </c>
      <c r="U309" t="str">
        <f t="shared" si="103"/>
        <v>A68FCB</v>
      </c>
      <c r="V309">
        <v>0</v>
      </c>
      <c r="W309">
        <v>0</v>
      </c>
      <c r="X309">
        <v>2</v>
      </c>
      <c r="Y309">
        <v>0</v>
      </c>
      <c r="AA309">
        <v>1</v>
      </c>
      <c r="AB309">
        <v>8</v>
      </c>
      <c r="AC309">
        <v>3</v>
      </c>
      <c r="AD309">
        <v>0</v>
      </c>
      <c r="AE309">
        <v>9</v>
      </c>
      <c r="AF309" t="s">
        <v>138</v>
      </c>
      <c r="AG309">
        <v>0</v>
      </c>
      <c r="AH309">
        <v>3</v>
      </c>
      <c r="AI309">
        <v>1</v>
      </c>
      <c r="AJ309">
        <v>0</v>
      </c>
      <c r="AK309" t="s">
        <v>233</v>
      </c>
      <c r="AL309">
        <v>38.955846000000001</v>
      </c>
      <c r="AM309" t="s">
        <v>236</v>
      </c>
      <c r="AN309">
        <v>-121.06429300000001</v>
      </c>
      <c r="AO309">
        <v>25</v>
      </c>
      <c r="AP309">
        <v>1900</v>
      </c>
      <c r="AQ309" t="s">
        <v>131</v>
      </c>
      <c r="AR309">
        <v>75</v>
      </c>
      <c r="AS309">
        <v>-1</v>
      </c>
      <c r="AT309">
        <v>512</v>
      </c>
      <c r="BB309" t="str">
        <f t="shared" si="104"/>
        <v>1200</v>
      </c>
      <c r="BC309">
        <v>1</v>
      </c>
      <c r="BD309" t="str">
        <f t="shared" si="105"/>
        <v xml:space="preserve">N52156  </v>
      </c>
      <c r="BE309">
        <v>1</v>
      </c>
      <c r="BG309">
        <v>0</v>
      </c>
      <c r="BH309">
        <v>0</v>
      </c>
      <c r="BI309">
        <v>0</v>
      </c>
      <c r="BJ309">
        <v>1875</v>
      </c>
      <c r="BK309">
        <v>-25</v>
      </c>
      <c r="BL309" t="s">
        <v>188</v>
      </c>
      <c r="BM309">
        <v>1</v>
      </c>
      <c r="BN309">
        <v>1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 t="shared" si="123"/>
        <v>15:05:23.622</v>
      </c>
      <c r="CF309">
        <v>621694728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5</v>
      </c>
      <c r="CY309">
        <v>7</v>
      </c>
      <c r="CZ309" t="s">
        <v>133</v>
      </c>
      <c r="DA309">
        <v>275</v>
      </c>
      <c r="DB309">
        <v>0</v>
      </c>
      <c r="DC309" t="s">
        <v>134</v>
      </c>
      <c r="DD309" t="s">
        <v>135</v>
      </c>
      <c r="DG309">
        <v>3318134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"05/01/2025 15:05:23.855"</f>
        <v>05/01/2025 15:05:23.855</v>
      </c>
      <c r="C310" t="str">
        <f t="shared" si="102"/>
        <v>FFDFD3C0</v>
      </c>
      <c r="D310" t="s">
        <v>145</v>
      </c>
      <c r="E310" t="str">
        <f>"09"</f>
        <v>09</v>
      </c>
      <c r="H310">
        <v>51</v>
      </c>
      <c r="I310" t="s">
        <v>147</v>
      </c>
      <c r="J310" t="s">
        <v>138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R310" t="s">
        <v>127</v>
      </c>
      <c r="S310" t="str">
        <f t="shared" si="122"/>
        <v>15:05:23.000</v>
      </c>
      <c r="T310" t="str">
        <f t="shared" si="122"/>
        <v>15:05:23.000</v>
      </c>
      <c r="U310" t="str">
        <f t="shared" si="103"/>
        <v>A68FCB</v>
      </c>
      <c r="V310">
        <v>0</v>
      </c>
      <c r="W310">
        <v>0</v>
      </c>
      <c r="X310">
        <v>2</v>
      </c>
      <c r="Y310">
        <v>0</v>
      </c>
      <c r="AA310">
        <v>1</v>
      </c>
      <c r="AB310">
        <v>8</v>
      </c>
      <c r="AC310">
        <v>3</v>
      </c>
      <c r="AD310">
        <v>0</v>
      </c>
      <c r="AE310">
        <v>9</v>
      </c>
      <c r="AF310" t="s">
        <v>138</v>
      </c>
      <c r="AG310">
        <v>0</v>
      </c>
      <c r="AH310">
        <v>3</v>
      </c>
      <c r="AI310">
        <v>1</v>
      </c>
      <c r="AJ310">
        <v>0</v>
      </c>
      <c r="AK310" t="s">
        <v>233</v>
      </c>
      <c r="AL310">
        <v>38.955846000000001</v>
      </c>
      <c r="AM310" t="s">
        <v>236</v>
      </c>
      <c r="AN310">
        <v>-121.06429300000001</v>
      </c>
      <c r="AO310">
        <v>25</v>
      </c>
      <c r="AP310">
        <v>1900</v>
      </c>
      <c r="AQ310" t="s">
        <v>131</v>
      </c>
      <c r="AR310">
        <v>75</v>
      </c>
      <c r="AS310">
        <v>-1</v>
      </c>
      <c r="AT310">
        <v>512</v>
      </c>
      <c r="BB310" t="str">
        <f t="shared" si="104"/>
        <v>1200</v>
      </c>
      <c r="BC310">
        <v>1</v>
      </c>
      <c r="BD310" t="str">
        <f t="shared" si="105"/>
        <v xml:space="preserve">N52156  </v>
      </c>
      <c r="BE310">
        <v>1</v>
      </c>
      <c r="BG310">
        <v>0</v>
      </c>
      <c r="BH310">
        <v>0</v>
      </c>
      <c r="BI310">
        <v>0</v>
      </c>
      <c r="BJ310">
        <v>1875</v>
      </c>
      <c r="BK310">
        <v>-25</v>
      </c>
      <c r="BL310" t="s">
        <v>188</v>
      </c>
      <c r="BM310">
        <v>1</v>
      </c>
      <c r="BN310">
        <v>1</v>
      </c>
      <c r="BO310">
        <v>0</v>
      </c>
      <c r="BP310">
        <v>0</v>
      </c>
      <c r="BS310">
        <v>0</v>
      </c>
      <c r="BT310">
        <v>0</v>
      </c>
      <c r="BU310">
        <v>0</v>
      </c>
      <c r="CE310" t="str">
        <f t="shared" si="123"/>
        <v>15:05:23.622</v>
      </c>
      <c r="CF310">
        <v>621694728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5</v>
      </c>
      <c r="CY310">
        <v>7</v>
      </c>
      <c r="CZ310" t="s">
        <v>133</v>
      </c>
      <c r="DA310">
        <v>275</v>
      </c>
      <c r="DB310">
        <v>0</v>
      </c>
      <c r="DC310" t="s">
        <v>134</v>
      </c>
      <c r="DD310" t="s">
        <v>135</v>
      </c>
      <c r="DG310">
        <v>3318134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"05/01/2025 15:05:23.854"</f>
        <v>05/01/2025 15:05:23.854</v>
      </c>
      <c r="C311" t="str">
        <f t="shared" si="102"/>
        <v>FFDFD3C0</v>
      </c>
      <c r="D311" t="s">
        <v>145</v>
      </c>
      <c r="E311" t="str">
        <f>"05"</f>
        <v>05</v>
      </c>
      <c r="H311">
        <v>47</v>
      </c>
      <c r="I311" t="s">
        <v>146</v>
      </c>
      <c r="J311" t="s">
        <v>138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R311" t="s">
        <v>127</v>
      </c>
      <c r="S311" t="str">
        <f t="shared" si="122"/>
        <v>15:05:23.000</v>
      </c>
      <c r="T311" t="str">
        <f t="shared" si="122"/>
        <v>15:05:23.000</v>
      </c>
      <c r="U311" t="str">
        <f t="shared" si="103"/>
        <v>A68FCB</v>
      </c>
      <c r="V311">
        <v>0</v>
      </c>
      <c r="W311">
        <v>0</v>
      </c>
      <c r="X311">
        <v>2</v>
      </c>
      <c r="Y311">
        <v>0</v>
      </c>
      <c r="AA311">
        <v>1</v>
      </c>
      <c r="AB311">
        <v>8</v>
      </c>
      <c r="AC311">
        <v>3</v>
      </c>
      <c r="AD311">
        <v>0</v>
      </c>
      <c r="AE311">
        <v>9</v>
      </c>
      <c r="AF311" t="s">
        <v>138</v>
      </c>
      <c r="AG311">
        <v>0</v>
      </c>
      <c r="AH311">
        <v>3</v>
      </c>
      <c r="AI311">
        <v>1</v>
      </c>
      <c r="AJ311">
        <v>0</v>
      </c>
      <c r="AK311" t="s">
        <v>233</v>
      </c>
      <c r="AL311">
        <v>38.955846000000001</v>
      </c>
      <c r="AM311" t="s">
        <v>236</v>
      </c>
      <c r="AN311">
        <v>-121.06429300000001</v>
      </c>
      <c r="AO311">
        <v>25</v>
      </c>
      <c r="AP311">
        <v>1900</v>
      </c>
      <c r="AQ311" t="s">
        <v>131</v>
      </c>
      <c r="AR311">
        <v>75</v>
      </c>
      <c r="AS311">
        <v>-1</v>
      </c>
      <c r="AT311">
        <v>512</v>
      </c>
      <c r="BB311" t="str">
        <f t="shared" si="104"/>
        <v>1200</v>
      </c>
      <c r="BC311">
        <v>1</v>
      </c>
      <c r="BD311" t="str">
        <f t="shared" si="105"/>
        <v xml:space="preserve">N52156  </v>
      </c>
      <c r="BE311">
        <v>1</v>
      </c>
      <c r="BG311">
        <v>0</v>
      </c>
      <c r="BH311">
        <v>0</v>
      </c>
      <c r="BI311">
        <v>0</v>
      </c>
      <c r="BJ311">
        <v>1875</v>
      </c>
      <c r="BK311">
        <v>-25</v>
      </c>
      <c r="BL311" t="s">
        <v>188</v>
      </c>
      <c r="BM311">
        <v>1</v>
      </c>
      <c r="BN311">
        <v>1</v>
      </c>
      <c r="BO311">
        <v>0</v>
      </c>
      <c r="BP311">
        <v>0</v>
      </c>
      <c r="BS311">
        <v>0</v>
      </c>
      <c r="BT311">
        <v>0</v>
      </c>
      <c r="BU311">
        <v>0</v>
      </c>
      <c r="CE311" t="str">
        <f t="shared" si="123"/>
        <v>15:05:23.622</v>
      </c>
      <c r="CF311">
        <v>621694728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5</v>
      </c>
      <c r="CY311">
        <v>7</v>
      </c>
      <c r="CZ311" t="s">
        <v>133</v>
      </c>
      <c r="DA311">
        <v>275</v>
      </c>
      <c r="DB311">
        <v>0</v>
      </c>
      <c r="DC311" t="s">
        <v>134</v>
      </c>
      <c r="DD311" t="s">
        <v>135</v>
      </c>
      <c r="DG311">
        <v>3318134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"05/01/2025 15:05:23.858"</f>
        <v>05/01/2025 15:05:23.858</v>
      </c>
      <c r="C312" t="str">
        <f t="shared" si="102"/>
        <v>FFDFD3C0</v>
      </c>
      <c r="D312" t="s">
        <v>124</v>
      </c>
      <c r="E312" t="str">
        <f>"06"</f>
        <v>06</v>
      </c>
      <c r="F312">
        <v>2006</v>
      </c>
      <c r="G312" t="s">
        <v>125</v>
      </c>
      <c r="J312" t="s">
        <v>126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R312" t="s">
        <v>127</v>
      </c>
      <c r="S312" t="str">
        <f t="shared" si="122"/>
        <v>15:05:23.000</v>
      </c>
      <c r="T312" t="str">
        <f t="shared" si="122"/>
        <v>15:05:23.000</v>
      </c>
      <c r="U312" t="str">
        <f t="shared" si="103"/>
        <v>A68FCB</v>
      </c>
      <c r="V312">
        <v>0</v>
      </c>
      <c r="W312">
        <v>0</v>
      </c>
      <c r="X312">
        <v>2</v>
      </c>
      <c r="Y312">
        <v>0</v>
      </c>
      <c r="AA312">
        <v>1</v>
      </c>
      <c r="AB312">
        <v>8</v>
      </c>
      <c r="AC312">
        <v>3</v>
      </c>
      <c r="AD312">
        <v>0</v>
      </c>
      <c r="AE312">
        <v>9</v>
      </c>
      <c r="AF312" t="s">
        <v>138</v>
      </c>
      <c r="AG312">
        <v>0</v>
      </c>
      <c r="AH312">
        <v>3</v>
      </c>
      <c r="AI312">
        <v>1</v>
      </c>
      <c r="AJ312">
        <v>0</v>
      </c>
      <c r="AK312" t="s">
        <v>233</v>
      </c>
      <c r="AL312">
        <v>38.955846000000001</v>
      </c>
      <c r="AM312" t="s">
        <v>236</v>
      </c>
      <c r="AN312">
        <v>-121.06429300000001</v>
      </c>
      <c r="AO312">
        <v>25</v>
      </c>
      <c r="AP312">
        <v>1900</v>
      </c>
      <c r="AQ312" t="s">
        <v>131</v>
      </c>
      <c r="AR312">
        <v>75</v>
      </c>
      <c r="AS312">
        <v>-1</v>
      </c>
      <c r="AT312">
        <v>512</v>
      </c>
      <c r="BB312" t="str">
        <f t="shared" si="104"/>
        <v>1200</v>
      </c>
      <c r="BC312">
        <v>1</v>
      </c>
      <c r="BD312" t="str">
        <f t="shared" si="105"/>
        <v xml:space="preserve">N52156  </v>
      </c>
      <c r="BE312">
        <v>1</v>
      </c>
      <c r="BG312">
        <v>0</v>
      </c>
      <c r="BH312">
        <v>0</v>
      </c>
      <c r="BI312">
        <v>0</v>
      </c>
      <c r="BJ312">
        <v>1875</v>
      </c>
      <c r="BK312">
        <v>-25</v>
      </c>
      <c r="BL312" t="s">
        <v>188</v>
      </c>
      <c r="BM312">
        <v>1</v>
      </c>
      <c r="BN312">
        <v>1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 t="shared" si="123"/>
        <v>15:05:23.622</v>
      </c>
      <c r="CF312">
        <v>621694728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133</v>
      </c>
      <c r="DA312">
        <v>275</v>
      </c>
      <c r="DB312">
        <v>0</v>
      </c>
      <c r="DC312" t="s">
        <v>134</v>
      </c>
      <c r="DD312" t="s">
        <v>135</v>
      </c>
      <c r="DG312">
        <v>3318134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"05/01/2025 15:05:23.867"</f>
        <v>05/01/2025 15:05:23.867</v>
      </c>
      <c r="C313" t="str">
        <f t="shared" si="102"/>
        <v>FFDFD3C0</v>
      </c>
      <c r="D313" t="s">
        <v>136</v>
      </c>
      <c r="E313" t="str">
        <f>"20"</f>
        <v>20</v>
      </c>
      <c r="H313">
        <v>400</v>
      </c>
      <c r="I313" t="s">
        <v>137</v>
      </c>
      <c r="J313" t="s">
        <v>138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R313" t="s">
        <v>127</v>
      </c>
      <c r="S313" t="str">
        <f t="shared" si="122"/>
        <v>15:05:23.000</v>
      </c>
      <c r="T313" t="str">
        <f t="shared" si="122"/>
        <v>15:05:23.000</v>
      </c>
      <c r="U313" t="str">
        <f t="shared" si="103"/>
        <v>A68FCB</v>
      </c>
      <c r="V313">
        <v>0</v>
      </c>
      <c r="W313">
        <v>0</v>
      </c>
      <c r="X313">
        <v>2</v>
      </c>
      <c r="Y313">
        <v>0</v>
      </c>
      <c r="AA313">
        <v>1</v>
      </c>
      <c r="AB313">
        <v>8</v>
      </c>
      <c r="AC313">
        <v>3</v>
      </c>
      <c r="AD313">
        <v>0</v>
      </c>
      <c r="AE313">
        <v>9</v>
      </c>
      <c r="AF313" t="s">
        <v>138</v>
      </c>
      <c r="AG313">
        <v>0</v>
      </c>
      <c r="AH313">
        <v>3</v>
      </c>
      <c r="AI313">
        <v>1</v>
      </c>
      <c r="AJ313">
        <v>0</v>
      </c>
      <c r="AK313" t="s">
        <v>233</v>
      </c>
      <c r="AL313">
        <v>38.955846000000001</v>
      </c>
      <c r="AM313" t="s">
        <v>236</v>
      </c>
      <c r="AN313">
        <v>-121.06429300000001</v>
      </c>
      <c r="AO313">
        <v>25</v>
      </c>
      <c r="AP313">
        <v>1900</v>
      </c>
      <c r="AQ313" t="s">
        <v>131</v>
      </c>
      <c r="AR313">
        <v>75</v>
      </c>
      <c r="AS313">
        <v>-1</v>
      </c>
      <c r="AT313">
        <v>512</v>
      </c>
      <c r="BB313" t="str">
        <f t="shared" si="104"/>
        <v>1200</v>
      </c>
      <c r="BC313">
        <v>1</v>
      </c>
      <c r="BD313" t="str">
        <f t="shared" si="105"/>
        <v xml:space="preserve">N52156  </v>
      </c>
      <c r="BE313">
        <v>1</v>
      </c>
      <c r="BG313">
        <v>0</v>
      </c>
      <c r="BH313">
        <v>0</v>
      </c>
      <c r="BI313">
        <v>0</v>
      </c>
      <c r="BJ313">
        <v>1875</v>
      </c>
      <c r="BK313">
        <v>-25</v>
      </c>
      <c r="BL313" t="s">
        <v>188</v>
      </c>
      <c r="BM313">
        <v>1</v>
      </c>
      <c r="BN313">
        <v>1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 t="shared" si="123"/>
        <v>15:05:23.622</v>
      </c>
      <c r="CF313">
        <v>621694728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133</v>
      </c>
      <c r="DA313">
        <v>275</v>
      </c>
      <c r="DB313">
        <v>0</v>
      </c>
      <c r="DC313" t="s">
        <v>134</v>
      </c>
      <c r="DD313" t="s">
        <v>135</v>
      </c>
      <c r="DG313">
        <v>3318134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"05/01/2025 15:05:24.668"</f>
        <v>05/01/2025 15:05:24.668</v>
      </c>
      <c r="C314" t="str">
        <f t="shared" si="102"/>
        <v>FFDFD3C0</v>
      </c>
      <c r="D314" t="s">
        <v>136</v>
      </c>
      <c r="E314" t="str">
        <f>"20"</f>
        <v>20</v>
      </c>
      <c r="H314">
        <v>400</v>
      </c>
      <c r="I314" t="s">
        <v>137</v>
      </c>
      <c r="J314" t="s">
        <v>138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R314" t="s">
        <v>127</v>
      </c>
      <c r="S314" t="str">
        <f t="shared" ref="S314:T319" si="124">"15:05:24.000"</f>
        <v>15:05:24.000</v>
      </c>
      <c r="T314" t="str">
        <f t="shared" si="124"/>
        <v>15:05:24.000</v>
      </c>
      <c r="U314" t="str">
        <f t="shared" si="103"/>
        <v>A68FCB</v>
      </c>
      <c r="V314">
        <v>0</v>
      </c>
      <c r="W314">
        <v>0</v>
      </c>
      <c r="X314">
        <v>2</v>
      </c>
      <c r="Y314">
        <v>0</v>
      </c>
      <c r="AA314">
        <v>1</v>
      </c>
      <c r="AB314">
        <v>8</v>
      </c>
      <c r="AC314">
        <v>3</v>
      </c>
      <c r="AD314">
        <v>0</v>
      </c>
      <c r="AE314">
        <v>9</v>
      </c>
      <c r="AF314" t="s">
        <v>138</v>
      </c>
      <c r="AG314">
        <v>0</v>
      </c>
      <c r="AH314">
        <v>3</v>
      </c>
      <c r="AI314">
        <v>1</v>
      </c>
      <c r="AJ314">
        <v>0</v>
      </c>
      <c r="AK314" t="s">
        <v>229</v>
      </c>
      <c r="AL314">
        <v>38.955824</v>
      </c>
      <c r="AM314" t="s">
        <v>237</v>
      </c>
      <c r="AN314">
        <v>-121.063864</v>
      </c>
      <c r="AO314">
        <v>25</v>
      </c>
      <c r="AP314">
        <v>1900</v>
      </c>
      <c r="AQ314" t="s">
        <v>131</v>
      </c>
      <c r="AR314">
        <v>75</v>
      </c>
      <c r="AS314">
        <v>-2</v>
      </c>
      <c r="AT314">
        <v>576</v>
      </c>
      <c r="BB314" t="str">
        <f t="shared" si="104"/>
        <v>1200</v>
      </c>
      <c r="BC314">
        <v>1</v>
      </c>
      <c r="BD314" t="str">
        <f t="shared" si="105"/>
        <v xml:space="preserve">N52156  </v>
      </c>
      <c r="BE314">
        <v>1</v>
      </c>
      <c r="BG314">
        <v>0</v>
      </c>
      <c r="BH314">
        <v>0</v>
      </c>
      <c r="BI314">
        <v>0</v>
      </c>
      <c r="BJ314">
        <v>1900</v>
      </c>
      <c r="BK314">
        <v>0</v>
      </c>
      <c r="BL314" t="s">
        <v>188</v>
      </c>
      <c r="BM314">
        <v>1</v>
      </c>
      <c r="BN314">
        <v>1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 t="shared" ref="CE314:CE319" si="125">"15:05:24.458"</f>
        <v>15:05:24.458</v>
      </c>
      <c r="CF314">
        <v>457944456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133</v>
      </c>
      <c r="DA314">
        <v>275</v>
      </c>
      <c r="DB314">
        <v>0</v>
      </c>
      <c r="DC314" t="s">
        <v>134</v>
      </c>
      <c r="DD314" t="s">
        <v>135</v>
      </c>
      <c r="DG314">
        <v>3318146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"05/01/2025 15:05:24.696"</f>
        <v>05/01/2025 15:05:24.696</v>
      </c>
      <c r="C315" t="str">
        <f t="shared" si="102"/>
        <v>FFDFD3C0</v>
      </c>
      <c r="D315" t="s">
        <v>140</v>
      </c>
      <c r="E315" t="str">
        <f>"13"</f>
        <v>13</v>
      </c>
      <c r="F315">
        <v>1019</v>
      </c>
      <c r="G315" t="s">
        <v>141</v>
      </c>
      <c r="J315" t="s">
        <v>142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R315" t="s">
        <v>127</v>
      </c>
      <c r="S315" t="str">
        <f t="shared" si="124"/>
        <v>15:05:24.000</v>
      </c>
      <c r="T315" t="str">
        <f t="shared" si="124"/>
        <v>15:05:24.000</v>
      </c>
      <c r="U315" t="str">
        <f t="shared" si="103"/>
        <v>A68FCB</v>
      </c>
      <c r="V315">
        <v>0</v>
      </c>
      <c r="W315">
        <v>0</v>
      </c>
      <c r="X315">
        <v>2</v>
      </c>
      <c r="Y315">
        <v>0</v>
      </c>
      <c r="AA315">
        <v>1</v>
      </c>
      <c r="AB315">
        <v>8</v>
      </c>
      <c r="AC315">
        <v>3</v>
      </c>
      <c r="AD315">
        <v>0</v>
      </c>
      <c r="AE315">
        <v>9</v>
      </c>
      <c r="AF315" t="s">
        <v>138</v>
      </c>
      <c r="AG315">
        <v>0</v>
      </c>
      <c r="AH315">
        <v>3</v>
      </c>
      <c r="AI315">
        <v>1</v>
      </c>
      <c r="AJ315">
        <v>0</v>
      </c>
      <c r="AK315" t="s">
        <v>229</v>
      </c>
      <c r="AL315">
        <v>38.955824</v>
      </c>
      <c r="AM315" t="s">
        <v>237</v>
      </c>
      <c r="AN315">
        <v>-121.063864</v>
      </c>
      <c r="AO315">
        <v>25</v>
      </c>
      <c r="AP315">
        <v>1900</v>
      </c>
      <c r="AQ315" t="s">
        <v>131</v>
      </c>
      <c r="AR315">
        <v>75</v>
      </c>
      <c r="AS315">
        <v>-2</v>
      </c>
      <c r="AT315">
        <v>576</v>
      </c>
      <c r="BB315" t="str">
        <f t="shared" si="104"/>
        <v>1200</v>
      </c>
      <c r="BC315">
        <v>1</v>
      </c>
      <c r="BD315" t="str">
        <f t="shared" si="105"/>
        <v xml:space="preserve">N52156  </v>
      </c>
      <c r="BE315">
        <v>1</v>
      </c>
      <c r="BG315">
        <v>0</v>
      </c>
      <c r="BH315">
        <v>0</v>
      </c>
      <c r="BI315">
        <v>0</v>
      </c>
      <c r="BJ315">
        <v>1900</v>
      </c>
      <c r="BK315">
        <v>0</v>
      </c>
      <c r="BL315" t="s">
        <v>188</v>
      </c>
      <c r="BM315">
        <v>1</v>
      </c>
      <c r="BN315">
        <v>1</v>
      </c>
      <c r="BO315">
        <v>0</v>
      </c>
      <c r="BP315">
        <v>0</v>
      </c>
      <c r="BS315">
        <v>0</v>
      </c>
      <c r="BT315">
        <v>0</v>
      </c>
      <c r="BU315">
        <v>0</v>
      </c>
      <c r="CE315" t="str">
        <f t="shared" si="125"/>
        <v>15:05:24.458</v>
      </c>
      <c r="CF315">
        <v>457944456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133</v>
      </c>
      <c r="DA315">
        <v>275</v>
      </c>
      <c r="DB315">
        <v>0</v>
      </c>
      <c r="DC315" t="s">
        <v>134</v>
      </c>
      <c r="DD315" t="s">
        <v>135</v>
      </c>
      <c r="DG315">
        <v>3318146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"05/01/2025 15:05:24.702"</f>
        <v>05/01/2025 15:05:24.702</v>
      </c>
      <c r="C316" t="str">
        <f t="shared" si="102"/>
        <v>FFDFD3C0</v>
      </c>
      <c r="D316" t="s">
        <v>143</v>
      </c>
      <c r="E316" t="str">
        <f>"05"</f>
        <v>05</v>
      </c>
      <c r="H316">
        <v>172</v>
      </c>
      <c r="I316" t="s">
        <v>141</v>
      </c>
      <c r="J316" t="s">
        <v>144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R316" t="s">
        <v>127</v>
      </c>
      <c r="S316" t="str">
        <f t="shared" si="124"/>
        <v>15:05:24.000</v>
      </c>
      <c r="T316" t="str">
        <f t="shared" si="124"/>
        <v>15:05:24.000</v>
      </c>
      <c r="U316" t="str">
        <f t="shared" si="103"/>
        <v>A68FCB</v>
      </c>
      <c r="V316">
        <v>0</v>
      </c>
      <c r="W316">
        <v>0</v>
      </c>
      <c r="X316">
        <v>2</v>
      </c>
      <c r="Y316">
        <v>0</v>
      </c>
      <c r="AA316">
        <v>1</v>
      </c>
      <c r="AB316">
        <v>8</v>
      </c>
      <c r="AC316">
        <v>3</v>
      </c>
      <c r="AD316">
        <v>0</v>
      </c>
      <c r="AE316">
        <v>9</v>
      </c>
      <c r="AF316" t="s">
        <v>138</v>
      </c>
      <c r="AG316">
        <v>0</v>
      </c>
      <c r="AH316">
        <v>3</v>
      </c>
      <c r="AI316">
        <v>1</v>
      </c>
      <c r="AJ316">
        <v>0</v>
      </c>
      <c r="AK316" t="s">
        <v>229</v>
      </c>
      <c r="AL316">
        <v>38.955824</v>
      </c>
      <c r="AM316" t="s">
        <v>237</v>
      </c>
      <c r="AN316">
        <v>-121.063864</v>
      </c>
      <c r="AO316">
        <v>25</v>
      </c>
      <c r="AP316">
        <v>1900</v>
      </c>
      <c r="AQ316" t="s">
        <v>131</v>
      </c>
      <c r="AR316">
        <v>75</v>
      </c>
      <c r="AS316">
        <v>-2</v>
      </c>
      <c r="AT316">
        <v>576</v>
      </c>
      <c r="BB316" t="str">
        <f t="shared" si="104"/>
        <v>1200</v>
      </c>
      <c r="BC316">
        <v>1</v>
      </c>
      <c r="BD316" t="str">
        <f t="shared" si="105"/>
        <v xml:space="preserve">N52156  </v>
      </c>
      <c r="BE316">
        <v>1</v>
      </c>
      <c r="BG316">
        <v>0</v>
      </c>
      <c r="BH316">
        <v>0</v>
      </c>
      <c r="BI316">
        <v>0</v>
      </c>
      <c r="BJ316">
        <v>1900</v>
      </c>
      <c r="BK316">
        <v>0</v>
      </c>
      <c r="BL316" t="s">
        <v>188</v>
      </c>
      <c r="BM316">
        <v>1</v>
      </c>
      <c r="BN316">
        <v>1</v>
      </c>
      <c r="BO316">
        <v>0</v>
      </c>
      <c r="BP316">
        <v>0</v>
      </c>
      <c r="BS316">
        <v>0</v>
      </c>
      <c r="BT316">
        <v>0</v>
      </c>
      <c r="BU316">
        <v>0</v>
      </c>
      <c r="CE316" t="str">
        <f t="shared" si="125"/>
        <v>15:05:24.458</v>
      </c>
      <c r="CF316">
        <v>457944456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133</v>
      </c>
      <c r="DA316">
        <v>275</v>
      </c>
      <c r="DB316">
        <v>0</v>
      </c>
      <c r="DC316" t="s">
        <v>134</v>
      </c>
      <c r="DD316" t="s">
        <v>135</v>
      </c>
      <c r="DG316">
        <v>3318146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"05/01/2025 15:05:24.706"</f>
        <v>05/01/2025 15:05:24.706</v>
      </c>
      <c r="C317" t="str">
        <f t="shared" si="102"/>
        <v>FFDFD3C0</v>
      </c>
      <c r="D317" t="s">
        <v>145</v>
      </c>
      <c r="E317" t="str">
        <f>"09"</f>
        <v>09</v>
      </c>
      <c r="H317">
        <v>51</v>
      </c>
      <c r="I317" t="s">
        <v>147</v>
      </c>
      <c r="J317" t="s">
        <v>138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R317" t="s">
        <v>127</v>
      </c>
      <c r="S317" t="str">
        <f t="shared" si="124"/>
        <v>15:05:24.000</v>
      </c>
      <c r="T317" t="str">
        <f t="shared" si="124"/>
        <v>15:05:24.000</v>
      </c>
      <c r="U317" t="str">
        <f t="shared" si="103"/>
        <v>A68FCB</v>
      </c>
      <c r="V317">
        <v>0</v>
      </c>
      <c r="W317">
        <v>0</v>
      </c>
      <c r="X317">
        <v>2</v>
      </c>
      <c r="Y317">
        <v>0</v>
      </c>
      <c r="AA317">
        <v>1</v>
      </c>
      <c r="AB317">
        <v>8</v>
      </c>
      <c r="AC317">
        <v>3</v>
      </c>
      <c r="AD317">
        <v>0</v>
      </c>
      <c r="AE317">
        <v>9</v>
      </c>
      <c r="AF317" t="s">
        <v>138</v>
      </c>
      <c r="AG317">
        <v>0</v>
      </c>
      <c r="AH317">
        <v>3</v>
      </c>
      <c r="AI317">
        <v>1</v>
      </c>
      <c r="AJ317">
        <v>0</v>
      </c>
      <c r="AK317" t="s">
        <v>229</v>
      </c>
      <c r="AL317">
        <v>38.955824</v>
      </c>
      <c r="AM317" t="s">
        <v>237</v>
      </c>
      <c r="AN317">
        <v>-121.063864</v>
      </c>
      <c r="AO317">
        <v>25</v>
      </c>
      <c r="AP317">
        <v>1900</v>
      </c>
      <c r="AQ317" t="s">
        <v>131</v>
      </c>
      <c r="AR317">
        <v>75</v>
      </c>
      <c r="AS317">
        <v>-2</v>
      </c>
      <c r="AT317">
        <v>576</v>
      </c>
      <c r="BB317" t="str">
        <f t="shared" si="104"/>
        <v>1200</v>
      </c>
      <c r="BC317">
        <v>1</v>
      </c>
      <c r="BD317" t="str">
        <f t="shared" si="105"/>
        <v xml:space="preserve">N52156  </v>
      </c>
      <c r="BE317">
        <v>1</v>
      </c>
      <c r="BG317">
        <v>0</v>
      </c>
      <c r="BH317">
        <v>0</v>
      </c>
      <c r="BI317">
        <v>0</v>
      </c>
      <c r="BJ317">
        <v>1900</v>
      </c>
      <c r="BK317">
        <v>0</v>
      </c>
      <c r="BL317" t="s">
        <v>188</v>
      </c>
      <c r="BM317">
        <v>1</v>
      </c>
      <c r="BN317">
        <v>1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 t="shared" si="125"/>
        <v>15:05:24.458</v>
      </c>
      <c r="CF317">
        <v>457944456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133</v>
      </c>
      <c r="DA317">
        <v>275</v>
      </c>
      <c r="DB317">
        <v>0</v>
      </c>
      <c r="DC317" t="s">
        <v>134</v>
      </c>
      <c r="DD317" t="s">
        <v>135</v>
      </c>
      <c r="DG317">
        <v>3318146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"05/01/2025 15:05:24.706"</f>
        <v>05/01/2025 15:05:24.706</v>
      </c>
      <c r="C318" t="str">
        <f t="shared" si="102"/>
        <v>FFDFD3C0</v>
      </c>
      <c r="D318" t="s">
        <v>145</v>
      </c>
      <c r="E318" t="str">
        <f>"05"</f>
        <v>05</v>
      </c>
      <c r="H318">
        <v>47</v>
      </c>
      <c r="I318" t="s">
        <v>146</v>
      </c>
      <c r="J318" t="s">
        <v>138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R318" t="s">
        <v>127</v>
      </c>
      <c r="S318" t="str">
        <f t="shared" si="124"/>
        <v>15:05:24.000</v>
      </c>
      <c r="T318" t="str">
        <f t="shared" si="124"/>
        <v>15:05:24.000</v>
      </c>
      <c r="U318" t="str">
        <f t="shared" si="103"/>
        <v>A68FCB</v>
      </c>
      <c r="V318">
        <v>0</v>
      </c>
      <c r="W318">
        <v>0</v>
      </c>
      <c r="X318">
        <v>2</v>
      </c>
      <c r="Y318">
        <v>0</v>
      </c>
      <c r="AA318">
        <v>1</v>
      </c>
      <c r="AB318">
        <v>8</v>
      </c>
      <c r="AC318">
        <v>3</v>
      </c>
      <c r="AD318">
        <v>0</v>
      </c>
      <c r="AE318">
        <v>9</v>
      </c>
      <c r="AF318" t="s">
        <v>138</v>
      </c>
      <c r="AG318">
        <v>0</v>
      </c>
      <c r="AH318">
        <v>3</v>
      </c>
      <c r="AI318">
        <v>1</v>
      </c>
      <c r="AJ318">
        <v>0</v>
      </c>
      <c r="AK318" t="s">
        <v>229</v>
      </c>
      <c r="AL318">
        <v>38.955824</v>
      </c>
      <c r="AM318" t="s">
        <v>237</v>
      </c>
      <c r="AN318">
        <v>-121.063864</v>
      </c>
      <c r="AO318">
        <v>25</v>
      </c>
      <c r="AP318">
        <v>1900</v>
      </c>
      <c r="AQ318" t="s">
        <v>131</v>
      </c>
      <c r="AR318">
        <v>75</v>
      </c>
      <c r="AS318">
        <v>-2</v>
      </c>
      <c r="AT318">
        <v>576</v>
      </c>
      <c r="BB318" t="str">
        <f t="shared" si="104"/>
        <v>1200</v>
      </c>
      <c r="BC318">
        <v>1</v>
      </c>
      <c r="BD318" t="str">
        <f t="shared" si="105"/>
        <v xml:space="preserve">N52156  </v>
      </c>
      <c r="BE318">
        <v>1</v>
      </c>
      <c r="BG318">
        <v>0</v>
      </c>
      <c r="BH318">
        <v>0</v>
      </c>
      <c r="BI318">
        <v>0</v>
      </c>
      <c r="BJ318">
        <v>1900</v>
      </c>
      <c r="BK318">
        <v>0</v>
      </c>
      <c r="BL318" t="s">
        <v>188</v>
      </c>
      <c r="BM318">
        <v>1</v>
      </c>
      <c r="BN318">
        <v>1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 t="shared" si="125"/>
        <v>15:05:24.458</v>
      </c>
      <c r="CF318">
        <v>457944456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133</v>
      </c>
      <c r="DA318">
        <v>275</v>
      </c>
      <c r="DB318">
        <v>0</v>
      </c>
      <c r="DC318" t="s">
        <v>134</v>
      </c>
      <c r="DD318" t="s">
        <v>135</v>
      </c>
      <c r="DG318">
        <v>3318146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"05/01/2025 15:05:24.710"</f>
        <v>05/01/2025 15:05:24.710</v>
      </c>
      <c r="C319" t="str">
        <f t="shared" si="102"/>
        <v>FFDFD3C0</v>
      </c>
      <c r="D319" t="s">
        <v>124</v>
      </c>
      <c r="E319" t="str">
        <f>"06"</f>
        <v>06</v>
      </c>
      <c r="F319">
        <v>2006</v>
      </c>
      <c r="G319" t="s">
        <v>125</v>
      </c>
      <c r="J319" t="s">
        <v>126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R319" t="s">
        <v>127</v>
      </c>
      <c r="S319" t="str">
        <f t="shared" si="124"/>
        <v>15:05:24.000</v>
      </c>
      <c r="T319" t="str">
        <f t="shared" si="124"/>
        <v>15:05:24.000</v>
      </c>
      <c r="U319" t="str">
        <f t="shared" si="103"/>
        <v>A68FCB</v>
      </c>
      <c r="V319">
        <v>0</v>
      </c>
      <c r="W319">
        <v>0</v>
      </c>
      <c r="X319">
        <v>2</v>
      </c>
      <c r="Y319">
        <v>0</v>
      </c>
      <c r="AA319">
        <v>1</v>
      </c>
      <c r="AB319">
        <v>8</v>
      </c>
      <c r="AC319">
        <v>3</v>
      </c>
      <c r="AD319">
        <v>0</v>
      </c>
      <c r="AE319">
        <v>9</v>
      </c>
      <c r="AF319" t="s">
        <v>138</v>
      </c>
      <c r="AG319">
        <v>0</v>
      </c>
      <c r="AH319">
        <v>3</v>
      </c>
      <c r="AI319">
        <v>1</v>
      </c>
      <c r="AJ319">
        <v>0</v>
      </c>
      <c r="AK319" t="s">
        <v>229</v>
      </c>
      <c r="AL319">
        <v>38.955824</v>
      </c>
      <c r="AM319" t="s">
        <v>237</v>
      </c>
      <c r="AN319">
        <v>-121.063864</v>
      </c>
      <c r="AO319">
        <v>25</v>
      </c>
      <c r="AP319">
        <v>1900</v>
      </c>
      <c r="AQ319" t="s">
        <v>131</v>
      </c>
      <c r="AR319">
        <v>75</v>
      </c>
      <c r="AS319">
        <v>-2</v>
      </c>
      <c r="AT319">
        <v>576</v>
      </c>
      <c r="BB319" t="str">
        <f t="shared" si="104"/>
        <v>1200</v>
      </c>
      <c r="BC319">
        <v>1</v>
      </c>
      <c r="BD319" t="str">
        <f t="shared" si="105"/>
        <v xml:space="preserve">N52156  </v>
      </c>
      <c r="BE319">
        <v>1</v>
      </c>
      <c r="BG319">
        <v>0</v>
      </c>
      <c r="BH319">
        <v>0</v>
      </c>
      <c r="BI319">
        <v>0</v>
      </c>
      <c r="BJ319">
        <v>1900</v>
      </c>
      <c r="BK319">
        <v>0</v>
      </c>
      <c r="BL319" t="s">
        <v>188</v>
      </c>
      <c r="BM319">
        <v>1</v>
      </c>
      <c r="BN319">
        <v>1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 t="shared" si="125"/>
        <v>15:05:24.458</v>
      </c>
      <c r="CF319">
        <v>457944456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133</v>
      </c>
      <c r="DA319">
        <v>275</v>
      </c>
      <c r="DB319">
        <v>0</v>
      </c>
      <c r="DC319" t="s">
        <v>134</v>
      </c>
      <c r="DD319" t="s">
        <v>135</v>
      </c>
      <c r="DG319">
        <v>3318146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"05/01/2025 15:05:26.048"</f>
        <v>05/01/2025 15:05:26.048</v>
      </c>
      <c r="C320" t="str">
        <f t="shared" si="102"/>
        <v>FFDFD3C0</v>
      </c>
      <c r="D320" t="s">
        <v>140</v>
      </c>
      <c r="E320" t="str">
        <f>"13"</f>
        <v>13</v>
      </c>
      <c r="F320">
        <v>1019</v>
      </c>
      <c r="G320" t="s">
        <v>141</v>
      </c>
      <c r="J320" t="s">
        <v>142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R320" t="s">
        <v>127</v>
      </c>
      <c r="S320" t="str">
        <f t="shared" ref="S320:T325" si="126">"15:05:25.000"</f>
        <v>15:05:25.000</v>
      </c>
      <c r="T320" t="str">
        <f t="shared" si="126"/>
        <v>15:05:25.000</v>
      </c>
      <c r="U320" t="str">
        <f t="shared" si="103"/>
        <v>A68FCB</v>
      </c>
      <c r="V320">
        <v>0</v>
      </c>
      <c r="W320">
        <v>0</v>
      </c>
      <c r="X320">
        <v>2</v>
      </c>
      <c r="Y320">
        <v>0</v>
      </c>
      <c r="AA320">
        <v>1</v>
      </c>
      <c r="AB320">
        <v>8</v>
      </c>
      <c r="AC320">
        <v>3</v>
      </c>
      <c r="AD320">
        <v>0</v>
      </c>
      <c r="AE320">
        <v>9</v>
      </c>
      <c r="AF320" t="s">
        <v>138</v>
      </c>
      <c r="AG320">
        <v>0</v>
      </c>
      <c r="AH320">
        <v>3</v>
      </c>
      <c r="AI320">
        <v>1</v>
      </c>
      <c r="AJ320">
        <v>0</v>
      </c>
      <c r="AK320" t="s">
        <v>227</v>
      </c>
      <c r="AL320">
        <v>38.955803000000003</v>
      </c>
      <c r="AM320" t="s">
        <v>238</v>
      </c>
      <c r="AN320">
        <v>-121.06341399999999</v>
      </c>
      <c r="AO320">
        <v>25</v>
      </c>
      <c r="AP320">
        <v>1900</v>
      </c>
      <c r="AQ320" t="s">
        <v>131</v>
      </c>
      <c r="AR320">
        <v>75</v>
      </c>
      <c r="AS320">
        <v>-2</v>
      </c>
      <c r="AT320">
        <v>576</v>
      </c>
      <c r="BB320" t="str">
        <f t="shared" si="104"/>
        <v>1200</v>
      </c>
      <c r="BC320">
        <v>1</v>
      </c>
      <c r="BD320" t="str">
        <f t="shared" si="105"/>
        <v xml:space="preserve">N52156  </v>
      </c>
      <c r="BE320">
        <v>1</v>
      </c>
      <c r="BG320">
        <v>0</v>
      </c>
      <c r="BH320">
        <v>0</v>
      </c>
      <c r="BI320">
        <v>0</v>
      </c>
      <c r="BJ320">
        <v>1900</v>
      </c>
      <c r="BK320">
        <v>0</v>
      </c>
      <c r="BL320" t="s">
        <v>188</v>
      </c>
      <c r="BM320">
        <v>1</v>
      </c>
      <c r="BN320">
        <v>1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 t="shared" ref="CE320:CE325" si="127">"15:05:25.839"</f>
        <v>15:05:25.839</v>
      </c>
      <c r="CF320">
        <v>838945571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133</v>
      </c>
      <c r="DA320">
        <v>275</v>
      </c>
      <c r="DB320">
        <v>0</v>
      </c>
      <c r="DC320" t="s">
        <v>134</v>
      </c>
      <c r="DD320" t="s">
        <v>135</v>
      </c>
      <c r="DG320">
        <v>3318164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"05/01/2025 15:05:26.054"</f>
        <v>05/01/2025 15:05:26.054</v>
      </c>
      <c r="C321" t="str">
        <f t="shared" si="102"/>
        <v>FFDFD3C0</v>
      </c>
      <c r="D321" t="s">
        <v>143</v>
      </c>
      <c r="E321" t="str">
        <f>"05"</f>
        <v>05</v>
      </c>
      <c r="H321">
        <v>172</v>
      </c>
      <c r="I321" t="s">
        <v>141</v>
      </c>
      <c r="J321" t="s">
        <v>144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R321" t="s">
        <v>127</v>
      </c>
      <c r="S321" t="str">
        <f t="shared" si="126"/>
        <v>15:05:25.000</v>
      </c>
      <c r="T321" t="str">
        <f t="shared" si="126"/>
        <v>15:05:25.000</v>
      </c>
      <c r="U321" t="str">
        <f t="shared" si="103"/>
        <v>A68FCB</v>
      </c>
      <c r="V321">
        <v>0</v>
      </c>
      <c r="W321">
        <v>0</v>
      </c>
      <c r="X321">
        <v>2</v>
      </c>
      <c r="Y321">
        <v>0</v>
      </c>
      <c r="AA321">
        <v>1</v>
      </c>
      <c r="AB321">
        <v>8</v>
      </c>
      <c r="AC321">
        <v>3</v>
      </c>
      <c r="AD321">
        <v>0</v>
      </c>
      <c r="AE321">
        <v>9</v>
      </c>
      <c r="AF321" t="s">
        <v>138</v>
      </c>
      <c r="AG321">
        <v>0</v>
      </c>
      <c r="AH321">
        <v>3</v>
      </c>
      <c r="AI321">
        <v>1</v>
      </c>
      <c r="AJ321">
        <v>0</v>
      </c>
      <c r="AK321" t="s">
        <v>227</v>
      </c>
      <c r="AL321">
        <v>38.955803000000003</v>
      </c>
      <c r="AM321" t="s">
        <v>238</v>
      </c>
      <c r="AN321">
        <v>-121.06341399999999</v>
      </c>
      <c r="AO321">
        <v>25</v>
      </c>
      <c r="AP321">
        <v>1900</v>
      </c>
      <c r="AQ321" t="s">
        <v>131</v>
      </c>
      <c r="AR321">
        <v>75</v>
      </c>
      <c r="AS321">
        <v>-2</v>
      </c>
      <c r="AT321">
        <v>576</v>
      </c>
      <c r="BB321" t="str">
        <f t="shared" si="104"/>
        <v>1200</v>
      </c>
      <c r="BC321">
        <v>1</v>
      </c>
      <c r="BD321" t="str">
        <f t="shared" si="105"/>
        <v xml:space="preserve">N52156  </v>
      </c>
      <c r="BE321">
        <v>1</v>
      </c>
      <c r="BG321">
        <v>0</v>
      </c>
      <c r="BH321">
        <v>0</v>
      </c>
      <c r="BI321">
        <v>0</v>
      </c>
      <c r="BJ321">
        <v>1900</v>
      </c>
      <c r="BK321">
        <v>0</v>
      </c>
      <c r="BL321" t="s">
        <v>188</v>
      </c>
      <c r="BM321">
        <v>1</v>
      </c>
      <c r="BN321">
        <v>1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 t="shared" si="127"/>
        <v>15:05:25.839</v>
      </c>
      <c r="CF321">
        <v>838945571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133</v>
      </c>
      <c r="DA321">
        <v>275</v>
      </c>
      <c r="DB321">
        <v>0</v>
      </c>
      <c r="DC321" t="s">
        <v>134</v>
      </c>
      <c r="DD321" t="s">
        <v>135</v>
      </c>
      <c r="DG321">
        <v>3318164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"05/01/2025 15:05:26.058"</f>
        <v>05/01/2025 15:05:26.058</v>
      </c>
      <c r="C322" t="str">
        <f t="shared" ref="C322:C385" si="128">"FFDFD3C0"</f>
        <v>FFDFD3C0</v>
      </c>
      <c r="D322" t="s">
        <v>145</v>
      </c>
      <c r="E322" t="str">
        <f>"05"</f>
        <v>05</v>
      </c>
      <c r="H322">
        <v>47</v>
      </c>
      <c r="I322" t="s">
        <v>146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R322" t="s">
        <v>127</v>
      </c>
      <c r="S322" t="str">
        <f t="shared" si="126"/>
        <v>15:05:25.000</v>
      </c>
      <c r="T322" t="str">
        <f t="shared" si="126"/>
        <v>15:05:25.000</v>
      </c>
      <c r="U322" t="str">
        <f t="shared" ref="U322:U385" si="129">"A68FCB"</f>
        <v>A68FCB</v>
      </c>
      <c r="V322">
        <v>0</v>
      </c>
      <c r="W322">
        <v>0</v>
      </c>
      <c r="X322">
        <v>2</v>
      </c>
      <c r="Y322">
        <v>0</v>
      </c>
      <c r="AA322">
        <v>1</v>
      </c>
      <c r="AB322">
        <v>8</v>
      </c>
      <c r="AC322">
        <v>3</v>
      </c>
      <c r="AD322">
        <v>0</v>
      </c>
      <c r="AE322">
        <v>9</v>
      </c>
      <c r="AF322" t="s">
        <v>138</v>
      </c>
      <c r="AG322">
        <v>0</v>
      </c>
      <c r="AH322">
        <v>3</v>
      </c>
      <c r="AI322">
        <v>1</v>
      </c>
      <c r="AJ322">
        <v>0</v>
      </c>
      <c r="AK322" t="s">
        <v>227</v>
      </c>
      <c r="AL322">
        <v>38.955803000000003</v>
      </c>
      <c r="AM322" t="s">
        <v>238</v>
      </c>
      <c r="AN322">
        <v>-121.06341399999999</v>
      </c>
      <c r="AO322">
        <v>25</v>
      </c>
      <c r="AP322">
        <v>1900</v>
      </c>
      <c r="AQ322" t="s">
        <v>131</v>
      </c>
      <c r="AR322">
        <v>75</v>
      </c>
      <c r="AS322">
        <v>-2</v>
      </c>
      <c r="AT322">
        <v>576</v>
      </c>
      <c r="BB322" t="str">
        <f t="shared" ref="BB322:BB385" si="130">"1200"</f>
        <v>1200</v>
      </c>
      <c r="BC322">
        <v>1</v>
      </c>
      <c r="BD322" t="str">
        <f t="shared" ref="BD322:BD385" si="131">"N52156  "</f>
        <v xml:space="preserve">N52156  </v>
      </c>
      <c r="BE322">
        <v>1</v>
      </c>
      <c r="BG322">
        <v>0</v>
      </c>
      <c r="BH322">
        <v>0</v>
      </c>
      <c r="BI322">
        <v>0</v>
      </c>
      <c r="BJ322">
        <v>1900</v>
      </c>
      <c r="BK322">
        <v>0</v>
      </c>
      <c r="BL322" t="s">
        <v>188</v>
      </c>
      <c r="BM322">
        <v>1</v>
      </c>
      <c r="BN322">
        <v>1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 t="shared" si="127"/>
        <v>15:05:25.839</v>
      </c>
      <c r="CF322">
        <v>838945571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133</v>
      </c>
      <c r="DA322">
        <v>275</v>
      </c>
      <c r="DB322">
        <v>0</v>
      </c>
      <c r="DC322" t="s">
        <v>134</v>
      </c>
      <c r="DD322" t="s">
        <v>135</v>
      </c>
      <c r="DG322">
        <v>3318164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"05/01/2025 15:05:26.062"</f>
        <v>05/01/2025 15:05:26.062</v>
      </c>
      <c r="C323" t="str">
        <f t="shared" si="128"/>
        <v>FFDFD3C0</v>
      </c>
      <c r="D323" t="s">
        <v>124</v>
      </c>
      <c r="E323" t="str">
        <f>"06"</f>
        <v>06</v>
      </c>
      <c r="F323">
        <v>2006</v>
      </c>
      <c r="G323" t="s">
        <v>125</v>
      </c>
      <c r="J323" t="s">
        <v>126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R323" t="s">
        <v>127</v>
      </c>
      <c r="S323" t="str">
        <f t="shared" si="126"/>
        <v>15:05:25.000</v>
      </c>
      <c r="T323" t="str">
        <f t="shared" si="126"/>
        <v>15:05:25.000</v>
      </c>
      <c r="U323" t="str">
        <f t="shared" si="129"/>
        <v>A68FCB</v>
      </c>
      <c r="V323">
        <v>0</v>
      </c>
      <c r="W323">
        <v>0</v>
      </c>
      <c r="X323">
        <v>2</v>
      </c>
      <c r="Y323">
        <v>0</v>
      </c>
      <c r="AA323">
        <v>1</v>
      </c>
      <c r="AB323">
        <v>8</v>
      </c>
      <c r="AC323">
        <v>3</v>
      </c>
      <c r="AD323">
        <v>0</v>
      </c>
      <c r="AE323">
        <v>9</v>
      </c>
      <c r="AF323" t="s">
        <v>138</v>
      </c>
      <c r="AG323">
        <v>0</v>
      </c>
      <c r="AH323">
        <v>3</v>
      </c>
      <c r="AI323">
        <v>1</v>
      </c>
      <c r="AJ323">
        <v>0</v>
      </c>
      <c r="AK323" t="s">
        <v>227</v>
      </c>
      <c r="AL323">
        <v>38.955803000000003</v>
      </c>
      <c r="AM323" t="s">
        <v>238</v>
      </c>
      <c r="AN323">
        <v>-121.06341399999999</v>
      </c>
      <c r="AO323">
        <v>25</v>
      </c>
      <c r="AP323">
        <v>1900</v>
      </c>
      <c r="AQ323" t="s">
        <v>131</v>
      </c>
      <c r="AR323">
        <v>75</v>
      </c>
      <c r="AS323">
        <v>-2</v>
      </c>
      <c r="AT323">
        <v>576</v>
      </c>
      <c r="BB323" t="str">
        <f t="shared" si="130"/>
        <v>1200</v>
      </c>
      <c r="BC323">
        <v>1</v>
      </c>
      <c r="BD323" t="str">
        <f t="shared" si="131"/>
        <v xml:space="preserve">N52156  </v>
      </c>
      <c r="BE323">
        <v>1</v>
      </c>
      <c r="BG323">
        <v>0</v>
      </c>
      <c r="BH323">
        <v>0</v>
      </c>
      <c r="BI323">
        <v>0</v>
      </c>
      <c r="BJ323">
        <v>1900</v>
      </c>
      <c r="BK323">
        <v>0</v>
      </c>
      <c r="BL323" t="s">
        <v>188</v>
      </c>
      <c r="BM323">
        <v>1</v>
      </c>
      <c r="BN323">
        <v>1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 t="shared" si="127"/>
        <v>15:05:25.839</v>
      </c>
      <c r="CF323">
        <v>838945571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133</v>
      </c>
      <c r="DA323">
        <v>275</v>
      </c>
      <c r="DB323">
        <v>0</v>
      </c>
      <c r="DC323" t="s">
        <v>134</v>
      </c>
      <c r="DD323" t="s">
        <v>135</v>
      </c>
      <c r="DG323">
        <v>3318164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"05/01/2025 15:05:26.059"</f>
        <v>05/01/2025 15:05:26.059</v>
      </c>
      <c r="C324" t="str">
        <f t="shared" si="128"/>
        <v>FFDFD3C0</v>
      </c>
      <c r="D324" t="s">
        <v>145</v>
      </c>
      <c r="E324" t="str">
        <f>"09"</f>
        <v>09</v>
      </c>
      <c r="H324">
        <v>51</v>
      </c>
      <c r="I324" t="s">
        <v>147</v>
      </c>
      <c r="J324" t="s">
        <v>138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R324" t="s">
        <v>127</v>
      </c>
      <c r="S324" t="str">
        <f t="shared" si="126"/>
        <v>15:05:25.000</v>
      </c>
      <c r="T324" t="str">
        <f t="shared" si="126"/>
        <v>15:05:25.000</v>
      </c>
      <c r="U324" t="str">
        <f t="shared" si="129"/>
        <v>A68FCB</v>
      </c>
      <c r="V324">
        <v>0</v>
      </c>
      <c r="W324">
        <v>0</v>
      </c>
      <c r="X324">
        <v>2</v>
      </c>
      <c r="Y324">
        <v>0</v>
      </c>
      <c r="AA324">
        <v>1</v>
      </c>
      <c r="AB324">
        <v>8</v>
      </c>
      <c r="AC324">
        <v>3</v>
      </c>
      <c r="AD324">
        <v>0</v>
      </c>
      <c r="AE324">
        <v>9</v>
      </c>
      <c r="AF324" t="s">
        <v>138</v>
      </c>
      <c r="AG324">
        <v>0</v>
      </c>
      <c r="AH324">
        <v>3</v>
      </c>
      <c r="AI324">
        <v>1</v>
      </c>
      <c r="AJ324">
        <v>0</v>
      </c>
      <c r="AK324" t="s">
        <v>227</v>
      </c>
      <c r="AL324">
        <v>38.955803000000003</v>
      </c>
      <c r="AM324" t="s">
        <v>238</v>
      </c>
      <c r="AN324">
        <v>-121.06341399999999</v>
      </c>
      <c r="AO324">
        <v>25</v>
      </c>
      <c r="AP324">
        <v>1900</v>
      </c>
      <c r="AQ324" t="s">
        <v>131</v>
      </c>
      <c r="AR324">
        <v>75</v>
      </c>
      <c r="AS324">
        <v>-2</v>
      </c>
      <c r="AT324">
        <v>576</v>
      </c>
      <c r="BB324" t="str">
        <f t="shared" si="130"/>
        <v>1200</v>
      </c>
      <c r="BC324">
        <v>1</v>
      </c>
      <c r="BD324" t="str">
        <f t="shared" si="131"/>
        <v xml:space="preserve">N52156  </v>
      </c>
      <c r="BE324">
        <v>1</v>
      </c>
      <c r="BG324">
        <v>0</v>
      </c>
      <c r="BH324">
        <v>0</v>
      </c>
      <c r="BI324">
        <v>0</v>
      </c>
      <c r="BJ324">
        <v>1900</v>
      </c>
      <c r="BK324">
        <v>0</v>
      </c>
      <c r="BL324" t="s">
        <v>188</v>
      </c>
      <c r="BM324">
        <v>1</v>
      </c>
      <c r="BN324">
        <v>1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 t="shared" si="127"/>
        <v>15:05:25.839</v>
      </c>
      <c r="CF324">
        <v>838945571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133</v>
      </c>
      <c r="DA324">
        <v>275</v>
      </c>
      <c r="DB324">
        <v>0</v>
      </c>
      <c r="DC324" t="s">
        <v>134</v>
      </c>
      <c r="DD324" t="s">
        <v>135</v>
      </c>
      <c r="DG324">
        <v>3318164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"05/01/2025 15:05:26.070"</f>
        <v>05/01/2025 15:05:26.070</v>
      </c>
      <c r="C325" t="str">
        <f t="shared" si="128"/>
        <v>FFDFD3C0</v>
      </c>
      <c r="D325" t="s">
        <v>136</v>
      </c>
      <c r="E325" t="str">
        <f>"20"</f>
        <v>20</v>
      </c>
      <c r="H325">
        <v>400</v>
      </c>
      <c r="I325" t="s">
        <v>137</v>
      </c>
      <c r="J325" t="s">
        <v>138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R325" t="s">
        <v>127</v>
      </c>
      <c r="S325" t="str">
        <f t="shared" si="126"/>
        <v>15:05:25.000</v>
      </c>
      <c r="T325" t="str">
        <f t="shared" si="126"/>
        <v>15:05:25.000</v>
      </c>
      <c r="U325" t="str">
        <f t="shared" si="129"/>
        <v>A68FCB</v>
      </c>
      <c r="V325">
        <v>0</v>
      </c>
      <c r="W325">
        <v>0</v>
      </c>
      <c r="X325">
        <v>2</v>
      </c>
      <c r="Y325">
        <v>0</v>
      </c>
      <c r="AA325">
        <v>1</v>
      </c>
      <c r="AB325">
        <v>8</v>
      </c>
      <c r="AC325">
        <v>3</v>
      </c>
      <c r="AD325">
        <v>0</v>
      </c>
      <c r="AE325">
        <v>9</v>
      </c>
      <c r="AF325" t="s">
        <v>138</v>
      </c>
      <c r="AG325">
        <v>0</v>
      </c>
      <c r="AH325">
        <v>3</v>
      </c>
      <c r="AI325">
        <v>1</v>
      </c>
      <c r="AJ325">
        <v>0</v>
      </c>
      <c r="AK325" t="s">
        <v>227</v>
      </c>
      <c r="AL325">
        <v>38.955803000000003</v>
      </c>
      <c r="AM325" t="s">
        <v>238</v>
      </c>
      <c r="AN325">
        <v>-121.06341399999999</v>
      </c>
      <c r="AO325">
        <v>25</v>
      </c>
      <c r="AP325">
        <v>1900</v>
      </c>
      <c r="AQ325" t="s">
        <v>131</v>
      </c>
      <c r="AR325">
        <v>75</v>
      </c>
      <c r="AS325">
        <v>-2</v>
      </c>
      <c r="AT325">
        <v>576</v>
      </c>
      <c r="BB325" t="str">
        <f t="shared" si="130"/>
        <v>1200</v>
      </c>
      <c r="BC325">
        <v>1</v>
      </c>
      <c r="BD325" t="str">
        <f t="shared" si="131"/>
        <v xml:space="preserve">N52156  </v>
      </c>
      <c r="BE325">
        <v>1</v>
      </c>
      <c r="BG325">
        <v>0</v>
      </c>
      <c r="BH325">
        <v>0</v>
      </c>
      <c r="BI325">
        <v>0</v>
      </c>
      <c r="BJ325">
        <v>1900</v>
      </c>
      <c r="BK325">
        <v>0</v>
      </c>
      <c r="BL325" t="s">
        <v>188</v>
      </c>
      <c r="BM325">
        <v>1</v>
      </c>
      <c r="BN325">
        <v>1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 t="shared" si="127"/>
        <v>15:05:25.839</v>
      </c>
      <c r="CF325">
        <v>838945571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133</v>
      </c>
      <c r="DA325">
        <v>275</v>
      </c>
      <c r="DB325">
        <v>0</v>
      </c>
      <c r="DC325" t="s">
        <v>134</v>
      </c>
      <c r="DD325" t="s">
        <v>135</v>
      </c>
      <c r="DG325">
        <v>3318164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"05/01/2025 15:05:27.100"</f>
        <v>05/01/2025 15:05:27.100</v>
      </c>
      <c r="C326" t="str">
        <f t="shared" si="128"/>
        <v>FFDFD3C0</v>
      </c>
      <c r="D326" t="s">
        <v>140</v>
      </c>
      <c r="E326" t="str">
        <f>"13"</f>
        <v>13</v>
      </c>
      <c r="F326">
        <v>1019</v>
      </c>
      <c r="G326" t="s">
        <v>141</v>
      </c>
      <c r="J326" t="s">
        <v>142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R326" t="s">
        <v>127</v>
      </c>
      <c r="S326" t="str">
        <f t="shared" ref="S326:T331" si="132">"15:05:26.000"</f>
        <v>15:05:26.000</v>
      </c>
      <c r="T326" t="str">
        <f t="shared" si="132"/>
        <v>15:05:26.000</v>
      </c>
      <c r="U326" t="str">
        <f t="shared" si="129"/>
        <v>A68FCB</v>
      </c>
      <c r="V326">
        <v>0</v>
      </c>
      <c r="W326">
        <v>0</v>
      </c>
      <c r="X326">
        <v>2</v>
      </c>
      <c r="Y326">
        <v>0</v>
      </c>
      <c r="AA326">
        <v>1</v>
      </c>
      <c r="AB326">
        <v>8</v>
      </c>
      <c r="AC326">
        <v>3</v>
      </c>
      <c r="AD326">
        <v>0</v>
      </c>
      <c r="AE326">
        <v>9</v>
      </c>
      <c r="AF326" t="s">
        <v>138</v>
      </c>
      <c r="AG326">
        <v>0</v>
      </c>
      <c r="AH326">
        <v>3</v>
      </c>
      <c r="AI326">
        <v>1</v>
      </c>
      <c r="AJ326">
        <v>0</v>
      </c>
      <c r="AK326" t="s">
        <v>227</v>
      </c>
      <c r="AL326">
        <v>38.955803000000003</v>
      </c>
      <c r="AM326" t="s">
        <v>239</v>
      </c>
      <c r="AN326">
        <v>-121.062963</v>
      </c>
      <c r="AO326">
        <v>25</v>
      </c>
      <c r="AP326">
        <v>1900</v>
      </c>
      <c r="AQ326" t="s">
        <v>131</v>
      </c>
      <c r="AR326">
        <v>74</v>
      </c>
      <c r="AS326">
        <v>-3</v>
      </c>
      <c r="AT326">
        <v>576</v>
      </c>
      <c r="BB326" t="str">
        <f t="shared" si="130"/>
        <v>1200</v>
      </c>
      <c r="BC326">
        <v>1</v>
      </c>
      <c r="BD326" t="str">
        <f t="shared" si="131"/>
        <v xml:space="preserve">N52156  </v>
      </c>
      <c r="BE326">
        <v>1</v>
      </c>
      <c r="BG326">
        <v>0</v>
      </c>
      <c r="BH326">
        <v>0</v>
      </c>
      <c r="BI326">
        <v>0</v>
      </c>
      <c r="BJ326">
        <v>1900</v>
      </c>
      <c r="BK326">
        <v>0</v>
      </c>
      <c r="BL326" t="s">
        <v>188</v>
      </c>
      <c r="BM326">
        <v>1</v>
      </c>
      <c r="BN326">
        <v>1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 t="shared" ref="CE326:CE331" si="133">"15:05:26.875"</f>
        <v>15:05:26.875</v>
      </c>
      <c r="CF326">
        <v>874945763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5</v>
      </c>
      <c r="CY326">
        <v>7</v>
      </c>
      <c r="CZ326" t="s">
        <v>133</v>
      </c>
      <c r="DA326">
        <v>275</v>
      </c>
      <c r="DB326">
        <v>0</v>
      </c>
      <c r="DC326" t="s">
        <v>134</v>
      </c>
      <c r="DD326" t="s">
        <v>135</v>
      </c>
      <c r="DG326">
        <v>3318174</v>
      </c>
      <c r="DI326">
        <v>1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"05/01/2025 15:05:27.106"</f>
        <v>05/01/2025 15:05:27.106</v>
      </c>
      <c r="C327" t="str">
        <f t="shared" si="128"/>
        <v>FFDFD3C0</v>
      </c>
      <c r="D327" t="s">
        <v>143</v>
      </c>
      <c r="E327" t="str">
        <f>"05"</f>
        <v>05</v>
      </c>
      <c r="H327">
        <v>172</v>
      </c>
      <c r="I327" t="s">
        <v>141</v>
      </c>
      <c r="J327" t="s">
        <v>144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R327" t="s">
        <v>127</v>
      </c>
      <c r="S327" t="str">
        <f t="shared" si="132"/>
        <v>15:05:26.000</v>
      </c>
      <c r="T327" t="str">
        <f t="shared" si="132"/>
        <v>15:05:26.000</v>
      </c>
      <c r="U327" t="str">
        <f t="shared" si="129"/>
        <v>A68FCB</v>
      </c>
      <c r="V327">
        <v>0</v>
      </c>
      <c r="W327">
        <v>0</v>
      </c>
      <c r="X327">
        <v>2</v>
      </c>
      <c r="Y327">
        <v>0</v>
      </c>
      <c r="AA327">
        <v>1</v>
      </c>
      <c r="AB327">
        <v>8</v>
      </c>
      <c r="AC327">
        <v>3</v>
      </c>
      <c r="AD327">
        <v>0</v>
      </c>
      <c r="AE327">
        <v>9</v>
      </c>
      <c r="AF327" t="s">
        <v>138</v>
      </c>
      <c r="AG327">
        <v>0</v>
      </c>
      <c r="AH327">
        <v>3</v>
      </c>
      <c r="AI327">
        <v>1</v>
      </c>
      <c r="AJ327">
        <v>0</v>
      </c>
      <c r="AK327" t="s">
        <v>227</v>
      </c>
      <c r="AL327">
        <v>38.955803000000003</v>
      </c>
      <c r="AM327" t="s">
        <v>239</v>
      </c>
      <c r="AN327">
        <v>-121.062963</v>
      </c>
      <c r="AO327">
        <v>25</v>
      </c>
      <c r="AP327">
        <v>1900</v>
      </c>
      <c r="AQ327" t="s">
        <v>131</v>
      </c>
      <c r="AR327">
        <v>74</v>
      </c>
      <c r="AS327">
        <v>-3</v>
      </c>
      <c r="AT327">
        <v>576</v>
      </c>
      <c r="BB327" t="str">
        <f t="shared" si="130"/>
        <v>1200</v>
      </c>
      <c r="BC327">
        <v>1</v>
      </c>
      <c r="BD327" t="str">
        <f t="shared" si="131"/>
        <v xml:space="preserve">N52156  </v>
      </c>
      <c r="BE327">
        <v>1</v>
      </c>
      <c r="BG327">
        <v>0</v>
      </c>
      <c r="BH327">
        <v>0</v>
      </c>
      <c r="BI327">
        <v>0</v>
      </c>
      <c r="BJ327">
        <v>1900</v>
      </c>
      <c r="BK327">
        <v>0</v>
      </c>
      <c r="BL327" t="s">
        <v>188</v>
      </c>
      <c r="BM327">
        <v>1</v>
      </c>
      <c r="BN327">
        <v>1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 t="shared" si="133"/>
        <v>15:05:26.875</v>
      </c>
      <c r="CF327">
        <v>874945763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5</v>
      </c>
      <c r="CY327">
        <v>7</v>
      </c>
      <c r="CZ327" t="s">
        <v>133</v>
      </c>
      <c r="DA327">
        <v>275</v>
      </c>
      <c r="DB327">
        <v>0</v>
      </c>
      <c r="DC327" t="s">
        <v>134</v>
      </c>
      <c r="DD327" t="s">
        <v>135</v>
      </c>
      <c r="DG327">
        <v>3318174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"05/01/2025 15:05:27.111"</f>
        <v>05/01/2025 15:05:27.111</v>
      </c>
      <c r="C328" t="str">
        <f t="shared" si="128"/>
        <v>FFDFD3C0</v>
      </c>
      <c r="D328" t="s">
        <v>145</v>
      </c>
      <c r="E328" t="str">
        <f>"09"</f>
        <v>09</v>
      </c>
      <c r="H328">
        <v>51</v>
      </c>
      <c r="I328" t="s">
        <v>147</v>
      </c>
      <c r="J328" t="s">
        <v>138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R328" t="s">
        <v>127</v>
      </c>
      <c r="S328" t="str">
        <f t="shared" si="132"/>
        <v>15:05:26.000</v>
      </c>
      <c r="T328" t="str">
        <f t="shared" si="132"/>
        <v>15:05:26.000</v>
      </c>
      <c r="U328" t="str">
        <f t="shared" si="129"/>
        <v>A68FCB</v>
      </c>
      <c r="V328">
        <v>0</v>
      </c>
      <c r="W328">
        <v>0</v>
      </c>
      <c r="X328">
        <v>2</v>
      </c>
      <c r="Y328">
        <v>0</v>
      </c>
      <c r="AA328">
        <v>1</v>
      </c>
      <c r="AB328">
        <v>8</v>
      </c>
      <c r="AC328">
        <v>3</v>
      </c>
      <c r="AD328">
        <v>0</v>
      </c>
      <c r="AE328">
        <v>9</v>
      </c>
      <c r="AF328" t="s">
        <v>138</v>
      </c>
      <c r="AG328">
        <v>0</v>
      </c>
      <c r="AH328">
        <v>3</v>
      </c>
      <c r="AI328">
        <v>1</v>
      </c>
      <c r="AJ328">
        <v>0</v>
      </c>
      <c r="AK328" t="s">
        <v>227</v>
      </c>
      <c r="AL328">
        <v>38.955803000000003</v>
      </c>
      <c r="AM328" t="s">
        <v>239</v>
      </c>
      <c r="AN328">
        <v>-121.062963</v>
      </c>
      <c r="AO328">
        <v>25</v>
      </c>
      <c r="AP328">
        <v>1900</v>
      </c>
      <c r="AQ328" t="s">
        <v>131</v>
      </c>
      <c r="AR328">
        <v>74</v>
      </c>
      <c r="AS328">
        <v>-3</v>
      </c>
      <c r="AT328">
        <v>576</v>
      </c>
      <c r="BB328" t="str">
        <f t="shared" si="130"/>
        <v>1200</v>
      </c>
      <c r="BC328">
        <v>1</v>
      </c>
      <c r="BD328" t="str">
        <f t="shared" si="131"/>
        <v xml:space="preserve">N52156  </v>
      </c>
      <c r="BE328">
        <v>1</v>
      </c>
      <c r="BG328">
        <v>0</v>
      </c>
      <c r="BH328">
        <v>0</v>
      </c>
      <c r="BI328">
        <v>0</v>
      </c>
      <c r="BJ328">
        <v>1900</v>
      </c>
      <c r="BK328">
        <v>0</v>
      </c>
      <c r="BL328" t="s">
        <v>188</v>
      </c>
      <c r="BM328">
        <v>1</v>
      </c>
      <c r="BN328">
        <v>1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 t="shared" si="133"/>
        <v>15:05:26.875</v>
      </c>
      <c r="CF328">
        <v>874945763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133</v>
      </c>
      <c r="DA328">
        <v>275</v>
      </c>
      <c r="DB328">
        <v>0</v>
      </c>
      <c r="DC328" t="s">
        <v>134</v>
      </c>
      <c r="DD328" t="s">
        <v>135</v>
      </c>
      <c r="DG328">
        <v>3318174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"05/01/2025 15:05:27.114"</f>
        <v>05/01/2025 15:05:27.114</v>
      </c>
      <c r="C329" t="str">
        <f t="shared" si="128"/>
        <v>FFDFD3C0</v>
      </c>
      <c r="D329" t="s">
        <v>124</v>
      </c>
      <c r="E329" t="str">
        <f>"06"</f>
        <v>06</v>
      </c>
      <c r="F329">
        <v>2006</v>
      </c>
      <c r="G329" t="s">
        <v>125</v>
      </c>
      <c r="J329" t="s">
        <v>126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R329" t="s">
        <v>127</v>
      </c>
      <c r="S329" t="str">
        <f t="shared" si="132"/>
        <v>15:05:26.000</v>
      </c>
      <c r="T329" t="str">
        <f t="shared" si="132"/>
        <v>15:05:26.000</v>
      </c>
      <c r="U329" t="str">
        <f t="shared" si="129"/>
        <v>A68FCB</v>
      </c>
      <c r="V329">
        <v>0</v>
      </c>
      <c r="W329">
        <v>0</v>
      </c>
      <c r="X329">
        <v>2</v>
      </c>
      <c r="Y329">
        <v>0</v>
      </c>
      <c r="AA329">
        <v>1</v>
      </c>
      <c r="AB329">
        <v>8</v>
      </c>
      <c r="AC329">
        <v>3</v>
      </c>
      <c r="AD329">
        <v>0</v>
      </c>
      <c r="AE329">
        <v>9</v>
      </c>
      <c r="AF329" t="s">
        <v>138</v>
      </c>
      <c r="AG329">
        <v>0</v>
      </c>
      <c r="AH329">
        <v>3</v>
      </c>
      <c r="AI329">
        <v>1</v>
      </c>
      <c r="AJ329">
        <v>0</v>
      </c>
      <c r="AK329" t="s">
        <v>227</v>
      </c>
      <c r="AL329">
        <v>38.955803000000003</v>
      </c>
      <c r="AM329" t="s">
        <v>239</v>
      </c>
      <c r="AN329">
        <v>-121.062963</v>
      </c>
      <c r="AO329">
        <v>25</v>
      </c>
      <c r="AP329">
        <v>1900</v>
      </c>
      <c r="AQ329" t="s">
        <v>131</v>
      </c>
      <c r="AR329">
        <v>74</v>
      </c>
      <c r="AS329">
        <v>-3</v>
      </c>
      <c r="AT329">
        <v>576</v>
      </c>
      <c r="BB329" t="str">
        <f t="shared" si="130"/>
        <v>1200</v>
      </c>
      <c r="BC329">
        <v>1</v>
      </c>
      <c r="BD329" t="str">
        <f t="shared" si="131"/>
        <v xml:space="preserve">N52156  </v>
      </c>
      <c r="BE329">
        <v>1</v>
      </c>
      <c r="BG329">
        <v>0</v>
      </c>
      <c r="BH329">
        <v>0</v>
      </c>
      <c r="BI329">
        <v>0</v>
      </c>
      <c r="BJ329">
        <v>1900</v>
      </c>
      <c r="BK329">
        <v>0</v>
      </c>
      <c r="BL329" t="s">
        <v>188</v>
      </c>
      <c r="BM329">
        <v>1</v>
      </c>
      <c r="BN329">
        <v>1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 t="shared" si="133"/>
        <v>15:05:26.875</v>
      </c>
      <c r="CF329">
        <v>874945763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133</v>
      </c>
      <c r="DA329">
        <v>275</v>
      </c>
      <c r="DB329">
        <v>0</v>
      </c>
      <c r="DC329" t="s">
        <v>134</v>
      </c>
      <c r="DD329" t="s">
        <v>135</v>
      </c>
      <c r="DG329">
        <v>3318174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"05/01/2025 15:05:27.110"</f>
        <v>05/01/2025 15:05:27.110</v>
      </c>
      <c r="C330" t="str">
        <f t="shared" si="128"/>
        <v>FFDFD3C0</v>
      </c>
      <c r="D330" t="s">
        <v>145</v>
      </c>
      <c r="E330" t="str">
        <f>"05"</f>
        <v>05</v>
      </c>
      <c r="H330">
        <v>47</v>
      </c>
      <c r="I330" t="s">
        <v>146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R330" t="s">
        <v>127</v>
      </c>
      <c r="S330" t="str">
        <f t="shared" si="132"/>
        <v>15:05:26.000</v>
      </c>
      <c r="T330" t="str">
        <f t="shared" si="132"/>
        <v>15:05:26.000</v>
      </c>
      <c r="U330" t="str">
        <f t="shared" si="129"/>
        <v>A68FCB</v>
      </c>
      <c r="V330">
        <v>0</v>
      </c>
      <c r="W330">
        <v>0</v>
      </c>
      <c r="X330">
        <v>2</v>
      </c>
      <c r="Y330">
        <v>0</v>
      </c>
      <c r="AA330">
        <v>1</v>
      </c>
      <c r="AB330">
        <v>8</v>
      </c>
      <c r="AC330">
        <v>3</v>
      </c>
      <c r="AD330">
        <v>0</v>
      </c>
      <c r="AE330">
        <v>9</v>
      </c>
      <c r="AF330" t="s">
        <v>138</v>
      </c>
      <c r="AG330">
        <v>0</v>
      </c>
      <c r="AH330">
        <v>3</v>
      </c>
      <c r="AI330">
        <v>1</v>
      </c>
      <c r="AJ330">
        <v>0</v>
      </c>
      <c r="AK330" t="s">
        <v>227</v>
      </c>
      <c r="AL330">
        <v>38.955803000000003</v>
      </c>
      <c r="AM330" t="s">
        <v>239</v>
      </c>
      <c r="AN330">
        <v>-121.062963</v>
      </c>
      <c r="AO330">
        <v>25</v>
      </c>
      <c r="AP330">
        <v>1900</v>
      </c>
      <c r="AQ330" t="s">
        <v>131</v>
      </c>
      <c r="AR330">
        <v>74</v>
      </c>
      <c r="AS330">
        <v>-3</v>
      </c>
      <c r="AT330">
        <v>576</v>
      </c>
      <c r="BB330" t="str">
        <f t="shared" si="130"/>
        <v>1200</v>
      </c>
      <c r="BC330">
        <v>1</v>
      </c>
      <c r="BD330" t="str">
        <f t="shared" si="131"/>
        <v xml:space="preserve">N52156  </v>
      </c>
      <c r="BE330">
        <v>1</v>
      </c>
      <c r="BG330">
        <v>0</v>
      </c>
      <c r="BH330">
        <v>0</v>
      </c>
      <c r="BI330">
        <v>0</v>
      </c>
      <c r="BJ330">
        <v>1900</v>
      </c>
      <c r="BK330">
        <v>0</v>
      </c>
      <c r="BL330" t="s">
        <v>188</v>
      </c>
      <c r="BM330">
        <v>1</v>
      </c>
      <c r="BN330">
        <v>1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 t="shared" si="133"/>
        <v>15:05:26.875</v>
      </c>
      <c r="CF330">
        <v>874945763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133</v>
      </c>
      <c r="DA330">
        <v>275</v>
      </c>
      <c r="DB330">
        <v>0</v>
      </c>
      <c r="DC330" t="s">
        <v>134</v>
      </c>
      <c r="DD330" t="s">
        <v>135</v>
      </c>
      <c r="DG330">
        <v>3318174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"05/01/2025 15:05:27.122"</f>
        <v>05/01/2025 15:05:27.122</v>
      </c>
      <c r="C331" t="str">
        <f t="shared" si="128"/>
        <v>FFDFD3C0</v>
      </c>
      <c r="D331" t="s">
        <v>136</v>
      </c>
      <c r="E331" t="str">
        <f>"20"</f>
        <v>20</v>
      </c>
      <c r="H331">
        <v>400</v>
      </c>
      <c r="I331" t="s">
        <v>137</v>
      </c>
      <c r="J331" t="s">
        <v>138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R331" t="s">
        <v>127</v>
      </c>
      <c r="S331" t="str">
        <f t="shared" si="132"/>
        <v>15:05:26.000</v>
      </c>
      <c r="T331" t="str">
        <f t="shared" si="132"/>
        <v>15:05:26.000</v>
      </c>
      <c r="U331" t="str">
        <f t="shared" si="129"/>
        <v>A68FCB</v>
      </c>
      <c r="V331">
        <v>0</v>
      </c>
      <c r="W331">
        <v>0</v>
      </c>
      <c r="X331">
        <v>2</v>
      </c>
      <c r="Y331">
        <v>0</v>
      </c>
      <c r="AA331">
        <v>1</v>
      </c>
      <c r="AB331">
        <v>8</v>
      </c>
      <c r="AC331">
        <v>3</v>
      </c>
      <c r="AD331">
        <v>0</v>
      </c>
      <c r="AE331">
        <v>9</v>
      </c>
      <c r="AF331" t="s">
        <v>138</v>
      </c>
      <c r="AG331">
        <v>0</v>
      </c>
      <c r="AH331">
        <v>3</v>
      </c>
      <c r="AI331">
        <v>1</v>
      </c>
      <c r="AJ331">
        <v>0</v>
      </c>
      <c r="AK331" t="s">
        <v>227</v>
      </c>
      <c r="AL331">
        <v>38.955803000000003</v>
      </c>
      <c r="AM331" t="s">
        <v>239</v>
      </c>
      <c r="AN331">
        <v>-121.062963</v>
      </c>
      <c r="AO331">
        <v>25</v>
      </c>
      <c r="AP331">
        <v>1900</v>
      </c>
      <c r="AQ331" t="s">
        <v>131</v>
      </c>
      <c r="AR331">
        <v>74</v>
      </c>
      <c r="AS331">
        <v>-3</v>
      </c>
      <c r="AT331">
        <v>576</v>
      </c>
      <c r="BB331" t="str">
        <f t="shared" si="130"/>
        <v>1200</v>
      </c>
      <c r="BC331">
        <v>1</v>
      </c>
      <c r="BD331" t="str">
        <f t="shared" si="131"/>
        <v xml:space="preserve">N52156  </v>
      </c>
      <c r="BE331">
        <v>1</v>
      </c>
      <c r="BG331">
        <v>0</v>
      </c>
      <c r="BH331">
        <v>0</v>
      </c>
      <c r="BI331">
        <v>0</v>
      </c>
      <c r="BJ331">
        <v>1900</v>
      </c>
      <c r="BK331">
        <v>0</v>
      </c>
      <c r="BL331" t="s">
        <v>188</v>
      </c>
      <c r="BM331">
        <v>1</v>
      </c>
      <c r="BN331">
        <v>1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 t="shared" si="133"/>
        <v>15:05:26.875</v>
      </c>
      <c r="CF331">
        <v>874945763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133</v>
      </c>
      <c r="DA331">
        <v>275</v>
      </c>
      <c r="DB331">
        <v>0</v>
      </c>
      <c r="DC331" t="s">
        <v>134</v>
      </c>
      <c r="DD331" t="s">
        <v>135</v>
      </c>
      <c r="DG331">
        <v>3318174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"05/01/2025 15:05:27.701"</f>
        <v>05/01/2025 15:05:27.701</v>
      </c>
      <c r="C332" t="str">
        <f t="shared" si="128"/>
        <v>FFDFD3C0</v>
      </c>
      <c r="D332" t="s">
        <v>140</v>
      </c>
      <c r="E332" t="str">
        <f>"13"</f>
        <v>13</v>
      </c>
      <c r="F332">
        <v>1019</v>
      </c>
      <c r="G332" t="s">
        <v>141</v>
      </c>
      <c r="J332" t="s">
        <v>142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R332" t="s">
        <v>127</v>
      </c>
      <c r="S332" t="str">
        <f t="shared" ref="S332:T337" si="134">"15:05:27.000"</f>
        <v>15:05:27.000</v>
      </c>
      <c r="T332" t="str">
        <f t="shared" si="134"/>
        <v>15:05:27.000</v>
      </c>
      <c r="U332" t="str">
        <f t="shared" si="129"/>
        <v>A68FCB</v>
      </c>
      <c r="V332">
        <v>0</v>
      </c>
      <c r="W332">
        <v>0</v>
      </c>
      <c r="X332">
        <v>2</v>
      </c>
      <c r="Y332">
        <v>0</v>
      </c>
      <c r="AA332">
        <v>1</v>
      </c>
      <c r="AB332">
        <v>8</v>
      </c>
      <c r="AC332">
        <v>3</v>
      </c>
      <c r="AD332">
        <v>0</v>
      </c>
      <c r="AE332">
        <v>9</v>
      </c>
      <c r="AF332" t="s">
        <v>138</v>
      </c>
      <c r="AG332">
        <v>0</v>
      </c>
      <c r="AH332">
        <v>3</v>
      </c>
      <c r="AI332">
        <v>1</v>
      </c>
      <c r="AJ332">
        <v>0</v>
      </c>
      <c r="AK332" t="s">
        <v>223</v>
      </c>
      <c r="AL332">
        <v>38.955781000000002</v>
      </c>
      <c r="AM332" t="s">
        <v>240</v>
      </c>
      <c r="AN332">
        <v>-121.06249099999999</v>
      </c>
      <c r="AO332">
        <v>25</v>
      </c>
      <c r="AP332">
        <v>2000</v>
      </c>
      <c r="AQ332" t="s">
        <v>131</v>
      </c>
      <c r="AR332">
        <v>76</v>
      </c>
      <c r="AS332">
        <v>-3</v>
      </c>
      <c r="AT332">
        <v>512</v>
      </c>
      <c r="BB332" t="str">
        <f t="shared" si="130"/>
        <v>1200</v>
      </c>
      <c r="BC332">
        <v>1</v>
      </c>
      <c r="BD332" t="str">
        <f t="shared" si="131"/>
        <v xml:space="preserve">N52156  </v>
      </c>
      <c r="BE332">
        <v>1</v>
      </c>
      <c r="BG332">
        <v>0</v>
      </c>
      <c r="BH332">
        <v>0</v>
      </c>
      <c r="BI332">
        <v>0</v>
      </c>
      <c r="BJ332">
        <v>1925</v>
      </c>
      <c r="BK332">
        <v>-75</v>
      </c>
      <c r="BL332" t="s">
        <v>188</v>
      </c>
      <c r="BM332">
        <v>1</v>
      </c>
      <c r="BN332">
        <v>1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 t="shared" ref="CE332:CE337" si="135">"15:05:27.467"</f>
        <v>15:05:27.467</v>
      </c>
      <c r="CF332">
        <v>466694826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5</v>
      </c>
      <c r="CY332">
        <v>7</v>
      </c>
      <c r="CZ332" t="s">
        <v>133</v>
      </c>
      <c r="DA332">
        <v>275</v>
      </c>
      <c r="DB332">
        <v>0</v>
      </c>
      <c r="DC332" t="s">
        <v>134</v>
      </c>
      <c r="DD332" t="s">
        <v>135</v>
      </c>
      <c r="DG332">
        <v>3318185</v>
      </c>
      <c r="DI332">
        <v>1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"05/01/2025 15:05:27.707"</f>
        <v>05/01/2025 15:05:27.707</v>
      </c>
      <c r="C333" t="str">
        <f t="shared" si="128"/>
        <v>FFDFD3C0</v>
      </c>
      <c r="D333" t="s">
        <v>143</v>
      </c>
      <c r="E333" t="str">
        <f>"05"</f>
        <v>05</v>
      </c>
      <c r="H333">
        <v>172</v>
      </c>
      <c r="I333" t="s">
        <v>141</v>
      </c>
      <c r="J333" t="s">
        <v>144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R333" t="s">
        <v>127</v>
      </c>
      <c r="S333" t="str">
        <f t="shared" si="134"/>
        <v>15:05:27.000</v>
      </c>
      <c r="T333" t="str">
        <f t="shared" si="134"/>
        <v>15:05:27.000</v>
      </c>
      <c r="U333" t="str">
        <f t="shared" si="129"/>
        <v>A68FCB</v>
      </c>
      <c r="V333">
        <v>0</v>
      </c>
      <c r="W333">
        <v>0</v>
      </c>
      <c r="X333">
        <v>2</v>
      </c>
      <c r="Y333">
        <v>0</v>
      </c>
      <c r="AA333">
        <v>1</v>
      </c>
      <c r="AB333">
        <v>8</v>
      </c>
      <c r="AC333">
        <v>3</v>
      </c>
      <c r="AD333">
        <v>0</v>
      </c>
      <c r="AE333">
        <v>9</v>
      </c>
      <c r="AF333" t="s">
        <v>138</v>
      </c>
      <c r="AG333">
        <v>0</v>
      </c>
      <c r="AH333">
        <v>3</v>
      </c>
      <c r="AI333">
        <v>1</v>
      </c>
      <c r="AJ333">
        <v>0</v>
      </c>
      <c r="AK333" t="s">
        <v>223</v>
      </c>
      <c r="AL333">
        <v>38.955781000000002</v>
      </c>
      <c r="AM333" t="s">
        <v>240</v>
      </c>
      <c r="AN333">
        <v>-121.06249099999999</v>
      </c>
      <c r="AO333">
        <v>25</v>
      </c>
      <c r="AP333">
        <v>2000</v>
      </c>
      <c r="AQ333" t="s">
        <v>131</v>
      </c>
      <c r="AR333">
        <v>76</v>
      </c>
      <c r="AS333">
        <v>-3</v>
      </c>
      <c r="AT333">
        <v>512</v>
      </c>
      <c r="BB333" t="str">
        <f t="shared" si="130"/>
        <v>1200</v>
      </c>
      <c r="BC333">
        <v>1</v>
      </c>
      <c r="BD333" t="str">
        <f t="shared" si="131"/>
        <v xml:space="preserve">N52156  </v>
      </c>
      <c r="BE333">
        <v>1</v>
      </c>
      <c r="BG333">
        <v>0</v>
      </c>
      <c r="BH333">
        <v>0</v>
      </c>
      <c r="BI333">
        <v>0</v>
      </c>
      <c r="BJ333">
        <v>1925</v>
      </c>
      <c r="BK333">
        <v>-75</v>
      </c>
      <c r="BL333" t="s">
        <v>188</v>
      </c>
      <c r="BM333">
        <v>1</v>
      </c>
      <c r="BN333">
        <v>1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 t="shared" si="135"/>
        <v>15:05:27.467</v>
      </c>
      <c r="CF333">
        <v>466694826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5</v>
      </c>
      <c r="CY333">
        <v>7</v>
      </c>
      <c r="CZ333" t="s">
        <v>133</v>
      </c>
      <c r="DA333">
        <v>275</v>
      </c>
      <c r="DB333">
        <v>0</v>
      </c>
      <c r="DC333" t="s">
        <v>134</v>
      </c>
      <c r="DD333" t="s">
        <v>135</v>
      </c>
      <c r="DG333">
        <v>3318185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"05/01/2025 15:05:27.711"</f>
        <v>05/01/2025 15:05:27.711</v>
      </c>
      <c r="C334" t="str">
        <f t="shared" si="128"/>
        <v>FFDFD3C0</v>
      </c>
      <c r="D334" t="s">
        <v>145</v>
      </c>
      <c r="E334" t="str">
        <f>"05"</f>
        <v>05</v>
      </c>
      <c r="H334">
        <v>47</v>
      </c>
      <c r="I334" t="s">
        <v>146</v>
      </c>
      <c r="J334" t="s">
        <v>138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R334" t="s">
        <v>127</v>
      </c>
      <c r="S334" t="str">
        <f t="shared" si="134"/>
        <v>15:05:27.000</v>
      </c>
      <c r="T334" t="str">
        <f t="shared" si="134"/>
        <v>15:05:27.000</v>
      </c>
      <c r="U334" t="str">
        <f t="shared" si="129"/>
        <v>A68FCB</v>
      </c>
      <c r="V334">
        <v>0</v>
      </c>
      <c r="W334">
        <v>0</v>
      </c>
      <c r="X334">
        <v>2</v>
      </c>
      <c r="Y334">
        <v>0</v>
      </c>
      <c r="AA334">
        <v>1</v>
      </c>
      <c r="AB334">
        <v>8</v>
      </c>
      <c r="AC334">
        <v>3</v>
      </c>
      <c r="AD334">
        <v>0</v>
      </c>
      <c r="AE334">
        <v>9</v>
      </c>
      <c r="AF334" t="s">
        <v>138</v>
      </c>
      <c r="AG334">
        <v>0</v>
      </c>
      <c r="AH334">
        <v>3</v>
      </c>
      <c r="AI334">
        <v>1</v>
      </c>
      <c r="AJ334">
        <v>0</v>
      </c>
      <c r="AK334" t="s">
        <v>223</v>
      </c>
      <c r="AL334">
        <v>38.955781000000002</v>
      </c>
      <c r="AM334" t="s">
        <v>240</v>
      </c>
      <c r="AN334">
        <v>-121.06249099999999</v>
      </c>
      <c r="AO334">
        <v>25</v>
      </c>
      <c r="AP334">
        <v>2000</v>
      </c>
      <c r="AQ334" t="s">
        <v>131</v>
      </c>
      <c r="AR334">
        <v>76</v>
      </c>
      <c r="AS334">
        <v>-3</v>
      </c>
      <c r="AT334">
        <v>512</v>
      </c>
      <c r="BB334" t="str">
        <f t="shared" si="130"/>
        <v>1200</v>
      </c>
      <c r="BC334">
        <v>1</v>
      </c>
      <c r="BD334" t="str">
        <f t="shared" si="131"/>
        <v xml:space="preserve">N52156  </v>
      </c>
      <c r="BE334">
        <v>1</v>
      </c>
      <c r="BG334">
        <v>0</v>
      </c>
      <c r="BH334">
        <v>0</v>
      </c>
      <c r="BI334">
        <v>0</v>
      </c>
      <c r="BJ334">
        <v>1925</v>
      </c>
      <c r="BK334">
        <v>-75</v>
      </c>
      <c r="BL334" t="s">
        <v>188</v>
      </c>
      <c r="BM334">
        <v>1</v>
      </c>
      <c r="BN334">
        <v>1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 t="shared" si="135"/>
        <v>15:05:27.467</v>
      </c>
      <c r="CF334">
        <v>466694826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5</v>
      </c>
      <c r="CY334">
        <v>7</v>
      </c>
      <c r="CZ334" t="s">
        <v>133</v>
      </c>
      <c r="DA334">
        <v>275</v>
      </c>
      <c r="DB334">
        <v>0</v>
      </c>
      <c r="DC334" t="s">
        <v>134</v>
      </c>
      <c r="DD334" t="s">
        <v>135</v>
      </c>
      <c r="DG334">
        <v>3318185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"05/01/2025 15:05:27.712"</f>
        <v>05/01/2025 15:05:27.712</v>
      </c>
      <c r="C335" t="str">
        <f t="shared" si="128"/>
        <v>FFDFD3C0</v>
      </c>
      <c r="D335" t="s">
        <v>145</v>
      </c>
      <c r="E335" t="str">
        <f>"09"</f>
        <v>09</v>
      </c>
      <c r="H335">
        <v>51</v>
      </c>
      <c r="I335" t="s">
        <v>147</v>
      </c>
      <c r="J335" t="s">
        <v>138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R335" t="s">
        <v>127</v>
      </c>
      <c r="S335" t="str">
        <f t="shared" si="134"/>
        <v>15:05:27.000</v>
      </c>
      <c r="T335" t="str">
        <f t="shared" si="134"/>
        <v>15:05:27.000</v>
      </c>
      <c r="U335" t="str">
        <f t="shared" si="129"/>
        <v>A68FCB</v>
      </c>
      <c r="V335">
        <v>0</v>
      </c>
      <c r="W335">
        <v>0</v>
      </c>
      <c r="X335">
        <v>2</v>
      </c>
      <c r="Y335">
        <v>0</v>
      </c>
      <c r="AA335">
        <v>1</v>
      </c>
      <c r="AB335">
        <v>8</v>
      </c>
      <c r="AC335">
        <v>3</v>
      </c>
      <c r="AD335">
        <v>0</v>
      </c>
      <c r="AE335">
        <v>9</v>
      </c>
      <c r="AF335" t="s">
        <v>138</v>
      </c>
      <c r="AG335">
        <v>0</v>
      </c>
      <c r="AH335">
        <v>3</v>
      </c>
      <c r="AI335">
        <v>1</v>
      </c>
      <c r="AJ335">
        <v>0</v>
      </c>
      <c r="AK335" t="s">
        <v>223</v>
      </c>
      <c r="AL335">
        <v>38.955781000000002</v>
      </c>
      <c r="AM335" t="s">
        <v>240</v>
      </c>
      <c r="AN335">
        <v>-121.06249099999999</v>
      </c>
      <c r="AO335">
        <v>25</v>
      </c>
      <c r="AP335">
        <v>2000</v>
      </c>
      <c r="AQ335" t="s">
        <v>131</v>
      </c>
      <c r="AR335">
        <v>76</v>
      </c>
      <c r="AS335">
        <v>-3</v>
      </c>
      <c r="AT335">
        <v>512</v>
      </c>
      <c r="BB335" t="str">
        <f t="shared" si="130"/>
        <v>1200</v>
      </c>
      <c r="BC335">
        <v>1</v>
      </c>
      <c r="BD335" t="str">
        <f t="shared" si="131"/>
        <v xml:space="preserve">N52156  </v>
      </c>
      <c r="BE335">
        <v>1</v>
      </c>
      <c r="BG335">
        <v>0</v>
      </c>
      <c r="BH335">
        <v>0</v>
      </c>
      <c r="BI335">
        <v>0</v>
      </c>
      <c r="BJ335">
        <v>1925</v>
      </c>
      <c r="BK335">
        <v>-75</v>
      </c>
      <c r="BL335" t="s">
        <v>188</v>
      </c>
      <c r="BM335">
        <v>1</v>
      </c>
      <c r="BN335">
        <v>1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 t="shared" si="135"/>
        <v>15:05:27.467</v>
      </c>
      <c r="CF335">
        <v>466694826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133</v>
      </c>
      <c r="DA335">
        <v>275</v>
      </c>
      <c r="DB335">
        <v>0</v>
      </c>
      <c r="DC335" t="s">
        <v>134</v>
      </c>
      <c r="DD335" t="s">
        <v>135</v>
      </c>
      <c r="DG335">
        <v>3318185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"05/01/2025 15:05:27.715"</f>
        <v>05/01/2025 15:05:27.715</v>
      </c>
      <c r="C336" t="str">
        <f t="shared" si="128"/>
        <v>FFDFD3C0</v>
      </c>
      <c r="D336" t="s">
        <v>124</v>
      </c>
      <c r="E336" t="str">
        <f>"06"</f>
        <v>06</v>
      </c>
      <c r="F336">
        <v>2006</v>
      </c>
      <c r="G336" t="s">
        <v>125</v>
      </c>
      <c r="J336" t="s">
        <v>126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R336" t="s">
        <v>127</v>
      </c>
      <c r="S336" t="str">
        <f t="shared" si="134"/>
        <v>15:05:27.000</v>
      </c>
      <c r="T336" t="str">
        <f t="shared" si="134"/>
        <v>15:05:27.000</v>
      </c>
      <c r="U336" t="str">
        <f t="shared" si="129"/>
        <v>A68FCB</v>
      </c>
      <c r="V336">
        <v>0</v>
      </c>
      <c r="W336">
        <v>0</v>
      </c>
      <c r="X336">
        <v>2</v>
      </c>
      <c r="Y336">
        <v>0</v>
      </c>
      <c r="AA336">
        <v>1</v>
      </c>
      <c r="AB336">
        <v>8</v>
      </c>
      <c r="AC336">
        <v>3</v>
      </c>
      <c r="AD336">
        <v>0</v>
      </c>
      <c r="AE336">
        <v>9</v>
      </c>
      <c r="AF336" t="s">
        <v>138</v>
      </c>
      <c r="AG336">
        <v>0</v>
      </c>
      <c r="AH336">
        <v>3</v>
      </c>
      <c r="AI336">
        <v>1</v>
      </c>
      <c r="AJ336">
        <v>0</v>
      </c>
      <c r="AK336" t="s">
        <v>223</v>
      </c>
      <c r="AL336">
        <v>38.955781000000002</v>
      </c>
      <c r="AM336" t="s">
        <v>240</v>
      </c>
      <c r="AN336">
        <v>-121.06249099999999</v>
      </c>
      <c r="AO336">
        <v>25</v>
      </c>
      <c r="AP336">
        <v>2000</v>
      </c>
      <c r="AQ336" t="s">
        <v>131</v>
      </c>
      <c r="AR336">
        <v>76</v>
      </c>
      <c r="AS336">
        <v>-3</v>
      </c>
      <c r="AT336">
        <v>512</v>
      </c>
      <c r="BB336" t="str">
        <f t="shared" si="130"/>
        <v>1200</v>
      </c>
      <c r="BC336">
        <v>1</v>
      </c>
      <c r="BD336" t="str">
        <f t="shared" si="131"/>
        <v xml:space="preserve">N52156  </v>
      </c>
      <c r="BE336">
        <v>1</v>
      </c>
      <c r="BG336">
        <v>0</v>
      </c>
      <c r="BH336">
        <v>0</v>
      </c>
      <c r="BI336">
        <v>0</v>
      </c>
      <c r="BJ336">
        <v>1925</v>
      </c>
      <c r="BK336">
        <v>-75</v>
      </c>
      <c r="BL336" t="s">
        <v>188</v>
      </c>
      <c r="BM336">
        <v>1</v>
      </c>
      <c r="BN336">
        <v>1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 t="shared" si="135"/>
        <v>15:05:27.467</v>
      </c>
      <c r="CF336">
        <v>466694826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133</v>
      </c>
      <c r="DA336">
        <v>275</v>
      </c>
      <c r="DB336">
        <v>0</v>
      </c>
      <c r="DC336" t="s">
        <v>134</v>
      </c>
      <c r="DD336" t="s">
        <v>135</v>
      </c>
      <c r="DG336">
        <v>3318185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"05/01/2025 15:05:27.723"</f>
        <v>05/01/2025 15:05:27.723</v>
      </c>
      <c r="C337" t="str">
        <f t="shared" si="128"/>
        <v>FFDFD3C0</v>
      </c>
      <c r="D337" t="s">
        <v>136</v>
      </c>
      <c r="E337" t="str">
        <f>"20"</f>
        <v>20</v>
      </c>
      <c r="H337">
        <v>400</v>
      </c>
      <c r="I337" t="s">
        <v>137</v>
      </c>
      <c r="J337" t="s">
        <v>138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R337" t="s">
        <v>127</v>
      </c>
      <c r="S337" t="str">
        <f t="shared" si="134"/>
        <v>15:05:27.000</v>
      </c>
      <c r="T337" t="str">
        <f t="shared" si="134"/>
        <v>15:05:27.000</v>
      </c>
      <c r="U337" t="str">
        <f t="shared" si="129"/>
        <v>A68FCB</v>
      </c>
      <c r="V337">
        <v>0</v>
      </c>
      <c r="W337">
        <v>0</v>
      </c>
      <c r="X337">
        <v>2</v>
      </c>
      <c r="Y337">
        <v>0</v>
      </c>
      <c r="AA337">
        <v>1</v>
      </c>
      <c r="AB337">
        <v>8</v>
      </c>
      <c r="AC337">
        <v>3</v>
      </c>
      <c r="AD337">
        <v>0</v>
      </c>
      <c r="AE337">
        <v>9</v>
      </c>
      <c r="AF337" t="s">
        <v>138</v>
      </c>
      <c r="AG337">
        <v>0</v>
      </c>
      <c r="AH337">
        <v>3</v>
      </c>
      <c r="AI337">
        <v>1</v>
      </c>
      <c r="AJ337">
        <v>0</v>
      </c>
      <c r="AK337" t="s">
        <v>223</v>
      </c>
      <c r="AL337">
        <v>38.955781000000002</v>
      </c>
      <c r="AM337" t="s">
        <v>240</v>
      </c>
      <c r="AN337">
        <v>-121.06249099999999</v>
      </c>
      <c r="AO337">
        <v>25</v>
      </c>
      <c r="AP337">
        <v>2000</v>
      </c>
      <c r="AQ337" t="s">
        <v>131</v>
      </c>
      <c r="AR337">
        <v>76</v>
      </c>
      <c r="AS337">
        <v>-3</v>
      </c>
      <c r="AT337">
        <v>512</v>
      </c>
      <c r="BB337" t="str">
        <f t="shared" si="130"/>
        <v>1200</v>
      </c>
      <c r="BC337">
        <v>1</v>
      </c>
      <c r="BD337" t="str">
        <f t="shared" si="131"/>
        <v xml:space="preserve">N52156  </v>
      </c>
      <c r="BE337">
        <v>1</v>
      </c>
      <c r="BG337">
        <v>0</v>
      </c>
      <c r="BH337">
        <v>0</v>
      </c>
      <c r="BI337">
        <v>0</v>
      </c>
      <c r="BJ337">
        <v>1925</v>
      </c>
      <c r="BK337">
        <v>-75</v>
      </c>
      <c r="BL337" t="s">
        <v>188</v>
      </c>
      <c r="BM337">
        <v>1</v>
      </c>
      <c r="BN337">
        <v>1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 t="shared" si="135"/>
        <v>15:05:27.467</v>
      </c>
      <c r="CF337">
        <v>466694826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133</v>
      </c>
      <c r="DA337">
        <v>275</v>
      </c>
      <c r="DB337">
        <v>0</v>
      </c>
      <c r="DC337" t="s">
        <v>134</v>
      </c>
      <c r="DD337" t="s">
        <v>135</v>
      </c>
      <c r="DG337">
        <v>3318185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"05/01/2025 15:05:28.513"</f>
        <v>05/01/2025 15:05:28.513</v>
      </c>
      <c r="C338" t="str">
        <f t="shared" si="128"/>
        <v>FFDFD3C0</v>
      </c>
      <c r="D338" t="s">
        <v>145</v>
      </c>
      <c r="E338" t="str">
        <f>"09"</f>
        <v>09</v>
      </c>
      <c r="H338">
        <v>51</v>
      </c>
      <c r="I338" t="s">
        <v>147</v>
      </c>
      <c r="J338" t="s">
        <v>138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R338" t="s">
        <v>127</v>
      </c>
      <c r="S338" t="str">
        <f t="shared" ref="S338:T343" si="136">"15:05:28.000"</f>
        <v>15:05:28.000</v>
      </c>
      <c r="T338" t="str">
        <f t="shared" si="136"/>
        <v>15:05:28.000</v>
      </c>
      <c r="U338" t="str">
        <f t="shared" si="129"/>
        <v>A68FCB</v>
      </c>
      <c r="V338">
        <v>0</v>
      </c>
      <c r="W338">
        <v>0</v>
      </c>
      <c r="X338">
        <v>2</v>
      </c>
      <c r="Y338">
        <v>0</v>
      </c>
      <c r="AA338">
        <v>1</v>
      </c>
      <c r="AB338">
        <v>8</v>
      </c>
      <c r="AC338">
        <v>3</v>
      </c>
      <c r="AD338">
        <v>0</v>
      </c>
      <c r="AE338">
        <v>9</v>
      </c>
      <c r="AF338" t="s">
        <v>138</v>
      </c>
      <c r="AG338">
        <v>0</v>
      </c>
      <c r="AH338">
        <v>3</v>
      </c>
      <c r="AI338">
        <v>1</v>
      </c>
      <c r="AJ338">
        <v>0</v>
      </c>
      <c r="AK338" t="s">
        <v>221</v>
      </c>
      <c r="AL338">
        <v>38.955759999999998</v>
      </c>
      <c r="AM338" t="s">
        <v>241</v>
      </c>
      <c r="AN338">
        <v>-121.062062</v>
      </c>
      <c r="AO338">
        <v>25</v>
      </c>
      <c r="AP338">
        <v>2000</v>
      </c>
      <c r="AQ338" t="s">
        <v>131</v>
      </c>
      <c r="AR338">
        <v>76</v>
      </c>
      <c r="AS338">
        <v>-4</v>
      </c>
      <c r="AT338">
        <v>384</v>
      </c>
      <c r="BB338" t="str">
        <f t="shared" si="130"/>
        <v>1200</v>
      </c>
      <c r="BC338">
        <v>1</v>
      </c>
      <c r="BD338" t="str">
        <f t="shared" si="131"/>
        <v xml:space="preserve">N52156  </v>
      </c>
      <c r="BE338">
        <v>1</v>
      </c>
      <c r="BG338">
        <v>0</v>
      </c>
      <c r="BH338">
        <v>0</v>
      </c>
      <c r="BI338">
        <v>0</v>
      </c>
      <c r="BJ338">
        <v>1925</v>
      </c>
      <c r="BK338">
        <v>-75</v>
      </c>
      <c r="BL338" t="s">
        <v>188</v>
      </c>
      <c r="BM338">
        <v>1</v>
      </c>
      <c r="BN338">
        <v>1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 t="shared" ref="CE338:CE343" si="137">"15:05:28.302"</f>
        <v>15:05:28.302</v>
      </c>
      <c r="CF338">
        <v>302194474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5</v>
      </c>
      <c r="CY338">
        <v>7</v>
      </c>
      <c r="CZ338" t="s">
        <v>133</v>
      </c>
      <c r="DA338">
        <v>275</v>
      </c>
      <c r="DB338">
        <v>0</v>
      </c>
      <c r="DC338" t="s">
        <v>134</v>
      </c>
      <c r="DD338" t="s">
        <v>135</v>
      </c>
      <c r="DG338">
        <v>3318194</v>
      </c>
      <c r="DI338">
        <v>1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"05/01/2025 15:05:28.503"</f>
        <v>05/01/2025 15:05:28.503</v>
      </c>
      <c r="C339" t="str">
        <f t="shared" si="128"/>
        <v>FFDFD3C0</v>
      </c>
      <c r="D339" t="s">
        <v>140</v>
      </c>
      <c r="E339" t="str">
        <f>"13"</f>
        <v>13</v>
      </c>
      <c r="F339">
        <v>1019</v>
      </c>
      <c r="G339" t="s">
        <v>141</v>
      </c>
      <c r="J339" t="s">
        <v>142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R339" t="s">
        <v>127</v>
      </c>
      <c r="S339" t="str">
        <f t="shared" si="136"/>
        <v>15:05:28.000</v>
      </c>
      <c r="T339" t="str">
        <f t="shared" si="136"/>
        <v>15:05:28.000</v>
      </c>
      <c r="U339" t="str">
        <f t="shared" si="129"/>
        <v>A68FCB</v>
      </c>
      <c r="V339">
        <v>0</v>
      </c>
      <c r="W339">
        <v>0</v>
      </c>
      <c r="X339">
        <v>2</v>
      </c>
      <c r="Y339">
        <v>0</v>
      </c>
      <c r="AA339">
        <v>1</v>
      </c>
      <c r="AB339">
        <v>8</v>
      </c>
      <c r="AC339">
        <v>3</v>
      </c>
      <c r="AD339">
        <v>0</v>
      </c>
      <c r="AE339">
        <v>9</v>
      </c>
      <c r="AF339" t="s">
        <v>138</v>
      </c>
      <c r="AG339">
        <v>0</v>
      </c>
      <c r="AH339">
        <v>3</v>
      </c>
      <c r="AI339">
        <v>1</v>
      </c>
      <c r="AJ339">
        <v>0</v>
      </c>
      <c r="AK339" t="s">
        <v>221</v>
      </c>
      <c r="AL339">
        <v>38.955759999999998</v>
      </c>
      <c r="AM339" t="s">
        <v>241</v>
      </c>
      <c r="AN339">
        <v>-121.062062</v>
      </c>
      <c r="AO339">
        <v>25</v>
      </c>
      <c r="AP339">
        <v>2000</v>
      </c>
      <c r="AQ339" t="s">
        <v>131</v>
      </c>
      <c r="AR339">
        <v>76</v>
      </c>
      <c r="AS339">
        <v>-4</v>
      </c>
      <c r="AT339">
        <v>384</v>
      </c>
      <c r="BB339" t="str">
        <f t="shared" si="130"/>
        <v>1200</v>
      </c>
      <c r="BC339">
        <v>1</v>
      </c>
      <c r="BD339" t="str">
        <f t="shared" si="131"/>
        <v xml:space="preserve">N52156  </v>
      </c>
      <c r="BE339">
        <v>1</v>
      </c>
      <c r="BG339">
        <v>0</v>
      </c>
      <c r="BH339">
        <v>0</v>
      </c>
      <c r="BI339">
        <v>0</v>
      </c>
      <c r="BJ339">
        <v>1925</v>
      </c>
      <c r="BK339">
        <v>-75</v>
      </c>
      <c r="BL339" t="s">
        <v>188</v>
      </c>
      <c r="BM339">
        <v>1</v>
      </c>
      <c r="BN339">
        <v>1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 t="shared" si="137"/>
        <v>15:05:28.302</v>
      </c>
      <c r="CF339">
        <v>302194474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5</v>
      </c>
      <c r="CY339">
        <v>7</v>
      </c>
      <c r="CZ339" t="s">
        <v>133</v>
      </c>
      <c r="DA339">
        <v>275</v>
      </c>
      <c r="DB339">
        <v>0</v>
      </c>
      <c r="DC339" t="s">
        <v>134</v>
      </c>
      <c r="DD339" t="s">
        <v>135</v>
      </c>
      <c r="DG339">
        <v>3318194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"05/01/2025 15:05:28.509"</f>
        <v>05/01/2025 15:05:28.509</v>
      </c>
      <c r="C340" t="str">
        <f t="shared" si="128"/>
        <v>FFDFD3C0</v>
      </c>
      <c r="D340" t="s">
        <v>143</v>
      </c>
      <c r="E340" t="str">
        <f>"05"</f>
        <v>05</v>
      </c>
      <c r="H340">
        <v>172</v>
      </c>
      <c r="I340" t="s">
        <v>141</v>
      </c>
      <c r="J340" t="s">
        <v>144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R340" t="s">
        <v>127</v>
      </c>
      <c r="S340" t="str">
        <f t="shared" si="136"/>
        <v>15:05:28.000</v>
      </c>
      <c r="T340" t="str">
        <f t="shared" si="136"/>
        <v>15:05:28.000</v>
      </c>
      <c r="U340" t="str">
        <f t="shared" si="129"/>
        <v>A68FCB</v>
      </c>
      <c r="V340">
        <v>0</v>
      </c>
      <c r="W340">
        <v>0</v>
      </c>
      <c r="X340">
        <v>2</v>
      </c>
      <c r="Y340">
        <v>0</v>
      </c>
      <c r="AA340">
        <v>1</v>
      </c>
      <c r="AB340">
        <v>8</v>
      </c>
      <c r="AC340">
        <v>3</v>
      </c>
      <c r="AD340">
        <v>0</v>
      </c>
      <c r="AE340">
        <v>9</v>
      </c>
      <c r="AF340" t="s">
        <v>138</v>
      </c>
      <c r="AG340">
        <v>0</v>
      </c>
      <c r="AH340">
        <v>3</v>
      </c>
      <c r="AI340">
        <v>1</v>
      </c>
      <c r="AJ340">
        <v>0</v>
      </c>
      <c r="AK340" t="s">
        <v>221</v>
      </c>
      <c r="AL340">
        <v>38.955759999999998</v>
      </c>
      <c r="AM340" t="s">
        <v>241</v>
      </c>
      <c r="AN340">
        <v>-121.062062</v>
      </c>
      <c r="AO340">
        <v>25</v>
      </c>
      <c r="AP340">
        <v>2000</v>
      </c>
      <c r="AQ340" t="s">
        <v>131</v>
      </c>
      <c r="AR340">
        <v>76</v>
      </c>
      <c r="AS340">
        <v>-4</v>
      </c>
      <c r="AT340">
        <v>384</v>
      </c>
      <c r="BB340" t="str">
        <f t="shared" si="130"/>
        <v>1200</v>
      </c>
      <c r="BC340">
        <v>1</v>
      </c>
      <c r="BD340" t="str">
        <f t="shared" si="131"/>
        <v xml:space="preserve">N52156  </v>
      </c>
      <c r="BE340">
        <v>1</v>
      </c>
      <c r="BG340">
        <v>0</v>
      </c>
      <c r="BH340">
        <v>0</v>
      </c>
      <c r="BI340">
        <v>0</v>
      </c>
      <c r="BJ340">
        <v>1925</v>
      </c>
      <c r="BK340">
        <v>-75</v>
      </c>
      <c r="BL340" t="s">
        <v>188</v>
      </c>
      <c r="BM340">
        <v>1</v>
      </c>
      <c r="BN340">
        <v>1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 t="shared" si="137"/>
        <v>15:05:28.302</v>
      </c>
      <c r="CF340">
        <v>302194474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5</v>
      </c>
      <c r="CY340">
        <v>7</v>
      </c>
      <c r="CZ340" t="s">
        <v>133</v>
      </c>
      <c r="DA340">
        <v>275</v>
      </c>
      <c r="DB340">
        <v>0</v>
      </c>
      <c r="DC340" t="s">
        <v>134</v>
      </c>
      <c r="DD340" t="s">
        <v>135</v>
      </c>
      <c r="DG340">
        <v>3318194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"05/01/2025 15:05:28.512"</f>
        <v>05/01/2025 15:05:28.512</v>
      </c>
      <c r="C341" t="str">
        <f t="shared" si="128"/>
        <v>FFDFD3C0</v>
      </c>
      <c r="D341" t="s">
        <v>145</v>
      </c>
      <c r="E341" t="str">
        <f>"05"</f>
        <v>05</v>
      </c>
      <c r="H341">
        <v>47</v>
      </c>
      <c r="I341" t="s">
        <v>146</v>
      </c>
      <c r="J341" t="s">
        <v>138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R341" t="s">
        <v>127</v>
      </c>
      <c r="S341" t="str">
        <f t="shared" si="136"/>
        <v>15:05:28.000</v>
      </c>
      <c r="T341" t="str">
        <f t="shared" si="136"/>
        <v>15:05:28.000</v>
      </c>
      <c r="U341" t="str">
        <f t="shared" si="129"/>
        <v>A68FCB</v>
      </c>
      <c r="V341">
        <v>0</v>
      </c>
      <c r="W341">
        <v>0</v>
      </c>
      <c r="X341">
        <v>2</v>
      </c>
      <c r="Y341">
        <v>0</v>
      </c>
      <c r="AA341">
        <v>1</v>
      </c>
      <c r="AB341">
        <v>8</v>
      </c>
      <c r="AC341">
        <v>3</v>
      </c>
      <c r="AD341">
        <v>0</v>
      </c>
      <c r="AE341">
        <v>9</v>
      </c>
      <c r="AF341" t="s">
        <v>138</v>
      </c>
      <c r="AG341">
        <v>0</v>
      </c>
      <c r="AH341">
        <v>3</v>
      </c>
      <c r="AI341">
        <v>1</v>
      </c>
      <c r="AJ341">
        <v>0</v>
      </c>
      <c r="AK341" t="s">
        <v>221</v>
      </c>
      <c r="AL341">
        <v>38.955759999999998</v>
      </c>
      <c r="AM341" t="s">
        <v>241</v>
      </c>
      <c r="AN341">
        <v>-121.062062</v>
      </c>
      <c r="AO341">
        <v>25</v>
      </c>
      <c r="AP341">
        <v>2000</v>
      </c>
      <c r="AQ341" t="s">
        <v>131</v>
      </c>
      <c r="AR341">
        <v>76</v>
      </c>
      <c r="AS341">
        <v>-4</v>
      </c>
      <c r="AT341">
        <v>384</v>
      </c>
      <c r="BB341" t="str">
        <f t="shared" si="130"/>
        <v>1200</v>
      </c>
      <c r="BC341">
        <v>1</v>
      </c>
      <c r="BD341" t="str">
        <f t="shared" si="131"/>
        <v xml:space="preserve">N52156  </v>
      </c>
      <c r="BE341">
        <v>1</v>
      </c>
      <c r="BG341">
        <v>0</v>
      </c>
      <c r="BH341">
        <v>0</v>
      </c>
      <c r="BI341">
        <v>0</v>
      </c>
      <c r="BJ341">
        <v>1925</v>
      </c>
      <c r="BK341">
        <v>-75</v>
      </c>
      <c r="BL341" t="s">
        <v>188</v>
      </c>
      <c r="BM341">
        <v>1</v>
      </c>
      <c r="BN341">
        <v>1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 t="shared" si="137"/>
        <v>15:05:28.302</v>
      </c>
      <c r="CF341">
        <v>302194474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5</v>
      </c>
      <c r="CY341">
        <v>7</v>
      </c>
      <c r="CZ341" t="s">
        <v>133</v>
      </c>
      <c r="DA341">
        <v>275</v>
      </c>
      <c r="DB341">
        <v>0</v>
      </c>
      <c r="DC341" t="s">
        <v>134</v>
      </c>
      <c r="DD341" t="s">
        <v>135</v>
      </c>
      <c r="DG341">
        <v>3318194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"05/01/2025 15:05:28.517"</f>
        <v>05/01/2025 15:05:28.517</v>
      </c>
      <c r="C342" t="str">
        <f t="shared" si="128"/>
        <v>FFDFD3C0</v>
      </c>
      <c r="D342" t="s">
        <v>124</v>
      </c>
      <c r="E342" t="str">
        <f>"06"</f>
        <v>06</v>
      </c>
      <c r="F342">
        <v>2006</v>
      </c>
      <c r="G342" t="s">
        <v>125</v>
      </c>
      <c r="J342" t="s">
        <v>126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R342" t="s">
        <v>127</v>
      </c>
      <c r="S342" t="str">
        <f t="shared" si="136"/>
        <v>15:05:28.000</v>
      </c>
      <c r="T342" t="str">
        <f t="shared" si="136"/>
        <v>15:05:28.000</v>
      </c>
      <c r="U342" t="str">
        <f t="shared" si="129"/>
        <v>A68FCB</v>
      </c>
      <c r="V342">
        <v>0</v>
      </c>
      <c r="W342">
        <v>0</v>
      </c>
      <c r="X342">
        <v>2</v>
      </c>
      <c r="Y342">
        <v>0</v>
      </c>
      <c r="AA342">
        <v>1</v>
      </c>
      <c r="AB342">
        <v>8</v>
      </c>
      <c r="AC342">
        <v>3</v>
      </c>
      <c r="AD342">
        <v>0</v>
      </c>
      <c r="AE342">
        <v>9</v>
      </c>
      <c r="AF342" t="s">
        <v>138</v>
      </c>
      <c r="AG342">
        <v>0</v>
      </c>
      <c r="AH342">
        <v>3</v>
      </c>
      <c r="AI342">
        <v>1</v>
      </c>
      <c r="AJ342">
        <v>0</v>
      </c>
      <c r="AK342" t="s">
        <v>221</v>
      </c>
      <c r="AL342">
        <v>38.955759999999998</v>
      </c>
      <c r="AM342" t="s">
        <v>241</v>
      </c>
      <c r="AN342">
        <v>-121.062062</v>
      </c>
      <c r="AO342">
        <v>25</v>
      </c>
      <c r="AP342">
        <v>2000</v>
      </c>
      <c r="AQ342" t="s">
        <v>131</v>
      </c>
      <c r="AR342">
        <v>76</v>
      </c>
      <c r="AS342">
        <v>-4</v>
      </c>
      <c r="AT342">
        <v>384</v>
      </c>
      <c r="BB342" t="str">
        <f t="shared" si="130"/>
        <v>1200</v>
      </c>
      <c r="BC342">
        <v>1</v>
      </c>
      <c r="BD342" t="str">
        <f t="shared" si="131"/>
        <v xml:space="preserve">N52156  </v>
      </c>
      <c r="BE342">
        <v>1</v>
      </c>
      <c r="BG342">
        <v>0</v>
      </c>
      <c r="BH342">
        <v>0</v>
      </c>
      <c r="BI342">
        <v>0</v>
      </c>
      <c r="BJ342">
        <v>1925</v>
      </c>
      <c r="BK342">
        <v>-75</v>
      </c>
      <c r="BL342" t="s">
        <v>188</v>
      </c>
      <c r="BM342">
        <v>1</v>
      </c>
      <c r="BN342">
        <v>1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 t="shared" si="137"/>
        <v>15:05:28.302</v>
      </c>
      <c r="CF342">
        <v>302194474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5</v>
      </c>
      <c r="CY342">
        <v>7</v>
      </c>
      <c r="CZ342" t="s">
        <v>133</v>
      </c>
      <c r="DA342">
        <v>275</v>
      </c>
      <c r="DB342">
        <v>0</v>
      </c>
      <c r="DC342" t="s">
        <v>134</v>
      </c>
      <c r="DD342" t="s">
        <v>135</v>
      </c>
      <c r="DG342">
        <v>3318194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"05/01/2025 15:05:28.524"</f>
        <v>05/01/2025 15:05:28.524</v>
      </c>
      <c r="C343" t="str">
        <f t="shared" si="128"/>
        <v>FFDFD3C0</v>
      </c>
      <c r="D343" t="s">
        <v>136</v>
      </c>
      <c r="E343" t="str">
        <f>"20"</f>
        <v>20</v>
      </c>
      <c r="H343">
        <v>400</v>
      </c>
      <c r="I343" t="s">
        <v>137</v>
      </c>
      <c r="J343" t="s">
        <v>138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R343" t="s">
        <v>127</v>
      </c>
      <c r="S343" t="str">
        <f t="shared" si="136"/>
        <v>15:05:28.000</v>
      </c>
      <c r="T343" t="str">
        <f t="shared" si="136"/>
        <v>15:05:28.000</v>
      </c>
      <c r="U343" t="str">
        <f t="shared" si="129"/>
        <v>A68FCB</v>
      </c>
      <c r="V343">
        <v>0</v>
      </c>
      <c r="W343">
        <v>0</v>
      </c>
      <c r="X343">
        <v>2</v>
      </c>
      <c r="Y343">
        <v>0</v>
      </c>
      <c r="AA343">
        <v>1</v>
      </c>
      <c r="AB343">
        <v>8</v>
      </c>
      <c r="AC343">
        <v>3</v>
      </c>
      <c r="AD343">
        <v>0</v>
      </c>
      <c r="AE343">
        <v>9</v>
      </c>
      <c r="AF343" t="s">
        <v>138</v>
      </c>
      <c r="AG343">
        <v>0</v>
      </c>
      <c r="AH343">
        <v>3</v>
      </c>
      <c r="AI343">
        <v>1</v>
      </c>
      <c r="AJ343">
        <v>0</v>
      </c>
      <c r="AK343" t="s">
        <v>221</v>
      </c>
      <c r="AL343">
        <v>38.955759999999998</v>
      </c>
      <c r="AM343" t="s">
        <v>241</v>
      </c>
      <c r="AN343">
        <v>-121.062062</v>
      </c>
      <c r="AO343">
        <v>25</v>
      </c>
      <c r="AP343">
        <v>2000</v>
      </c>
      <c r="AQ343" t="s">
        <v>131</v>
      </c>
      <c r="AR343">
        <v>76</v>
      </c>
      <c r="AS343">
        <v>-4</v>
      </c>
      <c r="AT343">
        <v>384</v>
      </c>
      <c r="BB343" t="str">
        <f t="shared" si="130"/>
        <v>1200</v>
      </c>
      <c r="BC343">
        <v>1</v>
      </c>
      <c r="BD343" t="str">
        <f t="shared" si="131"/>
        <v xml:space="preserve">N52156  </v>
      </c>
      <c r="BE343">
        <v>1</v>
      </c>
      <c r="BG343">
        <v>0</v>
      </c>
      <c r="BH343">
        <v>0</v>
      </c>
      <c r="BI343">
        <v>0</v>
      </c>
      <c r="BJ343">
        <v>1925</v>
      </c>
      <c r="BK343">
        <v>-75</v>
      </c>
      <c r="BL343" t="s">
        <v>188</v>
      </c>
      <c r="BM343">
        <v>1</v>
      </c>
      <c r="BN343">
        <v>1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 t="shared" si="137"/>
        <v>15:05:28.302</v>
      </c>
      <c r="CF343">
        <v>302194474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133</v>
      </c>
      <c r="DA343">
        <v>275</v>
      </c>
      <c r="DB343">
        <v>0</v>
      </c>
      <c r="DC343" t="s">
        <v>134</v>
      </c>
      <c r="DD343" t="s">
        <v>135</v>
      </c>
      <c r="DG343">
        <v>3318194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"05/01/2025 15:05:30.112"</f>
        <v>05/01/2025 15:05:30.112</v>
      </c>
      <c r="C344" t="str">
        <f t="shared" si="128"/>
        <v>FFDFD3C0</v>
      </c>
      <c r="D344" t="s">
        <v>143</v>
      </c>
      <c r="E344" t="str">
        <f>"05"</f>
        <v>05</v>
      </c>
      <c r="H344">
        <v>172</v>
      </c>
      <c r="I344" t="s">
        <v>141</v>
      </c>
      <c r="J344" t="s">
        <v>144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R344" t="s">
        <v>127</v>
      </c>
      <c r="S344" t="str">
        <f t="shared" ref="S344:T349" si="138">"15:05:29.000"</f>
        <v>15:05:29.000</v>
      </c>
      <c r="T344" t="str">
        <f t="shared" si="138"/>
        <v>15:05:29.000</v>
      </c>
      <c r="U344" t="str">
        <f t="shared" si="129"/>
        <v>A68FCB</v>
      </c>
      <c r="V344">
        <v>0</v>
      </c>
      <c r="W344">
        <v>0</v>
      </c>
      <c r="X344">
        <v>2</v>
      </c>
      <c r="Y344">
        <v>0</v>
      </c>
      <c r="AA344">
        <v>1</v>
      </c>
      <c r="AB344">
        <v>8</v>
      </c>
      <c r="AC344">
        <v>3</v>
      </c>
      <c r="AD344">
        <v>0</v>
      </c>
      <c r="AE344">
        <v>9</v>
      </c>
      <c r="AF344" t="s">
        <v>138</v>
      </c>
      <c r="AG344">
        <v>0</v>
      </c>
      <c r="AH344">
        <v>3</v>
      </c>
      <c r="AI344">
        <v>1</v>
      </c>
      <c r="AJ344">
        <v>0</v>
      </c>
      <c r="AK344" t="s">
        <v>217</v>
      </c>
      <c r="AL344">
        <v>38.955739000000001</v>
      </c>
      <c r="AM344" t="s">
        <v>242</v>
      </c>
      <c r="AN344">
        <v>-121.061611</v>
      </c>
      <c r="AO344">
        <v>25</v>
      </c>
      <c r="AP344">
        <v>2000</v>
      </c>
      <c r="AQ344" t="s">
        <v>131</v>
      </c>
      <c r="AR344">
        <v>75</v>
      </c>
      <c r="AS344">
        <v>-4</v>
      </c>
      <c r="AT344">
        <v>576</v>
      </c>
      <c r="BB344" t="str">
        <f t="shared" si="130"/>
        <v>1200</v>
      </c>
      <c r="BC344">
        <v>1</v>
      </c>
      <c r="BD344" t="str">
        <f t="shared" si="131"/>
        <v xml:space="preserve">N52156  </v>
      </c>
      <c r="BE344">
        <v>1</v>
      </c>
      <c r="BG344">
        <v>0</v>
      </c>
      <c r="BH344">
        <v>0</v>
      </c>
      <c r="BI344">
        <v>0</v>
      </c>
      <c r="BJ344">
        <v>1950</v>
      </c>
      <c r="BK344">
        <v>-50</v>
      </c>
      <c r="BL344" t="s">
        <v>188</v>
      </c>
      <c r="BM344">
        <v>1</v>
      </c>
      <c r="BN344">
        <v>1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 t="shared" ref="CE344:CE349" si="139">"15:05:29.904"</f>
        <v>15:05:29.904</v>
      </c>
      <c r="CF344">
        <v>904196167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6</v>
      </c>
      <c r="CY344">
        <v>7</v>
      </c>
      <c r="CZ344" t="s">
        <v>133</v>
      </c>
      <c r="DA344">
        <v>275</v>
      </c>
      <c r="DB344">
        <v>0</v>
      </c>
      <c r="DC344" t="s">
        <v>134</v>
      </c>
      <c r="DD344" t="s">
        <v>135</v>
      </c>
      <c r="DG344">
        <v>3318215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"05/01/2025 15:05:30.115"</f>
        <v>05/01/2025 15:05:30.115</v>
      </c>
      <c r="C345" t="str">
        <f t="shared" si="128"/>
        <v>FFDFD3C0</v>
      </c>
      <c r="D345" t="s">
        <v>145</v>
      </c>
      <c r="E345" t="str">
        <f>"05"</f>
        <v>05</v>
      </c>
      <c r="H345">
        <v>47</v>
      </c>
      <c r="I345" t="s">
        <v>146</v>
      </c>
      <c r="J345" t="s">
        <v>138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R345" t="s">
        <v>127</v>
      </c>
      <c r="S345" t="str">
        <f t="shared" si="138"/>
        <v>15:05:29.000</v>
      </c>
      <c r="T345" t="str">
        <f t="shared" si="138"/>
        <v>15:05:29.000</v>
      </c>
      <c r="U345" t="str">
        <f t="shared" si="129"/>
        <v>A68FCB</v>
      </c>
      <c r="V345">
        <v>0</v>
      </c>
      <c r="W345">
        <v>0</v>
      </c>
      <c r="X345">
        <v>2</v>
      </c>
      <c r="Y345">
        <v>0</v>
      </c>
      <c r="AA345">
        <v>1</v>
      </c>
      <c r="AB345">
        <v>8</v>
      </c>
      <c r="AC345">
        <v>3</v>
      </c>
      <c r="AD345">
        <v>0</v>
      </c>
      <c r="AE345">
        <v>9</v>
      </c>
      <c r="AF345" t="s">
        <v>138</v>
      </c>
      <c r="AG345">
        <v>0</v>
      </c>
      <c r="AH345">
        <v>3</v>
      </c>
      <c r="AI345">
        <v>1</v>
      </c>
      <c r="AJ345">
        <v>0</v>
      </c>
      <c r="AK345" t="s">
        <v>217</v>
      </c>
      <c r="AL345">
        <v>38.955739000000001</v>
      </c>
      <c r="AM345" t="s">
        <v>242</v>
      </c>
      <c r="AN345">
        <v>-121.061611</v>
      </c>
      <c r="AO345">
        <v>25</v>
      </c>
      <c r="AP345">
        <v>2000</v>
      </c>
      <c r="AQ345" t="s">
        <v>131</v>
      </c>
      <c r="AR345">
        <v>75</v>
      </c>
      <c r="AS345">
        <v>-4</v>
      </c>
      <c r="AT345">
        <v>576</v>
      </c>
      <c r="BB345" t="str">
        <f t="shared" si="130"/>
        <v>1200</v>
      </c>
      <c r="BC345">
        <v>1</v>
      </c>
      <c r="BD345" t="str">
        <f t="shared" si="131"/>
        <v xml:space="preserve">N52156  </v>
      </c>
      <c r="BE345">
        <v>1</v>
      </c>
      <c r="BG345">
        <v>0</v>
      </c>
      <c r="BH345">
        <v>0</v>
      </c>
      <c r="BI345">
        <v>0</v>
      </c>
      <c r="BJ345">
        <v>1950</v>
      </c>
      <c r="BK345">
        <v>-50</v>
      </c>
      <c r="BL345" t="s">
        <v>188</v>
      </c>
      <c r="BM345">
        <v>1</v>
      </c>
      <c r="BN345">
        <v>1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 t="shared" si="139"/>
        <v>15:05:29.904</v>
      </c>
      <c r="CF345">
        <v>904196167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6</v>
      </c>
      <c r="CY345">
        <v>7</v>
      </c>
      <c r="CZ345" t="s">
        <v>133</v>
      </c>
      <c r="DA345">
        <v>275</v>
      </c>
      <c r="DB345">
        <v>0</v>
      </c>
      <c r="DC345" t="s">
        <v>134</v>
      </c>
      <c r="DD345" t="s">
        <v>135</v>
      </c>
      <c r="DG345">
        <v>3318215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"05/01/2025 15:05:30.116"</f>
        <v>05/01/2025 15:05:30.116</v>
      </c>
      <c r="C346" t="str">
        <f t="shared" si="128"/>
        <v>FFDFD3C0</v>
      </c>
      <c r="D346" t="s">
        <v>145</v>
      </c>
      <c r="E346" t="str">
        <f>"09"</f>
        <v>09</v>
      </c>
      <c r="H346">
        <v>51</v>
      </c>
      <c r="I346" t="s">
        <v>147</v>
      </c>
      <c r="J346" t="s">
        <v>138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R346" t="s">
        <v>127</v>
      </c>
      <c r="S346" t="str">
        <f t="shared" si="138"/>
        <v>15:05:29.000</v>
      </c>
      <c r="T346" t="str">
        <f t="shared" si="138"/>
        <v>15:05:29.000</v>
      </c>
      <c r="U346" t="str">
        <f t="shared" si="129"/>
        <v>A68FCB</v>
      </c>
      <c r="V346">
        <v>0</v>
      </c>
      <c r="W346">
        <v>0</v>
      </c>
      <c r="X346">
        <v>2</v>
      </c>
      <c r="Y346">
        <v>0</v>
      </c>
      <c r="AA346">
        <v>1</v>
      </c>
      <c r="AB346">
        <v>8</v>
      </c>
      <c r="AC346">
        <v>3</v>
      </c>
      <c r="AD346">
        <v>0</v>
      </c>
      <c r="AE346">
        <v>9</v>
      </c>
      <c r="AF346" t="s">
        <v>138</v>
      </c>
      <c r="AG346">
        <v>0</v>
      </c>
      <c r="AH346">
        <v>3</v>
      </c>
      <c r="AI346">
        <v>1</v>
      </c>
      <c r="AJ346">
        <v>0</v>
      </c>
      <c r="AK346" t="s">
        <v>217</v>
      </c>
      <c r="AL346">
        <v>38.955739000000001</v>
      </c>
      <c r="AM346" t="s">
        <v>242</v>
      </c>
      <c r="AN346">
        <v>-121.061611</v>
      </c>
      <c r="AO346">
        <v>25</v>
      </c>
      <c r="AP346">
        <v>2000</v>
      </c>
      <c r="AQ346" t="s">
        <v>131</v>
      </c>
      <c r="AR346">
        <v>75</v>
      </c>
      <c r="AS346">
        <v>-4</v>
      </c>
      <c r="AT346">
        <v>576</v>
      </c>
      <c r="BB346" t="str">
        <f t="shared" si="130"/>
        <v>1200</v>
      </c>
      <c r="BC346">
        <v>1</v>
      </c>
      <c r="BD346" t="str">
        <f t="shared" si="131"/>
        <v xml:space="preserve">N52156  </v>
      </c>
      <c r="BE346">
        <v>1</v>
      </c>
      <c r="BG346">
        <v>0</v>
      </c>
      <c r="BH346">
        <v>0</v>
      </c>
      <c r="BI346">
        <v>0</v>
      </c>
      <c r="BJ346">
        <v>1950</v>
      </c>
      <c r="BK346">
        <v>-50</v>
      </c>
      <c r="BL346" t="s">
        <v>188</v>
      </c>
      <c r="BM346">
        <v>1</v>
      </c>
      <c r="BN346">
        <v>1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 t="shared" si="139"/>
        <v>15:05:29.904</v>
      </c>
      <c r="CF346">
        <v>904196167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133</v>
      </c>
      <c r="DA346">
        <v>275</v>
      </c>
      <c r="DB346">
        <v>0</v>
      </c>
      <c r="DC346" t="s">
        <v>134</v>
      </c>
      <c r="DD346" t="s">
        <v>135</v>
      </c>
      <c r="DG346">
        <v>3318215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"05/01/2025 15:05:30.118"</f>
        <v>05/01/2025 15:05:30.118</v>
      </c>
      <c r="C347" t="str">
        <f t="shared" si="128"/>
        <v>FFDFD3C0</v>
      </c>
      <c r="D347" t="s">
        <v>124</v>
      </c>
      <c r="E347" t="str">
        <f>"06"</f>
        <v>06</v>
      </c>
      <c r="F347">
        <v>2006</v>
      </c>
      <c r="G347" t="s">
        <v>125</v>
      </c>
      <c r="J347" t="s">
        <v>126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R347" t="s">
        <v>127</v>
      </c>
      <c r="S347" t="str">
        <f t="shared" si="138"/>
        <v>15:05:29.000</v>
      </c>
      <c r="T347" t="str">
        <f t="shared" si="138"/>
        <v>15:05:29.000</v>
      </c>
      <c r="U347" t="str">
        <f t="shared" si="129"/>
        <v>A68FCB</v>
      </c>
      <c r="V347">
        <v>0</v>
      </c>
      <c r="W347">
        <v>0</v>
      </c>
      <c r="X347">
        <v>2</v>
      </c>
      <c r="Y347">
        <v>0</v>
      </c>
      <c r="AA347">
        <v>1</v>
      </c>
      <c r="AB347">
        <v>8</v>
      </c>
      <c r="AC347">
        <v>3</v>
      </c>
      <c r="AD347">
        <v>0</v>
      </c>
      <c r="AE347">
        <v>9</v>
      </c>
      <c r="AF347" t="s">
        <v>138</v>
      </c>
      <c r="AG347">
        <v>0</v>
      </c>
      <c r="AH347">
        <v>3</v>
      </c>
      <c r="AI347">
        <v>1</v>
      </c>
      <c r="AJ347">
        <v>0</v>
      </c>
      <c r="AK347" t="s">
        <v>217</v>
      </c>
      <c r="AL347">
        <v>38.955739000000001</v>
      </c>
      <c r="AM347" t="s">
        <v>242</v>
      </c>
      <c r="AN347">
        <v>-121.061611</v>
      </c>
      <c r="AO347">
        <v>25</v>
      </c>
      <c r="AP347">
        <v>2000</v>
      </c>
      <c r="AQ347" t="s">
        <v>131</v>
      </c>
      <c r="AR347">
        <v>75</v>
      </c>
      <c r="AS347">
        <v>-4</v>
      </c>
      <c r="AT347">
        <v>576</v>
      </c>
      <c r="BB347" t="str">
        <f t="shared" si="130"/>
        <v>1200</v>
      </c>
      <c r="BC347">
        <v>1</v>
      </c>
      <c r="BD347" t="str">
        <f t="shared" si="131"/>
        <v xml:space="preserve">N52156  </v>
      </c>
      <c r="BE347">
        <v>1</v>
      </c>
      <c r="BG347">
        <v>0</v>
      </c>
      <c r="BH347">
        <v>0</v>
      </c>
      <c r="BI347">
        <v>0</v>
      </c>
      <c r="BJ347">
        <v>1950</v>
      </c>
      <c r="BK347">
        <v>-50</v>
      </c>
      <c r="BL347" t="s">
        <v>188</v>
      </c>
      <c r="BM347">
        <v>1</v>
      </c>
      <c r="BN347">
        <v>1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 t="shared" si="139"/>
        <v>15:05:29.904</v>
      </c>
      <c r="CF347">
        <v>904196167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6</v>
      </c>
      <c r="CY347">
        <v>7</v>
      </c>
      <c r="CZ347" t="s">
        <v>133</v>
      </c>
      <c r="DA347">
        <v>275</v>
      </c>
      <c r="DB347">
        <v>0</v>
      </c>
      <c r="DC347" t="s">
        <v>134</v>
      </c>
      <c r="DD347" t="s">
        <v>135</v>
      </c>
      <c r="DG347">
        <v>3318215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"05/01/2025 15:05:30.126"</f>
        <v>05/01/2025 15:05:30.126</v>
      </c>
      <c r="C348" t="str">
        <f t="shared" si="128"/>
        <v>FFDFD3C0</v>
      </c>
      <c r="D348" t="s">
        <v>136</v>
      </c>
      <c r="E348" t="str">
        <f>"20"</f>
        <v>20</v>
      </c>
      <c r="H348">
        <v>400</v>
      </c>
      <c r="I348" t="s">
        <v>137</v>
      </c>
      <c r="J348" t="s">
        <v>138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R348" t="s">
        <v>127</v>
      </c>
      <c r="S348" t="str">
        <f t="shared" si="138"/>
        <v>15:05:29.000</v>
      </c>
      <c r="T348" t="str">
        <f t="shared" si="138"/>
        <v>15:05:29.000</v>
      </c>
      <c r="U348" t="str">
        <f t="shared" si="129"/>
        <v>A68FCB</v>
      </c>
      <c r="V348">
        <v>0</v>
      </c>
      <c r="W348">
        <v>0</v>
      </c>
      <c r="X348">
        <v>2</v>
      </c>
      <c r="Y348">
        <v>0</v>
      </c>
      <c r="AA348">
        <v>1</v>
      </c>
      <c r="AB348">
        <v>8</v>
      </c>
      <c r="AC348">
        <v>3</v>
      </c>
      <c r="AD348">
        <v>0</v>
      </c>
      <c r="AE348">
        <v>9</v>
      </c>
      <c r="AF348" t="s">
        <v>138</v>
      </c>
      <c r="AG348">
        <v>0</v>
      </c>
      <c r="AH348">
        <v>3</v>
      </c>
      <c r="AI348">
        <v>1</v>
      </c>
      <c r="AJ348">
        <v>0</v>
      </c>
      <c r="AK348" t="s">
        <v>217</v>
      </c>
      <c r="AL348">
        <v>38.955739000000001</v>
      </c>
      <c r="AM348" t="s">
        <v>242</v>
      </c>
      <c r="AN348">
        <v>-121.061611</v>
      </c>
      <c r="AO348">
        <v>25</v>
      </c>
      <c r="AP348">
        <v>2000</v>
      </c>
      <c r="AQ348" t="s">
        <v>131</v>
      </c>
      <c r="AR348">
        <v>75</v>
      </c>
      <c r="AS348">
        <v>-4</v>
      </c>
      <c r="AT348">
        <v>576</v>
      </c>
      <c r="BB348" t="str">
        <f t="shared" si="130"/>
        <v>1200</v>
      </c>
      <c r="BC348">
        <v>1</v>
      </c>
      <c r="BD348" t="str">
        <f t="shared" si="131"/>
        <v xml:space="preserve">N52156  </v>
      </c>
      <c r="BE348">
        <v>1</v>
      </c>
      <c r="BG348">
        <v>0</v>
      </c>
      <c r="BH348">
        <v>0</v>
      </c>
      <c r="BI348">
        <v>0</v>
      </c>
      <c r="BJ348">
        <v>1950</v>
      </c>
      <c r="BK348">
        <v>-50</v>
      </c>
      <c r="BL348" t="s">
        <v>188</v>
      </c>
      <c r="BM348">
        <v>1</v>
      </c>
      <c r="BN348">
        <v>1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 t="shared" si="139"/>
        <v>15:05:29.904</v>
      </c>
      <c r="CF348">
        <v>904196167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133</v>
      </c>
      <c r="DA348">
        <v>275</v>
      </c>
      <c r="DB348">
        <v>0</v>
      </c>
      <c r="DC348" t="s">
        <v>134</v>
      </c>
      <c r="DD348" t="s">
        <v>135</v>
      </c>
      <c r="DG348">
        <v>3318215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"05/01/2025 15:05:30.155"</f>
        <v>05/01/2025 15:05:30.155</v>
      </c>
      <c r="C349" t="str">
        <f t="shared" si="128"/>
        <v>FFDFD3C0</v>
      </c>
      <c r="D349" t="s">
        <v>140</v>
      </c>
      <c r="E349" t="str">
        <f>"13"</f>
        <v>13</v>
      </c>
      <c r="F349">
        <v>1019</v>
      </c>
      <c r="G349" t="s">
        <v>141</v>
      </c>
      <c r="J349" t="s">
        <v>142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R349" t="s">
        <v>127</v>
      </c>
      <c r="S349" t="str">
        <f t="shared" si="138"/>
        <v>15:05:29.000</v>
      </c>
      <c r="T349" t="str">
        <f t="shared" si="138"/>
        <v>15:05:29.000</v>
      </c>
      <c r="U349" t="str">
        <f t="shared" si="129"/>
        <v>A68FCB</v>
      </c>
      <c r="V349">
        <v>0</v>
      </c>
      <c r="W349">
        <v>0</v>
      </c>
      <c r="X349">
        <v>2</v>
      </c>
      <c r="Y349">
        <v>0</v>
      </c>
      <c r="AA349">
        <v>1</v>
      </c>
      <c r="AB349">
        <v>8</v>
      </c>
      <c r="AC349">
        <v>3</v>
      </c>
      <c r="AD349">
        <v>0</v>
      </c>
      <c r="AE349">
        <v>9</v>
      </c>
      <c r="AF349" t="s">
        <v>138</v>
      </c>
      <c r="AG349">
        <v>0</v>
      </c>
      <c r="AH349">
        <v>3</v>
      </c>
      <c r="AI349">
        <v>1</v>
      </c>
      <c r="AJ349">
        <v>0</v>
      </c>
      <c r="AK349" t="s">
        <v>217</v>
      </c>
      <c r="AL349">
        <v>38.955739000000001</v>
      </c>
      <c r="AM349" t="s">
        <v>242</v>
      </c>
      <c r="AN349">
        <v>-121.061611</v>
      </c>
      <c r="AO349">
        <v>25</v>
      </c>
      <c r="AP349">
        <v>2000</v>
      </c>
      <c r="AQ349" t="s">
        <v>131</v>
      </c>
      <c r="AR349">
        <v>75</v>
      </c>
      <c r="AS349">
        <v>-4</v>
      </c>
      <c r="AT349">
        <v>576</v>
      </c>
      <c r="BB349" t="str">
        <f t="shared" si="130"/>
        <v>1200</v>
      </c>
      <c r="BC349">
        <v>1</v>
      </c>
      <c r="BD349" t="str">
        <f t="shared" si="131"/>
        <v xml:space="preserve">N52156  </v>
      </c>
      <c r="BE349">
        <v>1</v>
      </c>
      <c r="BG349">
        <v>0</v>
      </c>
      <c r="BH349">
        <v>0</v>
      </c>
      <c r="BI349">
        <v>0</v>
      </c>
      <c r="BJ349">
        <v>1950</v>
      </c>
      <c r="BK349">
        <v>-50</v>
      </c>
      <c r="BL349" t="s">
        <v>188</v>
      </c>
      <c r="BM349">
        <v>1</v>
      </c>
      <c r="BN349">
        <v>1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 t="shared" si="139"/>
        <v>15:05:29.904</v>
      </c>
      <c r="CF349">
        <v>904196167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133</v>
      </c>
      <c r="DA349">
        <v>275</v>
      </c>
      <c r="DB349">
        <v>0</v>
      </c>
      <c r="DC349" t="s">
        <v>134</v>
      </c>
      <c r="DD349" t="s">
        <v>135</v>
      </c>
      <c r="DG349">
        <v>3318215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"05/01/2025 15:05:30.556"</f>
        <v>05/01/2025 15:05:30.556</v>
      </c>
      <c r="C350" t="str">
        <f t="shared" si="128"/>
        <v>FFDFD3C0</v>
      </c>
      <c r="D350" t="s">
        <v>140</v>
      </c>
      <c r="E350" t="str">
        <f>"13"</f>
        <v>13</v>
      </c>
      <c r="F350">
        <v>1019</v>
      </c>
      <c r="G350" t="s">
        <v>141</v>
      </c>
      <c r="J350" t="s">
        <v>142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R350" t="s">
        <v>127</v>
      </c>
      <c r="S350" t="str">
        <f t="shared" ref="S350:T355" si="140">"15:05:30.000"</f>
        <v>15:05:30.000</v>
      </c>
      <c r="T350" t="str">
        <f t="shared" si="140"/>
        <v>15:05:30.000</v>
      </c>
      <c r="U350" t="str">
        <f t="shared" si="129"/>
        <v>A68FCB</v>
      </c>
      <c r="V350">
        <v>0</v>
      </c>
      <c r="W350">
        <v>0</v>
      </c>
      <c r="X350">
        <v>2</v>
      </c>
      <c r="Y350">
        <v>0</v>
      </c>
      <c r="AA350">
        <v>1</v>
      </c>
      <c r="AB350">
        <v>8</v>
      </c>
      <c r="AC350">
        <v>3</v>
      </c>
      <c r="AD350">
        <v>0</v>
      </c>
      <c r="AE350">
        <v>9</v>
      </c>
      <c r="AF350" t="s">
        <v>138</v>
      </c>
      <c r="AG350">
        <v>0</v>
      </c>
      <c r="AH350">
        <v>3</v>
      </c>
      <c r="AI350">
        <v>1</v>
      </c>
      <c r="AJ350">
        <v>0</v>
      </c>
      <c r="AK350" t="s">
        <v>209</v>
      </c>
      <c r="AL350">
        <v>38.955717</v>
      </c>
      <c r="AM350" t="s">
        <v>243</v>
      </c>
      <c r="AN350">
        <v>-121.061161</v>
      </c>
      <c r="AO350">
        <v>25</v>
      </c>
      <c r="AP350">
        <v>2000</v>
      </c>
      <c r="AQ350" t="s">
        <v>131</v>
      </c>
      <c r="AR350">
        <v>76</v>
      </c>
      <c r="AS350">
        <v>-4</v>
      </c>
      <c r="AT350">
        <v>640</v>
      </c>
      <c r="BB350" t="str">
        <f t="shared" si="130"/>
        <v>1200</v>
      </c>
      <c r="BC350">
        <v>1</v>
      </c>
      <c r="BD350" t="str">
        <f t="shared" si="131"/>
        <v xml:space="preserve">N52156  </v>
      </c>
      <c r="BE350">
        <v>1</v>
      </c>
      <c r="BG350">
        <v>0</v>
      </c>
      <c r="BH350">
        <v>0</v>
      </c>
      <c r="BI350">
        <v>0</v>
      </c>
      <c r="BJ350">
        <v>1950</v>
      </c>
      <c r="BK350">
        <v>-50</v>
      </c>
      <c r="BL350" t="s">
        <v>188</v>
      </c>
      <c r="BM350">
        <v>1</v>
      </c>
      <c r="BN350">
        <v>1</v>
      </c>
      <c r="BO350">
        <v>0</v>
      </c>
      <c r="BP350">
        <v>0</v>
      </c>
      <c r="BS350">
        <v>0</v>
      </c>
      <c r="BT350">
        <v>0</v>
      </c>
      <c r="BU350">
        <v>0</v>
      </c>
      <c r="CE350" t="str">
        <f t="shared" ref="CE350:CE355" si="141">"15:05:30.339"</f>
        <v>15:05:30.339</v>
      </c>
      <c r="CF350">
        <v>339194789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133</v>
      </c>
      <c r="DA350">
        <v>275</v>
      </c>
      <c r="DB350">
        <v>0</v>
      </c>
      <c r="DC350" t="s">
        <v>134</v>
      </c>
      <c r="DD350" t="s">
        <v>135</v>
      </c>
      <c r="DG350">
        <v>3318221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"05/01/2025 15:05:30.563"</f>
        <v>05/01/2025 15:05:30.563</v>
      </c>
      <c r="C351" t="str">
        <f t="shared" si="128"/>
        <v>FFDFD3C0</v>
      </c>
      <c r="D351" t="s">
        <v>143</v>
      </c>
      <c r="E351" t="str">
        <f>"05"</f>
        <v>05</v>
      </c>
      <c r="H351">
        <v>172</v>
      </c>
      <c r="I351" t="s">
        <v>141</v>
      </c>
      <c r="J351" t="s">
        <v>144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R351" t="s">
        <v>127</v>
      </c>
      <c r="S351" t="str">
        <f t="shared" si="140"/>
        <v>15:05:30.000</v>
      </c>
      <c r="T351" t="str">
        <f t="shared" si="140"/>
        <v>15:05:30.000</v>
      </c>
      <c r="U351" t="str">
        <f t="shared" si="129"/>
        <v>A68FCB</v>
      </c>
      <c r="V351">
        <v>0</v>
      </c>
      <c r="W351">
        <v>0</v>
      </c>
      <c r="X351">
        <v>2</v>
      </c>
      <c r="Y351">
        <v>0</v>
      </c>
      <c r="AA351">
        <v>1</v>
      </c>
      <c r="AB351">
        <v>8</v>
      </c>
      <c r="AC351">
        <v>3</v>
      </c>
      <c r="AD351">
        <v>0</v>
      </c>
      <c r="AE351">
        <v>9</v>
      </c>
      <c r="AF351" t="s">
        <v>138</v>
      </c>
      <c r="AG351">
        <v>0</v>
      </c>
      <c r="AH351">
        <v>3</v>
      </c>
      <c r="AI351">
        <v>1</v>
      </c>
      <c r="AJ351">
        <v>0</v>
      </c>
      <c r="AK351" t="s">
        <v>209</v>
      </c>
      <c r="AL351">
        <v>38.955717</v>
      </c>
      <c r="AM351" t="s">
        <v>243</v>
      </c>
      <c r="AN351">
        <v>-121.061161</v>
      </c>
      <c r="AO351">
        <v>25</v>
      </c>
      <c r="AP351">
        <v>2000</v>
      </c>
      <c r="AQ351" t="s">
        <v>131</v>
      </c>
      <c r="AR351">
        <v>76</v>
      </c>
      <c r="AS351">
        <v>-4</v>
      </c>
      <c r="AT351">
        <v>640</v>
      </c>
      <c r="BB351" t="str">
        <f t="shared" si="130"/>
        <v>1200</v>
      </c>
      <c r="BC351">
        <v>1</v>
      </c>
      <c r="BD351" t="str">
        <f t="shared" si="131"/>
        <v xml:space="preserve">N52156  </v>
      </c>
      <c r="BE351">
        <v>1</v>
      </c>
      <c r="BG351">
        <v>0</v>
      </c>
      <c r="BH351">
        <v>0</v>
      </c>
      <c r="BI351">
        <v>0</v>
      </c>
      <c r="BJ351">
        <v>1950</v>
      </c>
      <c r="BK351">
        <v>-50</v>
      </c>
      <c r="BL351" t="s">
        <v>188</v>
      </c>
      <c r="BM351">
        <v>1</v>
      </c>
      <c r="BN351">
        <v>1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 t="shared" si="141"/>
        <v>15:05:30.339</v>
      </c>
      <c r="CF351">
        <v>339194789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6</v>
      </c>
      <c r="CY351">
        <v>7</v>
      </c>
      <c r="CZ351" t="s">
        <v>133</v>
      </c>
      <c r="DA351">
        <v>275</v>
      </c>
      <c r="DB351">
        <v>0</v>
      </c>
      <c r="DC351" t="s">
        <v>134</v>
      </c>
      <c r="DD351" t="s">
        <v>135</v>
      </c>
      <c r="DG351">
        <v>3318221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"05/01/2025 15:05:30.566"</f>
        <v>05/01/2025 15:05:30.566</v>
      </c>
      <c r="C352" t="str">
        <f t="shared" si="128"/>
        <v>FFDFD3C0</v>
      </c>
      <c r="D352" t="s">
        <v>145</v>
      </c>
      <c r="E352" t="str">
        <f>"05"</f>
        <v>05</v>
      </c>
      <c r="H352">
        <v>47</v>
      </c>
      <c r="I352" t="s">
        <v>146</v>
      </c>
      <c r="J352" t="s">
        <v>138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R352" t="s">
        <v>127</v>
      </c>
      <c r="S352" t="str">
        <f t="shared" si="140"/>
        <v>15:05:30.000</v>
      </c>
      <c r="T352" t="str">
        <f t="shared" si="140"/>
        <v>15:05:30.000</v>
      </c>
      <c r="U352" t="str">
        <f t="shared" si="129"/>
        <v>A68FCB</v>
      </c>
      <c r="V352">
        <v>0</v>
      </c>
      <c r="W352">
        <v>0</v>
      </c>
      <c r="X352">
        <v>2</v>
      </c>
      <c r="Y352">
        <v>0</v>
      </c>
      <c r="AA352">
        <v>1</v>
      </c>
      <c r="AB352">
        <v>8</v>
      </c>
      <c r="AC352">
        <v>3</v>
      </c>
      <c r="AD352">
        <v>0</v>
      </c>
      <c r="AE352">
        <v>9</v>
      </c>
      <c r="AF352" t="s">
        <v>138</v>
      </c>
      <c r="AG352">
        <v>0</v>
      </c>
      <c r="AH352">
        <v>3</v>
      </c>
      <c r="AI352">
        <v>1</v>
      </c>
      <c r="AJ352">
        <v>0</v>
      </c>
      <c r="AK352" t="s">
        <v>209</v>
      </c>
      <c r="AL352">
        <v>38.955717</v>
      </c>
      <c r="AM352" t="s">
        <v>243</v>
      </c>
      <c r="AN352">
        <v>-121.061161</v>
      </c>
      <c r="AO352">
        <v>25</v>
      </c>
      <c r="AP352">
        <v>2000</v>
      </c>
      <c r="AQ352" t="s">
        <v>131</v>
      </c>
      <c r="AR352">
        <v>76</v>
      </c>
      <c r="AS352">
        <v>-4</v>
      </c>
      <c r="AT352">
        <v>640</v>
      </c>
      <c r="BB352" t="str">
        <f t="shared" si="130"/>
        <v>1200</v>
      </c>
      <c r="BC352">
        <v>1</v>
      </c>
      <c r="BD352" t="str">
        <f t="shared" si="131"/>
        <v xml:space="preserve">N52156  </v>
      </c>
      <c r="BE352">
        <v>1</v>
      </c>
      <c r="BG352">
        <v>0</v>
      </c>
      <c r="BH352">
        <v>0</v>
      </c>
      <c r="BI352">
        <v>0</v>
      </c>
      <c r="BJ352">
        <v>1950</v>
      </c>
      <c r="BK352">
        <v>-50</v>
      </c>
      <c r="BL352" t="s">
        <v>188</v>
      </c>
      <c r="BM352">
        <v>1</v>
      </c>
      <c r="BN352">
        <v>1</v>
      </c>
      <c r="BO352">
        <v>0</v>
      </c>
      <c r="BP352">
        <v>0</v>
      </c>
      <c r="BS352">
        <v>0</v>
      </c>
      <c r="BT352">
        <v>0</v>
      </c>
      <c r="BU352">
        <v>0</v>
      </c>
      <c r="CE352" t="str">
        <f t="shared" si="141"/>
        <v>15:05:30.339</v>
      </c>
      <c r="CF352">
        <v>339194789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6</v>
      </c>
      <c r="CY352">
        <v>7</v>
      </c>
      <c r="CZ352" t="s">
        <v>133</v>
      </c>
      <c r="DA352">
        <v>275</v>
      </c>
      <c r="DB352">
        <v>0</v>
      </c>
      <c r="DC352" t="s">
        <v>134</v>
      </c>
      <c r="DD352" t="s">
        <v>135</v>
      </c>
      <c r="DG352">
        <v>3318221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"05/01/2025 15:05:30.567"</f>
        <v>05/01/2025 15:05:30.567</v>
      </c>
      <c r="C353" t="str">
        <f t="shared" si="128"/>
        <v>FFDFD3C0</v>
      </c>
      <c r="D353" t="s">
        <v>145</v>
      </c>
      <c r="E353" t="str">
        <f>"09"</f>
        <v>09</v>
      </c>
      <c r="H353">
        <v>51</v>
      </c>
      <c r="I353" t="s">
        <v>147</v>
      </c>
      <c r="J353" t="s">
        <v>138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R353" t="s">
        <v>127</v>
      </c>
      <c r="S353" t="str">
        <f t="shared" si="140"/>
        <v>15:05:30.000</v>
      </c>
      <c r="T353" t="str">
        <f t="shared" si="140"/>
        <v>15:05:30.000</v>
      </c>
      <c r="U353" t="str">
        <f t="shared" si="129"/>
        <v>A68FCB</v>
      </c>
      <c r="V353">
        <v>0</v>
      </c>
      <c r="W353">
        <v>0</v>
      </c>
      <c r="X353">
        <v>2</v>
      </c>
      <c r="Y353">
        <v>0</v>
      </c>
      <c r="AA353">
        <v>1</v>
      </c>
      <c r="AB353">
        <v>8</v>
      </c>
      <c r="AC353">
        <v>3</v>
      </c>
      <c r="AD353">
        <v>0</v>
      </c>
      <c r="AE353">
        <v>9</v>
      </c>
      <c r="AF353" t="s">
        <v>138</v>
      </c>
      <c r="AG353">
        <v>0</v>
      </c>
      <c r="AH353">
        <v>3</v>
      </c>
      <c r="AI353">
        <v>1</v>
      </c>
      <c r="AJ353">
        <v>0</v>
      </c>
      <c r="AK353" t="s">
        <v>209</v>
      </c>
      <c r="AL353">
        <v>38.955717</v>
      </c>
      <c r="AM353" t="s">
        <v>243</v>
      </c>
      <c r="AN353">
        <v>-121.061161</v>
      </c>
      <c r="AO353">
        <v>25</v>
      </c>
      <c r="AP353">
        <v>2000</v>
      </c>
      <c r="AQ353" t="s">
        <v>131</v>
      </c>
      <c r="AR353">
        <v>76</v>
      </c>
      <c r="AS353">
        <v>-4</v>
      </c>
      <c r="AT353">
        <v>640</v>
      </c>
      <c r="BB353" t="str">
        <f t="shared" si="130"/>
        <v>1200</v>
      </c>
      <c r="BC353">
        <v>1</v>
      </c>
      <c r="BD353" t="str">
        <f t="shared" si="131"/>
        <v xml:space="preserve">N52156  </v>
      </c>
      <c r="BE353">
        <v>1</v>
      </c>
      <c r="BG353">
        <v>0</v>
      </c>
      <c r="BH353">
        <v>0</v>
      </c>
      <c r="BI353">
        <v>0</v>
      </c>
      <c r="BJ353">
        <v>1950</v>
      </c>
      <c r="BK353">
        <v>-50</v>
      </c>
      <c r="BL353" t="s">
        <v>188</v>
      </c>
      <c r="BM353">
        <v>1</v>
      </c>
      <c r="BN353">
        <v>1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 t="shared" si="141"/>
        <v>15:05:30.339</v>
      </c>
      <c r="CF353">
        <v>339194789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133</v>
      </c>
      <c r="DA353">
        <v>275</v>
      </c>
      <c r="DB353">
        <v>0</v>
      </c>
      <c r="DC353" t="s">
        <v>134</v>
      </c>
      <c r="DD353" t="s">
        <v>135</v>
      </c>
      <c r="DG353">
        <v>3318221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"05/01/2025 15:05:30.569"</f>
        <v>05/01/2025 15:05:30.569</v>
      </c>
      <c r="C354" t="str">
        <f t="shared" si="128"/>
        <v>FFDFD3C0</v>
      </c>
      <c r="D354" t="s">
        <v>124</v>
      </c>
      <c r="E354" t="str">
        <f>"06"</f>
        <v>06</v>
      </c>
      <c r="F354">
        <v>2006</v>
      </c>
      <c r="G354" t="s">
        <v>125</v>
      </c>
      <c r="J354" t="s">
        <v>126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R354" t="s">
        <v>127</v>
      </c>
      <c r="S354" t="str">
        <f t="shared" si="140"/>
        <v>15:05:30.000</v>
      </c>
      <c r="T354" t="str">
        <f t="shared" si="140"/>
        <v>15:05:30.000</v>
      </c>
      <c r="U354" t="str">
        <f t="shared" si="129"/>
        <v>A68FCB</v>
      </c>
      <c r="V354">
        <v>0</v>
      </c>
      <c r="W354">
        <v>0</v>
      </c>
      <c r="X354">
        <v>2</v>
      </c>
      <c r="Y354">
        <v>0</v>
      </c>
      <c r="AA354">
        <v>1</v>
      </c>
      <c r="AB354">
        <v>8</v>
      </c>
      <c r="AC354">
        <v>3</v>
      </c>
      <c r="AD354">
        <v>0</v>
      </c>
      <c r="AE354">
        <v>9</v>
      </c>
      <c r="AF354" t="s">
        <v>138</v>
      </c>
      <c r="AG354">
        <v>0</v>
      </c>
      <c r="AH354">
        <v>3</v>
      </c>
      <c r="AI354">
        <v>1</v>
      </c>
      <c r="AJ354">
        <v>0</v>
      </c>
      <c r="AK354" t="s">
        <v>209</v>
      </c>
      <c r="AL354">
        <v>38.955717</v>
      </c>
      <c r="AM354" t="s">
        <v>243</v>
      </c>
      <c r="AN354">
        <v>-121.061161</v>
      </c>
      <c r="AO354">
        <v>25</v>
      </c>
      <c r="AP354">
        <v>2000</v>
      </c>
      <c r="AQ354" t="s">
        <v>131</v>
      </c>
      <c r="AR354">
        <v>76</v>
      </c>
      <c r="AS354">
        <v>-4</v>
      </c>
      <c r="AT354">
        <v>640</v>
      </c>
      <c r="BB354" t="str">
        <f t="shared" si="130"/>
        <v>1200</v>
      </c>
      <c r="BC354">
        <v>1</v>
      </c>
      <c r="BD354" t="str">
        <f t="shared" si="131"/>
        <v xml:space="preserve">N52156  </v>
      </c>
      <c r="BE354">
        <v>1</v>
      </c>
      <c r="BG354">
        <v>0</v>
      </c>
      <c r="BH354">
        <v>0</v>
      </c>
      <c r="BI354">
        <v>0</v>
      </c>
      <c r="BJ354">
        <v>1950</v>
      </c>
      <c r="BK354">
        <v>-50</v>
      </c>
      <c r="BL354" t="s">
        <v>188</v>
      </c>
      <c r="BM354">
        <v>1</v>
      </c>
      <c r="BN354">
        <v>1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 t="shared" si="141"/>
        <v>15:05:30.339</v>
      </c>
      <c r="CF354">
        <v>339194789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133</v>
      </c>
      <c r="DA354">
        <v>275</v>
      </c>
      <c r="DB354">
        <v>0</v>
      </c>
      <c r="DC354" t="s">
        <v>134</v>
      </c>
      <c r="DD354" t="s">
        <v>135</v>
      </c>
      <c r="DG354">
        <v>3318221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"05/01/2025 15:05:30.577"</f>
        <v>05/01/2025 15:05:30.577</v>
      </c>
      <c r="C355" t="str">
        <f t="shared" si="128"/>
        <v>FFDFD3C0</v>
      </c>
      <c r="D355" t="s">
        <v>136</v>
      </c>
      <c r="E355" t="str">
        <f>"20"</f>
        <v>20</v>
      </c>
      <c r="H355">
        <v>400</v>
      </c>
      <c r="I355" t="s">
        <v>137</v>
      </c>
      <c r="J355" t="s">
        <v>138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R355" t="s">
        <v>127</v>
      </c>
      <c r="S355" t="str">
        <f t="shared" si="140"/>
        <v>15:05:30.000</v>
      </c>
      <c r="T355" t="str">
        <f t="shared" si="140"/>
        <v>15:05:30.000</v>
      </c>
      <c r="U355" t="str">
        <f t="shared" si="129"/>
        <v>A68FCB</v>
      </c>
      <c r="V355">
        <v>0</v>
      </c>
      <c r="W355">
        <v>0</v>
      </c>
      <c r="X355">
        <v>2</v>
      </c>
      <c r="Y355">
        <v>0</v>
      </c>
      <c r="AA355">
        <v>1</v>
      </c>
      <c r="AB355">
        <v>8</v>
      </c>
      <c r="AC355">
        <v>3</v>
      </c>
      <c r="AD355">
        <v>0</v>
      </c>
      <c r="AE355">
        <v>9</v>
      </c>
      <c r="AF355" t="s">
        <v>138</v>
      </c>
      <c r="AG355">
        <v>0</v>
      </c>
      <c r="AH355">
        <v>3</v>
      </c>
      <c r="AI355">
        <v>1</v>
      </c>
      <c r="AJ355">
        <v>0</v>
      </c>
      <c r="AK355" t="s">
        <v>209</v>
      </c>
      <c r="AL355">
        <v>38.955717</v>
      </c>
      <c r="AM355" t="s">
        <v>243</v>
      </c>
      <c r="AN355">
        <v>-121.061161</v>
      </c>
      <c r="AO355">
        <v>25</v>
      </c>
      <c r="AP355">
        <v>2000</v>
      </c>
      <c r="AQ355" t="s">
        <v>131</v>
      </c>
      <c r="AR355">
        <v>76</v>
      </c>
      <c r="AS355">
        <v>-4</v>
      </c>
      <c r="AT355">
        <v>640</v>
      </c>
      <c r="BB355" t="str">
        <f t="shared" si="130"/>
        <v>1200</v>
      </c>
      <c r="BC355">
        <v>1</v>
      </c>
      <c r="BD355" t="str">
        <f t="shared" si="131"/>
        <v xml:space="preserve">N52156  </v>
      </c>
      <c r="BE355">
        <v>1</v>
      </c>
      <c r="BG355">
        <v>0</v>
      </c>
      <c r="BH355">
        <v>0</v>
      </c>
      <c r="BI355">
        <v>0</v>
      </c>
      <c r="BJ355">
        <v>1950</v>
      </c>
      <c r="BK355">
        <v>-50</v>
      </c>
      <c r="BL355" t="s">
        <v>188</v>
      </c>
      <c r="BM355">
        <v>1</v>
      </c>
      <c r="BN355">
        <v>1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 t="shared" si="141"/>
        <v>15:05:30.339</v>
      </c>
      <c r="CF355">
        <v>339194789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133</v>
      </c>
      <c r="DA355">
        <v>275</v>
      </c>
      <c r="DB355">
        <v>0</v>
      </c>
      <c r="DC355" t="s">
        <v>134</v>
      </c>
      <c r="DD355" t="s">
        <v>135</v>
      </c>
      <c r="DG355">
        <v>3318221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"05/01/2025 15:05:32.180"</f>
        <v>05/01/2025 15:05:32.180</v>
      </c>
      <c r="C356" t="str">
        <f t="shared" si="128"/>
        <v>FFDFD3C0</v>
      </c>
      <c r="D356" t="s">
        <v>136</v>
      </c>
      <c r="E356" t="str">
        <f>"20"</f>
        <v>20</v>
      </c>
      <c r="H356">
        <v>400</v>
      </c>
      <c r="I356" t="s">
        <v>137</v>
      </c>
      <c r="J356" t="s">
        <v>138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R356" t="s">
        <v>127</v>
      </c>
      <c r="S356" t="str">
        <f t="shared" ref="S356:T361" si="142">"15:05:31.000"</f>
        <v>15:05:31.000</v>
      </c>
      <c r="T356" t="str">
        <f t="shared" si="142"/>
        <v>15:05:31.000</v>
      </c>
      <c r="U356" t="str">
        <f t="shared" si="129"/>
        <v>A68FCB</v>
      </c>
      <c r="V356">
        <v>0</v>
      </c>
      <c r="W356">
        <v>0</v>
      </c>
      <c r="X356">
        <v>2</v>
      </c>
      <c r="Y356">
        <v>0</v>
      </c>
      <c r="AA356">
        <v>1</v>
      </c>
      <c r="AB356">
        <v>8</v>
      </c>
      <c r="AC356">
        <v>3</v>
      </c>
      <c r="AD356">
        <v>0</v>
      </c>
      <c r="AE356">
        <v>9</v>
      </c>
      <c r="AF356" t="s">
        <v>138</v>
      </c>
      <c r="AG356">
        <v>0</v>
      </c>
      <c r="AH356">
        <v>3</v>
      </c>
      <c r="AI356">
        <v>1</v>
      </c>
      <c r="AJ356">
        <v>0</v>
      </c>
      <c r="AK356" t="s">
        <v>205</v>
      </c>
      <c r="AL356">
        <v>38.955674000000002</v>
      </c>
      <c r="AM356" t="s">
        <v>244</v>
      </c>
      <c r="AN356">
        <v>-121.06071</v>
      </c>
      <c r="AO356">
        <v>25</v>
      </c>
      <c r="AP356">
        <v>2000</v>
      </c>
      <c r="AQ356" t="s">
        <v>131</v>
      </c>
      <c r="AR356">
        <v>75</v>
      </c>
      <c r="AS356">
        <v>-3</v>
      </c>
      <c r="AT356">
        <v>704</v>
      </c>
      <c r="BB356" t="str">
        <f t="shared" si="130"/>
        <v>1200</v>
      </c>
      <c r="BC356">
        <v>1</v>
      </c>
      <c r="BD356" t="str">
        <f t="shared" si="131"/>
        <v xml:space="preserve">N52156  </v>
      </c>
      <c r="BE356">
        <v>1</v>
      </c>
      <c r="BG356">
        <v>0</v>
      </c>
      <c r="BH356">
        <v>0</v>
      </c>
      <c r="BI356">
        <v>0</v>
      </c>
      <c r="BJ356">
        <v>1950</v>
      </c>
      <c r="BK356">
        <v>-50</v>
      </c>
      <c r="BL356" t="s">
        <v>188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 t="shared" ref="CE356:CE361" si="143">"15:05:31.952"</f>
        <v>15:05:31.952</v>
      </c>
      <c r="CF356">
        <v>951696483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5</v>
      </c>
      <c r="CY356">
        <v>7</v>
      </c>
      <c r="CZ356" t="s">
        <v>133</v>
      </c>
      <c r="DA356">
        <v>275</v>
      </c>
      <c r="DB356">
        <v>0</v>
      </c>
      <c r="DC356" t="s">
        <v>134</v>
      </c>
      <c r="DD356" t="s">
        <v>135</v>
      </c>
      <c r="DG356">
        <v>3318235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"05/01/2025 15:05:32.209"</f>
        <v>05/01/2025 15:05:32.209</v>
      </c>
      <c r="C357" t="str">
        <f t="shared" si="128"/>
        <v>FFDFD3C0</v>
      </c>
      <c r="D357" t="s">
        <v>140</v>
      </c>
      <c r="E357" t="str">
        <f>"13"</f>
        <v>13</v>
      </c>
      <c r="F357">
        <v>1019</v>
      </c>
      <c r="G357" t="s">
        <v>141</v>
      </c>
      <c r="J357" t="s">
        <v>142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R357" t="s">
        <v>127</v>
      </c>
      <c r="S357" t="str">
        <f t="shared" si="142"/>
        <v>15:05:31.000</v>
      </c>
      <c r="T357" t="str">
        <f t="shared" si="142"/>
        <v>15:05:31.000</v>
      </c>
      <c r="U357" t="str">
        <f t="shared" si="129"/>
        <v>A68FCB</v>
      </c>
      <c r="V357">
        <v>0</v>
      </c>
      <c r="W357">
        <v>0</v>
      </c>
      <c r="X357">
        <v>2</v>
      </c>
      <c r="Y357">
        <v>0</v>
      </c>
      <c r="AA357">
        <v>1</v>
      </c>
      <c r="AB357">
        <v>8</v>
      </c>
      <c r="AC357">
        <v>3</v>
      </c>
      <c r="AD357">
        <v>0</v>
      </c>
      <c r="AE357">
        <v>9</v>
      </c>
      <c r="AF357" t="s">
        <v>138</v>
      </c>
      <c r="AG357">
        <v>0</v>
      </c>
      <c r="AH357">
        <v>3</v>
      </c>
      <c r="AI357">
        <v>1</v>
      </c>
      <c r="AJ357">
        <v>0</v>
      </c>
      <c r="AK357" t="s">
        <v>205</v>
      </c>
      <c r="AL357">
        <v>38.955674000000002</v>
      </c>
      <c r="AM357" t="s">
        <v>244</v>
      </c>
      <c r="AN357">
        <v>-121.06071</v>
      </c>
      <c r="AO357">
        <v>25</v>
      </c>
      <c r="AP357">
        <v>2000</v>
      </c>
      <c r="AQ357" t="s">
        <v>131</v>
      </c>
      <c r="AR357">
        <v>75</v>
      </c>
      <c r="AS357">
        <v>-3</v>
      </c>
      <c r="AT357">
        <v>704</v>
      </c>
      <c r="BB357" t="str">
        <f t="shared" si="130"/>
        <v>1200</v>
      </c>
      <c r="BC357">
        <v>1</v>
      </c>
      <c r="BD357" t="str">
        <f t="shared" si="131"/>
        <v xml:space="preserve">N52156  </v>
      </c>
      <c r="BE357">
        <v>1</v>
      </c>
      <c r="BG357">
        <v>0</v>
      </c>
      <c r="BH357">
        <v>0</v>
      </c>
      <c r="BI357">
        <v>0</v>
      </c>
      <c r="BJ357">
        <v>1950</v>
      </c>
      <c r="BK357">
        <v>-50</v>
      </c>
      <c r="BL357" t="s">
        <v>188</v>
      </c>
      <c r="BM357">
        <v>1</v>
      </c>
      <c r="BN357">
        <v>1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 t="shared" si="143"/>
        <v>15:05:31.952</v>
      </c>
      <c r="CF357">
        <v>951696483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5</v>
      </c>
      <c r="CY357">
        <v>7</v>
      </c>
      <c r="CZ357" t="s">
        <v>133</v>
      </c>
      <c r="DA357">
        <v>275</v>
      </c>
      <c r="DB357">
        <v>0</v>
      </c>
      <c r="DC357" t="s">
        <v>134</v>
      </c>
      <c r="DD357" t="s">
        <v>135</v>
      </c>
      <c r="DG357">
        <v>3318235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"05/01/2025 15:05:32.216"</f>
        <v>05/01/2025 15:05:32.216</v>
      </c>
      <c r="C358" t="str">
        <f t="shared" si="128"/>
        <v>FFDFD3C0</v>
      </c>
      <c r="D358" t="s">
        <v>143</v>
      </c>
      <c r="E358" t="str">
        <f>"05"</f>
        <v>05</v>
      </c>
      <c r="H358">
        <v>172</v>
      </c>
      <c r="I358" t="s">
        <v>141</v>
      </c>
      <c r="J358" t="s">
        <v>144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R358" t="s">
        <v>127</v>
      </c>
      <c r="S358" t="str">
        <f t="shared" si="142"/>
        <v>15:05:31.000</v>
      </c>
      <c r="T358" t="str">
        <f t="shared" si="142"/>
        <v>15:05:31.000</v>
      </c>
      <c r="U358" t="str">
        <f t="shared" si="129"/>
        <v>A68FCB</v>
      </c>
      <c r="V358">
        <v>0</v>
      </c>
      <c r="W358">
        <v>0</v>
      </c>
      <c r="X358">
        <v>2</v>
      </c>
      <c r="Y358">
        <v>0</v>
      </c>
      <c r="AA358">
        <v>1</v>
      </c>
      <c r="AB358">
        <v>8</v>
      </c>
      <c r="AC358">
        <v>3</v>
      </c>
      <c r="AD358">
        <v>0</v>
      </c>
      <c r="AE358">
        <v>9</v>
      </c>
      <c r="AF358" t="s">
        <v>138</v>
      </c>
      <c r="AG358">
        <v>0</v>
      </c>
      <c r="AH358">
        <v>3</v>
      </c>
      <c r="AI358">
        <v>1</v>
      </c>
      <c r="AJ358">
        <v>0</v>
      </c>
      <c r="AK358" t="s">
        <v>205</v>
      </c>
      <c r="AL358">
        <v>38.955674000000002</v>
      </c>
      <c r="AM358" t="s">
        <v>244</v>
      </c>
      <c r="AN358">
        <v>-121.06071</v>
      </c>
      <c r="AO358">
        <v>25</v>
      </c>
      <c r="AP358">
        <v>2000</v>
      </c>
      <c r="AQ358" t="s">
        <v>131</v>
      </c>
      <c r="AR358">
        <v>75</v>
      </c>
      <c r="AS358">
        <v>-3</v>
      </c>
      <c r="AT358">
        <v>704</v>
      </c>
      <c r="BB358" t="str">
        <f t="shared" si="130"/>
        <v>1200</v>
      </c>
      <c r="BC358">
        <v>1</v>
      </c>
      <c r="BD358" t="str">
        <f t="shared" si="131"/>
        <v xml:space="preserve">N52156  </v>
      </c>
      <c r="BE358">
        <v>1</v>
      </c>
      <c r="BG358">
        <v>0</v>
      </c>
      <c r="BH358">
        <v>0</v>
      </c>
      <c r="BI358">
        <v>0</v>
      </c>
      <c r="BJ358">
        <v>1950</v>
      </c>
      <c r="BK358">
        <v>-50</v>
      </c>
      <c r="BL358" t="s">
        <v>188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 t="shared" si="143"/>
        <v>15:05:31.952</v>
      </c>
      <c r="CF358">
        <v>951696483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5</v>
      </c>
      <c r="CY358">
        <v>7</v>
      </c>
      <c r="CZ358" t="s">
        <v>133</v>
      </c>
      <c r="DA358">
        <v>275</v>
      </c>
      <c r="DB358">
        <v>0</v>
      </c>
      <c r="DC358" t="s">
        <v>134</v>
      </c>
      <c r="DD358" t="s">
        <v>135</v>
      </c>
      <c r="DG358">
        <v>3318235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"05/01/2025 15:05:32.219"</f>
        <v>05/01/2025 15:05:32.219</v>
      </c>
      <c r="C359" t="str">
        <f t="shared" si="128"/>
        <v>FFDFD3C0</v>
      </c>
      <c r="D359" t="s">
        <v>145</v>
      </c>
      <c r="E359" t="str">
        <f>"09"</f>
        <v>09</v>
      </c>
      <c r="H359">
        <v>51</v>
      </c>
      <c r="I359" t="s">
        <v>147</v>
      </c>
      <c r="J359" t="s">
        <v>138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R359" t="s">
        <v>127</v>
      </c>
      <c r="S359" t="str">
        <f t="shared" si="142"/>
        <v>15:05:31.000</v>
      </c>
      <c r="T359" t="str">
        <f t="shared" si="142"/>
        <v>15:05:31.000</v>
      </c>
      <c r="U359" t="str">
        <f t="shared" si="129"/>
        <v>A68FCB</v>
      </c>
      <c r="V359">
        <v>0</v>
      </c>
      <c r="W359">
        <v>0</v>
      </c>
      <c r="X359">
        <v>2</v>
      </c>
      <c r="Y359">
        <v>0</v>
      </c>
      <c r="AA359">
        <v>1</v>
      </c>
      <c r="AB359">
        <v>8</v>
      </c>
      <c r="AC359">
        <v>3</v>
      </c>
      <c r="AD359">
        <v>0</v>
      </c>
      <c r="AE359">
        <v>9</v>
      </c>
      <c r="AF359" t="s">
        <v>138</v>
      </c>
      <c r="AG359">
        <v>0</v>
      </c>
      <c r="AH359">
        <v>3</v>
      </c>
      <c r="AI359">
        <v>1</v>
      </c>
      <c r="AJ359">
        <v>0</v>
      </c>
      <c r="AK359" t="s">
        <v>205</v>
      </c>
      <c r="AL359">
        <v>38.955674000000002</v>
      </c>
      <c r="AM359" t="s">
        <v>244</v>
      </c>
      <c r="AN359">
        <v>-121.06071</v>
      </c>
      <c r="AO359">
        <v>25</v>
      </c>
      <c r="AP359">
        <v>2000</v>
      </c>
      <c r="AQ359" t="s">
        <v>131</v>
      </c>
      <c r="AR359">
        <v>75</v>
      </c>
      <c r="AS359">
        <v>-3</v>
      </c>
      <c r="AT359">
        <v>704</v>
      </c>
      <c r="BB359" t="str">
        <f t="shared" si="130"/>
        <v>1200</v>
      </c>
      <c r="BC359">
        <v>1</v>
      </c>
      <c r="BD359" t="str">
        <f t="shared" si="131"/>
        <v xml:space="preserve">N52156  </v>
      </c>
      <c r="BE359">
        <v>1</v>
      </c>
      <c r="BG359">
        <v>0</v>
      </c>
      <c r="BH359">
        <v>0</v>
      </c>
      <c r="BI359">
        <v>0</v>
      </c>
      <c r="BJ359">
        <v>1950</v>
      </c>
      <c r="BK359">
        <v>-50</v>
      </c>
      <c r="BL359" t="s">
        <v>188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 t="shared" si="143"/>
        <v>15:05:31.952</v>
      </c>
      <c r="CF359">
        <v>951696483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5</v>
      </c>
      <c r="CY359">
        <v>7</v>
      </c>
      <c r="CZ359" t="s">
        <v>133</v>
      </c>
      <c r="DA359">
        <v>275</v>
      </c>
      <c r="DB359">
        <v>0</v>
      </c>
      <c r="DC359" t="s">
        <v>134</v>
      </c>
      <c r="DD359" t="s">
        <v>135</v>
      </c>
      <c r="DG359">
        <v>3318235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"05/01/2025 15:05:32.219"</f>
        <v>05/01/2025 15:05:32.219</v>
      </c>
      <c r="C360" t="str">
        <f t="shared" si="128"/>
        <v>FFDFD3C0</v>
      </c>
      <c r="D360" t="s">
        <v>145</v>
      </c>
      <c r="E360" t="str">
        <f>"05"</f>
        <v>05</v>
      </c>
      <c r="H360">
        <v>47</v>
      </c>
      <c r="I360" t="s">
        <v>146</v>
      </c>
      <c r="J360" t="s">
        <v>138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R360" t="s">
        <v>127</v>
      </c>
      <c r="S360" t="str">
        <f t="shared" si="142"/>
        <v>15:05:31.000</v>
      </c>
      <c r="T360" t="str">
        <f t="shared" si="142"/>
        <v>15:05:31.000</v>
      </c>
      <c r="U360" t="str">
        <f t="shared" si="129"/>
        <v>A68FCB</v>
      </c>
      <c r="V360">
        <v>0</v>
      </c>
      <c r="W360">
        <v>0</v>
      </c>
      <c r="X360">
        <v>2</v>
      </c>
      <c r="Y360">
        <v>0</v>
      </c>
      <c r="AA360">
        <v>1</v>
      </c>
      <c r="AB360">
        <v>8</v>
      </c>
      <c r="AC360">
        <v>3</v>
      </c>
      <c r="AD360">
        <v>0</v>
      </c>
      <c r="AE360">
        <v>9</v>
      </c>
      <c r="AF360" t="s">
        <v>138</v>
      </c>
      <c r="AG360">
        <v>0</v>
      </c>
      <c r="AH360">
        <v>3</v>
      </c>
      <c r="AI360">
        <v>1</v>
      </c>
      <c r="AJ360">
        <v>0</v>
      </c>
      <c r="AK360" t="s">
        <v>205</v>
      </c>
      <c r="AL360">
        <v>38.955674000000002</v>
      </c>
      <c r="AM360" t="s">
        <v>244</v>
      </c>
      <c r="AN360">
        <v>-121.06071</v>
      </c>
      <c r="AO360">
        <v>25</v>
      </c>
      <c r="AP360">
        <v>2000</v>
      </c>
      <c r="AQ360" t="s">
        <v>131</v>
      </c>
      <c r="AR360">
        <v>75</v>
      </c>
      <c r="AS360">
        <v>-3</v>
      </c>
      <c r="AT360">
        <v>704</v>
      </c>
      <c r="BB360" t="str">
        <f t="shared" si="130"/>
        <v>1200</v>
      </c>
      <c r="BC360">
        <v>1</v>
      </c>
      <c r="BD360" t="str">
        <f t="shared" si="131"/>
        <v xml:space="preserve">N52156  </v>
      </c>
      <c r="BE360">
        <v>1</v>
      </c>
      <c r="BG360">
        <v>0</v>
      </c>
      <c r="BH360">
        <v>0</v>
      </c>
      <c r="BI360">
        <v>0</v>
      </c>
      <c r="BJ360">
        <v>1950</v>
      </c>
      <c r="BK360">
        <v>-50</v>
      </c>
      <c r="BL360" t="s">
        <v>188</v>
      </c>
      <c r="BM360">
        <v>1</v>
      </c>
      <c r="BN360">
        <v>1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 t="shared" si="143"/>
        <v>15:05:31.952</v>
      </c>
      <c r="CF360">
        <v>951696483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5</v>
      </c>
      <c r="CY360">
        <v>7</v>
      </c>
      <c r="CZ360" t="s">
        <v>133</v>
      </c>
      <c r="DA360">
        <v>275</v>
      </c>
      <c r="DB360">
        <v>0</v>
      </c>
      <c r="DC360" t="s">
        <v>134</v>
      </c>
      <c r="DD360" t="s">
        <v>135</v>
      </c>
      <c r="DG360">
        <v>3318235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"05/01/2025 15:05:32.222"</f>
        <v>05/01/2025 15:05:32.222</v>
      </c>
      <c r="C361" t="str">
        <f t="shared" si="128"/>
        <v>FFDFD3C0</v>
      </c>
      <c r="D361" t="s">
        <v>124</v>
      </c>
      <c r="E361" t="str">
        <f>"06"</f>
        <v>06</v>
      </c>
      <c r="F361">
        <v>2006</v>
      </c>
      <c r="G361" t="s">
        <v>125</v>
      </c>
      <c r="J361" t="s">
        <v>126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R361" t="s">
        <v>127</v>
      </c>
      <c r="S361" t="str">
        <f t="shared" si="142"/>
        <v>15:05:31.000</v>
      </c>
      <c r="T361" t="str">
        <f t="shared" si="142"/>
        <v>15:05:31.000</v>
      </c>
      <c r="U361" t="str">
        <f t="shared" si="129"/>
        <v>A68FCB</v>
      </c>
      <c r="V361">
        <v>0</v>
      </c>
      <c r="W361">
        <v>0</v>
      </c>
      <c r="X361">
        <v>2</v>
      </c>
      <c r="Y361">
        <v>0</v>
      </c>
      <c r="AA361">
        <v>1</v>
      </c>
      <c r="AB361">
        <v>8</v>
      </c>
      <c r="AC361">
        <v>3</v>
      </c>
      <c r="AD361">
        <v>0</v>
      </c>
      <c r="AE361">
        <v>9</v>
      </c>
      <c r="AF361" t="s">
        <v>138</v>
      </c>
      <c r="AG361">
        <v>0</v>
      </c>
      <c r="AH361">
        <v>3</v>
      </c>
      <c r="AI361">
        <v>1</v>
      </c>
      <c r="AJ361">
        <v>0</v>
      </c>
      <c r="AK361" t="s">
        <v>205</v>
      </c>
      <c r="AL361">
        <v>38.955674000000002</v>
      </c>
      <c r="AM361" t="s">
        <v>244</v>
      </c>
      <c r="AN361">
        <v>-121.06071</v>
      </c>
      <c r="AO361">
        <v>25</v>
      </c>
      <c r="AP361">
        <v>2000</v>
      </c>
      <c r="AQ361" t="s">
        <v>131</v>
      </c>
      <c r="AR361">
        <v>75</v>
      </c>
      <c r="AS361">
        <v>-3</v>
      </c>
      <c r="AT361">
        <v>704</v>
      </c>
      <c r="BB361" t="str">
        <f t="shared" si="130"/>
        <v>1200</v>
      </c>
      <c r="BC361">
        <v>1</v>
      </c>
      <c r="BD361" t="str">
        <f t="shared" si="131"/>
        <v xml:space="preserve">N52156  </v>
      </c>
      <c r="BE361">
        <v>1</v>
      </c>
      <c r="BG361">
        <v>0</v>
      </c>
      <c r="BH361">
        <v>0</v>
      </c>
      <c r="BI361">
        <v>0</v>
      </c>
      <c r="BJ361">
        <v>1950</v>
      </c>
      <c r="BK361">
        <v>-50</v>
      </c>
      <c r="BL361" t="s">
        <v>188</v>
      </c>
      <c r="BM361">
        <v>1</v>
      </c>
      <c r="BN361">
        <v>1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 t="shared" si="143"/>
        <v>15:05:31.952</v>
      </c>
      <c r="CF361">
        <v>951696483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5</v>
      </c>
      <c r="CY361">
        <v>7</v>
      </c>
      <c r="CZ361" t="s">
        <v>133</v>
      </c>
      <c r="DA361">
        <v>275</v>
      </c>
      <c r="DB361">
        <v>0</v>
      </c>
      <c r="DC361" t="s">
        <v>134</v>
      </c>
      <c r="DD361" t="s">
        <v>135</v>
      </c>
      <c r="DG361">
        <v>3318235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"05/01/2025 15:05:33.021"</f>
        <v>05/01/2025 15:05:33.021</v>
      </c>
      <c r="C362" t="str">
        <f t="shared" si="128"/>
        <v>FFDFD3C0</v>
      </c>
      <c r="D362" t="s">
        <v>145</v>
      </c>
      <c r="E362" t="str">
        <f>"09"</f>
        <v>09</v>
      </c>
      <c r="H362">
        <v>51</v>
      </c>
      <c r="I362" t="s">
        <v>147</v>
      </c>
      <c r="J362" t="s">
        <v>138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R362" t="s">
        <v>127</v>
      </c>
      <c r="S362" t="str">
        <f t="shared" ref="S362:T367" si="144">"15:05:32.000"</f>
        <v>15:05:32.000</v>
      </c>
      <c r="T362" t="str">
        <f t="shared" si="144"/>
        <v>15:05:32.000</v>
      </c>
      <c r="U362" t="str">
        <f t="shared" si="129"/>
        <v>A68FCB</v>
      </c>
      <c r="V362">
        <v>0</v>
      </c>
      <c r="W362">
        <v>0</v>
      </c>
      <c r="X362">
        <v>2</v>
      </c>
      <c r="Y362">
        <v>0</v>
      </c>
      <c r="AA362">
        <v>1</v>
      </c>
      <c r="AB362">
        <v>8</v>
      </c>
      <c r="AC362">
        <v>3</v>
      </c>
      <c r="AD362">
        <v>0</v>
      </c>
      <c r="AE362">
        <v>9</v>
      </c>
      <c r="AF362" t="s">
        <v>138</v>
      </c>
      <c r="AG362">
        <v>0</v>
      </c>
      <c r="AH362">
        <v>3</v>
      </c>
      <c r="AI362">
        <v>1</v>
      </c>
      <c r="AJ362">
        <v>0</v>
      </c>
      <c r="AK362" t="s">
        <v>205</v>
      </c>
      <c r="AL362">
        <v>38.955674000000002</v>
      </c>
      <c r="AM362" t="s">
        <v>245</v>
      </c>
      <c r="AN362">
        <v>-121.060238</v>
      </c>
      <c r="AO362">
        <v>25</v>
      </c>
      <c r="AP362">
        <v>2000</v>
      </c>
      <c r="AQ362" t="s">
        <v>131</v>
      </c>
      <c r="AR362">
        <v>75</v>
      </c>
      <c r="AS362">
        <v>-3</v>
      </c>
      <c r="AT362">
        <v>704</v>
      </c>
      <c r="BB362" t="str">
        <f t="shared" si="130"/>
        <v>1200</v>
      </c>
      <c r="BC362">
        <v>1</v>
      </c>
      <c r="BD362" t="str">
        <f t="shared" si="131"/>
        <v xml:space="preserve">N52156  </v>
      </c>
      <c r="BE362">
        <v>1</v>
      </c>
      <c r="BG362">
        <v>0</v>
      </c>
      <c r="BH362">
        <v>0</v>
      </c>
      <c r="BI362">
        <v>0</v>
      </c>
      <c r="BJ362">
        <v>1975</v>
      </c>
      <c r="BK362">
        <v>-25</v>
      </c>
      <c r="BL362" t="s">
        <v>188</v>
      </c>
      <c r="BM362">
        <v>1</v>
      </c>
      <c r="BN362">
        <v>1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 t="shared" ref="CE362:CE367" si="145">"15:05:32.786"</f>
        <v>15:05:32.786</v>
      </c>
      <c r="CF362">
        <v>785946147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5</v>
      </c>
      <c r="CY362">
        <v>7</v>
      </c>
      <c r="CZ362" t="s">
        <v>133</v>
      </c>
      <c r="DA362">
        <v>275</v>
      </c>
      <c r="DB362">
        <v>0</v>
      </c>
      <c r="DC362" t="s">
        <v>134</v>
      </c>
      <c r="DD362" t="s">
        <v>135</v>
      </c>
      <c r="DG362">
        <v>3318247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"05/01/2025 15:05:33.020"</f>
        <v>05/01/2025 15:05:33.020</v>
      </c>
      <c r="C363" t="str">
        <f t="shared" si="128"/>
        <v>FFDFD3C0</v>
      </c>
      <c r="D363" t="s">
        <v>145</v>
      </c>
      <c r="E363" t="str">
        <f>"05"</f>
        <v>05</v>
      </c>
      <c r="H363">
        <v>47</v>
      </c>
      <c r="I363" t="s">
        <v>146</v>
      </c>
      <c r="J363" t="s">
        <v>138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R363" t="s">
        <v>127</v>
      </c>
      <c r="S363" t="str">
        <f t="shared" si="144"/>
        <v>15:05:32.000</v>
      </c>
      <c r="T363" t="str">
        <f t="shared" si="144"/>
        <v>15:05:32.000</v>
      </c>
      <c r="U363" t="str">
        <f t="shared" si="129"/>
        <v>A68FCB</v>
      </c>
      <c r="V363">
        <v>0</v>
      </c>
      <c r="W363">
        <v>0</v>
      </c>
      <c r="X363">
        <v>2</v>
      </c>
      <c r="Y363">
        <v>0</v>
      </c>
      <c r="AA363">
        <v>1</v>
      </c>
      <c r="AB363">
        <v>8</v>
      </c>
      <c r="AC363">
        <v>3</v>
      </c>
      <c r="AD363">
        <v>0</v>
      </c>
      <c r="AE363">
        <v>9</v>
      </c>
      <c r="AF363" t="s">
        <v>138</v>
      </c>
      <c r="AG363">
        <v>0</v>
      </c>
      <c r="AH363">
        <v>3</v>
      </c>
      <c r="AI363">
        <v>1</v>
      </c>
      <c r="AJ363">
        <v>0</v>
      </c>
      <c r="AK363" t="s">
        <v>205</v>
      </c>
      <c r="AL363">
        <v>38.955674000000002</v>
      </c>
      <c r="AM363" t="s">
        <v>245</v>
      </c>
      <c r="AN363">
        <v>-121.060238</v>
      </c>
      <c r="AO363">
        <v>25</v>
      </c>
      <c r="AP363">
        <v>2000</v>
      </c>
      <c r="AQ363" t="s">
        <v>131</v>
      </c>
      <c r="AR363">
        <v>75</v>
      </c>
      <c r="AS363">
        <v>-3</v>
      </c>
      <c r="AT363">
        <v>704</v>
      </c>
      <c r="BB363" t="str">
        <f t="shared" si="130"/>
        <v>1200</v>
      </c>
      <c r="BC363">
        <v>1</v>
      </c>
      <c r="BD363" t="str">
        <f t="shared" si="131"/>
        <v xml:space="preserve">N52156  </v>
      </c>
      <c r="BE363">
        <v>1</v>
      </c>
      <c r="BG363">
        <v>0</v>
      </c>
      <c r="BH363">
        <v>0</v>
      </c>
      <c r="BI363">
        <v>0</v>
      </c>
      <c r="BJ363">
        <v>1975</v>
      </c>
      <c r="BK363">
        <v>-25</v>
      </c>
      <c r="BL363" t="s">
        <v>188</v>
      </c>
      <c r="BM363">
        <v>1</v>
      </c>
      <c r="BN363">
        <v>1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 t="shared" si="145"/>
        <v>15:05:32.786</v>
      </c>
      <c r="CF363">
        <v>785946147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5</v>
      </c>
      <c r="CY363">
        <v>7</v>
      </c>
      <c r="CZ363" t="s">
        <v>133</v>
      </c>
      <c r="DA363">
        <v>275</v>
      </c>
      <c r="DB363">
        <v>0</v>
      </c>
      <c r="DC363" t="s">
        <v>134</v>
      </c>
      <c r="DD363" t="s">
        <v>135</v>
      </c>
      <c r="DG363">
        <v>3318247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"05/01/2025 15:05:33.023"</f>
        <v>05/01/2025 15:05:33.023</v>
      </c>
      <c r="C364" t="str">
        <f t="shared" si="128"/>
        <v>FFDFD3C0</v>
      </c>
      <c r="D364" t="s">
        <v>124</v>
      </c>
      <c r="E364" t="str">
        <f>"06"</f>
        <v>06</v>
      </c>
      <c r="F364">
        <v>2006</v>
      </c>
      <c r="G364" t="s">
        <v>125</v>
      </c>
      <c r="J364" t="s">
        <v>126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R364" t="s">
        <v>127</v>
      </c>
      <c r="S364" t="str">
        <f t="shared" si="144"/>
        <v>15:05:32.000</v>
      </c>
      <c r="T364" t="str">
        <f t="shared" si="144"/>
        <v>15:05:32.000</v>
      </c>
      <c r="U364" t="str">
        <f t="shared" si="129"/>
        <v>A68FCB</v>
      </c>
      <c r="V364">
        <v>0</v>
      </c>
      <c r="W364">
        <v>0</v>
      </c>
      <c r="X364">
        <v>2</v>
      </c>
      <c r="Y364">
        <v>0</v>
      </c>
      <c r="AA364">
        <v>1</v>
      </c>
      <c r="AB364">
        <v>8</v>
      </c>
      <c r="AC364">
        <v>3</v>
      </c>
      <c r="AD364">
        <v>0</v>
      </c>
      <c r="AE364">
        <v>9</v>
      </c>
      <c r="AF364" t="s">
        <v>138</v>
      </c>
      <c r="AG364">
        <v>0</v>
      </c>
      <c r="AH364">
        <v>3</v>
      </c>
      <c r="AI364">
        <v>1</v>
      </c>
      <c r="AJ364">
        <v>0</v>
      </c>
      <c r="AK364" t="s">
        <v>205</v>
      </c>
      <c r="AL364">
        <v>38.955674000000002</v>
      </c>
      <c r="AM364" t="s">
        <v>245</v>
      </c>
      <c r="AN364">
        <v>-121.060238</v>
      </c>
      <c r="AO364">
        <v>25</v>
      </c>
      <c r="AP364">
        <v>2000</v>
      </c>
      <c r="AQ364" t="s">
        <v>131</v>
      </c>
      <c r="AR364">
        <v>75</v>
      </c>
      <c r="AS364">
        <v>-3</v>
      </c>
      <c r="AT364">
        <v>704</v>
      </c>
      <c r="BB364" t="str">
        <f t="shared" si="130"/>
        <v>1200</v>
      </c>
      <c r="BC364">
        <v>1</v>
      </c>
      <c r="BD364" t="str">
        <f t="shared" si="131"/>
        <v xml:space="preserve">N52156  </v>
      </c>
      <c r="BE364">
        <v>1</v>
      </c>
      <c r="BG364">
        <v>0</v>
      </c>
      <c r="BH364">
        <v>0</v>
      </c>
      <c r="BI364">
        <v>0</v>
      </c>
      <c r="BJ364">
        <v>1975</v>
      </c>
      <c r="BK364">
        <v>-25</v>
      </c>
      <c r="BL364" t="s">
        <v>188</v>
      </c>
      <c r="BM364">
        <v>1</v>
      </c>
      <c r="BN364">
        <v>1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 t="shared" si="145"/>
        <v>15:05:32.786</v>
      </c>
      <c r="CF364">
        <v>785946147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5</v>
      </c>
      <c r="CY364">
        <v>7</v>
      </c>
      <c r="CZ364" t="s">
        <v>133</v>
      </c>
      <c r="DA364">
        <v>275</v>
      </c>
      <c r="DB364">
        <v>0</v>
      </c>
      <c r="DC364" t="s">
        <v>134</v>
      </c>
      <c r="DD364" t="s">
        <v>135</v>
      </c>
      <c r="DG364">
        <v>3318247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"05/01/2025 15:05:33.032"</f>
        <v>05/01/2025 15:05:33.032</v>
      </c>
      <c r="C365" t="str">
        <f t="shared" si="128"/>
        <v>FFDFD3C0</v>
      </c>
      <c r="D365" t="s">
        <v>136</v>
      </c>
      <c r="E365" t="str">
        <f>"20"</f>
        <v>20</v>
      </c>
      <c r="H365">
        <v>400</v>
      </c>
      <c r="I365" t="s">
        <v>137</v>
      </c>
      <c r="J365" t="s">
        <v>138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R365" t="s">
        <v>127</v>
      </c>
      <c r="S365" t="str">
        <f t="shared" si="144"/>
        <v>15:05:32.000</v>
      </c>
      <c r="T365" t="str">
        <f t="shared" si="144"/>
        <v>15:05:32.000</v>
      </c>
      <c r="U365" t="str">
        <f t="shared" si="129"/>
        <v>A68FCB</v>
      </c>
      <c r="V365">
        <v>0</v>
      </c>
      <c r="W365">
        <v>0</v>
      </c>
      <c r="X365">
        <v>2</v>
      </c>
      <c r="Y365">
        <v>0</v>
      </c>
      <c r="AA365">
        <v>1</v>
      </c>
      <c r="AB365">
        <v>8</v>
      </c>
      <c r="AC365">
        <v>3</v>
      </c>
      <c r="AD365">
        <v>0</v>
      </c>
      <c r="AE365">
        <v>9</v>
      </c>
      <c r="AF365" t="s">
        <v>138</v>
      </c>
      <c r="AG365">
        <v>0</v>
      </c>
      <c r="AH365">
        <v>3</v>
      </c>
      <c r="AI365">
        <v>1</v>
      </c>
      <c r="AJ365">
        <v>0</v>
      </c>
      <c r="AK365" t="s">
        <v>205</v>
      </c>
      <c r="AL365">
        <v>38.955674000000002</v>
      </c>
      <c r="AM365" t="s">
        <v>245</v>
      </c>
      <c r="AN365">
        <v>-121.060238</v>
      </c>
      <c r="AO365">
        <v>25</v>
      </c>
      <c r="AP365">
        <v>2000</v>
      </c>
      <c r="AQ365" t="s">
        <v>131</v>
      </c>
      <c r="AR365">
        <v>75</v>
      </c>
      <c r="AS365">
        <v>-3</v>
      </c>
      <c r="AT365">
        <v>704</v>
      </c>
      <c r="BB365" t="str">
        <f t="shared" si="130"/>
        <v>1200</v>
      </c>
      <c r="BC365">
        <v>1</v>
      </c>
      <c r="BD365" t="str">
        <f t="shared" si="131"/>
        <v xml:space="preserve">N52156  </v>
      </c>
      <c r="BE365">
        <v>1</v>
      </c>
      <c r="BG365">
        <v>0</v>
      </c>
      <c r="BH365">
        <v>0</v>
      </c>
      <c r="BI365">
        <v>0</v>
      </c>
      <c r="BJ365">
        <v>1975</v>
      </c>
      <c r="BK365">
        <v>-25</v>
      </c>
      <c r="BL365" t="s">
        <v>188</v>
      </c>
      <c r="BM365">
        <v>1</v>
      </c>
      <c r="BN365">
        <v>1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 t="shared" si="145"/>
        <v>15:05:32.786</v>
      </c>
      <c r="CF365">
        <v>785946147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5</v>
      </c>
      <c r="CY365">
        <v>7</v>
      </c>
      <c r="CZ365" t="s">
        <v>133</v>
      </c>
      <c r="DA365">
        <v>275</v>
      </c>
      <c r="DB365">
        <v>0</v>
      </c>
      <c r="DC365" t="s">
        <v>134</v>
      </c>
      <c r="DD365" t="s">
        <v>135</v>
      </c>
      <c r="DG365">
        <v>3318247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"05/01/2025 15:05:33.060"</f>
        <v>05/01/2025 15:05:33.060</v>
      </c>
      <c r="C366" t="str">
        <f t="shared" si="128"/>
        <v>FFDFD3C0</v>
      </c>
      <c r="D366" t="s">
        <v>140</v>
      </c>
      <c r="E366" t="str">
        <f>"13"</f>
        <v>13</v>
      </c>
      <c r="F366">
        <v>1019</v>
      </c>
      <c r="G366" t="s">
        <v>141</v>
      </c>
      <c r="J366" t="s">
        <v>142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R366" t="s">
        <v>127</v>
      </c>
      <c r="S366" t="str">
        <f t="shared" si="144"/>
        <v>15:05:32.000</v>
      </c>
      <c r="T366" t="str">
        <f t="shared" si="144"/>
        <v>15:05:32.000</v>
      </c>
      <c r="U366" t="str">
        <f t="shared" si="129"/>
        <v>A68FCB</v>
      </c>
      <c r="V366">
        <v>0</v>
      </c>
      <c r="W366">
        <v>0</v>
      </c>
      <c r="X366">
        <v>2</v>
      </c>
      <c r="Y366">
        <v>0</v>
      </c>
      <c r="AA366">
        <v>1</v>
      </c>
      <c r="AB366">
        <v>8</v>
      </c>
      <c r="AC366">
        <v>3</v>
      </c>
      <c r="AD366">
        <v>0</v>
      </c>
      <c r="AE366">
        <v>9</v>
      </c>
      <c r="AF366" t="s">
        <v>138</v>
      </c>
      <c r="AG366">
        <v>0</v>
      </c>
      <c r="AH366">
        <v>3</v>
      </c>
      <c r="AI366">
        <v>1</v>
      </c>
      <c r="AJ366">
        <v>0</v>
      </c>
      <c r="AK366" t="s">
        <v>205</v>
      </c>
      <c r="AL366">
        <v>38.955674000000002</v>
      </c>
      <c r="AM366" t="s">
        <v>245</v>
      </c>
      <c r="AN366">
        <v>-121.060238</v>
      </c>
      <c r="AO366">
        <v>25</v>
      </c>
      <c r="AP366">
        <v>2000</v>
      </c>
      <c r="AQ366" t="s">
        <v>131</v>
      </c>
      <c r="AR366">
        <v>75</v>
      </c>
      <c r="AS366">
        <v>-3</v>
      </c>
      <c r="AT366">
        <v>704</v>
      </c>
      <c r="BB366" t="str">
        <f t="shared" si="130"/>
        <v>1200</v>
      </c>
      <c r="BC366">
        <v>1</v>
      </c>
      <c r="BD366" t="str">
        <f t="shared" si="131"/>
        <v xml:space="preserve">N52156  </v>
      </c>
      <c r="BE366">
        <v>1</v>
      </c>
      <c r="BG366">
        <v>0</v>
      </c>
      <c r="BH366">
        <v>0</v>
      </c>
      <c r="BI366">
        <v>0</v>
      </c>
      <c r="BJ366">
        <v>1975</v>
      </c>
      <c r="BK366">
        <v>-25</v>
      </c>
      <c r="BL366" t="s">
        <v>188</v>
      </c>
      <c r="BM366">
        <v>1</v>
      </c>
      <c r="BN366">
        <v>1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 t="shared" si="145"/>
        <v>15:05:32.786</v>
      </c>
      <c r="CF366">
        <v>785946147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133</v>
      </c>
      <c r="DA366">
        <v>275</v>
      </c>
      <c r="DB366">
        <v>0</v>
      </c>
      <c r="DC366" t="s">
        <v>134</v>
      </c>
      <c r="DD366" t="s">
        <v>135</v>
      </c>
      <c r="DG366">
        <v>3318247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"05/01/2025 15:05:33.067"</f>
        <v>05/01/2025 15:05:33.067</v>
      </c>
      <c r="C367" t="str">
        <f t="shared" si="128"/>
        <v>FFDFD3C0</v>
      </c>
      <c r="D367" t="s">
        <v>143</v>
      </c>
      <c r="E367" t="str">
        <f>"05"</f>
        <v>05</v>
      </c>
      <c r="H367">
        <v>172</v>
      </c>
      <c r="I367" t="s">
        <v>141</v>
      </c>
      <c r="J367" t="s">
        <v>144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R367" t="s">
        <v>127</v>
      </c>
      <c r="S367" t="str">
        <f t="shared" si="144"/>
        <v>15:05:32.000</v>
      </c>
      <c r="T367" t="str">
        <f t="shared" si="144"/>
        <v>15:05:32.000</v>
      </c>
      <c r="U367" t="str">
        <f t="shared" si="129"/>
        <v>A68FCB</v>
      </c>
      <c r="V367">
        <v>0</v>
      </c>
      <c r="W367">
        <v>0</v>
      </c>
      <c r="X367">
        <v>2</v>
      </c>
      <c r="Y367">
        <v>0</v>
      </c>
      <c r="AA367">
        <v>1</v>
      </c>
      <c r="AB367">
        <v>8</v>
      </c>
      <c r="AC367">
        <v>3</v>
      </c>
      <c r="AD367">
        <v>0</v>
      </c>
      <c r="AE367">
        <v>9</v>
      </c>
      <c r="AF367" t="s">
        <v>138</v>
      </c>
      <c r="AG367">
        <v>0</v>
      </c>
      <c r="AH367">
        <v>3</v>
      </c>
      <c r="AI367">
        <v>1</v>
      </c>
      <c r="AJ367">
        <v>0</v>
      </c>
      <c r="AK367" t="s">
        <v>205</v>
      </c>
      <c r="AL367">
        <v>38.955674000000002</v>
      </c>
      <c r="AM367" t="s">
        <v>245</v>
      </c>
      <c r="AN367">
        <v>-121.060238</v>
      </c>
      <c r="AO367">
        <v>25</v>
      </c>
      <c r="AP367">
        <v>2000</v>
      </c>
      <c r="AQ367" t="s">
        <v>131</v>
      </c>
      <c r="AR367">
        <v>75</v>
      </c>
      <c r="AS367">
        <v>-3</v>
      </c>
      <c r="AT367">
        <v>704</v>
      </c>
      <c r="BB367" t="str">
        <f t="shared" si="130"/>
        <v>1200</v>
      </c>
      <c r="BC367">
        <v>1</v>
      </c>
      <c r="BD367" t="str">
        <f t="shared" si="131"/>
        <v xml:space="preserve">N52156  </v>
      </c>
      <c r="BE367">
        <v>1</v>
      </c>
      <c r="BG367">
        <v>0</v>
      </c>
      <c r="BH367">
        <v>0</v>
      </c>
      <c r="BI367">
        <v>0</v>
      </c>
      <c r="BJ367">
        <v>1975</v>
      </c>
      <c r="BK367">
        <v>-25</v>
      </c>
      <c r="BL367" t="s">
        <v>188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 t="shared" si="145"/>
        <v>15:05:32.786</v>
      </c>
      <c r="CF367">
        <v>785946147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133</v>
      </c>
      <c r="DA367">
        <v>275</v>
      </c>
      <c r="DB367">
        <v>0</v>
      </c>
      <c r="DC367" t="s">
        <v>134</v>
      </c>
      <c r="DD367" t="s">
        <v>135</v>
      </c>
      <c r="DG367">
        <v>3318247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"05/01/2025 15:05:33.618"</f>
        <v>05/01/2025 15:05:33.618</v>
      </c>
      <c r="C368" t="str">
        <f t="shared" si="128"/>
        <v>FFDFD3C0</v>
      </c>
      <c r="D368" t="s">
        <v>143</v>
      </c>
      <c r="E368" t="str">
        <f>"05"</f>
        <v>05</v>
      </c>
      <c r="H368">
        <v>172</v>
      </c>
      <c r="I368" t="s">
        <v>141</v>
      </c>
      <c r="J368" t="s">
        <v>144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R368" t="s">
        <v>127</v>
      </c>
      <c r="S368" t="str">
        <f t="shared" ref="S368:T373" si="146">"15:05:33.000"</f>
        <v>15:05:33.000</v>
      </c>
      <c r="T368" t="str">
        <f t="shared" si="146"/>
        <v>15:05:33.000</v>
      </c>
      <c r="U368" t="str">
        <f t="shared" si="129"/>
        <v>A68FCB</v>
      </c>
      <c r="V368">
        <v>0</v>
      </c>
      <c r="W368">
        <v>0</v>
      </c>
      <c r="X368">
        <v>2</v>
      </c>
      <c r="Y368">
        <v>0</v>
      </c>
      <c r="AA368">
        <v>1</v>
      </c>
      <c r="AB368">
        <v>8</v>
      </c>
      <c r="AC368">
        <v>3</v>
      </c>
      <c r="AD368">
        <v>0</v>
      </c>
      <c r="AE368">
        <v>9</v>
      </c>
      <c r="AF368" t="s">
        <v>138</v>
      </c>
      <c r="AG368">
        <v>0</v>
      </c>
      <c r="AH368">
        <v>3</v>
      </c>
      <c r="AI368">
        <v>1</v>
      </c>
      <c r="AJ368">
        <v>0</v>
      </c>
      <c r="AK368" t="s">
        <v>199</v>
      </c>
      <c r="AL368">
        <v>38.955696000000003</v>
      </c>
      <c r="AM368" t="s">
        <v>246</v>
      </c>
      <c r="AN368">
        <v>-121.059787</v>
      </c>
      <c r="AO368">
        <v>25</v>
      </c>
      <c r="AP368">
        <v>2000</v>
      </c>
      <c r="AQ368" t="s">
        <v>131</v>
      </c>
      <c r="AR368">
        <v>75</v>
      </c>
      <c r="AS368">
        <v>-3</v>
      </c>
      <c r="AT368">
        <v>704</v>
      </c>
      <c r="BB368" t="str">
        <f t="shared" si="130"/>
        <v>1200</v>
      </c>
      <c r="BC368">
        <v>1</v>
      </c>
      <c r="BD368" t="str">
        <f t="shared" si="131"/>
        <v xml:space="preserve">N52156  </v>
      </c>
      <c r="BE368">
        <v>1</v>
      </c>
      <c r="BG368">
        <v>0</v>
      </c>
      <c r="BH368">
        <v>0</v>
      </c>
      <c r="BI368">
        <v>0</v>
      </c>
      <c r="BJ368">
        <v>1975</v>
      </c>
      <c r="BK368">
        <v>-25</v>
      </c>
      <c r="BL368" t="s">
        <v>188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 t="shared" ref="CE368:CE373" si="147">"15:05:33.409"</f>
        <v>15:05:33.409</v>
      </c>
      <c r="CF368">
        <v>409195279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5</v>
      </c>
      <c r="CY368">
        <v>7</v>
      </c>
      <c r="CZ368" t="s">
        <v>133</v>
      </c>
      <c r="DA368">
        <v>275</v>
      </c>
      <c r="DB368">
        <v>0</v>
      </c>
      <c r="DC368" t="s">
        <v>134</v>
      </c>
      <c r="DD368" t="s">
        <v>135</v>
      </c>
      <c r="DG368">
        <v>3318260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"05/01/2025 15:05:33.622"</f>
        <v>05/01/2025 15:05:33.622</v>
      </c>
      <c r="C369" t="str">
        <f t="shared" si="128"/>
        <v>FFDFD3C0</v>
      </c>
      <c r="D369" t="s">
        <v>145</v>
      </c>
      <c r="E369" t="str">
        <f>"09"</f>
        <v>09</v>
      </c>
      <c r="H369">
        <v>51</v>
      </c>
      <c r="I369" t="s">
        <v>147</v>
      </c>
      <c r="J369" t="s">
        <v>138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R369" t="s">
        <v>127</v>
      </c>
      <c r="S369" t="str">
        <f t="shared" si="146"/>
        <v>15:05:33.000</v>
      </c>
      <c r="T369" t="str">
        <f t="shared" si="146"/>
        <v>15:05:33.000</v>
      </c>
      <c r="U369" t="str">
        <f t="shared" si="129"/>
        <v>A68FCB</v>
      </c>
      <c r="V369">
        <v>0</v>
      </c>
      <c r="W369">
        <v>0</v>
      </c>
      <c r="X369">
        <v>2</v>
      </c>
      <c r="Y369">
        <v>0</v>
      </c>
      <c r="AA369">
        <v>1</v>
      </c>
      <c r="AB369">
        <v>8</v>
      </c>
      <c r="AC369">
        <v>3</v>
      </c>
      <c r="AD369">
        <v>0</v>
      </c>
      <c r="AE369">
        <v>9</v>
      </c>
      <c r="AF369" t="s">
        <v>138</v>
      </c>
      <c r="AG369">
        <v>0</v>
      </c>
      <c r="AH369">
        <v>3</v>
      </c>
      <c r="AI369">
        <v>1</v>
      </c>
      <c r="AJ369">
        <v>0</v>
      </c>
      <c r="AK369" t="s">
        <v>199</v>
      </c>
      <c r="AL369">
        <v>38.955696000000003</v>
      </c>
      <c r="AM369" t="s">
        <v>246</v>
      </c>
      <c r="AN369">
        <v>-121.059787</v>
      </c>
      <c r="AO369">
        <v>25</v>
      </c>
      <c r="AP369">
        <v>2000</v>
      </c>
      <c r="AQ369" t="s">
        <v>131</v>
      </c>
      <c r="AR369">
        <v>75</v>
      </c>
      <c r="AS369">
        <v>-3</v>
      </c>
      <c r="AT369">
        <v>704</v>
      </c>
      <c r="BB369" t="str">
        <f t="shared" si="130"/>
        <v>1200</v>
      </c>
      <c r="BC369">
        <v>1</v>
      </c>
      <c r="BD369" t="str">
        <f t="shared" si="131"/>
        <v xml:space="preserve">N52156  </v>
      </c>
      <c r="BE369">
        <v>1</v>
      </c>
      <c r="BG369">
        <v>0</v>
      </c>
      <c r="BH369">
        <v>0</v>
      </c>
      <c r="BI369">
        <v>0</v>
      </c>
      <c r="BJ369">
        <v>1975</v>
      </c>
      <c r="BK369">
        <v>-25</v>
      </c>
      <c r="BL369" t="s">
        <v>188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 t="shared" si="147"/>
        <v>15:05:33.409</v>
      </c>
      <c r="CF369">
        <v>409195279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5</v>
      </c>
      <c r="CY369">
        <v>7</v>
      </c>
      <c r="CZ369" t="s">
        <v>133</v>
      </c>
      <c r="DA369">
        <v>275</v>
      </c>
      <c r="DB369">
        <v>0</v>
      </c>
      <c r="DC369" t="s">
        <v>134</v>
      </c>
      <c r="DD369" t="s">
        <v>135</v>
      </c>
      <c r="DG369">
        <v>3318260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"05/01/2025 15:05:33.622"</f>
        <v>05/01/2025 15:05:33.622</v>
      </c>
      <c r="C370" t="str">
        <f t="shared" si="128"/>
        <v>FFDFD3C0</v>
      </c>
      <c r="D370" t="s">
        <v>145</v>
      </c>
      <c r="E370" t="str">
        <f>"05"</f>
        <v>05</v>
      </c>
      <c r="H370">
        <v>47</v>
      </c>
      <c r="I370" t="s">
        <v>146</v>
      </c>
      <c r="J370" t="s">
        <v>138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R370" t="s">
        <v>127</v>
      </c>
      <c r="S370" t="str">
        <f t="shared" si="146"/>
        <v>15:05:33.000</v>
      </c>
      <c r="T370" t="str">
        <f t="shared" si="146"/>
        <v>15:05:33.000</v>
      </c>
      <c r="U370" t="str">
        <f t="shared" si="129"/>
        <v>A68FCB</v>
      </c>
      <c r="V370">
        <v>0</v>
      </c>
      <c r="W370">
        <v>0</v>
      </c>
      <c r="X370">
        <v>2</v>
      </c>
      <c r="Y370">
        <v>0</v>
      </c>
      <c r="AA370">
        <v>1</v>
      </c>
      <c r="AB370">
        <v>8</v>
      </c>
      <c r="AC370">
        <v>3</v>
      </c>
      <c r="AD370">
        <v>0</v>
      </c>
      <c r="AE370">
        <v>9</v>
      </c>
      <c r="AF370" t="s">
        <v>138</v>
      </c>
      <c r="AG370">
        <v>0</v>
      </c>
      <c r="AH370">
        <v>3</v>
      </c>
      <c r="AI370">
        <v>1</v>
      </c>
      <c r="AJ370">
        <v>0</v>
      </c>
      <c r="AK370" t="s">
        <v>199</v>
      </c>
      <c r="AL370">
        <v>38.955696000000003</v>
      </c>
      <c r="AM370" t="s">
        <v>246</v>
      </c>
      <c r="AN370">
        <v>-121.059787</v>
      </c>
      <c r="AO370">
        <v>25</v>
      </c>
      <c r="AP370">
        <v>2000</v>
      </c>
      <c r="AQ370" t="s">
        <v>131</v>
      </c>
      <c r="AR370">
        <v>75</v>
      </c>
      <c r="AS370">
        <v>-3</v>
      </c>
      <c r="AT370">
        <v>704</v>
      </c>
      <c r="BB370" t="str">
        <f t="shared" si="130"/>
        <v>1200</v>
      </c>
      <c r="BC370">
        <v>1</v>
      </c>
      <c r="BD370" t="str">
        <f t="shared" si="131"/>
        <v xml:space="preserve">N52156  </v>
      </c>
      <c r="BE370">
        <v>1</v>
      </c>
      <c r="BG370">
        <v>0</v>
      </c>
      <c r="BH370">
        <v>0</v>
      </c>
      <c r="BI370">
        <v>0</v>
      </c>
      <c r="BJ370">
        <v>1975</v>
      </c>
      <c r="BK370">
        <v>-25</v>
      </c>
      <c r="BL370" t="s">
        <v>188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 t="shared" si="147"/>
        <v>15:05:33.409</v>
      </c>
      <c r="CF370">
        <v>409195279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5</v>
      </c>
      <c r="CY370">
        <v>7</v>
      </c>
      <c r="CZ370" t="s">
        <v>133</v>
      </c>
      <c r="DA370">
        <v>275</v>
      </c>
      <c r="DB370">
        <v>0</v>
      </c>
      <c r="DC370" t="s">
        <v>134</v>
      </c>
      <c r="DD370" t="s">
        <v>135</v>
      </c>
      <c r="DG370">
        <v>3318260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"05/01/2025 15:05:33.624"</f>
        <v>05/01/2025 15:05:33.624</v>
      </c>
      <c r="C371" t="str">
        <f t="shared" si="128"/>
        <v>FFDFD3C0</v>
      </c>
      <c r="D371" t="s">
        <v>124</v>
      </c>
      <c r="E371" t="str">
        <f>"06"</f>
        <v>06</v>
      </c>
      <c r="F371">
        <v>2006</v>
      </c>
      <c r="G371" t="s">
        <v>125</v>
      </c>
      <c r="J371" t="s">
        <v>126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R371" t="s">
        <v>127</v>
      </c>
      <c r="S371" t="str">
        <f t="shared" si="146"/>
        <v>15:05:33.000</v>
      </c>
      <c r="T371" t="str">
        <f t="shared" si="146"/>
        <v>15:05:33.000</v>
      </c>
      <c r="U371" t="str">
        <f t="shared" si="129"/>
        <v>A68FCB</v>
      </c>
      <c r="V371">
        <v>0</v>
      </c>
      <c r="W371">
        <v>0</v>
      </c>
      <c r="X371">
        <v>2</v>
      </c>
      <c r="Y371">
        <v>0</v>
      </c>
      <c r="AA371">
        <v>1</v>
      </c>
      <c r="AB371">
        <v>8</v>
      </c>
      <c r="AC371">
        <v>3</v>
      </c>
      <c r="AD371">
        <v>0</v>
      </c>
      <c r="AE371">
        <v>9</v>
      </c>
      <c r="AF371" t="s">
        <v>138</v>
      </c>
      <c r="AG371">
        <v>0</v>
      </c>
      <c r="AH371">
        <v>3</v>
      </c>
      <c r="AI371">
        <v>1</v>
      </c>
      <c r="AJ371">
        <v>0</v>
      </c>
      <c r="AK371" t="s">
        <v>199</v>
      </c>
      <c r="AL371">
        <v>38.955696000000003</v>
      </c>
      <c r="AM371" t="s">
        <v>246</v>
      </c>
      <c r="AN371">
        <v>-121.059787</v>
      </c>
      <c r="AO371">
        <v>25</v>
      </c>
      <c r="AP371">
        <v>2000</v>
      </c>
      <c r="AQ371" t="s">
        <v>131</v>
      </c>
      <c r="AR371">
        <v>75</v>
      </c>
      <c r="AS371">
        <v>-3</v>
      </c>
      <c r="AT371">
        <v>704</v>
      </c>
      <c r="BB371" t="str">
        <f t="shared" si="130"/>
        <v>1200</v>
      </c>
      <c r="BC371">
        <v>1</v>
      </c>
      <c r="BD371" t="str">
        <f t="shared" si="131"/>
        <v xml:space="preserve">N52156  </v>
      </c>
      <c r="BE371">
        <v>1</v>
      </c>
      <c r="BG371">
        <v>0</v>
      </c>
      <c r="BH371">
        <v>0</v>
      </c>
      <c r="BI371">
        <v>0</v>
      </c>
      <c r="BJ371">
        <v>1975</v>
      </c>
      <c r="BK371">
        <v>-25</v>
      </c>
      <c r="BL371" t="s">
        <v>188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 t="shared" si="147"/>
        <v>15:05:33.409</v>
      </c>
      <c r="CF371">
        <v>409195279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5</v>
      </c>
      <c r="CY371">
        <v>7</v>
      </c>
      <c r="CZ371" t="s">
        <v>133</v>
      </c>
      <c r="DA371">
        <v>275</v>
      </c>
      <c r="DB371">
        <v>0</v>
      </c>
      <c r="DC371" t="s">
        <v>134</v>
      </c>
      <c r="DD371" t="s">
        <v>135</v>
      </c>
      <c r="DG371">
        <v>3318260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"05/01/2025 15:05:33.633"</f>
        <v>05/01/2025 15:05:33.633</v>
      </c>
      <c r="C372" t="str">
        <f t="shared" si="128"/>
        <v>FFDFD3C0</v>
      </c>
      <c r="D372" t="s">
        <v>136</v>
      </c>
      <c r="E372" t="str">
        <f>"20"</f>
        <v>20</v>
      </c>
      <c r="H372">
        <v>400</v>
      </c>
      <c r="I372" t="s">
        <v>137</v>
      </c>
      <c r="J372" t="s">
        <v>138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R372" t="s">
        <v>127</v>
      </c>
      <c r="S372" t="str">
        <f t="shared" si="146"/>
        <v>15:05:33.000</v>
      </c>
      <c r="T372" t="str">
        <f t="shared" si="146"/>
        <v>15:05:33.000</v>
      </c>
      <c r="U372" t="str">
        <f t="shared" si="129"/>
        <v>A68FCB</v>
      </c>
      <c r="V372">
        <v>0</v>
      </c>
      <c r="W372">
        <v>0</v>
      </c>
      <c r="X372">
        <v>2</v>
      </c>
      <c r="Y372">
        <v>0</v>
      </c>
      <c r="AA372">
        <v>1</v>
      </c>
      <c r="AB372">
        <v>8</v>
      </c>
      <c r="AC372">
        <v>3</v>
      </c>
      <c r="AD372">
        <v>0</v>
      </c>
      <c r="AE372">
        <v>9</v>
      </c>
      <c r="AF372" t="s">
        <v>138</v>
      </c>
      <c r="AG372">
        <v>0</v>
      </c>
      <c r="AH372">
        <v>3</v>
      </c>
      <c r="AI372">
        <v>1</v>
      </c>
      <c r="AJ372">
        <v>0</v>
      </c>
      <c r="AK372" t="s">
        <v>199</v>
      </c>
      <c r="AL372">
        <v>38.955696000000003</v>
      </c>
      <c r="AM372" t="s">
        <v>246</v>
      </c>
      <c r="AN372">
        <v>-121.059787</v>
      </c>
      <c r="AO372">
        <v>25</v>
      </c>
      <c r="AP372">
        <v>2000</v>
      </c>
      <c r="AQ372" t="s">
        <v>131</v>
      </c>
      <c r="AR372">
        <v>75</v>
      </c>
      <c r="AS372">
        <v>-3</v>
      </c>
      <c r="AT372">
        <v>704</v>
      </c>
      <c r="BB372" t="str">
        <f t="shared" si="130"/>
        <v>1200</v>
      </c>
      <c r="BC372">
        <v>1</v>
      </c>
      <c r="BD372" t="str">
        <f t="shared" si="131"/>
        <v xml:space="preserve">N52156  </v>
      </c>
      <c r="BE372">
        <v>1</v>
      </c>
      <c r="BG372">
        <v>0</v>
      </c>
      <c r="BH372">
        <v>0</v>
      </c>
      <c r="BI372">
        <v>0</v>
      </c>
      <c r="BJ372">
        <v>1975</v>
      </c>
      <c r="BK372">
        <v>-25</v>
      </c>
      <c r="BL372" t="s">
        <v>188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 t="shared" si="147"/>
        <v>15:05:33.409</v>
      </c>
      <c r="CF372">
        <v>409195279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133</v>
      </c>
      <c r="DA372">
        <v>275</v>
      </c>
      <c r="DB372">
        <v>0</v>
      </c>
      <c r="DC372" t="s">
        <v>134</v>
      </c>
      <c r="DD372" t="s">
        <v>135</v>
      </c>
      <c r="DG372">
        <v>3318260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"05/01/2025 15:05:33.662"</f>
        <v>05/01/2025 15:05:33.662</v>
      </c>
      <c r="C373" t="str">
        <f t="shared" si="128"/>
        <v>FFDFD3C0</v>
      </c>
      <c r="D373" t="s">
        <v>140</v>
      </c>
      <c r="E373" t="str">
        <f>"13"</f>
        <v>13</v>
      </c>
      <c r="F373">
        <v>1019</v>
      </c>
      <c r="G373" t="s">
        <v>141</v>
      </c>
      <c r="J373" t="s">
        <v>142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R373" t="s">
        <v>127</v>
      </c>
      <c r="S373" t="str">
        <f t="shared" si="146"/>
        <v>15:05:33.000</v>
      </c>
      <c r="T373" t="str">
        <f t="shared" si="146"/>
        <v>15:05:33.000</v>
      </c>
      <c r="U373" t="str">
        <f t="shared" si="129"/>
        <v>A68FCB</v>
      </c>
      <c r="V373">
        <v>0</v>
      </c>
      <c r="W373">
        <v>0</v>
      </c>
      <c r="X373">
        <v>2</v>
      </c>
      <c r="Y373">
        <v>0</v>
      </c>
      <c r="AA373">
        <v>1</v>
      </c>
      <c r="AB373">
        <v>8</v>
      </c>
      <c r="AC373">
        <v>3</v>
      </c>
      <c r="AD373">
        <v>0</v>
      </c>
      <c r="AE373">
        <v>9</v>
      </c>
      <c r="AF373" t="s">
        <v>138</v>
      </c>
      <c r="AG373">
        <v>0</v>
      </c>
      <c r="AH373">
        <v>3</v>
      </c>
      <c r="AI373">
        <v>1</v>
      </c>
      <c r="AJ373">
        <v>0</v>
      </c>
      <c r="AK373" t="s">
        <v>199</v>
      </c>
      <c r="AL373">
        <v>38.955696000000003</v>
      </c>
      <c r="AM373" t="s">
        <v>246</v>
      </c>
      <c r="AN373">
        <v>-121.059787</v>
      </c>
      <c r="AO373">
        <v>25</v>
      </c>
      <c r="AP373">
        <v>2000</v>
      </c>
      <c r="AQ373" t="s">
        <v>131</v>
      </c>
      <c r="AR373">
        <v>75</v>
      </c>
      <c r="AS373">
        <v>-3</v>
      </c>
      <c r="AT373">
        <v>704</v>
      </c>
      <c r="BB373" t="str">
        <f t="shared" si="130"/>
        <v>1200</v>
      </c>
      <c r="BC373">
        <v>1</v>
      </c>
      <c r="BD373" t="str">
        <f t="shared" si="131"/>
        <v xml:space="preserve">N52156  </v>
      </c>
      <c r="BE373">
        <v>1</v>
      </c>
      <c r="BG373">
        <v>0</v>
      </c>
      <c r="BH373">
        <v>0</v>
      </c>
      <c r="BI373">
        <v>0</v>
      </c>
      <c r="BJ373">
        <v>1975</v>
      </c>
      <c r="BK373">
        <v>-25</v>
      </c>
      <c r="BL373" t="s">
        <v>188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 t="shared" si="147"/>
        <v>15:05:33.409</v>
      </c>
      <c r="CF373">
        <v>409195279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5</v>
      </c>
      <c r="CY373">
        <v>7</v>
      </c>
      <c r="CZ373" t="s">
        <v>133</v>
      </c>
      <c r="DA373">
        <v>275</v>
      </c>
      <c r="DB373">
        <v>0</v>
      </c>
      <c r="DC373" t="s">
        <v>134</v>
      </c>
      <c r="DD373" t="s">
        <v>135</v>
      </c>
      <c r="DG373">
        <v>3318260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"05/01/2025 15:05:34.864"</f>
        <v>05/01/2025 15:05:34.864</v>
      </c>
      <c r="C374" t="str">
        <f t="shared" si="128"/>
        <v>FFDFD3C0</v>
      </c>
      <c r="D374" t="s">
        <v>140</v>
      </c>
      <c r="E374" t="str">
        <f>"13"</f>
        <v>13</v>
      </c>
      <c r="F374">
        <v>1019</v>
      </c>
      <c r="G374" t="s">
        <v>141</v>
      </c>
      <c r="J374" t="s">
        <v>142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R374" t="s">
        <v>127</v>
      </c>
      <c r="S374" t="str">
        <f t="shared" ref="S374:T379" si="148">"15:05:34.000"</f>
        <v>15:05:34.000</v>
      </c>
      <c r="T374" t="str">
        <f t="shared" si="148"/>
        <v>15:05:34.000</v>
      </c>
      <c r="U374" t="str">
        <f t="shared" si="129"/>
        <v>A68FCB</v>
      </c>
      <c r="V374">
        <v>0</v>
      </c>
      <c r="W374">
        <v>0</v>
      </c>
      <c r="X374">
        <v>2</v>
      </c>
      <c r="Y374">
        <v>0</v>
      </c>
      <c r="AA374">
        <v>1</v>
      </c>
      <c r="AB374">
        <v>8</v>
      </c>
      <c r="AC374">
        <v>3</v>
      </c>
      <c r="AD374">
        <v>0</v>
      </c>
      <c r="AE374">
        <v>9</v>
      </c>
      <c r="AF374" t="s">
        <v>138</v>
      </c>
      <c r="AG374">
        <v>0</v>
      </c>
      <c r="AH374">
        <v>3</v>
      </c>
      <c r="AI374">
        <v>1</v>
      </c>
      <c r="AJ374">
        <v>0</v>
      </c>
      <c r="AK374" t="s">
        <v>221</v>
      </c>
      <c r="AL374">
        <v>38.955759999999998</v>
      </c>
      <c r="AM374" t="s">
        <v>247</v>
      </c>
      <c r="AN374">
        <v>-121.05927200000001</v>
      </c>
      <c r="AO374">
        <v>25</v>
      </c>
      <c r="AP374">
        <v>2000</v>
      </c>
      <c r="AQ374" t="s">
        <v>131</v>
      </c>
      <c r="AR374">
        <v>74</v>
      </c>
      <c r="AS374">
        <v>-2</v>
      </c>
      <c r="AT374">
        <v>768</v>
      </c>
      <c r="BB374" t="str">
        <f t="shared" si="130"/>
        <v>1200</v>
      </c>
      <c r="BC374">
        <v>1</v>
      </c>
      <c r="BD374" t="str">
        <f t="shared" si="131"/>
        <v xml:space="preserve">N52156  </v>
      </c>
      <c r="BE374">
        <v>1</v>
      </c>
      <c r="BG374">
        <v>0</v>
      </c>
      <c r="BH374">
        <v>0</v>
      </c>
      <c r="BI374">
        <v>0</v>
      </c>
      <c r="BJ374">
        <v>1975</v>
      </c>
      <c r="BK374">
        <v>-25</v>
      </c>
      <c r="BL374" t="s">
        <v>188</v>
      </c>
      <c r="BM374">
        <v>1</v>
      </c>
      <c r="BN374">
        <v>1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 t="shared" ref="CE374:CE379" si="149">"15:05:34.645"</f>
        <v>15:05:34.645</v>
      </c>
      <c r="CF374">
        <v>644695978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5</v>
      </c>
      <c r="CY374">
        <v>7</v>
      </c>
      <c r="CZ374" t="s">
        <v>133</v>
      </c>
      <c r="DA374">
        <v>275</v>
      </c>
      <c r="DB374">
        <v>0</v>
      </c>
      <c r="DC374" t="s">
        <v>134</v>
      </c>
      <c r="DD374" t="s">
        <v>135</v>
      </c>
      <c r="DG374">
        <v>3318276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"05/01/2025 15:05:34.870"</f>
        <v>05/01/2025 15:05:34.870</v>
      </c>
      <c r="C375" t="str">
        <f t="shared" si="128"/>
        <v>FFDFD3C0</v>
      </c>
      <c r="D375" t="s">
        <v>143</v>
      </c>
      <c r="E375" t="str">
        <f>"05"</f>
        <v>05</v>
      </c>
      <c r="H375">
        <v>172</v>
      </c>
      <c r="I375" t="s">
        <v>141</v>
      </c>
      <c r="J375" t="s">
        <v>144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R375" t="s">
        <v>127</v>
      </c>
      <c r="S375" t="str">
        <f t="shared" si="148"/>
        <v>15:05:34.000</v>
      </c>
      <c r="T375" t="str">
        <f t="shared" si="148"/>
        <v>15:05:34.000</v>
      </c>
      <c r="U375" t="str">
        <f t="shared" si="129"/>
        <v>A68FCB</v>
      </c>
      <c r="V375">
        <v>0</v>
      </c>
      <c r="W375">
        <v>0</v>
      </c>
      <c r="X375">
        <v>2</v>
      </c>
      <c r="Y375">
        <v>0</v>
      </c>
      <c r="AA375">
        <v>1</v>
      </c>
      <c r="AB375">
        <v>8</v>
      </c>
      <c r="AC375">
        <v>3</v>
      </c>
      <c r="AD375">
        <v>0</v>
      </c>
      <c r="AE375">
        <v>9</v>
      </c>
      <c r="AF375" t="s">
        <v>138</v>
      </c>
      <c r="AG375">
        <v>0</v>
      </c>
      <c r="AH375">
        <v>3</v>
      </c>
      <c r="AI375">
        <v>1</v>
      </c>
      <c r="AJ375">
        <v>0</v>
      </c>
      <c r="AK375" t="s">
        <v>221</v>
      </c>
      <c r="AL375">
        <v>38.955759999999998</v>
      </c>
      <c r="AM375" t="s">
        <v>247</v>
      </c>
      <c r="AN375">
        <v>-121.05927200000001</v>
      </c>
      <c r="AO375">
        <v>25</v>
      </c>
      <c r="AP375">
        <v>2000</v>
      </c>
      <c r="AQ375" t="s">
        <v>131</v>
      </c>
      <c r="AR375">
        <v>74</v>
      </c>
      <c r="AS375">
        <v>-2</v>
      </c>
      <c r="AT375">
        <v>768</v>
      </c>
      <c r="BB375" t="str">
        <f t="shared" si="130"/>
        <v>1200</v>
      </c>
      <c r="BC375">
        <v>1</v>
      </c>
      <c r="BD375" t="str">
        <f t="shared" si="131"/>
        <v xml:space="preserve">N52156  </v>
      </c>
      <c r="BE375">
        <v>1</v>
      </c>
      <c r="BG375">
        <v>0</v>
      </c>
      <c r="BH375">
        <v>0</v>
      </c>
      <c r="BI375">
        <v>0</v>
      </c>
      <c r="BJ375">
        <v>1975</v>
      </c>
      <c r="BK375">
        <v>-25</v>
      </c>
      <c r="BL375" t="s">
        <v>188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 t="shared" si="149"/>
        <v>15:05:34.645</v>
      </c>
      <c r="CF375">
        <v>644695978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5</v>
      </c>
      <c r="CY375">
        <v>7</v>
      </c>
      <c r="CZ375" t="s">
        <v>133</v>
      </c>
      <c r="DA375">
        <v>275</v>
      </c>
      <c r="DB375">
        <v>0</v>
      </c>
      <c r="DC375" t="s">
        <v>134</v>
      </c>
      <c r="DD375" t="s">
        <v>135</v>
      </c>
      <c r="DG375">
        <v>3318276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"05/01/2025 15:05:34.875"</f>
        <v>05/01/2025 15:05:34.875</v>
      </c>
      <c r="C376" t="str">
        <f t="shared" si="128"/>
        <v>FFDFD3C0</v>
      </c>
      <c r="D376" t="s">
        <v>145</v>
      </c>
      <c r="E376" t="str">
        <f>"09"</f>
        <v>09</v>
      </c>
      <c r="H376">
        <v>51</v>
      </c>
      <c r="I376" t="s">
        <v>147</v>
      </c>
      <c r="J376" t="s">
        <v>138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R376" t="s">
        <v>127</v>
      </c>
      <c r="S376" t="str">
        <f t="shared" si="148"/>
        <v>15:05:34.000</v>
      </c>
      <c r="T376" t="str">
        <f t="shared" si="148"/>
        <v>15:05:34.000</v>
      </c>
      <c r="U376" t="str">
        <f t="shared" si="129"/>
        <v>A68FCB</v>
      </c>
      <c r="V376">
        <v>0</v>
      </c>
      <c r="W376">
        <v>0</v>
      </c>
      <c r="X376">
        <v>2</v>
      </c>
      <c r="Y376">
        <v>0</v>
      </c>
      <c r="AA376">
        <v>1</v>
      </c>
      <c r="AB376">
        <v>8</v>
      </c>
      <c r="AC376">
        <v>3</v>
      </c>
      <c r="AD376">
        <v>0</v>
      </c>
      <c r="AE376">
        <v>9</v>
      </c>
      <c r="AF376" t="s">
        <v>138</v>
      </c>
      <c r="AG376">
        <v>0</v>
      </c>
      <c r="AH376">
        <v>3</v>
      </c>
      <c r="AI376">
        <v>1</v>
      </c>
      <c r="AJ376">
        <v>0</v>
      </c>
      <c r="AK376" t="s">
        <v>221</v>
      </c>
      <c r="AL376">
        <v>38.955759999999998</v>
      </c>
      <c r="AM376" t="s">
        <v>247</v>
      </c>
      <c r="AN376">
        <v>-121.05927200000001</v>
      </c>
      <c r="AO376">
        <v>25</v>
      </c>
      <c r="AP376">
        <v>2000</v>
      </c>
      <c r="AQ376" t="s">
        <v>131</v>
      </c>
      <c r="AR376">
        <v>74</v>
      </c>
      <c r="AS376">
        <v>-2</v>
      </c>
      <c r="AT376">
        <v>768</v>
      </c>
      <c r="BB376" t="str">
        <f t="shared" si="130"/>
        <v>1200</v>
      </c>
      <c r="BC376">
        <v>1</v>
      </c>
      <c r="BD376" t="str">
        <f t="shared" si="131"/>
        <v xml:space="preserve">N52156  </v>
      </c>
      <c r="BE376">
        <v>1</v>
      </c>
      <c r="BG376">
        <v>0</v>
      </c>
      <c r="BH376">
        <v>0</v>
      </c>
      <c r="BI376">
        <v>0</v>
      </c>
      <c r="BJ376">
        <v>1975</v>
      </c>
      <c r="BK376">
        <v>-25</v>
      </c>
      <c r="BL376" t="s">
        <v>188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 t="shared" si="149"/>
        <v>15:05:34.645</v>
      </c>
      <c r="CF376">
        <v>644695978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5</v>
      </c>
      <c r="CY376">
        <v>7</v>
      </c>
      <c r="CZ376" t="s">
        <v>133</v>
      </c>
      <c r="DA376">
        <v>275</v>
      </c>
      <c r="DB376">
        <v>0</v>
      </c>
      <c r="DC376" t="s">
        <v>134</v>
      </c>
      <c r="DD376" t="s">
        <v>135</v>
      </c>
      <c r="DG376">
        <v>3318276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"05/01/2025 15:05:34.874"</f>
        <v>05/01/2025 15:05:34.874</v>
      </c>
      <c r="C377" t="str">
        <f t="shared" si="128"/>
        <v>FFDFD3C0</v>
      </c>
      <c r="D377" t="s">
        <v>145</v>
      </c>
      <c r="E377" t="str">
        <f>"05"</f>
        <v>05</v>
      </c>
      <c r="H377">
        <v>47</v>
      </c>
      <c r="I377" t="s">
        <v>146</v>
      </c>
      <c r="J377" t="s">
        <v>138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R377" t="s">
        <v>127</v>
      </c>
      <c r="S377" t="str">
        <f t="shared" si="148"/>
        <v>15:05:34.000</v>
      </c>
      <c r="T377" t="str">
        <f t="shared" si="148"/>
        <v>15:05:34.000</v>
      </c>
      <c r="U377" t="str">
        <f t="shared" si="129"/>
        <v>A68FCB</v>
      </c>
      <c r="V377">
        <v>0</v>
      </c>
      <c r="W377">
        <v>0</v>
      </c>
      <c r="X377">
        <v>2</v>
      </c>
      <c r="Y377">
        <v>0</v>
      </c>
      <c r="AA377">
        <v>1</v>
      </c>
      <c r="AB377">
        <v>8</v>
      </c>
      <c r="AC377">
        <v>3</v>
      </c>
      <c r="AD377">
        <v>0</v>
      </c>
      <c r="AE377">
        <v>9</v>
      </c>
      <c r="AF377" t="s">
        <v>138</v>
      </c>
      <c r="AG377">
        <v>0</v>
      </c>
      <c r="AH377">
        <v>3</v>
      </c>
      <c r="AI377">
        <v>1</v>
      </c>
      <c r="AJ377">
        <v>0</v>
      </c>
      <c r="AK377" t="s">
        <v>221</v>
      </c>
      <c r="AL377">
        <v>38.955759999999998</v>
      </c>
      <c r="AM377" t="s">
        <v>247</v>
      </c>
      <c r="AN377">
        <v>-121.05927200000001</v>
      </c>
      <c r="AO377">
        <v>25</v>
      </c>
      <c r="AP377">
        <v>2000</v>
      </c>
      <c r="AQ377" t="s">
        <v>131</v>
      </c>
      <c r="AR377">
        <v>74</v>
      </c>
      <c r="AS377">
        <v>-2</v>
      </c>
      <c r="AT377">
        <v>768</v>
      </c>
      <c r="BB377" t="str">
        <f t="shared" si="130"/>
        <v>1200</v>
      </c>
      <c r="BC377">
        <v>1</v>
      </c>
      <c r="BD377" t="str">
        <f t="shared" si="131"/>
        <v xml:space="preserve">N52156  </v>
      </c>
      <c r="BE377">
        <v>1</v>
      </c>
      <c r="BG377">
        <v>0</v>
      </c>
      <c r="BH377">
        <v>0</v>
      </c>
      <c r="BI377">
        <v>0</v>
      </c>
      <c r="BJ377">
        <v>1975</v>
      </c>
      <c r="BK377">
        <v>-25</v>
      </c>
      <c r="BL377" t="s">
        <v>188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 t="shared" si="149"/>
        <v>15:05:34.645</v>
      </c>
      <c r="CF377">
        <v>644695978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5</v>
      </c>
      <c r="CY377">
        <v>7</v>
      </c>
      <c r="CZ377" t="s">
        <v>133</v>
      </c>
      <c r="DA377">
        <v>275</v>
      </c>
      <c r="DB377">
        <v>0</v>
      </c>
      <c r="DC377" t="s">
        <v>134</v>
      </c>
      <c r="DD377" t="s">
        <v>135</v>
      </c>
      <c r="DG377">
        <v>3318276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"05/01/2025 15:05:34.876"</f>
        <v>05/01/2025 15:05:34.876</v>
      </c>
      <c r="C378" t="str">
        <f t="shared" si="128"/>
        <v>FFDFD3C0</v>
      </c>
      <c r="D378" t="s">
        <v>124</v>
      </c>
      <c r="E378" t="str">
        <f>"06"</f>
        <v>06</v>
      </c>
      <c r="F378">
        <v>2006</v>
      </c>
      <c r="G378" t="s">
        <v>125</v>
      </c>
      <c r="J378" t="s">
        <v>126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R378" t="s">
        <v>127</v>
      </c>
      <c r="S378" t="str">
        <f t="shared" si="148"/>
        <v>15:05:34.000</v>
      </c>
      <c r="T378" t="str">
        <f t="shared" si="148"/>
        <v>15:05:34.000</v>
      </c>
      <c r="U378" t="str">
        <f t="shared" si="129"/>
        <v>A68FCB</v>
      </c>
      <c r="V378">
        <v>0</v>
      </c>
      <c r="W378">
        <v>0</v>
      </c>
      <c r="X378">
        <v>2</v>
      </c>
      <c r="Y378">
        <v>0</v>
      </c>
      <c r="AA378">
        <v>1</v>
      </c>
      <c r="AB378">
        <v>8</v>
      </c>
      <c r="AC378">
        <v>3</v>
      </c>
      <c r="AD378">
        <v>0</v>
      </c>
      <c r="AE378">
        <v>9</v>
      </c>
      <c r="AF378" t="s">
        <v>138</v>
      </c>
      <c r="AG378">
        <v>0</v>
      </c>
      <c r="AH378">
        <v>3</v>
      </c>
      <c r="AI378">
        <v>1</v>
      </c>
      <c r="AJ378">
        <v>0</v>
      </c>
      <c r="AK378" t="s">
        <v>221</v>
      </c>
      <c r="AL378">
        <v>38.955759999999998</v>
      </c>
      <c r="AM378" t="s">
        <v>247</v>
      </c>
      <c r="AN378">
        <v>-121.05927200000001</v>
      </c>
      <c r="AO378">
        <v>25</v>
      </c>
      <c r="AP378">
        <v>2000</v>
      </c>
      <c r="AQ378" t="s">
        <v>131</v>
      </c>
      <c r="AR378">
        <v>74</v>
      </c>
      <c r="AS378">
        <v>-2</v>
      </c>
      <c r="AT378">
        <v>768</v>
      </c>
      <c r="BB378" t="str">
        <f t="shared" si="130"/>
        <v>1200</v>
      </c>
      <c r="BC378">
        <v>1</v>
      </c>
      <c r="BD378" t="str">
        <f t="shared" si="131"/>
        <v xml:space="preserve">N52156  </v>
      </c>
      <c r="BE378">
        <v>1</v>
      </c>
      <c r="BG378">
        <v>0</v>
      </c>
      <c r="BH378">
        <v>0</v>
      </c>
      <c r="BI378">
        <v>0</v>
      </c>
      <c r="BJ378">
        <v>1975</v>
      </c>
      <c r="BK378">
        <v>-25</v>
      </c>
      <c r="BL378" t="s">
        <v>188</v>
      </c>
      <c r="BM378">
        <v>1</v>
      </c>
      <c r="BN378">
        <v>1</v>
      </c>
      <c r="BO378">
        <v>0</v>
      </c>
      <c r="BP378">
        <v>0</v>
      </c>
      <c r="BS378">
        <v>0</v>
      </c>
      <c r="BT378">
        <v>0</v>
      </c>
      <c r="BU378">
        <v>0</v>
      </c>
      <c r="CE378" t="str">
        <f t="shared" si="149"/>
        <v>15:05:34.645</v>
      </c>
      <c r="CF378">
        <v>644695978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5</v>
      </c>
      <c r="CY378">
        <v>7</v>
      </c>
      <c r="CZ378" t="s">
        <v>133</v>
      </c>
      <c r="DA378">
        <v>275</v>
      </c>
      <c r="DB378">
        <v>0</v>
      </c>
      <c r="DC378" t="s">
        <v>134</v>
      </c>
      <c r="DD378" t="s">
        <v>135</v>
      </c>
      <c r="DG378">
        <v>3318276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"05/01/2025 15:05:34.885"</f>
        <v>05/01/2025 15:05:34.885</v>
      </c>
      <c r="C379" t="str">
        <f t="shared" si="128"/>
        <v>FFDFD3C0</v>
      </c>
      <c r="D379" t="s">
        <v>136</v>
      </c>
      <c r="E379" t="str">
        <f>"20"</f>
        <v>20</v>
      </c>
      <c r="H379">
        <v>400</v>
      </c>
      <c r="I379" t="s">
        <v>137</v>
      </c>
      <c r="J379" t="s">
        <v>138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R379" t="s">
        <v>127</v>
      </c>
      <c r="S379" t="str">
        <f t="shared" si="148"/>
        <v>15:05:34.000</v>
      </c>
      <c r="T379" t="str">
        <f t="shared" si="148"/>
        <v>15:05:34.000</v>
      </c>
      <c r="U379" t="str">
        <f t="shared" si="129"/>
        <v>A68FCB</v>
      </c>
      <c r="V379">
        <v>0</v>
      </c>
      <c r="W379">
        <v>0</v>
      </c>
      <c r="X379">
        <v>2</v>
      </c>
      <c r="Y379">
        <v>0</v>
      </c>
      <c r="AA379">
        <v>1</v>
      </c>
      <c r="AB379">
        <v>8</v>
      </c>
      <c r="AC379">
        <v>3</v>
      </c>
      <c r="AD379">
        <v>0</v>
      </c>
      <c r="AE379">
        <v>9</v>
      </c>
      <c r="AF379" t="s">
        <v>138</v>
      </c>
      <c r="AG379">
        <v>0</v>
      </c>
      <c r="AH379">
        <v>3</v>
      </c>
      <c r="AI379">
        <v>1</v>
      </c>
      <c r="AJ379">
        <v>0</v>
      </c>
      <c r="AK379" t="s">
        <v>221</v>
      </c>
      <c r="AL379">
        <v>38.955759999999998</v>
      </c>
      <c r="AM379" t="s">
        <v>247</v>
      </c>
      <c r="AN379">
        <v>-121.05927200000001</v>
      </c>
      <c r="AO379">
        <v>25</v>
      </c>
      <c r="AP379">
        <v>2000</v>
      </c>
      <c r="AQ379" t="s">
        <v>131</v>
      </c>
      <c r="AR379">
        <v>74</v>
      </c>
      <c r="AS379">
        <v>-2</v>
      </c>
      <c r="AT379">
        <v>768</v>
      </c>
      <c r="BB379" t="str">
        <f t="shared" si="130"/>
        <v>1200</v>
      </c>
      <c r="BC379">
        <v>1</v>
      </c>
      <c r="BD379" t="str">
        <f t="shared" si="131"/>
        <v xml:space="preserve">N52156  </v>
      </c>
      <c r="BE379">
        <v>1</v>
      </c>
      <c r="BG379">
        <v>0</v>
      </c>
      <c r="BH379">
        <v>0</v>
      </c>
      <c r="BI379">
        <v>0</v>
      </c>
      <c r="BJ379">
        <v>1975</v>
      </c>
      <c r="BK379">
        <v>-25</v>
      </c>
      <c r="BL379" t="s">
        <v>188</v>
      </c>
      <c r="BM379">
        <v>1</v>
      </c>
      <c r="BN379">
        <v>1</v>
      </c>
      <c r="BO379">
        <v>0</v>
      </c>
      <c r="BP379">
        <v>0</v>
      </c>
      <c r="BS379">
        <v>0</v>
      </c>
      <c r="BT379">
        <v>0</v>
      </c>
      <c r="BU379">
        <v>0</v>
      </c>
      <c r="CE379" t="str">
        <f t="shared" si="149"/>
        <v>15:05:34.645</v>
      </c>
      <c r="CF379">
        <v>644695978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5</v>
      </c>
      <c r="CY379">
        <v>7</v>
      </c>
      <c r="CZ379" t="s">
        <v>133</v>
      </c>
      <c r="DA379">
        <v>275</v>
      </c>
      <c r="DB379">
        <v>0</v>
      </c>
      <c r="DC379" t="s">
        <v>134</v>
      </c>
      <c r="DD379" t="s">
        <v>135</v>
      </c>
      <c r="DG379">
        <v>3318276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"05/01/2025 15:05:36.116"</f>
        <v>05/01/2025 15:05:36.116</v>
      </c>
      <c r="C380" t="str">
        <f t="shared" si="128"/>
        <v>FFDFD3C0</v>
      </c>
      <c r="D380" t="s">
        <v>140</v>
      </c>
      <c r="E380" t="str">
        <f>"13"</f>
        <v>13</v>
      </c>
      <c r="F380">
        <v>1019</v>
      </c>
      <c r="G380" t="s">
        <v>141</v>
      </c>
      <c r="J380" t="s">
        <v>142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R380" t="s">
        <v>127</v>
      </c>
      <c r="S380" t="str">
        <f t="shared" ref="S380:T385" si="150">"15:05:35.000"</f>
        <v>15:05:35.000</v>
      </c>
      <c r="T380" t="str">
        <f t="shared" si="150"/>
        <v>15:05:35.000</v>
      </c>
      <c r="U380" t="str">
        <f t="shared" si="129"/>
        <v>A68FCB</v>
      </c>
      <c r="V380">
        <v>0</v>
      </c>
      <c r="W380">
        <v>0</v>
      </c>
      <c r="X380">
        <v>2</v>
      </c>
      <c r="Y380">
        <v>0</v>
      </c>
      <c r="AA380">
        <v>1</v>
      </c>
      <c r="AB380">
        <v>8</v>
      </c>
      <c r="AC380">
        <v>3</v>
      </c>
      <c r="AD380">
        <v>0</v>
      </c>
      <c r="AE380">
        <v>9</v>
      </c>
      <c r="AF380" t="s">
        <v>138</v>
      </c>
      <c r="AG380">
        <v>0</v>
      </c>
      <c r="AH380">
        <v>3</v>
      </c>
      <c r="AI380">
        <v>1</v>
      </c>
      <c r="AJ380">
        <v>0</v>
      </c>
      <c r="AK380" t="s">
        <v>199</v>
      </c>
      <c r="AL380">
        <v>38.955696000000003</v>
      </c>
      <c r="AM380" t="s">
        <v>248</v>
      </c>
      <c r="AN380">
        <v>-121.058886</v>
      </c>
      <c r="AO380">
        <v>25</v>
      </c>
      <c r="AP380">
        <v>2000</v>
      </c>
      <c r="AQ380" t="s">
        <v>131</v>
      </c>
      <c r="AR380">
        <v>74</v>
      </c>
      <c r="AS380">
        <v>-2</v>
      </c>
      <c r="AT380">
        <v>832</v>
      </c>
      <c r="BB380" t="str">
        <f t="shared" si="130"/>
        <v>1200</v>
      </c>
      <c r="BC380">
        <v>1</v>
      </c>
      <c r="BD380" t="str">
        <f t="shared" si="131"/>
        <v xml:space="preserve">N52156  </v>
      </c>
      <c r="BE380">
        <v>1</v>
      </c>
      <c r="BG380">
        <v>0</v>
      </c>
      <c r="BH380">
        <v>0</v>
      </c>
      <c r="BI380">
        <v>0</v>
      </c>
      <c r="BJ380">
        <v>1975</v>
      </c>
      <c r="BK380">
        <v>-25</v>
      </c>
      <c r="BL380" t="s">
        <v>188</v>
      </c>
      <c r="BM380">
        <v>1</v>
      </c>
      <c r="BN380">
        <v>1</v>
      </c>
      <c r="BO380">
        <v>0</v>
      </c>
      <c r="BP380">
        <v>0</v>
      </c>
      <c r="BS380">
        <v>0</v>
      </c>
      <c r="BT380">
        <v>0</v>
      </c>
      <c r="BU380">
        <v>0</v>
      </c>
      <c r="CE380" t="str">
        <f t="shared" ref="CE380:CE385" si="151">"15:05:35.878"</f>
        <v>15:05:35.878</v>
      </c>
      <c r="CF380">
        <v>878446965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5</v>
      </c>
      <c r="CY380">
        <v>7</v>
      </c>
      <c r="CZ380" t="s">
        <v>133</v>
      </c>
      <c r="DA380">
        <v>275</v>
      </c>
      <c r="DB380">
        <v>0</v>
      </c>
      <c r="DC380" t="s">
        <v>134</v>
      </c>
      <c r="DD380" t="s">
        <v>135</v>
      </c>
      <c r="DG380">
        <v>3318298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"05/01/2025 15:05:36.122"</f>
        <v>05/01/2025 15:05:36.122</v>
      </c>
      <c r="C381" t="str">
        <f t="shared" si="128"/>
        <v>FFDFD3C0</v>
      </c>
      <c r="D381" t="s">
        <v>143</v>
      </c>
      <c r="E381" t="str">
        <f>"05"</f>
        <v>05</v>
      </c>
      <c r="H381">
        <v>172</v>
      </c>
      <c r="I381" t="s">
        <v>141</v>
      </c>
      <c r="J381" t="s">
        <v>144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R381" t="s">
        <v>127</v>
      </c>
      <c r="S381" t="str">
        <f t="shared" si="150"/>
        <v>15:05:35.000</v>
      </c>
      <c r="T381" t="str">
        <f t="shared" si="150"/>
        <v>15:05:35.000</v>
      </c>
      <c r="U381" t="str">
        <f t="shared" si="129"/>
        <v>A68FCB</v>
      </c>
      <c r="V381">
        <v>0</v>
      </c>
      <c r="W381">
        <v>0</v>
      </c>
      <c r="X381">
        <v>2</v>
      </c>
      <c r="Y381">
        <v>0</v>
      </c>
      <c r="AA381">
        <v>1</v>
      </c>
      <c r="AB381">
        <v>8</v>
      </c>
      <c r="AC381">
        <v>3</v>
      </c>
      <c r="AD381">
        <v>0</v>
      </c>
      <c r="AE381">
        <v>9</v>
      </c>
      <c r="AF381" t="s">
        <v>138</v>
      </c>
      <c r="AG381">
        <v>0</v>
      </c>
      <c r="AH381">
        <v>3</v>
      </c>
      <c r="AI381">
        <v>1</v>
      </c>
      <c r="AJ381">
        <v>0</v>
      </c>
      <c r="AK381" t="s">
        <v>199</v>
      </c>
      <c r="AL381">
        <v>38.955696000000003</v>
      </c>
      <c r="AM381" t="s">
        <v>248</v>
      </c>
      <c r="AN381">
        <v>-121.058886</v>
      </c>
      <c r="AO381">
        <v>25</v>
      </c>
      <c r="AP381">
        <v>2000</v>
      </c>
      <c r="AQ381" t="s">
        <v>131</v>
      </c>
      <c r="AR381">
        <v>74</v>
      </c>
      <c r="AS381">
        <v>-2</v>
      </c>
      <c r="AT381">
        <v>832</v>
      </c>
      <c r="BB381" t="str">
        <f t="shared" si="130"/>
        <v>1200</v>
      </c>
      <c r="BC381">
        <v>1</v>
      </c>
      <c r="BD381" t="str">
        <f t="shared" si="131"/>
        <v xml:space="preserve">N52156  </v>
      </c>
      <c r="BE381">
        <v>1</v>
      </c>
      <c r="BG381">
        <v>0</v>
      </c>
      <c r="BH381">
        <v>0</v>
      </c>
      <c r="BI381">
        <v>0</v>
      </c>
      <c r="BJ381">
        <v>1975</v>
      </c>
      <c r="BK381">
        <v>-25</v>
      </c>
      <c r="BL381" t="s">
        <v>188</v>
      </c>
      <c r="BM381">
        <v>1</v>
      </c>
      <c r="BN381">
        <v>1</v>
      </c>
      <c r="BO381">
        <v>0</v>
      </c>
      <c r="BP381">
        <v>0</v>
      </c>
      <c r="BS381">
        <v>0</v>
      </c>
      <c r="BT381">
        <v>0</v>
      </c>
      <c r="BU381">
        <v>0</v>
      </c>
      <c r="CE381" t="str">
        <f t="shared" si="151"/>
        <v>15:05:35.878</v>
      </c>
      <c r="CF381">
        <v>878446965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5</v>
      </c>
      <c r="CY381">
        <v>7</v>
      </c>
      <c r="CZ381" t="s">
        <v>133</v>
      </c>
      <c r="DA381">
        <v>275</v>
      </c>
      <c r="DB381">
        <v>0</v>
      </c>
      <c r="DC381" t="s">
        <v>134</v>
      </c>
      <c r="DD381" t="s">
        <v>135</v>
      </c>
      <c r="DG381">
        <v>3318298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"05/01/2025 15:05:36.128"</f>
        <v>05/01/2025 15:05:36.128</v>
      </c>
      <c r="C382" t="str">
        <f t="shared" si="128"/>
        <v>FFDFD3C0</v>
      </c>
      <c r="D382" t="s">
        <v>124</v>
      </c>
      <c r="E382" t="str">
        <f>"06"</f>
        <v>06</v>
      </c>
      <c r="F382">
        <v>2006</v>
      </c>
      <c r="G382" t="s">
        <v>125</v>
      </c>
      <c r="J382" t="s">
        <v>126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R382" t="s">
        <v>127</v>
      </c>
      <c r="S382" t="str">
        <f t="shared" si="150"/>
        <v>15:05:35.000</v>
      </c>
      <c r="T382" t="str">
        <f t="shared" si="150"/>
        <v>15:05:35.000</v>
      </c>
      <c r="U382" t="str">
        <f t="shared" si="129"/>
        <v>A68FCB</v>
      </c>
      <c r="V382">
        <v>0</v>
      </c>
      <c r="W382">
        <v>0</v>
      </c>
      <c r="X382">
        <v>2</v>
      </c>
      <c r="Y382">
        <v>0</v>
      </c>
      <c r="AA382">
        <v>1</v>
      </c>
      <c r="AB382">
        <v>8</v>
      </c>
      <c r="AC382">
        <v>3</v>
      </c>
      <c r="AD382">
        <v>0</v>
      </c>
      <c r="AE382">
        <v>9</v>
      </c>
      <c r="AF382" t="s">
        <v>138</v>
      </c>
      <c r="AG382">
        <v>0</v>
      </c>
      <c r="AH382">
        <v>3</v>
      </c>
      <c r="AI382">
        <v>1</v>
      </c>
      <c r="AJ382">
        <v>0</v>
      </c>
      <c r="AK382" t="s">
        <v>199</v>
      </c>
      <c r="AL382">
        <v>38.955696000000003</v>
      </c>
      <c r="AM382" t="s">
        <v>248</v>
      </c>
      <c r="AN382">
        <v>-121.058886</v>
      </c>
      <c r="AO382">
        <v>25</v>
      </c>
      <c r="AP382">
        <v>2000</v>
      </c>
      <c r="AQ382" t="s">
        <v>131</v>
      </c>
      <c r="AR382">
        <v>74</v>
      </c>
      <c r="AS382">
        <v>-2</v>
      </c>
      <c r="AT382">
        <v>832</v>
      </c>
      <c r="BB382" t="str">
        <f t="shared" si="130"/>
        <v>1200</v>
      </c>
      <c r="BC382">
        <v>1</v>
      </c>
      <c r="BD382" t="str">
        <f t="shared" si="131"/>
        <v xml:space="preserve">N52156  </v>
      </c>
      <c r="BE382">
        <v>1</v>
      </c>
      <c r="BG382">
        <v>0</v>
      </c>
      <c r="BH382">
        <v>0</v>
      </c>
      <c r="BI382">
        <v>0</v>
      </c>
      <c r="BJ382">
        <v>1975</v>
      </c>
      <c r="BK382">
        <v>-25</v>
      </c>
      <c r="BL382" t="s">
        <v>188</v>
      </c>
      <c r="BM382">
        <v>1</v>
      </c>
      <c r="BN382">
        <v>1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 t="shared" si="151"/>
        <v>15:05:35.878</v>
      </c>
      <c r="CF382">
        <v>878446965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5</v>
      </c>
      <c r="CY382">
        <v>7</v>
      </c>
      <c r="CZ382" t="s">
        <v>133</v>
      </c>
      <c r="DA382">
        <v>275</v>
      </c>
      <c r="DB382">
        <v>0</v>
      </c>
      <c r="DC382" t="s">
        <v>134</v>
      </c>
      <c r="DD382" t="s">
        <v>135</v>
      </c>
      <c r="DG382">
        <v>3318298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"05/01/2025 15:05:36.126"</f>
        <v>05/01/2025 15:05:36.126</v>
      </c>
      <c r="C383" t="str">
        <f t="shared" si="128"/>
        <v>FFDFD3C0</v>
      </c>
      <c r="D383" t="s">
        <v>145</v>
      </c>
      <c r="E383" t="str">
        <f>"05"</f>
        <v>05</v>
      </c>
      <c r="H383">
        <v>47</v>
      </c>
      <c r="I383" t="s">
        <v>146</v>
      </c>
      <c r="J383" t="s">
        <v>138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R383" t="s">
        <v>127</v>
      </c>
      <c r="S383" t="str">
        <f t="shared" si="150"/>
        <v>15:05:35.000</v>
      </c>
      <c r="T383" t="str">
        <f t="shared" si="150"/>
        <v>15:05:35.000</v>
      </c>
      <c r="U383" t="str">
        <f t="shared" si="129"/>
        <v>A68FCB</v>
      </c>
      <c r="V383">
        <v>0</v>
      </c>
      <c r="W383">
        <v>0</v>
      </c>
      <c r="X383">
        <v>2</v>
      </c>
      <c r="Y383">
        <v>0</v>
      </c>
      <c r="AA383">
        <v>1</v>
      </c>
      <c r="AB383">
        <v>8</v>
      </c>
      <c r="AC383">
        <v>3</v>
      </c>
      <c r="AD383">
        <v>0</v>
      </c>
      <c r="AE383">
        <v>9</v>
      </c>
      <c r="AF383" t="s">
        <v>138</v>
      </c>
      <c r="AG383">
        <v>0</v>
      </c>
      <c r="AH383">
        <v>3</v>
      </c>
      <c r="AI383">
        <v>1</v>
      </c>
      <c r="AJ383">
        <v>0</v>
      </c>
      <c r="AK383" t="s">
        <v>199</v>
      </c>
      <c r="AL383">
        <v>38.955696000000003</v>
      </c>
      <c r="AM383" t="s">
        <v>248</v>
      </c>
      <c r="AN383">
        <v>-121.058886</v>
      </c>
      <c r="AO383">
        <v>25</v>
      </c>
      <c r="AP383">
        <v>2000</v>
      </c>
      <c r="AQ383" t="s">
        <v>131</v>
      </c>
      <c r="AR383">
        <v>74</v>
      </c>
      <c r="AS383">
        <v>-2</v>
      </c>
      <c r="AT383">
        <v>832</v>
      </c>
      <c r="BB383" t="str">
        <f t="shared" si="130"/>
        <v>1200</v>
      </c>
      <c r="BC383">
        <v>1</v>
      </c>
      <c r="BD383" t="str">
        <f t="shared" si="131"/>
        <v xml:space="preserve">N52156  </v>
      </c>
      <c r="BE383">
        <v>1</v>
      </c>
      <c r="BG383">
        <v>0</v>
      </c>
      <c r="BH383">
        <v>0</v>
      </c>
      <c r="BI383">
        <v>0</v>
      </c>
      <c r="BJ383">
        <v>1975</v>
      </c>
      <c r="BK383">
        <v>-25</v>
      </c>
      <c r="BL383" t="s">
        <v>188</v>
      </c>
      <c r="BM383">
        <v>1</v>
      </c>
      <c r="BN383">
        <v>1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 t="shared" si="151"/>
        <v>15:05:35.878</v>
      </c>
      <c r="CF383">
        <v>878446965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5</v>
      </c>
      <c r="CY383">
        <v>7</v>
      </c>
      <c r="CZ383" t="s">
        <v>133</v>
      </c>
      <c r="DA383">
        <v>275</v>
      </c>
      <c r="DB383">
        <v>0</v>
      </c>
      <c r="DC383" t="s">
        <v>134</v>
      </c>
      <c r="DD383" t="s">
        <v>135</v>
      </c>
      <c r="DG383">
        <v>3318298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"05/01/2025 15:05:36.126"</f>
        <v>05/01/2025 15:05:36.126</v>
      </c>
      <c r="C384" t="str">
        <f t="shared" si="128"/>
        <v>FFDFD3C0</v>
      </c>
      <c r="D384" t="s">
        <v>145</v>
      </c>
      <c r="E384" t="str">
        <f>"09"</f>
        <v>09</v>
      </c>
      <c r="H384">
        <v>51</v>
      </c>
      <c r="I384" t="s">
        <v>147</v>
      </c>
      <c r="J384" t="s">
        <v>138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R384" t="s">
        <v>127</v>
      </c>
      <c r="S384" t="str">
        <f t="shared" si="150"/>
        <v>15:05:35.000</v>
      </c>
      <c r="T384" t="str">
        <f t="shared" si="150"/>
        <v>15:05:35.000</v>
      </c>
      <c r="U384" t="str">
        <f t="shared" si="129"/>
        <v>A68FCB</v>
      </c>
      <c r="V384">
        <v>0</v>
      </c>
      <c r="W384">
        <v>0</v>
      </c>
      <c r="X384">
        <v>2</v>
      </c>
      <c r="Y384">
        <v>0</v>
      </c>
      <c r="AA384">
        <v>1</v>
      </c>
      <c r="AB384">
        <v>8</v>
      </c>
      <c r="AC384">
        <v>3</v>
      </c>
      <c r="AD384">
        <v>0</v>
      </c>
      <c r="AE384">
        <v>9</v>
      </c>
      <c r="AF384" t="s">
        <v>138</v>
      </c>
      <c r="AG384">
        <v>0</v>
      </c>
      <c r="AH384">
        <v>3</v>
      </c>
      <c r="AI384">
        <v>1</v>
      </c>
      <c r="AJ384">
        <v>0</v>
      </c>
      <c r="AK384" t="s">
        <v>199</v>
      </c>
      <c r="AL384">
        <v>38.955696000000003</v>
      </c>
      <c r="AM384" t="s">
        <v>248</v>
      </c>
      <c r="AN384">
        <v>-121.058886</v>
      </c>
      <c r="AO384">
        <v>25</v>
      </c>
      <c r="AP384">
        <v>2000</v>
      </c>
      <c r="AQ384" t="s">
        <v>131</v>
      </c>
      <c r="AR384">
        <v>74</v>
      </c>
      <c r="AS384">
        <v>-2</v>
      </c>
      <c r="AT384">
        <v>832</v>
      </c>
      <c r="BB384" t="str">
        <f t="shared" si="130"/>
        <v>1200</v>
      </c>
      <c r="BC384">
        <v>1</v>
      </c>
      <c r="BD384" t="str">
        <f t="shared" si="131"/>
        <v xml:space="preserve">N52156  </v>
      </c>
      <c r="BE384">
        <v>1</v>
      </c>
      <c r="BG384">
        <v>0</v>
      </c>
      <c r="BH384">
        <v>0</v>
      </c>
      <c r="BI384">
        <v>0</v>
      </c>
      <c r="BJ384">
        <v>1975</v>
      </c>
      <c r="BK384">
        <v>-25</v>
      </c>
      <c r="BL384" t="s">
        <v>188</v>
      </c>
      <c r="BM384">
        <v>1</v>
      </c>
      <c r="BN384">
        <v>1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 t="shared" si="151"/>
        <v>15:05:35.878</v>
      </c>
      <c r="CF384">
        <v>878446965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133</v>
      </c>
      <c r="DA384">
        <v>275</v>
      </c>
      <c r="DB384">
        <v>0</v>
      </c>
      <c r="DC384" t="s">
        <v>134</v>
      </c>
      <c r="DD384" t="s">
        <v>135</v>
      </c>
      <c r="DG384">
        <v>3318298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"05/01/2025 15:05:36.138"</f>
        <v>05/01/2025 15:05:36.138</v>
      </c>
      <c r="C385" t="str">
        <f t="shared" si="128"/>
        <v>FFDFD3C0</v>
      </c>
      <c r="D385" t="s">
        <v>136</v>
      </c>
      <c r="E385" t="str">
        <f>"20"</f>
        <v>20</v>
      </c>
      <c r="H385">
        <v>400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R385" t="s">
        <v>127</v>
      </c>
      <c r="S385" t="str">
        <f t="shared" si="150"/>
        <v>15:05:35.000</v>
      </c>
      <c r="T385" t="str">
        <f t="shared" si="150"/>
        <v>15:05:35.000</v>
      </c>
      <c r="U385" t="str">
        <f t="shared" si="129"/>
        <v>A68FCB</v>
      </c>
      <c r="V385">
        <v>0</v>
      </c>
      <c r="W385">
        <v>0</v>
      </c>
      <c r="X385">
        <v>2</v>
      </c>
      <c r="Y385">
        <v>0</v>
      </c>
      <c r="AA385">
        <v>1</v>
      </c>
      <c r="AB385">
        <v>8</v>
      </c>
      <c r="AC385">
        <v>3</v>
      </c>
      <c r="AD385">
        <v>0</v>
      </c>
      <c r="AE385">
        <v>9</v>
      </c>
      <c r="AF385" t="s">
        <v>138</v>
      </c>
      <c r="AG385">
        <v>0</v>
      </c>
      <c r="AH385">
        <v>3</v>
      </c>
      <c r="AI385">
        <v>1</v>
      </c>
      <c r="AJ385">
        <v>0</v>
      </c>
      <c r="AK385" t="s">
        <v>199</v>
      </c>
      <c r="AL385">
        <v>38.955696000000003</v>
      </c>
      <c r="AM385" t="s">
        <v>248</v>
      </c>
      <c r="AN385">
        <v>-121.058886</v>
      </c>
      <c r="AO385">
        <v>25</v>
      </c>
      <c r="AP385">
        <v>2000</v>
      </c>
      <c r="AQ385" t="s">
        <v>131</v>
      </c>
      <c r="AR385">
        <v>74</v>
      </c>
      <c r="AS385">
        <v>-2</v>
      </c>
      <c r="AT385">
        <v>832</v>
      </c>
      <c r="BB385" t="str">
        <f t="shared" si="130"/>
        <v>1200</v>
      </c>
      <c r="BC385">
        <v>1</v>
      </c>
      <c r="BD385" t="str">
        <f t="shared" si="131"/>
        <v xml:space="preserve">N52156  </v>
      </c>
      <c r="BE385">
        <v>1</v>
      </c>
      <c r="BG385">
        <v>0</v>
      </c>
      <c r="BH385">
        <v>0</v>
      </c>
      <c r="BI385">
        <v>0</v>
      </c>
      <c r="BJ385">
        <v>1975</v>
      </c>
      <c r="BK385">
        <v>-25</v>
      </c>
      <c r="BL385" t="s">
        <v>188</v>
      </c>
      <c r="BM385">
        <v>1</v>
      </c>
      <c r="BN385">
        <v>1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 t="shared" si="151"/>
        <v>15:05:35.878</v>
      </c>
      <c r="CF385">
        <v>878446965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133</v>
      </c>
      <c r="DA385">
        <v>275</v>
      </c>
      <c r="DB385">
        <v>0</v>
      </c>
      <c r="DC385" t="s">
        <v>134</v>
      </c>
      <c r="DD385" t="s">
        <v>135</v>
      </c>
      <c r="DG385">
        <v>3318298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"05/01/2025 15:05:36.716"</f>
        <v>05/01/2025 15:05:36.716</v>
      </c>
      <c r="C386" t="str">
        <f t="shared" ref="C386:C449" si="152">"FFDFD3C0"</f>
        <v>FFDFD3C0</v>
      </c>
      <c r="D386" t="s">
        <v>140</v>
      </c>
      <c r="E386" t="str">
        <f>"13"</f>
        <v>13</v>
      </c>
      <c r="F386">
        <v>1019</v>
      </c>
      <c r="G386" t="s">
        <v>141</v>
      </c>
      <c r="J386" t="s">
        <v>142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R386" t="s">
        <v>127</v>
      </c>
      <c r="S386" t="str">
        <f t="shared" ref="S386:T391" si="153">"15:05:36.000"</f>
        <v>15:05:36.000</v>
      </c>
      <c r="T386" t="str">
        <f t="shared" si="153"/>
        <v>15:05:36.000</v>
      </c>
      <c r="U386" t="str">
        <f t="shared" ref="U386:U449" si="154">"A68FCB"</f>
        <v>A68FCB</v>
      </c>
      <c r="V386">
        <v>0</v>
      </c>
      <c r="W386">
        <v>0</v>
      </c>
      <c r="X386">
        <v>2</v>
      </c>
      <c r="Y386">
        <v>0</v>
      </c>
      <c r="AA386">
        <v>1</v>
      </c>
      <c r="AB386">
        <v>8</v>
      </c>
      <c r="AC386">
        <v>3</v>
      </c>
      <c r="AD386">
        <v>0</v>
      </c>
      <c r="AE386">
        <v>9</v>
      </c>
      <c r="AF386" t="s">
        <v>138</v>
      </c>
      <c r="AG386">
        <v>0</v>
      </c>
      <c r="AH386">
        <v>3</v>
      </c>
      <c r="AI386">
        <v>1</v>
      </c>
      <c r="AJ386">
        <v>0</v>
      </c>
      <c r="AK386" t="s">
        <v>205</v>
      </c>
      <c r="AL386">
        <v>38.955674000000002</v>
      </c>
      <c r="AM386" t="s">
        <v>249</v>
      </c>
      <c r="AN386">
        <v>-121.058457</v>
      </c>
      <c r="AO386">
        <v>25</v>
      </c>
      <c r="AP386">
        <v>2000</v>
      </c>
      <c r="AQ386" t="s">
        <v>131</v>
      </c>
      <c r="AR386">
        <v>73</v>
      </c>
      <c r="AS386">
        <v>-1</v>
      </c>
      <c r="AT386">
        <v>832</v>
      </c>
      <c r="BB386" t="str">
        <f t="shared" ref="BB386:BB449" si="155">"1200"</f>
        <v>1200</v>
      </c>
      <c r="BC386">
        <v>1</v>
      </c>
      <c r="BD386" t="str">
        <f t="shared" ref="BD386:BD449" si="156">"N52156  "</f>
        <v xml:space="preserve">N52156  </v>
      </c>
      <c r="BE386">
        <v>1</v>
      </c>
      <c r="BG386">
        <v>0</v>
      </c>
      <c r="BH386">
        <v>0</v>
      </c>
      <c r="BI386">
        <v>0</v>
      </c>
      <c r="BJ386">
        <v>1975</v>
      </c>
      <c r="BK386">
        <v>-25</v>
      </c>
      <c r="BL386" t="s">
        <v>188</v>
      </c>
      <c r="BM386">
        <v>1</v>
      </c>
      <c r="BN386">
        <v>1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 t="shared" ref="CE386:CE391" si="157">"15:05:36.513"</f>
        <v>15:05:36.513</v>
      </c>
      <c r="CF386">
        <v>512946088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5</v>
      </c>
      <c r="CY386">
        <v>7</v>
      </c>
      <c r="CZ386" t="s">
        <v>133</v>
      </c>
      <c r="DA386">
        <v>275</v>
      </c>
      <c r="DB386">
        <v>0</v>
      </c>
      <c r="DC386" t="s">
        <v>134</v>
      </c>
      <c r="DD386" t="s">
        <v>135</v>
      </c>
      <c r="DG386">
        <v>3318307</v>
      </c>
      <c r="DI386">
        <v>1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"05/01/2025 15:05:36.724"</f>
        <v>05/01/2025 15:05:36.724</v>
      </c>
      <c r="C387" t="str">
        <f t="shared" si="152"/>
        <v>FFDFD3C0</v>
      </c>
      <c r="D387" t="s">
        <v>143</v>
      </c>
      <c r="E387" t="str">
        <f>"05"</f>
        <v>05</v>
      </c>
      <c r="H387">
        <v>172</v>
      </c>
      <c r="I387" t="s">
        <v>141</v>
      </c>
      <c r="J387" t="s">
        <v>144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R387" t="s">
        <v>127</v>
      </c>
      <c r="S387" t="str">
        <f t="shared" si="153"/>
        <v>15:05:36.000</v>
      </c>
      <c r="T387" t="str">
        <f t="shared" si="153"/>
        <v>15:05:36.000</v>
      </c>
      <c r="U387" t="str">
        <f t="shared" si="154"/>
        <v>A68FCB</v>
      </c>
      <c r="V387">
        <v>0</v>
      </c>
      <c r="W387">
        <v>0</v>
      </c>
      <c r="X387">
        <v>2</v>
      </c>
      <c r="Y387">
        <v>0</v>
      </c>
      <c r="AA387">
        <v>1</v>
      </c>
      <c r="AB387">
        <v>8</v>
      </c>
      <c r="AC387">
        <v>3</v>
      </c>
      <c r="AD387">
        <v>0</v>
      </c>
      <c r="AE387">
        <v>9</v>
      </c>
      <c r="AF387" t="s">
        <v>138</v>
      </c>
      <c r="AG387">
        <v>0</v>
      </c>
      <c r="AH387">
        <v>3</v>
      </c>
      <c r="AI387">
        <v>1</v>
      </c>
      <c r="AJ387">
        <v>0</v>
      </c>
      <c r="AK387" t="s">
        <v>205</v>
      </c>
      <c r="AL387">
        <v>38.955674000000002</v>
      </c>
      <c r="AM387" t="s">
        <v>249</v>
      </c>
      <c r="AN387">
        <v>-121.058457</v>
      </c>
      <c r="AO387">
        <v>25</v>
      </c>
      <c r="AP387">
        <v>2000</v>
      </c>
      <c r="AQ387" t="s">
        <v>131</v>
      </c>
      <c r="AR387">
        <v>73</v>
      </c>
      <c r="AS387">
        <v>-1</v>
      </c>
      <c r="AT387">
        <v>832</v>
      </c>
      <c r="BB387" t="str">
        <f t="shared" si="155"/>
        <v>1200</v>
      </c>
      <c r="BC387">
        <v>1</v>
      </c>
      <c r="BD387" t="str">
        <f t="shared" si="156"/>
        <v xml:space="preserve">N52156  </v>
      </c>
      <c r="BE387">
        <v>1</v>
      </c>
      <c r="BG387">
        <v>0</v>
      </c>
      <c r="BH387">
        <v>0</v>
      </c>
      <c r="BI387">
        <v>0</v>
      </c>
      <c r="BJ387">
        <v>1975</v>
      </c>
      <c r="BK387">
        <v>-25</v>
      </c>
      <c r="BL387" t="s">
        <v>188</v>
      </c>
      <c r="BM387">
        <v>1</v>
      </c>
      <c r="BN387">
        <v>1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 t="shared" si="157"/>
        <v>15:05:36.513</v>
      </c>
      <c r="CF387">
        <v>512946088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5</v>
      </c>
      <c r="CY387">
        <v>7</v>
      </c>
      <c r="CZ387" t="s">
        <v>133</v>
      </c>
      <c r="DA387">
        <v>275</v>
      </c>
      <c r="DB387">
        <v>0</v>
      </c>
      <c r="DC387" t="s">
        <v>134</v>
      </c>
      <c r="DD387" t="s">
        <v>135</v>
      </c>
      <c r="DG387">
        <v>3318307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"05/01/2025 15:05:36.727"</f>
        <v>05/01/2025 15:05:36.727</v>
      </c>
      <c r="C388" t="str">
        <f t="shared" si="152"/>
        <v>FFDFD3C0</v>
      </c>
      <c r="D388" t="s">
        <v>145</v>
      </c>
      <c r="E388" t="str">
        <f>"09"</f>
        <v>09</v>
      </c>
      <c r="H388">
        <v>51</v>
      </c>
      <c r="I388" t="s">
        <v>147</v>
      </c>
      <c r="J388" t="s">
        <v>138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R388" t="s">
        <v>127</v>
      </c>
      <c r="S388" t="str">
        <f t="shared" si="153"/>
        <v>15:05:36.000</v>
      </c>
      <c r="T388" t="str">
        <f t="shared" si="153"/>
        <v>15:05:36.000</v>
      </c>
      <c r="U388" t="str">
        <f t="shared" si="154"/>
        <v>A68FCB</v>
      </c>
      <c r="V388">
        <v>0</v>
      </c>
      <c r="W388">
        <v>0</v>
      </c>
      <c r="X388">
        <v>2</v>
      </c>
      <c r="Y388">
        <v>0</v>
      </c>
      <c r="AA388">
        <v>1</v>
      </c>
      <c r="AB388">
        <v>8</v>
      </c>
      <c r="AC388">
        <v>3</v>
      </c>
      <c r="AD388">
        <v>0</v>
      </c>
      <c r="AE388">
        <v>9</v>
      </c>
      <c r="AF388" t="s">
        <v>138</v>
      </c>
      <c r="AG388">
        <v>0</v>
      </c>
      <c r="AH388">
        <v>3</v>
      </c>
      <c r="AI388">
        <v>1</v>
      </c>
      <c r="AJ388">
        <v>0</v>
      </c>
      <c r="AK388" t="s">
        <v>205</v>
      </c>
      <c r="AL388">
        <v>38.955674000000002</v>
      </c>
      <c r="AM388" t="s">
        <v>249</v>
      </c>
      <c r="AN388">
        <v>-121.058457</v>
      </c>
      <c r="AO388">
        <v>25</v>
      </c>
      <c r="AP388">
        <v>2000</v>
      </c>
      <c r="AQ388" t="s">
        <v>131</v>
      </c>
      <c r="AR388">
        <v>73</v>
      </c>
      <c r="AS388">
        <v>-1</v>
      </c>
      <c r="AT388">
        <v>832</v>
      </c>
      <c r="BB388" t="str">
        <f t="shared" si="155"/>
        <v>1200</v>
      </c>
      <c r="BC388">
        <v>1</v>
      </c>
      <c r="BD388" t="str">
        <f t="shared" si="156"/>
        <v xml:space="preserve">N52156  </v>
      </c>
      <c r="BE388">
        <v>1</v>
      </c>
      <c r="BG388">
        <v>0</v>
      </c>
      <c r="BH388">
        <v>0</v>
      </c>
      <c r="BI388">
        <v>0</v>
      </c>
      <c r="BJ388">
        <v>1975</v>
      </c>
      <c r="BK388">
        <v>-25</v>
      </c>
      <c r="BL388" t="s">
        <v>188</v>
      </c>
      <c r="BM388">
        <v>1</v>
      </c>
      <c r="BN388">
        <v>1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 t="shared" si="157"/>
        <v>15:05:36.513</v>
      </c>
      <c r="CF388">
        <v>512946088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133</v>
      </c>
      <c r="DA388">
        <v>275</v>
      </c>
      <c r="DB388">
        <v>0</v>
      </c>
      <c r="DC388" t="s">
        <v>134</v>
      </c>
      <c r="DD388" t="s">
        <v>135</v>
      </c>
      <c r="DG388">
        <v>3318307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"05/01/2025 15:05:36.727"</f>
        <v>05/01/2025 15:05:36.727</v>
      </c>
      <c r="C389" t="str">
        <f t="shared" si="152"/>
        <v>FFDFD3C0</v>
      </c>
      <c r="D389" t="s">
        <v>145</v>
      </c>
      <c r="E389" t="str">
        <f>"05"</f>
        <v>05</v>
      </c>
      <c r="H389">
        <v>47</v>
      </c>
      <c r="I389" t="s">
        <v>146</v>
      </c>
      <c r="J389" t="s">
        <v>138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R389" t="s">
        <v>127</v>
      </c>
      <c r="S389" t="str">
        <f t="shared" si="153"/>
        <v>15:05:36.000</v>
      </c>
      <c r="T389" t="str">
        <f t="shared" si="153"/>
        <v>15:05:36.000</v>
      </c>
      <c r="U389" t="str">
        <f t="shared" si="154"/>
        <v>A68FCB</v>
      </c>
      <c r="V389">
        <v>0</v>
      </c>
      <c r="W389">
        <v>0</v>
      </c>
      <c r="X389">
        <v>2</v>
      </c>
      <c r="Y389">
        <v>0</v>
      </c>
      <c r="AA389">
        <v>1</v>
      </c>
      <c r="AB389">
        <v>8</v>
      </c>
      <c r="AC389">
        <v>3</v>
      </c>
      <c r="AD389">
        <v>0</v>
      </c>
      <c r="AE389">
        <v>9</v>
      </c>
      <c r="AF389" t="s">
        <v>138</v>
      </c>
      <c r="AG389">
        <v>0</v>
      </c>
      <c r="AH389">
        <v>3</v>
      </c>
      <c r="AI389">
        <v>1</v>
      </c>
      <c r="AJ389">
        <v>0</v>
      </c>
      <c r="AK389" t="s">
        <v>205</v>
      </c>
      <c r="AL389">
        <v>38.955674000000002</v>
      </c>
      <c r="AM389" t="s">
        <v>249</v>
      </c>
      <c r="AN389">
        <v>-121.058457</v>
      </c>
      <c r="AO389">
        <v>25</v>
      </c>
      <c r="AP389">
        <v>2000</v>
      </c>
      <c r="AQ389" t="s">
        <v>131</v>
      </c>
      <c r="AR389">
        <v>73</v>
      </c>
      <c r="AS389">
        <v>-1</v>
      </c>
      <c r="AT389">
        <v>832</v>
      </c>
      <c r="BB389" t="str">
        <f t="shared" si="155"/>
        <v>1200</v>
      </c>
      <c r="BC389">
        <v>1</v>
      </c>
      <c r="BD389" t="str">
        <f t="shared" si="156"/>
        <v xml:space="preserve">N52156  </v>
      </c>
      <c r="BE389">
        <v>1</v>
      </c>
      <c r="BG389">
        <v>0</v>
      </c>
      <c r="BH389">
        <v>0</v>
      </c>
      <c r="BI389">
        <v>0</v>
      </c>
      <c r="BJ389">
        <v>1975</v>
      </c>
      <c r="BK389">
        <v>-25</v>
      </c>
      <c r="BL389" t="s">
        <v>188</v>
      </c>
      <c r="BM389">
        <v>1</v>
      </c>
      <c r="BN389">
        <v>1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 t="shared" si="157"/>
        <v>15:05:36.513</v>
      </c>
      <c r="CF389">
        <v>512946088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133</v>
      </c>
      <c r="DA389">
        <v>275</v>
      </c>
      <c r="DB389">
        <v>0</v>
      </c>
      <c r="DC389" t="s">
        <v>134</v>
      </c>
      <c r="DD389" t="s">
        <v>135</v>
      </c>
      <c r="DG389">
        <v>3318307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"05/01/2025 15:05:36.729"</f>
        <v>05/01/2025 15:05:36.729</v>
      </c>
      <c r="C390" t="str">
        <f t="shared" si="152"/>
        <v>FFDFD3C0</v>
      </c>
      <c r="D390" t="s">
        <v>124</v>
      </c>
      <c r="E390" t="str">
        <f>"06"</f>
        <v>06</v>
      </c>
      <c r="F390">
        <v>2006</v>
      </c>
      <c r="G390" t="s">
        <v>125</v>
      </c>
      <c r="J390" t="s">
        <v>126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R390" t="s">
        <v>127</v>
      </c>
      <c r="S390" t="str">
        <f t="shared" si="153"/>
        <v>15:05:36.000</v>
      </c>
      <c r="T390" t="str">
        <f t="shared" si="153"/>
        <v>15:05:36.000</v>
      </c>
      <c r="U390" t="str">
        <f t="shared" si="154"/>
        <v>A68FCB</v>
      </c>
      <c r="V390">
        <v>0</v>
      </c>
      <c r="W390">
        <v>0</v>
      </c>
      <c r="X390">
        <v>2</v>
      </c>
      <c r="Y390">
        <v>0</v>
      </c>
      <c r="AA390">
        <v>1</v>
      </c>
      <c r="AB390">
        <v>8</v>
      </c>
      <c r="AC390">
        <v>3</v>
      </c>
      <c r="AD390">
        <v>0</v>
      </c>
      <c r="AE390">
        <v>9</v>
      </c>
      <c r="AF390" t="s">
        <v>138</v>
      </c>
      <c r="AG390">
        <v>0</v>
      </c>
      <c r="AH390">
        <v>3</v>
      </c>
      <c r="AI390">
        <v>1</v>
      </c>
      <c r="AJ390">
        <v>0</v>
      </c>
      <c r="AK390" t="s">
        <v>205</v>
      </c>
      <c r="AL390">
        <v>38.955674000000002</v>
      </c>
      <c r="AM390" t="s">
        <v>249</v>
      </c>
      <c r="AN390">
        <v>-121.058457</v>
      </c>
      <c r="AO390">
        <v>25</v>
      </c>
      <c r="AP390">
        <v>2000</v>
      </c>
      <c r="AQ390" t="s">
        <v>131</v>
      </c>
      <c r="AR390">
        <v>73</v>
      </c>
      <c r="AS390">
        <v>-1</v>
      </c>
      <c r="AT390">
        <v>832</v>
      </c>
      <c r="BB390" t="str">
        <f t="shared" si="155"/>
        <v>1200</v>
      </c>
      <c r="BC390">
        <v>1</v>
      </c>
      <c r="BD390" t="str">
        <f t="shared" si="156"/>
        <v xml:space="preserve">N52156  </v>
      </c>
      <c r="BE390">
        <v>1</v>
      </c>
      <c r="BG390">
        <v>0</v>
      </c>
      <c r="BH390">
        <v>0</v>
      </c>
      <c r="BI390">
        <v>0</v>
      </c>
      <c r="BJ390">
        <v>1975</v>
      </c>
      <c r="BK390">
        <v>-25</v>
      </c>
      <c r="BL390" t="s">
        <v>188</v>
      </c>
      <c r="BM390">
        <v>1</v>
      </c>
      <c r="BN390">
        <v>1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 t="shared" si="157"/>
        <v>15:05:36.513</v>
      </c>
      <c r="CF390">
        <v>512946088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133</v>
      </c>
      <c r="DA390">
        <v>275</v>
      </c>
      <c r="DB390">
        <v>0</v>
      </c>
      <c r="DC390" t="s">
        <v>134</v>
      </c>
      <c r="DD390" t="s">
        <v>135</v>
      </c>
      <c r="DG390">
        <v>3318307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"05/01/2025 15:05:36.739"</f>
        <v>05/01/2025 15:05:36.739</v>
      </c>
      <c r="C391" t="str">
        <f t="shared" si="152"/>
        <v>FFDFD3C0</v>
      </c>
      <c r="D391" t="s">
        <v>136</v>
      </c>
      <c r="E391" t="str">
        <f>"20"</f>
        <v>20</v>
      </c>
      <c r="H391">
        <v>400</v>
      </c>
      <c r="I391" t="s">
        <v>137</v>
      </c>
      <c r="J391" t="s">
        <v>138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R391" t="s">
        <v>127</v>
      </c>
      <c r="S391" t="str">
        <f t="shared" si="153"/>
        <v>15:05:36.000</v>
      </c>
      <c r="T391" t="str">
        <f t="shared" si="153"/>
        <v>15:05:36.000</v>
      </c>
      <c r="U391" t="str">
        <f t="shared" si="154"/>
        <v>A68FCB</v>
      </c>
      <c r="V391">
        <v>0</v>
      </c>
      <c r="W391">
        <v>0</v>
      </c>
      <c r="X391">
        <v>2</v>
      </c>
      <c r="Y391">
        <v>0</v>
      </c>
      <c r="AA391">
        <v>1</v>
      </c>
      <c r="AB391">
        <v>8</v>
      </c>
      <c r="AC391">
        <v>3</v>
      </c>
      <c r="AD391">
        <v>0</v>
      </c>
      <c r="AE391">
        <v>9</v>
      </c>
      <c r="AF391" t="s">
        <v>138</v>
      </c>
      <c r="AG391">
        <v>0</v>
      </c>
      <c r="AH391">
        <v>3</v>
      </c>
      <c r="AI391">
        <v>1</v>
      </c>
      <c r="AJ391">
        <v>0</v>
      </c>
      <c r="AK391" t="s">
        <v>205</v>
      </c>
      <c r="AL391">
        <v>38.955674000000002</v>
      </c>
      <c r="AM391" t="s">
        <v>249</v>
      </c>
      <c r="AN391">
        <v>-121.058457</v>
      </c>
      <c r="AO391">
        <v>25</v>
      </c>
      <c r="AP391">
        <v>2000</v>
      </c>
      <c r="AQ391" t="s">
        <v>131</v>
      </c>
      <c r="AR391">
        <v>73</v>
      </c>
      <c r="AS391">
        <v>-1</v>
      </c>
      <c r="AT391">
        <v>832</v>
      </c>
      <c r="BB391" t="str">
        <f t="shared" si="155"/>
        <v>1200</v>
      </c>
      <c r="BC391">
        <v>1</v>
      </c>
      <c r="BD391" t="str">
        <f t="shared" si="156"/>
        <v xml:space="preserve">N52156  </v>
      </c>
      <c r="BE391">
        <v>1</v>
      </c>
      <c r="BG391">
        <v>0</v>
      </c>
      <c r="BH391">
        <v>0</v>
      </c>
      <c r="BI391">
        <v>0</v>
      </c>
      <c r="BJ391">
        <v>1975</v>
      </c>
      <c r="BK391">
        <v>-25</v>
      </c>
      <c r="BL391" t="s">
        <v>188</v>
      </c>
      <c r="BM391">
        <v>1</v>
      </c>
      <c r="BN391">
        <v>1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 t="shared" si="157"/>
        <v>15:05:36.513</v>
      </c>
      <c r="CF391">
        <v>512946088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133</v>
      </c>
      <c r="DA391">
        <v>275</v>
      </c>
      <c r="DB391">
        <v>0</v>
      </c>
      <c r="DC391" t="s">
        <v>134</v>
      </c>
      <c r="DD391" t="s">
        <v>135</v>
      </c>
      <c r="DG391">
        <v>3318307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"05/01/2025 15:05:38.169"</f>
        <v>05/01/2025 15:05:38.169</v>
      </c>
      <c r="C392" t="str">
        <f t="shared" si="152"/>
        <v>FFDFD3C0</v>
      </c>
      <c r="D392" t="s">
        <v>140</v>
      </c>
      <c r="E392" t="str">
        <f>"13"</f>
        <v>13</v>
      </c>
      <c r="F392">
        <v>1019</v>
      </c>
      <c r="G392" t="s">
        <v>141</v>
      </c>
      <c r="J392" t="s">
        <v>142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R392" t="s">
        <v>127</v>
      </c>
      <c r="S392" t="str">
        <f t="shared" ref="S392:T397" si="158">"15:05:37.000"</f>
        <v>15:05:37.000</v>
      </c>
      <c r="T392" t="str">
        <f t="shared" si="158"/>
        <v>15:05:37.000</v>
      </c>
      <c r="U392" t="str">
        <f t="shared" si="154"/>
        <v>A68FCB</v>
      </c>
      <c r="V392">
        <v>0</v>
      </c>
      <c r="W392">
        <v>0</v>
      </c>
      <c r="X392">
        <v>2</v>
      </c>
      <c r="Y392">
        <v>0</v>
      </c>
      <c r="AA392">
        <v>1</v>
      </c>
      <c r="AB392">
        <v>8</v>
      </c>
      <c r="AC392">
        <v>3</v>
      </c>
      <c r="AD392">
        <v>0</v>
      </c>
      <c r="AE392">
        <v>9</v>
      </c>
      <c r="AF392" t="s">
        <v>138</v>
      </c>
      <c r="AG392">
        <v>0</v>
      </c>
      <c r="AH392">
        <v>3</v>
      </c>
      <c r="AI392">
        <v>1</v>
      </c>
      <c r="AJ392">
        <v>0</v>
      </c>
      <c r="AK392" t="s">
        <v>203</v>
      </c>
      <c r="AL392">
        <v>38.955652999999998</v>
      </c>
      <c r="AM392" t="s">
        <v>250</v>
      </c>
      <c r="AN392">
        <v>-121.05800600000001</v>
      </c>
      <c r="AO392">
        <v>25</v>
      </c>
      <c r="AP392">
        <v>2100</v>
      </c>
      <c r="AQ392" t="s">
        <v>131</v>
      </c>
      <c r="AR392">
        <v>71</v>
      </c>
      <c r="AS392">
        <v>-1</v>
      </c>
      <c r="AT392">
        <v>896</v>
      </c>
      <c r="BB392" t="str">
        <f t="shared" si="155"/>
        <v>1200</v>
      </c>
      <c r="BC392">
        <v>1</v>
      </c>
      <c r="BD392" t="str">
        <f t="shared" si="156"/>
        <v xml:space="preserve">N52156  </v>
      </c>
      <c r="BE392">
        <v>1</v>
      </c>
      <c r="BG392">
        <v>0</v>
      </c>
      <c r="BH392">
        <v>0</v>
      </c>
      <c r="BI392">
        <v>0</v>
      </c>
      <c r="BJ392">
        <v>2000</v>
      </c>
      <c r="BK392">
        <v>-100</v>
      </c>
      <c r="BL392" t="s">
        <v>188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 t="shared" ref="CE392:CE397" si="159">"15:05:37.957"</f>
        <v>15:05:37.957</v>
      </c>
      <c r="CF392">
        <v>956947365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5</v>
      </c>
      <c r="CY392">
        <v>7</v>
      </c>
      <c r="CZ392" t="s">
        <v>133</v>
      </c>
      <c r="DA392">
        <v>275</v>
      </c>
      <c r="DB392">
        <v>0</v>
      </c>
      <c r="DC392" t="s">
        <v>134</v>
      </c>
      <c r="DD392" t="s">
        <v>135</v>
      </c>
      <c r="DG392">
        <v>3318327</v>
      </c>
      <c r="DI392">
        <v>1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"05/01/2025 15:05:38.176"</f>
        <v>05/01/2025 15:05:38.176</v>
      </c>
      <c r="C393" t="str">
        <f t="shared" si="152"/>
        <v>FFDFD3C0</v>
      </c>
      <c r="D393" t="s">
        <v>143</v>
      </c>
      <c r="E393" t="str">
        <f>"05"</f>
        <v>05</v>
      </c>
      <c r="H393">
        <v>172</v>
      </c>
      <c r="I393" t="s">
        <v>141</v>
      </c>
      <c r="J393" t="s">
        <v>144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R393" t="s">
        <v>127</v>
      </c>
      <c r="S393" t="str">
        <f t="shared" si="158"/>
        <v>15:05:37.000</v>
      </c>
      <c r="T393" t="str">
        <f t="shared" si="158"/>
        <v>15:05:37.000</v>
      </c>
      <c r="U393" t="str">
        <f t="shared" si="154"/>
        <v>A68FCB</v>
      </c>
      <c r="V393">
        <v>0</v>
      </c>
      <c r="W393">
        <v>0</v>
      </c>
      <c r="X393">
        <v>2</v>
      </c>
      <c r="Y393">
        <v>0</v>
      </c>
      <c r="AA393">
        <v>1</v>
      </c>
      <c r="AB393">
        <v>8</v>
      </c>
      <c r="AC393">
        <v>3</v>
      </c>
      <c r="AD393">
        <v>0</v>
      </c>
      <c r="AE393">
        <v>9</v>
      </c>
      <c r="AF393" t="s">
        <v>138</v>
      </c>
      <c r="AG393">
        <v>0</v>
      </c>
      <c r="AH393">
        <v>3</v>
      </c>
      <c r="AI393">
        <v>1</v>
      </c>
      <c r="AJ393">
        <v>0</v>
      </c>
      <c r="AK393" t="s">
        <v>203</v>
      </c>
      <c r="AL393">
        <v>38.955652999999998</v>
      </c>
      <c r="AM393" t="s">
        <v>250</v>
      </c>
      <c r="AN393">
        <v>-121.05800600000001</v>
      </c>
      <c r="AO393">
        <v>25</v>
      </c>
      <c r="AP393">
        <v>2100</v>
      </c>
      <c r="AQ393" t="s">
        <v>131</v>
      </c>
      <c r="AR393">
        <v>71</v>
      </c>
      <c r="AS393">
        <v>-1</v>
      </c>
      <c r="AT393">
        <v>896</v>
      </c>
      <c r="BB393" t="str">
        <f t="shared" si="155"/>
        <v>1200</v>
      </c>
      <c r="BC393">
        <v>1</v>
      </c>
      <c r="BD393" t="str">
        <f t="shared" si="156"/>
        <v xml:space="preserve">N52156  </v>
      </c>
      <c r="BE393">
        <v>1</v>
      </c>
      <c r="BG393">
        <v>0</v>
      </c>
      <c r="BH393">
        <v>0</v>
      </c>
      <c r="BI393">
        <v>0</v>
      </c>
      <c r="BJ393">
        <v>2000</v>
      </c>
      <c r="BK393">
        <v>-100</v>
      </c>
      <c r="BL393" t="s">
        <v>188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 t="shared" si="159"/>
        <v>15:05:37.957</v>
      </c>
      <c r="CF393">
        <v>956947365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5</v>
      </c>
      <c r="CY393">
        <v>7</v>
      </c>
      <c r="CZ393" t="s">
        <v>133</v>
      </c>
      <c r="DA393">
        <v>275</v>
      </c>
      <c r="DB393">
        <v>0</v>
      </c>
      <c r="DC393" t="s">
        <v>134</v>
      </c>
      <c r="DD393" t="s">
        <v>135</v>
      </c>
      <c r="DG393">
        <v>3318327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"05/01/2025 15:05:38.180"</f>
        <v>05/01/2025 15:05:38.180</v>
      </c>
      <c r="C394" t="str">
        <f t="shared" si="152"/>
        <v>FFDFD3C0</v>
      </c>
      <c r="D394" t="s">
        <v>145</v>
      </c>
      <c r="E394" t="str">
        <f>"05"</f>
        <v>05</v>
      </c>
      <c r="H394">
        <v>47</v>
      </c>
      <c r="I394" t="s">
        <v>146</v>
      </c>
      <c r="J394" t="s">
        <v>138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R394" t="s">
        <v>127</v>
      </c>
      <c r="S394" t="str">
        <f t="shared" si="158"/>
        <v>15:05:37.000</v>
      </c>
      <c r="T394" t="str">
        <f t="shared" si="158"/>
        <v>15:05:37.000</v>
      </c>
      <c r="U394" t="str">
        <f t="shared" si="154"/>
        <v>A68FCB</v>
      </c>
      <c r="V394">
        <v>0</v>
      </c>
      <c r="W394">
        <v>0</v>
      </c>
      <c r="X394">
        <v>2</v>
      </c>
      <c r="Y394">
        <v>0</v>
      </c>
      <c r="AA394">
        <v>1</v>
      </c>
      <c r="AB394">
        <v>8</v>
      </c>
      <c r="AC394">
        <v>3</v>
      </c>
      <c r="AD394">
        <v>0</v>
      </c>
      <c r="AE394">
        <v>9</v>
      </c>
      <c r="AF394" t="s">
        <v>138</v>
      </c>
      <c r="AG394">
        <v>0</v>
      </c>
      <c r="AH394">
        <v>3</v>
      </c>
      <c r="AI394">
        <v>1</v>
      </c>
      <c r="AJ394">
        <v>0</v>
      </c>
      <c r="AK394" t="s">
        <v>203</v>
      </c>
      <c r="AL394">
        <v>38.955652999999998</v>
      </c>
      <c r="AM394" t="s">
        <v>250</v>
      </c>
      <c r="AN394">
        <v>-121.05800600000001</v>
      </c>
      <c r="AO394">
        <v>25</v>
      </c>
      <c r="AP394">
        <v>2100</v>
      </c>
      <c r="AQ394" t="s">
        <v>131</v>
      </c>
      <c r="AR394">
        <v>71</v>
      </c>
      <c r="AS394">
        <v>-1</v>
      </c>
      <c r="AT394">
        <v>896</v>
      </c>
      <c r="BB394" t="str">
        <f t="shared" si="155"/>
        <v>1200</v>
      </c>
      <c r="BC394">
        <v>1</v>
      </c>
      <c r="BD394" t="str">
        <f t="shared" si="156"/>
        <v xml:space="preserve">N52156  </v>
      </c>
      <c r="BE394">
        <v>1</v>
      </c>
      <c r="BG394">
        <v>0</v>
      </c>
      <c r="BH394">
        <v>0</v>
      </c>
      <c r="BI394">
        <v>0</v>
      </c>
      <c r="BJ394">
        <v>2000</v>
      </c>
      <c r="BK394">
        <v>-100</v>
      </c>
      <c r="BL394" t="s">
        <v>188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 t="shared" si="159"/>
        <v>15:05:37.957</v>
      </c>
      <c r="CF394">
        <v>956947365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133</v>
      </c>
      <c r="DA394">
        <v>275</v>
      </c>
      <c r="DB394">
        <v>0</v>
      </c>
      <c r="DC394" t="s">
        <v>134</v>
      </c>
      <c r="DD394" t="s">
        <v>135</v>
      </c>
      <c r="DG394">
        <v>3318327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"05/01/2025 15:05:38.180"</f>
        <v>05/01/2025 15:05:38.180</v>
      </c>
      <c r="C395" t="str">
        <f t="shared" si="152"/>
        <v>FFDFD3C0</v>
      </c>
      <c r="D395" t="s">
        <v>145</v>
      </c>
      <c r="E395" t="str">
        <f>"09"</f>
        <v>09</v>
      </c>
      <c r="H395">
        <v>51</v>
      </c>
      <c r="I395" t="s">
        <v>147</v>
      </c>
      <c r="J395" t="s">
        <v>138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R395" t="s">
        <v>127</v>
      </c>
      <c r="S395" t="str">
        <f t="shared" si="158"/>
        <v>15:05:37.000</v>
      </c>
      <c r="T395" t="str">
        <f t="shared" si="158"/>
        <v>15:05:37.000</v>
      </c>
      <c r="U395" t="str">
        <f t="shared" si="154"/>
        <v>A68FCB</v>
      </c>
      <c r="V395">
        <v>0</v>
      </c>
      <c r="W395">
        <v>0</v>
      </c>
      <c r="X395">
        <v>2</v>
      </c>
      <c r="Y395">
        <v>0</v>
      </c>
      <c r="AA395">
        <v>1</v>
      </c>
      <c r="AB395">
        <v>8</v>
      </c>
      <c r="AC395">
        <v>3</v>
      </c>
      <c r="AD395">
        <v>0</v>
      </c>
      <c r="AE395">
        <v>9</v>
      </c>
      <c r="AF395" t="s">
        <v>138</v>
      </c>
      <c r="AG395">
        <v>0</v>
      </c>
      <c r="AH395">
        <v>3</v>
      </c>
      <c r="AI395">
        <v>1</v>
      </c>
      <c r="AJ395">
        <v>0</v>
      </c>
      <c r="AK395" t="s">
        <v>203</v>
      </c>
      <c r="AL395">
        <v>38.955652999999998</v>
      </c>
      <c r="AM395" t="s">
        <v>250</v>
      </c>
      <c r="AN395">
        <v>-121.05800600000001</v>
      </c>
      <c r="AO395">
        <v>25</v>
      </c>
      <c r="AP395">
        <v>2100</v>
      </c>
      <c r="AQ395" t="s">
        <v>131</v>
      </c>
      <c r="AR395">
        <v>71</v>
      </c>
      <c r="AS395">
        <v>-1</v>
      </c>
      <c r="AT395">
        <v>896</v>
      </c>
      <c r="BB395" t="str">
        <f t="shared" si="155"/>
        <v>1200</v>
      </c>
      <c r="BC395">
        <v>1</v>
      </c>
      <c r="BD395" t="str">
        <f t="shared" si="156"/>
        <v xml:space="preserve">N52156  </v>
      </c>
      <c r="BE395">
        <v>1</v>
      </c>
      <c r="BG395">
        <v>0</v>
      </c>
      <c r="BH395">
        <v>0</v>
      </c>
      <c r="BI395">
        <v>0</v>
      </c>
      <c r="BJ395">
        <v>2000</v>
      </c>
      <c r="BK395">
        <v>-100</v>
      </c>
      <c r="BL395" t="s">
        <v>188</v>
      </c>
      <c r="BM395">
        <v>1</v>
      </c>
      <c r="BN395">
        <v>1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 t="shared" si="159"/>
        <v>15:05:37.957</v>
      </c>
      <c r="CF395">
        <v>956947365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5</v>
      </c>
      <c r="CY395">
        <v>7</v>
      </c>
      <c r="CZ395" t="s">
        <v>133</v>
      </c>
      <c r="DA395">
        <v>275</v>
      </c>
      <c r="DB395">
        <v>0</v>
      </c>
      <c r="DC395" t="s">
        <v>134</v>
      </c>
      <c r="DD395" t="s">
        <v>135</v>
      </c>
      <c r="DG395">
        <v>3318327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"05/01/2025 15:05:38.182"</f>
        <v>05/01/2025 15:05:38.182</v>
      </c>
      <c r="C396" t="str">
        <f t="shared" si="152"/>
        <v>FFDFD3C0</v>
      </c>
      <c r="D396" t="s">
        <v>124</v>
      </c>
      <c r="E396" t="str">
        <f>"06"</f>
        <v>06</v>
      </c>
      <c r="F396">
        <v>2006</v>
      </c>
      <c r="G396" t="s">
        <v>125</v>
      </c>
      <c r="J396" t="s">
        <v>126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R396" t="s">
        <v>127</v>
      </c>
      <c r="S396" t="str">
        <f t="shared" si="158"/>
        <v>15:05:37.000</v>
      </c>
      <c r="T396" t="str">
        <f t="shared" si="158"/>
        <v>15:05:37.000</v>
      </c>
      <c r="U396" t="str">
        <f t="shared" si="154"/>
        <v>A68FCB</v>
      </c>
      <c r="V396">
        <v>0</v>
      </c>
      <c r="W396">
        <v>0</v>
      </c>
      <c r="X396">
        <v>2</v>
      </c>
      <c r="Y396">
        <v>0</v>
      </c>
      <c r="AA396">
        <v>1</v>
      </c>
      <c r="AB396">
        <v>8</v>
      </c>
      <c r="AC396">
        <v>3</v>
      </c>
      <c r="AD396">
        <v>0</v>
      </c>
      <c r="AE396">
        <v>9</v>
      </c>
      <c r="AF396" t="s">
        <v>138</v>
      </c>
      <c r="AG396">
        <v>0</v>
      </c>
      <c r="AH396">
        <v>3</v>
      </c>
      <c r="AI396">
        <v>1</v>
      </c>
      <c r="AJ396">
        <v>0</v>
      </c>
      <c r="AK396" t="s">
        <v>203</v>
      </c>
      <c r="AL396">
        <v>38.955652999999998</v>
      </c>
      <c r="AM396" t="s">
        <v>250</v>
      </c>
      <c r="AN396">
        <v>-121.05800600000001</v>
      </c>
      <c r="AO396">
        <v>25</v>
      </c>
      <c r="AP396">
        <v>2100</v>
      </c>
      <c r="AQ396" t="s">
        <v>131</v>
      </c>
      <c r="AR396">
        <v>71</v>
      </c>
      <c r="AS396">
        <v>-1</v>
      </c>
      <c r="AT396">
        <v>896</v>
      </c>
      <c r="BB396" t="str">
        <f t="shared" si="155"/>
        <v>1200</v>
      </c>
      <c r="BC396">
        <v>1</v>
      </c>
      <c r="BD396" t="str">
        <f t="shared" si="156"/>
        <v xml:space="preserve">N52156  </v>
      </c>
      <c r="BE396">
        <v>1</v>
      </c>
      <c r="BG396">
        <v>0</v>
      </c>
      <c r="BH396">
        <v>0</v>
      </c>
      <c r="BI396">
        <v>0</v>
      </c>
      <c r="BJ396">
        <v>2000</v>
      </c>
      <c r="BK396">
        <v>-100</v>
      </c>
      <c r="BL396" t="s">
        <v>188</v>
      </c>
      <c r="BM396">
        <v>1</v>
      </c>
      <c r="BN396">
        <v>1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 t="shared" si="159"/>
        <v>15:05:37.957</v>
      </c>
      <c r="CF396">
        <v>956947365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133</v>
      </c>
      <c r="DA396">
        <v>275</v>
      </c>
      <c r="DB396">
        <v>0</v>
      </c>
      <c r="DC396" t="s">
        <v>134</v>
      </c>
      <c r="DD396" t="s">
        <v>135</v>
      </c>
      <c r="DG396">
        <v>3318327</v>
      </c>
      <c r="DI396">
        <v>1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"05/01/2025 15:05:38.191"</f>
        <v>05/01/2025 15:05:38.191</v>
      </c>
      <c r="C397" t="str">
        <f t="shared" si="152"/>
        <v>FFDFD3C0</v>
      </c>
      <c r="D397" t="s">
        <v>136</v>
      </c>
      <c r="E397" t="str">
        <f>"20"</f>
        <v>20</v>
      </c>
      <c r="H397">
        <v>400</v>
      </c>
      <c r="I397" t="s">
        <v>137</v>
      </c>
      <c r="J397" t="s">
        <v>138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R397" t="s">
        <v>127</v>
      </c>
      <c r="S397" t="str">
        <f t="shared" si="158"/>
        <v>15:05:37.000</v>
      </c>
      <c r="T397" t="str">
        <f t="shared" si="158"/>
        <v>15:05:37.000</v>
      </c>
      <c r="U397" t="str">
        <f t="shared" si="154"/>
        <v>A68FCB</v>
      </c>
      <c r="V397">
        <v>0</v>
      </c>
      <c r="W397">
        <v>0</v>
      </c>
      <c r="X397">
        <v>2</v>
      </c>
      <c r="Y397">
        <v>0</v>
      </c>
      <c r="AA397">
        <v>1</v>
      </c>
      <c r="AB397">
        <v>8</v>
      </c>
      <c r="AC397">
        <v>3</v>
      </c>
      <c r="AD397">
        <v>0</v>
      </c>
      <c r="AE397">
        <v>9</v>
      </c>
      <c r="AF397" t="s">
        <v>138</v>
      </c>
      <c r="AG397">
        <v>0</v>
      </c>
      <c r="AH397">
        <v>3</v>
      </c>
      <c r="AI397">
        <v>1</v>
      </c>
      <c r="AJ397">
        <v>0</v>
      </c>
      <c r="AK397" t="s">
        <v>203</v>
      </c>
      <c r="AL397">
        <v>38.955652999999998</v>
      </c>
      <c r="AM397" t="s">
        <v>250</v>
      </c>
      <c r="AN397">
        <v>-121.05800600000001</v>
      </c>
      <c r="AO397">
        <v>25</v>
      </c>
      <c r="AP397">
        <v>2100</v>
      </c>
      <c r="AQ397" t="s">
        <v>131</v>
      </c>
      <c r="AR397">
        <v>71</v>
      </c>
      <c r="AS397">
        <v>-1</v>
      </c>
      <c r="AT397">
        <v>896</v>
      </c>
      <c r="BB397" t="str">
        <f t="shared" si="155"/>
        <v>1200</v>
      </c>
      <c r="BC397">
        <v>1</v>
      </c>
      <c r="BD397" t="str">
        <f t="shared" si="156"/>
        <v xml:space="preserve">N52156  </v>
      </c>
      <c r="BE397">
        <v>1</v>
      </c>
      <c r="BG397">
        <v>0</v>
      </c>
      <c r="BH397">
        <v>0</v>
      </c>
      <c r="BI397">
        <v>0</v>
      </c>
      <c r="BJ397">
        <v>2000</v>
      </c>
      <c r="BK397">
        <v>-100</v>
      </c>
      <c r="BL397" t="s">
        <v>188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 t="shared" si="159"/>
        <v>15:05:37.957</v>
      </c>
      <c r="CF397">
        <v>956947365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133</v>
      </c>
      <c r="DA397">
        <v>275</v>
      </c>
      <c r="DB397">
        <v>0</v>
      </c>
      <c r="DC397" t="s">
        <v>134</v>
      </c>
      <c r="DD397" t="s">
        <v>135</v>
      </c>
      <c r="DG397">
        <v>3318327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"05/01/2025 15:05:39.192"</f>
        <v>05/01/2025 15:05:39.192</v>
      </c>
      <c r="C398" t="str">
        <f t="shared" si="152"/>
        <v>FFDFD3C0</v>
      </c>
      <c r="D398" t="s">
        <v>136</v>
      </c>
      <c r="E398" t="str">
        <f>"20"</f>
        <v>20</v>
      </c>
      <c r="H398">
        <v>400</v>
      </c>
      <c r="I398" t="s">
        <v>137</v>
      </c>
      <c r="J398" t="s">
        <v>138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R398" t="s">
        <v>127</v>
      </c>
      <c r="S398" t="str">
        <f t="shared" ref="S398:T403" si="160">"15:05:38.000"</f>
        <v>15:05:38.000</v>
      </c>
      <c r="T398" t="str">
        <f t="shared" si="160"/>
        <v>15:05:38.000</v>
      </c>
      <c r="U398" t="str">
        <f t="shared" si="154"/>
        <v>A68FCB</v>
      </c>
      <c r="V398">
        <v>0</v>
      </c>
      <c r="W398">
        <v>0</v>
      </c>
      <c r="X398">
        <v>2</v>
      </c>
      <c r="Y398">
        <v>0</v>
      </c>
      <c r="AA398">
        <v>1</v>
      </c>
      <c r="AB398">
        <v>8</v>
      </c>
      <c r="AC398">
        <v>3</v>
      </c>
      <c r="AD398">
        <v>0</v>
      </c>
      <c r="AE398">
        <v>9</v>
      </c>
      <c r="AF398" t="s">
        <v>138</v>
      </c>
      <c r="AG398">
        <v>0</v>
      </c>
      <c r="AH398">
        <v>3</v>
      </c>
      <c r="AI398">
        <v>1</v>
      </c>
      <c r="AJ398">
        <v>0</v>
      </c>
      <c r="AK398" t="s">
        <v>203</v>
      </c>
      <c r="AL398">
        <v>38.955652999999998</v>
      </c>
      <c r="AM398" t="s">
        <v>251</v>
      </c>
      <c r="AN398">
        <v>-121.057599</v>
      </c>
      <c r="AO398">
        <v>25</v>
      </c>
      <c r="AP398">
        <v>2100</v>
      </c>
      <c r="AQ398" t="s">
        <v>131</v>
      </c>
      <c r="AR398">
        <v>73</v>
      </c>
      <c r="AS398">
        <v>0</v>
      </c>
      <c r="AT398">
        <v>832</v>
      </c>
      <c r="BB398" t="str">
        <f t="shared" si="155"/>
        <v>1200</v>
      </c>
      <c r="BC398">
        <v>1</v>
      </c>
      <c r="BD398" t="str">
        <f t="shared" si="156"/>
        <v xml:space="preserve">N52156  </v>
      </c>
      <c r="BE398">
        <v>1</v>
      </c>
      <c r="BG398">
        <v>0</v>
      </c>
      <c r="BH398">
        <v>0</v>
      </c>
      <c r="BI398">
        <v>0</v>
      </c>
      <c r="BJ398">
        <v>2025</v>
      </c>
      <c r="BK398">
        <v>-75</v>
      </c>
      <c r="BL398" t="s">
        <v>188</v>
      </c>
      <c r="BM398">
        <v>1</v>
      </c>
      <c r="BN398">
        <v>1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 t="shared" ref="CE398:CE403" si="161">"15:05:38.991"</f>
        <v>15:05:38.991</v>
      </c>
      <c r="CF398">
        <v>991197578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133</v>
      </c>
      <c r="DA398">
        <v>275</v>
      </c>
      <c r="DB398">
        <v>0</v>
      </c>
      <c r="DC398" t="s">
        <v>134</v>
      </c>
      <c r="DD398" t="s">
        <v>135</v>
      </c>
      <c r="DG398">
        <v>3318340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"05/01/2025 15:05:39.221"</f>
        <v>05/01/2025 15:05:39.221</v>
      </c>
      <c r="C399" t="str">
        <f t="shared" si="152"/>
        <v>FFDFD3C0</v>
      </c>
      <c r="D399" t="s">
        <v>140</v>
      </c>
      <c r="E399" t="str">
        <f>"13"</f>
        <v>13</v>
      </c>
      <c r="F399">
        <v>1019</v>
      </c>
      <c r="G399" t="s">
        <v>141</v>
      </c>
      <c r="J399" t="s">
        <v>142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R399" t="s">
        <v>127</v>
      </c>
      <c r="S399" t="str">
        <f t="shared" si="160"/>
        <v>15:05:38.000</v>
      </c>
      <c r="T399" t="str">
        <f t="shared" si="160"/>
        <v>15:05:38.000</v>
      </c>
      <c r="U399" t="str">
        <f t="shared" si="154"/>
        <v>A68FCB</v>
      </c>
      <c r="V399">
        <v>0</v>
      </c>
      <c r="W399">
        <v>0</v>
      </c>
      <c r="X399">
        <v>2</v>
      </c>
      <c r="Y399">
        <v>0</v>
      </c>
      <c r="AA399">
        <v>1</v>
      </c>
      <c r="AB399">
        <v>8</v>
      </c>
      <c r="AC399">
        <v>3</v>
      </c>
      <c r="AD399">
        <v>0</v>
      </c>
      <c r="AE399">
        <v>9</v>
      </c>
      <c r="AF399" t="s">
        <v>138</v>
      </c>
      <c r="AG399">
        <v>0</v>
      </c>
      <c r="AH399">
        <v>3</v>
      </c>
      <c r="AI399">
        <v>1</v>
      </c>
      <c r="AJ399">
        <v>0</v>
      </c>
      <c r="AK399" t="s">
        <v>203</v>
      </c>
      <c r="AL399">
        <v>38.955652999999998</v>
      </c>
      <c r="AM399" t="s">
        <v>251</v>
      </c>
      <c r="AN399">
        <v>-121.057599</v>
      </c>
      <c r="AO399">
        <v>25</v>
      </c>
      <c r="AP399">
        <v>2100</v>
      </c>
      <c r="AQ399" t="s">
        <v>131</v>
      </c>
      <c r="AR399">
        <v>73</v>
      </c>
      <c r="AS399">
        <v>0</v>
      </c>
      <c r="AT399">
        <v>832</v>
      </c>
      <c r="BB399" t="str">
        <f t="shared" si="155"/>
        <v>1200</v>
      </c>
      <c r="BC399">
        <v>1</v>
      </c>
      <c r="BD399" t="str">
        <f t="shared" si="156"/>
        <v xml:space="preserve">N52156  </v>
      </c>
      <c r="BE399">
        <v>1</v>
      </c>
      <c r="BG399">
        <v>0</v>
      </c>
      <c r="BH399">
        <v>0</v>
      </c>
      <c r="BI399">
        <v>0</v>
      </c>
      <c r="BJ399">
        <v>2025</v>
      </c>
      <c r="BK399">
        <v>-75</v>
      </c>
      <c r="BL399" t="s">
        <v>188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 t="shared" si="161"/>
        <v>15:05:38.991</v>
      </c>
      <c r="CF399">
        <v>991197578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133</v>
      </c>
      <c r="DA399">
        <v>275</v>
      </c>
      <c r="DB399">
        <v>0</v>
      </c>
      <c r="DC399" t="s">
        <v>134</v>
      </c>
      <c r="DD399" t="s">
        <v>135</v>
      </c>
      <c r="DG399">
        <v>3318340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"05/01/2025 15:05:39.228"</f>
        <v>05/01/2025 15:05:39.228</v>
      </c>
      <c r="C400" t="str">
        <f t="shared" si="152"/>
        <v>FFDFD3C0</v>
      </c>
      <c r="D400" t="s">
        <v>143</v>
      </c>
      <c r="E400" t="str">
        <f>"05"</f>
        <v>05</v>
      </c>
      <c r="H400">
        <v>172</v>
      </c>
      <c r="I400" t="s">
        <v>141</v>
      </c>
      <c r="J400" t="s">
        <v>144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R400" t="s">
        <v>127</v>
      </c>
      <c r="S400" t="str">
        <f t="shared" si="160"/>
        <v>15:05:38.000</v>
      </c>
      <c r="T400" t="str">
        <f t="shared" si="160"/>
        <v>15:05:38.000</v>
      </c>
      <c r="U400" t="str">
        <f t="shared" si="154"/>
        <v>A68FCB</v>
      </c>
      <c r="V400">
        <v>0</v>
      </c>
      <c r="W400">
        <v>0</v>
      </c>
      <c r="X400">
        <v>2</v>
      </c>
      <c r="Y400">
        <v>0</v>
      </c>
      <c r="AA400">
        <v>1</v>
      </c>
      <c r="AB400">
        <v>8</v>
      </c>
      <c r="AC400">
        <v>3</v>
      </c>
      <c r="AD400">
        <v>0</v>
      </c>
      <c r="AE400">
        <v>9</v>
      </c>
      <c r="AF400" t="s">
        <v>138</v>
      </c>
      <c r="AG400">
        <v>0</v>
      </c>
      <c r="AH400">
        <v>3</v>
      </c>
      <c r="AI400">
        <v>1</v>
      </c>
      <c r="AJ400">
        <v>0</v>
      </c>
      <c r="AK400" t="s">
        <v>203</v>
      </c>
      <c r="AL400">
        <v>38.955652999999998</v>
      </c>
      <c r="AM400" t="s">
        <v>251</v>
      </c>
      <c r="AN400">
        <v>-121.057599</v>
      </c>
      <c r="AO400">
        <v>25</v>
      </c>
      <c r="AP400">
        <v>2100</v>
      </c>
      <c r="AQ400" t="s">
        <v>131</v>
      </c>
      <c r="AR400">
        <v>73</v>
      </c>
      <c r="AS400">
        <v>0</v>
      </c>
      <c r="AT400">
        <v>832</v>
      </c>
      <c r="BB400" t="str">
        <f t="shared" si="155"/>
        <v>1200</v>
      </c>
      <c r="BC400">
        <v>1</v>
      </c>
      <c r="BD400" t="str">
        <f t="shared" si="156"/>
        <v xml:space="preserve">N52156  </v>
      </c>
      <c r="BE400">
        <v>1</v>
      </c>
      <c r="BG400">
        <v>0</v>
      </c>
      <c r="BH400">
        <v>0</v>
      </c>
      <c r="BI400">
        <v>0</v>
      </c>
      <c r="BJ400">
        <v>2025</v>
      </c>
      <c r="BK400">
        <v>-75</v>
      </c>
      <c r="BL400" t="s">
        <v>188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 t="shared" si="161"/>
        <v>15:05:38.991</v>
      </c>
      <c r="CF400">
        <v>991197578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133</v>
      </c>
      <c r="DA400">
        <v>275</v>
      </c>
      <c r="DB400">
        <v>0</v>
      </c>
      <c r="DC400" t="s">
        <v>134</v>
      </c>
      <c r="DD400" t="s">
        <v>135</v>
      </c>
      <c r="DG400">
        <v>3318340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"05/01/2025 15:05:39.231"</f>
        <v>05/01/2025 15:05:39.231</v>
      </c>
      <c r="C401" t="str">
        <f t="shared" si="152"/>
        <v>FFDFD3C0</v>
      </c>
      <c r="D401" t="s">
        <v>145</v>
      </c>
      <c r="E401" t="str">
        <f>"05"</f>
        <v>05</v>
      </c>
      <c r="H401">
        <v>47</v>
      </c>
      <c r="I401" t="s">
        <v>146</v>
      </c>
      <c r="J401" t="s">
        <v>138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R401" t="s">
        <v>127</v>
      </c>
      <c r="S401" t="str">
        <f t="shared" si="160"/>
        <v>15:05:38.000</v>
      </c>
      <c r="T401" t="str">
        <f t="shared" si="160"/>
        <v>15:05:38.000</v>
      </c>
      <c r="U401" t="str">
        <f t="shared" si="154"/>
        <v>A68FCB</v>
      </c>
      <c r="V401">
        <v>0</v>
      </c>
      <c r="W401">
        <v>0</v>
      </c>
      <c r="X401">
        <v>2</v>
      </c>
      <c r="Y401">
        <v>0</v>
      </c>
      <c r="AA401">
        <v>1</v>
      </c>
      <c r="AB401">
        <v>8</v>
      </c>
      <c r="AC401">
        <v>3</v>
      </c>
      <c r="AD401">
        <v>0</v>
      </c>
      <c r="AE401">
        <v>9</v>
      </c>
      <c r="AF401" t="s">
        <v>138</v>
      </c>
      <c r="AG401">
        <v>0</v>
      </c>
      <c r="AH401">
        <v>3</v>
      </c>
      <c r="AI401">
        <v>1</v>
      </c>
      <c r="AJ401">
        <v>0</v>
      </c>
      <c r="AK401" t="s">
        <v>203</v>
      </c>
      <c r="AL401">
        <v>38.955652999999998</v>
      </c>
      <c r="AM401" t="s">
        <v>251</v>
      </c>
      <c r="AN401">
        <v>-121.057599</v>
      </c>
      <c r="AO401">
        <v>25</v>
      </c>
      <c r="AP401">
        <v>2100</v>
      </c>
      <c r="AQ401" t="s">
        <v>131</v>
      </c>
      <c r="AR401">
        <v>73</v>
      </c>
      <c r="AS401">
        <v>0</v>
      </c>
      <c r="AT401">
        <v>832</v>
      </c>
      <c r="BB401" t="str">
        <f t="shared" si="155"/>
        <v>1200</v>
      </c>
      <c r="BC401">
        <v>1</v>
      </c>
      <c r="BD401" t="str">
        <f t="shared" si="156"/>
        <v xml:space="preserve">N52156  </v>
      </c>
      <c r="BE401">
        <v>1</v>
      </c>
      <c r="BG401">
        <v>0</v>
      </c>
      <c r="BH401">
        <v>0</v>
      </c>
      <c r="BI401">
        <v>0</v>
      </c>
      <c r="BJ401">
        <v>2025</v>
      </c>
      <c r="BK401">
        <v>-75</v>
      </c>
      <c r="BL401" t="s">
        <v>188</v>
      </c>
      <c r="BM401">
        <v>1</v>
      </c>
      <c r="BN401">
        <v>1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 t="shared" si="161"/>
        <v>15:05:38.991</v>
      </c>
      <c r="CF401">
        <v>991197578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133</v>
      </c>
      <c r="DA401">
        <v>275</v>
      </c>
      <c r="DB401">
        <v>0</v>
      </c>
      <c r="DC401" t="s">
        <v>134</v>
      </c>
      <c r="DD401" t="s">
        <v>135</v>
      </c>
      <c r="DG401">
        <v>3318340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"05/01/2025 15:05:39.232"</f>
        <v>05/01/2025 15:05:39.232</v>
      </c>
      <c r="C402" t="str">
        <f t="shared" si="152"/>
        <v>FFDFD3C0</v>
      </c>
      <c r="D402" t="s">
        <v>145</v>
      </c>
      <c r="E402" t="str">
        <f>"09"</f>
        <v>09</v>
      </c>
      <c r="H402">
        <v>51</v>
      </c>
      <c r="I402" t="s">
        <v>147</v>
      </c>
      <c r="J402" t="s">
        <v>138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R402" t="s">
        <v>127</v>
      </c>
      <c r="S402" t="str">
        <f t="shared" si="160"/>
        <v>15:05:38.000</v>
      </c>
      <c r="T402" t="str">
        <f t="shared" si="160"/>
        <v>15:05:38.000</v>
      </c>
      <c r="U402" t="str">
        <f t="shared" si="154"/>
        <v>A68FCB</v>
      </c>
      <c r="V402">
        <v>0</v>
      </c>
      <c r="W402">
        <v>0</v>
      </c>
      <c r="X402">
        <v>2</v>
      </c>
      <c r="Y402">
        <v>0</v>
      </c>
      <c r="AA402">
        <v>1</v>
      </c>
      <c r="AB402">
        <v>8</v>
      </c>
      <c r="AC402">
        <v>3</v>
      </c>
      <c r="AD402">
        <v>0</v>
      </c>
      <c r="AE402">
        <v>9</v>
      </c>
      <c r="AF402" t="s">
        <v>138</v>
      </c>
      <c r="AG402">
        <v>0</v>
      </c>
      <c r="AH402">
        <v>3</v>
      </c>
      <c r="AI402">
        <v>1</v>
      </c>
      <c r="AJ402">
        <v>0</v>
      </c>
      <c r="AK402" t="s">
        <v>203</v>
      </c>
      <c r="AL402">
        <v>38.955652999999998</v>
      </c>
      <c r="AM402" t="s">
        <v>251</v>
      </c>
      <c r="AN402">
        <v>-121.057599</v>
      </c>
      <c r="AO402">
        <v>25</v>
      </c>
      <c r="AP402">
        <v>2100</v>
      </c>
      <c r="AQ402" t="s">
        <v>131</v>
      </c>
      <c r="AR402">
        <v>73</v>
      </c>
      <c r="AS402">
        <v>0</v>
      </c>
      <c r="AT402">
        <v>832</v>
      </c>
      <c r="BB402" t="str">
        <f t="shared" si="155"/>
        <v>1200</v>
      </c>
      <c r="BC402">
        <v>1</v>
      </c>
      <c r="BD402" t="str">
        <f t="shared" si="156"/>
        <v xml:space="preserve">N52156  </v>
      </c>
      <c r="BE402">
        <v>1</v>
      </c>
      <c r="BG402">
        <v>0</v>
      </c>
      <c r="BH402">
        <v>0</v>
      </c>
      <c r="BI402">
        <v>0</v>
      </c>
      <c r="BJ402">
        <v>2025</v>
      </c>
      <c r="BK402">
        <v>-75</v>
      </c>
      <c r="BL402" t="s">
        <v>188</v>
      </c>
      <c r="BM402">
        <v>1</v>
      </c>
      <c r="BN402">
        <v>1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 t="shared" si="161"/>
        <v>15:05:38.991</v>
      </c>
      <c r="CF402">
        <v>991197578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133</v>
      </c>
      <c r="DA402">
        <v>275</v>
      </c>
      <c r="DB402">
        <v>0</v>
      </c>
      <c r="DC402" t="s">
        <v>134</v>
      </c>
      <c r="DD402" t="s">
        <v>135</v>
      </c>
      <c r="DG402">
        <v>3318340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"05/01/2025 15:05:39.233"</f>
        <v>05/01/2025 15:05:39.233</v>
      </c>
      <c r="C403" t="str">
        <f t="shared" si="152"/>
        <v>FFDFD3C0</v>
      </c>
      <c r="D403" t="s">
        <v>124</v>
      </c>
      <c r="E403" t="str">
        <f>"06"</f>
        <v>06</v>
      </c>
      <c r="F403">
        <v>2006</v>
      </c>
      <c r="G403" t="s">
        <v>125</v>
      </c>
      <c r="J403" t="s">
        <v>126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R403" t="s">
        <v>127</v>
      </c>
      <c r="S403" t="str">
        <f t="shared" si="160"/>
        <v>15:05:38.000</v>
      </c>
      <c r="T403" t="str">
        <f t="shared" si="160"/>
        <v>15:05:38.000</v>
      </c>
      <c r="U403" t="str">
        <f t="shared" si="154"/>
        <v>A68FCB</v>
      </c>
      <c r="V403">
        <v>0</v>
      </c>
      <c r="W403">
        <v>0</v>
      </c>
      <c r="X403">
        <v>2</v>
      </c>
      <c r="Y403">
        <v>0</v>
      </c>
      <c r="AA403">
        <v>1</v>
      </c>
      <c r="AB403">
        <v>8</v>
      </c>
      <c r="AC403">
        <v>3</v>
      </c>
      <c r="AD403">
        <v>0</v>
      </c>
      <c r="AE403">
        <v>9</v>
      </c>
      <c r="AF403" t="s">
        <v>138</v>
      </c>
      <c r="AG403">
        <v>0</v>
      </c>
      <c r="AH403">
        <v>3</v>
      </c>
      <c r="AI403">
        <v>1</v>
      </c>
      <c r="AJ403">
        <v>0</v>
      </c>
      <c r="AK403" t="s">
        <v>203</v>
      </c>
      <c r="AL403">
        <v>38.955652999999998</v>
      </c>
      <c r="AM403" t="s">
        <v>251</v>
      </c>
      <c r="AN403">
        <v>-121.057599</v>
      </c>
      <c r="AO403">
        <v>25</v>
      </c>
      <c r="AP403">
        <v>2100</v>
      </c>
      <c r="AQ403" t="s">
        <v>131</v>
      </c>
      <c r="AR403">
        <v>73</v>
      </c>
      <c r="AS403">
        <v>0</v>
      </c>
      <c r="AT403">
        <v>832</v>
      </c>
      <c r="BB403" t="str">
        <f t="shared" si="155"/>
        <v>1200</v>
      </c>
      <c r="BC403">
        <v>1</v>
      </c>
      <c r="BD403" t="str">
        <f t="shared" si="156"/>
        <v xml:space="preserve">N52156  </v>
      </c>
      <c r="BE403">
        <v>1</v>
      </c>
      <c r="BG403">
        <v>0</v>
      </c>
      <c r="BH403">
        <v>0</v>
      </c>
      <c r="BI403">
        <v>0</v>
      </c>
      <c r="BJ403">
        <v>2025</v>
      </c>
      <c r="BK403">
        <v>-75</v>
      </c>
      <c r="BL403" t="s">
        <v>188</v>
      </c>
      <c r="BM403">
        <v>1</v>
      </c>
      <c r="BN403">
        <v>1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 t="shared" si="161"/>
        <v>15:05:38.991</v>
      </c>
      <c r="CF403">
        <v>991197578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133</v>
      </c>
      <c r="DA403">
        <v>275</v>
      </c>
      <c r="DB403">
        <v>0</v>
      </c>
      <c r="DC403" t="s">
        <v>134</v>
      </c>
      <c r="DD403" t="s">
        <v>135</v>
      </c>
      <c r="DG403">
        <v>3318340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"05/01/2025 15:05:40.044"</f>
        <v>05/01/2025 15:05:40.044</v>
      </c>
      <c r="C404" t="str">
        <f t="shared" si="152"/>
        <v>FFDFD3C0</v>
      </c>
      <c r="D404" t="s">
        <v>136</v>
      </c>
      <c r="E404" t="str">
        <f>"20"</f>
        <v>20</v>
      </c>
      <c r="H404">
        <v>400</v>
      </c>
      <c r="I404" t="s">
        <v>137</v>
      </c>
      <c r="J404" t="s">
        <v>138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R404" t="s">
        <v>127</v>
      </c>
      <c r="S404" t="str">
        <f t="shared" ref="S404:T409" si="162">"15:05:39.000"</f>
        <v>15:05:39.000</v>
      </c>
      <c r="T404" t="str">
        <f t="shared" si="162"/>
        <v>15:05:39.000</v>
      </c>
      <c r="U404" t="str">
        <f t="shared" si="154"/>
        <v>A68FCB</v>
      </c>
      <c r="V404">
        <v>0</v>
      </c>
      <c r="W404">
        <v>0</v>
      </c>
      <c r="X404">
        <v>2</v>
      </c>
      <c r="Y404">
        <v>0</v>
      </c>
      <c r="AA404">
        <v>1</v>
      </c>
      <c r="AB404">
        <v>8</v>
      </c>
      <c r="AC404">
        <v>3</v>
      </c>
      <c r="AD404">
        <v>0</v>
      </c>
      <c r="AE404">
        <v>9</v>
      </c>
      <c r="AF404" t="s">
        <v>138</v>
      </c>
      <c r="AG404">
        <v>0</v>
      </c>
      <c r="AH404">
        <v>3</v>
      </c>
      <c r="AI404">
        <v>1</v>
      </c>
      <c r="AJ404">
        <v>0</v>
      </c>
      <c r="AK404" t="s">
        <v>252</v>
      </c>
      <c r="AL404">
        <v>38.955630999999997</v>
      </c>
      <c r="AM404" t="s">
        <v>253</v>
      </c>
      <c r="AN404">
        <v>-121.057169</v>
      </c>
      <c r="AO404">
        <v>25</v>
      </c>
      <c r="AP404">
        <v>2100</v>
      </c>
      <c r="AQ404" t="s">
        <v>131</v>
      </c>
      <c r="AR404">
        <v>72</v>
      </c>
      <c r="AS404">
        <v>0</v>
      </c>
      <c r="AT404">
        <v>640</v>
      </c>
      <c r="BB404" t="str">
        <f t="shared" si="155"/>
        <v>1200</v>
      </c>
      <c r="BC404">
        <v>1</v>
      </c>
      <c r="BD404" t="str">
        <f t="shared" si="156"/>
        <v xml:space="preserve">N52156  </v>
      </c>
      <c r="BE404">
        <v>1</v>
      </c>
      <c r="BG404">
        <v>0</v>
      </c>
      <c r="BH404">
        <v>0</v>
      </c>
      <c r="BI404">
        <v>0</v>
      </c>
      <c r="BJ404">
        <v>2025</v>
      </c>
      <c r="BK404">
        <v>-75</v>
      </c>
      <c r="BL404" t="s">
        <v>188</v>
      </c>
      <c r="BM404">
        <v>1</v>
      </c>
      <c r="BN404">
        <v>1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 t="shared" ref="CE404:CE409" si="163">"15:05:39.845"</f>
        <v>15:05:39.845</v>
      </c>
      <c r="CF404">
        <v>844947237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133</v>
      </c>
      <c r="DA404">
        <v>275</v>
      </c>
      <c r="DB404">
        <v>0</v>
      </c>
      <c r="DC404" t="s">
        <v>134</v>
      </c>
      <c r="DD404" t="s">
        <v>135</v>
      </c>
      <c r="DG404">
        <v>3318354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"05/01/2025 15:05:40.072"</f>
        <v>05/01/2025 15:05:40.072</v>
      </c>
      <c r="C405" t="str">
        <f t="shared" si="152"/>
        <v>FFDFD3C0</v>
      </c>
      <c r="D405" t="s">
        <v>140</v>
      </c>
      <c r="E405" t="str">
        <f>"13"</f>
        <v>13</v>
      </c>
      <c r="F405">
        <v>1019</v>
      </c>
      <c r="G405" t="s">
        <v>141</v>
      </c>
      <c r="J405" t="s">
        <v>142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R405" t="s">
        <v>127</v>
      </c>
      <c r="S405" t="str">
        <f t="shared" si="162"/>
        <v>15:05:39.000</v>
      </c>
      <c r="T405" t="str">
        <f t="shared" si="162"/>
        <v>15:05:39.000</v>
      </c>
      <c r="U405" t="str">
        <f t="shared" si="154"/>
        <v>A68FCB</v>
      </c>
      <c r="V405">
        <v>0</v>
      </c>
      <c r="W405">
        <v>0</v>
      </c>
      <c r="X405">
        <v>2</v>
      </c>
      <c r="Y405">
        <v>0</v>
      </c>
      <c r="AA405">
        <v>1</v>
      </c>
      <c r="AB405">
        <v>8</v>
      </c>
      <c r="AC405">
        <v>3</v>
      </c>
      <c r="AD405">
        <v>0</v>
      </c>
      <c r="AE405">
        <v>9</v>
      </c>
      <c r="AF405" t="s">
        <v>138</v>
      </c>
      <c r="AG405">
        <v>0</v>
      </c>
      <c r="AH405">
        <v>3</v>
      </c>
      <c r="AI405">
        <v>1</v>
      </c>
      <c r="AJ405">
        <v>0</v>
      </c>
      <c r="AK405" t="s">
        <v>252</v>
      </c>
      <c r="AL405">
        <v>38.955630999999997</v>
      </c>
      <c r="AM405" t="s">
        <v>253</v>
      </c>
      <c r="AN405">
        <v>-121.057169</v>
      </c>
      <c r="AO405">
        <v>25</v>
      </c>
      <c r="AP405">
        <v>2100</v>
      </c>
      <c r="AQ405" t="s">
        <v>131</v>
      </c>
      <c r="AR405">
        <v>72</v>
      </c>
      <c r="AS405">
        <v>0</v>
      </c>
      <c r="AT405">
        <v>640</v>
      </c>
      <c r="BB405" t="str">
        <f t="shared" si="155"/>
        <v>1200</v>
      </c>
      <c r="BC405">
        <v>1</v>
      </c>
      <c r="BD405" t="str">
        <f t="shared" si="156"/>
        <v xml:space="preserve">N52156  </v>
      </c>
      <c r="BE405">
        <v>1</v>
      </c>
      <c r="BG405">
        <v>0</v>
      </c>
      <c r="BH405">
        <v>0</v>
      </c>
      <c r="BI405">
        <v>0</v>
      </c>
      <c r="BJ405">
        <v>2025</v>
      </c>
      <c r="BK405">
        <v>-75</v>
      </c>
      <c r="BL405" t="s">
        <v>188</v>
      </c>
      <c r="BM405">
        <v>1</v>
      </c>
      <c r="BN405">
        <v>1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 t="shared" si="163"/>
        <v>15:05:39.845</v>
      </c>
      <c r="CF405">
        <v>844947237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133</v>
      </c>
      <c r="DA405">
        <v>275</v>
      </c>
      <c r="DB405">
        <v>0</v>
      </c>
      <c r="DC405" t="s">
        <v>134</v>
      </c>
      <c r="DD405" t="s">
        <v>135</v>
      </c>
      <c r="DG405">
        <v>3318354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"05/01/2025 15:05:40.080"</f>
        <v>05/01/2025 15:05:40.080</v>
      </c>
      <c r="C406" t="str">
        <f t="shared" si="152"/>
        <v>FFDFD3C0</v>
      </c>
      <c r="D406" t="s">
        <v>143</v>
      </c>
      <c r="E406" t="str">
        <f>"05"</f>
        <v>05</v>
      </c>
      <c r="H406">
        <v>172</v>
      </c>
      <c r="I406" t="s">
        <v>141</v>
      </c>
      <c r="J406" t="s">
        <v>144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R406" t="s">
        <v>127</v>
      </c>
      <c r="S406" t="str">
        <f t="shared" si="162"/>
        <v>15:05:39.000</v>
      </c>
      <c r="T406" t="str">
        <f t="shared" si="162"/>
        <v>15:05:39.000</v>
      </c>
      <c r="U406" t="str">
        <f t="shared" si="154"/>
        <v>A68FCB</v>
      </c>
      <c r="V406">
        <v>0</v>
      </c>
      <c r="W406">
        <v>0</v>
      </c>
      <c r="X406">
        <v>2</v>
      </c>
      <c r="Y406">
        <v>0</v>
      </c>
      <c r="AA406">
        <v>1</v>
      </c>
      <c r="AB406">
        <v>8</v>
      </c>
      <c r="AC406">
        <v>3</v>
      </c>
      <c r="AD406">
        <v>0</v>
      </c>
      <c r="AE406">
        <v>9</v>
      </c>
      <c r="AF406" t="s">
        <v>138</v>
      </c>
      <c r="AG406">
        <v>0</v>
      </c>
      <c r="AH406">
        <v>3</v>
      </c>
      <c r="AI406">
        <v>1</v>
      </c>
      <c r="AJ406">
        <v>0</v>
      </c>
      <c r="AK406" t="s">
        <v>252</v>
      </c>
      <c r="AL406">
        <v>38.955630999999997</v>
      </c>
      <c r="AM406" t="s">
        <v>253</v>
      </c>
      <c r="AN406">
        <v>-121.057169</v>
      </c>
      <c r="AO406">
        <v>25</v>
      </c>
      <c r="AP406">
        <v>2100</v>
      </c>
      <c r="AQ406" t="s">
        <v>131</v>
      </c>
      <c r="AR406">
        <v>72</v>
      </c>
      <c r="AS406">
        <v>0</v>
      </c>
      <c r="AT406">
        <v>640</v>
      </c>
      <c r="BB406" t="str">
        <f t="shared" si="155"/>
        <v>1200</v>
      </c>
      <c r="BC406">
        <v>1</v>
      </c>
      <c r="BD406" t="str">
        <f t="shared" si="156"/>
        <v xml:space="preserve">N52156  </v>
      </c>
      <c r="BE406">
        <v>1</v>
      </c>
      <c r="BG406">
        <v>0</v>
      </c>
      <c r="BH406">
        <v>0</v>
      </c>
      <c r="BI406">
        <v>0</v>
      </c>
      <c r="BJ406">
        <v>2025</v>
      </c>
      <c r="BK406">
        <v>-75</v>
      </c>
      <c r="BL406" t="s">
        <v>188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 t="shared" si="163"/>
        <v>15:05:39.845</v>
      </c>
      <c r="CF406">
        <v>844947237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133</v>
      </c>
      <c r="DA406">
        <v>275</v>
      </c>
      <c r="DB406">
        <v>0</v>
      </c>
      <c r="DC406" t="s">
        <v>134</v>
      </c>
      <c r="DD406" t="s">
        <v>135</v>
      </c>
      <c r="DG406">
        <v>3318354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"05/01/2025 15:05:40.083"</f>
        <v>05/01/2025 15:05:40.083</v>
      </c>
      <c r="C407" t="str">
        <f t="shared" si="152"/>
        <v>FFDFD3C0</v>
      </c>
      <c r="D407" t="s">
        <v>145</v>
      </c>
      <c r="E407" t="str">
        <f>"05"</f>
        <v>05</v>
      </c>
      <c r="H407">
        <v>47</v>
      </c>
      <c r="I407" t="s">
        <v>146</v>
      </c>
      <c r="J407" t="s">
        <v>138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R407" t="s">
        <v>127</v>
      </c>
      <c r="S407" t="str">
        <f t="shared" si="162"/>
        <v>15:05:39.000</v>
      </c>
      <c r="T407" t="str">
        <f t="shared" si="162"/>
        <v>15:05:39.000</v>
      </c>
      <c r="U407" t="str">
        <f t="shared" si="154"/>
        <v>A68FCB</v>
      </c>
      <c r="V407">
        <v>0</v>
      </c>
      <c r="W407">
        <v>0</v>
      </c>
      <c r="X407">
        <v>2</v>
      </c>
      <c r="Y407">
        <v>0</v>
      </c>
      <c r="AA407">
        <v>1</v>
      </c>
      <c r="AB407">
        <v>8</v>
      </c>
      <c r="AC407">
        <v>3</v>
      </c>
      <c r="AD407">
        <v>0</v>
      </c>
      <c r="AE407">
        <v>9</v>
      </c>
      <c r="AF407" t="s">
        <v>138</v>
      </c>
      <c r="AG407">
        <v>0</v>
      </c>
      <c r="AH407">
        <v>3</v>
      </c>
      <c r="AI407">
        <v>1</v>
      </c>
      <c r="AJ407">
        <v>0</v>
      </c>
      <c r="AK407" t="s">
        <v>252</v>
      </c>
      <c r="AL407">
        <v>38.955630999999997</v>
      </c>
      <c r="AM407" t="s">
        <v>253</v>
      </c>
      <c r="AN407">
        <v>-121.057169</v>
      </c>
      <c r="AO407">
        <v>25</v>
      </c>
      <c r="AP407">
        <v>2100</v>
      </c>
      <c r="AQ407" t="s">
        <v>131</v>
      </c>
      <c r="AR407">
        <v>72</v>
      </c>
      <c r="AS407">
        <v>0</v>
      </c>
      <c r="AT407">
        <v>640</v>
      </c>
      <c r="BB407" t="str">
        <f t="shared" si="155"/>
        <v>1200</v>
      </c>
      <c r="BC407">
        <v>1</v>
      </c>
      <c r="BD407" t="str">
        <f t="shared" si="156"/>
        <v xml:space="preserve">N52156  </v>
      </c>
      <c r="BE407">
        <v>1</v>
      </c>
      <c r="BG407">
        <v>0</v>
      </c>
      <c r="BH407">
        <v>0</v>
      </c>
      <c r="BI407">
        <v>0</v>
      </c>
      <c r="BJ407">
        <v>2025</v>
      </c>
      <c r="BK407">
        <v>-75</v>
      </c>
      <c r="BL407" t="s">
        <v>188</v>
      </c>
      <c r="BM407">
        <v>1</v>
      </c>
      <c r="BN407">
        <v>1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 t="shared" si="163"/>
        <v>15:05:39.845</v>
      </c>
      <c r="CF407">
        <v>844947237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133</v>
      </c>
      <c r="DA407">
        <v>275</v>
      </c>
      <c r="DB407">
        <v>0</v>
      </c>
      <c r="DC407" t="s">
        <v>134</v>
      </c>
      <c r="DD407" t="s">
        <v>135</v>
      </c>
      <c r="DG407">
        <v>3318354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"05/01/2025 15:05:40.083"</f>
        <v>05/01/2025 15:05:40.083</v>
      </c>
      <c r="C408" t="str">
        <f t="shared" si="152"/>
        <v>FFDFD3C0</v>
      </c>
      <c r="D408" t="s">
        <v>145</v>
      </c>
      <c r="E408" t="str">
        <f>"09"</f>
        <v>09</v>
      </c>
      <c r="H408">
        <v>51</v>
      </c>
      <c r="I408" t="s">
        <v>147</v>
      </c>
      <c r="J408" t="s">
        <v>138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R408" t="s">
        <v>127</v>
      </c>
      <c r="S408" t="str">
        <f t="shared" si="162"/>
        <v>15:05:39.000</v>
      </c>
      <c r="T408" t="str">
        <f t="shared" si="162"/>
        <v>15:05:39.000</v>
      </c>
      <c r="U408" t="str">
        <f t="shared" si="154"/>
        <v>A68FCB</v>
      </c>
      <c r="V408">
        <v>0</v>
      </c>
      <c r="W408">
        <v>0</v>
      </c>
      <c r="X408">
        <v>2</v>
      </c>
      <c r="Y408">
        <v>0</v>
      </c>
      <c r="AA408">
        <v>1</v>
      </c>
      <c r="AB408">
        <v>8</v>
      </c>
      <c r="AC408">
        <v>3</v>
      </c>
      <c r="AD408">
        <v>0</v>
      </c>
      <c r="AE408">
        <v>9</v>
      </c>
      <c r="AF408" t="s">
        <v>138</v>
      </c>
      <c r="AG408">
        <v>0</v>
      </c>
      <c r="AH408">
        <v>3</v>
      </c>
      <c r="AI408">
        <v>1</v>
      </c>
      <c r="AJ408">
        <v>0</v>
      </c>
      <c r="AK408" t="s">
        <v>252</v>
      </c>
      <c r="AL408">
        <v>38.955630999999997</v>
      </c>
      <c r="AM408" t="s">
        <v>253</v>
      </c>
      <c r="AN408">
        <v>-121.057169</v>
      </c>
      <c r="AO408">
        <v>25</v>
      </c>
      <c r="AP408">
        <v>2100</v>
      </c>
      <c r="AQ408" t="s">
        <v>131</v>
      </c>
      <c r="AR408">
        <v>72</v>
      </c>
      <c r="AS408">
        <v>0</v>
      </c>
      <c r="AT408">
        <v>640</v>
      </c>
      <c r="BB408" t="str">
        <f t="shared" si="155"/>
        <v>1200</v>
      </c>
      <c r="BC408">
        <v>1</v>
      </c>
      <c r="BD408" t="str">
        <f t="shared" si="156"/>
        <v xml:space="preserve">N52156  </v>
      </c>
      <c r="BE408">
        <v>1</v>
      </c>
      <c r="BG408">
        <v>0</v>
      </c>
      <c r="BH408">
        <v>0</v>
      </c>
      <c r="BI408">
        <v>0</v>
      </c>
      <c r="BJ408">
        <v>2025</v>
      </c>
      <c r="BK408">
        <v>-75</v>
      </c>
      <c r="BL408" t="s">
        <v>188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 t="shared" si="163"/>
        <v>15:05:39.845</v>
      </c>
      <c r="CF408">
        <v>844947237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133</v>
      </c>
      <c r="DA408">
        <v>275</v>
      </c>
      <c r="DB408">
        <v>0</v>
      </c>
      <c r="DC408" t="s">
        <v>134</v>
      </c>
      <c r="DD408" t="s">
        <v>135</v>
      </c>
      <c r="DG408">
        <v>3318354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"05/01/2025 15:05:40.085"</f>
        <v>05/01/2025 15:05:40.085</v>
      </c>
      <c r="C409" t="str">
        <f t="shared" si="152"/>
        <v>FFDFD3C0</v>
      </c>
      <c r="D409" t="s">
        <v>124</v>
      </c>
      <c r="E409" t="str">
        <f>"06"</f>
        <v>06</v>
      </c>
      <c r="F409">
        <v>2006</v>
      </c>
      <c r="G409" t="s">
        <v>125</v>
      </c>
      <c r="J409" t="s">
        <v>126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R409" t="s">
        <v>127</v>
      </c>
      <c r="S409" t="str">
        <f t="shared" si="162"/>
        <v>15:05:39.000</v>
      </c>
      <c r="T409" t="str">
        <f t="shared" si="162"/>
        <v>15:05:39.000</v>
      </c>
      <c r="U409" t="str">
        <f t="shared" si="154"/>
        <v>A68FCB</v>
      </c>
      <c r="V409">
        <v>0</v>
      </c>
      <c r="W409">
        <v>0</v>
      </c>
      <c r="X409">
        <v>2</v>
      </c>
      <c r="Y409">
        <v>0</v>
      </c>
      <c r="AA409">
        <v>1</v>
      </c>
      <c r="AB409">
        <v>8</v>
      </c>
      <c r="AC409">
        <v>3</v>
      </c>
      <c r="AD409">
        <v>0</v>
      </c>
      <c r="AE409">
        <v>9</v>
      </c>
      <c r="AF409" t="s">
        <v>138</v>
      </c>
      <c r="AG409">
        <v>0</v>
      </c>
      <c r="AH409">
        <v>3</v>
      </c>
      <c r="AI409">
        <v>1</v>
      </c>
      <c r="AJ409">
        <v>0</v>
      </c>
      <c r="AK409" t="s">
        <v>252</v>
      </c>
      <c r="AL409">
        <v>38.955630999999997</v>
      </c>
      <c r="AM409" t="s">
        <v>253</v>
      </c>
      <c r="AN409">
        <v>-121.057169</v>
      </c>
      <c r="AO409">
        <v>25</v>
      </c>
      <c r="AP409">
        <v>2100</v>
      </c>
      <c r="AQ409" t="s">
        <v>131</v>
      </c>
      <c r="AR409">
        <v>72</v>
      </c>
      <c r="AS409">
        <v>0</v>
      </c>
      <c r="AT409">
        <v>640</v>
      </c>
      <c r="BB409" t="str">
        <f t="shared" si="155"/>
        <v>1200</v>
      </c>
      <c r="BC409">
        <v>1</v>
      </c>
      <c r="BD409" t="str">
        <f t="shared" si="156"/>
        <v xml:space="preserve">N52156  </v>
      </c>
      <c r="BE409">
        <v>1</v>
      </c>
      <c r="BG409">
        <v>0</v>
      </c>
      <c r="BH409">
        <v>0</v>
      </c>
      <c r="BI409">
        <v>0</v>
      </c>
      <c r="BJ409">
        <v>2025</v>
      </c>
      <c r="BK409">
        <v>-75</v>
      </c>
      <c r="BL409" t="s">
        <v>188</v>
      </c>
      <c r="BM409">
        <v>1</v>
      </c>
      <c r="BN409">
        <v>1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 t="shared" si="163"/>
        <v>15:05:39.845</v>
      </c>
      <c r="CF409">
        <v>844947237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133</v>
      </c>
      <c r="DA409">
        <v>275</v>
      </c>
      <c r="DB409">
        <v>0</v>
      </c>
      <c r="DC409" t="s">
        <v>134</v>
      </c>
      <c r="DD409" t="s">
        <v>135</v>
      </c>
      <c r="DG409">
        <v>3318354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"05/01/2025 15:05:41.084"</f>
        <v>05/01/2025 15:05:41.084</v>
      </c>
      <c r="C410" t="str">
        <f t="shared" si="152"/>
        <v>FFDFD3C0</v>
      </c>
      <c r="D410" t="s">
        <v>145</v>
      </c>
      <c r="E410" t="str">
        <f>"05"</f>
        <v>05</v>
      </c>
      <c r="H410">
        <v>47</v>
      </c>
      <c r="I410" t="s">
        <v>146</v>
      </c>
      <c r="J410" t="s">
        <v>138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R410" t="s">
        <v>127</v>
      </c>
      <c r="S410" t="str">
        <f t="shared" ref="S410:T415" si="164">"15:05:40.000"</f>
        <v>15:05:40.000</v>
      </c>
      <c r="T410" t="str">
        <f t="shared" si="164"/>
        <v>15:05:40.000</v>
      </c>
      <c r="U410" t="str">
        <f t="shared" si="154"/>
        <v>A68FCB</v>
      </c>
      <c r="V410">
        <v>0</v>
      </c>
      <c r="W410">
        <v>0</v>
      </c>
      <c r="X410">
        <v>2</v>
      </c>
      <c r="Y410">
        <v>0</v>
      </c>
      <c r="AA410">
        <v>1</v>
      </c>
      <c r="AB410">
        <v>8</v>
      </c>
      <c r="AC410">
        <v>3</v>
      </c>
      <c r="AD410">
        <v>0</v>
      </c>
      <c r="AE410">
        <v>9</v>
      </c>
      <c r="AF410" t="s">
        <v>138</v>
      </c>
      <c r="AG410">
        <v>0</v>
      </c>
      <c r="AH410">
        <v>3</v>
      </c>
      <c r="AI410">
        <v>1</v>
      </c>
      <c r="AJ410">
        <v>0</v>
      </c>
      <c r="AK410" t="s">
        <v>254</v>
      </c>
      <c r="AL410">
        <v>38.955567000000002</v>
      </c>
      <c r="AM410" t="s">
        <v>255</v>
      </c>
      <c r="AN410">
        <v>-121.05676200000001</v>
      </c>
      <c r="AO410">
        <v>25</v>
      </c>
      <c r="AP410">
        <v>2100</v>
      </c>
      <c r="AQ410" t="s">
        <v>131</v>
      </c>
      <c r="AR410">
        <v>69</v>
      </c>
      <c r="AS410">
        <v>-1</v>
      </c>
      <c r="AT410">
        <v>832</v>
      </c>
      <c r="BB410" t="str">
        <f t="shared" si="155"/>
        <v>1200</v>
      </c>
      <c r="BC410">
        <v>1</v>
      </c>
      <c r="BD410" t="str">
        <f t="shared" si="156"/>
        <v xml:space="preserve">N52156  </v>
      </c>
      <c r="BE410">
        <v>1</v>
      </c>
      <c r="BG410">
        <v>0</v>
      </c>
      <c r="BH410">
        <v>0</v>
      </c>
      <c r="BI410">
        <v>0</v>
      </c>
      <c r="BJ410">
        <v>2075</v>
      </c>
      <c r="BK410">
        <v>-25</v>
      </c>
      <c r="BL410" t="s">
        <v>188</v>
      </c>
      <c r="BM410">
        <v>1</v>
      </c>
      <c r="BN410">
        <v>1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 t="shared" ref="CE410:CE415" si="165">"15:05:40.878"</f>
        <v>15:05:40.878</v>
      </c>
      <c r="CF410">
        <v>878197445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133</v>
      </c>
      <c r="DA410">
        <v>275</v>
      </c>
      <c r="DB410">
        <v>0</v>
      </c>
      <c r="DC410" t="s">
        <v>134</v>
      </c>
      <c r="DD410" t="s">
        <v>135</v>
      </c>
      <c r="DG410">
        <v>3318369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"05/01/2025 15:05:41.081"</f>
        <v>05/01/2025 15:05:41.081</v>
      </c>
      <c r="C411" t="str">
        <f t="shared" si="152"/>
        <v>FFDFD3C0</v>
      </c>
      <c r="D411" t="s">
        <v>143</v>
      </c>
      <c r="E411" t="str">
        <f>"05"</f>
        <v>05</v>
      </c>
      <c r="H411">
        <v>172</v>
      </c>
      <c r="I411" t="s">
        <v>141</v>
      </c>
      <c r="J411" t="s">
        <v>144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R411" t="s">
        <v>127</v>
      </c>
      <c r="S411" t="str">
        <f t="shared" si="164"/>
        <v>15:05:40.000</v>
      </c>
      <c r="T411" t="str">
        <f t="shared" si="164"/>
        <v>15:05:40.000</v>
      </c>
      <c r="U411" t="str">
        <f t="shared" si="154"/>
        <v>A68FCB</v>
      </c>
      <c r="V411">
        <v>0</v>
      </c>
      <c r="W411">
        <v>0</v>
      </c>
      <c r="X411">
        <v>2</v>
      </c>
      <c r="Y411">
        <v>0</v>
      </c>
      <c r="AA411">
        <v>1</v>
      </c>
      <c r="AB411">
        <v>8</v>
      </c>
      <c r="AC411">
        <v>3</v>
      </c>
      <c r="AD411">
        <v>0</v>
      </c>
      <c r="AE411">
        <v>9</v>
      </c>
      <c r="AF411" t="s">
        <v>138</v>
      </c>
      <c r="AG411">
        <v>0</v>
      </c>
      <c r="AH411">
        <v>3</v>
      </c>
      <c r="AI411">
        <v>1</v>
      </c>
      <c r="AJ411">
        <v>0</v>
      </c>
      <c r="AK411" t="s">
        <v>254</v>
      </c>
      <c r="AL411">
        <v>38.955567000000002</v>
      </c>
      <c r="AM411" t="s">
        <v>255</v>
      </c>
      <c r="AN411">
        <v>-121.05676200000001</v>
      </c>
      <c r="AO411">
        <v>25</v>
      </c>
      <c r="AP411">
        <v>2100</v>
      </c>
      <c r="AQ411" t="s">
        <v>131</v>
      </c>
      <c r="AR411">
        <v>69</v>
      </c>
      <c r="AS411">
        <v>-1</v>
      </c>
      <c r="AT411">
        <v>832</v>
      </c>
      <c r="BB411" t="str">
        <f t="shared" si="155"/>
        <v>1200</v>
      </c>
      <c r="BC411">
        <v>1</v>
      </c>
      <c r="BD411" t="str">
        <f t="shared" si="156"/>
        <v xml:space="preserve">N52156  </v>
      </c>
      <c r="BE411">
        <v>1</v>
      </c>
      <c r="BG411">
        <v>0</v>
      </c>
      <c r="BH411">
        <v>0</v>
      </c>
      <c r="BI411">
        <v>0</v>
      </c>
      <c r="BJ411">
        <v>2075</v>
      </c>
      <c r="BK411">
        <v>-25</v>
      </c>
      <c r="BL411" t="s">
        <v>188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 t="shared" si="165"/>
        <v>15:05:40.878</v>
      </c>
      <c r="CF411">
        <v>878197445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133</v>
      </c>
      <c r="DA411">
        <v>275</v>
      </c>
      <c r="DB411">
        <v>0</v>
      </c>
      <c r="DC411" t="s">
        <v>134</v>
      </c>
      <c r="DD411" t="s">
        <v>135</v>
      </c>
      <c r="DG411">
        <v>3318369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"05/01/2025 15:05:41.085"</f>
        <v>05/01/2025 15:05:41.085</v>
      </c>
      <c r="C412" t="str">
        <f t="shared" si="152"/>
        <v>FFDFD3C0</v>
      </c>
      <c r="D412" t="s">
        <v>145</v>
      </c>
      <c r="E412" t="str">
        <f>"09"</f>
        <v>09</v>
      </c>
      <c r="H412">
        <v>51</v>
      </c>
      <c r="I412" t="s">
        <v>147</v>
      </c>
      <c r="J412" t="s">
        <v>138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R412" t="s">
        <v>127</v>
      </c>
      <c r="S412" t="str">
        <f t="shared" si="164"/>
        <v>15:05:40.000</v>
      </c>
      <c r="T412" t="str">
        <f t="shared" si="164"/>
        <v>15:05:40.000</v>
      </c>
      <c r="U412" t="str">
        <f t="shared" si="154"/>
        <v>A68FCB</v>
      </c>
      <c r="V412">
        <v>0</v>
      </c>
      <c r="W412">
        <v>0</v>
      </c>
      <c r="X412">
        <v>2</v>
      </c>
      <c r="Y412">
        <v>0</v>
      </c>
      <c r="AA412">
        <v>1</v>
      </c>
      <c r="AB412">
        <v>8</v>
      </c>
      <c r="AC412">
        <v>3</v>
      </c>
      <c r="AD412">
        <v>0</v>
      </c>
      <c r="AE412">
        <v>9</v>
      </c>
      <c r="AF412" t="s">
        <v>138</v>
      </c>
      <c r="AG412">
        <v>0</v>
      </c>
      <c r="AH412">
        <v>3</v>
      </c>
      <c r="AI412">
        <v>1</v>
      </c>
      <c r="AJ412">
        <v>0</v>
      </c>
      <c r="AK412" t="s">
        <v>254</v>
      </c>
      <c r="AL412">
        <v>38.955567000000002</v>
      </c>
      <c r="AM412" t="s">
        <v>255</v>
      </c>
      <c r="AN412">
        <v>-121.05676200000001</v>
      </c>
      <c r="AO412">
        <v>25</v>
      </c>
      <c r="AP412">
        <v>2100</v>
      </c>
      <c r="AQ412" t="s">
        <v>131</v>
      </c>
      <c r="AR412">
        <v>69</v>
      </c>
      <c r="AS412">
        <v>-1</v>
      </c>
      <c r="AT412">
        <v>832</v>
      </c>
      <c r="BB412" t="str">
        <f t="shared" si="155"/>
        <v>1200</v>
      </c>
      <c r="BC412">
        <v>1</v>
      </c>
      <c r="BD412" t="str">
        <f t="shared" si="156"/>
        <v xml:space="preserve">N52156  </v>
      </c>
      <c r="BE412">
        <v>1</v>
      </c>
      <c r="BG412">
        <v>0</v>
      </c>
      <c r="BH412">
        <v>0</v>
      </c>
      <c r="BI412">
        <v>0</v>
      </c>
      <c r="BJ412">
        <v>2075</v>
      </c>
      <c r="BK412">
        <v>-25</v>
      </c>
      <c r="BL412" t="s">
        <v>188</v>
      </c>
      <c r="BM412">
        <v>1</v>
      </c>
      <c r="BN412">
        <v>1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 t="shared" si="165"/>
        <v>15:05:40.878</v>
      </c>
      <c r="CF412">
        <v>878197445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133</v>
      </c>
      <c r="DA412">
        <v>275</v>
      </c>
      <c r="DB412">
        <v>0</v>
      </c>
      <c r="DC412" t="s">
        <v>134</v>
      </c>
      <c r="DD412" t="s">
        <v>135</v>
      </c>
      <c r="DG412">
        <v>3318369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"05/01/2025 15:05:41.087"</f>
        <v>05/01/2025 15:05:41.087</v>
      </c>
      <c r="C413" t="str">
        <f t="shared" si="152"/>
        <v>FFDFD3C0</v>
      </c>
      <c r="D413" t="s">
        <v>124</v>
      </c>
      <c r="E413" t="str">
        <f>"06"</f>
        <v>06</v>
      </c>
      <c r="F413">
        <v>2006</v>
      </c>
      <c r="G413" t="s">
        <v>125</v>
      </c>
      <c r="J413" t="s">
        <v>126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R413" t="s">
        <v>127</v>
      </c>
      <c r="S413" t="str">
        <f t="shared" si="164"/>
        <v>15:05:40.000</v>
      </c>
      <c r="T413" t="str">
        <f t="shared" si="164"/>
        <v>15:05:40.000</v>
      </c>
      <c r="U413" t="str">
        <f t="shared" si="154"/>
        <v>A68FCB</v>
      </c>
      <c r="V413">
        <v>0</v>
      </c>
      <c r="W413">
        <v>0</v>
      </c>
      <c r="X413">
        <v>2</v>
      </c>
      <c r="Y413">
        <v>0</v>
      </c>
      <c r="AA413">
        <v>1</v>
      </c>
      <c r="AB413">
        <v>8</v>
      </c>
      <c r="AC413">
        <v>3</v>
      </c>
      <c r="AD413">
        <v>0</v>
      </c>
      <c r="AE413">
        <v>9</v>
      </c>
      <c r="AF413" t="s">
        <v>138</v>
      </c>
      <c r="AG413">
        <v>0</v>
      </c>
      <c r="AH413">
        <v>3</v>
      </c>
      <c r="AI413">
        <v>1</v>
      </c>
      <c r="AJ413">
        <v>0</v>
      </c>
      <c r="AK413" t="s">
        <v>254</v>
      </c>
      <c r="AL413">
        <v>38.955567000000002</v>
      </c>
      <c r="AM413" t="s">
        <v>255</v>
      </c>
      <c r="AN413">
        <v>-121.05676200000001</v>
      </c>
      <c r="AO413">
        <v>25</v>
      </c>
      <c r="AP413">
        <v>2100</v>
      </c>
      <c r="AQ413" t="s">
        <v>131</v>
      </c>
      <c r="AR413">
        <v>69</v>
      </c>
      <c r="AS413">
        <v>-1</v>
      </c>
      <c r="AT413">
        <v>832</v>
      </c>
      <c r="BB413" t="str">
        <f t="shared" si="155"/>
        <v>1200</v>
      </c>
      <c r="BC413">
        <v>1</v>
      </c>
      <c r="BD413" t="str">
        <f t="shared" si="156"/>
        <v xml:space="preserve">N52156  </v>
      </c>
      <c r="BE413">
        <v>1</v>
      </c>
      <c r="BG413">
        <v>0</v>
      </c>
      <c r="BH413">
        <v>0</v>
      </c>
      <c r="BI413">
        <v>0</v>
      </c>
      <c r="BJ413">
        <v>2075</v>
      </c>
      <c r="BK413">
        <v>-25</v>
      </c>
      <c r="BL413" t="s">
        <v>188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 t="shared" si="165"/>
        <v>15:05:40.878</v>
      </c>
      <c r="CF413">
        <v>878197445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133</v>
      </c>
      <c r="DA413">
        <v>275</v>
      </c>
      <c r="DB413">
        <v>0</v>
      </c>
      <c r="DC413" t="s">
        <v>134</v>
      </c>
      <c r="DD413" t="s">
        <v>135</v>
      </c>
      <c r="DG413">
        <v>3318369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"05/01/2025 15:05:41.096"</f>
        <v>05/01/2025 15:05:41.096</v>
      </c>
      <c r="C414" t="str">
        <f t="shared" si="152"/>
        <v>FFDFD3C0</v>
      </c>
      <c r="D414" t="s">
        <v>136</v>
      </c>
      <c r="E414" t="str">
        <f>"20"</f>
        <v>20</v>
      </c>
      <c r="H414">
        <v>400</v>
      </c>
      <c r="I414" t="s">
        <v>137</v>
      </c>
      <c r="J414" t="s">
        <v>138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R414" t="s">
        <v>127</v>
      </c>
      <c r="S414" t="str">
        <f t="shared" si="164"/>
        <v>15:05:40.000</v>
      </c>
      <c r="T414" t="str">
        <f t="shared" si="164"/>
        <v>15:05:40.000</v>
      </c>
      <c r="U414" t="str">
        <f t="shared" si="154"/>
        <v>A68FCB</v>
      </c>
      <c r="V414">
        <v>0</v>
      </c>
      <c r="W414">
        <v>0</v>
      </c>
      <c r="X414">
        <v>2</v>
      </c>
      <c r="Y414">
        <v>0</v>
      </c>
      <c r="AA414">
        <v>1</v>
      </c>
      <c r="AB414">
        <v>8</v>
      </c>
      <c r="AC414">
        <v>3</v>
      </c>
      <c r="AD414">
        <v>0</v>
      </c>
      <c r="AE414">
        <v>9</v>
      </c>
      <c r="AF414" t="s">
        <v>138</v>
      </c>
      <c r="AG414">
        <v>0</v>
      </c>
      <c r="AH414">
        <v>3</v>
      </c>
      <c r="AI414">
        <v>1</v>
      </c>
      <c r="AJ414">
        <v>0</v>
      </c>
      <c r="AK414" t="s">
        <v>254</v>
      </c>
      <c r="AL414">
        <v>38.955567000000002</v>
      </c>
      <c r="AM414" t="s">
        <v>255</v>
      </c>
      <c r="AN414">
        <v>-121.05676200000001</v>
      </c>
      <c r="AO414">
        <v>25</v>
      </c>
      <c r="AP414">
        <v>2100</v>
      </c>
      <c r="AQ414" t="s">
        <v>131</v>
      </c>
      <c r="AR414">
        <v>69</v>
      </c>
      <c r="AS414">
        <v>-1</v>
      </c>
      <c r="AT414">
        <v>832</v>
      </c>
      <c r="BB414" t="str">
        <f t="shared" si="155"/>
        <v>1200</v>
      </c>
      <c r="BC414">
        <v>1</v>
      </c>
      <c r="BD414" t="str">
        <f t="shared" si="156"/>
        <v xml:space="preserve">N52156  </v>
      </c>
      <c r="BE414">
        <v>1</v>
      </c>
      <c r="BG414">
        <v>0</v>
      </c>
      <c r="BH414">
        <v>0</v>
      </c>
      <c r="BI414">
        <v>0</v>
      </c>
      <c r="BJ414">
        <v>2075</v>
      </c>
      <c r="BK414">
        <v>-25</v>
      </c>
      <c r="BL414" t="s">
        <v>188</v>
      </c>
      <c r="BM414">
        <v>1</v>
      </c>
      <c r="BN414">
        <v>1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 t="shared" si="165"/>
        <v>15:05:40.878</v>
      </c>
      <c r="CF414">
        <v>878197445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133</v>
      </c>
      <c r="DA414">
        <v>275</v>
      </c>
      <c r="DB414">
        <v>0</v>
      </c>
      <c r="DC414" t="s">
        <v>134</v>
      </c>
      <c r="DD414" t="s">
        <v>135</v>
      </c>
      <c r="DG414">
        <v>3318369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"05/01/2025 15:05:41.124"</f>
        <v>05/01/2025 15:05:41.124</v>
      </c>
      <c r="C415" t="str">
        <f t="shared" si="152"/>
        <v>FFDFD3C0</v>
      </c>
      <c r="D415" t="s">
        <v>140</v>
      </c>
      <c r="E415" t="str">
        <f>"13"</f>
        <v>13</v>
      </c>
      <c r="F415">
        <v>1019</v>
      </c>
      <c r="G415" t="s">
        <v>141</v>
      </c>
      <c r="J415" t="s">
        <v>142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R415" t="s">
        <v>127</v>
      </c>
      <c r="S415" t="str">
        <f t="shared" si="164"/>
        <v>15:05:40.000</v>
      </c>
      <c r="T415" t="str">
        <f t="shared" si="164"/>
        <v>15:05:40.000</v>
      </c>
      <c r="U415" t="str">
        <f t="shared" si="154"/>
        <v>A68FCB</v>
      </c>
      <c r="V415">
        <v>0</v>
      </c>
      <c r="W415">
        <v>0</v>
      </c>
      <c r="X415">
        <v>2</v>
      </c>
      <c r="Y415">
        <v>0</v>
      </c>
      <c r="AA415">
        <v>1</v>
      </c>
      <c r="AB415">
        <v>8</v>
      </c>
      <c r="AC415">
        <v>3</v>
      </c>
      <c r="AD415">
        <v>0</v>
      </c>
      <c r="AE415">
        <v>9</v>
      </c>
      <c r="AF415" t="s">
        <v>138</v>
      </c>
      <c r="AG415">
        <v>0</v>
      </c>
      <c r="AH415">
        <v>3</v>
      </c>
      <c r="AI415">
        <v>1</v>
      </c>
      <c r="AJ415">
        <v>0</v>
      </c>
      <c r="AK415" t="s">
        <v>254</v>
      </c>
      <c r="AL415">
        <v>38.955567000000002</v>
      </c>
      <c r="AM415" t="s">
        <v>255</v>
      </c>
      <c r="AN415">
        <v>-121.05676200000001</v>
      </c>
      <c r="AO415">
        <v>25</v>
      </c>
      <c r="AP415">
        <v>2100</v>
      </c>
      <c r="AQ415" t="s">
        <v>131</v>
      </c>
      <c r="AR415">
        <v>69</v>
      </c>
      <c r="AS415">
        <v>-1</v>
      </c>
      <c r="AT415">
        <v>832</v>
      </c>
      <c r="BB415" t="str">
        <f t="shared" si="155"/>
        <v>1200</v>
      </c>
      <c r="BC415">
        <v>1</v>
      </c>
      <c r="BD415" t="str">
        <f t="shared" si="156"/>
        <v xml:space="preserve">N52156  </v>
      </c>
      <c r="BE415">
        <v>1</v>
      </c>
      <c r="BG415">
        <v>0</v>
      </c>
      <c r="BH415">
        <v>0</v>
      </c>
      <c r="BI415">
        <v>0</v>
      </c>
      <c r="BJ415">
        <v>2075</v>
      </c>
      <c r="BK415">
        <v>-25</v>
      </c>
      <c r="BL415" t="s">
        <v>188</v>
      </c>
      <c r="BM415">
        <v>1</v>
      </c>
      <c r="BN415">
        <v>1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 t="shared" si="165"/>
        <v>15:05:40.878</v>
      </c>
      <c r="CF415">
        <v>878197445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133</v>
      </c>
      <c r="DA415">
        <v>275</v>
      </c>
      <c r="DB415">
        <v>0</v>
      </c>
      <c r="DC415" t="s">
        <v>134</v>
      </c>
      <c r="DD415" t="s">
        <v>135</v>
      </c>
      <c r="DG415">
        <v>3318369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"05/01/2025 15:05:41.976"</f>
        <v>05/01/2025 15:05:41.976</v>
      </c>
      <c r="C416" t="str">
        <f t="shared" si="152"/>
        <v>FFDFD3C0</v>
      </c>
      <c r="D416" t="s">
        <v>140</v>
      </c>
      <c r="E416" t="str">
        <f>"13"</f>
        <v>13</v>
      </c>
      <c r="F416">
        <v>1019</v>
      </c>
      <c r="G416" t="s">
        <v>141</v>
      </c>
      <c r="J416" t="s">
        <v>142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R416" t="s">
        <v>127</v>
      </c>
      <c r="S416" t="str">
        <f t="shared" ref="S416:T421" si="166">"15:05:41.000"</f>
        <v>15:05:41.000</v>
      </c>
      <c r="T416" t="str">
        <f t="shared" si="166"/>
        <v>15:05:41.000</v>
      </c>
      <c r="U416" t="str">
        <f t="shared" si="154"/>
        <v>A68FCB</v>
      </c>
      <c r="V416">
        <v>0</v>
      </c>
      <c r="W416">
        <v>0</v>
      </c>
      <c r="X416">
        <v>2</v>
      </c>
      <c r="Y416">
        <v>0</v>
      </c>
      <c r="AA416">
        <v>1</v>
      </c>
      <c r="AB416">
        <v>8</v>
      </c>
      <c r="AC416">
        <v>3</v>
      </c>
      <c r="AD416">
        <v>0</v>
      </c>
      <c r="AE416">
        <v>9</v>
      </c>
      <c r="AF416" t="s">
        <v>138</v>
      </c>
      <c r="AG416">
        <v>0</v>
      </c>
      <c r="AH416">
        <v>3</v>
      </c>
      <c r="AI416">
        <v>1</v>
      </c>
      <c r="AJ416">
        <v>0</v>
      </c>
      <c r="AK416" t="s">
        <v>254</v>
      </c>
      <c r="AL416">
        <v>38.955567000000002</v>
      </c>
      <c r="AM416" t="s">
        <v>256</v>
      </c>
      <c r="AN416">
        <v>-121.056333</v>
      </c>
      <c r="AO416">
        <v>25</v>
      </c>
      <c r="AP416">
        <v>2100</v>
      </c>
      <c r="AQ416" t="s">
        <v>131</v>
      </c>
      <c r="AR416">
        <v>69</v>
      </c>
      <c r="AS416">
        <v>0</v>
      </c>
      <c r="AT416">
        <v>832</v>
      </c>
      <c r="BB416" t="str">
        <f t="shared" si="155"/>
        <v>1200</v>
      </c>
      <c r="BC416">
        <v>1</v>
      </c>
      <c r="BD416" t="str">
        <f t="shared" si="156"/>
        <v xml:space="preserve">N52156  </v>
      </c>
      <c r="BE416">
        <v>1</v>
      </c>
      <c r="BG416">
        <v>0</v>
      </c>
      <c r="BH416">
        <v>0</v>
      </c>
      <c r="BI416">
        <v>0</v>
      </c>
      <c r="BJ416">
        <v>2075</v>
      </c>
      <c r="BK416">
        <v>-25</v>
      </c>
      <c r="BL416" t="s">
        <v>188</v>
      </c>
      <c r="BM416">
        <v>1</v>
      </c>
      <c r="BN416">
        <v>1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 t="shared" ref="CE416:CE421" si="167">"15:05:41.742"</f>
        <v>15:05:41.742</v>
      </c>
      <c r="CF416">
        <v>741697207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133</v>
      </c>
      <c r="DA416">
        <v>275</v>
      </c>
      <c r="DB416">
        <v>0</v>
      </c>
      <c r="DC416" t="s">
        <v>134</v>
      </c>
      <c r="DD416" t="s">
        <v>135</v>
      </c>
      <c r="DG416">
        <v>3318383</v>
      </c>
      <c r="DI416">
        <v>1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"05/01/2025 15:05:41.983"</f>
        <v>05/01/2025 15:05:41.983</v>
      </c>
      <c r="C417" t="str">
        <f t="shared" si="152"/>
        <v>FFDFD3C0</v>
      </c>
      <c r="D417" t="s">
        <v>143</v>
      </c>
      <c r="E417" t="str">
        <f>"05"</f>
        <v>05</v>
      </c>
      <c r="H417">
        <v>172</v>
      </c>
      <c r="I417" t="s">
        <v>141</v>
      </c>
      <c r="J417" t="s">
        <v>144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R417" t="s">
        <v>127</v>
      </c>
      <c r="S417" t="str">
        <f t="shared" si="166"/>
        <v>15:05:41.000</v>
      </c>
      <c r="T417" t="str">
        <f t="shared" si="166"/>
        <v>15:05:41.000</v>
      </c>
      <c r="U417" t="str">
        <f t="shared" si="154"/>
        <v>A68FCB</v>
      </c>
      <c r="V417">
        <v>0</v>
      </c>
      <c r="W417">
        <v>0</v>
      </c>
      <c r="X417">
        <v>2</v>
      </c>
      <c r="Y417">
        <v>0</v>
      </c>
      <c r="AA417">
        <v>1</v>
      </c>
      <c r="AB417">
        <v>8</v>
      </c>
      <c r="AC417">
        <v>3</v>
      </c>
      <c r="AD417">
        <v>0</v>
      </c>
      <c r="AE417">
        <v>9</v>
      </c>
      <c r="AF417" t="s">
        <v>138</v>
      </c>
      <c r="AG417">
        <v>0</v>
      </c>
      <c r="AH417">
        <v>3</v>
      </c>
      <c r="AI417">
        <v>1</v>
      </c>
      <c r="AJ417">
        <v>0</v>
      </c>
      <c r="AK417" t="s">
        <v>254</v>
      </c>
      <c r="AL417">
        <v>38.955567000000002</v>
      </c>
      <c r="AM417" t="s">
        <v>256</v>
      </c>
      <c r="AN417">
        <v>-121.056333</v>
      </c>
      <c r="AO417">
        <v>25</v>
      </c>
      <c r="AP417">
        <v>2100</v>
      </c>
      <c r="AQ417" t="s">
        <v>131</v>
      </c>
      <c r="AR417">
        <v>69</v>
      </c>
      <c r="AS417">
        <v>0</v>
      </c>
      <c r="AT417">
        <v>832</v>
      </c>
      <c r="BB417" t="str">
        <f t="shared" si="155"/>
        <v>1200</v>
      </c>
      <c r="BC417">
        <v>1</v>
      </c>
      <c r="BD417" t="str">
        <f t="shared" si="156"/>
        <v xml:space="preserve">N52156  </v>
      </c>
      <c r="BE417">
        <v>1</v>
      </c>
      <c r="BG417">
        <v>0</v>
      </c>
      <c r="BH417">
        <v>0</v>
      </c>
      <c r="BI417">
        <v>0</v>
      </c>
      <c r="BJ417">
        <v>2075</v>
      </c>
      <c r="BK417">
        <v>-25</v>
      </c>
      <c r="BL417" t="s">
        <v>188</v>
      </c>
      <c r="BM417">
        <v>1</v>
      </c>
      <c r="BN417">
        <v>1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 t="shared" si="167"/>
        <v>15:05:41.742</v>
      </c>
      <c r="CF417">
        <v>741697207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133</v>
      </c>
      <c r="DA417">
        <v>275</v>
      </c>
      <c r="DB417">
        <v>0</v>
      </c>
      <c r="DC417" t="s">
        <v>134</v>
      </c>
      <c r="DD417" t="s">
        <v>135</v>
      </c>
      <c r="DG417">
        <v>3318383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"05/01/2025 15:05:41.987"</f>
        <v>05/01/2025 15:05:41.987</v>
      </c>
      <c r="C418" t="str">
        <f t="shared" si="152"/>
        <v>FFDFD3C0</v>
      </c>
      <c r="D418" t="s">
        <v>145</v>
      </c>
      <c r="E418" t="str">
        <f>"09"</f>
        <v>09</v>
      </c>
      <c r="H418">
        <v>51</v>
      </c>
      <c r="I418" t="s">
        <v>147</v>
      </c>
      <c r="J418" t="s">
        <v>138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R418" t="s">
        <v>127</v>
      </c>
      <c r="S418" t="str">
        <f t="shared" si="166"/>
        <v>15:05:41.000</v>
      </c>
      <c r="T418" t="str">
        <f t="shared" si="166"/>
        <v>15:05:41.000</v>
      </c>
      <c r="U418" t="str">
        <f t="shared" si="154"/>
        <v>A68FCB</v>
      </c>
      <c r="V418">
        <v>0</v>
      </c>
      <c r="W418">
        <v>0</v>
      </c>
      <c r="X418">
        <v>2</v>
      </c>
      <c r="Y418">
        <v>0</v>
      </c>
      <c r="AA418">
        <v>1</v>
      </c>
      <c r="AB418">
        <v>8</v>
      </c>
      <c r="AC418">
        <v>3</v>
      </c>
      <c r="AD418">
        <v>0</v>
      </c>
      <c r="AE418">
        <v>9</v>
      </c>
      <c r="AF418" t="s">
        <v>138</v>
      </c>
      <c r="AG418">
        <v>0</v>
      </c>
      <c r="AH418">
        <v>3</v>
      </c>
      <c r="AI418">
        <v>1</v>
      </c>
      <c r="AJ418">
        <v>0</v>
      </c>
      <c r="AK418" t="s">
        <v>254</v>
      </c>
      <c r="AL418">
        <v>38.955567000000002</v>
      </c>
      <c r="AM418" t="s">
        <v>256</v>
      </c>
      <c r="AN418">
        <v>-121.056333</v>
      </c>
      <c r="AO418">
        <v>25</v>
      </c>
      <c r="AP418">
        <v>2100</v>
      </c>
      <c r="AQ418" t="s">
        <v>131</v>
      </c>
      <c r="AR418">
        <v>69</v>
      </c>
      <c r="AS418">
        <v>0</v>
      </c>
      <c r="AT418">
        <v>832</v>
      </c>
      <c r="BB418" t="str">
        <f t="shared" si="155"/>
        <v>1200</v>
      </c>
      <c r="BC418">
        <v>1</v>
      </c>
      <c r="BD418" t="str">
        <f t="shared" si="156"/>
        <v xml:space="preserve">N52156  </v>
      </c>
      <c r="BE418">
        <v>1</v>
      </c>
      <c r="BG418">
        <v>0</v>
      </c>
      <c r="BH418">
        <v>0</v>
      </c>
      <c r="BI418">
        <v>0</v>
      </c>
      <c r="BJ418">
        <v>2075</v>
      </c>
      <c r="BK418">
        <v>-25</v>
      </c>
      <c r="BL418" t="s">
        <v>188</v>
      </c>
      <c r="BM418">
        <v>1</v>
      </c>
      <c r="BN418">
        <v>1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 t="shared" si="167"/>
        <v>15:05:41.742</v>
      </c>
      <c r="CF418">
        <v>741697207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133</v>
      </c>
      <c r="DA418">
        <v>275</v>
      </c>
      <c r="DB418">
        <v>0</v>
      </c>
      <c r="DC418" t="s">
        <v>134</v>
      </c>
      <c r="DD418" t="s">
        <v>135</v>
      </c>
      <c r="DG418">
        <v>3318383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"05/01/2025 15:05:41.986"</f>
        <v>05/01/2025 15:05:41.986</v>
      </c>
      <c r="C419" t="str">
        <f t="shared" si="152"/>
        <v>FFDFD3C0</v>
      </c>
      <c r="D419" t="s">
        <v>145</v>
      </c>
      <c r="E419" t="str">
        <f>"05"</f>
        <v>05</v>
      </c>
      <c r="H419">
        <v>47</v>
      </c>
      <c r="I419" t="s">
        <v>146</v>
      </c>
      <c r="J419" t="s">
        <v>138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R419" t="s">
        <v>127</v>
      </c>
      <c r="S419" t="str">
        <f t="shared" si="166"/>
        <v>15:05:41.000</v>
      </c>
      <c r="T419" t="str">
        <f t="shared" si="166"/>
        <v>15:05:41.000</v>
      </c>
      <c r="U419" t="str">
        <f t="shared" si="154"/>
        <v>A68FCB</v>
      </c>
      <c r="V419">
        <v>0</v>
      </c>
      <c r="W419">
        <v>0</v>
      </c>
      <c r="X419">
        <v>2</v>
      </c>
      <c r="Y419">
        <v>0</v>
      </c>
      <c r="AA419">
        <v>1</v>
      </c>
      <c r="AB419">
        <v>8</v>
      </c>
      <c r="AC419">
        <v>3</v>
      </c>
      <c r="AD419">
        <v>0</v>
      </c>
      <c r="AE419">
        <v>9</v>
      </c>
      <c r="AF419" t="s">
        <v>138</v>
      </c>
      <c r="AG419">
        <v>0</v>
      </c>
      <c r="AH419">
        <v>3</v>
      </c>
      <c r="AI419">
        <v>1</v>
      </c>
      <c r="AJ419">
        <v>0</v>
      </c>
      <c r="AK419" t="s">
        <v>254</v>
      </c>
      <c r="AL419">
        <v>38.955567000000002</v>
      </c>
      <c r="AM419" t="s">
        <v>256</v>
      </c>
      <c r="AN419">
        <v>-121.056333</v>
      </c>
      <c r="AO419">
        <v>25</v>
      </c>
      <c r="AP419">
        <v>2100</v>
      </c>
      <c r="AQ419" t="s">
        <v>131</v>
      </c>
      <c r="AR419">
        <v>69</v>
      </c>
      <c r="AS419">
        <v>0</v>
      </c>
      <c r="AT419">
        <v>832</v>
      </c>
      <c r="BB419" t="str">
        <f t="shared" si="155"/>
        <v>1200</v>
      </c>
      <c r="BC419">
        <v>1</v>
      </c>
      <c r="BD419" t="str">
        <f t="shared" si="156"/>
        <v xml:space="preserve">N52156  </v>
      </c>
      <c r="BE419">
        <v>1</v>
      </c>
      <c r="BG419">
        <v>0</v>
      </c>
      <c r="BH419">
        <v>0</v>
      </c>
      <c r="BI419">
        <v>0</v>
      </c>
      <c r="BJ419">
        <v>2075</v>
      </c>
      <c r="BK419">
        <v>-25</v>
      </c>
      <c r="BL419" t="s">
        <v>188</v>
      </c>
      <c r="BM419">
        <v>1</v>
      </c>
      <c r="BN419">
        <v>1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 t="shared" si="167"/>
        <v>15:05:41.742</v>
      </c>
      <c r="CF419">
        <v>741697207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133</v>
      </c>
      <c r="DA419">
        <v>275</v>
      </c>
      <c r="DB419">
        <v>0</v>
      </c>
      <c r="DC419" t="s">
        <v>134</v>
      </c>
      <c r="DD419" t="s">
        <v>135</v>
      </c>
      <c r="DG419">
        <v>3318383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"05/01/2025 15:05:41.988"</f>
        <v>05/01/2025 15:05:41.988</v>
      </c>
      <c r="C420" t="str">
        <f t="shared" si="152"/>
        <v>FFDFD3C0</v>
      </c>
      <c r="D420" t="s">
        <v>124</v>
      </c>
      <c r="E420" t="str">
        <f>"06"</f>
        <v>06</v>
      </c>
      <c r="F420">
        <v>2006</v>
      </c>
      <c r="G420" t="s">
        <v>125</v>
      </c>
      <c r="J420" t="s">
        <v>126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R420" t="s">
        <v>127</v>
      </c>
      <c r="S420" t="str">
        <f t="shared" si="166"/>
        <v>15:05:41.000</v>
      </c>
      <c r="T420" t="str">
        <f t="shared" si="166"/>
        <v>15:05:41.000</v>
      </c>
      <c r="U420" t="str">
        <f t="shared" si="154"/>
        <v>A68FCB</v>
      </c>
      <c r="V420">
        <v>0</v>
      </c>
      <c r="W420">
        <v>0</v>
      </c>
      <c r="X420">
        <v>2</v>
      </c>
      <c r="Y420">
        <v>0</v>
      </c>
      <c r="AA420">
        <v>1</v>
      </c>
      <c r="AB420">
        <v>8</v>
      </c>
      <c r="AC420">
        <v>3</v>
      </c>
      <c r="AD420">
        <v>0</v>
      </c>
      <c r="AE420">
        <v>9</v>
      </c>
      <c r="AF420" t="s">
        <v>138</v>
      </c>
      <c r="AG420">
        <v>0</v>
      </c>
      <c r="AH420">
        <v>3</v>
      </c>
      <c r="AI420">
        <v>1</v>
      </c>
      <c r="AJ420">
        <v>0</v>
      </c>
      <c r="AK420" t="s">
        <v>254</v>
      </c>
      <c r="AL420">
        <v>38.955567000000002</v>
      </c>
      <c r="AM420" t="s">
        <v>256</v>
      </c>
      <c r="AN420">
        <v>-121.056333</v>
      </c>
      <c r="AO420">
        <v>25</v>
      </c>
      <c r="AP420">
        <v>2100</v>
      </c>
      <c r="AQ420" t="s">
        <v>131</v>
      </c>
      <c r="AR420">
        <v>69</v>
      </c>
      <c r="AS420">
        <v>0</v>
      </c>
      <c r="AT420">
        <v>832</v>
      </c>
      <c r="BB420" t="str">
        <f t="shared" si="155"/>
        <v>1200</v>
      </c>
      <c r="BC420">
        <v>1</v>
      </c>
      <c r="BD420" t="str">
        <f t="shared" si="156"/>
        <v xml:space="preserve">N52156  </v>
      </c>
      <c r="BE420">
        <v>1</v>
      </c>
      <c r="BG420">
        <v>0</v>
      </c>
      <c r="BH420">
        <v>0</v>
      </c>
      <c r="BI420">
        <v>0</v>
      </c>
      <c r="BJ420">
        <v>2075</v>
      </c>
      <c r="BK420">
        <v>-25</v>
      </c>
      <c r="BL420" t="s">
        <v>188</v>
      </c>
      <c r="BM420">
        <v>1</v>
      </c>
      <c r="BN420">
        <v>1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 t="shared" si="167"/>
        <v>15:05:41.742</v>
      </c>
      <c r="CF420">
        <v>741697207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133</v>
      </c>
      <c r="DA420">
        <v>275</v>
      </c>
      <c r="DB420">
        <v>0</v>
      </c>
      <c r="DC420" t="s">
        <v>134</v>
      </c>
      <c r="DD420" t="s">
        <v>135</v>
      </c>
      <c r="DG420">
        <v>3318383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"05/01/2025 15:05:41.998"</f>
        <v>05/01/2025 15:05:41.998</v>
      </c>
      <c r="C421" t="str">
        <f t="shared" si="152"/>
        <v>FFDFD3C0</v>
      </c>
      <c r="D421" t="s">
        <v>136</v>
      </c>
      <c r="E421" t="str">
        <f>"20"</f>
        <v>20</v>
      </c>
      <c r="H421">
        <v>400</v>
      </c>
      <c r="I421" t="s">
        <v>137</v>
      </c>
      <c r="J421" t="s">
        <v>138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R421" t="s">
        <v>127</v>
      </c>
      <c r="S421" t="str">
        <f t="shared" si="166"/>
        <v>15:05:41.000</v>
      </c>
      <c r="T421" t="str">
        <f t="shared" si="166"/>
        <v>15:05:41.000</v>
      </c>
      <c r="U421" t="str">
        <f t="shared" si="154"/>
        <v>A68FCB</v>
      </c>
      <c r="V421">
        <v>0</v>
      </c>
      <c r="W421">
        <v>0</v>
      </c>
      <c r="X421">
        <v>2</v>
      </c>
      <c r="Y421">
        <v>0</v>
      </c>
      <c r="AA421">
        <v>1</v>
      </c>
      <c r="AB421">
        <v>8</v>
      </c>
      <c r="AC421">
        <v>3</v>
      </c>
      <c r="AD421">
        <v>0</v>
      </c>
      <c r="AE421">
        <v>9</v>
      </c>
      <c r="AF421" t="s">
        <v>138</v>
      </c>
      <c r="AG421">
        <v>0</v>
      </c>
      <c r="AH421">
        <v>3</v>
      </c>
      <c r="AI421">
        <v>1</v>
      </c>
      <c r="AJ421">
        <v>0</v>
      </c>
      <c r="AK421" t="s">
        <v>254</v>
      </c>
      <c r="AL421">
        <v>38.955567000000002</v>
      </c>
      <c r="AM421" t="s">
        <v>256</v>
      </c>
      <c r="AN421">
        <v>-121.056333</v>
      </c>
      <c r="AO421">
        <v>25</v>
      </c>
      <c r="AP421">
        <v>2100</v>
      </c>
      <c r="AQ421" t="s">
        <v>131</v>
      </c>
      <c r="AR421">
        <v>69</v>
      </c>
      <c r="AS421">
        <v>0</v>
      </c>
      <c r="AT421">
        <v>832</v>
      </c>
      <c r="BB421" t="str">
        <f t="shared" si="155"/>
        <v>1200</v>
      </c>
      <c r="BC421">
        <v>1</v>
      </c>
      <c r="BD421" t="str">
        <f t="shared" si="156"/>
        <v xml:space="preserve">N52156  </v>
      </c>
      <c r="BE421">
        <v>1</v>
      </c>
      <c r="BG421">
        <v>0</v>
      </c>
      <c r="BH421">
        <v>0</v>
      </c>
      <c r="BI421">
        <v>0</v>
      </c>
      <c r="BJ421">
        <v>2075</v>
      </c>
      <c r="BK421">
        <v>-25</v>
      </c>
      <c r="BL421" t="s">
        <v>188</v>
      </c>
      <c r="BM421">
        <v>1</v>
      </c>
      <c r="BN421">
        <v>1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 t="shared" si="167"/>
        <v>15:05:41.742</v>
      </c>
      <c r="CF421">
        <v>741697207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133</v>
      </c>
      <c r="DA421">
        <v>275</v>
      </c>
      <c r="DB421">
        <v>0</v>
      </c>
      <c r="DC421" t="s">
        <v>134</v>
      </c>
      <c r="DD421" t="s">
        <v>135</v>
      </c>
      <c r="DG421">
        <v>3318383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"05/01/2025 15:05:42.785"</f>
        <v>05/01/2025 15:05:42.785</v>
      </c>
      <c r="C422" t="str">
        <f t="shared" si="152"/>
        <v>FFDFD3C0</v>
      </c>
      <c r="D422" t="s">
        <v>143</v>
      </c>
      <c r="E422" t="str">
        <f>"05"</f>
        <v>05</v>
      </c>
      <c r="H422">
        <v>172</v>
      </c>
      <c r="I422" t="s">
        <v>141</v>
      </c>
      <c r="J422" t="s">
        <v>144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R422" t="s">
        <v>127</v>
      </c>
      <c r="S422" t="str">
        <f t="shared" ref="S422:T427" si="168">"15:05:42.000"</f>
        <v>15:05:42.000</v>
      </c>
      <c r="T422" t="str">
        <f t="shared" si="168"/>
        <v>15:05:42.000</v>
      </c>
      <c r="U422" t="str">
        <f t="shared" si="154"/>
        <v>A68FCB</v>
      </c>
      <c r="V422">
        <v>0</v>
      </c>
      <c r="W422">
        <v>0</v>
      </c>
      <c r="X422">
        <v>2</v>
      </c>
      <c r="Y422">
        <v>0</v>
      </c>
      <c r="AA422">
        <v>1</v>
      </c>
      <c r="AB422">
        <v>8</v>
      </c>
      <c r="AC422">
        <v>3</v>
      </c>
      <c r="AD422">
        <v>0</v>
      </c>
      <c r="AE422">
        <v>9</v>
      </c>
      <c r="AF422" t="s">
        <v>138</v>
      </c>
      <c r="AG422">
        <v>0</v>
      </c>
      <c r="AH422">
        <v>3</v>
      </c>
      <c r="AI422">
        <v>1</v>
      </c>
      <c r="AJ422">
        <v>0</v>
      </c>
      <c r="AK422" t="s">
        <v>197</v>
      </c>
      <c r="AL422">
        <v>38.955545000000001</v>
      </c>
      <c r="AM422" t="s">
        <v>257</v>
      </c>
      <c r="AN422">
        <v>-121.055925</v>
      </c>
      <c r="AO422">
        <v>25</v>
      </c>
      <c r="AP422">
        <v>2200</v>
      </c>
      <c r="AQ422" t="s">
        <v>131</v>
      </c>
      <c r="AR422">
        <v>69</v>
      </c>
      <c r="AS422">
        <v>0</v>
      </c>
      <c r="AT422">
        <v>832</v>
      </c>
      <c r="BB422" t="str">
        <f t="shared" si="155"/>
        <v>1200</v>
      </c>
      <c r="BC422">
        <v>1</v>
      </c>
      <c r="BD422" t="str">
        <f t="shared" si="156"/>
        <v xml:space="preserve">N52156  </v>
      </c>
      <c r="BE422">
        <v>1</v>
      </c>
      <c r="BG422">
        <v>0</v>
      </c>
      <c r="BH422">
        <v>0</v>
      </c>
      <c r="BI422">
        <v>0</v>
      </c>
      <c r="BJ422">
        <v>2075</v>
      </c>
      <c r="BK422">
        <v>-125</v>
      </c>
      <c r="BL422" t="s">
        <v>188</v>
      </c>
      <c r="BM422">
        <v>1</v>
      </c>
      <c r="BN422">
        <v>1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 t="shared" ref="CE422:CE427" si="169">"15:05:42.575"</f>
        <v>15:05:42.575</v>
      </c>
      <c r="CF422">
        <v>574696854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133</v>
      </c>
      <c r="DA422">
        <v>275</v>
      </c>
      <c r="DB422">
        <v>0</v>
      </c>
      <c r="DC422" t="s">
        <v>134</v>
      </c>
      <c r="DD422" t="s">
        <v>135</v>
      </c>
      <c r="DG422">
        <v>3318396</v>
      </c>
      <c r="DI422">
        <v>1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"05/01/2025 15:05:42.788"</f>
        <v>05/01/2025 15:05:42.788</v>
      </c>
      <c r="C423" t="str">
        <f t="shared" si="152"/>
        <v>FFDFD3C0</v>
      </c>
      <c r="D423" t="s">
        <v>145</v>
      </c>
      <c r="E423" t="str">
        <f>"09"</f>
        <v>09</v>
      </c>
      <c r="H423">
        <v>51</v>
      </c>
      <c r="I423" t="s">
        <v>147</v>
      </c>
      <c r="J423" t="s">
        <v>138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R423" t="s">
        <v>127</v>
      </c>
      <c r="S423" t="str">
        <f t="shared" si="168"/>
        <v>15:05:42.000</v>
      </c>
      <c r="T423" t="str">
        <f t="shared" si="168"/>
        <v>15:05:42.000</v>
      </c>
      <c r="U423" t="str">
        <f t="shared" si="154"/>
        <v>A68FCB</v>
      </c>
      <c r="V423">
        <v>0</v>
      </c>
      <c r="W423">
        <v>0</v>
      </c>
      <c r="X423">
        <v>2</v>
      </c>
      <c r="Y423">
        <v>0</v>
      </c>
      <c r="AA423">
        <v>1</v>
      </c>
      <c r="AB423">
        <v>8</v>
      </c>
      <c r="AC423">
        <v>3</v>
      </c>
      <c r="AD423">
        <v>0</v>
      </c>
      <c r="AE423">
        <v>9</v>
      </c>
      <c r="AF423" t="s">
        <v>138</v>
      </c>
      <c r="AG423">
        <v>0</v>
      </c>
      <c r="AH423">
        <v>3</v>
      </c>
      <c r="AI423">
        <v>1</v>
      </c>
      <c r="AJ423">
        <v>0</v>
      </c>
      <c r="AK423" t="s">
        <v>197</v>
      </c>
      <c r="AL423">
        <v>38.955545000000001</v>
      </c>
      <c r="AM423" t="s">
        <v>257</v>
      </c>
      <c r="AN423">
        <v>-121.055925</v>
      </c>
      <c r="AO423">
        <v>25</v>
      </c>
      <c r="AP423">
        <v>2200</v>
      </c>
      <c r="AQ423" t="s">
        <v>131</v>
      </c>
      <c r="AR423">
        <v>69</v>
      </c>
      <c r="AS423">
        <v>0</v>
      </c>
      <c r="AT423">
        <v>832</v>
      </c>
      <c r="BB423" t="str">
        <f t="shared" si="155"/>
        <v>1200</v>
      </c>
      <c r="BC423">
        <v>1</v>
      </c>
      <c r="BD423" t="str">
        <f t="shared" si="156"/>
        <v xml:space="preserve">N52156  </v>
      </c>
      <c r="BE423">
        <v>1</v>
      </c>
      <c r="BG423">
        <v>0</v>
      </c>
      <c r="BH423">
        <v>0</v>
      </c>
      <c r="BI423">
        <v>0</v>
      </c>
      <c r="BJ423">
        <v>2075</v>
      </c>
      <c r="BK423">
        <v>-125</v>
      </c>
      <c r="BL423" t="s">
        <v>188</v>
      </c>
      <c r="BM423">
        <v>1</v>
      </c>
      <c r="BN423">
        <v>1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 t="shared" si="169"/>
        <v>15:05:42.575</v>
      </c>
      <c r="CF423">
        <v>574696854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5</v>
      </c>
      <c r="CY423">
        <v>7</v>
      </c>
      <c r="CZ423" t="s">
        <v>133</v>
      </c>
      <c r="DA423">
        <v>275</v>
      </c>
      <c r="DB423">
        <v>0</v>
      </c>
      <c r="DC423" t="s">
        <v>134</v>
      </c>
      <c r="DD423" t="s">
        <v>135</v>
      </c>
      <c r="DG423">
        <v>3318396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"05/01/2025 15:05:42.788"</f>
        <v>05/01/2025 15:05:42.788</v>
      </c>
      <c r="C424" t="str">
        <f t="shared" si="152"/>
        <v>FFDFD3C0</v>
      </c>
      <c r="D424" t="s">
        <v>145</v>
      </c>
      <c r="E424" t="str">
        <f>"05"</f>
        <v>05</v>
      </c>
      <c r="H424">
        <v>47</v>
      </c>
      <c r="I424" t="s">
        <v>146</v>
      </c>
      <c r="J424" t="s">
        <v>138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R424" t="s">
        <v>127</v>
      </c>
      <c r="S424" t="str">
        <f t="shared" si="168"/>
        <v>15:05:42.000</v>
      </c>
      <c r="T424" t="str">
        <f t="shared" si="168"/>
        <v>15:05:42.000</v>
      </c>
      <c r="U424" t="str">
        <f t="shared" si="154"/>
        <v>A68FCB</v>
      </c>
      <c r="V424">
        <v>0</v>
      </c>
      <c r="W424">
        <v>0</v>
      </c>
      <c r="X424">
        <v>2</v>
      </c>
      <c r="Y424">
        <v>0</v>
      </c>
      <c r="AA424">
        <v>1</v>
      </c>
      <c r="AB424">
        <v>8</v>
      </c>
      <c r="AC424">
        <v>3</v>
      </c>
      <c r="AD424">
        <v>0</v>
      </c>
      <c r="AE424">
        <v>9</v>
      </c>
      <c r="AF424" t="s">
        <v>138</v>
      </c>
      <c r="AG424">
        <v>0</v>
      </c>
      <c r="AH424">
        <v>3</v>
      </c>
      <c r="AI424">
        <v>1</v>
      </c>
      <c r="AJ424">
        <v>0</v>
      </c>
      <c r="AK424" t="s">
        <v>197</v>
      </c>
      <c r="AL424">
        <v>38.955545000000001</v>
      </c>
      <c r="AM424" t="s">
        <v>257</v>
      </c>
      <c r="AN424">
        <v>-121.055925</v>
      </c>
      <c r="AO424">
        <v>25</v>
      </c>
      <c r="AP424">
        <v>2200</v>
      </c>
      <c r="AQ424" t="s">
        <v>131</v>
      </c>
      <c r="AR424">
        <v>69</v>
      </c>
      <c r="AS424">
        <v>0</v>
      </c>
      <c r="AT424">
        <v>832</v>
      </c>
      <c r="BB424" t="str">
        <f t="shared" si="155"/>
        <v>1200</v>
      </c>
      <c r="BC424">
        <v>1</v>
      </c>
      <c r="BD424" t="str">
        <f t="shared" si="156"/>
        <v xml:space="preserve">N52156  </v>
      </c>
      <c r="BE424">
        <v>1</v>
      </c>
      <c r="BG424">
        <v>0</v>
      </c>
      <c r="BH424">
        <v>0</v>
      </c>
      <c r="BI424">
        <v>0</v>
      </c>
      <c r="BJ424">
        <v>2075</v>
      </c>
      <c r="BK424">
        <v>-125</v>
      </c>
      <c r="BL424" t="s">
        <v>188</v>
      </c>
      <c r="BM424">
        <v>1</v>
      </c>
      <c r="BN424">
        <v>1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 t="shared" si="169"/>
        <v>15:05:42.575</v>
      </c>
      <c r="CF424">
        <v>574696854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133</v>
      </c>
      <c r="DA424">
        <v>275</v>
      </c>
      <c r="DB424">
        <v>0</v>
      </c>
      <c r="DC424" t="s">
        <v>134</v>
      </c>
      <c r="DD424" t="s">
        <v>135</v>
      </c>
      <c r="DG424">
        <v>3318396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"05/01/2025 15:05:42.790"</f>
        <v>05/01/2025 15:05:42.790</v>
      </c>
      <c r="C425" t="str">
        <f t="shared" si="152"/>
        <v>FFDFD3C0</v>
      </c>
      <c r="D425" t="s">
        <v>124</v>
      </c>
      <c r="E425" t="str">
        <f>"06"</f>
        <v>06</v>
      </c>
      <c r="F425">
        <v>2006</v>
      </c>
      <c r="G425" t="s">
        <v>125</v>
      </c>
      <c r="J425" t="s">
        <v>126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R425" t="s">
        <v>127</v>
      </c>
      <c r="S425" t="str">
        <f t="shared" si="168"/>
        <v>15:05:42.000</v>
      </c>
      <c r="T425" t="str">
        <f t="shared" si="168"/>
        <v>15:05:42.000</v>
      </c>
      <c r="U425" t="str">
        <f t="shared" si="154"/>
        <v>A68FCB</v>
      </c>
      <c r="V425">
        <v>0</v>
      </c>
      <c r="W425">
        <v>0</v>
      </c>
      <c r="X425">
        <v>2</v>
      </c>
      <c r="Y425">
        <v>0</v>
      </c>
      <c r="AA425">
        <v>1</v>
      </c>
      <c r="AB425">
        <v>8</v>
      </c>
      <c r="AC425">
        <v>3</v>
      </c>
      <c r="AD425">
        <v>0</v>
      </c>
      <c r="AE425">
        <v>9</v>
      </c>
      <c r="AF425" t="s">
        <v>138</v>
      </c>
      <c r="AG425">
        <v>0</v>
      </c>
      <c r="AH425">
        <v>3</v>
      </c>
      <c r="AI425">
        <v>1</v>
      </c>
      <c r="AJ425">
        <v>0</v>
      </c>
      <c r="AK425" t="s">
        <v>197</v>
      </c>
      <c r="AL425">
        <v>38.955545000000001</v>
      </c>
      <c r="AM425" t="s">
        <v>257</v>
      </c>
      <c r="AN425">
        <v>-121.055925</v>
      </c>
      <c r="AO425">
        <v>25</v>
      </c>
      <c r="AP425">
        <v>2200</v>
      </c>
      <c r="AQ425" t="s">
        <v>131</v>
      </c>
      <c r="AR425">
        <v>69</v>
      </c>
      <c r="AS425">
        <v>0</v>
      </c>
      <c r="AT425">
        <v>832</v>
      </c>
      <c r="BB425" t="str">
        <f t="shared" si="155"/>
        <v>1200</v>
      </c>
      <c r="BC425">
        <v>1</v>
      </c>
      <c r="BD425" t="str">
        <f t="shared" si="156"/>
        <v xml:space="preserve">N52156  </v>
      </c>
      <c r="BE425">
        <v>1</v>
      </c>
      <c r="BG425">
        <v>0</v>
      </c>
      <c r="BH425">
        <v>0</v>
      </c>
      <c r="BI425">
        <v>0</v>
      </c>
      <c r="BJ425">
        <v>2075</v>
      </c>
      <c r="BK425">
        <v>-125</v>
      </c>
      <c r="BL425" t="s">
        <v>188</v>
      </c>
      <c r="BM425">
        <v>1</v>
      </c>
      <c r="BN425">
        <v>1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 t="shared" si="169"/>
        <v>15:05:42.575</v>
      </c>
      <c r="CF425">
        <v>574696854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5</v>
      </c>
      <c r="CY425">
        <v>7</v>
      </c>
      <c r="CZ425" t="s">
        <v>133</v>
      </c>
      <c r="DA425">
        <v>275</v>
      </c>
      <c r="DB425">
        <v>0</v>
      </c>
      <c r="DC425" t="s">
        <v>134</v>
      </c>
      <c r="DD425" t="s">
        <v>135</v>
      </c>
      <c r="DG425">
        <v>3318396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"05/01/2025 15:05:42.800"</f>
        <v>05/01/2025 15:05:42.800</v>
      </c>
      <c r="C426" t="str">
        <f t="shared" si="152"/>
        <v>FFDFD3C0</v>
      </c>
      <c r="D426" t="s">
        <v>136</v>
      </c>
      <c r="E426" t="str">
        <f>"20"</f>
        <v>20</v>
      </c>
      <c r="H426">
        <v>400</v>
      </c>
      <c r="I426" t="s">
        <v>137</v>
      </c>
      <c r="J426" t="s">
        <v>138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R426" t="s">
        <v>127</v>
      </c>
      <c r="S426" t="str">
        <f t="shared" si="168"/>
        <v>15:05:42.000</v>
      </c>
      <c r="T426" t="str">
        <f t="shared" si="168"/>
        <v>15:05:42.000</v>
      </c>
      <c r="U426" t="str">
        <f t="shared" si="154"/>
        <v>A68FCB</v>
      </c>
      <c r="V426">
        <v>0</v>
      </c>
      <c r="W426">
        <v>0</v>
      </c>
      <c r="X426">
        <v>2</v>
      </c>
      <c r="Y426">
        <v>0</v>
      </c>
      <c r="AA426">
        <v>1</v>
      </c>
      <c r="AB426">
        <v>8</v>
      </c>
      <c r="AC426">
        <v>3</v>
      </c>
      <c r="AD426">
        <v>0</v>
      </c>
      <c r="AE426">
        <v>9</v>
      </c>
      <c r="AF426" t="s">
        <v>138</v>
      </c>
      <c r="AG426">
        <v>0</v>
      </c>
      <c r="AH426">
        <v>3</v>
      </c>
      <c r="AI426">
        <v>1</v>
      </c>
      <c r="AJ426">
        <v>0</v>
      </c>
      <c r="AK426" t="s">
        <v>197</v>
      </c>
      <c r="AL426">
        <v>38.955545000000001</v>
      </c>
      <c r="AM426" t="s">
        <v>257</v>
      </c>
      <c r="AN426">
        <v>-121.055925</v>
      </c>
      <c r="AO426">
        <v>25</v>
      </c>
      <c r="AP426">
        <v>2200</v>
      </c>
      <c r="AQ426" t="s">
        <v>131</v>
      </c>
      <c r="AR426">
        <v>69</v>
      </c>
      <c r="AS426">
        <v>0</v>
      </c>
      <c r="AT426">
        <v>832</v>
      </c>
      <c r="BB426" t="str">
        <f t="shared" si="155"/>
        <v>1200</v>
      </c>
      <c r="BC426">
        <v>1</v>
      </c>
      <c r="BD426" t="str">
        <f t="shared" si="156"/>
        <v xml:space="preserve">N52156  </v>
      </c>
      <c r="BE426">
        <v>1</v>
      </c>
      <c r="BG426">
        <v>0</v>
      </c>
      <c r="BH426">
        <v>0</v>
      </c>
      <c r="BI426">
        <v>0</v>
      </c>
      <c r="BJ426">
        <v>2075</v>
      </c>
      <c r="BK426">
        <v>-125</v>
      </c>
      <c r="BL426" t="s">
        <v>188</v>
      </c>
      <c r="BM426">
        <v>1</v>
      </c>
      <c r="BN426">
        <v>1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 t="shared" si="169"/>
        <v>15:05:42.575</v>
      </c>
      <c r="CF426">
        <v>574696854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133</v>
      </c>
      <c r="DA426">
        <v>275</v>
      </c>
      <c r="DB426">
        <v>0</v>
      </c>
      <c r="DC426" t="s">
        <v>134</v>
      </c>
      <c r="DD426" t="s">
        <v>135</v>
      </c>
      <c r="DG426">
        <v>3318396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"05/01/2025 15:05:42.827"</f>
        <v>05/01/2025 15:05:42.827</v>
      </c>
      <c r="C427" t="str">
        <f t="shared" si="152"/>
        <v>FFDFD3C0</v>
      </c>
      <c r="D427" t="s">
        <v>140</v>
      </c>
      <c r="E427" t="str">
        <f>"13"</f>
        <v>13</v>
      </c>
      <c r="F427">
        <v>1019</v>
      </c>
      <c r="G427" t="s">
        <v>141</v>
      </c>
      <c r="J427" t="s">
        <v>142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R427" t="s">
        <v>127</v>
      </c>
      <c r="S427" t="str">
        <f t="shared" si="168"/>
        <v>15:05:42.000</v>
      </c>
      <c r="T427" t="str">
        <f t="shared" si="168"/>
        <v>15:05:42.000</v>
      </c>
      <c r="U427" t="str">
        <f t="shared" si="154"/>
        <v>A68FCB</v>
      </c>
      <c r="V427">
        <v>0</v>
      </c>
      <c r="W427">
        <v>0</v>
      </c>
      <c r="X427">
        <v>2</v>
      </c>
      <c r="Y427">
        <v>0</v>
      </c>
      <c r="AA427">
        <v>1</v>
      </c>
      <c r="AB427">
        <v>8</v>
      </c>
      <c r="AC427">
        <v>3</v>
      </c>
      <c r="AD427">
        <v>0</v>
      </c>
      <c r="AE427">
        <v>9</v>
      </c>
      <c r="AF427" t="s">
        <v>138</v>
      </c>
      <c r="AG427">
        <v>0</v>
      </c>
      <c r="AH427">
        <v>3</v>
      </c>
      <c r="AI427">
        <v>1</v>
      </c>
      <c r="AJ427">
        <v>0</v>
      </c>
      <c r="AK427" t="s">
        <v>197</v>
      </c>
      <c r="AL427">
        <v>38.955545000000001</v>
      </c>
      <c r="AM427" t="s">
        <v>257</v>
      </c>
      <c r="AN427">
        <v>-121.055925</v>
      </c>
      <c r="AO427">
        <v>25</v>
      </c>
      <c r="AP427">
        <v>2200</v>
      </c>
      <c r="AQ427" t="s">
        <v>131</v>
      </c>
      <c r="AR427">
        <v>69</v>
      </c>
      <c r="AS427">
        <v>0</v>
      </c>
      <c r="AT427">
        <v>832</v>
      </c>
      <c r="BB427" t="str">
        <f t="shared" si="155"/>
        <v>1200</v>
      </c>
      <c r="BC427">
        <v>1</v>
      </c>
      <c r="BD427" t="str">
        <f t="shared" si="156"/>
        <v xml:space="preserve">N52156  </v>
      </c>
      <c r="BE427">
        <v>1</v>
      </c>
      <c r="BG427">
        <v>0</v>
      </c>
      <c r="BH427">
        <v>0</v>
      </c>
      <c r="BI427">
        <v>0</v>
      </c>
      <c r="BJ427">
        <v>2075</v>
      </c>
      <c r="BK427">
        <v>-125</v>
      </c>
      <c r="BL427" t="s">
        <v>188</v>
      </c>
      <c r="BM427">
        <v>1</v>
      </c>
      <c r="BN427">
        <v>1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 t="shared" si="169"/>
        <v>15:05:42.575</v>
      </c>
      <c r="CF427">
        <v>574696854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133</v>
      </c>
      <c r="DA427">
        <v>275</v>
      </c>
      <c r="DB427">
        <v>0</v>
      </c>
      <c r="DC427" t="s">
        <v>134</v>
      </c>
      <c r="DD427" t="s">
        <v>135</v>
      </c>
      <c r="DG427">
        <v>3318396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"05/01/2025 15:05:44.042"</f>
        <v>05/01/2025 15:05:44.042</v>
      </c>
      <c r="C428" t="str">
        <f t="shared" si="152"/>
        <v>FFDFD3C0</v>
      </c>
      <c r="D428" t="s">
        <v>124</v>
      </c>
      <c r="E428" t="str">
        <f>"06"</f>
        <v>06</v>
      </c>
      <c r="F428">
        <v>2006</v>
      </c>
      <c r="G428" t="s">
        <v>125</v>
      </c>
      <c r="J428" t="s">
        <v>126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R428" t="s">
        <v>127</v>
      </c>
      <c r="S428" t="str">
        <f t="shared" ref="S428:T433" si="170">"15:05:43.000"</f>
        <v>15:05:43.000</v>
      </c>
      <c r="T428" t="str">
        <f t="shared" si="170"/>
        <v>15:05:43.000</v>
      </c>
      <c r="U428" t="str">
        <f t="shared" si="154"/>
        <v>A68FCB</v>
      </c>
      <c r="V428">
        <v>0</v>
      </c>
      <c r="W428">
        <v>0</v>
      </c>
      <c r="X428">
        <v>2</v>
      </c>
      <c r="Y428">
        <v>0</v>
      </c>
      <c r="AA428">
        <v>1</v>
      </c>
      <c r="AB428">
        <v>8</v>
      </c>
      <c r="AC428">
        <v>3</v>
      </c>
      <c r="AD428">
        <v>0</v>
      </c>
      <c r="AE428">
        <v>9</v>
      </c>
      <c r="AF428" t="s">
        <v>138</v>
      </c>
      <c r="AG428">
        <v>0</v>
      </c>
      <c r="AH428">
        <v>3</v>
      </c>
      <c r="AI428">
        <v>1</v>
      </c>
      <c r="AJ428">
        <v>0</v>
      </c>
      <c r="AK428" t="s">
        <v>254</v>
      </c>
      <c r="AL428">
        <v>38.955567000000002</v>
      </c>
      <c r="AM428" t="s">
        <v>258</v>
      </c>
      <c r="AN428">
        <v>-121.05551699999999</v>
      </c>
      <c r="AO428">
        <v>25</v>
      </c>
      <c r="AP428">
        <v>2200</v>
      </c>
      <c r="AQ428" t="s">
        <v>131</v>
      </c>
      <c r="AR428">
        <v>69</v>
      </c>
      <c r="AS428">
        <v>1</v>
      </c>
      <c r="AT428">
        <v>768</v>
      </c>
      <c r="BB428" t="str">
        <f t="shared" si="155"/>
        <v>1200</v>
      </c>
      <c r="BC428">
        <v>1</v>
      </c>
      <c r="BD428" t="str">
        <f t="shared" si="156"/>
        <v xml:space="preserve">N52156  </v>
      </c>
      <c r="BE428">
        <v>1</v>
      </c>
      <c r="BG428">
        <v>0</v>
      </c>
      <c r="BH428">
        <v>0</v>
      </c>
      <c r="BI428">
        <v>0</v>
      </c>
      <c r="BJ428">
        <v>2125</v>
      </c>
      <c r="BK428">
        <v>-75</v>
      </c>
      <c r="BL428" t="s">
        <v>188</v>
      </c>
      <c r="BM428">
        <v>1</v>
      </c>
      <c r="BN428">
        <v>1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 t="shared" ref="CE428:CE433" si="171">"15:05:43.848"</f>
        <v>15:05:43.848</v>
      </c>
      <c r="CF428">
        <v>847697630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133</v>
      </c>
      <c r="DA428">
        <v>275</v>
      </c>
      <c r="DB428">
        <v>0</v>
      </c>
      <c r="DC428" t="s">
        <v>134</v>
      </c>
      <c r="DD428" t="s">
        <v>135</v>
      </c>
      <c r="DG428">
        <v>3318414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"05/01/2025 15:05:44.051"</f>
        <v>05/01/2025 15:05:44.051</v>
      </c>
      <c r="C429" t="str">
        <f t="shared" si="152"/>
        <v>FFDFD3C0</v>
      </c>
      <c r="D429" t="s">
        <v>136</v>
      </c>
      <c r="E429" t="str">
        <f>"20"</f>
        <v>20</v>
      </c>
      <c r="H429">
        <v>400</v>
      </c>
      <c r="I429" t="s">
        <v>137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R429" t="s">
        <v>127</v>
      </c>
      <c r="S429" t="str">
        <f t="shared" si="170"/>
        <v>15:05:43.000</v>
      </c>
      <c r="T429" t="str">
        <f t="shared" si="170"/>
        <v>15:05:43.000</v>
      </c>
      <c r="U429" t="str">
        <f t="shared" si="154"/>
        <v>A68FCB</v>
      </c>
      <c r="V429">
        <v>0</v>
      </c>
      <c r="W429">
        <v>0</v>
      </c>
      <c r="X429">
        <v>2</v>
      </c>
      <c r="Y429">
        <v>0</v>
      </c>
      <c r="AA429">
        <v>1</v>
      </c>
      <c r="AB429">
        <v>8</v>
      </c>
      <c r="AC429">
        <v>3</v>
      </c>
      <c r="AD429">
        <v>0</v>
      </c>
      <c r="AE429">
        <v>9</v>
      </c>
      <c r="AF429" t="s">
        <v>138</v>
      </c>
      <c r="AG429">
        <v>0</v>
      </c>
      <c r="AH429">
        <v>3</v>
      </c>
      <c r="AI429">
        <v>1</v>
      </c>
      <c r="AJ429">
        <v>0</v>
      </c>
      <c r="AK429" t="s">
        <v>254</v>
      </c>
      <c r="AL429">
        <v>38.955567000000002</v>
      </c>
      <c r="AM429" t="s">
        <v>258</v>
      </c>
      <c r="AN429">
        <v>-121.05551699999999</v>
      </c>
      <c r="AO429">
        <v>25</v>
      </c>
      <c r="AP429">
        <v>2200</v>
      </c>
      <c r="AQ429" t="s">
        <v>131</v>
      </c>
      <c r="AR429">
        <v>69</v>
      </c>
      <c r="AS429">
        <v>1</v>
      </c>
      <c r="AT429">
        <v>768</v>
      </c>
      <c r="BB429" t="str">
        <f t="shared" si="155"/>
        <v>1200</v>
      </c>
      <c r="BC429">
        <v>1</v>
      </c>
      <c r="BD429" t="str">
        <f t="shared" si="156"/>
        <v xml:space="preserve">N52156  </v>
      </c>
      <c r="BE429">
        <v>1</v>
      </c>
      <c r="BG429">
        <v>0</v>
      </c>
      <c r="BH429">
        <v>0</v>
      </c>
      <c r="BI429">
        <v>0</v>
      </c>
      <c r="BJ429">
        <v>2125</v>
      </c>
      <c r="BK429">
        <v>-75</v>
      </c>
      <c r="BL429" t="s">
        <v>188</v>
      </c>
      <c r="BM429">
        <v>1</v>
      </c>
      <c r="BN429">
        <v>1</v>
      </c>
      <c r="BO429">
        <v>0</v>
      </c>
      <c r="BP429">
        <v>0</v>
      </c>
      <c r="BS429">
        <v>0</v>
      </c>
      <c r="BT429">
        <v>0</v>
      </c>
      <c r="BU429">
        <v>0</v>
      </c>
      <c r="CE429" t="str">
        <f t="shared" si="171"/>
        <v>15:05:43.848</v>
      </c>
      <c r="CF429">
        <v>847697630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133</v>
      </c>
      <c r="DA429">
        <v>275</v>
      </c>
      <c r="DB429">
        <v>0</v>
      </c>
      <c r="DC429" t="s">
        <v>134</v>
      </c>
      <c r="DD429" t="s">
        <v>135</v>
      </c>
      <c r="DG429">
        <v>3318414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"05/01/2025 15:05:44.080"</f>
        <v>05/01/2025 15:05:44.080</v>
      </c>
      <c r="C430" t="str">
        <f t="shared" si="152"/>
        <v>FFDFD3C0</v>
      </c>
      <c r="D430" t="s">
        <v>140</v>
      </c>
      <c r="E430" t="str">
        <f>"13"</f>
        <v>13</v>
      </c>
      <c r="F430">
        <v>1019</v>
      </c>
      <c r="G430" t="s">
        <v>141</v>
      </c>
      <c r="J430" t="s">
        <v>142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R430" t="s">
        <v>127</v>
      </c>
      <c r="S430" t="str">
        <f t="shared" si="170"/>
        <v>15:05:43.000</v>
      </c>
      <c r="T430" t="str">
        <f t="shared" si="170"/>
        <v>15:05:43.000</v>
      </c>
      <c r="U430" t="str">
        <f t="shared" si="154"/>
        <v>A68FCB</v>
      </c>
      <c r="V430">
        <v>0</v>
      </c>
      <c r="W430">
        <v>0</v>
      </c>
      <c r="X430">
        <v>2</v>
      </c>
      <c r="Y430">
        <v>0</v>
      </c>
      <c r="AA430">
        <v>1</v>
      </c>
      <c r="AB430">
        <v>8</v>
      </c>
      <c r="AC430">
        <v>3</v>
      </c>
      <c r="AD430">
        <v>0</v>
      </c>
      <c r="AE430">
        <v>9</v>
      </c>
      <c r="AF430" t="s">
        <v>138</v>
      </c>
      <c r="AG430">
        <v>0</v>
      </c>
      <c r="AH430">
        <v>3</v>
      </c>
      <c r="AI430">
        <v>1</v>
      </c>
      <c r="AJ430">
        <v>0</v>
      </c>
      <c r="AK430" t="s">
        <v>254</v>
      </c>
      <c r="AL430">
        <v>38.955567000000002</v>
      </c>
      <c r="AM430" t="s">
        <v>258</v>
      </c>
      <c r="AN430">
        <v>-121.05551699999999</v>
      </c>
      <c r="AO430">
        <v>25</v>
      </c>
      <c r="AP430">
        <v>2200</v>
      </c>
      <c r="AQ430" t="s">
        <v>131</v>
      </c>
      <c r="AR430">
        <v>69</v>
      </c>
      <c r="AS430">
        <v>1</v>
      </c>
      <c r="AT430">
        <v>768</v>
      </c>
      <c r="BB430" t="str">
        <f t="shared" si="155"/>
        <v>1200</v>
      </c>
      <c r="BC430">
        <v>1</v>
      </c>
      <c r="BD430" t="str">
        <f t="shared" si="156"/>
        <v xml:space="preserve">N52156  </v>
      </c>
      <c r="BE430">
        <v>1</v>
      </c>
      <c r="BG430">
        <v>0</v>
      </c>
      <c r="BH430">
        <v>0</v>
      </c>
      <c r="BI430">
        <v>0</v>
      </c>
      <c r="BJ430">
        <v>2125</v>
      </c>
      <c r="BK430">
        <v>-75</v>
      </c>
      <c r="BL430" t="s">
        <v>188</v>
      </c>
      <c r="BM430">
        <v>1</v>
      </c>
      <c r="BN430">
        <v>1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 t="shared" si="171"/>
        <v>15:05:43.848</v>
      </c>
      <c r="CF430">
        <v>847697630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133</v>
      </c>
      <c r="DA430">
        <v>275</v>
      </c>
      <c r="DB430">
        <v>0</v>
      </c>
      <c r="DC430" t="s">
        <v>134</v>
      </c>
      <c r="DD430" t="s">
        <v>135</v>
      </c>
      <c r="DG430">
        <v>3318414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"05/01/2025 15:05:44.088"</f>
        <v>05/01/2025 15:05:44.088</v>
      </c>
      <c r="C431" t="str">
        <f t="shared" si="152"/>
        <v>FFDFD3C0</v>
      </c>
      <c r="D431" t="s">
        <v>143</v>
      </c>
      <c r="E431" t="str">
        <f>"05"</f>
        <v>05</v>
      </c>
      <c r="H431">
        <v>172</v>
      </c>
      <c r="I431" t="s">
        <v>141</v>
      </c>
      <c r="J431" t="s">
        <v>144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R431" t="s">
        <v>127</v>
      </c>
      <c r="S431" t="str">
        <f t="shared" si="170"/>
        <v>15:05:43.000</v>
      </c>
      <c r="T431" t="str">
        <f t="shared" si="170"/>
        <v>15:05:43.000</v>
      </c>
      <c r="U431" t="str">
        <f t="shared" si="154"/>
        <v>A68FCB</v>
      </c>
      <c r="V431">
        <v>0</v>
      </c>
      <c r="W431">
        <v>0</v>
      </c>
      <c r="X431">
        <v>2</v>
      </c>
      <c r="Y431">
        <v>0</v>
      </c>
      <c r="AA431">
        <v>1</v>
      </c>
      <c r="AB431">
        <v>8</v>
      </c>
      <c r="AC431">
        <v>3</v>
      </c>
      <c r="AD431">
        <v>0</v>
      </c>
      <c r="AE431">
        <v>9</v>
      </c>
      <c r="AF431" t="s">
        <v>138</v>
      </c>
      <c r="AG431">
        <v>0</v>
      </c>
      <c r="AH431">
        <v>3</v>
      </c>
      <c r="AI431">
        <v>1</v>
      </c>
      <c r="AJ431">
        <v>0</v>
      </c>
      <c r="AK431" t="s">
        <v>254</v>
      </c>
      <c r="AL431">
        <v>38.955567000000002</v>
      </c>
      <c r="AM431" t="s">
        <v>258</v>
      </c>
      <c r="AN431">
        <v>-121.05551699999999</v>
      </c>
      <c r="AO431">
        <v>25</v>
      </c>
      <c r="AP431">
        <v>2200</v>
      </c>
      <c r="AQ431" t="s">
        <v>131</v>
      </c>
      <c r="AR431">
        <v>69</v>
      </c>
      <c r="AS431">
        <v>1</v>
      </c>
      <c r="AT431">
        <v>768</v>
      </c>
      <c r="BB431" t="str">
        <f t="shared" si="155"/>
        <v>1200</v>
      </c>
      <c r="BC431">
        <v>1</v>
      </c>
      <c r="BD431" t="str">
        <f t="shared" si="156"/>
        <v xml:space="preserve">N52156  </v>
      </c>
      <c r="BE431">
        <v>1</v>
      </c>
      <c r="BG431">
        <v>0</v>
      </c>
      <c r="BH431">
        <v>0</v>
      </c>
      <c r="BI431">
        <v>0</v>
      </c>
      <c r="BJ431">
        <v>2125</v>
      </c>
      <c r="BK431">
        <v>-75</v>
      </c>
      <c r="BL431" t="s">
        <v>188</v>
      </c>
      <c r="BM431">
        <v>1</v>
      </c>
      <c r="BN431">
        <v>1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 t="shared" si="171"/>
        <v>15:05:43.848</v>
      </c>
      <c r="CF431">
        <v>847697630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5</v>
      </c>
      <c r="CY431">
        <v>7</v>
      </c>
      <c r="CZ431" t="s">
        <v>133</v>
      </c>
      <c r="DA431">
        <v>275</v>
      </c>
      <c r="DB431">
        <v>0</v>
      </c>
      <c r="DC431" t="s">
        <v>134</v>
      </c>
      <c r="DD431" t="s">
        <v>135</v>
      </c>
      <c r="DG431">
        <v>3318414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"05/01/2025 15:05:44.090"</f>
        <v>05/01/2025 15:05:44.090</v>
      </c>
      <c r="C432" t="str">
        <f t="shared" si="152"/>
        <v>FFDFD3C0</v>
      </c>
      <c r="D432" t="s">
        <v>145</v>
      </c>
      <c r="E432" t="str">
        <f>"05"</f>
        <v>05</v>
      </c>
      <c r="H432">
        <v>47</v>
      </c>
      <c r="I432" t="s">
        <v>146</v>
      </c>
      <c r="J432" t="s">
        <v>138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R432" t="s">
        <v>127</v>
      </c>
      <c r="S432" t="str">
        <f t="shared" si="170"/>
        <v>15:05:43.000</v>
      </c>
      <c r="T432" t="str">
        <f t="shared" si="170"/>
        <v>15:05:43.000</v>
      </c>
      <c r="U432" t="str">
        <f t="shared" si="154"/>
        <v>A68FCB</v>
      </c>
      <c r="V432">
        <v>0</v>
      </c>
      <c r="W432">
        <v>0</v>
      </c>
      <c r="X432">
        <v>2</v>
      </c>
      <c r="Y432">
        <v>0</v>
      </c>
      <c r="AA432">
        <v>1</v>
      </c>
      <c r="AB432">
        <v>8</v>
      </c>
      <c r="AC432">
        <v>3</v>
      </c>
      <c r="AD432">
        <v>0</v>
      </c>
      <c r="AE432">
        <v>9</v>
      </c>
      <c r="AF432" t="s">
        <v>138</v>
      </c>
      <c r="AG432">
        <v>0</v>
      </c>
      <c r="AH432">
        <v>3</v>
      </c>
      <c r="AI432">
        <v>1</v>
      </c>
      <c r="AJ432">
        <v>0</v>
      </c>
      <c r="AK432" t="s">
        <v>254</v>
      </c>
      <c r="AL432">
        <v>38.955567000000002</v>
      </c>
      <c r="AM432" t="s">
        <v>258</v>
      </c>
      <c r="AN432">
        <v>-121.05551699999999</v>
      </c>
      <c r="AO432">
        <v>25</v>
      </c>
      <c r="AP432">
        <v>2200</v>
      </c>
      <c r="AQ432" t="s">
        <v>131</v>
      </c>
      <c r="AR432">
        <v>69</v>
      </c>
      <c r="AS432">
        <v>1</v>
      </c>
      <c r="AT432">
        <v>768</v>
      </c>
      <c r="BB432" t="str">
        <f t="shared" si="155"/>
        <v>1200</v>
      </c>
      <c r="BC432">
        <v>1</v>
      </c>
      <c r="BD432" t="str">
        <f t="shared" si="156"/>
        <v xml:space="preserve">N52156  </v>
      </c>
      <c r="BE432">
        <v>1</v>
      </c>
      <c r="BG432">
        <v>0</v>
      </c>
      <c r="BH432">
        <v>0</v>
      </c>
      <c r="BI432">
        <v>0</v>
      </c>
      <c r="BJ432">
        <v>2125</v>
      </c>
      <c r="BK432">
        <v>-75</v>
      </c>
      <c r="BL432" t="s">
        <v>188</v>
      </c>
      <c r="BM432">
        <v>1</v>
      </c>
      <c r="BN432">
        <v>1</v>
      </c>
      <c r="BO432">
        <v>0</v>
      </c>
      <c r="BP432">
        <v>0</v>
      </c>
      <c r="BS432">
        <v>0</v>
      </c>
      <c r="BT432">
        <v>0</v>
      </c>
      <c r="BU432">
        <v>0</v>
      </c>
      <c r="CE432" t="str">
        <f t="shared" si="171"/>
        <v>15:05:43.848</v>
      </c>
      <c r="CF432">
        <v>847697630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5</v>
      </c>
      <c r="CY432">
        <v>7</v>
      </c>
      <c r="CZ432" t="s">
        <v>133</v>
      </c>
      <c r="DA432">
        <v>275</v>
      </c>
      <c r="DB432">
        <v>0</v>
      </c>
      <c r="DC432" t="s">
        <v>134</v>
      </c>
      <c r="DD432" t="s">
        <v>135</v>
      </c>
      <c r="DG432">
        <v>3318414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"05/01/2025 15:05:44.090"</f>
        <v>05/01/2025 15:05:44.090</v>
      </c>
      <c r="C433" t="str">
        <f t="shared" si="152"/>
        <v>FFDFD3C0</v>
      </c>
      <c r="D433" t="s">
        <v>145</v>
      </c>
      <c r="E433" t="str">
        <f>"09"</f>
        <v>09</v>
      </c>
      <c r="H433">
        <v>51</v>
      </c>
      <c r="I433" t="s">
        <v>147</v>
      </c>
      <c r="J433" t="s">
        <v>138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R433" t="s">
        <v>127</v>
      </c>
      <c r="S433" t="str">
        <f t="shared" si="170"/>
        <v>15:05:43.000</v>
      </c>
      <c r="T433" t="str">
        <f t="shared" si="170"/>
        <v>15:05:43.000</v>
      </c>
      <c r="U433" t="str">
        <f t="shared" si="154"/>
        <v>A68FCB</v>
      </c>
      <c r="V433">
        <v>0</v>
      </c>
      <c r="W433">
        <v>0</v>
      </c>
      <c r="X433">
        <v>2</v>
      </c>
      <c r="Y433">
        <v>0</v>
      </c>
      <c r="AA433">
        <v>1</v>
      </c>
      <c r="AB433">
        <v>8</v>
      </c>
      <c r="AC433">
        <v>3</v>
      </c>
      <c r="AD433">
        <v>0</v>
      </c>
      <c r="AE433">
        <v>9</v>
      </c>
      <c r="AF433" t="s">
        <v>138</v>
      </c>
      <c r="AG433">
        <v>0</v>
      </c>
      <c r="AH433">
        <v>3</v>
      </c>
      <c r="AI433">
        <v>1</v>
      </c>
      <c r="AJ433">
        <v>0</v>
      </c>
      <c r="AK433" t="s">
        <v>254</v>
      </c>
      <c r="AL433">
        <v>38.955567000000002</v>
      </c>
      <c r="AM433" t="s">
        <v>258</v>
      </c>
      <c r="AN433">
        <v>-121.05551699999999</v>
      </c>
      <c r="AO433">
        <v>25</v>
      </c>
      <c r="AP433">
        <v>2200</v>
      </c>
      <c r="AQ433" t="s">
        <v>131</v>
      </c>
      <c r="AR433">
        <v>69</v>
      </c>
      <c r="AS433">
        <v>1</v>
      </c>
      <c r="AT433">
        <v>768</v>
      </c>
      <c r="BB433" t="str">
        <f t="shared" si="155"/>
        <v>1200</v>
      </c>
      <c r="BC433">
        <v>1</v>
      </c>
      <c r="BD433" t="str">
        <f t="shared" si="156"/>
        <v xml:space="preserve">N52156  </v>
      </c>
      <c r="BE433">
        <v>1</v>
      </c>
      <c r="BG433">
        <v>0</v>
      </c>
      <c r="BH433">
        <v>0</v>
      </c>
      <c r="BI433">
        <v>0</v>
      </c>
      <c r="BJ433">
        <v>2125</v>
      </c>
      <c r="BK433">
        <v>-75</v>
      </c>
      <c r="BL433" t="s">
        <v>188</v>
      </c>
      <c r="BM433">
        <v>1</v>
      </c>
      <c r="BN433">
        <v>1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 t="shared" si="171"/>
        <v>15:05:43.848</v>
      </c>
      <c r="CF433">
        <v>847697630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133</v>
      </c>
      <c r="DA433">
        <v>275</v>
      </c>
      <c r="DB433">
        <v>0</v>
      </c>
      <c r="DC433" t="s">
        <v>134</v>
      </c>
      <c r="DD433" t="s">
        <v>135</v>
      </c>
      <c r="DG433">
        <v>3318414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"05/01/2025 15:05:44.881"</f>
        <v>05/01/2025 15:05:44.881</v>
      </c>
      <c r="C434" t="str">
        <f t="shared" si="152"/>
        <v>FFDFD3C0</v>
      </c>
      <c r="D434" t="s">
        <v>140</v>
      </c>
      <c r="E434" t="str">
        <f>"13"</f>
        <v>13</v>
      </c>
      <c r="F434">
        <v>1019</v>
      </c>
      <c r="G434" t="s">
        <v>141</v>
      </c>
      <c r="J434" t="s">
        <v>142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R434" t="s">
        <v>127</v>
      </c>
      <c r="S434" t="str">
        <f t="shared" ref="S434:T439" si="172">"15:05:44.000"</f>
        <v>15:05:44.000</v>
      </c>
      <c r="T434" t="str">
        <f t="shared" si="172"/>
        <v>15:05:44.000</v>
      </c>
      <c r="U434" t="str">
        <f t="shared" si="154"/>
        <v>A68FCB</v>
      </c>
      <c r="V434">
        <v>0</v>
      </c>
      <c r="W434">
        <v>0</v>
      </c>
      <c r="X434">
        <v>2</v>
      </c>
      <c r="Y434">
        <v>0</v>
      </c>
      <c r="AA434">
        <v>1</v>
      </c>
      <c r="AB434">
        <v>8</v>
      </c>
      <c r="AC434">
        <v>3</v>
      </c>
      <c r="AD434">
        <v>0</v>
      </c>
      <c r="AE434">
        <v>9</v>
      </c>
      <c r="AF434" t="s">
        <v>138</v>
      </c>
      <c r="AG434">
        <v>0</v>
      </c>
      <c r="AH434">
        <v>3</v>
      </c>
      <c r="AI434">
        <v>1</v>
      </c>
      <c r="AJ434">
        <v>0</v>
      </c>
      <c r="AK434" t="s">
        <v>201</v>
      </c>
      <c r="AL434">
        <v>38.955587999999999</v>
      </c>
      <c r="AM434" t="s">
        <v>259</v>
      </c>
      <c r="AN434">
        <v>-121.05511</v>
      </c>
      <c r="AO434">
        <v>25</v>
      </c>
      <c r="AP434">
        <v>2200</v>
      </c>
      <c r="AQ434" t="s">
        <v>131</v>
      </c>
      <c r="AR434">
        <v>69</v>
      </c>
      <c r="AS434">
        <v>-2</v>
      </c>
      <c r="AT434">
        <v>832</v>
      </c>
      <c r="BB434" t="str">
        <f t="shared" si="155"/>
        <v>1200</v>
      </c>
      <c r="BC434">
        <v>1</v>
      </c>
      <c r="BD434" t="str">
        <f t="shared" si="156"/>
        <v xml:space="preserve">N52156  </v>
      </c>
      <c r="BE434">
        <v>1</v>
      </c>
      <c r="BG434">
        <v>0</v>
      </c>
      <c r="BH434">
        <v>0</v>
      </c>
      <c r="BI434">
        <v>0</v>
      </c>
      <c r="BJ434">
        <v>2125</v>
      </c>
      <c r="BK434">
        <v>-75</v>
      </c>
      <c r="BL434" t="s">
        <v>188</v>
      </c>
      <c r="BM434">
        <v>1</v>
      </c>
      <c r="BN434">
        <v>1</v>
      </c>
      <c r="BO434">
        <v>0</v>
      </c>
      <c r="BP434">
        <v>0</v>
      </c>
      <c r="BS434">
        <v>0</v>
      </c>
      <c r="BT434">
        <v>0</v>
      </c>
      <c r="BU434">
        <v>0</v>
      </c>
      <c r="CE434" t="str">
        <f t="shared" ref="CE434:CE439" si="173">"15:05:44.681"</f>
        <v>15:05:44.681</v>
      </c>
      <c r="CF434">
        <v>681197295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133</v>
      </c>
      <c r="DA434">
        <v>275</v>
      </c>
      <c r="DB434">
        <v>0</v>
      </c>
      <c r="DC434" t="s">
        <v>134</v>
      </c>
      <c r="DD434" t="s">
        <v>135</v>
      </c>
      <c r="DG434">
        <v>3318423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"05/01/2025 15:05:44.892"</f>
        <v>05/01/2025 15:05:44.892</v>
      </c>
      <c r="C435" t="str">
        <f t="shared" si="152"/>
        <v>FFDFD3C0</v>
      </c>
      <c r="D435" t="s">
        <v>145</v>
      </c>
      <c r="E435" t="str">
        <f>"05"</f>
        <v>05</v>
      </c>
      <c r="H435">
        <v>47</v>
      </c>
      <c r="I435" t="s">
        <v>146</v>
      </c>
      <c r="J435" t="s">
        <v>138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R435" t="s">
        <v>127</v>
      </c>
      <c r="S435" t="str">
        <f t="shared" si="172"/>
        <v>15:05:44.000</v>
      </c>
      <c r="T435" t="str">
        <f t="shared" si="172"/>
        <v>15:05:44.000</v>
      </c>
      <c r="U435" t="str">
        <f t="shared" si="154"/>
        <v>A68FCB</v>
      </c>
      <c r="V435">
        <v>0</v>
      </c>
      <c r="W435">
        <v>0</v>
      </c>
      <c r="X435">
        <v>2</v>
      </c>
      <c r="Y435">
        <v>0</v>
      </c>
      <c r="AA435">
        <v>1</v>
      </c>
      <c r="AB435">
        <v>8</v>
      </c>
      <c r="AC435">
        <v>3</v>
      </c>
      <c r="AD435">
        <v>0</v>
      </c>
      <c r="AE435">
        <v>9</v>
      </c>
      <c r="AF435" t="s">
        <v>138</v>
      </c>
      <c r="AG435">
        <v>0</v>
      </c>
      <c r="AH435">
        <v>3</v>
      </c>
      <c r="AI435">
        <v>1</v>
      </c>
      <c r="AJ435">
        <v>0</v>
      </c>
      <c r="AK435" t="s">
        <v>201</v>
      </c>
      <c r="AL435">
        <v>38.955587999999999</v>
      </c>
      <c r="AM435" t="s">
        <v>259</v>
      </c>
      <c r="AN435">
        <v>-121.05511</v>
      </c>
      <c r="AO435">
        <v>25</v>
      </c>
      <c r="AP435">
        <v>2200</v>
      </c>
      <c r="AQ435" t="s">
        <v>131</v>
      </c>
      <c r="AR435">
        <v>69</v>
      </c>
      <c r="AS435">
        <v>-2</v>
      </c>
      <c r="AT435">
        <v>832</v>
      </c>
      <c r="BB435" t="str">
        <f t="shared" si="155"/>
        <v>1200</v>
      </c>
      <c r="BC435">
        <v>1</v>
      </c>
      <c r="BD435" t="str">
        <f t="shared" si="156"/>
        <v xml:space="preserve">N52156  </v>
      </c>
      <c r="BE435">
        <v>1</v>
      </c>
      <c r="BG435">
        <v>0</v>
      </c>
      <c r="BH435">
        <v>0</v>
      </c>
      <c r="BI435">
        <v>0</v>
      </c>
      <c r="BJ435">
        <v>2125</v>
      </c>
      <c r="BK435">
        <v>-75</v>
      </c>
      <c r="BL435" t="s">
        <v>188</v>
      </c>
      <c r="BM435">
        <v>1</v>
      </c>
      <c r="BN435">
        <v>1</v>
      </c>
      <c r="BO435">
        <v>0</v>
      </c>
      <c r="BP435">
        <v>0</v>
      </c>
      <c r="BS435">
        <v>0</v>
      </c>
      <c r="BT435">
        <v>0</v>
      </c>
      <c r="BU435">
        <v>0</v>
      </c>
      <c r="CE435" t="str">
        <f t="shared" si="173"/>
        <v>15:05:44.681</v>
      </c>
      <c r="CF435">
        <v>681197295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133</v>
      </c>
      <c r="DA435">
        <v>275</v>
      </c>
      <c r="DB435">
        <v>0</v>
      </c>
      <c r="DC435" t="s">
        <v>134</v>
      </c>
      <c r="DD435" t="s">
        <v>135</v>
      </c>
      <c r="DG435">
        <v>3318423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"05/01/2025 15:05:44.889"</f>
        <v>05/01/2025 15:05:44.889</v>
      </c>
      <c r="C436" t="str">
        <f t="shared" si="152"/>
        <v>FFDFD3C0</v>
      </c>
      <c r="D436" t="s">
        <v>143</v>
      </c>
      <c r="E436" t="str">
        <f>"05"</f>
        <v>05</v>
      </c>
      <c r="H436">
        <v>172</v>
      </c>
      <c r="I436" t="s">
        <v>141</v>
      </c>
      <c r="J436" t="s">
        <v>144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R436" t="s">
        <v>127</v>
      </c>
      <c r="S436" t="str">
        <f t="shared" si="172"/>
        <v>15:05:44.000</v>
      </c>
      <c r="T436" t="str">
        <f t="shared" si="172"/>
        <v>15:05:44.000</v>
      </c>
      <c r="U436" t="str">
        <f t="shared" si="154"/>
        <v>A68FCB</v>
      </c>
      <c r="V436">
        <v>0</v>
      </c>
      <c r="W436">
        <v>0</v>
      </c>
      <c r="X436">
        <v>2</v>
      </c>
      <c r="Y436">
        <v>0</v>
      </c>
      <c r="AA436">
        <v>1</v>
      </c>
      <c r="AB436">
        <v>8</v>
      </c>
      <c r="AC436">
        <v>3</v>
      </c>
      <c r="AD436">
        <v>0</v>
      </c>
      <c r="AE436">
        <v>9</v>
      </c>
      <c r="AF436" t="s">
        <v>138</v>
      </c>
      <c r="AG436">
        <v>0</v>
      </c>
      <c r="AH436">
        <v>3</v>
      </c>
      <c r="AI436">
        <v>1</v>
      </c>
      <c r="AJ436">
        <v>0</v>
      </c>
      <c r="AK436" t="s">
        <v>201</v>
      </c>
      <c r="AL436">
        <v>38.955587999999999</v>
      </c>
      <c r="AM436" t="s">
        <v>259</v>
      </c>
      <c r="AN436">
        <v>-121.05511</v>
      </c>
      <c r="AO436">
        <v>25</v>
      </c>
      <c r="AP436">
        <v>2200</v>
      </c>
      <c r="AQ436" t="s">
        <v>131</v>
      </c>
      <c r="AR436">
        <v>69</v>
      </c>
      <c r="AS436">
        <v>-2</v>
      </c>
      <c r="AT436">
        <v>832</v>
      </c>
      <c r="BB436" t="str">
        <f t="shared" si="155"/>
        <v>1200</v>
      </c>
      <c r="BC436">
        <v>1</v>
      </c>
      <c r="BD436" t="str">
        <f t="shared" si="156"/>
        <v xml:space="preserve">N52156  </v>
      </c>
      <c r="BE436">
        <v>1</v>
      </c>
      <c r="BG436">
        <v>0</v>
      </c>
      <c r="BH436">
        <v>0</v>
      </c>
      <c r="BI436">
        <v>0</v>
      </c>
      <c r="BJ436">
        <v>2125</v>
      </c>
      <c r="BK436">
        <v>-75</v>
      </c>
      <c r="BL436" t="s">
        <v>188</v>
      </c>
      <c r="BM436">
        <v>1</v>
      </c>
      <c r="BN436">
        <v>1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 t="shared" si="173"/>
        <v>15:05:44.681</v>
      </c>
      <c r="CF436">
        <v>681197295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133</v>
      </c>
      <c r="DA436">
        <v>275</v>
      </c>
      <c r="DB436">
        <v>0</v>
      </c>
      <c r="DC436" t="s">
        <v>134</v>
      </c>
      <c r="DD436" t="s">
        <v>135</v>
      </c>
      <c r="DG436">
        <v>3318423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"05/01/2025 15:05:44.892"</f>
        <v>05/01/2025 15:05:44.892</v>
      </c>
      <c r="C437" t="str">
        <f t="shared" si="152"/>
        <v>FFDFD3C0</v>
      </c>
      <c r="D437" t="s">
        <v>145</v>
      </c>
      <c r="E437" t="str">
        <f>"09"</f>
        <v>09</v>
      </c>
      <c r="H437">
        <v>51</v>
      </c>
      <c r="I437" t="s">
        <v>147</v>
      </c>
      <c r="J437" t="s">
        <v>138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R437" t="s">
        <v>127</v>
      </c>
      <c r="S437" t="str">
        <f t="shared" si="172"/>
        <v>15:05:44.000</v>
      </c>
      <c r="T437" t="str">
        <f t="shared" si="172"/>
        <v>15:05:44.000</v>
      </c>
      <c r="U437" t="str">
        <f t="shared" si="154"/>
        <v>A68FCB</v>
      </c>
      <c r="V437">
        <v>0</v>
      </c>
      <c r="W437">
        <v>0</v>
      </c>
      <c r="X437">
        <v>2</v>
      </c>
      <c r="Y437">
        <v>0</v>
      </c>
      <c r="AA437">
        <v>1</v>
      </c>
      <c r="AB437">
        <v>8</v>
      </c>
      <c r="AC437">
        <v>3</v>
      </c>
      <c r="AD437">
        <v>0</v>
      </c>
      <c r="AE437">
        <v>9</v>
      </c>
      <c r="AF437" t="s">
        <v>138</v>
      </c>
      <c r="AG437">
        <v>0</v>
      </c>
      <c r="AH437">
        <v>3</v>
      </c>
      <c r="AI437">
        <v>1</v>
      </c>
      <c r="AJ437">
        <v>0</v>
      </c>
      <c r="AK437" t="s">
        <v>201</v>
      </c>
      <c r="AL437">
        <v>38.955587999999999</v>
      </c>
      <c r="AM437" t="s">
        <v>259</v>
      </c>
      <c r="AN437">
        <v>-121.05511</v>
      </c>
      <c r="AO437">
        <v>25</v>
      </c>
      <c r="AP437">
        <v>2200</v>
      </c>
      <c r="AQ437" t="s">
        <v>131</v>
      </c>
      <c r="AR437">
        <v>69</v>
      </c>
      <c r="AS437">
        <v>-2</v>
      </c>
      <c r="AT437">
        <v>832</v>
      </c>
      <c r="BB437" t="str">
        <f t="shared" si="155"/>
        <v>1200</v>
      </c>
      <c r="BC437">
        <v>1</v>
      </c>
      <c r="BD437" t="str">
        <f t="shared" si="156"/>
        <v xml:space="preserve">N52156  </v>
      </c>
      <c r="BE437">
        <v>1</v>
      </c>
      <c r="BG437">
        <v>0</v>
      </c>
      <c r="BH437">
        <v>0</v>
      </c>
      <c r="BI437">
        <v>0</v>
      </c>
      <c r="BJ437">
        <v>2125</v>
      </c>
      <c r="BK437">
        <v>-75</v>
      </c>
      <c r="BL437" t="s">
        <v>188</v>
      </c>
      <c r="BM437">
        <v>1</v>
      </c>
      <c r="BN437">
        <v>1</v>
      </c>
      <c r="BO437">
        <v>0</v>
      </c>
      <c r="BP437">
        <v>0</v>
      </c>
      <c r="BS437">
        <v>0</v>
      </c>
      <c r="BT437">
        <v>0</v>
      </c>
      <c r="BU437">
        <v>0</v>
      </c>
      <c r="CE437" t="str">
        <f t="shared" si="173"/>
        <v>15:05:44.681</v>
      </c>
      <c r="CF437">
        <v>681197295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133</v>
      </c>
      <c r="DA437">
        <v>275</v>
      </c>
      <c r="DB437">
        <v>0</v>
      </c>
      <c r="DC437" t="s">
        <v>134</v>
      </c>
      <c r="DD437" t="s">
        <v>135</v>
      </c>
      <c r="DG437">
        <v>3318423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"05/01/2025 15:05:44.893"</f>
        <v>05/01/2025 15:05:44.893</v>
      </c>
      <c r="C438" t="str">
        <f t="shared" si="152"/>
        <v>FFDFD3C0</v>
      </c>
      <c r="D438" t="s">
        <v>124</v>
      </c>
      <c r="E438" t="str">
        <f>"06"</f>
        <v>06</v>
      </c>
      <c r="F438">
        <v>2006</v>
      </c>
      <c r="G438" t="s">
        <v>125</v>
      </c>
      <c r="J438" t="s">
        <v>126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R438" t="s">
        <v>127</v>
      </c>
      <c r="S438" t="str">
        <f t="shared" si="172"/>
        <v>15:05:44.000</v>
      </c>
      <c r="T438" t="str">
        <f t="shared" si="172"/>
        <v>15:05:44.000</v>
      </c>
      <c r="U438" t="str">
        <f t="shared" si="154"/>
        <v>A68FCB</v>
      </c>
      <c r="V438">
        <v>0</v>
      </c>
      <c r="W438">
        <v>0</v>
      </c>
      <c r="X438">
        <v>2</v>
      </c>
      <c r="Y438">
        <v>0</v>
      </c>
      <c r="AA438">
        <v>1</v>
      </c>
      <c r="AB438">
        <v>8</v>
      </c>
      <c r="AC438">
        <v>3</v>
      </c>
      <c r="AD438">
        <v>0</v>
      </c>
      <c r="AE438">
        <v>9</v>
      </c>
      <c r="AF438" t="s">
        <v>138</v>
      </c>
      <c r="AG438">
        <v>0</v>
      </c>
      <c r="AH438">
        <v>3</v>
      </c>
      <c r="AI438">
        <v>1</v>
      </c>
      <c r="AJ438">
        <v>0</v>
      </c>
      <c r="AK438" t="s">
        <v>201</v>
      </c>
      <c r="AL438">
        <v>38.955587999999999</v>
      </c>
      <c r="AM438" t="s">
        <v>259</v>
      </c>
      <c r="AN438">
        <v>-121.05511</v>
      </c>
      <c r="AO438">
        <v>25</v>
      </c>
      <c r="AP438">
        <v>2200</v>
      </c>
      <c r="AQ438" t="s">
        <v>131</v>
      </c>
      <c r="AR438">
        <v>69</v>
      </c>
      <c r="AS438">
        <v>-2</v>
      </c>
      <c r="AT438">
        <v>832</v>
      </c>
      <c r="BB438" t="str">
        <f t="shared" si="155"/>
        <v>1200</v>
      </c>
      <c r="BC438">
        <v>1</v>
      </c>
      <c r="BD438" t="str">
        <f t="shared" si="156"/>
        <v xml:space="preserve">N52156  </v>
      </c>
      <c r="BE438">
        <v>1</v>
      </c>
      <c r="BG438">
        <v>0</v>
      </c>
      <c r="BH438">
        <v>0</v>
      </c>
      <c r="BI438">
        <v>0</v>
      </c>
      <c r="BJ438">
        <v>2125</v>
      </c>
      <c r="BK438">
        <v>-75</v>
      </c>
      <c r="BL438" t="s">
        <v>188</v>
      </c>
      <c r="BM438">
        <v>1</v>
      </c>
      <c r="BN438">
        <v>1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 t="shared" si="173"/>
        <v>15:05:44.681</v>
      </c>
      <c r="CF438">
        <v>681197295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133</v>
      </c>
      <c r="DA438">
        <v>275</v>
      </c>
      <c r="DB438">
        <v>0</v>
      </c>
      <c r="DC438" t="s">
        <v>134</v>
      </c>
      <c r="DD438" t="s">
        <v>135</v>
      </c>
      <c r="DG438">
        <v>3318423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"05/01/2025 15:05:44.902"</f>
        <v>05/01/2025 15:05:44.902</v>
      </c>
      <c r="C439" t="str">
        <f t="shared" si="152"/>
        <v>FFDFD3C0</v>
      </c>
      <c r="D439" t="s">
        <v>136</v>
      </c>
      <c r="E439" t="str">
        <f>"20"</f>
        <v>20</v>
      </c>
      <c r="H439">
        <v>400</v>
      </c>
      <c r="I439" t="s">
        <v>137</v>
      </c>
      <c r="J439" t="s">
        <v>138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R439" t="s">
        <v>127</v>
      </c>
      <c r="S439" t="str">
        <f t="shared" si="172"/>
        <v>15:05:44.000</v>
      </c>
      <c r="T439" t="str">
        <f t="shared" si="172"/>
        <v>15:05:44.000</v>
      </c>
      <c r="U439" t="str">
        <f t="shared" si="154"/>
        <v>A68FCB</v>
      </c>
      <c r="V439">
        <v>0</v>
      </c>
      <c r="W439">
        <v>0</v>
      </c>
      <c r="X439">
        <v>2</v>
      </c>
      <c r="Y439">
        <v>0</v>
      </c>
      <c r="AA439">
        <v>1</v>
      </c>
      <c r="AB439">
        <v>8</v>
      </c>
      <c r="AC439">
        <v>3</v>
      </c>
      <c r="AD439">
        <v>0</v>
      </c>
      <c r="AE439">
        <v>9</v>
      </c>
      <c r="AF439" t="s">
        <v>138</v>
      </c>
      <c r="AG439">
        <v>0</v>
      </c>
      <c r="AH439">
        <v>3</v>
      </c>
      <c r="AI439">
        <v>1</v>
      </c>
      <c r="AJ439">
        <v>0</v>
      </c>
      <c r="AK439" t="s">
        <v>201</v>
      </c>
      <c r="AL439">
        <v>38.955587999999999</v>
      </c>
      <c r="AM439" t="s">
        <v>259</v>
      </c>
      <c r="AN439">
        <v>-121.05511</v>
      </c>
      <c r="AO439">
        <v>25</v>
      </c>
      <c r="AP439">
        <v>2200</v>
      </c>
      <c r="AQ439" t="s">
        <v>131</v>
      </c>
      <c r="AR439">
        <v>69</v>
      </c>
      <c r="AS439">
        <v>-2</v>
      </c>
      <c r="AT439">
        <v>832</v>
      </c>
      <c r="BB439" t="str">
        <f t="shared" si="155"/>
        <v>1200</v>
      </c>
      <c r="BC439">
        <v>1</v>
      </c>
      <c r="BD439" t="str">
        <f t="shared" si="156"/>
        <v xml:space="preserve">N52156  </v>
      </c>
      <c r="BE439">
        <v>1</v>
      </c>
      <c r="BG439">
        <v>0</v>
      </c>
      <c r="BH439">
        <v>0</v>
      </c>
      <c r="BI439">
        <v>0</v>
      </c>
      <c r="BJ439">
        <v>2125</v>
      </c>
      <c r="BK439">
        <v>-75</v>
      </c>
      <c r="BL439" t="s">
        <v>188</v>
      </c>
      <c r="BM439">
        <v>1</v>
      </c>
      <c r="BN439">
        <v>1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 t="shared" si="173"/>
        <v>15:05:44.681</v>
      </c>
      <c r="CF439">
        <v>681197295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133</v>
      </c>
      <c r="DA439">
        <v>275</v>
      </c>
      <c r="DB439">
        <v>0</v>
      </c>
      <c r="DC439" t="s">
        <v>134</v>
      </c>
      <c r="DD439" t="s">
        <v>135</v>
      </c>
      <c r="DG439">
        <v>3318423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"05/01/2025 15:05:45.783"</f>
        <v>05/01/2025 15:05:45.783</v>
      </c>
      <c r="C440" t="str">
        <f t="shared" si="152"/>
        <v>FFDFD3C0</v>
      </c>
      <c r="D440" t="s">
        <v>140</v>
      </c>
      <c r="E440" t="str">
        <f>"13"</f>
        <v>13</v>
      </c>
      <c r="F440">
        <v>1019</v>
      </c>
      <c r="G440" t="s">
        <v>141</v>
      </c>
      <c r="J440" t="s">
        <v>142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R440" t="s">
        <v>127</v>
      </c>
      <c r="S440" t="str">
        <f t="shared" ref="S440:T445" si="174">"15:05:45.000"</f>
        <v>15:05:45.000</v>
      </c>
      <c r="T440" t="str">
        <f t="shared" si="174"/>
        <v>15:05:45.000</v>
      </c>
      <c r="U440" t="str">
        <f t="shared" si="154"/>
        <v>A68FCB</v>
      </c>
      <c r="V440">
        <v>0</v>
      </c>
      <c r="W440">
        <v>0</v>
      </c>
      <c r="X440">
        <v>2</v>
      </c>
      <c r="Y440">
        <v>0</v>
      </c>
      <c r="AA440">
        <v>1</v>
      </c>
      <c r="AB440">
        <v>8</v>
      </c>
      <c r="AC440">
        <v>3</v>
      </c>
      <c r="AD440">
        <v>0</v>
      </c>
      <c r="AE440">
        <v>9</v>
      </c>
      <c r="AF440" t="s">
        <v>138</v>
      </c>
      <c r="AG440">
        <v>0</v>
      </c>
      <c r="AH440">
        <v>3</v>
      </c>
      <c r="AI440">
        <v>1</v>
      </c>
      <c r="AJ440">
        <v>0</v>
      </c>
      <c r="AK440" t="s">
        <v>201</v>
      </c>
      <c r="AL440">
        <v>38.955587999999999</v>
      </c>
      <c r="AM440" t="s">
        <v>260</v>
      </c>
      <c r="AN440">
        <v>-121.05470200000001</v>
      </c>
      <c r="AO440">
        <v>25</v>
      </c>
      <c r="AP440">
        <v>2200</v>
      </c>
      <c r="AQ440" t="s">
        <v>131</v>
      </c>
      <c r="AR440">
        <v>69</v>
      </c>
      <c r="AS440">
        <v>1</v>
      </c>
      <c r="AT440">
        <v>768</v>
      </c>
      <c r="BB440" t="str">
        <f t="shared" si="155"/>
        <v>1200</v>
      </c>
      <c r="BC440">
        <v>1</v>
      </c>
      <c r="BD440" t="str">
        <f t="shared" si="156"/>
        <v xml:space="preserve">N52156  </v>
      </c>
      <c r="BE440">
        <v>1</v>
      </c>
      <c r="BG440">
        <v>0</v>
      </c>
      <c r="BH440">
        <v>0</v>
      </c>
      <c r="BI440">
        <v>0</v>
      </c>
      <c r="BJ440">
        <v>2175</v>
      </c>
      <c r="BK440">
        <v>-25</v>
      </c>
      <c r="BL440" t="s">
        <v>188</v>
      </c>
      <c r="BM440">
        <v>1</v>
      </c>
      <c r="BN440">
        <v>1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 t="shared" ref="CE440:CE445" si="175">"15:05:45.564"</f>
        <v>15:05:45.564</v>
      </c>
      <c r="CF440">
        <v>563697101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5</v>
      </c>
      <c r="CY440">
        <v>7</v>
      </c>
      <c r="CZ440" t="s">
        <v>133</v>
      </c>
      <c r="DA440">
        <v>275</v>
      </c>
      <c r="DB440">
        <v>0</v>
      </c>
      <c r="DC440" t="s">
        <v>134</v>
      </c>
      <c r="DD440" t="s">
        <v>135</v>
      </c>
      <c r="DG440">
        <v>3318435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"05/01/2025 15:05:45.791"</f>
        <v>05/01/2025 15:05:45.791</v>
      </c>
      <c r="C441" t="str">
        <f t="shared" si="152"/>
        <v>FFDFD3C0</v>
      </c>
      <c r="D441" t="s">
        <v>143</v>
      </c>
      <c r="E441" t="str">
        <f>"05"</f>
        <v>05</v>
      </c>
      <c r="H441">
        <v>172</v>
      </c>
      <c r="I441" t="s">
        <v>141</v>
      </c>
      <c r="J441" t="s">
        <v>144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R441" t="s">
        <v>127</v>
      </c>
      <c r="S441" t="str">
        <f t="shared" si="174"/>
        <v>15:05:45.000</v>
      </c>
      <c r="T441" t="str">
        <f t="shared" si="174"/>
        <v>15:05:45.000</v>
      </c>
      <c r="U441" t="str">
        <f t="shared" si="154"/>
        <v>A68FCB</v>
      </c>
      <c r="V441">
        <v>0</v>
      </c>
      <c r="W441">
        <v>0</v>
      </c>
      <c r="X441">
        <v>2</v>
      </c>
      <c r="Y441">
        <v>0</v>
      </c>
      <c r="AA441">
        <v>1</v>
      </c>
      <c r="AB441">
        <v>8</v>
      </c>
      <c r="AC441">
        <v>3</v>
      </c>
      <c r="AD441">
        <v>0</v>
      </c>
      <c r="AE441">
        <v>9</v>
      </c>
      <c r="AF441" t="s">
        <v>138</v>
      </c>
      <c r="AG441">
        <v>0</v>
      </c>
      <c r="AH441">
        <v>3</v>
      </c>
      <c r="AI441">
        <v>1</v>
      </c>
      <c r="AJ441">
        <v>0</v>
      </c>
      <c r="AK441" t="s">
        <v>201</v>
      </c>
      <c r="AL441">
        <v>38.955587999999999</v>
      </c>
      <c r="AM441" t="s">
        <v>260</v>
      </c>
      <c r="AN441">
        <v>-121.05470200000001</v>
      </c>
      <c r="AO441">
        <v>25</v>
      </c>
      <c r="AP441">
        <v>2200</v>
      </c>
      <c r="AQ441" t="s">
        <v>131</v>
      </c>
      <c r="AR441">
        <v>69</v>
      </c>
      <c r="AS441">
        <v>1</v>
      </c>
      <c r="AT441">
        <v>768</v>
      </c>
      <c r="BB441" t="str">
        <f t="shared" si="155"/>
        <v>1200</v>
      </c>
      <c r="BC441">
        <v>1</v>
      </c>
      <c r="BD441" t="str">
        <f t="shared" si="156"/>
        <v xml:space="preserve">N52156  </v>
      </c>
      <c r="BE441">
        <v>1</v>
      </c>
      <c r="BG441">
        <v>0</v>
      </c>
      <c r="BH441">
        <v>0</v>
      </c>
      <c r="BI441">
        <v>0</v>
      </c>
      <c r="BJ441">
        <v>2175</v>
      </c>
      <c r="BK441">
        <v>-25</v>
      </c>
      <c r="BL441" t="s">
        <v>188</v>
      </c>
      <c r="BM441">
        <v>1</v>
      </c>
      <c r="BN441">
        <v>1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 t="shared" si="175"/>
        <v>15:05:45.564</v>
      </c>
      <c r="CF441">
        <v>563697101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133</v>
      </c>
      <c r="DA441">
        <v>275</v>
      </c>
      <c r="DB441">
        <v>0</v>
      </c>
      <c r="DC441" t="s">
        <v>134</v>
      </c>
      <c r="DD441" t="s">
        <v>135</v>
      </c>
      <c r="DG441">
        <v>3318435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"05/01/2025 15:05:45.795"</f>
        <v>05/01/2025 15:05:45.795</v>
      </c>
      <c r="C442" t="str">
        <f t="shared" si="152"/>
        <v>FFDFD3C0</v>
      </c>
      <c r="D442" t="s">
        <v>124</v>
      </c>
      <c r="E442" t="str">
        <f>"06"</f>
        <v>06</v>
      </c>
      <c r="F442">
        <v>2006</v>
      </c>
      <c r="G442" t="s">
        <v>125</v>
      </c>
      <c r="J442" t="s">
        <v>126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R442" t="s">
        <v>127</v>
      </c>
      <c r="S442" t="str">
        <f t="shared" si="174"/>
        <v>15:05:45.000</v>
      </c>
      <c r="T442" t="str">
        <f t="shared" si="174"/>
        <v>15:05:45.000</v>
      </c>
      <c r="U442" t="str">
        <f t="shared" si="154"/>
        <v>A68FCB</v>
      </c>
      <c r="V442">
        <v>0</v>
      </c>
      <c r="W442">
        <v>0</v>
      </c>
      <c r="X442">
        <v>2</v>
      </c>
      <c r="Y442">
        <v>0</v>
      </c>
      <c r="AA442">
        <v>1</v>
      </c>
      <c r="AB442">
        <v>8</v>
      </c>
      <c r="AC442">
        <v>3</v>
      </c>
      <c r="AD442">
        <v>0</v>
      </c>
      <c r="AE442">
        <v>9</v>
      </c>
      <c r="AF442" t="s">
        <v>138</v>
      </c>
      <c r="AG442">
        <v>0</v>
      </c>
      <c r="AH442">
        <v>3</v>
      </c>
      <c r="AI442">
        <v>1</v>
      </c>
      <c r="AJ442">
        <v>0</v>
      </c>
      <c r="AK442" t="s">
        <v>201</v>
      </c>
      <c r="AL442">
        <v>38.955587999999999</v>
      </c>
      <c r="AM442" t="s">
        <v>260</v>
      </c>
      <c r="AN442">
        <v>-121.05470200000001</v>
      </c>
      <c r="AO442">
        <v>25</v>
      </c>
      <c r="AP442">
        <v>2200</v>
      </c>
      <c r="AQ442" t="s">
        <v>131</v>
      </c>
      <c r="AR442">
        <v>69</v>
      </c>
      <c r="AS442">
        <v>1</v>
      </c>
      <c r="AT442">
        <v>768</v>
      </c>
      <c r="BB442" t="str">
        <f t="shared" si="155"/>
        <v>1200</v>
      </c>
      <c r="BC442">
        <v>1</v>
      </c>
      <c r="BD442" t="str">
        <f t="shared" si="156"/>
        <v xml:space="preserve">N52156  </v>
      </c>
      <c r="BE442">
        <v>1</v>
      </c>
      <c r="BG442">
        <v>0</v>
      </c>
      <c r="BH442">
        <v>0</v>
      </c>
      <c r="BI442">
        <v>0</v>
      </c>
      <c r="BJ442">
        <v>2175</v>
      </c>
      <c r="BK442">
        <v>-25</v>
      </c>
      <c r="BL442" t="s">
        <v>188</v>
      </c>
      <c r="BM442">
        <v>1</v>
      </c>
      <c r="BN442">
        <v>1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 t="shared" si="175"/>
        <v>15:05:45.564</v>
      </c>
      <c r="CF442">
        <v>563697101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5</v>
      </c>
      <c r="CY442">
        <v>7</v>
      </c>
      <c r="CZ442" t="s">
        <v>133</v>
      </c>
      <c r="DA442">
        <v>275</v>
      </c>
      <c r="DB442">
        <v>0</v>
      </c>
      <c r="DC442" t="s">
        <v>134</v>
      </c>
      <c r="DD442" t="s">
        <v>135</v>
      </c>
      <c r="DG442">
        <v>3318435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"05/01/2025 15:05:45.794"</f>
        <v>05/01/2025 15:05:45.794</v>
      </c>
      <c r="C443" t="str">
        <f t="shared" si="152"/>
        <v>FFDFD3C0</v>
      </c>
      <c r="D443" t="s">
        <v>145</v>
      </c>
      <c r="E443" t="str">
        <f>"05"</f>
        <v>05</v>
      </c>
      <c r="H443">
        <v>47</v>
      </c>
      <c r="I443" t="s">
        <v>146</v>
      </c>
      <c r="J443" t="s">
        <v>138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R443" t="s">
        <v>127</v>
      </c>
      <c r="S443" t="str">
        <f t="shared" si="174"/>
        <v>15:05:45.000</v>
      </c>
      <c r="T443" t="str">
        <f t="shared" si="174"/>
        <v>15:05:45.000</v>
      </c>
      <c r="U443" t="str">
        <f t="shared" si="154"/>
        <v>A68FCB</v>
      </c>
      <c r="V443">
        <v>0</v>
      </c>
      <c r="W443">
        <v>0</v>
      </c>
      <c r="X443">
        <v>2</v>
      </c>
      <c r="Y443">
        <v>0</v>
      </c>
      <c r="AA443">
        <v>1</v>
      </c>
      <c r="AB443">
        <v>8</v>
      </c>
      <c r="AC443">
        <v>3</v>
      </c>
      <c r="AD443">
        <v>0</v>
      </c>
      <c r="AE443">
        <v>9</v>
      </c>
      <c r="AF443" t="s">
        <v>138</v>
      </c>
      <c r="AG443">
        <v>0</v>
      </c>
      <c r="AH443">
        <v>3</v>
      </c>
      <c r="AI443">
        <v>1</v>
      </c>
      <c r="AJ443">
        <v>0</v>
      </c>
      <c r="AK443" t="s">
        <v>201</v>
      </c>
      <c r="AL443">
        <v>38.955587999999999</v>
      </c>
      <c r="AM443" t="s">
        <v>260</v>
      </c>
      <c r="AN443">
        <v>-121.05470200000001</v>
      </c>
      <c r="AO443">
        <v>25</v>
      </c>
      <c r="AP443">
        <v>2200</v>
      </c>
      <c r="AQ443" t="s">
        <v>131</v>
      </c>
      <c r="AR443">
        <v>69</v>
      </c>
      <c r="AS443">
        <v>1</v>
      </c>
      <c r="AT443">
        <v>768</v>
      </c>
      <c r="BB443" t="str">
        <f t="shared" si="155"/>
        <v>1200</v>
      </c>
      <c r="BC443">
        <v>1</v>
      </c>
      <c r="BD443" t="str">
        <f t="shared" si="156"/>
        <v xml:space="preserve">N52156  </v>
      </c>
      <c r="BE443">
        <v>1</v>
      </c>
      <c r="BG443">
        <v>0</v>
      </c>
      <c r="BH443">
        <v>0</v>
      </c>
      <c r="BI443">
        <v>0</v>
      </c>
      <c r="BJ443">
        <v>2175</v>
      </c>
      <c r="BK443">
        <v>-25</v>
      </c>
      <c r="BL443" t="s">
        <v>188</v>
      </c>
      <c r="BM443">
        <v>1</v>
      </c>
      <c r="BN443">
        <v>1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 t="shared" si="175"/>
        <v>15:05:45.564</v>
      </c>
      <c r="CF443">
        <v>563697101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5</v>
      </c>
      <c r="CY443">
        <v>7</v>
      </c>
      <c r="CZ443" t="s">
        <v>133</v>
      </c>
      <c r="DA443">
        <v>275</v>
      </c>
      <c r="DB443">
        <v>0</v>
      </c>
      <c r="DC443" t="s">
        <v>134</v>
      </c>
      <c r="DD443" t="s">
        <v>135</v>
      </c>
      <c r="DG443">
        <v>3318435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"05/01/2025 15:05:45.794"</f>
        <v>05/01/2025 15:05:45.794</v>
      </c>
      <c r="C444" t="str">
        <f t="shared" si="152"/>
        <v>FFDFD3C0</v>
      </c>
      <c r="D444" t="s">
        <v>145</v>
      </c>
      <c r="E444" t="str">
        <f>"09"</f>
        <v>09</v>
      </c>
      <c r="H444">
        <v>51</v>
      </c>
      <c r="I444" t="s">
        <v>147</v>
      </c>
      <c r="J444" t="s">
        <v>138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R444" t="s">
        <v>127</v>
      </c>
      <c r="S444" t="str">
        <f t="shared" si="174"/>
        <v>15:05:45.000</v>
      </c>
      <c r="T444" t="str">
        <f t="shared" si="174"/>
        <v>15:05:45.000</v>
      </c>
      <c r="U444" t="str">
        <f t="shared" si="154"/>
        <v>A68FCB</v>
      </c>
      <c r="V444">
        <v>0</v>
      </c>
      <c r="W444">
        <v>0</v>
      </c>
      <c r="X444">
        <v>2</v>
      </c>
      <c r="Y444">
        <v>0</v>
      </c>
      <c r="AA444">
        <v>1</v>
      </c>
      <c r="AB444">
        <v>8</v>
      </c>
      <c r="AC444">
        <v>3</v>
      </c>
      <c r="AD444">
        <v>0</v>
      </c>
      <c r="AE444">
        <v>9</v>
      </c>
      <c r="AF444" t="s">
        <v>138</v>
      </c>
      <c r="AG444">
        <v>0</v>
      </c>
      <c r="AH444">
        <v>3</v>
      </c>
      <c r="AI444">
        <v>1</v>
      </c>
      <c r="AJ444">
        <v>0</v>
      </c>
      <c r="AK444" t="s">
        <v>201</v>
      </c>
      <c r="AL444">
        <v>38.955587999999999</v>
      </c>
      <c r="AM444" t="s">
        <v>260</v>
      </c>
      <c r="AN444">
        <v>-121.05470200000001</v>
      </c>
      <c r="AO444">
        <v>25</v>
      </c>
      <c r="AP444">
        <v>2200</v>
      </c>
      <c r="AQ444" t="s">
        <v>131</v>
      </c>
      <c r="AR444">
        <v>69</v>
      </c>
      <c r="AS444">
        <v>1</v>
      </c>
      <c r="AT444">
        <v>768</v>
      </c>
      <c r="BB444" t="str">
        <f t="shared" si="155"/>
        <v>1200</v>
      </c>
      <c r="BC444">
        <v>1</v>
      </c>
      <c r="BD444" t="str">
        <f t="shared" si="156"/>
        <v xml:space="preserve">N52156  </v>
      </c>
      <c r="BE444">
        <v>1</v>
      </c>
      <c r="BG444">
        <v>0</v>
      </c>
      <c r="BH444">
        <v>0</v>
      </c>
      <c r="BI444">
        <v>0</v>
      </c>
      <c r="BJ444">
        <v>2175</v>
      </c>
      <c r="BK444">
        <v>-25</v>
      </c>
      <c r="BL444" t="s">
        <v>188</v>
      </c>
      <c r="BM444">
        <v>1</v>
      </c>
      <c r="BN444">
        <v>1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 t="shared" si="175"/>
        <v>15:05:45.564</v>
      </c>
      <c r="CF444">
        <v>563697101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133</v>
      </c>
      <c r="DA444">
        <v>275</v>
      </c>
      <c r="DB444">
        <v>0</v>
      </c>
      <c r="DC444" t="s">
        <v>134</v>
      </c>
      <c r="DD444" t="s">
        <v>135</v>
      </c>
      <c r="DG444">
        <v>3318435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"05/01/2025 15:05:45.804"</f>
        <v>05/01/2025 15:05:45.804</v>
      </c>
      <c r="C445" t="str">
        <f t="shared" si="152"/>
        <v>FFDFD3C0</v>
      </c>
      <c r="D445" t="s">
        <v>136</v>
      </c>
      <c r="E445" t="str">
        <f>"20"</f>
        <v>20</v>
      </c>
      <c r="H445">
        <v>400</v>
      </c>
      <c r="I445" t="s">
        <v>137</v>
      </c>
      <c r="J445" t="s">
        <v>138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R445" t="s">
        <v>127</v>
      </c>
      <c r="S445" t="str">
        <f t="shared" si="174"/>
        <v>15:05:45.000</v>
      </c>
      <c r="T445" t="str">
        <f t="shared" si="174"/>
        <v>15:05:45.000</v>
      </c>
      <c r="U445" t="str">
        <f t="shared" si="154"/>
        <v>A68FCB</v>
      </c>
      <c r="V445">
        <v>0</v>
      </c>
      <c r="W445">
        <v>0</v>
      </c>
      <c r="X445">
        <v>2</v>
      </c>
      <c r="Y445">
        <v>0</v>
      </c>
      <c r="AA445">
        <v>1</v>
      </c>
      <c r="AB445">
        <v>8</v>
      </c>
      <c r="AC445">
        <v>3</v>
      </c>
      <c r="AD445">
        <v>0</v>
      </c>
      <c r="AE445">
        <v>9</v>
      </c>
      <c r="AF445" t="s">
        <v>138</v>
      </c>
      <c r="AG445">
        <v>0</v>
      </c>
      <c r="AH445">
        <v>3</v>
      </c>
      <c r="AI445">
        <v>1</v>
      </c>
      <c r="AJ445">
        <v>0</v>
      </c>
      <c r="AK445" t="s">
        <v>201</v>
      </c>
      <c r="AL445">
        <v>38.955587999999999</v>
      </c>
      <c r="AM445" t="s">
        <v>260</v>
      </c>
      <c r="AN445">
        <v>-121.05470200000001</v>
      </c>
      <c r="AO445">
        <v>25</v>
      </c>
      <c r="AP445">
        <v>2200</v>
      </c>
      <c r="AQ445" t="s">
        <v>131</v>
      </c>
      <c r="AR445">
        <v>69</v>
      </c>
      <c r="AS445">
        <v>1</v>
      </c>
      <c r="AT445">
        <v>768</v>
      </c>
      <c r="BB445" t="str">
        <f t="shared" si="155"/>
        <v>1200</v>
      </c>
      <c r="BC445">
        <v>1</v>
      </c>
      <c r="BD445" t="str">
        <f t="shared" si="156"/>
        <v xml:space="preserve">N52156  </v>
      </c>
      <c r="BE445">
        <v>1</v>
      </c>
      <c r="BG445">
        <v>0</v>
      </c>
      <c r="BH445">
        <v>0</v>
      </c>
      <c r="BI445">
        <v>0</v>
      </c>
      <c r="BJ445">
        <v>2175</v>
      </c>
      <c r="BK445">
        <v>-25</v>
      </c>
      <c r="BL445" t="s">
        <v>188</v>
      </c>
      <c r="BM445">
        <v>1</v>
      </c>
      <c r="BN445">
        <v>1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 t="shared" si="175"/>
        <v>15:05:45.564</v>
      </c>
      <c r="CF445">
        <v>563697101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5</v>
      </c>
      <c r="CY445">
        <v>7</v>
      </c>
      <c r="CZ445" t="s">
        <v>133</v>
      </c>
      <c r="DA445">
        <v>275</v>
      </c>
      <c r="DB445">
        <v>0</v>
      </c>
      <c r="DC445" t="s">
        <v>134</v>
      </c>
      <c r="DD445" t="s">
        <v>135</v>
      </c>
      <c r="DG445">
        <v>3318435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"05/01/2025 15:05:46.606"</f>
        <v>05/01/2025 15:05:46.606</v>
      </c>
      <c r="C446" t="str">
        <f t="shared" si="152"/>
        <v>FFDFD3C0</v>
      </c>
      <c r="D446" t="s">
        <v>136</v>
      </c>
      <c r="E446" t="str">
        <f>"20"</f>
        <v>20</v>
      </c>
      <c r="H446">
        <v>400</v>
      </c>
      <c r="I446" t="s">
        <v>137</v>
      </c>
      <c r="J446" t="s">
        <v>138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R446" t="s">
        <v>127</v>
      </c>
      <c r="S446" t="str">
        <f t="shared" ref="S446:T451" si="176">"15:05:46.000"</f>
        <v>15:05:46.000</v>
      </c>
      <c r="T446" t="str">
        <f t="shared" si="176"/>
        <v>15:05:46.000</v>
      </c>
      <c r="U446" t="str">
        <f t="shared" si="154"/>
        <v>A68FCB</v>
      </c>
      <c r="V446">
        <v>0</v>
      </c>
      <c r="W446">
        <v>0</v>
      </c>
      <c r="X446">
        <v>2</v>
      </c>
      <c r="Y446">
        <v>0</v>
      </c>
      <c r="AA446">
        <v>1</v>
      </c>
      <c r="AB446">
        <v>8</v>
      </c>
      <c r="AC446">
        <v>3</v>
      </c>
      <c r="AD446">
        <v>0</v>
      </c>
      <c r="AE446">
        <v>9</v>
      </c>
      <c r="AF446" t="s">
        <v>138</v>
      </c>
      <c r="AG446">
        <v>0</v>
      </c>
      <c r="AH446">
        <v>3</v>
      </c>
      <c r="AI446">
        <v>1</v>
      </c>
      <c r="AJ446">
        <v>0</v>
      </c>
      <c r="AK446" t="s">
        <v>201</v>
      </c>
      <c r="AL446">
        <v>38.955587999999999</v>
      </c>
      <c r="AM446" t="s">
        <v>261</v>
      </c>
      <c r="AN446">
        <v>-121.05427299999999</v>
      </c>
      <c r="AO446">
        <v>25</v>
      </c>
      <c r="AP446">
        <v>2200</v>
      </c>
      <c r="AQ446" t="s">
        <v>131</v>
      </c>
      <c r="AR446">
        <v>69</v>
      </c>
      <c r="AS446">
        <v>3</v>
      </c>
      <c r="AT446">
        <v>704</v>
      </c>
      <c r="BB446" t="str">
        <f t="shared" si="155"/>
        <v>1200</v>
      </c>
      <c r="BC446">
        <v>1</v>
      </c>
      <c r="BD446" t="str">
        <f t="shared" si="156"/>
        <v xml:space="preserve">N52156  </v>
      </c>
      <c r="BE446">
        <v>1</v>
      </c>
      <c r="BG446">
        <v>0</v>
      </c>
      <c r="BH446">
        <v>0</v>
      </c>
      <c r="BI446">
        <v>0</v>
      </c>
      <c r="BJ446">
        <v>2175</v>
      </c>
      <c r="BK446">
        <v>-25</v>
      </c>
      <c r="BL446" t="s">
        <v>188</v>
      </c>
      <c r="BM446">
        <v>1</v>
      </c>
      <c r="BN446">
        <v>1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 t="shared" ref="CE446:CE451" si="177">"15:05:46.397"</f>
        <v>15:05:46.397</v>
      </c>
      <c r="CF446">
        <v>397196770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133</v>
      </c>
      <c r="DA446">
        <v>275</v>
      </c>
      <c r="DB446">
        <v>0</v>
      </c>
      <c r="DC446" t="s">
        <v>134</v>
      </c>
      <c r="DD446" t="s">
        <v>135</v>
      </c>
      <c r="DG446">
        <v>3318446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"05/01/2025 15:05:46.634"</f>
        <v>05/01/2025 15:05:46.634</v>
      </c>
      <c r="C447" t="str">
        <f t="shared" si="152"/>
        <v>FFDFD3C0</v>
      </c>
      <c r="D447" t="s">
        <v>140</v>
      </c>
      <c r="E447" t="str">
        <f>"13"</f>
        <v>13</v>
      </c>
      <c r="F447">
        <v>1019</v>
      </c>
      <c r="G447" t="s">
        <v>141</v>
      </c>
      <c r="J447" t="s">
        <v>142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R447" t="s">
        <v>127</v>
      </c>
      <c r="S447" t="str">
        <f t="shared" si="176"/>
        <v>15:05:46.000</v>
      </c>
      <c r="T447" t="str">
        <f t="shared" si="176"/>
        <v>15:05:46.000</v>
      </c>
      <c r="U447" t="str">
        <f t="shared" si="154"/>
        <v>A68FCB</v>
      </c>
      <c r="V447">
        <v>0</v>
      </c>
      <c r="W447">
        <v>0</v>
      </c>
      <c r="X447">
        <v>2</v>
      </c>
      <c r="Y447">
        <v>0</v>
      </c>
      <c r="AA447">
        <v>1</v>
      </c>
      <c r="AB447">
        <v>8</v>
      </c>
      <c r="AC447">
        <v>3</v>
      </c>
      <c r="AD447">
        <v>0</v>
      </c>
      <c r="AE447">
        <v>9</v>
      </c>
      <c r="AF447" t="s">
        <v>138</v>
      </c>
      <c r="AG447">
        <v>0</v>
      </c>
      <c r="AH447">
        <v>3</v>
      </c>
      <c r="AI447">
        <v>1</v>
      </c>
      <c r="AJ447">
        <v>0</v>
      </c>
      <c r="AK447" t="s">
        <v>201</v>
      </c>
      <c r="AL447">
        <v>38.955587999999999</v>
      </c>
      <c r="AM447" t="s">
        <v>261</v>
      </c>
      <c r="AN447">
        <v>-121.05427299999999</v>
      </c>
      <c r="AO447">
        <v>25</v>
      </c>
      <c r="AP447">
        <v>2200</v>
      </c>
      <c r="AQ447" t="s">
        <v>131</v>
      </c>
      <c r="AR447">
        <v>69</v>
      </c>
      <c r="AS447">
        <v>3</v>
      </c>
      <c r="AT447">
        <v>704</v>
      </c>
      <c r="BB447" t="str">
        <f t="shared" si="155"/>
        <v>1200</v>
      </c>
      <c r="BC447">
        <v>1</v>
      </c>
      <c r="BD447" t="str">
        <f t="shared" si="156"/>
        <v xml:space="preserve">N52156  </v>
      </c>
      <c r="BE447">
        <v>1</v>
      </c>
      <c r="BG447">
        <v>0</v>
      </c>
      <c r="BH447">
        <v>0</v>
      </c>
      <c r="BI447">
        <v>0</v>
      </c>
      <c r="BJ447">
        <v>2175</v>
      </c>
      <c r="BK447">
        <v>-25</v>
      </c>
      <c r="BL447" t="s">
        <v>188</v>
      </c>
      <c r="BM447">
        <v>1</v>
      </c>
      <c r="BN447">
        <v>1</v>
      </c>
      <c r="BO447">
        <v>0</v>
      </c>
      <c r="BP447">
        <v>0</v>
      </c>
      <c r="BS447">
        <v>0</v>
      </c>
      <c r="BT447">
        <v>0</v>
      </c>
      <c r="BU447">
        <v>0</v>
      </c>
      <c r="CE447" t="str">
        <f t="shared" si="177"/>
        <v>15:05:46.397</v>
      </c>
      <c r="CF447">
        <v>397196770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133</v>
      </c>
      <c r="DA447">
        <v>275</v>
      </c>
      <c r="DB447">
        <v>0</v>
      </c>
      <c r="DC447" t="s">
        <v>134</v>
      </c>
      <c r="DD447" t="s">
        <v>135</v>
      </c>
      <c r="DG447">
        <v>3318446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"05/01/2025 15:05:46.645"</f>
        <v>05/01/2025 15:05:46.645</v>
      </c>
      <c r="C448" t="str">
        <f t="shared" si="152"/>
        <v>FFDFD3C0</v>
      </c>
      <c r="D448" t="s">
        <v>145</v>
      </c>
      <c r="E448" t="str">
        <f>"05"</f>
        <v>05</v>
      </c>
      <c r="H448">
        <v>47</v>
      </c>
      <c r="I448" t="s">
        <v>146</v>
      </c>
      <c r="J448" t="s">
        <v>138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R448" t="s">
        <v>127</v>
      </c>
      <c r="S448" t="str">
        <f t="shared" si="176"/>
        <v>15:05:46.000</v>
      </c>
      <c r="T448" t="str">
        <f t="shared" si="176"/>
        <v>15:05:46.000</v>
      </c>
      <c r="U448" t="str">
        <f t="shared" si="154"/>
        <v>A68FCB</v>
      </c>
      <c r="V448">
        <v>0</v>
      </c>
      <c r="W448">
        <v>0</v>
      </c>
      <c r="X448">
        <v>2</v>
      </c>
      <c r="Y448">
        <v>0</v>
      </c>
      <c r="AA448">
        <v>1</v>
      </c>
      <c r="AB448">
        <v>8</v>
      </c>
      <c r="AC448">
        <v>3</v>
      </c>
      <c r="AD448">
        <v>0</v>
      </c>
      <c r="AE448">
        <v>9</v>
      </c>
      <c r="AF448" t="s">
        <v>138</v>
      </c>
      <c r="AG448">
        <v>0</v>
      </c>
      <c r="AH448">
        <v>3</v>
      </c>
      <c r="AI448">
        <v>1</v>
      </c>
      <c r="AJ448">
        <v>0</v>
      </c>
      <c r="AK448" t="s">
        <v>201</v>
      </c>
      <c r="AL448">
        <v>38.955587999999999</v>
      </c>
      <c r="AM448" t="s">
        <v>261</v>
      </c>
      <c r="AN448">
        <v>-121.05427299999999</v>
      </c>
      <c r="AO448">
        <v>25</v>
      </c>
      <c r="AP448">
        <v>2200</v>
      </c>
      <c r="AQ448" t="s">
        <v>131</v>
      </c>
      <c r="AR448">
        <v>69</v>
      </c>
      <c r="AS448">
        <v>3</v>
      </c>
      <c r="AT448">
        <v>704</v>
      </c>
      <c r="BB448" t="str">
        <f t="shared" si="155"/>
        <v>1200</v>
      </c>
      <c r="BC448">
        <v>1</v>
      </c>
      <c r="BD448" t="str">
        <f t="shared" si="156"/>
        <v xml:space="preserve">N52156  </v>
      </c>
      <c r="BE448">
        <v>1</v>
      </c>
      <c r="BG448">
        <v>0</v>
      </c>
      <c r="BH448">
        <v>0</v>
      </c>
      <c r="BI448">
        <v>0</v>
      </c>
      <c r="BJ448">
        <v>2175</v>
      </c>
      <c r="BK448">
        <v>-25</v>
      </c>
      <c r="BL448" t="s">
        <v>188</v>
      </c>
      <c r="BM448">
        <v>1</v>
      </c>
      <c r="BN448">
        <v>1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 t="shared" si="177"/>
        <v>15:05:46.397</v>
      </c>
      <c r="CF448">
        <v>397196770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133</v>
      </c>
      <c r="DA448">
        <v>275</v>
      </c>
      <c r="DB448">
        <v>0</v>
      </c>
      <c r="DC448" t="s">
        <v>134</v>
      </c>
      <c r="DD448" t="s">
        <v>135</v>
      </c>
      <c r="DG448">
        <v>3318446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"05/01/2025 15:05:46.642"</f>
        <v>05/01/2025 15:05:46.642</v>
      </c>
      <c r="C449" t="str">
        <f t="shared" si="152"/>
        <v>FFDFD3C0</v>
      </c>
      <c r="D449" t="s">
        <v>143</v>
      </c>
      <c r="E449" t="str">
        <f>"05"</f>
        <v>05</v>
      </c>
      <c r="H449">
        <v>172</v>
      </c>
      <c r="I449" t="s">
        <v>141</v>
      </c>
      <c r="J449" t="s">
        <v>144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R449" t="s">
        <v>127</v>
      </c>
      <c r="S449" t="str">
        <f t="shared" si="176"/>
        <v>15:05:46.000</v>
      </c>
      <c r="T449" t="str">
        <f t="shared" si="176"/>
        <v>15:05:46.000</v>
      </c>
      <c r="U449" t="str">
        <f t="shared" si="154"/>
        <v>A68FCB</v>
      </c>
      <c r="V449">
        <v>0</v>
      </c>
      <c r="W449">
        <v>0</v>
      </c>
      <c r="X449">
        <v>2</v>
      </c>
      <c r="Y449">
        <v>0</v>
      </c>
      <c r="AA449">
        <v>1</v>
      </c>
      <c r="AB449">
        <v>8</v>
      </c>
      <c r="AC449">
        <v>3</v>
      </c>
      <c r="AD449">
        <v>0</v>
      </c>
      <c r="AE449">
        <v>9</v>
      </c>
      <c r="AF449" t="s">
        <v>138</v>
      </c>
      <c r="AG449">
        <v>0</v>
      </c>
      <c r="AH449">
        <v>3</v>
      </c>
      <c r="AI449">
        <v>1</v>
      </c>
      <c r="AJ449">
        <v>0</v>
      </c>
      <c r="AK449" t="s">
        <v>201</v>
      </c>
      <c r="AL449">
        <v>38.955587999999999</v>
      </c>
      <c r="AM449" t="s">
        <v>261</v>
      </c>
      <c r="AN449">
        <v>-121.05427299999999</v>
      </c>
      <c r="AO449">
        <v>25</v>
      </c>
      <c r="AP449">
        <v>2200</v>
      </c>
      <c r="AQ449" t="s">
        <v>131</v>
      </c>
      <c r="AR449">
        <v>69</v>
      </c>
      <c r="AS449">
        <v>3</v>
      </c>
      <c r="AT449">
        <v>704</v>
      </c>
      <c r="BB449" t="str">
        <f t="shared" si="155"/>
        <v>1200</v>
      </c>
      <c r="BC449">
        <v>1</v>
      </c>
      <c r="BD449" t="str">
        <f t="shared" si="156"/>
        <v xml:space="preserve">N52156  </v>
      </c>
      <c r="BE449">
        <v>1</v>
      </c>
      <c r="BG449">
        <v>0</v>
      </c>
      <c r="BH449">
        <v>0</v>
      </c>
      <c r="BI449">
        <v>0</v>
      </c>
      <c r="BJ449">
        <v>2175</v>
      </c>
      <c r="BK449">
        <v>-25</v>
      </c>
      <c r="BL449" t="s">
        <v>188</v>
      </c>
      <c r="BM449">
        <v>1</v>
      </c>
      <c r="BN449">
        <v>1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 t="shared" si="177"/>
        <v>15:05:46.397</v>
      </c>
      <c r="CF449">
        <v>397196770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133</v>
      </c>
      <c r="DA449">
        <v>275</v>
      </c>
      <c r="DB449">
        <v>0</v>
      </c>
      <c r="DC449" t="s">
        <v>134</v>
      </c>
      <c r="DD449" t="s">
        <v>135</v>
      </c>
      <c r="DG449">
        <v>3318446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"05/01/2025 15:05:46.645"</f>
        <v>05/01/2025 15:05:46.645</v>
      </c>
      <c r="C450" t="str">
        <f t="shared" ref="C450:C513" si="178">"FFDFD3C0"</f>
        <v>FFDFD3C0</v>
      </c>
      <c r="D450" t="s">
        <v>145</v>
      </c>
      <c r="E450" t="str">
        <f>"09"</f>
        <v>09</v>
      </c>
      <c r="H450">
        <v>51</v>
      </c>
      <c r="I450" t="s">
        <v>147</v>
      </c>
      <c r="J450" t="s">
        <v>138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R450" t="s">
        <v>127</v>
      </c>
      <c r="S450" t="str">
        <f t="shared" si="176"/>
        <v>15:05:46.000</v>
      </c>
      <c r="T450" t="str">
        <f t="shared" si="176"/>
        <v>15:05:46.000</v>
      </c>
      <c r="U450" t="str">
        <f t="shared" ref="U450:U513" si="179">"A68FCB"</f>
        <v>A68FCB</v>
      </c>
      <c r="V450">
        <v>0</v>
      </c>
      <c r="W450">
        <v>0</v>
      </c>
      <c r="X450">
        <v>2</v>
      </c>
      <c r="Y450">
        <v>0</v>
      </c>
      <c r="AA450">
        <v>1</v>
      </c>
      <c r="AB450">
        <v>8</v>
      </c>
      <c r="AC450">
        <v>3</v>
      </c>
      <c r="AD450">
        <v>0</v>
      </c>
      <c r="AE450">
        <v>9</v>
      </c>
      <c r="AF450" t="s">
        <v>138</v>
      </c>
      <c r="AG450">
        <v>0</v>
      </c>
      <c r="AH450">
        <v>3</v>
      </c>
      <c r="AI450">
        <v>1</v>
      </c>
      <c r="AJ450">
        <v>0</v>
      </c>
      <c r="AK450" t="s">
        <v>201</v>
      </c>
      <c r="AL450">
        <v>38.955587999999999</v>
      </c>
      <c r="AM450" t="s">
        <v>261</v>
      </c>
      <c r="AN450">
        <v>-121.05427299999999</v>
      </c>
      <c r="AO450">
        <v>25</v>
      </c>
      <c r="AP450">
        <v>2200</v>
      </c>
      <c r="AQ450" t="s">
        <v>131</v>
      </c>
      <c r="AR450">
        <v>69</v>
      </c>
      <c r="AS450">
        <v>3</v>
      </c>
      <c r="AT450">
        <v>704</v>
      </c>
      <c r="BB450" t="str">
        <f t="shared" ref="BB450:BB513" si="180">"1200"</f>
        <v>1200</v>
      </c>
      <c r="BC450">
        <v>1</v>
      </c>
      <c r="BD450" t="str">
        <f t="shared" ref="BD450:BD513" si="181">"N52156  "</f>
        <v xml:space="preserve">N52156  </v>
      </c>
      <c r="BE450">
        <v>1</v>
      </c>
      <c r="BG450">
        <v>0</v>
      </c>
      <c r="BH450">
        <v>0</v>
      </c>
      <c r="BI450">
        <v>0</v>
      </c>
      <c r="BJ450">
        <v>2175</v>
      </c>
      <c r="BK450">
        <v>-25</v>
      </c>
      <c r="BL450" t="s">
        <v>188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 t="shared" si="177"/>
        <v>15:05:46.397</v>
      </c>
      <c r="CF450">
        <v>397196770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133</v>
      </c>
      <c r="DA450">
        <v>275</v>
      </c>
      <c r="DB450">
        <v>0</v>
      </c>
      <c r="DC450" t="s">
        <v>134</v>
      </c>
      <c r="DD450" t="s">
        <v>135</v>
      </c>
      <c r="DG450">
        <v>3318446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"05/01/2025 15:05:46.647"</f>
        <v>05/01/2025 15:05:46.647</v>
      </c>
      <c r="C451" t="str">
        <f t="shared" si="178"/>
        <v>FFDFD3C0</v>
      </c>
      <c r="D451" t="s">
        <v>124</v>
      </c>
      <c r="E451" t="str">
        <f>"06"</f>
        <v>06</v>
      </c>
      <c r="F451">
        <v>2006</v>
      </c>
      <c r="G451" t="s">
        <v>125</v>
      </c>
      <c r="J451" t="s">
        <v>126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R451" t="s">
        <v>127</v>
      </c>
      <c r="S451" t="str">
        <f t="shared" si="176"/>
        <v>15:05:46.000</v>
      </c>
      <c r="T451" t="str">
        <f t="shared" si="176"/>
        <v>15:05:46.000</v>
      </c>
      <c r="U451" t="str">
        <f t="shared" si="179"/>
        <v>A68FCB</v>
      </c>
      <c r="V451">
        <v>0</v>
      </c>
      <c r="W451">
        <v>0</v>
      </c>
      <c r="X451">
        <v>2</v>
      </c>
      <c r="Y451">
        <v>0</v>
      </c>
      <c r="AA451">
        <v>1</v>
      </c>
      <c r="AB451">
        <v>8</v>
      </c>
      <c r="AC451">
        <v>3</v>
      </c>
      <c r="AD451">
        <v>0</v>
      </c>
      <c r="AE451">
        <v>9</v>
      </c>
      <c r="AF451" t="s">
        <v>138</v>
      </c>
      <c r="AG451">
        <v>0</v>
      </c>
      <c r="AH451">
        <v>3</v>
      </c>
      <c r="AI451">
        <v>1</v>
      </c>
      <c r="AJ451">
        <v>0</v>
      </c>
      <c r="AK451" t="s">
        <v>201</v>
      </c>
      <c r="AL451">
        <v>38.955587999999999</v>
      </c>
      <c r="AM451" t="s">
        <v>261</v>
      </c>
      <c r="AN451">
        <v>-121.05427299999999</v>
      </c>
      <c r="AO451">
        <v>25</v>
      </c>
      <c r="AP451">
        <v>2200</v>
      </c>
      <c r="AQ451" t="s">
        <v>131</v>
      </c>
      <c r="AR451">
        <v>69</v>
      </c>
      <c r="AS451">
        <v>3</v>
      </c>
      <c r="AT451">
        <v>704</v>
      </c>
      <c r="BB451" t="str">
        <f t="shared" si="180"/>
        <v>1200</v>
      </c>
      <c r="BC451">
        <v>1</v>
      </c>
      <c r="BD451" t="str">
        <f t="shared" si="181"/>
        <v xml:space="preserve">N52156  </v>
      </c>
      <c r="BE451">
        <v>1</v>
      </c>
      <c r="BG451">
        <v>0</v>
      </c>
      <c r="BH451">
        <v>0</v>
      </c>
      <c r="BI451">
        <v>0</v>
      </c>
      <c r="BJ451">
        <v>2175</v>
      </c>
      <c r="BK451">
        <v>-25</v>
      </c>
      <c r="BL451" t="s">
        <v>188</v>
      </c>
      <c r="BM451">
        <v>1</v>
      </c>
      <c r="BN451">
        <v>1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 t="shared" si="177"/>
        <v>15:05:46.397</v>
      </c>
      <c r="CF451">
        <v>397196770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133</v>
      </c>
      <c r="DA451">
        <v>275</v>
      </c>
      <c r="DB451">
        <v>0</v>
      </c>
      <c r="DC451" t="s">
        <v>134</v>
      </c>
      <c r="DD451" t="s">
        <v>135</v>
      </c>
      <c r="DG451">
        <v>3318446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"05/01/2025 15:05:47.494"</f>
        <v>05/01/2025 15:05:47.494</v>
      </c>
      <c r="C452" t="str">
        <f t="shared" si="178"/>
        <v>FFDFD3C0</v>
      </c>
      <c r="D452" t="s">
        <v>143</v>
      </c>
      <c r="E452" t="str">
        <f>"05"</f>
        <v>05</v>
      </c>
      <c r="H452">
        <v>172</v>
      </c>
      <c r="I452" t="s">
        <v>141</v>
      </c>
      <c r="J452" t="s">
        <v>144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R452" t="s">
        <v>127</v>
      </c>
      <c r="S452" t="str">
        <f t="shared" ref="S452:T457" si="182">"15:05:47.000"</f>
        <v>15:05:47.000</v>
      </c>
      <c r="T452" t="str">
        <f t="shared" si="182"/>
        <v>15:05:47.000</v>
      </c>
      <c r="U452" t="str">
        <f t="shared" si="179"/>
        <v>A68FCB</v>
      </c>
      <c r="V452">
        <v>0</v>
      </c>
      <c r="W452">
        <v>0</v>
      </c>
      <c r="X452">
        <v>2</v>
      </c>
      <c r="Y452">
        <v>0</v>
      </c>
      <c r="AA452">
        <v>1</v>
      </c>
      <c r="AB452">
        <v>8</v>
      </c>
      <c r="AC452">
        <v>3</v>
      </c>
      <c r="AD452">
        <v>0</v>
      </c>
      <c r="AE452">
        <v>9</v>
      </c>
      <c r="AF452" t="s">
        <v>138</v>
      </c>
      <c r="AG452">
        <v>0</v>
      </c>
      <c r="AH452">
        <v>3</v>
      </c>
      <c r="AI452">
        <v>1</v>
      </c>
      <c r="AJ452">
        <v>0</v>
      </c>
      <c r="AK452" t="s">
        <v>262</v>
      </c>
      <c r="AL452">
        <v>38.95561</v>
      </c>
      <c r="AM452" t="s">
        <v>263</v>
      </c>
      <c r="AN452">
        <v>-121.05388600000001</v>
      </c>
      <c r="AO452">
        <v>25</v>
      </c>
      <c r="AP452">
        <v>2200</v>
      </c>
      <c r="AQ452" t="s">
        <v>131</v>
      </c>
      <c r="AR452">
        <v>68</v>
      </c>
      <c r="AS452">
        <v>5</v>
      </c>
      <c r="AT452">
        <v>704</v>
      </c>
      <c r="BB452" t="str">
        <f t="shared" si="180"/>
        <v>1200</v>
      </c>
      <c r="BC452">
        <v>1</v>
      </c>
      <c r="BD452" t="str">
        <f t="shared" si="181"/>
        <v xml:space="preserve">N52156  </v>
      </c>
      <c r="BE452">
        <v>1</v>
      </c>
      <c r="BG452">
        <v>0</v>
      </c>
      <c r="BH452">
        <v>0</v>
      </c>
      <c r="BI452">
        <v>0</v>
      </c>
      <c r="BJ452">
        <v>2175</v>
      </c>
      <c r="BK452">
        <v>-25</v>
      </c>
      <c r="BL452" t="s">
        <v>188</v>
      </c>
      <c r="BM452">
        <v>1</v>
      </c>
      <c r="BN452">
        <v>1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 t="shared" ref="CE452:CE457" si="183">"15:05:47.289"</f>
        <v>15:05:47.289</v>
      </c>
      <c r="CF452">
        <v>289196584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5</v>
      </c>
      <c r="CY452">
        <v>7</v>
      </c>
      <c r="CZ452" t="s">
        <v>133</v>
      </c>
      <c r="DA452">
        <v>275</v>
      </c>
      <c r="DB452">
        <v>0</v>
      </c>
      <c r="DC452" t="s">
        <v>134</v>
      </c>
      <c r="DD452" t="s">
        <v>135</v>
      </c>
      <c r="DG452">
        <v>3318454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"05/01/2025 15:05:47.496"</f>
        <v>05/01/2025 15:05:47.496</v>
      </c>
      <c r="C453" t="str">
        <f t="shared" si="178"/>
        <v>FFDFD3C0</v>
      </c>
      <c r="D453" t="s">
        <v>145</v>
      </c>
      <c r="E453" t="str">
        <f>"05"</f>
        <v>05</v>
      </c>
      <c r="H453">
        <v>47</v>
      </c>
      <c r="I453" t="s">
        <v>146</v>
      </c>
      <c r="J453" t="s">
        <v>138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R453" t="s">
        <v>127</v>
      </c>
      <c r="S453" t="str">
        <f t="shared" si="182"/>
        <v>15:05:47.000</v>
      </c>
      <c r="T453" t="str">
        <f t="shared" si="182"/>
        <v>15:05:47.000</v>
      </c>
      <c r="U453" t="str">
        <f t="shared" si="179"/>
        <v>A68FCB</v>
      </c>
      <c r="V453">
        <v>0</v>
      </c>
      <c r="W453">
        <v>0</v>
      </c>
      <c r="X453">
        <v>2</v>
      </c>
      <c r="Y453">
        <v>0</v>
      </c>
      <c r="AA453">
        <v>1</v>
      </c>
      <c r="AB453">
        <v>8</v>
      </c>
      <c r="AC453">
        <v>3</v>
      </c>
      <c r="AD453">
        <v>0</v>
      </c>
      <c r="AE453">
        <v>9</v>
      </c>
      <c r="AF453" t="s">
        <v>138</v>
      </c>
      <c r="AG453">
        <v>0</v>
      </c>
      <c r="AH453">
        <v>3</v>
      </c>
      <c r="AI453">
        <v>1</v>
      </c>
      <c r="AJ453">
        <v>0</v>
      </c>
      <c r="AK453" t="s">
        <v>262</v>
      </c>
      <c r="AL453">
        <v>38.95561</v>
      </c>
      <c r="AM453" t="s">
        <v>263</v>
      </c>
      <c r="AN453">
        <v>-121.05388600000001</v>
      </c>
      <c r="AO453">
        <v>25</v>
      </c>
      <c r="AP453">
        <v>2200</v>
      </c>
      <c r="AQ453" t="s">
        <v>131</v>
      </c>
      <c r="AR453">
        <v>68</v>
      </c>
      <c r="AS453">
        <v>5</v>
      </c>
      <c r="AT453">
        <v>704</v>
      </c>
      <c r="BB453" t="str">
        <f t="shared" si="180"/>
        <v>1200</v>
      </c>
      <c r="BC453">
        <v>1</v>
      </c>
      <c r="BD453" t="str">
        <f t="shared" si="181"/>
        <v xml:space="preserve">N52156  </v>
      </c>
      <c r="BE453">
        <v>1</v>
      </c>
      <c r="BG453">
        <v>0</v>
      </c>
      <c r="BH453">
        <v>0</v>
      </c>
      <c r="BI453">
        <v>0</v>
      </c>
      <c r="BJ453">
        <v>2175</v>
      </c>
      <c r="BK453">
        <v>-25</v>
      </c>
      <c r="BL453" t="s">
        <v>188</v>
      </c>
      <c r="BM453">
        <v>1</v>
      </c>
      <c r="BN453">
        <v>1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 t="shared" si="183"/>
        <v>15:05:47.289</v>
      </c>
      <c r="CF453">
        <v>289196584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133</v>
      </c>
      <c r="DA453">
        <v>275</v>
      </c>
      <c r="DB453">
        <v>0</v>
      </c>
      <c r="DC453" t="s">
        <v>134</v>
      </c>
      <c r="DD453" t="s">
        <v>135</v>
      </c>
      <c r="DG453">
        <v>3318454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"05/01/2025 15:05:47.497"</f>
        <v>05/01/2025 15:05:47.497</v>
      </c>
      <c r="C454" t="str">
        <f t="shared" si="178"/>
        <v>FFDFD3C0</v>
      </c>
      <c r="D454" t="s">
        <v>145</v>
      </c>
      <c r="E454" t="str">
        <f>"09"</f>
        <v>09</v>
      </c>
      <c r="H454">
        <v>51</v>
      </c>
      <c r="I454" t="s">
        <v>147</v>
      </c>
      <c r="J454" t="s">
        <v>138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R454" t="s">
        <v>127</v>
      </c>
      <c r="S454" t="str">
        <f t="shared" si="182"/>
        <v>15:05:47.000</v>
      </c>
      <c r="T454" t="str">
        <f t="shared" si="182"/>
        <v>15:05:47.000</v>
      </c>
      <c r="U454" t="str">
        <f t="shared" si="179"/>
        <v>A68FCB</v>
      </c>
      <c r="V454">
        <v>0</v>
      </c>
      <c r="W454">
        <v>0</v>
      </c>
      <c r="X454">
        <v>2</v>
      </c>
      <c r="Y454">
        <v>0</v>
      </c>
      <c r="AA454">
        <v>1</v>
      </c>
      <c r="AB454">
        <v>8</v>
      </c>
      <c r="AC454">
        <v>3</v>
      </c>
      <c r="AD454">
        <v>0</v>
      </c>
      <c r="AE454">
        <v>9</v>
      </c>
      <c r="AF454" t="s">
        <v>138</v>
      </c>
      <c r="AG454">
        <v>0</v>
      </c>
      <c r="AH454">
        <v>3</v>
      </c>
      <c r="AI454">
        <v>1</v>
      </c>
      <c r="AJ454">
        <v>0</v>
      </c>
      <c r="AK454" t="s">
        <v>262</v>
      </c>
      <c r="AL454">
        <v>38.95561</v>
      </c>
      <c r="AM454" t="s">
        <v>263</v>
      </c>
      <c r="AN454">
        <v>-121.05388600000001</v>
      </c>
      <c r="AO454">
        <v>25</v>
      </c>
      <c r="AP454">
        <v>2200</v>
      </c>
      <c r="AQ454" t="s">
        <v>131</v>
      </c>
      <c r="AR454">
        <v>68</v>
      </c>
      <c r="AS454">
        <v>5</v>
      </c>
      <c r="AT454">
        <v>704</v>
      </c>
      <c r="BB454" t="str">
        <f t="shared" si="180"/>
        <v>1200</v>
      </c>
      <c r="BC454">
        <v>1</v>
      </c>
      <c r="BD454" t="str">
        <f t="shared" si="181"/>
        <v xml:space="preserve">N52156  </v>
      </c>
      <c r="BE454">
        <v>1</v>
      </c>
      <c r="BG454">
        <v>0</v>
      </c>
      <c r="BH454">
        <v>0</v>
      </c>
      <c r="BI454">
        <v>0</v>
      </c>
      <c r="BJ454">
        <v>2175</v>
      </c>
      <c r="BK454">
        <v>-25</v>
      </c>
      <c r="BL454" t="s">
        <v>188</v>
      </c>
      <c r="BM454">
        <v>1</v>
      </c>
      <c r="BN454">
        <v>1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 t="shared" si="183"/>
        <v>15:05:47.289</v>
      </c>
      <c r="CF454">
        <v>289196584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133</v>
      </c>
      <c r="DA454">
        <v>275</v>
      </c>
      <c r="DB454">
        <v>0</v>
      </c>
      <c r="DC454" t="s">
        <v>134</v>
      </c>
      <c r="DD454" t="s">
        <v>135</v>
      </c>
      <c r="DG454">
        <v>3318454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"05/01/2025 15:05:47.498"</f>
        <v>05/01/2025 15:05:47.498</v>
      </c>
      <c r="C455" t="str">
        <f t="shared" si="178"/>
        <v>FFDFD3C0</v>
      </c>
      <c r="D455" t="s">
        <v>124</v>
      </c>
      <c r="E455" t="str">
        <f>"06"</f>
        <v>06</v>
      </c>
      <c r="F455">
        <v>2006</v>
      </c>
      <c r="G455" t="s">
        <v>125</v>
      </c>
      <c r="J455" t="s">
        <v>126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R455" t="s">
        <v>127</v>
      </c>
      <c r="S455" t="str">
        <f t="shared" si="182"/>
        <v>15:05:47.000</v>
      </c>
      <c r="T455" t="str">
        <f t="shared" si="182"/>
        <v>15:05:47.000</v>
      </c>
      <c r="U455" t="str">
        <f t="shared" si="179"/>
        <v>A68FCB</v>
      </c>
      <c r="V455">
        <v>0</v>
      </c>
      <c r="W455">
        <v>0</v>
      </c>
      <c r="X455">
        <v>2</v>
      </c>
      <c r="Y455">
        <v>0</v>
      </c>
      <c r="AA455">
        <v>1</v>
      </c>
      <c r="AB455">
        <v>8</v>
      </c>
      <c r="AC455">
        <v>3</v>
      </c>
      <c r="AD455">
        <v>0</v>
      </c>
      <c r="AE455">
        <v>9</v>
      </c>
      <c r="AF455" t="s">
        <v>138</v>
      </c>
      <c r="AG455">
        <v>0</v>
      </c>
      <c r="AH455">
        <v>3</v>
      </c>
      <c r="AI455">
        <v>1</v>
      </c>
      <c r="AJ455">
        <v>0</v>
      </c>
      <c r="AK455" t="s">
        <v>262</v>
      </c>
      <c r="AL455">
        <v>38.95561</v>
      </c>
      <c r="AM455" t="s">
        <v>263</v>
      </c>
      <c r="AN455">
        <v>-121.05388600000001</v>
      </c>
      <c r="AO455">
        <v>25</v>
      </c>
      <c r="AP455">
        <v>2200</v>
      </c>
      <c r="AQ455" t="s">
        <v>131</v>
      </c>
      <c r="AR455">
        <v>68</v>
      </c>
      <c r="AS455">
        <v>5</v>
      </c>
      <c r="AT455">
        <v>704</v>
      </c>
      <c r="BB455" t="str">
        <f t="shared" si="180"/>
        <v>1200</v>
      </c>
      <c r="BC455">
        <v>1</v>
      </c>
      <c r="BD455" t="str">
        <f t="shared" si="181"/>
        <v xml:space="preserve">N52156  </v>
      </c>
      <c r="BE455">
        <v>1</v>
      </c>
      <c r="BG455">
        <v>0</v>
      </c>
      <c r="BH455">
        <v>0</v>
      </c>
      <c r="BI455">
        <v>0</v>
      </c>
      <c r="BJ455">
        <v>2175</v>
      </c>
      <c r="BK455">
        <v>-25</v>
      </c>
      <c r="BL455" t="s">
        <v>188</v>
      </c>
      <c r="BM455">
        <v>1</v>
      </c>
      <c r="BN455">
        <v>1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 t="shared" si="183"/>
        <v>15:05:47.289</v>
      </c>
      <c r="CF455">
        <v>289196584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133</v>
      </c>
      <c r="DA455">
        <v>275</v>
      </c>
      <c r="DB455">
        <v>0</v>
      </c>
      <c r="DC455" t="s">
        <v>134</v>
      </c>
      <c r="DD455" t="s">
        <v>135</v>
      </c>
      <c r="DG455">
        <v>3318454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"05/01/2025 15:05:47.507"</f>
        <v>05/01/2025 15:05:47.507</v>
      </c>
      <c r="C456" t="str">
        <f t="shared" si="178"/>
        <v>FFDFD3C0</v>
      </c>
      <c r="D456" t="s">
        <v>136</v>
      </c>
      <c r="E456" t="str">
        <f>"20"</f>
        <v>20</v>
      </c>
      <c r="H456">
        <v>400</v>
      </c>
      <c r="I456" t="s">
        <v>137</v>
      </c>
      <c r="J456" t="s">
        <v>138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R456" t="s">
        <v>127</v>
      </c>
      <c r="S456" t="str">
        <f t="shared" si="182"/>
        <v>15:05:47.000</v>
      </c>
      <c r="T456" t="str">
        <f t="shared" si="182"/>
        <v>15:05:47.000</v>
      </c>
      <c r="U456" t="str">
        <f t="shared" si="179"/>
        <v>A68FCB</v>
      </c>
      <c r="V456">
        <v>0</v>
      </c>
      <c r="W456">
        <v>0</v>
      </c>
      <c r="X456">
        <v>2</v>
      </c>
      <c r="Y456">
        <v>0</v>
      </c>
      <c r="AA456">
        <v>1</v>
      </c>
      <c r="AB456">
        <v>8</v>
      </c>
      <c r="AC456">
        <v>3</v>
      </c>
      <c r="AD456">
        <v>0</v>
      </c>
      <c r="AE456">
        <v>9</v>
      </c>
      <c r="AF456" t="s">
        <v>138</v>
      </c>
      <c r="AG456">
        <v>0</v>
      </c>
      <c r="AH456">
        <v>3</v>
      </c>
      <c r="AI456">
        <v>1</v>
      </c>
      <c r="AJ456">
        <v>0</v>
      </c>
      <c r="AK456" t="s">
        <v>262</v>
      </c>
      <c r="AL456">
        <v>38.95561</v>
      </c>
      <c r="AM456" t="s">
        <v>263</v>
      </c>
      <c r="AN456">
        <v>-121.05388600000001</v>
      </c>
      <c r="AO456">
        <v>25</v>
      </c>
      <c r="AP456">
        <v>2200</v>
      </c>
      <c r="AQ456" t="s">
        <v>131</v>
      </c>
      <c r="AR456">
        <v>68</v>
      </c>
      <c r="AS456">
        <v>5</v>
      </c>
      <c r="AT456">
        <v>704</v>
      </c>
      <c r="BB456" t="str">
        <f t="shared" si="180"/>
        <v>1200</v>
      </c>
      <c r="BC456">
        <v>1</v>
      </c>
      <c r="BD456" t="str">
        <f t="shared" si="181"/>
        <v xml:space="preserve">N52156  </v>
      </c>
      <c r="BE456">
        <v>1</v>
      </c>
      <c r="BG456">
        <v>0</v>
      </c>
      <c r="BH456">
        <v>0</v>
      </c>
      <c r="BI456">
        <v>0</v>
      </c>
      <c r="BJ456">
        <v>2175</v>
      </c>
      <c r="BK456">
        <v>-25</v>
      </c>
      <c r="BL456" t="s">
        <v>188</v>
      </c>
      <c r="BM456">
        <v>1</v>
      </c>
      <c r="BN456">
        <v>1</v>
      </c>
      <c r="BO456">
        <v>0</v>
      </c>
      <c r="BP456">
        <v>0</v>
      </c>
      <c r="BS456">
        <v>0</v>
      </c>
      <c r="BT456">
        <v>0</v>
      </c>
      <c r="BU456">
        <v>0</v>
      </c>
      <c r="CE456" t="str">
        <f t="shared" si="183"/>
        <v>15:05:47.289</v>
      </c>
      <c r="CF456">
        <v>289196584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133</v>
      </c>
      <c r="DA456">
        <v>275</v>
      </c>
      <c r="DB456">
        <v>0</v>
      </c>
      <c r="DC456" t="s">
        <v>134</v>
      </c>
      <c r="DD456" t="s">
        <v>135</v>
      </c>
      <c r="DG456">
        <v>3318454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"05/01/2025 15:05:47.536"</f>
        <v>05/01/2025 15:05:47.536</v>
      </c>
      <c r="C457" t="str">
        <f t="shared" si="178"/>
        <v>FFDFD3C0</v>
      </c>
      <c r="D457" t="s">
        <v>140</v>
      </c>
      <c r="E457" t="str">
        <f>"13"</f>
        <v>13</v>
      </c>
      <c r="F457">
        <v>1019</v>
      </c>
      <c r="G457" t="s">
        <v>141</v>
      </c>
      <c r="J457" t="s">
        <v>142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R457" t="s">
        <v>127</v>
      </c>
      <c r="S457" t="str">
        <f t="shared" si="182"/>
        <v>15:05:47.000</v>
      </c>
      <c r="T457" t="str">
        <f t="shared" si="182"/>
        <v>15:05:47.000</v>
      </c>
      <c r="U457" t="str">
        <f t="shared" si="179"/>
        <v>A68FCB</v>
      </c>
      <c r="V457">
        <v>0</v>
      </c>
      <c r="W457">
        <v>0</v>
      </c>
      <c r="X457">
        <v>2</v>
      </c>
      <c r="Y457">
        <v>0</v>
      </c>
      <c r="AA457">
        <v>1</v>
      </c>
      <c r="AB457">
        <v>8</v>
      </c>
      <c r="AC457">
        <v>3</v>
      </c>
      <c r="AD457">
        <v>0</v>
      </c>
      <c r="AE457">
        <v>9</v>
      </c>
      <c r="AF457" t="s">
        <v>138</v>
      </c>
      <c r="AG457">
        <v>0</v>
      </c>
      <c r="AH457">
        <v>3</v>
      </c>
      <c r="AI457">
        <v>1</v>
      </c>
      <c r="AJ457">
        <v>0</v>
      </c>
      <c r="AK457" t="s">
        <v>262</v>
      </c>
      <c r="AL457">
        <v>38.95561</v>
      </c>
      <c r="AM457" t="s">
        <v>263</v>
      </c>
      <c r="AN457">
        <v>-121.05388600000001</v>
      </c>
      <c r="AO457">
        <v>25</v>
      </c>
      <c r="AP457">
        <v>2200</v>
      </c>
      <c r="AQ457" t="s">
        <v>131</v>
      </c>
      <c r="AR457">
        <v>68</v>
      </c>
      <c r="AS457">
        <v>5</v>
      </c>
      <c r="AT457">
        <v>704</v>
      </c>
      <c r="BB457" t="str">
        <f t="shared" si="180"/>
        <v>1200</v>
      </c>
      <c r="BC457">
        <v>1</v>
      </c>
      <c r="BD457" t="str">
        <f t="shared" si="181"/>
        <v xml:space="preserve">N52156  </v>
      </c>
      <c r="BE457">
        <v>1</v>
      </c>
      <c r="BG457">
        <v>0</v>
      </c>
      <c r="BH457">
        <v>0</v>
      </c>
      <c r="BI457">
        <v>0</v>
      </c>
      <c r="BJ457">
        <v>2175</v>
      </c>
      <c r="BK457">
        <v>-25</v>
      </c>
      <c r="BL457" t="s">
        <v>188</v>
      </c>
      <c r="BM457">
        <v>1</v>
      </c>
      <c r="BN457">
        <v>1</v>
      </c>
      <c r="BO457">
        <v>0</v>
      </c>
      <c r="BP457">
        <v>0</v>
      </c>
      <c r="BS457">
        <v>0</v>
      </c>
      <c r="BT457">
        <v>0</v>
      </c>
      <c r="BU457">
        <v>0</v>
      </c>
      <c r="CE457" t="str">
        <f t="shared" si="183"/>
        <v>15:05:47.289</v>
      </c>
      <c r="CF457">
        <v>289196584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133</v>
      </c>
      <c r="DA457">
        <v>275</v>
      </c>
      <c r="DB457">
        <v>0</v>
      </c>
      <c r="DC457" t="s">
        <v>134</v>
      </c>
      <c r="DD457" t="s">
        <v>135</v>
      </c>
      <c r="DG457">
        <v>3318454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"05/01/2025 15:05:48.737"</f>
        <v>05/01/2025 15:05:48.737</v>
      </c>
      <c r="C458" t="str">
        <f t="shared" si="178"/>
        <v>FFDFD3C0</v>
      </c>
      <c r="D458" t="s">
        <v>140</v>
      </c>
      <c r="E458" t="str">
        <f>"13"</f>
        <v>13</v>
      </c>
      <c r="F458">
        <v>1019</v>
      </c>
      <c r="G458" t="s">
        <v>141</v>
      </c>
      <c r="J458" t="s">
        <v>142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R458" t="s">
        <v>127</v>
      </c>
      <c r="S458" t="str">
        <f t="shared" ref="S458:T463" si="184">"15:05:48.000"</f>
        <v>15:05:48.000</v>
      </c>
      <c r="T458" t="str">
        <f t="shared" si="184"/>
        <v>15:05:48.000</v>
      </c>
      <c r="U458" t="str">
        <f t="shared" si="179"/>
        <v>A68FCB</v>
      </c>
      <c r="V458">
        <v>0</v>
      </c>
      <c r="W458">
        <v>0</v>
      </c>
      <c r="X458">
        <v>2</v>
      </c>
      <c r="Y458">
        <v>0</v>
      </c>
      <c r="AA458">
        <v>1</v>
      </c>
      <c r="AB458">
        <v>8</v>
      </c>
      <c r="AC458">
        <v>3</v>
      </c>
      <c r="AD458">
        <v>0</v>
      </c>
      <c r="AE458">
        <v>9</v>
      </c>
      <c r="AF458" t="s">
        <v>138</v>
      </c>
      <c r="AG458">
        <v>0</v>
      </c>
      <c r="AH458">
        <v>3</v>
      </c>
      <c r="AI458">
        <v>1</v>
      </c>
      <c r="AJ458">
        <v>0</v>
      </c>
      <c r="AK458" t="s">
        <v>252</v>
      </c>
      <c r="AL458">
        <v>38.955630999999997</v>
      </c>
      <c r="AM458" t="s">
        <v>264</v>
      </c>
      <c r="AN458">
        <v>-121.053479</v>
      </c>
      <c r="AO458">
        <v>25</v>
      </c>
      <c r="AP458">
        <v>2200</v>
      </c>
      <c r="AQ458" t="s">
        <v>131</v>
      </c>
      <c r="AR458">
        <v>66</v>
      </c>
      <c r="AS458">
        <v>10</v>
      </c>
      <c r="AT458">
        <v>704</v>
      </c>
      <c r="BB458" t="str">
        <f t="shared" si="180"/>
        <v>1200</v>
      </c>
      <c r="BC458">
        <v>1</v>
      </c>
      <c r="BD458" t="str">
        <f t="shared" si="181"/>
        <v xml:space="preserve">N52156  </v>
      </c>
      <c r="BE458">
        <v>1</v>
      </c>
      <c r="BG458">
        <v>0</v>
      </c>
      <c r="BH458">
        <v>0</v>
      </c>
      <c r="BI458">
        <v>0</v>
      </c>
      <c r="BJ458">
        <v>2200</v>
      </c>
      <c r="BK458">
        <v>0</v>
      </c>
      <c r="BL458" t="s">
        <v>188</v>
      </c>
      <c r="BM458">
        <v>1</v>
      </c>
      <c r="BN458">
        <v>1</v>
      </c>
      <c r="BO458">
        <v>0</v>
      </c>
      <c r="BP458">
        <v>0</v>
      </c>
      <c r="BS458">
        <v>0</v>
      </c>
      <c r="BT458">
        <v>0</v>
      </c>
      <c r="BU458">
        <v>0</v>
      </c>
      <c r="CE458" t="str">
        <f t="shared" ref="CE458:CE463" si="185">"15:05:48.523"</f>
        <v>15:05:48.523</v>
      </c>
      <c r="CF458">
        <v>523197304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133</v>
      </c>
      <c r="DA458">
        <v>275</v>
      </c>
      <c r="DB458">
        <v>0</v>
      </c>
      <c r="DC458" t="s">
        <v>134</v>
      </c>
      <c r="DD458" t="s">
        <v>135</v>
      </c>
      <c r="DG458">
        <v>3318469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"05/01/2025 15:05:48.749"</f>
        <v>05/01/2025 15:05:48.749</v>
      </c>
      <c r="C459" t="str">
        <f t="shared" si="178"/>
        <v>FFDFD3C0</v>
      </c>
      <c r="D459" t="s">
        <v>145</v>
      </c>
      <c r="E459" t="str">
        <f>"09"</f>
        <v>09</v>
      </c>
      <c r="H459">
        <v>51</v>
      </c>
      <c r="I459" t="s">
        <v>147</v>
      </c>
      <c r="J459" t="s">
        <v>138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R459" t="s">
        <v>127</v>
      </c>
      <c r="S459" t="str">
        <f t="shared" si="184"/>
        <v>15:05:48.000</v>
      </c>
      <c r="T459" t="str">
        <f t="shared" si="184"/>
        <v>15:05:48.000</v>
      </c>
      <c r="U459" t="str">
        <f t="shared" si="179"/>
        <v>A68FCB</v>
      </c>
      <c r="V459">
        <v>0</v>
      </c>
      <c r="W459">
        <v>0</v>
      </c>
      <c r="X459">
        <v>2</v>
      </c>
      <c r="Y459">
        <v>0</v>
      </c>
      <c r="AA459">
        <v>1</v>
      </c>
      <c r="AB459">
        <v>8</v>
      </c>
      <c r="AC459">
        <v>3</v>
      </c>
      <c r="AD459">
        <v>0</v>
      </c>
      <c r="AE459">
        <v>9</v>
      </c>
      <c r="AF459" t="s">
        <v>138</v>
      </c>
      <c r="AG459">
        <v>0</v>
      </c>
      <c r="AH459">
        <v>3</v>
      </c>
      <c r="AI459">
        <v>1</v>
      </c>
      <c r="AJ459">
        <v>0</v>
      </c>
      <c r="AK459" t="s">
        <v>252</v>
      </c>
      <c r="AL459">
        <v>38.955630999999997</v>
      </c>
      <c r="AM459" t="s">
        <v>264</v>
      </c>
      <c r="AN459">
        <v>-121.053479</v>
      </c>
      <c r="AO459">
        <v>25</v>
      </c>
      <c r="AP459">
        <v>2200</v>
      </c>
      <c r="AQ459" t="s">
        <v>131</v>
      </c>
      <c r="AR459">
        <v>66</v>
      </c>
      <c r="AS459">
        <v>10</v>
      </c>
      <c r="AT459">
        <v>704</v>
      </c>
      <c r="BB459" t="str">
        <f t="shared" si="180"/>
        <v>1200</v>
      </c>
      <c r="BC459">
        <v>1</v>
      </c>
      <c r="BD459" t="str">
        <f t="shared" si="181"/>
        <v xml:space="preserve">N52156  </v>
      </c>
      <c r="BE459">
        <v>1</v>
      </c>
      <c r="BG459">
        <v>0</v>
      </c>
      <c r="BH459">
        <v>0</v>
      </c>
      <c r="BI459">
        <v>0</v>
      </c>
      <c r="BJ459">
        <v>2200</v>
      </c>
      <c r="BK459">
        <v>0</v>
      </c>
      <c r="BL459" t="s">
        <v>188</v>
      </c>
      <c r="BM459">
        <v>1</v>
      </c>
      <c r="BN459">
        <v>1</v>
      </c>
      <c r="BO459">
        <v>0</v>
      </c>
      <c r="BP459">
        <v>0</v>
      </c>
      <c r="BS459">
        <v>0</v>
      </c>
      <c r="BT459">
        <v>0</v>
      </c>
      <c r="BU459">
        <v>0</v>
      </c>
      <c r="CE459" t="str">
        <f t="shared" si="185"/>
        <v>15:05:48.523</v>
      </c>
      <c r="CF459">
        <v>523197304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133</v>
      </c>
      <c r="DA459">
        <v>275</v>
      </c>
      <c r="DB459">
        <v>0</v>
      </c>
      <c r="DC459" t="s">
        <v>134</v>
      </c>
      <c r="DD459" t="s">
        <v>135</v>
      </c>
      <c r="DG459">
        <v>3318469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"05/01/2025 15:05:48.746"</f>
        <v>05/01/2025 15:05:48.746</v>
      </c>
      <c r="C460" t="str">
        <f t="shared" si="178"/>
        <v>FFDFD3C0</v>
      </c>
      <c r="D460" t="s">
        <v>143</v>
      </c>
      <c r="E460" t="str">
        <f>"05"</f>
        <v>05</v>
      </c>
      <c r="H460">
        <v>172</v>
      </c>
      <c r="I460" t="s">
        <v>141</v>
      </c>
      <c r="J460" t="s">
        <v>144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R460" t="s">
        <v>127</v>
      </c>
      <c r="S460" t="str">
        <f t="shared" si="184"/>
        <v>15:05:48.000</v>
      </c>
      <c r="T460" t="str">
        <f t="shared" si="184"/>
        <v>15:05:48.000</v>
      </c>
      <c r="U460" t="str">
        <f t="shared" si="179"/>
        <v>A68FCB</v>
      </c>
      <c r="V460">
        <v>0</v>
      </c>
      <c r="W460">
        <v>0</v>
      </c>
      <c r="X460">
        <v>2</v>
      </c>
      <c r="Y460">
        <v>0</v>
      </c>
      <c r="AA460">
        <v>1</v>
      </c>
      <c r="AB460">
        <v>8</v>
      </c>
      <c r="AC460">
        <v>3</v>
      </c>
      <c r="AD460">
        <v>0</v>
      </c>
      <c r="AE460">
        <v>9</v>
      </c>
      <c r="AF460" t="s">
        <v>138</v>
      </c>
      <c r="AG460">
        <v>0</v>
      </c>
      <c r="AH460">
        <v>3</v>
      </c>
      <c r="AI460">
        <v>1</v>
      </c>
      <c r="AJ460">
        <v>0</v>
      </c>
      <c r="AK460" t="s">
        <v>252</v>
      </c>
      <c r="AL460">
        <v>38.955630999999997</v>
      </c>
      <c r="AM460" t="s">
        <v>264</v>
      </c>
      <c r="AN460">
        <v>-121.053479</v>
      </c>
      <c r="AO460">
        <v>25</v>
      </c>
      <c r="AP460">
        <v>2200</v>
      </c>
      <c r="AQ460" t="s">
        <v>131</v>
      </c>
      <c r="AR460">
        <v>66</v>
      </c>
      <c r="AS460">
        <v>10</v>
      </c>
      <c r="AT460">
        <v>704</v>
      </c>
      <c r="BB460" t="str">
        <f t="shared" si="180"/>
        <v>1200</v>
      </c>
      <c r="BC460">
        <v>1</v>
      </c>
      <c r="BD460" t="str">
        <f t="shared" si="181"/>
        <v xml:space="preserve">N52156  </v>
      </c>
      <c r="BE460">
        <v>1</v>
      </c>
      <c r="BG460">
        <v>0</v>
      </c>
      <c r="BH460">
        <v>0</v>
      </c>
      <c r="BI460">
        <v>0</v>
      </c>
      <c r="BJ460">
        <v>2200</v>
      </c>
      <c r="BK460">
        <v>0</v>
      </c>
      <c r="BL460" t="s">
        <v>188</v>
      </c>
      <c r="BM460">
        <v>1</v>
      </c>
      <c r="BN460">
        <v>1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 t="shared" si="185"/>
        <v>15:05:48.523</v>
      </c>
      <c r="CF460">
        <v>523197304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133</v>
      </c>
      <c r="DA460">
        <v>275</v>
      </c>
      <c r="DB460">
        <v>0</v>
      </c>
      <c r="DC460" t="s">
        <v>134</v>
      </c>
      <c r="DD460" t="s">
        <v>135</v>
      </c>
      <c r="DG460">
        <v>3318469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"05/01/2025 15:05:48.748"</f>
        <v>05/01/2025 15:05:48.748</v>
      </c>
      <c r="C461" t="str">
        <f t="shared" si="178"/>
        <v>FFDFD3C0</v>
      </c>
      <c r="D461" t="s">
        <v>145</v>
      </c>
      <c r="E461" t="str">
        <f>"05"</f>
        <v>05</v>
      </c>
      <c r="H461">
        <v>47</v>
      </c>
      <c r="I461" t="s">
        <v>146</v>
      </c>
      <c r="J461" t="s">
        <v>138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R461" t="s">
        <v>127</v>
      </c>
      <c r="S461" t="str">
        <f t="shared" si="184"/>
        <v>15:05:48.000</v>
      </c>
      <c r="T461" t="str">
        <f t="shared" si="184"/>
        <v>15:05:48.000</v>
      </c>
      <c r="U461" t="str">
        <f t="shared" si="179"/>
        <v>A68FCB</v>
      </c>
      <c r="V461">
        <v>0</v>
      </c>
      <c r="W461">
        <v>0</v>
      </c>
      <c r="X461">
        <v>2</v>
      </c>
      <c r="Y461">
        <v>0</v>
      </c>
      <c r="AA461">
        <v>1</v>
      </c>
      <c r="AB461">
        <v>8</v>
      </c>
      <c r="AC461">
        <v>3</v>
      </c>
      <c r="AD461">
        <v>0</v>
      </c>
      <c r="AE461">
        <v>9</v>
      </c>
      <c r="AF461" t="s">
        <v>138</v>
      </c>
      <c r="AG461">
        <v>0</v>
      </c>
      <c r="AH461">
        <v>3</v>
      </c>
      <c r="AI461">
        <v>1</v>
      </c>
      <c r="AJ461">
        <v>0</v>
      </c>
      <c r="AK461" t="s">
        <v>252</v>
      </c>
      <c r="AL461">
        <v>38.955630999999997</v>
      </c>
      <c r="AM461" t="s">
        <v>264</v>
      </c>
      <c r="AN461">
        <v>-121.053479</v>
      </c>
      <c r="AO461">
        <v>25</v>
      </c>
      <c r="AP461">
        <v>2200</v>
      </c>
      <c r="AQ461" t="s">
        <v>131</v>
      </c>
      <c r="AR461">
        <v>66</v>
      </c>
      <c r="AS461">
        <v>10</v>
      </c>
      <c r="AT461">
        <v>704</v>
      </c>
      <c r="BB461" t="str">
        <f t="shared" si="180"/>
        <v>1200</v>
      </c>
      <c r="BC461">
        <v>1</v>
      </c>
      <c r="BD461" t="str">
        <f t="shared" si="181"/>
        <v xml:space="preserve">N52156  </v>
      </c>
      <c r="BE461">
        <v>1</v>
      </c>
      <c r="BG461">
        <v>0</v>
      </c>
      <c r="BH461">
        <v>0</v>
      </c>
      <c r="BI461">
        <v>0</v>
      </c>
      <c r="BJ461">
        <v>2200</v>
      </c>
      <c r="BK461">
        <v>0</v>
      </c>
      <c r="BL461" t="s">
        <v>188</v>
      </c>
      <c r="BM461">
        <v>1</v>
      </c>
      <c r="BN461">
        <v>1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 t="shared" si="185"/>
        <v>15:05:48.523</v>
      </c>
      <c r="CF461">
        <v>523197304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133</v>
      </c>
      <c r="DA461">
        <v>275</v>
      </c>
      <c r="DB461">
        <v>0</v>
      </c>
      <c r="DC461" t="s">
        <v>134</v>
      </c>
      <c r="DD461" t="s">
        <v>135</v>
      </c>
      <c r="DG461">
        <v>3318469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"05/01/2025 15:05:48.750"</f>
        <v>05/01/2025 15:05:48.750</v>
      </c>
      <c r="C462" t="str">
        <f t="shared" si="178"/>
        <v>FFDFD3C0</v>
      </c>
      <c r="D462" t="s">
        <v>124</v>
      </c>
      <c r="E462" t="str">
        <f>"06"</f>
        <v>06</v>
      </c>
      <c r="F462">
        <v>2006</v>
      </c>
      <c r="G462" t="s">
        <v>125</v>
      </c>
      <c r="J462" t="s">
        <v>126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R462" t="s">
        <v>127</v>
      </c>
      <c r="S462" t="str">
        <f t="shared" si="184"/>
        <v>15:05:48.000</v>
      </c>
      <c r="T462" t="str">
        <f t="shared" si="184"/>
        <v>15:05:48.000</v>
      </c>
      <c r="U462" t="str">
        <f t="shared" si="179"/>
        <v>A68FCB</v>
      </c>
      <c r="V462">
        <v>0</v>
      </c>
      <c r="W462">
        <v>0</v>
      </c>
      <c r="X462">
        <v>2</v>
      </c>
      <c r="Y462">
        <v>0</v>
      </c>
      <c r="AA462">
        <v>1</v>
      </c>
      <c r="AB462">
        <v>8</v>
      </c>
      <c r="AC462">
        <v>3</v>
      </c>
      <c r="AD462">
        <v>0</v>
      </c>
      <c r="AE462">
        <v>9</v>
      </c>
      <c r="AF462" t="s">
        <v>138</v>
      </c>
      <c r="AG462">
        <v>0</v>
      </c>
      <c r="AH462">
        <v>3</v>
      </c>
      <c r="AI462">
        <v>1</v>
      </c>
      <c r="AJ462">
        <v>0</v>
      </c>
      <c r="AK462" t="s">
        <v>252</v>
      </c>
      <c r="AL462">
        <v>38.955630999999997</v>
      </c>
      <c r="AM462" t="s">
        <v>264</v>
      </c>
      <c r="AN462">
        <v>-121.053479</v>
      </c>
      <c r="AO462">
        <v>25</v>
      </c>
      <c r="AP462">
        <v>2200</v>
      </c>
      <c r="AQ462" t="s">
        <v>131</v>
      </c>
      <c r="AR462">
        <v>66</v>
      </c>
      <c r="AS462">
        <v>10</v>
      </c>
      <c r="AT462">
        <v>704</v>
      </c>
      <c r="BB462" t="str">
        <f t="shared" si="180"/>
        <v>1200</v>
      </c>
      <c r="BC462">
        <v>1</v>
      </c>
      <c r="BD462" t="str">
        <f t="shared" si="181"/>
        <v xml:space="preserve">N52156  </v>
      </c>
      <c r="BE462">
        <v>1</v>
      </c>
      <c r="BG462">
        <v>0</v>
      </c>
      <c r="BH462">
        <v>0</v>
      </c>
      <c r="BI462">
        <v>0</v>
      </c>
      <c r="BJ462">
        <v>2200</v>
      </c>
      <c r="BK462">
        <v>0</v>
      </c>
      <c r="BL462" t="s">
        <v>188</v>
      </c>
      <c r="BM462">
        <v>1</v>
      </c>
      <c r="BN462">
        <v>1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 t="shared" si="185"/>
        <v>15:05:48.523</v>
      </c>
      <c r="CF462">
        <v>523197304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133</v>
      </c>
      <c r="DA462">
        <v>275</v>
      </c>
      <c r="DB462">
        <v>0</v>
      </c>
      <c r="DC462" t="s">
        <v>134</v>
      </c>
      <c r="DD462" t="s">
        <v>135</v>
      </c>
      <c r="DG462">
        <v>3318469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"05/01/2025 15:05:48.759"</f>
        <v>05/01/2025 15:05:48.759</v>
      </c>
      <c r="C463" t="str">
        <f t="shared" si="178"/>
        <v>FFDFD3C0</v>
      </c>
      <c r="D463" t="s">
        <v>136</v>
      </c>
      <c r="E463" t="str">
        <f>"20"</f>
        <v>20</v>
      </c>
      <c r="H463">
        <v>400</v>
      </c>
      <c r="I463" t="s">
        <v>137</v>
      </c>
      <c r="J463" t="s">
        <v>138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R463" t="s">
        <v>127</v>
      </c>
      <c r="S463" t="str">
        <f t="shared" si="184"/>
        <v>15:05:48.000</v>
      </c>
      <c r="T463" t="str">
        <f t="shared" si="184"/>
        <v>15:05:48.000</v>
      </c>
      <c r="U463" t="str">
        <f t="shared" si="179"/>
        <v>A68FCB</v>
      </c>
      <c r="V463">
        <v>0</v>
      </c>
      <c r="W463">
        <v>0</v>
      </c>
      <c r="X463">
        <v>2</v>
      </c>
      <c r="Y463">
        <v>0</v>
      </c>
      <c r="AA463">
        <v>1</v>
      </c>
      <c r="AB463">
        <v>8</v>
      </c>
      <c r="AC463">
        <v>3</v>
      </c>
      <c r="AD463">
        <v>0</v>
      </c>
      <c r="AE463">
        <v>9</v>
      </c>
      <c r="AF463" t="s">
        <v>138</v>
      </c>
      <c r="AG463">
        <v>0</v>
      </c>
      <c r="AH463">
        <v>3</v>
      </c>
      <c r="AI463">
        <v>1</v>
      </c>
      <c r="AJ463">
        <v>0</v>
      </c>
      <c r="AK463" t="s">
        <v>252</v>
      </c>
      <c r="AL463">
        <v>38.955630999999997</v>
      </c>
      <c r="AM463" t="s">
        <v>264</v>
      </c>
      <c r="AN463">
        <v>-121.053479</v>
      </c>
      <c r="AO463">
        <v>25</v>
      </c>
      <c r="AP463">
        <v>2200</v>
      </c>
      <c r="AQ463" t="s">
        <v>131</v>
      </c>
      <c r="AR463">
        <v>66</v>
      </c>
      <c r="AS463">
        <v>10</v>
      </c>
      <c r="AT463">
        <v>704</v>
      </c>
      <c r="BB463" t="str">
        <f t="shared" si="180"/>
        <v>1200</v>
      </c>
      <c r="BC463">
        <v>1</v>
      </c>
      <c r="BD463" t="str">
        <f t="shared" si="181"/>
        <v xml:space="preserve">N52156  </v>
      </c>
      <c r="BE463">
        <v>1</v>
      </c>
      <c r="BG463">
        <v>0</v>
      </c>
      <c r="BH463">
        <v>0</v>
      </c>
      <c r="BI463">
        <v>0</v>
      </c>
      <c r="BJ463">
        <v>2200</v>
      </c>
      <c r="BK463">
        <v>0</v>
      </c>
      <c r="BL463" t="s">
        <v>188</v>
      </c>
      <c r="BM463">
        <v>1</v>
      </c>
      <c r="BN463">
        <v>1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 t="shared" si="185"/>
        <v>15:05:48.523</v>
      </c>
      <c r="CF463">
        <v>523197304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133</v>
      </c>
      <c r="DA463">
        <v>275</v>
      </c>
      <c r="DB463">
        <v>0</v>
      </c>
      <c r="DC463" t="s">
        <v>134</v>
      </c>
      <c r="DD463" t="s">
        <v>135</v>
      </c>
      <c r="DG463">
        <v>3318469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"05/01/2025 15:05:49.652"</f>
        <v>05/01/2025 15:05:49.652</v>
      </c>
      <c r="C464" t="str">
        <f t="shared" si="178"/>
        <v>FFDFD3C0</v>
      </c>
      <c r="D464" t="s">
        <v>124</v>
      </c>
      <c r="E464" t="str">
        <f>"06"</f>
        <v>06</v>
      </c>
      <c r="F464">
        <v>2006</v>
      </c>
      <c r="G464" t="s">
        <v>125</v>
      </c>
      <c r="J464" t="s">
        <v>126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R464" t="s">
        <v>127</v>
      </c>
      <c r="S464" t="str">
        <f t="shared" ref="S464:T469" si="186">"15:05:49.000"</f>
        <v>15:05:49.000</v>
      </c>
      <c r="T464" t="str">
        <f t="shared" si="186"/>
        <v>15:05:49.000</v>
      </c>
      <c r="U464" t="str">
        <f t="shared" si="179"/>
        <v>A68FCB</v>
      </c>
      <c r="V464">
        <v>0</v>
      </c>
      <c r="W464">
        <v>0</v>
      </c>
      <c r="X464">
        <v>2</v>
      </c>
      <c r="Y464">
        <v>0</v>
      </c>
      <c r="AA464">
        <v>1</v>
      </c>
      <c r="AB464">
        <v>8</v>
      </c>
      <c r="AC464">
        <v>3</v>
      </c>
      <c r="AD464">
        <v>0</v>
      </c>
      <c r="AE464">
        <v>9</v>
      </c>
      <c r="AF464" t="s">
        <v>138</v>
      </c>
      <c r="AG464">
        <v>0</v>
      </c>
      <c r="AH464">
        <v>3</v>
      </c>
      <c r="AI464">
        <v>1</v>
      </c>
      <c r="AJ464">
        <v>0</v>
      </c>
      <c r="AK464" t="s">
        <v>205</v>
      </c>
      <c r="AL464">
        <v>38.955674000000002</v>
      </c>
      <c r="AM464" t="s">
        <v>265</v>
      </c>
      <c r="AN464">
        <v>-121.053071</v>
      </c>
      <c r="AO464">
        <v>25</v>
      </c>
      <c r="AP464">
        <v>2200</v>
      </c>
      <c r="AQ464" t="s">
        <v>131</v>
      </c>
      <c r="AR464">
        <v>64</v>
      </c>
      <c r="AS464">
        <v>12</v>
      </c>
      <c r="AT464">
        <v>768</v>
      </c>
      <c r="BB464" t="str">
        <f t="shared" si="180"/>
        <v>1200</v>
      </c>
      <c r="BC464">
        <v>1</v>
      </c>
      <c r="BD464" t="str">
        <f t="shared" si="181"/>
        <v xml:space="preserve">N52156  </v>
      </c>
      <c r="BE464">
        <v>1</v>
      </c>
      <c r="BG464">
        <v>0</v>
      </c>
      <c r="BH464">
        <v>0</v>
      </c>
      <c r="BI464">
        <v>0</v>
      </c>
      <c r="BJ464">
        <v>2200</v>
      </c>
      <c r="BK464">
        <v>0</v>
      </c>
      <c r="BL464" t="s">
        <v>188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 t="shared" ref="CE464:CE469" si="187">"15:05:49.425"</f>
        <v>15:05:49.425</v>
      </c>
      <c r="CF464">
        <v>424697156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133</v>
      </c>
      <c r="DA464">
        <v>275</v>
      </c>
      <c r="DB464">
        <v>0</v>
      </c>
      <c r="DC464" t="s">
        <v>134</v>
      </c>
      <c r="DD464" t="s">
        <v>135</v>
      </c>
      <c r="DG464">
        <v>3318483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"05/01/2025 15:05:49.660"</f>
        <v>05/01/2025 15:05:49.660</v>
      </c>
      <c r="C465" t="str">
        <f t="shared" si="178"/>
        <v>FFDFD3C0</v>
      </c>
      <c r="D465" t="s">
        <v>136</v>
      </c>
      <c r="E465" t="str">
        <f>"20"</f>
        <v>20</v>
      </c>
      <c r="H465">
        <v>400</v>
      </c>
      <c r="I465" t="s">
        <v>137</v>
      </c>
      <c r="J465" t="s">
        <v>138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R465" t="s">
        <v>127</v>
      </c>
      <c r="S465" t="str">
        <f t="shared" si="186"/>
        <v>15:05:49.000</v>
      </c>
      <c r="T465" t="str">
        <f t="shared" si="186"/>
        <v>15:05:49.000</v>
      </c>
      <c r="U465" t="str">
        <f t="shared" si="179"/>
        <v>A68FCB</v>
      </c>
      <c r="V465">
        <v>0</v>
      </c>
      <c r="W465">
        <v>0</v>
      </c>
      <c r="X465">
        <v>2</v>
      </c>
      <c r="Y465">
        <v>0</v>
      </c>
      <c r="AA465">
        <v>1</v>
      </c>
      <c r="AB465">
        <v>8</v>
      </c>
      <c r="AC465">
        <v>3</v>
      </c>
      <c r="AD465">
        <v>0</v>
      </c>
      <c r="AE465">
        <v>9</v>
      </c>
      <c r="AF465" t="s">
        <v>138</v>
      </c>
      <c r="AG465">
        <v>0</v>
      </c>
      <c r="AH465">
        <v>3</v>
      </c>
      <c r="AI465">
        <v>1</v>
      </c>
      <c r="AJ465">
        <v>0</v>
      </c>
      <c r="AK465" t="s">
        <v>205</v>
      </c>
      <c r="AL465">
        <v>38.955674000000002</v>
      </c>
      <c r="AM465" t="s">
        <v>265</v>
      </c>
      <c r="AN465">
        <v>-121.053071</v>
      </c>
      <c r="AO465">
        <v>25</v>
      </c>
      <c r="AP465">
        <v>2200</v>
      </c>
      <c r="AQ465" t="s">
        <v>131</v>
      </c>
      <c r="AR465">
        <v>64</v>
      </c>
      <c r="AS465">
        <v>12</v>
      </c>
      <c r="AT465">
        <v>768</v>
      </c>
      <c r="BB465" t="str">
        <f t="shared" si="180"/>
        <v>1200</v>
      </c>
      <c r="BC465">
        <v>1</v>
      </c>
      <c r="BD465" t="str">
        <f t="shared" si="181"/>
        <v xml:space="preserve">N52156  </v>
      </c>
      <c r="BE465">
        <v>1</v>
      </c>
      <c r="BG465">
        <v>0</v>
      </c>
      <c r="BH465">
        <v>0</v>
      </c>
      <c r="BI465">
        <v>0</v>
      </c>
      <c r="BJ465">
        <v>2200</v>
      </c>
      <c r="BK465">
        <v>0</v>
      </c>
      <c r="BL465" t="s">
        <v>188</v>
      </c>
      <c r="BM465">
        <v>1</v>
      </c>
      <c r="BN465">
        <v>1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 t="shared" si="187"/>
        <v>15:05:49.425</v>
      </c>
      <c r="CF465">
        <v>424697156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133</v>
      </c>
      <c r="DA465">
        <v>275</v>
      </c>
      <c r="DB465">
        <v>0</v>
      </c>
      <c r="DC465" t="s">
        <v>134</v>
      </c>
      <c r="DD465" t="s">
        <v>135</v>
      </c>
      <c r="DG465">
        <v>3318483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"05/01/2025 15:05:49.689"</f>
        <v>05/01/2025 15:05:49.689</v>
      </c>
      <c r="C466" t="str">
        <f t="shared" si="178"/>
        <v>FFDFD3C0</v>
      </c>
      <c r="D466" t="s">
        <v>140</v>
      </c>
      <c r="E466" t="str">
        <f>"13"</f>
        <v>13</v>
      </c>
      <c r="F466">
        <v>1019</v>
      </c>
      <c r="G466" t="s">
        <v>141</v>
      </c>
      <c r="J466" t="s">
        <v>142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R466" t="s">
        <v>127</v>
      </c>
      <c r="S466" t="str">
        <f t="shared" si="186"/>
        <v>15:05:49.000</v>
      </c>
      <c r="T466" t="str">
        <f t="shared" si="186"/>
        <v>15:05:49.000</v>
      </c>
      <c r="U466" t="str">
        <f t="shared" si="179"/>
        <v>A68FCB</v>
      </c>
      <c r="V466">
        <v>0</v>
      </c>
      <c r="W466">
        <v>0</v>
      </c>
      <c r="X466">
        <v>2</v>
      </c>
      <c r="Y466">
        <v>0</v>
      </c>
      <c r="AA466">
        <v>1</v>
      </c>
      <c r="AB466">
        <v>8</v>
      </c>
      <c r="AC466">
        <v>3</v>
      </c>
      <c r="AD466">
        <v>0</v>
      </c>
      <c r="AE466">
        <v>9</v>
      </c>
      <c r="AF466" t="s">
        <v>138</v>
      </c>
      <c r="AG466">
        <v>0</v>
      </c>
      <c r="AH466">
        <v>3</v>
      </c>
      <c r="AI466">
        <v>1</v>
      </c>
      <c r="AJ466">
        <v>0</v>
      </c>
      <c r="AK466" t="s">
        <v>205</v>
      </c>
      <c r="AL466">
        <v>38.955674000000002</v>
      </c>
      <c r="AM466" t="s">
        <v>265</v>
      </c>
      <c r="AN466">
        <v>-121.053071</v>
      </c>
      <c r="AO466">
        <v>25</v>
      </c>
      <c r="AP466">
        <v>2200</v>
      </c>
      <c r="AQ466" t="s">
        <v>131</v>
      </c>
      <c r="AR466">
        <v>64</v>
      </c>
      <c r="AS466">
        <v>12</v>
      </c>
      <c r="AT466">
        <v>768</v>
      </c>
      <c r="BB466" t="str">
        <f t="shared" si="180"/>
        <v>1200</v>
      </c>
      <c r="BC466">
        <v>1</v>
      </c>
      <c r="BD466" t="str">
        <f t="shared" si="181"/>
        <v xml:space="preserve">N52156  </v>
      </c>
      <c r="BE466">
        <v>1</v>
      </c>
      <c r="BG466">
        <v>0</v>
      </c>
      <c r="BH466">
        <v>0</v>
      </c>
      <c r="BI466">
        <v>0</v>
      </c>
      <c r="BJ466">
        <v>2200</v>
      </c>
      <c r="BK466">
        <v>0</v>
      </c>
      <c r="BL466" t="s">
        <v>188</v>
      </c>
      <c r="BM466">
        <v>1</v>
      </c>
      <c r="BN466">
        <v>1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 t="shared" si="187"/>
        <v>15:05:49.425</v>
      </c>
      <c r="CF466">
        <v>424697156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133</v>
      </c>
      <c r="DA466">
        <v>275</v>
      </c>
      <c r="DB466">
        <v>0</v>
      </c>
      <c r="DC466" t="s">
        <v>134</v>
      </c>
      <c r="DD466" t="s">
        <v>135</v>
      </c>
      <c r="DG466">
        <v>3318483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"05/01/2025 15:05:49.700"</f>
        <v>05/01/2025 15:05:49.700</v>
      </c>
      <c r="C467" t="str">
        <f t="shared" si="178"/>
        <v>FFDFD3C0</v>
      </c>
      <c r="D467" t="s">
        <v>145</v>
      </c>
      <c r="E467" t="str">
        <f>"05"</f>
        <v>05</v>
      </c>
      <c r="H467">
        <v>47</v>
      </c>
      <c r="I467" t="s">
        <v>146</v>
      </c>
      <c r="J467" t="s">
        <v>138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R467" t="s">
        <v>127</v>
      </c>
      <c r="S467" t="str">
        <f t="shared" si="186"/>
        <v>15:05:49.000</v>
      </c>
      <c r="T467" t="str">
        <f t="shared" si="186"/>
        <v>15:05:49.000</v>
      </c>
      <c r="U467" t="str">
        <f t="shared" si="179"/>
        <v>A68FCB</v>
      </c>
      <c r="V467">
        <v>0</v>
      </c>
      <c r="W467">
        <v>0</v>
      </c>
      <c r="X467">
        <v>2</v>
      </c>
      <c r="Y467">
        <v>0</v>
      </c>
      <c r="AA467">
        <v>1</v>
      </c>
      <c r="AB467">
        <v>8</v>
      </c>
      <c r="AC467">
        <v>3</v>
      </c>
      <c r="AD467">
        <v>0</v>
      </c>
      <c r="AE467">
        <v>9</v>
      </c>
      <c r="AF467" t="s">
        <v>138</v>
      </c>
      <c r="AG467">
        <v>0</v>
      </c>
      <c r="AH467">
        <v>3</v>
      </c>
      <c r="AI467">
        <v>1</v>
      </c>
      <c r="AJ467">
        <v>0</v>
      </c>
      <c r="AK467" t="s">
        <v>205</v>
      </c>
      <c r="AL467">
        <v>38.955674000000002</v>
      </c>
      <c r="AM467" t="s">
        <v>265</v>
      </c>
      <c r="AN467">
        <v>-121.053071</v>
      </c>
      <c r="AO467">
        <v>25</v>
      </c>
      <c r="AP467">
        <v>2200</v>
      </c>
      <c r="AQ467" t="s">
        <v>131</v>
      </c>
      <c r="AR467">
        <v>64</v>
      </c>
      <c r="AS467">
        <v>12</v>
      </c>
      <c r="AT467">
        <v>768</v>
      </c>
      <c r="BB467" t="str">
        <f t="shared" si="180"/>
        <v>1200</v>
      </c>
      <c r="BC467">
        <v>1</v>
      </c>
      <c r="BD467" t="str">
        <f t="shared" si="181"/>
        <v xml:space="preserve">N52156  </v>
      </c>
      <c r="BE467">
        <v>1</v>
      </c>
      <c r="BG467">
        <v>0</v>
      </c>
      <c r="BH467">
        <v>0</v>
      </c>
      <c r="BI467">
        <v>0</v>
      </c>
      <c r="BJ467">
        <v>2200</v>
      </c>
      <c r="BK467">
        <v>0</v>
      </c>
      <c r="BL467" t="s">
        <v>188</v>
      </c>
      <c r="BM467">
        <v>1</v>
      </c>
      <c r="BN467">
        <v>1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 t="shared" si="187"/>
        <v>15:05:49.425</v>
      </c>
      <c r="CF467">
        <v>424697156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133</v>
      </c>
      <c r="DA467">
        <v>275</v>
      </c>
      <c r="DB467">
        <v>0</v>
      </c>
      <c r="DC467" t="s">
        <v>134</v>
      </c>
      <c r="DD467" t="s">
        <v>135</v>
      </c>
      <c r="DG467">
        <v>3318483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"05/01/2025 15:05:49.700"</f>
        <v>05/01/2025 15:05:49.700</v>
      </c>
      <c r="C468" t="str">
        <f t="shared" si="178"/>
        <v>FFDFD3C0</v>
      </c>
      <c r="D468" t="s">
        <v>145</v>
      </c>
      <c r="E468" t="str">
        <f>"09"</f>
        <v>09</v>
      </c>
      <c r="H468">
        <v>51</v>
      </c>
      <c r="I468" t="s">
        <v>147</v>
      </c>
      <c r="J468" t="s">
        <v>138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R468" t="s">
        <v>127</v>
      </c>
      <c r="S468" t="str">
        <f t="shared" si="186"/>
        <v>15:05:49.000</v>
      </c>
      <c r="T468" t="str">
        <f t="shared" si="186"/>
        <v>15:05:49.000</v>
      </c>
      <c r="U468" t="str">
        <f t="shared" si="179"/>
        <v>A68FCB</v>
      </c>
      <c r="V468">
        <v>0</v>
      </c>
      <c r="W468">
        <v>0</v>
      </c>
      <c r="X468">
        <v>2</v>
      </c>
      <c r="Y468">
        <v>0</v>
      </c>
      <c r="AA468">
        <v>1</v>
      </c>
      <c r="AB468">
        <v>8</v>
      </c>
      <c r="AC468">
        <v>3</v>
      </c>
      <c r="AD468">
        <v>0</v>
      </c>
      <c r="AE468">
        <v>9</v>
      </c>
      <c r="AF468" t="s">
        <v>138</v>
      </c>
      <c r="AG468">
        <v>0</v>
      </c>
      <c r="AH468">
        <v>3</v>
      </c>
      <c r="AI468">
        <v>1</v>
      </c>
      <c r="AJ468">
        <v>0</v>
      </c>
      <c r="AK468" t="s">
        <v>205</v>
      </c>
      <c r="AL468">
        <v>38.955674000000002</v>
      </c>
      <c r="AM468" t="s">
        <v>265</v>
      </c>
      <c r="AN468">
        <v>-121.053071</v>
      </c>
      <c r="AO468">
        <v>25</v>
      </c>
      <c r="AP468">
        <v>2200</v>
      </c>
      <c r="AQ468" t="s">
        <v>131</v>
      </c>
      <c r="AR468">
        <v>64</v>
      </c>
      <c r="AS468">
        <v>12</v>
      </c>
      <c r="AT468">
        <v>768</v>
      </c>
      <c r="BB468" t="str">
        <f t="shared" si="180"/>
        <v>1200</v>
      </c>
      <c r="BC468">
        <v>1</v>
      </c>
      <c r="BD468" t="str">
        <f t="shared" si="181"/>
        <v xml:space="preserve">N52156  </v>
      </c>
      <c r="BE468">
        <v>1</v>
      </c>
      <c r="BG468">
        <v>0</v>
      </c>
      <c r="BH468">
        <v>0</v>
      </c>
      <c r="BI468">
        <v>0</v>
      </c>
      <c r="BJ468">
        <v>2200</v>
      </c>
      <c r="BK468">
        <v>0</v>
      </c>
      <c r="BL468" t="s">
        <v>188</v>
      </c>
      <c r="BM468">
        <v>1</v>
      </c>
      <c r="BN468">
        <v>1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 t="shared" si="187"/>
        <v>15:05:49.425</v>
      </c>
      <c r="CF468">
        <v>424697156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133</v>
      </c>
      <c r="DA468">
        <v>275</v>
      </c>
      <c r="DB468">
        <v>0</v>
      </c>
      <c r="DC468" t="s">
        <v>134</v>
      </c>
      <c r="DD468" t="s">
        <v>135</v>
      </c>
      <c r="DG468">
        <v>3318483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"05/01/2025 15:05:49.698"</f>
        <v>05/01/2025 15:05:49.698</v>
      </c>
      <c r="C469" t="str">
        <f t="shared" si="178"/>
        <v>FFDFD3C0</v>
      </c>
      <c r="D469" t="s">
        <v>143</v>
      </c>
      <c r="E469" t="str">
        <f>"05"</f>
        <v>05</v>
      </c>
      <c r="H469">
        <v>172</v>
      </c>
      <c r="I469" t="s">
        <v>141</v>
      </c>
      <c r="J469" t="s">
        <v>144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R469" t="s">
        <v>127</v>
      </c>
      <c r="S469" t="str">
        <f t="shared" si="186"/>
        <v>15:05:49.000</v>
      </c>
      <c r="T469" t="str">
        <f t="shared" si="186"/>
        <v>15:05:49.000</v>
      </c>
      <c r="U469" t="str">
        <f t="shared" si="179"/>
        <v>A68FCB</v>
      </c>
      <c r="V469">
        <v>0</v>
      </c>
      <c r="W469">
        <v>0</v>
      </c>
      <c r="X469">
        <v>2</v>
      </c>
      <c r="Y469">
        <v>0</v>
      </c>
      <c r="AA469">
        <v>1</v>
      </c>
      <c r="AB469">
        <v>8</v>
      </c>
      <c r="AC469">
        <v>3</v>
      </c>
      <c r="AD469">
        <v>0</v>
      </c>
      <c r="AE469">
        <v>9</v>
      </c>
      <c r="AF469" t="s">
        <v>138</v>
      </c>
      <c r="AG469">
        <v>0</v>
      </c>
      <c r="AH469">
        <v>3</v>
      </c>
      <c r="AI469">
        <v>1</v>
      </c>
      <c r="AJ469">
        <v>0</v>
      </c>
      <c r="AK469" t="s">
        <v>205</v>
      </c>
      <c r="AL469">
        <v>38.955674000000002</v>
      </c>
      <c r="AM469" t="s">
        <v>265</v>
      </c>
      <c r="AN469">
        <v>-121.053071</v>
      </c>
      <c r="AO469">
        <v>25</v>
      </c>
      <c r="AP469">
        <v>2200</v>
      </c>
      <c r="AQ469" t="s">
        <v>131</v>
      </c>
      <c r="AR469">
        <v>64</v>
      </c>
      <c r="AS469">
        <v>12</v>
      </c>
      <c r="AT469">
        <v>768</v>
      </c>
      <c r="BB469" t="str">
        <f t="shared" si="180"/>
        <v>1200</v>
      </c>
      <c r="BC469">
        <v>1</v>
      </c>
      <c r="BD469" t="str">
        <f t="shared" si="181"/>
        <v xml:space="preserve">N52156  </v>
      </c>
      <c r="BE469">
        <v>1</v>
      </c>
      <c r="BG469">
        <v>0</v>
      </c>
      <c r="BH469">
        <v>0</v>
      </c>
      <c r="BI469">
        <v>0</v>
      </c>
      <c r="BJ469">
        <v>2200</v>
      </c>
      <c r="BK469">
        <v>0</v>
      </c>
      <c r="BL469" t="s">
        <v>188</v>
      </c>
      <c r="BM469">
        <v>1</v>
      </c>
      <c r="BN469">
        <v>1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 t="shared" si="187"/>
        <v>15:05:49.425</v>
      </c>
      <c r="CF469">
        <v>424697156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133</v>
      </c>
      <c r="DA469">
        <v>275</v>
      </c>
      <c r="DB469">
        <v>0</v>
      </c>
      <c r="DC469" t="s">
        <v>134</v>
      </c>
      <c r="DD469" t="s">
        <v>135</v>
      </c>
      <c r="DG469">
        <v>3318483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"05/01/2025 15:05:50.491"</f>
        <v>05/01/2025 15:05:50.491</v>
      </c>
      <c r="C470" t="str">
        <f t="shared" si="178"/>
        <v>FFDFD3C0</v>
      </c>
      <c r="D470" t="s">
        <v>140</v>
      </c>
      <c r="E470" t="str">
        <f>"13"</f>
        <v>13</v>
      </c>
      <c r="F470">
        <v>1019</v>
      </c>
      <c r="G470" t="s">
        <v>141</v>
      </c>
      <c r="J470" t="s">
        <v>142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R470" t="s">
        <v>127</v>
      </c>
      <c r="S470" t="str">
        <f t="shared" ref="S470:T475" si="188">"15:05:50.000"</f>
        <v>15:05:50.000</v>
      </c>
      <c r="T470" t="str">
        <f t="shared" si="188"/>
        <v>15:05:50.000</v>
      </c>
      <c r="U470" t="str">
        <f t="shared" si="179"/>
        <v>A68FCB</v>
      </c>
      <c r="V470">
        <v>0</v>
      </c>
      <c r="W470">
        <v>0</v>
      </c>
      <c r="X470">
        <v>2</v>
      </c>
      <c r="Y470">
        <v>0</v>
      </c>
      <c r="AA470">
        <v>1</v>
      </c>
      <c r="AB470">
        <v>8</v>
      </c>
      <c r="AC470">
        <v>3</v>
      </c>
      <c r="AD470">
        <v>0</v>
      </c>
      <c r="AE470">
        <v>9</v>
      </c>
      <c r="AF470" t="s">
        <v>138</v>
      </c>
      <c r="AG470">
        <v>0</v>
      </c>
      <c r="AH470">
        <v>3</v>
      </c>
      <c r="AI470">
        <v>1</v>
      </c>
      <c r="AJ470">
        <v>0</v>
      </c>
      <c r="AK470" t="s">
        <v>209</v>
      </c>
      <c r="AL470">
        <v>38.955717</v>
      </c>
      <c r="AM470" t="s">
        <v>266</v>
      </c>
      <c r="AN470">
        <v>-121.052728</v>
      </c>
      <c r="AO470">
        <v>25</v>
      </c>
      <c r="AP470">
        <v>2300</v>
      </c>
      <c r="AQ470" t="s">
        <v>131</v>
      </c>
      <c r="AR470">
        <v>64</v>
      </c>
      <c r="AS470">
        <v>19</v>
      </c>
      <c r="AT470">
        <v>704</v>
      </c>
      <c r="BB470" t="str">
        <f t="shared" si="180"/>
        <v>1200</v>
      </c>
      <c r="BC470">
        <v>1</v>
      </c>
      <c r="BD470" t="str">
        <f t="shared" si="181"/>
        <v xml:space="preserve">N52156  </v>
      </c>
      <c r="BE470">
        <v>1</v>
      </c>
      <c r="BG470">
        <v>0</v>
      </c>
      <c r="BH470">
        <v>0</v>
      </c>
      <c r="BI470">
        <v>0</v>
      </c>
      <c r="BJ470">
        <v>2200</v>
      </c>
      <c r="BK470">
        <v>-100</v>
      </c>
      <c r="BL470" t="s">
        <v>188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 t="shared" ref="CE470:CE475" si="189">"15:05:50.260"</f>
        <v>15:05:50.260</v>
      </c>
      <c r="CF470">
        <v>259697071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133</v>
      </c>
      <c r="DA470">
        <v>275</v>
      </c>
      <c r="DB470">
        <v>0</v>
      </c>
      <c r="DC470" t="s">
        <v>134</v>
      </c>
      <c r="DD470" t="s">
        <v>135</v>
      </c>
      <c r="DG470">
        <v>3318502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"05/01/2025 15:05:50.501"</f>
        <v>05/01/2025 15:05:50.501</v>
      </c>
      <c r="C471" t="str">
        <f t="shared" si="178"/>
        <v>FFDFD3C0</v>
      </c>
      <c r="D471" t="s">
        <v>145</v>
      </c>
      <c r="E471" t="str">
        <f>"05"</f>
        <v>05</v>
      </c>
      <c r="H471">
        <v>47</v>
      </c>
      <c r="I471" t="s">
        <v>146</v>
      </c>
      <c r="J471" t="s">
        <v>138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R471" t="s">
        <v>127</v>
      </c>
      <c r="S471" t="str">
        <f t="shared" si="188"/>
        <v>15:05:50.000</v>
      </c>
      <c r="T471" t="str">
        <f t="shared" si="188"/>
        <v>15:05:50.000</v>
      </c>
      <c r="U471" t="str">
        <f t="shared" si="179"/>
        <v>A68FCB</v>
      </c>
      <c r="V471">
        <v>0</v>
      </c>
      <c r="W471">
        <v>0</v>
      </c>
      <c r="X471">
        <v>2</v>
      </c>
      <c r="Y471">
        <v>0</v>
      </c>
      <c r="AA471">
        <v>1</v>
      </c>
      <c r="AB471">
        <v>8</v>
      </c>
      <c r="AC471">
        <v>3</v>
      </c>
      <c r="AD471">
        <v>0</v>
      </c>
      <c r="AE471">
        <v>9</v>
      </c>
      <c r="AF471" t="s">
        <v>138</v>
      </c>
      <c r="AG471">
        <v>0</v>
      </c>
      <c r="AH471">
        <v>3</v>
      </c>
      <c r="AI471">
        <v>1</v>
      </c>
      <c r="AJ471">
        <v>0</v>
      </c>
      <c r="AK471" t="s">
        <v>209</v>
      </c>
      <c r="AL471">
        <v>38.955717</v>
      </c>
      <c r="AM471" t="s">
        <v>266</v>
      </c>
      <c r="AN471">
        <v>-121.052728</v>
      </c>
      <c r="AO471">
        <v>25</v>
      </c>
      <c r="AP471">
        <v>2300</v>
      </c>
      <c r="AQ471" t="s">
        <v>131</v>
      </c>
      <c r="AR471">
        <v>64</v>
      </c>
      <c r="AS471">
        <v>19</v>
      </c>
      <c r="AT471">
        <v>704</v>
      </c>
      <c r="BB471" t="str">
        <f t="shared" si="180"/>
        <v>1200</v>
      </c>
      <c r="BC471">
        <v>1</v>
      </c>
      <c r="BD471" t="str">
        <f t="shared" si="181"/>
        <v xml:space="preserve">N52156  </v>
      </c>
      <c r="BE471">
        <v>1</v>
      </c>
      <c r="BG471">
        <v>0</v>
      </c>
      <c r="BH471">
        <v>0</v>
      </c>
      <c r="BI471">
        <v>0</v>
      </c>
      <c r="BJ471">
        <v>2200</v>
      </c>
      <c r="BK471">
        <v>-100</v>
      </c>
      <c r="BL471" t="s">
        <v>188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 t="shared" si="189"/>
        <v>15:05:50.260</v>
      </c>
      <c r="CF471">
        <v>259697071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133</v>
      </c>
      <c r="DA471">
        <v>275</v>
      </c>
      <c r="DB471">
        <v>0</v>
      </c>
      <c r="DC471" t="s">
        <v>134</v>
      </c>
      <c r="DD471" t="s">
        <v>135</v>
      </c>
      <c r="DG471">
        <v>3318502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"05/01/2025 15:05:50.503"</f>
        <v>05/01/2025 15:05:50.503</v>
      </c>
      <c r="C472" t="str">
        <f t="shared" si="178"/>
        <v>FFDFD3C0</v>
      </c>
      <c r="D472" t="s">
        <v>124</v>
      </c>
      <c r="E472" t="str">
        <f>"06"</f>
        <v>06</v>
      </c>
      <c r="F472">
        <v>2006</v>
      </c>
      <c r="G472" t="s">
        <v>125</v>
      </c>
      <c r="J472" t="s">
        <v>126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R472" t="s">
        <v>127</v>
      </c>
      <c r="S472" t="str">
        <f t="shared" si="188"/>
        <v>15:05:50.000</v>
      </c>
      <c r="T472" t="str">
        <f t="shared" si="188"/>
        <v>15:05:50.000</v>
      </c>
      <c r="U472" t="str">
        <f t="shared" si="179"/>
        <v>A68FCB</v>
      </c>
      <c r="V472">
        <v>0</v>
      </c>
      <c r="W472">
        <v>0</v>
      </c>
      <c r="X472">
        <v>2</v>
      </c>
      <c r="Y472">
        <v>0</v>
      </c>
      <c r="AA472">
        <v>1</v>
      </c>
      <c r="AB472">
        <v>8</v>
      </c>
      <c r="AC472">
        <v>3</v>
      </c>
      <c r="AD472">
        <v>0</v>
      </c>
      <c r="AE472">
        <v>9</v>
      </c>
      <c r="AF472" t="s">
        <v>138</v>
      </c>
      <c r="AG472">
        <v>0</v>
      </c>
      <c r="AH472">
        <v>3</v>
      </c>
      <c r="AI472">
        <v>1</v>
      </c>
      <c r="AJ472">
        <v>0</v>
      </c>
      <c r="AK472" t="s">
        <v>209</v>
      </c>
      <c r="AL472">
        <v>38.955717</v>
      </c>
      <c r="AM472" t="s">
        <v>266</v>
      </c>
      <c r="AN472">
        <v>-121.052728</v>
      </c>
      <c r="AO472">
        <v>25</v>
      </c>
      <c r="AP472">
        <v>2300</v>
      </c>
      <c r="AQ472" t="s">
        <v>131</v>
      </c>
      <c r="AR472">
        <v>64</v>
      </c>
      <c r="AS472">
        <v>19</v>
      </c>
      <c r="AT472">
        <v>704</v>
      </c>
      <c r="BB472" t="str">
        <f t="shared" si="180"/>
        <v>1200</v>
      </c>
      <c r="BC472">
        <v>1</v>
      </c>
      <c r="BD472" t="str">
        <f t="shared" si="181"/>
        <v xml:space="preserve">N52156  </v>
      </c>
      <c r="BE472">
        <v>1</v>
      </c>
      <c r="BG472">
        <v>0</v>
      </c>
      <c r="BH472">
        <v>0</v>
      </c>
      <c r="BI472">
        <v>0</v>
      </c>
      <c r="BJ472">
        <v>2200</v>
      </c>
      <c r="BK472">
        <v>-100</v>
      </c>
      <c r="BL472" t="s">
        <v>188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 t="shared" si="189"/>
        <v>15:05:50.260</v>
      </c>
      <c r="CF472">
        <v>259697071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133</v>
      </c>
      <c r="DA472">
        <v>275</v>
      </c>
      <c r="DB472">
        <v>0</v>
      </c>
      <c r="DC472" t="s">
        <v>134</v>
      </c>
      <c r="DD472" t="s">
        <v>135</v>
      </c>
      <c r="DG472">
        <v>3318502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"05/01/2025 15:05:50.501"</f>
        <v>05/01/2025 15:05:50.501</v>
      </c>
      <c r="C473" t="str">
        <f t="shared" si="178"/>
        <v>FFDFD3C0</v>
      </c>
      <c r="D473" t="s">
        <v>145</v>
      </c>
      <c r="E473" t="str">
        <f>"09"</f>
        <v>09</v>
      </c>
      <c r="H473">
        <v>51</v>
      </c>
      <c r="I473" t="s">
        <v>147</v>
      </c>
      <c r="J473" t="s">
        <v>138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R473" t="s">
        <v>127</v>
      </c>
      <c r="S473" t="str">
        <f t="shared" si="188"/>
        <v>15:05:50.000</v>
      </c>
      <c r="T473" t="str">
        <f t="shared" si="188"/>
        <v>15:05:50.000</v>
      </c>
      <c r="U473" t="str">
        <f t="shared" si="179"/>
        <v>A68FCB</v>
      </c>
      <c r="V473">
        <v>0</v>
      </c>
      <c r="W473">
        <v>0</v>
      </c>
      <c r="X473">
        <v>2</v>
      </c>
      <c r="Y473">
        <v>0</v>
      </c>
      <c r="AA473">
        <v>1</v>
      </c>
      <c r="AB473">
        <v>8</v>
      </c>
      <c r="AC473">
        <v>3</v>
      </c>
      <c r="AD473">
        <v>0</v>
      </c>
      <c r="AE473">
        <v>9</v>
      </c>
      <c r="AF473" t="s">
        <v>138</v>
      </c>
      <c r="AG473">
        <v>0</v>
      </c>
      <c r="AH473">
        <v>3</v>
      </c>
      <c r="AI473">
        <v>1</v>
      </c>
      <c r="AJ473">
        <v>0</v>
      </c>
      <c r="AK473" t="s">
        <v>209</v>
      </c>
      <c r="AL473">
        <v>38.955717</v>
      </c>
      <c r="AM473" t="s">
        <v>266</v>
      </c>
      <c r="AN473">
        <v>-121.052728</v>
      </c>
      <c r="AO473">
        <v>25</v>
      </c>
      <c r="AP473">
        <v>2300</v>
      </c>
      <c r="AQ473" t="s">
        <v>131</v>
      </c>
      <c r="AR473">
        <v>64</v>
      </c>
      <c r="AS473">
        <v>19</v>
      </c>
      <c r="AT473">
        <v>704</v>
      </c>
      <c r="BB473" t="str">
        <f t="shared" si="180"/>
        <v>1200</v>
      </c>
      <c r="BC473">
        <v>1</v>
      </c>
      <c r="BD473" t="str">
        <f t="shared" si="181"/>
        <v xml:space="preserve">N52156  </v>
      </c>
      <c r="BE473">
        <v>1</v>
      </c>
      <c r="BG473">
        <v>0</v>
      </c>
      <c r="BH473">
        <v>0</v>
      </c>
      <c r="BI473">
        <v>0</v>
      </c>
      <c r="BJ473">
        <v>2200</v>
      </c>
      <c r="BK473">
        <v>-100</v>
      </c>
      <c r="BL473" t="s">
        <v>188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 t="shared" si="189"/>
        <v>15:05:50.260</v>
      </c>
      <c r="CF473">
        <v>259697071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133</v>
      </c>
      <c r="DA473">
        <v>275</v>
      </c>
      <c r="DB473">
        <v>0</v>
      </c>
      <c r="DC473" t="s">
        <v>134</v>
      </c>
      <c r="DD473" t="s">
        <v>135</v>
      </c>
      <c r="DG473">
        <v>3318502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"05/01/2025 15:05:50.499"</f>
        <v>05/01/2025 15:05:50.499</v>
      </c>
      <c r="C474" t="str">
        <f t="shared" si="178"/>
        <v>FFDFD3C0</v>
      </c>
      <c r="D474" t="s">
        <v>143</v>
      </c>
      <c r="E474" t="str">
        <f>"05"</f>
        <v>05</v>
      </c>
      <c r="H474">
        <v>172</v>
      </c>
      <c r="I474" t="s">
        <v>141</v>
      </c>
      <c r="J474" t="s">
        <v>144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R474" t="s">
        <v>127</v>
      </c>
      <c r="S474" t="str">
        <f t="shared" si="188"/>
        <v>15:05:50.000</v>
      </c>
      <c r="T474" t="str">
        <f t="shared" si="188"/>
        <v>15:05:50.000</v>
      </c>
      <c r="U474" t="str">
        <f t="shared" si="179"/>
        <v>A68FCB</v>
      </c>
      <c r="V474">
        <v>0</v>
      </c>
      <c r="W474">
        <v>0</v>
      </c>
      <c r="X474">
        <v>2</v>
      </c>
      <c r="Y474">
        <v>0</v>
      </c>
      <c r="AA474">
        <v>1</v>
      </c>
      <c r="AB474">
        <v>8</v>
      </c>
      <c r="AC474">
        <v>3</v>
      </c>
      <c r="AD474">
        <v>0</v>
      </c>
      <c r="AE474">
        <v>9</v>
      </c>
      <c r="AF474" t="s">
        <v>138</v>
      </c>
      <c r="AG474">
        <v>0</v>
      </c>
      <c r="AH474">
        <v>3</v>
      </c>
      <c r="AI474">
        <v>1</v>
      </c>
      <c r="AJ474">
        <v>0</v>
      </c>
      <c r="AK474" t="s">
        <v>209</v>
      </c>
      <c r="AL474">
        <v>38.955717</v>
      </c>
      <c r="AM474" t="s">
        <v>266</v>
      </c>
      <c r="AN474">
        <v>-121.052728</v>
      </c>
      <c r="AO474">
        <v>25</v>
      </c>
      <c r="AP474">
        <v>2300</v>
      </c>
      <c r="AQ474" t="s">
        <v>131</v>
      </c>
      <c r="AR474">
        <v>64</v>
      </c>
      <c r="AS474">
        <v>19</v>
      </c>
      <c r="AT474">
        <v>704</v>
      </c>
      <c r="BB474" t="str">
        <f t="shared" si="180"/>
        <v>1200</v>
      </c>
      <c r="BC474">
        <v>1</v>
      </c>
      <c r="BD474" t="str">
        <f t="shared" si="181"/>
        <v xml:space="preserve">N52156  </v>
      </c>
      <c r="BE474">
        <v>1</v>
      </c>
      <c r="BG474">
        <v>0</v>
      </c>
      <c r="BH474">
        <v>0</v>
      </c>
      <c r="BI474">
        <v>0</v>
      </c>
      <c r="BJ474">
        <v>2200</v>
      </c>
      <c r="BK474">
        <v>-100</v>
      </c>
      <c r="BL474" t="s">
        <v>188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 t="shared" si="189"/>
        <v>15:05:50.260</v>
      </c>
      <c r="CF474">
        <v>259697071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133</v>
      </c>
      <c r="DA474">
        <v>275</v>
      </c>
      <c r="DB474">
        <v>0</v>
      </c>
      <c r="DC474" t="s">
        <v>134</v>
      </c>
      <c r="DD474" t="s">
        <v>135</v>
      </c>
      <c r="DG474">
        <v>3318502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"05/01/2025 15:05:50.511"</f>
        <v>05/01/2025 15:05:50.511</v>
      </c>
      <c r="C475" t="str">
        <f t="shared" si="178"/>
        <v>FFDFD3C0</v>
      </c>
      <c r="D475" t="s">
        <v>136</v>
      </c>
      <c r="E475" t="str">
        <f>"20"</f>
        <v>20</v>
      </c>
      <c r="H475">
        <v>400</v>
      </c>
      <c r="I475" t="s">
        <v>137</v>
      </c>
      <c r="J475" t="s">
        <v>138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R475" t="s">
        <v>127</v>
      </c>
      <c r="S475" t="str">
        <f t="shared" si="188"/>
        <v>15:05:50.000</v>
      </c>
      <c r="T475" t="str">
        <f t="shared" si="188"/>
        <v>15:05:50.000</v>
      </c>
      <c r="U475" t="str">
        <f t="shared" si="179"/>
        <v>A68FCB</v>
      </c>
      <c r="V475">
        <v>0</v>
      </c>
      <c r="W475">
        <v>0</v>
      </c>
      <c r="X475">
        <v>2</v>
      </c>
      <c r="Y475">
        <v>0</v>
      </c>
      <c r="AA475">
        <v>1</v>
      </c>
      <c r="AB475">
        <v>8</v>
      </c>
      <c r="AC475">
        <v>3</v>
      </c>
      <c r="AD475">
        <v>0</v>
      </c>
      <c r="AE475">
        <v>9</v>
      </c>
      <c r="AF475" t="s">
        <v>138</v>
      </c>
      <c r="AG475">
        <v>0</v>
      </c>
      <c r="AH475">
        <v>3</v>
      </c>
      <c r="AI475">
        <v>1</v>
      </c>
      <c r="AJ475">
        <v>0</v>
      </c>
      <c r="AK475" t="s">
        <v>209</v>
      </c>
      <c r="AL475">
        <v>38.955717</v>
      </c>
      <c r="AM475" t="s">
        <v>266</v>
      </c>
      <c r="AN475">
        <v>-121.052728</v>
      </c>
      <c r="AO475">
        <v>25</v>
      </c>
      <c r="AP475">
        <v>2300</v>
      </c>
      <c r="AQ475" t="s">
        <v>131</v>
      </c>
      <c r="AR475">
        <v>64</v>
      </c>
      <c r="AS475">
        <v>19</v>
      </c>
      <c r="AT475">
        <v>704</v>
      </c>
      <c r="BB475" t="str">
        <f t="shared" si="180"/>
        <v>1200</v>
      </c>
      <c r="BC475">
        <v>1</v>
      </c>
      <c r="BD475" t="str">
        <f t="shared" si="181"/>
        <v xml:space="preserve">N52156  </v>
      </c>
      <c r="BE475">
        <v>1</v>
      </c>
      <c r="BG475">
        <v>0</v>
      </c>
      <c r="BH475">
        <v>0</v>
      </c>
      <c r="BI475">
        <v>0</v>
      </c>
      <c r="BJ475">
        <v>2200</v>
      </c>
      <c r="BK475">
        <v>-100</v>
      </c>
      <c r="BL475" t="s">
        <v>188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 t="shared" si="189"/>
        <v>15:05:50.260</v>
      </c>
      <c r="CF475">
        <v>259697071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133</v>
      </c>
      <c r="DA475">
        <v>275</v>
      </c>
      <c r="DB475">
        <v>0</v>
      </c>
      <c r="DC475" t="s">
        <v>134</v>
      </c>
      <c r="DD475" t="s">
        <v>135</v>
      </c>
      <c r="DG475">
        <v>3318502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"05/01/2025 15:05:51.793"</f>
        <v>05/01/2025 15:05:51.793</v>
      </c>
      <c r="C476" t="str">
        <f t="shared" si="178"/>
        <v>FFDFD3C0</v>
      </c>
      <c r="D476" t="s">
        <v>140</v>
      </c>
      <c r="E476" t="str">
        <f>"13"</f>
        <v>13</v>
      </c>
      <c r="F476">
        <v>1019</v>
      </c>
      <c r="G476" t="s">
        <v>141</v>
      </c>
      <c r="J476" t="s">
        <v>142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R476" t="s">
        <v>127</v>
      </c>
      <c r="S476" t="str">
        <f t="shared" ref="S476:T481" si="190">"15:05:51.000"</f>
        <v>15:05:51.000</v>
      </c>
      <c r="T476" t="str">
        <f t="shared" si="190"/>
        <v>15:05:51.000</v>
      </c>
      <c r="U476" t="str">
        <f t="shared" si="179"/>
        <v>A68FCB</v>
      </c>
      <c r="V476">
        <v>0</v>
      </c>
      <c r="W476">
        <v>0</v>
      </c>
      <c r="X476">
        <v>2</v>
      </c>
      <c r="Y476">
        <v>0</v>
      </c>
      <c r="AA476">
        <v>1</v>
      </c>
      <c r="AB476">
        <v>8</v>
      </c>
      <c r="AC476">
        <v>3</v>
      </c>
      <c r="AD476">
        <v>0</v>
      </c>
      <c r="AE476">
        <v>9</v>
      </c>
      <c r="AF476" t="s">
        <v>138</v>
      </c>
      <c r="AG476">
        <v>0</v>
      </c>
      <c r="AH476">
        <v>3</v>
      </c>
      <c r="AI476">
        <v>1</v>
      </c>
      <c r="AJ476">
        <v>0</v>
      </c>
      <c r="AK476" t="s">
        <v>229</v>
      </c>
      <c r="AL476">
        <v>38.955824</v>
      </c>
      <c r="AM476" t="s">
        <v>267</v>
      </c>
      <c r="AN476">
        <v>-121.05231999999999</v>
      </c>
      <c r="AO476">
        <v>25</v>
      </c>
      <c r="AP476">
        <v>2300</v>
      </c>
      <c r="AQ476" t="s">
        <v>131</v>
      </c>
      <c r="AR476">
        <v>59</v>
      </c>
      <c r="AS476">
        <v>25</v>
      </c>
      <c r="AT476">
        <v>768</v>
      </c>
      <c r="BB476" t="str">
        <f t="shared" si="180"/>
        <v>1200</v>
      </c>
      <c r="BC476">
        <v>1</v>
      </c>
      <c r="BD476" t="str">
        <f t="shared" si="181"/>
        <v xml:space="preserve">N52156  </v>
      </c>
      <c r="BE476">
        <v>1</v>
      </c>
      <c r="BG476">
        <v>0</v>
      </c>
      <c r="BH476">
        <v>0</v>
      </c>
      <c r="BI476">
        <v>0</v>
      </c>
      <c r="BJ476">
        <v>2250</v>
      </c>
      <c r="BK476">
        <v>-50</v>
      </c>
      <c r="BL476" t="s">
        <v>188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 t="shared" ref="CE476:CE481" si="191">"15:05:51.570"</f>
        <v>15:05:51.570</v>
      </c>
      <c r="CF476">
        <v>569947951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133</v>
      </c>
      <c r="DA476">
        <v>275</v>
      </c>
      <c r="DB476">
        <v>0</v>
      </c>
      <c r="DC476" t="s">
        <v>134</v>
      </c>
      <c r="DD476" t="s">
        <v>135</v>
      </c>
      <c r="DG476">
        <v>3318522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"05/01/2025 15:05:51.802"</f>
        <v>05/01/2025 15:05:51.802</v>
      </c>
      <c r="C477" t="str">
        <f t="shared" si="178"/>
        <v>FFDFD3C0</v>
      </c>
      <c r="D477" t="s">
        <v>143</v>
      </c>
      <c r="E477" t="str">
        <f>"05"</f>
        <v>05</v>
      </c>
      <c r="H477">
        <v>172</v>
      </c>
      <c r="I477" t="s">
        <v>141</v>
      </c>
      <c r="J477" t="s">
        <v>144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R477" t="s">
        <v>127</v>
      </c>
      <c r="S477" t="str">
        <f t="shared" si="190"/>
        <v>15:05:51.000</v>
      </c>
      <c r="T477" t="str">
        <f t="shared" si="190"/>
        <v>15:05:51.000</v>
      </c>
      <c r="U477" t="str">
        <f t="shared" si="179"/>
        <v>A68FCB</v>
      </c>
      <c r="V477">
        <v>0</v>
      </c>
      <c r="W477">
        <v>0</v>
      </c>
      <c r="X477">
        <v>2</v>
      </c>
      <c r="Y477">
        <v>0</v>
      </c>
      <c r="AA477">
        <v>1</v>
      </c>
      <c r="AB477">
        <v>8</v>
      </c>
      <c r="AC477">
        <v>3</v>
      </c>
      <c r="AD477">
        <v>0</v>
      </c>
      <c r="AE477">
        <v>9</v>
      </c>
      <c r="AF477" t="s">
        <v>138</v>
      </c>
      <c r="AG477">
        <v>0</v>
      </c>
      <c r="AH477">
        <v>3</v>
      </c>
      <c r="AI477">
        <v>1</v>
      </c>
      <c r="AJ477">
        <v>0</v>
      </c>
      <c r="AK477" t="s">
        <v>229</v>
      </c>
      <c r="AL477">
        <v>38.955824</v>
      </c>
      <c r="AM477" t="s">
        <v>267</v>
      </c>
      <c r="AN477">
        <v>-121.05231999999999</v>
      </c>
      <c r="AO477">
        <v>25</v>
      </c>
      <c r="AP477">
        <v>2300</v>
      </c>
      <c r="AQ477" t="s">
        <v>131</v>
      </c>
      <c r="AR477">
        <v>59</v>
      </c>
      <c r="AS477">
        <v>25</v>
      </c>
      <c r="AT477">
        <v>768</v>
      </c>
      <c r="BB477" t="str">
        <f t="shared" si="180"/>
        <v>1200</v>
      </c>
      <c r="BC477">
        <v>1</v>
      </c>
      <c r="BD477" t="str">
        <f t="shared" si="181"/>
        <v xml:space="preserve">N52156  </v>
      </c>
      <c r="BE477">
        <v>1</v>
      </c>
      <c r="BG477">
        <v>0</v>
      </c>
      <c r="BH477">
        <v>0</v>
      </c>
      <c r="BI477">
        <v>0</v>
      </c>
      <c r="BJ477">
        <v>2250</v>
      </c>
      <c r="BK477">
        <v>-50</v>
      </c>
      <c r="BL477" t="s">
        <v>188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 t="shared" si="191"/>
        <v>15:05:51.570</v>
      </c>
      <c r="CF477">
        <v>569947951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133</v>
      </c>
      <c r="DA477">
        <v>275</v>
      </c>
      <c r="DB477">
        <v>0</v>
      </c>
      <c r="DC477" t="s">
        <v>134</v>
      </c>
      <c r="DD477" t="s">
        <v>135</v>
      </c>
      <c r="DG477">
        <v>3318522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"05/01/2025 15:05:51.803"</f>
        <v>05/01/2025 15:05:51.803</v>
      </c>
      <c r="C478" t="str">
        <f t="shared" si="178"/>
        <v>FFDFD3C0</v>
      </c>
      <c r="D478" t="s">
        <v>145</v>
      </c>
      <c r="E478" t="str">
        <f>"05"</f>
        <v>05</v>
      </c>
      <c r="H478">
        <v>47</v>
      </c>
      <c r="I478" t="s">
        <v>146</v>
      </c>
      <c r="J478" t="s">
        <v>138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R478" t="s">
        <v>127</v>
      </c>
      <c r="S478" t="str">
        <f t="shared" si="190"/>
        <v>15:05:51.000</v>
      </c>
      <c r="T478" t="str">
        <f t="shared" si="190"/>
        <v>15:05:51.000</v>
      </c>
      <c r="U478" t="str">
        <f t="shared" si="179"/>
        <v>A68FCB</v>
      </c>
      <c r="V478">
        <v>0</v>
      </c>
      <c r="W478">
        <v>0</v>
      </c>
      <c r="X478">
        <v>2</v>
      </c>
      <c r="Y478">
        <v>0</v>
      </c>
      <c r="AA478">
        <v>1</v>
      </c>
      <c r="AB478">
        <v>8</v>
      </c>
      <c r="AC478">
        <v>3</v>
      </c>
      <c r="AD478">
        <v>0</v>
      </c>
      <c r="AE478">
        <v>9</v>
      </c>
      <c r="AF478" t="s">
        <v>138</v>
      </c>
      <c r="AG478">
        <v>0</v>
      </c>
      <c r="AH478">
        <v>3</v>
      </c>
      <c r="AI478">
        <v>1</v>
      </c>
      <c r="AJ478">
        <v>0</v>
      </c>
      <c r="AK478" t="s">
        <v>229</v>
      </c>
      <c r="AL478">
        <v>38.955824</v>
      </c>
      <c r="AM478" t="s">
        <v>267</v>
      </c>
      <c r="AN478">
        <v>-121.05231999999999</v>
      </c>
      <c r="AO478">
        <v>25</v>
      </c>
      <c r="AP478">
        <v>2300</v>
      </c>
      <c r="AQ478" t="s">
        <v>131</v>
      </c>
      <c r="AR478">
        <v>59</v>
      </c>
      <c r="AS478">
        <v>25</v>
      </c>
      <c r="AT478">
        <v>768</v>
      </c>
      <c r="BB478" t="str">
        <f t="shared" si="180"/>
        <v>1200</v>
      </c>
      <c r="BC478">
        <v>1</v>
      </c>
      <c r="BD478" t="str">
        <f t="shared" si="181"/>
        <v xml:space="preserve">N52156  </v>
      </c>
      <c r="BE478">
        <v>1</v>
      </c>
      <c r="BG478">
        <v>0</v>
      </c>
      <c r="BH478">
        <v>0</v>
      </c>
      <c r="BI478">
        <v>0</v>
      </c>
      <c r="BJ478">
        <v>2250</v>
      </c>
      <c r="BK478">
        <v>-50</v>
      </c>
      <c r="BL478" t="s">
        <v>188</v>
      </c>
      <c r="BM478">
        <v>1</v>
      </c>
      <c r="BN478">
        <v>1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 t="shared" si="191"/>
        <v>15:05:51.570</v>
      </c>
      <c r="CF478">
        <v>569947951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133</v>
      </c>
      <c r="DA478">
        <v>275</v>
      </c>
      <c r="DB478">
        <v>0</v>
      </c>
      <c r="DC478" t="s">
        <v>134</v>
      </c>
      <c r="DD478" t="s">
        <v>135</v>
      </c>
      <c r="DG478">
        <v>3318522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"05/01/2025 15:05:51.804"</f>
        <v>05/01/2025 15:05:51.804</v>
      </c>
      <c r="C479" t="str">
        <f t="shared" si="178"/>
        <v>FFDFD3C0</v>
      </c>
      <c r="D479" t="s">
        <v>145</v>
      </c>
      <c r="E479" t="str">
        <f>"09"</f>
        <v>09</v>
      </c>
      <c r="H479">
        <v>51</v>
      </c>
      <c r="I479" t="s">
        <v>147</v>
      </c>
      <c r="J479" t="s">
        <v>138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R479" t="s">
        <v>127</v>
      </c>
      <c r="S479" t="str">
        <f t="shared" si="190"/>
        <v>15:05:51.000</v>
      </c>
      <c r="T479" t="str">
        <f t="shared" si="190"/>
        <v>15:05:51.000</v>
      </c>
      <c r="U479" t="str">
        <f t="shared" si="179"/>
        <v>A68FCB</v>
      </c>
      <c r="V479">
        <v>0</v>
      </c>
      <c r="W479">
        <v>0</v>
      </c>
      <c r="X479">
        <v>2</v>
      </c>
      <c r="Y479">
        <v>0</v>
      </c>
      <c r="AA479">
        <v>1</v>
      </c>
      <c r="AB479">
        <v>8</v>
      </c>
      <c r="AC479">
        <v>3</v>
      </c>
      <c r="AD479">
        <v>0</v>
      </c>
      <c r="AE479">
        <v>9</v>
      </c>
      <c r="AF479" t="s">
        <v>138</v>
      </c>
      <c r="AG479">
        <v>0</v>
      </c>
      <c r="AH479">
        <v>3</v>
      </c>
      <c r="AI479">
        <v>1</v>
      </c>
      <c r="AJ479">
        <v>0</v>
      </c>
      <c r="AK479" t="s">
        <v>229</v>
      </c>
      <c r="AL479">
        <v>38.955824</v>
      </c>
      <c r="AM479" t="s">
        <v>267</v>
      </c>
      <c r="AN479">
        <v>-121.05231999999999</v>
      </c>
      <c r="AO479">
        <v>25</v>
      </c>
      <c r="AP479">
        <v>2300</v>
      </c>
      <c r="AQ479" t="s">
        <v>131</v>
      </c>
      <c r="AR479">
        <v>59</v>
      </c>
      <c r="AS479">
        <v>25</v>
      </c>
      <c r="AT479">
        <v>768</v>
      </c>
      <c r="BB479" t="str">
        <f t="shared" si="180"/>
        <v>1200</v>
      </c>
      <c r="BC479">
        <v>1</v>
      </c>
      <c r="BD479" t="str">
        <f t="shared" si="181"/>
        <v xml:space="preserve">N52156  </v>
      </c>
      <c r="BE479">
        <v>1</v>
      </c>
      <c r="BG479">
        <v>0</v>
      </c>
      <c r="BH479">
        <v>0</v>
      </c>
      <c r="BI479">
        <v>0</v>
      </c>
      <c r="BJ479">
        <v>2250</v>
      </c>
      <c r="BK479">
        <v>-50</v>
      </c>
      <c r="BL479" t="s">
        <v>188</v>
      </c>
      <c r="BM479">
        <v>1</v>
      </c>
      <c r="BN479">
        <v>1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 t="shared" si="191"/>
        <v>15:05:51.570</v>
      </c>
      <c r="CF479">
        <v>569947951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133</v>
      </c>
      <c r="DA479">
        <v>275</v>
      </c>
      <c r="DB479">
        <v>0</v>
      </c>
      <c r="DC479" t="s">
        <v>134</v>
      </c>
      <c r="DD479" t="s">
        <v>135</v>
      </c>
      <c r="DG479">
        <v>3318522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"05/01/2025 15:05:51.805"</f>
        <v>05/01/2025 15:05:51.805</v>
      </c>
      <c r="C480" t="str">
        <f t="shared" si="178"/>
        <v>FFDFD3C0</v>
      </c>
      <c r="D480" t="s">
        <v>124</v>
      </c>
      <c r="E480" t="str">
        <f>"06"</f>
        <v>06</v>
      </c>
      <c r="F480">
        <v>2006</v>
      </c>
      <c r="G480" t="s">
        <v>125</v>
      </c>
      <c r="J480" t="s">
        <v>126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R480" t="s">
        <v>127</v>
      </c>
      <c r="S480" t="str">
        <f t="shared" si="190"/>
        <v>15:05:51.000</v>
      </c>
      <c r="T480" t="str">
        <f t="shared" si="190"/>
        <v>15:05:51.000</v>
      </c>
      <c r="U480" t="str">
        <f t="shared" si="179"/>
        <v>A68FCB</v>
      </c>
      <c r="V480">
        <v>0</v>
      </c>
      <c r="W480">
        <v>0</v>
      </c>
      <c r="X480">
        <v>2</v>
      </c>
      <c r="Y480">
        <v>0</v>
      </c>
      <c r="AA480">
        <v>1</v>
      </c>
      <c r="AB480">
        <v>8</v>
      </c>
      <c r="AC480">
        <v>3</v>
      </c>
      <c r="AD480">
        <v>0</v>
      </c>
      <c r="AE480">
        <v>9</v>
      </c>
      <c r="AF480" t="s">
        <v>138</v>
      </c>
      <c r="AG480">
        <v>0</v>
      </c>
      <c r="AH480">
        <v>3</v>
      </c>
      <c r="AI480">
        <v>1</v>
      </c>
      <c r="AJ480">
        <v>0</v>
      </c>
      <c r="AK480" t="s">
        <v>229</v>
      </c>
      <c r="AL480">
        <v>38.955824</v>
      </c>
      <c r="AM480" t="s">
        <v>267</v>
      </c>
      <c r="AN480">
        <v>-121.05231999999999</v>
      </c>
      <c r="AO480">
        <v>25</v>
      </c>
      <c r="AP480">
        <v>2300</v>
      </c>
      <c r="AQ480" t="s">
        <v>131</v>
      </c>
      <c r="AR480">
        <v>59</v>
      </c>
      <c r="AS480">
        <v>25</v>
      </c>
      <c r="AT480">
        <v>768</v>
      </c>
      <c r="BB480" t="str">
        <f t="shared" si="180"/>
        <v>1200</v>
      </c>
      <c r="BC480">
        <v>1</v>
      </c>
      <c r="BD480" t="str">
        <f t="shared" si="181"/>
        <v xml:space="preserve">N52156  </v>
      </c>
      <c r="BE480">
        <v>1</v>
      </c>
      <c r="BG480">
        <v>0</v>
      </c>
      <c r="BH480">
        <v>0</v>
      </c>
      <c r="BI480">
        <v>0</v>
      </c>
      <c r="BJ480">
        <v>2250</v>
      </c>
      <c r="BK480">
        <v>-50</v>
      </c>
      <c r="BL480" t="s">
        <v>188</v>
      </c>
      <c r="BM480">
        <v>1</v>
      </c>
      <c r="BN480">
        <v>1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 t="shared" si="191"/>
        <v>15:05:51.570</v>
      </c>
      <c r="CF480">
        <v>569947951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5</v>
      </c>
      <c r="CY480">
        <v>7</v>
      </c>
      <c r="CZ480" t="s">
        <v>133</v>
      </c>
      <c r="DA480">
        <v>275</v>
      </c>
      <c r="DB480">
        <v>0</v>
      </c>
      <c r="DC480" t="s">
        <v>134</v>
      </c>
      <c r="DD480" t="s">
        <v>135</v>
      </c>
      <c r="DG480">
        <v>3318522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"05/01/2025 15:05:51.814"</f>
        <v>05/01/2025 15:05:51.814</v>
      </c>
      <c r="C481" t="str">
        <f t="shared" si="178"/>
        <v>FFDFD3C0</v>
      </c>
      <c r="D481" t="s">
        <v>136</v>
      </c>
      <c r="E481" t="str">
        <f>"20"</f>
        <v>20</v>
      </c>
      <c r="H481">
        <v>400</v>
      </c>
      <c r="I481" t="s">
        <v>137</v>
      </c>
      <c r="J481" t="s">
        <v>138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R481" t="s">
        <v>127</v>
      </c>
      <c r="S481" t="str">
        <f t="shared" si="190"/>
        <v>15:05:51.000</v>
      </c>
      <c r="T481" t="str">
        <f t="shared" si="190"/>
        <v>15:05:51.000</v>
      </c>
      <c r="U481" t="str">
        <f t="shared" si="179"/>
        <v>A68FCB</v>
      </c>
      <c r="V481">
        <v>0</v>
      </c>
      <c r="W481">
        <v>0</v>
      </c>
      <c r="X481">
        <v>2</v>
      </c>
      <c r="Y481">
        <v>0</v>
      </c>
      <c r="AA481">
        <v>1</v>
      </c>
      <c r="AB481">
        <v>8</v>
      </c>
      <c r="AC481">
        <v>3</v>
      </c>
      <c r="AD481">
        <v>0</v>
      </c>
      <c r="AE481">
        <v>9</v>
      </c>
      <c r="AF481" t="s">
        <v>138</v>
      </c>
      <c r="AG481">
        <v>0</v>
      </c>
      <c r="AH481">
        <v>3</v>
      </c>
      <c r="AI481">
        <v>1</v>
      </c>
      <c r="AJ481">
        <v>0</v>
      </c>
      <c r="AK481" t="s">
        <v>229</v>
      </c>
      <c r="AL481">
        <v>38.955824</v>
      </c>
      <c r="AM481" t="s">
        <v>267</v>
      </c>
      <c r="AN481">
        <v>-121.05231999999999</v>
      </c>
      <c r="AO481">
        <v>25</v>
      </c>
      <c r="AP481">
        <v>2300</v>
      </c>
      <c r="AQ481" t="s">
        <v>131</v>
      </c>
      <c r="AR481">
        <v>59</v>
      </c>
      <c r="AS481">
        <v>25</v>
      </c>
      <c r="AT481">
        <v>768</v>
      </c>
      <c r="BB481" t="str">
        <f t="shared" si="180"/>
        <v>1200</v>
      </c>
      <c r="BC481">
        <v>1</v>
      </c>
      <c r="BD481" t="str">
        <f t="shared" si="181"/>
        <v xml:space="preserve">N52156  </v>
      </c>
      <c r="BE481">
        <v>1</v>
      </c>
      <c r="BG481">
        <v>0</v>
      </c>
      <c r="BH481">
        <v>0</v>
      </c>
      <c r="BI481">
        <v>0</v>
      </c>
      <c r="BJ481">
        <v>2250</v>
      </c>
      <c r="BK481">
        <v>-50</v>
      </c>
      <c r="BL481" t="s">
        <v>188</v>
      </c>
      <c r="BM481">
        <v>1</v>
      </c>
      <c r="BN481">
        <v>1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 t="shared" si="191"/>
        <v>15:05:51.570</v>
      </c>
      <c r="CF481">
        <v>569947951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5</v>
      </c>
      <c r="CY481">
        <v>7</v>
      </c>
      <c r="CZ481" t="s">
        <v>133</v>
      </c>
      <c r="DA481">
        <v>275</v>
      </c>
      <c r="DB481">
        <v>0</v>
      </c>
      <c r="DC481" t="s">
        <v>134</v>
      </c>
      <c r="DD481" t="s">
        <v>135</v>
      </c>
      <c r="DG481">
        <v>3318522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"05/01/2025 15:05:52.804"</f>
        <v>05/01/2025 15:05:52.804</v>
      </c>
      <c r="C482" t="str">
        <f t="shared" si="178"/>
        <v>FFDFD3C0</v>
      </c>
      <c r="D482" t="s">
        <v>143</v>
      </c>
      <c r="E482" t="str">
        <f>"05"</f>
        <v>05</v>
      </c>
      <c r="H482">
        <v>172</v>
      </c>
      <c r="I482" t="s">
        <v>141</v>
      </c>
      <c r="J482" t="s">
        <v>144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R482" t="s">
        <v>127</v>
      </c>
      <c r="S482" t="str">
        <f t="shared" ref="S482:T487" si="192">"15:05:52.000"</f>
        <v>15:05:52.000</v>
      </c>
      <c r="T482" t="str">
        <f t="shared" si="192"/>
        <v>15:05:52.000</v>
      </c>
      <c r="U482" t="str">
        <f t="shared" si="179"/>
        <v>A68FCB</v>
      </c>
      <c r="V482">
        <v>0</v>
      </c>
      <c r="W482">
        <v>0</v>
      </c>
      <c r="X482">
        <v>2</v>
      </c>
      <c r="Y482">
        <v>0</v>
      </c>
      <c r="AA482">
        <v>1</v>
      </c>
      <c r="AB482">
        <v>8</v>
      </c>
      <c r="AC482">
        <v>3</v>
      </c>
      <c r="AD482">
        <v>0</v>
      </c>
      <c r="AE482">
        <v>9</v>
      </c>
      <c r="AF482" t="s">
        <v>138</v>
      </c>
      <c r="AG482">
        <v>0</v>
      </c>
      <c r="AH482">
        <v>3</v>
      </c>
      <c r="AI482">
        <v>1</v>
      </c>
      <c r="AJ482">
        <v>0</v>
      </c>
      <c r="AK482" t="s">
        <v>268</v>
      </c>
      <c r="AL482">
        <v>38.955931999999997</v>
      </c>
      <c r="AM482" t="s">
        <v>269</v>
      </c>
      <c r="AN482">
        <v>-121.051998</v>
      </c>
      <c r="AO482">
        <v>25</v>
      </c>
      <c r="AP482">
        <v>2300</v>
      </c>
      <c r="AQ482" t="s">
        <v>131</v>
      </c>
      <c r="AR482">
        <v>56</v>
      </c>
      <c r="AS482">
        <v>31</v>
      </c>
      <c r="AT482">
        <v>832</v>
      </c>
      <c r="BB482" t="str">
        <f t="shared" si="180"/>
        <v>1200</v>
      </c>
      <c r="BC482">
        <v>1</v>
      </c>
      <c r="BD482" t="str">
        <f t="shared" si="181"/>
        <v xml:space="preserve">N52156  </v>
      </c>
      <c r="BE482">
        <v>1</v>
      </c>
      <c r="BG482">
        <v>0</v>
      </c>
      <c r="BH482">
        <v>0</v>
      </c>
      <c r="BI482">
        <v>0</v>
      </c>
      <c r="BJ482">
        <v>2250</v>
      </c>
      <c r="BK482">
        <v>-50</v>
      </c>
      <c r="BL482" t="s">
        <v>188</v>
      </c>
      <c r="BM482">
        <v>1</v>
      </c>
      <c r="BN482">
        <v>1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 t="shared" ref="CE482:CE487" si="193">"15:05:52.607"</f>
        <v>15:05:52.607</v>
      </c>
      <c r="CF482">
        <v>607448145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5</v>
      </c>
      <c r="CY482">
        <v>7</v>
      </c>
      <c r="CZ482" t="s">
        <v>133</v>
      </c>
      <c r="DA482">
        <v>275</v>
      </c>
      <c r="DB482">
        <v>0</v>
      </c>
      <c r="DC482" t="s">
        <v>134</v>
      </c>
      <c r="DD482" t="s">
        <v>135</v>
      </c>
      <c r="DG482">
        <v>3318536</v>
      </c>
      <c r="DI482">
        <v>1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"05/01/2025 15:05:52.806"</f>
        <v>05/01/2025 15:05:52.806</v>
      </c>
      <c r="C483" t="str">
        <f t="shared" si="178"/>
        <v>FFDFD3C0</v>
      </c>
      <c r="D483" t="s">
        <v>145</v>
      </c>
      <c r="E483" t="str">
        <f>"09"</f>
        <v>09</v>
      </c>
      <c r="H483">
        <v>51</v>
      </c>
      <c r="I483" t="s">
        <v>147</v>
      </c>
      <c r="J483" t="s">
        <v>138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R483" t="s">
        <v>127</v>
      </c>
      <c r="S483" t="str">
        <f t="shared" si="192"/>
        <v>15:05:52.000</v>
      </c>
      <c r="T483" t="str">
        <f t="shared" si="192"/>
        <v>15:05:52.000</v>
      </c>
      <c r="U483" t="str">
        <f t="shared" si="179"/>
        <v>A68FCB</v>
      </c>
      <c r="V483">
        <v>0</v>
      </c>
      <c r="W483">
        <v>0</v>
      </c>
      <c r="X483">
        <v>2</v>
      </c>
      <c r="Y483">
        <v>0</v>
      </c>
      <c r="AA483">
        <v>1</v>
      </c>
      <c r="AB483">
        <v>8</v>
      </c>
      <c r="AC483">
        <v>3</v>
      </c>
      <c r="AD483">
        <v>0</v>
      </c>
      <c r="AE483">
        <v>9</v>
      </c>
      <c r="AF483" t="s">
        <v>138</v>
      </c>
      <c r="AG483">
        <v>0</v>
      </c>
      <c r="AH483">
        <v>3</v>
      </c>
      <c r="AI483">
        <v>1</v>
      </c>
      <c r="AJ483">
        <v>0</v>
      </c>
      <c r="AK483" t="s">
        <v>268</v>
      </c>
      <c r="AL483">
        <v>38.955931999999997</v>
      </c>
      <c r="AM483" t="s">
        <v>269</v>
      </c>
      <c r="AN483">
        <v>-121.051998</v>
      </c>
      <c r="AO483">
        <v>25</v>
      </c>
      <c r="AP483">
        <v>2300</v>
      </c>
      <c r="AQ483" t="s">
        <v>131</v>
      </c>
      <c r="AR483">
        <v>56</v>
      </c>
      <c r="AS483">
        <v>31</v>
      </c>
      <c r="AT483">
        <v>832</v>
      </c>
      <c r="BB483" t="str">
        <f t="shared" si="180"/>
        <v>1200</v>
      </c>
      <c r="BC483">
        <v>1</v>
      </c>
      <c r="BD483" t="str">
        <f t="shared" si="181"/>
        <v xml:space="preserve">N52156  </v>
      </c>
      <c r="BE483">
        <v>1</v>
      </c>
      <c r="BG483">
        <v>0</v>
      </c>
      <c r="BH483">
        <v>0</v>
      </c>
      <c r="BI483">
        <v>0</v>
      </c>
      <c r="BJ483">
        <v>2250</v>
      </c>
      <c r="BK483">
        <v>-50</v>
      </c>
      <c r="BL483" t="s">
        <v>188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 t="shared" si="193"/>
        <v>15:05:52.607</v>
      </c>
      <c r="CF483">
        <v>607448145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5</v>
      </c>
      <c r="CY483">
        <v>7</v>
      </c>
      <c r="CZ483" t="s">
        <v>133</v>
      </c>
      <c r="DA483">
        <v>275</v>
      </c>
      <c r="DB483">
        <v>0</v>
      </c>
      <c r="DC483" t="s">
        <v>134</v>
      </c>
      <c r="DD483" t="s">
        <v>135</v>
      </c>
      <c r="DG483">
        <v>3318536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"05/01/2025 15:05:52.807"</f>
        <v>05/01/2025 15:05:52.807</v>
      </c>
      <c r="C484" t="str">
        <f t="shared" si="178"/>
        <v>FFDFD3C0</v>
      </c>
      <c r="D484" t="s">
        <v>124</v>
      </c>
      <c r="E484" t="str">
        <f>"06"</f>
        <v>06</v>
      </c>
      <c r="F484">
        <v>2006</v>
      </c>
      <c r="G484" t="s">
        <v>125</v>
      </c>
      <c r="J484" t="s">
        <v>126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R484" t="s">
        <v>127</v>
      </c>
      <c r="S484" t="str">
        <f t="shared" si="192"/>
        <v>15:05:52.000</v>
      </c>
      <c r="T484" t="str">
        <f t="shared" si="192"/>
        <v>15:05:52.000</v>
      </c>
      <c r="U484" t="str">
        <f t="shared" si="179"/>
        <v>A68FCB</v>
      </c>
      <c r="V484">
        <v>0</v>
      </c>
      <c r="W484">
        <v>0</v>
      </c>
      <c r="X484">
        <v>2</v>
      </c>
      <c r="Y484">
        <v>0</v>
      </c>
      <c r="AA484">
        <v>1</v>
      </c>
      <c r="AB484">
        <v>8</v>
      </c>
      <c r="AC484">
        <v>3</v>
      </c>
      <c r="AD484">
        <v>0</v>
      </c>
      <c r="AE484">
        <v>9</v>
      </c>
      <c r="AF484" t="s">
        <v>138</v>
      </c>
      <c r="AG484">
        <v>0</v>
      </c>
      <c r="AH484">
        <v>3</v>
      </c>
      <c r="AI484">
        <v>1</v>
      </c>
      <c r="AJ484">
        <v>0</v>
      </c>
      <c r="AK484" t="s">
        <v>268</v>
      </c>
      <c r="AL484">
        <v>38.955931999999997</v>
      </c>
      <c r="AM484" t="s">
        <v>269</v>
      </c>
      <c r="AN484">
        <v>-121.051998</v>
      </c>
      <c r="AO484">
        <v>25</v>
      </c>
      <c r="AP484">
        <v>2300</v>
      </c>
      <c r="AQ484" t="s">
        <v>131</v>
      </c>
      <c r="AR484">
        <v>56</v>
      </c>
      <c r="AS484">
        <v>31</v>
      </c>
      <c r="AT484">
        <v>832</v>
      </c>
      <c r="BB484" t="str">
        <f t="shared" si="180"/>
        <v>1200</v>
      </c>
      <c r="BC484">
        <v>1</v>
      </c>
      <c r="BD484" t="str">
        <f t="shared" si="181"/>
        <v xml:space="preserve">N52156  </v>
      </c>
      <c r="BE484">
        <v>1</v>
      </c>
      <c r="BG484">
        <v>0</v>
      </c>
      <c r="BH484">
        <v>0</v>
      </c>
      <c r="BI484">
        <v>0</v>
      </c>
      <c r="BJ484">
        <v>2250</v>
      </c>
      <c r="BK484">
        <v>-50</v>
      </c>
      <c r="BL484" t="s">
        <v>188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 t="shared" si="193"/>
        <v>15:05:52.607</v>
      </c>
      <c r="CF484">
        <v>607448145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5</v>
      </c>
      <c r="CY484">
        <v>7</v>
      </c>
      <c r="CZ484" t="s">
        <v>133</v>
      </c>
      <c r="DA484">
        <v>275</v>
      </c>
      <c r="DB484">
        <v>0</v>
      </c>
      <c r="DC484" t="s">
        <v>134</v>
      </c>
      <c r="DD484" t="s">
        <v>135</v>
      </c>
      <c r="DG484">
        <v>3318536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"05/01/2025 15:05:52.805"</f>
        <v>05/01/2025 15:05:52.805</v>
      </c>
      <c r="C485" t="str">
        <f t="shared" si="178"/>
        <v>FFDFD3C0</v>
      </c>
      <c r="D485" t="s">
        <v>145</v>
      </c>
      <c r="E485" t="str">
        <f>"05"</f>
        <v>05</v>
      </c>
      <c r="H485">
        <v>47</v>
      </c>
      <c r="I485" t="s">
        <v>146</v>
      </c>
      <c r="J485" t="s">
        <v>138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R485" t="s">
        <v>127</v>
      </c>
      <c r="S485" t="str">
        <f t="shared" si="192"/>
        <v>15:05:52.000</v>
      </c>
      <c r="T485" t="str">
        <f t="shared" si="192"/>
        <v>15:05:52.000</v>
      </c>
      <c r="U485" t="str">
        <f t="shared" si="179"/>
        <v>A68FCB</v>
      </c>
      <c r="V485">
        <v>0</v>
      </c>
      <c r="W485">
        <v>0</v>
      </c>
      <c r="X485">
        <v>2</v>
      </c>
      <c r="Y485">
        <v>0</v>
      </c>
      <c r="AA485">
        <v>1</v>
      </c>
      <c r="AB485">
        <v>8</v>
      </c>
      <c r="AC485">
        <v>3</v>
      </c>
      <c r="AD485">
        <v>0</v>
      </c>
      <c r="AE485">
        <v>9</v>
      </c>
      <c r="AF485" t="s">
        <v>138</v>
      </c>
      <c r="AG485">
        <v>0</v>
      </c>
      <c r="AH485">
        <v>3</v>
      </c>
      <c r="AI485">
        <v>1</v>
      </c>
      <c r="AJ485">
        <v>0</v>
      </c>
      <c r="AK485" t="s">
        <v>268</v>
      </c>
      <c r="AL485">
        <v>38.955931999999997</v>
      </c>
      <c r="AM485" t="s">
        <v>269</v>
      </c>
      <c r="AN485">
        <v>-121.051998</v>
      </c>
      <c r="AO485">
        <v>25</v>
      </c>
      <c r="AP485">
        <v>2300</v>
      </c>
      <c r="AQ485" t="s">
        <v>131</v>
      </c>
      <c r="AR485">
        <v>56</v>
      </c>
      <c r="AS485">
        <v>31</v>
      </c>
      <c r="AT485">
        <v>832</v>
      </c>
      <c r="BB485" t="str">
        <f t="shared" si="180"/>
        <v>1200</v>
      </c>
      <c r="BC485">
        <v>1</v>
      </c>
      <c r="BD485" t="str">
        <f t="shared" si="181"/>
        <v xml:space="preserve">N52156  </v>
      </c>
      <c r="BE485">
        <v>1</v>
      </c>
      <c r="BG485">
        <v>0</v>
      </c>
      <c r="BH485">
        <v>0</v>
      </c>
      <c r="BI485">
        <v>0</v>
      </c>
      <c r="BJ485">
        <v>2250</v>
      </c>
      <c r="BK485">
        <v>-50</v>
      </c>
      <c r="BL485" t="s">
        <v>188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 t="shared" si="193"/>
        <v>15:05:52.607</v>
      </c>
      <c r="CF485">
        <v>607448145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5</v>
      </c>
      <c r="CY485">
        <v>7</v>
      </c>
      <c r="CZ485" t="s">
        <v>133</v>
      </c>
      <c r="DA485">
        <v>275</v>
      </c>
      <c r="DB485">
        <v>0</v>
      </c>
      <c r="DC485" t="s">
        <v>134</v>
      </c>
      <c r="DD485" t="s">
        <v>135</v>
      </c>
      <c r="DG485">
        <v>3318536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"05/01/2025 15:05:52.815"</f>
        <v>05/01/2025 15:05:52.815</v>
      </c>
      <c r="C486" t="str">
        <f t="shared" si="178"/>
        <v>FFDFD3C0</v>
      </c>
      <c r="D486" t="s">
        <v>136</v>
      </c>
      <c r="E486" t="str">
        <f>"20"</f>
        <v>20</v>
      </c>
      <c r="H486">
        <v>400</v>
      </c>
      <c r="I486" t="s">
        <v>137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R486" t="s">
        <v>127</v>
      </c>
      <c r="S486" t="str">
        <f t="shared" si="192"/>
        <v>15:05:52.000</v>
      </c>
      <c r="T486" t="str">
        <f t="shared" si="192"/>
        <v>15:05:52.000</v>
      </c>
      <c r="U486" t="str">
        <f t="shared" si="179"/>
        <v>A68FCB</v>
      </c>
      <c r="V486">
        <v>0</v>
      </c>
      <c r="W486">
        <v>0</v>
      </c>
      <c r="X486">
        <v>2</v>
      </c>
      <c r="Y486">
        <v>0</v>
      </c>
      <c r="AA486">
        <v>1</v>
      </c>
      <c r="AB486">
        <v>8</v>
      </c>
      <c r="AC486">
        <v>3</v>
      </c>
      <c r="AD486">
        <v>0</v>
      </c>
      <c r="AE486">
        <v>9</v>
      </c>
      <c r="AF486" t="s">
        <v>138</v>
      </c>
      <c r="AG486">
        <v>0</v>
      </c>
      <c r="AH486">
        <v>3</v>
      </c>
      <c r="AI486">
        <v>1</v>
      </c>
      <c r="AJ486">
        <v>0</v>
      </c>
      <c r="AK486" t="s">
        <v>268</v>
      </c>
      <c r="AL486">
        <v>38.955931999999997</v>
      </c>
      <c r="AM486" t="s">
        <v>269</v>
      </c>
      <c r="AN486">
        <v>-121.051998</v>
      </c>
      <c r="AO486">
        <v>25</v>
      </c>
      <c r="AP486">
        <v>2300</v>
      </c>
      <c r="AQ486" t="s">
        <v>131</v>
      </c>
      <c r="AR486">
        <v>56</v>
      </c>
      <c r="AS486">
        <v>31</v>
      </c>
      <c r="AT486">
        <v>832</v>
      </c>
      <c r="BB486" t="str">
        <f t="shared" si="180"/>
        <v>1200</v>
      </c>
      <c r="BC486">
        <v>1</v>
      </c>
      <c r="BD486" t="str">
        <f t="shared" si="181"/>
        <v xml:space="preserve">N52156  </v>
      </c>
      <c r="BE486">
        <v>1</v>
      </c>
      <c r="BG486">
        <v>0</v>
      </c>
      <c r="BH486">
        <v>0</v>
      </c>
      <c r="BI486">
        <v>0</v>
      </c>
      <c r="BJ486">
        <v>2250</v>
      </c>
      <c r="BK486">
        <v>-50</v>
      </c>
      <c r="BL486" t="s">
        <v>188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 t="shared" si="193"/>
        <v>15:05:52.607</v>
      </c>
      <c r="CF486">
        <v>607448145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133</v>
      </c>
      <c r="DA486">
        <v>275</v>
      </c>
      <c r="DB486">
        <v>0</v>
      </c>
      <c r="DC486" t="s">
        <v>134</v>
      </c>
      <c r="DD486" t="s">
        <v>135</v>
      </c>
      <c r="DG486">
        <v>3318536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"05/01/2025 15:05:52.845"</f>
        <v>05/01/2025 15:05:52.845</v>
      </c>
      <c r="C487" t="str">
        <f t="shared" si="178"/>
        <v>FFDFD3C0</v>
      </c>
      <c r="D487" t="s">
        <v>140</v>
      </c>
      <c r="E487" t="str">
        <f>"13"</f>
        <v>13</v>
      </c>
      <c r="F487">
        <v>1019</v>
      </c>
      <c r="G487" t="s">
        <v>141</v>
      </c>
      <c r="J487" t="s">
        <v>142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R487" t="s">
        <v>127</v>
      </c>
      <c r="S487" t="str">
        <f t="shared" si="192"/>
        <v>15:05:52.000</v>
      </c>
      <c r="T487" t="str">
        <f t="shared" si="192"/>
        <v>15:05:52.000</v>
      </c>
      <c r="U487" t="str">
        <f t="shared" si="179"/>
        <v>A68FCB</v>
      </c>
      <c r="V487">
        <v>0</v>
      </c>
      <c r="W487">
        <v>0</v>
      </c>
      <c r="X487">
        <v>2</v>
      </c>
      <c r="Y487">
        <v>0</v>
      </c>
      <c r="AA487">
        <v>1</v>
      </c>
      <c r="AB487">
        <v>8</v>
      </c>
      <c r="AC487">
        <v>3</v>
      </c>
      <c r="AD487">
        <v>0</v>
      </c>
      <c r="AE487">
        <v>9</v>
      </c>
      <c r="AF487" t="s">
        <v>138</v>
      </c>
      <c r="AG487">
        <v>0</v>
      </c>
      <c r="AH487">
        <v>3</v>
      </c>
      <c r="AI487">
        <v>1</v>
      </c>
      <c r="AJ487">
        <v>0</v>
      </c>
      <c r="AK487" t="s">
        <v>268</v>
      </c>
      <c r="AL487">
        <v>38.955931999999997</v>
      </c>
      <c r="AM487" t="s">
        <v>269</v>
      </c>
      <c r="AN487">
        <v>-121.051998</v>
      </c>
      <c r="AO487">
        <v>25</v>
      </c>
      <c r="AP487">
        <v>2300</v>
      </c>
      <c r="AQ487" t="s">
        <v>131</v>
      </c>
      <c r="AR487">
        <v>56</v>
      </c>
      <c r="AS487">
        <v>31</v>
      </c>
      <c r="AT487">
        <v>832</v>
      </c>
      <c r="BB487" t="str">
        <f t="shared" si="180"/>
        <v>1200</v>
      </c>
      <c r="BC487">
        <v>1</v>
      </c>
      <c r="BD487" t="str">
        <f t="shared" si="181"/>
        <v xml:space="preserve">N52156  </v>
      </c>
      <c r="BE487">
        <v>1</v>
      </c>
      <c r="BG487">
        <v>0</v>
      </c>
      <c r="BH487">
        <v>0</v>
      </c>
      <c r="BI487">
        <v>0</v>
      </c>
      <c r="BJ487">
        <v>2250</v>
      </c>
      <c r="BK487">
        <v>-50</v>
      </c>
      <c r="BL487" t="s">
        <v>188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 t="shared" si="193"/>
        <v>15:05:52.607</v>
      </c>
      <c r="CF487">
        <v>607448145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5</v>
      </c>
      <c r="CY487">
        <v>7</v>
      </c>
      <c r="CZ487" t="s">
        <v>133</v>
      </c>
      <c r="DA487">
        <v>275</v>
      </c>
      <c r="DB487">
        <v>0</v>
      </c>
      <c r="DC487" t="s">
        <v>134</v>
      </c>
      <c r="DD487" t="s">
        <v>135</v>
      </c>
      <c r="DG487">
        <v>3318536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"05/01/2025 15:05:53.946"</f>
        <v>05/01/2025 15:05:53.946</v>
      </c>
      <c r="C488" t="str">
        <f t="shared" si="178"/>
        <v>FFDFD3C0</v>
      </c>
      <c r="D488" t="s">
        <v>140</v>
      </c>
      <c r="E488" t="str">
        <f>"13"</f>
        <v>13</v>
      </c>
      <c r="F488">
        <v>1019</v>
      </c>
      <c r="G488" t="s">
        <v>141</v>
      </c>
      <c r="J488" t="s">
        <v>142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R488" t="s">
        <v>127</v>
      </c>
      <c r="S488" t="str">
        <f t="shared" ref="S488:T493" si="194">"15:05:53.000"</f>
        <v>15:05:53.000</v>
      </c>
      <c r="T488" t="str">
        <f t="shared" si="194"/>
        <v>15:05:53.000</v>
      </c>
      <c r="U488" t="str">
        <f t="shared" si="179"/>
        <v>A68FCB</v>
      </c>
      <c r="V488">
        <v>0</v>
      </c>
      <c r="W488">
        <v>0</v>
      </c>
      <c r="X488">
        <v>2</v>
      </c>
      <c r="Y488">
        <v>0</v>
      </c>
      <c r="AA488">
        <v>1</v>
      </c>
      <c r="AB488">
        <v>8</v>
      </c>
      <c r="AC488">
        <v>3</v>
      </c>
      <c r="AD488">
        <v>0</v>
      </c>
      <c r="AE488">
        <v>9</v>
      </c>
      <c r="AF488" t="s">
        <v>138</v>
      </c>
      <c r="AG488">
        <v>0</v>
      </c>
      <c r="AH488">
        <v>3</v>
      </c>
      <c r="AI488">
        <v>1</v>
      </c>
      <c r="AJ488">
        <v>0</v>
      </c>
      <c r="AK488" t="s">
        <v>270</v>
      </c>
      <c r="AL488">
        <v>38.956082000000002</v>
      </c>
      <c r="AM488" t="s">
        <v>271</v>
      </c>
      <c r="AN488">
        <v>-121.051655</v>
      </c>
      <c r="AO488">
        <v>25</v>
      </c>
      <c r="AP488">
        <v>2300</v>
      </c>
      <c r="AQ488" t="s">
        <v>131</v>
      </c>
      <c r="AR488">
        <v>53</v>
      </c>
      <c r="AS488">
        <v>45</v>
      </c>
      <c r="AT488">
        <v>320</v>
      </c>
      <c r="BB488" t="str">
        <f t="shared" si="180"/>
        <v>1200</v>
      </c>
      <c r="BC488">
        <v>1</v>
      </c>
      <c r="BD488" t="str">
        <f t="shared" si="181"/>
        <v xml:space="preserve">N52156  </v>
      </c>
      <c r="BE488">
        <v>1</v>
      </c>
      <c r="BG488">
        <v>0</v>
      </c>
      <c r="BH488">
        <v>0</v>
      </c>
      <c r="BI488">
        <v>0</v>
      </c>
      <c r="BJ488">
        <v>2300</v>
      </c>
      <c r="BK488">
        <v>0</v>
      </c>
      <c r="BL488" t="s">
        <v>188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 t="shared" ref="CE488:CE493" si="195">"15:05:53.725"</f>
        <v>15:05:53.725</v>
      </c>
      <c r="CF488">
        <v>725448576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133</v>
      </c>
      <c r="DA488">
        <v>275</v>
      </c>
      <c r="DB488">
        <v>0</v>
      </c>
      <c r="DC488" t="s">
        <v>134</v>
      </c>
      <c r="DD488" t="s">
        <v>135</v>
      </c>
      <c r="DG488">
        <v>3318549</v>
      </c>
      <c r="DI488">
        <v>1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"05/01/2025 15:05:53.956"</f>
        <v>05/01/2025 15:05:53.956</v>
      </c>
      <c r="C489" t="str">
        <f t="shared" si="178"/>
        <v>FFDFD3C0</v>
      </c>
      <c r="D489" t="s">
        <v>143</v>
      </c>
      <c r="E489" t="str">
        <f>"05"</f>
        <v>05</v>
      </c>
      <c r="H489">
        <v>172</v>
      </c>
      <c r="I489" t="s">
        <v>141</v>
      </c>
      <c r="J489" t="s">
        <v>144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R489" t="s">
        <v>127</v>
      </c>
      <c r="S489" t="str">
        <f t="shared" si="194"/>
        <v>15:05:53.000</v>
      </c>
      <c r="T489" t="str">
        <f t="shared" si="194"/>
        <v>15:05:53.000</v>
      </c>
      <c r="U489" t="str">
        <f t="shared" si="179"/>
        <v>A68FCB</v>
      </c>
      <c r="V489">
        <v>0</v>
      </c>
      <c r="W489">
        <v>0</v>
      </c>
      <c r="X489">
        <v>2</v>
      </c>
      <c r="Y489">
        <v>0</v>
      </c>
      <c r="AA489">
        <v>1</v>
      </c>
      <c r="AB489">
        <v>8</v>
      </c>
      <c r="AC489">
        <v>3</v>
      </c>
      <c r="AD489">
        <v>0</v>
      </c>
      <c r="AE489">
        <v>9</v>
      </c>
      <c r="AF489" t="s">
        <v>138</v>
      </c>
      <c r="AG489">
        <v>0</v>
      </c>
      <c r="AH489">
        <v>3</v>
      </c>
      <c r="AI489">
        <v>1</v>
      </c>
      <c r="AJ489">
        <v>0</v>
      </c>
      <c r="AK489" t="s">
        <v>270</v>
      </c>
      <c r="AL489">
        <v>38.956082000000002</v>
      </c>
      <c r="AM489" t="s">
        <v>271</v>
      </c>
      <c r="AN489">
        <v>-121.051655</v>
      </c>
      <c r="AO489">
        <v>25</v>
      </c>
      <c r="AP489">
        <v>2300</v>
      </c>
      <c r="AQ489" t="s">
        <v>131</v>
      </c>
      <c r="AR489">
        <v>53</v>
      </c>
      <c r="AS489">
        <v>45</v>
      </c>
      <c r="AT489">
        <v>320</v>
      </c>
      <c r="BB489" t="str">
        <f t="shared" si="180"/>
        <v>1200</v>
      </c>
      <c r="BC489">
        <v>1</v>
      </c>
      <c r="BD489" t="str">
        <f t="shared" si="181"/>
        <v xml:space="preserve">N52156  </v>
      </c>
      <c r="BE489">
        <v>1</v>
      </c>
      <c r="BG489">
        <v>0</v>
      </c>
      <c r="BH489">
        <v>0</v>
      </c>
      <c r="BI489">
        <v>0</v>
      </c>
      <c r="BJ489">
        <v>2300</v>
      </c>
      <c r="BK489">
        <v>0</v>
      </c>
      <c r="BL489" t="s">
        <v>188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 t="shared" si="195"/>
        <v>15:05:53.725</v>
      </c>
      <c r="CF489">
        <v>725448576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133</v>
      </c>
      <c r="DA489">
        <v>275</v>
      </c>
      <c r="DB489">
        <v>0</v>
      </c>
      <c r="DC489" t="s">
        <v>134</v>
      </c>
      <c r="DD489" t="s">
        <v>135</v>
      </c>
      <c r="DG489">
        <v>3318549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"05/01/2025 15:05:53.958"</f>
        <v>05/01/2025 15:05:53.958</v>
      </c>
      <c r="C490" t="str">
        <f t="shared" si="178"/>
        <v>FFDFD3C0</v>
      </c>
      <c r="D490" t="s">
        <v>145</v>
      </c>
      <c r="E490" t="str">
        <f>"05"</f>
        <v>05</v>
      </c>
      <c r="H490">
        <v>47</v>
      </c>
      <c r="I490" t="s">
        <v>146</v>
      </c>
      <c r="J490" t="s">
        <v>138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R490" t="s">
        <v>127</v>
      </c>
      <c r="S490" t="str">
        <f t="shared" si="194"/>
        <v>15:05:53.000</v>
      </c>
      <c r="T490" t="str">
        <f t="shared" si="194"/>
        <v>15:05:53.000</v>
      </c>
      <c r="U490" t="str">
        <f t="shared" si="179"/>
        <v>A68FCB</v>
      </c>
      <c r="V490">
        <v>0</v>
      </c>
      <c r="W490">
        <v>0</v>
      </c>
      <c r="X490">
        <v>2</v>
      </c>
      <c r="Y490">
        <v>0</v>
      </c>
      <c r="AA490">
        <v>1</v>
      </c>
      <c r="AB490">
        <v>8</v>
      </c>
      <c r="AC490">
        <v>3</v>
      </c>
      <c r="AD490">
        <v>0</v>
      </c>
      <c r="AE490">
        <v>9</v>
      </c>
      <c r="AF490" t="s">
        <v>138</v>
      </c>
      <c r="AG490">
        <v>0</v>
      </c>
      <c r="AH490">
        <v>3</v>
      </c>
      <c r="AI490">
        <v>1</v>
      </c>
      <c r="AJ490">
        <v>0</v>
      </c>
      <c r="AK490" t="s">
        <v>270</v>
      </c>
      <c r="AL490">
        <v>38.956082000000002</v>
      </c>
      <c r="AM490" t="s">
        <v>271</v>
      </c>
      <c r="AN490">
        <v>-121.051655</v>
      </c>
      <c r="AO490">
        <v>25</v>
      </c>
      <c r="AP490">
        <v>2300</v>
      </c>
      <c r="AQ490" t="s">
        <v>131</v>
      </c>
      <c r="AR490">
        <v>53</v>
      </c>
      <c r="AS490">
        <v>45</v>
      </c>
      <c r="AT490">
        <v>320</v>
      </c>
      <c r="BB490" t="str">
        <f t="shared" si="180"/>
        <v>1200</v>
      </c>
      <c r="BC490">
        <v>1</v>
      </c>
      <c r="BD490" t="str">
        <f t="shared" si="181"/>
        <v xml:space="preserve">N52156  </v>
      </c>
      <c r="BE490">
        <v>1</v>
      </c>
      <c r="BG490">
        <v>0</v>
      </c>
      <c r="BH490">
        <v>0</v>
      </c>
      <c r="BI490">
        <v>0</v>
      </c>
      <c r="BJ490">
        <v>2300</v>
      </c>
      <c r="BK490">
        <v>0</v>
      </c>
      <c r="BL490" t="s">
        <v>188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 t="shared" si="195"/>
        <v>15:05:53.725</v>
      </c>
      <c r="CF490">
        <v>725448576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133</v>
      </c>
      <c r="DA490">
        <v>275</v>
      </c>
      <c r="DB490">
        <v>0</v>
      </c>
      <c r="DC490" t="s">
        <v>134</v>
      </c>
      <c r="DD490" t="s">
        <v>135</v>
      </c>
      <c r="DG490">
        <v>3318549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"05/01/2025 15:05:53.958"</f>
        <v>05/01/2025 15:05:53.958</v>
      </c>
      <c r="C491" t="str">
        <f t="shared" si="178"/>
        <v>FFDFD3C0</v>
      </c>
      <c r="D491" t="s">
        <v>145</v>
      </c>
      <c r="E491" t="str">
        <f>"09"</f>
        <v>09</v>
      </c>
      <c r="H491">
        <v>51</v>
      </c>
      <c r="I491" t="s">
        <v>147</v>
      </c>
      <c r="J491" t="s">
        <v>138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R491" t="s">
        <v>127</v>
      </c>
      <c r="S491" t="str">
        <f t="shared" si="194"/>
        <v>15:05:53.000</v>
      </c>
      <c r="T491" t="str">
        <f t="shared" si="194"/>
        <v>15:05:53.000</v>
      </c>
      <c r="U491" t="str">
        <f t="shared" si="179"/>
        <v>A68FCB</v>
      </c>
      <c r="V491">
        <v>0</v>
      </c>
      <c r="W491">
        <v>0</v>
      </c>
      <c r="X491">
        <v>2</v>
      </c>
      <c r="Y491">
        <v>0</v>
      </c>
      <c r="AA491">
        <v>1</v>
      </c>
      <c r="AB491">
        <v>8</v>
      </c>
      <c r="AC491">
        <v>3</v>
      </c>
      <c r="AD491">
        <v>0</v>
      </c>
      <c r="AE491">
        <v>9</v>
      </c>
      <c r="AF491" t="s">
        <v>138</v>
      </c>
      <c r="AG491">
        <v>0</v>
      </c>
      <c r="AH491">
        <v>3</v>
      </c>
      <c r="AI491">
        <v>1</v>
      </c>
      <c r="AJ491">
        <v>0</v>
      </c>
      <c r="AK491" t="s">
        <v>270</v>
      </c>
      <c r="AL491">
        <v>38.956082000000002</v>
      </c>
      <c r="AM491" t="s">
        <v>271</v>
      </c>
      <c r="AN491">
        <v>-121.051655</v>
      </c>
      <c r="AO491">
        <v>25</v>
      </c>
      <c r="AP491">
        <v>2300</v>
      </c>
      <c r="AQ491" t="s">
        <v>131</v>
      </c>
      <c r="AR491">
        <v>53</v>
      </c>
      <c r="AS491">
        <v>45</v>
      </c>
      <c r="AT491">
        <v>320</v>
      </c>
      <c r="BB491" t="str">
        <f t="shared" si="180"/>
        <v>1200</v>
      </c>
      <c r="BC491">
        <v>1</v>
      </c>
      <c r="BD491" t="str">
        <f t="shared" si="181"/>
        <v xml:space="preserve">N52156  </v>
      </c>
      <c r="BE491">
        <v>1</v>
      </c>
      <c r="BG491">
        <v>0</v>
      </c>
      <c r="BH491">
        <v>0</v>
      </c>
      <c r="BI491">
        <v>0</v>
      </c>
      <c r="BJ491">
        <v>2300</v>
      </c>
      <c r="BK491">
        <v>0</v>
      </c>
      <c r="BL491" t="s">
        <v>188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 t="shared" si="195"/>
        <v>15:05:53.725</v>
      </c>
      <c r="CF491">
        <v>725448576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133</v>
      </c>
      <c r="DA491">
        <v>275</v>
      </c>
      <c r="DB491">
        <v>0</v>
      </c>
      <c r="DC491" t="s">
        <v>134</v>
      </c>
      <c r="DD491" t="s">
        <v>135</v>
      </c>
      <c r="DG491">
        <v>3318549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"05/01/2025 15:05:53.959"</f>
        <v>05/01/2025 15:05:53.959</v>
      </c>
      <c r="C492" t="str">
        <f t="shared" si="178"/>
        <v>FFDFD3C0</v>
      </c>
      <c r="D492" t="s">
        <v>124</v>
      </c>
      <c r="E492" t="str">
        <f>"06"</f>
        <v>06</v>
      </c>
      <c r="F492">
        <v>2006</v>
      </c>
      <c r="G492" t="s">
        <v>125</v>
      </c>
      <c r="J492" t="s">
        <v>126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R492" t="s">
        <v>127</v>
      </c>
      <c r="S492" t="str">
        <f t="shared" si="194"/>
        <v>15:05:53.000</v>
      </c>
      <c r="T492" t="str">
        <f t="shared" si="194"/>
        <v>15:05:53.000</v>
      </c>
      <c r="U492" t="str">
        <f t="shared" si="179"/>
        <v>A68FCB</v>
      </c>
      <c r="V492">
        <v>0</v>
      </c>
      <c r="W492">
        <v>0</v>
      </c>
      <c r="X492">
        <v>2</v>
      </c>
      <c r="Y492">
        <v>0</v>
      </c>
      <c r="AA492">
        <v>1</v>
      </c>
      <c r="AB492">
        <v>8</v>
      </c>
      <c r="AC492">
        <v>3</v>
      </c>
      <c r="AD492">
        <v>0</v>
      </c>
      <c r="AE492">
        <v>9</v>
      </c>
      <c r="AF492" t="s">
        <v>138</v>
      </c>
      <c r="AG492">
        <v>0</v>
      </c>
      <c r="AH492">
        <v>3</v>
      </c>
      <c r="AI492">
        <v>1</v>
      </c>
      <c r="AJ492">
        <v>0</v>
      </c>
      <c r="AK492" t="s">
        <v>270</v>
      </c>
      <c r="AL492">
        <v>38.956082000000002</v>
      </c>
      <c r="AM492" t="s">
        <v>271</v>
      </c>
      <c r="AN492">
        <v>-121.051655</v>
      </c>
      <c r="AO492">
        <v>25</v>
      </c>
      <c r="AP492">
        <v>2300</v>
      </c>
      <c r="AQ492" t="s">
        <v>131</v>
      </c>
      <c r="AR492">
        <v>53</v>
      </c>
      <c r="AS492">
        <v>45</v>
      </c>
      <c r="AT492">
        <v>320</v>
      </c>
      <c r="BB492" t="str">
        <f t="shared" si="180"/>
        <v>1200</v>
      </c>
      <c r="BC492">
        <v>1</v>
      </c>
      <c r="BD492" t="str">
        <f t="shared" si="181"/>
        <v xml:space="preserve">N52156  </v>
      </c>
      <c r="BE492">
        <v>1</v>
      </c>
      <c r="BG492">
        <v>0</v>
      </c>
      <c r="BH492">
        <v>0</v>
      </c>
      <c r="BI492">
        <v>0</v>
      </c>
      <c r="BJ492">
        <v>2300</v>
      </c>
      <c r="BK492">
        <v>0</v>
      </c>
      <c r="BL492" t="s">
        <v>188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 t="shared" si="195"/>
        <v>15:05:53.725</v>
      </c>
      <c r="CF492">
        <v>725448576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133</v>
      </c>
      <c r="DA492">
        <v>275</v>
      </c>
      <c r="DB492">
        <v>0</v>
      </c>
      <c r="DC492" t="s">
        <v>134</v>
      </c>
      <c r="DD492" t="s">
        <v>135</v>
      </c>
      <c r="DG492">
        <v>3318549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"05/01/2025 15:05:53.967"</f>
        <v>05/01/2025 15:05:53.967</v>
      </c>
      <c r="C493" t="str">
        <f t="shared" si="178"/>
        <v>FFDFD3C0</v>
      </c>
      <c r="D493" t="s">
        <v>136</v>
      </c>
      <c r="E493" t="str">
        <f>"20"</f>
        <v>20</v>
      </c>
      <c r="H493">
        <v>400</v>
      </c>
      <c r="I493" t="s">
        <v>137</v>
      </c>
      <c r="J493" t="s">
        <v>138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R493" t="s">
        <v>127</v>
      </c>
      <c r="S493" t="str">
        <f t="shared" si="194"/>
        <v>15:05:53.000</v>
      </c>
      <c r="T493" t="str">
        <f t="shared" si="194"/>
        <v>15:05:53.000</v>
      </c>
      <c r="U493" t="str">
        <f t="shared" si="179"/>
        <v>A68FCB</v>
      </c>
      <c r="V493">
        <v>0</v>
      </c>
      <c r="W493">
        <v>0</v>
      </c>
      <c r="X493">
        <v>2</v>
      </c>
      <c r="Y493">
        <v>0</v>
      </c>
      <c r="AA493">
        <v>1</v>
      </c>
      <c r="AB493">
        <v>8</v>
      </c>
      <c r="AC493">
        <v>3</v>
      </c>
      <c r="AD493">
        <v>0</v>
      </c>
      <c r="AE493">
        <v>9</v>
      </c>
      <c r="AF493" t="s">
        <v>138</v>
      </c>
      <c r="AG493">
        <v>0</v>
      </c>
      <c r="AH493">
        <v>3</v>
      </c>
      <c r="AI493">
        <v>1</v>
      </c>
      <c r="AJ493">
        <v>0</v>
      </c>
      <c r="AK493" t="s">
        <v>270</v>
      </c>
      <c r="AL493">
        <v>38.956082000000002</v>
      </c>
      <c r="AM493" t="s">
        <v>271</v>
      </c>
      <c r="AN493">
        <v>-121.051655</v>
      </c>
      <c r="AO493">
        <v>25</v>
      </c>
      <c r="AP493">
        <v>2300</v>
      </c>
      <c r="AQ493" t="s">
        <v>131</v>
      </c>
      <c r="AR493">
        <v>53</v>
      </c>
      <c r="AS493">
        <v>45</v>
      </c>
      <c r="AT493">
        <v>320</v>
      </c>
      <c r="BB493" t="str">
        <f t="shared" si="180"/>
        <v>1200</v>
      </c>
      <c r="BC493">
        <v>1</v>
      </c>
      <c r="BD493" t="str">
        <f t="shared" si="181"/>
        <v xml:space="preserve">N52156  </v>
      </c>
      <c r="BE493">
        <v>1</v>
      </c>
      <c r="BG493">
        <v>0</v>
      </c>
      <c r="BH493">
        <v>0</v>
      </c>
      <c r="BI493">
        <v>0</v>
      </c>
      <c r="BJ493">
        <v>2300</v>
      </c>
      <c r="BK493">
        <v>0</v>
      </c>
      <c r="BL493" t="s">
        <v>188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 t="shared" si="195"/>
        <v>15:05:53.725</v>
      </c>
      <c r="CF493">
        <v>725448576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133</v>
      </c>
      <c r="DA493">
        <v>275</v>
      </c>
      <c r="DB493">
        <v>0</v>
      </c>
      <c r="DC493" t="s">
        <v>134</v>
      </c>
      <c r="DD493" t="s">
        <v>135</v>
      </c>
      <c r="DG493">
        <v>3318549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"05/01/2025 15:05:54.568"</f>
        <v>05/01/2025 15:05:54.568</v>
      </c>
      <c r="C494" t="str">
        <f t="shared" si="178"/>
        <v>FFDFD3C0</v>
      </c>
      <c r="D494" t="s">
        <v>136</v>
      </c>
      <c r="E494" t="str">
        <f>"20"</f>
        <v>20</v>
      </c>
      <c r="H494">
        <v>400</v>
      </c>
      <c r="I494" t="s">
        <v>137</v>
      </c>
      <c r="J494" t="s">
        <v>138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R494" t="s">
        <v>127</v>
      </c>
      <c r="S494" t="str">
        <f t="shared" ref="S494:T499" si="196">"15:05:54.000"</f>
        <v>15:05:54.000</v>
      </c>
      <c r="T494" t="str">
        <f t="shared" si="196"/>
        <v>15:05:54.000</v>
      </c>
      <c r="U494" t="str">
        <f t="shared" si="179"/>
        <v>A68FCB</v>
      </c>
      <c r="V494">
        <v>0</v>
      </c>
      <c r="W494">
        <v>0</v>
      </c>
      <c r="X494">
        <v>2</v>
      </c>
      <c r="Y494">
        <v>0</v>
      </c>
      <c r="AA494">
        <v>1</v>
      </c>
      <c r="AB494">
        <v>8</v>
      </c>
      <c r="AC494">
        <v>3</v>
      </c>
      <c r="AD494">
        <v>0</v>
      </c>
      <c r="AE494">
        <v>9</v>
      </c>
      <c r="AF494" t="s">
        <v>138</v>
      </c>
      <c r="AG494">
        <v>0</v>
      </c>
      <c r="AH494">
        <v>3</v>
      </c>
      <c r="AI494">
        <v>1</v>
      </c>
      <c r="AJ494">
        <v>0</v>
      </c>
      <c r="AK494" t="s">
        <v>272</v>
      </c>
      <c r="AL494">
        <v>38.956254000000001</v>
      </c>
      <c r="AM494" t="s">
        <v>273</v>
      </c>
      <c r="AN494">
        <v>-121.051333</v>
      </c>
      <c r="AO494">
        <v>25</v>
      </c>
      <c r="AP494">
        <v>2300</v>
      </c>
      <c r="AQ494" t="s">
        <v>131</v>
      </c>
      <c r="AR494">
        <v>49</v>
      </c>
      <c r="AS494">
        <v>42</v>
      </c>
      <c r="AT494">
        <v>256</v>
      </c>
      <c r="BB494" t="str">
        <f t="shared" si="180"/>
        <v>1200</v>
      </c>
      <c r="BC494">
        <v>1</v>
      </c>
      <c r="BD494" t="str">
        <f t="shared" si="181"/>
        <v xml:space="preserve">N52156  </v>
      </c>
      <c r="BE494">
        <v>1</v>
      </c>
      <c r="BG494">
        <v>0</v>
      </c>
      <c r="BH494">
        <v>0</v>
      </c>
      <c r="BI494">
        <v>0</v>
      </c>
      <c r="BJ494">
        <v>2300</v>
      </c>
      <c r="BK494">
        <v>0</v>
      </c>
      <c r="BL494" t="s">
        <v>188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 t="shared" ref="CE494:CE499" si="197">"15:05:54.367"</f>
        <v>15:05:54.367</v>
      </c>
      <c r="CF494">
        <v>366697728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133</v>
      </c>
      <c r="DA494">
        <v>275</v>
      </c>
      <c r="DB494">
        <v>0</v>
      </c>
      <c r="DC494" t="s">
        <v>134</v>
      </c>
      <c r="DD494" t="s">
        <v>135</v>
      </c>
      <c r="DG494">
        <v>3318554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"05/01/2025 15:05:54.597"</f>
        <v>05/01/2025 15:05:54.597</v>
      </c>
      <c r="C495" t="str">
        <f t="shared" si="178"/>
        <v>FFDFD3C0</v>
      </c>
      <c r="D495" t="s">
        <v>140</v>
      </c>
      <c r="E495" t="str">
        <f>"13"</f>
        <v>13</v>
      </c>
      <c r="F495">
        <v>1019</v>
      </c>
      <c r="G495" t="s">
        <v>141</v>
      </c>
      <c r="J495" t="s">
        <v>142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R495" t="s">
        <v>127</v>
      </c>
      <c r="S495" t="str">
        <f t="shared" si="196"/>
        <v>15:05:54.000</v>
      </c>
      <c r="T495" t="str">
        <f t="shared" si="196"/>
        <v>15:05:54.000</v>
      </c>
      <c r="U495" t="str">
        <f t="shared" si="179"/>
        <v>A68FCB</v>
      </c>
      <c r="V495">
        <v>0</v>
      </c>
      <c r="W495">
        <v>0</v>
      </c>
      <c r="X495">
        <v>2</v>
      </c>
      <c r="Y495">
        <v>0</v>
      </c>
      <c r="AA495">
        <v>1</v>
      </c>
      <c r="AB495">
        <v>8</v>
      </c>
      <c r="AC495">
        <v>3</v>
      </c>
      <c r="AD495">
        <v>0</v>
      </c>
      <c r="AE495">
        <v>9</v>
      </c>
      <c r="AF495" t="s">
        <v>138</v>
      </c>
      <c r="AG495">
        <v>0</v>
      </c>
      <c r="AH495">
        <v>3</v>
      </c>
      <c r="AI495">
        <v>1</v>
      </c>
      <c r="AJ495">
        <v>0</v>
      </c>
      <c r="AK495" t="s">
        <v>272</v>
      </c>
      <c r="AL495">
        <v>38.956254000000001</v>
      </c>
      <c r="AM495" t="s">
        <v>273</v>
      </c>
      <c r="AN495">
        <v>-121.051333</v>
      </c>
      <c r="AO495">
        <v>25</v>
      </c>
      <c r="AP495">
        <v>2300</v>
      </c>
      <c r="AQ495" t="s">
        <v>131</v>
      </c>
      <c r="AR495">
        <v>49</v>
      </c>
      <c r="AS495">
        <v>42</v>
      </c>
      <c r="AT495">
        <v>256</v>
      </c>
      <c r="BB495" t="str">
        <f t="shared" si="180"/>
        <v>1200</v>
      </c>
      <c r="BC495">
        <v>1</v>
      </c>
      <c r="BD495" t="str">
        <f t="shared" si="181"/>
        <v xml:space="preserve">N52156  </v>
      </c>
      <c r="BE495">
        <v>1</v>
      </c>
      <c r="BG495">
        <v>0</v>
      </c>
      <c r="BH495">
        <v>0</v>
      </c>
      <c r="BI495">
        <v>0</v>
      </c>
      <c r="BJ495">
        <v>2300</v>
      </c>
      <c r="BK495">
        <v>0</v>
      </c>
      <c r="BL495" t="s">
        <v>188</v>
      </c>
      <c r="BM495">
        <v>1</v>
      </c>
      <c r="BN495">
        <v>1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 t="shared" si="197"/>
        <v>15:05:54.367</v>
      </c>
      <c r="CF495">
        <v>366697728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5</v>
      </c>
      <c r="CY495">
        <v>7</v>
      </c>
      <c r="CZ495" t="s">
        <v>133</v>
      </c>
      <c r="DA495">
        <v>275</v>
      </c>
      <c r="DB495">
        <v>0</v>
      </c>
      <c r="DC495" t="s">
        <v>134</v>
      </c>
      <c r="DD495" t="s">
        <v>135</v>
      </c>
      <c r="DG495">
        <v>3318554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"05/01/2025 15:05:54.607"</f>
        <v>05/01/2025 15:05:54.607</v>
      </c>
      <c r="C496" t="str">
        <f t="shared" si="178"/>
        <v>FFDFD3C0</v>
      </c>
      <c r="D496" t="s">
        <v>143</v>
      </c>
      <c r="E496" t="str">
        <f>"05"</f>
        <v>05</v>
      </c>
      <c r="H496">
        <v>172</v>
      </c>
      <c r="I496" t="s">
        <v>141</v>
      </c>
      <c r="J496" t="s">
        <v>144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R496" t="s">
        <v>127</v>
      </c>
      <c r="S496" t="str">
        <f t="shared" si="196"/>
        <v>15:05:54.000</v>
      </c>
      <c r="T496" t="str">
        <f t="shared" si="196"/>
        <v>15:05:54.000</v>
      </c>
      <c r="U496" t="str">
        <f t="shared" si="179"/>
        <v>A68FCB</v>
      </c>
      <c r="V496">
        <v>0</v>
      </c>
      <c r="W496">
        <v>0</v>
      </c>
      <c r="X496">
        <v>2</v>
      </c>
      <c r="Y496">
        <v>0</v>
      </c>
      <c r="AA496">
        <v>1</v>
      </c>
      <c r="AB496">
        <v>8</v>
      </c>
      <c r="AC496">
        <v>3</v>
      </c>
      <c r="AD496">
        <v>0</v>
      </c>
      <c r="AE496">
        <v>9</v>
      </c>
      <c r="AF496" t="s">
        <v>138</v>
      </c>
      <c r="AG496">
        <v>0</v>
      </c>
      <c r="AH496">
        <v>3</v>
      </c>
      <c r="AI496">
        <v>1</v>
      </c>
      <c r="AJ496">
        <v>0</v>
      </c>
      <c r="AK496" t="s">
        <v>272</v>
      </c>
      <c r="AL496">
        <v>38.956254000000001</v>
      </c>
      <c r="AM496" t="s">
        <v>273</v>
      </c>
      <c r="AN496">
        <v>-121.051333</v>
      </c>
      <c r="AO496">
        <v>25</v>
      </c>
      <c r="AP496">
        <v>2300</v>
      </c>
      <c r="AQ496" t="s">
        <v>131</v>
      </c>
      <c r="AR496">
        <v>49</v>
      </c>
      <c r="AS496">
        <v>42</v>
      </c>
      <c r="AT496">
        <v>256</v>
      </c>
      <c r="BB496" t="str">
        <f t="shared" si="180"/>
        <v>1200</v>
      </c>
      <c r="BC496">
        <v>1</v>
      </c>
      <c r="BD496" t="str">
        <f t="shared" si="181"/>
        <v xml:space="preserve">N52156  </v>
      </c>
      <c r="BE496">
        <v>1</v>
      </c>
      <c r="BG496">
        <v>0</v>
      </c>
      <c r="BH496">
        <v>0</v>
      </c>
      <c r="BI496">
        <v>0</v>
      </c>
      <c r="BJ496">
        <v>2300</v>
      </c>
      <c r="BK496">
        <v>0</v>
      </c>
      <c r="BL496" t="s">
        <v>188</v>
      </c>
      <c r="BM496">
        <v>1</v>
      </c>
      <c r="BN496">
        <v>1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 t="shared" si="197"/>
        <v>15:05:54.367</v>
      </c>
      <c r="CF496">
        <v>366697728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5</v>
      </c>
      <c r="CY496">
        <v>7</v>
      </c>
      <c r="CZ496" t="s">
        <v>133</v>
      </c>
      <c r="DA496">
        <v>275</v>
      </c>
      <c r="DB496">
        <v>0</v>
      </c>
      <c r="DC496" t="s">
        <v>134</v>
      </c>
      <c r="DD496" t="s">
        <v>135</v>
      </c>
      <c r="DG496">
        <v>3318554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"05/01/2025 15:05:54.609"</f>
        <v>05/01/2025 15:05:54.609</v>
      </c>
      <c r="C497" t="str">
        <f t="shared" si="178"/>
        <v>FFDFD3C0</v>
      </c>
      <c r="D497" t="s">
        <v>145</v>
      </c>
      <c r="E497" t="str">
        <f>"05"</f>
        <v>05</v>
      </c>
      <c r="H497">
        <v>47</v>
      </c>
      <c r="I497" t="s">
        <v>146</v>
      </c>
      <c r="J497" t="s">
        <v>138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R497" t="s">
        <v>127</v>
      </c>
      <c r="S497" t="str">
        <f t="shared" si="196"/>
        <v>15:05:54.000</v>
      </c>
      <c r="T497" t="str">
        <f t="shared" si="196"/>
        <v>15:05:54.000</v>
      </c>
      <c r="U497" t="str">
        <f t="shared" si="179"/>
        <v>A68FCB</v>
      </c>
      <c r="V497">
        <v>0</v>
      </c>
      <c r="W497">
        <v>0</v>
      </c>
      <c r="X497">
        <v>2</v>
      </c>
      <c r="Y497">
        <v>0</v>
      </c>
      <c r="AA497">
        <v>1</v>
      </c>
      <c r="AB497">
        <v>8</v>
      </c>
      <c r="AC497">
        <v>3</v>
      </c>
      <c r="AD497">
        <v>0</v>
      </c>
      <c r="AE497">
        <v>9</v>
      </c>
      <c r="AF497" t="s">
        <v>138</v>
      </c>
      <c r="AG497">
        <v>0</v>
      </c>
      <c r="AH497">
        <v>3</v>
      </c>
      <c r="AI497">
        <v>1</v>
      </c>
      <c r="AJ497">
        <v>0</v>
      </c>
      <c r="AK497" t="s">
        <v>272</v>
      </c>
      <c r="AL497">
        <v>38.956254000000001</v>
      </c>
      <c r="AM497" t="s">
        <v>273</v>
      </c>
      <c r="AN497">
        <v>-121.051333</v>
      </c>
      <c r="AO497">
        <v>25</v>
      </c>
      <c r="AP497">
        <v>2300</v>
      </c>
      <c r="AQ497" t="s">
        <v>131</v>
      </c>
      <c r="AR497">
        <v>49</v>
      </c>
      <c r="AS497">
        <v>42</v>
      </c>
      <c r="AT497">
        <v>256</v>
      </c>
      <c r="BB497" t="str">
        <f t="shared" si="180"/>
        <v>1200</v>
      </c>
      <c r="BC497">
        <v>1</v>
      </c>
      <c r="BD497" t="str">
        <f t="shared" si="181"/>
        <v xml:space="preserve">N52156  </v>
      </c>
      <c r="BE497">
        <v>1</v>
      </c>
      <c r="BG497">
        <v>0</v>
      </c>
      <c r="BH497">
        <v>0</v>
      </c>
      <c r="BI497">
        <v>0</v>
      </c>
      <c r="BJ497">
        <v>2300</v>
      </c>
      <c r="BK497">
        <v>0</v>
      </c>
      <c r="BL497" t="s">
        <v>188</v>
      </c>
      <c r="BM497">
        <v>1</v>
      </c>
      <c r="BN497">
        <v>1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 t="shared" si="197"/>
        <v>15:05:54.367</v>
      </c>
      <c r="CF497">
        <v>366697728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5</v>
      </c>
      <c r="CY497">
        <v>7</v>
      </c>
      <c r="CZ497" t="s">
        <v>133</v>
      </c>
      <c r="DA497">
        <v>275</v>
      </c>
      <c r="DB497">
        <v>0</v>
      </c>
      <c r="DC497" t="s">
        <v>134</v>
      </c>
      <c r="DD497" t="s">
        <v>135</v>
      </c>
      <c r="DG497">
        <v>3318554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"05/01/2025 15:05:54.609"</f>
        <v>05/01/2025 15:05:54.609</v>
      </c>
      <c r="C498" t="str">
        <f t="shared" si="178"/>
        <v>FFDFD3C0</v>
      </c>
      <c r="D498" t="s">
        <v>145</v>
      </c>
      <c r="E498" t="str">
        <f>"09"</f>
        <v>09</v>
      </c>
      <c r="H498">
        <v>51</v>
      </c>
      <c r="I498" t="s">
        <v>147</v>
      </c>
      <c r="J498" t="s">
        <v>138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R498" t="s">
        <v>127</v>
      </c>
      <c r="S498" t="str">
        <f t="shared" si="196"/>
        <v>15:05:54.000</v>
      </c>
      <c r="T498" t="str">
        <f t="shared" si="196"/>
        <v>15:05:54.000</v>
      </c>
      <c r="U498" t="str">
        <f t="shared" si="179"/>
        <v>A68FCB</v>
      </c>
      <c r="V498">
        <v>0</v>
      </c>
      <c r="W498">
        <v>0</v>
      </c>
      <c r="X498">
        <v>2</v>
      </c>
      <c r="Y498">
        <v>0</v>
      </c>
      <c r="AA498">
        <v>1</v>
      </c>
      <c r="AB498">
        <v>8</v>
      </c>
      <c r="AC498">
        <v>3</v>
      </c>
      <c r="AD498">
        <v>0</v>
      </c>
      <c r="AE498">
        <v>9</v>
      </c>
      <c r="AF498" t="s">
        <v>138</v>
      </c>
      <c r="AG498">
        <v>0</v>
      </c>
      <c r="AH498">
        <v>3</v>
      </c>
      <c r="AI498">
        <v>1</v>
      </c>
      <c r="AJ498">
        <v>0</v>
      </c>
      <c r="AK498" t="s">
        <v>272</v>
      </c>
      <c r="AL498">
        <v>38.956254000000001</v>
      </c>
      <c r="AM498" t="s">
        <v>273</v>
      </c>
      <c r="AN498">
        <v>-121.051333</v>
      </c>
      <c r="AO498">
        <v>25</v>
      </c>
      <c r="AP498">
        <v>2300</v>
      </c>
      <c r="AQ498" t="s">
        <v>131</v>
      </c>
      <c r="AR498">
        <v>49</v>
      </c>
      <c r="AS498">
        <v>42</v>
      </c>
      <c r="AT498">
        <v>256</v>
      </c>
      <c r="BB498" t="str">
        <f t="shared" si="180"/>
        <v>1200</v>
      </c>
      <c r="BC498">
        <v>1</v>
      </c>
      <c r="BD498" t="str">
        <f t="shared" si="181"/>
        <v xml:space="preserve">N52156  </v>
      </c>
      <c r="BE498">
        <v>1</v>
      </c>
      <c r="BG498">
        <v>0</v>
      </c>
      <c r="BH498">
        <v>0</v>
      </c>
      <c r="BI498">
        <v>0</v>
      </c>
      <c r="BJ498">
        <v>2300</v>
      </c>
      <c r="BK498">
        <v>0</v>
      </c>
      <c r="BL498" t="s">
        <v>188</v>
      </c>
      <c r="BM498">
        <v>1</v>
      </c>
      <c r="BN498">
        <v>1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 t="shared" si="197"/>
        <v>15:05:54.367</v>
      </c>
      <c r="CF498">
        <v>366697728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5</v>
      </c>
      <c r="CY498">
        <v>7</v>
      </c>
      <c r="CZ498" t="s">
        <v>133</v>
      </c>
      <c r="DA498">
        <v>275</v>
      </c>
      <c r="DB498">
        <v>0</v>
      </c>
      <c r="DC498" t="s">
        <v>134</v>
      </c>
      <c r="DD498" t="s">
        <v>135</v>
      </c>
      <c r="DG498">
        <v>3318554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"05/01/2025 15:05:54.610"</f>
        <v>05/01/2025 15:05:54.610</v>
      </c>
      <c r="C499" t="str">
        <f t="shared" si="178"/>
        <v>FFDFD3C0</v>
      </c>
      <c r="D499" t="s">
        <v>124</v>
      </c>
      <c r="E499" t="str">
        <f>"06"</f>
        <v>06</v>
      </c>
      <c r="F499">
        <v>2006</v>
      </c>
      <c r="G499" t="s">
        <v>125</v>
      </c>
      <c r="J499" t="s">
        <v>126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R499" t="s">
        <v>127</v>
      </c>
      <c r="S499" t="str">
        <f t="shared" si="196"/>
        <v>15:05:54.000</v>
      </c>
      <c r="T499" t="str">
        <f t="shared" si="196"/>
        <v>15:05:54.000</v>
      </c>
      <c r="U499" t="str">
        <f t="shared" si="179"/>
        <v>A68FCB</v>
      </c>
      <c r="V499">
        <v>0</v>
      </c>
      <c r="W499">
        <v>0</v>
      </c>
      <c r="X499">
        <v>2</v>
      </c>
      <c r="Y499">
        <v>0</v>
      </c>
      <c r="AA499">
        <v>1</v>
      </c>
      <c r="AB499">
        <v>8</v>
      </c>
      <c r="AC499">
        <v>3</v>
      </c>
      <c r="AD499">
        <v>0</v>
      </c>
      <c r="AE499">
        <v>9</v>
      </c>
      <c r="AF499" t="s">
        <v>138</v>
      </c>
      <c r="AG499">
        <v>0</v>
      </c>
      <c r="AH499">
        <v>3</v>
      </c>
      <c r="AI499">
        <v>1</v>
      </c>
      <c r="AJ499">
        <v>0</v>
      </c>
      <c r="AK499" t="s">
        <v>272</v>
      </c>
      <c r="AL499">
        <v>38.956254000000001</v>
      </c>
      <c r="AM499" t="s">
        <v>273</v>
      </c>
      <c r="AN499">
        <v>-121.051333</v>
      </c>
      <c r="AO499">
        <v>25</v>
      </c>
      <c r="AP499">
        <v>2300</v>
      </c>
      <c r="AQ499" t="s">
        <v>131</v>
      </c>
      <c r="AR499">
        <v>49</v>
      </c>
      <c r="AS499">
        <v>42</v>
      </c>
      <c r="AT499">
        <v>256</v>
      </c>
      <c r="BB499" t="str">
        <f t="shared" si="180"/>
        <v>1200</v>
      </c>
      <c r="BC499">
        <v>1</v>
      </c>
      <c r="BD499" t="str">
        <f t="shared" si="181"/>
        <v xml:space="preserve">N52156  </v>
      </c>
      <c r="BE499">
        <v>1</v>
      </c>
      <c r="BG499">
        <v>0</v>
      </c>
      <c r="BH499">
        <v>0</v>
      </c>
      <c r="BI499">
        <v>0</v>
      </c>
      <c r="BJ499">
        <v>2300</v>
      </c>
      <c r="BK499">
        <v>0</v>
      </c>
      <c r="BL499" t="s">
        <v>188</v>
      </c>
      <c r="BM499">
        <v>1</v>
      </c>
      <c r="BN499">
        <v>1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 t="shared" si="197"/>
        <v>15:05:54.367</v>
      </c>
      <c r="CF499">
        <v>366697728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133</v>
      </c>
      <c r="DA499">
        <v>275</v>
      </c>
      <c r="DB499">
        <v>0</v>
      </c>
      <c r="DC499" t="s">
        <v>134</v>
      </c>
      <c r="DD499" t="s">
        <v>135</v>
      </c>
      <c r="DG499">
        <v>3318554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"05/01/2025 15:05:55.899"</f>
        <v>05/01/2025 15:05:55.899</v>
      </c>
      <c r="C500" t="str">
        <f t="shared" si="178"/>
        <v>FFDFD3C0</v>
      </c>
      <c r="D500" t="s">
        <v>140</v>
      </c>
      <c r="E500" t="str">
        <f>"13"</f>
        <v>13</v>
      </c>
      <c r="F500">
        <v>1019</v>
      </c>
      <c r="G500" t="s">
        <v>141</v>
      </c>
      <c r="J500" t="s">
        <v>142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R500" t="s">
        <v>127</v>
      </c>
      <c r="S500" t="str">
        <f t="shared" ref="S500:T505" si="198">"15:05:55.000"</f>
        <v>15:05:55.000</v>
      </c>
      <c r="T500" t="str">
        <f t="shared" si="198"/>
        <v>15:05:55.000</v>
      </c>
      <c r="U500" t="str">
        <f t="shared" si="179"/>
        <v>A68FCB</v>
      </c>
      <c r="V500">
        <v>0</v>
      </c>
      <c r="W500">
        <v>0</v>
      </c>
      <c r="X500">
        <v>2</v>
      </c>
      <c r="Y500">
        <v>0</v>
      </c>
      <c r="AA500">
        <v>1</v>
      </c>
      <c r="AB500">
        <v>8</v>
      </c>
      <c r="AC500">
        <v>3</v>
      </c>
      <c r="AD500">
        <v>0</v>
      </c>
      <c r="AE500">
        <v>9</v>
      </c>
      <c r="AF500" t="s">
        <v>138</v>
      </c>
      <c r="AG500">
        <v>0</v>
      </c>
      <c r="AH500">
        <v>3</v>
      </c>
      <c r="AI500">
        <v>1</v>
      </c>
      <c r="AJ500">
        <v>0</v>
      </c>
      <c r="AK500" t="s">
        <v>274</v>
      </c>
      <c r="AL500">
        <v>38.956446999999997</v>
      </c>
      <c r="AM500" t="s">
        <v>275</v>
      </c>
      <c r="AN500">
        <v>-121.05105399999999</v>
      </c>
      <c r="AO500">
        <v>25</v>
      </c>
      <c r="AP500">
        <v>2300</v>
      </c>
      <c r="AQ500" t="s">
        <v>131</v>
      </c>
      <c r="AR500">
        <v>41</v>
      </c>
      <c r="AS500">
        <v>44</v>
      </c>
      <c r="AT500">
        <v>768</v>
      </c>
      <c r="BB500" t="str">
        <f t="shared" si="180"/>
        <v>1200</v>
      </c>
      <c r="BC500">
        <v>1</v>
      </c>
      <c r="BD500" t="str">
        <f t="shared" si="181"/>
        <v xml:space="preserve">N52156  </v>
      </c>
      <c r="BE500">
        <v>1</v>
      </c>
      <c r="BG500">
        <v>0</v>
      </c>
      <c r="BH500">
        <v>0</v>
      </c>
      <c r="BI500">
        <v>0</v>
      </c>
      <c r="BJ500">
        <v>2300</v>
      </c>
      <c r="BK500">
        <v>0</v>
      </c>
      <c r="BL500" t="s">
        <v>188</v>
      </c>
      <c r="BM500">
        <v>1</v>
      </c>
      <c r="BN500">
        <v>1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 t="shared" ref="CE500:CE505" si="199">"15:05:55.692"</f>
        <v>15:05:55.692</v>
      </c>
      <c r="CF500">
        <v>691698614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4</v>
      </c>
      <c r="CY500">
        <v>7</v>
      </c>
      <c r="CZ500" t="s">
        <v>133</v>
      </c>
      <c r="DA500">
        <v>275</v>
      </c>
      <c r="DB500">
        <v>0</v>
      </c>
      <c r="DC500" t="s">
        <v>134</v>
      </c>
      <c r="DD500" t="s">
        <v>135</v>
      </c>
      <c r="DG500">
        <v>3318576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"05/01/2025 15:05:55.909"</f>
        <v>05/01/2025 15:05:55.909</v>
      </c>
      <c r="C501" t="str">
        <f t="shared" si="178"/>
        <v>FFDFD3C0</v>
      </c>
      <c r="D501" t="s">
        <v>143</v>
      </c>
      <c r="E501" t="str">
        <f>"05"</f>
        <v>05</v>
      </c>
      <c r="H501">
        <v>172</v>
      </c>
      <c r="I501" t="s">
        <v>141</v>
      </c>
      <c r="J501" t="s">
        <v>144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R501" t="s">
        <v>127</v>
      </c>
      <c r="S501" t="str">
        <f t="shared" si="198"/>
        <v>15:05:55.000</v>
      </c>
      <c r="T501" t="str">
        <f t="shared" si="198"/>
        <v>15:05:55.000</v>
      </c>
      <c r="U501" t="str">
        <f t="shared" si="179"/>
        <v>A68FCB</v>
      </c>
      <c r="V501">
        <v>0</v>
      </c>
      <c r="W501">
        <v>0</v>
      </c>
      <c r="X501">
        <v>2</v>
      </c>
      <c r="Y501">
        <v>0</v>
      </c>
      <c r="AA501">
        <v>1</v>
      </c>
      <c r="AB501">
        <v>8</v>
      </c>
      <c r="AC501">
        <v>3</v>
      </c>
      <c r="AD501">
        <v>0</v>
      </c>
      <c r="AE501">
        <v>9</v>
      </c>
      <c r="AF501" t="s">
        <v>138</v>
      </c>
      <c r="AG501">
        <v>0</v>
      </c>
      <c r="AH501">
        <v>3</v>
      </c>
      <c r="AI501">
        <v>1</v>
      </c>
      <c r="AJ501">
        <v>0</v>
      </c>
      <c r="AK501" t="s">
        <v>274</v>
      </c>
      <c r="AL501">
        <v>38.956446999999997</v>
      </c>
      <c r="AM501" t="s">
        <v>275</v>
      </c>
      <c r="AN501">
        <v>-121.05105399999999</v>
      </c>
      <c r="AO501">
        <v>25</v>
      </c>
      <c r="AP501">
        <v>2300</v>
      </c>
      <c r="AQ501" t="s">
        <v>131</v>
      </c>
      <c r="AR501">
        <v>41</v>
      </c>
      <c r="AS501">
        <v>44</v>
      </c>
      <c r="AT501">
        <v>768</v>
      </c>
      <c r="BB501" t="str">
        <f t="shared" si="180"/>
        <v>1200</v>
      </c>
      <c r="BC501">
        <v>1</v>
      </c>
      <c r="BD501" t="str">
        <f t="shared" si="181"/>
        <v xml:space="preserve">N52156  </v>
      </c>
      <c r="BE501">
        <v>1</v>
      </c>
      <c r="BG501">
        <v>0</v>
      </c>
      <c r="BH501">
        <v>0</v>
      </c>
      <c r="BI501">
        <v>0</v>
      </c>
      <c r="BJ501">
        <v>2300</v>
      </c>
      <c r="BK501">
        <v>0</v>
      </c>
      <c r="BL501" t="s">
        <v>188</v>
      </c>
      <c r="BM501">
        <v>1</v>
      </c>
      <c r="BN501">
        <v>1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 t="shared" si="199"/>
        <v>15:05:55.692</v>
      </c>
      <c r="CF501">
        <v>691698614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4</v>
      </c>
      <c r="CY501">
        <v>7</v>
      </c>
      <c r="CZ501" t="s">
        <v>133</v>
      </c>
      <c r="DA501">
        <v>275</v>
      </c>
      <c r="DB501">
        <v>0</v>
      </c>
      <c r="DC501" t="s">
        <v>134</v>
      </c>
      <c r="DD501" t="s">
        <v>135</v>
      </c>
      <c r="DG501">
        <v>3318576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"05/01/2025 15:05:55.911"</f>
        <v>05/01/2025 15:05:55.911</v>
      </c>
      <c r="C502" t="str">
        <f t="shared" si="178"/>
        <v>FFDFD3C0</v>
      </c>
      <c r="D502" t="s">
        <v>145</v>
      </c>
      <c r="E502" t="str">
        <f>"09"</f>
        <v>09</v>
      </c>
      <c r="H502">
        <v>51</v>
      </c>
      <c r="I502" t="s">
        <v>147</v>
      </c>
      <c r="J502" t="s">
        <v>138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R502" t="s">
        <v>127</v>
      </c>
      <c r="S502" t="str">
        <f t="shared" si="198"/>
        <v>15:05:55.000</v>
      </c>
      <c r="T502" t="str">
        <f t="shared" si="198"/>
        <v>15:05:55.000</v>
      </c>
      <c r="U502" t="str">
        <f t="shared" si="179"/>
        <v>A68FCB</v>
      </c>
      <c r="V502">
        <v>0</v>
      </c>
      <c r="W502">
        <v>0</v>
      </c>
      <c r="X502">
        <v>2</v>
      </c>
      <c r="Y502">
        <v>0</v>
      </c>
      <c r="AA502">
        <v>1</v>
      </c>
      <c r="AB502">
        <v>8</v>
      </c>
      <c r="AC502">
        <v>3</v>
      </c>
      <c r="AD502">
        <v>0</v>
      </c>
      <c r="AE502">
        <v>9</v>
      </c>
      <c r="AF502" t="s">
        <v>138</v>
      </c>
      <c r="AG502">
        <v>0</v>
      </c>
      <c r="AH502">
        <v>3</v>
      </c>
      <c r="AI502">
        <v>1</v>
      </c>
      <c r="AJ502">
        <v>0</v>
      </c>
      <c r="AK502" t="s">
        <v>274</v>
      </c>
      <c r="AL502">
        <v>38.956446999999997</v>
      </c>
      <c r="AM502" t="s">
        <v>275</v>
      </c>
      <c r="AN502">
        <v>-121.05105399999999</v>
      </c>
      <c r="AO502">
        <v>25</v>
      </c>
      <c r="AP502">
        <v>2300</v>
      </c>
      <c r="AQ502" t="s">
        <v>131</v>
      </c>
      <c r="AR502">
        <v>41</v>
      </c>
      <c r="AS502">
        <v>44</v>
      </c>
      <c r="AT502">
        <v>768</v>
      </c>
      <c r="BB502" t="str">
        <f t="shared" si="180"/>
        <v>1200</v>
      </c>
      <c r="BC502">
        <v>1</v>
      </c>
      <c r="BD502" t="str">
        <f t="shared" si="181"/>
        <v xml:space="preserve">N52156  </v>
      </c>
      <c r="BE502">
        <v>1</v>
      </c>
      <c r="BG502">
        <v>0</v>
      </c>
      <c r="BH502">
        <v>0</v>
      </c>
      <c r="BI502">
        <v>0</v>
      </c>
      <c r="BJ502">
        <v>2300</v>
      </c>
      <c r="BK502">
        <v>0</v>
      </c>
      <c r="BL502" t="s">
        <v>188</v>
      </c>
      <c r="BM502">
        <v>1</v>
      </c>
      <c r="BN502">
        <v>1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 t="shared" si="199"/>
        <v>15:05:55.692</v>
      </c>
      <c r="CF502">
        <v>691698614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4</v>
      </c>
      <c r="CY502">
        <v>7</v>
      </c>
      <c r="CZ502" t="s">
        <v>133</v>
      </c>
      <c r="DA502">
        <v>275</v>
      </c>
      <c r="DB502">
        <v>0</v>
      </c>
      <c r="DC502" t="s">
        <v>134</v>
      </c>
      <c r="DD502" t="s">
        <v>135</v>
      </c>
      <c r="DG502">
        <v>3318576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"05/01/2025 15:05:55.911"</f>
        <v>05/01/2025 15:05:55.911</v>
      </c>
      <c r="C503" t="str">
        <f t="shared" si="178"/>
        <v>FFDFD3C0</v>
      </c>
      <c r="D503" t="s">
        <v>145</v>
      </c>
      <c r="E503" t="str">
        <f>"05"</f>
        <v>05</v>
      </c>
      <c r="H503">
        <v>47</v>
      </c>
      <c r="I503" t="s">
        <v>146</v>
      </c>
      <c r="J503" t="s">
        <v>138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R503" t="s">
        <v>127</v>
      </c>
      <c r="S503" t="str">
        <f t="shared" si="198"/>
        <v>15:05:55.000</v>
      </c>
      <c r="T503" t="str">
        <f t="shared" si="198"/>
        <v>15:05:55.000</v>
      </c>
      <c r="U503" t="str">
        <f t="shared" si="179"/>
        <v>A68FCB</v>
      </c>
      <c r="V503">
        <v>0</v>
      </c>
      <c r="W503">
        <v>0</v>
      </c>
      <c r="X503">
        <v>2</v>
      </c>
      <c r="Y503">
        <v>0</v>
      </c>
      <c r="AA503">
        <v>1</v>
      </c>
      <c r="AB503">
        <v>8</v>
      </c>
      <c r="AC503">
        <v>3</v>
      </c>
      <c r="AD503">
        <v>0</v>
      </c>
      <c r="AE503">
        <v>9</v>
      </c>
      <c r="AF503" t="s">
        <v>138</v>
      </c>
      <c r="AG503">
        <v>0</v>
      </c>
      <c r="AH503">
        <v>3</v>
      </c>
      <c r="AI503">
        <v>1</v>
      </c>
      <c r="AJ503">
        <v>0</v>
      </c>
      <c r="AK503" t="s">
        <v>274</v>
      </c>
      <c r="AL503">
        <v>38.956446999999997</v>
      </c>
      <c r="AM503" t="s">
        <v>275</v>
      </c>
      <c r="AN503">
        <v>-121.05105399999999</v>
      </c>
      <c r="AO503">
        <v>25</v>
      </c>
      <c r="AP503">
        <v>2300</v>
      </c>
      <c r="AQ503" t="s">
        <v>131</v>
      </c>
      <c r="AR503">
        <v>41</v>
      </c>
      <c r="AS503">
        <v>44</v>
      </c>
      <c r="AT503">
        <v>768</v>
      </c>
      <c r="BB503" t="str">
        <f t="shared" si="180"/>
        <v>1200</v>
      </c>
      <c r="BC503">
        <v>1</v>
      </c>
      <c r="BD503" t="str">
        <f t="shared" si="181"/>
        <v xml:space="preserve">N52156  </v>
      </c>
      <c r="BE503">
        <v>1</v>
      </c>
      <c r="BG503">
        <v>0</v>
      </c>
      <c r="BH503">
        <v>0</v>
      </c>
      <c r="BI503">
        <v>0</v>
      </c>
      <c r="BJ503">
        <v>2300</v>
      </c>
      <c r="BK503">
        <v>0</v>
      </c>
      <c r="BL503" t="s">
        <v>188</v>
      </c>
      <c r="BM503">
        <v>1</v>
      </c>
      <c r="BN503">
        <v>1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 t="shared" si="199"/>
        <v>15:05:55.692</v>
      </c>
      <c r="CF503">
        <v>691698614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4</v>
      </c>
      <c r="CY503">
        <v>7</v>
      </c>
      <c r="CZ503" t="s">
        <v>133</v>
      </c>
      <c r="DA503">
        <v>275</v>
      </c>
      <c r="DB503">
        <v>0</v>
      </c>
      <c r="DC503" t="s">
        <v>134</v>
      </c>
      <c r="DD503" t="s">
        <v>135</v>
      </c>
      <c r="DG503">
        <v>3318576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"05/01/2025 15:05:55.912"</f>
        <v>05/01/2025 15:05:55.912</v>
      </c>
      <c r="C504" t="str">
        <f t="shared" si="178"/>
        <v>FFDFD3C0</v>
      </c>
      <c r="D504" t="s">
        <v>124</v>
      </c>
      <c r="E504" t="str">
        <f>"06"</f>
        <v>06</v>
      </c>
      <c r="F504">
        <v>2006</v>
      </c>
      <c r="G504" t="s">
        <v>125</v>
      </c>
      <c r="J504" t="s">
        <v>126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R504" t="s">
        <v>127</v>
      </c>
      <c r="S504" t="str">
        <f t="shared" si="198"/>
        <v>15:05:55.000</v>
      </c>
      <c r="T504" t="str">
        <f t="shared" si="198"/>
        <v>15:05:55.000</v>
      </c>
      <c r="U504" t="str">
        <f t="shared" si="179"/>
        <v>A68FCB</v>
      </c>
      <c r="V504">
        <v>0</v>
      </c>
      <c r="W504">
        <v>0</v>
      </c>
      <c r="X504">
        <v>2</v>
      </c>
      <c r="Y504">
        <v>0</v>
      </c>
      <c r="AA504">
        <v>1</v>
      </c>
      <c r="AB504">
        <v>8</v>
      </c>
      <c r="AC504">
        <v>3</v>
      </c>
      <c r="AD504">
        <v>0</v>
      </c>
      <c r="AE504">
        <v>9</v>
      </c>
      <c r="AF504" t="s">
        <v>138</v>
      </c>
      <c r="AG504">
        <v>0</v>
      </c>
      <c r="AH504">
        <v>3</v>
      </c>
      <c r="AI504">
        <v>1</v>
      </c>
      <c r="AJ504">
        <v>0</v>
      </c>
      <c r="AK504" t="s">
        <v>274</v>
      </c>
      <c r="AL504">
        <v>38.956446999999997</v>
      </c>
      <c r="AM504" t="s">
        <v>275</v>
      </c>
      <c r="AN504">
        <v>-121.05105399999999</v>
      </c>
      <c r="AO504">
        <v>25</v>
      </c>
      <c r="AP504">
        <v>2300</v>
      </c>
      <c r="AQ504" t="s">
        <v>131</v>
      </c>
      <c r="AR504">
        <v>41</v>
      </c>
      <c r="AS504">
        <v>44</v>
      </c>
      <c r="AT504">
        <v>768</v>
      </c>
      <c r="BB504" t="str">
        <f t="shared" si="180"/>
        <v>1200</v>
      </c>
      <c r="BC504">
        <v>1</v>
      </c>
      <c r="BD504" t="str">
        <f t="shared" si="181"/>
        <v xml:space="preserve">N52156  </v>
      </c>
      <c r="BE504">
        <v>1</v>
      </c>
      <c r="BG504">
        <v>0</v>
      </c>
      <c r="BH504">
        <v>0</v>
      </c>
      <c r="BI504">
        <v>0</v>
      </c>
      <c r="BJ504">
        <v>2300</v>
      </c>
      <c r="BK504">
        <v>0</v>
      </c>
      <c r="BL504" t="s">
        <v>188</v>
      </c>
      <c r="BM504">
        <v>1</v>
      </c>
      <c r="BN504">
        <v>1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 t="shared" si="199"/>
        <v>15:05:55.692</v>
      </c>
      <c r="CF504">
        <v>691698614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4</v>
      </c>
      <c r="CY504">
        <v>7</v>
      </c>
      <c r="CZ504" t="s">
        <v>133</v>
      </c>
      <c r="DA504">
        <v>275</v>
      </c>
      <c r="DB504">
        <v>0</v>
      </c>
      <c r="DC504" t="s">
        <v>134</v>
      </c>
      <c r="DD504" t="s">
        <v>135</v>
      </c>
      <c r="DG504">
        <v>3318576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"05/01/2025 15:05:55.921"</f>
        <v>05/01/2025 15:05:55.921</v>
      </c>
      <c r="C505" t="str">
        <f t="shared" si="178"/>
        <v>FFDFD3C0</v>
      </c>
      <c r="D505" t="s">
        <v>136</v>
      </c>
      <c r="E505" t="str">
        <f>"20"</f>
        <v>20</v>
      </c>
      <c r="H505">
        <v>400</v>
      </c>
      <c r="I505" t="s">
        <v>137</v>
      </c>
      <c r="J505" t="s">
        <v>138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R505" t="s">
        <v>127</v>
      </c>
      <c r="S505" t="str">
        <f t="shared" si="198"/>
        <v>15:05:55.000</v>
      </c>
      <c r="T505" t="str">
        <f t="shared" si="198"/>
        <v>15:05:55.000</v>
      </c>
      <c r="U505" t="str">
        <f t="shared" si="179"/>
        <v>A68FCB</v>
      </c>
      <c r="V505">
        <v>0</v>
      </c>
      <c r="W505">
        <v>0</v>
      </c>
      <c r="X505">
        <v>2</v>
      </c>
      <c r="Y505">
        <v>0</v>
      </c>
      <c r="AA505">
        <v>1</v>
      </c>
      <c r="AB505">
        <v>8</v>
      </c>
      <c r="AC505">
        <v>3</v>
      </c>
      <c r="AD505">
        <v>0</v>
      </c>
      <c r="AE505">
        <v>9</v>
      </c>
      <c r="AF505" t="s">
        <v>138</v>
      </c>
      <c r="AG505">
        <v>0</v>
      </c>
      <c r="AH505">
        <v>3</v>
      </c>
      <c r="AI505">
        <v>1</v>
      </c>
      <c r="AJ505">
        <v>0</v>
      </c>
      <c r="AK505" t="s">
        <v>274</v>
      </c>
      <c r="AL505">
        <v>38.956446999999997</v>
      </c>
      <c r="AM505" t="s">
        <v>275</v>
      </c>
      <c r="AN505">
        <v>-121.05105399999999</v>
      </c>
      <c r="AO505">
        <v>25</v>
      </c>
      <c r="AP505">
        <v>2300</v>
      </c>
      <c r="AQ505" t="s">
        <v>131</v>
      </c>
      <c r="AR505">
        <v>41</v>
      </c>
      <c r="AS505">
        <v>44</v>
      </c>
      <c r="AT505">
        <v>768</v>
      </c>
      <c r="BB505" t="str">
        <f t="shared" si="180"/>
        <v>1200</v>
      </c>
      <c r="BC505">
        <v>1</v>
      </c>
      <c r="BD505" t="str">
        <f t="shared" si="181"/>
        <v xml:space="preserve">N52156  </v>
      </c>
      <c r="BE505">
        <v>1</v>
      </c>
      <c r="BG505">
        <v>0</v>
      </c>
      <c r="BH505">
        <v>0</v>
      </c>
      <c r="BI505">
        <v>0</v>
      </c>
      <c r="BJ505">
        <v>2300</v>
      </c>
      <c r="BK505">
        <v>0</v>
      </c>
      <c r="BL505" t="s">
        <v>188</v>
      </c>
      <c r="BM505">
        <v>1</v>
      </c>
      <c r="BN505">
        <v>1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 t="shared" si="199"/>
        <v>15:05:55.692</v>
      </c>
      <c r="CF505">
        <v>691698614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4</v>
      </c>
      <c r="CY505">
        <v>7</v>
      </c>
      <c r="CZ505" t="s">
        <v>133</v>
      </c>
      <c r="DA505">
        <v>275</v>
      </c>
      <c r="DB505">
        <v>0</v>
      </c>
      <c r="DC505" t="s">
        <v>134</v>
      </c>
      <c r="DD505" t="s">
        <v>135</v>
      </c>
      <c r="DG505">
        <v>3318576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"05/01/2025 15:05:56.751"</f>
        <v>05/01/2025 15:05:56.751</v>
      </c>
      <c r="C506" t="str">
        <f t="shared" si="178"/>
        <v>FFDFD3C0</v>
      </c>
      <c r="D506" t="s">
        <v>140</v>
      </c>
      <c r="E506" t="str">
        <f>"13"</f>
        <v>13</v>
      </c>
      <c r="F506">
        <v>1019</v>
      </c>
      <c r="G506" t="s">
        <v>141</v>
      </c>
      <c r="J506" t="s">
        <v>142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R506" t="s">
        <v>127</v>
      </c>
      <c r="S506" t="str">
        <f t="shared" ref="S506:T511" si="200">"15:05:56.000"</f>
        <v>15:05:56.000</v>
      </c>
      <c r="T506" t="str">
        <f t="shared" si="200"/>
        <v>15:05:56.000</v>
      </c>
      <c r="U506" t="str">
        <f t="shared" si="179"/>
        <v>A68FCB</v>
      </c>
      <c r="V506">
        <v>0</v>
      </c>
      <c r="W506">
        <v>0</v>
      </c>
      <c r="X506">
        <v>2</v>
      </c>
      <c r="Y506">
        <v>0</v>
      </c>
      <c r="AA506">
        <v>1</v>
      </c>
      <c r="AB506">
        <v>8</v>
      </c>
      <c r="AC506">
        <v>3</v>
      </c>
      <c r="AD506">
        <v>0</v>
      </c>
      <c r="AE506">
        <v>9</v>
      </c>
      <c r="AF506" t="s">
        <v>138</v>
      </c>
      <c r="AG506">
        <v>0</v>
      </c>
      <c r="AH506">
        <v>3</v>
      </c>
      <c r="AI506">
        <v>1</v>
      </c>
      <c r="AJ506">
        <v>0</v>
      </c>
      <c r="AK506" t="s">
        <v>276</v>
      </c>
      <c r="AL506">
        <v>38.95664</v>
      </c>
      <c r="AM506" t="s">
        <v>277</v>
      </c>
      <c r="AN506">
        <v>-121.050797</v>
      </c>
      <c r="AO506">
        <v>25</v>
      </c>
      <c r="AP506">
        <v>2400</v>
      </c>
      <c r="AQ506" t="s">
        <v>131</v>
      </c>
      <c r="AR506">
        <v>38</v>
      </c>
      <c r="AS506">
        <v>49</v>
      </c>
      <c r="AT506">
        <v>704</v>
      </c>
      <c r="BB506" t="str">
        <f t="shared" si="180"/>
        <v>1200</v>
      </c>
      <c r="BC506">
        <v>1</v>
      </c>
      <c r="BD506" t="str">
        <f t="shared" si="181"/>
        <v xml:space="preserve">N52156  </v>
      </c>
      <c r="BE506">
        <v>1</v>
      </c>
      <c r="BG506">
        <v>0</v>
      </c>
      <c r="BH506">
        <v>0</v>
      </c>
      <c r="BI506">
        <v>0</v>
      </c>
      <c r="BJ506">
        <v>2325</v>
      </c>
      <c r="BK506">
        <v>-75</v>
      </c>
      <c r="BL506" t="s">
        <v>188</v>
      </c>
      <c r="BM506">
        <v>1</v>
      </c>
      <c r="BN506">
        <v>1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 t="shared" ref="CE506:CE511" si="201">"15:05:56.537"</f>
        <v>15:05:56.537</v>
      </c>
      <c r="CF506">
        <v>537448339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133</v>
      </c>
      <c r="DA506">
        <v>275</v>
      </c>
      <c r="DB506">
        <v>0</v>
      </c>
      <c r="DC506" t="s">
        <v>134</v>
      </c>
      <c r="DD506" t="s">
        <v>135</v>
      </c>
      <c r="DG506">
        <v>3318583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"05/01/2025 15:05:56.761"</f>
        <v>05/01/2025 15:05:56.761</v>
      </c>
      <c r="C507" t="str">
        <f t="shared" si="178"/>
        <v>FFDFD3C0</v>
      </c>
      <c r="D507" t="s">
        <v>143</v>
      </c>
      <c r="E507" t="str">
        <f>"05"</f>
        <v>05</v>
      </c>
      <c r="H507">
        <v>172</v>
      </c>
      <c r="I507" t="s">
        <v>141</v>
      </c>
      <c r="J507" t="s">
        <v>144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R507" t="s">
        <v>127</v>
      </c>
      <c r="S507" t="str">
        <f t="shared" si="200"/>
        <v>15:05:56.000</v>
      </c>
      <c r="T507" t="str">
        <f t="shared" si="200"/>
        <v>15:05:56.000</v>
      </c>
      <c r="U507" t="str">
        <f t="shared" si="179"/>
        <v>A68FCB</v>
      </c>
      <c r="V507">
        <v>0</v>
      </c>
      <c r="W507">
        <v>0</v>
      </c>
      <c r="X507">
        <v>2</v>
      </c>
      <c r="Y507">
        <v>0</v>
      </c>
      <c r="AA507">
        <v>1</v>
      </c>
      <c r="AB507">
        <v>8</v>
      </c>
      <c r="AC507">
        <v>3</v>
      </c>
      <c r="AD507">
        <v>0</v>
      </c>
      <c r="AE507">
        <v>9</v>
      </c>
      <c r="AF507" t="s">
        <v>138</v>
      </c>
      <c r="AG507">
        <v>0</v>
      </c>
      <c r="AH507">
        <v>3</v>
      </c>
      <c r="AI507">
        <v>1</v>
      </c>
      <c r="AJ507">
        <v>0</v>
      </c>
      <c r="AK507" t="s">
        <v>276</v>
      </c>
      <c r="AL507">
        <v>38.95664</v>
      </c>
      <c r="AM507" t="s">
        <v>277</v>
      </c>
      <c r="AN507">
        <v>-121.050797</v>
      </c>
      <c r="AO507">
        <v>25</v>
      </c>
      <c r="AP507">
        <v>2400</v>
      </c>
      <c r="AQ507" t="s">
        <v>131</v>
      </c>
      <c r="AR507">
        <v>38</v>
      </c>
      <c r="AS507">
        <v>49</v>
      </c>
      <c r="AT507">
        <v>704</v>
      </c>
      <c r="BB507" t="str">
        <f t="shared" si="180"/>
        <v>1200</v>
      </c>
      <c r="BC507">
        <v>1</v>
      </c>
      <c r="BD507" t="str">
        <f t="shared" si="181"/>
        <v xml:space="preserve">N52156  </v>
      </c>
      <c r="BE507">
        <v>1</v>
      </c>
      <c r="BG507">
        <v>0</v>
      </c>
      <c r="BH507">
        <v>0</v>
      </c>
      <c r="BI507">
        <v>0</v>
      </c>
      <c r="BJ507">
        <v>2325</v>
      </c>
      <c r="BK507">
        <v>-75</v>
      </c>
      <c r="BL507" t="s">
        <v>188</v>
      </c>
      <c r="BM507">
        <v>1</v>
      </c>
      <c r="BN507">
        <v>1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 t="shared" si="201"/>
        <v>15:05:56.537</v>
      </c>
      <c r="CF507">
        <v>537448339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133</v>
      </c>
      <c r="DA507">
        <v>275</v>
      </c>
      <c r="DB507">
        <v>0</v>
      </c>
      <c r="DC507" t="s">
        <v>134</v>
      </c>
      <c r="DD507" t="s">
        <v>135</v>
      </c>
      <c r="DG507">
        <v>3318583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"05/01/2025 15:05:56.762"</f>
        <v>05/01/2025 15:05:56.762</v>
      </c>
      <c r="C508" t="str">
        <f t="shared" si="178"/>
        <v>FFDFD3C0</v>
      </c>
      <c r="D508" t="s">
        <v>145</v>
      </c>
      <c r="E508" t="str">
        <f>"05"</f>
        <v>05</v>
      </c>
      <c r="H508">
        <v>47</v>
      </c>
      <c r="I508" t="s">
        <v>146</v>
      </c>
      <c r="J508" t="s">
        <v>138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R508" t="s">
        <v>127</v>
      </c>
      <c r="S508" t="str">
        <f t="shared" si="200"/>
        <v>15:05:56.000</v>
      </c>
      <c r="T508" t="str">
        <f t="shared" si="200"/>
        <v>15:05:56.000</v>
      </c>
      <c r="U508" t="str">
        <f t="shared" si="179"/>
        <v>A68FCB</v>
      </c>
      <c r="V508">
        <v>0</v>
      </c>
      <c r="W508">
        <v>0</v>
      </c>
      <c r="X508">
        <v>2</v>
      </c>
      <c r="Y508">
        <v>0</v>
      </c>
      <c r="AA508">
        <v>1</v>
      </c>
      <c r="AB508">
        <v>8</v>
      </c>
      <c r="AC508">
        <v>3</v>
      </c>
      <c r="AD508">
        <v>0</v>
      </c>
      <c r="AE508">
        <v>9</v>
      </c>
      <c r="AF508" t="s">
        <v>138</v>
      </c>
      <c r="AG508">
        <v>0</v>
      </c>
      <c r="AH508">
        <v>3</v>
      </c>
      <c r="AI508">
        <v>1</v>
      </c>
      <c r="AJ508">
        <v>0</v>
      </c>
      <c r="AK508" t="s">
        <v>276</v>
      </c>
      <c r="AL508">
        <v>38.95664</v>
      </c>
      <c r="AM508" t="s">
        <v>277</v>
      </c>
      <c r="AN508">
        <v>-121.050797</v>
      </c>
      <c r="AO508">
        <v>25</v>
      </c>
      <c r="AP508">
        <v>2400</v>
      </c>
      <c r="AQ508" t="s">
        <v>131</v>
      </c>
      <c r="AR508">
        <v>38</v>
      </c>
      <c r="AS508">
        <v>49</v>
      </c>
      <c r="AT508">
        <v>704</v>
      </c>
      <c r="BB508" t="str">
        <f t="shared" si="180"/>
        <v>1200</v>
      </c>
      <c r="BC508">
        <v>1</v>
      </c>
      <c r="BD508" t="str">
        <f t="shared" si="181"/>
        <v xml:space="preserve">N52156  </v>
      </c>
      <c r="BE508">
        <v>1</v>
      </c>
      <c r="BG508">
        <v>0</v>
      </c>
      <c r="BH508">
        <v>0</v>
      </c>
      <c r="BI508">
        <v>0</v>
      </c>
      <c r="BJ508">
        <v>2325</v>
      </c>
      <c r="BK508">
        <v>-75</v>
      </c>
      <c r="BL508" t="s">
        <v>188</v>
      </c>
      <c r="BM508">
        <v>1</v>
      </c>
      <c r="BN508">
        <v>1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 t="shared" si="201"/>
        <v>15:05:56.537</v>
      </c>
      <c r="CF508">
        <v>537448339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133</v>
      </c>
      <c r="DA508">
        <v>275</v>
      </c>
      <c r="DB508">
        <v>0</v>
      </c>
      <c r="DC508" t="s">
        <v>134</v>
      </c>
      <c r="DD508" t="s">
        <v>135</v>
      </c>
      <c r="DG508">
        <v>3318583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"05/01/2025 15:05:56.762"</f>
        <v>05/01/2025 15:05:56.762</v>
      </c>
      <c r="C509" t="str">
        <f t="shared" si="178"/>
        <v>FFDFD3C0</v>
      </c>
      <c r="D509" t="s">
        <v>145</v>
      </c>
      <c r="E509" t="str">
        <f>"09"</f>
        <v>09</v>
      </c>
      <c r="H509">
        <v>51</v>
      </c>
      <c r="I509" t="s">
        <v>147</v>
      </c>
      <c r="J509" t="s">
        <v>138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R509" t="s">
        <v>127</v>
      </c>
      <c r="S509" t="str">
        <f t="shared" si="200"/>
        <v>15:05:56.000</v>
      </c>
      <c r="T509" t="str">
        <f t="shared" si="200"/>
        <v>15:05:56.000</v>
      </c>
      <c r="U509" t="str">
        <f t="shared" si="179"/>
        <v>A68FCB</v>
      </c>
      <c r="V509">
        <v>0</v>
      </c>
      <c r="W509">
        <v>0</v>
      </c>
      <c r="X509">
        <v>2</v>
      </c>
      <c r="Y509">
        <v>0</v>
      </c>
      <c r="AA509">
        <v>1</v>
      </c>
      <c r="AB509">
        <v>8</v>
      </c>
      <c r="AC509">
        <v>3</v>
      </c>
      <c r="AD509">
        <v>0</v>
      </c>
      <c r="AE509">
        <v>9</v>
      </c>
      <c r="AF509" t="s">
        <v>138</v>
      </c>
      <c r="AG509">
        <v>0</v>
      </c>
      <c r="AH509">
        <v>3</v>
      </c>
      <c r="AI509">
        <v>1</v>
      </c>
      <c r="AJ509">
        <v>0</v>
      </c>
      <c r="AK509" t="s">
        <v>276</v>
      </c>
      <c r="AL509">
        <v>38.95664</v>
      </c>
      <c r="AM509" t="s">
        <v>277</v>
      </c>
      <c r="AN509">
        <v>-121.050797</v>
      </c>
      <c r="AO509">
        <v>25</v>
      </c>
      <c r="AP509">
        <v>2400</v>
      </c>
      <c r="AQ509" t="s">
        <v>131</v>
      </c>
      <c r="AR509">
        <v>38</v>
      </c>
      <c r="AS509">
        <v>49</v>
      </c>
      <c r="AT509">
        <v>704</v>
      </c>
      <c r="BB509" t="str">
        <f t="shared" si="180"/>
        <v>1200</v>
      </c>
      <c r="BC509">
        <v>1</v>
      </c>
      <c r="BD509" t="str">
        <f t="shared" si="181"/>
        <v xml:space="preserve">N52156  </v>
      </c>
      <c r="BE509">
        <v>1</v>
      </c>
      <c r="BG509">
        <v>0</v>
      </c>
      <c r="BH509">
        <v>0</v>
      </c>
      <c r="BI509">
        <v>0</v>
      </c>
      <c r="BJ509">
        <v>2325</v>
      </c>
      <c r="BK509">
        <v>-75</v>
      </c>
      <c r="BL509" t="s">
        <v>188</v>
      </c>
      <c r="BM509">
        <v>1</v>
      </c>
      <c r="BN509">
        <v>1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 t="shared" si="201"/>
        <v>15:05:56.537</v>
      </c>
      <c r="CF509">
        <v>537448339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133</v>
      </c>
      <c r="DA509">
        <v>275</v>
      </c>
      <c r="DB509">
        <v>0</v>
      </c>
      <c r="DC509" t="s">
        <v>134</v>
      </c>
      <c r="DD509" t="s">
        <v>135</v>
      </c>
      <c r="DG509">
        <v>3318583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"05/01/2025 15:05:56.763"</f>
        <v>05/01/2025 15:05:56.763</v>
      </c>
      <c r="C510" t="str">
        <f t="shared" si="178"/>
        <v>FFDFD3C0</v>
      </c>
      <c r="D510" t="s">
        <v>124</v>
      </c>
      <c r="E510" t="str">
        <f>"06"</f>
        <v>06</v>
      </c>
      <c r="F510">
        <v>2006</v>
      </c>
      <c r="G510" t="s">
        <v>125</v>
      </c>
      <c r="J510" t="s">
        <v>126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R510" t="s">
        <v>127</v>
      </c>
      <c r="S510" t="str">
        <f t="shared" si="200"/>
        <v>15:05:56.000</v>
      </c>
      <c r="T510" t="str">
        <f t="shared" si="200"/>
        <v>15:05:56.000</v>
      </c>
      <c r="U510" t="str">
        <f t="shared" si="179"/>
        <v>A68FCB</v>
      </c>
      <c r="V510">
        <v>0</v>
      </c>
      <c r="W510">
        <v>0</v>
      </c>
      <c r="X510">
        <v>2</v>
      </c>
      <c r="Y510">
        <v>0</v>
      </c>
      <c r="AA510">
        <v>1</v>
      </c>
      <c r="AB510">
        <v>8</v>
      </c>
      <c r="AC510">
        <v>3</v>
      </c>
      <c r="AD510">
        <v>0</v>
      </c>
      <c r="AE510">
        <v>9</v>
      </c>
      <c r="AF510" t="s">
        <v>138</v>
      </c>
      <c r="AG510">
        <v>0</v>
      </c>
      <c r="AH510">
        <v>3</v>
      </c>
      <c r="AI510">
        <v>1</v>
      </c>
      <c r="AJ510">
        <v>0</v>
      </c>
      <c r="AK510" t="s">
        <v>276</v>
      </c>
      <c r="AL510">
        <v>38.95664</v>
      </c>
      <c r="AM510" t="s">
        <v>277</v>
      </c>
      <c r="AN510">
        <v>-121.050797</v>
      </c>
      <c r="AO510">
        <v>25</v>
      </c>
      <c r="AP510">
        <v>2400</v>
      </c>
      <c r="AQ510" t="s">
        <v>131</v>
      </c>
      <c r="AR510">
        <v>38</v>
      </c>
      <c r="AS510">
        <v>49</v>
      </c>
      <c r="AT510">
        <v>704</v>
      </c>
      <c r="BB510" t="str">
        <f t="shared" si="180"/>
        <v>1200</v>
      </c>
      <c r="BC510">
        <v>1</v>
      </c>
      <c r="BD510" t="str">
        <f t="shared" si="181"/>
        <v xml:space="preserve">N52156  </v>
      </c>
      <c r="BE510">
        <v>1</v>
      </c>
      <c r="BG510">
        <v>0</v>
      </c>
      <c r="BH510">
        <v>0</v>
      </c>
      <c r="BI510">
        <v>0</v>
      </c>
      <c r="BJ510">
        <v>2325</v>
      </c>
      <c r="BK510">
        <v>-75</v>
      </c>
      <c r="BL510" t="s">
        <v>188</v>
      </c>
      <c r="BM510">
        <v>1</v>
      </c>
      <c r="BN510">
        <v>1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 t="shared" si="201"/>
        <v>15:05:56.537</v>
      </c>
      <c r="CF510">
        <v>537448339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133</v>
      </c>
      <c r="DA510">
        <v>275</v>
      </c>
      <c r="DB510">
        <v>0</v>
      </c>
      <c r="DC510" t="s">
        <v>134</v>
      </c>
      <c r="DD510" t="s">
        <v>135</v>
      </c>
      <c r="DG510">
        <v>3318583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"05/01/2025 15:05:56.772"</f>
        <v>05/01/2025 15:05:56.772</v>
      </c>
      <c r="C511" t="str">
        <f t="shared" si="178"/>
        <v>FFDFD3C0</v>
      </c>
      <c r="D511" t="s">
        <v>136</v>
      </c>
      <c r="E511" t="str">
        <f>"20"</f>
        <v>20</v>
      </c>
      <c r="H511">
        <v>400</v>
      </c>
      <c r="I511" t="s">
        <v>137</v>
      </c>
      <c r="J511" t="s">
        <v>138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R511" t="s">
        <v>127</v>
      </c>
      <c r="S511" t="str">
        <f t="shared" si="200"/>
        <v>15:05:56.000</v>
      </c>
      <c r="T511" t="str">
        <f t="shared" si="200"/>
        <v>15:05:56.000</v>
      </c>
      <c r="U511" t="str">
        <f t="shared" si="179"/>
        <v>A68FCB</v>
      </c>
      <c r="V511">
        <v>0</v>
      </c>
      <c r="W511">
        <v>0</v>
      </c>
      <c r="X511">
        <v>2</v>
      </c>
      <c r="Y511">
        <v>0</v>
      </c>
      <c r="AA511">
        <v>1</v>
      </c>
      <c r="AB511">
        <v>8</v>
      </c>
      <c r="AC511">
        <v>3</v>
      </c>
      <c r="AD511">
        <v>0</v>
      </c>
      <c r="AE511">
        <v>9</v>
      </c>
      <c r="AF511" t="s">
        <v>138</v>
      </c>
      <c r="AG511">
        <v>0</v>
      </c>
      <c r="AH511">
        <v>3</v>
      </c>
      <c r="AI511">
        <v>1</v>
      </c>
      <c r="AJ511">
        <v>0</v>
      </c>
      <c r="AK511" t="s">
        <v>276</v>
      </c>
      <c r="AL511">
        <v>38.95664</v>
      </c>
      <c r="AM511" t="s">
        <v>277</v>
      </c>
      <c r="AN511">
        <v>-121.050797</v>
      </c>
      <c r="AO511">
        <v>25</v>
      </c>
      <c r="AP511">
        <v>2400</v>
      </c>
      <c r="AQ511" t="s">
        <v>131</v>
      </c>
      <c r="AR511">
        <v>38</v>
      </c>
      <c r="AS511">
        <v>49</v>
      </c>
      <c r="AT511">
        <v>704</v>
      </c>
      <c r="BB511" t="str">
        <f t="shared" si="180"/>
        <v>1200</v>
      </c>
      <c r="BC511">
        <v>1</v>
      </c>
      <c r="BD511" t="str">
        <f t="shared" si="181"/>
        <v xml:space="preserve">N52156  </v>
      </c>
      <c r="BE511">
        <v>1</v>
      </c>
      <c r="BG511">
        <v>0</v>
      </c>
      <c r="BH511">
        <v>0</v>
      </c>
      <c r="BI511">
        <v>0</v>
      </c>
      <c r="BJ511">
        <v>2325</v>
      </c>
      <c r="BK511">
        <v>-75</v>
      </c>
      <c r="BL511" t="s">
        <v>188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 t="shared" si="201"/>
        <v>15:05:56.537</v>
      </c>
      <c r="CF511">
        <v>537448339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133</v>
      </c>
      <c r="DA511">
        <v>275</v>
      </c>
      <c r="DB511">
        <v>0</v>
      </c>
      <c r="DC511" t="s">
        <v>134</v>
      </c>
      <c r="DD511" t="s">
        <v>135</v>
      </c>
      <c r="DG511">
        <v>3318583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"05/01/2025 15:05:57.874"</f>
        <v>05/01/2025 15:05:57.874</v>
      </c>
      <c r="C512" t="str">
        <f t="shared" si="178"/>
        <v>FFDFD3C0</v>
      </c>
      <c r="D512" t="s">
        <v>136</v>
      </c>
      <c r="E512" t="str">
        <f>"20"</f>
        <v>20</v>
      </c>
      <c r="H512">
        <v>400</v>
      </c>
      <c r="I512" t="s">
        <v>137</v>
      </c>
      <c r="J512" t="s">
        <v>138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R512" t="s">
        <v>127</v>
      </c>
      <c r="S512" t="str">
        <f t="shared" ref="S512:T517" si="202">"15:05:57.000"</f>
        <v>15:05:57.000</v>
      </c>
      <c r="T512" t="str">
        <f t="shared" si="202"/>
        <v>15:05:57.000</v>
      </c>
      <c r="U512" t="str">
        <f t="shared" si="179"/>
        <v>A68FCB</v>
      </c>
      <c r="V512">
        <v>0</v>
      </c>
      <c r="W512">
        <v>0</v>
      </c>
      <c r="X512">
        <v>2</v>
      </c>
      <c r="Y512">
        <v>0</v>
      </c>
      <c r="AA512">
        <v>1</v>
      </c>
      <c r="AB512">
        <v>8</v>
      </c>
      <c r="AC512">
        <v>3</v>
      </c>
      <c r="AD512">
        <v>0</v>
      </c>
      <c r="AE512">
        <v>9</v>
      </c>
      <c r="AF512" t="s">
        <v>138</v>
      </c>
      <c r="AG512">
        <v>0</v>
      </c>
      <c r="AH512">
        <v>3</v>
      </c>
      <c r="AI512">
        <v>1</v>
      </c>
      <c r="AJ512">
        <v>0</v>
      </c>
      <c r="AK512" t="s">
        <v>278</v>
      </c>
      <c r="AL512">
        <v>38.956876000000001</v>
      </c>
      <c r="AM512" t="s">
        <v>279</v>
      </c>
      <c r="AN512">
        <v>-121.05056</v>
      </c>
      <c r="AO512">
        <v>25</v>
      </c>
      <c r="AP512">
        <v>2400</v>
      </c>
      <c r="AQ512" t="s">
        <v>131</v>
      </c>
      <c r="AR512">
        <v>33</v>
      </c>
      <c r="AS512">
        <v>53</v>
      </c>
      <c r="AT512">
        <v>704</v>
      </c>
      <c r="BB512" t="str">
        <f t="shared" si="180"/>
        <v>1200</v>
      </c>
      <c r="BC512">
        <v>1</v>
      </c>
      <c r="BD512" t="str">
        <f t="shared" si="181"/>
        <v xml:space="preserve">N52156  </v>
      </c>
      <c r="BE512">
        <v>1</v>
      </c>
      <c r="BG512">
        <v>0</v>
      </c>
      <c r="BH512">
        <v>0</v>
      </c>
      <c r="BI512">
        <v>0</v>
      </c>
      <c r="BJ512">
        <v>2325</v>
      </c>
      <c r="BK512">
        <v>-75</v>
      </c>
      <c r="BL512" t="s">
        <v>188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 t="shared" ref="CE512:CE517" si="203">"15:05:57.668"</f>
        <v>15:05:57.668</v>
      </c>
      <c r="CF512">
        <v>668198726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133</v>
      </c>
      <c r="DA512">
        <v>275</v>
      </c>
      <c r="DB512">
        <v>0</v>
      </c>
      <c r="DC512" t="s">
        <v>134</v>
      </c>
      <c r="DD512" t="s">
        <v>135</v>
      </c>
      <c r="DG512">
        <v>3318595</v>
      </c>
      <c r="DI512">
        <v>1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"05/01/2025 15:05:57.903"</f>
        <v>05/01/2025 15:05:57.903</v>
      </c>
      <c r="C513" t="str">
        <f t="shared" si="178"/>
        <v>FFDFD3C0</v>
      </c>
      <c r="D513" t="s">
        <v>140</v>
      </c>
      <c r="E513" t="str">
        <f>"13"</f>
        <v>13</v>
      </c>
      <c r="F513">
        <v>1019</v>
      </c>
      <c r="G513" t="s">
        <v>141</v>
      </c>
      <c r="J513" t="s">
        <v>142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R513" t="s">
        <v>127</v>
      </c>
      <c r="S513" t="str">
        <f t="shared" si="202"/>
        <v>15:05:57.000</v>
      </c>
      <c r="T513" t="str">
        <f t="shared" si="202"/>
        <v>15:05:57.000</v>
      </c>
      <c r="U513" t="str">
        <f t="shared" si="179"/>
        <v>A68FCB</v>
      </c>
      <c r="V513">
        <v>0</v>
      </c>
      <c r="W513">
        <v>0</v>
      </c>
      <c r="X513">
        <v>2</v>
      </c>
      <c r="Y513">
        <v>0</v>
      </c>
      <c r="AA513">
        <v>1</v>
      </c>
      <c r="AB513">
        <v>8</v>
      </c>
      <c r="AC513">
        <v>3</v>
      </c>
      <c r="AD513">
        <v>0</v>
      </c>
      <c r="AE513">
        <v>9</v>
      </c>
      <c r="AF513" t="s">
        <v>138</v>
      </c>
      <c r="AG513">
        <v>0</v>
      </c>
      <c r="AH513">
        <v>3</v>
      </c>
      <c r="AI513">
        <v>1</v>
      </c>
      <c r="AJ513">
        <v>0</v>
      </c>
      <c r="AK513" t="s">
        <v>278</v>
      </c>
      <c r="AL513">
        <v>38.956876000000001</v>
      </c>
      <c r="AM513" t="s">
        <v>279</v>
      </c>
      <c r="AN513">
        <v>-121.05056</v>
      </c>
      <c r="AO513">
        <v>25</v>
      </c>
      <c r="AP513">
        <v>2400</v>
      </c>
      <c r="AQ513" t="s">
        <v>131</v>
      </c>
      <c r="AR513">
        <v>33</v>
      </c>
      <c r="AS513">
        <v>53</v>
      </c>
      <c r="AT513">
        <v>704</v>
      </c>
      <c r="BB513" t="str">
        <f t="shared" si="180"/>
        <v>1200</v>
      </c>
      <c r="BC513">
        <v>1</v>
      </c>
      <c r="BD513" t="str">
        <f t="shared" si="181"/>
        <v xml:space="preserve">N52156  </v>
      </c>
      <c r="BE513">
        <v>1</v>
      </c>
      <c r="BG513">
        <v>0</v>
      </c>
      <c r="BH513">
        <v>0</v>
      </c>
      <c r="BI513">
        <v>0</v>
      </c>
      <c r="BJ513">
        <v>2325</v>
      </c>
      <c r="BK513">
        <v>-75</v>
      </c>
      <c r="BL513" t="s">
        <v>188</v>
      </c>
      <c r="BM513">
        <v>1</v>
      </c>
      <c r="BN513">
        <v>1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 t="shared" si="203"/>
        <v>15:05:57.668</v>
      </c>
      <c r="CF513">
        <v>668198726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133</v>
      </c>
      <c r="DA513">
        <v>275</v>
      </c>
      <c r="DB513">
        <v>0</v>
      </c>
      <c r="DC513" t="s">
        <v>134</v>
      </c>
      <c r="DD513" t="s">
        <v>135</v>
      </c>
      <c r="DG513">
        <v>3318595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"05/01/2025 15:05:57.913"</f>
        <v>05/01/2025 15:05:57.913</v>
      </c>
      <c r="C514" t="str">
        <f t="shared" ref="C514:C577" si="204">"FFDFD3C0"</f>
        <v>FFDFD3C0</v>
      </c>
      <c r="D514" t="s">
        <v>143</v>
      </c>
      <c r="E514" t="str">
        <f>"05"</f>
        <v>05</v>
      </c>
      <c r="H514">
        <v>172</v>
      </c>
      <c r="I514" t="s">
        <v>141</v>
      </c>
      <c r="J514" t="s">
        <v>144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R514" t="s">
        <v>127</v>
      </c>
      <c r="S514" t="str">
        <f t="shared" si="202"/>
        <v>15:05:57.000</v>
      </c>
      <c r="T514" t="str">
        <f t="shared" si="202"/>
        <v>15:05:57.000</v>
      </c>
      <c r="U514" t="str">
        <f t="shared" ref="U514:U577" si="205">"A68FCB"</f>
        <v>A68FCB</v>
      </c>
      <c r="V514">
        <v>0</v>
      </c>
      <c r="W514">
        <v>0</v>
      </c>
      <c r="X514">
        <v>2</v>
      </c>
      <c r="Y514">
        <v>0</v>
      </c>
      <c r="AA514">
        <v>1</v>
      </c>
      <c r="AB514">
        <v>8</v>
      </c>
      <c r="AC514">
        <v>3</v>
      </c>
      <c r="AD514">
        <v>0</v>
      </c>
      <c r="AE514">
        <v>9</v>
      </c>
      <c r="AF514" t="s">
        <v>138</v>
      </c>
      <c r="AG514">
        <v>0</v>
      </c>
      <c r="AH514">
        <v>3</v>
      </c>
      <c r="AI514">
        <v>1</v>
      </c>
      <c r="AJ514">
        <v>0</v>
      </c>
      <c r="AK514" t="s">
        <v>278</v>
      </c>
      <c r="AL514">
        <v>38.956876000000001</v>
      </c>
      <c r="AM514" t="s">
        <v>279</v>
      </c>
      <c r="AN514">
        <v>-121.05056</v>
      </c>
      <c r="AO514">
        <v>25</v>
      </c>
      <c r="AP514">
        <v>2400</v>
      </c>
      <c r="AQ514" t="s">
        <v>131</v>
      </c>
      <c r="AR514">
        <v>33</v>
      </c>
      <c r="AS514">
        <v>53</v>
      </c>
      <c r="AT514">
        <v>704</v>
      </c>
      <c r="BB514" t="str">
        <f t="shared" ref="BB514:BB577" si="206">"1200"</f>
        <v>1200</v>
      </c>
      <c r="BC514">
        <v>1</v>
      </c>
      <c r="BD514" t="str">
        <f t="shared" ref="BD514:BD577" si="207">"N52156  "</f>
        <v xml:space="preserve">N52156  </v>
      </c>
      <c r="BE514">
        <v>1</v>
      </c>
      <c r="BG514">
        <v>0</v>
      </c>
      <c r="BH514">
        <v>0</v>
      </c>
      <c r="BI514">
        <v>0</v>
      </c>
      <c r="BJ514">
        <v>2325</v>
      </c>
      <c r="BK514">
        <v>-75</v>
      </c>
      <c r="BL514" t="s">
        <v>188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 t="shared" si="203"/>
        <v>15:05:57.668</v>
      </c>
      <c r="CF514">
        <v>668198726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133</v>
      </c>
      <c r="DA514">
        <v>275</v>
      </c>
      <c r="DB514">
        <v>0</v>
      </c>
      <c r="DC514" t="s">
        <v>134</v>
      </c>
      <c r="DD514" t="s">
        <v>135</v>
      </c>
      <c r="DG514">
        <v>3318595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"05/01/2025 15:05:57.914"</f>
        <v>05/01/2025 15:05:57.914</v>
      </c>
      <c r="C515" t="str">
        <f t="shared" si="204"/>
        <v>FFDFD3C0</v>
      </c>
      <c r="D515" t="s">
        <v>145</v>
      </c>
      <c r="E515" t="str">
        <f>"05"</f>
        <v>05</v>
      </c>
      <c r="H515">
        <v>47</v>
      </c>
      <c r="I515" t="s">
        <v>146</v>
      </c>
      <c r="J515" t="s">
        <v>138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R515" t="s">
        <v>127</v>
      </c>
      <c r="S515" t="str">
        <f t="shared" si="202"/>
        <v>15:05:57.000</v>
      </c>
      <c r="T515" t="str">
        <f t="shared" si="202"/>
        <v>15:05:57.000</v>
      </c>
      <c r="U515" t="str">
        <f t="shared" si="205"/>
        <v>A68FCB</v>
      </c>
      <c r="V515">
        <v>0</v>
      </c>
      <c r="W515">
        <v>0</v>
      </c>
      <c r="X515">
        <v>2</v>
      </c>
      <c r="Y515">
        <v>0</v>
      </c>
      <c r="AA515">
        <v>1</v>
      </c>
      <c r="AB515">
        <v>8</v>
      </c>
      <c r="AC515">
        <v>3</v>
      </c>
      <c r="AD515">
        <v>0</v>
      </c>
      <c r="AE515">
        <v>9</v>
      </c>
      <c r="AF515" t="s">
        <v>138</v>
      </c>
      <c r="AG515">
        <v>0</v>
      </c>
      <c r="AH515">
        <v>3</v>
      </c>
      <c r="AI515">
        <v>1</v>
      </c>
      <c r="AJ515">
        <v>0</v>
      </c>
      <c r="AK515" t="s">
        <v>278</v>
      </c>
      <c r="AL515">
        <v>38.956876000000001</v>
      </c>
      <c r="AM515" t="s">
        <v>279</v>
      </c>
      <c r="AN515">
        <v>-121.05056</v>
      </c>
      <c r="AO515">
        <v>25</v>
      </c>
      <c r="AP515">
        <v>2400</v>
      </c>
      <c r="AQ515" t="s">
        <v>131</v>
      </c>
      <c r="AR515">
        <v>33</v>
      </c>
      <c r="AS515">
        <v>53</v>
      </c>
      <c r="AT515">
        <v>704</v>
      </c>
      <c r="BB515" t="str">
        <f t="shared" si="206"/>
        <v>1200</v>
      </c>
      <c r="BC515">
        <v>1</v>
      </c>
      <c r="BD515" t="str">
        <f t="shared" si="207"/>
        <v xml:space="preserve">N52156  </v>
      </c>
      <c r="BE515">
        <v>1</v>
      </c>
      <c r="BG515">
        <v>0</v>
      </c>
      <c r="BH515">
        <v>0</v>
      </c>
      <c r="BI515">
        <v>0</v>
      </c>
      <c r="BJ515">
        <v>2325</v>
      </c>
      <c r="BK515">
        <v>-75</v>
      </c>
      <c r="BL515" t="s">
        <v>188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 t="shared" si="203"/>
        <v>15:05:57.668</v>
      </c>
      <c r="CF515">
        <v>668198726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133</v>
      </c>
      <c r="DA515">
        <v>275</v>
      </c>
      <c r="DB515">
        <v>0</v>
      </c>
      <c r="DC515" t="s">
        <v>134</v>
      </c>
      <c r="DD515" t="s">
        <v>135</v>
      </c>
      <c r="DG515">
        <v>3318595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"05/01/2025 15:05:57.914"</f>
        <v>05/01/2025 15:05:57.914</v>
      </c>
      <c r="C516" t="str">
        <f t="shared" si="204"/>
        <v>FFDFD3C0</v>
      </c>
      <c r="D516" t="s">
        <v>145</v>
      </c>
      <c r="E516" t="str">
        <f>"09"</f>
        <v>09</v>
      </c>
      <c r="H516">
        <v>51</v>
      </c>
      <c r="I516" t="s">
        <v>147</v>
      </c>
      <c r="J516" t="s">
        <v>138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R516" t="s">
        <v>127</v>
      </c>
      <c r="S516" t="str">
        <f t="shared" si="202"/>
        <v>15:05:57.000</v>
      </c>
      <c r="T516" t="str">
        <f t="shared" si="202"/>
        <v>15:05:57.000</v>
      </c>
      <c r="U516" t="str">
        <f t="shared" si="205"/>
        <v>A68FCB</v>
      </c>
      <c r="V516">
        <v>0</v>
      </c>
      <c r="W516">
        <v>0</v>
      </c>
      <c r="X516">
        <v>2</v>
      </c>
      <c r="Y516">
        <v>0</v>
      </c>
      <c r="AA516">
        <v>1</v>
      </c>
      <c r="AB516">
        <v>8</v>
      </c>
      <c r="AC516">
        <v>3</v>
      </c>
      <c r="AD516">
        <v>0</v>
      </c>
      <c r="AE516">
        <v>9</v>
      </c>
      <c r="AF516" t="s">
        <v>138</v>
      </c>
      <c r="AG516">
        <v>0</v>
      </c>
      <c r="AH516">
        <v>3</v>
      </c>
      <c r="AI516">
        <v>1</v>
      </c>
      <c r="AJ516">
        <v>0</v>
      </c>
      <c r="AK516" t="s">
        <v>278</v>
      </c>
      <c r="AL516">
        <v>38.956876000000001</v>
      </c>
      <c r="AM516" t="s">
        <v>279</v>
      </c>
      <c r="AN516">
        <v>-121.05056</v>
      </c>
      <c r="AO516">
        <v>25</v>
      </c>
      <c r="AP516">
        <v>2400</v>
      </c>
      <c r="AQ516" t="s">
        <v>131</v>
      </c>
      <c r="AR516">
        <v>33</v>
      </c>
      <c r="AS516">
        <v>53</v>
      </c>
      <c r="AT516">
        <v>704</v>
      </c>
      <c r="BB516" t="str">
        <f t="shared" si="206"/>
        <v>1200</v>
      </c>
      <c r="BC516">
        <v>1</v>
      </c>
      <c r="BD516" t="str">
        <f t="shared" si="207"/>
        <v xml:space="preserve">N52156  </v>
      </c>
      <c r="BE516">
        <v>1</v>
      </c>
      <c r="BG516">
        <v>0</v>
      </c>
      <c r="BH516">
        <v>0</v>
      </c>
      <c r="BI516">
        <v>0</v>
      </c>
      <c r="BJ516">
        <v>2325</v>
      </c>
      <c r="BK516">
        <v>-75</v>
      </c>
      <c r="BL516" t="s">
        <v>188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 t="shared" si="203"/>
        <v>15:05:57.668</v>
      </c>
      <c r="CF516">
        <v>668198726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133</v>
      </c>
      <c r="DA516">
        <v>275</v>
      </c>
      <c r="DB516">
        <v>0</v>
      </c>
      <c r="DC516" t="s">
        <v>134</v>
      </c>
      <c r="DD516" t="s">
        <v>135</v>
      </c>
      <c r="DG516">
        <v>3318595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"05/01/2025 15:05:57.915"</f>
        <v>05/01/2025 15:05:57.915</v>
      </c>
      <c r="C517" t="str">
        <f t="shared" si="204"/>
        <v>FFDFD3C0</v>
      </c>
      <c r="D517" t="s">
        <v>124</v>
      </c>
      <c r="E517" t="str">
        <f>"06"</f>
        <v>06</v>
      </c>
      <c r="F517">
        <v>2006</v>
      </c>
      <c r="G517" t="s">
        <v>125</v>
      </c>
      <c r="J517" t="s">
        <v>126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R517" t="s">
        <v>127</v>
      </c>
      <c r="S517" t="str">
        <f t="shared" si="202"/>
        <v>15:05:57.000</v>
      </c>
      <c r="T517" t="str">
        <f t="shared" si="202"/>
        <v>15:05:57.000</v>
      </c>
      <c r="U517" t="str">
        <f t="shared" si="205"/>
        <v>A68FCB</v>
      </c>
      <c r="V517">
        <v>0</v>
      </c>
      <c r="W517">
        <v>0</v>
      </c>
      <c r="X517">
        <v>2</v>
      </c>
      <c r="Y517">
        <v>0</v>
      </c>
      <c r="AA517">
        <v>1</v>
      </c>
      <c r="AB517">
        <v>8</v>
      </c>
      <c r="AC517">
        <v>3</v>
      </c>
      <c r="AD517">
        <v>0</v>
      </c>
      <c r="AE517">
        <v>9</v>
      </c>
      <c r="AF517" t="s">
        <v>138</v>
      </c>
      <c r="AG517">
        <v>0</v>
      </c>
      <c r="AH517">
        <v>3</v>
      </c>
      <c r="AI517">
        <v>1</v>
      </c>
      <c r="AJ517">
        <v>0</v>
      </c>
      <c r="AK517" t="s">
        <v>278</v>
      </c>
      <c r="AL517">
        <v>38.956876000000001</v>
      </c>
      <c r="AM517" t="s">
        <v>279</v>
      </c>
      <c r="AN517">
        <v>-121.05056</v>
      </c>
      <c r="AO517">
        <v>25</v>
      </c>
      <c r="AP517">
        <v>2400</v>
      </c>
      <c r="AQ517" t="s">
        <v>131</v>
      </c>
      <c r="AR517">
        <v>33</v>
      </c>
      <c r="AS517">
        <v>53</v>
      </c>
      <c r="AT517">
        <v>704</v>
      </c>
      <c r="BB517" t="str">
        <f t="shared" si="206"/>
        <v>1200</v>
      </c>
      <c r="BC517">
        <v>1</v>
      </c>
      <c r="BD517" t="str">
        <f t="shared" si="207"/>
        <v xml:space="preserve">N52156  </v>
      </c>
      <c r="BE517">
        <v>1</v>
      </c>
      <c r="BG517">
        <v>0</v>
      </c>
      <c r="BH517">
        <v>0</v>
      </c>
      <c r="BI517">
        <v>0</v>
      </c>
      <c r="BJ517">
        <v>2325</v>
      </c>
      <c r="BK517">
        <v>-75</v>
      </c>
      <c r="BL517" t="s">
        <v>188</v>
      </c>
      <c r="BM517">
        <v>1</v>
      </c>
      <c r="BN517">
        <v>1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 t="shared" si="203"/>
        <v>15:05:57.668</v>
      </c>
      <c r="CF517">
        <v>668198726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5</v>
      </c>
      <c r="CY517">
        <v>7</v>
      </c>
      <c r="CZ517" t="s">
        <v>133</v>
      </c>
      <c r="DA517">
        <v>275</v>
      </c>
      <c r="DB517">
        <v>0</v>
      </c>
      <c r="DC517" t="s">
        <v>134</v>
      </c>
      <c r="DD517" t="s">
        <v>135</v>
      </c>
      <c r="DG517">
        <v>3318595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"05/01/2025 15:05:59.126"</f>
        <v>05/01/2025 15:05:59.126</v>
      </c>
      <c r="C518" t="str">
        <f t="shared" si="204"/>
        <v>FFDFD3C0</v>
      </c>
      <c r="D518" t="s">
        <v>136</v>
      </c>
      <c r="E518" t="str">
        <f>"20"</f>
        <v>20</v>
      </c>
      <c r="H518">
        <v>400</v>
      </c>
      <c r="I518" t="s">
        <v>137</v>
      </c>
      <c r="J518" t="s">
        <v>138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R518" t="s">
        <v>127</v>
      </c>
      <c r="S518" t="str">
        <f t="shared" ref="S518:T523" si="208">"15:05:58.000"</f>
        <v>15:05:58.000</v>
      </c>
      <c r="T518" t="str">
        <f t="shared" si="208"/>
        <v>15:05:58.000</v>
      </c>
      <c r="U518" t="str">
        <f t="shared" si="205"/>
        <v>A68FCB</v>
      </c>
      <c r="V518">
        <v>0</v>
      </c>
      <c r="W518">
        <v>0</v>
      </c>
      <c r="X518">
        <v>2</v>
      </c>
      <c r="Y518">
        <v>0</v>
      </c>
      <c r="AA518">
        <v>1</v>
      </c>
      <c r="AB518">
        <v>8</v>
      </c>
      <c r="AC518">
        <v>3</v>
      </c>
      <c r="AD518">
        <v>0</v>
      </c>
      <c r="AE518">
        <v>9</v>
      </c>
      <c r="AF518" t="s">
        <v>138</v>
      </c>
      <c r="AG518">
        <v>0</v>
      </c>
      <c r="AH518">
        <v>3</v>
      </c>
      <c r="AI518">
        <v>1</v>
      </c>
      <c r="AJ518">
        <v>0</v>
      </c>
      <c r="AK518" t="s">
        <v>280</v>
      </c>
      <c r="AL518">
        <v>38.957132999999999</v>
      </c>
      <c r="AM518" t="s">
        <v>281</v>
      </c>
      <c r="AN518">
        <v>-121.05036699999999</v>
      </c>
      <c r="AO518">
        <v>25</v>
      </c>
      <c r="AP518">
        <v>2400</v>
      </c>
      <c r="AQ518" t="s">
        <v>131</v>
      </c>
      <c r="AR518">
        <v>25</v>
      </c>
      <c r="AS518">
        <v>58</v>
      </c>
      <c r="AT518">
        <v>576</v>
      </c>
      <c r="BB518" t="str">
        <f t="shared" si="206"/>
        <v>1200</v>
      </c>
      <c r="BC518">
        <v>1</v>
      </c>
      <c r="BD518" t="str">
        <f t="shared" si="207"/>
        <v xml:space="preserve">N52156  </v>
      </c>
      <c r="BE518">
        <v>1</v>
      </c>
      <c r="BG518">
        <v>0</v>
      </c>
      <c r="BH518">
        <v>0</v>
      </c>
      <c r="BI518">
        <v>0</v>
      </c>
      <c r="BJ518">
        <v>2325</v>
      </c>
      <c r="BK518">
        <v>-75</v>
      </c>
      <c r="BL518" t="s">
        <v>188</v>
      </c>
      <c r="BM518">
        <v>1</v>
      </c>
      <c r="BN518">
        <v>1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 t="shared" ref="CE518:CE523" si="209">"15:05:58.920"</f>
        <v>15:05:58.920</v>
      </c>
      <c r="CF518">
        <v>919699463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133</v>
      </c>
      <c r="DA518">
        <v>275</v>
      </c>
      <c r="DB518">
        <v>0</v>
      </c>
      <c r="DC518" t="s">
        <v>134</v>
      </c>
      <c r="DD518" t="s">
        <v>135</v>
      </c>
      <c r="DG518">
        <v>3318611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"05/01/2025 15:05:59.155"</f>
        <v>05/01/2025 15:05:59.155</v>
      </c>
      <c r="C519" t="str">
        <f t="shared" si="204"/>
        <v>FFDFD3C0</v>
      </c>
      <c r="D519" t="s">
        <v>140</v>
      </c>
      <c r="E519" t="str">
        <f>"13"</f>
        <v>13</v>
      </c>
      <c r="F519">
        <v>1019</v>
      </c>
      <c r="G519" t="s">
        <v>141</v>
      </c>
      <c r="J519" t="s">
        <v>142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R519" t="s">
        <v>127</v>
      </c>
      <c r="S519" t="str">
        <f t="shared" si="208"/>
        <v>15:05:58.000</v>
      </c>
      <c r="T519" t="str">
        <f t="shared" si="208"/>
        <v>15:05:58.000</v>
      </c>
      <c r="U519" t="str">
        <f t="shared" si="205"/>
        <v>A68FCB</v>
      </c>
      <c r="V519">
        <v>0</v>
      </c>
      <c r="W519">
        <v>0</v>
      </c>
      <c r="X519">
        <v>2</v>
      </c>
      <c r="Y519">
        <v>0</v>
      </c>
      <c r="AA519">
        <v>1</v>
      </c>
      <c r="AB519">
        <v>8</v>
      </c>
      <c r="AC519">
        <v>3</v>
      </c>
      <c r="AD519">
        <v>0</v>
      </c>
      <c r="AE519">
        <v>9</v>
      </c>
      <c r="AF519" t="s">
        <v>138</v>
      </c>
      <c r="AG519">
        <v>0</v>
      </c>
      <c r="AH519">
        <v>3</v>
      </c>
      <c r="AI519">
        <v>1</v>
      </c>
      <c r="AJ519">
        <v>0</v>
      </c>
      <c r="AK519" t="s">
        <v>280</v>
      </c>
      <c r="AL519">
        <v>38.957132999999999</v>
      </c>
      <c r="AM519" t="s">
        <v>281</v>
      </c>
      <c r="AN519">
        <v>-121.05036699999999</v>
      </c>
      <c r="AO519">
        <v>25</v>
      </c>
      <c r="AP519">
        <v>2400</v>
      </c>
      <c r="AQ519" t="s">
        <v>131</v>
      </c>
      <c r="AR519">
        <v>25</v>
      </c>
      <c r="AS519">
        <v>58</v>
      </c>
      <c r="AT519">
        <v>576</v>
      </c>
      <c r="BB519" t="str">
        <f t="shared" si="206"/>
        <v>1200</v>
      </c>
      <c r="BC519">
        <v>1</v>
      </c>
      <c r="BD519" t="str">
        <f t="shared" si="207"/>
        <v xml:space="preserve">N52156  </v>
      </c>
      <c r="BE519">
        <v>1</v>
      </c>
      <c r="BG519">
        <v>0</v>
      </c>
      <c r="BH519">
        <v>0</v>
      </c>
      <c r="BI519">
        <v>0</v>
      </c>
      <c r="BJ519">
        <v>2325</v>
      </c>
      <c r="BK519">
        <v>-75</v>
      </c>
      <c r="BL519" t="s">
        <v>188</v>
      </c>
      <c r="BM519">
        <v>1</v>
      </c>
      <c r="BN519">
        <v>1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 t="shared" si="209"/>
        <v>15:05:58.920</v>
      </c>
      <c r="CF519">
        <v>919699463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5</v>
      </c>
      <c r="CY519">
        <v>7</v>
      </c>
      <c r="CZ519" t="s">
        <v>133</v>
      </c>
      <c r="DA519">
        <v>275</v>
      </c>
      <c r="DB519">
        <v>0</v>
      </c>
      <c r="DC519" t="s">
        <v>134</v>
      </c>
      <c r="DD519" t="s">
        <v>135</v>
      </c>
      <c r="DG519">
        <v>3318611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"05/01/2025 15:05:59.165"</f>
        <v>05/01/2025 15:05:59.165</v>
      </c>
      <c r="C520" t="str">
        <f t="shared" si="204"/>
        <v>FFDFD3C0</v>
      </c>
      <c r="D520" t="s">
        <v>143</v>
      </c>
      <c r="E520" t="str">
        <f>"05"</f>
        <v>05</v>
      </c>
      <c r="H520">
        <v>172</v>
      </c>
      <c r="I520" t="s">
        <v>141</v>
      </c>
      <c r="J520" t="s">
        <v>144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R520" t="s">
        <v>127</v>
      </c>
      <c r="S520" t="str">
        <f t="shared" si="208"/>
        <v>15:05:58.000</v>
      </c>
      <c r="T520" t="str">
        <f t="shared" si="208"/>
        <v>15:05:58.000</v>
      </c>
      <c r="U520" t="str">
        <f t="shared" si="205"/>
        <v>A68FCB</v>
      </c>
      <c r="V520">
        <v>0</v>
      </c>
      <c r="W520">
        <v>0</v>
      </c>
      <c r="X520">
        <v>2</v>
      </c>
      <c r="Y520">
        <v>0</v>
      </c>
      <c r="AA520">
        <v>1</v>
      </c>
      <c r="AB520">
        <v>8</v>
      </c>
      <c r="AC520">
        <v>3</v>
      </c>
      <c r="AD520">
        <v>0</v>
      </c>
      <c r="AE520">
        <v>9</v>
      </c>
      <c r="AF520" t="s">
        <v>138</v>
      </c>
      <c r="AG520">
        <v>0</v>
      </c>
      <c r="AH520">
        <v>3</v>
      </c>
      <c r="AI520">
        <v>1</v>
      </c>
      <c r="AJ520">
        <v>0</v>
      </c>
      <c r="AK520" t="s">
        <v>280</v>
      </c>
      <c r="AL520">
        <v>38.957132999999999</v>
      </c>
      <c r="AM520" t="s">
        <v>281</v>
      </c>
      <c r="AN520">
        <v>-121.05036699999999</v>
      </c>
      <c r="AO520">
        <v>25</v>
      </c>
      <c r="AP520">
        <v>2400</v>
      </c>
      <c r="AQ520" t="s">
        <v>131</v>
      </c>
      <c r="AR520">
        <v>25</v>
      </c>
      <c r="AS520">
        <v>58</v>
      </c>
      <c r="AT520">
        <v>576</v>
      </c>
      <c r="BB520" t="str">
        <f t="shared" si="206"/>
        <v>1200</v>
      </c>
      <c r="BC520">
        <v>1</v>
      </c>
      <c r="BD520" t="str">
        <f t="shared" si="207"/>
        <v xml:space="preserve">N52156  </v>
      </c>
      <c r="BE520">
        <v>1</v>
      </c>
      <c r="BG520">
        <v>0</v>
      </c>
      <c r="BH520">
        <v>0</v>
      </c>
      <c r="BI520">
        <v>0</v>
      </c>
      <c r="BJ520">
        <v>2325</v>
      </c>
      <c r="BK520">
        <v>-75</v>
      </c>
      <c r="BL520" t="s">
        <v>188</v>
      </c>
      <c r="BM520">
        <v>1</v>
      </c>
      <c r="BN520">
        <v>1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 t="shared" si="209"/>
        <v>15:05:58.920</v>
      </c>
      <c r="CF520">
        <v>919699463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5</v>
      </c>
      <c r="CY520">
        <v>7</v>
      </c>
      <c r="CZ520" t="s">
        <v>133</v>
      </c>
      <c r="DA520">
        <v>275</v>
      </c>
      <c r="DB520">
        <v>0</v>
      </c>
      <c r="DC520" t="s">
        <v>134</v>
      </c>
      <c r="DD520" t="s">
        <v>135</v>
      </c>
      <c r="DG520">
        <v>3318611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"05/01/2025 15:05:59.167"</f>
        <v>05/01/2025 15:05:59.167</v>
      </c>
      <c r="C521" t="str">
        <f t="shared" si="204"/>
        <v>FFDFD3C0</v>
      </c>
      <c r="D521" t="s">
        <v>124</v>
      </c>
      <c r="E521" t="str">
        <f>"06"</f>
        <v>06</v>
      </c>
      <c r="F521">
        <v>2006</v>
      </c>
      <c r="G521" t="s">
        <v>125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R521" t="s">
        <v>127</v>
      </c>
      <c r="S521" t="str">
        <f t="shared" si="208"/>
        <v>15:05:58.000</v>
      </c>
      <c r="T521" t="str">
        <f t="shared" si="208"/>
        <v>15:05:58.000</v>
      </c>
      <c r="U521" t="str">
        <f t="shared" si="205"/>
        <v>A68FCB</v>
      </c>
      <c r="V521">
        <v>0</v>
      </c>
      <c r="W521">
        <v>0</v>
      </c>
      <c r="X521">
        <v>2</v>
      </c>
      <c r="Y521">
        <v>0</v>
      </c>
      <c r="AA521">
        <v>1</v>
      </c>
      <c r="AB521">
        <v>8</v>
      </c>
      <c r="AC521">
        <v>3</v>
      </c>
      <c r="AD521">
        <v>0</v>
      </c>
      <c r="AE521">
        <v>9</v>
      </c>
      <c r="AF521" t="s">
        <v>138</v>
      </c>
      <c r="AG521">
        <v>0</v>
      </c>
      <c r="AH521">
        <v>3</v>
      </c>
      <c r="AI521">
        <v>1</v>
      </c>
      <c r="AJ521">
        <v>0</v>
      </c>
      <c r="AK521" t="s">
        <v>280</v>
      </c>
      <c r="AL521">
        <v>38.957132999999999</v>
      </c>
      <c r="AM521" t="s">
        <v>281</v>
      </c>
      <c r="AN521">
        <v>-121.05036699999999</v>
      </c>
      <c r="AO521">
        <v>25</v>
      </c>
      <c r="AP521">
        <v>2400</v>
      </c>
      <c r="AQ521" t="s">
        <v>131</v>
      </c>
      <c r="AR521">
        <v>25</v>
      </c>
      <c r="AS521">
        <v>58</v>
      </c>
      <c r="AT521">
        <v>576</v>
      </c>
      <c r="BB521" t="str">
        <f t="shared" si="206"/>
        <v>1200</v>
      </c>
      <c r="BC521">
        <v>1</v>
      </c>
      <c r="BD521" t="str">
        <f t="shared" si="207"/>
        <v xml:space="preserve">N52156  </v>
      </c>
      <c r="BE521">
        <v>1</v>
      </c>
      <c r="BG521">
        <v>0</v>
      </c>
      <c r="BH521">
        <v>0</v>
      </c>
      <c r="BI521">
        <v>0</v>
      </c>
      <c r="BJ521">
        <v>2325</v>
      </c>
      <c r="BK521">
        <v>-75</v>
      </c>
      <c r="BL521" t="s">
        <v>188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 t="shared" si="209"/>
        <v>15:05:58.920</v>
      </c>
      <c r="CF521">
        <v>919699463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5</v>
      </c>
      <c r="CY521">
        <v>7</v>
      </c>
      <c r="CZ521" t="s">
        <v>133</v>
      </c>
      <c r="DA521">
        <v>275</v>
      </c>
      <c r="DB521">
        <v>0</v>
      </c>
      <c r="DC521" t="s">
        <v>134</v>
      </c>
      <c r="DD521" t="s">
        <v>135</v>
      </c>
      <c r="DG521">
        <v>3318611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"05/01/2025 15:05:59.166"</f>
        <v>05/01/2025 15:05:59.166</v>
      </c>
      <c r="C522" t="str">
        <f t="shared" si="204"/>
        <v>FFDFD3C0</v>
      </c>
      <c r="D522" t="s">
        <v>145</v>
      </c>
      <c r="E522" t="str">
        <f>"05"</f>
        <v>05</v>
      </c>
      <c r="H522">
        <v>47</v>
      </c>
      <c r="I522" t="s">
        <v>146</v>
      </c>
      <c r="J522" t="s">
        <v>138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R522" t="s">
        <v>127</v>
      </c>
      <c r="S522" t="str">
        <f t="shared" si="208"/>
        <v>15:05:58.000</v>
      </c>
      <c r="T522" t="str">
        <f t="shared" si="208"/>
        <v>15:05:58.000</v>
      </c>
      <c r="U522" t="str">
        <f t="shared" si="205"/>
        <v>A68FCB</v>
      </c>
      <c r="V522">
        <v>0</v>
      </c>
      <c r="W522">
        <v>0</v>
      </c>
      <c r="X522">
        <v>2</v>
      </c>
      <c r="Y522">
        <v>0</v>
      </c>
      <c r="AA522">
        <v>1</v>
      </c>
      <c r="AB522">
        <v>8</v>
      </c>
      <c r="AC522">
        <v>3</v>
      </c>
      <c r="AD522">
        <v>0</v>
      </c>
      <c r="AE522">
        <v>9</v>
      </c>
      <c r="AF522" t="s">
        <v>138</v>
      </c>
      <c r="AG522">
        <v>0</v>
      </c>
      <c r="AH522">
        <v>3</v>
      </c>
      <c r="AI522">
        <v>1</v>
      </c>
      <c r="AJ522">
        <v>0</v>
      </c>
      <c r="AK522" t="s">
        <v>280</v>
      </c>
      <c r="AL522">
        <v>38.957132999999999</v>
      </c>
      <c r="AM522" t="s">
        <v>281</v>
      </c>
      <c r="AN522">
        <v>-121.05036699999999</v>
      </c>
      <c r="AO522">
        <v>25</v>
      </c>
      <c r="AP522">
        <v>2400</v>
      </c>
      <c r="AQ522" t="s">
        <v>131</v>
      </c>
      <c r="AR522">
        <v>25</v>
      </c>
      <c r="AS522">
        <v>58</v>
      </c>
      <c r="AT522">
        <v>576</v>
      </c>
      <c r="BB522" t="str">
        <f t="shared" si="206"/>
        <v>1200</v>
      </c>
      <c r="BC522">
        <v>1</v>
      </c>
      <c r="BD522" t="str">
        <f t="shared" si="207"/>
        <v xml:space="preserve">N52156  </v>
      </c>
      <c r="BE522">
        <v>1</v>
      </c>
      <c r="BG522">
        <v>0</v>
      </c>
      <c r="BH522">
        <v>0</v>
      </c>
      <c r="BI522">
        <v>0</v>
      </c>
      <c r="BJ522">
        <v>2325</v>
      </c>
      <c r="BK522">
        <v>-75</v>
      </c>
      <c r="BL522" t="s">
        <v>188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 t="shared" si="209"/>
        <v>15:05:58.920</v>
      </c>
      <c r="CF522">
        <v>919699463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5</v>
      </c>
      <c r="CY522">
        <v>7</v>
      </c>
      <c r="CZ522" t="s">
        <v>133</v>
      </c>
      <c r="DA522">
        <v>275</v>
      </c>
      <c r="DB522">
        <v>0</v>
      </c>
      <c r="DC522" t="s">
        <v>134</v>
      </c>
      <c r="DD522" t="s">
        <v>135</v>
      </c>
      <c r="DG522">
        <v>3318611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"05/01/2025 15:05:59.166"</f>
        <v>05/01/2025 15:05:59.166</v>
      </c>
      <c r="C523" t="str">
        <f t="shared" si="204"/>
        <v>FFDFD3C0</v>
      </c>
      <c r="D523" t="s">
        <v>145</v>
      </c>
      <c r="E523" t="str">
        <f>"09"</f>
        <v>09</v>
      </c>
      <c r="H523">
        <v>51</v>
      </c>
      <c r="I523" t="s">
        <v>147</v>
      </c>
      <c r="J523" t="s">
        <v>138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R523" t="s">
        <v>127</v>
      </c>
      <c r="S523" t="str">
        <f t="shared" si="208"/>
        <v>15:05:58.000</v>
      </c>
      <c r="T523" t="str">
        <f t="shared" si="208"/>
        <v>15:05:58.000</v>
      </c>
      <c r="U523" t="str">
        <f t="shared" si="205"/>
        <v>A68FCB</v>
      </c>
      <c r="V523">
        <v>0</v>
      </c>
      <c r="W523">
        <v>0</v>
      </c>
      <c r="X523">
        <v>2</v>
      </c>
      <c r="Y523">
        <v>0</v>
      </c>
      <c r="AA523">
        <v>1</v>
      </c>
      <c r="AB523">
        <v>8</v>
      </c>
      <c r="AC523">
        <v>3</v>
      </c>
      <c r="AD523">
        <v>0</v>
      </c>
      <c r="AE523">
        <v>9</v>
      </c>
      <c r="AF523" t="s">
        <v>138</v>
      </c>
      <c r="AG523">
        <v>0</v>
      </c>
      <c r="AH523">
        <v>3</v>
      </c>
      <c r="AI523">
        <v>1</v>
      </c>
      <c r="AJ523">
        <v>0</v>
      </c>
      <c r="AK523" t="s">
        <v>280</v>
      </c>
      <c r="AL523">
        <v>38.957132999999999</v>
      </c>
      <c r="AM523" t="s">
        <v>281</v>
      </c>
      <c r="AN523">
        <v>-121.05036699999999</v>
      </c>
      <c r="AO523">
        <v>25</v>
      </c>
      <c r="AP523">
        <v>2400</v>
      </c>
      <c r="AQ523" t="s">
        <v>131</v>
      </c>
      <c r="AR523">
        <v>25</v>
      </c>
      <c r="AS523">
        <v>58</v>
      </c>
      <c r="AT523">
        <v>576</v>
      </c>
      <c r="BB523" t="str">
        <f t="shared" si="206"/>
        <v>1200</v>
      </c>
      <c r="BC523">
        <v>1</v>
      </c>
      <c r="BD523" t="str">
        <f t="shared" si="207"/>
        <v xml:space="preserve">N52156  </v>
      </c>
      <c r="BE523">
        <v>1</v>
      </c>
      <c r="BG523">
        <v>0</v>
      </c>
      <c r="BH523">
        <v>0</v>
      </c>
      <c r="BI523">
        <v>0</v>
      </c>
      <c r="BJ523">
        <v>2325</v>
      </c>
      <c r="BK523">
        <v>-75</v>
      </c>
      <c r="BL523" t="s">
        <v>188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 t="shared" si="209"/>
        <v>15:05:58.920</v>
      </c>
      <c r="CF523">
        <v>919699463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5</v>
      </c>
      <c r="CY523">
        <v>7</v>
      </c>
      <c r="CZ523" t="s">
        <v>133</v>
      </c>
      <c r="DA523">
        <v>275</v>
      </c>
      <c r="DB523">
        <v>0</v>
      </c>
      <c r="DC523" t="s">
        <v>134</v>
      </c>
      <c r="DD523" t="s">
        <v>135</v>
      </c>
      <c r="DG523">
        <v>3318611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"05/01/2025 15:05:59.666"</f>
        <v>05/01/2025 15:05:59.666</v>
      </c>
      <c r="C524" t="str">
        <f t="shared" si="204"/>
        <v>FFDFD3C0</v>
      </c>
      <c r="D524" t="s">
        <v>143</v>
      </c>
      <c r="E524" t="str">
        <f>"05"</f>
        <v>05</v>
      </c>
      <c r="H524">
        <v>172</v>
      </c>
      <c r="I524" t="s">
        <v>141</v>
      </c>
      <c r="J524" t="s">
        <v>144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R524" t="s">
        <v>127</v>
      </c>
      <c r="S524" t="str">
        <f t="shared" ref="S524:T529" si="210">"15:05:59.000"</f>
        <v>15:05:59.000</v>
      </c>
      <c r="T524" t="str">
        <f t="shared" si="210"/>
        <v>15:05:59.000</v>
      </c>
      <c r="U524" t="str">
        <f t="shared" si="205"/>
        <v>A68FCB</v>
      </c>
      <c r="V524">
        <v>0</v>
      </c>
      <c r="W524">
        <v>0</v>
      </c>
      <c r="X524">
        <v>2</v>
      </c>
      <c r="Y524">
        <v>0</v>
      </c>
      <c r="AA524">
        <v>1</v>
      </c>
      <c r="AB524">
        <v>8</v>
      </c>
      <c r="AC524">
        <v>3</v>
      </c>
      <c r="AD524">
        <v>0</v>
      </c>
      <c r="AE524">
        <v>9</v>
      </c>
      <c r="AF524" t="s">
        <v>138</v>
      </c>
      <c r="AG524">
        <v>0</v>
      </c>
      <c r="AH524">
        <v>3</v>
      </c>
      <c r="AI524">
        <v>1</v>
      </c>
      <c r="AJ524">
        <v>0</v>
      </c>
      <c r="AK524" t="s">
        <v>282</v>
      </c>
      <c r="AL524">
        <v>38.957369</v>
      </c>
      <c r="AM524" t="s">
        <v>283</v>
      </c>
      <c r="AN524">
        <v>-121.050174</v>
      </c>
      <c r="AO524">
        <v>25</v>
      </c>
      <c r="AP524">
        <v>2400</v>
      </c>
      <c r="AQ524" t="s">
        <v>131</v>
      </c>
      <c r="AR524">
        <v>24</v>
      </c>
      <c r="AS524">
        <v>61</v>
      </c>
      <c r="AT524">
        <v>576</v>
      </c>
      <c r="BB524" t="str">
        <f t="shared" si="206"/>
        <v>1200</v>
      </c>
      <c r="BC524">
        <v>1</v>
      </c>
      <c r="BD524" t="str">
        <f t="shared" si="207"/>
        <v xml:space="preserve">N52156  </v>
      </c>
      <c r="BE524">
        <v>1</v>
      </c>
      <c r="BG524">
        <v>0</v>
      </c>
      <c r="BH524">
        <v>0</v>
      </c>
      <c r="BI524">
        <v>0</v>
      </c>
      <c r="BJ524">
        <v>2350</v>
      </c>
      <c r="BK524">
        <v>-50</v>
      </c>
      <c r="BL524" t="s">
        <v>188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 t="shared" ref="CE524:CE529" si="211">"15:05:59.455"</f>
        <v>15:05:59.455</v>
      </c>
      <c r="CF524">
        <v>454948335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5</v>
      </c>
      <c r="CY524">
        <v>7</v>
      </c>
      <c r="CZ524" t="s">
        <v>133</v>
      </c>
      <c r="DA524">
        <v>275</v>
      </c>
      <c r="DB524">
        <v>0</v>
      </c>
      <c r="DC524" t="s">
        <v>134</v>
      </c>
      <c r="DD524" t="s">
        <v>135</v>
      </c>
      <c r="DG524">
        <v>3318619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"05/01/2025 15:05:59.667"</f>
        <v>05/01/2025 15:05:59.667</v>
      </c>
      <c r="C525" t="str">
        <f t="shared" si="204"/>
        <v>FFDFD3C0</v>
      </c>
      <c r="D525" t="s">
        <v>145</v>
      </c>
      <c r="E525" t="str">
        <f>"09"</f>
        <v>09</v>
      </c>
      <c r="H525">
        <v>51</v>
      </c>
      <c r="I525" t="s">
        <v>147</v>
      </c>
      <c r="J525" t="s">
        <v>138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R525" t="s">
        <v>127</v>
      </c>
      <c r="S525" t="str">
        <f t="shared" si="210"/>
        <v>15:05:59.000</v>
      </c>
      <c r="T525" t="str">
        <f t="shared" si="210"/>
        <v>15:05:59.000</v>
      </c>
      <c r="U525" t="str">
        <f t="shared" si="205"/>
        <v>A68FCB</v>
      </c>
      <c r="V525">
        <v>0</v>
      </c>
      <c r="W525">
        <v>0</v>
      </c>
      <c r="X525">
        <v>2</v>
      </c>
      <c r="Y525">
        <v>0</v>
      </c>
      <c r="AA525">
        <v>1</v>
      </c>
      <c r="AB525">
        <v>8</v>
      </c>
      <c r="AC525">
        <v>3</v>
      </c>
      <c r="AD525">
        <v>0</v>
      </c>
      <c r="AE525">
        <v>9</v>
      </c>
      <c r="AF525" t="s">
        <v>138</v>
      </c>
      <c r="AG525">
        <v>0</v>
      </c>
      <c r="AH525">
        <v>3</v>
      </c>
      <c r="AI525">
        <v>1</v>
      </c>
      <c r="AJ525">
        <v>0</v>
      </c>
      <c r="AK525" t="s">
        <v>282</v>
      </c>
      <c r="AL525">
        <v>38.957369</v>
      </c>
      <c r="AM525" t="s">
        <v>283</v>
      </c>
      <c r="AN525">
        <v>-121.050174</v>
      </c>
      <c r="AO525">
        <v>25</v>
      </c>
      <c r="AP525">
        <v>2400</v>
      </c>
      <c r="AQ525" t="s">
        <v>131</v>
      </c>
      <c r="AR525">
        <v>24</v>
      </c>
      <c r="AS525">
        <v>61</v>
      </c>
      <c r="AT525">
        <v>576</v>
      </c>
      <c r="BB525" t="str">
        <f t="shared" si="206"/>
        <v>1200</v>
      </c>
      <c r="BC525">
        <v>1</v>
      </c>
      <c r="BD525" t="str">
        <f t="shared" si="207"/>
        <v xml:space="preserve">N52156  </v>
      </c>
      <c r="BE525">
        <v>1</v>
      </c>
      <c r="BG525">
        <v>0</v>
      </c>
      <c r="BH525">
        <v>0</v>
      </c>
      <c r="BI525">
        <v>0</v>
      </c>
      <c r="BJ525">
        <v>2350</v>
      </c>
      <c r="BK525">
        <v>-50</v>
      </c>
      <c r="BL525" t="s">
        <v>188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 t="shared" si="211"/>
        <v>15:05:59.455</v>
      </c>
      <c r="CF525">
        <v>454948335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5</v>
      </c>
      <c r="CY525">
        <v>7</v>
      </c>
      <c r="CZ525" t="s">
        <v>133</v>
      </c>
      <c r="DA525">
        <v>275</v>
      </c>
      <c r="DB525">
        <v>0</v>
      </c>
      <c r="DC525" t="s">
        <v>134</v>
      </c>
      <c r="DD525" t="s">
        <v>135</v>
      </c>
      <c r="DG525">
        <v>3318619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"05/01/2025 15:05:59.667"</f>
        <v>05/01/2025 15:05:59.667</v>
      </c>
      <c r="C526" t="str">
        <f t="shared" si="204"/>
        <v>FFDFD3C0</v>
      </c>
      <c r="D526" t="s">
        <v>145</v>
      </c>
      <c r="E526" t="str">
        <f>"05"</f>
        <v>05</v>
      </c>
      <c r="H526">
        <v>47</v>
      </c>
      <c r="I526" t="s">
        <v>146</v>
      </c>
      <c r="J526" t="s">
        <v>138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R526" t="s">
        <v>127</v>
      </c>
      <c r="S526" t="str">
        <f t="shared" si="210"/>
        <v>15:05:59.000</v>
      </c>
      <c r="T526" t="str">
        <f t="shared" si="210"/>
        <v>15:05:59.000</v>
      </c>
      <c r="U526" t="str">
        <f t="shared" si="205"/>
        <v>A68FCB</v>
      </c>
      <c r="V526">
        <v>0</v>
      </c>
      <c r="W526">
        <v>0</v>
      </c>
      <c r="X526">
        <v>2</v>
      </c>
      <c r="Y526">
        <v>0</v>
      </c>
      <c r="AA526">
        <v>1</v>
      </c>
      <c r="AB526">
        <v>8</v>
      </c>
      <c r="AC526">
        <v>3</v>
      </c>
      <c r="AD526">
        <v>0</v>
      </c>
      <c r="AE526">
        <v>9</v>
      </c>
      <c r="AF526" t="s">
        <v>138</v>
      </c>
      <c r="AG526">
        <v>0</v>
      </c>
      <c r="AH526">
        <v>3</v>
      </c>
      <c r="AI526">
        <v>1</v>
      </c>
      <c r="AJ526">
        <v>0</v>
      </c>
      <c r="AK526" t="s">
        <v>282</v>
      </c>
      <c r="AL526">
        <v>38.957369</v>
      </c>
      <c r="AM526" t="s">
        <v>283</v>
      </c>
      <c r="AN526">
        <v>-121.050174</v>
      </c>
      <c r="AO526">
        <v>25</v>
      </c>
      <c r="AP526">
        <v>2400</v>
      </c>
      <c r="AQ526" t="s">
        <v>131</v>
      </c>
      <c r="AR526">
        <v>24</v>
      </c>
      <c r="AS526">
        <v>61</v>
      </c>
      <c r="AT526">
        <v>576</v>
      </c>
      <c r="BB526" t="str">
        <f t="shared" si="206"/>
        <v>1200</v>
      </c>
      <c r="BC526">
        <v>1</v>
      </c>
      <c r="BD526" t="str">
        <f t="shared" si="207"/>
        <v xml:space="preserve">N52156  </v>
      </c>
      <c r="BE526">
        <v>1</v>
      </c>
      <c r="BG526">
        <v>0</v>
      </c>
      <c r="BH526">
        <v>0</v>
      </c>
      <c r="BI526">
        <v>0</v>
      </c>
      <c r="BJ526">
        <v>2350</v>
      </c>
      <c r="BK526">
        <v>-50</v>
      </c>
      <c r="BL526" t="s">
        <v>188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 t="shared" si="211"/>
        <v>15:05:59.455</v>
      </c>
      <c r="CF526">
        <v>454948335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5</v>
      </c>
      <c r="CY526">
        <v>7</v>
      </c>
      <c r="CZ526" t="s">
        <v>133</v>
      </c>
      <c r="DA526">
        <v>275</v>
      </c>
      <c r="DB526">
        <v>0</v>
      </c>
      <c r="DC526" t="s">
        <v>134</v>
      </c>
      <c r="DD526" t="s">
        <v>135</v>
      </c>
      <c r="DG526">
        <v>3318619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"05/01/2025 15:05:59.668"</f>
        <v>05/01/2025 15:05:59.668</v>
      </c>
      <c r="C527" t="str">
        <f t="shared" si="204"/>
        <v>FFDFD3C0</v>
      </c>
      <c r="D527" t="s">
        <v>124</v>
      </c>
      <c r="E527" t="str">
        <f>"06"</f>
        <v>06</v>
      </c>
      <c r="F527">
        <v>2006</v>
      </c>
      <c r="G527" t="s">
        <v>125</v>
      </c>
      <c r="J527" t="s">
        <v>126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R527" t="s">
        <v>127</v>
      </c>
      <c r="S527" t="str">
        <f t="shared" si="210"/>
        <v>15:05:59.000</v>
      </c>
      <c r="T527" t="str">
        <f t="shared" si="210"/>
        <v>15:05:59.000</v>
      </c>
      <c r="U527" t="str">
        <f t="shared" si="205"/>
        <v>A68FCB</v>
      </c>
      <c r="V527">
        <v>0</v>
      </c>
      <c r="W527">
        <v>0</v>
      </c>
      <c r="X527">
        <v>2</v>
      </c>
      <c r="Y527">
        <v>0</v>
      </c>
      <c r="AA527">
        <v>1</v>
      </c>
      <c r="AB527">
        <v>8</v>
      </c>
      <c r="AC527">
        <v>3</v>
      </c>
      <c r="AD527">
        <v>0</v>
      </c>
      <c r="AE527">
        <v>9</v>
      </c>
      <c r="AF527" t="s">
        <v>138</v>
      </c>
      <c r="AG527">
        <v>0</v>
      </c>
      <c r="AH527">
        <v>3</v>
      </c>
      <c r="AI527">
        <v>1</v>
      </c>
      <c r="AJ527">
        <v>0</v>
      </c>
      <c r="AK527" t="s">
        <v>282</v>
      </c>
      <c r="AL527">
        <v>38.957369</v>
      </c>
      <c r="AM527" t="s">
        <v>283</v>
      </c>
      <c r="AN527">
        <v>-121.050174</v>
      </c>
      <c r="AO527">
        <v>25</v>
      </c>
      <c r="AP527">
        <v>2400</v>
      </c>
      <c r="AQ527" t="s">
        <v>131</v>
      </c>
      <c r="AR527">
        <v>24</v>
      </c>
      <c r="AS527">
        <v>61</v>
      </c>
      <c r="AT527">
        <v>576</v>
      </c>
      <c r="BB527" t="str">
        <f t="shared" si="206"/>
        <v>1200</v>
      </c>
      <c r="BC527">
        <v>1</v>
      </c>
      <c r="BD527" t="str">
        <f t="shared" si="207"/>
        <v xml:space="preserve">N52156  </v>
      </c>
      <c r="BE527">
        <v>1</v>
      </c>
      <c r="BG527">
        <v>0</v>
      </c>
      <c r="BH527">
        <v>0</v>
      </c>
      <c r="BI527">
        <v>0</v>
      </c>
      <c r="BJ527">
        <v>2350</v>
      </c>
      <c r="BK527">
        <v>-50</v>
      </c>
      <c r="BL527" t="s">
        <v>188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 t="shared" si="211"/>
        <v>15:05:59.455</v>
      </c>
      <c r="CF527">
        <v>454948335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5</v>
      </c>
      <c r="CY527">
        <v>7</v>
      </c>
      <c r="CZ527" t="s">
        <v>133</v>
      </c>
      <c r="DA527">
        <v>275</v>
      </c>
      <c r="DB527">
        <v>0</v>
      </c>
      <c r="DC527" t="s">
        <v>134</v>
      </c>
      <c r="DD527" t="s">
        <v>135</v>
      </c>
      <c r="DG527">
        <v>3318619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"05/01/2025 15:05:59.677"</f>
        <v>05/01/2025 15:05:59.677</v>
      </c>
      <c r="C528" t="str">
        <f t="shared" si="204"/>
        <v>FFDFD3C0</v>
      </c>
      <c r="D528" t="s">
        <v>136</v>
      </c>
      <c r="E528" t="str">
        <f>"20"</f>
        <v>20</v>
      </c>
      <c r="H528">
        <v>400</v>
      </c>
      <c r="I528" t="s">
        <v>137</v>
      </c>
      <c r="J528" t="s">
        <v>138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R528" t="s">
        <v>127</v>
      </c>
      <c r="S528" t="str">
        <f t="shared" si="210"/>
        <v>15:05:59.000</v>
      </c>
      <c r="T528" t="str">
        <f t="shared" si="210"/>
        <v>15:05:59.000</v>
      </c>
      <c r="U528" t="str">
        <f t="shared" si="205"/>
        <v>A68FCB</v>
      </c>
      <c r="V528">
        <v>0</v>
      </c>
      <c r="W528">
        <v>0</v>
      </c>
      <c r="X528">
        <v>2</v>
      </c>
      <c r="Y528">
        <v>0</v>
      </c>
      <c r="AA528">
        <v>1</v>
      </c>
      <c r="AB528">
        <v>8</v>
      </c>
      <c r="AC528">
        <v>3</v>
      </c>
      <c r="AD528">
        <v>0</v>
      </c>
      <c r="AE528">
        <v>9</v>
      </c>
      <c r="AF528" t="s">
        <v>138</v>
      </c>
      <c r="AG528">
        <v>0</v>
      </c>
      <c r="AH528">
        <v>3</v>
      </c>
      <c r="AI528">
        <v>1</v>
      </c>
      <c r="AJ528">
        <v>0</v>
      </c>
      <c r="AK528" t="s">
        <v>282</v>
      </c>
      <c r="AL528">
        <v>38.957369</v>
      </c>
      <c r="AM528" t="s">
        <v>283</v>
      </c>
      <c r="AN528">
        <v>-121.050174</v>
      </c>
      <c r="AO528">
        <v>25</v>
      </c>
      <c r="AP528">
        <v>2400</v>
      </c>
      <c r="AQ528" t="s">
        <v>131</v>
      </c>
      <c r="AR528">
        <v>24</v>
      </c>
      <c r="AS528">
        <v>61</v>
      </c>
      <c r="AT528">
        <v>576</v>
      </c>
      <c r="BB528" t="str">
        <f t="shared" si="206"/>
        <v>1200</v>
      </c>
      <c r="BC528">
        <v>1</v>
      </c>
      <c r="BD528" t="str">
        <f t="shared" si="207"/>
        <v xml:space="preserve">N52156  </v>
      </c>
      <c r="BE528">
        <v>1</v>
      </c>
      <c r="BG528">
        <v>0</v>
      </c>
      <c r="BH528">
        <v>0</v>
      </c>
      <c r="BI528">
        <v>0</v>
      </c>
      <c r="BJ528">
        <v>2350</v>
      </c>
      <c r="BK528">
        <v>-50</v>
      </c>
      <c r="BL528" t="s">
        <v>188</v>
      </c>
      <c r="BM528">
        <v>1</v>
      </c>
      <c r="BN528">
        <v>1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 t="shared" si="211"/>
        <v>15:05:59.455</v>
      </c>
      <c r="CF528">
        <v>454948335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5</v>
      </c>
      <c r="CY528">
        <v>7</v>
      </c>
      <c r="CZ528" t="s">
        <v>133</v>
      </c>
      <c r="DA528">
        <v>275</v>
      </c>
      <c r="DB528">
        <v>0</v>
      </c>
      <c r="DC528" t="s">
        <v>134</v>
      </c>
      <c r="DD528" t="s">
        <v>135</v>
      </c>
      <c r="DG528">
        <v>3318619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"05/01/2025 15:05:59.706"</f>
        <v>05/01/2025 15:05:59.706</v>
      </c>
      <c r="C529" t="str">
        <f t="shared" si="204"/>
        <v>FFDFD3C0</v>
      </c>
      <c r="D529" t="s">
        <v>140</v>
      </c>
      <c r="E529" t="str">
        <f>"13"</f>
        <v>13</v>
      </c>
      <c r="F529">
        <v>1019</v>
      </c>
      <c r="G529" t="s">
        <v>141</v>
      </c>
      <c r="J529" t="s">
        <v>142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R529" t="s">
        <v>127</v>
      </c>
      <c r="S529" t="str">
        <f t="shared" si="210"/>
        <v>15:05:59.000</v>
      </c>
      <c r="T529" t="str">
        <f t="shared" si="210"/>
        <v>15:05:59.000</v>
      </c>
      <c r="U529" t="str">
        <f t="shared" si="205"/>
        <v>A68FCB</v>
      </c>
      <c r="V529">
        <v>0</v>
      </c>
      <c r="W529">
        <v>0</v>
      </c>
      <c r="X529">
        <v>2</v>
      </c>
      <c r="Y529">
        <v>0</v>
      </c>
      <c r="AA529">
        <v>1</v>
      </c>
      <c r="AB529">
        <v>8</v>
      </c>
      <c r="AC529">
        <v>3</v>
      </c>
      <c r="AD529">
        <v>0</v>
      </c>
      <c r="AE529">
        <v>9</v>
      </c>
      <c r="AF529" t="s">
        <v>138</v>
      </c>
      <c r="AG529">
        <v>0</v>
      </c>
      <c r="AH529">
        <v>3</v>
      </c>
      <c r="AI529">
        <v>1</v>
      </c>
      <c r="AJ529">
        <v>0</v>
      </c>
      <c r="AK529" t="s">
        <v>282</v>
      </c>
      <c r="AL529">
        <v>38.957369</v>
      </c>
      <c r="AM529" t="s">
        <v>283</v>
      </c>
      <c r="AN529">
        <v>-121.050174</v>
      </c>
      <c r="AO529">
        <v>25</v>
      </c>
      <c r="AP529">
        <v>2400</v>
      </c>
      <c r="AQ529" t="s">
        <v>131</v>
      </c>
      <c r="AR529">
        <v>24</v>
      </c>
      <c r="AS529">
        <v>61</v>
      </c>
      <c r="AT529">
        <v>576</v>
      </c>
      <c r="BB529" t="str">
        <f t="shared" si="206"/>
        <v>1200</v>
      </c>
      <c r="BC529">
        <v>1</v>
      </c>
      <c r="BD529" t="str">
        <f t="shared" si="207"/>
        <v xml:space="preserve">N52156  </v>
      </c>
      <c r="BE529">
        <v>1</v>
      </c>
      <c r="BG529">
        <v>0</v>
      </c>
      <c r="BH529">
        <v>0</v>
      </c>
      <c r="BI529">
        <v>0</v>
      </c>
      <c r="BJ529">
        <v>2350</v>
      </c>
      <c r="BK529">
        <v>-50</v>
      </c>
      <c r="BL529" t="s">
        <v>188</v>
      </c>
      <c r="BM529">
        <v>1</v>
      </c>
      <c r="BN529">
        <v>1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 t="shared" si="211"/>
        <v>15:05:59.455</v>
      </c>
      <c r="CF529">
        <v>454948335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5</v>
      </c>
      <c r="CY529">
        <v>7</v>
      </c>
      <c r="CZ529" t="s">
        <v>133</v>
      </c>
      <c r="DA529">
        <v>275</v>
      </c>
      <c r="DB529">
        <v>0</v>
      </c>
      <c r="DC529" t="s">
        <v>134</v>
      </c>
      <c r="DD529" t="s">
        <v>135</v>
      </c>
      <c r="DG529">
        <v>3318619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"05/01/2025 15:06:00.729"</f>
        <v>05/01/2025 15:06:00.729</v>
      </c>
      <c r="C530" t="str">
        <f t="shared" si="204"/>
        <v>FFDFD3C0</v>
      </c>
      <c r="D530" t="s">
        <v>136</v>
      </c>
      <c r="E530" t="str">
        <f>"20"</f>
        <v>20</v>
      </c>
      <c r="H530">
        <v>400</v>
      </c>
      <c r="I530" t="s">
        <v>137</v>
      </c>
      <c r="J530" t="s">
        <v>138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R530" t="s">
        <v>127</v>
      </c>
      <c r="S530" t="str">
        <f t="shared" ref="S530:T535" si="212">"15:06:00.000"</f>
        <v>15:06:00.000</v>
      </c>
      <c r="T530" t="str">
        <f t="shared" si="212"/>
        <v>15:06:00.000</v>
      </c>
      <c r="U530" t="str">
        <f t="shared" si="205"/>
        <v>A68FCB</v>
      </c>
      <c r="V530">
        <v>0</v>
      </c>
      <c r="W530">
        <v>0</v>
      </c>
      <c r="X530">
        <v>2</v>
      </c>
      <c r="Y530">
        <v>0</v>
      </c>
      <c r="AA530">
        <v>1</v>
      </c>
      <c r="AB530">
        <v>8</v>
      </c>
      <c r="AC530">
        <v>3</v>
      </c>
      <c r="AD530">
        <v>0</v>
      </c>
      <c r="AE530">
        <v>9</v>
      </c>
      <c r="AF530" t="s">
        <v>138</v>
      </c>
      <c r="AG530">
        <v>0</v>
      </c>
      <c r="AH530">
        <v>3</v>
      </c>
      <c r="AI530">
        <v>1</v>
      </c>
      <c r="AJ530">
        <v>0</v>
      </c>
      <c r="AK530" t="s">
        <v>284</v>
      </c>
      <c r="AL530">
        <v>38.957647999999999</v>
      </c>
      <c r="AM530" t="s">
        <v>285</v>
      </c>
      <c r="AN530">
        <v>-121.050067</v>
      </c>
      <c r="AO530">
        <v>25</v>
      </c>
      <c r="AP530">
        <v>2400</v>
      </c>
      <c r="AQ530" t="s">
        <v>131</v>
      </c>
      <c r="AR530">
        <v>18</v>
      </c>
      <c r="AS530">
        <v>63</v>
      </c>
      <c r="AT530">
        <v>448</v>
      </c>
      <c r="BB530" t="str">
        <f t="shared" si="206"/>
        <v>1200</v>
      </c>
      <c r="BC530">
        <v>1</v>
      </c>
      <c r="BD530" t="str">
        <f t="shared" si="207"/>
        <v xml:space="preserve">N52156  </v>
      </c>
      <c r="BE530">
        <v>1</v>
      </c>
      <c r="BG530">
        <v>0</v>
      </c>
      <c r="BH530">
        <v>0</v>
      </c>
      <c r="BI530">
        <v>0</v>
      </c>
      <c r="BJ530">
        <v>2350</v>
      </c>
      <c r="BK530">
        <v>-50</v>
      </c>
      <c r="BL530" t="s">
        <v>188</v>
      </c>
      <c r="BM530">
        <v>1</v>
      </c>
      <c r="BN530">
        <v>1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 t="shared" ref="CE530:CE535" si="213">"15:06:00.512"</f>
        <v>15:06:00.512</v>
      </c>
      <c r="CF530">
        <v>512448561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5</v>
      </c>
      <c r="CY530">
        <v>7</v>
      </c>
      <c r="CZ530" t="s">
        <v>133</v>
      </c>
      <c r="DA530">
        <v>275</v>
      </c>
      <c r="DB530">
        <v>0</v>
      </c>
      <c r="DC530" t="s">
        <v>134</v>
      </c>
      <c r="DD530" t="s">
        <v>135</v>
      </c>
      <c r="DG530">
        <v>3318635</v>
      </c>
      <c r="DI530">
        <v>1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"05/01/2025 15:06:00.757"</f>
        <v>05/01/2025 15:06:00.757</v>
      </c>
      <c r="C531" t="str">
        <f t="shared" si="204"/>
        <v>FFDFD3C0</v>
      </c>
      <c r="D531" t="s">
        <v>140</v>
      </c>
      <c r="E531" t="str">
        <f>"13"</f>
        <v>13</v>
      </c>
      <c r="F531">
        <v>1019</v>
      </c>
      <c r="G531" t="s">
        <v>141</v>
      </c>
      <c r="J531" t="s">
        <v>142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R531" t="s">
        <v>127</v>
      </c>
      <c r="S531" t="str">
        <f t="shared" si="212"/>
        <v>15:06:00.000</v>
      </c>
      <c r="T531" t="str">
        <f t="shared" si="212"/>
        <v>15:06:00.000</v>
      </c>
      <c r="U531" t="str">
        <f t="shared" si="205"/>
        <v>A68FCB</v>
      </c>
      <c r="V531">
        <v>0</v>
      </c>
      <c r="W531">
        <v>0</v>
      </c>
      <c r="X531">
        <v>2</v>
      </c>
      <c r="Y531">
        <v>0</v>
      </c>
      <c r="AA531">
        <v>1</v>
      </c>
      <c r="AB531">
        <v>8</v>
      </c>
      <c r="AC531">
        <v>3</v>
      </c>
      <c r="AD531">
        <v>0</v>
      </c>
      <c r="AE531">
        <v>9</v>
      </c>
      <c r="AF531" t="s">
        <v>138</v>
      </c>
      <c r="AG531">
        <v>0</v>
      </c>
      <c r="AH531">
        <v>3</v>
      </c>
      <c r="AI531">
        <v>1</v>
      </c>
      <c r="AJ531">
        <v>0</v>
      </c>
      <c r="AK531" t="s">
        <v>284</v>
      </c>
      <c r="AL531">
        <v>38.957647999999999</v>
      </c>
      <c r="AM531" t="s">
        <v>285</v>
      </c>
      <c r="AN531">
        <v>-121.050067</v>
      </c>
      <c r="AO531">
        <v>25</v>
      </c>
      <c r="AP531">
        <v>2400</v>
      </c>
      <c r="AQ531" t="s">
        <v>131</v>
      </c>
      <c r="AR531">
        <v>18</v>
      </c>
      <c r="AS531">
        <v>63</v>
      </c>
      <c r="AT531">
        <v>448</v>
      </c>
      <c r="BB531" t="str">
        <f t="shared" si="206"/>
        <v>1200</v>
      </c>
      <c r="BC531">
        <v>1</v>
      </c>
      <c r="BD531" t="str">
        <f t="shared" si="207"/>
        <v xml:space="preserve">N52156  </v>
      </c>
      <c r="BE531">
        <v>1</v>
      </c>
      <c r="BG531">
        <v>0</v>
      </c>
      <c r="BH531">
        <v>0</v>
      </c>
      <c r="BI531">
        <v>0</v>
      </c>
      <c r="BJ531">
        <v>2350</v>
      </c>
      <c r="BK531">
        <v>-50</v>
      </c>
      <c r="BL531" t="s">
        <v>188</v>
      </c>
      <c r="BM531">
        <v>1</v>
      </c>
      <c r="BN531">
        <v>1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 t="shared" si="213"/>
        <v>15:06:00.512</v>
      </c>
      <c r="CF531">
        <v>512448561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5</v>
      </c>
      <c r="CY531">
        <v>7</v>
      </c>
      <c r="CZ531" t="s">
        <v>133</v>
      </c>
      <c r="DA531">
        <v>275</v>
      </c>
      <c r="DB531">
        <v>0</v>
      </c>
      <c r="DC531" t="s">
        <v>134</v>
      </c>
      <c r="DD531" t="s">
        <v>135</v>
      </c>
      <c r="DG531">
        <v>3318635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"05/01/2025 15:06:00.768"</f>
        <v>05/01/2025 15:06:00.768</v>
      </c>
      <c r="C532" t="str">
        <f t="shared" si="204"/>
        <v>FFDFD3C0</v>
      </c>
      <c r="D532" t="s">
        <v>143</v>
      </c>
      <c r="E532" t="str">
        <f>"05"</f>
        <v>05</v>
      </c>
      <c r="H532">
        <v>172</v>
      </c>
      <c r="I532" t="s">
        <v>141</v>
      </c>
      <c r="J532" t="s">
        <v>144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R532" t="s">
        <v>127</v>
      </c>
      <c r="S532" t="str">
        <f t="shared" si="212"/>
        <v>15:06:00.000</v>
      </c>
      <c r="T532" t="str">
        <f t="shared" si="212"/>
        <v>15:06:00.000</v>
      </c>
      <c r="U532" t="str">
        <f t="shared" si="205"/>
        <v>A68FCB</v>
      </c>
      <c r="V532">
        <v>0</v>
      </c>
      <c r="W532">
        <v>0</v>
      </c>
      <c r="X532">
        <v>2</v>
      </c>
      <c r="Y532">
        <v>0</v>
      </c>
      <c r="AA532">
        <v>1</v>
      </c>
      <c r="AB532">
        <v>8</v>
      </c>
      <c r="AC532">
        <v>3</v>
      </c>
      <c r="AD532">
        <v>0</v>
      </c>
      <c r="AE532">
        <v>9</v>
      </c>
      <c r="AF532" t="s">
        <v>138</v>
      </c>
      <c r="AG532">
        <v>0</v>
      </c>
      <c r="AH532">
        <v>3</v>
      </c>
      <c r="AI532">
        <v>1</v>
      </c>
      <c r="AJ532">
        <v>0</v>
      </c>
      <c r="AK532" t="s">
        <v>284</v>
      </c>
      <c r="AL532">
        <v>38.957647999999999</v>
      </c>
      <c r="AM532" t="s">
        <v>285</v>
      </c>
      <c r="AN532">
        <v>-121.050067</v>
      </c>
      <c r="AO532">
        <v>25</v>
      </c>
      <c r="AP532">
        <v>2400</v>
      </c>
      <c r="AQ532" t="s">
        <v>131</v>
      </c>
      <c r="AR532">
        <v>18</v>
      </c>
      <c r="AS532">
        <v>63</v>
      </c>
      <c r="AT532">
        <v>448</v>
      </c>
      <c r="BB532" t="str">
        <f t="shared" si="206"/>
        <v>1200</v>
      </c>
      <c r="BC532">
        <v>1</v>
      </c>
      <c r="BD532" t="str">
        <f t="shared" si="207"/>
        <v xml:space="preserve">N52156  </v>
      </c>
      <c r="BE532">
        <v>1</v>
      </c>
      <c r="BG532">
        <v>0</v>
      </c>
      <c r="BH532">
        <v>0</v>
      </c>
      <c r="BI532">
        <v>0</v>
      </c>
      <c r="BJ532">
        <v>2350</v>
      </c>
      <c r="BK532">
        <v>-50</v>
      </c>
      <c r="BL532" t="s">
        <v>188</v>
      </c>
      <c r="BM532">
        <v>1</v>
      </c>
      <c r="BN532">
        <v>1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 t="shared" si="213"/>
        <v>15:06:00.512</v>
      </c>
      <c r="CF532">
        <v>512448561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5</v>
      </c>
      <c r="CY532">
        <v>7</v>
      </c>
      <c r="CZ532" t="s">
        <v>133</v>
      </c>
      <c r="DA532">
        <v>275</v>
      </c>
      <c r="DB532">
        <v>0</v>
      </c>
      <c r="DC532" t="s">
        <v>134</v>
      </c>
      <c r="DD532" t="s">
        <v>135</v>
      </c>
      <c r="DG532">
        <v>3318635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"05/01/2025 15:06:00.769"</f>
        <v>05/01/2025 15:06:00.769</v>
      </c>
      <c r="C533" t="str">
        <f t="shared" si="204"/>
        <v>FFDFD3C0</v>
      </c>
      <c r="D533" t="s">
        <v>145</v>
      </c>
      <c r="E533" t="str">
        <f>"05"</f>
        <v>05</v>
      </c>
      <c r="H533">
        <v>47</v>
      </c>
      <c r="I533" t="s">
        <v>146</v>
      </c>
      <c r="J533" t="s">
        <v>138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R533" t="s">
        <v>127</v>
      </c>
      <c r="S533" t="str">
        <f t="shared" si="212"/>
        <v>15:06:00.000</v>
      </c>
      <c r="T533" t="str">
        <f t="shared" si="212"/>
        <v>15:06:00.000</v>
      </c>
      <c r="U533" t="str">
        <f t="shared" si="205"/>
        <v>A68FCB</v>
      </c>
      <c r="V533">
        <v>0</v>
      </c>
      <c r="W533">
        <v>0</v>
      </c>
      <c r="X533">
        <v>2</v>
      </c>
      <c r="Y533">
        <v>0</v>
      </c>
      <c r="AA533">
        <v>1</v>
      </c>
      <c r="AB533">
        <v>8</v>
      </c>
      <c r="AC533">
        <v>3</v>
      </c>
      <c r="AD533">
        <v>0</v>
      </c>
      <c r="AE533">
        <v>9</v>
      </c>
      <c r="AF533" t="s">
        <v>138</v>
      </c>
      <c r="AG533">
        <v>0</v>
      </c>
      <c r="AH533">
        <v>3</v>
      </c>
      <c r="AI533">
        <v>1</v>
      </c>
      <c r="AJ533">
        <v>0</v>
      </c>
      <c r="AK533" t="s">
        <v>284</v>
      </c>
      <c r="AL533">
        <v>38.957647999999999</v>
      </c>
      <c r="AM533" t="s">
        <v>285</v>
      </c>
      <c r="AN533">
        <v>-121.050067</v>
      </c>
      <c r="AO533">
        <v>25</v>
      </c>
      <c r="AP533">
        <v>2400</v>
      </c>
      <c r="AQ533" t="s">
        <v>131</v>
      </c>
      <c r="AR533">
        <v>18</v>
      </c>
      <c r="AS533">
        <v>63</v>
      </c>
      <c r="AT533">
        <v>448</v>
      </c>
      <c r="BB533" t="str">
        <f t="shared" si="206"/>
        <v>1200</v>
      </c>
      <c r="BC533">
        <v>1</v>
      </c>
      <c r="BD533" t="str">
        <f t="shared" si="207"/>
        <v xml:space="preserve">N52156  </v>
      </c>
      <c r="BE533">
        <v>1</v>
      </c>
      <c r="BG533">
        <v>0</v>
      </c>
      <c r="BH533">
        <v>0</v>
      </c>
      <c r="BI533">
        <v>0</v>
      </c>
      <c r="BJ533">
        <v>2350</v>
      </c>
      <c r="BK533">
        <v>-50</v>
      </c>
      <c r="BL533" t="s">
        <v>188</v>
      </c>
      <c r="BM533">
        <v>1</v>
      </c>
      <c r="BN533">
        <v>1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 t="shared" si="213"/>
        <v>15:06:00.512</v>
      </c>
      <c r="CF533">
        <v>512448561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5</v>
      </c>
      <c r="CY533">
        <v>7</v>
      </c>
      <c r="CZ533" t="s">
        <v>133</v>
      </c>
      <c r="DA533">
        <v>275</v>
      </c>
      <c r="DB533">
        <v>0</v>
      </c>
      <c r="DC533" t="s">
        <v>134</v>
      </c>
      <c r="DD533" t="s">
        <v>135</v>
      </c>
      <c r="DG533">
        <v>3318635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"05/01/2025 15:06:00.769"</f>
        <v>05/01/2025 15:06:00.769</v>
      </c>
      <c r="C534" t="str">
        <f t="shared" si="204"/>
        <v>FFDFD3C0</v>
      </c>
      <c r="D534" t="s">
        <v>145</v>
      </c>
      <c r="E534" t="str">
        <f>"09"</f>
        <v>09</v>
      </c>
      <c r="H534">
        <v>51</v>
      </c>
      <c r="I534" t="s">
        <v>147</v>
      </c>
      <c r="J534" t="s">
        <v>138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R534" t="s">
        <v>127</v>
      </c>
      <c r="S534" t="str">
        <f t="shared" si="212"/>
        <v>15:06:00.000</v>
      </c>
      <c r="T534" t="str">
        <f t="shared" si="212"/>
        <v>15:06:00.000</v>
      </c>
      <c r="U534" t="str">
        <f t="shared" si="205"/>
        <v>A68FCB</v>
      </c>
      <c r="V534">
        <v>0</v>
      </c>
      <c r="W534">
        <v>0</v>
      </c>
      <c r="X534">
        <v>2</v>
      </c>
      <c r="Y534">
        <v>0</v>
      </c>
      <c r="AA534">
        <v>1</v>
      </c>
      <c r="AB534">
        <v>8</v>
      </c>
      <c r="AC534">
        <v>3</v>
      </c>
      <c r="AD534">
        <v>0</v>
      </c>
      <c r="AE534">
        <v>9</v>
      </c>
      <c r="AF534" t="s">
        <v>138</v>
      </c>
      <c r="AG534">
        <v>0</v>
      </c>
      <c r="AH534">
        <v>3</v>
      </c>
      <c r="AI534">
        <v>1</v>
      </c>
      <c r="AJ534">
        <v>0</v>
      </c>
      <c r="AK534" t="s">
        <v>284</v>
      </c>
      <c r="AL534">
        <v>38.957647999999999</v>
      </c>
      <c r="AM534" t="s">
        <v>285</v>
      </c>
      <c r="AN534">
        <v>-121.050067</v>
      </c>
      <c r="AO534">
        <v>25</v>
      </c>
      <c r="AP534">
        <v>2400</v>
      </c>
      <c r="AQ534" t="s">
        <v>131</v>
      </c>
      <c r="AR534">
        <v>18</v>
      </c>
      <c r="AS534">
        <v>63</v>
      </c>
      <c r="AT534">
        <v>448</v>
      </c>
      <c r="BB534" t="str">
        <f t="shared" si="206"/>
        <v>1200</v>
      </c>
      <c r="BC534">
        <v>1</v>
      </c>
      <c r="BD534" t="str">
        <f t="shared" si="207"/>
        <v xml:space="preserve">N52156  </v>
      </c>
      <c r="BE534">
        <v>1</v>
      </c>
      <c r="BG534">
        <v>0</v>
      </c>
      <c r="BH534">
        <v>0</v>
      </c>
      <c r="BI534">
        <v>0</v>
      </c>
      <c r="BJ534">
        <v>2350</v>
      </c>
      <c r="BK534">
        <v>-50</v>
      </c>
      <c r="BL534" t="s">
        <v>188</v>
      </c>
      <c r="BM534">
        <v>1</v>
      </c>
      <c r="BN534">
        <v>1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 t="shared" si="213"/>
        <v>15:06:00.512</v>
      </c>
      <c r="CF534">
        <v>512448561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5</v>
      </c>
      <c r="CY534">
        <v>7</v>
      </c>
      <c r="CZ534" t="s">
        <v>133</v>
      </c>
      <c r="DA534">
        <v>275</v>
      </c>
      <c r="DB534">
        <v>0</v>
      </c>
      <c r="DC534" t="s">
        <v>134</v>
      </c>
      <c r="DD534" t="s">
        <v>135</v>
      </c>
      <c r="DG534">
        <v>3318635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"05/01/2025 15:06:00.770"</f>
        <v>05/01/2025 15:06:00.770</v>
      </c>
      <c r="C535" t="str">
        <f t="shared" si="204"/>
        <v>FFDFD3C0</v>
      </c>
      <c r="D535" t="s">
        <v>124</v>
      </c>
      <c r="E535" t="str">
        <f>"06"</f>
        <v>06</v>
      </c>
      <c r="F535">
        <v>2006</v>
      </c>
      <c r="G535" t="s">
        <v>125</v>
      </c>
      <c r="J535" t="s">
        <v>126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R535" t="s">
        <v>127</v>
      </c>
      <c r="S535" t="str">
        <f t="shared" si="212"/>
        <v>15:06:00.000</v>
      </c>
      <c r="T535" t="str">
        <f t="shared" si="212"/>
        <v>15:06:00.000</v>
      </c>
      <c r="U535" t="str">
        <f t="shared" si="205"/>
        <v>A68FCB</v>
      </c>
      <c r="V535">
        <v>0</v>
      </c>
      <c r="W535">
        <v>0</v>
      </c>
      <c r="X535">
        <v>2</v>
      </c>
      <c r="Y535">
        <v>0</v>
      </c>
      <c r="AA535">
        <v>1</v>
      </c>
      <c r="AB535">
        <v>8</v>
      </c>
      <c r="AC535">
        <v>3</v>
      </c>
      <c r="AD535">
        <v>0</v>
      </c>
      <c r="AE535">
        <v>9</v>
      </c>
      <c r="AF535" t="s">
        <v>138</v>
      </c>
      <c r="AG535">
        <v>0</v>
      </c>
      <c r="AH535">
        <v>3</v>
      </c>
      <c r="AI535">
        <v>1</v>
      </c>
      <c r="AJ535">
        <v>0</v>
      </c>
      <c r="AK535" t="s">
        <v>284</v>
      </c>
      <c r="AL535">
        <v>38.957647999999999</v>
      </c>
      <c r="AM535" t="s">
        <v>285</v>
      </c>
      <c r="AN535">
        <v>-121.050067</v>
      </c>
      <c r="AO535">
        <v>25</v>
      </c>
      <c r="AP535">
        <v>2400</v>
      </c>
      <c r="AQ535" t="s">
        <v>131</v>
      </c>
      <c r="AR535">
        <v>18</v>
      </c>
      <c r="AS535">
        <v>63</v>
      </c>
      <c r="AT535">
        <v>448</v>
      </c>
      <c r="BB535" t="str">
        <f t="shared" si="206"/>
        <v>1200</v>
      </c>
      <c r="BC535">
        <v>1</v>
      </c>
      <c r="BD535" t="str">
        <f t="shared" si="207"/>
        <v xml:space="preserve">N52156  </v>
      </c>
      <c r="BE535">
        <v>1</v>
      </c>
      <c r="BG535">
        <v>0</v>
      </c>
      <c r="BH535">
        <v>0</v>
      </c>
      <c r="BI535">
        <v>0</v>
      </c>
      <c r="BJ535">
        <v>2350</v>
      </c>
      <c r="BK535">
        <v>-50</v>
      </c>
      <c r="BL535" t="s">
        <v>188</v>
      </c>
      <c r="BM535">
        <v>1</v>
      </c>
      <c r="BN535">
        <v>1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 t="shared" si="213"/>
        <v>15:06:00.512</v>
      </c>
      <c r="CF535">
        <v>512448561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5</v>
      </c>
      <c r="CY535">
        <v>7</v>
      </c>
      <c r="CZ535" t="s">
        <v>133</v>
      </c>
      <c r="DA535">
        <v>275</v>
      </c>
      <c r="DB535">
        <v>0</v>
      </c>
      <c r="DC535" t="s">
        <v>134</v>
      </c>
      <c r="DD535" t="s">
        <v>135</v>
      </c>
      <c r="DG535">
        <v>3318635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"05/01/2025 15:06:01.859"</f>
        <v>05/01/2025 15:06:01.859</v>
      </c>
      <c r="C536" t="str">
        <f t="shared" si="204"/>
        <v>FFDFD3C0</v>
      </c>
      <c r="D536" t="s">
        <v>140</v>
      </c>
      <c r="E536" t="str">
        <f>"13"</f>
        <v>13</v>
      </c>
      <c r="F536">
        <v>1019</v>
      </c>
      <c r="G536" t="s">
        <v>141</v>
      </c>
      <c r="J536" t="s">
        <v>142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R536" t="s">
        <v>127</v>
      </c>
      <c r="S536" t="str">
        <f t="shared" ref="S536:T541" si="214">"15:06:01.000"</f>
        <v>15:06:01.000</v>
      </c>
      <c r="T536" t="str">
        <f t="shared" si="214"/>
        <v>15:06:01.000</v>
      </c>
      <c r="U536" t="str">
        <f t="shared" si="205"/>
        <v>A68FCB</v>
      </c>
      <c r="V536">
        <v>0</v>
      </c>
      <c r="W536">
        <v>0</v>
      </c>
      <c r="X536">
        <v>2</v>
      </c>
      <c r="Y536">
        <v>0</v>
      </c>
      <c r="AA536">
        <v>1</v>
      </c>
      <c r="AB536">
        <v>8</v>
      </c>
      <c r="AC536">
        <v>3</v>
      </c>
      <c r="AD536">
        <v>0</v>
      </c>
      <c r="AE536">
        <v>9</v>
      </c>
      <c r="AF536" t="s">
        <v>138</v>
      </c>
      <c r="AG536">
        <v>0</v>
      </c>
      <c r="AH536">
        <v>3</v>
      </c>
      <c r="AI536">
        <v>1</v>
      </c>
      <c r="AJ536">
        <v>0</v>
      </c>
      <c r="AK536" t="s">
        <v>286</v>
      </c>
      <c r="AL536">
        <v>38.957948999999999</v>
      </c>
      <c r="AM536" t="s">
        <v>287</v>
      </c>
      <c r="AN536">
        <v>-121.04996</v>
      </c>
      <c r="AO536">
        <v>25</v>
      </c>
      <c r="AP536">
        <v>2400</v>
      </c>
      <c r="AQ536" t="s">
        <v>131</v>
      </c>
      <c r="AR536">
        <v>13</v>
      </c>
      <c r="AS536">
        <v>65</v>
      </c>
      <c r="AT536">
        <v>384</v>
      </c>
      <c r="BB536" t="str">
        <f t="shared" si="206"/>
        <v>1200</v>
      </c>
      <c r="BC536">
        <v>1</v>
      </c>
      <c r="BD536" t="str">
        <f t="shared" si="207"/>
        <v xml:space="preserve">N52156  </v>
      </c>
      <c r="BE536">
        <v>1</v>
      </c>
      <c r="BG536">
        <v>0</v>
      </c>
      <c r="BH536">
        <v>0</v>
      </c>
      <c r="BI536">
        <v>0</v>
      </c>
      <c r="BJ536">
        <v>2375</v>
      </c>
      <c r="BK536">
        <v>-25</v>
      </c>
      <c r="BL536" t="s">
        <v>188</v>
      </c>
      <c r="BM536">
        <v>1</v>
      </c>
      <c r="BN536">
        <v>1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 t="shared" ref="CE536:CE541" si="215">"15:06:01.650"</f>
        <v>15:06:01.650</v>
      </c>
      <c r="CF536">
        <v>650198932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5</v>
      </c>
      <c r="CY536">
        <v>7</v>
      </c>
      <c r="CZ536" t="s">
        <v>133</v>
      </c>
      <c r="DA536">
        <v>275</v>
      </c>
      <c r="DB536">
        <v>0</v>
      </c>
      <c r="DC536" t="s">
        <v>134</v>
      </c>
      <c r="DD536" t="s">
        <v>135</v>
      </c>
      <c r="DG536">
        <v>3318649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"05/01/2025 15:06:01.871"</f>
        <v>05/01/2025 15:06:01.871</v>
      </c>
      <c r="C537" t="str">
        <f t="shared" si="204"/>
        <v>FFDFD3C0</v>
      </c>
      <c r="D537" t="s">
        <v>145</v>
      </c>
      <c r="E537" t="str">
        <f>"09"</f>
        <v>09</v>
      </c>
      <c r="H537">
        <v>51</v>
      </c>
      <c r="I537" t="s">
        <v>147</v>
      </c>
      <c r="J537" t="s">
        <v>138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R537" t="s">
        <v>127</v>
      </c>
      <c r="S537" t="str">
        <f t="shared" si="214"/>
        <v>15:06:01.000</v>
      </c>
      <c r="T537" t="str">
        <f t="shared" si="214"/>
        <v>15:06:01.000</v>
      </c>
      <c r="U537" t="str">
        <f t="shared" si="205"/>
        <v>A68FCB</v>
      </c>
      <c r="V537">
        <v>0</v>
      </c>
      <c r="W537">
        <v>0</v>
      </c>
      <c r="X537">
        <v>2</v>
      </c>
      <c r="Y537">
        <v>0</v>
      </c>
      <c r="AA537">
        <v>1</v>
      </c>
      <c r="AB537">
        <v>8</v>
      </c>
      <c r="AC537">
        <v>3</v>
      </c>
      <c r="AD537">
        <v>0</v>
      </c>
      <c r="AE537">
        <v>9</v>
      </c>
      <c r="AF537" t="s">
        <v>138</v>
      </c>
      <c r="AG537">
        <v>0</v>
      </c>
      <c r="AH537">
        <v>3</v>
      </c>
      <c r="AI537">
        <v>1</v>
      </c>
      <c r="AJ537">
        <v>0</v>
      </c>
      <c r="AK537" t="s">
        <v>286</v>
      </c>
      <c r="AL537">
        <v>38.957948999999999</v>
      </c>
      <c r="AM537" t="s">
        <v>287</v>
      </c>
      <c r="AN537">
        <v>-121.04996</v>
      </c>
      <c r="AO537">
        <v>25</v>
      </c>
      <c r="AP537">
        <v>2400</v>
      </c>
      <c r="AQ537" t="s">
        <v>131</v>
      </c>
      <c r="AR537">
        <v>13</v>
      </c>
      <c r="AS537">
        <v>65</v>
      </c>
      <c r="AT537">
        <v>384</v>
      </c>
      <c r="BB537" t="str">
        <f t="shared" si="206"/>
        <v>1200</v>
      </c>
      <c r="BC537">
        <v>1</v>
      </c>
      <c r="BD537" t="str">
        <f t="shared" si="207"/>
        <v xml:space="preserve">N52156  </v>
      </c>
      <c r="BE537">
        <v>1</v>
      </c>
      <c r="BG537">
        <v>0</v>
      </c>
      <c r="BH537">
        <v>0</v>
      </c>
      <c r="BI537">
        <v>0</v>
      </c>
      <c r="BJ537">
        <v>2375</v>
      </c>
      <c r="BK537">
        <v>-25</v>
      </c>
      <c r="BL537" t="s">
        <v>188</v>
      </c>
      <c r="BM537">
        <v>1</v>
      </c>
      <c r="BN537">
        <v>1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 t="shared" si="215"/>
        <v>15:06:01.650</v>
      </c>
      <c r="CF537">
        <v>650198932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5</v>
      </c>
      <c r="CY537">
        <v>7</v>
      </c>
      <c r="CZ537" t="s">
        <v>133</v>
      </c>
      <c r="DA537">
        <v>275</v>
      </c>
      <c r="DB537">
        <v>0</v>
      </c>
      <c r="DC537" t="s">
        <v>134</v>
      </c>
      <c r="DD537" t="s">
        <v>135</v>
      </c>
      <c r="DG537">
        <v>3318649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"05/01/2025 15:06:01.870"</f>
        <v>05/01/2025 15:06:01.870</v>
      </c>
      <c r="C538" t="str">
        <f t="shared" si="204"/>
        <v>FFDFD3C0</v>
      </c>
      <c r="D538" t="s">
        <v>143</v>
      </c>
      <c r="E538" t="str">
        <f>"05"</f>
        <v>05</v>
      </c>
      <c r="H538">
        <v>172</v>
      </c>
      <c r="I538" t="s">
        <v>141</v>
      </c>
      <c r="J538" t="s">
        <v>144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R538" t="s">
        <v>127</v>
      </c>
      <c r="S538" t="str">
        <f t="shared" si="214"/>
        <v>15:06:01.000</v>
      </c>
      <c r="T538" t="str">
        <f t="shared" si="214"/>
        <v>15:06:01.000</v>
      </c>
      <c r="U538" t="str">
        <f t="shared" si="205"/>
        <v>A68FCB</v>
      </c>
      <c r="V538">
        <v>0</v>
      </c>
      <c r="W538">
        <v>0</v>
      </c>
      <c r="X538">
        <v>2</v>
      </c>
      <c r="Y538">
        <v>0</v>
      </c>
      <c r="AA538">
        <v>1</v>
      </c>
      <c r="AB538">
        <v>8</v>
      </c>
      <c r="AC538">
        <v>3</v>
      </c>
      <c r="AD538">
        <v>0</v>
      </c>
      <c r="AE538">
        <v>9</v>
      </c>
      <c r="AF538" t="s">
        <v>138</v>
      </c>
      <c r="AG538">
        <v>0</v>
      </c>
      <c r="AH538">
        <v>3</v>
      </c>
      <c r="AI538">
        <v>1</v>
      </c>
      <c r="AJ538">
        <v>0</v>
      </c>
      <c r="AK538" t="s">
        <v>286</v>
      </c>
      <c r="AL538">
        <v>38.957948999999999</v>
      </c>
      <c r="AM538" t="s">
        <v>287</v>
      </c>
      <c r="AN538">
        <v>-121.04996</v>
      </c>
      <c r="AO538">
        <v>25</v>
      </c>
      <c r="AP538">
        <v>2400</v>
      </c>
      <c r="AQ538" t="s">
        <v>131</v>
      </c>
      <c r="AR538">
        <v>13</v>
      </c>
      <c r="AS538">
        <v>65</v>
      </c>
      <c r="AT538">
        <v>384</v>
      </c>
      <c r="BB538" t="str">
        <f t="shared" si="206"/>
        <v>1200</v>
      </c>
      <c r="BC538">
        <v>1</v>
      </c>
      <c r="BD538" t="str">
        <f t="shared" si="207"/>
        <v xml:space="preserve">N52156  </v>
      </c>
      <c r="BE538">
        <v>1</v>
      </c>
      <c r="BG538">
        <v>0</v>
      </c>
      <c r="BH538">
        <v>0</v>
      </c>
      <c r="BI538">
        <v>0</v>
      </c>
      <c r="BJ538">
        <v>2375</v>
      </c>
      <c r="BK538">
        <v>-25</v>
      </c>
      <c r="BL538" t="s">
        <v>188</v>
      </c>
      <c r="BM538">
        <v>1</v>
      </c>
      <c r="BN538">
        <v>1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 t="shared" si="215"/>
        <v>15:06:01.650</v>
      </c>
      <c r="CF538">
        <v>650198932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5</v>
      </c>
      <c r="CY538">
        <v>7</v>
      </c>
      <c r="CZ538" t="s">
        <v>133</v>
      </c>
      <c r="DA538">
        <v>275</v>
      </c>
      <c r="DB538">
        <v>0</v>
      </c>
      <c r="DC538" t="s">
        <v>134</v>
      </c>
      <c r="DD538" t="s">
        <v>135</v>
      </c>
      <c r="DG538">
        <v>3318649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"05/01/2025 15:06:01.871"</f>
        <v>05/01/2025 15:06:01.871</v>
      </c>
      <c r="C539" t="str">
        <f t="shared" si="204"/>
        <v>FFDFD3C0</v>
      </c>
      <c r="D539" t="s">
        <v>145</v>
      </c>
      <c r="E539" t="str">
        <f>"05"</f>
        <v>05</v>
      </c>
      <c r="H539">
        <v>47</v>
      </c>
      <c r="I539" t="s">
        <v>146</v>
      </c>
      <c r="J539" t="s">
        <v>138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R539" t="s">
        <v>127</v>
      </c>
      <c r="S539" t="str">
        <f t="shared" si="214"/>
        <v>15:06:01.000</v>
      </c>
      <c r="T539" t="str">
        <f t="shared" si="214"/>
        <v>15:06:01.000</v>
      </c>
      <c r="U539" t="str">
        <f t="shared" si="205"/>
        <v>A68FCB</v>
      </c>
      <c r="V539">
        <v>0</v>
      </c>
      <c r="W539">
        <v>0</v>
      </c>
      <c r="X539">
        <v>2</v>
      </c>
      <c r="Y539">
        <v>0</v>
      </c>
      <c r="AA539">
        <v>1</v>
      </c>
      <c r="AB539">
        <v>8</v>
      </c>
      <c r="AC539">
        <v>3</v>
      </c>
      <c r="AD539">
        <v>0</v>
      </c>
      <c r="AE539">
        <v>9</v>
      </c>
      <c r="AF539" t="s">
        <v>138</v>
      </c>
      <c r="AG539">
        <v>0</v>
      </c>
      <c r="AH539">
        <v>3</v>
      </c>
      <c r="AI539">
        <v>1</v>
      </c>
      <c r="AJ539">
        <v>0</v>
      </c>
      <c r="AK539" t="s">
        <v>286</v>
      </c>
      <c r="AL539">
        <v>38.957948999999999</v>
      </c>
      <c r="AM539" t="s">
        <v>287</v>
      </c>
      <c r="AN539">
        <v>-121.04996</v>
      </c>
      <c r="AO539">
        <v>25</v>
      </c>
      <c r="AP539">
        <v>2400</v>
      </c>
      <c r="AQ539" t="s">
        <v>131</v>
      </c>
      <c r="AR539">
        <v>13</v>
      </c>
      <c r="AS539">
        <v>65</v>
      </c>
      <c r="AT539">
        <v>384</v>
      </c>
      <c r="BB539" t="str">
        <f t="shared" si="206"/>
        <v>1200</v>
      </c>
      <c r="BC539">
        <v>1</v>
      </c>
      <c r="BD539" t="str">
        <f t="shared" si="207"/>
        <v xml:space="preserve">N52156  </v>
      </c>
      <c r="BE539">
        <v>1</v>
      </c>
      <c r="BG539">
        <v>0</v>
      </c>
      <c r="BH539">
        <v>0</v>
      </c>
      <c r="BI539">
        <v>0</v>
      </c>
      <c r="BJ539">
        <v>2375</v>
      </c>
      <c r="BK539">
        <v>-25</v>
      </c>
      <c r="BL539" t="s">
        <v>188</v>
      </c>
      <c r="BM539">
        <v>1</v>
      </c>
      <c r="BN539">
        <v>1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 t="shared" si="215"/>
        <v>15:06:01.650</v>
      </c>
      <c r="CF539">
        <v>650198932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5</v>
      </c>
      <c r="CY539">
        <v>7</v>
      </c>
      <c r="CZ539" t="s">
        <v>133</v>
      </c>
      <c r="DA539">
        <v>275</v>
      </c>
      <c r="DB539">
        <v>0</v>
      </c>
      <c r="DC539" t="s">
        <v>134</v>
      </c>
      <c r="DD539" t="s">
        <v>135</v>
      </c>
      <c r="DG539">
        <v>3318649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"05/01/2025 15:06:01.871"</f>
        <v>05/01/2025 15:06:01.871</v>
      </c>
      <c r="C540" t="str">
        <f t="shared" si="204"/>
        <v>FFDFD3C0</v>
      </c>
      <c r="D540" t="s">
        <v>124</v>
      </c>
      <c r="E540" t="str">
        <f>"06"</f>
        <v>06</v>
      </c>
      <c r="F540">
        <v>2006</v>
      </c>
      <c r="G540" t="s">
        <v>125</v>
      </c>
      <c r="J540" t="s">
        <v>126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R540" t="s">
        <v>127</v>
      </c>
      <c r="S540" t="str">
        <f t="shared" si="214"/>
        <v>15:06:01.000</v>
      </c>
      <c r="T540" t="str">
        <f t="shared" si="214"/>
        <v>15:06:01.000</v>
      </c>
      <c r="U540" t="str">
        <f t="shared" si="205"/>
        <v>A68FCB</v>
      </c>
      <c r="V540">
        <v>0</v>
      </c>
      <c r="W540">
        <v>0</v>
      </c>
      <c r="X540">
        <v>2</v>
      </c>
      <c r="Y540">
        <v>0</v>
      </c>
      <c r="AA540">
        <v>1</v>
      </c>
      <c r="AB540">
        <v>8</v>
      </c>
      <c r="AC540">
        <v>3</v>
      </c>
      <c r="AD540">
        <v>0</v>
      </c>
      <c r="AE540">
        <v>9</v>
      </c>
      <c r="AF540" t="s">
        <v>138</v>
      </c>
      <c r="AG540">
        <v>0</v>
      </c>
      <c r="AH540">
        <v>3</v>
      </c>
      <c r="AI540">
        <v>1</v>
      </c>
      <c r="AJ540">
        <v>0</v>
      </c>
      <c r="AK540" t="s">
        <v>286</v>
      </c>
      <c r="AL540">
        <v>38.957948999999999</v>
      </c>
      <c r="AM540" t="s">
        <v>287</v>
      </c>
      <c r="AN540">
        <v>-121.04996</v>
      </c>
      <c r="AO540">
        <v>25</v>
      </c>
      <c r="AP540">
        <v>2400</v>
      </c>
      <c r="AQ540" t="s">
        <v>131</v>
      </c>
      <c r="AR540">
        <v>13</v>
      </c>
      <c r="AS540">
        <v>65</v>
      </c>
      <c r="AT540">
        <v>384</v>
      </c>
      <c r="BB540" t="str">
        <f t="shared" si="206"/>
        <v>1200</v>
      </c>
      <c r="BC540">
        <v>1</v>
      </c>
      <c r="BD540" t="str">
        <f t="shared" si="207"/>
        <v xml:space="preserve">N52156  </v>
      </c>
      <c r="BE540">
        <v>1</v>
      </c>
      <c r="BG540">
        <v>0</v>
      </c>
      <c r="BH540">
        <v>0</v>
      </c>
      <c r="BI540">
        <v>0</v>
      </c>
      <c r="BJ540">
        <v>2375</v>
      </c>
      <c r="BK540">
        <v>-25</v>
      </c>
      <c r="BL540" t="s">
        <v>188</v>
      </c>
      <c r="BM540">
        <v>1</v>
      </c>
      <c r="BN540">
        <v>1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 t="shared" si="215"/>
        <v>15:06:01.650</v>
      </c>
      <c r="CF540">
        <v>650198932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5</v>
      </c>
      <c r="CY540">
        <v>7</v>
      </c>
      <c r="CZ540" t="s">
        <v>133</v>
      </c>
      <c r="DA540">
        <v>275</v>
      </c>
      <c r="DB540">
        <v>0</v>
      </c>
      <c r="DC540" t="s">
        <v>134</v>
      </c>
      <c r="DD540" t="s">
        <v>135</v>
      </c>
      <c r="DG540">
        <v>3318649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"05/01/2025 15:06:01.881"</f>
        <v>05/01/2025 15:06:01.881</v>
      </c>
      <c r="C541" t="str">
        <f t="shared" si="204"/>
        <v>FFDFD3C0</v>
      </c>
      <c r="D541" t="s">
        <v>136</v>
      </c>
      <c r="E541" t="str">
        <f>"20"</f>
        <v>20</v>
      </c>
      <c r="H541">
        <v>400</v>
      </c>
      <c r="I541" t="s">
        <v>137</v>
      </c>
      <c r="J541" t="s">
        <v>138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R541" t="s">
        <v>127</v>
      </c>
      <c r="S541" t="str">
        <f t="shared" si="214"/>
        <v>15:06:01.000</v>
      </c>
      <c r="T541" t="str">
        <f t="shared" si="214"/>
        <v>15:06:01.000</v>
      </c>
      <c r="U541" t="str">
        <f t="shared" si="205"/>
        <v>A68FCB</v>
      </c>
      <c r="V541">
        <v>0</v>
      </c>
      <c r="W541">
        <v>0</v>
      </c>
      <c r="X541">
        <v>2</v>
      </c>
      <c r="Y541">
        <v>0</v>
      </c>
      <c r="AA541">
        <v>1</v>
      </c>
      <c r="AB541">
        <v>8</v>
      </c>
      <c r="AC541">
        <v>3</v>
      </c>
      <c r="AD541">
        <v>0</v>
      </c>
      <c r="AE541">
        <v>9</v>
      </c>
      <c r="AF541" t="s">
        <v>138</v>
      </c>
      <c r="AG541">
        <v>0</v>
      </c>
      <c r="AH541">
        <v>3</v>
      </c>
      <c r="AI541">
        <v>1</v>
      </c>
      <c r="AJ541">
        <v>0</v>
      </c>
      <c r="AK541" t="s">
        <v>286</v>
      </c>
      <c r="AL541">
        <v>38.957948999999999</v>
      </c>
      <c r="AM541" t="s">
        <v>287</v>
      </c>
      <c r="AN541">
        <v>-121.04996</v>
      </c>
      <c r="AO541">
        <v>25</v>
      </c>
      <c r="AP541">
        <v>2400</v>
      </c>
      <c r="AQ541" t="s">
        <v>131</v>
      </c>
      <c r="AR541">
        <v>13</v>
      </c>
      <c r="AS541">
        <v>65</v>
      </c>
      <c r="AT541">
        <v>384</v>
      </c>
      <c r="BB541" t="str">
        <f t="shared" si="206"/>
        <v>1200</v>
      </c>
      <c r="BC541">
        <v>1</v>
      </c>
      <c r="BD541" t="str">
        <f t="shared" si="207"/>
        <v xml:space="preserve">N52156  </v>
      </c>
      <c r="BE541">
        <v>1</v>
      </c>
      <c r="BG541">
        <v>0</v>
      </c>
      <c r="BH541">
        <v>0</v>
      </c>
      <c r="BI541">
        <v>0</v>
      </c>
      <c r="BJ541">
        <v>2375</v>
      </c>
      <c r="BK541">
        <v>-25</v>
      </c>
      <c r="BL541" t="s">
        <v>188</v>
      </c>
      <c r="BM541">
        <v>1</v>
      </c>
      <c r="BN541">
        <v>1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 t="shared" si="215"/>
        <v>15:06:01.650</v>
      </c>
      <c r="CF541">
        <v>650198932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5</v>
      </c>
      <c r="CY541">
        <v>7</v>
      </c>
      <c r="CZ541" t="s">
        <v>133</v>
      </c>
      <c r="DA541">
        <v>275</v>
      </c>
      <c r="DB541">
        <v>0</v>
      </c>
      <c r="DC541" t="s">
        <v>134</v>
      </c>
      <c r="DD541" t="s">
        <v>135</v>
      </c>
      <c r="DG541">
        <v>3318649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"05/01/2025 15:06:03.123"</f>
        <v>05/01/2025 15:06:03.123</v>
      </c>
      <c r="C542" t="str">
        <f t="shared" si="204"/>
        <v>FFDFD3C0</v>
      </c>
      <c r="D542" t="s">
        <v>124</v>
      </c>
      <c r="E542" t="str">
        <f>"06"</f>
        <v>06</v>
      </c>
      <c r="F542">
        <v>2006</v>
      </c>
      <c r="G542" t="s">
        <v>125</v>
      </c>
      <c r="J542" t="s">
        <v>126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R542" t="s">
        <v>127</v>
      </c>
      <c r="S542" t="str">
        <f t="shared" ref="S542:T547" si="216">"15:06:02.000"</f>
        <v>15:06:02.000</v>
      </c>
      <c r="T542" t="str">
        <f t="shared" si="216"/>
        <v>15:06:02.000</v>
      </c>
      <c r="U542" t="str">
        <f t="shared" si="205"/>
        <v>A68FCB</v>
      </c>
      <c r="V542">
        <v>0</v>
      </c>
      <c r="W542">
        <v>0</v>
      </c>
      <c r="X542">
        <v>2</v>
      </c>
      <c r="Y542">
        <v>0</v>
      </c>
      <c r="AA542">
        <v>1</v>
      </c>
      <c r="AB542">
        <v>8</v>
      </c>
      <c r="AC542">
        <v>3</v>
      </c>
      <c r="AD542">
        <v>0</v>
      </c>
      <c r="AE542">
        <v>9</v>
      </c>
      <c r="AF542" t="s">
        <v>138</v>
      </c>
      <c r="AG542">
        <v>0</v>
      </c>
      <c r="AH542">
        <v>3</v>
      </c>
      <c r="AI542">
        <v>1</v>
      </c>
      <c r="AJ542">
        <v>0</v>
      </c>
      <c r="AK542" t="s">
        <v>288</v>
      </c>
      <c r="AL542">
        <v>38.958249000000002</v>
      </c>
      <c r="AM542" t="s">
        <v>289</v>
      </c>
      <c r="AN542">
        <v>-121.049874</v>
      </c>
      <c r="AO542">
        <v>25</v>
      </c>
      <c r="AP542">
        <v>2400</v>
      </c>
      <c r="AQ542" t="s">
        <v>131</v>
      </c>
      <c r="AR542">
        <v>11</v>
      </c>
      <c r="AS542">
        <v>67</v>
      </c>
      <c r="AT542">
        <v>384</v>
      </c>
      <c r="BB542" t="str">
        <f t="shared" si="206"/>
        <v>1200</v>
      </c>
      <c r="BC542">
        <v>1</v>
      </c>
      <c r="BD542" t="str">
        <f t="shared" si="207"/>
        <v xml:space="preserve">N52156  </v>
      </c>
      <c r="BE542">
        <v>1</v>
      </c>
      <c r="BG542">
        <v>0</v>
      </c>
      <c r="BH542">
        <v>0</v>
      </c>
      <c r="BI542">
        <v>0</v>
      </c>
      <c r="BJ542">
        <v>2400</v>
      </c>
      <c r="BK542">
        <v>0</v>
      </c>
      <c r="BL542" t="s">
        <v>188</v>
      </c>
      <c r="BM542">
        <v>1</v>
      </c>
      <c r="BN542">
        <v>1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 t="shared" ref="CE542:CE547" si="217">"15:06:02.914"</f>
        <v>15:06:02.914</v>
      </c>
      <c r="CF542">
        <v>914449672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5</v>
      </c>
      <c r="CY542">
        <v>7</v>
      </c>
      <c r="CZ542" t="s">
        <v>133</v>
      </c>
      <c r="DA542">
        <v>275</v>
      </c>
      <c r="DB542">
        <v>0</v>
      </c>
      <c r="DC542" t="s">
        <v>134</v>
      </c>
      <c r="DD542" t="s">
        <v>135</v>
      </c>
      <c r="DG542">
        <v>3318664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"05/01/2025 15:06:03.123"</f>
        <v>05/01/2025 15:06:03.123</v>
      </c>
      <c r="C543" t="str">
        <f t="shared" si="204"/>
        <v>FFDFD3C0</v>
      </c>
      <c r="D543" t="s">
        <v>145</v>
      </c>
      <c r="E543" t="str">
        <f>"05"</f>
        <v>05</v>
      </c>
      <c r="H543">
        <v>47</v>
      </c>
      <c r="I543" t="s">
        <v>146</v>
      </c>
      <c r="J543" t="s">
        <v>138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R543" t="s">
        <v>127</v>
      </c>
      <c r="S543" t="str">
        <f t="shared" si="216"/>
        <v>15:06:02.000</v>
      </c>
      <c r="T543" t="str">
        <f t="shared" si="216"/>
        <v>15:06:02.000</v>
      </c>
      <c r="U543" t="str">
        <f t="shared" si="205"/>
        <v>A68FCB</v>
      </c>
      <c r="V543">
        <v>0</v>
      </c>
      <c r="W543">
        <v>0</v>
      </c>
      <c r="X543">
        <v>2</v>
      </c>
      <c r="Y543">
        <v>0</v>
      </c>
      <c r="AA543">
        <v>1</v>
      </c>
      <c r="AB543">
        <v>8</v>
      </c>
      <c r="AC543">
        <v>3</v>
      </c>
      <c r="AD543">
        <v>0</v>
      </c>
      <c r="AE543">
        <v>9</v>
      </c>
      <c r="AF543" t="s">
        <v>138</v>
      </c>
      <c r="AG543">
        <v>0</v>
      </c>
      <c r="AH543">
        <v>3</v>
      </c>
      <c r="AI543">
        <v>1</v>
      </c>
      <c r="AJ543">
        <v>0</v>
      </c>
      <c r="AK543" t="s">
        <v>288</v>
      </c>
      <c r="AL543">
        <v>38.958249000000002</v>
      </c>
      <c r="AM543" t="s">
        <v>289</v>
      </c>
      <c r="AN543">
        <v>-121.049874</v>
      </c>
      <c r="AO543">
        <v>25</v>
      </c>
      <c r="AP543">
        <v>2400</v>
      </c>
      <c r="AQ543" t="s">
        <v>131</v>
      </c>
      <c r="AR543">
        <v>11</v>
      </c>
      <c r="AS543">
        <v>67</v>
      </c>
      <c r="AT543">
        <v>384</v>
      </c>
      <c r="BB543" t="str">
        <f t="shared" si="206"/>
        <v>1200</v>
      </c>
      <c r="BC543">
        <v>1</v>
      </c>
      <c r="BD543" t="str">
        <f t="shared" si="207"/>
        <v xml:space="preserve">N52156  </v>
      </c>
      <c r="BE543">
        <v>1</v>
      </c>
      <c r="BG543">
        <v>0</v>
      </c>
      <c r="BH543">
        <v>0</v>
      </c>
      <c r="BI543">
        <v>0</v>
      </c>
      <c r="BJ543">
        <v>2400</v>
      </c>
      <c r="BK543">
        <v>0</v>
      </c>
      <c r="BL543" t="s">
        <v>188</v>
      </c>
      <c r="BM543">
        <v>1</v>
      </c>
      <c r="BN543">
        <v>1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 t="shared" si="217"/>
        <v>15:06:02.914</v>
      </c>
      <c r="CF543">
        <v>914449672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5</v>
      </c>
      <c r="CY543">
        <v>7</v>
      </c>
      <c r="CZ543" t="s">
        <v>133</v>
      </c>
      <c r="DA543">
        <v>275</v>
      </c>
      <c r="DB543">
        <v>0</v>
      </c>
      <c r="DC543" t="s">
        <v>134</v>
      </c>
      <c r="DD543" t="s">
        <v>135</v>
      </c>
      <c r="DG543">
        <v>3318664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"05/01/2025 15:06:03.123"</f>
        <v>05/01/2025 15:06:03.123</v>
      </c>
      <c r="C544" t="str">
        <f t="shared" si="204"/>
        <v>FFDFD3C0</v>
      </c>
      <c r="D544" t="s">
        <v>145</v>
      </c>
      <c r="E544" t="str">
        <f>"09"</f>
        <v>09</v>
      </c>
      <c r="H544">
        <v>51</v>
      </c>
      <c r="I544" t="s">
        <v>147</v>
      </c>
      <c r="J544" t="s">
        <v>138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R544" t="s">
        <v>127</v>
      </c>
      <c r="S544" t="str">
        <f t="shared" si="216"/>
        <v>15:06:02.000</v>
      </c>
      <c r="T544" t="str">
        <f t="shared" si="216"/>
        <v>15:06:02.000</v>
      </c>
      <c r="U544" t="str">
        <f t="shared" si="205"/>
        <v>A68FCB</v>
      </c>
      <c r="V544">
        <v>0</v>
      </c>
      <c r="W544">
        <v>0</v>
      </c>
      <c r="X544">
        <v>2</v>
      </c>
      <c r="Y544">
        <v>0</v>
      </c>
      <c r="AA544">
        <v>1</v>
      </c>
      <c r="AB544">
        <v>8</v>
      </c>
      <c r="AC544">
        <v>3</v>
      </c>
      <c r="AD544">
        <v>0</v>
      </c>
      <c r="AE544">
        <v>9</v>
      </c>
      <c r="AF544" t="s">
        <v>138</v>
      </c>
      <c r="AG544">
        <v>0</v>
      </c>
      <c r="AH544">
        <v>3</v>
      </c>
      <c r="AI544">
        <v>1</v>
      </c>
      <c r="AJ544">
        <v>0</v>
      </c>
      <c r="AK544" t="s">
        <v>288</v>
      </c>
      <c r="AL544">
        <v>38.958249000000002</v>
      </c>
      <c r="AM544" t="s">
        <v>289</v>
      </c>
      <c r="AN544">
        <v>-121.049874</v>
      </c>
      <c r="AO544">
        <v>25</v>
      </c>
      <c r="AP544">
        <v>2400</v>
      </c>
      <c r="AQ544" t="s">
        <v>131</v>
      </c>
      <c r="AR544">
        <v>11</v>
      </c>
      <c r="AS544">
        <v>67</v>
      </c>
      <c r="AT544">
        <v>384</v>
      </c>
      <c r="BB544" t="str">
        <f t="shared" si="206"/>
        <v>1200</v>
      </c>
      <c r="BC544">
        <v>1</v>
      </c>
      <c r="BD544" t="str">
        <f t="shared" si="207"/>
        <v xml:space="preserve">N52156  </v>
      </c>
      <c r="BE544">
        <v>1</v>
      </c>
      <c r="BG544">
        <v>0</v>
      </c>
      <c r="BH544">
        <v>0</v>
      </c>
      <c r="BI544">
        <v>0</v>
      </c>
      <c r="BJ544">
        <v>2400</v>
      </c>
      <c r="BK544">
        <v>0</v>
      </c>
      <c r="BL544" t="s">
        <v>188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 t="shared" si="217"/>
        <v>15:06:02.914</v>
      </c>
      <c r="CF544">
        <v>914449672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5</v>
      </c>
      <c r="CY544">
        <v>7</v>
      </c>
      <c r="CZ544" t="s">
        <v>133</v>
      </c>
      <c r="DA544">
        <v>275</v>
      </c>
      <c r="DB544">
        <v>0</v>
      </c>
      <c r="DC544" t="s">
        <v>134</v>
      </c>
      <c r="DD544" t="s">
        <v>135</v>
      </c>
      <c r="DG544">
        <v>3318664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"05/01/2025 15:06:03.133"</f>
        <v>05/01/2025 15:06:03.133</v>
      </c>
      <c r="C545" t="str">
        <f t="shared" si="204"/>
        <v>FFDFD3C0</v>
      </c>
      <c r="D545" t="s">
        <v>136</v>
      </c>
      <c r="E545" t="str">
        <f>"20"</f>
        <v>20</v>
      </c>
      <c r="H545">
        <v>400</v>
      </c>
      <c r="I545" t="s">
        <v>137</v>
      </c>
      <c r="J545" t="s">
        <v>138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R545" t="s">
        <v>127</v>
      </c>
      <c r="S545" t="str">
        <f t="shared" si="216"/>
        <v>15:06:02.000</v>
      </c>
      <c r="T545" t="str">
        <f t="shared" si="216"/>
        <v>15:06:02.000</v>
      </c>
      <c r="U545" t="str">
        <f t="shared" si="205"/>
        <v>A68FCB</v>
      </c>
      <c r="V545">
        <v>0</v>
      </c>
      <c r="W545">
        <v>0</v>
      </c>
      <c r="X545">
        <v>2</v>
      </c>
      <c r="Y545">
        <v>0</v>
      </c>
      <c r="AA545">
        <v>1</v>
      </c>
      <c r="AB545">
        <v>8</v>
      </c>
      <c r="AC545">
        <v>3</v>
      </c>
      <c r="AD545">
        <v>0</v>
      </c>
      <c r="AE545">
        <v>9</v>
      </c>
      <c r="AF545" t="s">
        <v>138</v>
      </c>
      <c r="AG545">
        <v>0</v>
      </c>
      <c r="AH545">
        <v>3</v>
      </c>
      <c r="AI545">
        <v>1</v>
      </c>
      <c r="AJ545">
        <v>0</v>
      </c>
      <c r="AK545" t="s">
        <v>288</v>
      </c>
      <c r="AL545">
        <v>38.958249000000002</v>
      </c>
      <c r="AM545" t="s">
        <v>289</v>
      </c>
      <c r="AN545">
        <v>-121.049874</v>
      </c>
      <c r="AO545">
        <v>25</v>
      </c>
      <c r="AP545">
        <v>2400</v>
      </c>
      <c r="AQ545" t="s">
        <v>131</v>
      </c>
      <c r="AR545">
        <v>11</v>
      </c>
      <c r="AS545">
        <v>67</v>
      </c>
      <c r="AT545">
        <v>384</v>
      </c>
      <c r="BB545" t="str">
        <f t="shared" si="206"/>
        <v>1200</v>
      </c>
      <c r="BC545">
        <v>1</v>
      </c>
      <c r="BD545" t="str">
        <f t="shared" si="207"/>
        <v xml:space="preserve">N52156  </v>
      </c>
      <c r="BE545">
        <v>1</v>
      </c>
      <c r="BG545">
        <v>0</v>
      </c>
      <c r="BH545">
        <v>0</v>
      </c>
      <c r="BI545">
        <v>0</v>
      </c>
      <c r="BJ545">
        <v>2400</v>
      </c>
      <c r="BK545">
        <v>0</v>
      </c>
      <c r="BL545" t="s">
        <v>188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 t="shared" si="217"/>
        <v>15:06:02.914</v>
      </c>
      <c r="CF545">
        <v>914449672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5</v>
      </c>
      <c r="CY545">
        <v>7</v>
      </c>
      <c r="CZ545" t="s">
        <v>133</v>
      </c>
      <c r="DA545">
        <v>275</v>
      </c>
      <c r="DB545">
        <v>0</v>
      </c>
      <c r="DC545" t="s">
        <v>134</v>
      </c>
      <c r="DD545" t="s">
        <v>135</v>
      </c>
      <c r="DG545">
        <v>3318664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"05/01/2025 15:06:03.162"</f>
        <v>05/01/2025 15:06:03.162</v>
      </c>
      <c r="C546" t="str">
        <f t="shared" si="204"/>
        <v>FFDFD3C0</v>
      </c>
      <c r="D546" t="s">
        <v>140</v>
      </c>
      <c r="E546" t="str">
        <f>"13"</f>
        <v>13</v>
      </c>
      <c r="F546">
        <v>1019</v>
      </c>
      <c r="G546" t="s">
        <v>141</v>
      </c>
      <c r="J546" t="s">
        <v>142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R546" t="s">
        <v>127</v>
      </c>
      <c r="S546" t="str">
        <f t="shared" si="216"/>
        <v>15:06:02.000</v>
      </c>
      <c r="T546" t="str">
        <f t="shared" si="216"/>
        <v>15:06:02.000</v>
      </c>
      <c r="U546" t="str">
        <f t="shared" si="205"/>
        <v>A68FCB</v>
      </c>
      <c r="V546">
        <v>0</v>
      </c>
      <c r="W546">
        <v>0</v>
      </c>
      <c r="X546">
        <v>2</v>
      </c>
      <c r="Y546">
        <v>0</v>
      </c>
      <c r="AA546">
        <v>1</v>
      </c>
      <c r="AB546">
        <v>8</v>
      </c>
      <c r="AC546">
        <v>3</v>
      </c>
      <c r="AD546">
        <v>0</v>
      </c>
      <c r="AE546">
        <v>9</v>
      </c>
      <c r="AF546" t="s">
        <v>138</v>
      </c>
      <c r="AG546">
        <v>0</v>
      </c>
      <c r="AH546">
        <v>3</v>
      </c>
      <c r="AI546">
        <v>1</v>
      </c>
      <c r="AJ546">
        <v>0</v>
      </c>
      <c r="AK546" t="s">
        <v>288</v>
      </c>
      <c r="AL546">
        <v>38.958249000000002</v>
      </c>
      <c r="AM546" t="s">
        <v>289</v>
      </c>
      <c r="AN546">
        <v>-121.049874</v>
      </c>
      <c r="AO546">
        <v>25</v>
      </c>
      <c r="AP546">
        <v>2400</v>
      </c>
      <c r="AQ546" t="s">
        <v>131</v>
      </c>
      <c r="AR546">
        <v>11</v>
      </c>
      <c r="AS546">
        <v>67</v>
      </c>
      <c r="AT546">
        <v>384</v>
      </c>
      <c r="BB546" t="str">
        <f t="shared" si="206"/>
        <v>1200</v>
      </c>
      <c r="BC546">
        <v>1</v>
      </c>
      <c r="BD546" t="str">
        <f t="shared" si="207"/>
        <v xml:space="preserve">N52156  </v>
      </c>
      <c r="BE546">
        <v>1</v>
      </c>
      <c r="BG546">
        <v>0</v>
      </c>
      <c r="BH546">
        <v>0</v>
      </c>
      <c r="BI546">
        <v>0</v>
      </c>
      <c r="BJ546">
        <v>2400</v>
      </c>
      <c r="BK546">
        <v>0</v>
      </c>
      <c r="BL546" t="s">
        <v>188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 t="shared" si="217"/>
        <v>15:06:02.914</v>
      </c>
      <c r="CF546">
        <v>914449672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133</v>
      </c>
      <c r="DA546">
        <v>275</v>
      </c>
      <c r="DB546">
        <v>0</v>
      </c>
      <c r="DC546" t="s">
        <v>134</v>
      </c>
      <c r="DD546" t="s">
        <v>135</v>
      </c>
      <c r="DG546">
        <v>3318664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"05/01/2025 15:06:03.173"</f>
        <v>05/01/2025 15:06:03.173</v>
      </c>
      <c r="C547" t="str">
        <f t="shared" si="204"/>
        <v>FFDFD3C0</v>
      </c>
      <c r="D547" t="s">
        <v>143</v>
      </c>
      <c r="E547" t="str">
        <f>"05"</f>
        <v>05</v>
      </c>
      <c r="H547">
        <v>172</v>
      </c>
      <c r="I547" t="s">
        <v>141</v>
      </c>
      <c r="J547" t="s">
        <v>144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R547" t="s">
        <v>127</v>
      </c>
      <c r="S547" t="str">
        <f t="shared" si="216"/>
        <v>15:06:02.000</v>
      </c>
      <c r="T547" t="str">
        <f t="shared" si="216"/>
        <v>15:06:02.000</v>
      </c>
      <c r="U547" t="str">
        <f t="shared" si="205"/>
        <v>A68FCB</v>
      </c>
      <c r="V547">
        <v>0</v>
      </c>
      <c r="W547">
        <v>0</v>
      </c>
      <c r="X547">
        <v>2</v>
      </c>
      <c r="Y547">
        <v>0</v>
      </c>
      <c r="AA547">
        <v>1</v>
      </c>
      <c r="AB547">
        <v>8</v>
      </c>
      <c r="AC547">
        <v>3</v>
      </c>
      <c r="AD547">
        <v>0</v>
      </c>
      <c r="AE547">
        <v>9</v>
      </c>
      <c r="AF547" t="s">
        <v>138</v>
      </c>
      <c r="AG547">
        <v>0</v>
      </c>
      <c r="AH547">
        <v>3</v>
      </c>
      <c r="AI547">
        <v>1</v>
      </c>
      <c r="AJ547">
        <v>0</v>
      </c>
      <c r="AK547" t="s">
        <v>288</v>
      </c>
      <c r="AL547">
        <v>38.958249000000002</v>
      </c>
      <c r="AM547" t="s">
        <v>289</v>
      </c>
      <c r="AN547">
        <v>-121.049874</v>
      </c>
      <c r="AO547">
        <v>25</v>
      </c>
      <c r="AP547">
        <v>2400</v>
      </c>
      <c r="AQ547" t="s">
        <v>131</v>
      </c>
      <c r="AR547">
        <v>11</v>
      </c>
      <c r="AS547">
        <v>67</v>
      </c>
      <c r="AT547">
        <v>384</v>
      </c>
      <c r="BB547" t="str">
        <f t="shared" si="206"/>
        <v>1200</v>
      </c>
      <c r="BC547">
        <v>1</v>
      </c>
      <c r="BD547" t="str">
        <f t="shared" si="207"/>
        <v xml:space="preserve">N52156  </v>
      </c>
      <c r="BE547">
        <v>1</v>
      </c>
      <c r="BG547">
        <v>0</v>
      </c>
      <c r="BH547">
        <v>0</v>
      </c>
      <c r="BI547">
        <v>0</v>
      </c>
      <c r="BJ547">
        <v>2400</v>
      </c>
      <c r="BK547">
        <v>0</v>
      </c>
      <c r="BL547" t="s">
        <v>188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 t="shared" si="217"/>
        <v>15:06:02.914</v>
      </c>
      <c r="CF547">
        <v>914449672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5</v>
      </c>
      <c r="CY547">
        <v>7</v>
      </c>
      <c r="CZ547" t="s">
        <v>133</v>
      </c>
      <c r="DA547">
        <v>275</v>
      </c>
      <c r="DB547">
        <v>0</v>
      </c>
      <c r="DC547" t="s">
        <v>134</v>
      </c>
      <c r="DD547" t="s">
        <v>135</v>
      </c>
      <c r="DG547">
        <v>3318664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"05/01/2025 15:06:03.473"</f>
        <v>05/01/2025 15:06:03.473</v>
      </c>
      <c r="C548" t="str">
        <f t="shared" si="204"/>
        <v>FFDFD3C0</v>
      </c>
      <c r="D548" t="s">
        <v>143</v>
      </c>
      <c r="E548" t="str">
        <f>"05"</f>
        <v>05</v>
      </c>
      <c r="H548">
        <v>172</v>
      </c>
      <c r="I548" t="s">
        <v>141</v>
      </c>
      <c r="J548" t="s">
        <v>144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R548" t="s">
        <v>127</v>
      </c>
      <c r="S548" t="str">
        <f t="shared" ref="S548:T553" si="218">"15:06:03.000"</f>
        <v>15:06:03.000</v>
      </c>
      <c r="T548" t="str">
        <f t="shared" si="218"/>
        <v>15:06:03.000</v>
      </c>
      <c r="U548" t="str">
        <f t="shared" si="205"/>
        <v>A68FCB</v>
      </c>
      <c r="V548">
        <v>0</v>
      </c>
      <c r="W548">
        <v>0</v>
      </c>
      <c r="X548">
        <v>2</v>
      </c>
      <c r="Y548">
        <v>0</v>
      </c>
      <c r="AA548">
        <v>1</v>
      </c>
      <c r="AB548">
        <v>8</v>
      </c>
      <c r="AC548">
        <v>3</v>
      </c>
      <c r="AD548">
        <v>0</v>
      </c>
      <c r="AE548">
        <v>9</v>
      </c>
      <c r="AF548" t="s">
        <v>138</v>
      </c>
      <c r="AG548">
        <v>0</v>
      </c>
      <c r="AH548">
        <v>3</v>
      </c>
      <c r="AI548">
        <v>1</v>
      </c>
      <c r="AJ548">
        <v>0</v>
      </c>
      <c r="AK548" t="s">
        <v>290</v>
      </c>
      <c r="AL548">
        <v>38.958548999999998</v>
      </c>
      <c r="AM548" t="s">
        <v>291</v>
      </c>
      <c r="AN548">
        <v>-121.049809</v>
      </c>
      <c r="AO548">
        <v>25</v>
      </c>
      <c r="AP548">
        <v>2400</v>
      </c>
      <c r="AQ548" t="s">
        <v>131</v>
      </c>
      <c r="AR548">
        <v>10</v>
      </c>
      <c r="AS548">
        <v>68</v>
      </c>
      <c r="AT548">
        <v>384</v>
      </c>
      <c r="BB548" t="str">
        <f t="shared" si="206"/>
        <v>1200</v>
      </c>
      <c r="BC548">
        <v>1</v>
      </c>
      <c r="BD548" t="str">
        <f t="shared" si="207"/>
        <v xml:space="preserve">N52156  </v>
      </c>
      <c r="BE548">
        <v>1</v>
      </c>
      <c r="BG548">
        <v>0</v>
      </c>
      <c r="BH548">
        <v>0</v>
      </c>
      <c r="BI548">
        <v>0</v>
      </c>
      <c r="BJ548">
        <v>2400</v>
      </c>
      <c r="BK548">
        <v>0</v>
      </c>
      <c r="BL548" t="s">
        <v>188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 t="shared" ref="CE548:CE553" si="219">"15:06:03.254"</f>
        <v>15:06:03.254</v>
      </c>
      <c r="CF548">
        <v>254134962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5</v>
      </c>
      <c r="CY548">
        <v>7</v>
      </c>
      <c r="CZ548" t="s">
        <v>133</v>
      </c>
      <c r="DA548">
        <v>273</v>
      </c>
      <c r="DB548">
        <v>0</v>
      </c>
      <c r="DC548" t="s">
        <v>292</v>
      </c>
      <c r="DD548" t="s">
        <v>293</v>
      </c>
      <c r="DG548">
        <v>4860525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"05/01/2025 15:06:03.474"</f>
        <v>05/01/2025 15:06:03.474</v>
      </c>
      <c r="C549" t="str">
        <f t="shared" si="204"/>
        <v>FFDFD3C0</v>
      </c>
      <c r="D549" t="s">
        <v>145</v>
      </c>
      <c r="E549" t="str">
        <f>"09"</f>
        <v>09</v>
      </c>
      <c r="H549">
        <v>51</v>
      </c>
      <c r="I549" t="s">
        <v>147</v>
      </c>
      <c r="J549" t="s">
        <v>138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R549" t="s">
        <v>127</v>
      </c>
      <c r="S549" t="str">
        <f t="shared" si="218"/>
        <v>15:06:03.000</v>
      </c>
      <c r="T549" t="str">
        <f t="shared" si="218"/>
        <v>15:06:03.000</v>
      </c>
      <c r="U549" t="str">
        <f t="shared" si="205"/>
        <v>A68FCB</v>
      </c>
      <c r="V549">
        <v>0</v>
      </c>
      <c r="W549">
        <v>0</v>
      </c>
      <c r="X549">
        <v>2</v>
      </c>
      <c r="Y549">
        <v>0</v>
      </c>
      <c r="AA549">
        <v>1</v>
      </c>
      <c r="AB549">
        <v>8</v>
      </c>
      <c r="AC549">
        <v>3</v>
      </c>
      <c r="AD549">
        <v>0</v>
      </c>
      <c r="AE549">
        <v>9</v>
      </c>
      <c r="AF549" t="s">
        <v>138</v>
      </c>
      <c r="AG549">
        <v>0</v>
      </c>
      <c r="AH549">
        <v>3</v>
      </c>
      <c r="AI549">
        <v>1</v>
      </c>
      <c r="AJ549">
        <v>0</v>
      </c>
      <c r="AK549" t="s">
        <v>290</v>
      </c>
      <c r="AL549">
        <v>38.958548999999998</v>
      </c>
      <c r="AM549" t="s">
        <v>291</v>
      </c>
      <c r="AN549">
        <v>-121.049809</v>
      </c>
      <c r="AO549">
        <v>25</v>
      </c>
      <c r="AP549">
        <v>2400</v>
      </c>
      <c r="AQ549" t="s">
        <v>131</v>
      </c>
      <c r="AR549">
        <v>10</v>
      </c>
      <c r="AS549">
        <v>68</v>
      </c>
      <c r="AT549">
        <v>384</v>
      </c>
      <c r="BB549" t="str">
        <f t="shared" si="206"/>
        <v>1200</v>
      </c>
      <c r="BC549">
        <v>1</v>
      </c>
      <c r="BD549" t="str">
        <f t="shared" si="207"/>
        <v xml:space="preserve">N52156  </v>
      </c>
      <c r="BE549">
        <v>1</v>
      </c>
      <c r="BG549">
        <v>0</v>
      </c>
      <c r="BH549">
        <v>0</v>
      </c>
      <c r="BI549">
        <v>0</v>
      </c>
      <c r="BJ549">
        <v>2400</v>
      </c>
      <c r="BK549">
        <v>0</v>
      </c>
      <c r="BL549" t="s">
        <v>188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 t="shared" si="219"/>
        <v>15:06:03.254</v>
      </c>
      <c r="CF549">
        <v>254134962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5</v>
      </c>
      <c r="CY549">
        <v>7</v>
      </c>
      <c r="CZ549" t="s">
        <v>133</v>
      </c>
      <c r="DA549">
        <v>273</v>
      </c>
      <c r="DB549">
        <v>0</v>
      </c>
      <c r="DC549" t="s">
        <v>292</v>
      </c>
      <c r="DD549" t="s">
        <v>293</v>
      </c>
      <c r="DG549">
        <v>4860525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"05/01/2025 15:06:03.474"</f>
        <v>05/01/2025 15:06:03.474</v>
      </c>
      <c r="C550" t="str">
        <f t="shared" si="204"/>
        <v>FFDFD3C0</v>
      </c>
      <c r="D550" t="s">
        <v>124</v>
      </c>
      <c r="E550" t="str">
        <f>"06"</f>
        <v>06</v>
      </c>
      <c r="F550">
        <v>2006</v>
      </c>
      <c r="G550" t="s">
        <v>125</v>
      </c>
      <c r="J550" t="s">
        <v>126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R550" t="s">
        <v>127</v>
      </c>
      <c r="S550" t="str">
        <f t="shared" si="218"/>
        <v>15:06:03.000</v>
      </c>
      <c r="T550" t="str">
        <f t="shared" si="218"/>
        <v>15:06:03.000</v>
      </c>
      <c r="U550" t="str">
        <f t="shared" si="205"/>
        <v>A68FCB</v>
      </c>
      <c r="V550">
        <v>0</v>
      </c>
      <c r="W550">
        <v>0</v>
      </c>
      <c r="X550">
        <v>2</v>
      </c>
      <c r="Y550">
        <v>0</v>
      </c>
      <c r="AA550">
        <v>1</v>
      </c>
      <c r="AB550">
        <v>8</v>
      </c>
      <c r="AC550">
        <v>3</v>
      </c>
      <c r="AD550">
        <v>0</v>
      </c>
      <c r="AE550">
        <v>9</v>
      </c>
      <c r="AF550" t="s">
        <v>138</v>
      </c>
      <c r="AG550">
        <v>0</v>
      </c>
      <c r="AH550">
        <v>3</v>
      </c>
      <c r="AI550">
        <v>1</v>
      </c>
      <c r="AJ550">
        <v>0</v>
      </c>
      <c r="AK550" t="s">
        <v>290</v>
      </c>
      <c r="AL550">
        <v>38.958548999999998</v>
      </c>
      <c r="AM550" t="s">
        <v>291</v>
      </c>
      <c r="AN550">
        <v>-121.049809</v>
      </c>
      <c r="AO550">
        <v>25</v>
      </c>
      <c r="AP550">
        <v>2400</v>
      </c>
      <c r="AQ550" t="s">
        <v>131</v>
      </c>
      <c r="AR550">
        <v>10</v>
      </c>
      <c r="AS550">
        <v>68</v>
      </c>
      <c r="AT550">
        <v>384</v>
      </c>
      <c r="BB550" t="str">
        <f t="shared" si="206"/>
        <v>1200</v>
      </c>
      <c r="BC550">
        <v>1</v>
      </c>
      <c r="BD550" t="str">
        <f t="shared" si="207"/>
        <v xml:space="preserve">N52156  </v>
      </c>
      <c r="BE550">
        <v>1</v>
      </c>
      <c r="BG550">
        <v>0</v>
      </c>
      <c r="BH550">
        <v>0</v>
      </c>
      <c r="BI550">
        <v>0</v>
      </c>
      <c r="BJ550">
        <v>2400</v>
      </c>
      <c r="BK550">
        <v>0</v>
      </c>
      <c r="BL550" t="s">
        <v>188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 t="shared" si="219"/>
        <v>15:06:03.254</v>
      </c>
      <c r="CF550">
        <v>254134962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5</v>
      </c>
      <c r="CY550">
        <v>7</v>
      </c>
      <c r="CZ550" t="s">
        <v>133</v>
      </c>
      <c r="DA550">
        <v>273</v>
      </c>
      <c r="DB550">
        <v>0</v>
      </c>
      <c r="DC550" t="s">
        <v>292</v>
      </c>
      <c r="DD550" t="s">
        <v>293</v>
      </c>
      <c r="DG550">
        <v>4860525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"05/01/2025 15:06:03.473"</f>
        <v>05/01/2025 15:06:03.473</v>
      </c>
      <c r="C551" t="str">
        <f t="shared" si="204"/>
        <v>FFDFD3C0</v>
      </c>
      <c r="D551" t="s">
        <v>145</v>
      </c>
      <c r="E551" t="str">
        <f>"05"</f>
        <v>05</v>
      </c>
      <c r="H551">
        <v>47</v>
      </c>
      <c r="I551" t="s">
        <v>146</v>
      </c>
      <c r="J551" t="s">
        <v>138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R551" t="s">
        <v>127</v>
      </c>
      <c r="S551" t="str">
        <f t="shared" si="218"/>
        <v>15:06:03.000</v>
      </c>
      <c r="T551" t="str">
        <f t="shared" si="218"/>
        <v>15:06:03.000</v>
      </c>
      <c r="U551" t="str">
        <f t="shared" si="205"/>
        <v>A68FCB</v>
      </c>
      <c r="V551">
        <v>0</v>
      </c>
      <c r="W551">
        <v>0</v>
      </c>
      <c r="X551">
        <v>2</v>
      </c>
      <c r="Y551">
        <v>0</v>
      </c>
      <c r="AA551">
        <v>1</v>
      </c>
      <c r="AB551">
        <v>8</v>
      </c>
      <c r="AC551">
        <v>3</v>
      </c>
      <c r="AD551">
        <v>0</v>
      </c>
      <c r="AE551">
        <v>9</v>
      </c>
      <c r="AF551" t="s">
        <v>138</v>
      </c>
      <c r="AG551">
        <v>0</v>
      </c>
      <c r="AH551">
        <v>3</v>
      </c>
      <c r="AI551">
        <v>1</v>
      </c>
      <c r="AJ551">
        <v>0</v>
      </c>
      <c r="AK551" t="s">
        <v>290</v>
      </c>
      <c r="AL551">
        <v>38.958548999999998</v>
      </c>
      <c r="AM551" t="s">
        <v>291</v>
      </c>
      <c r="AN551">
        <v>-121.049809</v>
      </c>
      <c r="AO551">
        <v>25</v>
      </c>
      <c r="AP551">
        <v>2400</v>
      </c>
      <c r="AQ551" t="s">
        <v>131</v>
      </c>
      <c r="AR551">
        <v>10</v>
      </c>
      <c r="AS551">
        <v>68</v>
      </c>
      <c r="AT551">
        <v>384</v>
      </c>
      <c r="BB551" t="str">
        <f t="shared" si="206"/>
        <v>1200</v>
      </c>
      <c r="BC551">
        <v>1</v>
      </c>
      <c r="BD551" t="str">
        <f t="shared" si="207"/>
        <v xml:space="preserve">N52156  </v>
      </c>
      <c r="BE551">
        <v>1</v>
      </c>
      <c r="BG551">
        <v>0</v>
      </c>
      <c r="BH551">
        <v>0</v>
      </c>
      <c r="BI551">
        <v>0</v>
      </c>
      <c r="BJ551">
        <v>2400</v>
      </c>
      <c r="BK551">
        <v>0</v>
      </c>
      <c r="BL551" t="s">
        <v>188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 t="shared" si="219"/>
        <v>15:06:03.254</v>
      </c>
      <c r="CF551">
        <v>254134962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5</v>
      </c>
      <c r="CY551">
        <v>7</v>
      </c>
      <c r="CZ551" t="s">
        <v>133</v>
      </c>
      <c r="DA551">
        <v>273</v>
      </c>
      <c r="DB551">
        <v>0</v>
      </c>
      <c r="DC551" t="s">
        <v>292</v>
      </c>
      <c r="DD551" t="s">
        <v>293</v>
      </c>
      <c r="DG551">
        <v>4860525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"05/01/2025 15:06:03.484"</f>
        <v>05/01/2025 15:06:03.484</v>
      </c>
      <c r="C552" t="str">
        <f t="shared" si="204"/>
        <v>FFDFD3C0</v>
      </c>
      <c r="D552" t="s">
        <v>136</v>
      </c>
      <c r="E552" t="str">
        <f>"20"</f>
        <v>20</v>
      </c>
      <c r="H552">
        <v>400</v>
      </c>
      <c r="I552" t="s">
        <v>137</v>
      </c>
      <c r="J552" t="s">
        <v>138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R552" t="s">
        <v>127</v>
      </c>
      <c r="S552" t="str">
        <f t="shared" si="218"/>
        <v>15:06:03.000</v>
      </c>
      <c r="T552" t="str">
        <f t="shared" si="218"/>
        <v>15:06:03.000</v>
      </c>
      <c r="U552" t="str">
        <f t="shared" si="205"/>
        <v>A68FCB</v>
      </c>
      <c r="V552">
        <v>0</v>
      </c>
      <c r="W552">
        <v>0</v>
      </c>
      <c r="X552">
        <v>2</v>
      </c>
      <c r="Y552">
        <v>0</v>
      </c>
      <c r="AA552">
        <v>1</v>
      </c>
      <c r="AB552">
        <v>8</v>
      </c>
      <c r="AC552">
        <v>3</v>
      </c>
      <c r="AD552">
        <v>0</v>
      </c>
      <c r="AE552">
        <v>9</v>
      </c>
      <c r="AF552" t="s">
        <v>138</v>
      </c>
      <c r="AG552">
        <v>0</v>
      </c>
      <c r="AH552">
        <v>3</v>
      </c>
      <c r="AI552">
        <v>1</v>
      </c>
      <c r="AJ552">
        <v>0</v>
      </c>
      <c r="AK552" t="s">
        <v>290</v>
      </c>
      <c r="AL552">
        <v>38.958548999999998</v>
      </c>
      <c r="AM552" t="s">
        <v>291</v>
      </c>
      <c r="AN552">
        <v>-121.049809</v>
      </c>
      <c r="AO552">
        <v>25</v>
      </c>
      <c r="AP552">
        <v>2400</v>
      </c>
      <c r="AQ552" t="s">
        <v>131</v>
      </c>
      <c r="AR552">
        <v>10</v>
      </c>
      <c r="AS552">
        <v>68</v>
      </c>
      <c r="AT552">
        <v>384</v>
      </c>
      <c r="BB552" t="str">
        <f t="shared" si="206"/>
        <v>1200</v>
      </c>
      <c r="BC552">
        <v>1</v>
      </c>
      <c r="BD552" t="str">
        <f t="shared" si="207"/>
        <v xml:space="preserve">N52156  </v>
      </c>
      <c r="BE552">
        <v>1</v>
      </c>
      <c r="BG552">
        <v>0</v>
      </c>
      <c r="BH552">
        <v>0</v>
      </c>
      <c r="BI552">
        <v>0</v>
      </c>
      <c r="BJ552">
        <v>2400</v>
      </c>
      <c r="BK552">
        <v>0</v>
      </c>
      <c r="BL552" t="s">
        <v>188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 t="shared" si="219"/>
        <v>15:06:03.254</v>
      </c>
      <c r="CF552">
        <v>254134962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133</v>
      </c>
      <c r="DA552">
        <v>273</v>
      </c>
      <c r="DB552">
        <v>0</v>
      </c>
      <c r="DC552" t="s">
        <v>292</v>
      </c>
      <c r="DD552" t="s">
        <v>293</v>
      </c>
      <c r="DG552">
        <v>4860525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"05/01/2025 15:06:03.512"</f>
        <v>05/01/2025 15:06:03.512</v>
      </c>
      <c r="C553" t="str">
        <f t="shared" si="204"/>
        <v>FFDFD3C0</v>
      </c>
      <c r="D553" t="s">
        <v>140</v>
      </c>
      <c r="E553" t="str">
        <f>"13"</f>
        <v>13</v>
      </c>
      <c r="F553">
        <v>1019</v>
      </c>
      <c r="G553" t="s">
        <v>141</v>
      </c>
      <c r="J553" t="s">
        <v>142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R553" t="s">
        <v>127</v>
      </c>
      <c r="S553" t="str">
        <f t="shared" si="218"/>
        <v>15:06:03.000</v>
      </c>
      <c r="T553" t="str">
        <f t="shared" si="218"/>
        <v>15:06:03.000</v>
      </c>
      <c r="U553" t="str">
        <f t="shared" si="205"/>
        <v>A68FCB</v>
      </c>
      <c r="V553">
        <v>0</v>
      </c>
      <c r="W553">
        <v>0</v>
      </c>
      <c r="X553">
        <v>2</v>
      </c>
      <c r="Y553">
        <v>0</v>
      </c>
      <c r="AA553">
        <v>1</v>
      </c>
      <c r="AB553">
        <v>8</v>
      </c>
      <c r="AC553">
        <v>3</v>
      </c>
      <c r="AD553">
        <v>0</v>
      </c>
      <c r="AE553">
        <v>9</v>
      </c>
      <c r="AF553" t="s">
        <v>138</v>
      </c>
      <c r="AG553">
        <v>0</v>
      </c>
      <c r="AH553">
        <v>3</v>
      </c>
      <c r="AI553">
        <v>1</v>
      </c>
      <c r="AJ553">
        <v>0</v>
      </c>
      <c r="AK553" t="s">
        <v>290</v>
      </c>
      <c r="AL553">
        <v>38.958548999999998</v>
      </c>
      <c r="AM553" t="s">
        <v>291</v>
      </c>
      <c r="AN553">
        <v>-121.049809</v>
      </c>
      <c r="AO553">
        <v>25</v>
      </c>
      <c r="AP553">
        <v>2400</v>
      </c>
      <c r="AQ553" t="s">
        <v>131</v>
      </c>
      <c r="AR553">
        <v>10</v>
      </c>
      <c r="AS553">
        <v>68</v>
      </c>
      <c r="AT553">
        <v>384</v>
      </c>
      <c r="BB553" t="str">
        <f t="shared" si="206"/>
        <v>1200</v>
      </c>
      <c r="BC553">
        <v>1</v>
      </c>
      <c r="BD553" t="str">
        <f t="shared" si="207"/>
        <v xml:space="preserve">N52156  </v>
      </c>
      <c r="BE553">
        <v>1</v>
      </c>
      <c r="BG553">
        <v>0</v>
      </c>
      <c r="BH553">
        <v>0</v>
      </c>
      <c r="BI553">
        <v>0</v>
      </c>
      <c r="BJ553">
        <v>2400</v>
      </c>
      <c r="BK553">
        <v>0</v>
      </c>
      <c r="BL553" t="s">
        <v>188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 t="shared" si="219"/>
        <v>15:06:03.254</v>
      </c>
      <c r="CF553">
        <v>254134962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133</v>
      </c>
      <c r="DA553">
        <v>273</v>
      </c>
      <c r="DB553">
        <v>0</v>
      </c>
      <c r="DC553" t="s">
        <v>292</v>
      </c>
      <c r="DD553" t="s">
        <v>293</v>
      </c>
      <c r="DG553">
        <v>4860525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"05/01/2025 15:06:04.535"</f>
        <v>05/01/2025 15:06:04.535</v>
      </c>
      <c r="C554" t="str">
        <f t="shared" si="204"/>
        <v>FFDFD3C0</v>
      </c>
      <c r="D554" t="s">
        <v>136</v>
      </c>
      <c r="E554" t="str">
        <f>"20"</f>
        <v>20</v>
      </c>
      <c r="H554">
        <v>400</v>
      </c>
      <c r="I554" t="s">
        <v>137</v>
      </c>
      <c r="J554" t="s">
        <v>138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R554" t="s">
        <v>127</v>
      </c>
      <c r="S554" t="str">
        <f t="shared" ref="S554:T559" si="220">"15:06:04.000"</f>
        <v>15:06:04.000</v>
      </c>
      <c r="T554" t="str">
        <f t="shared" si="220"/>
        <v>15:06:04.000</v>
      </c>
      <c r="U554" t="str">
        <f t="shared" si="205"/>
        <v>A68FCB</v>
      </c>
      <c r="V554">
        <v>0</v>
      </c>
      <c r="W554">
        <v>0</v>
      </c>
      <c r="X554">
        <v>2</v>
      </c>
      <c r="Y554">
        <v>0</v>
      </c>
      <c r="AA554">
        <v>1</v>
      </c>
      <c r="AB554">
        <v>8</v>
      </c>
      <c r="AC554">
        <v>3</v>
      </c>
      <c r="AD554">
        <v>0</v>
      </c>
      <c r="AE554">
        <v>9</v>
      </c>
      <c r="AF554" t="s">
        <v>138</v>
      </c>
      <c r="AG554">
        <v>0</v>
      </c>
      <c r="AH554">
        <v>3</v>
      </c>
      <c r="AI554">
        <v>1</v>
      </c>
      <c r="AJ554">
        <v>0</v>
      </c>
      <c r="AK554" t="s">
        <v>294</v>
      </c>
      <c r="AL554">
        <v>38.958871000000002</v>
      </c>
      <c r="AM554" t="s">
        <v>295</v>
      </c>
      <c r="AN554">
        <v>-121.049745</v>
      </c>
      <c r="AO554">
        <v>25</v>
      </c>
      <c r="AP554">
        <v>2400</v>
      </c>
      <c r="AQ554" t="s">
        <v>131</v>
      </c>
      <c r="AR554">
        <v>6</v>
      </c>
      <c r="AS554">
        <v>69</v>
      </c>
      <c r="AT554">
        <v>448</v>
      </c>
      <c r="BB554" t="str">
        <f t="shared" si="206"/>
        <v>1200</v>
      </c>
      <c r="BC554">
        <v>1</v>
      </c>
      <c r="BD554" t="str">
        <f t="shared" si="207"/>
        <v xml:space="preserve">N52156  </v>
      </c>
      <c r="BE554">
        <v>1</v>
      </c>
      <c r="BG554">
        <v>0</v>
      </c>
      <c r="BH554">
        <v>0</v>
      </c>
      <c r="BI554">
        <v>0</v>
      </c>
      <c r="BJ554">
        <v>2400</v>
      </c>
      <c r="BK554">
        <v>0</v>
      </c>
      <c r="BL554" t="s">
        <v>188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 t="shared" ref="CE554:CE559" si="221">"15:06:04.326"</f>
        <v>15:06:04.326</v>
      </c>
      <c r="CF554">
        <v>325698229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5</v>
      </c>
      <c r="CY554">
        <v>7</v>
      </c>
      <c r="CZ554" t="s">
        <v>133</v>
      </c>
      <c r="DA554">
        <v>275</v>
      </c>
      <c r="DB554">
        <v>0</v>
      </c>
      <c r="DC554" t="s">
        <v>134</v>
      </c>
      <c r="DD554" t="s">
        <v>135</v>
      </c>
      <c r="DG554">
        <v>3318688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"05/01/2025 15:06:04.564"</f>
        <v>05/01/2025 15:06:04.564</v>
      </c>
      <c r="C555" t="str">
        <f t="shared" si="204"/>
        <v>FFDFD3C0</v>
      </c>
      <c r="D555" t="s">
        <v>140</v>
      </c>
      <c r="E555" t="str">
        <f>"13"</f>
        <v>13</v>
      </c>
      <c r="F555">
        <v>1019</v>
      </c>
      <c r="G555" t="s">
        <v>141</v>
      </c>
      <c r="J555" t="s">
        <v>142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R555" t="s">
        <v>127</v>
      </c>
      <c r="S555" t="str">
        <f t="shared" si="220"/>
        <v>15:06:04.000</v>
      </c>
      <c r="T555" t="str">
        <f t="shared" si="220"/>
        <v>15:06:04.000</v>
      </c>
      <c r="U555" t="str">
        <f t="shared" si="205"/>
        <v>A68FCB</v>
      </c>
      <c r="V555">
        <v>0</v>
      </c>
      <c r="W555">
        <v>0</v>
      </c>
      <c r="X555">
        <v>2</v>
      </c>
      <c r="Y555">
        <v>0</v>
      </c>
      <c r="AA555">
        <v>1</v>
      </c>
      <c r="AB555">
        <v>8</v>
      </c>
      <c r="AC555">
        <v>3</v>
      </c>
      <c r="AD555">
        <v>0</v>
      </c>
      <c r="AE555">
        <v>9</v>
      </c>
      <c r="AF555" t="s">
        <v>138</v>
      </c>
      <c r="AG555">
        <v>0</v>
      </c>
      <c r="AH555">
        <v>3</v>
      </c>
      <c r="AI555">
        <v>1</v>
      </c>
      <c r="AJ555">
        <v>0</v>
      </c>
      <c r="AK555" t="s">
        <v>294</v>
      </c>
      <c r="AL555">
        <v>38.958871000000002</v>
      </c>
      <c r="AM555" t="s">
        <v>295</v>
      </c>
      <c r="AN555">
        <v>-121.049745</v>
      </c>
      <c r="AO555">
        <v>25</v>
      </c>
      <c r="AP555">
        <v>2400</v>
      </c>
      <c r="AQ555" t="s">
        <v>131</v>
      </c>
      <c r="AR555">
        <v>6</v>
      </c>
      <c r="AS555">
        <v>69</v>
      </c>
      <c r="AT555">
        <v>448</v>
      </c>
      <c r="BB555" t="str">
        <f t="shared" si="206"/>
        <v>1200</v>
      </c>
      <c r="BC555">
        <v>1</v>
      </c>
      <c r="BD555" t="str">
        <f t="shared" si="207"/>
        <v xml:space="preserve">N52156  </v>
      </c>
      <c r="BE555">
        <v>1</v>
      </c>
      <c r="BG555">
        <v>0</v>
      </c>
      <c r="BH555">
        <v>0</v>
      </c>
      <c r="BI555">
        <v>0</v>
      </c>
      <c r="BJ555">
        <v>2400</v>
      </c>
      <c r="BK555">
        <v>0</v>
      </c>
      <c r="BL555" t="s">
        <v>188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 t="shared" si="221"/>
        <v>15:06:04.326</v>
      </c>
      <c r="CF555">
        <v>325698229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5</v>
      </c>
      <c r="CY555">
        <v>7</v>
      </c>
      <c r="CZ555" t="s">
        <v>133</v>
      </c>
      <c r="DA555">
        <v>275</v>
      </c>
      <c r="DB555">
        <v>0</v>
      </c>
      <c r="DC555" t="s">
        <v>134</v>
      </c>
      <c r="DD555" t="s">
        <v>135</v>
      </c>
      <c r="DG555">
        <v>3318688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"05/01/2025 15:06:04.576"</f>
        <v>05/01/2025 15:06:04.576</v>
      </c>
      <c r="C556" t="str">
        <f t="shared" si="204"/>
        <v>FFDFD3C0</v>
      </c>
      <c r="D556" t="s">
        <v>145</v>
      </c>
      <c r="E556" t="str">
        <f>"09"</f>
        <v>09</v>
      </c>
      <c r="H556">
        <v>51</v>
      </c>
      <c r="I556" t="s">
        <v>147</v>
      </c>
      <c r="J556" t="s">
        <v>138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R556" t="s">
        <v>127</v>
      </c>
      <c r="S556" t="str">
        <f t="shared" si="220"/>
        <v>15:06:04.000</v>
      </c>
      <c r="T556" t="str">
        <f t="shared" si="220"/>
        <v>15:06:04.000</v>
      </c>
      <c r="U556" t="str">
        <f t="shared" si="205"/>
        <v>A68FCB</v>
      </c>
      <c r="V556">
        <v>0</v>
      </c>
      <c r="W556">
        <v>0</v>
      </c>
      <c r="X556">
        <v>2</v>
      </c>
      <c r="Y556">
        <v>0</v>
      </c>
      <c r="AA556">
        <v>1</v>
      </c>
      <c r="AB556">
        <v>8</v>
      </c>
      <c r="AC556">
        <v>3</v>
      </c>
      <c r="AD556">
        <v>0</v>
      </c>
      <c r="AE556">
        <v>9</v>
      </c>
      <c r="AF556" t="s">
        <v>138</v>
      </c>
      <c r="AG556">
        <v>0</v>
      </c>
      <c r="AH556">
        <v>3</v>
      </c>
      <c r="AI556">
        <v>1</v>
      </c>
      <c r="AJ556">
        <v>0</v>
      </c>
      <c r="AK556" t="s">
        <v>294</v>
      </c>
      <c r="AL556">
        <v>38.958871000000002</v>
      </c>
      <c r="AM556" t="s">
        <v>295</v>
      </c>
      <c r="AN556">
        <v>-121.049745</v>
      </c>
      <c r="AO556">
        <v>25</v>
      </c>
      <c r="AP556">
        <v>2400</v>
      </c>
      <c r="AQ556" t="s">
        <v>131</v>
      </c>
      <c r="AR556">
        <v>6</v>
      </c>
      <c r="AS556">
        <v>69</v>
      </c>
      <c r="AT556">
        <v>448</v>
      </c>
      <c r="BB556" t="str">
        <f t="shared" si="206"/>
        <v>1200</v>
      </c>
      <c r="BC556">
        <v>1</v>
      </c>
      <c r="BD556" t="str">
        <f t="shared" si="207"/>
        <v xml:space="preserve">N52156  </v>
      </c>
      <c r="BE556">
        <v>1</v>
      </c>
      <c r="BG556">
        <v>0</v>
      </c>
      <c r="BH556">
        <v>0</v>
      </c>
      <c r="BI556">
        <v>0</v>
      </c>
      <c r="BJ556">
        <v>2400</v>
      </c>
      <c r="BK556">
        <v>0</v>
      </c>
      <c r="BL556" t="s">
        <v>188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 t="shared" si="221"/>
        <v>15:06:04.326</v>
      </c>
      <c r="CF556">
        <v>325698229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5</v>
      </c>
      <c r="CY556">
        <v>7</v>
      </c>
      <c r="CZ556" t="s">
        <v>133</v>
      </c>
      <c r="DA556">
        <v>275</v>
      </c>
      <c r="DB556">
        <v>0</v>
      </c>
      <c r="DC556" t="s">
        <v>134</v>
      </c>
      <c r="DD556" t="s">
        <v>135</v>
      </c>
      <c r="DG556">
        <v>3318688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"05/01/2025 15:06:04.576"</f>
        <v>05/01/2025 15:06:04.576</v>
      </c>
      <c r="C557" t="str">
        <f t="shared" si="204"/>
        <v>FFDFD3C0</v>
      </c>
      <c r="D557" t="s">
        <v>124</v>
      </c>
      <c r="E557" t="str">
        <f>"06"</f>
        <v>06</v>
      </c>
      <c r="F557">
        <v>2006</v>
      </c>
      <c r="G557" t="s">
        <v>125</v>
      </c>
      <c r="J557" t="s">
        <v>126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R557" t="s">
        <v>127</v>
      </c>
      <c r="S557" t="str">
        <f t="shared" si="220"/>
        <v>15:06:04.000</v>
      </c>
      <c r="T557" t="str">
        <f t="shared" si="220"/>
        <v>15:06:04.000</v>
      </c>
      <c r="U557" t="str">
        <f t="shared" si="205"/>
        <v>A68FCB</v>
      </c>
      <c r="V557">
        <v>0</v>
      </c>
      <c r="W557">
        <v>0</v>
      </c>
      <c r="X557">
        <v>2</v>
      </c>
      <c r="Y557">
        <v>0</v>
      </c>
      <c r="AA557">
        <v>1</v>
      </c>
      <c r="AB557">
        <v>8</v>
      </c>
      <c r="AC557">
        <v>3</v>
      </c>
      <c r="AD557">
        <v>0</v>
      </c>
      <c r="AE557">
        <v>9</v>
      </c>
      <c r="AF557" t="s">
        <v>138</v>
      </c>
      <c r="AG557">
        <v>0</v>
      </c>
      <c r="AH557">
        <v>3</v>
      </c>
      <c r="AI557">
        <v>1</v>
      </c>
      <c r="AJ557">
        <v>0</v>
      </c>
      <c r="AK557" t="s">
        <v>294</v>
      </c>
      <c r="AL557">
        <v>38.958871000000002</v>
      </c>
      <c r="AM557" t="s">
        <v>295</v>
      </c>
      <c r="AN557">
        <v>-121.049745</v>
      </c>
      <c r="AO557">
        <v>25</v>
      </c>
      <c r="AP557">
        <v>2400</v>
      </c>
      <c r="AQ557" t="s">
        <v>131</v>
      </c>
      <c r="AR557">
        <v>6</v>
      </c>
      <c r="AS557">
        <v>69</v>
      </c>
      <c r="AT557">
        <v>448</v>
      </c>
      <c r="BB557" t="str">
        <f t="shared" si="206"/>
        <v>1200</v>
      </c>
      <c r="BC557">
        <v>1</v>
      </c>
      <c r="BD557" t="str">
        <f t="shared" si="207"/>
        <v xml:space="preserve">N52156  </v>
      </c>
      <c r="BE557">
        <v>1</v>
      </c>
      <c r="BG557">
        <v>0</v>
      </c>
      <c r="BH557">
        <v>0</v>
      </c>
      <c r="BI557">
        <v>0</v>
      </c>
      <c r="BJ557">
        <v>2400</v>
      </c>
      <c r="BK557">
        <v>0</v>
      </c>
      <c r="BL557" t="s">
        <v>188</v>
      </c>
      <c r="BM557">
        <v>1</v>
      </c>
      <c r="BN557">
        <v>1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 t="shared" si="221"/>
        <v>15:06:04.326</v>
      </c>
      <c r="CF557">
        <v>325698229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5</v>
      </c>
      <c r="CY557">
        <v>7</v>
      </c>
      <c r="CZ557" t="s">
        <v>133</v>
      </c>
      <c r="DA557">
        <v>275</v>
      </c>
      <c r="DB557">
        <v>0</v>
      </c>
      <c r="DC557" t="s">
        <v>134</v>
      </c>
      <c r="DD557" t="s">
        <v>135</v>
      </c>
      <c r="DG557">
        <v>3318688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"05/01/2025 15:06:04.576"</f>
        <v>05/01/2025 15:06:04.576</v>
      </c>
      <c r="C558" t="str">
        <f t="shared" si="204"/>
        <v>FFDFD3C0</v>
      </c>
      <c r="D558" t="s">
        <v>145</v>
      </c>
      <c r="E558" t="str">
        <f>"05"</f>
        <v>05</v>
      </c>
      <c r="H558">
        <v>47</v>
      </c>
      <c r="I558" t="s">
        <v>146</v>
      </c>
      <c r="J558" t="s">
        <v>138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R558" t="s">
        <v>127</v>
      </c>
      <c r="S558" t="str">
        <f t="shared" si="220"/>
        <v>15:06:04.000</v>
      </c>
      <c r="T558" t="str">
        <f t="shared" si="220"/>
        <v>15:06:04.000</v>
      </c>
      <c r="U558" t="str">
        <f t="shared" si="205"/>
        <v>A68FCB</v>
      </c>
      <c r="V558">
        <v>0</v>
      </c>
      <c r="W558">
        <v>0</v>
      </c>
      <c r="X558">
        <v>2</v>
      </c>
      <c r="Y558">
        <v>0</v>
      </c>
      <c r="AA558">
        <v>1</v>
      </c>
      <c r="AB558">
        <v>8</v>
      </c>
      <c r="AC558">
        <v>3</v>
      </c>
      <c r="AD558">
        <v>0</v>
      </c>
      <c r="AE558">
        <v>9</v>
      </c>
      <c r="AF558" t="s">
        <v>138</v>
      </c>
      <c r="AG558">
        <v>0</v>
      </c>
      <c r="AH558">
        <v>3</v>
      </c>
      <c r="AI558">
        <v>1</v>
      </c>
      <c r="AJ558">
        <v>0</v>
      </c>
      <c r="AK558" t="s">
        <v>294</v>
      </c>
      <c r="AL558">
        <v>38.958871000000002</v>
      </c>
      <c r="AM558" t="s">
        <v>295</v>
      </c>
      <c r="AN558">
        <v>-121.049745</v>
      </c>
      <c r="AO558">
        <v>25</v>
      </c>
      <c r="AP558">
        <v>2400</v>
      </c>
      <c r="AQ558" t="s">
        <v>131</v>
      </c>
      <c r="AR558">
        <v>6</v>
      </c>
      <c r="AS558">
        <v>69</v>
      </c>
      <c r="AT558">
        <v>448</v>
      </c>
      <c r="BB558" t="str">
        <f t="shared" si="206"/>
        <v>1200</v>
      </c>
      <c r="BC558">
        <v>1</v>
      </c>
      <c r="BD558" t="str">
        <f t="shared" si="207"/>
        <v xml:space="preserve">N52156  </v>
      </c>
      <c r="BE558">
        <v>1</v>
      </c>
      <c r="BG558">
        <v>0</v>
      </c>
      <c r="BH558">
        <v>0</v>
      </c>
      <c r="BI558">
        <v>0</v>
      </c>
      <c r="BJ558">
        <v>2400</v>
      </c>
      <c r="BK558">
        <v>0</v>
      </c>
      <c r="BL558" t="s">
        <v>188</v>
      </c>
      <c r="BM558">
        <v>1</v>
      </c>
      <c r="BN558">
        <v>1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 t="shared" si="221"/>
        <v>15:06:04.326</v>
      </c>
      <c r="CF558">
        <v>325698229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133</v>
      </c>
      <c r="DA558">
        <v>275</v>
      </c>
      <c r="DB558">
        <v>0</v>
      </c>
      <c r="DC558" t="s">
        <v>134</v>
      </c>
      <c r="DD558" t="s">
        <v>135</v>
      </c>
      <c r="DG558">
        <v>3318688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"05/01/2025 15:06:04.576"</f>
        <v>05/01/2025 15:06:04.576</v>
      </c>
      <c r="C559" t="str">
        <f t="shared" si="204"/>
        <v>FFDFD3C0</v>
      </c>
      <c r="D559" t="s">
        <v>143</v>
      </c>
      <c r="E559" t="str">
        <f>"05"</f>
        <v>05</v>
      </c>
      <c r="H559">
        <v>172</v>
      </c>
      <c r="I559" t="s">
        <v>141</v>
      </c>
      <c r="J559" t="s">
        <v>144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R559" t="s">
        <v>127</v>
      </c>
      <c r="S559" t="str">
        <f t="shared" si="220"/>
        <v>15:06:04.000</v>
      </c>
      <c r="T559" t="str">
        <f t="shared" si="220"/>
        <v>15:06:04.000</v>
      </c>
      <c r="U559" t="str">
        <f t="shared" si="205"/>
        <v>A68FCB</v>
      </c>
      <c r="V559">
        <v>0</v>
      </c>
      <c r="W559">
        <v>0</v>
      </c>
      <c r="X559">
        <v>2</v>
      </c>
      <c r="Y559">
        <v>0</v>
      </c>
      <c r="AA559">
        <v>1</v>
      </c>
      <c r="AB559">
        <v>8</v>
      </c>
      <c r="AC559">
        <v>3</v>
      </c>
      <c r="AD559">
        <v>0</v>
      </c>
      <c r="AE559">
        <v>9</v>
      </c>
      <c r="AF559" t="s">
        <v>138</v>
      </c>
      <c r="AG559">
        <v>0</v>
      </c>
      <c r="AH559">
        <v>3</v>
      </c>
      <c r="AI559">
        <v>1</v>
      </c>
      <c r="AJ559">
        <v>0</v>
      </c>
      <c r="AK559" t="s">
        <v>294</v>
      </c>
      <c r="AL559">
        <v>38.958871000000002</v>
      </c>
      <c r="AM559" t="s">
        <v>295</v>
      </c>
      <c r="AN559">
        <v>-121.049745</v>
      </c>
      <c r="AO559">
        <v>25</v>
      </c>
      <c r="AP559">
        <v>2400</v>
      </c>
      <c r="AQ559" t="s">
        <v>131</v>
      </c>
      <c r="AR559">
        <v>6</v>
      </c>
      <c r="AS559">
        <v>69</v>
      </c>
      <c r="AT559">
        <v>448</v>
      </c>
      <c r="BB559" t="str">
        <f t="shared" si="206"/>
        <v>1200</v>
      </c>
      <c r="BC559">
        <v>1</v>
      </c>
      <c r="BD559" t="str">
        <f t="shared" si="207"/>
        <v xml:space="preserve">N52156  </v>
      </c>
      <c r="BE559">
        <v>1</v>
      </c>
      <c r="BG559">
        <v>0</v>
      </c>
      <c r="BH559">
        <v>0</v>
      </c>
      <c r="BI559">
        <v>0</v>
      </c>
      <c r="BJ559">
        <v>2400</v>
      </c>
      <c r="BK559">
        <v>0</v>
      </c>
      <c r="BL559" t="s">
        <v>188</v>
      </c>
      <c r="BM559">
        <v>1</v>
      </c>
      <c r="BN559">
        <v>1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 t="shared" si="221"/>
        <v>15:06:04.326</v>
      </c>
      <c r="CF559">
        <v>325698229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5</v>
      </c>
      <c r="CY559">
        <v>7</v>
      </c>
      <c r="CZ559" t="s">
        <v>133</v>
      </c>
      <c r="DA559">
        <v>275</v>
      </c>
      <c r="DB559">
        <v>0</v>
      </c>
      <c r="DC559" t="s">
        <v>134</v>
      </c>
      <c r="DD559" t="s">
        <v>135</v>
      </c>
      <c r="DG559">
        <v>3318688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"05/01/2025 15:06:05.916"</f>
        <v>05/01/2025 15:06:05.916</v>
      </c>
      <c r="C560" t="str">
        <f t="shared" si="204"/>
        <v>FFDFD3C0</v>
      </c>
      <c r="D560" t="s">
        <v>140</v>
      </c>
      <c r="E560" t="str">
        <f>"13"</f>
        <v>13</v>
      </c>
      <c r="F560">
        <v>1019</v>
      </c>
      <c r="G560" t="s">
        <v>141</v>
      </c>
      <c r="J560" t="s">
        <v>142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R560" t="s">
        <v>127</v>
      </c>
      <c r="S560" t="str">
        <f t="shared" ref="S560:T565" si="222">"15:06:05.000"</f>
        <v>15:06:05.000</v>
      </c>
      <c r="T560" t="str">
        <f t="shared" si="222"/>
        <v>15:06:05.000</v>
      </c>
      <c r="U560" t="str">
        <f t="shared" si="205"/>
        <v>A68FCB</v>
      </c>
      <c r="V560">
        <v>0</v>
      </c>
      <c r="W560">
        <v>0</v>
      </c>
      <c r="X560">
        <v>2</v>
      </c>
      <c r="Y560">
        <v>0</v>
      </c>
      <c r="AA560">
        <v>1</v>
      </c>
      <c r="AB560">
        <v>8</v>
      </c>
      <c r="AC560">
        <v>3</v>
      </c>
      <c r="AD560">
        <v>0</v>
      </c>
      <c r="AE560">
        <v>9</v>
      </c>
      <c r="AF560" t="s">
        <v>138</v>
      </c>
      <c r="AG560">
        <v>0</v>
      </c>
      <c r="AH560">
        <v>3</v>
      </c>
      <c r="AI560">
        <v>1</v>
      </c>
      <c r="AJ560">
        <v>0</v>
      </c>
      <c r="AK560" t="s">
        <v>296</v>
      </c>
      <c r="AL560">
        <v>38.959192999999999</v>
      </c>
      <c r="AM560" t="s">
        <v>297</v>
      </c>
      <c r="AN560">
        <v>-121.049702</v>
      </c>
      <c r="AO560">
        <v>25</v>
      </c>
      <c r="AP560">
        <v>2400</v>
      </c>
      <c r="AQ560" t="s">
        <v>131</v>
      </c>
      <c r="AR560">
        <v>3</v>
      </c>
      <c r="AS560">
        <v>69</v>
      </c>
      <c r="AT560">
        <v>512</v>
      </c>
      <c r="BB560" t="str">
        <f t="shared" si="206"/>
        <v>1200</v>
      </c>
      <c r="BC560">
        <v>1</v>
      </c>
      <c r="BD560" t="str">
        <f t="shared" si="207"/>
        <v xml:space="preserve">N52156  </v>
      </c>
      <c r="BE560">
        <v>1</v>
      </c>
      <c r="BG560">
        <v>0</v>
      </c>
      <c r="BH560">
        <v>0</v>
      </c>
      <c r="BI560">
        <v>0</v>
      </c>
      <c r="BJ560">
        <v>2400</v>
      </c>
      <c r="BK560">
        <v>0</v>
      </c>
      <c r="BL560" t="s">
        <v>188</v>
      </c>
      <c r="BM560">
        <v>1</v>
      </c>
      <c r="BN560">
        <v>1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 t="shared" ref="CE560:CE565" si="223">"15:06:05.666"</f>
        <v>15:06:05.666</v>
      </c>
      <c r="CF560">
        <v>666449148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5</v>
      </c>
      <c r="CY560">
        <v>7</v>
      </c>
      <c r="CZ560" t="s">
        <v>133</v>
      </c>
      <c r="DA560">
        <v>275</v>
      </c>
      <c r="DB560">
        <v>0</v>
      </c>
      <c r="DC560" t="s">
        <v>134</v>
      </c>
      <c r="DD560" t="s">
        <v>135</v>
      </c>
      <c r="DG560">
        <v>3318703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"05/01/2025 15:06:05.928"</f>
        <v>05/01/2025 15:06:05.928</v>
      </c>
      <c r="C561" t="str">
        <f t="shared" si="204"/>
        <v>FFDFD3C0</v>
      </c>
      <c r="D561" t="s">
        <v>143</v>
      </c>
      <c r="E561" t="str">
        <f>"05"</f>
        <v>05</v>
      </c>
      <c r="H561">
        <v>172</v>
      </c>
      <c r="I561" t="s">
        <v>141</v>
      </c>
      <c r="J561" t="s">
        <v>144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R561" t="s">
        <v>127</v>
      </c>
      <c r="S561" t="str">
        <f t="shared" si="222"/>
        <v>15:06:05.000</v>
      </c>
      <c r="T561" t="str">
        <f t="shared" si="222"/>
        <v>15:06:05.000</v>
      </c>
      <c r="U561" t="str">
        <f t="shared" si="205"/>
        <v>A68FCB</v>
      </c>
      <c r="V561">
        <v>0</v>
      </c>
      <c r="W561">
        <v>0</v>
      </c>
      <c r="X561">
        <v>2</v>
      </c>
      <c r="Y561">
        <v>0</v>
      </c>
      <c r="AA561">
        <v>1</v>
      </c>
      <c r="AB561">
        <v>8</v>
      </c>
      <c r="AC561">
        <v>3</v>
      </c>
      <c r="AD561">
        <v>0</v>
      </c>
      <c r="AE561">
        <v>9</v>
      </c>
      <c r="AF561" t="s">
        <v>138</v>
      </c>
      <c r="AG561">
        <v>0</v>
      </c>
      <c r="AH561">
        <v>3</v>
      </c>
      <c r="AI561">
        <v>1</v>
      </c>
      <c r="AJ561">
        <v>0</v>
      </c>
      <c r="AK561" t="s">
        <v>296</v>
      </c>
      <c r="AL561">
        <v>38.959192999999999</v>
      </c>
      <c r="AM561" t="s">
        <v>297</v>
      </c>
      <c r="AN561">
        <v>-121.049702</v>
      </c>
      <c r="AO561">
        <v>25</v>
      </c>
      <c r="AP561">
        <v>2400</v>
      </c>
      <c r="AQ561" t="s">
        <v>131</v>
      </c>
      <c r="AR561">
        <v>3</v>
      </c>
      <c r="AS561">
        <v>69</v>
      </c>
      <c r="AT561">
        <v>512</v>
      </c>
      <c r="BB561" t="str">
        <f t="shared" si="206"/>
        <v>1200</v>
      </c>
      <c r="BC561">
        <v>1</v>
      </c>
      <c r="BD561" t="str">
        <f t="shared" si="207"/>
        <v xml:space="preserve">N52156  </v>
      </c>
      <c r="BE561">
        <v>1</v>
      </c>
      <c r="BG561">
        <v>0</v>
      </c>
      <c r="BH561">
        <v>0</v>
      </c>
      <c r="BI561">
        <v>0</v>
      </c>
      <c r="BJ561">
        <v>2400</v>
      </c>
      <c r="BK561">
        <v>0</v>
      </c>
      <c r="BL561" t="s">
        <v>188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 t="shared" si="223"/>
        <v>15:06:05.666</v>
      </c>
      <c r="CF561">
        <v>666449148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5</v>
      </c>
      <c r="CY561">
        <v>7</v>
      </c>
      <c r="CZ561" t="s">
        <v>133</v>
      </c>
      <c r="DA561">
        <v>275</v>
      </c>
      <c r="DB561">
        <v>0</v>
      </c>
      <c r="DC561" t="s">
        <v>134</v>
      </c>
      <c r="DD561" t="s">
        <v>135</v>
      </c>
      <c r="DG561">
        <v>3318703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"05/01/2025 15:06:05.928"</f>
        <v>05/01/2025 15:06:05.928</v>
      </c>
      <c r="C562" t="str">
        <f t="shared" si="204"/>
        <v>FFDFD3C0</v>
      </c>
      <c r="D562" t="s">
        <v>145</v>
      </c>
      <c r="E562" t="str">
        <f>"09"</f>
        <v>09</v>
      </c>
      <c r="H562">
        <v>51</v>
      </c>
      <c r="I562" t="s">
        <v>147</v>
      </c>
      <c r="J562" t="s">
        <v>138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R562" t="s">
        <v>127</v>
      </c>
      <c r="S562" t="str">
        <f t="shared" si="222"/>
        <v>15:06:05.000</v>
      </c>
      <c r="T562" t="str">
        <f t="shared" si="222"/>
        <v>15:06:05.000</v>
      </c>
      <c r="U562" t="str">
        <f t="shared" si="205"/>
        <v>A68FCB</v>
      </c>
      <c r="V562">
        <v>0</v>
      </c>
      <c r="W562">
        <v>0</v>
      </c>
      <c r="X562">
        <v>2</v>
      </c>
      <c r="Y562">
        <v>0</v>
      </c>
      <c r="AA562">
        <v>1</v>
      </c>
      <c r="AB562">
        <v>8</v>
      </c>
      <c r="AC562">
        <v>3</v>
      </c>
      <c r="AD562">
        <v>0</v>
      </c>
      <c r="AE562">
        <v>9</v>
      </c>
      <c r="AF562" t="s">
        <v>138</v>
      </c>
      <c r="AG562">
        <v>0</v>
      </c>
      <c r="AH562">
        <v>3</v>
      </c>
      <c r="AI562">
        <v>1</v>
      </c>
      <c r="AJ562">
        <v>0</v>
      </c>
      <c r="AK562" t="s">
        <v>296</v>
      </c>
      <c r="AL562">
        <v>38.959192999999999</v>
      </c>
      <c r="AM562" t="s">
        <v>297</v>
      </c>
      <c r="AN562">
        <v>-121.049702</v>
      </c>
      <c r="AO562">
        <v>25</v>
      </c>
      <c r="AP562">
        <v>2400</v>
      </c>
      <c r="AQ562" t="s">
        <v>131</v>
      </c>
      <c r="AR562">
        <v>3</v>
      </c>
      <c r="AS562">
        <v>69</v>
      </c>
      <c r="AT562">
        <v>512</v>
      </c>
      <c r="BB562" t="str">
        <f t="shared" si="206"/>
        <v>1200</v>
      </c>
      <c r="BC562">
        <v>1</v>
      </c>
      <c r="BD562" t="str">
        <f t="shared" si="207"/>
        <v xml:space="preserve">N52156  </v>
      </c>
      <c r="BE562">
        <v>1</v>
      </c>
      <c r="BG562">
        <v>0</v>
      </c>
      <c r="BH562">
        <v>0</v>
      </c>
      <c r="BI562">
        <v>0</v>
      </c>
      <c r="BJ562">
        <v>2400</v>
      </c>
      <c r="BK562">
        <v>0</v>
      </c>
      <c r="BL562" t="s">
        <v>188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 t="shared" si="223"/>
        <v>15:06:05.666</v>
      </c>
      <c r="CF562">
        <v>666449148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5</v>
      </c>
      <c r="CY562">
        <v>7</v>
      </c>
      <c r="CZ562" t="s">
        <v>133</v>
      </c>
      <c r="DA562">
        <v>275</v>
      </c>
      <c r="DB562">
        <v>0</v>
      </c>
      <c r="DC562" t="s">
        <v>134</v>
      </c>
      <c r="DD562" t="s">
        <v>135</v>
      </c>
      <c r="DG562">
        <v>3318703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"05/01/2025 15:06:05.928"</f>
        <v>05/01/2025 15:06:05.928</v>
      </c>
      <c r="C563" t="str">
        <f t="shared" si="204"/>
        <v>FFDFD3C0</v>
      </c>
      <c r="D563" t="s">
        <v>124</v>
      </c>
      <c r="E563" t="str">
        <f>"06"</f>
        <v>06</v>
      </c>
      <c r="F563">
        <v>2006</v>
      </c>
      <c r="G563" t="s">
        <v>125</v>
      </c>
      <c r="J563" t="s">
        <v>126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R563" t="s">
        <v>127</v>
      </c>
      <c r="S563" t="str">
        <f t="shared" si="222"/>
        <v>15:06:05.000</v>
      </c>
      <c r="T563" t="str">
        <f t="shared" si="222"/>
        <v>15:06:05.000</v>
      </c>
      <c r="U563" t="str">
        <f t="shared" si="205"/>
        <v>A68FCB</v>
      </c>
      <c r="V563">
        <v>0</v>
      </c>
      <c r="W563">
        <v>0</v>
      </c>
      <c r="X563">
        <v>2</v>
      </c>
      <c r="Y563">
        <v>0</v>
      </c>
      <c r="AA563">
        <v>1</v>
      </c>
      <c r="AB563">
        <v>8</v>
      </c>
      <c r="AC563">
        <v>3</v>
      </c>
      <c r="AD563">
        <v>0</v>
      </c>
      <c r="AE563">
        <v>9</v>
      </c>
      <c r="AF563" t="s">
        <v>138</v>
      </c>
      <c r="AG563">
        <v>0</v>
      </c>
      <c r="AH563">
        <v>3</v>
      </c>
      <c r="AI563">
        <v>1</v>
      </c>
      <c r="AJ563">
        <v>0</v>
      </c>
      <c r="AK563" t="s">
        <v>296</v>
      </c>
      <c r="AL563">
        <v>38.959192999999999</v>
      </c>
      <c r="AM563" t="s">
        <v>297</v>
      </c>
      <c r="AN563">
        <v>-121.049702</v>
      </c>
      <c r="AO563">
        <v>25</v>
      </c>
      <c r="AP563">
        <v>2400</v>
      </c>
      <c r="AQ563" t="s">
        <v>131</v>
      </c>
      <c r="AR563">
        <v>3</v>
      </c>
      <c r="AS563">
        <v>69</v>
      </c>
      <c r="AT563">
        <v>512</v>
      </c>
      <c r="BB563" t="str">
        <f t="shared" si="206"/>
        <v>1200</v>
      </c>
      <c r="BC563">
        <v>1</v>
      </c>
      <c r="BD563" t="str">
        <f t="shared" si="207"/>
        <v xml:space="preserve">N52156  </v>
      </c>
      <c r="BE563">
        <v>1</v>
      </c>
      <c r="BG563">
        <v>0</v>
      </c>
      <c r="BH563">
        <v>0</v>
      </c>
      <c r="BI563">
        <v>0</v>
      </c>
      <c r="BJ563">
        <v>2400</v>
      </c>
      <c r="BK563">
        <v>0</v>
      </c>
      <c r="BL563" t="s">
        <v>188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 t="shared" si="223"/>
        <v>15:06:05.666</v>
      </c>
      <c r="CF563">
        <v>666449148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133</v>
      </c>
      <c r="DA563">
        <v>275</v>
      </c>
      <c r="DB563">
        <v>0</v>
      </c>
      <c r="DC563" t="s">
        <v>134</v>
      </c>
      <c r="DD563" t="s">
        <v>135</v>
      </c>
      <c r="DG563">
        <v>3318703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"05/01/2025 15:06:05.928"</f>
        <v>05/01/2025 15:06:05.928</v>
      </c>
      <c r="C564" t="str">
        <f t="shared" si="204"/>
        <v>FFDFD3C0</v>
      </c>
      <c r="D564" t="s">
        <v>145</v>
      </c>
      <c r="E564" t="str">
        <f>"05"</f>
        <v>05</v>
      </c>
      <c r="H564">
        <v>47</v>
      </c>
      <c r="I564" t="s">
        <v>146</v>
      </c>
      <c r="J564" t="s">
        <v>138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R564" t="s">
        <v>127</v>
      </c>
      <c r="S564" t="str">
        <f t="shared" si="222"/>
        <v>15:06:05.000</v>
      </c>
      <c r="T564" t="str">
        <f t="shared" si="222"/>
        <v>15:06:05.000</v>
      </c>
      <c r="U564" t="str">
        <f t="shared" si="205"/>
        <v>A68FCB</v>
      </c>
      <c r="V564">
        <v>0</v>
      </c>
      <c r="W564">
        <v>0</v>
      </c>
      <c r="X564">
        <v>2</v>
      </c>
      <c r="Y564">
        <v>0</v>
      </c>
      <c r="AA564">
        <v>1</v>
      </c>
      <c r="AB564">
        <v>8</v>
      </c>
      <c r="AC564">
        <v>3</v>
      </c>
      <c r="AD564">
        <v>0</v>
      </c>
      <c r="AE564">
        <v>9</v>
      </c>
      <c r="AF564" t="s">
        <v>138</v>
      </c>
      <c r="AG564">
        <v>0</v>
      </c>
      <c r="AH564">
        <v>3</v>
      </c>
      <c r="AI564">
        <v>1</v>
      </c>
      <c r="AJ564">
        <v>0</v>
      </c>
      <c r="AK564" t="s">
        <v>296</v>
      </c>
      <c r="AL564">
        <v>38.959192999999999</v>
      </c>
      <c r="AM564" t="s">
        <v>297</v>
      </c>
      <c r="AN564">
        <v>-121.049702</v>
      </c>
      <c r="AO564">
        <v>25</v>
      </c>
      <c r="AP564">
        <v>2400</v>
      </c>
      <c r="AQ564" t="s">
        <v>131</v>
      </c>
      <c r="AR564">
        <v>3</v>
      </c>
      <c r="AS564">
        <v>69</v>
      </c>
      <c r="AT564">
        <v>512</v>
      </c>
      <c r="BB564" t="str">
        <f t="shared" si="206"/>
        <v>1200</v>
      </c>
      <c r="BC564">
        <v>1</v>
      </c>
      <c r="BD564" t="str">
        <f t="shared" si="207"/>
        <v xml:space="preserve">N52156  </v>
      </c>
      <c r="BE564">
        <v>1</v>
      </c>
      <c r="BG564">
        <v>0</v>
      </c>
      <c r="BH564">
        <v>0</v>
      </c>
      <c r="BI564">
        <v>0</v>
      </c>
      <c r="BJ564">
        <v>2400</v>
      </c>
      <c r="BK564">
        <v>0</v>
      </c>
      <c r="BL564" t="s">
        <v>188</v>
      </c>
      <c r="BM564">
        <v>1</v>
      </c>
      <c r="BN564">
        <v>1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 t="shared" si="223"/>
        <v>15:06:05.666</v>
      </c>
      <c r="CF564">
        <v>666449148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133</v>
      </c>
      <c r="DA564">
        <v>275</v>
      </c>
      <c r="DB564">
        <v>0</v>
      </c>
      <c r="DC564" t="s">
        <v>134</v>
      </c>
      <c r="DD564" t="s">
        <v>135</v>
      </c>
      <c r="DG564">
        <v>3318703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"05/01/2025 15:06:05.937"</f>
        <v>05/01/2025 15:06:05.937</v>
      </c>
      <c r="C565" t="str">
        <f t="shared" si="204"/>
        <v>FFDFD3C0</v>
      </c>
      <c r="D565" t="s">
        <v>136</v>
      </c>
      <c r="E565" t="str">
        <f>"20"</f>
        <v>20</v>
      </c>
      <c r="H565">
        <v>400</v>
      </c>
      <c r="I565" t="s">
        <v>137</v>
      </c>
      <c r="J565" t="s">
        <v>138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R565" t="s">
        <v>127</v>
      </c>
      <c r="S565" t="str">
        <f t="shared" si="222"/>
        <v>15:06:05.000</v>
      </c>
      <c r="T565" t="str">
        <f t="shared" si="222"/>
        <v>15:06:05.000</v>
      </c>
      <c r="U565" t="str">
        <f t="shared" si="205"/>
        <v>A68FCB</v>
      </c>
      <c r="V565">
        <v>0</v>
      </c>
      <c r="W565">
        <v>0</v>
      </c>
      <c r="X565">
        <v>2</v>
      </c>
      <c r="Y565">
        <v>0</v>
      </c>
      <c r="AA565">
        <v>1</v>
      </c>
      <c r="AB565">
        <v>8</v>
      </c>
      <c r="AC565">
        <v>3</v>
      </c>
      <c r="AD565">
        <v>0</v>
      </c>
      <c r="AE565">
        <v>9</v>
      </c>
      <c r="AF565" t="s">
        <v>138</v>
      </c>
      <c r="AG565">
        <v>0</v>
      </c>
      <c r="AH565">
        <v>3</v>
      </c>
      <c r="AI565">
        <v>1</v>
      </c>
      <c r="AJ565">
        <v>0</v>
      </c>
      <c r="AK565" t="s">
        <v>296</v>
      </c>
      <c r="AL565">
        <v>38.959192999999999</v>
      </c>
      <c r="AM565" t="s">
        <v>297</v>
      </c>
      <c r="AN565">
        <v>-121.049702</v>
      </c>
      <c r="AO565">
        <v>25</v>
      </c>
      <c r="AP565">
        <v>2400</v>
      </c>
      <c r="AQ565" t="s">
        <v>131</v>
      </c>
      <c r="AR565">
        <v>3</v>
      </c>
      <c r="AS565">
        <v>69</v>
      </c>
      <c r="AT565">
        <v>512</v>
      </c>
      <c r="BB565" t="str">
        <f t="shared" si="206"/>
        <v>1200</v>
      </c>
      <c r="BC565">
        <v>1</v>
      </c>
      <c r="BD565" t="str">
        <f t="shared" si="207"/>
        <v xml:space="preserve">N52156  </v>
      </c>
      <c r="BE565">
        <v>1</v>
      </c>
      <c r="BG565">
        <v>0</v>
      </c>
      <c r="BH565">
        <v>0</v>
      </c>
      <c r="BI565">
        <v>0</v>
      </c>
      <c r="BJ565">
        <v>2400</v>
      </c>
      <c r="BK565">
        <v>0</v>
      </c>
      <c r="BL565" t="s">
        <v>188</v>
      </c>
      <c r="BM565">
        <v>1</v>
      </c>
      <c r="BN565">
        <v>1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 t="shared" si="223"/>
        <v>15:06:05.666</v>
      </c>
      <c r="CF565">
        <v>666449148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133</v>
      </c>
      <c r="DA565">
        <v>275</v>
      </c>
      <c r="DB565">
        <v>0</v>
      </c>
      <c r="DC565" t="s">
        <v>134</v>
      </c>
      <c r="DD565" t="s">
        <v>135</v>
      </c>
      <c r="DG565">
        <v>3318703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"05/01/2025 15:06:06.568"</f>
        <v>05/01/2025 15:06:06.568</v>
      </c>
      <c r="C566" t="str">
        <f t="shared" si="204"/>
        <v>FFDFD3C0</v>
      </c>
      <c r="D566" t="s">
        <v>140</v>
      </c>
      <c r="E566" t="str">
        <f>"13"</f>
        <v>13</v>
      </c>
      <c r="F566">
        <v>1019</v>
      </c>
      <c r="G566" t="s">
        <v>141</v>
      </c>
      <c r="J566" t="s">
        <v>142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R566" t="s">
        <v>127</v>
      </c>
      <c r="S566" t="str">
        <f t="shared" ref="S566:T571" si="224">"15:06:06.000"</f>
        <v>15:06:06.000</v>
      </c>
      <c r="T566" t="str">
        <f t="shared" si="224"/>
        <v>15:06:06.000</v>
      </c>
      <c r="U566" t="str">
        <f t="shared" si="205"/>
        <v>A68FCB</v>
      </c>
      <c r="V566">
        <v>0</v>
      </c>
      <c r="W566">
        <v>0</v>
      </c>
      <c r="X566">
        <v>2</v>
      </c>
      <c r="Y566">
        <v>0</v>
      </c>
      <c r="AA566">
        <v>1</v>
      </c>
      <c r="AB566">
        <v>8</v>
      </c>
      <c r="AC566">
        <v>3</v>
      </c>
      <c r="AD566">
        <v>0</v>
      </c>
      <c r="AE566">
        <v>9</v>
      </c>
      <c r="AF566" t="s">
        <v>138</v>
      </c>
      <c r="AG566">
        <v>0</v>
      </c>
      <c r="AH566">
        <v>3</v>
      </c>
      <c r="AI566">
        <v>1</v>
      </c>
      <c r="AJ566">
        <v>0</v>
      </c>
      <c r="AK566" t="s">
        <v>298</v>
      </c>
      <c r="AL566">
        <v>38.959515000000003</v>
      </c>
      <c r="AM566" t="s">
        <v>299</v>
      </c>
      <c r="AN566">
        <v>-121.04968100000001</v>
      </c>
      <c r="AO566">
        <v>25</v>
      </c>
      <c r="AP566">
        <v>2400</v>
      </c>
      <c r="AQ566" t="s">
        <v>131</v>
      </c>
      <c r="AR566">
        <v>2</v>
      </c>
      <c r="AS566">
        <v>69</v>
      </c>
      <c r="AT566">
        <v>576</v>
      </c>
      <c r="BB566" t="str">
        <f t="shared" si="206"/>
        <v>1200</v>
      </c>
      <c r="BC566">
        <v>1</v>
      </c>
      <c r="BD566" t="str">
        <f t="shared" si="207"/>
        <v xml:space="preserve">N52156  </v>
      </c>
      <c r="BE566">
        <v>1</v>
      </c>
      <c r="BG566">
        <v>0</v>
      </c>
      <c r="BH566">
        <v>0</v>
      </c>
      <c r="BI566">
        <v>0</v>
      </c>
      <c r="BJ566">
        <v>2400</v>
      </c>
      <c r="BK566">
        <v>0</v>
      </c>
      <c r="BL566" t="s">
        <v>188</v>
      </c>
      <c r="BM566">
        <v>1</v>
      </c>
      <c r="BN566">
        <v>1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 t="shared" ref="CE566:CE571" si="225">"15:06:06.346"</f>
        <v>15:06:06.346</v>
      </c>
      <c r="CF566">
        <v>345698353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5</v>
      </c>
      <c r="CY566">
        <v>7</v>
      </c>
      <c r="CZ566" t="s">
        <v>133</v>
      </c>
      <c r="DA566">
        <v>275</v>
      </c>
      <c r="DB566">
        <v>0</v>
      </c>
      <c r="DC566" t="s">
        <v>134</v>
      </c>
      <c r="DD566" t="s">
        <v>135</v>
      </c>
      <c r="DG566">
        <v>3318714</v>
      </c>
      <c r="DI566">
        <v>1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"05/01/2025 15:06:06.579"</f>
        <v>05/01/2025 15:06:06.579</v>
      </c>
      <c r="C567" t="str">
        <f t="shared" si="204"/>
        <v>FFDFD3C0</v>
      </c>
      <c r="D567" t="s">
        <v>124</v>
      </c>
      <c r="E567" t="str">
        <f>"06"</f>
        <v>06</v>
      </c>
      <c r="F567">
        <v>2006</v>
      </c>
      <c r="G567" t="s">
        <v>125</v>
      </c>
      <c r="J567" t="s">
        <v>126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R567" t="s">
        <v>127</v>
      </c>
      <c r="S567" t="str">
        <f t="shared" si="224"/>
        <v>15:06:06.000</v>
      </c>
      <c r="T567" t="str">
        <f t="shared" si="224"/>
        <v>15:06:06.000</v>
      </c>
      <c r="U567" t="str">
        <f t="shared" si="205"/>
        <v>A68FCB</v>
      </c>
      <c r="V567">
        <v>0</v>
      </c>
      <c r="W567">
        <v>0</v>
      </c>
      <c r="X567">
        <v>2</v>
      </c>
      <c r="Y567">
        <v>0</v>
      </c>
      <c r="AA567">
        <v>1</v>
      </c>
      <c r="AB567">
        <v>8</v>
      </c>
      <c r="AC567">
        <v>3</v>
      </c>
      <c r="AD567">
        <v>0</v>
      </c>
      <c r="AE567">
        <v>9</v>
      </c>
      <c r="AF567" t="s">
        <v>138</v>
      </c>
      <c r="AG567">
        <v>0</v>
      </c>
      <c r="AH567">
        <v>3</v>
      </c>
      <c r="AI567">
        <v>1</v>
      </c>
      <c r="AJ567">
        <v>0</v>
      </c>
      <c r="AK567" t="s">
        <v>298</v>
      </c>
      <c r="AL567">
        <v>38.959515000000003</v>
      </c>
      <c r="AM567" t="s">
        <v>299</v>
      </c>
      <c r="AN567">
        <v>-121.04968100000001</v>
      </c>
      <c r="AO567">
        <v>25</v>
      </c>
      <c r="AP567">
        <v>2400</v>
      </c>
      <c r="AQ567" t="s">
        <v>131</v>
      </c>
      <c r="AR567">
        <v>2</v>
      </c>
      <c r="AS567">
        <v>69</v>
      </c>
      <c r="AT567">
        <v>576</v>
      </c>
      <c r="BB567" t="str">
        <f t="shared" si="206"/>
        <v>1200</v>
      </c>
      <c r="BC567">
        <v>1</v>
      </c>
      <c r="BD567" t="str">
        <f t="shared" si="207"/>
        <v xml:space="preserve">N52156  </v>
      </c>
      <c r="BE567">
        <v>1</v>
      </c>
      <c r="BG567">
        <v>0</v>
      </c>
      <c r="BH567">
        <v>0</v>
      </c>
      <c r="BI567">
        <v>0</v>
      </c>
      <c r="BJ567">
        <v>2400</v>
      </c>
      <c r="BK567">
        <v>0</v>
      </c>
      <c r="BL567" t="s">
        <v>188</v>
      </c>
      <c r="BM567">
        <v>1</v>
      </c>
      <c r="BN567">
        <v>1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 t="shared" si="225"/>
        <v>15:06:06.346</v>
      </c>
      <c r="CF567">
        <v>345698353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5</v>
      </c>
      <c r="CY567">
        <v>7</v>
      </c>
      <c r="CZ567" t="s">
        <v>133</v>
      </c>
      <c r="DA567">
        <v>275</v>
      </c>
      <c r="DB567">
        <v>0</v>
      </c>
      <c r="DC567" t="s">
        <v>134</v>
      </c>
      <c r="DD567" t="s">
        <v>135</v>
      </c>
      <c r="DG567">
        <v>3318714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"05/01/2025 15:06:06.580"</f>
        <v>05/01/2025 15:06:06.580</v>
      </c>
      <c r="C568" t="str">
        <f t="shared" si="204"/>
        <v>FFDFD3C0</v>
      </c>
      <c r="D568" t="s">
        <v>145</v>
      </c>
      <c r="E568" t="str">
        <f>"05"</f>
        <v>05</v>
      </c>
      <c r="H568">
        <v>47</v>
      </c>
      <c r="I568" t="s">
        <v>146</v>
      </c>
      <c r="J568" t="s">
        <v>138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R568" t="s">
        <v>127</v>
      </c>
      <c r="S568" t="str">
        <f t="shared" si="224"/>
        <v>15:06:06.000</v>
      </c>
      <c r="T568" t="str">
        <f t="shared" si="224"/>
        <v>15:06:06.000</v>
      </c>
      <c r="U568" t="str">
        <f t="shared" si="205"/>
        <v>A68FCB</v>
      </c>
      <c r="V568">
        <v>0</v>
      </c>
      <c r="W568">
        <v>0</v>
      </c>
      <c r="X568">
        <v>2</v>
      </c>
      <c r="Y568">
        <v>0</v>
      </c>
      <c r="AA568">
        <v>1</v>
      </c>
      <c r="AB568">
        <v>8</v>
      </c>
      <c r="AC568">
        <v>3</v>
      </c>
      <c r="AD568">
        <v>0</v>
      </c>
      <c r="AE568">
        <v>9</v>
      </c>
      <c r="AF568" t="s">
        <v>138</v>
      </c>
      <c r="AG568">
        <v>0</v>
      </c>
      <c r="AH568">
        <v>3</v>
      </c>
      <c r="AI568">
        <v>1</v>
      </c>
      <c r="AJ568">
        <v>0</v>
      </c>
      <c r="AK568" t="s">
        <v>298</v>
      </c>
      <c r="AL568">
        <v>38.959515000000003</v>
      </c>
      <c r="AM568" t="s">
        <v>299</v>
      </c>
      <c r="AN568">
        <v>-121.04968100000001</v>
      </c>
      <c r="AO568">
        <v>25</v>
      </c>
      <c r="AP568">
        <v>2400</v>
      </c>
      <c r="AQ568" t="s">
        <v>131</v>
      </c>
      <c r="AR568">
        <v>2</v>
      </c>
      <c r="AS568">
        <v>69</v>
      </c>
      <c r="AT568">
        <v>576</v>
      </c>
      <c r="BB568" t="str">
        <f t="shared" si="206"/>
        <v>1200</v>
      </c>
      <c r="BC568">
        <v>1</v>
      </c>
      <c r="BD568" t="str">
        <f t="shared" si="207"/>
        <v xml:space="preserve">N52156  </v>
      </c>
      <c r="BE568">
        <v>1</v>
      </c>
      <c r="BG568">
        <v>0</v>
      </c>
      <c r="BH568">
        <v>0</v>
      </c>
      <c r="BI568">
        <v>0</v>
      </c>
      <c r="BJ568">
        <v>2400</v>
      </c>
      <c r="BK568">
        <v>0</v>
      </c>
      <c r="BL568" t="s">
        <v>188</v>
      </c>
      <c r="BM568">
        <v>1</v>
      </c>
      <c r="BN568">
        <v>1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 t="shared" si="225"/>
        <v>15:06:06.346</v>
      </c>
      <c r="CF568">
        <v>345698353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5</v>
      </c>
      <c r="CY568">
        <v>7</v>
      </c>
      <c r="CZ568" t="s">
        <v>133</v>
      </c>
      <c r="DA568">
        <v>275</v>
      </c>
      <c r="DB568">
        <v>0</v>
      </c>
      <c r="DC568" t="s">
        <v>134</v>
      </c>
      <c r="DD568" t="s">
        <v>135</v>
      </c>
      <c r="DG568">
        <v>3318714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"05/01/2025 15:06:06.579"</f>
        <v>05/01/2025 15:06:06.579</v>
      </c>
      <c r="C569" t="str">
        <f t="shared" si="204"/>
        <v>FFDFD3C0</v>
      </c>
      <c r="D569" t="s">
        <v>143</v>
      </c>
      <c r="E569" t="str">
        <f>"05"</f>
        <v>05</v>
      </c>
      <c r="H569">
        <v>172</v>
      </c>
      <c r="I569" t="s">
        <v>141</v>
      </c>
      <c r="J569" t="s">
        <v>144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R569" t="s">
        <v>127</v>
      </c>
      <c r="S569" t="str">
        <f t="shared" si="224"/>
        <v>15:06:06.000</v>
      </c>
      <c r="T569" t="str">
        <f t="shared" si="224"/>
        <v>15:06:06.000</v>
      </c>
      <c r="U569" t="str">
        <f t="shared" si="205"/>
        <v>A68FCB</v>
      </c>
      <c r="V569">
        <v>0</v>
      </c>
      <c r="W569">
        <v>0</v>
      </c>
      <c r="X569">
        <v>2</v>
      </c>
      <c r="Y569">
        <v>0</v>
      </c>
      <c r="AA569">
        <v>1</v>
      </c>
      <c r="AB569">
        <v>8</v>
      </c>
      <c r="AC569">
        <v>3</v>
      </c>
      <c r="AD569">
        <v>0</v>
      </c>
      <c r="AE569">
        <v>9</v>
      </c>
      <c r="AF569" t="s">
        <v>138</v>
      </c>
      <c r="AG569">
        <v>0</v>
      </c>
      <c r="AH569">
        <v>3</v>
      </c>
      <c r="AI569">
        <v>1</v>
      </c>
      <c r="AJ569">
        <v>0</v>
      </c>
      <c r="AK569" t="s">
        <v>298</v>
      </c>
      <c r="AL569">
        <v>38.959515000000003</v>
      </c>
      <c r="AM569" t="s">
        <v>299</v>
      </c>
      <c r="AN569">
        <v>-121.04968100000001</v>
      </c>
      <c r="AO569">
        <v>25</v>
      </c>
      <c r="AP569">
        <v>2400</v>
      </c>
      <c r="AQ569" t="s">
        <v>131</v>
      </c>
      <c r="AR569">
        <v>2</v>
      </c>
      <c r="AS569">
        <v>69</v>
      </c>
      <c r="AT569">
        <v>576</v>
      </c>
      <c r="BB569" t="str">
        <f t="shared" si="206"/>
        <v>1200</v>
      </c>
      <c r="BC569">
        <v>1</v>
      </c>
      <c r="BD569" t="str">
        <f t="shared" si="207"/>
        <v xml:space="preserve">N52156  </v>
      </c>
      <c r="BE569">
        <v>1</v>
      </c>
      <c r="BG569">
        <v>0</v>
      </c>
      <c r="BH569">
        <v>0</v>
      </c>
      <c r="BI569">
        <v>0</v>
      </c>
      <c r="BJ569">
        <v>2400</v>
      </c>
      <c r="BK569">
        <v>0</v>
      </c>
      <c r="BL569" t="s">
        <v>188</v>
      </c>
      <c r="BM569">
        <v>1</v>
      </c>
      <c r="BN569">
        <v>1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 t="shared" si="225"/>
        <v>15:06:06.346</v>
      </c>
      <c r="CF569">
        <v>345698353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5</v>
      </c>
      <c r="CY569">
        <v>7</v>
      </c>
      <c r="CZ569" t="s">
        <v>133</v>
      </c>
      <c r="DA569">
        <v>275</v>
      </c>
      <c r="DB569">
        <v>0</v>
      </c>
      <c r="DC569" t="s">
        <v>134</v>
      </c>
      <c r="DD569" t="s">
        <v>135</v>
      </c>
      <c r="DG569">
        <v>3318714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"05/01/2025 15:06:06.579"</f>
        <v>05/01/2025 15:06:06.579</v>
      </c>
      <c r="C570" t="str">
        <f t="shared" si="204"/>
        <v>FFDFD3C0</v>
      </c>
      <c r="D570" t="s">
        <v>145</v>
      </c>
      <c r="E570" t="str">
        <f>"09"</f>
        <v>09</v>
      </c>
      <c r="H570">
        <v>51</v>
      </c>
      <c r="I570" t="s">
        <v>147</v>
      </c>
      <c r="J570" t="s">
        <v>138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R570" t="s">
        <v>127</v>
      </c>
      <c r="S570" t="str">
        <f t="shared" si="224"/>
        <v>15:06:06.000</v>
      </c>
      <c r="T570" t="str">
        <f t="shared" si="224"/>
        <v>15:06:06.000</v>
      </c>
      <c r="U570" t="str">
        <f t="shared" si="205"/>
        <v>A68FCB</v>
      </c>
      <c r="V570">
        <v>0</v>
      </c>
      <c r="W570">
        <v>0</v>
      </c>
      <c r="X570">
        <v>2</v>
      </c>
      <c r="Y570">
        <v>0</v>
      </c>
      <c r="AA570">
        <v>1</v>
      </c>
      <c r="AB570">
        <v>8</v>
      </c>
      <c r="AC570">
        <v>3</v>
      </c>
      <c r="AD570">
        <v>0</v>
      </c>
      <c r="AE570">
        <v>9</v>
      </c>
      <c r="AF570" t="s">
        <v>138</v>
      </c>
      <c r="AG570">
        <v>0</v>
      </c>
      <c r="AH570">
        <v>3</v>
      </c>
      <c r="AI570">
        <v>1</v>
      </c>
      <c r="AJ570">
        <v>0</v>
      </c>
      <c r="AK570" t="s">
        <v>298</v>
      </c>
      <c r="AL570">
        <v>38.959515000000003</v>
      </c>
      <c r="AM570" t="s">
        <v>299</v>
      </c>
      <c r="AN570">
        <v>-121.04968100000001</v>
      </c>
      <c r="AO570">
        <v>25</v>
      </c>
      <c r="AP570">
        <v>2400</v>
      </c>
      <c r="AQ570" t="s">
        <v>131</v>
      </c>
      <c r="AR570">
        <v>2</v>
      </c>
      <c r="AS570">
        <v>69</v>
      </c>
      <c r="AT570">
        <v>576</v>
      </c>
      <c r="BB570" t="str">
        <f t="shared" si="206"/>
        <v>1200</v>
      </c>
      <c r="BC570">
        <v>1</v>
      </c>
      <c r="BD570" t="str">
        <f t="shared" si="207"/>
        <v xml:space="preserve">N52156  </v>
      </c>
      <c r="BE570">
        <v>1</v>
      </c>
      <c r="BG570">
        <v>0</v>
      </c>
      <c r="BH570">
        <v>0</v>
      </c>
      <c r="BI570">
        <v>0</v>
      </c>
      <c r="BJ570">
        <v>2400</v>
      </c>
      <c r="BK570">
        <v>0</v>
      </c>
      <c r="BL570" t="s">
        <v>188</v>
      </c>
      <c r="BM570">
        <v>1</v>
      </c>
      <c r="BN570">
        <v>1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 t="shared" si="225"/>
        <v>15:06:06.346</v>
      </c>
      <c r="CF570">
        <v>345698353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133</v>
      </c>
      <c r="DA570">
        <v>275</v>
      </c>
      <c r="DB570">
        <v>0</v>
      </c>
      <c r="DC570" t="s">
        <v>134</v>
      </c>
      <c r="DD570" t="s">
        <v>135</v>
      </c>
      <c r="DG570">
        <v>3318714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"05/01/2025 15:06:06.588"</f>
        <v>05/01/2025 15:06:06.588</v>
      </c>
      <c r="C571" t="str">
        <f t="shared" si="204"/>
        <v>FFDFD3C0</v>
      </c>
      <c r="D571" t="s">
        <v>136</v>
      </c>
      <c r="E571" t="str">
        <f>"20"</f>
        <v>20</v>
      </c>
      <c r="H571">
        <v>400</v>
      </c>
      <c r="I571" t="s">
        <v>137</v>
      </c>
      <c r="J571" t="s">
        <v>138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R571" t="s">
        <v>127</v>
      </c>
      <c r="S571" t="str">
        <f t="shared" si="224"/>
        <v>15:06:06.000</v>
      </c>
      <c r="T571" t="str">
        <f t="shared" si="224"/>
        <v>15:06:06.000</v>
      </c>
      <c r="U571" t="str">
        <f t="shared" si="205"/>
        <v>A68FCB</v>
      </c>
      <c r="V571">
        <v>0</v>
      </c>
      <c r="W571">
        <v>0</v>
      </c>
      <c r="X571">
        <v>2</v>
      </c>
      <c r="Y571">
        <v>0</v>
      </c>
      <c r="AA571">
        <v>1</v>
      </c>
      <c r="AB571">
        <v>8</v>
      </c>
      <c r="AC571">
        <v>3</v>
      </c>
      <c r="AD571">
        <v>0</v>
      </c>
      <c r="AE571">
        <v>9</v>
      </c>
      <c r="AF571" t="s">
        <v>138</v>
      </c>
      <c r="AG571">
        <v>0</v>
      </c>
      <c r="AH571">
        <v>3</v>
      </c>
      <c r="AI571">
        <v>1</v>
      </c>
      <c r="AJ571">
        <v>0</v>
      </c>
      <c r="AK571" t="s">
        <v>298</v>
      </c>
      <c r="AL571">
        <v>38.959515000000003</v>
      </c>
      <c r="AM571" t="s">
        <v>299</v>
      </c>
      <c r="AN571">
        <v>-121.04968100000001</v>
      </c>
      <c r="AO571">
        <v>25</v>
      </c>
      <c r="AP571">
        <v>2400</v>
      </c>
      <c r="AQ571" t="s">
        <v>131</v>
      </c>
      <c r="AR571">
        <v>2</v>
      </c>
      <c r="AS571">
        <v>69</v>
      </c>
      <c r="AT571">
        <v>576</v>
      </c>
      <c r="BB571" t="str">
        <f t="shared" si="206"/>
        <v>1200</v>
      </c>
      <c r="BC571">
        <v>1</v>
      </c>
      <c r="BD571" t="str">
        <f t="shared" si="207"/>
        <v xml:space="preserve">N52156  </v>
      </c>
      <c r="BE571">
        <v>1</v>
      </c>
      <c r="BG571">
        <v>0</v>
      </c>
      <c r="BH571">
        <v>0</v>
      </c>
      <c r="BI571">
        <v>0</v>
      </c>
      <c r="BJ571">
        <v>2400</v>
      </c>
      <c r="BK571">
        <v>0</v>
      </c>
      <c r="BL571" t="s">
        <v>188</v>
      </c>
      <c r="BM571">
        <v>1</v>
      </c>
      <c r="BN571">
        <v>1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 t="shared" si="225"/>
        <v>15:06:06.346</v>
      </c>
      <c r="CF571">
        <v>345698353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133</v>
      </c>
      <c r="DA571">
        <v>275</v>
      </c>
      <c r="DB571">
        <v>0</v>
      </c>
      <c r="DC571" t="s">
        <v>134</v>
      </c>
      <c r="DD571" t="s">
        <v>135</v>
      </c>
      <c r="DG571">
        <v>3318714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"05/01/2025 15:06:07.891"</f>
        <v>05/01/2025 15:06:07.891</v>
      </c>
      <c r="C572" t="str">
        <f t="shared" si="204"/>
        <v>FFDFD3C0</v>
      </c>
      <c r="D572" t="s">
        <v>136</v>
      </c>
      <c r="E572" t="str">
        <f>"20"</f>
        <v>20</v>
      </c>
      <c r="H572">
        <v>400</v>
      </c>
      <c r="I572" t="s">
        <v>137</v>
      </c>
      <c r="J572" t="s">
        <v>138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R572" t="s">
        <v>127</v>
      </c>
      <c r="S572" t="str">
        <f t="shared" ref="S572:T577" si="226">"15:06:07.000"</f>
        <v>15:06:07.000</v>
      </c>
      <c r="T572" t="str">
        <f t="shared" si="226"/>
        <v>15:06:07.000</v>
      </c>
      <c r="U572" t="str">
        <f t="shared" si="205"/>
        <v>A68FCB</v>
      </c>
      <c r="V572">
        <v>0</v>
      </c>
      <c r="W572">
        <v>0</v>
      </c>
      <c r="X572">
        <v>2</v>
      </c>
      <c r="Y572">
        <v>0</v>
      </c>
      <c r="AA572">
        <v>1</v>
      </c>
      <c r="AB572">
        <v>8</v>
      </c>
      <c r="AC572">
        <v>3</v>
      </c>
      <c r="AD572">
        <v>0</v>
      </c>
      <c r="AE572">
        <v>9</v>
      </c>
      <c r="AF572" t="s">
        <v>138</v>
      </c>
      <c r="AG572">
        <v>0</v>
      </c>
      <c r="AH572">
        <v>3</v>
      </c>
      <c r="AI572">
        <v>1</v>
      </c>
      <c r="AJ572">
        <v>0</v>
      </c>
      <c r="AK572" t="s">
        <v>300</v>
      </c>
      <c r="AL572">
        <v>38.959816000000004</v>
      </c>
      <c r="AM572" t="s">
        <v>301</v>
      </c>
      <c r="AN572">
        <v>-121.04965900000001</v>
      </c>
      <c r="AO572">
        <v>25</v>
      </c>
      <c r="AP572">
        <v>2400</v>
      </c>
      <c r="AQ572" t="s">
        <v>131</v>
      </c>
      <c r="AR572">
        <v>0</v>
      </c>
      <c r="AS572">
        <v>68</v>
      </c>
      <c r="AT572">
        <v>640</v>
      </c>
      <c r="BB572" t="str">
        <f t="shared" si="206"/>
        <v>1200</v>
      </c>
      <c r="BC572">
        <v>1</v>
      </c>
      <c r="BD572" t="str">
        <f t="shared" si="207"/>
        <v xml:space="preserve">N52156  </v>
      </c>
      <c r="BE572">
        <v>1</v>
      </c>
      <c r="BG572">
        <v>0</v>
      </c>
      <c r="BH572">
        <v>0</v>
      </c>
      <c r="BI572">
        <v>0</v>
      </c>
      <c r="BJ572">
        <v>2425</v>
      </c>
      <c r="BK572">
        <v>25</v>
      </c>
      <c r="BL572" t="s">
        <v>188</v>
      </c>
      <c r="BM572">
        <v>1</v>
      </c>
      <c r="BN572">
        <v>1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 t="shared" ref="CE572:CE577" si="227">"15:06:07.687"</f>
        <v>15:06:07.687</v>
      </c>
      <c r="CF572">
        <v>686949274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133</v>
      </c>
      <c r="DA572">
        <v>275</v>
      </c>
      <c r="DB572">
        <v>0</v>
      </c>
      <c r="DC572" t="s">
        <v>134</v>
      </c>
      <c r="DD572" t="s">
        <v>135</v>
      </c>
      <c r="DG572">
        <v>3318733</v>
      </c>
      <c r="DI572">
        <v>1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"05/01/2025 15:06:07.920"</f>
        <v>05/01/2025 15:06:07.920</v>
      </c>
      <c r="C573" t="str">
        <f t="shared" si="204"/>
        <v>FFDFD3C0</v>
      </c>
      <c r="D573" t="s">
        <v>140</v>
      </c>
      <c r="E573" t="str">
        <f>"13"</f>
        <v>13</v>
      </c>
      <c r="F573">
        <v>1019</v>
      </c>
      <c r="G573" t="s">
        <v>141</v>
      </c>
      <c r="J573" t="s">
        <v>142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R573" t="s">
        <v>127</v>
      </c>
      <c r="S573" t="str">
        <f t="shared" si="226"/>
        <v>15:06:07.000</v>
      </c>
      <c r="T573" t="str">
        <f t="shared" si="226"/>
        <v>15:06:07.000</v>
      </c>
      <c r="U573" t="str">
        <f t="shared" si="205"/>
        <v>A68FCB</v>
      </c>
      <c r="V573">
        <v>0</v>
      </c>
      <c r="W573">
        <v>0</v>
      </c>
      <c r="X573">
        <v>2</v>
      </c>
      <c r="Y573">
        <v>0</v>
      </c>
      <c r="AA573">
        <v>1</v>
      </c>
      <c r="AB573">
        <v>8</v>
      </c>
      <c r="AC573">
        <v>3</v>
      </c>
      <c r="AD573">
        <v>0</v>
      </c>
      <c r="AE573">
        <v>9</v>
      </c>
      <c r="AF573" t="s">
        <v>138</v>
      </c>
      <c r="AG573">
        <v>0</v>
      </c>
      <c r="AH573">
        <v>3</v>
      </c>
      <c r="AI573">
        <v>1</v>
      </c>
      <c r="AJ573">
        <v>0</v>
      </c>
      <c r="AK573" t="s">
        <v>300</v>
      </c>
      <c r="AL573">
        <v>38.959816000000004</v>
      </c>
      <c r="AM573" t="s">
        <v>301</v>
      </c>
      <c r="AN573">
        <v>-121.04965900000001</v>
      </c>
      <c r="AO573">
        <v>25</v>
      </c>
      <c r="AP573">
        <v>2400</v>
      </c>
      <c r="AQ573" t="s">
        <v>131</v>
      </c>
      <c r="AR573">
        <v>0</v>
      </c>
      <c r="AS573">
        <v>68</v>
      </c>
      <c r="AT573">
        <v>640</v>
      </c>
      <c r="BB573" t="str">
        <f t="shared" si="206"/>
        <v>1200</v>
      </c>
      <c r="BC573">
        <v>1</v>
      </c>
      <c r="BD573" t="str">
        <f t="shared" si="207"/>
        <v xml:space="preserve">N52156  </v>
      </c>
      <c r="BE573">
        <v>1</v>
      </c>
      <c r="BG573">
        <v>0</v>
      </c>
      <c r="BH573">
        <v>0</v>
      </c>
      <c r="BI573">
        <v>0</v>
      </c>
      <c r="BJ573">
        <v>2425</v>
      </c>
      <c r="BK573">
        <v>25</v>
      </c>
      <c r="BL573" t="s">
        <v>188</v>
      </c>
      <c r="BM573">
        <v>1</v>
      </c>
      <c r="BN573">
        <v>1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 t="shared" si="227"/>
        <v>15:06:07.687</v>
      </c>
      <c r="CF573">
        <v>686949274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133</v>
      </c>
      <c r="DA573">
        <v>275</v>
      </c>
      <c r="DB573">
        <v>0</v>
      </c>
      <c r="DC573" t="s">
        <v>134</v>
      </c>
      <c r="DD573" t="s">
        <v>135</v>
      </c>
      <c r="DG573">
        <v>3318733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"05/01/2025 15:06:07.931"</f>
        <v>05/01/2025 15:06:07.931</v>
      </c>
      <c r="C574" t="str">
        <f t="shared" si="204"/>
        <v>FFDFD3C0</v>
      </c>
      <c r="D574" t="s">
        <v>143</v>
      </c>
      <c r="E574" t="str">
        <f>"05"</f>
        <v>05</v>
      </c>
      <c r="H574">
        <v>172</v>
      </c>
      <c r="I574" t="s">
        <v>141</v>
      </c>
      <c r="J574" t="s">
        <v>144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R574" t="s">
        <v>127</v>
      </c>
      <c r="S574" t="str">
        <f t="shared" si="226"/>
        <v>15:06:07.000</v>
      </c>
      <c r="T574" t="str">
        <f t="shared" si="226"/>
        <v>15:06:07.000</v>
      </c>
      <c r="U574" t="str">
        <f t="shared" si="205"/>
        <v>A68FCB</v>
      </c>
      <c r="V574">
        <v>0</v>
      </c>
      <c r="W574">
        <v>0</v>
      </c>
      <c r="X574">
        <v>2</v>
      </c>
      <c r="Y574">
        <v>0</v>
      </c>
      <c r="AA574">
        <v>1</v>
      </c>
      <c r="AB574">
        <v>8</v>
      </c>
      <c r="AC574">
        <v>3</v>
      </c>
      <c r="AD574">
        <v>0</v>
      </c>
      <c r="AE574">
        <v>9</v>
      </c>
      <c r="AF574" t="s">
        <v>138</v>
      </c>
      <c r="AG574">
        <v>0</v>
      </c>
      <c r="AH574">
        <v>3</v>
      </c>
      <c r="AI574">
        <v>1</v>
      </c>
      <c r="AJ574">
        <v>0</v>
      </c>
      <c r="AK574" t="s">
        <v>300</v>
      </c>
      <c r="AL574">
        <v>38.959816000000004</v>
      </c>
      <c r="AM574" t="s">
        <v>301</v>
      </c>
      <c r="AN574">
        <v>-121.04965900000001</v>
      </c>
      <c r="AO574">
        <v>25</v>
      </c>
      <c r="AP574">
        <v>2400</v>
      </c>
      <c r="AQ574" t="s">
        <v>131</v>
      </c>
      <c r="AR574">
        <v>0</v>
      </c>
      <c r="AS574">
        <v>68</v>
      </c>
      <c r="AT574">
        <v>640</v>
      </c>
      <c r="BB574" t="str">
        <f t="shared" si="206"/>
        <v>1200</v>
      </c>
      <c r="BC574">
        <v>1</v>
      </c>
      <c r="BD574" t="str">
        <f t="shared" si="207"/>
        <v xml:space="preserve">N52156  </v>
      </c>
      <c r="BE574">
        <v>1</v>
      </c>
      <c r="BG574">
        <v>0</v>
      </c>
      <c r="BH574">
        <v>0</v>
      </c>
      <c r="BI574">
        <v>0</v>
      </c>
      <c r="BJ574">
        <v>2425</v>
      </c>
      <c r="BK574">
        <v>25</v>
      </c>
      <c r="BL574" t="s">
        <v>188</v>
      </c>
      <c r="BM574">
        <v>1</v>
      </c>
      <c r="BN574">
        <v>1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 t="shared" si="227"/>
        <v>15:06:07.687</v>
      </c>
      <c r="CF574">
        <v>686949274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133</v>
      </c>
      <c r="DA574">
        <v>275</v>
      </c>
      <c r="DB574">
        <v>0</v>
      </c>
      <c r="DC574" t="s">
        <v>134</v>
      </c>
      <c r="DD574" t="s">
        <v>135</v>
      </c>
      <c r="DG574">
        <v>3318733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"05/01/2025 15:06:07.932"</f>
        <v>05/01/2025 15:06:07.932</v>
      </c>
      <c r="C575" t="str">
        <f t="shared" si="204"/>
        <v>FFDFD3C0</v>
      </c>
      <c r="D575" t="s">
        <v>145</v>
      </c>
      <c r="E575" t="str">
        <f>"05"</f>
        <v>05</v>
      </c>
      <c r="H575">
        <v>47</v>
      </c>
      <c r="I575" t="s">
        <v>146</v>
      </c>
      <c r="J575" t="s">
        <v>138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R575" t="s">
        <v>127</v>
      </c>
      <c r="S575" t="str">
        <f t="shared" si="226"/>
        <v>15:06:07.000</v>
      </c>
      <c r="T575" t="str">
        <f t="shared" si="226"/>
        <v>15:06:07.000</v>
      </c>
      <c r="U575" t="str">
        <f t="shared" si="205"/>
        <v>A68FCB</v>
      </c>
      <c r="V575">
        <v>0</v>
      </c>
      <c r="W575">
        <v>0</v>
      </c>
      <c r="X575">
        <v>2</v>
      </c>
      <c r="Y575">
        <v>0</v>
      </c>
      <c r="AA575">
        <v>1</v>
      </c>
      <c r="AB575">
        <v>8</v>
      </c>
      <c r="AC575">
        <v>3</v>
      </c>
      <c r="AD575">
        <v>0</v>
      </c>
      <c r="AE575">
        <v>9</v>
      </c>
      <c r="AF575" t="s">
        <v>138</v>
      </c>
      <c r="AG575">
        <v>0</v>
      </c>
      <c r="AH575">
        <v>3</v>
      </c>
      <c r="AI575">
        <v>1</v>
      </c>
      <c r="AJ575">
        <v>0</v>
      </c>
      <c r="AK575" t="s">
        <v>300</v>
      </c>
      <c r="AL575">
        <v>38.959816000000004</v>
      </c>
      <c r="AM575" t="s">
        <v>301</v>
      </c>
      <c r="AN575">
        <v>-121.04965900000001</v>
      </c>
      <c r="AO575">
        <v>25</v>
      </c>
      <c r="AP575">
        <v>2400</v>
      </c>
      <c r="AQ575" t="s">
        <v>131</v>
      </c>
      <c r="AR575">
        <v>0</v>
      </c>
      <c r="AS575">
        <v>68</v>
      </c>
      <c r="AT575">
        <v>640</v>
      </c>
      <c r="BB575" t="str">
        <f t="shared" si="206"/>
        <v>1200</v>
      </c>
      <c r="BC575">
        <v>1</v>
      </c>
      <c r="BD575" t="str">
        <f t="shared" si="207"/>
        <v xml:space="preserve">N52156  </v>
      </c>
      <c r="BE575">
        <v>1</v>
      </c>
      <c r="BG575">
        <v>0</v>
      </c>
      <c r="BH575">
        <v>0</v>
      </c>
      <c r="BI575">
        <v>0</v>
      </c>
      <c r="BJ575">
        <v>2425</v>
      </c>
      <c r="BK575">
        <v>25</v>
      </c>
      <c r="BL575" t="s">
        <v>188</v>
      </c>
      <c r="BM575">
        <v>1</v>
      </c>
      <c r="BN575">
        <v>1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 t="shared" si="227"/>
        <v>15:06:07.687</v>
      </c>
      <c r="CF575">
        <v>686949274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133</v>
      </c>
      <c r="DA575">
        <v>275</v>
      </c>
      <c r="DB575">
        <v>0</v>
      </c>
      <c r="DC575" t="s">
        <v>134</v>
      </c>
      <c r="DD575" t="s">
        <v>135</v>
      </c>
      <c r="DG575">
        <v>3318733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"05/01/2025 15:06:07.932"</f>
        <v>05/01/2025 15:06:07.932</v>
      </c>
      <c r="C576" t="str">
        <f t="shared" si="204"/>
        <v>FFDFD3C0</v>
      </c>
      <c r="D576" t="s">
        <v>145</v>
      </c>
      <c r="E576" t="str">
        <f>"09"</f>
        <v>09</v>
      </c>
      <c r="H576">
        <v>51</v>
      </c>
      <c r="I576" t="s">
        <v>147</v>
      </c>
      <c r="J576" t="s">
        <v>138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R576" t="s">
        <v>127</v>
      </c>
      <c r="S576" t="str">
        <f t="shared" si="226"/>
        <v>15:06:07.000</v>
      </c>
      <c r="T576" t="str">
        <f t="shared" si="226"/>
        <v>15:06:07.000</v>
      </c>
      <c r="U576" t="str">
        <f t="shared" si="205"/>
        <v>A68FCB</v>
      </c>
      <c r="V576">
        <v>0</v>
      </c>
      <c r="W576">
        <v>0</v>
      </c>
      <c r="X576">
        <v>2</v>
      </c>
      <c r="Y576">
        <v>0</v>
      </c>
      <c r="AA576">
        <v>1</v>
      </c>
      <c r="AB576">
        <v>8</v>
      </c>
      <c r="AC576">
        <v>3</v>
      </c>
      <c r="AD576">
        <v>0</v>
      </c>
      <c r="AE576">
        <v>9</v>
      </c>
      <c r="AF576" t="s">
        <v>138</v>
      </c>
      <c r="AG576">
        <v>0</v>
      </c>
      <c r="AH576">
        <v>3</v>
      </c>
      <c r="AI576">
        <v>1</v>
      </c>
      <c r="AJ576">
        <v>0</v>
      </c>
      <c r="AK576" t="s">
        <v>300</v>
      </c>
      <c r="AL576">
        <v>38.959816000000004</v>
      </c>
      <c r="AM576" t="s">
        <v>301</v>
      </c>
      <c r="AN576">
        <v>-121.04965900000001</v>
      </c>
      <c r="AO576">
        <v>25</v>
      </c>
      <c r="AP576">
        <v>2400</v>
      </c>
      <c r="AQ576" t="s">
        <v>131</v>
      </c>
      <c r="AR576">
        <v>0</v>
      </c>
      <c r="AS576">
        <v>68</v>
      </c>
      <c r="AT576">
        <v>640</v>
      </c>
      <c r="BB576" t="str">
        <f t="shared" si="206"/>
        <v>1200</v>
      </c>
      <c r="BC576">
        <v>1</v>
      </c>
      <c r="BD576" t="str">
        <f t="shared" si="207"/>
        <v xml:space="preserve">N52156  </v>
      </c>
      <c r="BE576">
        <v>1</v>
      </c>
      <c r="BG576">
        <v>0</v>
      </c>
      <c r="BH576">
        <v>0</v>
      </c>
      <c r="BI576">
        <v>0</v>
      </c>
      <c r="BJ576">
        <v>2425</v>
      </c>
      <c r="BK576">
        <v>25</v>
      </c>
      <c r="BL576" t="s">
        <v>188</v>
      </c>
      <c r="BM576">
        <v>1</v>
      </c>
      <c r="BN576">
        <v>1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 t="shared" si="227"/>
        <v>15:06:07.687</v>
      </c>
      <c r="CF576">
        <v>686949274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6</v>
      </c>
      <c r="CY576">
        <v>7</v>
      </c>
      <c r="CZ576" t="s">
        <v>133</v>
      </c>
      <c r="DA576">
        <v>275</v>
      </c>
      <c r="DB576">
        <v>0</v>
      </c>
      <c r="DC576" t="s">
        <v>134</v>
      </c>
      <c r="DD576" t="s">
        <v>135</v>
      </c>
      <c r="DG576">
        <v>3318733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"05/01/2025 15:06:07.932"</f>
        <v>05/01/2025 15:06:07.932</v>
      </c>
      <c r="C577" t="str">
        <f t="shared" si="204"/>
        <v>FFDFD3C0</v>
      </c>
      <c r="D577" t="s">
        <v>124</v>
      </c>
      <c r="E577" t="str">
        <f>"06"</f>
        <v>06</v>
      </c>
      <c r="F577">
        <v>2006</v>
      </c>
      <c r="G577" t="s">
        <v>125</v>
      </c>
      <c r="J577" t="s">
        <v>126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R577" t="s">
        <v>127</v>
      </c>
      <c r="S577" t="str">
        <f t="shared" si="226"/>
        <v>15:06:07.000</v>
      </c>
      <c r="T577" t="str">
        <f t="shared" si="226"/>
        <v>15:06:07.000</v>
      </c>
      <c r="U577" t="str">
        <f t="shared" si="205"/>
        <v>A68FCB</v>
      </c>
      <c r="V577">
        <v>0</v>
      </c>
      <c r="W577">
        <v>0</v>
      </c>
      <c r="X577">
        <v>2</v>
      </c>
      <c r="Y577">
        <v>0</v>
      </c>
      <c r="AA577">
        <v>1</v>
      </c>
      <c r="AB577">
        <v>8</v>
      </c>
      <c r="AC577">
        <v>3</v>
      </c>
      <c r="AD577">
        <v>0</v>
      </c>
      <c r="AE577">
        <v>9</v>
      </c>
      <c r="AF577" t="s">
        <v>138</v>
      </c>
      <c r="AG577">
        <v>0</v>
      </c>
      <c r="AH577">
        <v>3</v>
      </c>
      <c r="AI577">
        <v>1</v>
      </c>
      <c r="AJ577">
        <v>0</v>
      </c>
      <c r="AK577" t="s">
        <v>300</v>
      </c>
      <c r="AL577">
        <v>38.959816000000004</v>
      </c>
      <c r="AM577" t="s">
        <v>301</v>
      </c>
      <c r="AN577">
        <v>-121.04965900000001</v>
      </c>
      <c r="AO577">
        <v>25</v>
      </c>
      <c r="AP577">
        <v>2400</v>
      </c>
      <c r="AQ577" t="s">
        <v>131</v>
      </c>
      <c r="AR577">
        <v>0</v>
      </c>
      <c r="AS577">
        <v>68</v>
      </c>
      <c r="AT577">
        <v>640</v>
      </c>
      <c r="BB577" t="str">
        <f t="shared" si="206"/>
        <v>1200</v>
      </c>
      <c r="BC577">
        <v>1</v>
      </c>
      <c r="BD577" t="str">
        <f t="shared" si="207"/>
        <v xml:space="preserve">N52156  </v>
      </c>
      <c r="BE577">
        <v>1</v>
      </c>
      <c r="BG577">
        <v>0</v>
      </c>
      <c r="BH577">
        <v>0</v>
      </c>
      <c r="BI577">
        <v>0</v>
      </c>
      <c r="BJ577">
        <v>2425</v>
      </c>
      <c r="BK577">
        <v>25</v>
      </c>
      <c r="BL577" t="s">
        <v>188</v>
      </c>
      <c r="BM577">
        <v>1</v>
      </c>
      <c r="BN577">
        <v>1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 t="shared" si="227"/>
        <v>15:06:07.687</v>
      </c>
      <c r="CF577">
        <v>686949274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6</v>
      </c>
      <c r="CY577">
        <v>7</v>
      </c>
      <c r="CZ577" t="s">
        <v>133</v>
      </c>
      <c r="DA577">
        <v>275</v>
      </c>
      <c r="DB577">
        <v>0</v>
      </c>
      <c r="DC577" t="s">
        <v>134</v>
      </c>
      <c r="DD577" t="s">
        <v>135</v>
      </c>
      <c r="DG577">
        <v>3318733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"05/01/2025 15:06:09.022"</f>
        <v>05/01/2025 15:06:09.022</v>
      </c>
      <c r="C578" t="str">
        <f t="shared" ref="C578:C641" si="228">"FFDFD3C0"</f>
        <v>FFDFD3C0</v>
      </c>
      <c r="D578" t="s">
        <v>140</v>
      </c>
      <c r="E578" t="str">
        <f>"13"</f>
        <v>13</v>
      </c>
      <c r="F578">
        <v>1019</v>
      </c>
      <c r="G578" t="s">
        <v>141</v>
      </c>
      <c r="J578" t="s">
        <v>142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R578" t="s">
        <v>127</v>
      </c>
      <c r="S578" t="str">
        <f t="shared" ref="S578:T583" si="229">"15:06:08.000"</f>
        <v>15:06:08.000</v>
      </c>
      <c r="T578" t="str">
        <f t="shared" si="229"/>
        <v>15:06:08.000</v>
      </c>
      <c r="U578" t="str">
        <f t="shared" ref="U578:U641" si="230">"A68FCB"</f>
        <v>A68FCB</v>
      </c>
      <c r="V578">
        <v>0</v>
      </c>
      <c r="W578">
        <v>0</v>
      </c>
      <c r="X578">
        <v>2</v>
      </c>
      <c r="Y578">
        <v>0</v>
      </c>
      <c r="AA578">
        <v>1</v>
      </c>
      <c r="AB578">
        <v>8</v>
      </c>
      <c r="AC578">
        <v>3</v>
      </c>
      <c r="AD578">
        <v>0</v>
      </c>
      <c r="AE578">
        <v>9</v>
      </c>
      <c r="AF578" t="s">
        <v>138</v>
      </c>
      <c r="AG578">
        <v>0</v>
      </c>
      <c r="AH578">
        <v>3</v>
      </c>
      <c r="AI578">
        <v>1</v>
      </c>
      <c r="AJ578">
        <v>0</v>
      </c>
      <c r="AK578" t="s">
        <v>302</v>
      </c>
      <c r="AL578">
        <v>38.960137000000003</v>
      </c>
      <c r="AM578" t="s">
        <v>301</v>
      </c>
      <c r="AN578">
        <v>-121.04965900000001</v>
      </c>
      <c r="AO578">
        <v>25</v>
      </c>
      <c r="AP578">
        <v>2500</v>
      </c>
      <c r="AQ578" t="s">
        <v>131</v>
      </c>
      <c r="AR578">
        <v>0</v>
      </c>
      <c r="AS578">
        <v>67</v>
      </c>
      <c r="AT578">
        <v>704</v>
      </c>
      <c r="BB578" t="str">
        <f t="shared" ref="BB578:BB641" si="231">"1200"</f>
        <v>1200</v>
      </c>
      <c r="BC578">
        <v>1</v>
      </c>
      <c r="BD578" t="str">
        <f t="shared" ref="BD578:BD641" si="232">"N52156  "</f>
        <v xml:space="preserve">N52156  </v>
      </c>
      <c r="BE578">
        <v>1</v>
      </c>
      <c r="BG578">
        <v>0</v>
      </c>
      <c r="BH578">
        <v>0</v>
      </c>
      <c r="BI578">
        <v>0</v>
      </c>
      <c r="BJ578">
        <v>2425</v>
      </c>
      <c r="BK578">
        <v>-75</v>
      </c>
      <c r="BL578" t="s">
        <v>188</v>
      </c>
      <c r="BM578">
        <v>1</v>
      </c>
      <c r="BN578">
        <v>1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 t="shared" ref="CE578:CE583" si="233">"15:06:08.773"</f>
        <v>15:06:08.773</v>
      </c>
      <c r="CF578">
        <v>773449510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133</v>
      </c>
      <c r="DA578">
        <v>275</v>
      </c>
      <c r="DB578">
        <v>0</v>
      </c>
      <c r="DC578" t="s">
        <v>134</v>
      </c>
      <c r="DD578" t="s">
        <v>135</v>
      </c>
      <c r="DG578">
        <v>3318748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"05/01/2025 15:06:09.033"</f>
        <v>05/01/2025 15:06:09.033</v>
      </c>
      <c r="C579" t="str">
        <f t="shared" si="228"/>
        <v>FFDFD3C0</v>
      </c>
      <c r="D579" t="s">
        <v>124</v>
      </c>
      <c r="E579" t="str">
        <f>"06"</f>
        <v>06</v>
      </c>
      <c r="F579">
        <v>2006</v>
      </c>
      <c r="G579" t="s">
        <v>125</v>
      </c>
      <c r="J579" t="s">
        <v>126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R579" t="s">
        <v>127</v>
      </c>
      <c r="S579" t="str">
        <f t="shared" si="229"/>
        <v>15:06:08.000</v>
      </c>
      <c r="T579" t="str">
        <f t="shared" si="229"/>
        <v>15:06:08.000</v>
      </c>
      <c r="U579" t="str">
        <f t="shared" si="230"/>
        <v>A68FCB</v>
      </c>
      <c r="V579">
        <v>0</v>
      </c>
      <c r="W579">
        <v>0</v>
      </c>
      <c r="X579">
        <v>2</v>
      </c>
      <c r="Y579">
        <v>0</v>
      </c>
      <c r="AA579">
        <v>1</v>
      </c>
      <c r="AB579">
        <v>8</v>
      </c>
      <c r="AC579">
        <v>3</v>
      </c>
      <c r="AD579">
        <v>0</v>
      </c>
      <c r="AE579">
        <v>9</v>
      </c>
      <c r="AF579" t="s">
        <v>138</v>
      </c>
      <c r="AG579">
        <v>0</v>
      </c>
      <c r="AH579">
        <v>3</v>
      </c>
      <c r="AI579">
        <v>1</v>
      </c>
      <c r="AJ579">
        <v>0</v>
      </c>
      <c r="AK579" t="s">
        <v>302</v>
      </c>
      <c r="AL579">
        <v>38.960137000000003</v>
      </c>
      <c r="AM579" t="s">
        <v>301</v>
      </c>
      <c r="AN579">
        <v>-121.04965900000001</v>
      </c>
      <c r="AO579">
        <v>25</v>
      </c>
      <c r="AP579">
        <v>2500</v>
      </c>
      <c r="AQ579" t="s">
        <v>131</v>
      </c>
      <c r="AR579">
        <v>0</v>
      </c>
      <c r="AS579">
        <v>67</v>
      </c>
      <c r="AT579">
        <v>704</v>
      </c>
      <c r="BB579" t="str">
        <f t="shared" si="231"/>
        <v>1200</v>
      </c>
      <c r="BC579">
        <v>1</v>
      </c>
      <c r="BD579" t="str">
        <f t="shared" si="232"/>
        <v xml:space="preserve">N52156  </v>
      </c>
      <c r="BE579">
        <v>1</v>
      </c>
      <c r="BG579">
        <v>0</v>
      </c>
      <c r="BH579">
        <v>0</v>
      </c>
      <c r="BI579">
        <v>0</v>
      </c>
      <c r="BJ579">
        <v>2425</v>
      </c>
      <c r="BK579">
        <v>-75</v>
      </c>
      <c r="BL579" t="s">
        <v>188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 t="shared" si="233"/>
        <v>15:06:08.773</v>
      </c>
      <c r="CF579">
        <v>773449510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133</v>
      </c>
      <c r="DA579">
        <v>275</v>
      </c>
      <c r="DB579">
        <v>0</v>
      </c>
      <c r="DC579" t="s">
        <v>134</v>
      </c>
      <c r="DD579" t="s">
        <v>135</v>
      </c>
      <c r="DG579">
        <v>3318748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"05/01/2025 15:06:09.033"</f>
        <v>05/01/2025 15:06:09.033</v>
      </c>
      <c r="C580" t="str">
        <f t="shared" si="228"/>
        <v>FFDFD3C0</v>
      </c>
      <c r="D580" t="s">
        <v>143</v>
      </c>
      <c r="E580" t="str">
        <f>"05"</f>
        <v>05</v>
      </c>
      <c r="H580">
        <v>172</v>
      </c>
      <c r="I580" t="s">
        <v>141</v>
      </c>
      <c r="J580" t="s">
        <v>144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R580" t="s">
        <v>127</v>
      </c>
      <c r="S580" t="str">
        <f t="shared" si="229"/>
        <v>15:06:08.000</v>
      </c>
      <c r="T580" t="str">
        <f t="shared" si="229"/>
        <v>15:06:08.000</v>
      </c>
      <c r="U580" t="str">
        <f t="shared" si="230"/>
        <v>A68FCB</v>
      </c>
      <c r="V580">
        <v>0</v>
      </c>
      <c r="W580">
        <v>0</v>
      </c>
      <c r="X580">
        <v>2</v>
      </c>
      <c r="Y580">
        <v>0</v>
      </c>
      <c r="AA580">
        <v>1</v>
      </c>
      <c r="AB580">
        <v>8</v>
      </c>
      <c r="AC580">
        <v>3</v>
      </c>
      <c r="AD580">
        <v>0</v>
      </c>
      <c r="AE580">
        <v>9</v>
      </c>
      <c r="AF580" t="s">
        <v>138</v>
      </c>
      <c r="AG580">
        <v>0</v>
      </c>
      <c r="AH580">
        <v>3</v>
      </c>
      <c r="AI580">
        <v>1</v>
      </c>
      <c r="AJ580">
        <v>0</v>
      </c>
      <c r="AK580" t="s">
        <v>302</v>
      </c>
      <c r="AL580">
        <v>38.960137000000003</v>
      </c>
      <c r="AM580" t="s">
        <v>301</v>
      </c>
      <c r="AN580">
        <v>-121.04965900000001</v>
      </c>
      <c r="AO580">
        <v>25</v>
      </c>
      <c r="AP580">
        <v>2500</v>
      </c>
      <c r="AQ580" t="s">
        <v>131</v>
      </c>
      <c r="AR580">
        <v>0</v>
      </c>
      <c r="AS580">
        <v>67</v>
      </c>
      <c r="AT580">
        <v>704</v>
      </c>
      <c r="BB580" t="str">
        <f t="shared" si="231"/>
        <v>1200</v>
      </c>
      <c r="BC580">
        <v>1</v>
      </c>
      <c r="BD580" t="str">
        <f t="shared" si="232"/>
        <v xml:space="preserve">N52156  </v>
      </c>
      <c r="BE580">
        <v>1</v>
      </c>
      <c r="BG580">
        <v>0</v>
      </c>
      <c r="BH580">
        <v>0</v>
      </c>
      <c r="BI580">
        <v>0</v>
      </c>
      <c r="BJ580">
        <v>2425</v>
      </c>
      <c r="BK580">
        <v>-75</v>
      </c>
      <c r="BL580" t="s">
        <v>188</v>
      </c>
      <c r="BM580">
        <v>1</v>
      </c>
      <c r="BN580">
        <v>1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 t="shared" si="233"/>
        <v>15:06:08.773</v>
      </c>
      <c r="CF580">
        <v>773449510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5</v>
      </c>
      <c r="CY580">
        <v>7</v>
      </c>
      <c r="CZ580" t="s">
        <v>133</v>
      </c>
      <c r="DA580">
        <v>275</v>
      </c>
      <c r="DB580">
        <v>0</v>
      </c>
      <c r="DC580" t="s">
        <v>134</v>
      </c>
      <c r="DD580" t="s">
        <v>135</v>
      </c>
      <c r="DG580">
        <v>3318748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"05/01/2025 15:06:09.033"</f>
        <v>05/01/2025 15:06:09.033</v>
      </c>
      <c r="C581" t="str">
        <f t="shared" si="228"/>
        <v>FFDFD3C0</v>
      </c>
      <c r="D581" t="s">
        <v>145</v>
      </c>
      <c r="E581" t="str">
        <f>"09"</f>
        <v>09</v>
      </c>
      <c r="H581">
        <v>51</v>
      </c>
      <c r="I581" t="s">
        <v>147</v>
      </c>
      <c r="J581" t="s">
        <v>138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R581" t="s">
        <v>127</v>
      </c>
      <c r="S581" t="str">
        <f t="shared" si="229"/>
        <v>15:06:08.000</v>
      </c>
      <c r="T581" t="str">
        <f t="shared" si="229"/>
        <v>15:06:08.000</v>
      </c>
      <c r="U581" t="str">
        <f t="shared" si="230"/>
        <v>A68FCB</v>
      </c>
      <c r="V581">
        <v>0</v>
      </c>
      <c r="W581">
        <v>0</v>
      </c>
      <c r="X581">
        <v>2</v>
      </c>
      <c r="Y581">
        <v>0</v>
      </c>
      <c r="AA581">
        <v>1</v>
      </c>
      <c r="AB581">
        <v>8</v>
      </c>
      <c r="AC581">
        <v>3</v>
      </c>
      <c r="AD581">
        <v>0</v>
      </c>
      <c r="AE581">
        <v>9</v>
      </c>
      <c r="AF581" t="s">
        <v>138</v>
      </c>
      <c r="AG581">
        <v>0</v>
      </c>
      <c r="AH581">
        <v>3</v>
      </c>
      <c r="AI581">
        <v>1</v>
      </c>
      <c r="AJ581">
        <v>0</v>
      </c>
      <c r="AK581" t="s">
        <v>302</v>
      </c>
      <c r="AL581">
        <v>38.960137000000003</v>
      </c>
      <c r="AM581" t="s">
        <v>301</v>
      </c>
      <c r="AN581">
        <v>-121.04965900000001</v>
      </c>
      <c r="AO581">
        <v>25</v>
      </c>
      <c r="AP581">
        <v>2500</v>
      </c>
      <c r="AQ581" t="s">
        <v>131</v>
      </c>
      <c r="AR581">
        <v>0</v>
      </c>
      <c r="AS581">
        <v>67</v>
      </c>
      <c r="AT581">
        <v>704</v>
      </c>
      <c r="BB581" t="str">
        <f t="shared" si="231"/>
        <v>1200</v>
      </c>
      <c r="BC581">
        <v>1</v>
      </c>
      <c r="BD581" t="str">
        <f t="shared" si="232"/>
        <v xml:space="preserve">N52156  </v>
      </c>
      <c r="BE581">
        <v>1</v>
      </c>
      <c r="BG581">
        <v>0</v>
      </c>
      <c r="BH581">
        <v>0</v>
      </c>
      <c r="BI581">
        <v>0</v>
      </c>
      <c r="BJ581">
        <v>2425</v>
      </c>
      <c r="BK581">
        <v>-75</v>
      </c>
      <c r="BL581" t="s">
        <v>188</v>
      </c>
      <c r="BM581">
        <v>1</v>
      </c>
      <c r="BN581">
        <v>1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 t="shared" si="233"/>
        <v>15:06:08.773</v>
      </c>
      <c r="CF581">
        <v>773449510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5</v>
      </c>
      <c r="CY581">
        <v>7</v>
      </c>
      <c r="CZ581" t="s">
        <v>133</v>
      </c>
      <c r="DA581">
        <v>275</v>
      </c>
      <c r="DB581">
        <v>0</v>
      </c>
      <c r="DC581" t="s">
        <v>134</v>
      </c>
      <c r="DD581" t="s">
        <v>135</v>
      </c>
      <c r="DG581">
        <v>3318748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"05/01/2025 15:06:09.033"</f>
        <v>05/01/2025 15:06:09.033</v>
      </c>
      <c r="C582" t="str">
        <f t="shared" si="228"/>
        <v>FFDFD3C0</v>
      </c>
      <c r="D582" t="s">
        <v>145</v>
      </c>
      <c r="E582" t="str">
        <f>"05"</f>
        <v>05</v>
      </c>
      <c r="H582">
        <v>47</v>
      </c>
      <c r="I582" t="s">
        <v>146</v>
      </c>
      <c r="J582" t="s">
        <v>138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R582" t="s">
        <v>127</v>
      </c>
      <c r="S582" t="str">
        <f t="shared" si="229"/>
        <v>15:06:08.000</v>
      </c>
      <c r="T582" t="str">
        <f t="shared" si="229"/>
        <v>15:06:08.000</v>
      </c>
      <c r="U582" t="str">
        <f t="shared" si="230"/>
        <v>A68FCB</v>
      </c>
      <c r="V582">
        <v>0</v>
      </c>
      <c r="W582">
        <v>0</v>
      </c>
      <c r="X582">
        <v>2</v>
      </c>
      <c r="Y582">
        <v>0</v>
      </c>
      <c r="AA582">
        <v>1</v>
      </c>
      <c r="AB582">
        <v>8</v>
      </c>
      <c r="AC582">
        <v>3</v>
      </c>
      <c r="AD582">
        <v>0</v>
      </c>
      <c r="AE582">
        <v>9</v>
      </c>
      <c r="AF582" t="s">
        <v>138</v>
      </c>
      <c r="AG582">
        <v>0</v>
      </c>
      <c r="AH582">
        <v>3</v>
      </c>
      <c r="AI582">
        <v>1</v>
      </c>
      <c r="AJ582">
        <v>0</v>
      </c>
      <c r="AK582" t="s">
        <v>302</v>
      </c>
      <c r="AL582">
        <v>38.960137000000003</v>
      </c>
      <c r="AM582" t="s">
        <v>301</v>
      </c>
      <c r="AN582">
        <v>-121.04965900000001</v>
      </c>
      <c r="AO582">
        <v>25</v>
      </c>
      <c r="AP582">
        <v>2500</v>
      </c>
      <c r="AQ582" t="s">
        <v>131</v>
      </c>
      <c r="AR582">
        <v>0</v>
      </c>
      <c r="AS582">
        <v>67</v>
      </c>
      <c r="AT582">
        <v>704</v>
      </c>
      <c r="BB582" t="str">
        <f t="shared" si="231"/>
        <v>1200</v>
      </c>
      <c r="BC582">
        <v>1</v>
      </c>
      <c r="BD582" t="str">
        <f t="shared" si="232"/>
        <v xml:space="preserve">N52156  </v>
      </c>
      <c r="BE582">
        <v>1</v>
      </c>
      <c r="BG582">
        <v>0</v>
      </c>
      <c r="BH582">
        <v>0</v>
      </c>
      <c r="BI582">
        <v>0</v>
      </c>
      <c r="BJ582">
        <v>2425</v>
      </c>
      <c r="BK582">
        <v>-75</v>
      </c>
      <c r="BL582" t="s">
        <v>188</v>
      </c>
      <c r="BM582">
        <v>1</v>
      </c>
      <c r="BN582">
        <v>1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 t="shared" si="233"/>
        <v>15:06:08.773</v>
      </c>
      <c r="CF582">
        <v>773449510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133</v>
      </c>
      <c r="DA582">
        <v>275</v>
      </c>
      <c r="DB582">
        <v>0</v>
      </c>
      <c r="DC582" t="s">
        <v>134</v>
      </c>
      <c r="DD582" t="s">
        <v>135</v>
      </c>
      <c r="DG582">
        <v>3318748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"05/01/2025 15:06:09.043"</f>
        <v>05/01/2025 15:06:09.043</v>
      </c>
      <c r="C583" t="str">
        <f t="shared" si="228"/>
        <v>FFDFD3C0</v>
      </c>
      <c r="D583" t="s">
        <v>136</v>
      </c>
      <c r="E583" t="str">
        <f>"20"</f>
        <v>20</v>
      </c>
      <c r="H583">
        <v>400</v>
      </c>
      <c r="I583" t="s">
        <v>137</v>
      </c>
      <c r="J583" t="s">
        <v>138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R583" t="s">
        <v>127</v>
      </c>
      <c r="S583" t="str">
        <f t="shared" si="229"/>
        <v>15:06:08.000</v>
      </c>
      <c r="T583" t="str">
        <f t="shared" si="229"/>
        <v>15:06:08.000</v>
      </c>
      <c r="U583" t="str">
        <f t="shared" si="230"/>
        <v>A68FCB</v>
      </c>
      <c r="V583">
        <v>0</v>
      </c>
      <c r="W583">
        <v>0</v>
      </c>
      <c r="X583">
        <v>2</v>
      </c>
      <c r="Y583">
        <v>0</v>
      </c>
      <c r="AA583">
        <v>1</v>
      </c>
      <c r="AB583">
        <v>8</v>
      </c>
      <c r="AC583">
        <v>3</v>
      </c>
      <c r="AD583">
        <v>0</v>
      </c>
      <c r="AE583">
        <v>9</v>
      </c>
      <c r="AF583" t="s">
        <v>138</v>
      </c>
      <c r="AG583">
        <v>0</v>
      </c>
      <c r="AH583">
        <v>3</v>
      </c>
      <c r="AI583">
        <v>1</v>
      </c>
      <c r="AJ583">
        <v>0</v>
      </c>
      <c r="AK583" t="s">
        <v>302</v>
      </c>
      <c r="AL583">
        <v>38.960137000000003</v>
      </c>
      <c r="AM583" t="s">
        <v>301</v>
      </c>
      <c r="AN583">
        <v>-121.04965900000001</v>
      </c>
      <c r="AO583">
        <v>25</v>
      </c>
      <c r="AP583">
        <v>2500</v>
      </c>
      <c r="AQ583" t="s">
        <v>131</v>
      </c>
      <c r="AR583">
        <v>0</v>
      </c>
      <c r="AS583">
        <v>67</v>
      </c>
      <c r="AT583">
        <v>704</v>
      </c>
      <c r="BB583" t="str">
        <f t="shared" si="231"/>
        <v>1200</v>
      </c>
      <c r="BC583">
        <v>1</v>
      </c>
      <c r="BD583" t="str">
        <f t="shared" si="232"/>
        <v xml:space="preserve">N52156  </v>
      </c>
      <c r="BE583">
        <v>1</v>
      </c>
      <c r="BG583">
        <v>0</v>
      </c>
      <c r="BH583">
        <v>0</v>
      </c>
      <c r="BI583">
        <v>0</v>
      </c>
      <c r="BJ583">
        <v>2425</v>
      </c>
      <c r="BK583">
        <v>-75</v>
      </c>
      <c r="BL583" t="s">
        <v>188</v>
      </c>
      <c r="BM583">
        <v>1</v>
      </c>
      <c r="BN583">
        <v>1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 t="shared" si="233"/>
        <v>15:06:08.773</v>
      </c>
      <c r="CF583">
        <v>773449510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133</v>
      </c>
      <c r="DA583">
        <v>275</v>
      </c>
      <c r="DB583">
        <v>0</v>
      </c>
      <c r="DC583" t="s">
        <v>134</v>
      </c>
      <c r="DD583" t="s">
        <v>135</v>
      </c>
      <c r="DG583">
        <v>3318748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"05/01/2025 15:06:10.124"</f>
        <v>05/01/2025 15:06:10.124</v>
      </c>
      <c r="C584" t="str">
        <f t="shared" si="228"/>
        <v>FFDFD3C0</v>
      </c>
      <c r="D584" t="s">
        <v>140</v>
      </c>
      <c r="E584" t="str">
        <f>"13"</f>
        <v>13</v>
      </c>
      <c r="F584">
        <v>1019</v>
      </c>
      <c r="G584" t="s">
        <v>141</v>
      </c>
      <c r="J584" t="s">
        <v>142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R584" t="s">
        <v>127</v>
      </c>
      <c r="S584" t="str">
        <f t="shared" ref="S584:T589" si="234">"15:06:09.000"</f>
        <v>15:06:09.000</v>
      </c>
      <c r="T584" t="str">
        <f t="shared" si="234"/>
        <v>15:06:09.000</v>
      </c>
      <c r="U584" t="str">
        <f t="shared" si="230"/>
        <v>A68FCB</v>
      </c>
      <c r="V584">
        <v>0</v>
      </c>
      <c r="W584">
        <v>0</v>
      </c>
      <c r="X584">
        <v>2</v>
      </c>
      <c r="Y584">
        <v>0</v>
      </c>
      <c r="AA584">
        <v>1</v>
      </c>
      <c r="AB584">
        <v>8</v>
      </c>
      <c r="AC584">
        <v>3</v>
      </c>
      <c r="AD584">
        <v>0</v>
      </c>
      <c r="AE584">
        <v>9</v>
      </c>
      <c r="AF584" t="s">
        <v>138</v>
      </c>
      <c r="AG584">
        <v>0</v>
      </c>
      <c r="AH584">
        <v>3</v>
      </c>
      <c r="AI584">
        <v>1</v>
      </c>
      <c r="AJ584">
        <v>0</v>
      </c>
      <c r="AK584" t="s">
        <v>303</v>
      </c>
      <c r="AL584">
        <v>38.960459</v>
      </c>
      <c r="AM584" t="s">
        <v>301</v>
      </c>
      <c r="AN584">
        <v>-121.04965900000001</v>
      </c>
      <c r="AO584">
        <v>25</v>
      </c>
      <c r="AP584">
        <v>2500</v>
      </c>
      <c r="AQ584" t="s">
        <v>131</v>
      </c>
      <c r="AR584">
        <v>0</v>
      </c>
      <c r="AS584">
        <v>68</v>
      </c>
      <c r="AT584">
        <v>704</v>
      </c>
      <c r="BB584" t="str">
        <f t="shared" si="231"/>
        <v>1200</v>
      </c>
      <c r="BC584">
        <v>1</v>
      </c>
      <c r="BD584" t="str">
        <f t="shared" si="232"/>
        <v xml:space="preserve">N52156  </v>
      </c>
      <c r="BE584">
        <v>1</v>
      </c>
      <c r="BG584">
        <v>0</v>
      </c>
      <c r="BH584">
        <v>0</v>
      </c>
      <c r="BI584">
        <v>0</v>
      </c>
      <c r="BJ584">
        <v>2450</v>
      </c>
      <c r="BK584">
        <v>-50</v>
      </c>
      <c r="BL584" t="s">
        <v>188</v>
      </c>
      <c r="BM584">
        <v>1</v>
      </c>
      <c r="BN584">
        <v>1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 t="shared" ref="CE584:CE589" si="235">"15:06:09.915"</f>
        <v>15:06:09.915</v>
      </c>
      <c r="CF584">
        <v>914699884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133</v>
      </c>
      <c r="DA584">
        <v>275</v>
      </c>
      <c r="DB584">
        <v>0</v>
      </c>
      <c r="DC584" t="s">
        <v>134</v>
      </c>
      <c r="DD584" t="s">
        <v>135</v>
      </c>
      <c r="DG584">
        <v>3318764</v>
      </c>
      <c r="DI584">
        <v>1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"05/01/2025 15:06:10.135"</f>
        <v>05/01/2025 15:06:10.135</v>
      </c>
      <c r="C585" t="str">
        <f t="shared" si="228"/>
        <v>FFDFD3C0</v>
      </c>
      <c r="D585" t="s">
        <v>124</v>
      </c>
      <c r="E585" t="str">
        <f>"06"</f>
        <v>06</v>
      </c>
      <c r="F585">
        <v>2006</v>
      </c>
      <c r="G585" t="s">
        <v>125</v>
      </c>
      <c r="J585" t="s">
        <v>126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R585" t="s">
        <v>127</v>
      </c>
      <c r="S585" t="str">
        <f t="shared" si="234"/>
        <v>15:06:09.000</v>
      </c>
      <c r="T585" t="str">
        <f t="shared" si="234"/>
        <v>15:06:09.000</v>
      </c>
      <c r="U585" t="str">
        <f t="shared" si="230"/>
        <v>A68FCB</v>
      </c>
      <c r="V585">
        <v>0</v>
      </c>
      <c r="W585">
        <v>0</v>
      </c>
      <c r="X585">
        <v>2</v>
      </c>
      <c r="Y585">
        <v>0</v>
      </c>
      <c r="AA585">
        <v>1</v>
      </c>
      <c r="AB585">
        <v>8</v>
      </c>
      <c r="AC585">
        <v>3</v>
      </c>
      <c r="AD585">
        <v>0</v>
      </c>
      <c r="AE585">
        <v>9</v>
      </c>
      <c r="AF585" t="s">
        <v>138</v>
      </c>
      <c r="AG585">
        <v>0</v>
      </c>
      <c r="AH585">
        <v>3</v>
      </c>
      <c r="AI585">
        <v>1</v>
      </c>
      <c r="AJ585">
        <v>0</v>
      </c>
      <c r="AK585" t="s">
        <v>303</v>
      </c>
      <c r="AL585">
        <v>38.960459</v>
      </c>
      <c r="AM585" t="s">
        <v>301</v>
      </c>
      <c r="AN585">
        <v>-121.04965900000001</v>
      </c>
      <c r="AO585">
        <v>25</v>
      </c>
      <c r="AP585">
        <v>2500</v>
      </c>
      <c r="AQ585" t="s">
        <v>131</v>
      </c>
      <c r="AR585">
        <v>0</v>
      </c>
      <c r="AS585">
        <v>68</v>
      </c>
      <c r="AT585">
        <v>704</v>
      </c>
      <c r="BB585" t="str">
        <f t="shared" si="231"/>
        <v>1200</v>
      </c>
      <c r="BC585">
        <v>1</v>
      </c>
      <c r="BD585" t="str">
        <f t="shared" si="232"/>
        <v xml:space="preserve">N52156  </v>
      </c>
      <c r="BE585">
        <v>1</v>
      </c>
      <c r="BG585">
        <v>0</v>
      </c>
      <c r="BH585">
        <v>0</v>
      </c>
      <c r="BI585">
        <v>0</v>
      </c>
      <c r="BJ585">
        <v>2450</v>
      </c>
      <c r="BK585">
        <v>-50</v>
      </c>
      <c r="BL585" t="s">
        <v>188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 t="shared" si="235"/>
        <v>15:06:09.915</v>
      </c>
      <c r="CF585">
        <v>914699884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133</v>
      </c>
      <c r="DA585">
        <v>275</v>
      </c>
      <c r="DB585">
        <v>0</v>
      </c>
      <c r="DC585" t="s">
        <v>134</v>
      </c>
      <c r="DD585" t="s">
        <v>135</v>
      </c>
      <c r="DG585">
        <v>3318764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"05/01/2025 15:06:10.135"</f>
        <v>05/01/2025 15:06:10.135</v>
      </c>
      <c r="C586" t="str">
        <f t="shared" si="228"/>
        <v>FFDFD3C0</v>
      </c>
      <c r="D586" t="s">
        <v>145</v>
      </c>
      <c r="E586" t="str">
        <f>"09"</f>
        <v>09</v>
      </c>
      <c r="H586">
        <v>51</v>
      </c>
      <c r="I586" t="s">
        <v>147</v>
      </c>
      <c r="J586" t="s">
        <v>138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R586" t="s">
        <v>127</v>
      </c>
      <c r="S586" t="str">
        <f t="shared" si="234"/>
        <v>15:06:09.000</v>
      </c>
      <c r="T586" t="str">
        <f t="shared" si="234"/>
        <v>15:06:09.000</v>
      </c>
      <c r="U586" t="str">
        <f t="shared" si="230"/>
        <v>A68FCB</v>
      </c>
      <c r="V586">
        <v>0</v>
      </c>
      <c r="W586">
        <v>0</v>
      </c>
      <c r="X586">
        <v>2</v>
      </c>
      <c r="Y586">
        <v>0</v>
      </c>
      <c r="AA586">
        <v>1</v>
      </c>
      <c r="AB586">
        <v>8</v>
      </c>
      <c r="AC586">
        <v>3</v>
      </c>
      <c r="AD586">
        <v>0</v>
      </c>
      <c r="AE586">
        <v>9</v>
      </c>
      <c r="AF586" t="s">
        <v>138</v>
      </c>
      <c r="AG586">
        <v>0</v>
      </c>
      <c r="AH586">
        <v>3</v>
      </c>
      <c r="AI586">
        <v>1</v>
      </c>
      <c r="AJ586">
        <v>0</v>
      </c>
      <c r="AK586" t="s">
        <v>303</v>
      </c>
      <c r="AL586">
        <v>38.960459</v>
      </c>
      <c r="AM586" t="s">
        <v>301</v>
      </c>
      <c r="AN586">
        <v>-121.04965900000001</v>
      </c>
      <c r="AO586">
        <v>25</v>
      </c>
      <c r="AP586">
        <v>2500</v>
      </c>
      <c r="AQ586" t="s">
        <v>131</v>
      </c>
      <c r="AR586">
        <v>0</v>
      </c>
      <c r="AS586">
        <v>68</v>
      </c>
      <c r="AT586">
        <v>704</v>
      </c>
      <c r="BB586" t="str">
        <f t="shared" si="231"/>
        <v>1200</v>
      </c>
      <c r="BC586">
        <v>1</v>
      </c>
      <c r="BD586" t="str">
        <f t="shared" si="232"/>
        <v xml:space="preserve">N52156  </v>
      </c>
      <c r="BE586">
        <v>1</v>
      </c>
      <c r="BG586">
        <v>0</v>
      </c>
      <c r="BH586">
        <v>0</v>
      </c>
      <c r="BI586">
        <v>0</v>
      </c>
      <c r="BJ586">
        <v>2450</v>
      </c>
      <c r="BK586">
        <v>-50</v>
      </c>
      <c r="BL586" t="s">
        <v>188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 t="shared" si="235"/>
        <v>15:06:09.915</v>
      </c>
      <c r="CF586">
        <v>914699884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133</v>
      </c>
      <c r="DA586">
        <v>275</v>
      </c>
      <c r="DB586">
        <v>0</v>
      </c>
      <c r="DC586" t="s">
        <v>134</v>
      </c>
      <c r="DD586" t="s">
        <v>135</v>
      </c>
      <c r="DG586">
        <v>3318764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"05/01/2025 15:06:10.135"</f>
        <v>05/01/2025 15:06:10.135</v>
      </c>
      <c r="C587" t="str">
        <f t="shared" si="228"/>
        <v>FFDFD3C0</v>
      </c>
      <c r="D587" t="s">
        <v>143</v>
      </c>
      <c r="E587" t="str">
        <f>"05"</f>
        <v>05</v>
      </c>
      <c r="H587">
        <v>172</v>
      </c>
      <c r="I587" t="s">
        <v>141</v>
      </c>
      <c r="J587" t="s">
        <v>144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R587" t="s">
        <v>127</v>
      </c>
      <c r="S587" t="str">
        <f t="shared" si="234"/>
        <v>15:06:09.000</v>
      </c>
      <c r="T587" t="str">
        <f t="shared" si="234"/>
        <v>15:06:09.000</v>
      </c>
      <c r="U587" t="str">
        <f t="shared" si="230"/>
        <v>A68FCB</v>
      </c>
      <c r="V587">
        <v>0</v>
      </c>
      <c r="W587">
        <v>0</v>
      </c>
      <c r="X587">
        <v>2</v>
      </c>
      <c r="Y587">
        <v>0</v>
      </c>
      <c r="AA587">
        <v>1</v>
      </c>
      <c r="AB587">
        <v>8</v>
      </c>
      <c r="AC587">
        <v>3</v>
      </c>
      <c r="AD587">
        <v>0</v>
      </c>
      <c r="AE587">
        <v>9</v>
      </c>
      <c r="AF587" t="s">
        <v>138</v>
      </c>
      <c r="AG587">
        <v>0</v>
      </c>
      <c r="AH587">
        <v>3</v>
      </c>
      <c r="AI587">
        <v>1</v>
      </c>
      <c r="AJ587">
        <v>0</v>
      </c>
      <c r="AK587" t="s">
        <v>303</v>
      </c>
      <c r="AL587">
        <v>38.960459</v>
      </c>
      <c r="AM587" t="s">
        <v>301</v>
      </c>
      <c r="AN587">
        <v>-121.04965900000001</v>
      </c>
      <c r="AO587">
        <v>25</v>
      </c>
      <c r="AP587">
        <v>2500</v>
      </c>
      <c r="AQ587" t="s">
        <v>131</v>
      </c>
      <c r="AR587">
        <v>0</v>
      </c>
      <c r="AS587">
        <v>68</v>
      </c>
      <c r="AT587">
        <v>704</v>
      </c>
      <c r="BB587" t="str">
        <f t="shared" si="231"/>
        <v>1200</v>
      </c>
      <c r="BC587">
        <v>1</v>
      </c>
      <c r="BD587" t="str">
        <f t="shared" si="232"/>
        <v xml:space="preserve">N52156  </v>
      </c>
      <c r="BE587">
        <v>1</v>
      </c>
      <c r="BG587">
        <v>0</v>
      </c>
      <c r="BH587">
        <v>0</v>
      </c>
      <c r="BI587">
        <v>0</v>
      </c>
      <c r="BJ587">
        <v>2450</v>
      </c>
      <c r="BK587">
        <v>-50</v>
      </c>
      <c r="BL587" t="s">
        <v>188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 t="shared" si="235"/>
        <v>15:06:09.915</v>
      </c>
      <c r="CF587">
        <v>914699884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133</v>
      </c>
      <c r="DA587">
        <v>275</v>
      </c>
      <c r="DB587">
        <v>0</v>
      </c>
      <c r="DC587" t="s">
        <v>134</v>
      </c>
      <c r="DD587" t="s">
        <v>135</v>
      </c>
      <c r="DG587">
        <v>3318764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"05/01/2025 15:06:10.135"</f>
        <v>05/01/2025 15:06:10.135</v>
      </c>
      <c r="C588" t="str">
        <f t="shared" si="228"/>
        <v>FFDFD3C0</v>
      </c>
      <c r="D588" t="s">
        <v>145</v>
      </c>
      <c r="E588" t="str">
        <f>"05"</f>
        <v>05</v>
      </c>
      <c r="H588">
        <v>47</v>
      </c>
      <c r="I588" t="s">
        <v>146</v>
      </c>
      <c r="J588" t="s">
        <v>138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R588" t="s">
        <v>127</v>
      </c>
      <c r="S588" t="str">
        <f t="shared" si="234"/>
        <v>15:06:09.000</v>
      </c>
      <c r="T588" t="str">
        <f t="shared" si="234"/>
        <v>15:06:09.000</v>
      </c>
      <c r="U588" t="str">
        <f t="shared" si="230"/>
        <v>A68FCB</v>
      </c>
      <c r="V588">
        <v>0</v>
      </c>
      <c r="W588">
        <v>0</v>
      </c>
      <c r="X588">
        <v>2</v>
      </c>
      <c r="Y588">
        <v>0</v>
      </c>
      <c r="AA588">
        <v>1</v>
      </c>
      <c r="AB588">
        <v>8</v>
      </c>
      <c r="AC588">
        <v>3</v>
      </c>
      <c r="AD588">
        <v>0</v>
      </c>
      <c r="AE588">
        <v>9</v>
      </c>
      <c r="AF588" t="s">
        <v>138</v>
      </c>
      <c r="AG588">
        <v>0</v>
      </c>
      <c r="AH588">
        <v>3</v>
      </c>
      <c r="AI588">
        <v>1</v>
      </c>
      <c r="AJ588">
        <v>0</v>
      </c>
      <c r="AK588" t="s">
        <v>303</v>
      </c>
      <c r="AL588">
        <v>38.960459</v>
      </c>
      <c r="AM588" t="s">
        <v>301</v>
      </c>
      <c r="AN588">
        <v>-121.04965900000001</v>
      </c>
      <c r="AO588">
        <v>25</v>
      </c>
      <c r="AP588">
        <v>2500</v>
      </c>
      <c r="AQ588" t="s">
        <v>131</v>
      </c>
      <c r="AR588">
        <v>0</v>
      </c>
      <c r="AS588">
        <v>68</v>
      </c>
      <c r="AT588">
        <v>704</v>
      </c>
      <c r="BB588" t="str">
        <f t="shared" si="231"/>
        <v>1200</v>
      </c>
      <c r="BC588">
        <v>1</v>
      </c>
      <c r="BD588" t="str">
        <f t="shared" si="232"/>
        <v xml:space="preserve">N52156  </v>
      </c>
      <c r="BE588">
        <v>1</v>
      </c>
      <c r="BG588">
        <v>0</v>
      </c>
      <c r="BH588">
        <v>0</v>
      </c>
      <c r="BI588">
        <v>0</v>
      </c>
      <c r="BJ588">
        <v>2450</v>
      </c>
      <c r="BK588">
        <v>-50</v>
      </c>
      <c r="BL588" t="s">
        <v>188</v>
      </c>
      <c r="BM588">
        <v>1</v>
      </c>
      <c r="BN588">
        <v>1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 t="shared" si="235"/>
        <v>15:06:09.915</v>
      </c>
      <c r="CF588">
        <v>914699884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133</v>
      </c>
      <c r="DA588">
        <v>275</v>
      </c>
      <c r="DB588">
        <v>0</v>
      </c>
      <c r="DC588" t="s">
        <v>134</v>
      </c>
      <c r="DD588" t="s">
        <v>135</v>
      </c>
      <c r="DG588">
        <v>3318764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"05/01/2025 15:06:10.145"</f>
        <v>05/01/2025 15:06:10.145</v>
      </c>
      <c r="C589" t="str">
        <f t="shared" si="228"/>
        <v>FFDFD3C0</v>
      </c>
      <c r="D589" t="s">
        <v>136</v>
      </c>
      <c r="E589" t="str">
        <f>"20"</f>
        <v>20</v>
      </c>
      <c r="H589">
        <v>400</v>
      </c>
      <c r="I589" t="s">
        <v>137</v>
      </c>
      <c r="J589" t="s">
        <v>138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R589" t="s">
        <v>127</v>
      </c>
      <c r="S589" t="str">
        <f t="shared" si="234"/>
        <v>15:06:09.000</v>
      </c>
      <c r="T589" t="str">
        <f t="shared" si="234"/>
        <v>15:06:09.000</v>
      </c>
      <c r="U589" t="str">
        <f t="shared" si="230"/>
        <v>A68FCB</v>
      </c>
      <c r="V589">
        <v>0</v>
      </c>
      <c r="W589">
        <v>0</v>
      </c>
      <c r="X589">
        <v>2</v>
      </c>
      <c r="Y589">
        <v>0</v>
      </c>
      <c r="AA589">
        <v>1</v>
      </c>
      <c r="AB589">
        <v>8</v>
      </c>
      <c r="AC589">
        <v>3</v>
      </c>
      <c r="AD589">
        <v>0</v>
      </c>
      <c r="AE589">
        <v>9</v>
      </c>
      <c r="AF589" t="s">
        <v>138</v>
      </c>
      <c r="AG589">
        <v>0</v>
      </c>
      <c r="AH589">
        <v>3</v>
      </c>
      <c r="AI589">
        <v>1</v>
      </c>
      <c r="AJ589">
        <v>0</v>
      </c>
      <c r="AK589" t="s">
        <v>303</v>
      </c>
      <c r="AL589">
        <v>38.960459</v>
      </c>
      <c r="AM589" t="s">
        <v>301</v>
      </c>
      <c r="AN589">
        <v>-121.04965900000001</v>
      </c>
      <c r="AO589">
        <v>25</v>
      </c>
      <c r="AP589">
        <v>2500</v>
      </c>
      <c r="AQ589" t="s">
        <v>131</v>
      </c>
      <c r="AR589">
        <v>0</v>
      </c>
      <c r="AS589">
        <v>68</v>
      </c>
      <c r="AT589">
        <v>704</v>
      </c>
      <c r="BB589" t="str">
        <f t="shared" si="231"/>
        <v>1200</v>
      </c>
      <c r="BC589">
        <v>1</v>
      </c>
      <c r="BD589" t="str">
        <f t="shared" si="232"/>
        <v xml:space="preserve">N52156  </v>
      </c>
      <c r="BE589">
        <v>1</v>
      </c>
      <c r="BG589">
        <v>0</v>
      </c>
      <c r="BH589">
        <v>0</v>
      </c>
      <c r="BI589">
        <v>0</v>
      </c>
      <c r="BJ589">
        <v>2450</v>
      </c>
      <c r="BK589">
        <v>-50</v>
      </c>
      <c r="BL589" t="s">
        <v>188</v>
      </c>
      <c r="BM589">
        <v>1</v>
      </c>
      <c r="BN589">
        <v>1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 t="shared" si="235"/>
        <v>15:06:09.915</v>
      </c>
      <c r="CF589">
        <v>914699884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133</v>
      </c>
      <c r="DA589">
        <v>275</v>
      </c>
      <c r="DB589">
        <v>0</v>
      </c>
      <c r="DC589" t="s">
        <v>134</v>
      </c>
      <c r="DD589" t="s">
        <v>135</v>
      </c>
      <c r="DG589">
        <v>3318764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"05/01/2025 15:06:11.025"</f>
        <v>05/01/2025 15:06:11.025</v>
      </c>
      <c r="C590" t="str">
        <f t="shared" si="228"/>
        <v>FFDFD3C0</v>
      </c>
      <c r="D590" t="s">
        <v>140</v>
      </c>
      <c r="E590" t="str">
        <f>"13"</f>
        <v>13</v>
      </c>
      <c r="F590">
        <v>1019</v>
      </c>
      <c r="G590" t="s">
        <v>141</v>
      </c>
      <c r="J590" t="s">
        <v>142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R590" t="s">
        <v>127</v>
      </c>
      <c r="S590" t="str">
        <f t="shared" ref="S590:T595" si="236">"15:06:10.000"</f>
        <v>15:06:10.000</v>
      </c>
      <c r="T590" t="str">
        <f t="shared" si="236"/>
        <v>15:06:10.000</v>
      </c>
      <c r="U590" t="str">
        <f t="shared" si="230"/>
        <v>A68FCB</v>
      </c>
      <c r="V590">
        <v>0</v>
      </c>
      <c r="W590">
        <v>0</v>
      </c>
      <c r="X590">
        <v>2</v>
      </c>
      <c r="Y590">
        <v>0</v>
      </c>
      <c r="AA590">
        <v>1</v>
      </c>
      <c r="AB590">
        <v>8</v>
      </c>
      <c r="AC590">
        <v>3</v>
      </c>
      <c r="AD590">
        <v>0</v>
      </c>
      <c r="AE590">
        <v>9</v>
      </c>
      <c r="AF590" t="s">
        <v>138</v>
      </c>
      <c r="AG590">
        <v>0</v>
      </c>
      <c r="AH590">
        <v>3</v>
      </c>
      <c r="AI590">
        <v>1</v>
      </c>
      <c r="AJ590">
        <v>0</v>
      </c>
      <c r="AK590" t="s">
        <v>304</v>
      </c>
      <c r="AL590">
        <v>38.960760000000001</v>
      </c>
      <c r="AM590" t="s">
        <v>301</v>
      </c>
      <c r="AN590">
        <v>-121.04965900000001</v>
      </c>
      <c r="AO590">
        <v>25</v>
      </c>
      <c r="AP590">
        <v>2500</v>
      </c>
      <c r="AQ590" t="s">
        <v>131</v>
      </c>
      <c r="AR590">
        <v>0</v>
      </c>
      <c r="AS590">
        <v>68</v>
      </c>
      <c r="AT590">
        <v>640</v>
      </c>
      <c r="BB590" t="str">
        <f t="shared" si="231"/>
        <v>1200</v>
      </c>
      <c r="BC590">
        <v>1</v>
      </c>
      <c r="BD590" t="str">
        <f t="shared" si="232"/>
        <v xml:space="preserve">N52156  </v>
      </c>
      <c r="BE590">
        <v>1</v>
      </c>
      <c r="BG590">
        <v>0</v>
      </c>
      <c r="BH590">
        <v>0</v>
      </c>
      <c r="BI590">
        <v>0</v>
      </c>
      <c r="BJ590">
        <v>2475</v>
      </c>
      <c r="BK590">
        <v>-25</v>
      </c>
      <c r="BL590" t="s">
        <v>188</v>
      </c>
      <c r="BM590">
        <v>1</v>
      </c>
      <c r="BN590">
        <v>1</v>
      </c>
      <c r="BO590">
        <v>0</v>
      </c>
      <c r="BP590">
        <v>0</v>
      </c>
      <c r="BS590">
        <v>0</v>
      </c>
      <c r="BT590">
        <v>0</v>
      </c>
      <c r="BU590">
        <v>0</v>
      </c>
      <c r="CE590" t="str">
        <f t="shared" ref="CE590:CE595" si="237">"15:06:10.808"</f>
        <v>15:06:10.808</v>
      </c>
      <c r="CF590">
        <v>808449644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133</v>
      </c>
      <c r="DA590">
        <v>275</v>
      </c>
      <c r="DB590">
        <v>0</v>
      </c>
      <c r="DC590" t="s">
        <v>134</v>
      </c>
      <c r="DD590" t="s">
        <v>135</v>
      </c>
      <c r="DG590">
        <v>3318779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"05/01/2025 15:06:11.037"</f>
        <v>05/01/2025 15:06:11.037</v>
      </c>
      <c r="C591" t="str">
        <f t="shared" si="228"/>
        <v>FFDFD3C0</v>
      </c>
      <c r="D591" t="s">
        <v>143</v>
      </c>
      <c r="E591" t="str">
        <f>"05"</f>
        <v>05</v>
      </c>
      <c r="H591">
        <v>172</v>
      </c>
      <c r="I591" t="s">
        <v>141</v>
      </c>
      <c r="J591" t="s">
        <v>144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R591" t="s">
        <v>127</v>
      </c>
      <c r="S591" t="str">
        <f t="shared" si="236"/>
        <v>15:06:10.000</v>
      </c>
      <c r="T591" t="str">
        <f t="shared" si="236"/>
        <v>15:06:10.000</v>
      </c>
      <c r="U591" t="str">
        <f t="shared" si="230"/>
        <v>A68FCB</v>
      </c>
      <c r="V591">
        <v>0</v>
      </c>
      <c r="W591">
        <v>0</v>
      </c>
      <c r="X591">
        <v>2</v>
      </c>
      <c r="Y591">
        <v>0</v>
      </c>
      <c r="AA591">
        <v>1</v>
      </c>
      <c r="AB591">
        <v>8</v>
      </c>
      <c r="AC591">
        <v>3</v>
      </c>
      <c r="AD591">
        <v>0</v>
      </c>
      <c r="AE591">
        <v>9</v>
      </c>
      <c r="AF591" t="s">
        <v>138</v>
      </c>
      <c r="AG591">
        <v>0</v>
      </c>
      <c r="AH591">
        <v>3</v>
      </c>
      <c r="AI591">
        <v>1</v>
      </c>
      <c r="AJ591">
        <v>0</v>
      </c>
      <c r="AK591" t="s">
        <v>304</v>
      </c>
      <c r="AL591">
        <v>38.960760000000001</v>
      </c>
      <c r="AM591" t="s">
        <v>301</v>
      </c>
      <c r="AN591">
        <v>-121.04965900000001</v>
      </c>
      <c r="AO591">
        <v>25</v>
      </c>
      <c r="AP591">
        <v>2500</v>
      </c>
      <c r="AQ591" t="s">
        <v>131</v>
      </c>
      <c r="AR591">
        <v>0</v>
      </c>
      <c r="AS591">
        <v>68</v>
      </c>
      <c r="AT591">
        <v>640</v>
      </c>
      <c r="BB591" t="str">
        <f t="shared" si="231"/>
        <v>1200</v>
      </c>
      <c r="BC591">
        <v>1</v>
      </c>
      <c r="BD591" t="str">
        <f t="shared" si="232"/>
        <v xml:space="preserve">N52156  </v>
      </c>
      <c r="BE591">
        <v>1</v>
      </c>
      <c r="BG591">
        <v>0</v>
      </c>
      <c r="BH591">
        <v>0</v>
      </c>
      <c r="BI591">
        <v>0</v>
      </c>
      <c r="BJ591">
        <v>2475</v>
      </c>
      <c r="BK591">
        <v>-25</v>
      </c>
      <c r="BL591" t="s">
        <v>188</v>
      </c>
      <c r="BM591">
        <v>1</v>
      </c>
      <c r="BN591">
        <v>1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 t="shared" si="237"/>
        <v>15:06:10.808</v>
      </c>
      <c r="CF591">
        <v>808449644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133</v>
      </c>
      <c r="DA591">
        <v>275</v>
      </c>
      <c r="DB591">
        <v>0</v>
      </c>
      <c r="DC591" t="s">
        <v>134</v>
      </c>
      <c r="DD591" t="s">
        <v>135</v>
      </c>
      <c r="DG591">
        <v>3318779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"05/01/2025 15:06:11.037"</f>
        <v>05/01/2025 15:06:11.037</v>
      </c>
      <c r="C592" t="str">
        <f t="shared" si="228"/>
        <v>FFDFD3C0</v>
      </c>
      <c r="D592" t="s">
        <v>124</v>
      </c>
      <c r="E592" t="str">
        <f>"06"</f>
        <v>06</v>
      </c>
      <c r="F592">
        <v>2006</v>
      </c>
      <c r="G592" t="s">
        <v>125</v>
      </c>
      <c r="J592" t="s">
        <v>126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R592" t="s">
        <v>127</v>
      </c>
      <c r="S592" t="str">
        <f t="shared" si="236"/>
        <v>15:06:10.000</v>
      </c>
      <c r="T592" t="str">
        <f t="shared" si="236"/>
        <v>15:06:10.000</v>
      </c>
      <c r="U592" t="str">
        <f t="shared" si="230"/>
        <v>A68FCB</v>
      </c>
      <c r="V592">
        <v>0</v>
      </c>
      <c r="W592">
        <v>0</v>
      </c>
      <c r="X592">
        <v>2</v>
      </c>
      <c r="Y592">
        <v>0</v>
      </c>
      <c r="AA592">
        <v>1</v>
      </c>
      <c r="AB592">
        <v>8</v>
      </c>
      <c r="AC592">
        <v>3</v>
      </c>
      <c r="AD592">
        <v>0</v>
      </c>
      <c r="AE592">
        <v>9</v>
      </c>
      <c r="AF592" t="s">
        <v>138</v>
      </c>
      <c r="AG592">
        <v>0</v>
      </c>
      <c r="AH592">
        <v>3</v>
      </c>
      <c r="AI592">
        <v>1</v>
      </c>
      <c r="AJ592">
        <v>0</v>
      </c>
      <c r="AK592" t="s">
        <v>304</v>
      </c>
      <c r="AL592">
        <v>38.960760000000001</v>
      </c>
      <c r="AM592" t="s">
        <v>301</v>
      </c>
      <c r="AN592">
        <v>-121.04965900000001</v>
      </c>
      <c r="AO592">
        <v>25</v>
      </c>
      <c r="AP592">
        <v>2500</v>
      </c>
      <c r="AQ592" t="s">
        <v>131</v>
      </c>
      <c r="AR592">
        <v>0</v>
      </c>
      <c r="AS592">
        <v>68</v>
      </c>
      <c r="AT592">
        <v>640</v>
      </c>
      <c r="BB592" t="str">
        <f t="shared" si="231"/>
        <v>1200</v>
      </c>
      <c r="BC592">
        <v>1</v>
      </c>
      <c r="BD592" t="str">
        <f t="shared" si="232"/>
        <v xml:space="preserve">N52156  </v>
      </c>
      <c r="BE592">
        <v>1</v>
      </c>
      <c r="BG592">
        <v>0</v>
      </c>
      <c r="BH592">
        <v>0</v>
      </c>
      <c r="BI592">
        <v>0</v>
      </c>
      <c r="BJ592">
        <v>2475</v>
      </c>
      <c r="BK592">
        <v>-25</v>
      </c>
      <c r="BL592" t="s">
        <v>188</v>
      </c>
      <c r="BM592">
        <v>1</v>
      </c>
      <c r="BN592">
        <v>1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 t="shared" si="237"/>
        <v>15:06:10.808</v>
      </c>
      <c r="CF592">
        <v>808449644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133</v>
      </c>
      <c r="DA592">
        <v>275</v>
      </c>
      <c r="DB592">
        <v>0</v>
      </c>
      <c r="DC592" t="s">
        <v>134</v>
      </c>
      <c r="DD592" t="s">
        <v>135</v>
      </c>
      <c r="DG592">
        <v>3318779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"05/01/2025 15:06:11.037"</f>
        <v>05/01/2025 15:06:11.037</v>
      </c>
      <c r="C593" t="str">
        <f t="shared" si="228"/>
        <v>FFDFD3C0</v>
      </c>
      <c r="D593" t="s">
        <v>145</v>
      </c>
      <c r="E593" t="str">
        <f>"05"</f>
        <v>05</v>
      </c>
      <c r="H593">
        <v>47</v>
      </c>
      <c r="I593" t="s">
        <v>146</v>
      </c>
      <c r="J593" t="s">
        <v>138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R593" t="s">
        <v>127</v>
      </c>
      <c r="S593" t="str">
        <f t="shared" si="236"/>
        <v>15:06:10.000</v>
      </c>
      <c r="T593" t="str">
        <f t="shared" si="236"/>
        <v>15:06:10.000</v>
      </c>
      <c r="U593" t="str">
        <f t="shared" si="230"/>
        <v>A68FCB</v>
      </c>
      <c r="V593">
        <v>0</v>
      </c>
      <c r="W593">
        <v>0</v>
      </c>
      <c r="X593">
        <v>2</v>
      </c>
      <c r="Y593">
        <v>0</v>
      </c>
      <c r="AA593">
        <v>1</v>
      </c>
      <c r="AB593">
        <v>8</v>
      </c>
      <c r="AC593">
        <v>3</v>
      </c>
      <c r="AD593">
        <v>0</v>
      </c>
      <c r="AE593">
        <v>9</v>
      </c>
      <c r="AF593" t="s">
        <v>138</v>
      </c>
      <c r="AG593">
        <v>0</v>
      </c>
      <c r="AH593">
        <v>3</v>
      </c>
      <c r="AI593">
        <v>1</v>
      </c>
      <c r="AJ593">
        <v>0</v>
      </c>
      <c r="AK593" t="s">
        <v>304</v>
      </c>
      <c r="AL593">
        <v>38.960760000000001</v>
      </c>
      <c r="AM593" t="s">
        <v>301</v>
      </c>
      <c r="AN593">
        <v>-121.04965900000001</v>
      </c>
      <c r="AO593">
        <v>25</v>
      </c>
      <c r="AP593">
        <v>2500</v>
      </c>
      <c r="AQ593" t="s">
        <v>131</v>
      </c>
      <c r="AR593">
        <v>0</v>
      </c>
      <c r="AS593">
        <v>68</v>
      </c>
      <c r="AT593">
        <v>640</v>
      </c>
      <c r="BB593" t="str">
        <f t="shared" si="231"/>
        <v>1200</v>
      </c>
      <c r="BC593">
        <v>1</v>
      </c>
      <c r="BD593" t="str">
        <f t="shared" si="232"/>
        <v xml:space="preserve">N52156  </v>
      </c>
      <c r="BE593">
        <v>1</v>
      </c>
      <c r="BG593">
        <v>0</v>
      </c>
      <c r="BH593">
        <v>0</v>
      </c>
      <c r="BI593">
        <v>0</v>
      </c>
      <c r="BJ593">
        <v>2475</v>
      </c>
      <c r="BK593">
        <v>-25</v>
      </c>
      <c r="BL593" t="s">
        <v>188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 t="shared" si="237"/>
        <v>15:06:10.808</v>
      </c>
      <c r="CF593">
        <v>808449644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133</v>
      </c>
      <c r="DA593">
        <v>275</v>
      </c>
      <c r="DB593">
        <v>0</v>
      </c>
      <c r="DC593" t="s">
        <v>134</v>
      </c>
      <c r="DD593" t="s">
        <v>135</v>
      </c>
      <c r="DG593">
        <v>3318779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"05/01/2025 15:06:11.037"</f>
        <v>05/01/2025 15:06:11.037</v>
      </c>
      <c r="C594" t="str">
        <f t="shared" si="228"/>
        <v>FFDFD3C0</v>
      </c>
      <c r="D594" t="s">
        <v>145</v>
      </c>
      <c r="E594" t="str">
        <f>"09"</f>
        <v>09</v>
      </c>
      <c r="H594">
        <v>51</v>
      </c>
      <c r="I594" t="s">
        <v>147</v>
      </c>
      <c r="J594" t="s">
        <v>138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R594" t="s">
        <v>127</v>
      </c>
      <c r="S594" t="str">
        <f t="shared" si="236"/>
        <v>15:06:10.000</v>
      </c>
      <c r="T594" t="str">
        <f t="shared" si="236"/>
        <v>15:06:10.000</v>
      </c>
      <c r="U594" t="str">
        <f t="shared" si="230"/>
        <v>A68FCB</v>
      </c>
      <c r="V594">
        <v>0</v>
      </c>
      <c r="W594">
        <v>0</v>
      </c>
      <c r="X594">
        <v>2</v>
      </c>
      <c r="Y594">
        <v>0</v>
      </c>
      <c r="AA594">
        <v>1</v>
      </c>
      <c r="AB594">
        <v>8</v>
      </c>
      <c r="AC594">
        <v>3</v>
      </c>
      <c r="AD594">
        <v>0</v>
      </c>
      <c r="AE594">
        <v>9</v>
      </c>
      <c r="AF594" t="s">
        <v>138</v>
      </c>
      <c r="AG594">
        <v>0</v>
      </c>
      <c r="AH594">
        <v>3</v>
      </c>
      <c r="AI594">
        <v>1</v>
      </c>
      <c r="AJ594">
        <v>0</v>
      </c>
      <c r="AK594" t="s">
        <v>304</v>
      </c>
      <c r="AL594">
        <v>38.960760000000001</v>
      </c>
      <c r="AM594" t="s">
        <v>301</v>
      </c>
      <c r="AN594">
        <v>-121.04965900000001</v>
      </c>
      <c r="AO594">
        <v>25</v>
      </c>
      <c r="AP594">
        <v>2500</v>
      </c>
      <c r="AQ594" t="s">
        <v>131</v>
      </c>
      <c r="AR594">
        <v>0</v>
      </c>
      <c r="AS594">
        <v>68</v>
      </c>
      <c r="AT594">
        <v>640</v>
      </c>
      <c r="BB594" t="str">
        <f t="shared" si="231"/>
        <v>1200</v>
      </c>
      <c r="BC594">
        <v>1</v>
      </c>
      <c r="BD594" t="str">
        <f t="shared" si="232"/>
        <v xml:space="preserve">N52156  </v>
      </c>
      <c r="BE594">
        <v>1</v>
      </c>
      <c r="BG594">
        <v>0</v>
      </c>
      <c r="BH594">
        <v>0</v>
      </c>
      <c r="BI594">
        <v>0</v>
      </c>
      <c r="BJ594">
        <v>2475</v>
      </c>
      <c r="BK594">
        <v>-25</v>
      </c>
      <c r="BL594" t="s">
        <v>188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 t="shared" si="237"/>
        <v>15:06:10.808</v>
      </c>
      <c r="CF594">
        <v>808449644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5</v>
      </c>
      <c r="CY594">
        <v>7</v>
      </c>
      <c r="CZ594" t="s">
        <v>133</v>
      </c>
      <c r="DA594">
        <v>275</v>
      </c>
      <c r="DB594">
        <v>0</v>
      </c>
      <c r="DC594" t="s">
        <v>134</v>
      </c>
      <c r="DD594" t="s">
        <v>135</v>
      </c>
      <c r="DG594">
        <v>3318779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"05/01/2025 15:06:11.047"</f>
        <v>05/01/2025 15:06:11.047</v>
      </c>
      <c r="C595" t="str">
        <f t="shared" si="228"/>
        <v>FFDFD3C0</v>
      </c>
      <c r="D595" t="s">
        <v>136</v>
      </c>
      <c r="E595" t="str">
        <f>"20"</f>
        <v>20</v>
      </c>
      <c r="H595">
        <v>400</v>
      </c>
      <c r="I595" t="s">
        <v>137</v>
      </c>
      <c r="J595" t="s">
        <v>138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R595" t="s">
        <v>127</v>
      </c>
      <c r="S595" t="str">
        <f t="shared" si="236"/>
        <v>15:06:10.000</v>
      </c>
      <c r="T595" t="str">
        <f t="shared" si="236"/>
        <v>15:06:10.000</v>
      </c>
      <c r="U595" t="str">
        <f t="shared" si="230"/>
        <v>A68FCB</v>
      </c>
      <c r="V595">
        <v>0</v>
      </c>
      <c r="W595">
        <v>0</v>
      </c>
      <c r="X595">
        <v>2</v>
      </c>
      <c r="Y595">
        <v>0</v>
      </c>
      <c r="AA595">
        <v>1</v>
      </c>
      <c r="AB595">
        <v>8</v>
      </c>
      <c r="AC595">
        <v>3</v>
      </c>
      <c r="AD595">
        <v>0</v>
      </c>
      <c r="AE595">
        <v>9</v>
      </c>
      <c r="AF595" t="s">
        <v>138</v>
      </c>
      <c r="AG595">
        <v>0</v>
      </c>
      <c r="AH595">
        <v>3</v>
      </c>
      <c r="AI595">
        <v>1</v>
      </c>
      <c r="AJ595">
        <v>0</v>
      </c>
      <c r="AK595" t="s">
        <v>304</v>
      </c>
      <c r="AL595">
        <v>38.960760000000001</v>
      </c>
      <c r="AM595" t="s">
        <v>301</v>
      </c>
      <c r="AN595">
        <v>-121.04965900000001</v>
      </c>
      <c r="AO595">
        <v>25</v>
      </c>
      <c r="AP595">
        <v>2500</v>
      </c>
      <c r="AQ595" t="s">
        <v>131</v>
      </c>
      <c r="AR595">
        <v>0</v>
      </c>
      <c r="AS595">
        <v>68</v>
      </c>
      <c r="AT595">
        <v>640</v>
      </c>
      <c r="BB595" t="str">
        <f t="shared" si="231"/>
        <v>1200</v>
      </c>
      <c r="BC595">
        <v>1</v>
      </c>
      <c r="BD595" t="str">
        <f t="shared" si="232"/>
        <v xml:space="preserve">N52156  </v>
      </c>
      <c r="BE595">
        <v>1</v>
      </c>
      <c r="BG595">
        <v>0</v>
      </c>
      <c r="BH595">
        <v>0</v>
      </c>
      <c r="BI595">
        <v>0</v>
      </c>
      <c r="BJ595">
        <v>2475</v>
      </c>
      <c r="BK595">
        <v>-25</v>
      </c>
      <c r="BL595" t="s">
        <v>188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 t="shared" si="237"/>
        <v>15:06:10.808</v>
      </c>
      <c r="CF595">
        <v>808449644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133</v>
      </c>
      <c r="DA595">
        <v>275</v>
      </c>
      <c r="DB595">
        <v>0</v>
      </c>
      <c r="DC595" t="s">
        <v>134</v>
      </c>
      <c r="DD595" t="s">
        <v>135</v>
      </c>
      <c r="DG595">
        <v>3318779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"05/01/2025 15:06:12.178"</f>
        <v>05/01/2025 15:06:12.178</v>
      </c>
      <c r="C596" t="str">
        <f t="shared" si="228"/>
        <v>FFDFD3C0</v>
      </c>
      <c r="D596" t="s">
        <v>140</v>
      </c>
      <c r="E596" t="str">
        <f>"13"</f>
        <v>13</v>
      </c>
      <c r="F596">
        <v>1019</v>
      </c>
      <c r="G596" t="s">
        <v>141</v>
      </c>
      <c r="J596" t="s">
        <v>142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R596" t="s">
        <v>127</v>
      </c>
      <c r="S596" t="str">
        <f t="shared" ref="S596:T601" si="238">"15:06:11.000"</f>
        <v>15:06:11.000</v>
      </c>
      <c r="T596" t="str">
        <f t="shared" si="238"/>
        <v>15:06:11.000</v>
      </c>
      <c r="U596" t="str">
        <f t="shared" si="230"/>
        <v>A68FCB</v>
      </c>
      <c r="V596">
        <v>0</v>
      </c>
      <c r="W596">
        <v>0</v>
      </c>
      <c r="X596">
        <v>2</v>
      </c>
      <c r="Y596">
        <v>0</v>
      </c>
      <c r="AA596">
        <v>1</v>
      </c>
      <c r="AB596">
        <v>8</v>
      </c>
      <c r="AC596">
        <v>3</v>
      </c>
      <c r="AD596">
        <v>0</v>
      </c>
      <c r="AE596">
        <v>9</v>
      </c>
      <c r="AF596" t="s">
        <v>138</v>
      </c>
      <c r="AG596">
        <v>0</v>
      </c>
      <c r="AH596">
        <v>3</v>
      </c>
      <c r="AI596">
        <v>1</v>
      </c>
      <c r="AJ596">
        <v>0</v>
      </c>
      <c r="AK596" t="s">
        <v>305</v>
      </c>
      <c r="AL596">
        <v>38.961103000000001</v>
      </c>
      <c r="AM596" t="s">
        <v>301</v>
      </c>
      <c r="AN596">
        <v>-121.04965900000001</v>
      </c>
      <c r="AO596">
        <v>25</v>
      </c>
      <c r="AP596">
        <v>2500</v>
      </c>
      <c r="AQ596" t="s">
        <v>131</v>
      </c>
      <c r="AR596">
        <v>-1</v>
      </c>
      <c r="AS596">
        <v>69</v>
      </c>
      <c r="AT596">
        <v>448</v>
      </c>
      <c r="BB596" t="str">
        <f t="shared" si="231"/>
        <v>1200</v>
      </c>
      <c r="BC596">
        <v>1</v>
      </c>
      <c r="BD596" t="str">
        <f t="shared" si="232"/>
        <v xml:space="preserve">N52156  </v>
      </c>
      <c r="BE596">
        <v>1</v>
      </c>
      <c r="BG596">
        <v>0</v>
      </c>
      <c r="BH596">
        <v>0</v>
      </c>
      <c r="BI596">
        <v>0</v>
      </c>
      <c r="BJ596">
        <v>2475</v>
      </c>
      <c r="BK596">
        <v>-25</v>
      </c>
      <c r="BL596" t="s">
        <v>188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 t="shared" ref="CE596:CE601" si="239">"15:06:11.950"</f>
        <v>15:06:11.950</v>
      </c>
      <c r="CF596">
        <v>949700283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5</v>
      </c>
      <c r="CY596">
        <v>7</v>
      </c>
      <c r="CZ596" t="s">
        <v>133</v>
      </c>
      <c r="DA596">
        <v>275</v>
      </c>
      <c r="DB596">
        <v>0</v>
      </c>
      <c r="DC596" t="s">
        <v>134</v>
      </c>
      <c r="DD596" t="s">
        <v>135</v>
      </c>
      <c r="DG596">
        <v>3318794</v>
      </c>
      <c r="DI596">
        <v>1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"05/01/2025 15:06:12.188"</f>
        <v>05/01/2025 15:06:12.188</v>
      </c>
      <c r="C597" t="str">
        <f t="shared" si="228"/>
        <v>FFDFD3C0</v>
      </c>
      <c r="D597" t="s">
        <v>124</v>
      </c>
      <c r="E597" t="str">
        <f>"06"</f>
        <v>06</v>
      </c>
      <c r="F597">
        <v>2006</v>
      </c>
      <c r="G597" t="s">
        <v>125</v>
      </c>
      <c r="J597" t="s">
        <v>126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R597" t="s">
        <v>127</v>
      </c>
      <c r="S597" t="str">
        <f t="shared" si="238"/>
        <v>15:06:11.000</v>
      </c>
      <c r="T597" t="str">
        <f t="shared" si="238"/>
        <v>15:06:11.000</v>
      </c>
      <c r="U597" t="str">
        <f t="shared" si="230"/>
        <v>A68FCB</v>
      </c>
      <c r="V597">
        <v>0</v>
      </c>
      <c r="W597">
        <v>0</v>
      </c>
      <c r="X597">
        <v>2</v>
      </c>
      <c r="Y597">
        <v>0</v>
      </c>
      <c r="AA597">
        <v>1</v>
      </c>
      <c r="AB597">
        <v>8</v>
      </c>
      <c r="AC597">
        <v>3</v>
      </c>
      <c r="AD597">
        <v>0</v>
      </c>
      <c r="AE597">
        <v>9</v>
      </c>
      <c r="AF597" t="s">
        <v>138</v>
      </c>
      <c r="AG597">
        <v>0</v>
      </c>
      <c r="AH597">
        <v>3</v>
      </c>
      <c r="AI597">
        <v>1</v>
      </c>
      <c r="AJ597">
        <v>0</v>
      </c>
      <c r="AK597" t="s">
        <v>305</v>
      </c>
      <c r="AL597">
        <v>38.961103000000001</v>
      </c>
      <c r="AM597" t="s">
        <v>301</v>
      </c>
      <c r="AN597">
        <v>-121.04965900000001</v>
      </c>
      <c r="AO597">
        <v>25</v>
      </c>
      <c r="AP597">
        <v>2500</v>
      </c>
      <c r="AQ597" t="s">
        <v>131</v>
      </c>
      <c r="AR597">
        <v>-1</v>
      </c>
      <c r="AS597">
        <v>69</v>
      </c>
      <c r="AT597">
        <v>448</v>
      </c>
      <c r="BB597" t="str">
        <f t="shared" si="231"/>
        <v>1200</v>
      </c>
      <c r="BC597">
        <v>1</v>
      </c>
      <c r="BD597" t="str">
        <f t="shared" si="232"/>
        <v xml:space="preserve">N52156  </v>
      </c>
      <c r="BE597">
        <v>1</v>
      </c>
      <c r="BG597">
        <v>0</v>
      </c>
      <c r="BH597">
        <v>0</v>
      </c>
      <c r="BI597">
        <v>0</v>
      </c>
      <c r="BJ597">
        <v>2475</v>
      </c>
      <c r="BK597">
        <v>-25</v>
      </c>
      <c r="BL597" t="s">
        <v>188</v>
      </c>
      <c r="BM597">
        <v>1</v>
      </c>
      <c r="BN597">
        <v>1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 t="shared" si="239"/>
        <v>15:06:11.950</v>
      </c>
      <c r="CF597">
        <v>949700283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5</v>
      </c>
      <c r="CY597">
        <v>7</v>
      </c>
      <c r="CZ597" t="s">
        <v>133</v>
      </c>
      <c r="DA597">
        <v>275</v>
      </c>
      <c r="DB597">
        <v>0</v>
      </c>
      <c r="DC597" t="s">
        <v>134</v>
      </c>
      <c r="DD597" t="s">
        <v>135</v>
      </c>
      <c r="DG597">
        <v>3318794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"05/01/2025 15:06:12.188"</f>
        <v>05/01/2025 15:06:12.188</v>
      </c>
      <c r="C598" t="str">
        <f t="shared" si="228"/>
        <v>FFDFD3C0</v>
      </c>
      <c r="D598" t="s">
        <v>143</v>
      </c>
      <c r="E598" t="str">
        <f>"05"</f>
        <v>05</v>
      </c>
      <c r="H598">
        <v>172</v>
      </c>
      <c r="I598" t="s">
        <v>141</v>
      </c>
      <c r="J598" t="s">
        <v>144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R598" t="s">
        <v>127</v>
      </c>
      <c r="S598" t="str">
        <f t="shared" si="238"/>
        <v>15:06:11.000</v>
      </c>
      <c r="T598" t="str">
        <f t="shared" si="238"/>
        <v>15:06:11.000</v>
      </c>
      <c r="U598" t="str">
        <f t="shared" si="230"/>
        <v>A68FCB</v>
      </c>
      <c r="V598">
        <v>0</v>
      </c>
      <c r="W598">
        <v>0</v>
      </c>
      <c r="X598">
        <v>2</v>
      </c>
      <c r="Y598">
        <v>0</v>
      </c>
      <c r="AA598">
        <v>1</v>
      </c>
      <c r="AB598">
        <v>8</v>
      </c>
      <c r="AC598">
        <v>3</v>
      </c>
      <c r="AD598">
        <v>0</v>
      </c>
      <c r="AE598">
        <v>9</v>
      </c>
      <c r="AF598" t="s">
        <v>138</v>
      </c>
      <c r="AG598">
        <v>0</v>
      </c>
      <c r="AH598">
        <v>3</v>
      </c>
      <c r="AI598">
        <v>1</v>
      </c>
      <c r="AJ598">
        <v>0</v>
      </c>
      <c r="AK598" t="s">
        <v>305</v>
      </c>
      <c r="AL598">
        <v>38.961103000000001</v>
      </c>
      <c r="AM598" t="s">
        <v>301</v>
      </c>
      <c r="AN598">
        <v>-121.04965900000001</v>
      </c>
      <c r="AO598">
        <v>25</v>
      </c>
      <c r="AP598">
        <v>2500</v>
      </c>
      <c r="AQ598" t="s">
        <v>131</v>
      </c>
      <c r="AR598">
        <v>-1</v>
      </c>
      <c r="AS598">
        <v>69</v>
      </c>
      <c r="AT598">
        <v>448</v>
      </c>
      <c r="BB598" t="str">
        <f t="shared" si="231"/>
        <v>1200</v>
      </c>
      <c r="BC598">
        <v>1</v>
      </c>
      <c r="BD598" t="str">
        <f t="shared" si="232"/>
        <v xml:space="preserve">N52156  </v>
      </c>
      <c r="BE598">
        <v>1</v>
      </c>
      <c r="BG598">
        <v>0</v>
      </c>
      <c r="BH598">
        <v>0</v>
      </c>
      <c r="BI598">
        <v>0</v>
      </c>
      <c r="BJ598">
        <v>2475</v>
      </c>
      <c r="BK598">
        <v>-25</v>
      </c>
      <c r="BL598" t="s">
        <v>188</v>
      </c>
      <c r="BM598">
        <v>1</v>
      </c>
      <c r="BN598">
        <v>1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 t="shared" si="239"/>
        <v>15:06:11.950</v>
      </c>
      <c r="CF598">
        <v>949700283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133</v>
      </c>
      <c r="DA598">
        <v>275</v>
      </c>
      <c r="DB598">
        <v>0</v>
      </c>
      <c r="DC598" t="s">
        <v>134</v>
      </c>
      <c r="DD598" t="s">
        <v>135</v>
      </c>
      <c r="DG598">
        <v>3318794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"05/01/2025 15:06:12.189"</f>
        <v>05/01/2025 15:06:12.189</v>
      </c>
      <c r="C599" t="str">
        <f t="shared" si="228"/>
        <v>FFDFD3C0</v>
      </c>
      <c r="D599" t="s">
        <v>145</v>
      </c>
      <c r="E599" t="str">
        <f>"09"</f>
        <v>09</v>
      </c>
      <c r="H599">
        <v>51</v>
      </c>
      <c r="I599" t="s">
        <v>147</v>
      </c>
      <c r="J599" t="s">
        <v>138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R599" t="s">
        <v>127</v>
      </c>
      <c r="S599" t="str">
        <f t="shared" si="238"/>
        <v>15:06:11.000</v>
      </c>
      <c r="T599" t="str">
        <f t="shared" si="238"/>
        <v>15:06:11.000</v>
      </c>
      <c r="U599" t="str">
        <f t="shared" si="230"/>
        <v>A68FCB</v>
      </c>
      <c r="V599">
        <v>0</v>
      </c>
      <c r="W599">
        <v>0</v>
      </c>
      <c r="X599">
        <v>2</v>
      </c>
      <c r="Y599">
        <v>0</v>
      </c>
      <c r="AA599">
        <v>1</v>
      </c>
      <c r="AB599">
        <v>8</v>
      </c>
      <c r="AC599">
        <v>3</v>
      </c>
      <c r="AD599">
        <v>0</v>
      </c>
      <c r="AE599">
        <v>9</v>
      </c>
      <c r="AF599" t="s">
        <v>138</v>
      </c>
      <c r="AG599">
        <v>0</v>
      </c>
      <c r="AH599">
        <v>3</v>
      </c>
      <c r="AI599">
        <v>1</v>
      </c>
      <c r="AJ599">
        <v>0</v>
      </c>
      <c r="AK599" t="s">
        <v>305</v>
      </c>
      <c r="AL599">
        <v>38.961103000000001</v>
      </c>
      <c r="AM599" t="s">
        <v>301</v>
      </c>
      <c r="AN599">
        <v>-121.04965900000001</v>
      </c>
      <c r="AO599">
        <v>25</v>
      </c>
      <c r="AP599">
        <v>2500</v>
      </c>
      <c r="AQ599" t="s">
        <v>131</v>
      </c>
      <c r="AR599">
        <v>-1</v>
      </c>
      <c r="AS599">
        <v>69</v>
      </c>
      <c r="AT599">
        <v>448</v>
      </c>
      <c r="BB599" t="str">
        <f t="shared" si="231"/>
        <v>1200</v>
      </c>
      <c r="BC599">
        <v>1</v>
      </c>
      <c r="BD599" t="str">
        <f t="shared" si="232"/>
        <v xml:space="preserve">N52156  </v>
      </c>
      <c r="BE599">
        <v>1</v>
      </c>
      <c r="BG599">
        <v>0</v>
      </c>
      <c r="BH599">
        <v>0</v>
      </c>
      <c r="BI599">
        <v>0</v>
      </c>
      <c r="BJ599">
        <v>2475</v>
      </c>
      <c r="BK599">
        <v>-25</v>
      </c>
      <c r="BL599" t="s">
        <v>188</v>
      </c>
      <c r="BM599">
        <v>1</v>
      </c>
      <c r="BN599">
        <v>1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 t="shared" si="239"/>
        <v>15:06:11.950</v>
      </c>
      <c r="CF599">
        <v>949700283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5</v>
      </c>
      <c r="CY599">
        <v>7</v>
      </c>
      <c r="CZ599" t="s">
        <v>133</v>
      </c>
      <c r="DA599">
        <v>275</v>
      </c>
      <c r="DB599">
        <v>0</v>
      </c>
      <c r="DC599" t="s">
        <v>134</v>
      </c>
      <c r="DD599" t="s">
        <v>135</v>
      </c>
      <c r="DG599">
        <v>3318794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"05/01/2025 15:06:12.189"</f>
        <v>05/01/2025 15:06:12.189</v>
      </c>
      <c r="C600" t="str">
        <f t="shared" si="228"/>
        <v>FFDFD3C0</v>
      </c>
      <c r="D600" t="s">
        <v>145</v>
      </c>
      <c r="E600" t="str">
        <f>"05"</f>
        <v>05</v>
      </c>
      <c r="H600">
        <v>47</v>
      </c>
      <c r="I600" t="s">
        <v>146</v>
      </c>
      <c r="J600" t="s">
        <v>138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R600" t="s">
        <v>127</v>
      </c>
      <c r="S600" t="str">
        <f t="shared" si="238"/>
        <v>15:06:11.000</v>
      </c>
      <c r="T600" t="str">
        <f t="shared" si="238"/>
        <v>15:06:11.000</v>
      </c>
      <c r="U600" t="str">
        <f t="shared" si="230"/>
        <v>A68FCB</v>
      </c>
      <c r="V600">
        <v>0</v>
      </c>
      <c r="W600">
        <v>0</v>
      </c>
      <c r="X600">
        <v>2</v>
      </c>
      <c r="Y600">
        <v>0</v>
      </c>
      <c r="AA600">
        <v>1</v>
      </c>
      <c r="AB600">
        <v>8</v>
      </c>
      <c r="AC600">
        <v>3</v>
      </c>
      <c r="AD600">
        <v>0</v>
      </c>
      <c r="AE600">
        <v>9</v>
      </c>
      <c r="AF600" t="s">
        <v>138</v>
      </c>
      <c r="AG600">
        <v>0</v>
      </c>
      <c r="AH600">
        <v>3</v>
      </c>
      <c r="AI600">
        <v>1</v>
      </c>
      <c r="AJ600">
        <v>0</v>
      </c>
      <c r="AK600" t="s">
        <v>305</v>
      </c>
      <c r="AL600">
        <v>38.961103000000001</v>
      </c>
      <c r="AM600" t="s">
        <v>301</v>
      </c>
      <c r="AN600">
        <v>-121.04965900000001</v>
      </c>
      <c r="AO600">
        <v>25</v>
      </c>
      <c r="AP600">
        <v>2500</v>
      </c>
      <c r="AQ600" t="s">
        <v>131</v>
      </c>
      <c r="AR600">
        <v>-1</v>
      </c>
      <c r="AS600">
        <v>69</v>
      </c>
      <c r="AT600">
        <v>448</v>
      </c>
      <c r="BB600" t="str">
        <f t="shared" si="231"/>
        <v>1200</v>
      </c>
      <c r="BC600">
        <v>1</v>
      </c>
      <c r="BD600" t="str">
        <f t="shared" si="232"/>
        <v xml:space="preserve">N52156  </v>
      </c>
      <c r="BE600">
        <v>1</v>
      </c>
      <c r="BG600">
        <v>0</v>
      </c>
      <c r="BH600">
        <v>0</v>
      </c>
      <c r="BI600">
        <v>0</v>
      </c>
      <c r="BJ600">
        <v>2475</v>
      </c>
      <c r="BK600">
        <v>-25</v>
      </c>
      <c r="BL600" t="s">
        <v>188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 t="shared" si="239"/>
        <v>15:06:11.950</v>
      </c>
      <c r="CF600">
        <v>949700283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5</v>
      </c>
      <c r="CY600">
        <v>7</v>
      </c>
      <c r="CZ600" t="s">
        <v>133</v>
      </c>
      <c r="DA600">
        <v>275</v>
      </c>
      <c r="DB600">
        <v>0</v>
      </c>
      <c r="DC600" t="s">
        <v>134</v>
      </c>
      <c r="DD600" t="s">
        <v>135</v>
      </c>
      <c r="DG600">
        <v>3318794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"05/01/2025 15:06:12.198"</f>
        <v>05/01/2025 15:06:12.198</v>
      </c>
      <c r="C601" t="str">
        <f t="shared" si="228"/>
        <v>FFDFD3C0</v>
      </c>
      <c r="D601" t="s">
        <v>136</v>
      </c>
      <c r="E601" t="str">
        <f>"20"</f>
        <v>20</v>
      </c>
      <c r="H601">
        <v>400</v>
      </c>
      <c r="I601" t="s">
        <v>137</v>
      </c>
      <c r="J601" t="s">
        <v>138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R601" t="s">
        <v>127</v>
      </c>
      <c r="S601" t="str">
        <f t="shared" si="238"/>
        <v>15:06:11.000</v>
      </c>
      <c r="T601" t="str">
        <f t="shared" si="238"/>
        <v>15:06:11.000</v>
      </c>
      <c r="U601" t="str">
        <f t="shared" si="230"/>
        <v>A68FCB</v>
      </c>
      <c r="V601">
        <v>0</v>
      </c>
      <c r="W601">
        <v>0</v>
      </c>
      <c r="X601">
        <v>2</v>
      </c>
      <c r="Y601">
        <v>0</v>
      </c>
      <c r="AA601">
        <v>1</v>
      </c>
      <c r="AB601">
        <v>8</v>
      </c>
      <c r="AC601">
        <v>3</v>
      </c>
      <c r="AD601">
        <v>0</v>
      </c>
      <c r="AE601">
        <v>9</v>
      </c>
      <c r="AF601" t="s">
        <v>138</v>
      </c>
      <c r="AG601">
        <v>0</v>
      </c>
      <c r="AH601">
        <v>3</v>
      </c>
      <c r="AI601">
        <v>1</v>
      </c>
      <c r="AJ601">
        <v>0</v>
      </c>
      <c r="AK601" t="s">
        <v>305</v>
      </c>
      <c r="AL601">
        <v>38.961103000000001</v>
      </c>
      <c r="AM601" t="s">
        <v>301</v>
      </c>
      <c r="AN601">
        <v>-121.04965900000001</v>
      </c>
      <c r="AO601">
        <v>25</v>
      </c>
      <c r="AP601">
        <v>2500</v>
      </c>
      <c r="AQ601" t="s">
        <v>131</v>
      </c>
      <c r="AR601">
        <v>-1</v>
      </c>
      <c r="AS601">
        <v>69</v>
      </c>
      <c r="AT601">
        <v>448</v>
      </c>
      <c r="BB601" t="str">
        <f t="shared" si="231"/>
        <v>1200</v>
      </c>
      <c r="BC601">
        <v>1</v>
      </c>
      <c r="BD601" t="str">
        <f t="shared" si="232"/>
        <v xml:space="preserve">N52156  </v>
      </c>
      <c r="BE601">
        <v>1</v>
      </c>
      <c r="BG601">
        <v>0</v>
      </c>
      <c r="BH601">
        <v>0</v>
      </c>
      <c r="BI601">
        <v>0</v>
      </c>
      <c r="BJ601">
        <v>2475</v>
      </c>
      <c r="BK601">
        <v>-25</v>
      </c>
      <c r="BL601" t="s">
        <v>188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 t="shared" si="239"/>
        <v>15:06:11.950</v>
      </c>
      <c r="CF601">
        <v>949700283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133</v>
      </c>
      <c r="DA601">
        <v>275</v>
      </c>
      <c r="DB601">
        <v>0</v>
      </c>
      <c r="DC601" t="s">
        <v>134</v>
      </c>
      <c r="DD601" t="s">
        <v>135</v>
      </c>
      <c r="DG601">
        <v>3318794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"05/01/2025 15:06:13.050"</f>
        <v>05/01/2025 15:06:13.050</v>
      </c>
      <c r="C602" t="str">
        <f t="shared" si="228"/>
        <v>FFDFD3C0</v>
      </c>
      <c r="D602" t="s">
        <v>136</v>
      </c>
      <c r="E602" t="str">
        <f>"20"</f>
        <v>20</v>
      </c>
      <c r="H602">
        <v>400</v>
      </c>
      <c r="I602" t="s">
        <v>137</v>
      </c>
      <c r="J602" t="s">
        <v>138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R602" t="s">
        <v>127</v>
      </c>
      <c r="S602" t="str">
        <f t="shared" ref="S602:T607" si="240">"15:06:12.000"</f>
        <v>15:06:12.000</v>
      </c>
      <c r="T602" t="str">
        <f t="shared" si="240"/>
        <v>15:06:12.000</v>
      </c>
      <c r="U602" t="str">
        <f t="shared" si="230"/>
        <v>A68FCB</v>
      </c>
      <c r="V602">
        <v>0</v>
      </c>
      <c r="W602">
        <v>0</v>
      </c>
      <c r="X602">
        <v>2</v>
      </c>
      <c r="Y602">
        <v>0</v>
      </c>
      <c r="AA602">
        <v>1</v>
      </c>
      <c r="AB602">
        <v>8</v>
      </c>
      <c r="AC602">
        <v>3</v>
      </c>
      <c r="AD602">
        <v>0</v>
      </c>
      <c r="AE602">
        <v>9</v>
      </c>
      <c r="AF602" t="s">
        <v>138</v>
      </c>
      <c r="AG602">
        <v>0</v>
      </c>
      <c r="AH602">
        <v>3</v>
      </c>
      <c r="AI602">
        <v>1</v>
      </c>
      <c r="AJ602">
        <v>0</v>
      </c>
      <c r="AK602" t="s">
        <v>306</v>
      </c>
      <c r="AL602">
        <v>38.961402999999997</v>
      </c>
      <c r="AM602" t="s">
        <v>301</v>
      </c>
      <c r="AN602">
        <v>-121.04965900000001</v>
      </c>
      <c r="AO602">
        <v>25</v>
      </c>
      <c r="AP602">
        <v>2500</v>
      </c>
      <c r="AQ602" t="s">
        <v>131</v>
      </c>
      <c r="AR602">
        <v>-1</v>
      </c>
      <c r="AS602">
        <v>70</v>
      </c>
      <c r="AT602">
        <v>320</v>
      </c>
      <c r="BB602" t="str">
        <f t="shared" si="231"/>
        <v>1200</v>
      </c>
      <c r="BC602">
        <v>1</v>
      </c>
      <c r="BD602" t="str">
        <f t="shared" si="232"/>
        <v xml:space="preserve">N52156  </v>
      </c>
      <c r="BE602">
        <v>1</v>
      </c>
      <c r="BG602">
        <v>0</v>
      </c>
      <c r="BH602">
        <v>0</v>
      </c>
      <c r="BI602">
        <v>0</v>
      </c>
      <c r="BJ602">
        <v>2475</v>
      </c>
      <c r="BK602">
        <v>-25</v>
      </c>
      <c r="BL602" t="s">
        <v>188</v>
      </c>
      <c r="BM602">
        <v>1</v>
      </c>
      <c r="BN602">
        <v>1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 t="shared" ref="CE602:CE607" si="241">"15:06:12.851"</f>
        <v>15:06:12.851</v>
      </c>
      <c r="CF602">
        <v>850950046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6</v>
      </c>
      <c r="CY602">
        <v>7</v>
      </c>
      <c r="CZ602" t="s">
        <v>133</v>
      </c>
      <c r="DA602">
        <v>275</v>
      </c>
      <c r="DB602">
        <v>0</v>
      </c>
      <c r="DC602" t="s">
        <v>134</v>
      </c>
      <c r="DD602" t="s">
        <v>135</v>
      </c>
      <c r="DG602">
        <v>3318803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"05/01/2025 15:06:13.080"</f>
        <v>05/01/2025 15:06:13.080</v>
      </c>
      <c r="C603" t="str">
        <f t="shared" si="228"/>
        <v>FFDFD3C0</v>
      </c>
      <c r="D603" t="s">
        <v>140</v>
      </c>
      <c r="E603" t="str">
        <f>"13"</f>
        <v>13</v>
      </c>
      <c r="F603">
        <v>1019</v>
      </c>
      <c r="G603" t="s">
        <v>141</v>
      </c>
      <c r="J603" t="s">
        <v>142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R603" t="s">
        <v>127</v>
      </c>
      <c r="S603" t="str">
        <f t="shared" si="240"/>
        <v>15:06:12.000</v>
      </c>
      <c r="T603" t="str">
        <f t="shared" si="240"/>
        <v>15:06:12.000</v>
      </c>
      <c r="U603" t="str">
        <f t="shared" si="230"/>
        <v>A68FCB</v>
      </c>
      <c r="V603">
        <v>0</v>
      </c>
      <c r="W603">
        <v>0</v>
      </c>
      <c r="X603">
        <v>2</v>
      </c>
      <c r="Y603">
        <v>0</v>
      </c>
      <c r="AA603">
        <v>1</v>
      </c>
      <c r="AB603">
        <v>8</v>
      </c>
      <c r="AC603">
        <v>3</v>
      </c>
      <c r="AD603">
        <v>0</v>
      </c>
      <c r="AE603">
        <v>9</v>
      </c>
      <c r="AF603" t="s">
        <v>138</v>
      </c>
      <c r="AG603">
        <v>0</v>
      </c>
      <c r="AH603">
        <v>3</v>
      </c>
      <c r="AI603">
        <v>1</v>
      </c>
      <c r="AJ603">
        <v>0</v>
      </c>
      <c r="AK603" t="s">
        <v>306</v>
      </c>
      <c r="AL603">
        <v>38.961402999999997</v>
      </c>
      <c r="AM603" t="s">
        <v>301</v>
      </c>
      <c r="AN603">
        <v>-121.04965900000001</v>
      </c>
      <c r="AO603">
        <v>25</v>
      </c>
      <c r="AP603">
        <v>2500</v>
      </c>
      <c r="AQ603" t="s">
        <v>131</v>
      </c>
      <c r="AR603">
        <v>-1</v>
      </c>
      <c r="AS603">
        <v>70</v>
      </c>
      <c r="AT603">
        <v>320</v>
      </c>
      <c r="BB603" t="str">
        <f t="shared" si="231"/>
        <v>1200</v>
      </c>
      <c r="BC603">
        <v>1</v>
      </c>
      <c r="BD603" t="str">
        <f t="shared" si="232"/>
        <v xml:space="preserve">N52156  </v>
      </c>
      <c r="BE603">
        <v>1</v>
      </c>
      <c r="BG603">
        <v>0</v>
      </c>
      <c r="BH603">
        <v>0</v>
      </c>
      <c r="BI603">
        <v>0</v>
      </c>
      <c r="BJ603">
        <v>2475</v>
      </c>
      <c r="BK603">
        <v>-25</v>
      </c>
      <c r="BL603" t="s">
        <v>188</v>
      </c>
      <c r="BM603">
        <v>1</v>
      </c>
      <c r="BN603">
        <v>1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 t="shared" si="241"/>
        <v>15:06:12.851</v>
      </c>
      <c r="CF603">
        <v>850950046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6</v>
      </c>
      <c r="CY603">
        <v>7</v>
      </c>
      <c r="CZ603" t="s">
        <v>133</v>
      </c>
      <c r="DA603">
        <v>275</v>
      </c>
      <c r="DB603">
        <v>0</v>
      </c>
      <c r="DC603" t="s">
        <v>134</v>
      </c>
      <c r="DD603" t="s">
        <v>135</v>
      </c>
      <c r="DG603">
        <v>3318803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"05/01/2025 15:06:13.089"</f>
        <v>05/01/2025 15:06:13.089</v>
      </c>
      <c r="C604" t="str">
        <f t="shared" si="228"/>
        <v>FFDFD3C0</v>
      </c>
      <c r="D604" t="s">
        <v>124</v>
      </c>
      <c r="E604" t="str">
        <f>"06"</f>
        <v>06</v>
      </c>
      <c r="F604">
        <v>2006</v>
      </c>
      <c r="G604" t="s">
        <v>125</v>
      </c>
      <c r="J604" t="s">
        <v>126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R604" t="s">
        <v>127</v>
      </c>
      <c r="S604" t="str">
        <f t="shared" si="240"/>
        <v>15:06:12.000</v>
      </c>
      <c r="T604" t="str">
        <f t="shared" si="240"/>
        <v>15:06:12.000</v>
      </c>
      <c r="U604" t="str">
        <f t="shared" si="230"/>
        <v>A68FCB</v>
      </c>
      <c r="V604">
        <v>0</v>
      </c>
      <c r="W604">
        <v>0</v>
      </c>
      <c r="X604">
        <v>2</v>
      </c>
      <c r="Y604">
        <v>0</v>
      </c>
      <c r="AA604">
        <v>1</v>
      </c>
      <c r="AB604">
        <v>8</v>
      </c>
      <c r="AC604">
        <v>3</v>
      </c>
      <c r="AD604">
        <v>0</v>
      </c>
      <c r="AE604">
        <v>9</v>
      </c>
      <c r="AF604" t="s">
        <v>138</v>
      </c>
      <c r="AG604">
        <v>0</v>
      </c>
      <c r="AH604">
        <v>3</v>
      </c>
      <c r="AI604">
        <v>1</v>
      </c>
      <c r="AJ604">
        <v>0</v>
      </c>
      <c r="AK604" t="s">
        <v>306</v>
      </c>
      <c r="AL604">
        <v>38.961402999999997</v>
      </c>
      <c r="AM604" t="s">
        <v>301</v>
      </c>
      <c r="AN604">
        <v>-121.04965900000001</v>
      </c>
      <c r="AO604">
        <v>25</v>
      </c>
      <c r="AP604">
        <v>2500</v>
      </c>
      <c r="AQ604" t="s">
        <v>131</v>
      </c>
      <c r="AR604">
        <v>-1</v>
      </c>
      <c r="AS604">
        <v>70</v>
      </c>
      <c r="AT604">
        <v>320</v>
      </c>
      <c r="BB604" t="str">
        <f t="shared" si="231"/>
        <v>1200</v>
      </c>
      <c r="BC604">
        <v>1</v>
      </c>
      <c r="BD604" t="str">
        <f t="shared" si="232"/>
        <v xml:space="preserve">N52156  </v>
      </c>
      <c r="BE604">
        <v>1</v>
      </c>
      <c r="BG604">
        <v>0</v>
      </c>
      <c r="BH604">
        <v>0</v>
      </c>
      <c r="BI604">
        <v>0</v>
      </c>
      <c r="BJ604">
        <v>2475</v>
      </c>
      <c r="BK604">
        <v>-25</v>
      </c>
      <c r="BL604" t="s">
        <v>188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 t="shared" si="241"/>
        <v>15:06:12.851</v>
      </c>
      <c r="CF604">
        <v>850950046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6</v>
      </c>
      <c r="CY604">
        <v>7</v>
      </c>
      <c r="CZ604" t="s">
        <v>133</v>
      </c>
      <c r="DA604">
        <v>275</v>
      </c>
      <c r="DB604">
        <v>0</v>
      </c>
      <c r="DC604" t="s">
        <v>134</v>
      </c>
      <c r="DD604" t="s">
        <v>135</v>
      </c>
      <c r="DG604">
        <v>3318803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"05/01/2025 15:06:13.090"</f>
        <v>05/01/2025 15:06:13.090</v>
      </c>
      <c r="C605" t="str">
        <f t="shared" si="228"/>
        <v>FFDFD3C0</v>
      </c>
      <c r="D605" t="s">
        <v>145</v>
      </c>
      <c r="E605" t="str">
        <f>"05"</f>
        <v>05</v>
      </c>
      <c r="H605">
        <v>47</v>
      </c>
      <c r="I605" t="s">
        <v>146</v>
      </c>
      <c r="J605" t="s">
        <v>138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R605" t="s">
        <v>127</v>
      </c>
      <c r="S605" t="str">
        <f t="shared" si="240"/>
        <v>15:06:12.000</v>
      </c>
      <c r="T605" t="str">
        <f t="shared" si="240"/>
        <v>15:06:12.000</v>
      </c>
      <c r="U605" t="str">
        <f t="shared" si="230"/>
        <v>A68FCB</v>
      </c>
      <c r="V605">
        <v>0</v>
      </c>
      <c r="W605">
        <v>0</v>
      </c>
      <c r="X605">
        <v>2</v>
      </c>
      <c r="Y605">
        <v>0</v>
      </c>
      <c r="AA605">
        <v>1</v>
      </c>
      <c r="AB605">
        <v>8</v>
      </c>
      <c r="AC605">
        <v>3</v>
      </c>
      <c r="AD605">
        <v>0</v>
      </c>
      <c r="AE605">
        <v>9</v>
      </c>
      <c r="AF605" t="s">
        <v>138</v>
      </c>
      <c r="AG605">
        <v>0</v>
      </c>
      <c r="AH605">
        <v>3</v>
      </c>
      <c r="AI605">
        <v>1</v>
      </c>
      <c r="AJ605">
        <v>0</v>
      </c>
      <c r="AK605" t="s">
        <v>306</v>
      </c>
      <c r="AL605">
        <v>38.961402999999997</v>
      </c>
      <c r="AM605" t="s">
        <v>301</v>
      </c>
      <c r="AN605">
        <v>-121.04965900000001</v>
      </c>
      <c r="AO605">
        <v>25</v>
      </c>
      <c r="AP605">
        <v>2500</v>
      </c>
      <c r="AQ605" t="s">
        <v>131</v>
      </c>
      <c r="AR605">
        <v>-1</v>
      </c>
      <c r="AS605">
        <v>70</v>
      </c>
      <c r="AT605">
        <v>320</v>
      </c>
      <c r="BB605" t="str">
        <f t="shared" si="231"/>
        <v>1200</v>
      </c>
      <c r="BC605">
        <v>1</v>
      </c>
      <c r="BD605" t="str">
        <f t="shared" si="232"/>
        <v xml:space="preserve">N52156  </v>
      </c>
      <c r="BE605">
        <v>1</v>
      </c>
      <c r="BG605">
        <v>0</v>
      </c>
      <c r="BH605">
        <v>0</v>
      </c>
      <c r="BI605">
        <v>0</v>
      </c>
      <c r="BJ605">
        <v>2475</v>
      </c>
      <c r="BK605">
        <v>-25</v>
      </c>
      <c r="BL605" t="s">
        <v>188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 t="shared" si="241"/>
        <v>15:06:12.851</v>
      </c>
      <c r="CF605">
        <v>850950046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6</v>
      </c>
      <c r="CY605">
        <v>7</v>
      </c>
      <c r="CZ605" t="s">
        <v>133</v>
      </c>
      <c r="DA605">
        <v>275</v>
      </c>
      <c r="DB605">
        <v>0</v>
      </c>
      <c r="DC605" t="s">
        <v>134</v>
      </c>
      <c r="DD605" t="s">
        <v>135</v>
      </c>
      <c r="DG605">
        <v>3318803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"05/01/2025 15:06:13.090"</f>
        <v>05/01/2025 15:06:13.090</v>
      </c>
      <c r="C606" t="str">
        <f t="shared" si="228"/>
        <v>FFDFD3C0</v>
      </c>
      <c r="D606" t="s">
        <v>143</v>
      </c>
      <c r="E606" t="str">
        <f>"05"</f>
        <v>05</v>
      </c>
      <c r="H606">
        <v>172</v>
      </c>
      <c r="I606" t="s">
        <v>141</v>
      </c>
      <c r="J606" t="s">
        <v>144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R606" t="s">
        <v>127</v>
      </c>
      <c r="S606" t="str">
        <f t="shared" si="240"/>
        <v>15:06:12.000</v>
      </c>
      <c r="T606" t="str">
        <f t="shared" si="240"/>
        <v>15:06:12.000</v>
      </c>
      <c r="U606" t="str">
        <f t="shared" si="230"/>
        <v>A68FCB</v>
      </c>
      <c r="V606">
        <v>0</v>
      </c>
      <c r="W606">
        <v>0</v>
      </c>
      <c r="X606">
        <v>2</v>
      </c>
      <c r="Y606">
        <v>0</v>
      </c>
      <c r="AA606">
        <v>1</v>
      </c>
      <c r="AB606">
        <v>8</v>
      </c>
      <c r="AC606">
        <v>3</v>
      </c>
      <c r="AD606">
        <v>0</v>
      </c>
      <c r="AE606">
        <v>9</v>
      </c>
      <c r="AF606" t="s">
        <v>138</v>
      </c>
      <c r="AG606">
        <v>0</v>
      </c>
      <c r="AH606">
        <v>3</v>
      </c>
      <c r="AI606">
        <v>1</v>
      </c>
      <c r="AJ606">
        <v>0</v>
      </c>
      <c r="AK606" t="s">
        <v>306</v>
      </c>
      <c r="AL606">
        <v>38.961402999999997</v>
      </c>
      <c r="AM606" t="s">
        <v>301</v>
      </c>
      <c r="AN606">
        <v>-121.04965900000001</v>
      </c>
      <c r="AO606">
        <v>25</v>
      </c>
      <c r="AP606">
        <v>2500</v>
      </c>
      <c r="AQ606" t="s">
        <v>131</v>
      </c>
      <c r="AR606">
        <v>-1</v>
      </c>
      <c r="AS606">
        <v>70</v>
      </c>
      <c r="AT606">
        <v>320</v>
      </c>
      <c r="BB606" t="str">
        <f t="shared" si="231"/>
        <v>1200</v>
      </c>
      <c r="BC606">
        <v>1</v>
      </c>
      <c r="BD606" t="str">
        <f t="shared" si="232"/>
        <v xml:space="preserve">N52156  </v>
      </c>
      <c r="BE606">
        <v>1</v>
      </c>
      <c r="BG606">
        <v>0</v>
      </c>
      <c r="BH606">
        <v>0</v>
      </c>
      <c r="BI606">
        <v>0</v>
      </c>
      <c r="BJ606">
        <v>2475</v>
      </c>
      <c r="BK606">
        <v>-25</v>
      </c>
      <c r="BL606" t="s">
        <v>188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 t="shared" si="241"/>
        <v>15:06:12.851</v>
      </c>
      <c r="CF606">
        <v>850950046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6</v>
      </c>
      <c r="CY606">
        <v>7</v>
      </c>
      <c r="CZ606" t="s">
        <v>133</v>
      </c>
      <c r="DA606">
        <v>275</v>
      </c>
      <c r="DB606">
        <v>0</v>
      </c>
      <c r="DC606" t="s">
        <v>134</v>
      </c>
      <c r="DD606" t="s">
        <v>135</v>
      </c>
      <c r="DG606">
        <v>3318803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"05/01/2025 15:06:13.090"</f>
        <v>05/01/2025 15:06:13.090</v>
      </c>
      <c r="C607" t="str">
        <f t="shared" si="228"/>
        <v>FFDFD3C0</v>
      </c>
      <c r="D607" t="s">
        <v>145</v>
      </c>
      <c r="E607" t="str">
        <f>"09"</f>
        <v>09</v>
      </c>
      <c r="H607">
        <v>51</v>
      </c>
      <c r="I607" t="s">
        <v>147</v>
      </c>
      <c r="J607" t="s">
        <v>138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R607" t="s">
        <v>127</v>
      </c>
      <c r="S607" t="str">
        <f t="shared" si="240"/>
        <v>15:06:12.000</v>
      </c>
      <c r="T607" t="str">
        <f t="shared" si="240"/>
        <v>15:06:12.000</v>
      </c>
      <c r="U607" t="str">
        <f t="shared" si="230"/>
        <v>A68FCB</v>
      </c>
      <c r="V607">
        <v>0</v>
      </c>
      <c r="W607">
        <v>0</v>
      </c>
      <c r="X607">
        <v>2</v>
      </c>
      <c r="Y607">
        <v>0</v>
      </c>
      <c r="AA607">
        <v>1</v>
      </c>
      <c r="AB607">
        <v>8</v>
      </c>
      <c r="AC607">
        <v>3</v>
      </c>
      <c r="AD607">
        <v>0</v>
      </c>
      <c r="AE607">
        <v>9</v>
      </c>
      <c r="AF607" t="s">
        <v>138</v>
      </c>
      <c r="AG607">
        <v>0</v>
      </c>
      <c r="AH607">
        <v>3</v>
      </c>
      <c r="AI607">
        <v>1</v>
      </c>
      <c r="AJ607">
        <v>0</v>
      </c>
      <c r="AK607" t="s">
        <v>306</v>
      </c>
      <c r="AL607">
        <v>38.961402999999997</v>
      </c>
      <c r="AM607" t="s">
        <v>301</v>
      </c>
      <c r="AN607">
        <v>-121.04965900000001</v>
      </c>
      <c r="AO607">
        <v>25</v>
      </c>
      <c r="AP607">
        <v>2500</v>
      </c>
      <c r="AQ607" t="s">
        <v>131</v>
      </c>
      <c r="AR607">
        <v>-1</v>
      </c>
      <c r="AS607">
        <v>70</v>
      </c>
      <c r="AT607">
        <v>320</v>
      </c>
      <c r="BB607" t="str">
        <f t="shared" si="231"/>
        <v>1200</v>
      </c>
      <c r="BC607">
        <v>1</v>
      </c>
      <c r="BD607" t="str">
        <f t="shared" si="232"/>
        <v xml:space="preserve">N52156  </v>
      </c>
      <c r="BE607">
        <v>1</v>
      </c>
      <c r="BG607">
        <v>0</v>
      </c>
      <c r="BH607">
        <v>0</v>
      </c>
      <c r="BI607">
        <v>0</v>
      </c>
      <c r="BJ607">
        <v>2475</v>
      </c>
      <c r="BK607">
        <v>-25</v>
      </c>
      <c r="BL607" t="s">
        <v>188</v>
      </c>
      <c r="BM607">
        <v>1</v>
      </c>
      <c r="BN607">
        <v>1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 t="shared" si="241"/>
        <v>15:06:12.851</v>
      </c>
      <c r="CF607">
        <v>850950046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6</v>
      </c>
      <c r="CY607">
        <v>7</v>
      </c>
      <c r="CZ607" t="s">
        <v>133</v>
      </c>
      <c r="DA607">
        <v>275</v>
      </c>
      <c r="DB607">
        <v>0</v>
      </c>
      <c r="DC607" t="s">
        <v>134</v>
      </c>
      <c r="DD607" t="s">
        <v>135</v>
      </c>
      <c r="DG607">
        <v>3318803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"05/01/2025 15:06:13.801"</f>
        <v>05/01/2025 15:06:13.801</v>
      </c>
      <c r="C608" t="str">
        <f t="shared" si="228"/>
        <v>FFDFD3C0</v>
      </c>
      <c r="D608" t="s">
        <v>136</v>
      </c>
      <c r="E608" t="str">
        <f>"20"</f>
        <v>20</v>
      </c>
      <c r="H608">
        <v>400</v>
      </c>
      <c r="I608" t="s">
        <v>137</v>
      </c>
      <c r="J608" t="s">
        <v>138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R608" t="s">
        <v>127</v>
      </c>
      <c r="S608" t="str">
        <f t="shared" ref="S608:T613" si="242">"15:06:13.000"</f>
        <v>15:06:13.000</v>
      </c>
      <c r="T608" t="str">
        <f t="shared" si="242"/>
        <v>15:06:13.000</v>
      </c>
      <c r="U608" t="str">
        <f t="shared" si="230"/>
        <v>A68FCB</v>
      </c>
      <c r="V608">
        <v>0</v>
      </c>
      <c r="W608">
        <v>0</v>
      </c>
      <c r="X608">
        <v>2</v>
      </c>
      <c r="Y608">
        <v>0</v>
      </c>
      <c r="AA608">
        <v>1</v>
      </c>
      <c r="AB608">
        <v>8</v>
      </c>
      <c r="AC608">
        <v>3</v>
      </c>
      <c r="AD608">
        <v>0</v>
      </c>
      <c r="AE608">
        <v>9</v>
      </c>
      <c r="AF608" t="s">
        <v>138</v>
      </c>
      <c r="AG608">
        <v>0</v>
      </c>
      <c r="AH608">
        <v>3</v>
      </c>
      <c r="AI608">
        <v>1</v>
      </c>
      <c r="AJ608">
        <v>0</v>
      </c>
      <c r="AK608" t="s">
        <v>307</v>
      </c>
      <c r="AL608">
        <v>38.961725000000001</v>
      </c>
      <c r="AM608" t="s">
        <v>299</v>
      </c>
      <c r="AN608">
        <v>-121.04968100000001</v>
      </c>
      <c r="AO608">
        <v>25</v>
      </c>
      <c r="AP608">
        <v>2500</v>
      </c>
      <c r="AQ608" t="s">
        <v>131</v>
      </c>
      <c r="AR608">
        <v>-1</v>
      </c>
      <c r="AS608">
        <v>71</v>
      </c>
      <c r="AT608">
        <v>192</v>
      </c>
      <c r="BB608" t="str">
        <f t="shared" si="231"/>
        <v>1200</v>
      </c>
      <c r="BC608">
        <v>1</v>
      </c>
      <c r="BD608" t="str">
        <f t="shared" si="232"/>
        <v xml:space="preserve">N52156  </v>
      </c>
      <c r="BE608">
        <v>1</v>
      </c>
      <c r="BG608">
        <v>0</v>
      </c>
      <c r="BH608">
        <v>0</v>
      </c>
      <c r="BI608">
        <v>0</v>
      </c>
      <c r="BJ608">
        <v>2475</v>
      </c>
      <c r="BK608">
        <v>-25</v>
      </c>
      <c r="BL608" t="s">
        <v>188</v>
      </c>
      <c r="BM608">
        <v>1</v>
      </c>
      <c r="BN608">
        <v>1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 t="shared" ref="CE608:CE613" si="243">"15:06:13.592"</f>
        <v>15:06:13.592</v>
      </c>
      <c r="CF608">
        <v>591949430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6</v>
      </c>
      <c r="CY608">
        <v>7</v>
      </c>
      <c r="CZ608" t="s">
        <v>133</v>
      </c>
      <c r="DA608">
        <v>275</v>
      </c>
      <c r="DB608">
        <v>0</v>
      </c>
      <c r="DC608" t="s">
        <v>134</v>
      </c>
      <c r="DD608" t="s">
        <v>135</v>
      </c>
      <c r="DG608">
        <v>3318815</v>
      </c>
      <c r="DI608">
        <v>1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"05/01/2025 15:06:13.831"</f>
        <v>05/01/2025 15:06:13.831</v>
      </c>
      <c r="C609" t="str">
        <f t="shared" si="228"/>
        <v>FFDFD3C0</v>
      </c>
      <c r="D609" t="s">
        <v>140</v>
      </c>
      <c r="E609" t="str">
        <f>"13"</f>
        <v>13</v>
      </c>
      <c r="F609">
        <v>1019</v>
      </c>
      <c r="G609" t="s">
        <v>141</v>
      </c>
      <c r="J609" t="s">
        <v>142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R609" t="s">
        <v>127</v>
      </c>
      <c r="S609" t="str">
        <f t="shared" si="242"/>
        <v>15:06:13.000</v>
      </c>
      <c r="T609" t="str">
        <f t="shared" si="242"/>
        <v>15:06:13.000</v>
      </c>
      <c r="U609" t="str">
        <f t="shared" si="230"/>
        <v>A68FCB</v>
      </c>
      <c r="V609">
        <v>0</v>
      </c>
      <c r="W609">
        <v>0</v>
      </c>
      <c r="X609">
        <v>2</v>
      </c>
      <c r="Y609">
        <v>0</v>
      </c>
      <c r="AA609">
        <v>1</v>
      </c>
      <c r="AB609">
        <v>8</v>
      </c>
      <c r="AC609">
        <v>3</v>
      </c>
      <c r="AD609">
        <v>0</v>
      </c>
      <c r="AE609">
        <v>9</v>
      </c>
      <c r="AF609" t="s">
        <v>138</v>
      </c>
      <c r="AG609">
        <v>0</v>
      </c>
      <c r="AH609">
        <v>3</v>
      </c>
      <c r="AI609">
        <v>1</v>
      </c>
      <c r="AJ609">
        <v>0</v>
      </c>
      <c r="AK609" t="s">
        <v>307</v>
      </c>
      <c r="AL609">
        <v>38.961725000000001</v>
      </c>
      <c r="AM609" t="s">
        <v>299</v>
      </c>
      <c r="AN609">
        <v>-121.04968100000001</v>
      </c>
      <c r="AO609">
        <v>25</v>
      </c>
      <c r="AP609">
        <v>2500</v>
      </c>
      <c r="AQ609" t="s">
        <v>131</v>
      </c>
      <c r="AR609">
        <v>-1</v>
      </c>
      <c r="AS609">
        <v>71</v>
      </c>
      <c r="AT609">
        <v>192</v>
      </c>
      <c r="BB609" t="str">
        <f t="shared" si="231"/>
        <v>1200</v>
      </c>
      <c r="BC609">
        <v>1</v>
      </c>
      <c r="BD609" t="str">
        <f t="shared" si="232"/>
        <v xml:space="preserve">N52156  </v>
      </c>
      <c r="BE609">
        <v>1</v>
      </c>
      <c r="BG609">
        <v>0</v>
      </c>
      <c r="BH609">
        <v>0</v>
      </c>
      <c r="BI609">
        <v>0</v>
      </c>
      <c r="BJ609">
        <v>2475</v>
      </c>
      <c r="BK609">
        <v>-25</v>
      </c>
      <c r="BL609" t="s">
        <v>188</v>
      </c>
      <c r="BM609">
        <v>1</v>
      </c>
      <c r="BN609">
        <v>1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 t="shared" si="243"/>
        <v>15:06:13.592</v>
      </c>
      <c r="CF609">
        <v>591949430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6</v>
      </c>
      <c r="CY609">
        <v>7</v>
      </c>
      <c r="CZ609" t="s">
        <v>133</v>
      </c>
      <c r="DA609">
        <v>275</v>
      </c>
      <c r="DB609">
        <v>0</v>
      </c>
      <c r="DC609" t="s">
        <v>134</v>
      </c>
      <c r="DD609" t="s">
        <v>135</v>
      </c>
      <c r="DG609">
        <v>3318815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"05/01/2025 15:06:13.841"</f>
        <v>05/01/2025 15:06:13.841</v>
      </c>
      <c r="C610" t="str">
        <f t="shared" si="228"/>
        <v>FFDFD3C0</v>
      </c>
      <c r="D610" t="s">
        <v>124</v>
      </c>
      <c r="E610" t="str">
        <f>"06"</f>
        <v>06</v>
      </c>
      <c r="F610">
        <v>2006</v>
      </c>
      <c r="G610" t="s">
        <v>125</v>
      </c>
      <c r="J610" t="s">
        <v>126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R610" t="s">
        <v>127</v>
      </c>
      <c r="S610" t="str">
        <f t="shared" si="242"/>
        <v>15:06:13.000</v>
      </c>
      <c r="T610" t="str">
        <f t="shared" si="242"/>
        <v>15:06:13.000</v>
      </c>
      <c r="U610" t="str">
        <f t="shared" si="230"/>
        <v>A68FCB</v>
      </c>
      <c r="V610">
        <v>0</v>
      </c>
      <c r="W610">
        <v>0</v>
      </c>
      <c r="X610">
        <v>2</v>
      </c>
      <c r="Y610">
        <v>0</v>
      </c>
      <c r="AA610">
        <v>1</v>
      </c>
      <c r="AB610">
        <v>8</v>
      </c>
      <c r="AC610">
        <v>3</v>
      </c>
      <c r="AD610">
        <v>0</v>
      </c>
      <c r="AE610">
        <v>9</v>
      </c>
      <c r="AF610" t="s">
        <v>138</v>
      </c>
      <c r="AG610">
        <v>0</v>
      </c>
      <c r="AH610">
        <v>3</v>
      </c>
      <c r="AI610">
        <v>1</v>
      </c>
      <c r="AJ610">
        <v>0</v>
      </c>
      <c r="AK610" t="s">
        <v>307</v>
      </c>
      <c r="AL610">
        <v>38.961725000000001</v>
      </c>
      <c r="AM610" t="s">
        <v>299</v>
      </c>
      <c r="AN610">
        <v>-121.04968100000001</v>
      </c>
      <c r="AO610">
        <v>25</v>
      </c>
      <c r="AP610">
        <v>2500</v>
      </c>
      <c r="AQ610" t="s">
        <v>131</v>
      </c>
      <c r="AR610">
        <v>-1</v>
      </c>
      <c r="AS610">
        <v>71</v>
      </c>
      <c r="AT610">
        <v>192</v>
      </c>
      <c r="BB610" t="str">
        <f t="shared" si="231"/>
        <v>1200</v>
      </c>
      <c r="BC610">
        <v>1</v>
      </c>
      <c r="BD610" t="str">
        <f t="shared" si="232"/>
        <v xml:space="preserve">N52156  </v>
      </c>
      <c r="BE610">
        <v>1</v>
      </c>
      <c r="BG610">
        <v>0</v>
      </c>
      <c r="BH610">
        <v>0</v>
      </c>
      <c r="BI610">
        <v>0</v>
      </c>
      <c r="BJ610">
        <v>2475</v>
      </c>
      <c r="BK610">
        <v>-25</v>
      </c>
      <c r="BL610" t="s">
        <v>188</v>
      </c>
      <c r="BM610">
        <v>1</v>
      </c>
      <c r="BN610">
        <v>1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 t="shared" si="243"/>
        <v>15:06:13.592</v>
      </c>
      <c r="CF610">
        <v>591949430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6</v>
      </c>
      <c r="CY610">
        <v>7</v>
      </c>
      <c r="CZ610" t="s">
        <v>133</v>
      </c>
      <c r="DA610">
        <v>275</v>
      </c>
      <c r="DB610">
        <v>0</v>
      </c>
      <c r="DC610" t="s">
        <v>134</v>
      </c>
      <c r="DD610" t="s">
        <v>135</v>
      </c>
      <c r="DG610">
        <v>3318815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"05/01/2025 15:06:13.841"</f>
        <v>05/01/2025 15:06:13.841</v>
      </c>
      <c r="C611" t="str">
        <f t="shared" si="228"/>
        <v>FFDFD3C0</v>
      </c>
      <c r="D611" t="s">
        <v>145</v>
      </c>
      <c r="E611" t="str">
        <f>"09"</f>
        <v>09</v>
      </c>
      <c r="H611">
        <v>51</v>
      </c>
      <c r="I611" t="s">
        <v>147</v>
      </c>
      <c r="J611" t="s">
        <v>138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R611" t="s">
        <v>127</v>
      </c>
      <c r="S611" t="str">
        <f t="shared" si="242"/>
        <v>15:06:13.000</v>
      </c>
      <c r="T611" t="str">
        <f t="shared" si="242"/>
        <v>15:06:13.000</v>
      </c>
      <c r="U611" t="str">
        <f t="shared" si="230"/>
        <v>A68FCB</v>
      </c>
      <c r="V611">
        <v>0</v>
      </c>
      <c r="W611">
        <v>0</v>
      </c>
      <c r="X611">
        <v>2</v>
      </c>
      <c r="Y611">
        <v>0</v>
      </c>
      <c r="AA611">
        <v>1</v>
      </c>
      <c r="AB611">
        <v>8</v>
      </c>
      <c r="AC611">
        <v>3</v>
      </c>
      <c r="AD611">
        <v>0</v>
      </c>
      <c r="AE611">
        <v>9</v>
      </c>
      <c r="AF611" t="s">
        <v>138</v>
      </c>
      <c r="AG611">
        <v>0</v>
      </c>
      <c r="AH611">
        <v>3</v>
      </c>
      <c r="AI611">
        <v>1</v>
      </c>
      <c r="AJ611">
        <v>0</v>
      </c>
      <c r="AK611" t="s">
        <v>307</v>
      </c>
      <c r="AL611">
        <v>38.961725000000001</v>
      </c>
      <c r="AM611" t="s">
        <v>299</v>
      </c>
      <c r="AN611">
        <v>-121.04968100000001</v>
      </c>
      <c r="AO611">
        <v>25</v>
      </c>
      <c r="AP611">
        <v>2500</v>
      </c>
      <c r="AQ611" t="s">
        <v>131</v>
      </c>
      <c r="AR611">
        <v>-1</v>
      </c>
      <c r="AS611">
        <v>71</v>
      </c>
      <c r="AT611">
        <v>192</v>
      </c>
      <c r="BB611" t="str">
        <f t="shared" si="231"/>
        <v>1200</v>
      </c>
      <c r="BC611">
        <v>1</v>
      </c>
      <c r="BD611" t="str">
        <f t="shared" si="232"/>
        <v xml:space="preserve">N52156  </v>
      </c>
      <c r="BE611">
        <v>1</v>
      </c>
      <c r="BG611">
        <v>0</v>
      </c>
      <c r="BH611">
        <v>0</v>
      </c>
      <c r="BI611">
        <v>0</v>
      </c>
      <c r="BJ611">
        <v>2475</v>
      </c>
      <c r="BK611">
        <v>-25</v>
      </c>
      <c r="BL611" t="s">
        <v>188</v>
      </c>
      <c r="BM611">
        <v>1</v>
      </c>
      <c r="BN611">
        <v>1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 t="shared" si="243"/>
        <v>15:06:13.592</v>
      </c>
      <c r="CF611">
        <v>591949430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6</v>
      </c>
      <c r="CY611">
        <v>7</v>
      </c>
      <c r="CZ611" t="s">
        <v>133</v>
      </c>
      <c r="DA611">
        <v>275</v>
      </c>
      <c r="DB611">
        <v>0</v>
      </c>
      <c r="DC611" t="s">
        <v>134</v>
      </c>
      <c r="DD611" t="s">
        <v>135</v>
      </c>
      <c r="DG611">
        <v>3318815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"05/01/2025 15:06:13.841"</f>
        <v>05/01/2025 15:06:13.841</v>
      </c>
      <c r="C612" t="str">
        <f t="shared" si="228"/>
        <v>FFDFD3C0</v>
      </c>
      <c r="D612" t="s">
        <v>143</v>
      </c>
      <c r="E612" t="str">
        <f>"05"</f>
        <v>05</v>
      </c>
      <c r="H612">
        <v>172</v>
      </c>
      <c r="I612" t="s">
        <v>141</v>
      </c>
      <c r="J612" t="s">
        <v>144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R612" t="s">
        <v>127</v>
      </c>
      <c r="S612" t="str">
        <f t="shared" si="242"/>
        <v>15:06:13.000</v>
      </c>
      <c r="T612" t="str">
        <f t="shared" si="242"/>
        <v>15:06:13.000</v>
      </c>
      <c r="U612" t="str">
        <f t="shared" si="230"/>
        <v>A68FCB</v>
      </c>
      <c r="V612">
        <v>0</v>
      </c>
      <c r="W612">
        <v>0</v>
      </c>
      <c r="X612">
        <v>2</v>
      </c>
      <c r="Y612">
        <v>0</v>
      </c>
      <c r="AA612">
        <v>1</v>
      </c>
      <c r="AB612">
        <v>8</v>
      </c>
      <c r="AC612">
        <v>3</v>
      </c>
      <c r="AD612">
        <v>0</v>
      </c>
      <c r="AE612">
        <v>9</v>
      </c>
      <c r="AF612" t="s">
        <v>138</v>
      </c>
      <c r="AG612">
        <v>0</v>
      </c>
      <c r="AH612">
        <v>3</v>
      </c>
      <c r="AI612">
        <v>1</v>
      </c>
      <c r="AJ612">
        <v>0</v>
      </c>
      <c r="AK612" t="s">
        <v>307</v>
      </c>
      <c r="AL612">
        <v>38.961725000000001</v>
      </c>
      <c r="AM612" t="s">
        <v>299</v>
      </c>
      <c r="AN612">
        <v>-121.04968100000001</v>
      </c>
      <c r="AO612">
        <v>25</v>
      </c>
      <c r="AP612">
        <v>2500</v>
      </c>
      <c r="AQ612" t="s">
        <v>131</v>
      </c>
      <c r="AR612">
        <v>-1</v>
      </c>
      <c r="AS612">
        <v>71</v>
      </c>
      <c r="AT612">
        <v>192</v>
      </c>
      <c r="BB612" t="str">
        <f t="shared" si="231"/>
        <v>1200</v>
      </c>
      <c r="BC612">
        <v>1</v>
      </c>
      <c r="BD612" t="str">
        <f t="shared" si="232"/>
        <v xml:space="preserve">N52156  </v>
      </c>
      <c r="BE612">
        <v>1</v>
      </c>
      <c r="BG612">
        <v>0</v>
      </c>
      <c r="BH612">
        <v>0</v>
      </c>
      <c r="BI612">
        <v>0</v>
      </c>
      <c r="BJ612">
        <v>2475</v>
      </c>
      <c r="BK612">
        <v>-25</v>
      </c>
      <c r="BL612" t="s">
        <v>188</v>
      </c>
      <c r="BM612">
        <v>1</v>
      </c>
      <c r="BN612">
        <v>1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 t="shared" si="243"/>
        <v>15:06:13.592</v>
      </c>
      <c r="CF612">
        <v>591949430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6</v>
      </c>
      <c r="CY612">
        <v>7</v>
      </c>
      <c r="CZ612" t="s">
        <v>133</v>
      </c>
      <c r="DA612">
        <v>275</v>
      </c>
      <c r="DB612">
        <v>0</v>
      </c>
      <c r="DC612" t="s">
        <v>134</v>
      </c>
      <c r="DD612" t="s">
        <v>135</v>
      </c>
      <c r="DG612">
        <v>3318815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"05/01/2025 15:06:13.842"</f>
        <v>05/01/2025 15:06:13.842</v>
      </c>
      <c r="C613" t="str">
        <f t="shared" si="228"/>
        <v>FFDFD3C0</v>
      </c>
      <c r="D613" t="s">
        <v>145</v>
      </c>
      <c r="E613" t="str">
        <f>"05"</f>
        <v>05</v>
      </c>
      <c r="H613">
        <v>47</v>
      </c>
      <c r="I613" t="s">
        <v>146</v>
      </c>
      <c r="J613" t="s">
        <v>138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R613" t="s">
        <v>127</v>
      </c>
      <c r="S613" t="str">
        <f t="shared" si="242"/>
        <v>15:06:13.000</v>
      </c>
      <c r="T613" t="str">
        <f t="shared" si="242"/>
        <v>15:06:13.000</v>
      </c>
      <c r="U613" t="str">
        <f t="shared" si="230"/>
        <v>A68FCB</v>
      </c>
      <c r="V613">
        <v>0</v>
      </c>
      <c r="W613">
        <v>0</v>
      </c>
      <c r="X613">
        <v>2</v>
      </c>
      <c r="Y613">
        <v>0</v>
      </c>
      <c r="AA613">
        <v>1</v>
      </c>
      <c r="AB613">
        <v>8</v>
      </c>
      <c r="AC613">
        <v>3</v>
      </c>
      <c r="AD613">
        <v>0</v>
      </c>
      <c r="AE613">
        <v>9</v>
      </c>
      <c r="AF613" t="s">
        <v>138</v>
      </c>
      <c r="AG613">
        <v>0</v>
      </c>
      <c r="AH613">
        <v>3</v>
      </c>
      <c r="AI613">
        <v>1</v>
      </c>
      <c r="AJ613">
        <v>0</v>
      </c>
      <c r="AK613" t="s">
        <v>307</v>
      </c>
      <c r="AL613">
        <v>38.961725000000001</v>
      </c>
      <c r="AM613" t="s">
        <v>299</v>
      </c>
      <c r="AN613">
        <v>-121.04968100000001</v>
      </c>
      <c r="AO613">
        <v>25</v>
      </c>
      <c r="AP613">
        <v>2500</v>
      </c>
      <c r="AQ613" t="s">
        <v>131</v>
      </c>
      <c r="AR613">
        <v>-1</v>
      </c>
      <c r="AS613">
        <v>71</v>
      </c>
      <c r="AT613">
        <v>192</v>
      </c>
      <c r="BB613" t="str">
        <f t="shared" si="231"/>
        <v>1200</v>
      </c>
      <c r="BC613">
        <v>1</v>
      </c>
      <c r="BD613" t="str">
        <f t="shared" si="232"/>
        <v xml:space="preserve">N52156  </v>
      </c>
      <c r="BE613">
        <v>1</v>
      </c>
      <c r="BG613">
        <v>0</v>
      </c>
      <c r="BH613">
        <v>0</v>
      </c>
      <c r="BI613">
        <v>0</v>
      </c>
      <c r="BJ613">
        <v>2475</v>
      </c>
      <c r="BK613">
        <v>-25</v>
      </c>
      <c r="BL613" t="s">
        <v>188</v>
      </c>
      <c r="BM613">
        <v>1</v>
      </c>
      <c r="BN613">
        <v>1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 t="shared" si="243"/>
        <v>15:06:13.592</v>
      </c>
      <c r="CF613">
        <v>591949430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6</v>
      </c>
      <c r="CY613">
        <v>7</v>
      </c>
      <c r="CZ613" t="s">
        <v>133</v>
      </c>
      <c r="DA613">
        <v>275</v>
      </c>
      <c r="DB613">
        <v>0</v>
      </c>
      <c r="DC613" t="s">
        <v>134</v>
      </c>
      <c r="DD613" t="s">
        <v>135</v>
      </c>
      <c r="DG613">
        <v>3318815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"05/01/2025 15:06:14.932"</f>
        <v>05/01/2025 15:06:14.932</v>
      </c>
      <c r="C614" t="str">
        <f t="shared" si="228"/>
        <v>FFDFD3C0</v>
      </c>
      <c r="D614" t="s">
        <v>140</v>
      </c>
      <c r="E614" t="str">
        <f>"13"</f>
        <v>13</v>
      </c>
      <c r="F614">
        <v>1019</v>
      </c>
      <c r="G614" t="s">
        <v>141</v>
      </c>
      <c r="J614" t="s">
        <v>142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R614" t="s">
        <v>127</v>
      </c>
      <c r="S614" t="str">
        <f t="shared" ref="S614:T619" si="244">"15:06:14.000"</f>
        <v>15:06:14.000</v>
      </c>
      <c r="T614" t="str">
        <f t="shared" si="244"/>
        <v>15:06:14.000</v>
      </c>
      <c r="U614" t="str">
        <f t="shared" si="230"/>
        <v>A68FCB</v>
      </c>
      <c r="V614">
        <v>0</v>
      </c>
      <c r="W614">
        <v>0</v>
      </c>
      <c r="X614">
        <v>2</v>
      </c>
      <c r="Y614">
        <v>0</v>
      </c>
      <c r="AA614">
        <v>1</v>
      </c>
      <c r="AB614">
        <v>8</v>
      </c>
      <c r="AC614">
        <v>3</v>
      </c>
      <c r="AD614">
        <v>0</v>
      </c>
      <c r="AE614">
        <v>9</v>
      </c>
      <c r="AF614" t="s">
        <v>138</v>
      </c>
      <c r="AG614">
        <v>0</v>
      </c>
      <c r="AH614">
        <v>3</v>
      </c>
      <c r="AI614">
        <v>1</v>
      </c>
      <c r="AJ614">
        <v>0</v>
      </c>
      <c r="AK614" t="s">
        <v>308</v>
      </c>
      <c r="AL614">
        <v>38.962046999999998</v>
      </c>
      <c r="AM614" t="s">
        <v>299</v>
      </c>
      <c r="AN614">
        <v>-121.04968100000001</v>
      </c>
      <c r="AO614">
        <v>25</v>
      </c>
      <c r="AP614">
        <v>2500</v>
      </c>
      <c r="AQ614" t="s">
        <v>131</v>
      </c>
      <c r="AR614">
        <v>-1</v>
      </c>
      <c r="AS614">
        <v>74</v>
      </c>
      <c r="AT614">
        <v>0</v>
      </c>
      <c r="BB614" t="str">
        <f t="shared" si="231"/>
        <v>1200</v>
      </c>
      <c r="BC614">
        <v>1</v>
      </c>
      <c r="BD614" t="str">
        <f t="shared" si="232"/>
        <v xml:space="preserve">N52156  </v>
      </c>
      <c r="BE614">
        <v>1</v>
      </c>
      <c r="BG614">
        <v>0</v>
      </c>
      <c r="BH614">
        <v>0</v>
      </c>
      <c r="BI614">
        <v>0</v>
      </c>
      <c r="BJ614">
        <v>2475</v>
      </c>
      <c r="BK614">
        <v>-25</v>
      </c>
      <c r="BL614" t="s">
        <v>188</v>
      </c>
      <c r="BM614">
        <v>1</v>
      </c>
      <c r="BN614">
        <v>1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 t="shared" ref="CE614:CE619" si="245">"15:06:14.701"</f>
        <v>15:06:14.701</v>
      </c>
      <c r="CF614">
        <v>700699736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5</v>
      </c>
      <c r="CY614">
        <v>7</v>
      </c>
      <c r="CZ614" t="s">
        <v>133</v>
      </c>
      <c r="DA614">
        <v>275</v>
      </c>
      <c r="DB614">
        <v>0</v>
      </c>
      <c r="DC614" t="s">
        <v>134</v>
      </c>
      <c r="DD614" t="s">
        <v>135</v>
      </c>
      <c r="DG614">
        <v>3318830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"05/01/2025 15:06:14.942"</f>
        <v>05/01/2025 15:06:14.942</v>
      </c>
      <c r="C615" t="str">
        <f t="shared" si="228"/>
        <v>FFDFD3C0</v>
      </c>
      <c r="D615" t="s">
        <v>124</v>
      </c>
      <c r="E615" t="str">
        <f>"06"</f>
        <v>06</v>
      </c>
      <c r="F615">
        <v>2006</v>
      </c>
      <c r="G615" t="s">
        <v>125</v>
      </c>
      <c r="J615" t="s">
        <v>126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R615" t="s">
        <v>127</v>
      </c>
      <c r="S615" t="str">
        <f t="shared" si="244"/>
        <v>15:06:14.000</v>
      </c>
      <c r="T615" t="str">
        <f t="shared" si="244"/>
        <v>15:06:14.000</v>
      </c>
      <c r="U615" t="str">
        <f t="shared" si="230"/>
        <v>A68FCB</v>
      </c>
      <c r="V615">
        <v>0</v>
      </c>
      <c r="W615">
        <v>0</v>
      </c>
      <c r="X615">
        <v>2</v>
      </c>
      <c r="Y615">
        <v>0</v>
      </c>
      <c r="AA615">
        <v>1</v>
      </c>
      <c r="AB615">
        <v>8</v>
      </c>
      <c r="AC615">
        <v>3</v>
      </c>
      <c r="AD615">
        <v>0</v>
      </c>
      <c r="AE615">
        <v>9</v>
      </c>
      <c r="AF615" t="s">
        <v>138</v>
      </c>
      <c r="AG615">
        <v>0</v>
      </c>
      <c r="AH615">
        <v>3</v>
      </c>
      <c r="AI615">
        <v>1</v>
      </c>
      <c r="AJ615">
        <v>0</v>
      </c>
      <c r="AK615" t="s">
        <v>308</v>
      </c>
      <c r="AL615">
        <v>38.962046999999998</v>
      </c>
      <c r="AM615" t="s">
        <v>299</v>
      </c>
      <c r="AN615">
        <v>-121.04968100000001</v>
      </c>
      <c r="AO615">
        <v>25</v>
      </c>
      <c r="AP615">
        <v>2500</v>
      </c>
      <c r="AQ615" t="s">
        <v>131</v>
      </c>
      <c r="AR615">
        <v>-1</v>
      </c>
      <c r="AS615">
        <v>74</v>
      </c>
      <c r="AT615">
        <v>0</v>
      </c>
      <c r="BB615" t="str">
        <f t="shared" si="231"/>
        <v>1200</v>
      </c>
      <c r="BC615">
        <v>1</v>
      </c>
      <c r="BD615" t="str">
        <f t="shared" si="232"/>
        <v xml:space="preserve">N52156  </v>
      </c>
      <c r="BE615">
        <v>1</v>
      </c>
      <c r="BG615">
        <v>0</v>
      </c>
      <c r="BH615">
        <v>0</v>
      </c>
      <c r="BI615">
        <v>0</v>
      </c>
      <c r="BJ615">
        <v>2475</v>
      </c>
      <c r="BK615">
        <v>-25</v>
      </c>
      <c r="BL615" t="s">
        <v>188</v>
      </c>
      <c r="BM615">
        <v>1</v>
      </c>
      <c r="BN615">
        <v>1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 t="shared" si="245"/>
        <v>15:06:14.701</v>
      </c>
      <c r="CF615">
        <v>700699736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5</v>
      </c>
      <c r="CY615">
        <v>7</v>
      </c>
      <c r="CZ615" t="s">
        <v>133</v>
      </c>
      <c r="DA615">
        <v>275</v>
      </c>
      <c r="DB615">
        <v>0</v>
      </c>
      <c r="DC615" t="s">
        <v>134</v>
      </c>
      <c r="DD615" t="s">
        <v>135</v>
      </c>
      <c r="DG615">
        <v>3318830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"05/01/2025 15:06:14.944"</f>
        <v>05/01/2025 15:06:14.944</v>
      </c>
      <c r="C616" t="str">
        <f t="shared" si="228"/>
        <v>FFDFD3C0</v>
      </c>
      <c r="D616" t="s">
        <v>145</v>
      </c>
      <c r="E616" t="str">
        <f>"09"</f>
        <v>09</v>
      </c>
      <c r="H616">
        <v>51</v>
      </c>
      <c r="I616" t="s">
        <v>147</v>
      </c>
      <c r="J616" t="s">
        <v>138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R616" t="s">
        <v>127</v>
      </c>
      <c r="S616" t="str">
        <f t="shared" si="244"/>
        <v>15:06:14.000</v>
      </c>
      <c r="T616" t="str">
        <f t="shared" si="244"/>
        <v>15:06:14.000</v>
      </c>
      <c r="U616" t="str">
        <f t="shared" si="230"/>
        <v>A68FCB</v>
      </c>
      <c r="V616">
        <v>0</v>
      </c>
      <c r="W616">
        <v>0</v>
      </c>
      <c r="X616">
        <v>2</v>
      </c>
      <c r="Y616">
        <v>0</v>
      </c>
      <c r="AA616">
        <v>1</v>
      </c>
      <c r="AB616">
        <v>8</v>
      </c>
      <c r="AC616">
        <v>3</v>
      </c>
      <c r="AD616">
        <v>0</v>
      </c>
      <c r="AE616">
        <v>9</v>
      </c>
      <c r="AF616" t="s">
        <v>138</v>
      </c>
      <c r="AG616">
        <v>0</v>
      </c>
      <c r="AH616">
        <v>3</v>
      </c>
      <c r="AI616">
        <v>1</v>
      </c>
      <c r="AJ616">
        <v>0</v>
      </c>
      <c r="AK616" t="s">
        <v>308</v>
      </c>
      <c r="AL616">
        <v>38.962046999999998</v>
      </c>
      <c r="AM616" t="s">
        <v>299</v>
      </c>
      <c r="AN616">
        <v>-121.04968100000001</v>
      </c>
      <c r="AO616">
        <v>25</v>
      </c>
      <c r="AP616">
        <v>2500</v>
      </c>
      <c r="AQ616" t="s">
        <v>131</v>
      </c>
      <c r="AR616">
        <v>-1</v>
      </c>
      <c r="AS616">
        <v>74</v>
      </c>
      <c r="AT616">
        <v>0</v>
      </c>
      <c r="BB616" t="str">
        <f t="shared" si="231"/>
        <v>1200</v>
      </c>
      <c r="BC616">
        <v>1</v>
      </c>
      <c r="BD616" t="str">
        <f t="shared" si="232"/>
        <v xml:space="preserve">N52156  </v>
      </c>
      <c r="BE616">
        <v>1</v>
      </c>
      <c r="BG616">
        <v>0</v>
      </c>
      <c r="BH616">
        <v>0</v>
      </c>
      <c r="BI616">
        <v>0</v>
      </c>
      <c r="BJ616">
        <v>2475</v>
      </c>
      <c r="BK616">
        <v>-25</v>
      </c>
      <c r="BL616" t="s">
        <v>188</v>
      </c>
      <c r="BM616">
        <v>1</v>
      </c>
      <c r="BN616">
        <v>1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 t="shared" si="245"/>
        <v>15:06:14.701</v>
      </c>
      <c r="CF616">
        <v>700699736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5</v>
      </c>
      <c r="CY616">
        <v>7</v>
      </c>
      <c r="CZ616" t="s">
        <v>133</v>
      </c>
      <c r="DA616">
        <v>275</v>
      </c>
      <c r="DB616">
        <v>0</v>
      </c>
      <c r="DC616" t="s">
        <v>134</v>
      </c>
      <c r="DD616" t="s">
        <v>135</v>
      </c>
      <c r="DG616">
        <v>3318830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"05/01/2025 15:06:14.944"</f>
        <v>05/01/2025 15:06:14.944</v>
      </c>
      <c r="C617" t="str">
        <f t="shared" si="228"/>
        <v>FFDFD3C0</v>
      </c>
      <c r="D617" t="s">
        <v>145</v>
      </c>
      <c r="E617" t="str">
        <f>"05"</f>
        <v>05</v>
      </c>
      <c r="H617">
        <v>47</v>
      </c>
      <c r="I617" t="s">
        <v>146</v>
      </c>
      <c r="J617" t="s">
        <v>138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R617" t="s">
        <v>127</v>
      </c>
      <c r="S617" t="str">
        <f t="shared" si="244"/>
        <v>15:06:14.000</v>
      </c>
      <c r="T617" t="str">
        <f t="shared" si="244"/>
        <v>15:06:14.000</v>
      </c>
      <c r="U617" t="str">
        <f t="shared" si="230"/>
        <v>A68FCB</v>
      </c>
      <c r="V617">
        <v>0</v>
      </c>
      <c r="W617">
        <v>0</v>
      </c>
      <c r="X617">
        <v>2</v>
      </c>
      <c r="Y617">
        <v>0</v>
      </c>
      <c r="AA617">
        <v>1</v>
      </c>
      <c r="AB617">
        <v>8</v>
      </c>
      <c r="AC617">
        <v>3</v>
      </c>
      <c r="AD617">
        <v>0</v>
      </c>
      <c r="AE617">
        <v>9</v>
      </c>
      <c r="AF617" t="s">
        <v>138</v>
      </c>
      <c r="AG617">
        <v>0</v>
      </c>
      <c r="AH617">
        <v>3</v>
      </c>
      <c r="AI617">
        <v>1</v>
      </c>
      <c r="AJ617">
        <v>0</v>
      </c>
      <c r="AK617" t="s">
        <v>308</v>
      </c>
      <c r="AL617">
        <v>38.962046999999998</v>
      </c>
      <c r="AM617" t="s">
        <v>299</v>
      </c>
      <c r="AN617">
        <v>-121.04968100000001</v>
      </c>
      <c r="AO617">
        <v>25</v>
      </c>
      <c r="AP617">
        <v>2500</v>
      </c>
      <c r="AQ617" t="s">
        <v>131</v>
      </c>
      <c r="AR617">
        <v>-1</v>
      </c>
      <c r="AS617">
        <v>74</v>
      </c>
      <c r="AT617">
        <v>0</v>
      </c>
      <c r="BB617" t="str">
        <f t="shared" si="231"/>
        <v>1200</v>
      </c>
      <c r="BC617">
        <v>1</v>
      </c>
      <c r="BD617" t="str">
        <f t="shared" si="232"/>
        <v xml:space="preserve">N52156  </v>
      </c>
      <c r="BE617">
        <v>1</v>
      </c>
      <c r="BG617">
        <v>0</v>
      </c>
      <c r="BH617">
        <v>0</v>
      </c>
      <c r="BI617">
        <v>0</v>
      </c>
      <c r="BJ617">
        <v>2475</v>
      </c>
      <c r="BK617">
        <v>-25</v>
      </c>
      <c r="BL617" t="s">
        <v>188</v>
      </c>
      <c r="BM617">
        <v>1</v>
      </c>
      <c r="BN617">
        <v>1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 t="shared" si="245"/>
        <v>15:06:14.701</v>
      </c>
      <c r="CF617">
        <v>700699736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5</v>
      </c>
      <c r="CY617">
        <v>7</v>
      </c>
      <c r="CZ617" t="s">
        <v>133</v>
      </c>
      <c r="DA617">
        <v>275</v>
      </c>
      <c r="DB617">
        <v>0</v>
      </c>
      <c r="DC617" t="s">
        <v>134</v>
      </c>
      <c r="DD617" t="s">
        <v>135</v>
      </c>
      <c r="DG617">
        <v>3318830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"05/01/2025 15:06:14.943"</f>
        <v>05/01/2025 15:06:14.943</v>
      </c>
      <c r="C618" t="str">
        <f t="shared" si="228"/>
        <v>FFDFD3C0</v>
      </c>
      <c r="D618" t="s">
        <v>143</v>
      </c>
      <c r="E618" t="str">
        <f>"05"</f>
        <v>05</v>
      </c>
      <c r="H618">
        <v>172</v>
      </c>
      <c r="I618" t="s">
        <v>141</v>
      </c>
      <c r="J618" t="s">
        <v>144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R618" t="s">
        <v>127</v>
      </c>
      <c r="S618" t="str">
        <f t="shared" si="244"/>
        <v>15:06:14.000</v>
      </c>
      <c r="T618" t="str">
        <f t="shared" si="244"/>
        <v>15:06:14.000</v>
      </c>
      <c r="U618" t="str">
        <f t="shared" si="230"/>
        <v>A68FCB</v>
      </c>
      <c r="V618">
        <v>0</v>
      </c>
      <c r="W618">
        <v>0</v>
      </c>
      <c r="X618">
        <v>2</v>
      </c>
      <c r="Y618">
        <v>0</v>
      </c>
      <c r="AA618">
        <v>1</v>
      </c>
      <c r="AB618">
        <v>8</v>
      </c>
      <c r="AC618">
        <v>3</v>
      </c>
      <c r="AD618">
        <v>0</v>
      </c>
      <c r="AE618">
        <v>9</v>
      </c>
      <c r="AF618" t="s">
        <v>138</v>
      </c>
      <c r="AG618">
        <v>0</v>
      </c>
      <c r="AH618">
        <v>3</v>
      </c>
      <c r="AI618">
        <v>1</v>
      </c>
      <c r="AJ618">
        <v>0</v>
      </c>
      <c r="AK618" t="s">
        <v>308</v>
      </c>
      <c r="AL618">
        <v>38.962046999999998</v>
      </c>
      <c r="AM618" t="s">
        <v>299</v>
      </c>
      <c r="AN618">
        <v>-121.04968100000001</v>
      </c>
      <c r="AO618">
        <v>25</v>
      </c>
      <c r="AP618">
        <v>2500</v>
      </c>
      <c r="AQ618" t="s">
        <v>131</v>
      </c>
      <c r="AR618">
        <v>-1</v>
      </c>
      <c r="AS618">
        <v>74</v>
      </c>
      <c r="AT618">
        <v>0</v>
      </c>
      <c r="BB618" t="str">
        <f t="shared" si="231"/>
        <v>1200</v>
      </c>
      <c r="BC618">
        <v>1</v>
      </c>
      <c r="BD618" t="str">
        <f t="shared" si="232"/>
        <v xml:space="preserve">N52156  </v>
      </c>
      <c r="BE618">
        <v>1</v>
      </c>
      <c r="BG618">
        <v>0</v>
      </c>
      <c r="BH618">
        <v>0</v>
      </c>
      <c r="BI618">
        <v>0</v>
      </c>
      <c r="BJ618">
        <v>2475</v>
      </c>
      <c r="BK618">
        <v>-25</v>
      </c>
      <c r="BL618" t="s">
        <v>188</v>
      </c>
      <c r="BM618">
        <v>1</v>
      </c>
      <c r="BN618">
        <v>1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 t="shared" si="245"/>
        <v>15:06:14.701</v>
      </c>
      <c r="CF618">
        <v>700699736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5</v>
      </c>
      <c r="CY618">
        <v>7</v>
      </c>
      <c r="CZ618" t="s">
        <v>133</v>
      </c>
      <c r="DA618">
        <v>275</v>
      </c>
      <c r="DB618">
        <v>0</v>
      </c>
      <c r="DC618" t="s">
        <v>134</v>
      </c>
      <c r="DD618" t="s">
        <v>135</v>
      </c>
      <c r="DG618">
        <v>3318830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"05/01/2025 15:06:14.953"</f>
        <v>05/01/2025 15:06:14.953</v>
      </c>
      <c r="C619" t="str">
        <f t="shared" si="228"/>
        <v>FFDFD3C0</v>
      </c>
      <c r="D619" t="s">
        <v>136</v>
      </c>
      <c r="E619" t="str">
        <f>"20"</f>
        <v>20</v>
      </c>
      <c r="H619">
        <v>400</v>
      </c>
      <c r="I619" t="s">
        <v>137</v>
      </c>
      <c r="J619" t="s">
        <v>138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R619" t="s">
        <v>127</v>
      </c>
      <c r="S619" t="str">
        <f t="shared" si="244"/>
        <v>15:06:14.000</v>
      </c>
      <c r="T619" t="str">
        <f t="shared" si="244"/>
        <v>15:06:14.000</v>
      </c>
      <c r="U619" t="str">
        <f t="shared" si="230"/>
        <v>A68FCB</v>
      </c>
      <c r="V619">
        <v>0</v>
      </c>
      <c r="W619">
        <v>0</v>
      </c>
      <c r="X619">
        <v>2</v>
      </c>
      <c r="Y619">
        <v>0</v>
      </c>
      <c r="AA619">
        <v>1</v>
      </c>
      <c r="AB619">
        <v>8</v>
      </c>
      <c r="AC619">
        <v>3</v>
      </c>
      <c r="AD619">
        <v>0</v>
      </c>
      <c r="AE619">
        <v>9</v>
      </c>
      <c r="AF619" t="s">
        <v>138</v>
      </c>
      <c r="AG619">
        <v>0</v>
      </c>
      <c r="AH619">
        <v>3</v>
      </c>
      <c r="AI619">
        <v>1</v>
      </c>
      <c r="AJ619">
        <v>0</v>
      </c>
      <c r="AK619" t="s">
        <v>308</v>
      </c>
      <c r="AL619">
        <v>38.962046999999998</v>
      </c>
      <c r="AM619" t="s">
        <v>299</v>
      </c>
      <c r="AN619">
        <v>-121.04968100000001</v>
      </c>
      <c r="AO619">
        <v>25</v>
      </c>
      <c r="AP619">
        <v>2500</v>
      </c>
      <c r="AQ619" t="s">
        <v>131</v>
      </c>
      <c r="AR619">
        <v>-1</v>
      </c>
      <c r="AS619">
        <v>74</v>
      </c>
      <c r="AT619">
        <v>0</v>
      </c>
      <c r="BB619" t="str">
        <f t="shared" si="231"/>
        <v>1200</v>
      </c>
      <c r="BC619">
        <v>1</v>
      </c>
      <c r="BD619" t="str">
        <f t="shared" si="232"/>
        <v xml:space="preserve">N52156  </v>
      </c>
      <c r="BE619">
        <v>1</v>
      </c>
      <c r="BG619">
        <v>0</v>
      </c>
      <c r="BH619">
        <v>0</v>
      </c>
      <c r="BI619">
        <v>0</v>
      </c>
      <c r="BJ619">
        <v>2475</v>
      </c>
      <c r="BK619">
        <v>-25</v>
      </c>
      <c r="BL619" t="s">
        <v>188</v>
      </c>
      <c r="BM619">
        <v>1</v>
      </c>
      <c r="BN619">
        <v>1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 t="shared" si="245"/>
        <v>15:06:14.701</v>
      </c>
      <c r="CF619">
        <v>700699736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5</v>
      </c>
      <c r="CY619">
        <v>7</v>
      </c>
      <c r="CZ619" t="s">
        <v>133</v>
      </c>
      <c r="DA619">
        <v>275</v>
      </c>
      <c r="DB619">
        <v>0</v>
      </c>
      <c r="DC619" t="s">
        <v>134</v>
      </c>
      <c r="DD619" t="s">
        <v>135</v>
      </c>
      <c r="DG619">
        <v>3318830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"05/01/2025 15:06:15.443"</f>
        <v>05/01/2025 15:06:15.443</v>
      </c>
      <c r="C620" t="str">
        <f t="shared" si="228"/>
        <v>FFDFD3C0</v>
      </c>
      <c r="D620" t="s">
        <v>124</v>
      </c>
      <c r="E620" t="str">
        <f>"06"</f>
        <v>06</v>
      </c>
      <c r="F620">
        <v>2006</v>
      </c>
      <c r="G620" t="s">
        <v>125</v>
      </c>
      <c r="J620" t="s">
        <v>126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R620" t="s">
        <v>127</v>
      </c>
      <c r="S620" t="str">
        <f t="shared" ref="S620:T625" si="246">"15:06:15.000"</f>
        <v>15:06:15.000</v>
      </c>
      <c r="T620" t="str">
        <f t="shared" si="246"/>
        <v>15:06:15.000</v>
      </c>
      <c r="U620" t="str">
        <f t="shared" si="230"/>
        <v>A68FCB</v>
      </c>
      <c r="V620">
        <v>0</v>
      </c>
      <c r="W620">
        <v>0</v>
      </c>
      <c r="X620">
        <v>2</v>
      </c>
      <c r="Y620">
        <v>0</v>
      </c>
      <c r="AA620">
        <v>1</v>
      </c>
      <c r="AB620">
        <v>8</v>
      </c>
      <c r="AC620">
        <v>3</v>
      </c>
      <c r="AD620">
        <v>0</v>
      </c>
      <c r="AE620">
        <v>9</v>
      </c>
      <c r="AF620" t="s">
        <v>138</v>
      </c>
      <c r="AG620">
        <v>0</v>
      </c>
      <c r="AH620">
        <v>3</v>
      </c>
      <c r="AI620">
        <v>1</v>
      </c>
      <c r="AJ620">
        <v>0</v>
      </c>
      <c r="AK620" t="s">
        <v>309</v>
      </c>
      <c r="AL620">
        <v>38.962412</v>
      </c>
      <c r="AM620" t="s">
        <v>297</v>
      </c>
      <c r="AN620">
        <v>-121.049702</v>
      </c>
      <c r="AO620">
        <v>25</v>
      </c>
      <c r="AP620">
        <v>2500</v>
      </c>
      <c r="AQ620" t="s">
        <v>131</v>
      </c>
      <c r="AR620">
        <v>-1</v>
      </c>
      <c r="AS620">
        <v>74</v>
      </c>
      <c r="AT620">
        <v>0</v>
      </c>
      <c r="BB620" t="str">
        <f t="shared" si="231"/>
        <v>1200</v>
      </c>
      <c r="BC620">
        <v>1</v>
      </c>
      <c r="BD620" t="str">
        <f t="shared" si="232"/>
        <v xml:space="preserve">N52156  </v>
      </c>
      <c r="BE620">
        <v>1</v>
      </c>
      <c r="BG620">
        <v>0</v>
      </c>
      <c r="BH620">
        <v>0</v>
      </c>
      <c r="BI620">
        <v>0</v>
      </c>
      <c r="BJ620">
        <v>2500</v>
      </c>
      <c r="BK620">
        <v>0</v>
      </c>
      <c r="BL620" t="s">
        <v>188</v>
      </c>
      <c r="BM620">
        <v>1</v>
      </c>
      <c r="BN620">
        <v>1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 t="shared" ref="CE620:CE625" si="247">"15:06:15.241"</f>
        <v>15:06:15.241</v>
      </c>
      <c r="CF620">
        <v>241448600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5</v>
      </c>
      <c r="CY620">
        <v>7</v>
      </c>
      <c r="CZ620" t="s">
        <v>133</v>
      </c>
      <c r="DA620">
        <v>275</v>
      </c>
      <c r="DB620">
        <v>0</v>
      </c>
      <c r="DC620" t="s">
        <v>134</v>
      </c>
      <c r="DD620" t="s">
        <v>135</v>
      </c>
      <c r="DG620">
        <v>3318840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"05/01/2025 15:06:15.444"</f>
        <v>05/01/2025 15:06:15.444</v>
      </c>
      <c r="C621" t="str">
        <f t="shared" si="228"/>
        <v>FFDFD3C0</v>
      </c>
      <c r="D621" t="s">
        <v>145</v>
      </c>
      <c r="E621" t="str">
        <f>"09"</f>
        <v>09</v>
      </c>
      <c r="H621">
        <v>51</v>
      </c>
      <c r="I621" t="s">
        <v>147</v>
      </c>
      <c r="J621" t="s">
        <v>138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R621" t="s">
        <v>127</v>
      </c>
      <c r="S621" t="str">
        <f t="shared" si="246"/>
        <v>15:06:15.000</v>
      </c>
      <c r="T621" t="str">
        <f t="shared" si="246"/>
        <v>15:06:15.000</v>
      </c>
      <c r="U621" t="str">
        <f t="shared" si="230"/>
        <v>A68FCB</v>
      </c>
      <c r="V621">
        <v>0</v>
      </c>
      <c r="W621">
        <v>0</v>
      </c>
      <c r="X621">
        <v>2</v>
      </c>
      <c r="Y621">
        <v>0</v>
      </c>
      <c r="AA621">
        <v>1</v>
      </c>
      <c r="AB621">
        <v>8</v>
      </c>
      <c r="AC621">
        <v>3</v>
      </c>
      <c r="AD621">
        <v>0</v>
      </c>
      <c r="AE621">
        <v>9</v>
      </c>
      <c r="AF621" t="s">
        <v>138</v>
      </c>
      <c r="AG621">
        <v>0</v>
      </c>
      <c r="AH621">
        <v>3</v>
      </c>
      <c r="AI621">
        <v>1</v>
      </c>
      <c r="AJ621">
        <v>0</v>
      </c>
      <c r="AK621" t="s">
        <v>309</v>
      </c>
      <c r="AL621">
        <v>38.962412</v>
      </c>
      <c r="AM621" t="s">
        <v>297</v>
      </c>
      <c r="AN621">
        <v>-121.049702</v>
      </c>
      <c r="AO621">
        <v>25</v>
      </c>
      <c r="AP621">
        <v>2500</v>
      </c>
      <c r="AQ621" t="s">
        <v>131</v>
      </c>
      <c r="AR621">
        <v>-1</v>
      </c>
      <c r="AS621">
        <v>74</v>
      </c>
      <c r="AT621">
        <v>0</v>
      </c>
      <c r="BB621" t="str">
        <f t="shared" si="231"/>
        <v>1200</v>
      </c>
      <c r="BC621">
        <v>1</v>
      </c>
      <c r="BD621" t="str">
        <f t="shared" si="232"/>
        <v xml:space="preserve">N52156  </v>
      </c>
      <c r="BE621">
        <v>1</v>
      </c>
      <c r="BG621">
        <v>0</v>
      </c>
      <c r="BH621">
        <v>0</v>
      </c>
      <c r="BI621">
        <v>0</v>
      </c>
      <c r="BJ621">
        <v>2500</v>
      </c>
      <c r="BK621">
        <v>0</v>
      </c>
      <c r="BL621" t="s">
        <v>188</v>
      </c>
      <c r="BM621">
        <v>1</v>
      </c>
      <c r="BN621">
        <v>1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 t="shared" si="247"/>
        <v>15:06:15.241</v>
      </c>
      <c r="CF621">
        <v>241448600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5</v>
      </c>
      <c r="CY621">
        <v>7</v>
      </c>
      <c r="CZ621" t="s">
        <v>133</v>
      </c>
      <c r="DA621">
        <v>275</v>
      </c>
      <c r="DB621">
        <v>0</v>
      </c>
      <c r="DC621" t="s">
        <v>134</v>
      </c>
      <c r="DD621" t="s">
        <v>135</v>
      </c>
      <c r="DG621">
        <v>3318840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"05/01/2025 15:06:15.444"</f>
        <v>05/01/2025 15:06:15.444</v>
      </c>
      <c r="C622" t="str">
        <f t="shared" si="228"/>
        <v>FFDFD3C0</v>
      </c>
      <c r="D622" t="s">
        <v>145</v>
      </c>
      <c r="E622" t="str">
        <f>"05"</f>
        <v>05</v>
      </c>
      <c r="H622">
        <v>47</v>
      </c>
      <c r="I622" t="s">
        <v>146</v>
      </c>
      <c r="J622" t="s">
        <v>138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R622" t="s">
        <v>127</v>
      </c>
      <c r="S622" t="str">
        <f t="shared" si="246"/>
        <v>15:06:15.000</v>
      </c>
      <c r="T622" t="str">
        <f t="shared" si="246"/>
        <v>15:06:15.000</v>
      </c>
      <c r="U622" t="str">
        <f t="shared" si="230"/>
        <v>A68FCB</v>
      </c>
      <c r="V622">
        <v>0</v>
      </c>
      <c r="W622">
        <v>0</v>
      </c>
      <c r="X622">
        <v>2</v>
      </c>
      <c r="Y622">
        <v>0</v>
      </c>
      <c r="AA622">
        <v>1</v>
      </c>
      <c r="AB622">
        <v>8</v>
      </c>
      <c r="AC622">
        <v>3</v>
      </c>
      <c r="AD622">
        <v>0</v>
      </c>
      <c r="AE622">
        <v>9</v>
      </c>
      <c r="AF622" t="s">
        <v>138</v>
      </c>
      <c r="AG622">
        <v>0</v>
      </c>
      <c r="AH622">
        <v>3</v>
      </c>
      <c r="AI622">
        <v>1</v>
      </c>
      <c r="AJ622">
        <v>0</v>
      </c>
      <c r="AK622" t="s">
        <v>309</v>
      </c>
      <c r="AL622">
        <v>38.962412</v>
      </c>
      <c r="AM622" t="s">
        <v>297</v>
      </c>
      <c r="AN622">
        <v>-121.049702</v>
      </c>
      <c r="AO622">
        <v>25</v>
      </c>
      <c r="AP622">
        <v>2500</v>
      </c>
      <c r="AQ622" t="s">
        <v>131</v>
      </c>
      <c r="AR622">
        <v>-1</v>
      </c>
      <c r="AS622">
        <v>74</v>
      </c>
      <c r="AT622">
        <v>0</v>
      </c>
      <c r="BB622" t="str">
        <f t="shared" si="231"/>
        <v>1200</v>
      </c>
      <c r="BC622">
        <v>1</v>
      </c>
      <c r="BD622" t="str">
        <f t="shared" si="232"/>
        <v xml:space="preserve">N52156  </v>
      </c>
      <c r="BE622">
        <v>1</v>
      </c>
      <c r="BG622">
        <v>0</v>
      </c>
      <c r="BH622">
        <v>0</v>
      </c>
      <c r="BI622">
        <v>0</v>
      </c>
      <c r="BJ622">
        <v>2500</v>
      </c>
      <c r="BK622">
        <v>0</v>
      </c>
      <c r="BL622" t="s">
        <v>188</v>
      </c>
      <c r="BM622">
        <v>1</v>
      </c>
      <c r="BN622">
        <v>1</v>
      </c>
      <c r="BO622">
        <v>0</v>
      </c>
      <c r="BP622">
        <v>0</v>
      </c>
      <c r="BS622">
        <v>0</v>
      </c>
      <c r="BT622">
        <v>0</v>
      </c>
      <c r="BU622">
        <v>0</v>
      </c>
      <c r="CE622" t="str">
        <f t="shared" si="247"/>
        <v>15:06:15.241</v>
      </c>
      <c r="CF622">
        <v>241448600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5</v>
      </c>
      <c r="CY622">
        <v>7</v>
      </c>
      <c r="CZ622" t="s">
        <v>133</v>
      </c>
      <c r="DA622">
        <v>275</v>
      </c>
      <c r="DB622">
        <v>0</v>
      </c>
      <c r="DC622" t="s">
        <v>134</v>
      </c>
      <c r="DD622" t="s">
        <v>135</v>
      </c>
      <c r="DG622">
        <v>3318840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"05/01/2025 15:06:15.443"</f>
        <v>05/01/2025 15:06:15.443</v>
      </c>
      <c r="C623" t="str">
        <f t="shared" si="228"/>
        <v>FFDFD3C0</v>
      </c>
      <c r="D623" t="s">
        <v>143</v>
      </c>
      <c r="E623" t="str">
        <f>"05"</f>
        <v>05</v>
      </c>
      <c r="H623">
        <v>172</v>
      </c>
      <c r="I623" t="s">
        <v>141</v>
      </c>
      <c r="J623" t="s">
        <v>144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R623" t="s">
        <v>127</v>
      </c>
      <c r="S623" t="str">
        <f t="shared" si="246"/>
        <v>15:06:15.000</v>
      </c>
      <c r="T623" t="str">
        <f t="shared" si="246"/>
        <v>15:06:15.000</v>
      </c>
      <c r="U623" t="str">
        <f t="shared" si="230"/>
        <v>A68FCB</v>
      </c>
      <c r="V623">
        <v>0</v>
      </c>
      <c r="W623">
        <v>0</v>
      </c>
      <c r="X623">
        <v>2</v>
      </c>
      <c r="Y623">
        <v>0</v>
      </c>
      <c r="AA623">
        <v>1</v>
      </c>
      <c r="AB623">
        <v>8</v>
      </c>
      <c r="AC623">
        <v>3</v>
      </c>
      <c r="AD623">
        <v>0</v>
      </c>
      <c r="AE623">
        <v>9</v>
      </c>
      <c r="AF623" t="s">
        <v>138</v>
      </c>
      <c r="AG623">
        <v>0</v>
      </c>
      <c r="AH623">
        <v>3</v>
      </c>
      <c r="AI623">
        <v>1</v>
      </c>
      <c r="AJ623">
        <v>0</v>
      </c>
      <c r="AK623" t="s">
        <v>309</v>
      </c>
      <c r="AL623">
        <v>38.962412</v>
      </c>
      <c r="AM623" t="s">
        <v>297</v>
      </c>
      <c r="AN623">
        <v>-121.049702</v>
      </c>
      <c r="AO623">
        <v>25</v>
      </c>
      <c r="AP623">
        <v>2500</v>
      </c>
      <c r="AQ623" t="s">
        <v>131</v>
      </c>
      <c r="AR623">
        <v>-1</v>
      </c>
      <c r="AS623">
        <v>74</v>
      </c>
      <c r="AT623">
        <v>0</v>
      </c>
      <c r="BB623" t="str">
        <f t="shared" si="231"/>
        <v>1200</v>
      </c>
      <c r="BC623">
        <v>1</v>
      </c>
      <c r="BD623" t="str">
        <f t="shared" si="232"/>
        <v xml:space="preserve">N52156  </v>
      </c>
      <c r="BE623">
        <v>1</v>
      </c>
      <c r="BG623">
        <v>0</v>
      </c>
      <c r="BH623">
        <v>0</v>
      </c>
      <c r="BI623">
        <v>0</v>
      </c>
      <c r="BJ623">
        <v>2500</v>
      </c>
      <c r="BK623">
        <v>0</v>
      </c>
      <c r="BL623" t="s">
        <v>188</v>
      </c>
      <c r="BM623">
        <v>1</v>
      </c>
      <c r="BN623">
        <v>1</v>
      </c>
      <c r="BO623">
        <v>0</v>
      </c>
      <c r="BP623">
        <v>0</v>
      </c>
      <c r="BS623">
        <v>0</v>
      </c>
      <c r="BT623">
        <v>0</v>
      </c>
      <c r="BU623">
        <v>0</v>
      </c>
      <c r="CE623" t="str">
        <f t="shared" si="247"/>
        <v>15:06:15.241</v>
      </c>
      <c r="CF623">
        <v>241448600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5</v>
      </c>
      <c r="CY623">
        <v>7</v>
      </c>
      <c r="CZ623" t="s">
        <v>133</v>
      </c>
      <c r="DA623">
        <v>275</v>
      </c>
      <c r="DB623">
        <v>0</v>
      </c>
      <c r="DC623" t="s">
        <v>134</v>
      </c>
      <c r="DD623" t="s">
        <v>135</v>
      </c>
      <c r="DG623">
        <v>3318840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"05/01/2025 15:06:15.455"</f>
        <v>05/01/2025 15:06:15.455</v>
      </c>
      <c r="C624" t="str">
        <f t="shared" si="228"/>
        <v>FFDFD3C0</v>
      </c>
      <c r="D624" t="s">
        <v>136</v>
      </c>
      <c r="E624" t="str">
        <f>"20"</f>
        <v>20</v>
      </c>
      <c r="H624">
        <v>400</v>
      </c>
      <c r="I624" t="s">
        <v>137</v>
      </c>
      <c r="J624" t="s">
        <v>138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R624" t="s">
        <v>127</v>
      </c>
      <c r="S624" t="str">
        <f t="shared" si="246"/>
        <v>15:06:15.000</v>
      </c>
      <c r="T624" t="str">
        <f t="shared" si="246"/>
        <v>15:06:15.000</v>
      </c>
      <c r="U624" t="str">
        <f t="shared" si="230"/>
        <v>A68FCB</v>
      </c>
      <c r="V624">
        <v>0</v>
      </c>
      <c r="W624">
        <v>0</v>
      </c>
      <c r="X624">
        <v>2</v>
      </c>
      <c r="Y624">
        <v>0</v>
      </c>
      <c r="AA624">
        <v>1</v>
      </c>
      <c r="AB624">
        <v>8</v>
      </c>
      <c r="AC624">
        <v>3</v>
      </c>
      <c r="AD624">
        <v>0</v>
      </c>
      <c r="AE624">
        <v>9</v>
      </c>
      <c r="AF624" t="s">
        <v>138</v>
      </c>
      <c r="AG624">
        <v>0</v>
      </c>
      <c r="AH624">
        <v>3</v>
      </c>
      <c r="AI624">
        <v>1</v>
      </c>
      <c r="AJ624">
        <v>0</v>
      </c>
      <c r="AK624" t="s">
        <v>309</v>
      </c>
      <c r="AL624">
        <v>38.962412</v>
      </c>
      <c r="AM624" t="s">
        <v>297</v>
      </c>
      <c r="AN624">
        <v>-121.049702</v>
      </c>
      <c r="AO624">
        <v>25</v>
      </c>
      <c r="AP624">
        <v>2500</v>
      </c>
      <c r="AQ624" t="s">
        <v>131</v>
      </c>
      <c r="AR624">
        <v>-1</v>
      </c>
      <c r="AS624">
        <v>74</v>
      </c>
      <c r="AT624">
        <v>0</v>
      </c>
      <c r="BB624" t="str">
        <f t="shared" si="231"/>
        <v>1200</v>
      </c>
      <c r="BC624">
        <v>1</v>
      </c>
      <c r="BD624" t="str">
        <f t="shared" si="232"/>
        <v xml:space="preserve">N52156  </v>
      </c>
      <c r="BE624">
        <v>1</v>
      </c>
      <c r="BG624">
        <v>0</v>
      </c>
      <c r="BH624">
        <v>0</v>
      </c>
      <c r="BI624">
        <v>0</v>
      </c>
      <c r="BJ624">
        <v>2500</v>
      </c>
      <c r="BK624">
        <v>0</v>
      </c>
      <c r="BL624" t="s">
        <v>188</v>
      </c>
      <c r="BM624">
        <v>1</v>
      </c>
      <c r="BN624">
        <v>1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 t="shared" si="247"/>
        <v>15:06:15.241</v>
      </c>
      <c r="CF624">
        <v>241448600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5</v>
      </c>
      <c r="CY624">
        <v>7</v>
      </c>
      <c r="CZ624" t="s">
        <v>133</v>
      </c>
      <c r="DA624">
        <v>275</v>
      </c>
      <c r="DB624">
        <v>0</v>
      </c>
      <c r="DC624" t="s">
        <v>134</v>
      </c>
      <c r="DD624" t="s">
        <v>135</v>
      </c>
      <c r="DG624">
        <v>3318840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"05/01/2025 15:06:15.483"</f>
        <v>05/01/2025 15:06:15.483</v>
      </c>
      <c r="C625" t="str">
        <f t="shared" si="228"/>
        <v>FFDFD3C0</v>
      </c>
      <c r="D625" t="s">
        <v>140</v>
      </c>
      <c r="E625" t="str">
        <f>"13"</f>
        <v>13</v>
      </c>
      <c r="F625">
        <v>1019</v>
      </c>
      <c r="G625" t="s">
        <v>141</v>
      </c>
      <c r="J625" t="s">
        <v>142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R625" t="s">
        <v>127</v>
      </c>
      <c r="S625" t="str">
        <f t="shared" si="246"/>
        <v>15:06:15.000</v>
      </c>
      <c r="T625" t="str">
        <f t="shared" si="246"/>
        <v>15:06:15.000</v>
      </c>
      <c r="U625" t="str">
        <f t="shared" si="230"/>
        <v>A68FCB</v>
      </c>
      <c r="V625">
        <v>0</v>
      </c>
      <c r="W625">
        <v>0</v>
      </c>
      <c r="X625">
        <v>2</v>
      </c>
      <c r="Y625">
        <v>0</v>
      </c>
      <c r="AA625">
        <v>1</v>
      </c>
      <c r="AB625">
        <v>8</v>
      </c>
      <c r="AC625">
        <v>3</v>
      </c>
      <c r="AD625">
        <v>0</v>
      </c>
      <c r="AE625">
        <v>9</v>
      </c>
      <c r="AF625" t="s">
        <v>138</v>
      </c>
      <c r="AG625">
        <v>0</v>
      </c>
      <c r="AH625">
        <v>3</v>
      </c>
      <c r="AI625">
        <v>1</v>
      </c>
      <c r="AJ625">
        <v>0</v>
      </c>
      <c r="AK625" t="s">
        <v>309</v>
      </c>
      <c r="AL625">
        <v>38.962412</v>
      </c>
      <c r="AM625" t="s">
        <v>297</v>
      </c>
      <c r="AN625">
        <v>-121.049702</v>
      </c>
      <c r="AO625">
        <v>25</v>
      </c>
      <c r="AP625">
        <v>2500</v>
      </c>
      <c r="AQ625" t="s">
        <v>131</v>
      </c>
      <c r="AR625">
        <v>-1</v>
      </c>
      <c r="AS625">
        <v>74</v>
      </c>
      <c r="AT625">
        <v>0</v>
      </c>
      <c r="BB625" t="str">
        <f t="shared" si="231"/>
        <v>1200</v>
      </c>
      <c r="BC625">
        <v>1</v>
      </c>
      <c r="BD625" t="str">
        <f t="shared" si="232"/>
        <v xml:space="preserve">N52156  </v>
      </c>
      <c r="BE625">
        <v>1</v>
      </c>
      <c r="BG625">
        <v>0</v>
      </c>
      <c r="BH625">
        <v>0</v>
      </c>
      <c r="BI625">
        <v>0</v>
      </c>
      <c r="BJ625">
        <v>2500</v>
      </c>
      <c r="BK625">
        <v>0</v>
      </c>
      <c r="BL625" t="s">
        <v>188</v>
      </c>
      <c r="BM625">
        <v>1</v>
      </c>
      <c r="BN625">
        <v>1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 t="shared" si="247"/>
        <v>15:06:15.241</v>
      </c>
      <c r="CF625">
        <v>241448600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5</v>
      </c>
      <c r="CY625">
        <v>7</v>
      </c>
      <c r="CZ625" t="s">
        <v>133</v>
      </c>
      <c r="DA625">
        <v>275</v>
      </c>
      <c r="DB625">
        <v>0</v>
      </c>
      <c r="DC625" t="s">
        <v>134</v>
      </c>
      <c r="DD625" t="s">
        <v>135</v>
      </c>
      <c r="DG625">
        <v>3318840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"05/01/2025 15:06:16.987"</f>
        <v>05/01/2025 15:06:16.987</v>
      </c>
      <c r="C626" t="str">
        <f t="shared" si="228"/>
        <v>FFDFD3C0</v>
      </c>
      <c r="D626" t="s">
        <v>140</v>
      </c>
      <c r="E626" t="str">
        <f>"13"</f>
        <v>13</v>
      </c>
      <c r="F626">
        <v>1019</v>
      </c>
      <c r="G626" t="s">
        <v>141</v>
      </c>
      <c r="J626" t="s">
        <v>142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R626" t="s">
        <v>127</v>
      </c>
      <c r="S626" t="str">
        <f t="shared" ref="S626:T631" si="248">"15:06:16.000"</f>
        <v>15:06:16.000</v>
      </c>
      <c r="T626" t="str">
        <f t="shared" si="248"/>
        <v>15:06:16.000</v>
      </c>
      <c r="U626" t="str">
        <f t="shared" si="230"/>
        <v>A68FCB</v>
      </c>
      <c r="V626">
        <v>0</v>
      </c>
      <c r="W626">
        <v>0</v>
      </c>
      <c r="X626">
        <v>2</v>
      </c>
      <c r="Y626">
        <v>0</v>
      </c>
      <c r="AA626">
        <v>1</v>
      </c>
      <c r="AB626">
        <v>8</v>
      </c>
      <c r="AC626">
        <v>3</v>
      </c>
      <c r="AD626">
        <v>0</v>
      </c>
      <c r="AE626">
        <v>9</v>
      </c>
      <c r="AF626" t="s">
        <v>138</v>
      </c>
      <c r="AG626">
        <v>0</v>
      </c>
      <c r="AH626">
        <v>3</v>
      </c>
      <c r="AI626">
        <v>1</v>
      </c>
      <c r="AJ626">
        <v>0</v>
      </c>
      <c r="AK626" t="s">
        <v>310</v>
      </c>
      <c r="AL626">
        <v>38.962755000000001</v>
      </c>
      <c r="AM626" t="s">
        <v>297</v>
      </c>
      <c r="AN626">
        <v>-121.049702</v>
      </c>
      <c r="AO626">
        <v>25</v>
      </c>
      <c r="AP626">
        <v>2500</v>
      </c>
      <c r="AQ626" t="s">
        <v>131</v>
      </c>
      <c r="AR626">
        <v>-2</v>
      </c>
      <c r="AS626">
        <v>78</v>
      </c>
      <c r="AT626">
        <v>-64</v>
      </c>
      <c r="BB626" t="str">
        <f t="shared" si="231"/>
        <v>1200</v>
      </c>
      <c r="BC626">
        <v>1</v>
      </c>
      <c r="BD626" t="str">
        <f t="shared" si="232"/>
        <v xml:space="preserve">N52156  </v>
      </c>
      <c r="BE626">
        <v>1</v>
      </c>
      <c r="BG626">
        <v>0</v>
      </c>
      <c r="BH626">
        <v>0</v>
      </c>
      <c r="BI626">
        <v>0</v>
      </c>
      <c r="BJ626">
        <v>2500</v>
      </c>
      <c r="BK626">
        <v>0</v>
      </c>
      <c r="BL626" t="s">
        <v>188</v>
      </c>
      <c r="BM626">
        <v>1</v>
      </c>
      <c r="BN626">
        <v>1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 t="shared" ref="CE626:CE631" si="249">"15:06:16.758"</f>
        <v>15:06:16.758</v>
      </c>
      <c r="CF626">
        <v>758449936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5</v>
      </c>
      <c r="CY626">
        <v>7</v>
      </c>
      <c r="CZ626" t="s">
        <v>133</v>
      </c>
      <c r="DA626">
        <v>275</v>
      </c>
      <c r="DB626">
        <v>0</v>
      </c>
      <c r="DC626" t="s">
        <v>134</v>
      </c>
      <c r="DD626" t="s">
        <v>135</v>
      </c>
      <c r="DG626">
        <v>3318854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"05/01/2025 15:06:16.996"</f>
        <v>05/01/2025 15:06:16.996</v>
      </c>
      <c r="C627" t="str">
        <f t="shared" si="228"/>
        <v>FFDFD3C0</v>
      </c>
      <c r="D627" t="s">
        <v>124</v>
      </c>
      <c r="E627" t="str">
        <f>"06"</f>
        <v>06</v>
      </c>
      <c r="F627">
        <v>2006</v>
      </c>
      <c r="G627" t="s">
        <v>125</v>
      </c>
      <c r="J627" t="s">
        <v>126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R627" t="s">
        <v>127</v>
      </c>
      <c r="S627" t="str">
        <f t="shared" si="248"/>
        <v>15:06:16.000</v>
      </c>
      <c r="T627" t="str">
        <f t="shared" si="248"/>
        <v>15:06:16.000</v>
      </c>
      <c r="U627" t="str">
        <f t="shared" si="230"/>
        <v>A68FCB</v>
      </c>
      <c r="V627">
        <v>0</v>
      </c>
      <c r="W627">
        <v>0</v>
      </c>
      <c r="X627">
        <v>2</v>
      </c>
      <c r="Y627">
        <v>0</v>
      </c>
      <c r="AA627">
        <v>1</v>
      </c>
      <c r="AB627">
        <v>8</v>
      </c>
      <c r="AC627">
        <v>3</v>
      </c>
      <c r="AD627">
        <v>0</v>
      </c>
      <c r="AE627">
        <v>9</v>
      </c>
      <c r="AF627" t="s">
        <v>138</v>
      </c>
      <c r="AG627">
        <v>0</v>
      </c>
      <c r="AH627">
        <v>3</v>
      </c>
      <c r="AI627">
        <v>1</v>
      </c>
      <c r="AJ627">
        <v>0</v>
      </c>
      <c r="AK627" t="s">
        <v>310</v>
      </c>
      <c r="AL627">
        <v>38.962755000000001</v>
      </c>
      <c r="AM627" t="s">
        <v>297</v>
      </c>
      <c r="AN627">
        <v>-121.049702</v>
      </c>
      <c r="AO627">
        <v>25</v>
      </c>
      <c r="AP627">
        <v>2500</v>
      </c>
      <c r="AQ627" t="s">
        <v>131</v>
      </c>
      <c r="AR627">
        <v>-2</v>
      </c>
      <c r="AS627">
        <v>78</v>
      </c>
      <c r="AT627">
        <v>-64</v>
      </c>
      <c r="BB627" t="str">
        <f t="shared" si="231"/>
        <v>1200</v>
      </c>
      <c r="BC627">
        <v>1</v>
      </c>
      <c r="BD627" t="str">
        <f t="shared" si="232"/>
        <v xml:space="preserve">N52156  </v>
      </c>
      <c r="BE627">
        <v>1</v>
      </c>
      <c r="BG627">
        <v>0</v>
      </c>
      <c r="BH627">
        <v>0</v>
      </c>
      <c r="BI627">
        <v>0</v>
      </c>
      <c r="BJ627">
        <v>2500</v>
      </c>
      <c r="BK627">
        <v>0</v>
      </c>
      <c r="BL627" t="s">
        <v>188</v>
      </c>
      <c r="BM627">
        <v>1</v>
      </c>
      <c r="BN627">
        <v>1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 t="shared" si="249"/>
        <v>15:06:16.758</v>
      </c>
      <c r="CF627">
        <v>758449936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5</v>
      </c>
      <c r="CY627">
        <v>7</v>
      </c>
      <c r="CZ627" t="s">
        <v>133</v>
      </c>
      <c r="DA627">
        <v>275</v>
      </c>
      <c r="DB627">
        <v>0</v>
      </c>
      <c r="DC627" t="s">
        <v>134</v>
      </c>
      <c r="DD627" t="s">
        <v>135</v>
      </c>
      <c r="DG627">
        <v>3318854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"05/01/2025 15:06:16.995"</f>
        <v>05/01/2025 15:06:16.995</v>
      </c>
      <c r="C628" t="str">
        <f t="shared" si="228"/>
        <v>FFDFD3C0</v>
      </c>
      <c r="D628" t="s">
        <v>143</v>
      </c>
      <c r="E628" t="str">
        <f>"05"</f>
        <v>05</v>
      </c>
      <c r="H628">
        <v>172</v>
      </c>
      <c r="I628" t="s">
        <v>141</v>
      </c>
      <c r="J628" t="s">
        <v>144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R628" t="s">
        <v>127</v>
      </c>
      <c r="S628" t="str">
        <f t="shared" si="248"/>
        <v>15:06:16.000</v>
      </c>
      <c r="T628" t="str">
        <f t="shared" si="248"/>
        <v>15:06:16.000</v>
      </c>
      <c r="U628" t="str">
        <f t="shared" si="230"/>
        <v>A68FCB</v>
      </c>
      <c r="V628">
        <v>0</v>
      </c>
      <c r="W628">
        <v>0</v>
      </c>
      <c r="X628">
        <v>2</v>
      </c>
      <c r="Y628">
        <v>0</v>
      </c>
      <c r="AA628">
        <v>1</v>
      </c>
      <c r="AB628">
        <v>8</v>
      </c>
      <c r="AC628">
        <v>3</v>
      </c>
      <c r="AD628">
        <v>0</v>
      </c>
      <c r="AE628">
        <v>9</v>
      </c>
      <c r="AF628" t="s">
        <v>138</v>
      </c>
      <c r="AG628">
        <v>0</v>
      </c>
      <c r="AH628">
        <v>3</v>
      </c>
      <c r="AI628">
        <v>1</v>
      </c>
      <c r="AJ628">
        <v>0</v>
      </c>
      <c r="AK628" t="s">
        <v>310</v>
      </c>
      <c r="AL628">
        <v>38.962755000000001</v>
      </c>
      <c r="AM628" t="s">
        <v>297</v>
      </c>
      <c r="AN628">
        <v>-121.049702</v>
      </c>
      <c r="AO628">
        <v>25</v>
      </c>
      <c r="AP628">
        <v>2500</v>
      </c>
      <c r="AQ628" t="s">
        <v>131</v>
      </c>
      <c r="AR628">
        <v>-2</v>
      </c>
      <c r="AS628">
        <v>78</v>
      </c>
      <c r="AT628">
        <v>-64</v>
      </c>
      <c r="BB628" t="str">
        <f t="shared" si="231"/>
        <v>1200</v>
      </c>
      <c r="BC628">
        <v>1</v>
      </c>
      <c r="BD628" t="str">
        <f t="shared" si="232"/>
        <v xml:space="preserve">N52156  </v>
      </c>
      <c r="BE628">
        <v>1</v>
      </c>
      <c r="BG628">
        <v>0</v>
      </c>
      <c r="BH628">
        <v>0</v>
      </c>
      <c r="BI628">
        <v>0</v>
      </c>
      <c r="BJ628">
        <v>2500</v>
      </c>
      <c r="BK628">
        <v>0</v>
      </c>
      <c r="BL628" t="s">
        <v>188</v>
      </c>
      <c r="BM628">
        <v>1</v>
      </c>
      <c r="BN628">
        <v>1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 t="shared" si="249"/>
        <v>15:06:16.758</v>
      </c>
      <c r="CF628">
        <v>758449936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5</v>
      </c>
      <c r="CY628">
        <v>7</v>
      </c>
      <c r="CZ628" t="s">
        <v>133</v>
      </c>
      <c r="DA628">
        <v>275</v>
      </c>
      <c r="DB628">
        <v>0</v>
      </c>
      <c r="DC628" t="s">
        <v>134</v>
      </c>
      <c r="DD628" t="s">
        <v>135</v>
      </c>
      <c r="DG628">
        <v>3318854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"05/01/2025 15:06:16.996"</f>
        <v>05/01/2025 15:06:16.996</v>
      </c>
      <c r="C629" t="str">
        <f t="shared" si="228"/>
        <v>FFDFD3C0</v>
      </c>
      <c r="D629" t="s">
        <v>145</v>
      </c>
      <c r="E629" t="str">
        <f>"05"</f>
        <v>05</v>
      </c>
      <c r="H629">
        <v>47</v>
      </c>
      <c r="I629" t="s">
        <v>146</v>
      </c>
      <c r="J629" t="s">
        <v>138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R629" t="s">
        <v>127</v>
      </c>
      <c r="S629" t="str">
        <f t="shared" si="248"/>
        <v>15:06:16.000</v>
      </c>
      <c r="T629" t="str">
        <f t="shared" si="248"/>
        <v>15:06:16.000</v>
      </c>
      <c r="U629" t="str">
        <f t="shared" si="230"/>
        <v>A68FCB</v>
      </c>
      <c r="V629">
        <v>0</v>
      </c>
      <c r="W629">
        <v>0</v>
      </c>
      <c r="X629">
        <v>2</v>
      </c>
      <c r="Y629">
        <v>0</v>
      </c>
      <c r="AA629">
        <v>1</v>
      </c>
      <c r="AB629">
        <v>8</v>
      </c>
      <c r="AC629">
        <v>3</v>
      </c>
      <c r="AD629">
        <v>0</v>
      </c>
      <c r="AE629">
        <v>9</v>
      </c>
      <c r="AF629" t="s">
        <v>138</v>
      </c>
      <c r="AG629">
        <v>0</v>
      </c>
      <c r="AH629">
        <v>3</v>
      </c>
      <c r="AI629">
        <v>1</v>
      </c>
      <c r="AJ629">
        <v>0</v>
      </c>
      <c r="AK629" t="s">
        <v>310</v>
      </c>
      <c r="AL629">
        <v>38.962755000000001</v>
      </c>
      <c r="AM629" t="s">
        <v>297</v>
      </c>
      <c r="AN629">
        <v>-121.049702</v>
      </c>
      <c r="AO629">
        <v>25</v>
      </c>
      <c r="AP629">
        <v>2500</v>
      </c>
      <c r="AQ629" t="s">
        <v>131</v>
      </c>
      <c r="AR629">
        <v>-2</v>
      </c>
      <c r="AS629">
        <v>78</v>
      </c>
      <c r="AT629">
        <v>-64</v>
      </c>
      <c r="BB629" t="str">
        <f t="shared" si="231"/>
        <v>1200</v>
      </c>
      <c r="BC629">
        <v>1</v>
      </c>
      <c r="BD629" t="str">
        <f t="shared" si="232"/>
        <v xml:space="preserve">N52156  </v>
      </c>
      <c r="BE629">
        <v>1</v>
      </c>
      <c r="BG629">
        <v>0</v>
      </c>
      <c r="BH629">
        <v>0</v>
      </c>
      <c r="BI629">
        <v>0</v>
      </c>
      <c r="BJ629">
        <v>2500</v>
      </c>
      <c r="BK629">
        <v>0</v>
      </c>
      <c r="BL629" t="s">
        <v>188</v>
      </c>
      <c r="BM629">
        <v>1</v>
      </c>
      <c r="BN629">
        <v>1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 t="shared" si="249"/>
        <v>15:06:16.758</v>
      </c>
      <c r="CF629">
        <v>758449936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5</v>
      </c>
      <c r="CY629">
        <v>7</v>
      </c>
      <c r="CZ629" t="s">
        <v>133</v>
      </c>
      <c r="DA629">
        <v>275</v>
      </c>
      <c r="DB629">
        <v>0</v>
      </c>
      <c r="DC629" t="s">
        <v>134</v>
      </c>
      <c r="DD629" t="s">
        <v>135</v>
      </c>
      <c r="DG629">
        <v>3318854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"05/01/2025 15:06:16.996"</f>
        <v>05/01/2025 15:06:16.996</v>
      </c>
      <c r="C630" t="str">
        <f t="shared" si="228"/>
        <v>FFDFD3C0</v>
      </c>
      <c r="D630" t="s">
        <v>145</v>
      </c>
      <c r="E630" t="str">
        <f>"09"</f>
        <v>09</v>
      </c>
      <c r="H630">
        <v>51</v>
      </c>
      <c r="I630" t="s">
        <v>147</v>
      </c>
      <c r="J630" t="s">
        <v>138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R630" t="s">
        <v>127</v>
      </c>
      <c r="S630" t="str">
        <f t="shared" si="248"/>
        <v>15:06:16.000</v>
      </c>
      <c r="T630" t="str">
        <f t="shared" si="248"/>
        <v>15:06:16.000</v>
      </c>
      <c r="U630" t="str">
        <f t="shared" si="230"/>
        <v>A68FCB</v>
      </c>
      <c r="V630">
        <v>0</v>
      </c>
      <c r="W630">
        <v>0</v>
      </c>
      <c r="X630">
        <v>2</v>
      </c>
      <c r="Y630">
        <v>0</v>
      </c>
      <c r="AA630">
        <v>1</v>
      </c>
      <c r="AB630">
        <v>8</v>
      </c>
      <c r="AC630">
        <v>3</v>
      </c>
      <c r="AD630">
        <v>0</v>
      </c>
      <c r="AE630">
        <v>9</v>
      </c>
      <c r="AF630" t="s">
        <v>138</v>
      </c>
      <c r="AG630">
        <v>0</v>
      </c>
      <c r="AH630">
        <v>3</v>
      </c>
      <c r="AI630">
        <v>1</v>
      </c>
      <c r="AJ630">
        <v>0</v>
      </c>
      <c r="AK630" t="s">
        <v>310</v>
      </c>
      <c r="AL630">
        <v>38.962755000000001</v>
      </c>
      <c r="AM630" t="s">
        <v>297</v>
      </c>
      <c r="AN630">
        <v>-121.049702</v>
      </c>
      <c r="AO630">
        <v>25</v>
      </c>
      <c r="AP630">
        <v>2500</v>
      </c>
      <c r="AQ630" t="s">
        <v>131</v>
      </c>
      <c r="AR630">
        <v>-2</v>
      </c>
      <c r="AS630">
        <v>78</v>
      </c>
      <c r="AT630">
        <v>-64</v>
      </c>
      <c r="BB630" t="str">
        <f t="shared" si="231"/>
        <v>1200</v>
      </c>
      <c r="BC630">
        <v>1</v>
      </c>
      <c r="BD630" t="str">
        <f t="shared" si="232"/>
        <v xml:space="preserve">N52156  </v>
      </c>
      <c r="BE630">
        <v>1</v>
      </c>
      <c r="BG630">
        <v>0</v>
      </c>
      <c r="BH630">
        <v>0</v>
      </c>
      <c r="BI630">
        <v>0</v>
      </c>
      <c r="BJ630">
        <v>2500</v>
      </c>
      <c r="BK630">
        <v>0</v>
      </c>
      <c r="BL630" t="s">
        <v>188</v>
      </c>
      <c r="BM630">
        <v>1</v>
      </c>
      <c r="BN630">
        <v>1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 t="shared" si="249"/>
        <v>15:06:16.758</v>
      </c>
      <c r="CF630">
        <v>758449936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5</v>
      </c>
      <c r="CY630">
        <v>7</v>
      </c>
      <c r="CZ630" t="s">
        <v>133</v>
      </c>
      <c r="DA630">
        <v>275</v>
      </c>
      <c r="DB630">
        <v>0</v>
      </c>
      <c r="DC630" t="s">
        <v>134</v>
      </c>
      <c r="DD630" t="s">
        <v>135</v>
      </c>
      <c r="DG630">
        <v>3318854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"05/01/2025 15:06:17.007"</f>
        <v>05/01/2025 15:06:17.007</v>
      </c>
      <c r="C631" t="str">
        <f t="shared" si="228"/>
        <v>FFDFD3C0</v>
      </c>
      <c r="D631" t="s">
        <v>136</v>
      </c>
      <c r="E631" t="str">
        <f>"20"</f>
        <v>20</v>
      </c>
      <c r="H631">
        <v>400</v>
      </c>
      <c r="I631" t="s">
        <v>137</v>
      </c>
      <c r="J631" t="s">
        <v>138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R631" t="s">
        <v>127</v>
      </c>
      <c r="S631" t="str">
        <f t="shared" si="248"/>
        <v>15:06:16.000</v>
      </c>
      <c r="T631" t="str">
        <f t="shared" si="248"/>
        <v>15:06:16.000</v>
      </c>
      <c r="U631" t="str">
        <f t="shared" si="230"/>
        <v>A68FCB</v>
      </c>
      <c r="V631">
        <v>0</v>
      </c>
      <c r="W631">
        <v>0</v>
      </c>
      <c r="X631">
        <v>2</v>
      </c>
      <c r="Y631">
        <v>0</v>
      </c>
      <c r="AA631">
        <v>1</v>
      </c>
      <c r="AB631">
        <v>8</v>
      </c>
      <c r="AC631">
        <v>3</v>
      </c>
      <c r="AD631">
        <v>0</v>
      </c>
      <c r="AE631">
        <v>9</v>
      </c>
      <c r="AF631" t="s">
        <v>138</v>
      </c>
      <c r="AG631">
        <v>0</v>
      </c>
      <c r="AH631">
        <v>3</v>
      </c>
      <c r="AI631">
        <v>1</v>
      </c>
      <c r="AJ631">
        <v>0</v>
      </c>
      <c r="AK631" t="s">
        <v>310</v>
      </c>
      <c r="AL631">
        <v>38.962755000000001</v>
      </c>
      <c r="AM631" t="s">
        <v>297</v>
      </c>
      <c r="AN631">
        <v>-121.049702</v>
      </c>
      <c r="AO631">
        <v>25</v>
      </c>
      <c r="AP631">
        <v>2500</v>
      </c>
      <c r="AQ631" t="s">
        <v>131</v>
      </c>
      <c r="AR631">
        <v>-2</v>
      </c>
      <c r="AS631">
        <v>78</v>
      </c>
      <c r="AT631">
        <v>-64</v>
      </c>
      <c r="BB631" t="str">
        <f t="shared" si="231"/>
        <v>1200</v>
      </c>
      <c r="BC631">
        <v>1</v>
      </c>
      <c r="BD631" t="str">
        <f t="shared" si="232"/>
        <v xml:space="preserve">N52156  </v>
      </c>
      <c r="BE631">
        <v>1</v>
      </c>
      <c r="BG631">
        <v>0</v>
      </c>
      <c r="BH631">
        <v>0</v>
      </c>
      <c r="BI631">
        <v>0</v>
      </c>
      <c r="BJ631">
        <v>2500</v>
      </c>
      <c r="BK631">
        <v>0</v>
      </c>
      <c r="BL631" t="s">
        <v>188</v>
      </c>
      <c r="BM631">
        <v>1</v>
      </c>
      <c r="BN631">
        <v>1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 t="shared" si="249"/>
        <v>15:06:16.758</v>
      </c>
      <c r="CF631">
        <v>758449936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5</v>
      </c>
      <c r="CY631">
        <v>7</v>
      </c>
      <c r="CZ631" t="s">
        <v>133</v>
      </c>
      <c r="DA631">
        <v>275</v>
      </c>
      <c r="DB631">
        <v>0</v>
      </c>
      <c r="DC631" t="s">
        <v>134</v>
      </c>
      <c r="DD631" t="s">
        <v>135</v>
      </c>
      <c r="DG631">
        <v>3318854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"05/01/2025 15:06:18.138"</f>
        <v>05/01/2025 15:06:18.138</v>
      </c>
      <c r="C632" t="str">
        <f t="shared" si="228"/>
        <v>FFDFD3C0</v>
      </c>
      <c r="D632" t="s">
        <v>140</v>
      </c>
      <c r="E632" t="str">
        <f>"13"</f>
        <v>13</v>
      </c>
      <c r="F632">
        <v>1019</v>
      </c>
      <c r="G632" t="s">
        <v>141</v>
      </c>
      <c r="J632" t="s">
        <v>142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R632" t="s">
        <v>127</v>
      </c>
      <c r="S632" t="str">
        <f t="shared" ref="S632:T637" si="250">"15:06:17.000"</f>
        <v>15:06:17.000</v>
      </c>
      <c r="T632" t="str">
        <f t="shared" si="250"/>
        <v>15:06:17.000</v>
      </c>
      <c r="U632" t="str">
        <f t="shared" si="230"/>
        <v>A68FCB</v>
      </c>
      <c r="V632">
        <v>0</v>
      </c>
      <c r="W632">
        <v>0</v>
      </c>
      <c r="X632">
        <v>2</v>
      </c>
      <c r="Y632">
        <v>0</v>
      </c>
      <c r="AA632">
        <v>1</v>
      </c>
      <c r="AB632">
        <v>8</v>
      </c>
      <c r="AC632">
        <v>3</v>
      </c>
      <c r="AD632">
        <v>0</v>
      </c>
      <c r="AE632">
        <v>9</v>
      </c>
      <c r="AF632" t="s">
        <v>138</v>
      </c>
      <c r="AG632">
        <v>0</v>
      </c>
      <c r="AH632">
        <v>3</v>
      </c>
      <c r="AI632">
        <v>1</v>
      </c>
      <c r="AJ632">
        <v>0</v>
      </c>
      <c r="AK632" t="s">
        <v>311</v>
      </c>
      <c r="AL632">
        <v>38.963120000000004</v>
      </c>
      <c r="AM632" t="s">
        <v>312</v>
      </c>
      <c r="AN632">
        <v>-121.049724</v>
      </c>
      <c r="AO632">
        <v>25</v>
      </c>
      <c r="AP632">
        <v>2500</v>
      </c>
      <c r="AQ632" t="s">
        <v>131</v>
      </c>
      <c r="AR632">
        <v>-3</v>
      </c>
      <c r="AS632">
        <v>80</v>
      </c>
      <c r="AT632">
        <v>-128</v>
      </c>
      <c r="BB632" t="str">
        <f t="shared" si="231"/>
        <v>1200</v>
      </c>
      <c r="BC632">
        <v>1</v>
      </c>
      <c r="BD632" t="str">
        <f t="shared" si="232"/>
        <v xml:space="preserve">N52156  </v>
      </c>
      <c r="BE632">
        <v>1</v>
      </c>
      <c r="BG632">
        <v>0</v>
      </c>
      <c r="BH632">
        <v>0</v>
      </c>
      <c r="BI632">
        <v>0</v>
      </c>
      <c r="BJ632">
        <v>2500</v>
      </c>
      <c r="BK632">
        <v>0</v>
      </c>
      <c r="BL632" t="s">
        <v>188</v>
      </c>
      <c r="BM632">
        <v>1</v>
      </c>
      <c r="BN632">
        <v>1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 t="shared" ref="CE632:CE637" si="251">"15:06:17.899"</f>
        <v>15:06:17.899</v>
      </c>
      <c r="CF632">
        <v>898950311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5</v>
      </c>
      <c r="CY632">
        <v>7</v>
      </c>
      <c r="CZ632" t="s">
        <v>133</v>
      </c>
      <c r="DA632">
        <v>275</v>
      </c>
      <c r="DB632">
        <v>0</v>
      </c>
      <c r="DC632" t="s">
        <v>134</v>
      </c>
      <c r="DD632" t="s">
        <v>135</v>
      </c>
      <c r="DG632">
        <v>3318868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"05/01/2025 15:06:18.148"</f>
        <v>05/01/2025 15:06:18.148</v>
      </c>
      <c r="C633" t="str">
        <f t="shared" si="228"/>
        <v>FFDFD3C0</v>
      </c>
      <c r="D633" t="s">
        <v>145</v>
      </c>
      <c r="E633" t="str">
        <f>"05"</f>
        <v>05</v>
      </c>
      <c r="H633">
        <v>47</v>
      </c>
      <c r="I633" t="s">
        <v>146</v>
      </c>
      <c r="J633" t="s">
        <v>138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R633" t="s">
        <v>127</v>
      </c>
      <c r="S633" t="str">
        <f t="shared" si="250"/>
        <v>15:06:17.000</v>
      </c>
      <c r="T633" t="str">
        <f t="shared" si="250"/>
        <v>15:06:17.000</v>
      </c>
      <c r="U633" t="str">
        <f t="shared" si="230"/>
        <v>A68FCB</v>
      </c>
      <c r="V633">
        <v>0</v>
      </c>
      <c r="W633">
        <v>0</v>
      </c>
      <c r="X633">
        <v>2</v>
      </c>
      <c r="Y633">
        <v>0</v>
      </c>
      <c r="AA633">
        <v>1</v>
      </c>
      <c r="AB633">
        <v>8</v>
      </c>
      <c r="AC633">
        <v>3</v>
      </c>
      <c r="AD633">
        <v>0</v>
      </c>
      <c r="AE633">
        <v>9</v>
      </c>
      <c r="AF633" t="s">
        <v>138</v>
      </c>
      <c r="AG633">
        <v>0</v>
      </c>
      <c r="AH633">
        <v>3</v>
      </c>
      <c r="AI633">
        <v>1</v>
      </c>
      <c r="AJ633">
        <v>0</v>
      </c>
      <c r="AK633" t="s">
        <v>311</v>
      </c>
      <c r="AL633">
        <v>38.963120000000004</v>
      </c>
      <c r="AM633" t="s">
        <v>312</v>
      </c>
      <c r="AN633">
        <v>-121.049724</v>
      </c>
      <c r="AO633">
        <v>25</v>
      </c>
      <c r="AP633">
        <v>2500</v>
      </c>
      <c r="AQ633" t="s">
        <v>131</v>
      </c>
      <c r="AR633">
        <v>-3</v>
      </c>
      <c r="AS633">
        <v>80</v>
      </c>
      <c r="AT633">
        <v>-128</v>
      </c>
      <c r="BB633" t="str">
        <f t="shared" si="231"/>
        <v>1200</v>
      </c>
      <c r="BC633">
        <v>1</v>
      </c>
      <c r="BD633" t="str">
        <f t="shared" si="232"/>
        <v xml:space="preserve">N52156  </v>
      </c>
      <c r="BE633">
        <v>1</v>
      </c>
      <c r="BG633">
        <v>0</v>
      </c>
      <c r="BH633">
        <v>0</v>
      </c>
      <c r="BI633">
        <v>0</v>
      </c>
      <c r="BJ633">
        <v>2500</v>
      </c>
      <c r="BK633">
        <v>0</v>
      </c>
      <c r="BL633" t="s">
        <v>188</v>
      </c>
      <c r="BM633">
        <v>1</v>
      </c>
      <c r="BN633">
        <v>1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 t="shared" si="251"/>
        <v>15:06:17.899</v>
      </c>
      <c r="CF633">
        <v>898950311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5</v>
      </c>
      <c r="CY633">
        <v>7</v>
      </c>
      <c r="CZ633" t="s">
        <v>133</v>
      </c>
      <c r="DA633">
        <v>275</v>
      </c>
      <c r="DB633">
        <v>0</v>
      </c>
      <c r="DC633" t="s">
        <v>134</v>
      </c>
      <c r="DD633" t="s">
        <v>135</v>
      </c>
      <c r="DG633">
        <v>3318868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"05/01/2025 15:06:18.148"</f>
        <v>05/01/2025 15:06:18.148</v>
      </c>
      <c r="C634" t="str">
        <f t="shared" si="228"/>
        <v>FFDFD3C0</v>
      </c>
      <c r="D634" t="s">
        <v>145</v>
      </c>
      <c r="E634" t="str">
        <f>"09"</f>
        <v>09</v>
      </c>
      <c r="H634">
        <v>51</v>
      </c>
      <c r="I634" t="s">
        <v>147</v>
      </c>
      <c r="J634" t="s">
        <v>138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R634" t="s">
        <v>127</v>
      </c>
      <c r="S634" t="str">
        <f t="shared" si="250"/>
        <v>15:06:17.000</v>
      </c>
      <c r="T634" t="str">
        <f t="shared" si="250"/>
        <v>15:06:17.000</v>
      </c>
      <c r="U634" t="str">
        <f t="shared" si="230"/>
        <v>A68FCB</v>
      </c>
      <c r="V634">
        <v>0</v>
      </c>
      <c r="W634">
        <v>0</v>
      </c>
      <c r="X634">
        <v>2</v>
      </c>
      <c r="Y634">
        <v>0</v>
      </c>
      <c r="AA634">
        <v>1</v>
      </c>
      <c r="AB634">
        <v>8</v>
      </c>
      <c r="AC634">
        <v>3</v>
      </c>
      <c r="AD634">
        <v>0</v>
      </c>
      <c r="AE634">
        <v>9</v>
      </c>
      <c r="AF634" t="s">
        <v>138</v>
      </c>
      <c r="AG634">
        <v>0</v>
      </c>
      <c r="AH634">
        <v>3</v>
      </c>
      <c r="AI634">
        <v>1</v>
      </c>
      <c r="AJ634">
        <v>0</v>
      </c>
      <c r="AK634" t="s">
        <v>311</v>
      </c>
      <c r="AL634">
        <v>38.963120000000004</v>
      </c>
      <c r="AM634" t="s">
        <v>312</v>
      </c>
      <c r="AN634">
        <v>-121.049724</v>
      </c>
      <c r="AO634">
        <v>25</v>
      </c>
      <c r="AP634">
        <v>2500</v>
      </c>
      <c r="AQ634" t="s">
        <v>131</v>
      </c>
      <c r="AR634">
        <v>-3</v>
      </c>
      <c r="AS634">
        <v>80</v>
      </c>
      <c r="AT634">
        <v>-128</v>
      </c>
      <c r="BB634" t="str">
        <f t="shared" si="231"/>
        <v>1200</v>
      </c>
      <c r="BC634">
        <v>1</v>
      </c>
      <c r="BD634" t="str">
        <f t="shared" si="232"/>
        <v xml:space="preserve">N52156  </v>
      </c>
      <c r="BE634">
        <v>1</v>
      </c>
      <c r="BG634">
        <v>0</v>
      </c>
      <c r="BH634">
        <v>0</v>
      </c>
      <c r="BI634">
        <v>0</v>
      </c>
      <c r="BJ634">
        <v>2500</v>
      </c>
      <c r="BK634">
        <v>0</v>
      </c>
      <c r="BL634" t="s">
        <v>188</v>
      </c>
      <c r="BM634">
        <v>1</v>
      </c>
      <c r="BN634">
        <v>1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 t="shared" si="251"/>
        <v>15:06:17.899</v>
      </c>
      <c r="CF634">
        <v>898950311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5</v>
      </c>
      <c r="CY634">
        <v>7</v>
      </c>
      <c r="CZ634" t="s">
        <v>133</v>
      </c>
      <c r="DA634">
        <v>275</v>
      </c>
      <c r="DB634">
        <v>0</v>
      </c>
      <c r="DC634" t="s">
        <v>134</v>
      </c>
      <c r="DD634" t="s">
        <v>135</v>
      </c>
      <c r="DG634">
        <v>3318868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"05/01/2025 15:06:18.147"</f>
        <v>05/01/2025 15:06:18.147</v>
      </c>
      <c r="C635" t="str">
        <f t="shared" si="228"/>
        <v>FFDFD3C0</v>
      </c>
      <c r="D635" t="s">
        <v>124</v>
      </c>
      <c r="E635" t="str">
        <f>"06"</f>
        <v>06</v>
      </c>
      <c r="F635">
        <v>2006</v>
      </c>
      <c r="G635" t="s">
        <v>125</v>
      </c>
      <c r="J635" t="s">
        <v>126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R635" t="s">
        <v>127</v>
      </c>
      <c r="S635" t="str">
        <f t="shared" si="250"/>
        <v>15:06:17.000</v>
      </c>
      <c r="T635" t="str">
        <f t="shared" si="250"/>
        <v>15:06:17.000</v>
      </c>
      <c r="U635" t="str">
        <f t="shared" si="230"/>
        <v>A68FCB</v>
      </c>
      <c r="V635">
        <v>0</v>
      </c>
      <c r="W635">
        <v>0</v>
      </c>
      <c r="X635">
        <v>2</v>
      </c>
      <c r="Y635">
        <v>0</v>
      </c>
      <c r="AA635">
        <v>1</v>
      </c>
      <c r="AB635">
        <v>8</v>
      </c>
      <c r="AC635">
        <v>3</v>
      </c>
      <c r="AD635">
        <v>0</v>
      </c>
      <c r="AE635">
        <v>9</v>
      </c>
      <c r="AF635" t="s">
        <v>138</v>
      </c>
      <c r="AG635">
        <v>0</v>
      </c>
      <c r="AH635">
        <v>3</v>
      </c>
      <c r="AI635">
        <v>1</v>
      </c>
      <c r="AJ635">
        <v>0</v>
      </c>
      <c r="AK635" t="s">
        <v>311</v>
      </c>
      <c r="AL635">
        <v>38.963120000000004</v>
      </c>
      <c r="AM635" t="s">
        <v>312</v>
      </c>
      <c r="AN635">
        <v>-121.049724</v>
      </c>
      <c r="AO635">
        <v>25</v>
      </c>
      <c r="AP635">
        <v>2500</v>
      </c>
      <c r="AQ635" t="s">
        <v>131</v>
      </c>
      <c r="AR635">
        <v>-3</v>
      </c>
      <c r="AS635">
        <v>80</v>
      </c>
      <c r="AT635">
        <v>-128</v>
      </c>
      <c r="BB635" t="str">
        <f t="shared" si="231"/>
        <v>1200</v>
      </c>
      <c r="BC635">
        <v>1</v>
      </c>
      <c r="BD635" t="str">
        <f t="shared" si="232"/>
        <v xml:space="preserve">N52156  </v>
      </c>
      <c r="BE635">
        <v>1</v>
      </c>
      <c r="BG635">
        <v>0</v>
      </c>
      <c r="BH635">
        <v>0</v>
      </c>
      <c r="BI635">
        <v>0</v>
      </c>
      <c r="BJ635">
        <v>2500</v>
      </c>
      <c r="BK635">
        <v>0</v>
      </c>
      <c r="BL635" t="s">
        <v>188</v>
      </c>
      <c r="BM635">
        <v>1</v>
      </c>
      <c r="BN635">
        <v>1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 t="shared" si="251"/>
        <v>15:06:17.899</v>
      </c>
      <c r="CF635">
        <v>898950311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5</v>
      </c>
      <c r="CY635">
        <v>7</v>
      </c>
      <c r="CZ635" t="s">
        <v>133</v>
      </c>
      <c r="DA635">
        <v>275</v>
      </c>
      <c r="DB635">
        <v>0</v>
      </c>
      <c r="DC635" t="s">
        <v>134</v>
      </c>
      <c r="DD635" t="s">
        <v>135</v>
      </c>
      <c r="DG635">
        <v>3318868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"05/01/2025 15:06:18.147"</f>
        <v>05/01/2025 15:06:18.147</v>
      </c>
      <c r="C636" t="str">
        <f t="shared" si="228"/>
        <v>FFDFD3C0</v>
      </c>
      <c r="D636" t="s">
        <v>143</v>
      </c>
      <c r="E636" t="str">
        <f>"05"</f>
        <v>05</v>
      </c>
      <c r="H636">
        <v>172</v>
      </c>
      <c r="I636" t="s">
        <v>141</v>
      </c>
      <c r="J636" t="s">
        <v>144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R636" t="s">
        <v>127</v>
      </c>
      <c r="S636" t="str">
        <f t="shared" si="250"/>
        <v>15:06:17.000</v>
      </c>
      <c r="T636" t="str">
        <f t="shared" si="250"/>
        <v>15:06:17.000</v>
      </c>
      <c r="U636" t="str">
        <f t="shared" si="230"/>
        <v>A68FCB</v>
      </c>
      <c r="V636">
        <v>0</v>
      </c>
      <c r="W636">
        <v>0</v>
      </c>
      <c r="X636">
        <v>2</v>
      </c>
      <c r="Y636">
        <v>0</v>
      </c>
      <c r="AA636">
        <v>1</v>
      </c>
      <c r="AB636">
        <v>8</v>
      </c>
      <c r="AC636">
        <v>3</v>
      </c>
      <c r="AD636">
        <v>0</v>
      </c>
      <c r="AE636">
        <v>9</v>
      </c>
      <c r="AF636" t="s">
        <v>138</v>
      </c>
      <c r="AG636">
        <v>0</v>
      </c>
      <c r="AH636">
        <v>3</v>
      </c>
      <c r="AI636">
        <v>1</v>
      </c>
      <c r="AJ636">
        <v>0</v>
      </c>
      <c r="AK636" t="s">
        <v>311</v>
      </c>
      <c r="AL636">
        <v>38.963120000000004</v>
      </c>
      <c r="AM636" t="s">
        <v>312</v>
      </c>
      <c r="AN636">
        <v>-121.049724</v>
      </c>
      <c r="AO636">
        <v>25</v>
      </c>
      <c r="AP636">
        <v>2500</v>
      </c>
      <c r="AQ636" t="s">
        <v>131</v>
      </c>
      <c r="AR636">
        <v>-3</v>
      </c>
      <c r="AS636">
        <v>80</v>
      </c>
      <c r="AT636">
        <v>-128</v>
      </c>
      <c r="BB636" t="str">
        <f t="shared" si="231"/>
        <v>1200</v>
      </c>
      <c r="BC636">
        <v>1</v>
      </c>
      <c r="BD636" t="str">
        <f t="shared" si="232"/>
        <v xml:space="preserve">N52156  </v>
      </c>
      <c r="BE636">
        <v>1</v>
      </c>
      <c r="BG636">
        <v>0</v>
      </c>
      <c r="BH636">
        <v>0</v>
      </c>
      <c r="BI636">
        <v>0</v>
      </c>
      <c r="BJ636">
        <v>2500</v>
      </c>
      <c r="BK636">
        <v>0</v>
      </c>
      <c r="BL636" t="s">
        <v>188</v>
      </c>
      <c r="BM636">
        <v>1</v>
      </c>
      <c r="BN636">
        <v>1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 t="shared" si="251"/>
        <v>15:06:17.899</v>
      </c>
      <c r="CF636">
        <v>898950311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5</v>
      </c>
      <c r="CY636">
        <v>7</v>
      </c>
      <c r="CZ636" t="s">
        <v>133</v>
      </c>
      <c r="DA636">
        <v>275</v>
      </c>
      <c r="DB636">
        <v>0</v>
      </c>
      <c r="DC636" t="s">
        <v>134</v>
      </c>
      <c r="DD636" t="s">
        <v>135</v>
      </c>
      <c r="DG636">
        <v>3318868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"05/01/2025 15:06:18.159"</f>
        <v>05/01/2025 15:06:18.159</v>
      </c>
      <c r="C637" t="str">
        <f t="shared" si="228"/>
        <v>FFDFD3C0</v>
      </c>
      <c r="D637" t="s">
        <v>136</v>
      </c>
      <c r="E637" t="str">
        <f>"20"</f>
        <v>20</v>
      </c>
      <c r="H637">
        <v>400</v>
      </c>
      <c r="I637" t="s">
        <v>137</v>
      </c>
      <c r="J637" t="s">
        <v>138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R637" t="s">
        <v>127</v>
      </c>
      <c r="S637" t="str">
        <f t="shared" si="250"/>
        <v>15:06:17.000</v>
      </c>
      <c r="T637" t="str">
        <f t="shared" si="250"/>
        <v>15:06:17.000</v>
      </c>
      <c r="U637" t="str">
        <f t="shared" si="230"/>
        <v>A68FCB</v>
      </c>
      <c r="V637">
        <v>0</v>
      </c>
      <c r="W637">
        <v>0</v>
      </c>
      <c r="X637">
        <v>2</v>
      </c>
      <c r="Y637">
        <v>0</v>
      </c>
      <c r="AA637">
        <v>1</v>
      </c>
      <c r="AB637">
        <v>8</v>
      </c>
      <c r="AC637">
        <v>3</v>
      </c>
      <c r="AD637">
        <v>0</v>
      </c>
      <c r="AE637">
        <v>9</v>
      </c>
      <c r="AF637" t="s">
        <v>138</v>
      </c>
      <c r="AG637">
        <v>0</v>
      </c>
      <c r="AH637">
        <v>3</v>
      </c>
      <c r="AI637">
        <v>1</v>
      </c>
      <c r="AJ637">
        <v>0</v>
      </c>
      <c r="AK637" t="s">
        <v>311</v>
      </c>
      <c r="AL637">
        <v>38.963120000000004</v>
      </c>
      <c r="AM637" t="s">
        <v>312</v>
      </c>
      <c r="AN637">
        <v>-121.049724</v>
      </c>
      <c r="AO637">
        <v>25</v>
      </c>
      <c r="AP637">
        <v>2500</v>
      </c>
      <c r="AQ637" t="s">
        <v>131</v>
      </c>
      <c r="AR637">
        <v>-3</v>
      </c>
      <c r="AS637">
        <v>80</v>
      </c>
      <c r="AT637">
        <v>-128</v>
      </c>
      <c r="BB637" t="str">
        <f t="shared" si="231"/>
        <v>1200</v>
      </c>
      <c r="BC637">
        <v>1</v>
      </c>
      <c r="BD637" t="str">
        <f t="shared" si="232"/>
        <v xml:space="preserve">N52156  </v>
      </c>
      <c r="BE637">
        <v>1</v>
      </c>
      <c r="BG637">
        <v>0</v>
      </c>
      <c r="BH637">
        <v>0</v>
      </c>
      <c r="BI637">
        <v>0</v>
      </c>
      <c r="BJ637">
        <v>2500</v>
      </c>
      <c r="BK637">
        <v>0</v>
      </c>
      <c r="BL637" t="s">
        <v>188</v>
      </c>
      <c r="BM637">
        <v>1</v>
      </c>
      <c r="BN637">
        <v>1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 t="shared" si="251"/>
        <v>15:06:17.899</v>
      </c>
      <c r="CF637">
        <v>898950311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5</v>
      </c>
      <c r="CY637">
        <v>7</v>
      </c>
      <c r="CZ637" t="s">
        <v>133</v>
      </c>
      <c r="DA637">
        <v>275</v>
      </c>
      <c r="DB637">
        <v>0</v>
      </c>
      <c r="DC637" t="s">
        <v>134</v>
      </c>
      <c r="DD637" t="s">
        <v>135</v>
      </c>
      <c r="DG637">
        <v>3318868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"05/01/2025 15:06:18.439"</f>
        <v>05/01/2025 15:06:18.439</v>
      </c>
      <c r="C638" t="str">
        <f t="shared" si="228"/>
        <v>FFDFD3C0</v>
      </c>
      <c r="D638" t="s">
        <v>140</v>
      </c>
      <c r="E638" t="str">
        <f>"13"</f>
        <v>13</v>
      </c>
      <c r="F638">
        <v>1019</v>
      </c>
      <c r="G638" t="s">
        <v>141</v>
      </c>
      <c r="J638" t="s">
        <v>142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R638" t="s">
        <v>127</v>
      </c>
      <c r="S638" t="str">
        <f t="shared" ref="S638:T643" si="252">"15:06:18.000"</f>
        <v>15:06:18.000</v>
      </c>
      <c r="T638" t="str">
        <f t="shared" si="252"/>
        <v>15:06:18.000</v>
      </c>
      <c r="U638" t="str">
        <f t="shared" si="230"/>
        <v>A68FCB</v>
      </c>
      <c r="V638">
        <v>0</v>
      </c>
      <c r="W638">
        <v>0</v>
      </c>
      <c r="X638">
        <v>2</v>
      </c>
      <c r="Y638">
        <v>0</v>
      </c>
      <c r="AA638">
        <v>1</v>
      </c>
      <c r="AB638">
        <v>8</v>
      </c>
      <c r="AC638">
        <v>3</v>
      </c>
      <c r="AD638">
        <v>0</v>
      </c>
      <c r="AE638">
        <v>9</v>
      </c>
      <c r="AF638" t="s">
        <v>138</v>
      </c>
      <c r="AG638">
        <v>0</v>
      </c>
      <c r="AH638">
        <v>3</v>
      </c>
      <c r="AI638">
        <v>1</v>
      </c>
      <c r="AJ638">
        <v>0</v>
      </c>
      <c r="AK638" t="s">
        <v>313</v>
      </c>
      <c r="AL638">
        <v>38.963484999999999</v>
      </c>
      <c r="AM638" t="s">
        <v>295</v>
      </c>
      <c r="AN638">
        <v>-121.049745</v>
      </c>
      <c r="AO638">
        <v>25</v>
      </c>
      <c r="AP638">
        <v>2500</v>
      </c>
      <c r="AQ638" t="s">
        <v>131</v>
      </c>
      <c r="AR638">
        <v>-3</v>
      </c>
      <c r="AS638">
        <v>80</v>
      </c>
      <c r="AT638">
        <v>-128</v>
      </c>
      <c r="BB638" t="str">
        <f t="shared" si="231"/>
        <v>1200</v>
      </c>
      <c r="BC638">
        <v>1</v>
      </c>
      <c r="BD638" t="str">
        <f t="shared" si="232"/>
        <v xml:space="preserve">N52156  </v>
      </c>
      <c r="BE638">
        <v>1</v>
      </c>
      <c r="BG638">
        <v>0</v>
      </c>
      <c r="BH638">
        <v>0</v>
      </c>
      <c r="BI638">
        <v>0</v>
      </c>
      <c r="BJ638">
        <v>2500</v>
      </c>
      <c r="BK638">
        <v>0</v>
      </c>
      <c r="BL638" t="s">
        <v>188</v>
      </c>
      <c r="BM638">
        <v>1</v>
      </c>
      <c r="BN638">
        <v>1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 t="shared" ref="CE638:CE643" si="253">"15:06:18.224"</f>
        <v>15:06:18.224</v>
      </c>
      <c r="CF638">
        <v>224448709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6</v>
      </c>
      <c r="CY638">
        <v>7</v>
      </c>
      <c r="CZ638" t="s">
        <v>133</v>
      </c>
      <c r="DA638">
        <v>275</v>
      </c>
      <c r="DB638">
        <v>0</v>
      </c>
      <c r="DC638" t="s">
        <v>134</v>
      </c>
      <c r="DD638" t="s">
        <v>135</v>
      </c>
      <c r="DG638">
        <v>3318874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"05/01/2025 15:06:18.448"</f>
        <v>05/01/2025 15:06:18.448</v>
      </c>
      <c r="C639" t="str">
        <f t="shared" si="228"/>
        <v>FFDFD3C0</v>
      </c>
      <c r="D639" t="s">
        <v>143</v>
      </c>
      <c r="E639" t="str">
        <f>"05"</f>
        <v>05</v>
      </c>
      <c r="H639">
        <v>172</v>
      </c>
      <c r="I639" t="s">
        <v>141</v>
      </c>
      <c r="J639" t="s">
        <v>144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R639" t="s">
        <v>127</v>
      </c>
      <c r="S639" t="str">
        <f t="shared" si="252"/>
        <v>15:06:18.000</v>
      </c>
      <c r="T639" t="str">
        <f t="shared" si="252"/>
        <v>15:06:18.000</v>
      </c>
      <c r="U639" t="str">
        <f t="shared" si="230"/>
        <v>A68FCB</v>
      </c>
      <c r="V639">
        <v>0</v>
      </c>
      <c r="W639">
        <v>0</v>
      </c>
      <c r="X639">
        <v>2</v>
      </c>
      <c r="Y639">
        <v>0</v>
      </c>
      <c r="AA639">
        <v>1</v>
      </c>
      <c r="AB639">
        <v>8</v>
      </c>
      <c r="AC639">
        <v>3</v>
      </c>
      <c r="AD639">
        <v>0</v>
      </c>
      <c r="AE639">
        <v>9</v>
      </c>
      <c r="AF639" t="s">
        <v>138</v>
      </c>
      <c r="AG639">
        <v>0</v>
      </c>
      <c r="AH639">
        <v>3</v>
      </c>
      <c r="AI639">
        <v>1</v>
      </c>
      <c r="AJ639">
        <v>0</v>
      </c>
      <c r="AK639" t="s">
        <v>313</v>
      </c>
      <c r="AL639">
        <v>38.963484999999999</v>
      </c>
      <c r="AM639" t="s">
        <v>295</v>
      </c>
      <c r="AN639">
        <v>-121.049745</v>
      </c>
      <c r="AO639">
        <v>25</v>
      </c>
      <c r="AP639">
        <v>2500</v>
      </c>
      <c r="AQ639" t="s">
        <v>131</v>
      </c>
      <c r="AR639">
        <v>-3</v>
      </c>
      <c r="AS639">
        <v>80</v>
      </c>
      <c r="AT639">
        <v>-128</v>
      </c>
      <c r="BB639" t="str">
        <f t="shared" si="231"/>
        <v>1200</v>
      </c>
      <c r="BC639">
        <v>1</v>
      </c>
      <c r="BD639" t="str">
        <f t="shared" si="232"/>
        <v xml:space="preserve">N52156  </v>
      </c>
      <c r="BE639">
        <v>1</v>
      </c>
      <c r="BG639">
        <v>0</v>
      </c>
      <c r="BH639">
        <v>0</v>
      </c>
      <c r="BI639">
        <v>0</v>
      </c>
      <c r="BJ639">
        <v>2500</v>
      </c>
      <c r="BK639">
        <v>0</v>
      </c>
      <c r="BL639" t="s">
        <v>188</v>
      </c>
      <c r="BM639">
        <v>1</v>
      </c>
      <c r="BN639">
        <v>1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 t="shared" si="253"/>
        <v>15:06:18.224</v>
      </c>
      <c r="CF639">
        <v>224448709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6</v>
      </c>
      <c r="CY639">
        <v>7</v>
      </c>
      <c r="CZ639" t="s">
        <v>133</v>
      </c>
      <c r="DA639">
        <v>275</v>
      </c>
      <c r="DB639">
        <v>0</v>
      </c>
      <c r="DC639" t="s">
        <v>134</v>
      </c>
      <c r="DD639" t="s">
        <v>135</v>
      </c>
      <c r="DG639">
        <v>3318874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"05/01/2025 15:06:18.449"</f>
        <v>05/01/2025 15:06:18.449</v>
      </c>
      <c r="C640" t="str">
        <f t="shared" si="228"/>
        <v>FFDFD3C0</v>
      </c>
      <c r="D640" t="s">
        <v>145</v>
      </c>
      <c r="E640" t="str">
        <f>"09"</f>
        <v>09</v>
      </c>
      <c r="H640">
        <v>51</v>
      </c>
      <c r="I640" t="s">
        <v>147</v>
      </c>
      <c r="J640" t="s">
        <v>138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R640" t="s">
        <v>127</v>
      </c>
      <c r="S640" t="str">
        <f t="shared" si="252"/>
        <v>15:06:18.000</v>
      </c>
      <c r="T640" t="str">
        <f t="shared" si="252"/>
        <v>15:06:18.000</v>
      </c>
      <c r="U640" t="str">
        <f t="shared" si="230"/>
        <v>A68FCB</v>
      </c>
      <c r="V640">
        <v>0</v>
      </c>
      <c r="W640">
        <v>0</v>
      </c>
      <c r="X640">
        <v>2</v>
      </c>
      <c r="Y640">
        <v>0</v>
      </c>
      <c r="AA640">
        <v>1</v>
      </c>
      <c r="AB640">
        <v>8</v>
      </c>
      <c r="AC640">
        <v>3</v>
      </c>
      <c r="AD640">
        <v>0</v>
      </c>
      <c r="AE640">
        <v>9</v>
      </c>
      <c r="AF640" t="s">
        <v>138</v>
      </c>
      <c r="AG640">
        <v>0</v>
      </c>
      <c r="AH640">
        <v>3</v>
      </c>
      <c r="AI640">
        <v>1</v>
      </c>
      <c r="AJ640">
        <v>0</v>
      </c>
      <c r="AK640" t="s">
        <v>313</v>
      </c>
      <c r="AL640">
        <v>38.963484999999999</v>
      </c>
      <c r="AM640" t="s">
        <v>295</v>
      </c>
      <c r="AN640">
        <v>-121.049745</v>
      </c>
      <c r="AO640">
        <v>25</v>
      </c>
      <c r="AP640">
        <v>2500</v>
      </c>
      <c r="AQ640" t="s">
        <v>131</v>
      </c>
      <c r="AR640">
        <v>-3</v>
      </c>
      <c r="AS640">
        <v>80</v>
      </c>
      <c r="AT640">
        <v>-128</v>
      </c>
      <c r="BB640" t="str">
        <f t="shared" si="231"/>
        <v>1200</v>
      </c>
      <c r="BC640">
        <v>1</v>
      </c>
      <c r="BD640" t="str">
        <f t="shared" si="232"/>
        <v xml:space="preserve">N52156  </v>
      </c>
      <c r="BE640">
        <v>1</v>
      </c>
      <c r="BG640">
        <v>0</v>
      </c>
      <c r="BH640">
        <v>0</v>
      </c>
      <c r="BI640">
        <v>0</v>
      </c>
      <c r="BJ640">
        <v>2500</v>
      </c>
      <c r="BK640">
        <v>0</v>
      </c>
      <c r="BL640" t="s">
        <v>188</v>
      </c>
      <c r="BM640">
        <v>1</v>
      </c>
      <c r="BN640">
        <v>1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 t="shared" si="253"/>
        <v>15:06:18.224</v>
      </c>
      <c r="CF640">
        <v>224448709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133</v>
      </c>
      <c r="DA640">
        <v>275</v>
      </c>
      <c r="DB640">
        <v>0</v>
      </c>
      <c r="DC640" t="s">
        <v>134</v>
      </c>
      <c r="DD640" t="s">
        <v>135</v>
      </c>
      <c r="DG640">
        <v>3318874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"05/01/2025 15:06:18.449"</f>
        <v>05/01/2025 15:06:18.449</v>
      </c>
      <c r="C641" t="str">
        <f t="shared" si="228"/>
        <v>FFDFD3C0</v>
      </c>
      <c r="D641" t="s">
        <v>145</v>
      </c>
      <c r="E641" t="str">
        <f>"05"</f>
        <v>05</v>
      </c>
      <c r="H641">
        <v>47</v>
      </c>
      <c r="I641" t="s">
        <v>146</v>
      </c>
      <c r="J641" t="s">
        <v>138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R641" t="s">
        <v>127</v>
      </c>
      <c r="S641" t="str">
        <f t="shared" si="252"/>
        <v>15:06:18.000</v>
      </c>
      <c r="T641" t="str">
        <f t="shared" si="252"/>
        <v>15:06:18.000</v>
      </c>
      <c r="U641" t="str">
        <f t="shared" si="230"/>
        <v>A68FCB</v>
      </c>
      <c r="V641">
        <v>0</v>
      </c>
      <c r="W641">
        <v>0</v>
      </c>
      <c r="X641">
        <v>2</v>
      </c>
      <c r="Y641">
        <v>0</v>
      </c>
      <c r="AA641">
        <v>1</v>
      </c>
      <c r="AB641">
        <v>8</v>
      </c>
      <c r="AC641">
        <v>3</v>
      </c>
      <c r="AD641">
        <v>0</v>
      </c>
      <c r="AE641">
        <v>9</v>
      </c>
      <c r="AF641" t="s">
        <v>138</v>
      </c>
      <c r="AG641">
        <v>0</v>
      </c>
      <c r="AH641">
        <v>3</v>
      </c>
      <c r="AI641">
        <v>1</v>
      </c>
      <c r="AJ641">
        <v>0</v>
      </c>
      <c r="AK641" t="s">
        <v>313</v>
      </c>
      <c r="AL641">
        <v>38.963484999999999</v>
      </c>
      <c r="AM641" t="s">
        <v>295</v>
      </c>
      <c r="AN641">
        <v>-121.049745</v>
      </c>
      <c r="AO641">
        <v>25</v>
      </c>
      <c r="AP641">
        <v>2500</v>
      </c>
      <c r="AQ641" t="s">
        <v>131</v>
      </c>
      <c r="AR641">
        <v>-3</v>
      </c>
      <c r="AS641">
        <v>80</v>
      </c>
      <c r="AT641">
        <v>-128</v>
      </c>
      <c r="BB641" t="str">
        <f t="shared" si="231"/>
        <v>1200</v>
      </c>
      <c r="BC641">
        <v>1</v>
      </c>
      <c r="BD641" t="str">
        <f t="shared" si="232"/>
        <v xml:space="preserve">N52156  </v>
      </c>
      <c r="BE641">
        <v>1</v>
      </c>
      <c r="BG641">
        <v>0</v>
      </c>
      <c r="BH641">
        <v>0</v>
      </c>
      <c r="BI641">
        <v>0</v>
      </c>
      <c r="BJ641">
        <v>2500</v>
      </c>
      <c r="BK641">
        <v>0</v>
      </c>
      <c r="BL641" t="s">
        <v>188</v>
      </c>
      <c r="BM641">
        <v>1</v>
      </c>
      <c r="BN641">
        <v>1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 t="shared" si="253"/>
        <v>15:06:18.224</v>
      </c>
      <c r="CF641">
        <v>224448709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6</v>
      </c>
      <c r="CY641">
        <v>7</v>
      </c>
      <c r="CZ641" t="s">
        <v>133</v>
      </c>
      <c r="DA641">
        <v>275</v>
      </c>
      <c r="DB641">
        <v>0</v>
      </c>
      <c r="DC641" t="s">
        <v>134</v>
      </c>
      <c r="DD641" t="s">
        <v>135</v>
      </c>
      <c r="DG641">
        <v>3318874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"05/01/2025 15:06:18.448"</f>
        <v>05/01/2025 15:06:18.448</v>
      </c>
      <c r="C642" t="str">
        <f t="shared" ref="C642:C705" si="254">"FFDFD3C0"</f>
        <v>FFDFD3C0</v>
      </c>
      <c r="D642" t="s">
        <v>124</v>
      </c>
      <c r="E642" t="str">
        <f>"06"</f>
        <v>06</v>
      </c>
      <c r="F642">
        <v>2006</v>
      </c>
      <c r="G642" t="s">
        <v>125</v>
      </c>
      <c r="J642" t="s">
        <v>126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R642" t="s">
        <v>127</v>
      </c>
      <c r="S642" t="str">
        <f t="shared" si="252"/>
        <v>15:06:18.000</v>
      </c>
      <c r="T642" t="str">
        <f t="shared" si="252"/>
        <v>15:06:18.000</v>
      </c>
      <c r="U642" t="str">
        <f t="shared" ref="U642:U705" si="255">"A68FCB"</f>
        <v>A68FCB</v>
      </c>
      <c r="V642">
        <v>0</v>
      </c>
      <c r="W642">
        <v>0</v>
      </c>
      <c r="X642">
        <v>2</v>
      </c>
      <c r="Y642">
        <v>0</v>
      </c>
      <c r="AA642">
        <v>1</v>
      </c>
      <c r="AB642">
        <v>8</v>
      </c>
      <c r="AC642">
        <v>3</v>
      </c>
      <c r="AD642">
        <v>0</v>
      </c>
      <c r="AE642">
        <v>9</v>
      </c>
      <c r="AF642" t="s">
        <v>138</v>
      </c>
      <c r="AG642">
        <v>0</v>
      </c>
      <c r="AH642">
        <v>3</v>
      </c>
      <c r="AI642">
        <v>1</v>
      </c>
      <c r="AJ642">
        <v>0</v>
      </c>
      <c r="AK642" t="s">
        <v>313</v>
      </c>
      <c r="AL642">
        <v>38.963484999999999</v>
      </c>
      <c r="AM642" t="s">
        <v>295</v>
      </c>
      <c r="AN642">
        <v>-121.049745</v>
      </c>
      <c r="AO642">
        <v>25</v>
      </c>
      <c r="AP642">
        <v>2500</v>
      </c>
      <c r="AQ642" t="s">
        <v>131</v>
      </c>
      <c r="AR642">
        <v>-3</v>
      </c>
      <c r="AS642">
        <v>80</v>
      </c>
      <c r="AT642">
        <v>-128</v>
      </c>
      <c r="BB642" t="str">
        <f t="shared" ref="BB642:BB705" si="256">"1200"</f>
        <v>1200</v>
      </c>
      <c r="BC642">
        <v>1</v>
      </c>
      <c r="BD642" t="str">
        <f t="shared" ref="BD642:BD705" si="257">"N52156  "</f>
        <v xml:space="preserve">N52156  </v>
      </c>
      <c r="BE642">
        <v>1</v>
      </c>
      <c r="BG642">
        <v>0</v>
      </c>
      <c r="BH642">
        <v>0</v>
      </c>
      <c r="BI642">
        <v>0</v>
      </c>
      <c r="BJ642">
        <v>2500</v>
      </c>
      <c r="BK642">
        <v>0</v>
      </c>
      <c r="BL642" t="s">
        <v>188</v>
      </c>
      <c r="BM642">
        <v>1</v>
      </c>
      <c r="BN642">
        <v>1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 t="shared" si="253"/>
        <v>15:06:18.224</v>
      </c>
      <c r="CF642">
        <v>224448709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6</v>
      </c>
      <c r="CY642">
        <v>7</v>
      </c>
      <c r="CZ642" t="s">
        <v>133</v>
      </c>
      <c r="DA642">
        <v>275</v>
      </c>
      <c r="DB642">
        <v>0</v>
      </c>
      <c r="DC642" t="s">
        <v>134</v>
      </c>
      <c r="DD642" t="s">
        <v>135</v>
      </c>
      <c r="DG642">
        <v>3318874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"05/01/2025 15:06:18.459"</f>
        <v>05/01/2025 15:06:18.459</v>
      </c>
      <c r="C643" t="str">
        <f t="shared" si="254"/>
        <v>FFDFD3C0</v>
      </c>
      <c r="D643" t="s">
        <v>136</v>
      </c>
      <c r="E643" t="str">
        <f>"20"</f>
        <v>20</v>
      </c>
      <c r="H643">
        <v>400</v>
      </c>
      <c r="I643" t="s">
        <v>137</v>
      </c>
      <c r="J643" t="s">
        <v>138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R643" t="s">
        <v>127</v>
      </c>
      <c r="S643" t="str">
        <f t="shared" si="252"/>
        <v>15:06:18.000</v>
      </c>
      <c r="T643" t="str">
        <f t="shared" si="252"/>
        <v>15:06:18.000</v>
      </c>
      <c r="U643" t="str">
        <f t="shared" si="255"/>
        <v>A68FCB</v>
      </c>
      <c r="V643">
        <v>0</v>
      </c>
      <c r="W643">
        <v>0</v>
      </c>
      <c r="X643">
        <v>2</v>
      </c>
      <c r="Y643">
        <v>0</v>
      </c>
      <c r="AA643">
        <v>1</v>
      </c>
      <c r="AB643">
        <v>8</v>
      </c>
      <c r="AC643">
        <v>3</v>
      </c>
      <c r="AD643">
        <v>0</v>
      </c>
      <c r="AE643">
        <v>9</v>
      </c>
      <c r="AF643" t="s">
        <v>138</v>
      </c>
      <c r="AG643">
        <v>0</v>
      </c>
      <c r="AH643">
        <v>3</v>
      </c>
      <c r="AI643">
        <v>1</v>
      </c>
      <c r="AJ643">
        <v>0</v>
      </c>
      <c r="AK643" t="s">
        <v>313</v>
      </c>
      <c r="AL643">
        <v>38.963484999999999</v>
      </c>
      <c r="AM643" t="s">
        <v>295</v>
      </c>
      <c r="AN643">
        <v>-121.049745</v>
      </c>
      <c r="AO643">
        <v>25</v>
      </c>
      <c r="AP643">
        <v>2500</v>
      </c>
      <c r="AQ643" t="s">
        <v>131</v>
      </c>
      <c r="AR643">
        <v>-3</v>
      </c>
      <c r="AS643">
        <v>80</v>
      </c>
      <c r="AT643">
        <v>-128</v>
      </c>
      <c r="BB643" t="str">
        <f t="shared" si="256"/>
        <v>1200</v>
      </c>
      <c r="BC643">
        <v>1</v>
      </c>
      <c r="BD643" t="str">
        <f t="shared" si="257"/>
        <v xml:space="preserve">N52156  </v>
      </c>
      <c r="BE643">
        <v>1</v>
      </c>
      <c r="BG643">
        <v>0</v>
      </c>
      <c r="BH643">
        <v>0</v>
      </c>
      <c r="BI643">
        <v>0</v>
      </c>
      <c r="BJ643">
        <v>2500</v>
      </c>
      <c r="BK643">
        <v>0</v>
      </c>
      <c r="BL643" t="s">
        <v>188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 t="shared" si="253"/>
        <v>15:06:18.224</v>
      </c>
      <c r="CF643">
        <v>224448709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133</v>
      </c>
      <c r="DA643">
        <v>275</v>
      </c>
      <c r="DB643">
        <v>0</v>
      </c>
      <c r="DC643" t="s">
        <v>134</v>
      </c>
      <c r="DD643" t="s">
        <v>135</v>
      </c>
      <c r="DG643">
        <v>3318874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"05/01/2025 15:06:19.562"</f>
        <v>05/01/2025 15:06:19.562</v>
      </c>
      <c r="C644" t="str">
        <f t="shared" si="254"/>
        <v>FFDFD3C0</v>
      </c>
      <c r="D644" t="s">
        <v>136</v>
      </c>
      <c r="E644" t="str">
        <f>"20"</f>
        <v>20</v>
      </c>
      <c r="H644">
        <v>400</v>
      </c>
      <c r="I644" t="s">
        <v>137</v>
      </c>
      <c r="J644" t="s">
        <v>138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R644" t="s">
        <v>127</v>
      </c>
      <c r="S644" t="str">
        <f t="shared" ref="S644:T649" si="258">"15:06:19.000"</f>
        <v>15:06:19.000</v>
      </c>
      <c r="T644" t="str">
        <f t="shared" si="258"/>
        <v>15:06:19.000</v>
      </c>
      <c r="U644" t="str">
        <f t="shared" si="255"/>
        <v>A68FCB</v>
      </c>
      <c r="V644">
        <v>0</v>
      </c>
      <c r="W644">
        <v>0</v>
      </c>
      <c r="X644">
        <v>2</v>
      </c>
      <c r="Y644">
        <v>0</v>
      </c>
      <c r="AA644">
        <v>1</v>
      </c>
      <c r="AB644">
        <v>8</v>
      </c>
      <c r="AC644">
        <v>3</v>
      </c>
      <c r="AD644">
        <v>0</v>
      </c>
      <c r="AE644">
        <v>9</v>
      </c>
      <c r="AF644" t="s">
        <v>138</v>
      </c>
      <c r="AG644">
        <v>0</v>
      </c>
      <c r="AH644">
        <v>3</v>
      </c>
      <c r="AI644">
        <v>1</v>
      </c>
      <c r="AJ644">
        <v>0</v>
      </c>
      <c r="AK644" t="s">
        <v>314</v>
      </c>
      <c r="AL644">
        <v>38.963850000000001</v>
      </c>
      <c r="AM644" t="s">
        <v>315</v>
      </c>
      <c r="AN644">
        <v>-121.049767</v>
      </c>
      <c r="AO644">
        <v>25</v>
      </c>
      <c r="AP644">
        <v>2500</v>
      </c>
      <c r="AQ644" t="s">
        <v>131</v>
      </c>
      <c r="AR644">
        <v>-3</v>
      </c>
      <c r="AS644">
        <v>82</v>
      </c>
      <c r="AT644">
        <v>-64</v>
      </c>
      <c r="BB644" t="str">
        <f t="shared" si="256"/>
        <v>1200</v>
      </c>
      <c r="BC644">
        <v>1</v>
      </c>
      <c r="BD644" t="str">
        <f t="shared" si="257"/>
        <v xml:space="preserve">N52156  </v>
      </c>
      <c r="BE644">
        <v>1</v>
      </c>
      <c r="BG644">
        <v>0</v>
      </c>
      <c r="BH644">
        <v>0</v>
      </c>
      <c r="BI644">
        <v>0</v>
      </c>
      <c r="BJ644">
        <v>2500</v>
      </c>
      <c r="BK644">
        <v>0</v>
      </c>
      <c r="BL644" t="s">
        <v>188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 t="shared" ref="CE644:CE649" si="259">"15:06:19.364"</f>
        <v>15:06:19.364</v>
      </c>
      <c r="CF644">
        <v>364449062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5</v>
      </c>
      <c r="CY644">
        <v>7</v>
      </c>
      <c r="CZ644" t="s">
        <v>133</v>
      </c>
      <c r="DA644">
        <v>275</v>
      </c>
      <c r="DB644">
        <v>0</v>
      </c>
      <c r="DC644" t="s">
        <v>134</v>
      </c>
      <c r="DD644" t="s">
        <v>135</v>
      </c>
      <c r="DG644">
        <v>3318887</v>
      </c>
      <c r="DI644">
        <v>1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"05/01/2025 15:06:19.590"</f>
        <v>05/01/2025 15:06:19.590</v>
      </c>
      <c r="C645" t="str">
        <f t="shared" si="254"/>
        <v>FFDFD3C0</v>
      </c>
      <c r="D645" t="s">
        <v>140</v>
      </c>
      <c r="E645" t="str">
        <f>"13"</f>
        <v>13</v>
      </c>
      <c r="F645">
        <v>1019</v>
      </c>
      <c r="G645" t="s">
        <v>141</v>
      </c>
      <c r="J645" t="s">
        <v>142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R645" t="s">
        <v>127</v>
      </c>
      <c r="S645" t="str">
        <f t="shared" si="258"/>
        <v>15:06:19.000</v>
      </c>
      <c r="T645" t="str">
        <f t="shared" si="258"/>
        <v>15:06:19.000</v>
      </c>
      <c r="U645" t="str">
        <f t="shared" si="255"/>
        <v>A68FCB</v>
      </c>
      <c r="V645">
        <v>0</v>
      </c>
      <c r="W645">
        <v>0</v>
      </c>
      <c r="X645">
        <v>2</v>
      </c>
      <c r="Y645">
        <v>0</v>
      </c>
      <c r="AA645">
        <v>1</v>
      </c>
      <c r="AB645">
        <v>8</v>
      </c>
      <c r="AC645">
        <v>3</v>
      </c>
      <c r="AD645">
        <v>0</v>
      </c>
      <c r="AE645">
        <v>9</v>
      </c>
      <c r="AF645" t="s">
        <v>138</v>
      </c>
      <c r="AG645">
        <v>0</v>
      </c>
      <c r="AH645">
        <v>3</v>
      </c>
      <c r="AI645">
        <v>1</v>
      </c>
      <c r="AJ645">
        <v>0</v>
      </c>
      <c r="AK645" t="s">
        <v>314</v>
      </c>
      <c r="AL645">
        <v>38.963850000000001</v>
      </c>
      <c r="AM645" t="s">
        <v>315</v>
      </c>
      <c r="AN645">
        <v>-121.049767</v>
      </c>
      <c r="AO645">
        <v>25</v>
      </c>
      <c r="AP645">
        <v>2500</v>
      </c>
      <c r="AQ645" t="s">
        <v>131</v>
      </c>
      <c r="AR645">
        <v>-3</v>
      </c>
      <c r="AS645">
        <v>82</v>
      </c>
      <c r="AT645">
        <v>-64</v>
      </c>
      <c r="BB645" t="str">
        <f t="shared" si="256"/>
        <v>1200</v>
      </c>
      <c r="BC645">
        <v>1</v>
      </c>
      <c r="BD645" t="str">
        <f t="shared" si="257"/>
        <v xml:space="preserve">N52156  </v>
      </c>
      <c r="BE645">
        <v>1</v>
      </c>
      <c r="BG645">
        <v>0</v>
      </c>
      <c r="BH645">
        <v>0</v>
      </c>
      <c r="BI645">
        <v>0</v>
      </c>
      <c r="BJ645">
        <v>2500</v>
      </c>
      <c r="BK645">
        <v>0</v>
      </c>
      <c r="BL645" t="s">
        <v>188</v>
      </c>
      <c r="BM645">
        <v>1</v>
      </c>
      <c r="BN645">
        <v>1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 t="shared" si="259"/>
        <v>15:06:19.364</v>
      </c>
      <c r="CF645">
        <v>364449062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5</v>
      </c>
      <c r="CY645">
        <v>7</v>
      </c>
      <c r="CZ645" t="s">
        <v>133</v>
      </c>
      <c r="DA645">
        <v>275</v>
      </c>
      <c r="DB645">
        <v>0</v>
      </c>
      <c r="DC645" t="s">
        <v>134</v>
      </c>
      <c r="DD645" t="s">
        <v>135</v>
      </c>
      <c r="DG645">
        <v>3318887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"05/01/2025 15:06:19.600"</f>
        <v>05/01/2025 15:06:19.600</v>
      </c>
      <c r="C646" t="str">
        <f t="shared" si="254"/>
        <v>FFDFD3C0</v>
      </c>
      <c r="D646" t="s">
        <v>145</v>
      </c>
      <c r="E646" t="str">
        <f>"05"</f>
        <v>05</v>
      </c>
      <c r="H646">
        <v>47</v>
      </c>
      <c r="I646" t="s">
        <v>146</v>
      </c>
      <c r="J646" t="s">
        <v>138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R646" t="s">
        <v>127</v>
      </c>
      <c r="S646" t="str">
        <f t="shared" si="258"/>
        <v>15:06:19.000</v>
      </c>
      <c r="T646" t="str">
        <f t="shared" si="258"/>
        <v>15:06:19.000</v>
      </c>
      <c r="U646" t="str">
        <f t="shared" si="255"/>
        <v>A68FCB</v>
      </c>
      <c r="V646">
        <v>0</v>
      </c>
      <c r="W646">
        <v>0</v>
      </c>
      <c r="X646">
        <v>2</v>
      </c>
      <c r="Y646">
        <v>0</v>
      </c>
      <c r="AA646">
        <v>1</v>
      </c>
      <c r="AB646">
        <v>8</v>
      </c>
      <c r="AC646">
        <v>3</v>
      </c>
      <c r="AD646">
        <v>0</v>
      </c>
      <c r="AE646">
        <v>9</v>
      </c>
      <c r="AF646" t="s">
        <v>138</v>
      </c>
      <c r="AG646">
        <v>0</v>
      </c>
      <c r="AH646">
        <v>3</v>
      </c>
      <c r="AI646">
        <v>1</v>
      </c>
      <c r="AJ646">
        <v>0</v>
      </c>
      <c r="AK646" t="s">
        <v>314</v>
      </c>
      <c r="AL646">
        <v>38.963850000000001</v>
      </c>
      <c r="AM646" t="s">
        <v>315</v>
      </c>
      <c r="AN646">
        <v>-121.049767</v>
      </c>
      <c r="AO646">
        <v>25</v>
      </c>
      <c r="AP646">
        <v>2500</v>
      </c>
      <c r="AQ646" t="s">
        <v>131</v>
      </c>
      <c r="AR646">
        <v>-3</v>
      </c>
      <c r="AS646">
        <v>82</v>
      </c>
      <c r="AT646">
        <v>-64</v>
      </c>
      <c r="BB646" t="str">
        <f t="shared" si="256"/>
        <v>1200</v>
      </c>
      <c r="BC646">
        <v>1</v>
      </c>
      <c r="BD646" t="str">
        <f t="shared" si="257"/>
        <v xml:space="preserve">N52156  </v>
      </c>
      <c r="BE646">
        <v>1</v>
      </c>
      <c r="BG646">
        <v>0</v>
      </c>
      <c r="BH646">
        <v>0</v>
      </c>
      <c r="BI646">
        <v>0</v>
      </c>
      <c r="BJ646">
        <v>2500</v>
      </c>
      <c r="BK646">
        <v>0</v>
      </c>
      <c r="BL646" t="s">
        <v>188</v>
      </c>
      <c r="BM646">
        <v>1</v>
      </c>
      <c r="BN646">
        <v>1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 t="shared" si="259"/>
        <v>15:06:19.364</v>
      </c>
      <c r="CF646">
        <v>364449062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5</v>
      </c>
      <c r="CY646">
        <v>7</v>
      </c>
      <c r="CZ646" t="s">
        <v>133</v>
      </c>
      <c r="DA646">
        <v>275</v>
      </c>
      <c r="DB646">
        <v>0</v>
      </c>
      <c r="DC646" t="s">
        <v>134</v>
      </c>
      <c r="DD646" t="s">
        <v>135</v>
      </c>
      <c r="DG646">
        <v>3318887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"05/01/2025 15:06:19.599"</f>
        <v>05/01/2025 15:06:19.599</v>
      </c>
      <c r="C647" t="str">
        <f t="shared" si="254"/>
        <v>FFDFD3C0</v>
      </c>
      <c r="D647" t="s">
        <v>124</v>
      </c>
      <c r="E647" t="str">
        <f>"06"</f>
        <v>06</v>
      </c>
      <c r="F647">
        <v>2006</v>
      </c>
      <c r="G647" t="s">
        <v>125</v>
      </c>
      <c r="J647" t="s">
        <v>126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R647" t="s">
        <v>127</v>
      </c>
      <c r="S647" t="str">
        <f t="shared" si="258"/>
        <v>15:06:19.000</v>
      </c>
      <c r="T647" t="str">
        <f t="shared" si="258"/>
        <v>15:06:19.000</v>
      </c>
      <c r="U647" t="str">
        <f t="shared" si="255"/>
        <v>A68FCB</v>
      </c>
      <c r="V647">
        <v>0</v>
      </c>
      <c r="W647">
        <v>0</v>
      </c>
      <c r="X647">
        <v>2</v>
      </c>
      <c r="Y647">
        <v>0</v>
      </c>
      <c r="AA647">
        <v>1</v>
      </c>
      <c r="AB647">
        <v>8</v>
      </c>
      <c r="AC647">
        <v>3</v>
      </c>
      <c r="AD647">
        <v>0</v>
      </c>
      <c r="AE647">
        <v>9</v>
      </c>
      <c r="AF647" t="s">
        <v>138</v>
      </c>
      <c r="AG647">
        <v>0</v>
      </c>
      <c r="AH647">
        <v>3</v>
      </c>
      <c r="AI647">
        <v>1</v>
      </c>
      <c r="AJ647">
        <v>0</v>
      </c>
      <c r="AK647" t="s">
        <v>314</v>
      </c>
      <c r="AL647">
        <v>38.963850000000001</v>
      </c>
      <c r="AM647" t="s">
        <v>315</v>
      </c>
      <c r="AN647">
        <v>-121.049767</v>
      </c>
      <c r="AO647">
        <v>25</v>
      </c>
      <c r="AP647">
        <v>2500</v>
      </c>
      <c r="AQ647" t="s">
        <v>131</v>
      </c>
      <c r="AR647">
        <v>-3</v>
      </c>
      <c r="AS647">
        <v>82</v>
      </c>
      <c r="AT647">
        <v>-64</v>
      </c>
      <c r="BB647" t="str">
        <f t="shared" si="256"/>
        <v>1200</v>
      </c>
      <c r="BC647">
        <v>1</v>
      </c>
      <c r="BD647" t="str">
        <f t="shared" si="257"/>
        <v xml:space="preserve">N52156  </v>
      </c>
      <c r="BE647">
        <v>1</v>
      </c>
      <c r="BG647">
        <v>0</v>
      </c>
      <c r="BH647">
        <v>0</v>
      </c>
      <c r="BI647">
        <v>0</v>
      </c>
      <c r="BJ647">
        <v>2500</v>
      </c>
      <c r="BK647">
        <v>0</v>
      </c>
      <c r="BL647" t="s">
        <v>188</v>
      </c>
      <c r="BM647">
        <v>1</v>
      </c>
      <c r="BN647">
        <v>1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 t="shared" si="259"/>
        <v>15:06:19.364</v>
      </c>
      <c r="CF647">
        <v>364449062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5</v>
      </c>
      <c r="CY647">
        <v>7</v>
      </c>
      <c r="CZ647" t="s">
        <v>133</v>
      </c>
      <c r="DA647">
        <v>275</v>
      </c>
      <c r="DB647">
        <v>0</v>
      </c>
      <c r="DC647" t="s">
        <v>134</v>
      </c>
      <c r="DD647" t="s">
        <v>135</v>
      </c>
      <c r="DG647">
        <v>3318887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"05/01/2025 15:06:19.600"</f>
        <v>05/01/2025 15:06:19.600</v>
      </c>
      <c r="C648" t="str">
        <f t="shared" si="254"/>
        <v>FFDFD3C0</v>
      </c>
      <c r="D648" t="s">
        <v>143</v>
      </c>
      <c r="E648" t="str">
        <f>"05"</f>
        <v>05</v>
      </c>
      <c r="H648">
        <v>172</v>
      </c>
      <c r="I648" t="s">
        <v>141</v>
      </c>
      <c r="J648" t="s">
        <v>144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R648" t="s">
        <v>127</v>
      </c>
      <c r="S648" t="str">
        <f t="shared" si="258"/>
        <v>15:06:19.000</v>
      </c>
      <c r="T648" t="str">
        <f t="shared" si="258"/>
        <v>15:06:19.000</v>
      </c>
      <c r="U648" t="str">
        <f t="shared" si="255"/>
        <v>A68FCB</v>
      </c>
      <c r="V648">
        <v>0</v>
      </c>
      <c r="W648">
        <v>0</v>
      </c>
      <c r="X648">
        <v>2</v>
      </c>
      <c r="Y648">
        <v>0</v>
      </c>
      <c r="AA648">
        <v>1</v>
      </c>
      <c r="AB648">
        <v>8</v>
      </c>
      <c r="AC648">
        <v>3</v>
      </c>
      <c r="AD648">
        <v>0</v>
      </c>
      <c r="AE648">
        <v>9</v>
      </c>
      <c r="AF648" t="s">
        <v>138</v>
      </c>
      <c r="AG648">
        <v>0</v>
      </c>
      <c r="AH648">
        <v>3</v>
      </c>
      <c r="AI648">
        <v>1</v>
      </c>
      <c r="AJ648">
        <v>0</v>
      </c>
      <c r="AK648" t="s">
        <v>314</v>
      </c>
      <c r="AL648">
        <v>38.963850000000001</v>
      </c>
      <c r="AM648" t="s">
        <v>315</v>
      </c>
      <c r="AN648">
        <v>-121.049767</v>
      </c>
      <c r="AO648">
        <v>25</v>
      </c>
      <c r="AP648">
        <v>2500</v>
      </c>
      <c r="AQ648" t="s">
        <v>131</v>
      </c>
      <c r="AR648">
        <v>-3</v>
      </c>
      <c r="AS648">
        <v>82</v>
      </c>
      <c r="AT648">
        <v>-64</v>
      </c>
      <c r="BB648" t="str">
        <f t="shared" si="256"/>
        <v>1200</v>
      </c>
      <c r="BC648">
        <v>1</v>
      </c>
      <c r="BD648" t="str">
        <f t="shared" si="257"/>
        <v xml:space="preserve">N52156  </v>
      </c>
      <c r="BE648">
        <v>1</v>
      </c>
      <c r="BG648">
        <v>0</v>
      </c>
      <c r="BH648">
        <v>0</v>
      </c>
      <c r="BI648">
        <v>0</v>
      </c>
      <c r="BJ648">
        <v>2500</v>
      </c>
      <c r="BK648">
        <v>0</v>
      </c>
      <c r="BL648" t="s">
        <v>188</v>
      </c>
      <c r="BM648">
        <v>1</v>
      </c>
      <c r="BN648">
        <v>1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 t="shared" si="259"/>
        <v>15:06:19.364</v>
      </c>
      <c r="CF648">
        <v>364449062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5</v>
      </c>
      <c r="CY648">
        <v>7</v>
      </c>
      <c r="CZ648" t="s">
        <v>133</v>
      </c>
      <c r="DA648">
        <v>275</v>
      </c>
      <c r="DB648">
        <v>0</v>
      </c>
      <c r="DC648" t="s">
        <v>134</v>
      </c>
      <c r="DD648" t="s">
        <v>135</v>
      </c>
      <c r="DG648">
        <v>3318887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"05/01/2025 15:06:19.600"</f>
        <v>05/01/2025 15:06:19.600</v>
      </c>
      <c r="C649" t="str">
        <f t="shared" si="254"/>
        <v>FFDFD3C0</v>
      </c>
      <c r="D649" t="s">
        <v>145</v>
      </c>
      <c r="E649" t="str">
        <f>"09"</f>
        <v>09</v>
      </c>
      <c r="H649">
        <v>51</v>
      </c>
      <c r="I649" t="s">
        <v>147</v>
      </c>
      <c r="J649" t="s">
        <v>138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R649" t="s">
        <v>127</v>
      </c>
      <c r="S649" t="str">
        <f t="shared" si="258"/>
        <v>15:06:19.000</v>
      </c>
      <c r="T649" t="str">
        <f t="shared" si="258"/>
        <v>15:06:19.000</v>
      </c>
      <c r="U649" t="str">
        <f t="shared" si="255"/>
        <v>A68FCB</v>
      </c>
      <c r="V649">
        <v>0</v>
      </c>
      <c r="W649">
        <v>0</v>
      </c>
      <c r="X649">
        <v>2</v>
      </c>
      <c r="Y649">
        <v>0</v>
      </c>
      <c r="AA649">
        <v>1</v>
      </c>
      <c r="AB649">
        <v>8</v>
      </c>
      <c r="AC649">
        <v>3</v>
      </c>
      <c r="AD649">
        <v>0</v>
      </c>
      <c r="AE649">
        <v>9</v>
      </c>
      <c r="AF649" t="s">
        <v>138</v>
      </c>
      <c r="AG649">
        <v>0</v>
      </c>
      <c r="AH649">
        <v>3</v>
      </c>
      <c r="AI649">
        <v>1</v>
      </c>
      <c r="AJ649">
        <v>0</v>
      </c>
      <c r="AK649" t="s">
        <v>314</v>
      </c>
      <c r="AL649">
        <v>38.963850000000001</v>
      </c>
      <c r="AM649" t="s">
        <v>315</v>
      </c>
      <c r="AN649">
        <v>-121.049767</v>
      </c>
      <c r="AO649">
        <v>25</v>
      </c>
      <c r="AP649">
        <v>2500</v>
      </c>
      <c r="AQ649" t="s">
        <v>131</v>
      </c>
      <c r="AR649">
        <v>-3</v>
      </c>
      <c r="AS649">
        <v>82</v>
      </c>
      <c r="AT649">
        <v>-64</v>
      </c>
      <c r="BB649" t="str">
        <f t="shared" si="256"/>
        <v>1200</v>
      </c>
      <c r="BC649">
        <v>1</v>
      </c>
      <c r="BD649" t="str">
        <f t="shared" si="257"/>
        <v xml:space="preserve">N52156  </v>
      </c>
      <c r="BE649">
        <v>1</v>
      </c>
      <c r="BG649">
        <v>0</v>
      </c>
      <c r="BH649">
        <v>0</v>
      </c>
      <c r="BI649">
        <v>0</v>
      </c>
      <c r="BJ649">
        <v>2500</v>
      </c>
      <c r="BK649">
        <v>0</v>
      </c>
      <c r="BL649" t="s">
        <v>188</v>
      </c>
      <c r="BM649">
        <v>1</v>
      </c>
      <c r="BN649">
        <v>1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 t="shared" si="259"/>
        <v>15:06:19.364</v>
      </c>
      <c r="CF649">
        <v>364449062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5</v>
      </c>
      <c r="CY649">
        <v>7</v>
      </c>
      <c r="CZ649" t="s">
        <v>133</v>
      </c>
      <c r="DA649">
        <v>275</v>
      </c>
      <c r="DB649">
        <v>0</v>
      </c>
      <c r="DC649" t="s">
        <v>134</v>
      </c>
      <c r="DD649" t="s">
        <v>135</v>
      </c>
      <c r="DG649">
        <v>3318887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"05/01/2025 15:06:21.103"</f>
        <v>05/01/2025 15:06:21.103</v>
      </c>
      <c r="C650" t="str">
        <f t="shared" si="254"/>
        <v>FFDFD3C0</v>
      </c>
      <c r="D650" t="s">
        <v>145</v>
      </c>
      <c r="E650" t="str">
        <f>"05"</f>
        <v>05</v>
      </c>
      <c r="H650">
        <v>47</v>
      </c>
      <c r="I650" t="s">
        <v>146</v>
      </c>
      <c r="J650" t="s">
        <v>138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R650" t="s">
        <v>127</v>
      </c>
      <c r="S650" t="str">
        <f t="shared" ref="S650:T655" si="260">"15:06:20.000"</f>
        <v>15:06:20.000</v>
      </c>
      <c r="T650" t="str">
        <f t="shared" si="260"/>
        <v>15:06:20.000</v>
      </c>
      <c r="U650" t="str">
        <f t="shared" si="255"/>
        <v>A68FCB</v>
      </c>
      <c r="V650">
        <v>0</v>
      </c>
      <c r="W650">
        <v>0</v>
      </c>
      <c r="X650">
        <v>2</v>
      </c>
      <c r="Y650">
        <v>0</v>
      </c>
      <c r="AA650">
        <v>1</v>
      </c>
      <c r="AB650">
        <v>8</v>
      </c>
      <c r="AC650">
        <v>3</v>
      </c>
      <c r="AD650">
        <v>0</v>
      </c>
      <c r="AE650">
        <v>9</v>
      </c>
      <c r="AF650" t="s">
        <v>138</v>
      </c>
      <c r="AG650">
        <v>0</v>
      </c>
      <c r="AH650">
        <v>3</v>
      </c>
      <c r="AI650">
        <v>1</v>
      </c>
      <c r="AJ650">
        <v>0</v>
      </c>
      <c r="AK650" t="s">
        <v>316</v>
      </c>
      <c r="AL650">
        <v>38.964257000000003</v>
      </c>
      <c r="AM650" t="s">
        <v>315</v>
      </c>
      <c r="AN650">
        <v>-121.049767</v>
      </c>
      <c r="AO650">
        <v>25</v>
      </c>
      <c r="AP650">
        <v>2500</v>
      </c>
      <c r="AQ650" t="s">
        <v>131</v>
      </c>
      <c r="AR650">
        <v>-3</v>
      </c>
      <c r="AS650">
        <v>83</v>
      </c>
      <c r="AT650">
        <v>64</v>
      </c>
      <c r="BB650" t="str">
        <f t="shared" si="256"/>
        <v>1200</v>
      </c>
      <c r="BC650">
        <v>1</v>
      </c>
      <c r="BD650" t="str">
        <f t="shared" si="257"/>
        <v xml:space="preserve">N52156  </v>
      </c>
      <c r="BE650">
        <v>1</v>
      </c>
      <c r="BG650">
        <v>0</v>
      </c>
      <c r="BH650">
        <v>0</v>
      </c>
      <c r="BI650">
        <v>0</v>
      </c>
      <c r="BJ650">
        <v>2475</v>
      </c>
      <c r="BK650">
        <v>-25</v>
      </c>
      <c r="BL650" t="s">
        <v>188</v>
      </c>
      <c r="BM650">
        <v>1</v>
      </c>
      <c r="BN650">
        <v>1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 t="shared" ref="CE650:CE655" si="261">"15:06:20.899"</f>
        <v>15:06:20.899</v>
      </c>
      <c r="CF650">
        <v>898950478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5</v>
      </c>
      <c r="CY650">
        <v>7</v>
      </c>
      <c r="CZ650" t="s">
        <v>133</v>
      </c>
      <c r="DA650">
        <v>275</v>
      </c>
      <c r="DB650">
        <v>0</v>
      </c>
      <c r="DC650" t="s">
        <v>134</v>
      </c>
      <c r="DD650" t="s">
        <v>135</v>
      </c>
      <c r="DG650">
        <v>3318905</v>
      </c>
      <c r="DI650">
        <v>1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"05/01/2025 15:06:21.103"</f>
        <v>05/01/2025 15:06:21.103</v>
      </c>
      <c r="C651" t="str">
        <f t="shared" si="254"/>
        <v>FFDFD3C0</v>
      </c>
      <c r="D651" t="s">
        <v>145</v>
      </c>
      <c r="E651" t="str">
        <f>"09"</f>
        <v>09</v>
      </c>
      <c r="H651">
        <v>51</v>
      </c>
      <c r="I651" t="s">
        <v>147</v>
      </c>
      <c r="J651" t="s">
        <v>138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R651" t="s">
        <v>127</v>
      </c>
      <c r="S651" t="str">
        <f t="shared" si="260"/>
        <v>15:06:20.000</v>
      </c>
      <c r="T651" t="str">
        <f t="shared" si="260"/>
        <v>15:06:20.000</v>
      </c>
      <c r="U651" t="str">
        <f t="shared" si="255"/>
        <v>A68FCB</v>
      </c>
      <c r="V651">
        <v>0</v>
      </c>
      <c r="W651">
        <v>0</v>
      </c>
      <c r="X651">
        <v>2</v>
      </c>
      <c r="Y651">
        <v>0</v>
      </c>
      <c r="AA651">
        <v>1</v>
      </c>
      <c r="AB651">
        <v>8</v>
      </c>
      <c r="AC651">
        <v>3</v>
      </c>
      <c r="AD651">
        <v>0</v>
      </c>
      <c r="AE651">
        <v>9</v>
      </c>
      <c r="AF651" t="s">
        <v>138</v>
      </c>
      <c r="AG651">
        <v>0</v>
      </c>
      <c r="AH651">
        <v>3</v>
      </c>
      <c r="AI651">
        <v>1</v>
      </c>
      <c r="AJ651">
        <v>0</v>
      </c>
      <c r="AK651" t="s">
        <v>316</v>
      </c>
      <c r="AL651">
        <v>38.964257000000003</v>
      </c>
      <c r="AM651" t="s">
        <v>315</v>
      </c>
      <c r="AN651">
        <v>-121.049767</v>
      </c>
      <c r="AO651">
        <v>25</v>
      </c>
      <c r="AP651">
        <v>2500</v>
      </c>
      <c r="AQ651" t="s">
        <v>131</v>
      </c>
      <c r="AR651">
        <v>-3</v>
      </c>
      <c r="AS651">
        <v>83</v>
      </c>
      <c r="AT651">
        <v>64</v>
      </c>
      <c r="BB651" t="str">
        <f t="shared" si="256"/>
        <v>1200</v>
      </c>
      <c r="BC651">
        <v>1</v>
      </c>
      <c r="BD651" t="str">
        <f t="shared" si="257"/>
        <v xml:space="preserve">N52156  </v>
      </c>
      <c r="BE651">
        <v>1</v>
      </c>
      <c r="BG651">
        <v>0</v>
      </c>
      <c r="BH651">
        <v>0</v>
      </c>
      <c r="BI651">
        <v>0</v>
      </c>
      <c r="BJ651">
        <v>2475</v>
      </c>
      <c r="BK651">
        <v>-25</v>
      </c>
      <c r="BL651" t="s">
        <v>188</v>
      </c>
      <c r="BM651">
        <v>1</v>
      </c>
      <c r="BN651">
        <v>1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 t="shared" si="261"/>
        <v>15:06:20.899</v>
      </c>
      <c r="CF651">
        <v>898950478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5</v>
      </c>
      <c r="CY651">
        <v>7</v>
      </c>
      <c r="CZ651" t="s">
        <v>133</v>
      </c>
      <c r="DA651">
        <v>275</v>
      </c>
      <c r="DB651">
        <v>0</v>
      </c>
      <c r="DC651" t="s">
        <v>134</v>
      </c>
      <c r="DD651" t="s">
        <v>135</v>
      </c>
      <c r="DG651">
        <v>3318905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"05/01/2025 15:06:21.114"</f>
        <v>05/01/2025 15:06:21.114</v>
      </c>
      <c r="C652" t="str">
        <f t="shared" si="254"/>
        <v>FFDFD3C0</v>
      </c>
      <c r="D652" t="s">
        <v>136</v>
      </c>
      <c r="E652" t="str">
        <f>"20"</f>
        <v>20</v>
      </c>
      <c r="H652">
        <v>400</v>
      </c>
      <c r="I652" t="s">
        <v>137</v>
      </c>
      <c r="J652" t="s">
        <v>138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R652" t="s">
        <v>127</v>
      </c>
      <c r="S652" t="str">
        <f t="shared" si="260"/>
        <v>15:06:20.000</v>
      </c>
      <c r="T652" t="str">
        <f t="shared" si="260"/>
        <v>15:06:20.000</v>
      </c>
      <c r="U652" t="str">
        <f t="shared" si="255"/>
        <v>A68FCB</v>
      </c>
      <c r="V652">
        <v>0</v>
      </c>
      <c r="W652">
        <v>0</v>
      </c>
      <c r="X652">
        <v>2</v>
      </c>
      <c r="Y652">
        <v>0</v>
      </c>
      <c r="AA652">
        <v>1</v>
      </c>
      <c r="AB652">
        <v>8</v>
      </c>
      <c r="AC652">
        <v>3</v>
      </c>
      <c r="AD652">
        <v>0</v>
      </c>
      <c r="AE652">
        <v>9</v>
      </c>
      <c r="AF652" t="s">
        <v>138</v>
      </c>
      <c r="AG652">
        <v>0</v>
      </c>
      <c r="AH652">
        <v>3</v>
      </c>
      <c r="AI652">
        <v>1</v>
      </c>
      <c r="AJ652">
        <v>0</v>
      </c>
      <c r="AK652" t="s">
        <v>316</v>
      </c>
      <c r="AL652">
        <v>38.964257000000003</v>
      </c>
      <c r="AM652" t="s">
        <v>315</v>
      </c>
      <c r="AN652">
        <v>-121.049767</v>
      </c>
      <c r="AO652">
        <v>25</v>
      </c>
      <c r="AP652">
        <v>2500</v>
      </c>
      <c r="AQ652" t="s">
        <v>131</v>
      </c>
      <c r="AR652">
        <v>-3</v>
      </c>
      <c r="AS652">
        <v>83</v>
      </c>
      <c r="AT652">
        <v>64</v>
      </c>
      <c r="BB652" t="str">
        <f t="shared" si="256"/>
        <v>1200</v>
      </c>
      <c r="BC652">
        <v>1</v>
      </c>
      <c r="BD652" t="str">
        <f t="shared" si="257"/>
        <v xml:space="preserve">N52156  </v>
      </c>
      <c r="BE652">
        <v>1</v>
      </c>
      <c r="BG652">
        <v>0</v>
      </c>
      <c r="BH652">
        <v>0</v>
      </c>
      <c r="BI652">
        <v>0</v>
      </c>
      <c r="BJ652">
        <v>2475</v>
      </c>
      <c r="BK652">
        <v>-25</v>
      </c>
      <c r="BL652" t="s">
        <v>188</v>
      </c>
      <c r="BM652">
        <v>1</v>
      </c>
      <c r="BN652">
        <v>1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 t="shared" si="261"/>
        <v>15:06:20.899</v>
      </c>
      <c r="CF652">
        <v>898950478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5</v>
      </c>
      <c r="CY652">
        <v>7</v>
      </c>
      <c r="CZ652" t="s">
        <v>133</v>
      </c>
      <c r="DA652">
        <v>275</v>
      </c>
      <c r="DB652">
        <v>0</v>
      </c>
      <c r="DC652" t="s">
        <v>134</v>
      </c>
      <c r="DD652" t="s">
        <v>135</v>
      </c>
      <c r="DG652">
        <v>3318905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"05/01/2025 15:06:21.142"</f>
        <v>05/01/2025 15:06:21.142</v>
      </c>
      <c r="C653" t="str">
        <f t="shared" si="254"/>
        <v>FFDFD3C0</v>
      </c>
      <c r="D653" t="s">
        <v>140</v>
      </c>
      <c r="E653" t="str">
        <f>"13"</f>
        <v>13</v>
      </c>
      <c r="F653">
        <v>1019</v>
      </c>
      <c r="G653" t="s">
        <v>141</v>
      </c>
      <c r="J653" t="s">
        <v>142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R653" t="s">
        <v>127</v>
      </c>
      <c r="S653" t="str">
        <f t="shared" si="260"/>
        <v>15:06:20.000</v>
      </c>
      <c r="T653" t="str">
        <f t="shared" si="260"/>
        <v>15:06:20.000</v>
      </c>
      <c r="U653" t="str">
        <f t="shared" si="255"/>
        <v>A68FCB</v>
      </c>
      <c r="V653">
        <v>0</v>
      </c>
      <c r="W653">
        <v>0</v>
      </c>
      <c r="X653">
        <v>2</v>
      </c>
      <c r="Y653">
        <v>0</v>
      </c>
      <c r="AA653">
        <v>1</v>
      </c>
      <c r="AB653">
        <v>8</v>
      </c>
      <c r="AC653">
        <v>3</v>
      </c>
      <c r="AD653">
        <v>0</v>
      </c>
      <c r="AE653">
        <v>9</v>
      </c>
      <c r="AF653" t="s">
        <v>138</v>
      </c>
      <c r="AG653">
        <v>0</v>
      </c>
      <c r="AH653">
        <v>3</v>
      </c>
      <c r="AI653">
        <v>1</v>
      </c>
      <c r="AJ653">
        <v>0</v>
      </c>
      <c r="AK653" t="s">
        <v>316</v>
      </c>
      <c r="AL653">
        <v>38.964257000000003</v>
      </c>
      <c r="AM653" t="s">
        <v>315</v>
      </c>
      <c r="AN653">
        <v>-121.049767</v>
      </c>
      <c r="AO653">
        <v>25</v>
      </c>
      <c r="AP653">
        <v>2500</v>
      </c>
      <c r="AQ653" t="s">
        <v>131</v>
      </c>
      <c r="AR653">
        <v>-3</v>
      </c>
      <c r="AS653">
        <v>83</v>
      </c>
      <c r="AT653">
        <v>64</v>
      </c>
      <c r="BB653" t="str">
        <f t="shared" si="256"/>
        <v>1200</v>
      </c>
      <c r="BC653">
        <v>1</v>
      </c>
      <c r="BD653" t="str">
        <f t="shared" si="257"/>
        <v xml:space="preserve">N52156  </v>
      </c>
      <c r="BE653">
        <v>1</v>
      </c>
      <c r="BG653">
        <v>0</v>
      </c>
      <c r="BH653">
        <v>0</v>
      </c>
      <c r="BI653">
        <v>0</v>
      </c>
      <c r="BJ653">
        <v>2475</v>
      </c>
      <c r="BK653">
        <v>-25</v>
      </c>
      <c r="BL653" t="s">
        <v>188</v>
      </c>
      <c r="BM653">
        <v>1</v>
      </c>
      <c r="BN653">
        <v>1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 t="shared" si="261"/>
        <v>15:06:20.899</v>
      </c>
      <c r="CF653">
        <v>898950478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5</v>
      </c>
      <c r="CY653">
        <v>7</v>
      </c>
      <c r="CZ653" t="s">
        <v>133</v>
      </c>
      <c r="DA653">
        <v>275</v>
      </c>
      <c r="DB653">
        <v>0</v>
      </c>
      <c r="DC653" t="s">
        <v>134</v>
      </c>
      <c r="DD653" t="s">
        <v>135</v>
      </c>
      <c r="DG653">
        <v>3318905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"05/01/2025 15:06:21.152"</f>
        <v>05/01/2025 15:06:21.152</v>
      </c>
      <c r="C654" t="str">
        <f t="shared" si="254"/>
        <v>FFDFD3C0</v>
      </c>
      <c r="D654" t="s">
        <v>124</v>
      </c>
      <c r="E654" t="str">
        <f>"06"</f>
        <v>06</v>
      </c>
      <c r="F654">
        <v>2006</v>
      </c>
      <c r="G654" t="s">
        <v>125</v>
      </c>
      <c r="J654" t="s">
        <v>126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R654" t="s">
        <v>127</v>
      </c>
      <c r="S654" t="str">
        <f t="shared" si="260"/>
        <v>15:06:20.000</v>
      </c>
      <c r="T654" t="str">
        <f t="shared" si="260"/>
        <v>15:06:20.000</v>
      </c>
      <c r="U654" t="str">
        <f t="shared" si="255"/>
        <v>A68FCB</v>
      </c>
      <c r="V654">
        <v>0</v>
      </c>
      <c r="W654">
        <v>0</v>
      </c>
      <c r="X654">
        <v>2</v>
      </c>
      <c r="Y654">
        <v>0</v>
      </c>
      <c r="AA654">
        <v>1</v>
      </c>
      <c r="AB654">
        <v>8</v>
      </c>
      <c r="AC654">
        <v>3</v>
      </c>
      <c r="AD654">
        <v>0</v>
      </c>
      <c r="AE654">
        <v>9</v>
      </c>
      <c r="AF654" t="s">
        <v>138</v>
      </c>
      <c r="AG654">
        <v>0</v>
      </c>
      <c r="AH654">
        <v>3</v>
      </c>
      <c r="AI654">
        <v>1</v>
      </c>
      <c r="AJ654">
        <v>0</v>
      </c>
      <c r="AK654" t="s">
        <v>316</v>
      </c>
      <c r="AL654">
        <v>38.964257000000003</v>
      </c>
      <c r="AM654" t="s">
        <v>315</v>
      </c>
      <c r="AN654">
        <v>-121.049767</v>
      </c>
      <c r="AO654">
        <v>25</v>
      </c>
      <c r="AP654">
        <v>2500</v>
      </c>
      <c r="AQ654" t="s">
        <v>131</v>
      </c>
      <c r="AR654">
        <v>-3</v>
      </c>
      <c r="AS654">
        <v>83</v>
      </c>
      <c r="AT654">
        <v>64</v>
      </c>
      <c r="BB654" t="str">
        <f t="shared" si="256"/>
        <v>1200</v>
      </c>
      <c r="BC654">
        <v>1</v>
      </c>
      <c r="BD654" t="str">
        <f t="shared" si="257"/>
        <v xml:space="preserve">N52156  </v>
      </c>
      <c r="BE654">
        <v>1</v>
      </c>
      <c r="BG654">
        <v>0</v>
      </c>
      <c r="BH654">
        <v>0</v>
      </c>
      <c r="BI654">
        <v>0</v>
      </c>
      <c r="BJ654">
        <v>2475</v>
      </c>
      <c r="BK654">
        <v>-25</v>
      </c>
      <c r="BL654" t="s">
        <v>188</v>
      </c>
      <c r="BM654">
        <v>1</v>
      </c>
      <c r="BN654">
        <v>1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 t="shared" si="261"/>
        <v>15:06:20.899</v>
      </c>
      <c r="CF654">
        <v>898950478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5</v>
      </c>
      <c r="CY654">
        <v>7</v>
      </c>
      <c r="CZ654" t="s">
        <v>133</v>
      </c>
      <c r="DA654">
        <v>275</v>
      </c>
      <c r="DB654">
        <v>0</v>
      </c>
      <c r="DC654" t="s">
        <v>134</v>
      </c>
      <c r="DD654" t="s">
        <v>135</v>
      </c>
      <c r="DG654">
        <v>3318905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"05/01/2025 15:06:21.153"</f>
        <v>05/01/2025 15:06:21.153</v>
      </c>
      <c r="C655" t="str">
        <f t="shared" si="254"/>
        <v>FFDFD3C0</v>
      </c>
      <c r="D655" t="s">
        <v>143</v>
      </c>
      <c r="E655" t="str">
        <f>"05"</f>
        <v>05</v>
      </c>
      <c r="H655">
        <v>172</v>
      </c>
      <c r="I655" t="s">
        <v>141</v>
      </c>
      <c r="J655" t="s">
        <v>144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R655" t="s">
        <v>127</v>
      </c>
      <c r="S655" t="str">
        <f t="shared" si="260"/>
        <v>15:06:20.000</v>
      </c>
      <c r="T655" t="str">
        <f t="shared" si="260"/>
        <v>15:06:20.000</v>
      </c>
      <c r="U655" t="str">
        <f t="shared" si="255"/>
        <v>A68FCB</v>
      </c>
      <c r="V655">
        <v>0</v>
      </c>
      <c r="W655">
        <v>0</v>
      </c>
      <c r="X655">
        <v>2</v>
      </c>
      <c r="Y655">
        <v>0</v>
      </c>
      <c r="AA655">
        <v>1</v>
      </c>
      <c r="AB655">
        <v>8</v>
      </c>
      <c r="AC655">
        <v>3</v>
      </c>
      <c r="AD655">
        <v>0</v>
      </c>
      <c r="AE655">
        <v>9</v>
      </c>
      <c r="AF655" t="s">
        <v>138</v>
      </c>
      <c r="AG655">
        <v>0</v>
      </c>
      <c r="AH655">
        <v>3</v>
      </c>
      <c r="AI655">
        <v>1</v>
      </c>
      <c r="AJ655">
        <v>0</v>
      </c>
      <c r="AK655" t="s">
        <v>316</v>
      </c>
      <c r="AL655">
        <v>38.964257000000003</v>
      </c>
      <c r="AM655" t="s">
        <v>315</v>
      </c>
      <c r="AN655">
        <v>-121.049767</v>
      </c>
      <c r="AO655">
        <v>25</v>
      </c>
      <c r="AP655">
        <v>2500</v>
      </c>
      <c r="AQ655" t="s">
        <v>131</v>
      </c>
      <c r="AR655">
        <v>-3</v>
      </c>
      <c r="AS655">
        <v>83</v>
      </c>
      <c r="AT655">
        <v>64</v>
      </c>
      <c r="BB655" t="str">
        <f t="shared" si="256"/>
        <v>1200</v>
      </c>
      <c r="BC655">
        <v>1</v>
      </c>
      <c r="BD655" t="str">
        <f t="shared" si="257"/>
        <v xml:space="preserve">N52156  </v>
      </c>
      <c r="BE655">
        <v>1</v>
      </c>
      <c r="BG655">
        <v>0</v>
      </c>
      <c r="BH655">
        <v>0</v>
      </c>
      <c r="BI655">
        <v>0</v>
      </c>
      <c r="BJ655">
        <v>2475</v>
      </c>
      <c r="BK655">
        <v>-25</v>
      </c>
      <c r="BL655" t="s">
        <v>188</v>
      </c>
      <c r="BM655">
        <v>1</v>
      </c>
      <c r="BN655">
        <v>1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 t="shared" si="261"/>
        <v>15:06:20.899</v>
      </c>
      <c r="CF655">
        <v>898950478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5</v>
      </c>
      <c r="CY655">
        <v>7</v>
      </c>
      <c r="CZ655" t="s">
        <v>133</v>
      </c>
      <c r="DA655">
        <v>275</v>
      </c>
      <c r="DB655">
        <v>0</v>
      </c>
      <c r="DC655" t="s">
        <v>134</v>
      </c>
      <c r="DD655" t="s">
        <v>135</v>
      </c>
      <c r="DG655">
        <v>3318905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"05/01/2025 15:06:21.843"</f>
        <v>05/01/2025 15:06:21.843</v>
      </c>
      <c r="C656" t="str">
        <f t="shared" si="254"/>
        <v>FFDFD3C0</v>
      </c>
      <c r="D656" t="s">
        <v>140</v>
      </c>
      <c r="E656" t="str">
        <f>"13"</f>
        <v>13</v>
      </c>
      <c r="F656">
        <v>1019</v>
      </c>
      <c r="G656" t="s">
        <v>141</v>
      </c>
      <c r="J656" t="s">
        <v>142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R656" t="s">
        <v>127</v>
      </c>
      <c r="S656" t="str">
        <f t="shared" ref="S656:T661" si="262">"15:06:21.000"</f>
        <v>15:06:21.000</v>
      </c>
      <c r="T656" t="str">
        <f t="shared" si="262"/>
        <v>15:06:21.000</v>
      </c>
      <c r="U656" t="str">
        <f t="shared" si="255"/>
        <v>A68FCB</v>
      </c>
      <c r="V656">
        <v>0</v>
      </c>
      <c r="W656">
        <v>0</v>
      </c>
      <c r="X656">
        <v>2</v>
      </c>
      <c r="Y656">
        <v>0</v>
      </c>
      <c r="AA656">
        <v>1</v>
      </c>
      <c r="AB656">
        <v>8</v>
      </c>
      <c r="AC656">
        <v>3</v>
      </c>
      <c r="AD656">
        <v>0</v>
      </c>
      <c r="AE656">
        <v>9</v>
      </c>
      <c r="AF656" t="s">
        <v>138</v>
      </c>
      <c r="AG656">
        <v>0</v>
      </c>
      <c r="AH656">
        <v>3</v>
      </c>
      <c r="AI656">
        <v>1</v>
      </c>
      <c r="AJ656">
        <v>0</v>
      </c>
      <c r="AK656" t="s">
        <v>317</v>
      </c>
      <c r="AL656">
        <v>38.964643000000002</v>
      </c>
      <c r="AM656" t="s">
        <v>318</v>
      </c>
      <c r="AN656">
        <v>-121.04978800000001</v>
      </c>
      <c r="AO656">
        <v>25</v>
      </c>
      <c r="AP656">
        <v>2500</v>
      </c>
      <c r="AQ656" t="s">
        <v>131</v>
      </c>
      <c r="AR656">
        <v>-4</v>
      </c>
      <c r="AS656">
        <v>83</v>
      </c>
      <c r="AT656">
        <v>128</v>
      </c>
      <c r="BB656" t="str">
        <f t="shared" si="256"/>
        <v>1200</v>
      </c>
      <c r="BC656">
        <v>1</v>
      </c>
      <c r="BD656" t="str">
        <f t="shared" si="257"/>
        <v xml:space="preserve">N52156  </v>
      </c>
      <c r="BE656">
        <v>1</v>
      </c>
      <c r="BG656">
        <v>0</v>
      </c>
      <c r="BH656">
        <v>0</v>
      </c>
      <c r="BI656">
        <v>0</v>
      </c>
      <c r="BJ656">
        <v>2475</v>
      </c>
      <c r="BK656">
        <v>-25</v>
      </c>
      <c r="BL656" t="s">
        <v>188</v>
      </c>
      <c r="BM656">
        <v>1</v>
      </c>
      <c r="BN656">
        <v>1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 t="shared" ref="CE656:CE661" si="263">"15:06:21.638"</f>
        <v>15:06:21.638</v>
      </c>
      <c r="CF656">
        <v>638449840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5</v>
      </c>
      <c r="CY656">
        <v>7</v>
      </c>
      <c r="CZ656" t="s">
        <v>133</v>
      </c>
      <c r="DA656">
        <v>275</v>
      </c>
      <c r="DB656">
        <v>0</v>
      </c>
      <c r="DC656" t="s">
        <v>134</v>
      </c>
      <c r="DD656" t="s">
        <v>135</v>
      </c>
      <c r="DG656">
        <v>3318919</v>
      </c>
      <c r="DI656">
        <v>1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"05/01/2025 15:06:21.855"</f>
        <v>05/01/2025 15:06:21.855</v>
      </c>
      <c r="C657" t="str">
        <f t="shared" si="254"/>
        <v>FFDFD3C0</v>
      </c>
      <c r="D657" t="s">
        <v>145</v>
      </c>
      <c r="E657" t="str">
        <f>"09"</f>
        <v>09</v>
      </c>
      <c r="H657">
        <v>51</v>
      </c>
      <c r="I657" t="s">
        <v>147</v>
      </c>
      <c r="J657" t="s">
        <v>138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R657" t="s">
        <v>127</v>
      </c>
      <c r="S657" t="str">
        <f t="shared" si="262"/>
        <v>15:06:21.000</v>
      </c>
      <c r="T657" t="str">
        <f t="shared" si="262"/>
        <v>15:06:21.000</v>
      </c>
      <c r="U657" t="str">
        <f t="shared" si="255"/>
        <v>A68FCB</v>
      </c>
      <c r="V657">
        <v>0</v>
      </c>
      <c r="W657">
        <v>0</v>
      </c>
      <c r="X657">
        <v>2</v>
      </c>
      <c r="Y657">
        <v>0</v>
      </c>
      <c r="AA657">
        <v>1</v>
      </c>
      <c r="AB657">
        <v>8</v>
      </c>
      <c r="AC657">
        <v>3</v>
      </c>
      <c r="AD657">
        <v>0</v>
      </c>
      <c r="AE657">
        <v>9</v>
      </c>
      <c r="AF657" t="s">
        <v>138</v>
      </c>
      <c r="AG657">
        <v>0</v>
      </c>
      <c r="AH657">
        <v>3</v>
      </c>
      <c r="AI657">
        <v>1</v>
      </c>
      <c r="AJ657">
        <v>0</v>
      </c>
      <c r="AK657" t="s">
        <v>317</v>
      </c>
      <c r="AL657">
        <v>38.964643000000002</v>
      </c>
      <c r="AM657" t="s">
        <v>318</v>
      </c>
      <c r="AN657">
        <v>-121.04978800000001</v>
      </c>
      <c r="AO657">
        <v>25</v>
      </c>
      <c r="AP657">
        <v>2500</v>
      </c>
      <c r="AQ657" t="s">
        <v>131</v>
      </c>
      <c r="AR657">
        <v>-4</v>
      </c>
      <c r="AS657">
        <v>83</v>
      </c>
      <c r="AT657">
        <v>128</v>
      </c>
      <c r="BB657" t="str">
        <f t="shared" si="256"/>
        <v>1200</v>
      </c>
      <c r="BC657">
        <v>1</v>
      </c>
      <c r="BD657" t="str">
        <f t="shared" si="257"/>
        <v xml:space="preserve">N52156  </v>
      </c>
      <c r="BE657">
        <v>1</v>
      </c>
      <c r="BG657">
        <v>0</v>
      </c>
      <c r="BH657">
        <v>0</v>
      </c>
      <c r="BI657">
        <v>0</v>
      </c>
      <c r="BJ657">
        <v>2475</v>
      </c>
      <c r="BK657">
        <v>-25</v>
      </c>
      <c r="BL657" t="s">
        <v>188</v>
      </c>
      <c r="BM657">
        <v>1</v>
      </c>
      <c r="BN657">
        <v>1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 t="shared" si="263"/>
        <v>15:06:21.638</v>
      </c>
      <c r="CF657">
        <v>638449840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133</v>
      </c>
      <c r="DA657">
        <v>275</v>
      </c>
      <c r="DB657">
        <v>0</v>
      </c>
      <c r="DC657" t="s">
        <v>134</v>
      </c>
      <c r="DD657" t="s">
        <v>135</v>
      </c>
      <c r="DG657">
        <v>3318919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"05/01/2025 15:06:21.854"</f>
        <v>05/01/2025 15:06:21.854</v>
      </c>
      <c r="C658" t="str">
        <f t="shared" si="254"/>
        <v>FFDFD3C0</v>
      </c>
      <c r="D658" t="s">
        <v>143</v>
      </c>
      <c r="E658" t="str">
        <f>"05"</f>
        <v>05</v>
      </c>
      <c r="H658">
        <v>172</v>
      </c>
      <c r="I658" t="s">
        <v>141</v>
      </c>
      <c r="J658" t="s">
        <v>144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R658" t="s">
        <v>127</v>
      </c>
      <c r="S658" t="str">
        <f t="shared" si="262"/>
        <v>15:06:21.000</v>
      </c>
      <c r="T658" t="str">
        <f t="shared" si="262"/>
        <v>15:06:21.000</v>
      </c>
      <c r="U658" t="str">
        <f t="shared" si="255"/>
        <v>A68FCB</v>
      </c>
      <c r="V658">
        <v>0</v>
      </c>
      <c r="W658">
        <v>0</v>
      </c>
      <c r="X658">
        <v>2</v>
      </c>
      <c r="Y658">
        <v>0</v>
      </c>
      <c r="AA658">
        <v>1</v>
      </c>
      <c r="AB658">
        <v>8</v>
      </c>
      <c r="AC658">
        <v>3</v>
      </c>
      <c r="AD658">
        <v>0</v>
      </c>
      <c r="AE658">
        <v>9</v>
      </c>
      <c r="AF658" t="s">
        <v>138</v>
      </c>
      <c r="AG658">
        <v>0</v>
      </c>
      <c r="AH658">
        <v>3</v>
      </c>
      <c r="AI658">
        <v>1</v>
      </c>
      <c r="AJ658">
        <v>0</v>
      </c>
      <c r="AK658" t="s">
        <v>317</v>
      </c>
      <c r="AL658">
        <v>38.964643000000002</v>
      </c>
      <c r="AM658" t="s">
        <v>318</v>
      </c>
      <c r="AN658">
        <v>-121.04978800000001</v>
      </c>
      <c r="AO658">
        <v>25</v>
      </c>
      <c r="AP658">
        <v>2500</v>
      </c>
      <c r="AQ658" t="s">
        <v>131</v>
      </c>
      <c r="AR658">
        <v>-4</v>
      </c>
      <c r="AS658">
        <v>83</v>
      </c>
      <c r="AT658">
        <v>128</v>
      </c>
      <c r="BB658" t="str">
        <f t="shared" si="256"/>
        <v>1200</v>
      </c>
      <c r="BC658">
        <v>1</v>
      </c>
      <c r="BD658" t="str">
        <f t="shared" si="257"/>
        <v xml:space="preserve">N52156  </v>
      </c>
      <c r="BE658">
        <v>1</v>
      </c>
      <c r="BG658">
        <v>0</v>
      </c>
      <c r="BH658">
        <v>0</v>
      </c>
      <c r="BI658">
        <v>0</v>
      </c>
      <c r="BJ658">
        <v>2475</v>
      </c>
      <c r="BK658">
        <v>-25</v>
      </c>
      <c r="BL658" t="s">
        <v>188</v>
      </c>
      <c r="BM658">
        <v>1</v>
      </c>
      <c r="BN658">
        <v>1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 t="shared" si="263"/>
        <v>15:06:21.638</v>
      </c>
      <c r="CF658">
        <v>638449840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5</v>
      </c>
      <c r="CY658">
        <v>7</v>
      </c>
      <c r="CZ658" t="s">
        <v>133</v>
      </c>
      <c r="DA658">
        <v>275</v>
      </c>
      <c r="DB658">
        <v>0</v>
      </c>
      <c r="DC658" t="s">
        <v>134</v>
      </c>
      <c r="DD658" t="s">
        <v>135</v>
      </c>
      <c r="DG658">
        <v>3318919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"05/01/2025 15:06:21.853"</f>
        <v>05/01/2025 15:06:21.853</v>
      </c>
      <c r="C659" t="str">
        <f t="shared" si="254"/>
        <v>FFDFD3C0</v>
      </c>
      <c r="D659" t="s">
        <v>124</v>
      </c>
      <c r="E659" t="str">
        <f>"06"</f>
        <v>06</v>
      </c>
      <c r="F659">
        <v>2006</v>
      </c>
      <c r="G659" t="s">
        <v>125</v>
      </c>
      <c r="J659" t="s">
        <v>126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R659" t="s">
        <v>127</v>
      </c>
      <c r="S659" t="str">
        <f t="shared" si="262"/>
        <v>15:06:21.000</v>
      </c>
      <c r="T659" t="str">
        <f t="shared" si="262"/>
        <v>15:06:21.000</v>
      </c>
      <c r="U659" t="str">
        <f t="shared" si="255"/>
        <v>A68FCB</v>
      </c>
      <c r="V659">
        <v>0</v>
      </c>
      <c r="W659">
        <v>0</v>
      </c>
      <c r="X659">
        <v>2</v>
      </c>
      <c r="Y659">
        <v>0</v>
      </c>
      <c r="AA659">
        <v>1</v>
      </c>
      <c r="AB659">
        <v>8</v>
      </c>
      <c r="AC659">
        <v>3</v>
      </c>
      <c r="AD659">
        <v>0</v>
      </c>
      <c r="AE659">
        <v>9</v>
      </c>
      <c r="AF659" t="s">
        <v>138</v>
      </c>
      <c r="AG659">
        <v>0</v>
      </c>
      <c r="AH659">
        <v>3</v>
      </c>
      <c r="AI659">
        <v>1</v>
      </c>
      <c r="AJ659">
        <v>0</v>
      </c>
      <c r="AK659" t="s">
        <v>317</v>
      </c>
      <c r="AL659">
        <v>38.964643000000002</v>
      </c>
      <c r="AM659" t="s">
        <v>318</v>
      </c>
      <c r="AN659">
        <v>-121.04978800000001</v>
      </c>
      <c r="AO659">
        <v>25</v>
      </c>
      <c r="AP659">
        <v>2500</v>
      </c>
      <c r="AQ659" t="s">
        <v>131</v>
      </c>
      <c r="AR659">
        <v>-4</v>
      </c>
      <c r="AS659">
        <v>83</v>
      </c>
      <c r="AT659">
        <v>128</v>
      </c>
      <c r="BB659" t="str">
        <f t="shared" si="256"/>
        <v>1200</v>
      </c>
      <c r="BC659">
        <v>1</v>
      </c>
      <c r="BD659" t="str">
        <f t="shared" si="257"/>
        <v xml:space="preserve">N52156  </v>
      </c>
      <c r="BE659">
        <v>1</v>
      </c>
      <c r="BG659">
        <v>0</v>
      </c>
      <c r="BH659">
        <v>0</v>
      </c>
      <c r="BI659">
        <v>0</v>
      </c>
      <c r="BJ659">
        <v>2475</v>
      </c>
      <c r="BK659">
        <v>-25</v>
      </c>
      <c r="BL659" t="s">
        <v>188</v>
      </c>
      <c r="BM659">
        <v>1</v>
      </c>
      <c r="BN659">
        <v>1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 t="shared" si="263"/>
        <v>15:06:21.638</v>
      </c>
      <c r="CF659">
        <v>638449840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133</v>
      </c>
      <c r="DA659">
        <v>275</v>
      </c>
      <c r="DB659">
        <v>0</v>
      </c>
      <c r="DC659" t="s">
        <v>134</v>
      </c>
      <c r="DD659" t="s">
        <v>135</v>
      </c>
      <c r="DG659">
        <v>3318919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"05/01/2025 15:06:21.854"</f>
        <v>05/01/2025 15:06:21.854</v>
      </c>
      <c r="C660" t="str">
        <f t="shared" si="254"/>
        <v>FFDFD3C0</v>
      </c>
      <c r="D660" t="s">
        <v>145</v>
      </c>
      <c r="E660" t="str">
        <f>"05"</f>
        <v>05</v>
      </c>
      <c r="H660">
        <v>47</v>
      </c>
      <c r="I660" t="s">
        <v>146</v>
      </c>
      <c r="J660" t="s">
        <v>138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R660" t="s">
        <v>127</v>
      </c>
      <c r="S660" t="str">
        <f t="shared" si="262"/>
        <v>15:06:21.000</v>
      </c>
      <c r="T660" t="str">
        <f t="shared" si="262"/>
        <v>15:06:21.000</v>
      </c>
      <c r="U660" t="str">
        <f t="shared" si="255"/>
        <v>A68FCB</v>
      </c>
      <c r="V660">
        <v>0</v>
      </c>
      <c r="W660">
        <v>0</v>
      </c>
      <c r="X660">
        <v>2</v>
      </c>
      <c r="Y660">
        <v>0</v>
      </c>
      <c r="AA660">
        <v>1</v>
      </c>
      <c r="AB660">
        <v>8</v>
      </c>
      <c r="AC660">
        <v>3</v>
      </c>
      <c r="AD660">
        <v>0</v>
      </c>
      <c r="AE660">
        <v>9</v>
      </c>
      <c r="AF660" t="s">
        <v>138</v>
      </c>
      <c r="AG660">
        <v>0</v>
      </c>
      <c r="AH660">
        <v>3</v>
      </c>
      <c r="AI660">
        <v>1</v>
      </c>
      <c r="AJ660">
        <v>0</v>
      </c>
      <c r="AK660" t="s">
        <v>317</v>
      </c>
      <c r="AL660">
        <v>38.964643000000002</v>
      </c>
      <c r="AM660" t="s">
        <v>318</v>
      </c>
      <c r="AN660">
        <v>-121.04978800000001</v>
      </c>
      <c r="AO660">
        <v>25</v>
      </c>
      <c r="AP660">
        <v>2500</v>
      </c>
      <c r="AQ660" t="s">
        <v>131</v>
      </c>
      <c r="AR660">
        <v>-4</v>
      </c>
      <c r="AS660">
        <v>83</v>
      </c>
      <c r="AT660">
        <v>128</v>
      </c>
      <c r="BB660" t="str">
        <f t="shared" si="256"/>
        <v>1200</v>
      </c>
      <c r="BC660">
        <v>1</v>
      </c>
      <c r="BD660" t="str">
        <f t="shared" si="257"/>
        <v xml:space="preserve">N52156  </v>
      </c>
      <c r="BE660">
        <v>1</v>
      </c>
      <c r="BG660">
        <v>0</v>
      </c>
      <c r="BH660">
        <v>0</v>
      </c>
      <c r="BI660">
        <v>0</v>
      </c>
      <c r="BJ660">
        <v>2475</v>
      </c>
      <c r="BK660">
        <v>-25</v>
      </c>
      <c r="BL660" t="s">
        <v>188</v>
      </c>
      <c r="BM660">
        <v>1</v>
      </c>
      <c r="BN660">
        <v>1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 t="shared" si="263"/>
        <v>15:06:21.638</v>
      </c>
      <c r="CF660">
        <v>638449840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5</v>
      </c>
      <c r="CY660">
        <v>7</v>
      </c>
      <c r="CZ660" t="s">
        <v>133</v>
      </c>
      <c r="DA660">
        <v>275</v>
      </c>
      <c r="DB660">
        <v>0</v>
      </c>
      <c r="DC660" t="s">
        <v>134</v>
      </c>
      <c r="DD660" t="s">
        <v>135</v>
      </c>
      <c r="DG660">
        <v>3318919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"05/01/2025 15:06:21.866"</f>
        <v>05/01/2025 15:06:21.866</v>
      </c>
      <c r="C661" t="str">
        <f t="shared" si="254"/>
        <v>FFDFD3C0</v>
      </c>
      <c r="D661" t="s">
        <v>136</v>
      </c>
      <c r="E661" t="str">
        <f>"20"</f>
        <v>20</v>
      </c>
      <c r="H661">
        <v>400</v>
      </c>
      <c r="I661" t="s">
        <v>137</v>
      </c>
      <c r="J661" t="s">
        <v>138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R661" t="s">
        <v>127</v>
      </c>
      <c r="S661" t="str">
        <f t="shared" si="262"/>
        <v>15:06:21.000</v>
      </c>
      <c r="T661" t="str">
        <f t="shared" si="262"/>
        <v>15:06:21.000</v>
      </c>
      <c r="U661" t="str">
        <f t="shared" si="255"/>
        <v>A68FCB</v>
      </c>
      <c r="V661">
        <v>0</v>
      </c>
      <c r="W661">
        <v>0</v>
      </c>
      <c r="X661">
        <v>2</v>
      </c>
      <c r="Y661">
        <v>0</v>
      </c>
      <c r="AA661">
        <v>1</v>
      </c>
      <c r="AB661">
        <v>8</v>
      </c>
      <c r="AC661">
        <v>3</v>
      </c>
      <c r="AD661">
        <v>0</v>
      </c>
      <c r="AE661">
        <v>9</v>
      </c>
      <c r="AF661" t="s">
        <v>138</v>
      </c>
      <c r="AG661">
        <v>0</v>
      </c>
      <c r="AH661">
        <v>3</v>
      </c>
      <c r="AI661">
        <v>1</v>
      </c>
      <c r="AJ661">
        <v>0</v>
      </c>
      <c r="AK661" t="s">
        <v>317</v>
      </c>
      <c r="AL661">
        <v>38.964643000000002</v>
      </c>
      <c r="AM661" t="s">
        <v>318</v>
      </c>
      <c r="AN661">
        <v>-121.04978800000001</v>
      </c>
      <c r="AO661">
        <v>25</v>
      </c>
      <c r="AP661">
        <v>2500</v>
      </c>
      <c r="AQ661" t="s">
        <v>131</v>
      </c>
      <c r="AR661">
        <v>-4</v>
      </c>
      <c r="AS661">
        <v>83</v>
      </c>
      <c r="AT661">
        <v>128</v>
      </c>
      <c r="BB661" t="str">
        <f t="shared" si="256"/>
        <v>1200</v>
      </c>
      <c r="BC661">
        <v>1</v>
      </c>
      <c r="BD661" t="str">
        <f t="shared" si="257"/>
        <v xml:space="preserve">N52156  </v>
      </c>
      <c r="BE661">
        <v>1</v>
      </c>
      <c r="BG661">
        <v>0</v>
      </c>
      <c r="BH661">
        <v>0</v>
      </c>
      <c r="BI661">
        <v>0</v>
      </c>
      <c r="BJ661">
        <v>2475</v>
      </c>
      <c r="BK661">
        <v>-25</v>
      </c>
      <c r="BL661" t="s">
        <v>188</v>
      </c>
      <c r="BM661">
        <v>1</v>
      </c>
      <c r="BN661">
        <v>1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 t="shared" si="263"/>
        <v>15:06:21.638</v>
      </c>
      <c r="CF661">
        <v>638449840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5</v>
      </c>
      <c r="CY661">
        <v>7</v>
      </c>
      <c r="CZ661" t="s">
        <v>133</v>
      </c>
      <c r="DA661">
        <v>275</v>
      </c>
      <c r="DB661">
        <v>0</v>
      </c>
      <c r="DC661" t="s">
        <v>134</v>
      </c>
      <c r="DD661" t="s">
        <v>135</v>
      </c>
      <c r="DG661">
        <v>3318919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"05/01/2025 15:06:22.594"</f>
        <v>05/01/2025 15:06:22.594</v>
      </c>
      <c r="C662" t="str">
        <f t="shared" si="254"/>
        <v>FFDFD3C0</v>
      </c>
      <c r="D662" t="s">
        <v>140</v>
      </c>
      <c r="E662" t="str">
        <f>"13"</f>
        <v>13</v>
      </c>
      <c r="F662">
        <v>1019</v>
      </c>
      <c r="G662" t="s">
        <v>141</v>
      </c>
      <c r="J662" t="s">
        <v>142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R662" t="s">
        <v>127</v>
      </c>
      <c r="S662" t="str">
        <f t="shared" ref="S662:T667" si="264">"15:06:22.000"</f>
        <v>15:06:22.000</v>
      </c>
      <c r="T662" t="str">
        <f t="shared" si="264"/>
        <v>15:06:22.000</v>
      </c>
      <c r="U662" t="str">
        <f t="shared" si="255"/>
        <v>A68FCB</v>
      </c>
      <c r="V662">
        <v>0</v>
      </c>
      <c r="W662">
        <v>0</v>
      </c>
      <c r="X662">
        <v>2</v>
      </c>
      <c r="Y662">
        <v>0</v>
      </c>
      <c r="AA662">
        <v>1</v>
      </c>
      <c r="AB662">
        <v>8</v>
      </c>
      <c r="AC662">
        <v>3</v>
      </c>
      <c r="AD662">
        <v>0</v>
      </c>
      <c r="AE662">
        <v>9</v>
      </c>
      <c r="AF662" t="s">
        <v>138</v>
      </c>
      <c r="AG662">
        <v>0</v>
      </c>
      <c r="AH662">
        <v>3</v>
      </c>
      <c r="AI662">
        <v>1</v>
      </c>
      <c r="AJ662">
        <v>0</v>
      </c>
      <c r="AK662" t="s">
        <v>319</v>
      </c>
      <c r="AL662">
        <v>38.965029999999999</v>
      </c>
      <c r="AM662" t="s">
        <v>320</v>
      </c>
      <c r="AN662">
        <v>-121.049831</v>
      </c>
      <c r="AO662">
        <v>25</v>
      </c>
      <c r="AP662">
        <v>2500</v>
      </c>
      <c r="AQ662" t="s">
        <v>131</v>
      </c>
      <c r="AR662">
        <v>-4</v>
      </c>
      <c r="AS662">
        <v>84</v>
      </c>
      <c r="AT662">
        <v>192</v>
      </c>
      <c r="BB662" t="str">
        <f t="shared" si="256"/>
        <v>1200</v>
      </c>
      <c r="BC662">
        <v>1</v>
      </c>
      <c r="BD662" t="str">
        <f t="shared" si="257"/>
        <v xml:space="preserve">N52156  </v>
      </c>
      <c r="BE662">
        <v>1</v>
      </c>
      <c r="BG662">
        <v>0</v>
      </c>
      <c r="BH662">
        <v>0</v>
      </c>
      <c r="BI662">
        <v>0</v>
      </c>
      <c r="BJ662">
        <v>2475</v>
      </c>
      <c r="BK662">
        <v>-25</v>
      </c>
      <c r="BL662" t="s">
        <v>188</v>
      </c>
      <c r="BM662">
        <v>1</v>
      </c>
      <c r="BN662">
        <v>1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 t="shared" ref="CE662:CE667" si="265">"15:06:22.382"</f>
        <v>15:06:22.382</v>
      </c>
      <c r="CF662">
        <v>381949234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5</v>
      </c>
      <c r="CY662">
        <v>7</v>
      </c>
      <c r="CZ662" t="s">
        <v>133</v>
      </c>
      <c r="DA662">
        <v>275</v>
      </c>
      <c r="DB662">
        <v>0</v>
      </c>
      <c r="DC662" t="s">
        <v>134</v>
      </c>
      <c r="DD662" t="s">
        <v>135</v>
      </c>
      <c r="DG662">
        <v>3318925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"05/01/2025 15:06:22.606"</f>
        <v>05/01/2025 15:06:22.606</v>
      </c>
      <c r="C663" t="str">
        <f t="shared" si="254"/>
        <v>FFDFD3C0</v>
      </c>
      <c r="D663" t="s">
        <v>145</v>
      </c>
      <c r="E663" t="str">
        <f>"09"</f>
        <v>09</v>
      </c>
      <c r="H663">
        <v>51</v>
      </c>
      <c r="I663" t="s">
        <v>147</v>
      </c>
      <c r="J663" t="s">
        <v>138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R663" t="s">
        <v>127</v>
      </c>
      <c r="S663" t="str">
        <f t="shared" si="264"/>
        <v>15:06:22.000</v>
      </c>
      <c r="T663" t="str">
        <f t="shared" si="264"/>
        <v>15:06:22.000</v>
      </c>
      <c r="U663" t="str">
        <f t="shared" si="255"/>
        <v>A68FCB</v>
      </c>
      <c r="V663">
        <v>0</v>
      </c>
      <c r="W663">
        <v>0</v>
      </c>
      <c r="X663">
        <v>2</v>
      </c>
      <c r="Y663">
        <v>0</v>
      </c>
      <c r="AA663">
        <v>1</v>
      </c>
      <c r="AB663">
        <v>8</v>
      </c>
      <c r="AC663">
        <v>3</v>
      </c>
      <c r="AD663">
        <v>0</v>
      </c>
      <c r="AE663">
        <v>9</v>
      </c>
      <c r="AF663" t="s">
        <v>138</v>
      </c>
      <c r="AG663">
        <v>0</v>
      </c>
      <c r="AH663">
        <v>3</v>
      </c>
      <c r="AI663">
        <v>1</v>
      </c>
      <c r="AJ663">
        <v>0</v>
      </c>
      <c r="AK663" t="s">
        <v>319</v>
      </c>
      <c r="AL663">
        <v>38.965029999999999</v>
      </c>
      <c r="AM663" t="s">
        <v>320</v>
      </c>
      <c r="AN663">
        <v>-121.049831</v>
      </c>
      <c r="AO663">
        <v>25</v>
      </c>
      <c r="AP663">
        <v>2500</v>
      </c>
      <c r="AQ663" t="s">
        <v>131</v>
      </c>
      <c r="AR663">
        <v>-4</v>
      </c>
      <c r="AS663">
        <v>84</v>
      </c>
      <c r="AT663">
        <v>192</v>
      </c>
      <c r="BB663" t="str">
        <f t="shared" si="256"/>
        <v>1200</v>
      </c>
      <c r="BC663">
        <v>1</v>
      </c>
      <c r="BD663" t="str">
        <f t="shared" si="257"/>
        <v xml:space="preserve">N52156  </v>
      </c>
      <c r="BE663">
        <v>1</v>
      </c>
      <c r="BG663">
        <v>0</v>
      </c>
      <c r="BH663">
        <v>0</v>
      </c>
      <c r="BI663">
        <v>0</v>
      </c>
      <c r="BJ663">
        <v>2475</v>
      </c>
      <c r="BK663">
        <v>-25</v>
      </c>
      <c r="BL663" t="s">
        <v>188</v>
      </c>
      <c r="BM663">
        <v>1</v>
      </c>
      <c r="BN663">
        <v>1</v>
      </c>
      <c r="BO663">
        <v>0</v>
      </c>
      <c r="BP663">
        <v>0</v>
      </c>
      <c r="BS663">
        <v>0</v>
      </c>
      <c r="BT663">
        <v>0</v>
      </c>
      <c r="BU663">
        <v>0</v>
      </c>
      <c r="CE663" t="str">
        <f t="shared" si="265"/>
        <v>15:06:22.382</v>
      </c>
      <c r="CF663">
        <v>381949234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5</v>
      </c>
      <c r="CY663">
        <v>7</v>
      </c>
      <c r="CZ663" t="s">
        <v>133</v>
      </c>
      <c r="DA663">
        <v>275</v>
      </c>
      <c r="DB663">
        <v>0</v>
      </c>
      <c r="DC663" t="s">
        <v>134</v>
      </c>
      <c r="DD663" t="s">
        <v>135</v>
      </c>
      <c r="DG663">
        <v>3318925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"05/01/2025 15:06:22.605"</f>
        <v>05/01/2025 15:06:22.605</v>
      </c>
      <c r="C664" t="str">
        <f t="shared" si="254"/>
        <v>FFDFD3C0</v>
      </c>
      <c r="D664" t="s">
        <v>124</v>
      </c>
      <c r="E664" t="str">
        <f>"06"</f>
        <v>06</v>
      </c>
      <c r="F664">
        <v>2006</v>
      </c>
      <c r="G664" t="s">
        <v>125</v>
      </c>
      <c r="J664" t="s">
        <v>126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R664" t="s">
        <v>127</v>
      </c>
      <c r="S664" t="str">
        <f t="shared" si="264"/>
        <v>15:06:22.000</v>
      </c>
      <c r="T664" t="str">
        <f t="shared" si="264"/>
        <v>15:06:22.000</v>
      </c>
      <c r="U664" t="str">
        <f t="shared" si="255"/>
        <v>A68FCB</v>
      </c>
      <c r="V664">
        <v>0</v>
      </c>
      <c r="W664">
        <v>0</v>
      </c>
      <c r="X664">
        <v>2</v>
      </c>
      <c r="Y664">
        <v>0</v>
      </c>
      <c r="AA664">
        <v>1</v>
      </c>
      <c r="AB664">
        <v>8</v>
      </c>
      <c r="AC664">
        <v>3</v>
      </c>
      <c r="AD664">
        <v>0</v>
      </c>
      <c r="AE664">
        <v>9</v>
      </c>
      <c r="AF664" t="s">
        <v>138</v>
      </c>
      <c r="AG664">
        <v>0</v>
      </c>
      <c r="AH664">
        <v>3</v>
      </c>
      <c r="AI664">
        <v>1</v>
      </c>
      <c r="AJ664">
        <v>0</v>
      </c>
      <c r="AK664" t="s">
        <v>319</v>
      </c>
      <c r="AL664">
        <v>38.965029999999999</v>
      </c>
      <c r="AM664" t="s">
        <v>320</v>
      </c>
      <c r="AN664">
        <v>-121.049831</v>
      </c>
      <c r="AO664">
        <v>25</v>
      </c>
      <c r="AP664">
        <v>2500</v>
      </c>
      <c r="AQ664" t="s">
        <v>131</v>
      </c>
      <c r="AR664">
        <v>-4</v>
      </c>
      <c r="AS664">
        <v>84</v>
      </c>
      <c r="AT664">
        <v>192</v>
      </c>
      <c r="BB664" t="str">
        <f t="shared" si="256"/>
        <v>1200</v>
      </c>
      <c r="BC664">
        <v>1</v>
      </c>
      <c r="BD664" t="str">
        <f t="shared" si="257"/>
        <v xml:space="preserve">N52156  </v>
      </c>
      <c r="BE664">
        <v>1</v>
      </c>
      <c r="BG664">
        <v>0</v>
      </c>
      <c r="BH664">
        <v>0</v>
      </c>
      <c r="BI664">
        <v>0</v>
      </c>
      <c r="BJ664">
        <v>2475</v>
      </c>
      <c r="BK664">
        <v>-25</v>
      </c>
      <c r="BL664" t="s">
        <v>188</v>
      </c>
      <c r="BM664">
        <v>1</v>
      </c>
      <c r="BN664">
        <v>1</v>
      </c>
      <c r="BO664">
        <v>0</v>
      </c>
      <c r="BP664">
        <v>0</v>
      </c>
      <c r="BS664">
        <v>0</v>
      </c>
      <c r="BT664">
        <v>0</v>
      </c>
      <c r="BU664">
        <v>0</v>
      </c>
      <c r="CE664" t="str">
        <f t="shared" si="265"/>
        <v>15:06:22.382</v>
      </c>
      <c r="CF664">
        <v>381949234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5</v>
      </c>
      <c r="CY664">
        <v>7</v>
      </c>
      <c r="CZ664" t="s">
        <v>133</v>
      </c>
      <c r="DA664">
        <v>275</v>
      </c>
      <c r="DB664">
        <v>0</v>
      </c>
      <c r="DC664" t="s">
        <v>134</v>
      </c>
      <c r="DD664" t="s">
        <v>135</v>
      </c>
      <c r="DG664">
        <v>3318925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"05/01/2025 15:06:22.605"</f>
        <v>05/01/2025 15:06:22.605</v>
      </c>
      <c r="C665" t="str">
        <f t="shared" si="254"/>
        <v>FFDFD3C0</v>
      </c>
      <c r="D665" t="s">
        <v>143</v>
      </c>
      <c r="E665" t="str">
        <f>"05"</f>
        <v>05</v>
      </c>
      <c r="H665">
        <v>172</v>
      </c>
      <c r="I665" t="s">
        <v>141</v>
      </c>
      <c r="J665" t="s">
        <v>144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R665" t="s">
        <v>127</v>
      </c>
      <c r="S665" t="str">
        <f t="shared" si="264"/>
        <v>15:06:22.000</v>
      </c>
      <c r="T665" t="str">
        <f t="shared" si="264"/>
        <v>15:06:22.000</v>
      </c>
      <c r="U665" t="str">
        <f t="shared" si="255"/>
        <v>A68FCB</v>
      </c>
      <c r="V665">
        <v>0</v>
      </c>
      <c r="W665">
        <v>0</v>
      </c>
      <c r="X665">
        <v>2</v>
      </c>
      <c r="Y665">
        <v>0</v>
      </c>
      <c r="AA665">
        <v>1</v>
      </c>
      <c r="AB665">
        <v>8</v>
      </c>
      <c r="AC665">
        <v>3</v>
      </c>
      <c r="AD665">
        <v>0</v>
      </c>
      <c r="AE665">
        <v>9</v>
      </c>
      <c r="AF665" t="s">
        <v>138</v>
      </c>
      <c r="AG665">
        <v>0</v>
      </c>
      <c r="AH665">
        <v>3</v>
      </c>
      <c r="AI665">
        <v>1</v>
      </c>
      <c r="AJ665">
        <v>0</v>
      </c>
      <c r="AK665" t="s">
        <v>319</v>
      </c>
      <c r="AL665">
        <v>38.965029999999999</v>
      </c>
      <c r="AM665" t="s">
        <v>320</v>
      </c>
      <c r="AN665">
        <v>-121.049831</v>
      </c>
      <c r="AO665">
        <v>25</v>
      </c>
      <c r="AP665">
        <v>2500</v>
      </c>
      <c r="AQ665" t="s">
        <v>131</v>
      </c>
      <c r="AR665">
        <v>-4</v>
      </c>
      <c r="AS665">
        <v>84</v>
      </c>
      <c r="AT665">
        <v>192</v>
      </c>
      <c r="BB665" t="str">
        <f t="shared" si="256"/>
        <v>1200</v>
      </c>
      <c r="BC665">
        <v>1</v>
      </c>
      <c r="BD665" t="str">
        <f t="shared" si="257"/>
        <v xml:space="preserve">N52156  </v>
      </c>
      <c r="BE665">
        <v>1</v>
      </c>
      <c r="BG665">
        <v>0</v>
      </c>
      <c r="BH665">
        <v>0</v>
      </c>
      <c r="BI665">
        <v>0</v>
      </c>
      <c r="BJ665">
        <v>2475</v>
      </c>
      <c r="BK665">
        <v>-25</v>
      </c>
      <c r="BL665" t="s">
        <v>188</v>
      </c>
      <c r="BM665">
        <v>1</v>
      </c>
      <c r="BN665">
        <v>1</v>
      </c>
      <c r="BO665">
        <v>0</v>
      </c>
      <c r="BP665">
        <v>0</v>
      </c>
      <c r="BS665">
        <v>0</v>
      </c>
      <c r="BT665">
        <v>0</v>
      </c>
      <c r="BU665">
        <v>0</v>
      </c>
      <c r="CE665" t="str">
        <f t="shared" si="265"/>
        <v>15:06:22.382</v>
      </c>
      <c r="CF665">
        <v>381949234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5</v>
      </c>
      <c r="CY665">
        <v>7</v>
      </c>
      <c r="CZ665" t="s">
        <v>133</v>
      </c>
      <c r="DA665">
        <v>275</v>
      </c>
      <c r="DB665">
        <v>0</v>
      </c>
      <c r="DC665" t="s">
        <v>134</v>
      </c>
      <c r="DD665" t="s">
        <v>135</v>
      </c>
      <c r="DG665">
        <v>3318925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"05/01/2025 15:06:22.605"</f>
        <v>05/01/2025 15:06:22.605</v>
      </c>
      <c r="C666" t="str">
        <f t="shared" si="254"/>
        <v>FFDFD3C0</v>
      </c>
      <c r="D666" t="s">
        <v>145</v>
      </c>
      <c r="E666" t="str">
        <f>"05"</f>
        <v>05</v>
      </c>
      <c r="H666">
        <v>47</v>
      </c>
      <c r="I666" t="s">
        <v>146</v>
      </c>
      <c r="J666" t="s">
        <v>138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R666" t="s">
        <v>127</v>
      </c>
      <c r="S666" t="str">
        <f t="shared" si="264"/>
        <v>15:06:22.000</v>
      </c>
      <c r="T666" t="str">
        <f t="shared" si="264"/>
        <v>15:06:22.000</v>
      </c>
      <c r="U666" t="str">
        <f t="shared" si="255"/>
        <v>A68FCB</v>
      </c>
      <c r="V666">
        <v>0</v>
      </c>
      <c r="W666">
        <v>0</v>
      </c>
      <c r="X666">
        <v>2</v>
      </c>
      <c r="Y666">
        <v>0</v>
      </c>
      <c r="AA666">
        <v>1</v>
      </c>
      <c r="AB666">
        <v>8</v>
      </c>
      <c r="AC666">
        <v>3</v>
      </c>
      <c r="AD666">
        <v>0</v>
      </c>
      <c r="AE666">
        <v>9</v>
      </c>
      <c r="AF666" t="s">
        <v>138</v>
      </c>
      <c r="AG666">
        <v>0</v>
      </c>
      <c r="AH666">
        <v>3</v>
      </c>
      <c r="AI666">
        <v>1</v>
      </c>
      <c r="AJ666">
        <v>0</v>
      </c>
      <c r="AK666" t="s">
        <v>319</v>
      </c>
      <c r="AL666">
        <v>38.965029999999999</v>
      </c>
      <c r="AM666" t="s">
        <v>320</v>
      </c>
      <c r="AN666">
        <v>-121.049831</v>
      </c>
      <c r="AO666">
        <v>25</v>
      </c>
      <c r="AP666">
        <v>2500</v>
      </c>
      <c r="AQ666" t="s">
        <v>131</v>
      </c>
      <c r="AR666">
        <v>-4</v>
      </c>
      <c r="AS666">
        <v>84</v>
      </c>
      <c r="AT666">
        <v>192</v>
      </c>
      <c r="BB666" t="str">
        <f t="shared" si="256"/>
        <v>1200</v>
      </c>
      <c r="BC666">
        <v>1</v>
      </c>
      <c r="BD666" t="str">
        <f t="shared" si="257"/>
        <v xml:space="preserve">N52156  </v>
      </c>
      <c r="BE666">
        <v>1</v>
      </c>
      <c r="BG666">
        <v>0</v>
      </c>
      <c r="BH666">
        <v>0</v>
      </c>
      <c r="BI666">
        <v>0</v>
      </c>
      <c r="BJ666">
        <v>2475</v>
      </c>
      <c r="BK666">
        <v>-25</v>
      </c>
      <c r="BL666" t="s">
        <v>188</v>
      </c>
      <c r="BM666">
        <v>1</v>
      </c>
      <c r="BN666">
        <v>1</v>
      </c>
      <c r="BO666">
        <v>0</v>
      </c>
      <c r="BP666">
        <v>0</v>
      </c>
      <c r="BS666">
        <v>0</v>
      </c>
      <c r="BT666">
        <v>0</v>
      </c>
      <c r="BU666">
        <v>0</v>
      </c>
      <c r="CE666" t="str">
        <f t="shared" si="265"/>
        <v>15:06:22.382</v>
      </c>
      <c r="CF666">
        <v>381949234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133</v>
      </c>
      <c r="DA666">
        <v>275</v>
      </c>
      <c r="DB666">
        <v>0</v>
      </c>
      <c r="DC666" t="s">
        <v>134</v>
      </c>
      <c r="DD666" t="s">
        <v>135</v>
      </c>
      <c r="DG666">
        <v>3318925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"05/01/2025 15:06:22.617"</f>
        <v>05/01/2025 15:06:22.617</v>
      </c>
      <c r="C667" t="str">
        <f t="shared" si="254"/>
        <v>FFDFD3C0</v>
      </c>
      <c r="D667" t="s">
        <v>136</v>
      </c>
      <c r="E667" t="str">
        <f>"20"</f>
        <v>20</v>
      </c>
      <c r="H667">
        <v>400</v>
      </c>
      <c r="I667" t="s">
        <v>137</v>
      </c>
      <c r="J667" t="s">
        <v>138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R667" t="s">
        <v>127</v>
      </c>
      <c r="S667" t="str">
        <f t="shared" si="264"/>
        <v>15:06:22.000</v>
      </c>
      <c r="T667" t="str">
        <f t="shared" si="264"/>
        <v>15:06:22.000</v>
      </c>
      <c r="U667" t="str">
        <f t="shared" si="255"/>
        <v>A68FCB</v>
      </c>
      <c r="V667">
        <v>0</v>
      </c>
      <c r="W667">
        <v>0</v>
      </c>
      <c r="X667">
        <v>2</v>
      </c>
      <c r="Y667">
        <v>0</v>
      </c>
      <c r="AA667">
        <v>1</v>
      </c>
      <c r="AB667">
        <v>8</v>
      </c>
      <c r="AC667">
        <v>3</v>
      </c>
      <c r="AD667">
        <v>0</v>
      </c>
      <c r="AE667">
        <v>9</v>
      </c>
      <c r="AF667" t="s">
        <v>138</v>
      </c>
      <c r="AG667">
        <v>0</v>
      </c>
      <c r="AH667">
        <v>3</v>
      </c>
      <c r="AI667">
        <v>1</v>
      </c>
      <c r="AJ667">
        <v>0</v>
      </c>
      <c r="AK667" t="s">
        <v>319</v>
      </c>
      <c r="AL667">
        <v>38.965029999999999</v>
      </c>
      <c r="AM667" t="s">
        <v>320</v>
      </c>
      <c r="AN667">
        <v>-121.049831</v>
      </c>
      <c r="AO667">
        <v>25</v>
      </c>
      <c r="AP667">
        <v>2500</v>
      </c>
      <c r="AQ667" t="s">
        <v>131</v>
      </c>
      <c r="AR667">
        <v>-4</v>
      </c>
      <c r="AS667">
        <v>84</v>
      </c>
      <c r="AT667">
        <v>192</v>
      </c>
      <c r="BB667" t="str">
        <f t="shared" si="256"/>
        <v>1200</v>
      </c>
      <c r="BC667">
        <v>1</v>
      </c>
      <c r="BD667" t="str">
        <f t="shared" si="257"/>
        <v xml:space="preserve">N52156  </v>
      </c>
      <c r="BE667">
        <v>1</v>
      </c>
      <c r="BG667">
        <v>0</v>
      </c>
      <c r="BH667">
        <v>0</v>
      </c>
      <c r="BI667">
        <v>0</v>
      </c>
      <c r="BJ667">
        <v>2475</v>
      </c>
      <c r="BK667">
        <v>-25</v>
      </c>
      <c r="BL667" t="s">
        <v>188</v>
      </c>
      <c r="BM667">
        <v>1</v>
      </c>
      <c r="BN667">
        <v>1</v>
      </c>
      <c r="BO667">
        <v>0</v>
      </c>
      <c r="BP667">
        <v>0</v>
      </c>
      <c r="BS667">
        <v>0</v>
      </c>
      <c r="BT667">
        <v>0</v>
      </c>
      <c r="BU667">
        <v>0</v>
      </c>
      <c r="CE667" t="str">
        <f t="shared" si="265"/>
        <v>15:06:22.382</v>
      </c>
      <c r="CF667">
        <v>381949234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133</v>
      </c>
      <c r="DA667">
        <v>275</v>
      </c>
      <c r="DB667">
        <v>0</v>
      </c>
      <c r="DC667" t="s">
        <v>134</v>
      </c>
      <c r="DD667" t="s">
        <v>135</v>
      </c>
      <c r="DG667">
        <v>3318925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"05/01/2025 15:06:24.148"</f>
        <v>05/01/2025 15:06:24.148</v>
      </c>
      <c r="C668" t="str">
        <f t="shared" si="254"/>
        <v>FFDFD3C0</v>
      </c>
      <c r="D668" t="s">
        <v>140</v>
      </c>
      <c r="E668" t="str">
        <f>"13"</f>
        <v>13</v>
      </c>
      <c r="F668">
        <v>1019</v>
      </c>
      <c r="G668" t="s">
        <v>141</v>
      </c>
      <c r="J668" t="s">
        <v>142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R668" t="s">
        <v>127</v>
      </c>
      <c r="S668" t="str">
        <f t="shared" ref="S668:T673" si="266">"15:06:23.000"</f>
        <v>15:06:23.000</v>
      </c>
      <c r="T668" t="str">
        <f t="shared" si="266"/>
        <v>15:06:23.000</v>
      </c>
      <c r="U668" t="str">
        <f t="shared" si="255"/>
        <v>A68FCB</v>
      </c>
      <c r="V668">
        <v>0</v>
      </c>
      <c r="W668">
        <v>0</v>
      </c>
      <c r="X668">
        <v>2</v>
      </c>
      <c r="Y668">
        <v>0</v>
      </c>
      <c r="AA668">
        <v>1</v>
      </c>
      <c r="AB668">
        <v>8</v>
      </c>
      <c r="AC668">
        <v>3</v>
      </c>
      <c r="AD668">
        <v>0</v>
      </c>
      <c r="AE668">
        <v>9</v>
      </c>
      <c r="AF668" t="s">
        <v>138</v>
      </c>
      <c r="AG668">
        <v>0</v>
      </c>
      <c r="AH668">
        <v>3</v>
      </c>
      <c r="AI668">
        <v>1</v>
      </c>
      <c r="AJ668">
        <v>0</v>
      </c>
      <c r="AK668" t="s">
        <v>321</v>
      </c>
      <c r="AL668">
        <v>38.965437000000001</v>
      </c>
      <c r="AM668" t="s">
        <v>322</v>
      </c>
      <c r="AN668">
        <v>-121.049852</v>
      </c>
      <c r="AO668">
        <v>25</v>
      </c>
      <c r="AP668">
        <v>2500</v>
      </c>
      <c r="AQ668" t="s">
        <v>131</v>
      </c>
      <c r="AR668">
        <v>-3</v>
      </c>
      <c r="AS668">
        <v>84</v>
      </c>
      <c r="AT668">
        <v>384</v>
      </c>
      <c r="BB668" t="str">
        <f t="shared" si="256"/>
        <v>1200</v>
      </c>
      <c r="BC668">
        <v>1</v>
      </c>
      <c r="BD668" t="str">
        <f t="shared" si="257"/>
        <v xml:space="preserve">N52156  </v>
      </c>
      <c r="BE668">
        <v>1</v>
      </c>
      <c r="BG668">
        <v>0</v>
      </c>
      <c r="BH668">
        <v>0</v>
      </c>
      <c r="BI668">
        <v>0</v>
      </c>
      <c r="BJ668">
        <v>2500</v>
      </c>
      <c r="BK668">
        <v>0</v>
      </c>
      <c r="BL668" t="s">
        <v>188</v>
      </c>
      <c r="BM668">
        <v>1</v>
      </c>
      <c r="BN668">
        <v>1</v>
      </c>
      <c r="BO668">
        <v>0</v>
      </c>
      <c r="BP668">
        <v>0</v>
      </c>
      <c r="BS668">
        <v>0</v>
      </c>
      <c r="BT668">
        <v>0</v>
      </c>
      <c r="BU668">
        <v>0</v>
      </c>
      <c r="CE668" t="str">
        <f t="shared" ref="CE668:CE673" si="267">"15:06:23.921"</f>
        <v>15:06:23.921</v>
      </c>
      <c r="CF668">
        <v>920950645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133</v>
      </c>
      <c r="DA668">
        <v>275</v>
      </c>
      <c r="DB668">
        <v>0</v>
      </c>
      <c r="DC668" t="s">
        <v>134</v>
      </c>
      <c r="DD668" t="s">
        <v>135</v>
      </c>
      <c r="DG668">
        <v>3318942</v>
      </c>
      <c r="DI668">
        <v>1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"05/01/2025 15:06:24.159"</f>
        <v>05/01/2025 15:06:24.159</v>
      </c>
      <c r="C669" t="str">
        <f t="shared" si="254"/>
        <v>FFDFD3C0</v>
      </c>
      <c r="D669" t="s">
        <v>145</v>
      </c>
      <c r="E669" t="str">
        <f>"09"</f>
        <v>09</v>
      </c>
      <c r="H669">
        <v>51</v>
      </c>
      <c r="I669" t="s">
        <v>147</v>
      </c>
      <c r="J669" t="s">
        <v>138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R669" t="s">
        <v>127</v>
      </c>
      <c r="S669" t="str">
        <f t="shared" si="266"/>
        <v>15:06:23.000</v>
      </c>
      <c r="T669" t="str">
        <f t="shared" si="266"/>
        <v>15:06:23.000</v>
      </c>
      <c r="U669" t="str">
        <f t="shared" si="255"/>
        <v>A68FCB</v>
      </c>
      <c r="V669">
        <v>0</v>
      </c>
      <c r="W669">
        <v>0</v>
      </c>
      <c r="X669">
        <v>2</v>
      </c>
      <c r="Y669">
        <v>0</v>
      </c>
      <c r="AA669">
        <v>1</v>
      </c>
      <c r="AB669">
        <v>8</v>
      </c>
      <c r="AC669">
        <v>3</v>
      </c>
      <c r="AD669">
        <v>0</v>
      </c>
      <c r="AE669">
        <v>9</v>
      </c>
      <c r="AF669" t="s">
        <v>138</v>
      </c>
      <c r="AG669">
        <v>0</v>
      </c>
      <c r="AH669">
        <v>3</v>
      </c>
      <c r="AI669">
        <v>1</v>
      </c>
      <c r="AJ669">
        <v>0</v>
      </c>
      <c r="AK669" t="s">
        <v>321</v>
      </c>
      <c r="AL669">
        <v>38.965437000000001</v>
      </c>
      <c r="AM669" t="s">
        <v>322</v>
      </c>
      <c r="AN669">
        <v>-121.049852</v>
      </c>
      <c r="AO669">
        <v>25</v>
      </c>
      <c r="AP669">
        <v>2500</v>
      </c>
      <c r="AQ669" t="s">
        <v>131</v>
      </c>
      <c r="AR669">
        <v>-3</v>
      </c>
      <c r="AS669">
        <v>84</v>
      </c>
      <c r="AT669">
        <v>384</v>
      </c>
      <c r="BB669" t="str">
        <f t="shared" si="256"/>
        <v>1200</v>
      </c>
      <c r="BC669">
        <v>1</v>
      </c>
      <c r="BD669" t="str">
        <f t="shared" si="257"/>
        <v xml:space="preserve">N52156  </v>
      </c>
      <c r="BE669">
        <v>1</v>
      </c>
      <c r="BG669">
        <v>0</v>
      </c>
      <c r="BH669">
        <v>0</v>
      </c>
      <c r="BI669">
        <v>0</v>
      </c>
      <c r="BJ669">
        <v>2500</v>
      </c>
      <c r="BK669">
        <v>0</v>
      </c>
      <c r="BL669" t="s">
        <v>188</v>
      </c>
      <c r="BM669">
        <v>1</v>
      </c>
      <c r="BN669">
        <v>1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 t="shared" si="267"/>
        <v>15:06:23.921</v>
      </c>
      <c r="CF669">
        <v>920950645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133</v>
      </c>
      <c r="DA669">
        <v>275</v>
      </c>
      <c r="DB669">
        <v>0</v>
      </c>
      <c r="DC669" t="s">
        <v>134</v>
      </c>
      <c r="DD669" t="s">
        <v>135</v>
      </c>
      <c r="DG669">
        <v>3318942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"05/01/2025 15:06:24.158"</f>
        <v>05/01/2025 15:06:24.158</v>
      </c>
      <c r="C670" t="str">
        <f t="shared" si="254"/>
        <v>FFDFD3C0</v>
      </c>
      <c r="D670" t="s">
        <v>124</v>
      </c>
      <c r="E670" t="str">
        <f>"06"</f>
        <v>06</v>
      </c>
      <c r="F670">
        <v>2006</v>
      </c>
      <c r="G670" t="s">
        <v>125</v>
      </c>
      <c r="J670" t="s">
        <v>126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R670" t="s">
        <v>127</v>
      </c>
      <c r="S670" t="str">
        <f t="shared" si="266"/>
        <v>15:06:23.000</v>
      </c>
      <c r="T670" t="str">
        <f t="shared" si="266"/>
        <v>15:06:23.000</v>
      </c>
      <c r="U670" t="str">
        <f t="shared" si="255"/>
        <v>A68FCB</v>
      </c>
      <c r="V670">
        <v>0</v>
      </c>
      <c r="W670">
        <v>0</v>
      </c>
      <c r="X670">
        <v>2</v>
      </c>
      <c r="Y670">
        <v>0</v>
      </c>
      <c r="AA670">
        <v>1</v>
      </c>
      <c r="AB670">
        <v>8</v>
      </c>
      <c r="AC670">
        <v>3</v>
      </c>
      <c r="AD670">
        <v>0</v>
      </c>
      <c r="AE670">
        <v>9</v>
      </c>
      <c r="AF670" t="s">
        <v>138</v>
      </c>
      <c r="AG670">
        <v>0</v>
      </c>
      <c r="AH670">
        <v>3</v>
      </c>
      <c r="AI670">
        <v>1</v>
      </c>
      <c r="AJ670">
        <v>0</v>
      </c>
      <c r="AK670" t="s">
        <v>321</v>
      </c>
      <c r="AL670">
        <v>38.965437000000001</v>
      </c>
      <c r="AM670" t="s">
        <v>322</v>
      </c>
      <c r="AN670">
        <v>-121.049852</v>
      </c>
      <c r="AO670">
        <v>25</v>
      </c>
      <c r="AP670">
        <v>2500</v>
      </c>
      <c r="AQ670" t="s">
        <v>131</v>
      </c>
      <c r="AR670">
        <v>-3</v>
      </c>
      <c r="AS670">
        <v>84</v>
      </c>
      <c r="AT670">
        <v>384</v>
      </c>
      <c r="BB670" t="str">
        <f t="shared" si="256"/>
        <v>1200</v>
      </c>
      <c r="BC670">
        <v>1</v>
      </c>
      <c r="BD670" t="str">
        <f t="shared" si="257"/>
        <v xml:space="preserve">N52156  </v>
      </c>
      <c r="BE670">
        <v>1</v>
      </c>
      <c r="BG670">
        <v>0</v>
      </c>
      <c r="BH670">
        <v>0</v>
      </c>
      <c r="BI670">
        <v>0</v>
      </c>
      <c r="BJ670">
        <v>2500</v>
      </c>
      <c r="BK670">
        <v>0</v>
      </c>
      <c r="BL670" t="s">
        <v>188</v>
      </c>
      <c r="BM670">
        <v>1</v>
      </c>
      <c r="BN670">
        <v>1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 t="shared" si="267"/>
        <v>15:06:23.921</v>
      </c>
      <c r="CF670">
        <v>920950645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133</v>
      </c>
      <c r="DA670">
        <v>275</v>
      </c>
      <c r="DB670">
        <v>0</v>
      </c>
      <c r="DC670" t="s">
        <v>134</v>
      </c>
      <c r="DD670" t="s">
        <v>135</v>
      </c>
      <c r="DG670">
        <v>3318942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"05/01/2025 15:06:24.158"</f>
        <v>05/01/2025 15:06:24.158</v>
      </c>
      <c r="C671" t="str">
        <f t="shared" si="254"/>
        <v>FFDFD3C0</v>
      </c>
      <c r="D671" t="s">
        <v>143</v>
      </c>
      <c r="E671" t="str">
        <f>"05"</f>
        <v>05</v>
      </c>
      <c r="H671">
        <v>172</v>
      </c>
      <c r="I671" t="s">
        <v>141</v>
      </c>
      <c r="J671" t="s">
        <v>144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R671" t="s">
        <v>127</v>
      </c>
      <c r="S671" t="str">
        <f t="shared" si="266"/>
        <v>15:06:23.000</v>
      </c>
      <c r="T671" t="str">
        <f t="shared" si="266"/>
        <v>15:06:23.000</v>
      </c>
      <c r="U671" t="str">
        <f t="shared" si="255"/>
        <v>A68FCB</v>
      </c>
      <c r="V671">
        <v>0</v>
      </c>
      <c r="W671">
        <v>0</v>
      </c>
      <c r="X671">
        <v>2</v>
      </c>
      <c r="Y671">
        <v>0</v>
      </c>
      <c r="AA671">
        <v>1</v>
      </c>
      <c r="AB671">
        <v>8</v>
      </c>
      <c r="AC671">
        <v>3</v>
      </c>
      <c r="AD671">
        <v>0</v>
      </c>
      <c r="AE671">
        <v>9</v>
      </c>
      <c r="AF671" t="s">
        <v>138</v>
      </c>
      <c r="AG671">
        <v>0</v>
      </c>
      <c r="AH671">
        <v>3</v>
      </c>
      <c r="AI671">
        <v>1</v>
      </c>
      <c r="AJ671">
        <v>0</v>
      </c>
      <c r="AK671" t="s">
        <v>321</v>
      </c>
      <c r="AL671">
        <v>38.965437000000001</v>
      </c>
      <c r="AM671" t="s">
        <v>322</v>
      </c>
      <c r="AN671">
        <v>-121.049852</v>
      </c>
      <c r="AO671">
        <v>25</v>
      </c>
      <c r="AP671">
        <v>2500</v>
      </c>
      <c r="AQ671" t="s">
        <v>131</v>
      </c>
      <c r="AR671">
        <v>-3</v>
      </c>
      <c r="AS671">
        <v>84</v>
      </c>
      <c r="AT671">
        <v>384</v>
      </c>
      <c r="BB671" t="str">
        <f t="shared" si="256"/>
        <v>1200</v>
      </c>
      <c r="BC671">
        <v>1</v>
      </c>
      <c r="BD671" t="str">
        <f t="shared" si="257"/>
        <v xml:space="preserve">N52156  </v>
      </c>
      <c r="BE671">
        <v>1</v>
      </c>
      <c r="BG671">
        <v>0</v>
      </c>
      <c r="BH671">
        <v>0</v>
      </c>
      <c r="BI671">
        <v>0</v>
      </c>
      <c r="BJ671">
        <v>2500</v>
      </c>
      <c r="BK671">
        <v>0</v>
      </c>
      <c r="BL671" t="s">
        <v>188</v>
      </c>
      <c r="BM671">
        <v>1</v>
      </c>
      <c r="BN671">
        <v>1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 t="shared" si="267"/>
        <v>15:06:23.921</v>
      </c>
      <c r="CF671">
        <v>920950645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133</v>
      </c>
      <c r="DA671">
        <v>275</v>
      </c>
      <c r="DB671">
        <v>0</v>
      </c>
      <c r="DC671" t="s">
        <v>134</v>
      </c>
      <c r="DD671" t="s">
        <v>135</v>
      </c>
      <c r="DG671">
        <v>3318942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"05/01/2025 15:06:24.158"</f>
        <v>05/01/2025 15:06:24.158</v>
      </c>
      <c r="C672" t="str">
        <f t="shared" si="254"/>
        <v>FFDFD3C0</v>
      </c>
      <c r="D672" t="s">
        <v>145</v>
      </c>
      <c r="E672" t="str">
        <f>"05"</f>
        <v>05</v>
      </c>
      <c r="H672">
        <v>47</v>
      </c>
      <c r="I672" t="s">
        <v>146</v>
      </c>
      <c r="J672" t="s">
        <v>138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R672" t="s">
        <v>127</v>
      </c>
      <c r="S672" t="str">
        <f t="shared" si="266"/>
        <v>15:06:23.000</v>
      </c>
      <c r="T672" t="str">
        <f t="shared" si="266"/>
        <v>15:06:23.000</v>
      </c>
      <c r="U672" t="str">
        <f t="shared" si="255"/>
        <v>A68FCB</v>
      </c>
      <c r="V672">
        <v>0</v>
      </c>
      <c r="W672">
        <v>0</v>
      </c>
      <c r="X672">
        <v>2</v>
      </c>
      <c r="Y672">
        <v>0</v>
      </c>
      <c r="AA672">
        <v>1</v>
      </c>
      <c r="AB672">
        <v>8</v>
      </c>
      <c r="AC672">
        <v>3</v>
      </c>
      <c r="AD672">
        <v>0</v>
      </c>
      <c r="AE672">
        <v>9</v>
      </c>
      <c r="AF672" t="s">
        <v>138</v>
      </c>
      <c r="AG672">
        <v>0</v>
      </c>
      <c r="AH672">
        <v>3</v>
      </c>
      <c r="AI672">
        <v>1</v>
      </c>
      <c r="AJ672">
        <v>0</v>
      </c>
      <c r="AK672" t="s">
        <v>321</v>
      </c>
      <c r="AL672">
        <v>38.965437000000001</v>
      </c>
      <c r="AM672" t="s">
        <v>322</v>
      </c>
      <c r="AN672">
        <v>-121.049852</v>
      </c>
      <c r="AO672">
        <v>25</v>
      </c>
      <c r="AP672">
        <v>2500</v>
      </c>
      <c r="AQ672" t="s">
        <v>131</v>
      </c>
      <c r="AR672">
        <v>-3</v>
      </c>
      <c r="AS672">
        <v>84</v>
      </c>
      <c r="AT672">
        <v>384</v>
      </c>
      <c r="BB672" t="str">
        <f t="shared" si="256"/>
        <v>1200</v>
      </c>
      <c r="BC672">
        <v>1</v>
      </c>
      <c r="BD672" t="str">
        <f t="shared" si="257"/>
        <v xml:space="preserve">N52156  </v>
      </c>
      <c r="BE672">
        <v>1</v>
      </c>
      <c r="BG672">
        <v>0</v>
      </c>
      <c r="BH672">
        <v>0</v>
      </c>
      <c r="BI672">
        <v>0</v>
      </c>
      <c r="BJ672">
        <v>2500</v>
      </c>
      <c r="BK672">
        <v>0</v>
      </c>
      <c r="BL672" t="s">
        <v>188</v>
      </c>
      <c r="BM672">
        <v>1</v>
      </c>
      <c r="BN672">
        <v>1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 t="shared" si="267"/>
        <v>15:06:23.921</v>
      </c>
      <c r="CF672">
        <v>920950645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5</v>
      </c>
      <c r="CY672">
        <v>7</v>
      </c>
      <c r="CZ672" t="s">
        <v>133</v>
      </c>
      <c r="DA672">
        <v>275</v>
      </c>
      <c r="DB672">
        <v>0</v>
      </c>
      <c r="DC672" t="s">
        <v>134</v>
      </c>
      <c r="DD672" t="s">
        <v>135</v>
      </c>
      <c r="DG672">
        <v>3318942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"05/01/2025 15:06:24.170"</f>
        <v>05/01/2025 15:06:24.170</v>
      </c>
      <c r="C673" t="str">
        <f t="shared" si="254"/>
        <v>FFDFD3C0</v>
      </c>
      <c r="D673" t="s">
        <v>136</v>
      </c>
      <c r="E673" t="str">
        <f>"20"</f>
        <v>20</v>
      </c>
      <c r="H673">
        <v>400</v>
      </c>
      <c r="I673" t="s">
        <v>137</v>
      </c>
      <c r="J673" t="s">
        <v>138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R673" t="s">
        <v>127</v>
      </c>
      <c r="S673" t="str">
        <f t="shared" si="266"/>
        <v>15:06:23.000</v>
      </c>
      <c r="T673" t="str">
        <f t="shared" si="266"/>
        <v>15:06:23.000</v>
      </c>
      <c r="U673" t="str">
        <f t="shared" si="255"/>
        <v>A68FCB</v>
      </c>
      <c r="V673">
        <v>0</v>
      </c>
      <c r="W673">
        <v>0</v>
      </c>
      <c r="X673">
        <v>2</v>
      </c>
      <c r="Y673">
        <v>0</v>
      </c>
      <c r="AA673">
        <v>1</v>
      </c>
      <c r="AB673">
        <v>8</v>
      </c>
      <c r="AC673">
        <v>3</v>
      </c>
      <c r="AD673">
        <v>0</v>
      </c>
      <c r="AE673">
        <v>9</v>
      </c>
      <c r="AF673" t="s">
        <v>138</v>
      </c>
      <c r="AG673">
        <v>0</v>
      </c>
      <c r="AH673">
        <v>3</v>
      </c>
      <c r="AI673">
        <v>1</v>
      </c>
      <c r="AJ673">
        <v>0</v>
      </c>
      <c r="AK673" t="s">
        <v>321</v>
      </c>
      <c r="AL673">
        <v>38.965437000000001</v>
      </c>
      <c r="AM673" t="s">
        <v>322</v>
      </c>
      <c r="AN673">
        <v>-121.049852</v>
      </c>
      <c r="AO673">
        <v>25</v>
      </c>
      <c r="AP673">
        <v>2500</v>
      </c>
      <c r="AQ673" t="s">
        <v>131</v>
      </c>
      <c r="AR673">
        <v>-3</v>
      </c>
      <c r="AS673">
        <v>84</v>
      </c>
      <c r="AT673">
        <v>384</v>
      </c>
      <c r="BB673" t="str">
        <f t="shared" si="256"/>
        <v>1200</v>
      </c>
      <c r="BC673">
        <v>1</v>
      </c>
      <c r="BD673" t="str">
        <f t="shared" si="257"/>
        <v xml:space="preserve">N52156  </v>
      </c>
      <c r="BE673">
        <v>1</v>
      </c>
      <c r="BG673">
        <v>0</v>
      </c>
      <c r="BH673">
        <v>0</v>
      </c>
      <c r="BI673">
        <v>0</v>
      </c>
      <c r="BJ673">
        <v>2500</v>
      </c>
      <c r="BK673">
        <v>0</v>
      </c>
      <c r="BL673" t="s">
        <v>188</v>
      </c>
      <c r="BM673">
        <v>1</v>
      </c>
      <c r="BN673">
        <v>1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 t="shared" si="267"/>
        <v>15:06:23.921</v>
      </c>
      <c r="CF673">
        <v>920950645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133</v>
      </c>
      <c r="DA673">
        <v>275</v>
      </c>
      <c r="DB673">
        <v>0</v>
      </c>
      <c r="DC673" t="s">
        <v>134</v>
      </c>
      <c r="DD673" t="s">
        <v>135</v>
      </c>
      <c r="DG673">
        <v>3318942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"05/01/2025 15:06:24.498"</f>
        <v>05/01/2025 15:06:24.498</v>
      </c>
      <c r="C674" t="str">
        <f t="shared" si="254"/>
        <v>FFDFD3C0</v>
      </c>
      <c r="D674" t="s">
        <v>140</v>
      </c>
      <c r="E674" t="str">
        <f>"13"</f>
        <v>13</v>
      </c>
      <c r="F674">
        <v>1019</v>
      </c>
      <c r="G674" t="s">
        <v>141</v>
      </c>
      <c r="J674" t="s">
        <v>142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R674" t="s">
        <v>127</v>
      </c>
      <c r="S674" t="str">
        <f t="shared" ref="S674:T679" si="268">"15:06:24.000"</f>
        <v>15:06:24.000</v>
      </c>
      <c r="T674" t="str">
        <f t="shared" si="268"/>
        <v>15:06:24.000</v>
      </c>
      <c r="U674" t="str">
        <f t="shared" si="255"/>
        <v>A68FCB</v>
      </c>
      <c r="V674">
        <v>0</v>
      </c>
      <c r="W674">
        <v>0</v>
      </c>
      <c r="X674">
        <v>2</v>
      </c>
      <c r="Y674">
        <v>0</v>
      </c>
      <c r="AA674">
        <v>1</v>
      </c>
      <c r="AB674">
        <v>8</v>
      </c>
      <c r="AC674">
        <v>3</v>
      </c>
      <c r="AD674">
        <v>0</v>
      </c>
      <c r="AE674">
        <v>9</v>
      </c>
      <c r="AF674" t="s">
        <v>138</v>
      </c>
      <c r="AG674">
        <v>0</v>
      </c>
      <c r="AH674">
        <v>3</v>
      </c>
      <c r="AI674">
        <v>1</v>
      </c>
      <c r="AJ674">
        <v>0</v>
      </c>
      <c r="AK674" t="s">
        <v>323</v>
      </c>
      <c r="AL674">
        <v>38.965823999999998</v>
      </c>
      <c r="AM674" t="s">
        <v>289</v>
      </c>
      <c r="AN674">
        <v>-121.049874</v>
      </c>
      <c r="AO674">
        <v>25</v>
      </c>
      <c r="AP674">
        <v>2500</v>
      </c>
      <c r="AQ674" t="s">
        <v>131</v>
      </c>
      <c r="AR674">
        <v>-3</v>
      </c>
      <c r="AS674">
        <v>84</v>
      </c>
      <c r="AT674">
        <v>384</v>
      </c>
      <c r="BB674" t="str">
        <f t="shared" si="256"/>
        <v>1200</v>
      </c>
      <c r="BC674">
        <v>1</v>
      </c>
      <c r="BD674" t="str">
        <f t="shared" si="257"/>
        <v xml:space="preserve">N52156  </v>
      </c>
      <c r="BE674">
        <v>1</v>
      </c>
      <c r="BG674">
        <v>0</v>
      </c>
      <c r="BH674">
        <v>0</v>
      </c>
      <c r="BI674">
        <v>0</v>
      </c>
      <c r="BJ674">
        <v>2500</v>
      </c>
      <c r="BK674">
        <v>0</v>
      </c>
      <c r="BL674" t="s">
        <v>188</v>
      </c>
      <c r="BM674">
        <v>1</v>
      </c>
      <c r="BN674">
        <v>1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 t="shared" ref="CE674:CE679" si="269">"15:06:24.273"</f>
        <v>15:06:24.273</v>
      </c>
      <c r="CF674">
        <v>273449022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133</v>
      </c>
      <c r="DA674">
        <v>275</v>
      </c>
      <c r="DB674">
        <v>0</v>
      </c>
      <c r="DC674" t="s">
        <v>134</v>
      </c>
      <c r="DD674" t="s">
        <v>135</v>
      </c>
      <c r="DG674">
        <v>3318943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"05/01/2025 15:06:24.509"</f>
        <v>05/01/2025 15:06:24.509</v>
      </c>
      <c r="C675" t="str">
        <f t="shared" si="254"/>
        <v>FFDFD3C0</v>
      </c>
      <c r="D675" t="s">
        <v>143</v>
      </c>
      <c r="E675" t="str">
        <f>"05"</f>
        <v>05</v>
      </c>
      <c r="H675">
        <v>172</v>
      </c>
      <c r="I675" t="s">
        <v>141</v>
      </c>
      <c r="J675" t="s">
        <v>144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R675" t="s">
        <v>127</v>
      </c>
      <c r="S675" t="str">
        <f t="shared" si="268"/>
        <v>15:06:24.000</v>
      </c>
      <c r="T675" t="str">
        <f t="shared" si="268"/>
        <v>15:06:24.000</v>
      </c>
      <c r="U675" t="str">
        <f t="shared" si="255"/>
        <v>A68FCB</v>
      </c>
      <c r="V675">
        <v>0</v>
      </c>
      <c r="W675">
        <v>0</v>
      </c>
      <c r="X675">
        <v>2</v>
      </c>
      <c r="Y675">
        <v>0</v>
      </c>
      <c r="AA675">
        <v>1</v>
      </c>
      <c r="AB675">
        <v>8</v>
      </c>
      <c r="AC675">
        <v>3</v>
      </c>
      <c r="AD675">
        <v>0</v>
      </c>
      <c r="AE675">
        <v>9</v>
      </c>
      <c r="AF675" t="s">
        <v>138</v>
      </c>
      <c r="AG675">
        <v>0</v>
      </c>
      <c r="AH675">
        <v>3</v>
      </c>
      <c r="AI675">
        <v>1</v>
      </c>
      <c r="AJ675">
        <v>0</v>
      </c>
      <c r="AK675" t="s">
        <v>323</v>
      </c>
      <c r="AL675">
        <v>38.965823999999998</v>
      </c>
      <c r="AM675" t="s">
        <v>289</v>
      </c>
      <c r="AN675">
        <v>-121.049874</v>
      </c>
      <c r="AO675">
        <v>25</v>
      </c>
      <c r="AP675">
        <v>2500</v>
      </c>
      <c r="AQ675" t="s">
        <v>131</v>
      </c>
      <c r="AR675">
        <v>-3</v>
      </c>
      <c r="AS675">
        <v>84</v>
      </c>
      <c r="AT675">
        <v>384</v>
      </c>
      <c r="BB675" t="str">
        <f t="shared" si="256"/>
        <v>1200</v>
      </c>
      <c r="BC675">
        <v>1</v>
      </c>
      <c r="BD675" t="str">
        <f t="shared" si="257"/>
        <v xml:space="preserve">N52156  </v>
      </c>
      <c r="BE675">
        <v>1</v>
      </c>
      <c r="BG675">
        <v>0</v>
      </c>
      <c r="BH675">
        <v>0</v>
      </c>
      <c r="BI675">
        <v>0</v>
      </c>
      <c r="BJ675">
        <v>2500</v>
      </c>
      <c r="BK675">
        <v>0</v>
      </c>
      <c r="BL675" t="s">
        <v>188</v>
      </c>
      <c r="BM675">
        <v>1</v>
      </c>
      <c r="BN675">
        <v>1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 t="shared" si="269"/>
        <v>15:06:24.273</v>
      </c>
      <c r="CF675">
        <v>273449022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133</v>
      </c>
      <c r="DA675">
        <v>275</v>
      </c>
      <c r="DB675">
        <v>0</v>
      </c>
      <c r="DC675" t="s">
        <v>134</v>
      </c>
      <c r="DD675" t="s">
        <v>135</v>
      </c>
      <c r="DG675">
        <v>3318943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"05/01/2025 15:06:24.509"</f>
        <v>05/01/2025 15:06:24.509</v>
      </c>
      <c r="C676" t="str">
        <f t="shared" si="254"/>
        <v>FFDFD3C0</v>
      </c>
      <c r="D676" t="s">
        <v>145</v>
      </c>
      <c r="E676" t="str">
        <f>"05"</f>
        <v>05</v>
      </c>
      <c r="H676">
        <v>47</v>
      </c>
      <c r="I676" t="s">
        <v>146</v>
      </c>
      <c r="J676" t="s">
        <v>138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R676" t="s">
        <v>127</v>
      </c>
      <c r="S676" t="str">
        <f t="shared" si="268"/>
        <v>15:06:24.000</v>
      </c>
      <c r="T676" t="str">
        <f t="shared" si="268"/>
        <v>15:06:24.000</v>
      </c>
      <c r="U676" t="str">
        <f t="shared" si="255"/>
        <v>A68FCB</v>
      </c>
      <c r="V676">
        <v>0</v>
      </c>
      <c r="W676">
        <v>0</v>
      </c>
      <c r="X676">
        <v>2</v>
      </c>
      <c r="Y676">
        <v>0</v>
      </c>
      <c r="AA676">
        <v>1</v>
      </c>
      <c r="AB676">
        <v>8</v>
      </c>
      <c r="AC676">
        <v>3</v>
      </c>
      <c r="AD676">
        <v>0</v>
      </c>
      <c r="AE676">
        <v>9</v>
      </c>
      <c r="AF676" t="s">
        <v>138</v>
      </c>
      <c r="AG676">
        <v>0</v>
      </c>
      <c r="AH676">
        <v>3</v>
      </c>
      <c r="AI676">
        <v>1</v>
      </c>
      <c r="AJ676">
        <v>0</v>
      </c>
      <c r="AK676" t="s">
        <v>323</v>
      </c>
      <c r="AL676">
        <v>38.965823999999998</v>
      </c>
      <c r="AM676" t="s">
        <v>289</v>
      </c>
      <c r="AN676">
        <v>-121.049874</v>
      </c>
      <c r="AO676">
        <v>25</v>
      </c>
      <c r="AP676">
        <v>2500</v>
      </c>
      <c r="AQ676" t="s">
        <v>131</v>
      </c>
      <c r="AR676">
        <v>-3</v>
      </c>
      <c r="AS676">
        <v>84</v>
      </c>
      <c r="AT676">
        <v>384</v>
      </c>
      <c r="BB676" t="str">
        <f t="shared" si="256"/>
        <v>1200</v>
      </c>
      <c r="BC676">
        <v>1</v>
      </c>
      <c r="BD676" t="str">
        <f t="shared" si="257"/>
        <v xml:space="preserve">N52156  </v>
      </c>
      <c r="BE676">
        <v>1</v>
      </c>
      <c r="BG676">
        <v>0</v>
      </c>
      <c r="BH676">
        <v>0</v>
      </c>
      <c r="BI676">
        <v>0</v>
      </c>
      <c r="BJ676">
        <v>2500</v>
      </c>
      <c r="BK676">
        <v>0</v>
      </c>
      <c r="BL676" t="s">
        <v>188</v>
      </c>
      <c r="BM676">
        <v>1</v>
      </c>
      <c r="BN676">
        <v>1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 t="shared" si="269"/>
        <v>15:06:24.273</v>
      </c>
      <c r="CF676">
        <v>273449022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6</v>
      </c>
      <c r="CY676">
        <v>7</v>
      </c>
      <c r="CZ676" t="s">
        <v>133</v>
      </c>
      <c r="DA676">
        <v>275</v>
      </c>
      <c r="DB676">
        <v>0</v>
      </c>
      <c r="DC676" t="s">
        <v>134</v>
      </c>
      <c r="DD676" t="s">
        <v>135</v>
      </c>
      <c r="DG676">
        <v>3318943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"05/01/2025 15:06:24.509"</f>
        <v>05/01/2025 15:06:24.509</v>
      </c>
      <c r="C677" t="str">
        <f t="shared" si="254"/>
        <v>FFDFD3C0</v>
      </c>
      <c r="D677" t="s">
        <v>145</v>
      </c>
      <c r="E677" t="str">
        <f>"09"</f>
        <v>09</v>
      </c>
      <c r="H677">
        <v>51</v>
      </c>
      <c r="I677" t="s">
        <v>147</v>
      </c>
      <c r="J677" t="s">
        <v>138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R677" t="s">
        <v>127</v>
      </c>
      <c r="S677" t="str">
        <f t="shared" si="268"/>
        <v>15:06:24.000</v>
      </c>
      <c r="T677" t="str">
        <f t="shared" si="268"/>
        <v>15:06:24.000</v>
      </c>
      <c r="U677" t="str">
        <f t="shared" si="255"/>
        <v>A68FCB</v>
      </c>
      <c r="V677">
        <v>0</v>
      </c>
      <c r="W677">
        <v>0</v>
      </c>
      <c r="X677">
        <v>2</v>
      </c>
      <c r="Y677">
        <v>0</v>
      </c>
      <c r="AA677">
        <v>1</v>
      </c>
      <c r="AB677">
        <v>8</v>
      </c>
      <c r="AC677">
        <v>3</v>
      </c>
      <c r="AD677">
        <v>0</v>
      </c>
      <c r="AE677">
        <v>9</v>
      </c>
      <c r="AF677" t="s">
        <v>138</v>
      </c>
      <c r="AG677">
        <v>0</v>
      </c>
      <c r="AH677">
        <v>3</v>
      </c>
      <c r="AI677">
        <v>1</v>
      </c>
      <c r="AJ677">
        <v>0</v>
      </c>
      <c r="AK677" t="s">
        <v>323</v>
      </c>
      <c r="AL677">
        <v>38.965823999999998</v>
      </c>
      <c r="AM677" t="s">
        <v>289</v>
      </c>
      <c r="AN677">
        <v>-121.049874</v>
      </c>
      <c r="AO677">
        <v>25</v>
      </c>
      <c r="AP677">
        <v>2500</v>
      </c>
      <c r="AQ677" t="s">
        <v>131</v>
      </c>
      <c r="AR677">
        <v>-3</v>
      </c>
      <c r="AS677">
        <v>84</v>
      </c>
      <c r="AT677">
        <v>384</v>
      </c>
      <c r="BB677" t="str">
        <f t="shared" si="256"/>
        <v>1200</v>
      </c>
      <c r="BC677">
        <v>1</v>
      </c>
      <c r="BD677" t="str">
        <f t="shared" si="257"/>
        <v xml:space="preserve">N52156  </v>
      </c>
      <c r="BE677">
        <v>1</v>
      </c>
      <c r="BG677">
        <v>0</v>
      </c>
      <c r="BH677">
        <v>0</v>
      </c>
      <c r="BI677">
        <v>0</v>
      </c>
      <c r="BJ677">
        <v>2500</v>
      </c>
      <c r="BK677">
        <v>0</v>
      </c>
      <c r="BL677" t="s">
        <v>188</v>
      </c>
      <c r="BM677">
        <v>1</v>
      </c>
      <c r="BN677">
        <v>1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 t="shared" si="269"/>
        <v>15:06:24.273</v>
      </c>
      <c r="CF677">
        <v>273449022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6</v>
      </c>
      <c r="CY677">
        <v>7</v>
      </c>
      <c r="CZ677" t="s">
        <v>133</v>
      </c>
      <c r="DA677">
        <v>275</v>
      </c>
      <c r="DB677">
        <v>0</v>
      </c>
      <c r="DC677" t="s">
        <v>134</v>
      </c>
      <c r="DD677" t="s">
        <v>135</v>
      </c>
      <c r="DG677">
        <v>3318943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"05/01/2025 15:06:24.509"</f>
        <v>05/01/2025 15:06:24.509</v>
      </c>
      <c r="C678" t="str">
        <f t="shared" si="254"/>
        <v>FFDFD3C0</v>
      </c>
      <c r="D678" t="s">
        <v>124</v>
      </c>
      <c r="E678" t="str">
        <f>"06"</f>
        <v>06</v>
      </c>
      <c r="F678">
        <v>2006</v>
      </c>
      <c r="G678" t="s">
        <v>125</v>
      </c>
      <c r="J678" t="s">
        <v>126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R678" t="s">
        <v>127</v>
      </c>
      <c r="S678" t="str">
        <f t="shared" si="268"/>
        <v>15:06:24.000</v>
      </c>
      <c r="T678" t="str">
        <f t="shared" si="268"/>
        <v>15:06:24.000</v>
      </c>
      <c r="U678" t="str">
        <f t="shared" si="255"/>
        <v>A68FCB</v>
      </c>
      <c r="V678">
        <v>0</v>
      </c>
      <c r="W678">
        <v>0</v>
      </c>
      <c r="X678">
        <v>2</v>
      </c>
      <c r="Y678">
        <v>0</v>
      </c>
      <c r="AA678">
        <v>1</v>
      </c>
      <c r="AB678">
        <v>8</v>
      </c>
      <c r="AC678">
        <v>3</v>
      </c>
      <c r="AD678">
        <v>0</v>
      </c>
      <c r="AE678">
        <v>9</v>
      </c>
      <c r="AF678" t="s">
        <v>138</v>
      </c>
      <c r="AG678">
        <v>0</v>
      </c>
      <c r="AH678">
        <v>3</v>
      </c>
      <c r="AI678">
        <v>1</v>
      </c>
      <c r="AJ678">
        <v>0</v>
      </c>
      <c r="AK678" t="s">
        <v>323</v>
      </c>
      <c r="AL678">
        <v>38.965823999999998</v>
      </c>
      <c r="AM678" t="s">
        <v>289</v>
      </c>
      <c r="AN678">
        <v>-121.049874</v>
      </c>
      <c r="AO678">
        <v>25</v>
      </c>
      <c r="AP678">
        <v>2500</v>
      </c>
      <c r="AQ678" t="s">
        <v>131</v>
      </c>
      <c r="AR678">
        <v>-3</v>
      </c>
      <c r="AS678">
        <v>84</v>
      </c>
      <c r="AT678">
        <v>384</v>
      </c>
      <c r="BB678" t="str">
        <f t="shared" si="256"/>
        <v>1200</v>
      </c>
      <c r="BC678">
        <v>1</v>
      </c>
      <c r="BD678" t="str">
        <f t="shared" si="257"/>
        <v xml:space="preserve">N52156  </v>
      </c>
      <c r="BE678">
        <v>1</v>
      </c>
      <c r="BG678">
        <v>0</v>
      </c>
      <c r="BH678">
        <v>0</v>
      </c>
      <c r="BI678">
        <v>0</v>
      </c>
      <c r="BJ678">
        <v>2500</v>
      </c>
      <c r="BK678">
        <v>0</v>
      </c>
      <c r="BL678" t="s">
        <v>188</v>
      </c>
      <c r="BM678">
        <v>1</v>
      </c>
      <c r="BN678">
        <v>1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 t="shared" si="269"/>
        <v>15:06:24.273</v>
      </c>
      <c r="CF678">
        <v>273449022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6</v>
      </c>
      <c r="CY678">
        <v>7</v>
      </c>
      <c r="CZ678" t="s">
        <v>133</v>
      </c>
      <c r="DA678">
        <v>275</v>
      </c>
      <c r="DB678">
        <v>0</v>
      </c>
      <c r="DC678" t="s">
        <v>134</v>
      </c>
      <c r="DD678" t="s">
        <v>135</v>
      </c>
      <c r="DG678">
        <v>3318943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"05/01/2025 15:06:24.520"</f>
        <v>05/01/2025 15:06:24.520</v>
      </c>
      <c r="C679" t="str">
        <f t="shared" si="254"/>
        <v>FFDFD3C0</v>
      </c>
      <c r="D679" t="s">
        <v>136</v>
      </c>
      <c r="E679" t="str">
        <f>"20"</f>
        <v>20</v>
      </c>
      <c r="H679">
        <v>400</v>
      </c>
      <c r="I679" t="s">
        <v>137</v>
      </c>
      <c r="J679" t="s">
        <v>138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R679" t="s">
        <v>127</v>
      </c>
      <c r="S679" t="str">
        <f t="shared" si="268"/>
        <v>15:06:24.000</v>
      </c>
      <c r="T679" t="str">
        <f t="shared" si="268"/>
        <v>15:06:24.000</v>
      </c>
      <c r="U679" t="str">
        <f t="shared" si="255"/>
        <v>A68FCB</v>
      </c>
      <c r="V679">
        <v>0</v>
      </c>
      <c r="W679">
        <v>0</v>
      </c>
      <c r="X679">
        <v>2</v>
      </c>
      <c r="Y679">
        <v>0</v>
      </c>
      <c r="AA679">
        <v>1</v>
      </c>
      <c r="AB679">
        <v>8</v>
      </c>
      <c r="AC679">
        <v>3</v>
      </c>
      <c r="AD679">
        <v>0</v>
      </c>
      <c r="AE679">
        <v>9</v>
      </c>
      <c r="AF679" t="s">
        <v>138</v>
      </c>
      <c r="AG679">
        <v>0</v>
      </c>
      <c r="AH679">
        <v>3</v>
      </c>
      <c r="AI679">
        <v>1</v>
      </c>
      <c r="AJ679">
        <v>0</v>
      </c>
      <c r="AK679" t="s">
        <v>323</v>
      </c>
      <c r="AL679">
        <v>38.965823999999998</v>
      </c>
      <c r="AM679" t="s">
        <v>289</v>
      </c>
      <c r="AN679">
        <v>-121.049874</v>
      </c>
      <c r="AO679">
        <v>25</v>
      </c>
      <c r="AP679">
        <v>2500</v>
      </c>
      <c r="AQ679" t="s">
        <v>131</v>
      </c>
      <c r="AR679">
        <v>-3</v>
      </c>
      <c r="AS679">
        <v>84</v>
      </c>
      <c r="AT679">
        <v>384</v>
      </c>
      <c r="BB679" t="str">
        <f t="shared" si="256"/>
        <v>1200</v>
      </c>
      <c r="BC679">
        <v>1</v>
      </c>
      <c r="BD679" t="str">
        <f t="shared" si="257"/>
        <v xml:space="preserve">N52156  </v>
      </c>
      <c r="BE679">
        <v>1</v>
      </c>
      <c r="BG679">
        <v>0</v>
      </c>
      <c r="BH679">
        <v>0</v>
      </c>
      <c r="BI679">
        <v>0</v>
      </c>
      <c r="BJ679">
        <v>2500</v>
      </c>
      <c r="BK679">
        <v>0</v>
      </c>
      <c r="BL679" t="s">
        <v>188</v>
      </c>
      <c r="BM679">
        <v>1</v>
      </c>
      <c r="BN679">
        <v>1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 t="shared" si="269"/>
        <v>15:06:24.273</v>
      </c>
      <c r="CF679">
        <v>273449022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6</v>
      </c>
      <c r="CY679">
        <v>7</v>
      </c>
      <c r="CZ679" t="s">
        <v>133</v>
      </c>
      <c r="DA679">
        <v>275</v>
      </c>
      <c r="DB679">
        <v>0</v>
      </c>
      <c r="DC679" t="s">
        <v>134</v>
      </c>
      <c r="DD679" t="s">
        <v>135</v>
      </c>
      <c r="DG679">
        <v>3318943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"05/01/2025 15:06:25.622"</f>
        <v>05/01/2025 15:06:25.622</v>
      </c>
      <c r="C680" t="str">
        <f t="shared" si="254"/>
        <v>FFDFD3C0</v>
      </c>
      <c r="D680" t="s">
        <v>136</v>
      </c>
      <c r="E680" t="str">
        <f>"20"</f>
        <v>20</v>
      </c>
      <c r="H680">
        <v>400</v>
      </c>
      <c r="I680" t="s">
        <v>137</v>
      </c>
      <c r="J680" t="s">
        <v>138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R680" t="s">
        <v>127</v>
      </c>
      <c r="S680" t="str">
        <f t="shared" ref="S680:T685" si="270">"15:06:25.000"</f>
        <v>15:06:25.000</v>
      </c>
      <c r="T680" t="str">
        <f t="shared" si="270"/>
        <v>15:06:25.000</v>
      </c>
      <c r="U680" t="str">
        <f t="shared" si="255"/>
        <v>A68FCB</v>
      </c>
      <c r="V680">
        <v>0</v>
      </c>
      <c r="W680">
        <v>0</v>
      </c>
      <c r="X680">
        <v>2</v>
      </c>
      <c r="Y680">
        <v>0</v>
      </c>
      <c r="AA680">
        <v>1</v>
      </c>
      <c r="AB680">
        <v>8</v>
      </c>
      <c r="AC680">
        <v>3</v>
      </c>
      <c r="AD680">
        <v>0</v>
      </c>
      <c r="AE680">
        <v>9</v>
      </c>
      <c r="AF680" t="s">
        <v>138</v>
      </c>
      <c r="AG680">
        <v>0</v>
      </c>
      <c r="AH680">
        <v>3</v>
      </c>
      <c r="AI680">
        <v>1</v>
      </c>
      <c r="AJ680">
        <v>0</v>
      </c>
      <c r="AK680" t="s">
        <v>324</v>
      </c>
      <c r="AL680">
        <v>38.966209999999997</v>
      </c>
      <c r="AM680" t="s">
        <v>289</v>
      </c>
      <c r="AN680">
        <v>-121.049874</v>
      </c>
      <c r="AO680">
        <v>25</v>
      </c>
      <c r="AP680">
        <v>2500</v>
      </c>
      <c r="AQ680" t="s">
        <v>131</v>
      </c>
      <c r="AR680">
        <v>-1</v>
      </c>
      <c r="AS680">
        <v>84</v>
      </c>
      <c r="AT680">
        <v>512</v>
      </c>
      <c r="BB680" t="str">
        <f t="shared" si="256"/>
        <v>1200</v>
      </c>
      <c r="BC680">
        <v>1</v>
      </c>
      <c r="BD680" t="str">
        <f t="shared" si="257"/>
        <v xml:space="preserve">N52156  </v>
      </c>
      <c r="BE680">
        <v>1</v>
      </c>
      <c r="BG680">
        <v>0</v>
      </c>
      <c r="BH680">
        <v>0</v>
      </c>
      <c r="BI680">
        <v>0</v>
      </c>
      <c r="BJ680">
        <v>2500</v>
      </c>
      <c r="BK680">
        <v>0</v>
      </c>
      <c r="BL680" t="s">
        <v>188</v>
      </c>
      <c r="BM680">
        <v>1</v>
      </c>
      <c r="BN680">
        <v>1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 t="shared" ref="CE680:CE685" si="271">"15:06:25.412"</f>
        <v>15:06:25.412</v>
      </c>
      <c r="CF680">
        <v>412199421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133</v>
      </c>
      <c r="DA680">
        <v>275</v>
      </c>
      <c r="DB680">
        <v>0</v>
      </c>
      <c r="DC680" t="s">
        <v>134</v>
      </c>
      <c r="DD680" t="s">
        <v>135</v>
      </c>
      <c r="DG680">
        <v>3318958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"05/01/2025 15:06:25.650"</f>
        <v>05/01/2025 15:06:25.650</v>
      </c>
      <c r="C681" t="str">
        <f t="shared" si="254"/>
        <v>FFDFD3C0</v>
      </c>
      <c r="D681" t="s">
        <v>140</v>
      </c>
      <c r="E681" t="str">
        <f>"13"</f>
        <v>13</v>
      </c>
      <c r="F681">
        <v>1019</v>
      </c>
      <c r="G681" t="s">
        <v>141</v>
      </c>
      <c r="J681" t="s">
        <v>142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R681" t="s">
        <v>127</v>
      </c>
      <c r="S681" t="str">
        <f t="shared" si="270"/>
        <v>15:06:25.000</v>
      </c>
      <c r="T681" t="str">
        <f t="shared" si="270"/>
        <v>15:06:25.000</v>
      </c>
      <c r="U681" t="str">
        <f t="shared" si="255"/>
        <v>A68FCB</v>
      </c>
      <c r="V681">
        <v>0</v>
      </c>
      <c r="W681">
        <v>0</v>
      </c>
      <c r="X681">
        <v>2</v>
      </c>
      <c r="Y681">
        <v>0</v>
      </c>
      <c r="AA681">
        <v>1</v>
      </c>
      <c r="AB681">
        <v>8</v>
      </c>
      <c r="AC681">
        <v>3</v>
      </c>
      <c r="AD681">
        <v>0</v>
      </c>
      <c r="AE681">
        <v>9</v>
      </c>
      <c r="AF681" t="s">
        <v>138</v>
      </c>
      <c r="AG681">
        <v>0</v>
      </c>
      <c r="AH681">
        <v>3</v>
      </c>
      <c r="AI681">
        <v>1</v>
      </c>
      <c r="AJ681">
        <v>0</v>
      </c>
      <c r="AK681" t="s">
        <v>324</v>
      </c>
      <c r="AL681">
        <v>38.966209999999997</v>
      </c>
      <c r="AM681" t="s">
        <v>289</v>
      </c>
      <c r="AN681">
        <v>-121.049874</v>
      </c>
      <c r="AO681">
        <v>25</v>
      </c>
      <c r="AP681">
        <v>2500</v>
      </c>
      <c r="AQ681" t="s">
        <v>131</v>
      </c>
      <c r="AR681">
        <v>-1</v>
      </c>
      <c r="AS681">
        <v>84</v>
      </c>
      <c r="AT681">
        <v>512</v>
      </c>
      <c r="BB681" t="str">
        <f t="shared" si="256"/>
        <v>1200</v>
      </c>
      <c r="BC681">
        <v>1</v>
      </c>
      <c r="BD681" t="str">
        <f t="shared" si="257"/>
        <v xml:space="preserve">N52156  </v>
      </c>
      <c r="BE681">
        <v>1</v>
      </c>
      <c r="BG681">
        <v>0</v>
      </c>
      <c r="BH681">
        <v>0</v>
      </c>
      <c r="BI681">
        <v>0</v>
      </c>
      <c r="BJ681">
        <v>2500</v>
      </c>
      <c r="BK681">
        <v>0</v>
      </c>
      <c r="BL681" t="s">
        <v>188</v>
      </c>
      <c r="BM681">
        <v>1</v>
      </c>
      <c r="BN681">
        <v>1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 t="shared" si="271"/>
        <v>15:06:25.412</v>
      </c>
      <c r="CF681">
        <v>412199421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133</v>
      </c>
      <c r="DA681">
        <v>275</v>
      </c>
      <c r="DB681">
        <v>0</v>
      </c>
      <c r="DC681" t="s">
        <v>134</v>
      </c>
      <c r="DD681" t="s">
        <v>135</v>
      </c>
      <c r="DG681">
        <v>3318958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"05/01/2025 15:06:25.661"</f>
        <v>05/01/2025 15:06:25.661</v>
      </c>
      <c r="C682" t="str">
        <f t="shared" si="254"/>
        <v>FFDFD3C0</v>
      </c>
      <c r="D682" t="s">
        <v>124</v>
      </c>
      <c r="E682" t="str">
        <f>"06"</f>
        <v>06</v>
      </c>
      <c r="F682">
        <v>2006</v>
      </c>
      <c r="G682" t="s">
        <v>125</v>
      </c>
      <c r="J682" t="s">
        <v>126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R682" t="s">
        <v>127</v>
      </c>
      <c r="S682" t="str">
        <f t="shared" si="270"/>
        <v>15:06:25.000</v>
      </c>
      <c r="T682" t="str">
        <f t="shared" si="270"/>
        <v>15:06:25.000</v>
      </c>
      <c r="U682" t="str">
        <f t="shared" si="255"/>
        <v>A68FCB</v>
      </c>
      <c r="V682">
        <v>0</v>
      </c>
      <c r="W682">
        <v>0</v>
      </c>
      <c r="X682">
        <v>2</v>
      </c>
      <c r="Y682">
        <v>0</v>
      </c>
      <c r="AA682">
        <v>1</v>
      </c>
      <c r="AB682">
        <v>8</v>
      </c>
      <c r="AC682">
        <v>3</v>
      </c>
      <c r="AD682">
        <v>0</v>
      </c>
      <c r="AE682">
        <v>9</v>
      </c>
      <c r="AF682" t="s">
        <v>138</v>
      </c>
      <c r="AG682">
        <v>0</v>
      </c>
      <c r="AH682">
        <v>3</v>
      </c>
      <c r="AI682">
        <v>1</v>
      </c>
      <c r="AJ682">
        <v>0</v>
      </c>
      <c r="AK682" t="s">
        <v>324</v>
      </c>
      <c r="AL682">
        <v>38.966209999999997</v>
      </c>
      <c r="AM682" t="s">
        <v>289</v>
      </c>
      <c r="AN682">
        <v>-121.049874</v>
      </c>
      <c r="AO682">
        <v>25</v>
      </c>
      <c r="AP682">
        <v>2500</v>
      </c>
      <c r="AQ682" t="s">
        <v>131</v>
      </c>
      <c r="AR682">
        <v>-1</v>
      </c>
      <c r="AS682">
        <v>84</v>
      </c>
      <c r="AT682">
        <v>512</v>
      </c>
      <c r="BB682" t="str">
        <f t="shared" si="256"/>
        <v>1200</v>
      </c>
      <c r="BC682">
        <v>1</v>
      </c>
      <c r="BD682" t="str">
        <f t="shared" si="257"/>
        <v xml:space="preserve">N52156  </v>
      </c>
      <c r="BE682">
        <v>1</v>
      </c>
      <c r="BG682">
        <v>0</v>
      </c>
      <c r="BH682">
        <v>0</v>
      </c>
      <c r="BI682">
        <v>0</v>
      </c>
      <c r="BJ682">
        <v>2500</v>
      </c>
      <c r="BK682">
        <v>0</v>
      </c>
      <c r="BL682" t="s">
        <v>188</v>
      </c>
      <c r="BM682">
        <v>1</v>
      </c>
      <c r="BN682">
        <v>1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 t="shared" si="271"/>
        <v>15:06:25.412</v>
      </c>
      <c r="CF682">
        <v>412199421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133</v>
      </c>
      <c r="DA682">
        <v>275</v>
      </c>
      <c r="DB682">
        <v>0</v>
      </c>
      <c r="DC682" t="s">
        <v>134</v>
      </c>
      <c r="DD682" t="s">
        <v>135</v>
      </c>
      <c r="DG682">
        <v>3318958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"05/01/2025 15:06:25.662"</f>
        <v>05/01/2025 15:06:25.662</v>
      </c>
      <c r="C683" t="str">
        <f t="shared" si="254"/>
        <v>FFDFD3C0</v>
      </c>
      <c r="D683" t="s">
        <v>145</v>
      </c>
      <c r="E683" t="str">
        <f>"09"</f>
        <v>09</v>
      </c>
      <c r="H683">
        <v>51</v>
      </c>
      <c r="I683" t="s">
        <v>147</v>
      </c>
      <c r="J683" t="s">
        <v>138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R683" t="s">
        <v>127</v>
      </c>
      <c r="S683" t="str">
        <f t="shared" si="270"/>
        <v>15:06:25.000</v>
      </c>
      <c r="T683" t="str">
        <f t="shared" si="270"/>
        <v>15:06:25.000</v>
      </c>
      <c r="U683" t="str">
        <f t="shared" si="255"/>
        <v>A68FCB</v>
      </c>
      <c r="V683">
        <v>0</v>
      </c>
      <c r="W683">
        <v>0</v>
      </c>
      <c r="X683">
        <v>2</v>
      </c>
      <c r="Y683">
        <v>0</v>
      </c>
      <c r="AA683">
        <v>1</v>
      </c>
      <c r="AB683">
        <v>8</v>
      </c>
      <c r="AC683">
        <v>3</v>
      </c>
      <c r="AD683">
        <v>0</v>
      </c>
      <c r="AE683">
        <v>9</v>
      </c>
      <c r="AF683" t="s">
        <v>138</v>
      </c>
      <c r="AG683">
        <v>0</v>
      </c>
      <c r="AH683">
        <v>3</v>
      </c>
      <c r="AI683">
        <v>1</v>
      </c>
      <c r="AJ683">
        <v>0</v>
      </c>
      <c r="AK683" t="s">
        <v>324</v>
      </c>
      <c r="AL683">
        <v>38.966209999999997</v>
      </c>
      <c r="AM683" t="s">
        <v>289</v>
      </c>
      <c r="AN683">
        <v>-121.049874</v>
      </c>
      <c r="AO683">
        <v>25</v>
      </c>
      <c r="AP683">
        <v>2500</v>
      </c>
      <c r="AQ683" t="s">
        <v>131</v>
      </c>
      <c r="AR683">
        <v>-1</v>
      </c>
      <c r="AS683">
        <v>84</v>
      </c>
      <c r="AT683">
        <v>512</v>
      </c>
      <c r="BB683" t="str">
        <f t="shared" si="256"/>
        <v>1200</v>
      </c>
      <c r="BC683">
        <v>1</v>
      </c>
      <c r="BD683" t="str">
        <f t="shared" si="257"/>
        <v xml:space="preserve">N52156  </v>
      </c>
      <c r="BE683">
        <v>1</v>
      </c>
      <c r="BG683">
        <v>0</v>
      </c>
      <c r="BH683">
        <v>0</v>
      </c>
      <c r="BI683">
        <v>0</v>
      </c>
      <c r="BJ683">
        <v>2500</v>
      </c>
      <c r="BK683">
        <v>0</v>
      </c>
      <c r="BL683" t="s">
        <v>188</v>
      </c>
      <c r="BM683">
        <v>1</v>
      </c>
      <c r="BN683">
        <v>1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 t="shared" si="271"/>
        <v>15:06:25.412</v>
      </c>
      <c r="CF683">
        <v>412199421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133</v>
      </c>
      <c r="DA683">
        <v>275</v>
      </c>
      <c r="DB683">
        <v>0</v>
      </c>
      <c r="DC683" t="s">
        <v>134</v>
      </c>
      <c r="DD683" t="s">
        <v>135</v>
      </c>
      <c r="DG683">
        <v>3318958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"05/01/2025 15:06:25.661"</f>
        <v>05/01/2025 15:06:25.661</v>
      </c>
      <c r="C684" t="str">
        <f t="shared" si="254"/>
        <v>FFDFD3C0</v>
      </c>
      <c r="D684" t="s">
        <v>145</v>
      </c>
      <c r="E684" t="str">
        <f>"05"</f>
        <v>05</v>
      </c>
      <c r="H684">
        <v>47</v>
      </c>
      <c r="I684" t="s">
        <v>146</v>
      </c>
      <c r="J684" t="s">
        <v>138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R684" t="s">
        <v>127</v>
      </c>
      <c r="S684" t="str">
        <f t="shared" si="270"/>
        <v>15:06:25.000</v>
      </c>
      <c r="T684" t="str">
        <f t="shared" si="270"/>
        <v>15:06:25.000</v>
      </c>
      <c r="U684" t="str">
        <f t="shared" si="255"/>
        <v>A68FCB</v>
      </c>
      <c r="V684">
        <v>0</v>
      </c>
      <c r="W684">
        <v>0</v>
      </c>
      <c r="X684">
        <v>2</v>
      </c>
      <c r="Y684">
        <v>0</v>
      </c>
      <c r="AA684">
        <v>1</v>
      </c>
      <c r="AB684">
        <v>8</v>
      </c>
      <c r="AC684">
        <v>3</v>
      </c>
      <c r="AD684">
        <v>0</v>
      </c>
      <c r="AE684">
        <v>9</v>
      </c>
      <c r="AF684" t="s">
        <v>138</v>
      </c>
      <c r="AG684">
        <v>0</v>
      </c>
      <c r="AH684">
        <v>3</v>
      </c>
      <c r="AI684">
        <v>1</v>
      </c>
      <c r="AJ684">
        <v>0</v>
      </c>
      <c r="AK684" t="s">
        <v>324</v>
      </c>
      <c r="AL684">
        <v>38.966209999999997</v>
      </c>
      <c r="AM684" t="s">
        <v>289</v>
      </c>
      <c r="AN684">
        <v>-121.049874</v>
      </c>
      <c r="AO684">
        <v>25</v>
      </c>
      <c r="AP684">
        <v>2500</v>
      </c>
      <c r="AQ684" t="s">
        <v>131</v>
      </c>
      <c r="AR684">
        <v>-1</v>
      </c>
      <c r="AS684">
        <v>84</v>
      </c>
      <c r="AT684">
        <v>512</v>
      </c>
      <c r="BB684" t="str">
        <f t="shared" si="256"/>
        <v>1200</v>
      </c>
      <c r="BC684">
        <v>1</v>
      </c>
      <c r="BD684" t="str">
        <f t="shared" si="257"/>
        <v xml:space="preserve">N52156  </v>
      </c>
      <c r="BE684">
        <v>1</v>
      </c>
      <c r="BG684">
        <v>0</v>
      </c>
      <c r="BH684">
        <v>0</v>
      </c>
      <c r="BI684">
        <v>0</v>
      </c>
      <c r="BJ684">
        <v>2500</v>
      </c>
      <c r="BK684">
        <v>0</v>
      </c>
      <c r="BL684" t="s">
        <v>188</v>
      </c>
      <c r="BM684">
        <v>1</v>
      </c>
      <c r="BN684">
        <v>1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 t="shared" si="271"/>
        <v>15:06:25.412</v>
      </c>
      <c r="CF684">
        <v>412199421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133</v>
      </c>
      <c r="DA684">
        <v>275</v>
      </c>
      <c r="DB684">
        <v>0</v>
      </c>
      <c r="DC684" t="s">
        <v>134</v>
      </c>
      <c r="DD684" t="s">
        <v>135</v>
      </c>
      <c r="DG684">
        <v>3318958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"05/01/2025 15:06:25.661"</f>
        <v>05/01/2025 15:06:25.661</v>
      </c>
      <c r="C685" t="str">
        <f t="shared" si="254"/>
        <v>FFDFD3C0</v>
      </c>
      <c r="D685" t="s">
        <v>143</v>
      </c>
      <c r="E685" t="str">
        <f>"05"</f>
        <v>05</v>
      </c>
      <c r="H685">
        <v>172</v>
      </c>
      <c r="I685" t="s">
        <v>141</v>
      </c>
      <c r="J685" t="s">
        <v>144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R685" t="s">
        <v>127</v>
      </c>
      <c r="S685" t="str">
        <f t="shared" si="270"/>
        <v>15:06:25.000</v>
      </c>
      <c r="T685" t="str">
        <f t="shared" si="270"/>
        <v>15:06:25.000</v>
      </c>
      <c r="U685" t="str">
        <f t="shared" si="255"/>
        <v>A68FCB</v>
      </c>
      <c r="V685">
        <v>0</v>
      </c>
      <c r="W685">
        <v>0</v>
      </c>
      <c r="X685">
        <v>2</v>
      </c>
      <c r="Y685">
        <v>0</v>
      </c>
      <c r="AA685">
        <v>1</v>
      </c>
      <c r="AB685">
        <v>8</v>
      </c>
      <c r="AC685">
        <v>3</v>
      </c>
      <c r="AD685">
        <v>0</v>
      </c>
      <c r="AE685">
        <v>9</v>
      </c>
      <c r="AF685" t="s">
        <v>138</v>
      </c>
      <c r="AG685">
        <v>0</v>
      </c>
      <c r="AH685">
        <v>3</v>
      </c>
      <c r="AI685">
        <v>1</v>
      </c>
      <c r="AJ685">
        <v>0</v>
      </c>
      <c r="AK685" t="s">
        <v>324</v>
      </c>
      <c r="AL685">
        <v>38.966209999999997</v>
      </c>
      <c r="AM685" t="s">
        <v>289</v>
      </c>
      <c r="AN685">
        <v>-121.049874</v>
      </c>
      <c r="AO685">
        <v>25</v>
      </c>
      <c r="AP685">
        <v>2500</v>
      </c>
      <c r="AQ685" t="s">
        <v>131</v>
      </c>
      <c r="AR685">
        <v>-1</v>
      </c>
      <c r="AS685">
        <v>84</v>
      </c>
      <c r="AT685">
        <v>512</v>
      </c>
      <c r="BB685" t="str">
        <f t="shared" si="256"/>
        <v>1200</v>
      </c>
      <c r="BC685">
        <v>1</v>
      </c>
      <c r="BD685" t="str">
        <f t="shared" si="257"/>
        <v xml:space="preserve">N52156  </v>
      </c>
      <c r="BE685">
        <v>1</v>
      </c>
      <c r="BG685">
        <v>0</v>
      </c>
      <c r="BH685">
        <v>0</v>
      </c>
      <c r="BI685">
        <v>0</v>
      </c>
      <c r="BJ685">
        <v>2500</v>
      </c>
      <c r="BK685">
        <v>0</v>
      </c>
      <c r="BL685" t="s">
        <v>188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 t="shared" si="271"/>
        <v>15:06:25.412</v>
      </c>
      <c r="CF685">
        <v>412199421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133</v>
      </c>
      <c r="DA685">
        <v>275</v>
      </c>
      <c r="DB685">
        <v>0</v>
      </c>
      <c r="DC685" t="s">
        <v>134</v>
      </c>
      <c r="DD685" t="s">
        <v>135</v>
      </c>
      <c r="DG685">
        <v>3318958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"05/01/2025 15:06:27.003"</f>
        <v>05/01/2025 15:06:27.003</v>
      </c>
      <c r="C686" t="str">
        <f t="shared" si="254"/>
        <v>FFDFD3C0</v>
      </c>
      <c r="D686" t="s">
        <v>140</v>
      </c>
      <c r="E686" t="str">
        <f>"13"</f>
        <v>13</v>
      </c>
      <c r="F686">
        <v>1019</v>
      </c>
      <c r="G686" t="s">
        <v>141</v>
      </c>
      <c r="J686" t="s">
        <v>142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R686" t="s">
        <v>127</v>
      </c>
      <c r="S686" t="str">
        <f t="shared" ref="S686:T691" si="272">"15:06:26.000"</f>
        <v>15:06:26.000</v>
      </c>
      <c r="T686" t="str">
        <f t="shared" si="272"/>
        <v>15:06:26.000</v>
      </c>
      <c r="U686" t="str">
        <f t="shared" si="255"/>
        <v>A68FCB</v>
      </c>
      <c r="V686">
        <v>0</v>
      </c>
      <c r="W686">
        <v>0</v>
      </c>
      <c r="X686">
        <v>2</v>
      </c>
      <c r="Y686">
        <v>0</v>
      </c>
      <c r="AA686">
        <v>1</v>
      </c>
      <c r="AB686">
        <v>8</v>
      </c>
      <c r="AC686">
        <v>3</v>
      </c>
      <c r="AD686">
        <v>0</v>
      </c>
      <c r="AE686">
        <v>9</v>
      </c>
      <c r="AF686" t="s">
        <v>138</v>
      </c>
      <c r="AG686">
        <v>0</v>
      </c>
      <c r="AH686">
        <v>3</v>
      </c>
      <c r="AI686">
        <v>1</v>
      </c>
      <c r="AJ686">
        <v>0</v>
      </c>
      <c r="AK686" t="s">
        <v>325</v>
      </c>
      <c r="AL686">
        <v>38.966703000000003</v>
      </c>
      <c r="AM686" t="s">
        <v>320</v>
      </c>
      <c r="AN686">
        <v>-121.049831</v>
      </c>
      <c r="AO686">
        <v>25</v>
      </c>
      <c r="AP686">
        <v>2600</v>
      </c>
      <c r="AQ686" t="s">
        <v>131</v>
      </c>
      <c r="AR686">
        <v>-1</v>
      </c>
      <c r="AS686">
        <v>84</v>
      </c>
      <c r="AT686">
        <v>576</v>
      </c>
      <c r="BB686" t="str">
        <f t="shared" si="256"/>
        <v>1200</v>
      </c>
      <c r="BC686">
        <v>1</v>
      </c>
      <c r="BD686" t="str">
        <f t="shared" si="257"/>
        <v xml:space="preserve">N52156  </v>
      </c>
      <c r="BE686">
        <v>1</v>
      </c>
      <c r="BG686">
        <v>0</v>
      </c>
      <c r="BH686">
        <v>0</v>
      </c>
      <c r="BI686">
        <v>0</v>
      </c>
      <c r="BJ686">
        <v>2500</v>
      </c>
      <c r="BK686">
        <v>-100</v>
      </c>
      <c r="BL686" t="s">
        <v>188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 t="shared" ref="CE686:CE691" si="273">"15:06:26.775"</f>
        <v>15:06:26.775</v>
      </c>
      <c r="CF686">
        <v>775200369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133</v>
      </c>
      <c r="DA686">
        <v>275</v>
      </c>
      <c r="DB686">
        <v>0</v>
      </c>
      <c r="DC686" t="s">
        <v>134</v>
      </c>
      <c r="DD686" t="s">
        <v>135</v>
      </c>
      <c r="DG686">
        <v>3318974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"05/01/2025 15:06:27.013"</f>
        <v>05/01/2025 15:06:27.013</v>
      </c>
      <c r="C687" t="str">
        <f t="shared" si="254"/>
        <v>FFDFD3C0</v>
      </c>
      <c r="D687" t="s">
        <v>124</v>
      </c>
      <c r="E687" t="str">
        <f>"06"</f>
        <v>06</v>
      </c>
      <c r="F687">
        <v>2006</v>
      </c>
      <c r="G687" t="s">
        <v>125</v>
      </c>
      <c r="J687" t="s">
        <v>126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R687" t="s">
        <v>127</v>
      </c>
      <c r="S687" t="str">
        <f t="shared" si="272"/>
        <v>15:06:26.000</v>
      </c>
      <c r="T687" t="str">
        <f t="shared" si="272"/>
        <v>15:06:26.000</v>
      </c>
      <c r="U687" t="str">
        <f t="shared" si="255"/>
        <v>A68FCB</v>
      </c>
      <c r="V687">
        <v>0</v>
      </c>
      <c r="W687">
        <v>0</v>
      </c>
      <c r="X687">
        <v>2</v>
      </c>
      <c r="Y687">
        <v>0</v>
      </c>
      <c r="AA687">
        <v>1</v>
      </c>
      <c r="AB687">
        <v>8</v>
      </c>
      <c r="AC687">
        <v>3</v>
      </c>
      <c r="AD687">
        <v>0</v>
      </c>
      <c r="AE687">
        <v>9</v>
      </c>
      <c r="AF687" t="s">
        <v>138</v>
      </c>
      <c r="AG687">
        <v>0</v>
      </c>
      <c r="AH687">
        <v>3</v>
      </c>
      <c r="AI687">
        <v>1</v>
      </c>
      <c r="AJ687">
        <v>0</v>
      </c>
      <c r="AK687" t="s">
        <v>325</v>
      </c>
      <c r="AL687">
        <v>38.966703000000003</v>
      </c>
      <c r="AM687" t="s">
        <v>320</v>
      </c>
      <c r="AN687">
        <v>-121.049831</v>
      </c>
      <c r="AO687">
        <v>25</v>
      </c>
      <c r="AP687">
        <v>2600</v>
      </c>
      <c r="AQ687" t="s">
        <v>131</v>
      </c>
      <c r="AR687">
        <v>-1</v>
      </c>
      <c r="AS687">
        <v>84</v>
      </c>
      <c r="AT687">
        <v>576</v>
      </c>
      <c r="BB687" t="str">
        <f t="shared" si="256"/>
        <v>1200</v>
      </c>
      <c r="BC687">
        <v>1</v>
      </c>
      <c r="BD687" t="str">
        <f t="shared" si="257"/>
        <v xml:space="preserve">N52156  </v>
      </c>
      <c r="BE687">
        <v>1</v>
      </c>
      <c r="BG687">
        <v>0</v>
      </c>
      <c r="BH687">
        <v>0</v>
      </c>
      <c r="BI687">
        <v>0</v>
      </c>
      <c r="BJ687">
        <v>2500</v>
      </c>
      <c r="BK687">
        <v>-100</v>
      </c>
      <c r="BL687" t="s">
        <v>188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 t="shared" si="273"/>
        <v>15:06:26.775</v>
      </c>
      <c r="CF687">
        <v>775200369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133</v>
      </c>
      <c r="DA687">
        <v>275</v>
      </c>
      <c r="DB687">
        <v>0</v>
      </c>
      <c r="DC687" t="s">
        <v>134</v>
      </c>
      <c r="DD687" t="s">
        <v>135</v>
      </c>
      <c r="DG687">
        <v>3318974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"05/01/2025 15:06:27.013"</f>
        <v>05/01/2025 15:06:27.013</v>
      </c>
      <c r="C688" t="str">
        <f t="shared" si="254"/>
        <v>FFDFD3C0</v>
      </c>
      <c r="D688" t="s">
        <v>145</v>
      </c>
      <c r="E688" t="str">
        <f>"05"</f>
        <v>05</v>
      </c>
      <c r="H688">
        <v>47</v>
      </c>
      <c r="I688" t="s">
        <v>146</v>
      </c>
      <c r="J688" t="s">
        <v>138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R688" t="s">
        <v>127</v>
      </c>
      <c r="S688" t="str">
        <f t="shared" si="272"/>
        <v>15:06:26.000</v>
      </c>
      <c r="T688" t="str">
        <f t="shared" si="272"/>
        <v>15:06:26.000</v>
      </c>
      <c r="U688" t="str">
        <f t="shared" si="255"/>
        <v>A68FCB</v>
      </c>
      <c r="V688">
        <v>0</v>
      </c>
      <c r="W688">
        <v>0</v>
      </c>
      <c r="X688">
        <v>2</v>
      </c>
      <c r="Y688">
        <v>0</v>
      </c>
      <c r="AA688">
        <v>1</v>
      </c>
      <c r="AB688">
        <v>8</v>
      </c>
      <c r="AC688">
        <v>3</v>
      </c>
      <c r="AD688">
        <v>0</v>
      </c>
      <c r="AE688">
        <v>9</v>
      </c>
      <c r="AF688" t="s">
        <v>138</v>
      </c>
      <c r="AG688">
        <v>0</v>
      </c>
      <c r="AH688">
        <v>3</v>
      </c>
      <c r="AI688">
        <v>1</v>
      </c>
      <c r="AJ688">
        <v>0</v>
      </c>
      <c r="AK688" t="s">
        <v>325</v>
      </c>
      <c r="AL688">
        <v>38.966703000000003</v>
      </c>
      <c r="AM688" t="s">
        <v>320</v>
      </c>
      <c r="AN688">
        <v>-121.049831</v>
      </c>
      <c r="AO688">
        <v>25</v>
      </c>
      <c r="AP688">
        <v>2600</v>
      </c>
      <c r="AQ688" t="s">
        <v>131</v>
      </c>
      <c r="AR688">
        <v>-1</v>
      </c>
      <c r="AS688">
        <v>84</v>
      </c>
      <c r="AT688">
        <v>576</v>
      </c>
      <c r="BB688" t="str">
        <f t="shared" si="256"/>
        <v>1200</v>
      </c>
      <c r="BC688">
        <v>1</v>
      </c>
      <c r="BD688" t="str">
        <f t="shared" si="257"/>
        <v xml:space="preserve">N52156  </v>
      </c>
      <c r="BE688">
        <v>1</v>
      </c>
      <c r="BG688">
        <v>0</v>
      </c>
      <c r="BH688">
        <v>0</v>
      </c>
      <c r="BI688">
        <v>0</v>
      </c>
      <c r="BJ688">
        <v>2500</v>
      </c>
      <c r="BK688">
        <v>-100</v>
      </c>
      <c r="BL688" t="s">
        <v>188</v>
      </c>
      <c r="BM688">
        <v>1</v>
      </c>
      <c r="BN688">
        <v>1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 t="shared" si="273"/>
        <v>15:06:26.775</v>
      </c>
      <c r="CF688">
        <v>775200369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133</v>
      </c>
      <c r="DA688">
        <v>275</v>
      </c>
      <c r="DB688">
        <v>0</v>
      </c>
      <c r="DC688" t="s">
        <v>134</v>
      </c>
      <c r="DD688" t="s">
        <v>135</v>
      </c>
      <c r="DG688">
        <v>3318974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"05/01/2025 15:06:27.013"</f>
        <v>05/01/2025 15:06:27.013</v>
      </c>
      <c r="C689" t="str">
        <f t="shared" si="254"/>
        <v>FFDFD3C0</v>
      </c>
      <c r="D689" t="s">
        <v>143</v>
      </c>
      <c r="E689" t="str">
        <f>"05"</f>
        <v>05</v>
      </c>
      <c r="H689">
        <v>172</v>
      </c>
      <c r="I689" t="s">
        <v>141</v>
      </c>
      <c r="J689" t="s">
        <v>144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R689" t="s">
        <v>127</v>
      </c>
      <c r="S689" t="str">
        <f t="shared" si="272"/>
        <v>15:06:26.000</v>
      </c>
      <c r="T689" t="str">
        <f t="shared" si="272"/>
        <v>15:06:26.000</v>
      </c>
      <c r="U689" t="str">
        <f t="shared" si="255"/>
        <v>A68FCB</v>
      </c>
      <c r="V689">
        <v>0</v>
      </c>
      <c r="W689">
        <v>0</v>
      </c>
      <c r="X689">
        <v>2</v>
      </c>
      <c r="Y689">
        <v>0</v>
      </c>
      <c r="AA689">
        <v>1</v>
      </c>
      <c r="AB689">
        <v>8</v>
      </c>
      <c r="AC689">
        <v>3</v>
      </c>
      <c r="AD689">
        <v>0</v>
      </c>
      <c r="AE689">
        <v>9</v>
      </c>
      <c r="AF689" t="s">
        <v>138</v>
      </c>
      <c r="AG689">
        <v>0</v>
      </c>
      <c r="AH689">
        <v>3</v>
      </c>
      <c r="AI689">
        <v>1</v>
      </c>
      <c r="AJ689">
        <v>0</v>
      </c>
      <c r="AK689" t="s">
        <v>325</v>
      </c>
      <c r="AL689">
        <v>38.966703000000003</v>
      </c>
      <c r="AM689" t="s">
        <v>320</v>
      </c>
      <c r="AN689">
        <v>-121.049831</v>
      </c>
      <c r="AO689">
        <v>25</v>
      </c>
      <c r="AP689">
        <v>2600</v>
      </c>
      <c r="AQ689" t="s">
        <v>131</v>
      </c>
      <c r="AR689">
        <v>-1</v>
      </c>
      <c r="AS689">
        <v>84</v>
      </c>
      <c r="AT689">
        <v>576</v>
      </c>
      <c r="BB689" t="str">
        <f t="shared" si="256"/>
        <v>1200</v>
      </c>
      <c r="BC689">
        <v>1</v>
      </c>
      <c r="BD689" t="str">
        <f t="shared" si="257"/>
        <v xml:space="preserve">N52156  </v>
      </c>
      <c r="BE689">
        <v>1</v>
      </c>
      <c r="BG689">
        <v>0</v>
      </c>
      <c r="BH689">
        <v>0</v>
      </c>
      <c r="BI689">
        <v>0</v>
      </c>
      <c r="BJ689">
        <v>2500</v>
      </c>
      <c r="BK689">
        <v>-100</v>
      </c>
      <c r="BL689" t="s">
        <v>188</v>
      </c>
      <c r="BM689">
        <v>1</v>
      </c>
      <c r="BN689">
        <v>1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 t="shared" si="273"/>
        <v>15:06:26.775</v>
      </c>
      <c r="CF689">
        <v>775200369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133</v>
      </c>
      <c r="DA689">
        <v>275</v>
      </c>
      <c r="DB689">
        <v>0</v>
      </c>
      <c r="DC689" t="s">
        <v>134</v>
      </c>
      <c r="DD689" t="s">
        <v>135</v>
      </c>
      <c r="DG689">
        <v>3318974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"05/01/2025 15:06:27.014"</f>
        <v>05/01/2025 15:06:27.014</v>
      </c>
      <c r="C690" t="str">
        <f t="shared" si="254"/>
        <v>FFDFD3C0</v>
      </c>
      <c r="D690" t="s">
        <v>145</v>
      </c>
      <c r="E690" t="str">
        <f>"09"</f>
        <v>09</v>
      </c>
      <c r="H690">
        <v>51</v>
      </c>
      <c r="I690" t="s">
        <v>147</v>
      </c>
      <c r="J690" t="s">
        <v>138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R690" t="s">
        <v>127</v>
      </c>
      <c r="S690" t="str">
        <f t="shared" si="272"/>
        <v>15:06:26.000</v>
      </c>
      <c r="T690" t="str">
        <f t="shared" si="272"/>
        <v>15:06:26.000</v>
      </c>
      <c r="U690" t="str">
        <f t="shared" si="255"/>
        <v>A68FCB</v>
      </c>
      <c r="V690">
        <v>0</v>
      </c>
      <c r="W690">
        <v>0</v>
      </c>
      <c r="X690">
        <v>2</v>
      </c>
      <c r="Y690">
        <v>0</v>
      </c>
      <c r="AA690">
        <v>1</v>
      </c>
      <c r="AB690">
        <v>8</v>
      </c>
      <c r="AC690">
        <v>3</v>
      </c>
      <c r="AD690">
        <v>0</v>
      </c>
      <c r="AE690">
        <v>9</v>
      </c>
      <c r="AF690" t="s">
        <v>138</v>
      </c>
      <c r="AG690">
        <v>0</v>
      </c>
      <c r="AH690">
        <v>3</v>
      </c>
      <c r="AI690">
        <v>1</v>
      </c>
      <c r="AJ690">
        <v>0</v>
      </c>
      <c r="AK690" t="s">
        <v>325</v>
      </c>
      <c r="AL690">
        <v>38.966703000000003</v>
      </c>
      <c r="AM690" t="s">
        <v>320</v>
      </c>
      <c r="AN690">
        <v>-121.049831</v>
      </c>
      <c r="AO690">
        <v>25</v>
      </c>
      <c r="AP690">
        <v>2600</v>
      </c>
      <c r="AQ690" t="s">
        <v>131</v>
      </c>
      <c r="AR690">
        <v>-1</v>
      </c>
      <c r="AS690">
        <v>84</v>
      </c>
      <c r="AT690">
        <v>576</v>
      </c>
      <c r="BB690" t="str">
        <f t="shared" si="256"/>
        <v>1200</v>
      </c>
      <c r="BC690">
        <v>1</v>
      </c>
      <c r="BD690" t="str">
        <f t="shared" si="257"/>
        <v xml:space="preserve">N52156  </v>
      </c>
      <c r="BE690">
        <v>1</v>
      </c>
      <c r="BG690">
        <v>0</v>
      </c>
      <c r="BH690">
        <v>0</v>
      </c>
      <c r="BI690">
        <v>0</v>
      </c>
      <c r="BJ690">
        <v>2500</v>
      </c>
      <c r="BK690">
        <v>-100</v>
      </c>
      <c r="BL690" t="s">
        <v>188</v>
      </c>
      <c r="BM690">
        <v>1</v>
      </c>
      <c r="BN690">
        <v>1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 t="shared" si="273"/>
        <v>15:06:26.775</v>
      </c>
      <c r="CF690">
        <v>775200369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5</v>
      </c>
      <c r="CY690">
        <v>7</v>
      </c>
      <c r="CZ690" t="s">
        <v>133</v>
      </c>
      <c r="DA690">
        <v>275</v>
      </c>
      <c r="DB690">
        <v>0</v>
      </c>
      <c r="DC690" t="s">
        <v>134</v>
      </c>
      <c r="DD690" t="s">
        <v>135</v>
      </c>
      <c r="DG690">
        <v>3318974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"05/01/2025 15:06:27.024"</f>
        <v>05/01/2025 15:06:27.024</v>
      </c>
      <c r="C691" t="str">
        <f t="shared" si="254"/>
        <v>FFDFD3C0</v>
      </c>
      <c r="D691" t="s">
        <v>136</v>
      </c>
      <c r="E691" t="str">
        <f>"20"</f>
        <v>20</v>
      </c>
      <c r="H691">
        <v>400</v>
      </c>
      <c r="I691" t="s">
        <v>137</v>
      </c>
      <c r="J691" t="s">
        <v>138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R691" t="s">
        <v>127</v>
      </c>
      <c r="S691" t="str">
        <f t="shared" si="272"/>
        <v>15:06:26.000</v>
      </c>
      <c r="T691" t="str">
        <f t="shared" si="272"/>
        <v>15:06:26.000</v>
      </c>
      <c r="U691" t="str">
        <f t="shared" si="255"/>
        <v>A68FCB</v>
      </c>
      <c r="V691">
        <v>0</v>
      </c>
      <c r="W691">
        <v>0</v>
      </c>
      <c r="X691">
        <v>2</v>
      </c>
      <c r="Y691">
        <v>0</v>
      </c>
      <c r="AA691">
        <v>1</v>
      </c>
      <c r="AB691">
        <v>8</v>
      </c>
      <c r="AC691">
        <v>3</v>
      </c>
      <c r="AD691">
        <v>0</v>
      </c>
      <c r="AE691">
        <v>9</v>
      </c>
      <c r="AF691" t="s">
        <v>138</v>
      </c>
      <c r="AG691">
        <v>0</v>
      </c>
      <c r="AH691">
        <v>3</v>
      </c>
      <c r="AI691">
        <v>1</v>
      </c>
      <c r="AJ691">
        <v>0</v>
      </c>
      <c r="AK691" t="s">
        <v>325</v>
      </c>
      <c r="AL691">
        <v>38.966703000000003</v>
      </c>
      <c r="AM691" t="s">
        <v>320</v>
      </c>
      <c r="AN691">
        <v>-121.049831</v>
      </c>
      <c r="AO691">
        <v>25</v>
      </c>
      <c r="AP691">
        <v>2600</v>
      </c>
      <c r="AQ691" t="s">
        <v>131</v>
      </c>
      <c r="AR691">
        <v>-1</v>
      </c>
      <c r="AS691">
        <v>84</v>
      </c>
      <c r="AT691">
        <v>576</v>
      </c>
      <c r="BB691" t="str">
        <f t="shared" si="256"/>
        <v>1200</v>
      </c>
      <c r="BC691">
        <v>1</v>
      </c>
      <c r="BD691" t="str">
        <f t="shared" si="257"/>
        <v xml:space="preserve">N52156  </v>
      </c>
      <c r="BE691">
        <v>1</v>
      </c>
      <c r="BG691">
        <v>0</v>
      </c>
      <c r="BH691">
        <v>0</v>
      </c>
      <c r="BI691">
        <v>0</v>
      </c>
      <c r="BJ691">
        <v>2500</v>
      </c>
      <c r="BK691">
        <v>-100</v>
      </c>
      <c r="BL691" t="s">
        <v>188</v>
      </c>
      <c r="BM691">
        <v>1</v>
      </c>
      <c r="BN691">
        <v>1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 t="shared" si="273"/>
        <v>15:06:26.775</v>
      </c>
      <c r="CF691">
        <v>775200369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133</v>
      </c>
      <c r="DA691">
        <v>275</v>
      </c>
      <c r="DB691">
        <v>0</v>
      </c>
      <c r="DC691" t="s">
        <v>134</v>
      </c>
      <c r="DD691" t="s">
        <v>135</v>
      </c>
      <c r="DG691">
        <v>3318974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"05/01/2025 15:06:27.915"</f>
        <v>05/01/2025 15:06:27.915</v>
      </c>
      <c r="C692" t="str">
        <f t="shared" si="254"/>
        <v>FFDFD3C0</v>
      </c>
      <c r="D692" t="s">
        <v>143</v>
      </c>
      <c r="E692" t="str">
        <f>"05"</f>
        <v>05</v>
      </c>
      <c r="H692">
        <v>172</v>
      </c>
      <c r="I692" t="s">
        <v>141</v>
      </c>
      <c r="J692" t="s">
        <v>144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R692" t="s">
        <v>127</v>
      </c>
      <c r="S692" t="str">
        <f t="shared" ref="S692:T697" si="274">"15:06:27.000"</f>
        <v>15:06:27.000</v>
      </c>
      <c r="T692" t="str">
        <f t="shared" si="274"/>
        <v>15:06:27.000</v>
      </c>
      <c r="U692" t="str">
        <f t="shared" si="255"/>
        <v>A68FCB</v>
      </c>
      <c r="V692">
        <v>0</v>
      </c>
      <c r="W692">
        <v>0</v>
      </c>
      <c r="X692">
        <v>2</v>
      </c>
      <c r="Y692">
        <v>0</v>
      </c>
      <c r="AA692">
        <v>1</v>
      </c>
      <c r="AB692">
        <v>8</v>
      </c>
      <c r="AC692">
        <v>3</v>
      </c>
      <c r="AD692">
        <v>0</v>
      </c>
      <c r="AE692">
        <v>9</v>
      </c>
      <c r="AF692" t="s">
        <v>138</v>
      </c>
      <c r="AG692">
        <v>0</v>
      </c>
      <c r="AH692">
        <v>3</v>
      </c>
      <c r="AI692">
        <v>1</v>
      </c>
      <c r="AJ692">
        <v>0</v>
      </c>
      <c r="AK692" t="s">
        <v>326</v>
      </c>
      <c r="AL692">
        <v>38.967025</v>
      </c>
      <c r="AM692" t="s">
        <v>327</v>
      </c>
      <c r="AN692">
        <v>-121.049938</v>
      </c>
      <c r="AO692">
        <v>25</v>
      </c>
      <c r="AP692">
        <v>2600</v>
      </c>
      <c r="AQ692" t="s">
        <v>131</v>
      </c>
      <c r="AR692">
        <v>-1</v>
      </c>
      <c r="AS692">
        <v>83</v>
      </c>
      <c r="AT692">
        <v>640</v>
      </c>
      <c r="BB692" t="str">
        <f t="shared" si="256"/>
        <v>1200</v>
      </c>
      <c r="BC692">
        <v>1</v>
      </c>
      <c r="BD692" t="str">
        <f t="shared" si="257"/>
        <v xml:space="preserve">N52156  </v>
      </c>
      <c r="BE692">
        <v>1</v>
      </c>
      <c r="BG692">
        <v>0</v>
      </c>
      <c r="BH692">
        <v>0</v>
      </c>
      <c r="BI692">
        <v>0</v>
      </c>
      <c r="BJ692">
        <v>2500</v>
      </c>
      <c r="BK692">
        <v>-100</v>
      </c>
      <c r="BL692" t="s">
        <v>188</v>
      </c>
      <c r="BM692">
        <v>1</v>
      </c>
      <c r="BN692">
        <v>1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 t="shared" ref="CE692:CE697" si="275">"15:06:27.713"</f>
        <v>15:06:27.713</v>
      </c>
      <c r="CF692">
        <v>713200250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133</v>
      </c>
      <c r="DA692">
        <v>275</v>
      </c>
      <c r="DB692">
        <v>0</v>
      </c>
      <c r="DC692" t="s">
        <v>134</v>
      </c>
      <c r="DD692" t="s">
        <v>135</v>
      </c>
      <c r="DG692">
        <v>3318980</v>
      </c>
      <c r="DI692">
        <v>1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"05/01/2025 15:06:27.915"</f>
        <v>05/01/2025 15:06:27.915</v>
      </c>
      <c r="C693" t="str">
        <f t="shared" si="254"/>
        <v>FFDFD3C0</v>
      </c>
      <c r="D693" t="s">
        <v>145</v>
      </c>
      <c r="E693" t="str">
        <f>"05"</f>
        <v>05</v>
      </c>
      <c r="H693">
        <v>47</v>
      </c>
      <c r="I693" t="s">
        <v>146</v>
      </c>
      <c r="J693" t="s">
        <v>138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R693" t="s">
        <v>127</v>
      </c>
      <c r="S693" t="str">
        <f t="shared" si="274"/>
        <v>15:06:27.000</v>
      </c>
      <c r="T693" t="str">
        <f t="shared" si="274"/>
        <v>15:06:27.000</v>
      </c>
      <c r="U693" t="str">
        <f t="shared" si="255"/>
        <v>A68FCB</v>
      </c>
      <c r="V693">
        <v>0</v>
      </c>
      <c r="W693">
        <v>0</v>
      </c>
      <c r="X693">
        <v>2</v>
      </c>
      <c r="Y693">
        <v>0</v>
      </c>
      <c r="AA693">
        <v>1</v>
      </c>
      <c r="AB693">
        <v>8</v>
      </c>
      <c r="AC693">
        <v>3</v>
      </c>
      <c r="AD693">
        <v>0</v>
      </c>
      <c r="AE693">
        <v>9</v>
      </c>
      <c r="AF693" t="s">
        <v>138</v>
      </c>
      <c r="AG693">
        <v>0</v>
      </c>
      <c r="AH693">
        <v>3</v>
      </c>
      <c r="AI693">
        <v>1</v>
      </c>
      <c r="AJ693">
        <v>0</v>
      </c>
      <c r="AK693" t="s">
        <v>326</v>
      </c>
      <c r="AL693">
        <v>38.967025</v>
      </c>
      <c r="AM693" t="s">
        <v>327</v>
      </c>
      <c r="AN693">
        <v>-121.049938</v>
      </c>
      <c r="AO693">
        <v>25</v>
      </c>
      <c r="AP693">
        <v>2600</v>
      </c>
      <c r="AQ693" t="s">
        <v>131</v>
      </c>
      <c r="AR693">
        <v>-1</v>
      </c>
      <c r="AS693">
        <v>83</v>
      </c>
      <c r="AT693">
        <v>640</v>
      </c>
      <c r="BB693" t="str">
        <f t="shared" si="256"/>
        <v>1200</v>
      </c>
      <c r="BC693">
        <v>1</v>
      </c>
      <c r="BD693" t="str">
        <f t="shared" si="257"/>
        <v xml:space="preserve">N52156  </v>
      </c>
      <c r="BE693">
        <v>1</v>
      </c>
      <c r="BG693">
        <v>0</v>
      </c>
      <c r="BH693">
        <v>0</v>
      </c>
      <c r="BI693">
        <v>0</v>
      </c>
      <c r="BJ693">
        <v>2500</v>
      </c>
      <c r="BK693">
        <v>-100</v>
      </c>
      <c r="BL693" t="s">
        <v>188</v>
      </c>
      <c r="BM693">
        <v>1</v>
      </c>
      <c r="BN693">
        <v>1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 t="shared" si="275"/>
        <v>15:06:27.713</v>
      </c>
      <c r="CF693">
        <v>713200250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133</v>
      </c>
      <c r="DA693">
        <v>275</v>
      </c>
      <c r="DB693">
        <v>0</v>
      </c>
      <c r="DC693" t="s">
        <v>134</v>
      </c>
      <c r="DD693" t="s">
        <v>135</v>
      </c>
      <c r="DG693">
        <v>3318980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"05/01/2025 15:06:27.916"</f>
        <v>05/01/2025 15:06:27.916</v>
      </c>
      <c r="C694" t="str">
        <f t="shared" si="254"/>
        <v>FFDFD3C0</v>
      </c>
      <c r="D694" t="s">
        <v>145</v>
      </c>
      <c r="E694" t="str">
        <f>"09"</f>
        <v>09</v>
      </c>
      <c r="H694">
        <v>51</v>
      </c>
      <c r="I694" t="s">
        <v>147</v>
      </c>
      <c r="J694" t="s">
        <v>138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R694" t="s">
        <v>127</v>
      </c>
      <c r="S694" t="str">
        <f t="shared" si="274"/>
        <v>15:06:27.000</v>
      </c>
      <c r="T694" t="str">
        <f t="shared" si="274"/>
        <v>15:06:27.000</v>
      </c>
      <c r="U694" t="str">
        <f t="shared" si="255"/>
        <v>A68FCB</v>
      </c>
      <c r="V694">
        <v>0</v>
      </c>
      <c r="W694">
        <v>0</v>
      </c>
      <c r="X694">
        <v>2</v>
      </c>
      <c r="Y694">
        <v>0</v>
      </c>
      <c r="AA694">
        <v>1</v>
      </c>
      <c r="AB694">
        <v>8</v>
      </c>
      <c r="AC694">
        <v>3</v>
      </c>
      <c r="AD694">
        <v>0</v>
      </c>
      <c r="AE694">
        <v>9</v>
      </c>
      <c r="AF694" t="s">
        <v>138</v>
      </c>
      <c r="AG694">
        <v>0</v>
      </c>
      <c r="AH694">
        <v>3</v>
      </c>
      <c r="AI694">
        <v>1</v>
      </c>
      <c r="AJ694">
        <v>0</v>
      </c>
      <c r="AK694" t="s">
        <v>326</v>
      </c>
      <c r="AL694">
        <v>38.967025</v>
      </c>
      <c r="AM694" t="s">
        <v>327</v>
      </c>
      <c r="AN694">
        <v>-121.049938</v>
      </c>
      <c r="AO694">
        <v>25</v>
      </c>
      <c r="AP694">
        <v>2600</v>
      </c>
      <c r="AQ694" t="s">
        <v>131</v>
      </c>
      <c r="AR694">
        <v>-1</v>
      </c>
      <c r="AS694">
        <v>83</v>
      </c>
      <c r="AT694">
        <v>640</v>
      </c>
      <c r="BB694" t="str">
        <f t="shared" si="256"/>
        <v>1200</v>
      </c>
      <c r="BC694">
        <v>1</v>
      </c>
      <c r="BD694" t="str">
        <f t="shared" si="257"/>
        <v xml:space="preserve">N52156  </v>
      </c>
      <c r="BE694">
        <v>1</v>
      </c>
      <c r="BG694">
        <v>0</v>
      </c>
      <c r="BH694">
        <v>0</v>
      </c>
      <c r="BI694">
        <v>0</v>
      </c>
      <c r="BJ694">
        <v>2500</v>
      </c>
      <c r="BK694">
        <v>-100</v>
      </c>
      <c r="BL694" t="s">
        <v>188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 t="shared" si="275"/>
        <v>15:06:27.713</v>
      </c>
      <c r="CF694">
        <v>713200250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133</v>
      </c>
      <c r="DA694">
        <v>275</v>
      </c>
      <c r="DB694">
        <v>0</v>
      </c>
      <c r="DC694" t="s">
        <v>134</v>
      </c>
      <c r="DD694" t="s">
        <v>135</v>
      </c>
      <c r="DG694">
        <v>3318980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"05/01/2025 15:06:27.915"</f>
        <v>05/01/2025 15:06:27.915</v>
      </c>
      <c r="C695" t="str">
        <f t="shared" si="254"/>
        <v>FFDFD3C0</v>
      </c>
      <c r="D695" t="s">
        <v>124</v>
      </c>
      <c r="E695" t="str">
        <f>"06"</f>
        <v>06</v>
      </c>
      <c r="F695">
        <v>2006</v>
      </c>
      <c r="G695" t="s">
        <v>125</v>
      </c>
      <c r="J695" t="s">
        <v>126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R695" t="s">
        <v>127</v>
      </c>
      <c r="S695" t="str">
        <f t="shared" si="274"/>
        <v>15:06:27.000</v>
      </c>
      <c r="T695" t="str">
        <f t="shared" si="274"/>
        <v>15:06:27.000</v>
      </c>
      <c r="U695" t="str">
        <f t="shared" si="255"/>
        <v>A68FCB</v>
      </c>
      <c r="V695">
        <v>0</v>
      </c>
      <c r="W695">
        <v>0</v>
      </c>
      <c r="X695">
        <v>2</v>
      </c>
      <c r="Y695">
        <v>0</v>
      </c>
      <c r="AA695">
        <v>1</v>
      </c>
      <c r="AB695">
        <v>8</v>
      </c>
      <c r="AC695">
        <v>3</v>
      </c>
      <c r="AD695">
        <v>0</v>
      </c>
      <c r="AE695">
        <v>9</v>
      </c>
      <c r="AF695" t="s">
        <v>138</v>
      </c>
      <c r="AG695">
        <v>0</v>
      </c>
      <c r="AH695">
        <v>3</v>
      </c>
      <c r="AI695">
        <v>1</v>
      </c>
      <c r="AJ695">
        <v>0</v>
      </c>
      <c r="AK695" t="s">
        <v>326</v>
      </c>
      <c r="AL695">
        <v>38.967025</v>
      </c>
      <c r="AM695" t="s">
        <v>327</v>
      </c>
      <c r="AN695">
        <v>-121.049938</v>
      </c>
      <c r="AO695">
        <v>25</v>
      </c>
      <c r="AP695">
        <v>2600</v>
      </c>
      <c r="AQ695" t="s">
        <v>131</v>
      </c>
      <c r="AR695">
        <v>-1</v>
      </c>
      <c r="AS695">
        <v>83</v>
      </c>
      <c r="AT695">
        <v>640</v>
      </c>
      <c r="BB695" t="str">
        <f t="shared" si="256"/>
        <v>1200</v>
      </c>
      <c r="BC695">
        <v>1</v>
      </c>
      <c r="BD695" t="str">
        <f t="shared" si="257"/>
        <v xml:space="preserve">N52156  </v>
      </c>
      <c r="BE695">
        <v>1</v>
      </c>
      <c r="BG695">
        <v>0</v>
      </c>
      <c r="BH695">
        <v>0</v>
      </c>
      <c r="BI695">
        <v>0</v>
      </c>
      <c r="BJ695">
        <v>2500</v>
      </c>
      <c r="BK695">
        <v>-100</v>
      </c>
      <c r="BL695" t="s">
        <v>188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 t="shared" si="275"/>
        <v>15:06:27.713</v>
      </c>
      <c r="CF695">
        <v>713200250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133</v>
      </c>
      <c r="DA695">
        <v>275</v>
      </c>
      <c r="DB695">
        <v>0</v>
      </c>
      <c r="DC695" t="s">
        <v>134</v>
      </c>
      <c r="DD695" t="s">
        <v>135</v>
      </c>
      <c r="DG695">
        <v>3318980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"05/01/2025 15:06:27.926"</f>
        <v>05/01/2025 15:06:27.926</v>
      </c>
      <c r="C696" t="str">
        <f t="shared" si="254"/>
        <v>FFDFD3C0</v>
      </c>
      <c r="D696" t="s">
        <v>136</v>
      </c>
      <c r="E696" t="str">
        <f>"20"</f>
        <v>20</v>
      </c>
      <c r="H696">
        <v>400</v>
      </c>
      <c r="I696" t="s">
        <v>137</v>
      </c>
      <c r="J696" t="s">
        <v>138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R696" t="s">
        <v>127</v>
      </c>
      <c r="S696" t="str">
        <f t="shared" si="274"/>
        <v>15:06:27.000</v>
      </c>
      <c r="T696" t="str">
        <f t="shared" si="274"/>
        <v>15:06:27.000</v>
      </c>
      <c r="U696" t="str">
        <f t="shared" si="255"/>
        <v>A68FCB</v>
      </c>
      <c r="V696">
        <v>0</v>
      </c>
      <c r="W696">
        <v>0</v>
      </c>
      <c r="X696">
        <v>2</v>
      </c>
      <c r="Y696">
        <v>0</v>
      </c>
      <c r="AA696">
        <v>1</v>
      </c>
      <c r="AB696">
        <v>8</v>
      </c>
      <c r="AC696">
        <v>3</v>
      </c>
      <c r="AD696">
        <v>0</v>
      </c>
      <c r="AE696">
        <v>9</v>
      </c>
      <c r="AF696" t="s">
        <v>138</v>
      </c>
      <c r="AG696">
        <v>0</v>
      </c>
      <c r="AH696">
        <v>3</v>
      </c>
      <c r="AI696">
        <v>1</v>
      </c>
      <c r="AJ696">
        <v>0</v>
      </c>
      <c r="AK696" t="s">
        <v>326</v>
      </c>
      <c r="AL696">
        <v>38.967025</v>
      </c>
      <c r="AM696" t="s">
        <v>327</v>
      </c>
      <c r="AN696">
        <v>-121.049938</v>
      </c>
      <c r="AO696">
        <v>25</v>
      </c>
      <c r="AP696">
        <v>2600</v>
      </c>
      <c r="AQ696" t="s">
        <v>131</v>
      </c>
      <c r="AR696">
        <v>-1</v>
      </c>
      <c r="AS696">
        <v>83</v>
      </c>
      <c r="AT696">
        <v>640</v>
      </c>
      <c r="BB696" t="str">
        <f t="shared" si="256"/>
        <v>1200</v>
      </c>
      <c r="BC696">
        <v>1</v>
      </c>
      <c r="BD696" t="str">
        <f t="shared" si="257"/>
        <v xml:space="preserve">N52156  </v>
      </c>
      <c r="BE696">
        <v>1</v>
      </c>
      <c r="BG696">
        <v>0</v>
      </c>
      <c r="BH696">
        <v>0</v>
      </c>
      <c r="BI696">
        <v>0</v>
      </c>
      <c r="BJ696">
        <v>2500</v>
      </c>
      <c r="BK696">
        <v>-100</v>
      </c>
      <c r="BL696" t="s">
        <v>188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 t="shared" si="275"/>
        <v>15:06:27.713</v>
      </c>
      <c r="CF696">
        <v>713200250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133</v>
      </c>
      <c r="DA696">
        <v>275</v>
      </c>
      <c r="DB696">
        <v>0</v>
      </c>
      <c r="DC696" t="s">
        <v>134</v>
      </c>
      <c r="DD696" t="s">
        <v>135</v>
      </c>
      <c r="DG696">
        <v>3318980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"05/01/2025 15:06:27.955"</f>
        <v>05/01/2025 15:06:27.955</v>
      </c>
      <c r="C697" t="str">
        <f t="shared" si="254"/>
        <v>FFDFD3C0</v>
      </c>
      <c r="D697" t="s">
        <v>140</v>
      </c>
      <c r="E697" t="str">
        <f>"13"</f>
        <v>13</v>
      </c>
      <c r="F697">
        <v>1019</v>
      </c>
      <c r="G697" t="s">
        <v>141</v>
      </c>
      <c r="J697" t="s">
        <v>142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R697" t="s">
        <v>127</v>
      </c>
      <c r="S697" t="str">
        <f t="shared" si="274"/>
        <v>15:06:27.000</v>
      </c>
      <c r="T697" t="str">
        <f t="shared" si="274"/>
        <v>15:06:27.000</v>
      </c>
      <c r="U697" t="str">
        <f t="shared" si="255"/>
        <v>A68FCB</v>
      </c>
      <c r="V697">
        <v>0</v>
      </c>
      <c r="W697">
        <v>0</v>
      </c>
      <c r="X697">
        <v>2</v>
      </c>
      <c r="Y697">
        <v>0</v>
      </c>
      <c r="AA697">
        <v>1</v>
      </c>
      <c r="AB697">
        <v>8</v>
      </c>
      <c r="AC697">
        <v>3</v>
      </c>
      <c r="AD697">
        <v>0</v>
      </c>
      <c r="AE697">
        <v>9</v>
      </c>
      <c r="AF697" t="s">
        <v>138</v>
      </c>
      <c r="AG697">
        <v>0</v>
      </c>
      <c r="AH697">
        <v>3</v>
      </c>
      <c r="AI697">
        <v>1</v>
      </c>
      <c r="AJ697">
        <v>0</v>
      </c>
      <c r="AK697" t="s">
        <v>326</v>
      </c>
      <c r="AL697">
        <v>38.967025</v>
      </c>
      <c r="AM697" t="s">
        <v>327</v>
      </c>
      <c r="AN697">
        <v>-121.049938</v>
      </c>
      <c r="AO697">
        <v>25</v>
      </c>
      <c r="AP697">
        <v>2600</v>
      </c>
      <c r="AQ697" t="s">
        <v>131</v>
      </c>
      <c r="AR697">
        <v>-1</v>
      </c>
      <c r="AS697">
        <v>83</v>
      </c>
      <c r="AT697">
        <v>640</v>
      </c>
      <c r="BB697" t="str">
        <f t="shared" si="256"/>
        <v>1200</v>
      </c>
      <c r="BC697">
        <v>1</v>
      </c>
      <c r="BD697" t="str">
        <f t="shared" si="257"/>
        <v xml:space="preserve">N52156  </v>
      </c>
      <c r="BE697">
        <v>1</v>
      </c>
      <c r="BG697">
        <v>0</v>
      </c>
      <c r="BH697">
        <v>0</v>
      </c>
      <c r="BI697">
        <v>0</v>
      </c>
      <c r="BJ697">
        <v>2500</v>
      </c>
      <c r="BK697">
        <v>-100</v>
      </c>
      <c r="BL697" t="s">
        <v>188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 t="shared" si="275"/>
        <v>15:06:27.713</v>
      </c>
      <c r="CF697">
        <v>713200250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133</v>
      </c>
      <c r="DA697">
        <v>275</v>
      </c>
      <c r="DB697">
        <v>0</v>
      </c>
      <c r="DC697" t="s">
        <v>134</v>
      </c>
      <c r="DD697" t="s">
        <v>135</v>
      </c>
      <c r="DG697">
        <v>3318980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"05/01/2025 15:06:28.506"</f>
        <v>05/01/2025 15:06:28.506</v>
      </c>
      <c r="C698" t="str">
        <f t="shared" si="254"/>
        <v>FFDFD3C0</v>
      </c>
      <c r="D698" t="s">
        <v>140</v>
      </c>
      <c r="E698" t="str">
        <f>"13"</f>
        <v>13</v>
      </c>
      <c r="F698">
        <v>1019</v>
      </c>
      <c r="G698" t="s">
        <v>141</v>
      </c>
      <c r="J698" t="s">
        <v>142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R698" t="s">
        <v>127</v>
      </c>
      <c r="S698" t="str">
        <f t="shared" ref="S698:T703" si="276">"15:06:28.000"</f>
        <v>15:06:28.000</v>
      </c>
      <c r="T698" t="str">
        <f t="shared" si="276"/>
        <v>15:06:28.000</v>
      </c>
      <c r="U698" t="str">
        <f t="shared" si="255"/>
        <v>A68FCB</v>
      </c>
      <c r="V698">
        <v>0</v>
      </c>
      <c r="W698">
        <v>0</v>
      </c>
      <c r="X698">
        <v>2</v>
      </c>
      <c r="Y698">
        <v>0</v>
      </c>
      <c r="AA698">
        <v>1</v>
      </c>
      <c r="AB698">
        <v>8</v>
      </c>
      <c r="AC698">
        <v>3</v>
      </c>
      <c r="AD698">
        <v>0</v>
      </c>
      <c r="AE698">
        <v>9</v>
      </c>
      <c r="AF698" t="s">
        <v>138</v>
      </c>
      <c r="AG698">
        <v>0</v>
      </c>
      <c r="AH698">
        <v>3</v>
      </c>
      <c r="AI698">
        <v>2</v>
      </c>
      <c r="AJ698">
        <v>0</v>
      </c>
      <c r="AK698" t="s">
        <v>328</v>
      </c>
      <c r="AL698">
        <v>38.967412000000003</v>
      </c>
      <c r="AM698" t="s">
        <v>287</v>
      </c>
      <c r="AN698">
        <v>-121.04996</v>
      </c>
      <c r="AO698">
        <v>25</v>
      </c>
      <c r="AP698">
        <v>2600</v>
      </c>
      <c r="AQ698" t="s">
        <v>131</v>
      </c>
      <c r="AR698">
        <v>-1</v>
      </c>
      <c r="AS698">
        <v>83</v>
      </c>
      <c r="AT698">
        <v>704</v>
      </c>
      <c r="BB698" t="str">
        <f t="shared" si="256"/>
        <v>1200</v>
      </c>
      <c r="BC698">
        <v>1</v>
      </c>
      <c r="BD698" t="str">
        <f t="shared" si="257"/>
        <v xml:space="preserve">N52156  </v>
      </c>
      <c r="BE698">
        <v>1</v>
      </c>
      <c r="BG698">
        <v>0</v>
      </c>
      <c r="BH698">
        <v>0</v>
      </c>
      <c r="BI698">
        <v>0</v>
      </c>
      <c r="BJ698">
        <v>2525</v>
      </c>
      <c r="BK698">
        <v>-75</v>
      </c>
      <c r="BL698" t="s">
        <v>188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 t="shared" ref="CE698:CE703" si="277">"15:06:28.284"</f>
        <v>15:06:28.284</v>
      </c>
      <c r="CF698">
        <v>284449205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133</v>
      </c>
      <c r="DA698">
        <v>275</v>
      </c>
      <c r="DB698">
        <v>0</v>
      </c>
      <c r="DC698" t="s">
        <v>134</v>
      </c>
      <c r="DD698" t="s">
        <v>135</v>
      </c>
      <c r="DG698">
        <v>3318986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"05/01/2025 15:06:28.515"</f>
        <v>05/01/2025 15:06:28.515</v>
      </c>
      <c r="C699" t="str">
        <f t="shared" si="254"/>
        <v>FFDFD3C0</v>
      </c>
      <c r="D699" t="s">
        <v>145</v>
      </c>
      <c r="E699" t="str">
        <f>"05"</f>
        <v>05</v>
      </c>
      <c r="H699">
        <v>47</v>
      </c>
      <c r="I699" t="s">
        <v>146</v>
      </c>
      <c r="J699" t="s">
        <v>138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R699" t="s">
        <v>127</v>
      </c>
      <c r="S699" t="str">
        <f t="shared" si="276"/>
        <v>15:06:28.000</v>
      </c>
      <c r="T699" t="str">
        <f t="shared" si="276"/>
        <v>15:06:28.000</v>
      </c>
      <c r="U699" t="str">
        <f t="shared" si="255"/>
        <v>A68FCB</v>
      </c>
      <c r="V699">
        <v>0</v>
      </c>
      <c r="W699">
        <v>0</v>
      </c>
      <c r="X699">
        <v>2</v>
      </c>
      <c r="Y699">
        <v>0</v>
      </c>
      <c r="AA699">
        <v>1</v>
      </c>
      <c r="AB699">
        <v>8</v>
      </c>
      <c r="AC699">
        <v>3</v>
      </c>
      <c r="AD699">
        <v>0</v>
      </c>
      <c r="AE699">
        <v>9</v>
      </c>
      <c r="AF699" t="s">
        <v>138</v>
      </c>
      <c r="AG699">
        <v>0</v>
      </c>
      <c r="AH699">
        <v>3</v>
      </c>
      <c r="AI699">
        <v>2</v>
      </c>
      <c r="AJ699">
        <v>0</v>
      </c>
      <c r="AK699" t="s">
        <v>328</v>
      </c>
      <c r="AL699">
        <v>38.967412000000003</v>
      </c>
      <c r="AM699" t="s">
        <v>287</v>
      </c>
      <c r="AN699">
        <v>-121.04996</v>
      </c>
      <c r="AO699">
        <v>25</v>
      </c>
      <c r="AP699">
        <v>2600</v>
      </c>
      <c r="AQ699" t="s">
        <v>131</v>
      </c>
      <c r="AR699">
        <v>-1</v>
      </c>
      <c r="AS699">
        <v>83</v>
      </c>
      <c r="AT699">
        <v>704</v>
      </c>
      <c r="BB699" t="str">
        <f t="shared" si="256"/>
        <v>1200</v>
      </c>
      <c r="BC699">
        <v>1</v>
      </c>
      <c r="BD699" t="str">
        <f t="shared" si="257"/>
        <v xml:space="preserve">N52156  </v>
      </c>
      <c r="BE699">
        <v>1</v>
      </c>
      <c r="BG699">
        <v>0</v>
      </c>
      <c r="BH699">
        <v>0</v>
      </c>
      <c r="BI699">
        <v>0</v>
      </c>
      <c r="BJ699">
        <v>2525</v>
      </c>
      <c r="BK699">
        <v>-75</v>
      </c>
      <c r="BL699" t="s">
        <v>188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 t="shared" si="277"/>
        <v>15:06:28.284</v>
      </c>
      <c r="CF699">
        <v>284449205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133</v>
      </c>
      <c r="DA699">
        <v>275</v>
      </c>
      <c r="DB699">
        <v>0</v>
      </c>
      <c r="DC699" t="s">
        <v>134</v>
      </c>
      <c r="DD699" t="s">
        <v>135</v>
      </c>
      <c r="DG699">
        <v>3318986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"05/01/2025 15:06:28.517"</f>
        <v>05/01/2025 15:06:28.517</v>
      </c>
      <c r="C700" t="str">
        <f t="shared" si="254"/>
        <v>FFDFD3C0</v>
      </c>
      <c r="D700" t="s">
        <v>145</v>
      </c>
      <c r="E700" t="str">
        <f>"09"</f>
        <v>09</v>
      </c>
      <c r="H700">
        <v>51</v>
      </c>
      <c r="I700" t="s">
        <v>147</v>
      </c>
      <c r="J700" t="s">
        <v>138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R700" t="s">
        <v>127</v>
      </c>
      <c r="S700" t="str">
        <f t="shared" si="276"/>
        <v>15:06:28.000</v>
      </c>
      <c r="T700" t="str">
        <f t="shared" si="276"/>
        <v>15:06:28.000</v>
      </c>
      <c r="U700" t="str">
        <f t="shared" si="255"/>
        <v>A68FCB</v>
      </c>
      <c r="V700">
        <v>0</v>
      </c>
      <c r="W700">
        <v>0</v>
      </c>
      <c r="X700">
        <v>2</v>
      </c>
      <c r="Y700">
        <v>0</v>
      </c>
      <c r="AA700">
        <v>1</v>
      </c>
      <c r="AB700">
        <v>8</v>
      </c>
      <c r="AC700">
        <v>3</v>
      </c>
      <c r="AD700">
        <v>0</v>
      </c>
      <c r="AE700">
        <v>9</v>
      </c>
      <c r="AF700" t="s">
        <v>138</v>
      </c>
      <c r="AG700">
        <v>0</v>
      </c>
      <c r="AH700">
        <v>3</v>
      </c>
      <c r="AI700">
        <v>2</v>
      </c>
      <c r="AJ700">
        <v>0</v>
      </c>
      <c r="AK700" t="s">
        <v>328</v>
      </c>
      <c r="AL700">
        <v>38.967412000000003</v>
      </c>
      <c r="AM700" t="s">
        <v>287</v>
      </c>
      <c r="AN700">
        <v>-121.04996</v>
      </c>
      <c r="AO700">
        <v>25</v>
      </c>
      <c r="AP700">
        <v>2600</v>
      </c>
      <c r="AQ700" t="s">
        <v>131</v>
      </c>
      <c r="AR700">
        <v>-1</v>
      </c>
      <c r="AS700">
        <v>83</v>
      </c>
      <c r="AT700">
        <v>704</v>
      </c>
      <c r="BB700" t="str">
        <f t="shared" si="256"/>
        <v>1200</v>
      </c>
      <c r="BC700">
        <v>1</v>
      </c>
      <c r="BD700" t="str">
        <f t="shared" si="257"/>
        <v xml:space="preserve">N52156  </v>
      </c>
      <c r="BE700">
        <v>1</v>
      </c>
      <c r="BG700">
        <v>0</v>
      </c>
      <c r="BH700">
        <v>0</v>
      </c>
      <c r="BI700">
        <v>0</v>
      </c>
      <c r="BJ700">
        <v>2525</v>
      </c>
      <c r="BK700">
        <v>-75</v>
      </c>
      <c r="BL700" t="s">
        <v>188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 t="shared" si="277"/>
        <v>15:06:28.284</v>
      </c>
      <c r="CF700">
        <v>284449205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133</v>
      </c>
      <c r="DA700">
        <v>275</v>
      </c>
      <c r="DB700">
        <v>0</v>
      </c>
      <c r="DC700" t="s">
        <v>134</v>
      </c>
      <c r="DD700" t="s">
        <v>135</v>
      </c>
      <c r="DG700">
        <v>3318986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"05/01/2025 15:06:28.527"</f>
        <v>05/01/2025 15:06:28.527</v>
      </c>
      <c r="C701" t="str">
        <f t="shared" si="254"/>
        <v>FFDFD3C0</v>
      </c>
      <c r="D701" t="s">
        <v>136</v>
      </c>
      <c r="E701" t="str">
        <f>"20"</f>
        <v>20</v>
      </c>
      <c r="H701">
        <v>400</v>
      </c>
      <c r="I701" t="s">
        <v>137</v>
      </c>
      <c r="J701" t="s">
        <v>138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R701" t="s">
        <v>127</v>
      </c>
      <c r="S701" t="str">
        <f t="shared" si="276"/>
        <v>15:06:28.000</v>
      </c>
      <c r="T701" t="str">
        <f t="shared" si="276"/>
        <v>15:06:28.000</v>
      </c>
      <c r="U701" t="str">
        <f t="shared" si="255"/>
        <v>A68FCB</v>
      </c>
      <c r="V701">
        <v>0</v>
      </c>
      <c r="W701">
        <v>0</v>
      </c>
      <c r="X701">
        <v>2</v>
      </c>
      <c r="Y701">
        <v>0</v>
      </c>
      <c r="AA701">
        <v>1</v>
      </c>
      <c r="AB701">
        <v>8</v>
      </c>
      <c r="AC701">
        <v>3</v>
      </c>
      <c r="AD701">
        <v>0</v>
      </c>
      <c r="AE701">
        <v>9</v>
      </c>
      <c r="AF701" t="s">
        <v>138</v>
      </c>
      <c r="AG701">
        <v>0</v>
      </c>
      <c r="AH701">
        <v>3</v>
      </c>
      <c r="AI701">
        <v>2</v>
      </c>
      <c r="AJ701">
        <v>0</v>
      </c>
      <c r="AK701" t="s">
        <v>328</v>
      </c>
      <c r="AL701">
        <v>38.967412000000003</v>
      </c>
      <c r="AM701" t="s">
        <v>287</v>
      </c>
      <c r="AN701">
        <v>-121.04996</v>
      </c>
      <c r="AO701">
        <v>25</v>
      </c>
      <c r="AP701">
        <v>2600</v>
      </c>
      <c r="AQ701" t="s">
        <v>131</v>
      </c>
      <c r="AR701">
        <v>-1</v>
      </c>
      <c r="AS701">
        <v>83</v>
      </c>
      <c r="AT701">
        <v>704</v>
      </c>
      <c r="BB701" t="str">
        <f t="shared" si="256"/>
        <v>1200</v>
      </c>
      <c r="BC701">
        <v>1</v>
      </c>
      <c r="BD701" t="str">
        <f t="shared" si="257"/>
        <v xml:space="preserve">N52156  </v>
      </c>
      <c r="BE701">
        <v>1</v>
      </c>
      <c r="BG701">
        <v>0</v>
      </c>
      <c r="BH701">
        <v>0</v>
      </c>
      <c r="BI701">
        <v>0</v>
      </c>
      <c r="BJ701">
        <v>2525</v>
      </c>
      <c r="BK701">
        <v>-75</v>
      </c>
      <c r="BL701" t="s">
        <v>188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 t="shared" si="277"/>
        <v>15:06:28.284</v>
      </c>
      <c r="CF701">
        <v>284449205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133</v>
      </c>
      <c r="DA701">
        <v>275</v>
      </c>
      <c r="DB701">
        <v>0</v>
      </c>
      <c r="DC701" t="s">
        <v>134</v>
      </c>
      <c r="DD701" t="s">
        <v>135</v>
      </c>
      <c r="DG701">
        <v>3318986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"05/01/2025 15:06:28.515"</f>
        <v>05/01/2025 15:06:28.515</v>
      </c>
      <c r="C702" t="str">
        <f t="shared" si="254"/>
        <v>FFDFD3C0</v>
      </c>
      <c r="D702" t="s">
        <v>143</v>
      </c>
      <c r="E702" t="str">
        <f>"05"</f>
        <v>05</v>
      </c>
      <c r="H702">
        <v>172</v>
      </c>
      <c r="I702" t="s">
        <v>141</v>
      </c>
      <c r="J702" t="s">
        <v>144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R702" t="s">
        <v>127</v>
      </c>
      <c r="S702" t="str">
        <f t="shared" si="276"/>
        <v>15:06:28.000</v>
      </c>
      <c r="T702" t="str">
        <f t="shared" si="276"/>
        <v>15:06:28.000</v>
      </c>
      <c r="U702" t="str">
        <f t="shared" si="255"/>
        <v>A68FCB</v>
      </c>
      <c r="V702">
        <v>0</v>
      </c>
      <c r="W702">
        <v>0</v>
      </c>
      <c r="X702">
        <v>2</v>
      </c>
      <c r="Y702">
        <v>0</v>
      </c>
      <c r="AA702">
        <v>1</v>
      </c>
      <c r="AB702">
        <v>8</v>
      </c>
      <c r="AC702">
        <v>3</v>
      </c>
      <c r="AD702">
        <v>0</v>
      </c>
      <c r="AE702">
        <v>9</v>
      </c>
      <c r="AF702" t="s">
        <v>138</v>
      </c>
      <c r="AG702">
        <v>0</v>
      </c>
      <c r="AH702">
        <v>3</v>
      </c>
      <c r="AI702">
        <v>2</v>
      </c>
      <c r="AJ702">
        <v>0</v>
      </c>
      <c r="AK702" t="s">
        <v>328</v>
      </c>
      <c r="AL702">
        <v>38.967412000000003</v>
      </c>
      <c r="AM702" t="s">
        <v>287</v>
      </c>
      <c r="AN702">
        <v>-121.04996</v>
      </c>
      <c r="AO702">
        <v>25</v>
      </c>
      <c r="AP702">
        <v>2600</v>
      </c>
      <c r="AQ702" t="s">
        <v>131</v>
      </c>
      <c r="AR702">
        <v>-1</v>
      </c>
      <c r="AS702">
        <v>83</v>
      </c>
      <c r="AT702">
        <v>704</v>
      </c>
      <c r="BB702" t="str">
        <f t="shared" si="256"/>
        <v>1200</v>
      </c>
      <c r="BC702">
        <v>1</v>
      </c>
      <c r="BD702" t="str">
        <f t="shared" si="257"/>
        <v xml:space="preserve">N52156  </v>
      </c>
      <c r="BE702">
        <v>1</v>
      </c>
      <c r="BG702">
        <v>0</v>
      </c>
      <c r="BH702">
        <v>0</v>
      </c>
      <c r="BI702">
        <v>0</v>
      </c>
      <c r="BJ702">
        <v>2525</v>
      </c>
      <c r="BK702">
        <v>-75</v>
      </c>
      <c r="BL702" t="s">
        <v>188</v>
      </c>
      <c r="BM702">
        <v>1</v>
      </c>
      <c r="BN702">
        <v>1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 t="shared" si="277"/>
        <v>15:06:28.284</v>
      </c>
      <c r="CF702">
        <v>284449205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133</v>
      </c>
      <c r="DA702">
        <v>275</v>
      </c>
      <c r="DB702">
        <v>0</v>
      </c>
      <c r="DC702" t="s">
        <v>134</v>
      </c>
      <c r="DD702" t="s">
        <v>135</v>
      </c>
      <c r="DG702">
        <v>3318986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"05/01/2025 15:06:28.516"</f>
        <v>05/01/2025 15:06:28.516</v>
      </c>
      <c r="C703" t="str">
        <f t="shared" si="254"/>
        <v>FFDFD3C0</v>
      </c>
      <c r="D703" t="s">
        <v>124</v>
      </c>
      <c r="E703" t="str">
        <f>"06"</f>
        <v>06</v>
      </c>
      <c r="F703">
        <v>2006</v>
      </c>
      <c r="G703" t="s">
        <v>125</v>
      </c>
      <c r="J703" t="s">
        <v>126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R703" t="s">
        <v>127</v>
      </c>
      <c r="S703" t="str">
        <f t="shared" si="276"/>
        <v>15:06:28.000</v>
      </c>
      <c r="T703" t="str">
        <f t="shared" si="276"/>
        <v>15:06:28.000</v>
      </c>
      <c r="U703" t="str">
        <f t="shared" si="255"/>
        <v>A68FCB</v>
      </c>
      <c r="V703">
        <v>0</v>
      </c>
      <c r="W703">
        <v>0</v>
      </c>
      <c r="X703">
        <v>2</v>
      </c>
      <c r="Y703">
        <v>0</v>
      </c>
      <c r="AA703">
        <v>1</v>
      </c>
      <c r="AB703">
        <v>8</v>
      </c>
      <c r="AC703">
        <v>3</v>
      </c>
      <c r="AD703">
        <v>0</v>
      </c>
      <c r="AE703">
        <v>9</v>
      </c>
      <c r="AF703" t="s">
        <v>138</v>
      </c>
      <c r="AG703">
        <v>0</v>
      </c>
      <c r="AH703">
        <v>3</v>
      </c>
      <c r="AI703">
        <v>2</v>
      </c>
      <c r="AJ703">
        <v>0</v>
      </c>
      <c r="AK703" t="s">
        <v>328</v>
      </c>
      <c r="AL703">
        <v>38.967412000000003</v>
      </c>
      <c r="AM703" t="s">
        <v>287</v>
      </c>
      <c r="AN703">
        <v>-121.04996</v>
      </c>
      <c r="AO703">
        <v>25</v>
      </c>
      <c r="AP703">
        <v>2600</v>
      </c>
      <c r="AQ703" t="s">
        <v>131</v>
      </c>
      <c r="AR703">
        <v>-1</v>
      </c>
      <c r="AS703">
        <v>83</v>
      </c>
      <c r="AT703">
        <v>704</v>
      </c>
      <c r="BB703" t="str">
        <f t="shared" si="256"/>
        <v>1200</v>
      </c>
      <c r="BC703">
        <v>1</v>
      </c>
      <c r="BD703" t="str">
        <f t="shared" si="257"/>
        <v xml:space="preserve">N52156  </v>
      </c>
      <c r="BE703">
        <v>1</v>
      </c>
      <c r="BG703">
        <v>0</v>
      </c>
      <c r="BH703">
        <v>0</v>
      </c>
      <c r="BI703">
        <v>0</v>
      </c>
      <c r="BJ703">
        <v>2525</v>
      </c>
      <c r="BK703">
        <v>-75</v>
      </c>
      <c r="BL703" t="s">
        <v>188</v>
      </c>
      <c r="BM703">
        <v>1</v>
      </c>
      <c r="BN703">
        <v>1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 t="shared" si="277"/>
        <v>15:06:28.284</v>
      </c>
      <c r="CF703">
        <v>284449205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133</v>
      </c>
      <c r="DA703">
        <v>275</v>
      </c>
      <c r="DB703">
        <v>0</v>
      </c>
      <c r="DC703" t="s">
        <v>134</v>
      </c>
      <c r="DD703" t="s">
        <v>135</v>
      </c>
      <c r="DG703">
        <v>3318986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"05/01/2025 15:06:29.658"</f>
        <v>05/01/2025 15:06:29.658</v>
      </c>
      <c r="C704" t="str">
        <f t="shared" si="254"/>
        <v>FFDFD3C0</v>
      </c>
      <c r="D704" t="s">
        <v>140</v>
      </c>
      <c r="E704" t="str">
        <f>"13"</f>
        <v>13</v>
      </c>
      <c r="F704">
        <v>1019</v>
      </c>
      <c r="G704" t="s">
        <v>141</v>
      </c>
      <c r="J704" t="s">
        <v>142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R704" t="s">
        <v>127</v>
      </c>
      <c r="S704" t="str">
        <f t="shared" ref="S704:T709" si="278">"15:06:29.000"</f>
        <v>15:06:29.000</v>
      </c>
      <c r="T704" t="str">
        <f t="shared" si="278"/>
        <v>15:06:29.000</v>
      </c>
      <c r="U704" t="str">
        <f t="shared" si="255"/>
        <v>A68FCB</v>
      </c>
      <c r="V704">
        <v>0</v>
      </c>
      <c r="W704">
        <v>0</v>
      </c>
      <c r="X704">
        <v>2</v>
      </c>
      <c r="Y704">
        <v>0</v>
      </c>
      <c r="AA704">
        <v>1</v>
      </c>
      <c r="AB704">
        <v>8</v>
      </c>
      <c r="AC704">
        <v>3</v>
      </c>
      <c r="AD704">
        <v>0</v>
      </c>
      <c r="AE704">
        <v>9</v>
      </c>
      <c r="AF704" t="s">
        <v>138</v>
      </c>
      <c r="AG704">
        <v>0</v>
      </c>
      <c r="AH704">
        <v>3</v>
      </c>
      <c r="AI704">
        <v>2</v>
      </c>
      <c r="AJ704">
        <v>0</v>
      </c>
      <c r="AK704" t="s">
        <v>329</v>
      </c>
      <c r="AL704">
        <v>38.967776000000001</v>
      </c>
      <c r="AM704" t="s">
        <v>330</v>
      </c>
      <c r="AN704">
        <v>-121.049981</v>
      </c>
      <c r="AO704">
        <v>25</v>
      </c>
      <c r="AP704">
        <v>2600</v>
      </c>
      <c r="AQ704" t="s">
        <v>131</v>
      </c>
      <c r="AR704">
        <v>-1</v>
      </c>
      <c r="AS704">
        <v>83</v>
      </c>
      <c r="AT704">
        <v>768</v>
      </c>
      <c r="BB704" t="str">
        <f t="shared" si="256"/>
        <v>1200</v>
      </c>
      <c r="BC704">
        <v>1</v>
      </c>
      <c r="BD704" t="str">
        <f t="shared" si="257"/>
        <v xml:space="preserve">N52156  </v>
      </c>
      <c r="BE704">
        <v>1</v>
      </c>
      <c r="BG704">
        <v>0</v>
      </c>
      <c r="BH704">
        <v>0</v>
      </c>
      <c r="BI704">
        <v>0</v>
      </c>
      <c r="BJ704">
        <v>2525</v>
      </c>
      <c r="BK704">
        <v>-75</v>
      </c>
      <c r="BL704" t="s">
        <v>188</v>
      </c>
      <c r="BM704">
        <v>1</v>
      </c>
      <c r="BN704">
        <v>1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 t="shared" ref="CE704:CE709" si="279">"15:06:29.422"</f>
        <v>15:06:29.422</v>
      </c>
      <c r="CF704">
        <v>421949593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133</v>
      </c>
      <c r="DA704">
        <v>275</v>
      </c>
      <c r="DB704">
        <v>0</v>
      </c>
      <c r="DC704" t="s">
        <v>134</v>
      </c>
      <c r="DD704" t="s">
        <v>135</v>
      </c>
      <c r="DG704">
        <v>3319001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"05/01/2025 15:06:29.667"</f>
        <v>05/01/2025 15:06:29.667</v>
      </c>
      <c r="C705" t="str">
        <f t="shared" si="254"/>
        <v>FFDFD3C0</v>
      </c>
      <c r="D705" t="s">
        <v>145</v>
      </c>
      <c r="E705" t="str">
        <f>"05"</f>
        <v>05</v>
      </c>
      <c r="H705">
        <v>47</v>
      </c>
      <c r="I705" t="s">
        <v>146</v>
      </c>
      <c r="J705" t="s">
        <v>138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R705" t="s">
        <v>127</v>
      </c>
      <c r="S705" t="str">
        <f t="shared" si="278"/>
        <v>15:06:29.000</v>
      </c>
      <c r="T705" t="str">
        <f t="shared" si="278"/>
        <v>15:06:29.000</v>
      </c>
      <c r="U705" t="str">
        <f t="shared" si="255"/>
        <v>A68FCB</v>
      </c>
      <c r="V705">
        <v>0</v>
      </c>
      <c r="W705">
        <v>0</v>
      </c>
      <c r="X705">
        <v>2</v>
      </c>
      <c r="Y705">
        <v>0</v>
      </c>
      <c r="AA705">
        <v>1</v>
      </c>
      <c r="AB705">
        <v>8</v>
      </c>
      <c r="AC705">
        <v>3</v>
      </c>
      <c r="AD705">
        <v>0</v>
      </c>
      <c r="AE705">
        <v>9</v>
      </c>
      <c r="AF705" t="s">
        <v>138</v>
      </c>
      <c r="AG705">
        <v>0</v>
      </c>
      <c r="AH705">
        <v>3</v>
      </c>
      <c r="AI705">
        <v>2</v>
      </c>
      <c r="AJ705">
        <v>0</v>
      </c>
      <c r="AK705" t="s">
        <v>329</v>
      </c>
      <c r="AL705">
        <v>38.967776000000001</v>
      </c>
      <c r="AM705" t="s">
        <v>330</v>
      </c>
      <c r="AN705">
        <v>-121.049981</v>
      </c>
      <c r="AO705">
        <v>25</v>
      </c>
      <c r="AP705">
        <v>2600</v>
      </c>
      <c r="AQ705" t="s">
        <v>131</v>
      </c>
      <c r="AR705">
        <v>-1</v>
      </c>
      <c r="AS705">
        <v>83</v>
      </c>
      <c r="AT705">
        <v>768</v>
      </c>
      <c r="BB705" t="str">
        <f t="shared" si="256"/>
        <v>1200</v>
      </c>
      <c r="BC705">
        <v>1</v>
      </c>
      <c r="BD705" t="str">
        <f t="shared" si="257"/>
        <v xml:space="preserve">N52156  </v>
      </c>
      <c r="BE705">
        <v>1</v>
      </c>
      <c r="BG705">
        <v>0</v>
      </c>
      <c r="BH705">
        <v>0</v>
      </c>
      <c r="BI705">
        <v>0</v>
      </c>
      <c r="BJ705">
        <v>2525</v>
      </c>
      <c r="BK705">
        <v>-75</v>
      </c>
      <c r="BL705" t="s">
        <v>188</v>
      </c>
      <c r="BM705">
        <v>1</v>
      </c>
      <c r="BN705">
        <v>1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 t="shared" si="279"/>
        <v>15:06:29.422</v>
      </c>
      <c r="CF705">
        <v>421949593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133</v>
      </c>
      <c r="DA705">
        <v>275</v>
      </c>
      <c r="DB705">
        <v>0</v>
      </c>
      <c r="DC705" t="s">
        <v>134</v>
      </c>
      <c r="DD705" t="s">
        <v>135</v>
      </c>
      <c r="DG705">
        <v>3319001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"05/01/2025 15:06:29.667"</f>
        <v>05/01/2025 15:06:29.667</v>
      </c>
      <c r="C706" t="str">
        <f t="shared" ref="C706:C769" si="280">"FFDFD3C0"</f>
        <v>FFDFD3C0</v>
      </c>
      <c r="D706" t="s">
        <v>143</v>
      </c>
      <c r="E706" t="str">
        <f>"05"</f>
        <v>05</v>
      </c>
      <c r="H706">
        <v>172</v>
      </c>
      <c r="I706" t="s">
        <v>141</v>
      </c>
      <c r="J706" t="s">
        <v>144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R706" t="s">
        <v>127</v>
      </c>
      <c r="S706" t="str">
        <f t="shared" si="278"/>
        <v>15:06:29.000</v>
      </c>
      <c r="T706" t="str">
        <f t="shared" si="278"/>
        <v>15:06:29.000</v>
      </c>
      <c r="U706" t="str">
        <f t="shared" ref="U706:U769" si="281">"A68FCB"</f>
        <v>A68FCB</v>
      </c>
      <c r="V706">
        <v>0</v>
      </c>
      <c r="W706">
        <v>0</v>
      </c>
      <c r="X706">
        <v>2</v>
      </c>
      <c r="Y706">
        <v>0</v>
      </c>
      <c r="AA706">
        <v>1</v>
      </c>
      <c r="AB706">
        <v>8</v>
      </c>
      <c r="AC706">
        <v>3</v>
      </c>
      <c r="AD706">
        <v>0</v>
      </c>
      <c r="AE706">
        <v>9</v>
      </c>
      <c r="AF706" t="s">
        <v>138</v>
      </c>
      <c r="AG706">
        <v>0</v>
      </c>
      <c r="AH706">
        <v>3</v>
      </c>
      <c r="AI706">
        <v>2</v>
      </c>
      <c r="AJ706">
        <v>0</v>
      </c>
      <c r="AK706" t="s">
        <v>329</v>
      </c>
      <c r="AL706">
        <v>38.967776000000001</v>
      </c>
      <c r="AM706" t="s">
        <v>330</v>
      </c>
      <c r="AN706">
        <v>-121.049981</v>
      </c>
      <c r="AO706">
        <v>25</v>
      </c>
      <c r="AP706">
        <v>2600</v>
      </c>
      <c r="AQ706" t="s">
        <v>131</v>
      </c>
      <c r="AR706">
        <v>-1</v>
      </c>
      <c r="AS706">
        <v>83</v>
      </c>
      <c r="AT706">
        <v>768</v>
      </c>
      <c r="BB706" t="str">
        <f t="shared" ref="BB706:BB769" si="282">"1200"</f>
        <v>1200</v>
      </c>
      <c r="BC706">
        <v>1</v>
      </c>
      <c r="BD706" t="str">
        <f t="shared" ref="BD706:BD769" si="283">"N52156  "</f>
        <v xml:space="preserve">N52156  </v>
      </c>
      <c r="BE706">
        <v>1</v>
      </c>
      <c r="BG706">
        <v>0</v>
      </c>
      <c r="BH706">
        <v>0</v>
      </c>
      <c r="BI706">
        <v>0</v>
      </c>
      <c r="BJ706">
        <v>2525</v>
      </c>
      <c r="BK706">
        <v>-75</v>
      </c>
      <c r="BL706" t="s">
        <v>188</v>
      </c>
      <c r="BM706">
        <v>1</v>
      </c>
      <c r="BN706">
        <v>1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 t="shared" si="279"/>
        <v>15:06:29.422</v>
      </c>
      <c r="CF706">
        <v>421949593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133</v>
      </c>
      <c r="DA706">
        <v>275</v>
      </c>
      <c r="DB706">
        <v>0</v>
      </c>
      <c r="DC706" t="s">
        <v>134</v>
      </c>
      <c r="DD706" t="s">
        <v>135</v>
      </c>
      <c r="DG706">
        <v>3319001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"05/01/2025 15:06:29.668"</f>
        <v>05/01/2025 15:06:29.668</v>
      </c>
      <c r="C707" t="str">
        <f t="shared" si="280"/>
        <v>FFDFD3C0</v>
      </c>
      <c r="D707" t="s">
        <v>124</v>
      </c>
      <c r="E707" t="str">
        <f>"06"</f>
        <v>06</v>
      </c>
      <c r="F707">
        <v>2006</v>
      </c>
      <c r="G707" t="s">
        <v>125</v>
      </c>
      <c r="J707" t="s">
        <v>126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R707" t="s">
        <v>127</v>
      </c>
      <c r="S707" t="str">
        <f t="shared" si="278"/>
        <v>15:06:29.000</v>
      </c>
      <c r="T707" t="str">
        <f t="shared" si="278"/>
        <v>15:06:29.000</v>
      </c>
      <c r="U707" t="str">
        <f t="shared" si="281"/>
        <v>A68FCB</v>
      </c>
      <c r="V707">
        <v>0</v>
      </c>
      <c r="W707">
        <v>0</v>
      </c>
      <c r="X707">
        <v>2</v>
      </c>
      <c r="Y707">
        <v>0</v>
      </c>
      <c r="AA707">
        <v>1</v>
      </c>
      <c r="AB707">
        <v>8</v>
      </c>
      <c r="AC707">
        <v>3</v>
      </c>
      <c r="AD707">
        <v>0</v>
      </c>
      <c r="AE707">
        <v>9</v>
      </c>
      <c r="AF707" t="s">
        <v>138</v>
      </c>
      <c r="AG707">
        <v>0</v>
      </c>
      <c r="AH707">
        <v>3</v>
      </c>
      <c r="AI707">
        <v>2</v>
      </c>
      <c r="AJ707">
        <v>0</v>
      </c>
      <c r="AK707" t="s">
        <v>329</v>
      </c>
      <c r="AL707">
        <v>38.967776000000001</v>
      </c>
      <c r="AM707" t="s">
        <v>330</v>
      </c>
      <c r="AN707">
        <v>-121.049981</v>
      </c>
      <c r="AO707">
        <v>25</v>
      </c>
      <c r="AP707">
        <v>2600</v>
      </c>
      <c r="AQ707" t="s">
        <v>131</v>
      </c>
      <c r="AR707">
        <v>-1</v>
      </c>
      <c r="AS707">
        <v>83</v>
      </c>
      <c r="AT707">
        <v>768</v>
      </c>
      <c r="BB707" t="str">
        <f t="shared" si="282"/>
        <v>1200</v>
      </c>
      <c r="BC707">
        <v>1</v>
      </c>
      <c r="BD707" t="str">
        <f t="shared" si="283"/>
        <v xml:space="preserve">N52156  </v>
      </c>
      <c r="BE707">
        <v>1</v>
      </c>
      <c r="BG707">
        <v>0</v>
      </c>
      <c r="BH707">
        <v>0</v>
      </c>
      <c r="BI707">
        <v>0</v>
      </c>
      <c r="BJ707">
        <v>2525</v>
      </c>
      <c r="BK707">
        <v>-75</v>
      </c>
      <c r="BL707" t="s">
        <v>188</v>
      </c>
      <c r="BM707">
        <v>1</v>
      </c>
      <c r="BN707">
        <v>1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 t="shared" si="279"/>
        <v>15:06:29.422</v>
      </c>
      <c r="CF707">
        <v>421949593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5</v>
      </c>
      <c r="CY707">
        <v>7</v>
      </c>
      <c r="CZ707" t="s">
        <v>133</v>
      </c>
      <c r="DA707">
        <v>275</v>
      </c>
      <c r="DB707">
        <v>0</v>
      </c>
      <c r="DC707" t="s">
        <v>134</v>
      </c>
      <c r="DD707" t="s">
        <v>135</v>
      </c>
      <c r="DG707">
        <v>3319001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"05/01/2025 15:06:29.670"</f>
        <v>05/01/2025 15:06:29.670</v>
      </c>
      <c r="C708" t="str">
        <f t="shared" si="280"/>
        <v>FFDFD3C0</v>
      </c>
      <c r="D708" t="s">
        <v>145</v>
      </c>
      <c r="E708" t="str">
        <f>"09"</f>
        <v>09</v>
      </c>
      <c r="H708">
        <v>51</v>
      </c>
      <c r="I708" t="s">
        <v>147</v>
      </c>
      <c r="J708" t="s">
        <v>138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R708" t="s">
        <v>127</v>
      </c>
      <c r="S708" t="str">
        <f t="shared" si="278"/>
        <v>15:06:29.000</v>
      </c>
      <c r="T708" t="str">
        <f t="shared" si="278"/>
        <v>15:06:29.000</v>
      </c>
      <c r="U708" t="str">
        <f t="shared" si="281"/>
        <v>A68FCB</v>
      </c>
      <c r="V708">
        <v>0</v>
      </c>
      <c r="W708">
        <v>0</v>
      </c>
      <c r="X708">
        <v>2</v>
      </c>
      <c r="Y708">
        <v>0</v>
      </c>
      <c r="AA708">
        <v>1</v>
      </c>
      <c r="AB708">
        <v>8</v>
      </c>
      <c r="AC708">
        <v>3</v>
      </c>
      <c r="AD708">
        <v>0</v>
      </c>
      <c r="AE708">
        <v>9</v>
      </c>
      <c r="AF708" t="s">
        <v>138</v>
      </c>
      <c r="AG708">
        <v>0</v>
      </c>
      <c r="AH708">
        <v>3</v>
      </c>
      <c r="AI708">
        <v>2</v>
      </c>
      <c r="AJ708">
        <v>0</v>
      </c>
      <c r="AK708" t="s">
        <v>329</v>
      </c>
      <c r="AL708">
        <v>38.967776000000001</v>
      </c>
      <c r="AM708" t="s">
        <v>330</v>
      </c>
      <c r="AN708">
        <v>-121.049981</v>
      </c>
      <c r="AO708">
        <v>25</v>
      </c>
      <c r="AP708">
        <v>2600</v>
      </c>
      <c r="AQ708" t="s">
        <v>131</v>
      </c>
      <c r="AR708">
        <v>-1</v>
      </c>
      <c r="AS708">
        <v>83</v>
      </c>
      <c r="AT708">
        <v>768</v>
      </c>
      <c r="BB708" t="str">
        <f t="shared" si="282"/>
        <v>1200</v>
      </c>
      <c r="BC708">
        <v>1</v>
      </c>
      <c r="BD708" t="str">
        <f t="shared" si="283"/>
        <v xml:space="preserve">N52156  </v>
      </c>
      <c r="BE708">
        <v>1</v>
      </c>
      <c r="BG708">
        <v>0</v>
      </c>
      <c r="BH708">
        <v>0</v>
      </c>
      <c r="BI708">
        <v>0</v>
      </c>
      <c r="BJ708">
        <v>2525</v>
      </c>
      <c r="BK708">
        <v>-75</v>
      </c>
      <c r="BL708" t="s">
        <v>188</v>
      </c>
      <c r="BM708">
        <v>1</v>
      </c>
      <c r="BN708">
        <v>1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 t="shared" si="279"/>
        <v>15:06:29.422</v>
      </c>
      <c r="CF708">
        <v>421949593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133</v>
      </c>
      <c r="DA708">
        <v>275</v>
      </c>
      <c r="DB708">
        <v>0</v>
      </c>
      <c r="DC708" t="s">
        <v>134</v>
      </c>
      <c r="DD708" t="s">
        <v>135</v>
      </c>
      <c r="DG708">
        <v>3319001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"05/01/2025 15:06:29.679"</f>
        <v>05/01/2025 15:06:29.679</v>
      </c>
      <c r="C709" t="str">
        <f t="shared" si="280"/>
        <v>FFDFD3C0</v>
      </c>
      <c r="D709" t="s">
        <v>136</v>
      </c>
      <c r="E709" t="str">
        <f>"20"</f>
        <v>20</v>
      </c>
      <c r="H709">
        <v>400</v>
      </c>
      <c r="I709" t="s">
        <v>137</v>
      </c>
      <c r="J709" t="s">
        <v>138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R709" t="s">
        <v>127</v>
      </c>
      <c r="S709" t="str">
        <f t="shared" si="278"/>
        <v>15:06:29.000</v>
      </c>
      <c r="T709" t="str">
        <f t="shared" si="278"/>
        <v>15:06:29.000</v>
      </c>
      <c r="U709" t="str">
        <f t="shared" si="281"/>
        <v>A68FCB</v>
      </c>
      <c r="V709">
        <v>0</v>
      </c>
      <c r="W709">
        <v>0</v>
      </c>
      <c r="X709">
        <v>2</v>
      </c>
      <c r="Y709">
        <v>0</v>
      </c>
      <c r="AA709">
        <v>1</v>
      </c>
      <c r="AB709">
        <v>8</v>
      </c>
      <c r="AC709">
        <v>3</v>
      </c>
      <c r="AD709">
        <v>0</v>
      </c>
      <c r="AE709">
        <v>9</v>
      </c>
      <c r="AF709" t="s">
        <v>138</v>
      </c>
      <c r="AG709">
        <v>0</v>
      </c>
      <c r="AH709">
        <v>3</v>
      </c>
      <c r="AI709">
        <v>2</v>
      </c>
      <c r="AJ709">
        <v>0</v>
      </c>
      <c r="AK709" t="s">
        <v>329</v>
      </c>
      <c r="AL709">
        <v>38.967776000000001</v>
      </c>
      <c r="AM709" t="s">
        <v>330</v>
      </c>
      <c r="AN709">
        <v>-121.049981</v>
      </c>
      <c r="AO709">
        <v>25</v>
      </c>
      <c r="AP709">
        <v>2600</v>
      </c>
      <c r="AQ709" t="s">
        <v>131</v>
      </c>
      <c r="AR709">
        <v>-1</v>
      </c>
      <c r="AS709">
        <v>83</v>
      </c>
      <c r="AT709">
        <v>768</v>
      </c>
      <c r="BB709" t="str">
        <f t="shared" si="282"/>
        <v>1200</v>
      </c>
      <c r="BC709">
        <v>1</v>
      </c>
      <c r="BD709" t="str">
        <f t="shared" si="283"/>
        <v xml:space="preserve">N52156  </v>
      </c>
      <c r="BE709">
        <v>1</v>
      </c>
      <c r="BG709">
        <v>0</v>
      </c>
      <c r="BH709">
        <v>0</v>
      </c>
      <c r="BI709">
        <v>0</v>
      </c>
      <c r="BJ709">
        <v>2525</v>
      </c>
      <c r="BK709">
        <v>-75</v>
      </c>
      <c r="BL709" t="s">
        <v>188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 t="shared" si="279"/>
        <v>15:06:29.422</v>
      </c>
      <c r="CF709">
        <v>421949593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5</v>
      </c>
      <c r="CY709">
        <v>7</v>
      </c>
      <c r="CZ709" t="s">
        <v>133</v>
      </c>
      <c r="DA709">
        <v>275</v>
      </c>
      <c r="DB709">
        <v>0</v>
      </c>
      <c r="DC709" t="s">
        <v>134</v>
      </c>
      <c r="DD709" t="s">
        <v>135</v>
      </c>
      <c r="DG709">
        <v>3319001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"05/01/2025 15:06:30.831"</f>
        <v>05/01/2025 15:06:30.831</v>
      </c>
      <c r="C710" t="str">
        <f t="shared" si="280"/>
        <v>FFDFD3C0</v>
      </c>
      <c r="D710" t="s">
        <v>136</v>
      </c>
      <c r="E710" t="str">
        <f>"20"</f>
        <v>20</v>
      </c>
      <c r="H710">
        <v>400</v>
      </c>
      <c r="I710" t="s">
        <v>137</v>
      </c>
      <c r="J710" t="s">
        <v>138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R710" t="s">
        <v>127</v>
      </c>
      <c r="S710" t="str">
        <f t="shared" ref="S710:T715" si="284">"15:06:30.000"</f>
        <v>15:06:30.000</v>
      </c>
      <c r="T710" t="str">
        <f t="shared" si="284"/>
        <v>15:06:30.000</v>
      </c>
      <c r="U710" t="str">
        <f t="shared" si="281"/>
        <v>A68FCB</v>
      </c>
      <c r="V710">
        <v>0</v>
      </c>
      <c r="W710">
        <v>0</v>
      </c>
      <c r="X710">
        <v>2</v>
      </c>
      <c r="Y710">
        <v>0</v>
      </c>
      <c r="AA710">
        <v>1</v>
      </c>
      <c r="AB710">
        <v>8</v>
      </c>
      <c r="AC710">
        <v>3</v>
      </c>
      <c r="AD710">
        <v>0</v>
      </c>
      <c r="AE710">
        <v>9</v>
      </c>
      <c r="AF710" t="s">
        <v>138</v>
      </c>
      <c r="AG710">
        <v>0</v>
      </c>
      <c r="AH710">
        <v>3</v>
      </c>
      <c r="AI710">
        <v>2</v>
      </c>
      <c r="AJ710">
        <v>0</v>
      </c>
      <c r="AK710" t="s">
        <v>331</v>
      </c>
      <c r="AL710">
        <v>38.968162999999997</v>
      </c>
      <c r="AM710" t="s">
        <v>330</v>
      </c>
      <c r="AN710">
        <v>-121.049981</v>
      </c>
      <c r="AO710">
        <v>25</v>
      </c>
      <c r="AP710">
        <v>2600</v>
      </c>
      <c r="AQ710" t="s">
        <v>131</v>
      </c>
      <c r="AR710">
        <v>-3</v>
      </c>
      <c r="AS710">
        <v>83</v>
      </c>
      <c r="AT710">
        <v>832</v>
      </c>
      <c r="BB710" t="str">
        <f t="shared" si="282"/>
        <v>1200</v>
      </c>
      <c r="BC710">
        <v>1</v>
      </c>
      <c r="BD710" t="str">
        <f t="shared" si="283"/>
        <v xml:space="preserve">N52156  </v>
      </c>
      <c r="BE710">
        <v>1</v>
      </c>
      <c r="BG710">
        <v>0</v>
      </c>
      <c r="BH710">
        <v>0</v>
      </c>
      <c r="BI710">
        <v>0</v>
      </c>
      <c r="BJ710">
        <v>2525</v>
      </c>
      <c r="BK710">
        <v>-75</v>
      </c>
      <c r="BL710" t="s">
        <v>188</v>
      </c>
      <c r="BM710">
        <v>1</v>
      </c>
      <c r="BN710">
        <v>1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 t="shared" ref="CE710:CE715" si="285">"15:06:30.602"</f>
        <v>15:06:30.602</v>
      </c>
      <c r="CF710">
        <v>601950102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5</v>
      </c>
      <c r="CY710">
        <v>7</v>
      </c>
      <c r="CZ710" t="s">
        <v>133</v>
      </c>
      <c r="DA710">
        <v>275</v>
      </c>
      <c r="DB710">
        <v>0</v>
      </c>
      <c r="DC710" t="s">
        <v>134</v>
      </c>
      <c r="DD710" t="s">
        <v>135</v>
      </c>
      <c r="DG710">
        <v>3319011</v>
      </c>
      <c r="DI710">
        <v>1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"05/01/2025 15:06:30.860"</f>
        <v>05/01/2025 15:06:30.860</v>
      </c>
      <c r="C711" t="str">
        <f t="shared" si="280"/>
        <v>FFDFD3C0</v>
      </c>
      <c r="D711" t="s">
        <v>140</v>
      </c>
      <c r="E711" t="str">
        <f>"13"</f>
        <v>13</v>
      </c>
      <c r="F711">
        <v>1019</v>
      </c>
      <c r="G711" t="s">
        <v>141</v>
      </c>
      <c r="J711" t="s">
        <v>142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R711" t="s">
        <v>127</v>
      </c>
      <c r="S711" t="str">
        <f t="shared" si="284"/>
        <v>15:06:30.000</v>
      </c>
      <c r="T711" t="str">
        <f t="shared" si="284"/>
        <v>15:06:30.000</v>
      </c>
      <c r="U711" t="str">
        <f t="shared" si="281"/>
        <v>A68FCB</v>
      </c>
      <c r="V711">
        <v>0</v>
      </c>
      <c r="W711">
        <v>0</v>
      </c>
      <c r="X711">
        <v>2</v>
      </c>
      <c r="Y711">
        <v>0</v>
      </c>
      <c r="AA711">
        <v>1</v>
      </c>
      <c r="AB711">
        <v>8</v>
      </c>
      <c r="AC711">
        <v>3</v>
      </c>
      <c r="AD711">
        <v>0</v>
      </c>
      <c r="AE711">
        <v>9</v>
      </c>
      <c r="AF711" t="s">
        <v>138</v>
      </c>
      <c r="AG711">
        <v>0</v>
      </c>
      <c r="AH711">
        <v>3</v>
      </c>
      <c r="AI711">
        <v>2</v>
      </c>
      <c r="AJ711">
        <v>0</v>
      </c>
      <c r="AK711" t="s">
        <v>331</v>
      </c>
      <c r="AL711">
        <v>38.968162999999997</v>
      </c>
      <c r="AM711" t="s">
        <v>330</v>
      </c>
      <c r="AN711">
        <v>-121.049981</v>
      </c>
      <c r="AO711">
        <v>25</v>
      </c>
      <c r="AP711">
        <v>2600</v>
      </c>
      <c r="AQ711" t="s">
        <v>131</v>
      </c>
      <c r="AR711">
        <v>-3</v>
      </c>
      <c r="AS711">
        <v>83</v>
      </c>
      <c r="AT711">
        <v>832</v>
      </c>
      <c r="BB711" t="str">
        <f t="shared" si="282"/>
        <v>1200</v>
      </c>
      <c r="BC711">
        <v>1</v>
      </c>
      <c r="BD711" t="str">
        <f t="shared" si="283"/>
        <v xml:space="preserve">N52156  </v>
      </c>
      <c r="BE711">
        <v>1</v>
      </c>
      <c r="BG711">
        <v>0</v>
      </c>
      <c r="BH711">
        <v>0</v>
      </c>
      <c r="BI711">
        <v>0</v>
      </c>
      <c r="BJ711">
        <v>2525</v>
      </c>
      <c r="BK711">
        <v>-75</v>
      </c>
      <c r="BL711" t="s">
        <v>188</v>
      </c>
      <c r="BM711">
        <v>1</v>
      </c>
      <c r="BN711">
        <v>1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 t="shared" si="285"/>
        <v>15:06:30.602</v>
      </c>
      <c r="CF711">
        <v>601950102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133</v>
      </c>
      <c r="DA711">
        <v>275</v>
      </c>
      <c r="DB711">
        <v>0</v>
      </c>
      <c r="DC711" t="s">
        <v>134</v>
      </c>
      <c r="DD711" t="s">
        <v>135</v>
      </c>
      <c r="DG711">
        <v>3319011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"05/01/2025 15:06:30.869"</f>
        <v>05/01/2025 15:06:30.869</v>
      </c>
      <c r="C712" t="str">
        <f t="shared" si="280"/>
        <v>FFDFD3C0</v>
      </c>
      <c r="D712" t="s">
        <v>143</v>
      </c>
      <c r="E712" t="str">
        <f>"05"</f>
        <v>05</v>
      </c>
      <c r="H712">
        <v>172</v>
      </c>
      <c r="I712" t="s">
        <v>141</v>
      </c>
      <c r="J712" t="s">
        <v>144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R712" t="s">
        <v>127</v>
      </c>
      <c r="S712" t="str">
        <f t="shared" si="284"/>
        <v>15:06:30.000</v>
      </c>
      <c r="T712" t="str">
        <f t="shared" si="284"/>
        <v>15:06:30.000</v>
      </c>
      <c r="U712" t="str">
        <f t="shared" si="281"/>
        <v>A68FCB</v>
      </c>
      <c r="V712">
        <v>0</v>
      </c>
      <c r="W712">
        <v>0</v>
      </c>
      <c r="X712">
        <v>2</v>
      </c>
      <c r="Y712">
        <v>0</v>
      </c>
      <c r="AA712">
        <v>1</v>
      </c>
      <c r="AB712">
        <v>8</v>
      </c>
      <c r="AC712">
        <v>3</v>
      </c>
      <c r="AD712">
        <v>0</v>
      </c>
      <c r="AE712">
        <v>9</v>
      </c>
      <c r="AF712" t="s">
        <v>138</v>
      </c>
      <c r="AG712">
        <v>0</v>
      </c>
      <c r="AH712">
        <v>3</v>
      </c>
      <c r="AI712">
        <v>2</v>
      </c>
      <c r="AJ712">
        <v>0</v>
      </c>
      <c r="AK712" t="s">
        <v>331</v>
      </c>
      <c r="AL712">
        <v>38.968162999999997</v>
      </c>
      <c r="AM712" t="s">
        <v>330</v>
      </c>
      <c r="AN712">
        <v>-121.049981</v>
      </c>
      <c r="AO712">
        <v>25</v>
      </c>
      <c r="AP712">
        <v>2600</v>
      </c>
      <c r="AQ712" t="s">
        <v>131</v>
      </c>
      <c r="AR712">
        <v>-3</v>
      </c>
      <c r="AS712">
        <v>83</v>
      </c>
      <c r="AT712">
        <v>832</v>
      </c>
      <c r="BB712" t="str">
        <f t="shared" si="282"/>
        <v>1200</v>
      </c>
      <c r="BC712">
        <v>1</v>
      </c>
      <c r="BD712" t="str">
        <f t="shared" si="283"/>
        <v xml:space="preserve">N52156  </v>
      </c>
      <c r="BE712">
        <v>1</v>
      </c>
      <c r="BG712">
        <v>0</v>
      </c>
      <c r="BH712">
        <v>0</v>
      </c>
      <c r="BI712">
        <v>0</v>
      </c>
      <c r="BJ712">
        <v>2525</v>
      </c>
      <c r="BK712">
        <v>-75</v>
      </c>
      <c r="BL712" t="s">
        <v>188</v>
      </c>
      <c r="BM712">
        <v>1</v>
      </c>
      <c r="BN712">
        <v>1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 t="shared" si="285"/>
        <v>15:06:30.602</v>
      </c>
      <c r="CF712">
        <v>601950102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133</v>
      </c>
      <c r="DA712">
        <v>275</v>
      </c>
      <c r="DB712">
        <v>0</v>
      </c>
      <c r="DC712" t="s">
        <v>134</v>
      </c>
      <c r="DD712" t="s">
        <v>135</v>
      </c>
      <c r="DG712">
        <v>3319011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"05/01/2025 15:06:30.872"</f>
        <v>05/01/2025 15:06:30.872</v>
      </c>
      <c r="C713" t="str">
        <f t="shared" si="280"/>
        <v>FFDFD3C0</v>
      </c>
      <c r="D713" t="s">
        <v>145</v>
      </c>
      <c r="E713" t="str">
        <f>"09"</f>
        <v>09</v>
      </c>
      <c r="H713">
        <v>51</v>
      </c>
      <c r="I713" t="s">
        <v>147</v>
      </c>
      <c r="J713" t="s">
        <v>138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R713" t="s">
        <v>127</v>
      </c>
      <c r="S713" t="str">
        <f t="shared" si="284"/>
        <v>15:06:30.000</v>
      </c>
      <c r="T713" t="str">
        <f t="shared" si="284"/>
        <v>15:06:30.000</v>
      </c>
      <c r="U713" t="str">
        <f t="shared" si="281"/>
        <v>A68FCB</v>
      </c>
      <c r="V713">
        <v>0</v>
      </c>
      <c r="W713">
        <v>0</v>
      </c>
      <c r="X713">
        <v>2</v>
      </c>
      <c r="Y713">
        <v>0</v>
      </c>
      <c r="AA713">
        <v>1</v>
      </c>
      <c r="AB713">
        <v>8</v>
      </c>
      <c r="AC713">
        <v>3</v>
      </c>
      <c r="AD713">
        <v>0</v>
      </c>
      <c r="AE713">
        <v>9</v>
      </c>
      <c r="AF713" t="s">
        <v>138</v>
      </c>
      <c r="AG713">
        <v>0</v>
      </c>
      <c r="AH713">
        <v>3</v>
      </c>
      <c r="AI713">
        <v>2</v>
      </c>
      <c r="AJ713">
        <v>0</v>
      </c>
      <c r="AK713" t="s">
        <v>331</v>
      </c>
      <c r="AL713">
        <v>38.968162999999997</v>
      </c>
      <c r="AM713" t="s">
        <v>330</v>
      </c>
      <c r="AN713">
        <v>-121.049981</v>
      </c>
      <c r="AO713">
        <v>25</v>
      </c>
      <c r="AP713">
        <v>2600</v>
      </c>
      <c r="AQ713" t="s">
        <v>131</v>
      </c>
      <c r="AR713">
        <v>-3</v>
      </c>
      <c r="AS713">
        <v>83</v>
      </c>
      <c r="AT713">
        <v>832</v>
      </c>
      <c r="BB713" t="str">
        <f t="shared" si="282"/>
        <v>1200</v>
      </c>
      <c r="BC713">
        <v>1</v>
      </c>
      <c r="BD713" t="str">
        <f t="shared" si="283"/>
        <v xml:space="preserve">N52156  </v>
      </c>
      <c r="BE713">
        <v>1</v>
      </c>
      <c r="BG713">
        <v>0</v>
      </c>
      <c r="BH713">
        <v>0</v>
      </c>
      <c r="BI713">
        <v>0</v>
      </c>
      <c r="BJ713">
        <v>2525</v>
      </c>
      <c r="BK713">
        <v>-75</v>
      </c>
      <c r="BL713" t="s">
        <v>188</v>
      </c>
      <c r="BM713">
        <v>1</v>
      </c>
      <c r="BN713">
        <v>1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 t="shared" si="285"/>
        <v>15:06:30.602</v>
      </c>
      <c r="CF713">
        <v>601950102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5</v>
      </c>
      <c r="CY713">
        <v>7</v>
      </c>
      <c r="CZ713" t="s">
        <v>133</v>
      </c>
      <c r="DA713">
        <v>275</v>
      </c>
      <c r="DB713">
        <v>0</v>
      </c>
      <c r="DC713" t="s">
        <v>134</v>
      </c>
      <c r="DD713" t="s">
        <v>135</v>
      </c>
      <c r="DG713">
        <v>3319011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"05/01/2025 15:06:30.870"</f>
        <v>05/01/2025 15:06:30.870</v>
      </c>
      <c r="C714" t="str">
        <f t="shared" si="280"/>
        <v>FFDFD3C0</v>
      </c>
      <c r="D714" t="s">
        <v>145</v>
      </c>
      <c r="E714" t="str">
        <f>"05"</f>
        <v>05</v>
      </c>
      <c r="H714">
        <v>47</v>
      </c>
      <c r="I714" t="s">
        <v>146</v>
      </c>
      <c r="J714" t="s">
        <v>138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R714" t="s">
        <v>127</v>
      </c>
      <c r="S714" t="str">
        <f t="shared" si="284"/>
        <v>15:06:30.000</v>
      </c>
      <c r="T714" t="str">
        <f t="shared" si="284"/>
        <v>15:06:30.000</v>
      </c>
      <c r="U714" t="str">
        <f t="shared" si="281"/>
        <v>A68FCB</v>
      </c>
      <c r="V714">
        <v>0</v>
      </c>
      <c r="W714">
        <v>0</v>
      </c>
      <c r="X714">
        <v>2</v>
      </c>
      <c r="Y714">
        <v>0</v>
      </c>
      <c r="AA714">
        <v>1</v>
      </c>
      <c r="AB714">
        <v>8</v>
      </c>
      <c r="AC714">
        <v>3</v>
      </c>
      <c r="AD714">
        <v>0</v>
      </c>
      <c r="AE714">
        <v>9</v>
      </c>
      <c r="AF714" t="s">
        <v>138</v>
      </c>
      <c r="AG714">
        <v>0</v>
      </c>
      <c r="AH714">
        <v>3</v>
      </c>
      <c r="AI714">
        <v>2</v>
      </c>
      <c r="AJ714">
        <v>0</v>
      </c>
      <c r="AK714" t="s">
        <v>331</v>
      </c>
      <c r="AL714">
        <v>38.968162999999997</v>
      </c>
      <c r="AM714" t="s">
        <v>330</v>
      </c>
      <c r="AN714">
        <v>-121.049981</v>
      </c>
      <c r="AO714">
        <v>25</v>
      </c>
      <c r="AP714">
        <v>2600</v>
      </c>
      <c r="AQ714" t="s">
        <v>131</v>
      </c>
      <c r="AR714">
        <v>-3</v>
      </c>
      <c r="AS714">
        <v>83</v>
      </c>
      <c r="AT714">
        <v>832</v>
      </c>
      <c r="BB714" t="str">
        <f t="shared" si="282"/>
        <v>1200</v>
      </c>
      <c r="BC714">
        <v>1</v>
      </c>
      <c r="BD714" t="str">
        <f t="shared" si="283"/>
        <v xml:space="preserve">N52156  </v>
      </c>
      <c r="BE714">
        <v>1</v>
      </c>
      <c r="BG714">
        <v>0</v>
      </c>
      <c r="BH714">
        <v>0</v>
      </c>
      <c r="BI714">
        <v>0</v>
      </c>
      <c r="BJ714">
        <v>2525</v>
      </c>
      <c r="BK714">
        <v>-75</v>
      </c>
      <c r="BL714" t="s">
        <v>188</v>
      </c>
      <c r="BM714">
        <v>1</v>
      </c>
      <c r="BN714">
        <v>1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 t="shared" si="285"/>
        <v>15:06:30.602</v>
      </c>
      <c r="CF714">
        <v>601950102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133</v>
      </c>
      <c r="DA714">
        <v>275</v>
      </c>
      <c r="DB714">
        <v>0</v>
      </c>
      <c r="DC714" t="s">
        <v>134</v>
      </c>
      <c r="DD714" t="s">
        <v>135</v>
      </c>
      <c r="DG714">
        <v>3319011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"05/01/2025 15:06:30.870"</f>
        <v>05/01/2025 15:06:30.870</v>
      </c>
      <c r="C715" t="str">
        <f t="shared" si="280"/>
        <v>FFDFD3C0</v>
      </c>
      <c r="D715" t="s">
        <v>124</v>
      </c>
      <c r="E715" t="str">
        <f>"06"</f>
        <v>06</v>
      </c>
      <c r="F715">
        <v>2006</v>
      </c>
      <c r="G715" t="s">
        <v>125</v>
      </c>
      <c r="J715" t="s">
        <v>126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R715" t="s">
        <v>127</v>
      </c>
      <c r="S715" t="str">
        <f t="shared" si="284"/>
        <v>15:06:30.000</v>
      </c>
      <c r="T715" t="str">
        <f t="shared" si="284"/>
        <v>15:06:30.000</v>
      </c>
      <c r="U715" t="str">
        <f t="shared" si="281"/>
        <v>A68FCB</v>
      </c>
      <c r="V715">
        <v>0</v>
      </c>
      <c r="W715">
        <v>0</v>
      </c>
      <c r="X715">
        <v>2</v>
      </c>
      <c r="Y715">
        <v>0</v>
      </c>
      <c r="AA715">
        <v>1</v>
      </c>
      <c r="AB715">
        <v>8</v>
      </c>
      <c r="AC715">
        <v>3</v>
      </c>
      <c r="AD715">
        <v>0</v>
      </c>
      <c r="AE715">
        <v>9</v>
      </c>
      <c r="AF715" t="s">
        <v>138</v>
      </c>
      <c r="AG715">
        <v>0</v>
      </c>
      <c r="AH715">
        <v>3</v>
      </c>
      <c r="AI715">
        <v>2</v>
      </c>
      <c r="AJ715">
        <v>0</v>
      </c>
      <c r="AK715" t="s">
        <v>331</v>
      </c>
      <c r="AL715">
        <v>38.968162999999997</v>
      </c>
      <c r="AM715" t="s">
        <v>330</v>
      </c>
      <c r="AN715">
        <v>-121.049981</v>
      </c>
      <c r="AO715">
        <v>25</v>
      </c>
      <c r="AP715">
        <v>2600</v>
      </c>
      <c r="AQ715" t="s">
        <v>131</v>
      </c>
      <c r="AR715">
        <v>-3</v>
      </c>
      <c r="AS715">
        <v>83</v>
      </c>
      <c r="AT715">
        <v>832</v>
      </c>
      <c r="BB715" t="str">
        <f t="shared" si="282"/>
        <v>1200</v>
      </c>
      <c r="BC715">
        <v>1</v>
      </c>
      <c r="BD715" t="str">
        <f t="shared" si="283"/>
        <v xml:space="preserve">N52156  </v>
      </c>
      <c r="BE715">
        <v>1</v>
      </c>
      <c r="BG715">
        <v>0</v>
      </c>
      <c r="BH715">
        <v>0</v>
      </c>
      <c r="BI715">
        <v>0</v>
      </c>
      <c r="BJ715">
        <v>2525</v>
      </c>
      <c r="BK715">
        <v>-75</v>
      </c>
      <c r="BL715" t="s">
        <v>188</v>
      </c>
      <c r="BM715">
        <v>1</v>
      </c>
      <c r="BN715">
        <v>1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 t="shared" si="285"/>
        <v>15:06:30.602</v>
      </c>
      <c r="CF715">
        <v>601950102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133</v>
      </c>
      <c r="DA715">
        <v>275</v>
      </c>
      <c r="DB715">
        <v>0</v>
      </c>
      <c r="DC715" t="s">
        <v>134</v>
      </c>
      <c r="DD715" t="s">
        <v>135</v>
      </c>
      <c r="DG715">
        <v>3319011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"05/01/2025 15:06:31.561"</f>
        <v>05/01/2025 15:06:31.561</v>
      </c>
      <c r="C716" t="str">
        <f t="shared" si="280"/>
        <v>FFDFD3C0</v>
      </c>
      <c r="D716" t="s">
        <v>140</v>
      </c>
      <c r="E716" t="str">
        <f>"13"</f>
        <v>13</v>
      </c>
      <c r="F716">
        <v>1019</v>
      </c>
      <c r="G716" t="s">
        <v>141</v>
      </c>
      <c r="J716" t="s">
        <v>142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R716" t="s">
        <v>127</v>
      </c>
      <c r="S716" t="str">
        <f t="shared" ref="S716:T721" si="286">"15:06:31.000"</f>
        <v>15:06:31.000</v>
      </c>
      <c r="T716" t="str">
        <f t="shared" si="286"/>
        <v>15:06:31.000</v>
      </c>
      <c r="U716" t="str">
        <f t="shared" si="281"/>
        <v>A68FCB</v>
      </c>
      <c r="V716">
        <v>0</v>
      </c>
      <c r="W716">
        <v>0</v>
      </c>
      <c r="X716">
        <v>2</v>
      </c>
      <c r="Y716">
        <v>0</v>
      </c>
      <c r="AA716">
        <v>1</v>
      </c>
      <c r="AB716">
        <v>8</v>
      </c>
      <c r="AC716">
        <v>3</v>
      </c>
      <c r="AD716">
        <v>0</v>
      </c>
      <c r="AE716">
        <v>9</v>
      </c>
      <c r="AF716" t="s">
        <v>138</v>
      </c>
      <c r="AG716">
        <v>0</v>
      </c>
      <c r="AH716">
        <v>3</v>
      </c>
      <c r="AI716">
        <v>2</v>
      </c>
      <c r="AJ716">
        <v>0</v>
      </c>
      <c r="AK716" t="s">
        <v>332</v>
      </c>
      <c r="AL716">
        <v>38.968549000000003</v>
      </c>
      <c r="AM716" t="s">
        <v>333</v>
      </c>
      <c r="AN716">
        <v>-121.050003</v>
      </c>
      <c r="AO716">
        <v>25</v>
      </c>
      <c r="AP716">
        <v>2600</v>
      </c>
      <c r="AQ716" t="s">
        <v>131</v>
      </c>
      <c r="AR716">
        <v>-3</v>
      </c>
      <c r="AS716">
        <v>83</v>
      </c>
      <c r="AT716">
        <v>832</v>
      </c>
      <c r="BB716" t="str">
        <f t="shared" si="282"/>
        <v>1200</v>
      </c>
      <c r="BC716">
        <v>1</v>
      </c>
      <c r="BD716" t="str">
        <f t="shared" si="283"/>
        <v xml:space="preserve">N52156  </v>
      </c>
      <c r="BE716">
        <v>1</v>
      </c>
      <c r="BG716">
        <v>0</v>
      </c>
      <c r="BH716">
        <v>0</v>
      </c>
      <c r="BI716">
        <v>0</v>
      </c>
      <c r="BJ716">
        <v>2550</v>
      </c>
      <c r="BK716">
        <v>-50</v>
      </c>
      <c r="BL716" t="s">
        <v>188</v>
      </c>
      <c r="BM716">
        <v>1</v>
      </c>
      <c r="BN716">
        <v>1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 t="shared" ref="CE716:CE721" si="287">"15:06:31.339"</f>
        <v>15:06:31.339</v>
      </c>
      <c r="CF716">
        <v>339199467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5</v>
      </c>
      <c r="CY716">
        <v>7</v>
      </c>
      <c r="CZ716" t="s">
        <v>133</v>
      </c>
      <c r="DA716">
        <v>275</v>
      </c>
      <c r="DB716">
        <v>0</v>
      </c>
      <c r="DC716" t="s">
        <v>134</v>
      </c>
      <c r="DD716" t="s">
        <v>135</v>
      </c>
      <c r="DG716">
        <v>3319018</v>
      </c>
      <c r="DI716">
        <v>1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"05/01/2025 15:06:31.570"</f>
        <v>05/01/2025 15:06:31.570</v>
      </c>
      <c r="C717" t="str">
        <f t="shared" si="280"/>
        <v>FFDFD3C0</v>
      </c>
      <c r="D717" t="s">
        <v>143</v>
      </c>
      <c r="E717" t="str">
        <f>"05"</f>
        <v>05</v>
      </c>
      <c r="H717">
        <v>172</v>
      </c>
      <c r="I717" t="s">
        <v>141</v>
      </c>
      <c r="J717" t="s">
        <v>144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R717" t="s">
        <v>127</v>
      </c>
      <c r="S717" t="str">
        <f t="shared" si="286"/>
        <v>15:06:31.000</v>
      </c>
      <c r="T717" t="str">
        <f t="shared" si="286"/>
        <v>15:06:31.000</v>
      </c>
      <c r="U717" t="str">
        <f t="shared" si="281"/>
        <v>A68FCB</v>
      </c>
      <c r="V717">
        <v>0</v>
      </c>
      <c r="W717">
        <v>0</v>
      </c>
      <c r="X717">
        <v>2</v>
      </c>
      <c r="Y717">
        <v>0</v>
      </c>
      <c r="AA717">
        <v>1</v>
      </c>
      <c r="AB717">
        <v>8</v>
      </c>
      <c r="AC717">
        <v>3</v>
      </c>
      <c r="AD717">
        <v>0</v>
      </c>
      <c r="AE717">
        <v>9</v>
      </c>
      <c r="AF717" t="s">
        <v>138</v>
      </c>
      <c r="AG717">
        <v>0</v>
      </c>
      <c r="AH717">
        <v>3</v>
      </c>
      <c r="AI717">
        <v>2</v>
      </c>
      <c r="AJ717">
        <v>0</v>
      </c>
      <c r="AK717" t="s">
        <v>332</v>
      </c>
      <c r="AL717">
        <v>38.968549000000003</v>
      </c>
      <c r="AM717" t="s">
        <v>333</v>
      </c>
      <c r="AN717">
        <v>-121.050003</v>
      </c>
      <c r="AO717">
        <v>25</v>
      </c>
      <c r="AP717">
        <v>2600</v>
      </c>
      <c r="AQ717" t="s">
        <v>131</v>
      </c>
      <c r="AR717">
        <v>-3</v>
      </c>
      <c r="AS717">
        <v>83</v>
      </c>
      <c r="AT717">
        <v>832</v>
      </c>
      <c r="BB717" t="str">
        <f t="shared" si="282"/>
        <v>1200</v>
      </c>
      <c r="BC717">
        <v>1</v>
      </c>
      <c r="BD717" t="str">
        <f t="shared" si="283"/>
        <v xml:space="preserve">N52156  </v>
      </c>
      <c r="BE717">
        <v>1</v>
      </c>
      <c r="BG717">
        <v>0</v>
      </c>
      <c r="BH717">
        <v>0</v>
      </c>
      <c r="BI717">
        <v>0</v>
      </c>
      <c r="BJ717">
        <v>2550</v>
      </c>
      <c r="BK717">
        <v>-50</v>
      </c>
      <c r="BL717" t="s">
        <v>188</v>
      </c>
      <c r="BM717">
        <v>1</v>
      </c>
      <c r="BN717">
        <v>1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 t="shared" si="287"/>
        <v>15:06:31.339</v>
      </c>
      <c r="CF717">
        <v>339199467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5</v>
      </c>
      <c r="CY717">
        <v>7</v>
      </c>
      <c r="CZ717" t="s">
        <v>133</v>
      </c>
      <c r="DA717">
        <v>275</v>
      </c>
      <c r="DB717">
        <v>0</v>
      </c>
      <c r="DC717" t="s">
        <v>134</v>
      </c>
      <c r="DD717" t="s">
        <v>135</v>
      </c>
      <c r="DG717">
        <v>3319018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"05/01/2025 15:06:31.571"</f>
        <v>05/01/2025 15:06:31.571</v>
      </c>
      <c r="C718" t="str">
        <f t="shared" si="280"/>
        <v>FFDFD3C0</v>
      </c>
      <c r="D718" t="s">
        <v>124</v>
      </c>
      <c r="E718" t="str">
        <f>"06"</f>
        <v>06</v>
      </c>
      <c r="F718">
        <v>2006</v>
      </c>
      <c r="G718" t="s">
        <v>125</v>
      </c>
      <c r="J718" t="s">
        <v>126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R718" t="s">
        <v>127</v>
      </c>
      <c r="S718" t="str">
        <f t="shared" si="286"/>
        <v>15:06:31.000</v>
      </c>
      <c r="T718" t="str">
        <f t="shared" si="286"/>
        <v>15:06:31.000</v>
      </c>
      <c r="U718" t="str">
        <f t="shared" si="281"/>
        <v>A68FCB</v>
      </c>
      <c r="V718">
        <v>0</v>
      </c>
      <c r="W718">
        <v>0</v>
      </c>
      <c r="X718">
        <v>2</v>
      </c>
      <c r="Y718">
        <v>0</v>
      </c>
      <c r="AA718">
        <v>1</v>
      </c>
      <c r="AB718">
        <v>8</v>
      </c>
      <c r="AC718">
        <v>3</v>
      </c>
      <c r="AD718">
        <v>0</v>
      </c>
      <c r="AE718">
        <v>9</v>
      </c>
      <c r="AF718" t="s">
        <v>138</v>
      </c>
      <c r="AG718">
        <v>0</v>
      </c>
      <c r="AH718">
        <v>3</v>
      </c>
      <c r="AI718">
        <v>2</v>
      </c>
      <c r="AJ718">
        <v>0</v>
      </c>
      <c r="AK718" t="s">
        <v>332</v>
      </c>
      <c r="AL718">
        <v>38.968549000000003</v>
      </c>
      <c r="AM718" t="s">
        <v>333</v>
      </c>
      <c r="AN718">
        <v>-121.050003</v>
      </c>
      <c r="AO718">
        <v>25</v>
      </c>
      <c r="AP718">
        <v>2600</v>
      </c>
      <c r="AQ718" t="s">
        <v>131</v>
      </c>
      <c r="AR718">
        <v>-3</v>
      </c>
      <c r="AS718">
        <v>83</v>
      </c>
      <c r="AT718">
        <v>832</v>
      </c>
      <c r="BB718" t="str">
        <f t="shared" si="282"/>
        <v>1200</v>
      </c>
      <c r="BC718">
        <v>1</v>
      </c>
      <c r="BD718" t="str">
        <f t="shared" si="283"/>
        <v xml:space="preserve">N52156  </v>
      </c>
      <c r="BE718">
        <v>1</v>
      </c>
      <c r="BG718">
        <v>0</v>
      </c>
      <c r="BH718">
        <v>0</v>
      </c>
      <c r="BI718">
        <v>0</v>
      </c>
      <c r="BJ718">
        <v>2550</v>
      </c>
      <c r="BK718">
        <v>-50</v>
      </c>
      <c r="BL718" t="s">
        <v>188</v>
      </c>
      <c r="BM718">
        <v>1</v>
      </c>
      <c r="BN718">
        <v>1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 t="shared" si="287"/>
        <v>15:06:31.339</v>
      </c>
      <c r="CF718">
        <v>339199467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5</v>
      </c>
      <c r="CY718">
        <v>7</v>
      </c>
      <c r="CZ718" t="s">
        <v>133</v>
      </c>
      <c r="DA718">
        <v>275</v>
      </c>
      <c r="DB718">
        <v>0</v>
      </c>
      <c r="DC718" t="s">
        <v>134</v>
      </c>
      <c r="DD718" t="s">
        <v>135</v>
      </c>
      <c r="DG718">
        <v>3319018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"05/01/2025 15:06:31.573"</f>
        <v>05/01/2025 15:06:31.573</v>
      </c>
      <c r="C719" t="str">
        <f t="shared" si="280"/>
        <v>FFDFD3C0</v>
      </c>
      <c r="D719" t="s">
        <v>145</v>
      </c>
      <c r="E719" t="str">
        <f>"09"</f>
        <v>09</v>
      </c>
      <c r="H719">
        <v>51</v>
      </c>
      <c r="I719" t="s">
        <v>147</v>
      </c>
      <c r="J719" t="s">
        <v>138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R719" t="s">
        <v>127</v>
      </c>
      <c r="S719" t="str">
        <f t="shared" si="286"/>
        <v>15:06:31.000</v>
      </c>
      <c r="T719" t="str">
        <f t="shared" si="286"/>
        <v>15:06:31.000</v>
      </c>
      <c r="U719" t="str">
        <f t="shared" si="281"/>
        <v>A68FCB</v>
      </c>
      <c r="V719">
        <v>0</v>
      </c>
      <c r="W719">
        <v>0</v>
      </c>
      <c r="X719">
        <v>2</v>
      </c>
      <c r="Y719">
        <v>0</v>
      </c>
      <c r="AA719">
        <v>1</v>
      </c>
      <c r="AB719">
        <v>8</v>
      </c>
      <c r="AC719">
        <v>3</v>
      </c>
      <c r="AD719">
        <v>0</v>
      </c>
      <c r="AE719">
        <v>9</v>
      </c>
      <c r="AF719" t="s">
        <v>138</v>
      </c>
      <c r="AG719">
        <v>0</v>
      </c>
      <c r="AH719">
        <v>3</v>
      </c>
      <c r="AI719">
        <v>2</v>
      </c>
      <c r="AJ719">
        <v>0</v>
      </c>
      <c r="AK719" t="s">
        <v>332</v>
      </c>
      <c r="AL719">
        <v>38.968549000000003</v>
      </c>
      <c r="AM719" t="s">
        <v>333</v>
      </c>
      <c r="AN719">
        <v>-121.050003</v>
      </c>
      <c r="AO719">
        <v>25</v>
      </c>
      <c r="AP719">
        <v>2600</v>
      </c>
      <c r="AQ719" t="s">
        <v>131</v>
      </c>
      <c r="AR719">
        <v>-3</v>
      </c>
      <c r="AS719">
        <v>83</v>
      </c>
      <c r="AT719">
        <v>832</v>
      </c>
      <c r="BB719" t="str">
        <f t="shared" si="282"/>
        <v>1200</v>
      </c>
      <c r="BC719">
        <v>1</v>
      </c>
      <c r="BD719" t="str">
        <f t="shared" si="283"/>
        <v xml:space="preserve">N52156  </v>
      </c>
      <c r="BE719">
        <v>1</v>
      </c>
      <c r="BG719">
        <v>0</v>
      </c>
      <c r="BH719">
        <v>0</v>
      </c>
      <c r="BI719">
        <v>0</v>
      </c>
      <c r="BJ719">
        <v>2550</v>
      </c>
      <c r="BK719">
        <v>-50</v>
      </c>
      <c r="BL719" t="s">
        <v>188</v>
      </c>
      <c r="BM719">
        <v>1</v>
      </c>
      <c r="BN719">
        <v>1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 t="shared" si="287"/>
        <v>15:06:31.339</v>
      </c>
      <c r="CF719">
        <v>339199467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5</v>
      </c>
      <c r="CY719">
        <v>7</v>
      </c>
      <c r="CZ719" t="s">
        <v>133</v>
      </c>
      <c r="DA719">
        <v>275</v>
      </c>
      <c r="DB719">
        <v>0</v>
      </c>
      <c r="DC719" t="s">
        <v>134</v>
      </c>
      <c r="DD719" t="s">
        <v>135</v>
      </c>
      <c r="DG719">
        <v>3319018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"05/01/2025 15:06:31.571"</f>
        <v>05/01/2025 15:06:31.571</v>
      </c>
      <c r="C720" t="str">
        <f t="shared" si="280"/>
        <v>FFDFD3C0</v>
      </c>
      <c r="D720" t="s">
        <v>145</v>
      </c>
      <c r="E720" t="str">
        <f>"05"</f>
        <v>05</v>
      </c>
      <c r="H720">
        <v>47</v>
      </c>
      <c r="I720" t="s">
        <v>146</v>
      </c>
      <c r="J720" t="s">
        <v>138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R720" t="s">
        <v>127</v>
      </c>
      <c r="S720" t="str">
        <f t="shared" si="286"/>
        <v>15:06:31.000</v>
      </c>
      <c r="T720" t="str">
        <f t="shared" si="286"/>
        <v>15:06:31.000</v>
      </c>
      <c r="U720" t="str">
        <f t="shared" si="281"/>
        <v>A68FCB</v>
      </c>
      <c r="V720">
        <v>0</v>
      </c>
      <c r="W720">
        <v>0</v>
      </c>
      <c r="X720">
        <v>2</v>
      </c>
      <c r="Y720">
        <v>0</v>
      </c>
      <c r="AA720">
        <v>1</v>
      </c>
      <c r="AB720">
        <v>8</v>
      </c>
      <c r="AC720">
        <v>3</v>
      </c>
      <c r="AD720">
        <v>0</v>
      </c>
      <c r="AE720">
        <v>9</v>
      </c>
      <c r="AF720" t="s">
        <v>138</v>
      </c>
      <c r="AG720">
        <v>0</v>
      </c>
      <c r="AH720">
        <v>3</v>
      </c>
      <c r="AI720">
        <v>2</v>
      </c>
      <c r="AJ720">
        <v>0</v>
      </c>
      <c r="AK720" t="s">
        <v>332</v>
      </c>
      <c r="AL720">
        <v>38.968549000000003</v>
      </c>
      <c r="AM720" t="s">
        <v>333</v>
      </c>
      <c r="AN720">
        <v>-121.050003</v>
      </c>
      <c r="AO720">
        <v>25</v>
      </c>
      <c r="AP720">
        <v>2600</v>
      </c>
      <c r="AQ720" t="s">
        <v>131</v>
      </c>
      <c r="AR720">
        <v>-3</v>
      </c>
      <c r="AS720">
        <v>83</v>
      </c>
      <c r="AT720">
        <v>832</v>
      </c>
      <c r="BB720" t="str">
        <f t="shared" si="282"/>
        <v>1200</v>
      </c>
      <c r="BC720">
        <v>1</v>
      </c>
      <c r="BD720" t="str">
        <f t="shared" si="283"/>
        <v xml:space="preserve">N52156  </v>
      </c>
      <c r="BE720">
        <v>1</v>
      </c>
      <c r="BG720">
        <v>0</v>
      </c>
      <c r="BH720">
        <v>0</v>
      </c>
      <c r="BI720">
        <v>0</v>
      </c>
      <c r="BJ720">
        <v>2550</v>
      </c>
      <c r="BK720">
        <v>-50</v>
      </c>
      <c r="BL720" t="s">
        <v>188</v>
      </c>
      <c r="BM720">
        <v>1</v>
      </c>
      <c r="BN720">
        <v>1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 t="shared" si="287"/>
        <v>15:06:31.339</v>
      </c>
      <c r="CF720">
        <v>339199467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133</v>
      </c>
      <c r="DA720">
        <v>275</v>
      </c>
      <c r="DB720">
        <v>0</v>
      </c>
      <c r="DC720" t="s">
        <v>134</v>
      </c>
      <c r="DD720" t="s">
        <v>135</v>
      </c>
      <c r="DG720">
        <v>3319018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"05/01/2025 15:06:31.582"</f>
        <v>05/01/2025 15:06:31.582</v>
      </c>
      <c r="C721" t="str">
        <f t="shared" si="280"/>
        <v>FFDFD3C0</v>
      </c>
      <c r="D721" t="s">
        <v>136</v>
      </c>
      <c r="E721" t="str">
        <f>"20"</f>
        <v>20</v>
      </c>
      <c r="H721">
        <v>400</v>
      </c>
      <c r="I721" t="s">
        <v>137</v>
      </c>
      <c r="J721" t="s">
        <v>138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R721" t="s">
        <v>127</v>
      </c>
      <c r="S721" t="str">
        <f t="shared" si="286"/>
        <v>15:06:31.000</v>
      </c>
      <c r="T721" t="str">
        <f t="shared" si="286"/>
        <v>15:06:31.000</v>
      </c>
      <c r="U721" t="str">
        <f t="shared" si="281"/>
        <v>A68FCB</v>
      </c>
      <c r="V721">
        <v>0</v>
      </c>
      <c r="W721">
        <v>0</v>
      </c>
      <c r="X721">
        <v>2</v>
      </c>
      <c r="Y721">
        <v>0</v>
      </c>
      <c r="AA721">
        <v>1</v>
      </c>
      <c r="AB721">
        <v>8</v>
      </c>
      <c r="AC721">
        <v>3</v>
      </c>
      <c r="AD721">
        <v>0</v>
      </c>
      <c r="AE721">
        <v>9</v>
      </c>
      <c r="AF721" t="s">
        <v>138</v>
      </c>
      <c r="AG721">
        <v>0</v>
      </c>
      <c r="AH721">
        <v>3</v>
      </c>
      <c r="AI721">
        <v>2</v>
      </c>
      <c r="AJ721">
        <v>0</v>
      </c>
      <c r="AK721" t="s">
        <v>332</v>
      </c>
      <c r="AL721">
        <v>38.968549000000003</v>
      </c>
      <c r="AM721" t="s">
        <v>333</v>
      </c>
      <c r="AN721">
        <v>-121.050003</v>
      </c>
      <c r="AO721">
        <v>25</v>
      </c>
      <c r="AP721">
        <v>2600</v>
      </c>
      <c r="AQ721" t="s">
        <v>131</v>
      </c>
      <c r="AR721">
        <v>-3</v>
      </c>
      <c r="AS721">
        <v>83</v>
      </c>
      <c r="AT721">
        <v>832</v>
      </c>
      <c r="BB721" t="str">
        <f t="shared" si="282"/>
        <v>1200</v>
      </c>
      <c r="BC721">
        <v>1</v>
      </c>
      <c r="BD721" t="str">
        <f t="shared" si="283"/>
        <v xml:space="preserve">N52156  </v>
      </c>
      <c r="BE721">
        <v>1</v>
      </c>
      <c r="BG721">
        <v>0</v>
      </c>
      <c r="BH721">
        <v>0</v>
      </c>
      <c r="BI721">
        <v>0</v>
      </c>
      <c r="BJ721">
        <v>2550</v>
      </c>
      <c r="BK721">
        <v>-50</v>
      </c>
      <c r="BL721" t="s">
        <v>188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 t="shared" si="287"/>
        <v>15:06:31.339</v>
      </c>
      <c r="CF721">
        <v>339199467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5</v>
      </c>
      <c r="CY721">
        <v>7</v>
      </c>
      <c r="CZ721" t="s">
        <v>133</v>
      </c>
      <c r="DA721">
        <v>275</v>
      </c>
      <c r="DB721">
        <v>0</v>
      </c>
      <c r="DC721" t="s">
        <v>134</v>
      </c>
      <c r="DD721" t="s">
        <v>135</v>
      </c>
      <c r="DG721">
        <v>3319018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"05/01/2025 15:06:32.923"</f>
        <v>05/01/2025 15:06:32.923</v>
      </c>
      <c r="C722" t="str">
        <f t="shared" si="280"/>
        <v>FFDFD3C0</v>
      </c>
      <c r="D722" t="s">
        <v>143</v>
      </c>
      <c r="E722" t="str">
        <f>"05"</f>
        <v>05</v>
      </c>
      <c r="H722">
        <v>172</v>
      </c>
      <c r="I722" t="s">
        <v>141</v>
      </c>
      <c r="J722" t="s">
        <v>144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R722" t="s">
        <v>127</v>
      </c>
      <c r="S722" t="str">
        <f t="shared" ref="S722:T727" si="288">"15:06:32.000"</f>
        <v>15:06:32.000</v>
      </c>
      <c r="T722" t="str">
        <f t="shared" si="288"/>
        <v>15:06:32.000</v>
      </c>
      <c r="U722" t="str">
        <f t="shared" si="281"/>
        <v>A68FCB</v>
      </c>
      <c r="V722">
        <v>0</v>
      </c>
      <c r="W722">
        <v>0</v>
      </c>
      <c r="X722">
        <v>2</v>
      </c>
      <c r="Y722">
        <v>0</v>
      </c>
      <c r="AA722">
        <v>1</v>
      </c>
      <c r="AB722">
        <v>8</v>
      </c>
      <c r="AC722">
        <v>3</v>
      </c>
      <c r="AD722">
        <v>0</v>
      </c>
      <c r="AE722">
        <v>9</v>
      </c>
      <c r="AF722" t="s">
        <v>138</v>
      </c>
      <c r="AG722">
        <v>0</v>
      </c>
      <c r="AH722">
        <v>3</v>
      </c>
      <c r="AI722">
        <v>2</v>
      </c>
      <c r="AJ722">
        <v>0</v>
      </c>
      <c r="AK722" t="s">
        <v>334</v>
      </c>
      <c r="AL722">
        <v>38.968935000000002</v>
      </c>
      <c r="AM722" t="s">
        <v>335</v>
      </c>
      <c r="AN722">
        <v>-121.05002399999999</v>
      </c>
      <c r="AO722">
        <v>25</v>
      </c>
      <c r="AP722">
        <v>2600</v>
      </c>
      <c r="AQ722" t="s">
        <v>131</v>
      </c>
      <c r="AR722">
        <v>-4</v>
      </c>
      <c r="AS722">
        <v>82</v>
      </c>
      <c r="AT722">
        <v>832</v>
      </c>
      <c r="BB722" t="str">
        <f t="shared" si="282"/>
        <v>1200</v>
      </c>
      <c r="BC722">
        <v>1</v>
      </c>
      <c r="BD722" t="str">
        <f t="shared" si="283"/>
        <v xml:space="preserve">N52156  </v>
      </c>
      <c r="BE722">
        <v>1</v>
      </c>
      <c r="BG722">
        <v>0</v>
      </c>
      <c r="BH722">
        <v>0</v>
      </c>
      <c r="BI722">
        <v>0</v>
      </c>
      <c r="BJ722">
        <v>2550</v>
      </c>
      <c r="BK722">
        <v>-50</v>
      </c>
      <c r="BL722" t="s">
        <v>188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 t="shared" ref="CE722:CE727" si="289">"15:06:32.728"</f>
        <v>15:06:32.728</v>
      </c>
      <c r="CF722">
        <v>728200480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5</v>
      </c>
      <c r="CY722">
        <v>7</v>
      </c>
      <c r="CZ722" t="s">
        <v>133</v>
      </c>
      <c r="DA722">
        <v>275</v>
      </c>
      <c r="DB722">
        <v>0</v>
      </c>
      <c r="DC722" t="s">
        <v>134</v>
      </c>
      <c r="DD722" t="s">
        <v>135</v>
      </c>
      <c r="DG722">
        <v>3319034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"05/01/2025 15:06:32.923"</f>
        <v>05/01/2025 15:06:32.923</v>
      </c>
      <c r="C723" t="str">
        <f t="shared" si="280"/>
        <v>FFDFD3C0</v>
      </c>
      <c r="D723" t="s">
        <v>145</v>
      </c>
      <c r="E723" t="str">
        <f>"05"</f>
        <v>05</v>
      </c>
      <c r="H723">
        <v>47</v>
      </c>
      <c r="I723" t="s">
        <v>146</v>
      </c>
      <c r="J723" t="s">
        <v>138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R723" t="s">
        <v>127</v>
      </c>
      <c r="S723" t="str">
        <f t="shared" si="288"/>
        <v>15:06:32.000</v>
      </c>
      <c r="T723" t="str">
        <f t="shared" si="288"/>
        <v>15:06:32.000</v>
      </c>
      <c r="U723" t="str">
        <f t="shared" si="281"/>
        <v>A68FCB</v>
      </c>
      <c r="V723">
        <v>0</v>
      </c>
      <c r="W723">
        <v>0</v>
      </c>
      <c r="X723">
        <v>2</v>
      </c>
      <c r="Y723">
        <v>0</v>
      </c>
      <c r="AA723">
        <v>1</v>
      </c>
      <c r="AB723">
        <v>8</v>
      </c>
      <c r="AC723">
        <v>3</v>
      </c>
      <c r="AD723">
        <v>0</v>
      </c>
      <c r="AE723">
        <v>9</v>
      </c>
      <c r="AF723" t="s">
        <v>138</v>
      </c>
      <c r="AG723">
        <v>0</v>
      </c>
      <c r="AH723">
        <v>3</v>
      </c>
      <c r="AI723">
        <v>2</v>
      </c>
      <c r="AJ723">
        <v>0</v>
      </c>
      <c r="AK723" t="s">
        <v>334</v>
      </c>
      <c r="AL723">
        <v>38.968935000000002</v>
      </c>
      <c r="AM723" t="s">
        <v>335</v>
      </c>
      <c r="AN723">
        <v>-121.05002399999999</v>
      </c>
      <c r="AO723">
        <v>25</v>
      </c>
      <c r="AP723">
        <v>2600</v>
      </c>
      <c r="AQ723" t="s">
        <v>131</v>
      </c>
      <c r="AR723">
        <v>-4</v>
      </c>
      <c r="AS723">
        <v>82</v>
      </c>
      <c r="AT723">
        <v>832</v>
      </c>
      <c r="BB723" t="str">
        <f t="shared" si="282"/>
        <v>1200</v>
      </c>
      <c r="BC723">
        <v>1</v>
      </c>
      <c r="BD723" t="str">
        <f t="shared" si="283"/>
        <v xml:space="preserve">N52156  </v>
      </c>
      <c r="BE723">
        <v>1</v>
      </c>
      <c r="BG723">
        <v>0</v>
      </c>
      <c r="BH723">
        <v>0</v>
      </c>
      <c r="BI723">
        <v>0</v>
      </c>
      <c r="BJ723">
        <v>2550</v>
      </c>
      <c r="BK723">
        <v>-50</v>
      </c>
      <c r="BL723" t="s">
        <v>188</v>
      </c>
      <c r="BM723">
        <v>1</v>
      </c>
      <c r="BN723">
        <v>1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 t="shared" si="289"/>
        <v>15:06:32.728</v>
      </c>
      <c r="CF723">
        <v>728200480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5</v>
      </c>
      <c r="CY723">
        <v>7</v>
      </c>
      <c r="CZ723" t="s">
        <v>133</v>
      </c>
      <c r="DA723">
        <v>275</v>
      </c>
      <c r="DB723">
        <v>0</v>
      </c>
      <c r="DC723" t="s">
        <v>134</v>
      </c>
      <c r="DD723" t="s">
        <v>135</v>
      </c>
      <c r="DG723">
        <v>3319034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"05/01/2025 15:06:32.925"</f>
        <v>05/01/2025 15:06:32.925</v>
      </c>
      <c r="C724" t="str">
        <f t="shared" si="280"/>
        <v>FFDFD3C0</v>
      </c>
      <c r="D724" t="s">
        <v>145</v>
      </c>
      <c r="E724" t="str">
        <f>"09"</f>
        <v>09</v>
      </c>
      <c r="H724">
        <v>51</v>
      </c>
      <c r="I724" t="s">
        <v>147</v>
      </c>
      <c r="J724" t="s">
        <v>138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R724" t="s">
        <v>127</v>
      </c>
      <c r="S724" t="str">
        <f t="shared" si="288"/>
        <v>15:06:32.000</v>
      </c>
      <c r="T724" t="str">
        <f t="shared" si="288"/>
        <v>15:06:32.000</v>
      </c>
      <c r="U724" t="str">
        <f t="shared" si="281"/>
        <v>A68FCB</v>
      </c>
      <c r="V724">
        <v>0</v>
      </c>
      <c r="W724">
        <v>0</v>
      </c>
      <c r="X724">
        <v>2</v>
      </c>
      <c r="Y724">
        <v>0</v>
      </c>
      <c r="AA724">
        <v>1</v>
      </c>
      <c r="AB724">
        <v>8</v>
      </c>
      <c r="AC724">
        <v>3</v>
      </c>
      <c r="AD724">
        <v>0</v>
      </c>
      <c r="AE724">
        <v>9</v>
      </c>
      <c r="AF724" t="s">
        <v>138</v>
      </c>
      <c r="AG724">
        <v>0</v>
      </c>
      <c r="AH724">
        <v>3</v>
      </c>
      <c r="AI724">
        <v>2</v>
      </c>
      <c r="AJ724">
        <v>0</v>
      </c>
      <c r="AK724" t="s">
        <v>334</v>
      </c>
      <c r="AL724">
        <v>38.968935000000002</v>
      </c>
      <c r="AM724" t="s">
        <v>335</v>
      </c>
      <c r="AN724">
        <v>-121.05002399999999</v>
      </c>
      <c r="AO724">
        <v>25</v>
      </c>
      <c r="AP724">
        <v>2600</v>
      </c>
      <c r="AQ724" t="s">
        <v>131</v>
      </c>
      <c r="AR724">
        <v>-4</v>
      </c>
      <c r="AS724">
        <v>82</v>
      </c>
      <c r="AT724">
        <v>832</v>
      </c>
      <c r="BB724" t="str">
        <f t="shared" si="282"/>
        <v>1200</v>
      </c>
      <c r="BC724">
        <v>1</v>
      </c>
      <c r="BD724" t="str">
        <f t="shared" si="283"/>
        <v xml:space="preserve">N52156  </v>
      </c>
      <c r="BE724">
        <v>1</v>
      </c>
      <c r="BG724">
        <v>0</v>
      </c>
      <c r="BH724">
        <v>0</v>
      </c>
      <c r="BI724">
        <v>0</v>
      </c>
      <c r="BJ724">
        <v>2550</v>
      </c>
      <c r="BK724">
        <v>-50</v>
      </c>
      <c r="BL724" t="s">
        <v>188</v>
      </c>
      <c r="BM724">
        <v>1</v>
      </c>
      <c r="BN724">
        <v>1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 t="shared" si="289"/>
        <v>15:06:32.728</v>
      </c>
      <c r="CF724">
        <v>728200480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5</v>
      </c>
      <c r="CY724">
        <v>7</v>
      </c>
      <c r="CZ724" t="s">
        <v>133</v>
      </c>
      <c r="DA724">
        <v>275</v>
      </c>
      <c r="DB724">
        <v>0</v>
      </c>
      <c r="DC724" t="s">
        <v>134</v>
      </c>
      <c r="DD724" t="s">
        <v>135</v>
      </c>
      <c r="DG724">
        <v>3319034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"05/01/2025 15:06:32.924"</f>
        <v>05/01/2025 15:06:32.924</v>
      </c>
      <c r="C725" t="str">
        <f t="shared" si="280"/>
        <v>FFDFD3C0</v>
      </c>
      <c r="D725" t="s">
        <v>124</v>
      </c>
      <c r="E725" t="str">
        <f>"06"</f>
        <v>06</v>
      </c>
      <c r="F725">
        <v>2006</v>
      </c>
      <c r="G725" t="s">
        <v>125</v>
      </c>
      <c r="J725" t="s">
        <v>126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R725" t="s">
        <v>127</v>
      </c>
      <c r="S725" t="str">
        <f t="shared" si="288"/>
        <v>15:06:32.000</v>
      </c>
      <c r="T725" t="str">
        <f t="shared" si="288"/>
        <v>15:06:32.000</v>
      </c>
      <c r="U725" t="str">
        <f t="shared" si="281"/>
        <v>A68FCB</v>
      </c>
      <c r="V725">
        <v>0</v>
      </c>
      <c r="W725">
        <v>0</v>
      </c>
      <c r="X725">
        <v>2</v>
      </c>
      <c r="Y725">
        <v>0</v>
      </c>
      <c r="AA725">
        <v>1</v>
      </c>
      <c r="AB725">
        <v>8</v>
      </c>
      <c r="AC725">
        <v>3</v>
      </c>
      <c r="AD725">
        <v>0</v>
      </c>
      <c r="AE725">
        <v>9</v>
      </c>
      <c r="AF725" t="s">
        <v>138</v>
      </c>
      <c r="AG725">
        <v>0</v>
      </c>
      <c r="AH725">
        <v>3</v>
      </c>
      <c r="AI725">
        <v>2</v>
      </c>
      <c r="AJ725">
        <v>0</v>
      </c>
      <c r="AK725" t="s">
        <v>334</v>
      </c>
      <c r="AL725">
        <v>38.968935000000002</v>
      </c>
      <c r="AM725" t="s">
        <v>335</v>
      </c>
      <c r="AN725">
        <v>-121.05002399999999</v>
      </c>
      <c r="AO725">
        <v>25</v>
      </c>
      <c r="AP725">
        <v>2600</v>
      </c>
      <c r="AQ725" t="s">
        <v>131</v>
      </c>
      <c r="AR725">
        <v>-4</v>
      </c>
      <c r="AS725">
        <v>82</v>
      </c>
      <c r="AT725">
        <v>832</v>
      </c>
      <c r="BB725" t="str">
        <f t="shared" si="282"/>
        <v>1200</v>
      </c>
      <c r="BC725">
        <v>1</v>
      </c>
      <c r="BD725" t="str">
        <f t="shared" si="283"/>
        <v xml:space="preserve">N52156  </v>
      </c>
      <c r="BE725">
        <v>1</v>
      </c>
      <c r="BG725">
        <v>0</v>
      </c>
      <c r="BH725">
        <v>0</v>
      </c>
      <c r="BI725">
        <v>0</v>
      </c>
      <c r="BJ725">
        <v>2550</v>
      </c>
      <c r="BK725">
        <v>-50</v>
      </c>
      <c r="BL725" t="s">
        <v>188</v>
      </c>
      <c r="BM725">
        <v>1</v>
      </c>
      <c r="BN725">
        <v>1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 t="shared" si="289"/>
        <v>15:06:32.728</v>
      </c>
      <c r="CF725">
        <v>728200480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5</v>
      </c>
      <c r="CY725">
        <v>7</v>
      </c>
      <c r="CZ725" t="s">
        <v>133</v>
      </c>
      <c r="DA725">
        <v>275</v>
      </c>
      <c r="DB725">
        <v>0</v>
      </c>
      <c r="DC725" t="s">
        <v>134</v>
      </c>
      <c r="DD725" t="s">
        <v>135</v>
      </c>
      <c r="DG725">
        <v>3319034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"05/01/2025 15:06:32.934"</f>
        <v>05/01/2025 15:06:32.934</v>
      </c>
      <c r="C726" t="str">
        <f t="shared" si="280"/>
        <v>FFDFD3C0</v>
      </c>
      <c r="D726" t="s">
        <v>136</v>
      </c>
      <c r="E726" t="str">
        <f>"20"</f>
        <v>20</v>
      </c>
      <c r="H726">
        <v>400</v>
      </c>
      <c r="I726" t="s">
        <v>137</v>
      </c>
      <c r="J726" t="s">
        <v>138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R726" t="s">
        <v>127</v>
      </c>
      <c r="S726" t="str">
        <f t="shared" si="288"/>
        <v>15:06:32.000</v>
      </c>
      <c r="T726" t="str">
        <f t="shared" si="288"/>
        <v>15:06:32.000</v>
      </c>
      <c r="U726" t="str">
        <f t="shared" si="281"/>
        <v>A68FCB</v>
      </c>
      <c r="V726">
        <v>0</v>
      </c>
      <c r="W726">
        <v>0</v>
      </c>
      <c r="X726">
        <v>2</v>
      </c>
      <c r="Y726">
        <v>0</v>
      </c>
      <c r="AA726">
        <v>1</v>
      </c>
      <c r="AB726">
        <v>8</v>
      </c>
      <c r="AC726">
        <v>3</v>
      </c>
      <c r="AD726">
        <v>0</v>
      </c>
      <c r="AE726">
        <v>9</v>
      </c>
      <c r="AF726" t="s">
        <v>138</v>
      </c>
      <c r="AG726">
        <v>0</v>
      </c>
      <c r="AH726">
        <v>3</v>
      </c>
      <c r="AI726">
        <v>2</v>
      </c>
      <c r="AJ726">
        <v>0</v>
      </c>
      <c r="AK726" t="s">
        <v>334</v>
      </c>
      <c r="AL726">
        <v>38.968935000000002</v>
      </c>
      <c r="AM726" t="s">
        <v>335</v>
      </c>
      <c r="AN726">
        <v>-121.05002399999999</v>
      </c>
      <c r="AO726">
        <v>25</v>
      </c>
      <c r="AP726">
        <v>2600</v>
      </c>
      <c r="AQ726" t="s">
        <v>131</v>
      </c>
      <c r="AR726">
        <v>-4</v>
      </c>
      <c r="AS726">
        <v>82</v>
      </c>
      <c r="AT726">
        <v>832</v>
      </c>
      <c r="BB726" t="str">
        <f t="shared" si="282"/>
        <v>1200</v>
      </c>
      <c r="BC726">
        <v>1</v>
      </c>
      <c r="BD726" t="str">
        <f t="shared" si="283"/>
        <v xml:space="preserve">N52156  </v>
      </c>
      <c r="BE726">
        <v>1</v>
      </c>
      <c r="BG726">
        <v>0</v>
      </c>
      <c r="BH726">
        <v>0</v>
      </c>
      <c r="BI726">
        <v>0</v>
      </c>
      <c r="BJ726">
        <v>2550</v>
      </c>
      <c r="BK726">
        <v>-50</v>
      </c>
      <c r="BL726" t="s">
        <v>188</v>
      </c>
      <c r="BM726">
        <v>1</v>
      </c>
      <c r="BN726">
        <v>1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 t="shared" si="289"/>
        <v>15:06:32.728</v>
      </c>
      <c r="CF726">
        <v>728200480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5</v>
      </c>
      <c r="CY726">
        <v>7</v>
      </c>
      <c r="CZ726" t="s">
        <v>133</v>
      </c>
      <c r="DA726">
        <v>275</v>
      </c>
      <c r="DB726">
        <v>0</v>
      </c>
      <c r="DC726" t="s">
        <v>134</v>
      </c>
      <c r="DD726" t="s">
        <v>135</v>
      </c>
      <c r="DG726">
        <v>3319034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"05/01/2025 15:06:32.964"</f>
        <v>05/01/2025 15:06:32.964</v>
      </c>
      <c r="C727" t="str">
        <f t="shared" si="280"/>
        <v>FFDFD3C0</v>
      </c>
      <c r="D727" t="s">
        <v>140</v>
      </c>
      <c r="E727" t="str">
        <f>"13"</f>
        <v>13</v>
      </c>
      <c r="F727">
        <v>1019</v>
      </c>
      <c r="G727" t="s">
        <v>141</v>
      </c>
      <c r="J727" t="s">
        <v>142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R727" t="s">
        <v>127</v>
      </c>
      <c r="S727" t="str">
        <f t="shared" si="288"/>
        <v>15:06:32.000</v>
      </c>
      <c r="T727" t="str">
        <f t="shared" si="288"/>
        <v>15:06:32.000</v>
      </c>
      <c r="U727" t="str">
        <f t="shared" si="281"/>
        <v>A68FCB</v>
      </c>
      <c r="V727">
        <v>0</v>
      </c>
      <c r="W727">
        <v>0</v>
      </c>
      <c r="X727">
        <v>2</v>
      </c>
      <c r="Y727">
        <v>0</v>
      </c>
      <c r="AA727">
        <v>1</v>
      </c>
      <c r="AB727">
        <v>8</v>
      </c>
      <c r="AC727">
        <v>3</v>
      </c>
      <c r="AD727">
        <v>0</v>
      </c>
      <c r="AE727">
        <v>9</v>
      </c>
      <c r="AF727" t="s">
        <v>138</v>
      </c>
      <c r="AG727">
        <v>0</v>
      </c>
      <c r="AH727">
        <v>3</v>
      </c>
      <c r="AI727">
        <v>2</v>
      </c>
      <c r="AJ727">
        <v>0</v>
      </c>
      <c r="AK727" t="s">
        <v>334</v>
      </c>
      <c r="AL727">
        <v>38.968935000000002</v>
      </c>
      <c r="AM727" t="s">
        <v>335</v>
      </c>
      <c r="AN727">
        <v>-121.05002399999999</v>
      </c>
      <c r="AO727">
        <v>25</v>
      </c>
      <c r="AP727">
        <v>2600</v>
      </c>
      <c r="AQ727" t="s">
        <v>131</v>
      </c>
      <c r="AR727">
        <v>-4</v>
      </c>
      <c r="AS727">
        <v>82</v>
      </c>
      <c r="AT727">
        <v>832</v>
      </c>
      <c r="BB727" t="str">
        <f t="shared" si="282"/>
        <v>1200</v>
      </c>
      <c r="BC727">
        <v>1</v>
      </c>
      <c r="BD727" t="str">
        <f t="shared" si="283"/>
        <v xml:space="preserve">N52156  </v>
      </c>
      <c r="BE727">
        <v>1</v>
      </c>
      <c r="BG727">
        <v>0</v>
      </c>
      <c r="BH727">
        <v>0</v>
      </c>
      <c r="BI727">
        <v>0</v>
      </c>
      <c r="BJ727">
        <v>2550</v>
      </c>
      <c r="BK727">
        <v>-50</v>
      </c>
      <c r="BL727" t="s">
        <v>188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 t="shared" si="289"/>
        <v>15:06:32.728</v>
      </c>
      <c r="CF727">
        <v>728200480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5</v>
      </c>
      <c r="CY727">
        <v>7</v>
      </c>
      <c r="CZ727" t="s">
        <v>133</v>
      </c>
      <c r="DA727">
        <v>275</v>
      </c>
      <c r="DB727">
        <v>0</v>
      </c>
      <c r="DC727" t="s">
        <v>134</v>
      </c>
      <c r="DD727" t="s">
        <v>135</v>
      </c>
      <c r="DG727">
        <v>3319034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"05/01/2025 15:06:33.874"</f>
        <v>05/01/2025 15:06:33.874</v>
      </c>
      <c r="C728" t="str">
        <f t="shared" si="280"/>
        <v>FFDFD3C0</v>
      </c>
      <c r="D728" t="s">
        <v>145</v>
      </c>
      <c r="E728" t="str">
        <f>"05"</f>
        <v>05</v>
      </c>
      <c r="H728">
        <v>47</v>
      </c>
      <c r="I728" t="s">
        <v>146</v>
      </c>
      <c r="J728" t="s">
        <v>138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R728" t="s">
        <v>127</v>
      </c>
      <c r="S728" t="str">
        <f t="shared" ref="S728:T733" si="290">"15:06:33.000"</f>
        <v>15:06:33.000</v>
      </c>
      <c r="T728" t="str">
        <f t="shared" si="290"/>
        <v>15:06:33.000</v>
      </c>
      <c r="U728" t="str">
        <f t="shared" si="281"/>
        <v>A68FCB</v>
      </c>
      <c r="V728">
        <v>0</v>
      </c>
      <c r="W728">
        <v>0</v>
      </c>
      <c r="X728">
        <v>2</v>
      </c>
      <c r="Y728">
        <v>0</v>
      </c>
      <c r="AA728">
        <v>1</v>
      </c>
      <c r="AB728">
        <v>8</v>
      </c>
      <c r="AC728">
        <v>3</v>
      </c>
      <c r="AD728">
        <v>0</v>
      </c>
      <c r="AE728">
        <v>9</v>
      </c>
      <c r="AF728" t="s">
        <v>138</v>
      </c>
      <c r="AG728">
        <v>0</v>
      </c>
      <c r="AH728">
        <v>3</v>
      </c>
      <c r="AI728">
        <v>2</v>
      </c>
      <c r="AJ728">
        <v>0</v>
      </c>
      <c r="AK728" t="s">
        <v>336</v>
      </c>
      <c r="AL728">
        <v>38.969321000000001</v>
      </c>
      <c r="AM728" t="s">
        <v>337</v>
      </c>
      <c r="AN728">
        <v>-121.050045</v>
      </c>
      <c r="AO728">
        <v>25</v>
      </c>
      <c r="AP728">
        <v>2700</v>
      </c>
      <c r="AQ728" t="s">
        <v>131</v>
      </c>
      <c r="AR728">
        <v>-4</v>
      </c>
      <c r="AS728">
        <v>82</v>
      </c>
      <c r="AT728">
        <v>832</v>
      </c>
      <c r="BB728" t="str">
        <f t="shared" si="282"/>
        <v>1200</v>
      </c>
      <c r="BC728">
        <v>1</v>
      </c>
      <c r="BD728" t="str">
        <f t="shared" si="283"/>
        <v xml:space="preserve">N52156  </v>
      </c>
      <c r="BE728">
        <v>1</v>
      </c>
      <c r="BG728">
        <v>0</v>
      </c>
      <c r="BH728">
        <v>0</v>
      </c>
      <c r="BI728">
        <v>0</v>
      </c>
      <c r="BJ728">
        <v>2600</v>
      </c>
      <c r="BK728">
        <v>-100</v>
      </c>
      <c r="BL728" t="s">
        <v>188</v>
      </c>
      <c r="BM728">
        <v>1</v>
      </c>
      <c r="BN728">
        <v>1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 t="shared" ref="CE728:CE733" si="291">"15:06:33.665"</f>
        <v>15:06:33.665</v>
      </c>
      <c r="CF728">
        <v>664950347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133</v>
      </c>
      <c r="DA728">
        <v>275</v>
      </c>
      <c r="DB728">
        <v>0</v>
      </c>
      <c r="DC728" t="s">
        <v>134</v>
      </c>
      <c r="DD728" t="s">
        <v>135</v>
      </c>
      <c r="DG728">
        <v>3319048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"05/01/2025 15:06:33.875"</f>
        <v>05/01/2025 15:06:33.875</v>
      </c>
      <c r="C729" t="str">
        <f t="shared" si="280"/>
        <v>FFDFD3C0</v>
      </c>
      <c r="D729" t="s">
        <v>143</v>
      </c>
      <c r="E729" t="str">
        <f>"05"</f>
        <v>05</v>
      </c>
      <c r="H729">
        <v>172</v>
      </c>
      <c r="I729" t="s">
        <v>141</v>
      </c>
      <c r="J729" t="s">
        <v>144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R729" t="s">
        <v>127</v>
      </c>
      <c r="S729" t="str">
        <f t="shared" si="290"/>
        <v>15:06:33.000</v>
      </c>
      <c r="T729" t="str">
        <f t="shared" si="290"/>
        <v>15:06:33.000</v>
      </c>
      <c r="U729" t="str">
        <f t="shared" si="281"/>
        <v>A68FCB</v>
      </c>
      <c r="V729">
        <v>0</v>
      </c>
      <c r="W729">
        <v>0</v>
      </c>
      <c r="X729">
        <v>2</v>
      </c>
      <c r="Y729">
        <v>0</v>
      </c>
      <c r="AA729">
        <v>1</v>
      </c>
      <c r="AB729">
        <v>8</v>
      </c>
      <c r="AC729">
        <v>3</v>
      </c>
      <c r="AD729">
        <v>0</v>
      </c>
      <c r="AE729">
        <v>9</v>
      </c>
      <c r="AF729" t="s">
        <v>138</v>
      </c>
      <c r="AG729">
        <v>0</v>
      </c>
      <c r="AH729">
        <v>3</v>
      </c>
      <c r="AI729">
        <v>2</v>
      </c>
      <c r="AJ729">
        <v>0</v>
      </c>
      <c r="AK729" t="s">
        <v>336</v>
      </c>
      <c r="AL729">
        <v>38.969321000000001</v>
      </c>
      <c r="AM729" t="s">
        <v>337</v>
      </c>
      <c r="AN729">
        <v>-121.050045</v>
      </c>
      <c r="AO729">
        <v>25</v>
      </c>
      <c r="AP729">
        <v>2700</v>
      </c>
      <c r="AQ729" t="s">
        <v>131</v>
      </c>
      <c r="AR729">
        <v>-4</v>
      </c>
      <c r="AS729">
        <v>82</v>
      </c>
      <c r="AT729">
        <v>832</v>
      </c>
      <c r="BB729" t="str">
        <f t="shared" si="282"/>
        <v>1200</v>
      </c>
      <c r="BC729">
        <v>1</v>
      </c>
      <c r="BD729" t="str">
        <f t="shared" si="283"/>
        <v xml:space="preserve">N52156  </v>
      </c>
      <c r="BE729">
        <v>1</v>
      </c>
      <c r="BG729">
        <v>0</v>
      </c>
      <c r="BH729">
        <v>0</v>
      </c>
      <c r="BI729">
        <v>0</v>
      </c>
      <c r="BJ729">
        <v>2600</v>
      </c>
      <c r="BK729">
        <v>-100</v>
      </c>
      <c r="BL729" t="s">
        <v>188</v>
      </c>
      <c r="BM729">
        <v>1</v>
      </c>
      <c r="BN729">
        <v>1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 t="shared" si="291"/>
        <v>15:06:33.665</v>
      </c>
      <c r="CF729">
        <v>664950347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5</v>
      </c>
      <c r="CY729">
        <v>7</v>
      </c>
      <c r="CZ729" t="s">
        <v>133</v>
      </c>
      <c r="DA729">
        <v>275</v>
      </c>
      <c r="DB729">
        <v>0</v>
      </c>
      <c r="DC729" t="s">
        <v>134</v>
      </c>
      <c r="DD729" t="s">
        <v>135</v>
      </c>
      <c r="DG729">
        <v>3319048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"05/01/2025 15:06:33.877"</f>
        <v>05/01/2025 15:06:33.877</v>
      </c>
      <c r="C730" t="str">
        <f t="shared" si="280"/>
        <v>FFDFD3C0</v>
      </c>
      <c r="D730" t="s">
        <v>145</v>
      </c>
      <c r="E730" t="str">
        <f>"09"</f>
        <v>09</v>
      </c>
      <c r="H730">
        <v>51</v>
      </c>
      <c r="I730" t="s">
        <v>147</v>
      </c>
      <c r="J730" t="s">
        <v>138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R730" t="s">
        <v>127</v>
      </c>
      <c r="S730" t="str">
        <f t="shared" si="290"/>
        <v>15:06:33.000</v>
      </c>
      <c r="T730" t="str">
        <f t="shared" si="290"/>
        <v>15:06:33.000</v>
      </c>
      <c r="U730" t="str">
        <f t="shared" si="281"/>
        <v>A68FCB</v>
      </c>
      <c r="V730">
        <v>0</v>
      </c>
      <c r="W730">
        <v>0</v>
      </c>
      <c r="X730">
        <v>2</v>
      </c>
      <c r="Y730">
        <v>0</v>
      </c>
      <c r="AA730">
        <v>1</v>
      </c>
      <c r="AB730">
        <v>8</v>
      </c>
      <c r="AC730">
        <v>3</v>
      </c>
      <c r="AD730">
        <v>0</v>
      </c>
      <c r="AE730">
        <v>9</v>
      </c>
      <c r="AF730" t="s">
        <v>138</v>
      </c>
      <c r="AG730">
        <v>0</v>
      </c>
      <c r="AH730">
        <v>3</v>
      </c>
      <c r="AI730">
        <v>2</v>
      </c>
      <c r="AJ730">
        <v>0</v>
      </c>
      <c r="AK730" t="s">
        <v>336</v>
      </c>
      <c r="AL730">
        <v>38.969321000000001</v>
      </c>
      <c r="AM730" t="s">
        <v>337</v>
      </c>
      <c r="AN730">
        <v>-121.050045</v>
      </c>
      <c r="AO730">
        <v>25</v>
      </c>
      <c r="AP730">
        <v>2700</v>
      </c>
      <c r="AQ730" t="s">
        <v>131</v>
      </c>
      <c r="AR730">
        <v>-4</v>
      </c>
      <c r="AS730">
        <v>82</v>
      </c>
      <c r="AT730">
        <v>832</v>
      </c>
      <c r="BB730" t="str">
        <f t="shared" si="282"/>
        <v>1200</v>
      </c>
      <c r="BC730">
        <v>1</v>
      </c>
      <c r="BD730" t="str">
        <f t="shared" si="283"/>
        <v xml:space="preserve">N52156  </v>
      </c>
      <c r="BE730">
        <v>1</v>
      </c>
      <c r="BG730">
        <v>0</v>
      </c>
      <c r="BH730">
        <v>0</v>
      </c>
      <c r="BI730">
        <v>0</v>
      </c>
      <c r="BJ730">
        <v>2600</v>
      </c>
      <c r="BK730">
        <v>-100</v>
      </c>
      <c r="BL730" t="s">
        <v>188</v>
      </c>
      <c r="BM730">
        <v>1</v>
      </c>
      <c r="BN730">
        <v>1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 t="shared" si="291"/>
        <v>15:06:33.665</v>
      </c>
      <c r="CF730">
        <v>664950347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5</v>
      </c>
      <c r="CY730">
        <v>7</v>
      </c>
      <c r="CZ730" t="s">
        <v>133</v>
      </c>
      <c r="DA730">
        <v>275</v>
      </c>
      <c r="DB730">
        <v>0</v>
      </c>
      <c r="DC730" t="s">
        <v>134</v>
      </c>
      <c r="DD730" t="s">
        <v>135</v>
      </c>
      <c r="DG730">
        <v>3319048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"05/01/2025 15:06:33.876"</f>
        <v>05/01/2025 15:06:33.876</v>
      </c>
      <c r="C731" t="str">
        <f t="shared" si="280"/>
        <v>FFDFD3C0</v>
      </c>
      <c r="D731" t="s">
        <v>124</v>
      </c>
      <c r="E731" t="str">
        <f>"06"</f>
        <v>06</v>
      </c>
      <c r="F731">
        <v>2006</v>
      </c>
      <c r="G731" t="s">
        <v>125</v>
      </c>
      <c r="J731" t="s">
        <v>126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R731" t="s">
        <v>127</v>
      </c>
      <c r="S731" t="str">
        <f t="shared" si="290"/>
        <v>15:06:33.000</v>
      </c>
      <c r="T731" t="str">
        <f t="shared" si="290"/>
        <v>15:06:33.000</v>
      </c>
      <c r="U731" t="str">
        <f t="shared" si="281"/>
        <v>A68FCB</v>
      </c>
      <c r="V731">
        <v>0</v>
      </c>
      <c r="W731">
        <v>0</v>
      </c>
      <c r="X731">
        <v>2</v>
      </c>
      <c r="Y731">
        <v>0</v>
      </c>
      <c r="AA731">
        <v>1</v>
      </c>
      <c r="AB731">
        <v>8</v>
      </c>
      <c r="AC731">
        <v>3</v>
      </c>
      <c r="AD731">
        <v>0</v>
      </c>
      <c r="AE731">
        <v>9</v>
      </c>
      <c r="AF731" t="s">
        <v>138</v>
      </c>
      <c r="AG731">
        <v>0</v>
      </c>
      <c r="AH731">
        <v>3</v>
      </c>
      <c r="AI731">
        <v>2</v>
      </c>
      <c r="AJ731">
        <v>0</v>
      </c>
      <c r="AK731" t="s">
        <v>336</v>
      </c>
      <c r="AL731">
        <v>38.969321000000001</v>
      </c>
      <c r="AM731" t="s">
        <v>337</v>
      </c>
      <c r="AN731">
        <v>-121.050045</v>
      </c>
      <c r="AO731">
        <v>25</v>
      </c>
      <c r="AP731">
        <v>2700</v>
      </c>
      <c r="AQ731" t="s">
        <v>131</v>
      </c>
      <c r="AR731">
        <v>-4</v>
      </c>
      <c r="AS731">
        <v>82</v>
      </c>
      <c r="AT731">
        <v>832</v>
      </c>
      <c r="BB731" t="str">
        <f t="shared" si="282"/>
        <v>1200</v>
      </c>
      <c r="BC731">
        <v>1</v>
      </c>
      <c r="BD731" t="str">
        <f t="shared" si="283"/>
        <v xml:space="preserve">N52156  </v>
      </c>
      <c r="BE731">
        <v>1</v>
      </c>
      <c r="BG731">
        <v>0</v>
      </c>
      <c r="BH731">
        <v>0</v>
      </c>
      <c r="BI731">
        <v>0</v>
      </c>
      <c r="BJ731">
        <v>2600</v>
      </c>
      <c r="BK731">
        <v>-100</v>
      </c>
      <c r="BL731" t="s">
        <v>188</v>
      </c>
      <c r="BM731">
        <v>1</v>
      </c>
      <c r="BN731">
        <v>1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 t="shared" si="291"/>
        <v>15:06:33.665</v>
      </c>
      <c r="CF731">
        <v>664950347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5</v>
      </c>
      <c r="CY731">
        <v>7</v>
      </c>
      <c r="CZ731" t="s">
        <v>133</v>
      </c>
      <c r="DA731">
        <v>275</v>
      </c>
      <c r="DB731">
        <v>0</v>
      </c>
      <c r="DC731" t="s">
        <v>134</v>
      </c>
      <c r="DD731" t="s">
        <v>135</v>
      </c>
      <c r="DG731">
        <v>3319048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"05/01/2025 15:06:33.885"</f>
        <v>05/01/2025 15:06:33.885</v>
      </c>
      <c r="C732" t="str">
        <f t="shared" si="280"/>
        <v>FFDFD3C0</v>
      </c>
      <c r="D732" t="s">
        <v>136</v>
      </c>
      <c r="E732" t="str">
        <f>"20"</f>
        <v>20</v>
      </c>
      <c r="H732">
        <v>400</v>
      </c>
      <c r="I732" t="s">
        <v>137</v>
      </c>
      <c r="J732" t="s">
        <v>138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R732" t="s">
        <v>127</v>
      </c>
      <c r="S732" t="str">
        <f t="shared" si="290"/>
        <v>15:06:33.000</v>
      </c>
      <c r="T732" t="str">
        <f t="shared" si="290"/>
        <v>15:06:33.000</v>
      </c>
      <c r="U732" t="str">
        <f t="shared" si="281"/>
        <v>A68FCB</v>
      </c>
      <c r="V732">
        <v>0</v>
      </c>
      <c r="W732">
        <v>0</v>
      </c>
      <c r="X732">
        <v>2</v>
      </c>
      <c r="Y732">
        <v>0</v>
      </c>
      <c r="AA732">
        <v>1</v>
      </c>
      <c r="AB732">
        <v>8</v>
      </c>
      <c r="AC732">
        <v>3</v>
      </c>
      <c r="AD732">
        <v>0</v>
      </c>
      <c r="AE732">
        <v>9</v>
      </c>
      <c r="AF732" t="s">
        <v>138</v>
      </c>
      <c r="AG732">
        <v>0</v>
      </c>
      <c r="AH732">
        <v>3</v>
      </c>
      <c r="AI732">
        <v>2</v>
      </c>
      <c r="AJ732">
        <v>0</v>
      </c>
      <c r="AK732" t="s">
        <v>336</v>
      </c>
      <c r="AL732">
        <v>38.969321000000001</v>
      </c>
      <c r="AM732" t="s">
        <v>337</v>
      </c>
      <c r="AN732">
        <v>-121.050045</v>
      </c>
      <c r="AO732">
        <v>25</v>
      </c>
      <c r="AP732">
        <v>2700</v>
      </c>
      <c r="AQ732" t="s">
        <v>131</v>
      </c>
      <c r="AR732">
        <v>-4</v>
      </c>
      <c r="AS732">
        <v>82</v>
      </c>
      <c r="AT732">
        <v>832</v>
      </c>
      <c r="BB732" t="str">
        <f t="shared" si="282"/>
        <v>1200</v>
      </c>
      <c r="BC732">
        <v>1</v>
      </c>
      <c r="BD732" t="str">
        <f t="shared" si="283"/>
        <v xml:space="preserve">N52156  </v>
      </c>
      <c r="BE732">
        <v>1</v>
      </c>
      <c r="BG732">
        <v>0</v>
      </c>
      <c r="BH732">
        <v>0</v>
      </c>
      <c r="BI732">
        <v>0</v>
      </c>
      <c r="BJ732">
        <v>2600</v>
      </c>
      <c r="BK732">
        <v>-100</v>
      </c>
      <c r="BL732" t="s">
        <v>188</v>
      </c>
      <c r="BM732">
        <v>1</v>
      </c>
      <c r="BN732">
        <v>1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 t="shared" si="291"/>
        <v>15:06:33.665</v>
      </c>
      <c r="CF732">
        <v>664950347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5</v>
      </c>
      <c r="CY732">
        <v>7</v>
      </c>
      <c r="CZ732" t="s">
        <v>133</v>
      </c>
      <c r="DA732">
        <v>275</v>
      </c>
      <c r="DB732">
        <v>0</v>
      </c>
      <c r="DC732" t="s">
        <v>134</v>
      </c>
      <c r="DD732" t="s">
        <v>135</v>
      </c>
      <c r="DG732">
        <v>3319048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"05/01/2025 15:06:33.916"</f>
        <v>05/01/2025 15:06:33.916</v>
      </c>
      <c r="C733" t="str">
        <f t="shared" si="280"/>
        <v>FFDFD3C0</v>
      </c>
      <c r="D733" t="s">
        <v>140</v>
      </c>
      <c r="E733" t="str">
        <f>"13"</f>
        <v>13</v>
      </c>
      <c r="F733">
        <v>1019</v>
      </c>
      <c r="G733" t="s">
        <v>141</v>
      </c>
      <c r="J733" t="s">
        <v>142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R733" t="s">
        <v>127</v>
      </c>
      <c r="S733" t="str">
        <f t="shared" si="290"/>
        <v>15:06:33.000</v>
      </c>
      <c r="T733" t="str">
        <f t="shared" si="290"/>
        <v>15:06:33.000</v>
      </c>
      <c r="U733" t="str">
        <f t="shared" si="281"/>
        <v>A68FCB</v>
      </c>
      <c r="V733">
        <v>0</v>
      </c>
      <c r="W733">
        <v>0</v>
      </c>
      <c r="X733">
        <v>2</v>
      </c>
      <c r="Y733">
        <v>0</v>
      </c>
      <c r="AA733">
        <v>1</v>
      </c>
      <c r="AB733">
        <v>8</v>
      </c>
      <c r="AC733">
        <v>3</v>
      </c>
      <c r="AD733">
        <v>0</v>
      </c>
      <c r="AE733">
        <v>9</v>
      </c>
      <c r="AF733" t="s">
        <v>138</v>
      </c>
      <c r="AG733">
        <v>0</v>
      </c>
      <c r="AH733">
        <v>3</v>
      </c>
      <c r="AI733">
        <v>2</v>
      </c>
      <c r="AJ733">
        <v>0</v>
      </c>
      <c r="AK733" t="s">
        <v>336</v>
      </c>
      <c r="AL733">
        <v>38.969321000000001</v>
      </c>
      <c r="AM733" t="s">
        <v>337</v>
      </c>
      <c r="AN733">
        <v>-121.050045</v>
      </c>
      <c r="AO733">
        <v>25</v>
      </c>
      <c r="AP733">
        <v>2700</v>
      </c>
      <c r="AQ733" t="s">
        <v>131</v>
      </c>
      <c r="AR733">
        <v>-4</v>
      </c>
      <c r="AS733">
        <v>82</v>
      </c>
      <c r="AT733">
        <v>832</v>
      </c>
      <c r="BB733" t="str">
        <f t="shared" si="282"/>
        <v>1200</v>
      </c>
      <c r="BC733">
        <v>1</v>
      </c>
      <c r="BD733" t="str">
        <f t="shared" si="283"/>
        <v xml:space="preserve">N52156  </v>
      </c>
      <c r="BE733">
        <v>1</v>
      </c>
      <c r="BG733">
        <v>0</v>
      </c>
      <c r="BH733">
        <v>0</v>
      </c>
      <c r="BI733">
        <v>0</v>
      </c>
      <c r="BJ733">
        <v>2600</v>
      </c>
      <c r="BK733">
        <v>-100</v>
      </c>
      <c r="BL733" t="s">
        <v>188</v>
      </c>
      <c r="BM733">
        <v>1</v>
      </c>
      <c r="BN733">
        <v>1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 t="shared" si="291"/>
        <v>15:06:33.665</v>
      </c>
      <c r="CF733">
        <v>664950347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5</v>
      </c>
      <c r="CY733">
        <v>7</v>
      </c>
      <c r="CZ733" t="s">
        <v>133</v>
      </c>
      <c r="DA733">
        <v>275</v>
      </c>
      <c r="DB733">
        <v>0</v>
      </c>
      <c r="DC733" t="s">
        <v>134</v>
      </c>
      <c r="DD733" t="s">
        <v>135</v>
      </c>
      <c r="DG733">
        <v>3319048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"05/01/2025 15:06:35.077"</f>
        <v>05/01/2025 15:06:35.077</v>
      </c>
      <c r="C734" t="str">
        <f t="shared" si="280"/>
        <v>FFDFD3C0</v>
      </c>
      <c r="D734" t="s">
        <v>145</v>
      </c>
      <c r="E734" t="str">
        <f>"05"</f>
        <v>05</v>
      </c>
      <c r="H734">
        <v>47</v>
      </c>
      <c r="I734" t="s">
        <v>146</v>
      </c>
      <c r="J734" t="s">
        <v>138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R734" t="s">
        <v>127</v>
      </c>
      <c r="S734" t="str">
        <f t="shared" ref="S734:T739" si="292">"15:06:34.000"</f>
        <v>15:06:34.000</v>
      </c>
      <c r="T734" t="str">
        <f t="shared" si="292"/>
        <v>15:06:34.000</v>
      </c>
      <c r="U734" t="str">
        <f t="shared" si="281"/>
        <v>A68FCB</v>
      </c>
      <c r="V734">
        <v>0</v>
      </c>
      <c r="W734">
        <v>0</v>
      </c>
      <c r="X734">
        <v>2</v>
      </c>
      <c r="Y734">
        <v>0</v>
      </c>
      <c r="AA734">
        <v>1</v>
      </c>
      <c r="AB734">
        <v>8</v>
      </c>
      <c r="AC734">
        <v>3</v>
      </c>
      <c r="AD734">
        <v>0</v>
      </c>
      <c r="AE734">
        <v>9</v>
      </c>
      <c r="AF734" t="s">
        <v>138</v>
      </c>
      <c r="AG734">
        <v>0</v>
      </c>
      <c r="AH734">
        <v>3</v>
      </c>
      <c r="AI734">
        <v>2</v>
      </c>
      <c r="AJ734">
        <v>0</v>
      </c>
      <c r="AK734" t="s">
        <v>338</v>
      </c>
      <c r="AL734">
        <v>38.969707</v>
      </c>
      <c r="AM734" t="s">
        <v>285</v>
      </c>
      <c r="AN734">
        <v>-121.050067</v>
      </c>
      <c r="AO734">
        <v>25</v>
      </c>
      <c r="AP734">
        <v>2700</v>
      </c>
      <c r="AQ734" t="s">
        <v>131</v>
      </c>
      <c r="AR734">
        <v>-4</v>
      </c>
      <c r="AS734">
        <v>82</v>
      </c>
      <c r="AT734">
        <v>768</v>
      </c>
      <c r="BB734" t="str">
        <f t="shared" si="282"/>
        <v>1200</v>
      </c>
      <c r="BC734">
        <v>1</v>
      </c>
      <c r="BD734" t="str">
        <f t="shared" si="283"/>
        <v xml:space="preserve">N52156  </v>
      </c>
      <c r="BE734">
        <v>1</v>
      </c>
      <c r="BG734">
        <v>0</v>
      </c>
      <c r="BH734">
        <v>0</v>
      </c>
      <c r="BI734">
        <v>0</v>
      </c>
      <c r="BJ734">
        <v>2600</v>
      </c>
      <c r="BK734">
        <v>-100</v>
      </c>
      <c r="BL734" t="s">
        <v>188</v>
      </c>
      <c r="BM734">
        <v>1</v>
      </c>
      <c r="BN734">
        <v>1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 t="shared" ref="CE734:CE739" si="293">"15:06:34.863"</f>
        <v>15:06:34.863</v>
      </c>
      <c r="CF734">
        <v>862950871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5</v>
      </c>
      <c r="CY734">
        <v>7</v>
      </c>
      <c r="CZ734" t="s">
        <v>133</v>
      </c>
      <c r="DA734">
        <v>275</v>
      </c>
      <c r="DB734">
        <v>0</v>
      </c>
      <c r="DC734" t="s">
        <v>134</v>
      </c>
      <c r="DD734" t="s">
        <v>135</v>
      </c>
      <c r="DG734">
        <v>3319065</v>
      </c>
      <c r="DI734">
        <v>1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"05/01/2025 15:06:35.077"</f>
        <v>05/01/2025 15:06:35.077</v>
      </c>
      <c r="C735" t="str">
        <f t="shared" si="280"/>
        <v>FFDFD3C0</v>
      </c>
      <c r="D735" t="s">
        <v>143</v>
      </c>
      <c r="E735" t="str">
        <f>"05"</f>
        <v>05</v>
      </c>
      <c r="H735">
        <v>172</v>
      </c>
      <c r="I735" t="s">
        <v>141</v>
      </c>
      <c r="J735" t="s">
        <v>144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R735" t="s">
        <v>127</v>
      </c>
      <c r="S735" t="str">
        <f t="shared" si="292"/>
        <v>15:06:34.000</v>
      </c>
      <c r="T735" t="str">
        <f t="shared" si="292"/>
        <v>15:06:34.000</v>
      </c>
      <c r="U735" t="str">
        <f t="shared" si="281"/>
        <v>A68FCB</v>
      </c>
      <c r="V735">
        <v>0</v>
      </c>
      <c r="W735">
        <v>0</v>
      </c>
      <c r="X735">
        <v>2</v>
      </c>
      <c r="Y735">
        <v>0</v>
      </c>
      <c r="AA735">
        <v>1</v>
      </c>
      <c r="AB735">
        <v>8</v>
      </c>
      <c r="AC735">
        <v>3</v>
      </c>
      <c r="AD735">
        <v>0</v>
      </c>
      <c r="AE735">
        <v>9</v>
      </c>
      <c r="AF735" t="s">
        <v>138</v>
      </c>
      <c r="AG735">
        <v>0</v>
      </c>
      <c r="AH735">
        <v>3</v>
      </c>
      <c r="AI735">
        <v>2</v>
      </c>
      <c r="AJ735">
        <v>0</v>
      </c>
      <c r="AK735" t="s">
        <v>338</v>
      </c>
      <c r="AL735">
        <v>38.969707</v>
      </c>
      <c r="AM735" t="s">
        <v>285</v>
      </c>
      <c r="AN735">
        <v>-121.050067</v>
      </c>
      <c r="AO735">
        <v>25</v>
      </c>
      <c r="AP735">
        <v>2700</v>
      </c>
      <c r="AQ735" t="s">
        <v>131</v>
      </c>
      <c r="AR735">
        <v>-4</v>
      </c>
      <c r="AS735">
        <v>82</v>
      </c>
      <c r="AT735">
        <v>768</v>
      </c>
      <c r="BB735" t="str">
        <f t="shared" si="282"/>
        <v>1200</v>
      </c>
      <c r="BC735">
        <v>1</v>
      </c>
      <c r="BD735" t="str">
        <f t="shared" si="283"/>
        <v xml:space="preserve">N52156  </v>
      </c>
      <c r="BE735">
        <v>1</v>
      </c>
      <c r="BG735">
        <v>0</v>
      </c>
      <c r="BH735">
        <v>0</v>
      </c>
      <c r="BI735">
        <v>0</v>
      </c>
      <c r="BJ735">
        <v>2600</v>
      </c>
      <c r="BK735">
        <v>-100</v>
      </c>
      <c r="BL735" t="s">
        <v>188</v>
      </c>
      <c r="BM735">
        <v>1</v>
      </c>
      <c r="BN735">
        <v>1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 t="shared" si="293"/>
        <v>15:06:34.863</v>
      </c>
      <c r="CF735">
        <v>862950871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5</v>
      </c>
      <c r="CY735">
        <v>7</v>
      </c>
      <c r="CZ735" t="s">
        <v>133</v>
      </c>
      <c r="DA735">
        <v>275</v>
      </c>
      <c r="DB735">
        <v>0</v>
      </c>
      <c r="DC735" t="s">
        <v>134</v>
      </c>
      <c r="DD735" t="s">
        <v>135</v>
      </c>
      <c r="DG735">
        <v>3319065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"05/01/2025 15:06:35.078"</f>
        <v>05/01/2025 15:06:35.078</v>
      </c>
      <c r="C736" t="str">
        <f t="shared" si="280"/>
        <v>FFDFD3C0</v>
      </c>
      <c r="D736" t="s">
        <v>124</v>
      </c>
      <c r="E736" t="str">
        <f>"06"</f>
        <v>06</v>
      </c>
      <c r="F736">
        <v>2006</v>
      </c>
      <c r="G736" t="s">
        <v>125</v>
      </c>
      <c r="J736" t="s">
        <v>126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R736" t="s">
        <v>127</v>
      </c>
      <c r="S736" t="str">
        <f t="shared" si="292"/>
        <v>15:06:34.000</v>
      </c>
      <c r="T736" t="str">
        <f t="shared" si="292"/>
        <v>15:06:34.000</v>
      </c>
      <c r="U736" t="str">
        <f t="shared" si="281"/>
        <v>A68FCB</v>
      </c>
      <c r="V736">
        <v>0</v>
      </c>
      <c r="W736">
        <v>0</v>
      </c>
      <c r="X736">
        <v>2</v>
      </c>
      <c r="Y736">
        <v>0</v>
      </c>
      <c r="AA736">
        <v>1</v>
      </c>
      <c r="AB736">
        <v>8</v>
      </c>
      <c r="AC736">
        <v>3</v>
      </c>
      <c r="AD736">
        <v>0</v>
      </c>
      <c r="AE736">
        <v>9</v>
      </c>
      <c r="AF736" t="s">
        <v>138</v>
      </c>
      <c r="AG736">
        <v>0</v>
      </c>
      <c r="AH736">
        <v>3</v>
      </c>
      <c r="AI736">
        <v>2</v>
      </c>
      <c r="AJ736">
        <v>0</v>
      </c>
      <c r="AK736" t="s">
        <v>338</v>
      </c>
      <c r="AL736">
        <v>38.969707</v>
      </c>
      <c r="AM736" t="s">
        <v>285</v>
      </c>
      <c r="AN736">
        <v>-121.050067</v>
      </c>
      <c r="AO736">
        <v>25</v>
      </c>
      <c r="AP736">
        <v>2700</v>
      </c>
      <c r="AQ736" t="s">
        <v>131</v>
      </c>
      <c r="AR736">
        <v>-4</v>
      </c>
      <c r="AS736">
        <v>82</v>
      </c>
      <c r="AT736">
        <v>768</v>
      </c>
      <c r="BB736" t="str">
        <f t="shared" si="282"/>
        <v>1200</v>
      </c>
      <c r="BC736">
        <v>1</v>
      </c>
      <c r="BD736" t="str">
        <f t="shared" si="283"/>
        <v xml:space="preserve">N52156  </v>
      </c>
      <c r="BE736">
        <v>1</v>
      </c>
      <c r="BG736">
        <v>0</v>
      </c>
      <c r="BH736">
        <v>0</v>
      </c>
      <c r="BI736">
        <v>0</v>
      </c>
      <c r="BJ736">
        <v>2600</v>
      </c>
      <c r="BK736">
        <v>-100</v>
      </c>
      <c r="BL736" t="s">
        <v>188</v>
      </c>
      <c r="BM736">
        <v>1</v>
      </c>
      <c r="BN736">
        <v>1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 t="shared" si="293"/>
        <v>15:06:34.863</v>
      </c>
      <c r="CF736">
        <v>862950871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5</v>
      </c>
      <c r="CY736">
        <v>7</v>
      </c>
      <c r="CZ736" t="s">
        <v>133</v>
      </c>
      <c r="DA736">
        <v>275</v>
      </c>
      <c r="DB736">
        <v>0</v>
      </c>
      <c r="DC736" t="s">
        <v>134</v>
      </c>
      <c r="DD736" t="s">
        <v>135</v>
      </c>
      <c r="DG736">
        <v>3319065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"05/01/2025 15:06:35.079"</f>
        <v>05/01/2025 15:06:35.079</v>
      </c>
      <c r="C737" t="str">
        <f t="shared" si="280"/>
        <v>FFDFD3C0</v>
      </c>
      <c r="D737" t="s">
        <v>145</v>
      </c>
      <c r="E737" t="str">
        <f>"09"</f>
        <v>09</v>
      </c>
      <c r="H737">
        <v>51</v>
      </c>
      <c r="I737" t="s">
        <v>147</v>
      </c>
      <c r="J737" t="s">
        <v>138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R737" t="s">
        <v>127</v>
      </c>
      <c r="S737" t="str">
        <f t="shared" si="292"/>
        <v>15:06:34.000</v>
      </c>
      <c r="T737" t="str">
        <f t="shared" si="292"/>
        <v>15:06:34.000</v>
      </c>
      <c r="U737" t="str">
        <f t="shared" si="281"/>
        <v>A68FCB</v>
      </c>
      <c r="V737">
        <v>0</v>
      </c>
      <c r="W737">
        <v>0</v>
      </c>
      <c r="X737">
        <v>2</v>
      </c>
      <c r="Y737">
        <v>0</v>
      </c>
      <c r="AA737">
        <v>1</v>
      </c>
      <c r="AB737">
        <v>8</v>
      </c>
      <c r="AC737">
        <v>3</v>
      </c>
      <c r="AD737">
        <v>0</v>
      </c>
      <c r="AE737">
        <v>9</v>
      </c>
      <c r="AF737" t="s">
        <v>138</v>
      </c>
      <c r="AG737">
        <v>0</v>
      </c>
      <c r="AH737">
        <v>3</v>
      </c>
      <c r="AI737">
        <v>2</v>
      </c>
      <c r="AJ737">
        <v>0</v>
      </c>
      <c r="AK737" t="s">
        <v>338</v>
      </c>
      <c r="AL737">
        <v>38.969707</v>
      </c>
      <c r="AM737" t="s">
        <v>285</v>
      </c>
      <c r="AN737">
        <v>-121.050067</v>
      </c>
      <c r="AO737">
        <v>25</v>
      </c>
      <c r="AP737">
        <v>2700</v>
      </c>
      <c r="AQ737" t="s">
        <v>131</v>
      </c>
      <c r="AR737">
        <v>-4</v>
      </c>
      <c r="AS737">
        <v>82</v>
      </c>
      <c r="AT737">
        <v>768</v>
      </c>
      <c r="BB737" t="str">
        <f t="shared" si="282"/>
        <v>1200</v>
      </c>
      <c r="BC737">
        <v>1</v>
      </c>
      <c r="BD737" t="str">
        <f t="shared" si="283"/>
        <v xml:space="preserve">N52156  </v>
      </c>
      <c r="BE737">
        <v>1</v>
      </c>
      <c r="BG737">
        <v>0</v>
      </c>
      <c r="BH737">
        <v>0</v>
      </c>
      <c r="BI737">
        <v>0</v>
      </c>
      <c r="BJ737">
        <v>2600</v>
      </c>
      <c r="BK737">
        <v>-100</v>
      </c>
      <c r="BL737" t="s">
        <v>188</v>
      </c>
      <c r="BM737">
        <v>1</v>
      </c>
      <c r="BN737">
        <v>1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 t="shared" si="293"/>
        <v>15:06:34.863</v>
      </c>
      <c r="CF737">
        <v>862950871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5</v>
      </c>
      <c r="CY737">
        <v>7</v>
      </c>
      <c r="CZ737" t="s">
        <v>133</v>
      </c>
      <c r="DA737">
        <v>275</v>
      </c>
      <c r="DB737">
        <v>0</v>
      </c>
      <c r="DC737" t="s">
        <v>134</v>
      </c>
      <c r="DD737" t="s">
        <v>135</v>
      </c>
      <c r="DG737">
        <v>3319065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"05/01/2025 15:06:35.087"</f>
        <v>05/01/2025 15:06:35.087</v>
      </c>
      <c r="C738" t="str">
        <f t="shared" si="280"/>
        <v>FFDFD3C0</v>
      </c>
      <c r="D738" t="s">
        <v>136</v>
      </c>
      <c r="E738" t="str">
        <f>"20"</f>
        <v>20</v>
      </c>
      <c r="H738">
        <v>400</v>
      </c>
      <c r="I738" t="s">
        <v>137</v>
      </c>
      <c r="J738" t="s">
        <v>138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R738" t="s">
        <v>127</v>
      </c>
      <c r="S738" t="str">
        <f t="shared" si="292"/>
        <v>15:06:34.000</v>
      </c>
      <c r="T738" t="str">
        <f t="shared" si="292"/>
        <v>15:06:34.000</v>
      </c>
      <c r="U738" t="str">
        <f t="shared" si="281"/>
        <v>A68FCB</v>
      </c>
      <c r="V738">
        <v>0</v>
      </c>
      <c r="W738">
        <v>0</v>
      </c>
      <c r="X738">
        <v>2</v>
      </c>
      <c r="Y738">
        <v>0</v>
      </c>
      <c r="AA738">
        <v>1</v>
      </c>
      <c r="AB738">
        <v>8</v>
      </c>
      <c r="AC738">
        <v>3</v>
      </c>
      <c r="AD738">
        <v>0</v>
      </c>
      <c r="AE738">
        <v>9</v>
      </c>
      <c r="AF738" t="s">
        <v>138</v>
      </c>
      <c r="AG738">
        <v>0</v>
      </c>
      <c r="AH738">
        <v>3</v>
      </c>
      <c r="AI738">
        <v>2</v>
      </c>
      <c r="AJ738">
        <v>0</v>
      </c>
      <c r="AK738" t="s">
        <v>338</v>
      </c>
      <c r="AL738">
        <v>38.969707</v>
      </c>
      <c r="AM738" t="s">
        <v>285</v>
      </c>
      <c r="AN738">
        <v>-121.050067</v>
      </c>
      <c r="AO738">
        <v>25</v>
      </c>
      <c r="AP738">
        <v>2700</v>
      </c>
      <c r="AQ738" t="s">
        <v>131</v>
      </c>
      <c r="AR738">
        <v>-4</v>
      </c>
      <c r="AS738">
        <v>82</v>
      </c>
      <c r="AT738">
        <v>768</v>
      </c>
      <c r="BB738" t="str">
        <f t="shared" si="282"/>
        <v>1200</v>
      </c>
      <c r="BC738">
        <v>1</v>
      </c>
      <c r="BD738" t="str">
        <f t="shared" si="283"/>
        <v xml:space="preserve">N52156  </v>
      </c>
      <c r="BE738">
        <v>1</v>
      </c>
      <c r="BG738">
        <v>0</v>
      </c>
      <c r="BH738">
        <v>0</v>
      </c>
      <c r="BI738">
        <v>0</v>
      </c>
      <c r="BJ738">
        <v>2600</v>
      </c>
      <c r="BK738">
        <v>-100</v>
      </c>
      <c r="BL738" t="s">
        <v>188</v>
      </c>
      <c r="BM738">
        <v>1</v>
      </c>
      <c r="BN738">
        <v>1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 t="shared" si="293"/>
        <v>15:06:34.863</v>
      </c>
      <c r="CF738">
        <v>862950871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5</v>
      </c>
      <c r="CY738">
        <v>7</v>
      </c>
      <c r="CZ738" t="s">
        <v>133</v>
      </c>
      <c r="DA738">
        <v>275</v>
      </c>
      <c r="DB738">
        <v>0</v>
      </c>
      <c r="DC738" t="s">
        <v>134</v>
      </c>
      <c r="DD738" t="s">
        <v>135</v>
      </c>
      <c r="DG738">
        <v>3319065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"05/01/2025 15:06:35.118"</f>
        <v>05/01/2025 15:06:35.118</v>
      </c>
      <c r="C739" t="str">
        <f t="shared" si="280"/>
        <v>FFDFD3C0</v>
      </c>
      <c r="D739" t="s">
        <v>140</v>
      </c>
      <c r="E739" t="str">
        <f>"13"</f>
        <v>13</v>
      </c>
      <c r="F739">
        <v>1019</v>
      </c>
      <c r="G739" t="s">
        <v>141</v>
      </c>
      <c r="J739" t="s">
        <v>142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R739" t="s">
        <v>127</v>
      </c>
      <c r="S739" t="str">
        <f t="shared" si="292"/>
        <v>15:06:34.000</v>
      </c>
      <c r="T739" t="str">
        <f t="shared" si="292"/>
        <v>15:06:34.000</v>
      </c>
      <c r="U739" t="str">
        <f t="shared" si="281"/>
        <v>A68FCB</v>
      </c>
      <c r="V739">
        <v>0</v>
      </c>
      <c r="W739">
        <v>0</v>
      </c>
      <c r="X739">
        <v>2</v>
      </c>
      <c r="Y739">
        <v>0</v>
      </c>
      <c r="AA739">
        <v>1</v>
      </c>
      <c r="AB739">
        <v>8</v>
      </c>
      <c r="AC739">
        <v>3</v>
      </c>
      <c r="AD739">
        <v>0</v>
      </c>
      <c r="AE739">
        <v>9</v>
      </c>
      <c r="AF739" t="s">
        <v>138</v>
      </c>
      <c r="AG739">
        <v>0</v>
      </c>
      <c r="AH739">
        <v>3</v>
      </c>
      <c r="AI739">
        <v>2</v>
      </c>
      <c r="AJ739">
        <v>0</v>
      </c>
      <c r="AK739" t="s">
        <v>338</v>
      </c>
      <c r="AL739">
        <v>38.969707</v>
      </c>
      <c r="AM739" t="s">
        <v>285</v>
      </c>
      <c r="AN739">
        <v>-121.050067</v>
      </c>
      <c r="AO739">
        <v>25</v>
      </c>
      <c r="AP739">
        <v>2700</v>
      </c>
      <c r="AQ739" t="s">
        <v>131</v>
      </c>
      <c r="AR739">
        <v>-4</v>
      </c>
      <c r="AS739">
        <v>82</v>
      </c>
      <c r="AT739">
        <v>768</v>
      </c>
      <c r="BB739" t="str">
        <f t="shared" si="282"/>
        <v>1200</v>
      </c>
      <c r="BC739">
        <v>1</v>
      </c>
      <c r="BD739" t="str">
        <f t="shared" si="283"/>
        <v xml:space="preserve">N52156  </v>
      </c>
      <c r="BE739">
        <v>1</v>
      </c>
      <c r="BG739">
        <v>0</v>
      </c>
      <c r="BH739">
        <v>0</v>
      </c>
      <c r="BI739">
        <v>0</v>
      </c>
      <c r="BJ739">
        <v>2600</v>
      </c>
      <c r="BK739">
        <v>-100</v>
      </c>
      <c r="BL739" t="s">
        <v>188</v>
      </c>
      <c r="BM739">
        <v>1</v>
      </c>
      <c r="BN739">
        <v>1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 t="shared" si="293"/>
        <v>15:06:34.863</v>
      </c>
      <c r="CF739">
        <v>862950871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5</v>
      </c>
      <c r="CY739">
        <v>7</v>
      </c>
      <c r="CZ739" t="s">
        <v>133</v>
      </c>
      <c r="DA739">
        <v>275</v>
      </c>
      <c r="DB739">
        <v>0</v>
      </c>
      <c r="DC739" t="s">
        <v>134</v>
      </c>
      <c r="DD739" t="s">
        <v>135</v>
      </c>
      <c r="DG739">
        <v>3319065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"05/01/2025 15:06:35.820"</f>
        <v>05/01/2025 15:06:35.820</v>
      </c>
      <c r="C740" t="str">
        <f t="shared" si="280"/>
        <v>FFDFD3C0</v>
      </c>
      <c r="D740" t="s">
        <v>140</v>
      </c>
      <c r="E740" t="str">
        <f>"13"</f>
        <v>13</v>
      </c>
      <c r="F740">
        <v>1019</v>
      </c>
      <c r="G740" t="s">
        <v>141</v>
      </c>
      <c r="J740" t="s">
        <v>142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R740" t="s">
        <v>127</v>
      </c>
      <c r="S740" t="str">
        <f t="shared" ref="S740:T745" si="294">"15:06:35.000"</f>
        <v>15:06:35.000</v>
      </c>
      <c r="T740" t="str">
        <f t="shared" si="294"/>
        <v>15:06:35.000</v>
      </c>
      <c r="U740" t="str">
        <f t="shared" si="281"/>
        <v>A68FCB</v>
      </c>
      <c r="V740">
        <v>0</v>
      </c>
      <c r="W740">
        <v>0</v>
      </c>
      <c r="X740">
        <v>2</v>
      </c>
      <c r="Y740">
        <v>0</v>
      </c>
      <c r="AA740">
        <v>1</v>
      </c>
      <c r="AB740">
        <v>8</v>
      </c>
      <c r="AC740">
        <v>3</v>
      </c>
      <c r="AD740">
        <v>0</v>
      </c>
      <c r="AE740">
        <v>9</v>
      </c>
      <c r="AF740" t="s">
        <v>138</v>
      </c>
      <c r="AG740">
        <v>0</v>
      </c>
      <c r="AH740">
        <v>3</v>
      </c>
      <c r="AI740">
        <v>2</v>
      </c>
      <c r="AJ740">
        <v>0</v>
      </c>
      <c r="AK740" t="s">
        <v>339</v>
      </c>
      <c r="AL740">
        <v>38.970094000000003</v>
      </c>
      <c r="AM740" t="s">
        <v>285</v>
      </c>
      <c r="AN740">
        <v>-121.050067</v>
      </c>
      <c r="AO740">
        <v>25</v>
      </c>
      <c r="AP740">
        <v>2700</v>
      </c>
      <c r="AQ740" t="s">
        <v>131</v>
      </c>
      <c r="AR740">
        <v>-4</v>
      </c>
      <c r="AS740">
        <v>82</v>
      </c>
      <c r="AT740">
        <v>768</v>
      </c>
      <c r="BB740" t="str">
        <f t="shared" si="282"/>
        <v>1200</v>
      </c>
      <c r="BC740">
        <v>1</v>
      </c>
      <c r="BD740" t="str">
        <f t="shared" si="283"/>
        <v xml:space="preserve">N52156  </v>
      </c>
      <c r="BE740">
        <v>1</v>
      </c>
      <c r="BG740">
        <v>0</v>
      </c>
      <c r="BH740">
        <v>0</v>
      </c>
      <c r="BI740">
        <v>0</v>
      </c>
      <c r="BJ740">
        <v>2600</v>
      </c>
      <c r="BK740">
        <v>-100</v>
      </c>
      <c r="BL740" t="s">
        <v>188</v>
      </c>
      <c r="BM740">
        <v>1</v>
      </c>
      <c r="BN740">
        <v>1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 t="shared" ref="CE740:CE745" si="295">"15:06:35.599"</f>
        <v>15:06:35.599</v>
      </c>
      <c r="CF740">
        <v>599450252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5</v>
      </c>
      <c r="CY740">
        <v>7</v>
      </c>
      <c r="CZ740" t="s">
        <v>133</v>
      </c>
      <c r="DA740">
        <v>275</v>
      </c>
      <c r="DB740">
        <v>0</v>
      </c>
      <c r="DC740" t="s">
        <v>134</v>
      </c>
      <c r="DD740" t="s">
        <v>135</v>
      </c>
      <c r="DG740">
        <v>3319074</v>
      </c>
      <c r="DI740">
        <v>1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"05/01/2025 15:06:35.829"</f>
        <v>05/01/2025 15:06:35.829</v>
      </c>
      <c r="C741" t="str">
        <f t="shared" si="280"/>
        <v>FFDFD3C0</v>
      </c>
      <c r="D741" t="s">
        <v>143</v>
      </c>
      <c r="E741" t="str">
        <f>"05"</f>
        <v>05</v>
      </c>
      <c r="H741">
        <v>172</v>
      </c>
      <c r="I741" t="s">
        <v>141</v>
      </c>
      <c r="J741" t="s">
        <v>144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R741" t="s">
        <v>127</v>
      </c>
      <c r="S741" t="str">
        <f t="shared" si="294"/>
        <v>15:06:35.000</v>
      </c>
      <c r="T741" t="str">
        <f t="shared" si="294"/>
        <v>15:06:35.000</v>
      </c>
      <c r="U741" t="str">
        <f t="shared" si="281"/>
        <v>A68FCB</v>
      </c>
      <c r="V741">
        <v>0</v>
      </c>
      <c r="W741">
        <v>0</v>
      </c>
      <c r="X741">
        <v>2</v>
      </c>
      <c r="Y741">
        <v>0</v>
      </c>
      <c r="AA741">
        <v>1</v>
      </c>
      <c r="AB741">
        <v>8</v>
      </c>
      <c r="AC741">
        <v>3</v>
      </c>
      <c r="AD741">
        <v>0</v>
      </c>
      <c r="AE741">
        <v>9</v>
      </c>
      <c r="AF741" t="s">
        <v>138</v>
      </c>
      <c r="AG741">
        <v>0</v>
      </c>
      <c r="AH741">
        <v>3</v>
      </c>
      <c r="AI741">
        <v>2</v>
      </c>
      <c r="AJ741">
        <v>0</v>
      </c>
      <c r="AK741" t="s">
        <v>339</v>
      </c>
      <c r="AL741">
        <v>38.970094000000003</v>
      </c>
      <c r="AM741" t="s">
        <v>285</v>
      </c>
      <c r="AN741">
        <v>-121.050067</v>
      </c>
      <c r="AO741">
        <v>25</v>
      </c>
      <c r="AP741">
        <v>2700</v>
      </c>
      <c r="AQ741" t="s">
        <v>131</v>
      </c>
      <c r="AR741">
        <v>-4</v>
      </c>
      <c r="AS741">
        <v>82</v>
      </c>
      <c r="AT741">
        <v>768</v>
      </c>
      <c r="BB741" t="str">
        <f t="shared" si="282"/>
        <v>1200</v>
      </c>
      <c r="BC741">
        <v>1</v>
      </c>
      <c r="BD741" t="str">
        <f t="shared" si="283"/>
        <v xml:space="preserve">N52156  </v>
      </c>
      <c r="BE741">
        <v>1</v>
      </c>
      <c r="BG741">
        <v>0</v>
      </c>
      <c r="BH741">
        <v>0</v>
      </c>
      <c r="BI741">
        <v>0</v>
      </c>
      <c r="BJ741">
        <v>2600</v>
      </c>
      <c r="BK741">
        <v>-100</v>
      </c>
      <c r="BL741" t="s">
        <v>188</v>
      </c>
      <c r="BM741">
        <v>1</v>
      </c>
      <c r="BN741">
        <v>1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 t="shared" si="295"/>
        <v>15:06:35.599</v>
      </c>
      <c r="CF741">
        <v>599450252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5</v>
      </c>
      <c r="CY741">
        <v>7</v>
      </c>
      <c r="CZ741" t="s">
        <v>133</v>
      </c>
      <c r="DA741">
        <v>275</v>
      </c>
      <c r="DB741">
        <v>0</v>
      </c>
      <c r="DC741" t="s">
        <v>134</v>
      </c>
      <c r="DD741" t="s">
        <v>135</v>
      </c>
      <c r="DG741">
        <v>3319074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"05/01/2025 15:06:35.829"</f>
        <v>05/01/2025 15:06:35.829</v>
      </c>
      <c r="C742" t="str">
        <f t="shared" si="280"/>
        <v>FFDFD3C0</v>
      </c>
      <c r="D742" t="s">
        <v>124</v>
      </c>
      <c r="E742" t="str">
        <f>"06"</f>
        <v>06</v>
      </c>
      <c r="F742">
        <v>2006</v>
      </c>
      <c r="G742" t="s">
        <v>125</v>
      </c>
      <c r="J742" t="s">
        <v>126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R742" t="s">
        <v>127</v>
      </c>
      <c r="S742" t="str">
        <f t="shared" si="294"/>
        <v>15:06:35.000</v>
      </c>
      <c r="T742" t="str">
        <f t="shared" si="294"/>
        <v>15:06:35.000</v>
      </c>
      <c r="U742" t="str">
        <f t="shared" si="281"/>
        <v>A68FCB</v>
      </c>
      <c r="V742">
        <v>0</v>
      </c>
      <c r="W742">
        <v>0</v>
      </c>
      <c r="X742">
        <v>2</v>
      </c>
      <c r="Y742">
        <v>0</v>
      </c>
      <c r="AA742">
        <v>1</v>
      </c>
      <c r="AB742">
        <v>8</v>
      </c>
      <c r="AC742">
        <v>3</v>
      </c>
      <c r="AD742">
        <v>0</v>
      </c>
      <c r="AE742">
        <v>9</v>
      </c>
      <c r="AF742" t="s">
        <v>138</v>
      </c>
      <c r="AG742">
        <v>0</v>
      </c>
      <c r="AH742">
        <v>3</v>
      </c>
      <c r="AI742">
        <v>2</v>
      </c>
      <c r="AJ742">
        <v>0</v>
      </c>
      <c r="AK742" t="s">
        <v>339</v>
      </c>
      <c r="AL742">
        <v>38.970094000000003</v>
      </c>
      <c r="AM742" t="s">
        <v>285</v>
      </c>
      <c r="AN742">
        <v>-121.050067</v>
      </c>
      <c r="AO742">
        <v>25</v>
      </c>
      <c r="AP742">
        <v>2700</v>
      </c>
      <c r="AQ742" t="s">
        <v>131</v>
      </c>
      <c r="AR742">
        <v>-4</v>
      </c>
      <c r="AS742">
        <v>82</v>
      </c>
      <c r="AT742">
        <v>768</v>
      </c>
      <c r="BB742" t="str">
        <f t="shared" si="282"/>
        <v>1200</v>
      </c>
      <c r="BC742">
        <v>1</v>
      </c>
      <c r="BD742" t="str">
        <f t="shared" si="283"/>
        <v xml:space="preserve">N52156  </v>
      </c>
      <c r="BE742">
        <v>1</v>
      </c>
      <c r="BG742">
        <v>0</v>
      </c>
      <c r="BH742">
        <v>0</v>
      </c>
      <c r="BI742">
        <v>0</v>
      </c>
      <c r="BJ742">
        <v>2600</v>
      </c>
      <c r="BK742">
        <v>-100</v>
      </c>
      <c r="BL742" t="s">
        <v>188</v>
      </c>
      <c r="BM742">
        <v>1</v>
      </c>
      <c r="BN742">
        <v>1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 t="shared" si="295"/>
        <v>15:06:35.599</v>
      </c>
      <c r="CF742">
        <v>599450252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5</v>
      </c>
      <c r="CY742">
        <v>7</v>
      </c>
      <c r="CZ742" t="s">
        <v>133</v>
      </c>
      <c r="DA742">
        <v>275</v>
      </c>
      <c r="DB742">
        <v>0</v>
      </c>
      <c r="DC742" t="s">
        <v>134</v>
      </c>
      <c r="DD742" t="s">
        <v>135</v>
      </c>
      <c r="DG742">
        <v>3319074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"05/01/2025 15:06:35.829"</f>
        <v>05/01/2025 15:06:35.829</v>
      </c>
      <c r="C743" t="str">
        <f t="shared" si="280"/>
        <v>FFDFD3C0</v>
      </c>
      <c r="D743" t="s">
        <v>145</v>
      </c>
      <c r="E743" t="str">
        <f>"05"</f>
        <v>05</v>
      </c>
      <c r="H743">
        <v>47</v>
      </c>
      <c r="I743" t="s">
        <v>146</v>
      </c>
      <c r="J743" t="s">
        <v>138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R743" t="s">
        <v>127</v>
      </c>
      <c r="S743" t="str">
        <f t="shared" si="294"/>
        <v>15:06:35.000</v>
      </c>
      <c r="T743" t="str">
        <f t="shared" si="294"/>
        <v>15:06:35.000</v>
      </c>
      <c r="U743" t="str">
        <f t="shared" si="281"/>
        <v>A68FCB</v>
      </c>
      <c r="V743">
        <v>0</v>
      </c>
      <c r="W743">
        <v>0</v>
      </c>
      <c r="X743">
        <v>2</v>
      </c>
      <c r="Y743">
        <v>0</v>
      </c>
      <c r="AA743">
        <v>1</v>
      </c>
      <c r="AB743">
        <v>8</v>
      </c>
      <c r="AC743">
        <v>3</v>
      </c>
      <c r="AD743">
        <v>0</v>
      </c>
      <c r="AE743">
        <v>9</v>
      </c>
      <c r="AF743" t="s">
        <v>138</v>
      </c>
      <c r="AG743">
        <v>0</v>
      </c>
      <c r="AH743">
        <v>3</v>
      </c>
      <c r="AI743">
        <v>2</v>
      </c>
      <c r="AJ743">
        <v>0</v>
      </c>
      <c r="AK743" t="s">
        <v>339</v>
      </c>
      <c r="AL743">
        <v>38.970094000000003</v>
      </c>
      <c r="AM743" t="s">
        <v>285</v>
      </c>
      <c r="AN743">
        <v>-121.050067</v>
      </c>
      <c r="AO743">
        <v>25</v>
      </c>
      <c r="AP743">
        <v>2700</v>
      </c>
      <c r="AQ743" t="s">
        <v>131</v>
      </c>
      <c r="AR743">
        <v>-4</v>
      </c>
      <c r="AS743">
        <v>82</v>
      </c>
      <c r="AT743">
        <v>768</v>
      </c>
      <c r="BB743" t="str">
        <f t="shared" si="282"/>
        <v>1200</v>
      </c>
      <c r="BC743">
        <v>1</v>
      </c>
      <c r="BD743" t="str">
        <f t="shared" si="283"/>
        <v xml:space="preserve">N52156  </v>
      </c>
      <c r="BE743">
        <v>1</v>
      </c>
      <c r="BG743">
        <v>0</v>
      </c>
      <c r="BH743">
        <v>0</v>
      </c>
      <c r="BI743">
        <v>0</v>
      </c>
      <c r="BJ743">
        <v>2600</v>
      </c>
      <c r="BK743">
        <v>-100</v>
      </c>
      <c r="BL743" t="s">
        <v>188</v>
      </c>
      <c r="BM743">
        <v>1</v>
      </c>
      <c r="BN743">
        <v>1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 t="shared" si="295"/>
        <v>15:06:35.599</v>
      </c>
      <c r="CF743">
        <v>599450252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5</v>
      </c>
      <c r="CY743">
        <v>7</v>
      </c>
      <c r="CZ743" t="s">
        <v>133</v>
      </c>
      <c r="DA743">
        <v>275</v>
      </c>
      <c r="DB743">
        <v>0</v>
      </c>
      <c r="DC743" t="s">
        <v>134</v>
      </c>
      <c r="DD743" t="s">
        <v>135</v>
      </c>
      <c r="DG743">
        <v>3319074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"05/01/2025 15:06:35.831"</f>
        <v>05/01/2025 15:06:35.831</v>
      </c>
      <c r="C744" t="str">
        <f t="shared" si="280"/>
        <v>FFDFD3C0</v>
      </c>
      <c r="D744" t="s">
        <v>145</v>
      </c>
      <c r="E744" t="str">
        <f>"09"</f>
        <v>09</v>
      </c>
      <c r="H744">
        <v>51</v>
      </c>
      <c r="I744" t="s">
        <v>147</v>
      </c>
      <c r="J744" t="s">
        <v>138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R744" t="s">
        <v>127</v>
      </c>
      <c r="S744" t="str">
        <f t="shared" si="294"/>
        <v>15:06:35.000</v>
      </c>
      <c r="T744" t="str">
        <f t="shared" si="294"/>
        <v>15:06:35.000</v>
      </c>
      <c r="U744" t="str">
        <f t="shared" si="281"/>
        <v>A68FCB</v>
      </c>
      <c r="V744">
        <v>0</v>
      </c>
      <c r="W744">
        <v>0</v>
      </c>
      <c r="X744">
        <v>2</v>
      </c>
      <c r="Y744">
        <v>0</v>
      </c>
      <c r="AA744">
        <v>1</v>
      </c>
      <c r="AB744">
        <v>8</v>
      </c>
      <c r="AC744">
        <v>3</v>
      </c>
      <c r="AD744">
        <v>0</v>
      </c>
      <c r="AE744">
        <v>9</v>
      </c>
      <c r="AF744" t="s">
        <v>138</v>
      </c>
      <c r="AG744">
        <v>0</v>
      </c>
      <c r="AH744">
        <v>3</v>
      </c>
      <c r="AI744">
        <v>2</v>
      </c>
      <c r="AJ744">
        <v>0</v>
      </c>
      <c r="AK744" t="s">
        <v>339</v>
      </c>
      <c r="AL744">
        <v>38.970094000000003</v>
      </c>
      <c r="AM744" t="s">
        <v>285</v>
      </c>
      <c r="AN744">
        <v>-121.050067</v>
      </c>
      <c r="AO744">
        <v>25</v>
      </c>
      <c r="AP744">
        <v>2700</v>
      </c>
      <c r="AQ744" t="s">
        <v>131</v>
      </c>
      <c r="AR744">
        <v>-4</v>
      </c>
      <c r="AS744">
        <v>82</v>
      </c>
      <c r="AT744">
        <v>768</v>
      </c>
      <c r="BB744" t="str">
        <f t="shared" si="282"/>
        <v>1200</v>
      </c>
      <c r="BC744">
        <v>1</v>
      </c>
      <c r="BD744" t="str">
        <f t="shared" si="283"/>
        <v xml:space="preserve">N52156  </v>
      </c>
      <c r="BE744">
        <v>1</v>
      </c>
      <c r="BG744">
        <v>0</v>
      </c>
      <c r="BH744">
        <v>0</v>
      </c>
      <c r="BI744">
        <v>0</v>
      </c>
      <c r="BJ744">
        <v>2600</v>
      </c>
      <c r="BK744">
        <v>-100</v>
      </c>
      <c r="BL744" t="s">
        <v>188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 t="shared" si="295"/>
        <v>15:06:35.599</v>
      </c>
      <c r="CF744">
        <v>599450252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5</v>
      </c>
      <c r="CY744">
        <v>7</v>
      </c>
      <c r="CZ744" t="s">
        <v>133</v>
      </c>
      <c r="DA744">
        <v>275</v>
      </c>
      <c r="DB744">
        <v>0</v>
      </c>
      <c r="DC744" t="s">
        <v>134</v>
      </c>
      <c r="DD744" t="s">
        <v>135</v>
      </c>
      <c r="DG744">
        <v>3319074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"05/01/2025 15:06:35.839"</f>
        <v>05/01/2025 15:06:35.839</v>
      </c>
      <c r="C745" t="str">
        <f t="shared" si="280"/>
        <v>FFDFD3C0</v>
      </c>
      <c r="D745" t="s">
        <v>136</v>
      </c>
      <c r="E745" t="str">
        <f>"20"</f>
        <v>20</v>
      </c>
      <c r="H745">
        <v>400</v>
      </c>
      <c r="I745" t="s">
        <v>137</v>
      </c>
      <c r="J745" t="s">
        <v>138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R745" t="s">
        <v>127</v>
      </c>
      <c r="S745" t="str">
        <f t="shared" si="294"/>
        <v>15:06:35.000</v>
      </c>
      <c r="T745" t="str">
        <f t="shared" si="294"/>
        <v>15:06:35.000</v>
      </c>
      <c r="U745" t="str">
        <f t="shared" si="281"/>
        <v>A68FCB</v>
      </c>
      <c r="V745">
        <v>0</v>
      </c>
      <c r="W745">
        <v>0</v>
      </c>
      <c r="X745">
        <v>2</v>
      </c>
      <c r="Y745">
        <v>0</v>
      </c>
      <c r="AA745">
        <v>1</v>
      </c>
      <c r="AB745">
        <v>8</v>
      </c>
      <c r="AC745">
        <v>3</v>
      </c>
      <c r="AD745">
        <v>0</v>
      </c>
      <c r="AE745">
        <v>9</v>
      </c>
      <c r="AF745" t="s">
        <v>138</v>
      </c>
      <c r="AG745">
        <v>0</v>
      </c>
      <c r="AH745">
        <v>3</v>
      </c>
      <c r="AI745">
        <v>2</v>
      </c>
      <c r="AJ745">
        <v>0</v>
      </c>
      <c r="AK745" t="s">
        <v>339</v>
      </c>
      <c r="AL745">
        <v>38.970094000000003</v>
      </c>
      <c r="AM745" t="s">
        <v>285</v>
      </c>
      <c r="AN745">
        <v>-121.050067</v>
      </c>
      <c r="AO745">
        <v>25</v>
      </c>
      <c r="AP745">
        <v>2700</v>
      </c>
      <c r="AQ745" t="s">
        <v>131</v>
      </c>
      <c r="AR745">
        <v>-4</v>
      </c>
      <c r="AS745">
        <v>82</v>
      </c>
      <c r="AT745">
        <v>768</v>
      </c>
      <c r="BB745" t="str">
        <f t="shared" si="282"/>
        <v>1200</v>
      </c>
      <c r="BC745">
        <v>1</v>
      </c>
      <c r="BD745" t="str">
        <f t="shared" si="283"/>
        <v xml:space="preserve">N52156  </v>
      </c>
      <c r="BE745">
        <v>1</v>
      </c>
      <c r="BG745">
        <v>0</v>
      </c>
      <c r="BH745">
        <v>0</v>
      </c>
      <c r="BI745">
        <v>0</v>
      </c>
      <c r="BJ745">
        <v>2600</v>
      </c>
      <c r="BK745">
        <v>-100</v>
      </c>
      <c r="BL745" t="s">
        <v>188</v>
      </c>
      <c r="BM745">
        <v>1</v>
      </c>
      <c r="BN745">
        <v>1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 t="shared" si="295"/>
        <v>15:06:35.599</v>
      </c>
      <c r="CF745">
        <v>599450252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133</v>
      </c>
      <c r="DA745">
        <v>275</v>
      </c>
      <c r="DB745">
        <v>0</v>
      </c>
      <c r="DC745" t="s">
        <v>134</v>
      </c>
      <c r="DD745" t="s">
        <v>135</v>
      </c>
      <c r="DG745">
        <v>3319074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"05/01/2025 15:06:36.621"</f>
        <v>05/01/2025 15:06:36.621</v>
      </c>
      <c r="C746" t="str">
        <f t="shared" si="280"/>
        <v>FFDFD3C0</v>
      </c>
      <c r="D746" t="s">
        <v>140</v>
      </c>
      <c r="E746" t="str">
        <f>"13"</f>
        <v>13</v>
      </c>
      <c r="F746">
        <v>1019</v>
      </c>
      <c r="G746" t="s">
        <v>141</v>
      </c>
      <c r="J746" t="s">
        <v>142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R746" t="s">
        <v>127</v>
      </c>
      <c r="S746" t="str">
        <f t="shared" ref="S746:T751" si="296">"15:06:36.000"</f>
        <v>15:06:36.000</v>
      </c>
      <c r="T746" t="str">
        <f t="shared" si="296"/>
        <v>15:06:36.000</v>
      </c>
      <c r="U746" t="str">
        <f t="shared" si="281"/>
        <v>A68FCB</v>
      </c>
      <c r="V746">
        <v>0</v>
      </c>
      <c r="W746">
        <v>0</v>
      </c>
      <c r="X746">
        <v>2</v>
      </c>
      <c r="Y746">
        <v>0</v>
      </c>
      <c r="AA746">
        <v>1</v>
      </c>
      <c r="AB746">
        <v>8</v>
      </c>
      <c r="AC746">
        <v>3</v>
      </c>
      <c r="AD746">
        <v>0</v>
      </c>
      <c r="AE746">
        <v>9</v>
      </c>
      <c r="AF746" t="s">
        <v>138</v>
      </c>
      <c r="AG746">
        <v>0</v>
      </c>
      <c r="AH746">
        <v>3</v>
      </c>
      <c r="AI746">
        <v>2</v>
      </c>
      <c r="AJ746">
        <v>0</v>
      </c>
      <c r="AK746" t="s">
        <v>340</v>
      </c>
      <c r="AL746">
        <v>38.970480000000002</v>
      </c>
      <c r="AM746" t="s">
        <v>341</v>
      </c>
      <c r="AN746">
        <v>-121.050088</v>
      </c>
      <c r="AO746">
        <v>25</v>
      </c>
      <c r="AP746">
        <v>2700</v>
      </c>
      <c r="AQ746" t="s">
        <v>131</v>
      </c>
      <c r="AR746">
        <v>-5</v>
      </c>
      <c r="AS746">
        <v>82</v>
      </c>
      <c r="AT746">
        <v>704</v>
      </c>
      <c r="BB746" t="str">
        <f t="shared" si="282"/>
        <v>1200</v>
      </c>
      <c r="BC746">
        <v>1</v>
      </c>
      <c r="BD746" t="str">
        <f t="shared" si="283"/>
        <v xml:space="preserve">N52156  </v>
      </c>
      <c r="BE746">
        <v>1</v>
      </c>
      <c r="BG746">
        <v>0</v>
      </c>
      <c r="BH746">
        <v>0</v>
      </c>
      <c r="BI746">
        <v>0</v>
      </c>
      <c r="BJ746">
        <v>2625</v>
      </c>
      <c r="BK746">
        <v>-75</v>
      </c>
      <c r="BL746" t="s">
        <v>188</v>
      </c>
      <c r="BM746">
        <v>1</v>
      </c>
      <c r="BN746">
        <v>1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 t="shared" ref="CE746:CE751" si="297">"15:06:36.406"</f>
        <v>15:06:36.406</v>
      </c>
      <c r="CF746">
        <v>406449808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133</v>
      </c>
      <c r="DA746">
        <v>275</v>
      </c>
      <c r="DB746">
        <v>0</v>
      </c>
      <c r="DC746" t="s">
        <v>134</v>
      </c>
      <c r="DD746" t="s">
        <v>135</v>
      </c>
      <c r="DG746">
        <v>3319088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"05/01/2025 15:06:36.629"</f>
        <v>05/01/2025 15:06:36.629</v>
      </c>
      <c r="C747" t="str">
        <f t="shared" si="280"/>
        <v>FFDFD3C0</v>
      </c>
      <c r="D747" t="s">
        <v>145</v>
      </c>
      <c r="E747" t="str">
        <f>"05"</f>
        <v>05</v>
      </c>
      <c r="H747">
        <v>47</v>
      </c>
      <c r="I747" t="s">
        <v>146</v>
      </c>
      <c r="J747" t="s">
        <v>138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R747" t="s">
        <v>127</v>
      </c>
      <c r="S747" t="str">
        <f t="shared" si="296"/>
        <v>15:06:36.000</v>
      </c>
      <c r="T747" t="str">
        <f t="shared" si="296"/>
        <v>15:06:36.000</v>
      </c>
      <c r="U747" t="str">
        <f t="shared" si="281"/>
        <v>A68FCB</v>
      </c>
      <c r="V747">
        <v>0</v>
      </c>
      <c r="W747">
        <v>0</v>
      </c>
      <c r="X747">
        <v>2</v>
      </c>
      <c r="Y747">
        <v>0</v>
      </c>
      <c r="AA747">
        <v>1</v>
      </c>
      <c r="AB747">
        <v>8</v>
      </c>
      <c r="AC747">
        <v>3</v>
      </c>
      <c r="AD747">
        <v>0</v>
      </c>
      <c r="AE747">
        <v>9</v>
      </c>
      <c r="AF747" t="s">
        <v>138</v>
      </c>
      <c r="AG747">
        <v>0</v>
      </c>
      <c r="AH747">
        <v>3</v>
      </c>
      <c r="AI747">
        <v>2</v>
      </c>
      <c r="AJ747">
        <v>0</v>
      </c>
      <c r="AK747" t="s">
        <v>340</v>
      </c>
      <c r="AL747">
        <v>38.970480000000002</v>
      </c>
      <c r="AM747" t="s">
        <v>341</v>
      </c>
      <c r="AN747">
        <v>-121.050088</v>
      </c>
      <c r="AO747">
        <v>25</v>
      </c>
      <c r="AP747">
        <v>2700</v>
      </c>
      <c r="AQ747" t="s">
        <v>131</v>
      </c>
      <c r="AR747">
        <v>-5</v>
      </c>
      <c r="AS747">
        <v>82</v>
      </c>
      <c r="AT747">
        <v>704</v>
      </c>
      <c r="BB747" t="str">
        <f t="shared" si="282"/>
        <v>1200</v>
      </c>
      <c r="BC747">
        <v>1</v>
      </c>
      <c r="BD747" t="str">
        <f t="shared" si="283"/>
        <v xml:space="preserve">N52156  </v>
      </c>
      <c r="BE747">
        <v>1</v>
      </c>
      <c r="BG747">
        <v>0</v>
      </c>
      <c r="BH747">
        <v>0</v>
      </c>
      <c r="BI747">
        <v>0</v>
      </c>
      <c r="BJ747">
        <v>2625</v>
      </c>
      <c r="BK747">
        <v>-75</v>
      </c>
      <c r="BL747" t="s">
        <v>188</v>
      </c>
      <c r="BM747">
        <v>1</v>
      </c>
      <c r="BN747">
        <v>1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 t="shared" si="297"/>
        <v>15:06:36.406</v>
      </c>
      <c r="CF747">
        <v>406449808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5</v>
      </c>
      <c r="CY747">
        <v>7</v>
      </c>
      <c r="CZ747" t="s">
        <v>133</v>
      </c>
      <c r="DA747">
        <v>275</v>
      </c>
      <c r="DB747">
        <v>0</v>
      </c>
      <c r="DC747" t="s">
        <v>134</v>
      </c>
      <c r="DD747" t="s">
        <v>135</v>
      </c>
      <c r="DG747">
        <v>3319088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"05/01/2025 15:06:36.630"</f>
        <v>05/01/2025 15:06:36.630</v>
      </c>
      <c r="C748" t="str">
        <f t="shared" si="280"/>
        <v>FFDFD3C0</v>
      </c>
      <c r="D748" t="s">
        <v>143</v>
      </c>
      <c r="E748" t="str">
        <f>"05"</f>
        <v>05</v>
      </c>
      <c r="H748">
        <v>172</v>
      </c>
      <c r="I748" t="s">
        <v>141</v>
      </c>
      <c r="J748" t="s">
        <v>144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R748" t="s">
        <v>127</v>
      </c>
      <c r="S748" t="str">
        <f t="shared" si="296"/>
        <v>15:06:36.000</v>
      </c>
      <c r="T748" t="str">
        <f t="shared" si="296"/>
        <v>15:06:36.000</v>
      </c>
      <c r="U748" t="str">
        <f t="shared" si="281"/>
        <v>A68FCB</v>
      </c>
      <c r="V748">
        <v>0</v>
      </c>
      <c r="W748">
        <v>0</v>
      </c>
      <c r="X748">
        <v>2</v>
      </c>
      <c r="Y748">
        <v>0</v>
      </c>
      <c r="AA748">
        <v>1</v>
      </c>
      <c r="AB748">
        <v>8</v>
      </c>
      <c r="AC748">
        <v>3</v>
      </c>
      <c r="AD748">
        <v>0</v>
      </c>
      <c r="AE748">
        <v>9</v>
      </c>
      <c r="AF748" t="s">
        <v>138</v>
      </c>
      <c r="AG748">
        <v>0</v>
      </c>
      <c r="AH748">
        <v>3</v>
      </c>
      <c r="AI748">
        <v>2</v>
      </c>
      <c r="AJ748">
        <v>0</v>
      </c>
      <c r="AK748" t="s">
        <v>340</v>
      </c>
      <c r="AL748">
        <v>38.970480000000002</v>
      </c>
      <c r="AM748" t="s">
        <v>341</v>
      </c>
      <c r="AN748">
        <v>-121.050088</v>
      </c>
      <c r="AO748">
        <v>25</v>
      </c>
      <c r="AP748">
        <v>2700</v>
      </c>
      <c r="AQ748" t="s">
        <v>131</v>
      </c>
      <c r="AR748">
        <v>-5</v>
      </c>
      <c r="AS748">
        <v>82</v>
      </c>
      <c r="AT748">
        <v>704</v>
      </c>
      <c r="BB748" t="str">
        <f t="shared" si="282"/>
        <v>1200</v>
      </c>
      <c r="BC748">
        <v>1</v>
      </c>
      <c r="BD748" t="str">
        <f t="shared" si="283"/>
        <v xml:space="preserve">N52156  </v>
      </c>
      <c r="BE748">
        <v>1</v>
      </c>
      <c r="BG748">
        <v>0</v>
      </c>
      <c r="BH748">
        <v>0</v>
      </c>
      <c r="BI748">
        <v>0</v>
      </c>
      <c r="BJ748">
        <v>2625</v>
      </c>
      <c r="BK748">
        <v>-75</v>
      </c>
      <c r="BL748" t="s">
        <v>188</v>
      </c>
      <c r="BM748">
        <v>1</v>
      </c>
      <c r="BN748">
        <v>1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 t="shared" si="297"/>
        <v>15:06:36.406</v>
      </c>
      <c r="CF748">
        <v>406449808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5</v>
      </c>
      <c r="CY748">
        <v>7</v>
      </c>
      <c r="CZ748" t="s">
        <v>133</v>
      </c>
      <c r="DA748">
        <v>275</v>
      </c>
      <c r="DB748">
        <v>0</v>
      </c>
      <c r="DC748" t="s">
        <v>134</v>
      </c>
      <c r="DD748" t="s">
        <v>135</v>
      </c>
      <c r="DG748">
        <v>3319088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"05/01/2025 15:06:36.630"</f>
        <v>05/01/2025 15:06:36.630</v>
      </c>
      <c r="C749" t="str">
        <f t="shared" si="280"/>
        <v>FFDFD3C0</v>
      </c>
      <c r="D749" t="s">
        <v>124</v>
      </c>
      <c r="E749" t="str">
        <f>"06"</f>
        <v>06</v>
      </c>
      <c r="F749">
        <v>2006</v>
      </c>
      <c r="G749" t="s">
        <v>125</v>
      </c>
      <c r="J749" t="s">
        <v>126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R749" t="s">
        <v>127</v>
      </c>
      <c r="S749" t="str">
        <f t="shared" si="296"/>
        <v>15:06:36.000</v>
      </c>
      <c r="T749" t="str">
        <f t="shared" si="296"/>
        <v>15:06:36.000</v>
      </c>
      <c r="U749" t="str">
        <f t="shared" si="281"/>
        <v>A68FCB</v>
      </c>
      <c r="V749">
        <v>0</v>
      </c>
      <c r="W749">
        <v>0</v>
      </c>
      <c r="X749">
        <v>2</v>
      </c>
      <c r="Y749">
        <v>0</v>
      </c>
      <c r="AA749">
        <v>1</v>
      </c>
      <c r="AB749">
        <v>8</v>
      </c>
      <c r="AC749">
        <v>3</v>
      </c>
      <c r="AD749">
        <v>0</v>
      </c>
      <c r="AE749">
        <v>9</v>
      </c>
      <c r="AF749" t="s">
        <v>138</v>
      </c>
      <c r="AG749">
        <v>0</v>
      </c>
      <c r="AH749">
        <v>3</v>
      </c>
      <c r="AI749">
        <v>2</v>
      </c>
      <c r="AJ749">
        <v>0</v>
      </c>
      <c r="AK749" t="s">
        <v>340</v>
      </c>
      <c r="AL749">
        <v>38.970480000000002</v>
      </c>
      <c r="AM749" t="s">
        <v>341</v>
      </c>
      <c r="AN749">
        <v>-121.050088</v>
      </c>
      <c r="AO749">
        <v>25</v>
      </c>
      <c r="AP749">
        <v>2700</v>
      </c>
      <c r="AQ749" t="s">
        <v>131</v>
      </c>
      <c r="AR749">
        <v>-5</v>
      </c>
      <c r="AS749">
        <v>82</v>
      </c>
      <c r="AT749">
        <v>704</v>
      </c>
      <c r="BB749" t="str">
        <f t="shared" si="282"/>
        <v>1200</v>
      </c>
      <c r="BC749">
        <v>1</v>
      </c>
      <c r="BD749" t="str">
        <f t="shared" si="283"/>
        <v xml:space="preserve">N52156  </v>
      </c>
      <c r="BE749">
        <v>1</v>
      </c>
      <c r="BG749">
        <v>0</v>
      </c>
      <c r="BH749">
        <v>0</v>
      </c>
      <c r="BI749">
        <v>0</v>
      </c>
      <c r="BJ749">
        <v>2625</v>
      </c>
      <c r="BK749">
        <v>-75</v>
      </c>
      <c r="BL749" t="s">
        <v>188</v>
      </c>
      <c r="BM749">
        <v>1</v>
      </c>
      <c r="BN749">
        <v>1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 t="shared" si="297"/>
        <v>15:06:36.406</v>
      </c>
      <c r="CF749">
        <v>406449808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5</v>
      </c>
      <c r="CY749">
        <v>7</v>
      </c>
      <c r="CZ749" t="s">
        <v>133</v>
      </c>
      <c r="DA749">
        <v>275</v>
      </c>
      <c r="DB749">
        <v>0</v>
      </c>
      <c r="DC749" t="s">
        <v>134</v>
      </c>
      <c r="DD749" t="s">
        <v>135</v>
      </c>
      <c r="DG749">
        <v>3319088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"05/01/2025 15:06:36.632"</f>
        <v>05/01/2025 15:06:36.632</v>
      </c>
      <c r="C750" t="str">
        <f t="shared" si="280"/>
        <v>FFDFD3C0</v>
      </c>
      <c r="D750" t="s">
        <v>145</v>
      </c>
      <c r="E750" t="str">
        <f>"09"</f>
        <v>09</v>
      </c>
      <c r="H750">
        <v>51</v>
      </c>
      <c r="I750" t="s">
        <v>147</v>
      </c>
      <c r="J750" t="s">
        <v>138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R750" t="s">
        <v>127</v>
      </c>
      <c r="S750" t="str">
        <f t="shared" si="296"/>
        <v>15:06:36.000</v>
      </c>
      <c r="T750" t="str">
        <f t="shared" si="296"/>
        <v>15:06:36.000</v>
      </c>
      <c r="U750" t="str">
        <f t="shared" si="281"/>
        <v>A68FCB</v>
      </c>
      <c r="V750">
        <v>0</v>
      </c>
      <c r="W750">
        <v>0</v>
      </c>
      <c r="X750">
        <v>2</v>
      </c>
      <c r="Y750">
        <v>0</v>
      </c>
      <c r="AA750">
        <v>1</v>
      </c>
      <c r="AB750">
        <v>8</v>
      </c>
      <c r="AC750">
        <v>3</v>
      </c>
      <c r="AD750">
        <v>0</v>
      </c>
      <c r="AE750">
        <v>9</v>
      </c>
      <c r="AF750" t="s">
        <v>138</v>
      </c>
      <c r="AG750">
        <v>0</v>
      </c>
      <c r="AH750">
        <v>3</v>
      </c>
      <c r="AI750">
        <v>2</v>
      </c>
      <c r="AJ750">
        <v>0</v>
      </c>
      <c r="AK750" t="s">
        <v>340</v>
      </c>
      <c r="AL750">
        <v>38.970480000000002</v>
      </c>
      <c r="AM750" t="s">
        <v>341</v>
      </c>
      <c r="AN750">
        <v>-121.050088</v>
      </c>
      <c r="AO750">
        <v>25</v>
      </c>
      <c r="AP750">
        <v>2700</v>
      </c>
      <c r="AQ750" t="s">
        <v>131</v>
      </c>
      <c r="AR750">
        <v>-5</v>
      </c>
      <c r="AS750">
        <v>82</v>
      </c>
      <c r="AT750">
        <v>704</v>
      </c>
      <c r="BB750" t="str">
        <f t="shared" si="282"/>
        <v>1200</v>
      </c>
      <c r="BC750">
        <v>1</v>
      </c>
      <c r="BD750" t="str">
        <f t="shared" si="283"/>
        <v xml:space="preserve">N52156  </v>
      </c>
      <c r="BE750">
        <v>1</v>
      </c>
      <c r="BG750">
        <v>0</v>
      </c>
      <c r="BH750">
        <v>0</v>
      </c>
      <c r="BI750">
        <v>0</v>
      </c>
      <c r="BJ750">
        <v>2625</v>
      </c>
      <c r="BK750">
        <v>-75</v>
      </c>
      <c r="BL750" t="s">
        <v>188</v>
      </c>
      <c r="BM750">
        <v>1</v>
      </c>
      <c r="BN750">
        <v>1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 t="shared" si="297"/>
        <v>15:06:36.406</v>
      </c>
      <c r="CF750">
        <v>406449808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133</v>
      </c>
      <c r="DA750">
        <v>275</v>
      </c>
      <c r="DB750">
        <v>0</v>
      </c>
      <c r="DC750" t="s">
        <v>134</v>
      </c>
      <c r="DD750" t="s">
        <v>135</v>
      </c>
      <c r="DG750">
        <v>3319088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"05/01/2025 15:06:36.640"</f>
        <v>05/01/2025 15:06:36.640</v>
      </c>
      <c r="C751" t="str">
        <f t="shared" si="280"/>
        <v>FFDFD3C0</v>
      </c>
      <c r="D751" t="s">
        <v>136</v>
      </c>
      <c r="E751" t="str">
        <f>"20"</f>
        <v>20</v>
      </c>
      <c r="H751">
        <v>400</v>
      </c>
      <c r="I751" t="s">
        <v>137</v>
      </c>
      <c r="J751" t="s">
        <v>138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R751" t="s">
        <v>127</v>
      </c>
      <c r="S751" t="str">
        <f t="shared" si="296"/>
        <v>15:06:36.000</v>
      </c>
      <c r="T751" t="str">
        <f t="shared" si="296"/>
        <v>15:06:36.000</v>
      </c>
      <c r="U751" t="str">
        <f t="shared" si="281"/>
        <v>A68FCB</v>
      </c>
      <c r="V751">
        <v>0</v>
      </c>
      <c r="W751">
        <v>0</v>
      </c>
      <c r="X751">
        <v>2</v>
      </c>
      <c r="Y751">
        <v>0</v>
      </c>
      <c r="AA751">
        <v>1</v>
      </c>
      <c r="AB751">
        <v>8</v>
      </c>
      <c r="AC751">
        <v>3</v>
      </c>
      <c r="AD751">
        <v>0</v>
      </c>
      <c r="AE751">
        <v>9</v>
      </c>
      <c r="AF751" t="s">
        <v>138</v>
      </c>
      <c r="AG751">
        <v>0</v>
      </c>
      <c r="AH751">
        <v>3</v>
      </c>
      <c r="AI751">
        <v>2</v>
      </c>
      <c r="AJ751">
        <v>0</v>
      </c>
      <c r="AK751" t="s">
        <v>340</v>
      </c>
      <c r="AL751">
        <v>38.970480000000002</v>
      </c>
      <c r="AM751" t="s">
        <v>341</v>
      </c>
      <c r="AN751">
        <v>-121.050088</v>
      </c>
      <c r="AO751">
        <v>25</v>
      </c>
      <c r="AP751">
        <v>2700</v>
      </c>
      <c r="AQ751" t="s">
        <v>131</v>
      </c>
      <c r="AR751">
        <v>-5</v>
      </c>
      <c r="AS751">
        <v>82</v>
      </c>
      <c r="AT751">
        <v>704</v>
      </c>
      <c r="BB751" t="str">
        <f t="shared" si="282"/>
        <v>1200</v>
      </c>
      <c r="BC751">
        <v>1</v>
      </c>
      <c r="BD751" t="str">
        <f t="shared" si="283"/>
        <v xml:space="preserve">N52156  </v>
      </c>
      <c r="BE751">
        <v>1</v>
      </c>
      <c r="BG751">
        <v>0</v>
      </c>
      <c r="BH751">
        <v>0</v>
      </c>
      <c r="BI751">
        <v>0</v>
      </c>
      <c r="BJ751">
        <v>2625</v>
      </c>
      <c r="BK751">
        <v>-75</v>
      </c>
      <c r="BL751" t="s">
        <v>188</v>
      </c>
      <c r="BM751">
        <v>1</v>
      </c>
      <c r="BN751">
        <v>1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 t="shared" si="297"/>
        <v>15:06:36.406</v>
      </c>
      <c r="CF751">
        <v>406449808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5</v>
      </c>
      <c r="CY751">
        <v>7</v>
      </c>
      <c r="CZ751" t="s">
        <v>133</v>
      </c>
      <c r="DA751">
        <v>275</v>
      </c>
      <c r="DB751">
        <v>0</v>
      </c>
      <c r="DC751" t="s">
        <v>134</v>
      </c>
      <c r="DD751" t="s">
        <v>135</v>
      </c>
      <c r="DG751">
        <v>3319088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"05/01/2025 15:06:37.742"</f>
        <v>05/01/2025 15:06:37.742</v>
      </c>
      <c r="C752" t="str">
        <f t="shared" si="280"/>
        <v>FFDFD3C0</v>
      </c>
      <c r="D752" t="s">
        <v>136</v>
      </c>
      <c r="E752" t="str">
        <f>"20"</f>
        <v>20</v>
      </c>
      <c r="H752">
        <v>400</v>
      </c>
      <c r="I752" t="s">
        <v>137</v>
      </c>
      <c r="J752" t="s">
        <v>138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R752" t="s">
        <v>127</v>
      </c>
      <c r="S752" t="str">
        <f t="shared" ref="S752:T757" si="298">"15:06:37.000"</f>
        <v>15:06:37.000</v>
      </c>
      <c r="T752" t="str">
        <f t="shared" si="298"/>
        <v>15:06:37.000</v>
      </c>
      <c r="U752" t="str">
        <f t="shared" si="281"/>
        <v>A68FCB</v>
      </c>
      <c r="V752">
        <v>0</v>
      </c>
      <c r="W752">
        <v>0</v>
      </c>
      <c r="X752">
        <v>2</v>
      </c>
      <c r="Y752">
        <v>0</v>
      </c>
      <c r="AA752">
        <v>1</v>
      </c>
      <c r="AB752">
        <v>8</v>
      </c>
      <c r="AC752">
        <v>3</v>
      </c>
      <c r="AD752">
        <v>0</v>
      </c>
      <c r="AE752">
        <v>9</v>
      </c>
      <c r="AF752" t="s">
        <v>138</v>
      </c>
      <c r="AG752">
        <v>0</v>
      </c>
      <c r="AH752">
        <v>3</v>
      </c>
      <c r="AI752">
        <v>2</v>
      </c>
      <c r="AJ752">
        <v>0</v>
      </c>
      <c r="AK752" t="s">
        <v>342</v>
      </c>
      <c r="AL752">
        <v>38.970951999999997</v>
      </c>
      <c r="AM752" t="s">
        <v>337</v>
      </c>
      <c r="AN752">
        <v>-121.050045</v>
      </c>
      <c r="AO752">
        <v>25</v>
      </c>
      <c r="AP752">
        <v>2700</v>
      </c>
      <c r="AQ752" t="s">
        <v>131</v>
      </c>
      <c r="AR752">
        <v>-6</v>
      </c>
      <c r="AS752">
        <v>82</v>
      </c>
      <c r="AT752">
        <v>640</v>
      </c>
      <c r="BB752" t="str">
        <f t="shared" si="282"/>
        <v>1200</v>
      </c>
      <c r="BC752">
        <v>1</v>
      </c>
      <c r="BD752" t="str">
        <f t="shared" si="283"/>
        <v xml:space="preserve">N52156  </v>
      </c>
      <c r="BE752">
        <v>1</v>
      </c>
      <c r="BG752">
        <v>0</v>
      </c>
      <c r="BH752">
        <v>0</v>
      </c>
      <c r="BI752">
        <v>0</v>
      </c>
      <c r="BJ752">
        <v>2625</v>
      </c>
      <c r="BK752">
        <v>-75</v>
      </c>
      <c r="BL752" t="s">
        <v>188</v>
      </c>
      <c r="BM752">
        <v>1</v>
      </c>
      <c r="BN752">
        <v>1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 t="shared" ref="CE752:CE757" si="299">"15:06:37.543"</f>
        <v>15:06:37.543</v>
      </c>
      <c r="CF752">
        <v>542950173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133</v>
      </c>
      <c r="DA752">
        <v>275</v>
      </c>
      <c r="DB752">
        <v>0</v>
      </c>
      <c r="DC752" t="s">
        <v>134</v>
      </c>
      <c r="DD752" t="s">
        <v>135</v>
      </c>
      <c r="DG752">
        <v>3319101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"05/01/2025 15:06:37.773"</f>
        <v>05/01/2025 15:06:37.773</v>
      </c>
      <c r="C753" t="str">
        <f t="shared" si="280"/>
        <v>FFDFD3C0</v>
      </c>
      <c r="D753" t="s">
        <v>140</v>
      </c>
      <c r="E753" t="str">
        <f>"13"</f>
        <v>13</v>
      </c>
      <c r="F753">
        <v>1019</v>
      </c>
      <c r="G753" t="s">
        <v>141</v>
      </c>
      <c r="J753" t="s">
        <v>142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R753" t="s">
        <v>127</v>
      </c>
      <c r="S753" t="str">
        <f t="shared" si="298"/>
        <v>15:06:37.000</v>
      </c>
      <c r="T753" t="str">
        <f t="shared" si="298"/>
        <v>15:06:37.000</v>
      </c>
      <c r="U753" t="str">
        <f t="shared" si="281"/>
        <v>A68FCB</v>
      </c>
      <c r="V753">
        <v>0</v>
      </c>
      <c r="W753">
        <v>0</v>
      </c>
      <c r="X753">
        <v>2</v>
      </c>
      <c r="Y753">
        <v>0</v>
      </c>
      <c r="AA753">
        <v>1</v>
      </c>
      <c r="AB753">
        <v>8</v>
      </c>
      <c r="AC753">
        <v>3</v>
      </c>
      <c r="AD753">
        <v>0</v>
      </c>
      <c r="AE753">
        <v>9</v>
      </c>
      <c r="AF753" t="s">
        <v>138</v>
      </c>
      <c r="AG753">
        <v>0</v>
      </c>
      <c r="AH753">
        <v>3</v>
      </c>
      <c r="AI753">
        <v>2</v>
      </c>
      <c r="AJ753">
        <v>0</v>
      </c>
      <c r="AK753" t="s">
        <v>342</v>
      </c>
      <c r="AL753">
        <v>38.970951999999997</v>
      </c>
      <c r="AM753" t="s">
        <v>337</v>
      </c>
      <c r="AN753">
        <v>-121.050045</v>
      </c>
      <c r="AO753">
        <v>25</v>
      </c>
      <c r="AP753">
        <v>2700</v>
      </c>
      <c r="AQ753" t="s">
        <v>131</v>
      </c>
      <c r="AR753">
        <v>-6</v>
      </c>
      <c r="AS753">
        <v>82</v>
      </c>
      <c r="AT753">
        <v>640</v>
      </c>
      <c r="BB753" t="str">
        <f t="shared" si="282"/>
        <v>1200</v>
      </c>
      <c r="BC753">
        <v>1</v>
      </c>
      <c r="BD753" t="str">
        <f t="shared" si="283"/>
        <v xml:space="preserve">N52156  </v>
      </c>
      <c r="BE753">
        <v>1</v>
      </c>
      <c r="BG753">
        <v>0</v>
      </c>
      <c r="BH753">
        <v>0</v>
      </c>
      <c r="BI753">
        <v>0</v>
      </c>
      <c r="BJ753">
        <v>2625</v>
      </c>
      <c r="BK753">
        <v>-75</v>
      </c>
      <c r="BL753" t="s">
        <v>188</v>
      </c>
      <c r="BM753">
        <v>1</v>
      </c>
      <c r="BN753">
        <v>1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 t="shared" si="299"/>
        <v>15:06:37.543</v>
      </c>
      <c r="CF753">
        <v>542950173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133</v>
      </c>
      <c r="DA753">
        <v>275</v>
      </c>
      <c r="DB753">
        <v>0</v>
      </c>
      <c r="DC753" t="s">
        <v>134</v>
      </c>
      <c r="DD753" t="s">
        <v>135</v>
      </c>
      <c r="DG753">
        <v>3319101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"05/01/2025 15:06:37.782"</f>
        <v>05/01/2025 15:06:37.782</v>
      </c>
      <c r="C754" t="str">
        <f t="shared" si="280"/>
        <v>FFDFD3C0</v>
      </c>
      <c r="D754" t="s">
        <v>124</v>
      </c>
      <c r="E754" t="str">
        <f>"06"</f>
        <v>06</v>
      </c>
      <c r="F754">
        <v>2006</v>
      </c>
      <c r="G754" t="s">
        <v>125</v>
      </c>
      <c r="J754" t="s">
        <v>126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R754" t="s">
        <v>127</v>
      </c>
      <c r="S754" t="str">
        <f t="shared" si="298"/>
        <v>15:06:37.000</v>
      </c>
      <c r="T754" t="str">
        <f t="shared" si="298"/>
        <v>15:06:37.000</v>
      </c>
      <c r="U754" t="str">
        <f t="shared" si="281"/>
        <v>A68FCB</v>
      </c>
      <c r="V754">
        <v>0</v>
      </c>
      <c r="W754">
        <v>0</v>
      </c>
      <c r="X754">
        <v>2</v>
      </c>
      <c r="Y754">
        <v>0</v>
      </c>
      <c r="AA754">
        <v>1</v>
      </c>
      <c r="AB754">
        <v>8</v>
      </c>
      <c r="AC754">
        <v>3</v>
      </c>
      <c r="AD754">
        <v>0</v>
      </c>
      <c r="AE754">
        <v>9</v>
      </c>
      <c r="AF754" t="s">
        <v>138</v>
      </c>
      <c r="AG754">
        <v>0</v>
      </c>
      <c r="AH754">
        <v>3</v>
      </c>
      <c r="AI754">
        <v>2</v>
      </c>
      <c r="AJ754">
        <v>0</v>
      </c>
      <c r="AK754" t="s">
        <v>342</v>
      </c>
      <c r="AL754">
        <v>38.970951999999997</v>
      </c>
      <c r="AM754" t="s">
        <v>337</v>
      </c>
      <c r="AN754">
        <v>-121.050045</v>
      </c>
      <c r="AO754">
        <v>25</v>
      </c>
      <c r="AP754">
        <v>2700</v>
      </c>
      <c r="AQ754" t="s">
        <v>131</v>
      </c>
      <c r="AR754">
        <v>-6</v>
      </c>
      <c r="AS754">
        <v>82</v>
      </c>
      <c r="AT754">
        <v>640</v>
      </c>
      <c r="BB754" t="str">
        <f t="shared" si="282"/>
        <v>1200</v>
      </c>
      <c r="BC754">
        <v>1</v>
      </c>
      <c r="BD754" t="str">
        <f t="shared" si="283"/>
        <v xml:space="preserve">N52156  </v>
      </c>
      <c r="BE754">
        <v>1</v>
      </c>
      <c r="BG754">
        <v>0</v>
      </c>
      <c r="BH754">
        <v>0</v>
      </c>
      <c r="BI754">
        <v>0</v>
      </c>
      <c r="BJ754">
        <v>2625</v>
      </c>
      <c r="BK754">
        <v>-75</v>
      </c>
      <c r="BL754" t="s">
        <v>188</v>
      </c>
      <c r="BM754">
        <v>1</v>
      </c>
      <c r="BN754">
        <v>1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 t="shared" si="299"/>
        <v>15:06:37.543</v>
      </c>
      <c r="CF754">
        <v>542950173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133</v>
      </c>
      <c r="DA754">
        <v>275</v>
      </c>
      <c r="DB754">
        <v>0</v>
      </c>
      <c r="DC754" t="s">
        <v>134</v>
      </c>
      <c r="DD754" t="s">
        <v>135</v>
      </c>
      <c r="DG754">
        <v>3319101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"05/01/2025 15:06:37.781"</f>
        <v>05/01/2025 15:06:37.781</v>
      </c>
      <c r="C755" t="str">
        <f t="shared" si="280"/>
        <v>FFDFD3C0</v>
      </c>
      <c r="D755" t="s">
        <v>145</v>
      </c>
      <c r="E755" t="str">
        <f>"05"</f>
        <v>05</v>
      </c>
      <c r="H755">
        <v>47</v>
      </c>
      <c r="I755" t="s">
        <v>146</v>
      </c>
      <c r="J755" t="s">
        <v>138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R755" t="s">
        <v>127</v>
      </c>
      <c r="S755" t="str">
        <f t="shared" si="298"/>
        <v>15:06:37.000</v>
      </c>
      <c r="T755" t="str">
        <f t="shared" si="298"/>
        <v>15:06:37.000</v>
      </c>
      <c r="U755" t="str">
        <f t="shared" si="281"/>
        <v>A68FCB</v>
      </c>
      <c r="V755">
        <v>0</v>
      </c>
      <c r="W755">
        <v>0</v>
      </c>
      <c r="X755">
        <v>2</v>
      </c>
      <c r="Y755">
        <v>0</v>
      </c>
      <c r="AA755">
        <v>1</v>
      </c>
      <c r="AB755">
        <v>8</v>
      </c>
      <c r="AC755">
        <v>3</v>
      </c>
      <c r="AD755">
        <v>0</v>
      </c>
      <c r="AE755">
        <v>9</v>
      </c>
      <c r="AF755" t="s">
        <v>138</v>
      </c>
      <c r="AG755">
        <v>0</v>
      </c>
      <c r="AH755">
        <v>3</v>
      </c>
      <c r="AI755">
        <v>2</v>
      </c>
      <c r="AJ755">
        <v>0</v>
      </c>
      <c r="AK755" t="s">
        <v>342</v>
      </c>
      <c r="AL755">
        <v>38.970951999999997</v>
      </c>
      <c r="AM755" t="s">
        <v>337</v>
      </c>
      <c r="AN755">
        <v>-121.050045</v>
      </c>
      <c r="AO755">
        <v>25</v>
      </c>
      <c r="AP755">
        <v>2700</v>
      </c>
      <c r="AQ755" t="s">
        <v>131</v>
      </c>
      <c r="AR755">
        <v>-6</v>
      </c>
      <c r="AS755">
        <v>82</v>
      </c>
      <c r="AT755">
        <v>640</v>
      </c>
      <c r="BB755" t="str">
        <f t="shared" si="282"/>
        <v>1200</v>
      </c>
      <c r="BC755">
        <v>1</v>
      </c>
      <c r="BD755" t="str">
        <f t="shared" si="283"/>
        <v xml:space="preserve">N52156  </v>
      </c>
      <c r="BE755">
        <v>1</v>
      </c>
      <c r="BG755">
        <v>0</v>
      </c>
      <c r="BH755">
        <v>0</v>
      </c>
      <c r="BI755">
        <v>0</v>
      </c>
      <c r="BJ755">
        <v>2625</v>
      </c>
      <c r="BK755">
        <v>-75</v>
      </c>
      <c r="BL755" t="s">
        <v>188</v>
      </c>
      <c r="BM755">
        <v>1</v>
      </c>
      <c r="BN755">
        <v>1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 t="shared" si="299"/>
        <v>15:06:37.543</v>
      </c>
      <c r="CF755">
        <v>542950173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5</v>
      </c>
      <c r="CY755">
        <v>7</v>
      </c>
      <c r="CZ755" t="s">
        <v>133</v>
      </c>
      <c r="DA755">
        <v>275</v>
      </c>
      <c r="DB755">
        <v>0</v>
      </c>
      <c r="DC755" t="s">
        <v>134</v>
      </c>
      <c r="DD755" t="s">
        <v>135</v>
      </c>
      <c r="DG755">
        <v>3319101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"05/01/2025 15:06:37.782"</f>
        <v>05/01/2025 15:06:37.782</v>
      </c>
      <c r="C756" t="str">
        <f t="shared" si="280"/>
        <v>FFDFD3C0</v>
      </c>
      <c r="D756" t="s">
        <v>143</v>
      </c>
      <c r="E756" t="str">
        <f>"05"</f>
        <v>05</v>
      </c>
      <c r="H756">
        <v>172</v>
      </c>
      <c r="I756" t="s">
        <v>141</v>
      </c>
      <c r="J756" t="s">
        <v>144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R756" t="s">
        <v>127</v>
      </c>
      <c r="S756" t="str">
        <f t="shared" si="298"/>
        <v>15:06:37.000</v>
      </c>
      <c r="T756" t="str">
        <f t="shared" si="298"/>
        <v>15:06:37.000</v>
      </c>
      <c r="U756" t="str">
        <f t="shared" si="281"/>
        <v>A68FCB</v>
      </c>
      <c r="V756">
        <v>0</v>
      </c>
      <c r="W756">
        <v>0</v>
      </c>
      <c r="X756">
        <v>2</v>
      </c>
      <c r="Y756">
        <v>0</v>
      </c>
      <c r="AA756">
        <v>1</v>
      </c>
      <c r="AB756">
        <v>8</v>
      </c>
      <c r="AC756">
        <v>3</v>
      </c>
      <c r="AD756">
        <v>0</v>
      </c>
      <c r="AE756">
        <v>9</v>
      </c>
      <c r="AF756" t="s">
        <v>138</v>
      </c>
      <c r="AG756">
        <v>0</v>
      </c>
      <c r="AH756">
        <v>3</v>
      </c>
      <c r="AI756">
        <v>2</v>
      </c>
      <c r="AJ756">
        <v>0</v>
      </c>
      <c r="AK756" t="s">
        <v>342</v>
      </c>
      <c r="AL756">
        <v>38.970951999999997</v>
      </c>
      <c r="AM756" t="s">
        <v>337</v>
      </c>
      <c r="AN756">
        <v>-121.050045</v>
      </c>
      <c r="AO756">
        <v>25</v>
      </c>
      <c r="AP756">
        <v>2700</v>
      </c>
      <c r="AQ756" t="s">
        <v>131</v>
      </c>
      <c r="AR756">
        <v>-6</v>
      </c>
      <c r="AS756">
        <v>82</v>
      </c>
      <c r="AT756">
        <v>640</v>
      </c>
      <c r="BB756" t="str">
        <f t="shared" si="282"/>
        <v>1200</v>
      </c>
      <c r="BC756">
        <v>1</v>
      </c>
      <c r="BD756" t="str">
        <f t="shared" si="283"/>
        <v xml:space="preserve">N52156  </v>
      </c>
      <c r="BE756">
        <v>1</v>
      </c>
      <c r="BG756">
        <v>0</v>
      </c>
      <c r="BH756">
        <v>0</v>
      </c>
      <c r="BI756">
        <v>0</v>
      </c>
      <c r="BJ756">
        <v>2625</v>
      </c>
      <c r="BK756">
        <v>-75</v>
      </c>
      <c r="BL756" t="s">
        <v>188</v>
      </c>
      <c r="BM756">
        <v>1</v>
      </c>
      <c r="BN756">
        <v>1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 t="shared" si="299"/>
        <v>15:06:37.543</v>
      </c>
      <c r="CF756">
        <v>542950173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5</v>
      </c>
      <c r="CY756">
        <v>7</v>
      </c>
      <c r="CZ756" t="s">
        <v>133</v>
      </c>
      <c r="DA756">
        <v>275</v>
      </c>
      <c r="DB756">
        <v>0</v>
      </c>
      <c r="DC756" t="s">
        <v>134</v>
      </c>
      <c r="DD756" t="s">
        <v>135</v>
      </c>
      <c r="DG756">
        <v>3319101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"05/01/2025 15:06:37.784"</f>
        <v>05/01/2025 15:06:37.784</v>
      </c>
      <c r="C757" t="str">
        <f t="shared" si="280"/>
        <v>FFDFD3C0</v>
      </c>
      <c r="D757" t="s">
        <v>145</v>
      </c>
      <c r="E757" t="str">
        <f>"09"</f>
        <v>09</v>
      </c>
      <c r="H757">
        <v>51</v>
      </c>
      <c r="I757" t="s">
        <v>147</v>
      </c>
      <c r="J757" t="s">
        <v>138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R757" t="s">
        <v>127</v>
      </c>
      <c r="S757" t="str">
        <f t="shared" si="298"/>
        <v>15:06:37.000</v>
      </c>
      <c r="T757" t="str">
        <f t="shared" si="298"/>
        <v>15:06:37.000</v>
      </c>
      <c r="U757" t="str">
        <f t="shared" si="281"/>
        <v>A68FCB</v>
      </c>
      <c r="V757">
        <v>0</v>
      </c>
      <c r="W757">
        <v>0</v>
      </c>
      <c r="X757">
        <v>2</v>
      </c>
      <c r="Y757">
        <v>0</v>
      </c>
      <c r="AA757">
        <v>1</v>
      </c>
      <c r="AB757">
        <v>8</v>
      </c>
      <c r="AC757">
        <v>3</v>
      </c>
      <c r="AD757">
        <v>0</v>
      </c>
      <c r="AE757">
        <v>9</v>
      </c>
      <c r="AF757" t="s">
        <v>138</v>
      </c>
      <c r="AG757">
        <v>0</v>
      </c>
      <c r="AH757">
        <v>3</v>
      </c>
      <c r="AI757">
        <v>2</v>
      </c>
      <c r="AJ757">
        <v>0</v>
      </c>
      <c r="AK757" t="s">
        <v>342</v>
      </c>
      <c r="AL757">
        <v>38.970951999999997</v>
      </c>
      <c r="AM757" t="s">
        <v>337</v>
      </c>
      <c r="AN757">
        <v>-121.050045</v>
      </c>
      <c r="AO757">
        <v>25</v>
      </c>
      <c r="AP757">
        <v>2700</v>
      </c>
      <c r="AQ757" t="s">
        <v>131</v>
      </c>
      <c r="AR757">
        <v>-6</v>
      </c>
      <c r="AS757">
        <v>82</v>
      </c>
      <c r="AT757">
        <v>640</v>
      </c>
      <c r="BB757" t="str">
        <f t="shared" si="282"/>
        <v>1200</v>
      </c>
      <c r="BC757">
        <v>1</v>
      </c>
      <c r="BD757" t="str">
        <f t="shared" si="283"/>
        <v xml:space="preserve">N52156  </v>
      </c>
      <c r="BE757">
        <v>1</v>
      </c>
      <c r="BG757">
        <v>0</v>
      </c>
      <c r="BH757">
        <v>0</v>
      </c>
      <c r="BI757">
        <v>0</v>
      </c>
      <c r="BJ757">
        <v>2625</v>
      </c>
      <c r="BK757">
        <v>-75</v>
      </c>
      <c r="BL757" t="s">
        <v>188</v>
      </c>
      <c r="BM757">
        <v>1</v>
      </c>
      <c r="BN757">
        <v>1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 t="shared" si="299"/>
        <v>15:06:37.543</v>
      </c>
      <c r="CF757">
        <v>542950173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5</v>
      </c>
      <c r="CY757">
        <v>7</v>
      </c>
      <c r="CZ757" t="s">
        <v>133</v>
      </c>
      <c r="DA757">
        <v>275</v>
      </c>
      <c r="DB757">
        <v>0</v>
      </c>
      <c r="DC757" t="s">
        <v>134</v>
      </c>
      <c r="DD757" t="s">
        <v>135</v>
      </c>
      <c r="DG757">
        <v>3319101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"05/01/2025 15:06:38.975"</f>
        <v>05/01/2025 15:06:38.975</v>
      </c>
      <c r="C758" t="str">
        <f t="shared" si="280"/>
        <v>FFDFD3C0</v>
      </c>
      <c r="D758" t="s">
        <v>140</v>
      </c>
      <c r="E758" t="str">
        <f>"13"</f>
        <v>13</v>
      </c>
      <c r="F758">
        <v>1019</v>
      </c>
      <c r="G758" t="s">
        <v>141</v>
      </c>
      <c r="J758" t="s">
        <v>142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R758" t="s">
        <v>127</v>
      </c>
      <c r="S758" t="str">
        <f t="shared" ref="S758:T763" si="300">"15:06:38.000"</f>
        <v>15:06:38.000</v>
      </c>
      <c r="T758" t="str">
        <f t="shared" si="300"/>
        <v>15:06:38.000</v>
      </c>
      <c r="U758" t="str">
        <f t="shared" si="281"/>
        <v>A68FCB</v>
      </c>
      <c r="V758">
        <v>0</v>
      </c>
      <c r="W758">
        <v>0</v>
      </c>
      <c r="X758">
        <v>2</v>
      </c>
      <c r="Y758">
        <v>0</v>
      </c>
      <c r="AA758">
        <v>1</v>
      </c>
      <c r="AB758">
        <v>8</v>
      </c>
      <c r="AC758">
        <v>3</v>
      </c>
      <c r="AD758">
        <v>0</v>
      </c>
      <c r="AE758">
        <v>9</v>
      </c>
      <c r="AF758" t="s">
        <v>138</v>
      </c>
      <c r="AG758">
        <v>0</v>
      </c>
      <c r="AH758">
        <v>3</v>
      </c>
      <c r="AI758">
        <v>2</v>
      </c>
      <c r="AJ758">
        <v>0</v>
      </c>
      <c r="AK758" t="s">
        <v>343</v>
      </c>
      <c r="AL758">
        <v>38.971338000000003</v>
      </c>
      <c r="AM758" t="s">
        <v>344</v>
      </c>
      <c r="AN758">
        <v>-121.05011</v>
      </c>
      <c r="AO758">
        <v>25</v>
      </c>
      <c r="AP758">
        <v>2700</v>
      </c>
      <c r="AQ758" t="s">
        <v>131</v>
      </c>
      <c r="AR758">
        <v>-6</v>
      </c>
      <c r="AS758">
        <v>83</v>
      </c>
      <c r="AT758">
        <v>576</v>
      </c>
      <c r="BB758" t="str">
        <f t="shared" si="282"/>
        <v>1200</v>
      </c>
      <c r="BC758">
        <v>1</v>
      </c>
      <c r="BD758" t="str">
        <f t="shared" si="283"/>
        <v xml:space="preserve">N52156  </v>
      </c>
      <c r="BE758">
        <v>1</v>
      </c>
      <c r="BG758">
        <v>0</v>
      </c>
      <c r="BH758">
        <v>0</v>
      </c>
      <c r="BI758">
        <v>0</v>
      </c>
      <c r="BJ758">
        <v>2625</v>
      </c>
      <c r="BK758">
        <v>-75</v>
      </c>
      <c r="BL758" t="s">
        <v>188</v>
      </c>
      <c r="BM758">
        <v>1</v>
      </c>
      <c r="BN758">
        <v>1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 t="shared" ref="CE758:CE763" si="301">"15:06:38.760"</f>
        <v>15:06:38.760</v>
      </c>
      <c r="CF758">
        <v>759950737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5</v>
      </c>
      <c r="CY758">
        <v>7</v>
      </c>
      <c r="CZ758" t="s">
        <v>133</v>
      </c>
      <c r="DA758">
        <v>275</v>
      </c>
      <c r="DB758">
        <v>0</v>
      </c>
      <c r="DC758" t="s">
        <v>134</v>
      </c>
      <c r="DD758" t="s">
        <v>135</v>
      </c>
      <c r="DG758">
        <v>3319115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"05/01/2025 15:06:38.983"</f>
        <v>05/01/2025 15:06:38.983</v>
      </c>
      <c r="C759" t="str">
        <f t="shared" si="280"/>
        <v>FFDFD3C0</v>
      </c>
      <c r="D759" t="s">
        <v>145</v>
      </c>
      <c r="E759" t="str">
        <f>"05"</f>
        <v>05</v>
      </c>
      <c r="H759">
        <v>47</v>
      </c>
      <c r="I759" t="s">
        <v>146</v>
      </c>
      <c r="J759" t="s">
        <v>138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R759" t="s">
        <v>127</v>
      </c>
      <c r="S759" t="str">
        <f t="shared" si="300"/>
        <v>15:06:38.000</v>
      </c>
      <c r="T759" t="str">
        <f t="shared" si="300"/>
        <v>15:06:38.000</v>
      </c>
      <c r="U759" t="str">
        <f t="shared" si="281"/>
        <v>A68FCB</v>
      </c>
      <c r="V759">
        <v>0</v>
      </c>
      <c r="W759">
        <v>0</v>
      </c>
      <c r="X759">
        <v>2</v>
      </c>
      <c r="Y759">
        <v>0</v>
      </c>
      <c r="AA759">
        <v>1</v>
      </c>
      <c r="AB759">
        <v>8</v>
      </c>
      <c r="AC759">
        <v>3</v>
      </c>
      <c r="AD759">
        <v>0</v>
      </c>
      <c r="AE759">
        <v>9</v>
      </c>
      <c r="AF759" t="s">
        <v>138</v>
      </c>
      <c r="AG759">
        <v>0</v>
      </c>
      <c r="AH759">
        <v>3</v>
      </c>
      <c r="AI759">
        <v>2</v>
      </c>
      <c r="AJ759">
        <v>0</v>
      </c>
      <c r="AK759" t="s">
        <v>343</v>
      </c>
      <c r="AL759">
        <v>38.971338000000003</v>
      </c>
      <c r="AM759" t="s">
        <v>344</v>
      </c>
      <c r="AN759">
        <v>-121.05011</v>
      </c>
      <c r="AO759">
        <v>25</v>
      </c>
      <c r="AP759">
        <v>2700</v>
      </c>
      <c r="AQ759" t="s">
        <v>131</v>
      </c>
      <c r="AR759">
        <v>-6</v>
      </c>
      <c r="AS759">
        <v>83</v>
      </c>
      <c r="AT759">
        <v>576</v>
      </c>
      <c r="BB759" t="str">
        <f t="shared" si="282"/>
        <v>1200</v>
      </c>
      <c r="BC759">
        <v>1</v>
      </c>
      <c r="BD759" t="str">
        <f t="shared" si="283"/>
        <v xml:space="preserve">N52156  </v>
      </c>
      <c r="BE759">
        <v>1</v>
      </c>
      <c r="BG759">
        <v>0</v>
      </c>
      <c r="BH759">
        <v>0</v>
      </c>
      <c r="BI759">
        <v>0</v>
      </c>
      <c r="BJ759">
        <v>2625</v>
      </c>
      <c r="BK759">
        <v>-75</v>
      </c>
      <c r="BL759" t="s">
        <v>188</v>
      </c>
      <c r="BM759">
        <v>1</v>
      </c>
      <c r="BN759">
        <v>1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 t="shared" si="301"/>
        <v>15:06:38.760</v>
      </c>
      <c r="CF759">
        <v>759950737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5</v>
      </c>
      <c r="CY759">
        <v>7</v>
      </c>
      <c r="CZ759" t="s">
        <v>133</v>
      </c>
      <c r="DA759">
        <v>275</v>
      </c>
      <c r="DB759">
        <v>0</v>
      </c>
      <c r="DC759" t="s">
        <v>134</v>
      </c>
      <c r="DD759" t="s">
        <v>135</v>
      </c>
      <c r="DG759">
        <v>3319115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"05/01/2025 15:06:38.984"</f>
        <v>05/01/2025 15:06:38.984</v>
      </c>
      <c r="C760" t="str">
        <f t="shared" si="280"/>
        <v>FFDFD3C0</v>
      </c>
      <c r="D760" t="s">
        <v>124</v>
      </c>
      <c r="E760" t="str">
        <f>"06"</f>
        <v>06</v>
      </c>
      <c r="F760">
        <v>2006</v>
      </c>
      <c r="G760" t="s">
        <v>125</v>
      </c>
      <c r="J760" t="s">
        <v>126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R760" t="s">
        <v>127</v>
      </c>
      <c r="S760" t="str">
        <f t="shared" si="300"/>
        <v>15:06:38.000</v>
      </c>
      <c r="T760" t="str">
        <f t="shared" si="300"/>
        <v>15:06:38.000</v>
      </c>
      <c r="U760" t="str">
        <f t="shared" si="281"/>
        <v>A68FCB</v>
      </c>
      <c r="V760">
        <v>0</v>
      </c>
      <c r="W760">
        <v>0</v>
      </c>
      <c r="X760">
        <v>2</v>
      </c>
      <c r="Y760">
        <v>0</v>
      </c>
      <c r="AA760">
        <v>1</v>
      </c>
      <c r="AB760">
        <v>8</v>
      </c>
      <c r="AC760">
        <v>3</v>
      </c>
      <c r="AD760">
        <v>0</v>
      </c>
      <c r="AE760">
        <v>9</v>
      </c>
      <c r="AF760" t="s">
        <v>138</v>
      </c>
      <c r="AG760">
        <v>0</v>
      </c>
      <c r="AH760">
        <v>3</v>
      </c>
      <c r="AI760">
        <v>2</v>
      </c>
      <c r="AJ760">
        <v>0</v>
      </c>
      <c r="AK760" t="s">
        <v>343</v>
      </c>
      <c r="AL760">
        <v>38.971338000000003</v>
      </c>
      <c r="AM760" t="s">
        <v>344</v>
      </c>
      <c r="AN760">
        <v>-121.05011</v>
      </c>
      <c r="AO760">
        <v>25</v>
      </c>
      <c r="AP760">
        <v>2700</v>
      </c>
      <c r="AQ760" t="s">
        <v>131</v>
      </c>
      <c r="AR760">
        <v>-6</v>
      </c>
      <c r="AS760">
        <v>83</v>
      </c>
      <c r="AT760">
        <v>576</v>
      </c>
      <c r="BB760" t="str">
        <f t="shared" si="282"/>
        <v>1200</v>
      </c>
      <c r="BC760">
        <v>1</v>
      </c>
      <c r="BD760" t="str">
        <f t="shared" si="283"/>
        <v xml:space="preserve">N52156  </v>
      </c>
      <c r="BE760">
        <v>1</v>
      </c>
      <c r="BG760">
        <v>0</v>
      </c>
      <c r="BH760">
        <v>0</v>
      </c>
      <c r="BI760">
        <v>0</v>
      </c>
      <c r="BJ760">
        <v>2625</v>
      </c>
      <c r="BK760">
        <v>-75</v>
      </c>
      <c r="BL760" t="s">
        <v>188</v>
      </c>
      <c r="BM760">
        <v>1</v>
      </c>
      <c r="BN760">
        <v>1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 t="shared" si="301"/>
        <v>15:06:38.760</v>
      </c>
      <c r="CF760">
        <v>759950737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5</v>
      </c>
      <c r="CY760">
        <v>7</v>
      </c>
      <c r="CZ760" t="s">
        <v>133</v>
      </c>
      <c r="DA760">
        <v>275</v>
      </c>
      <c r="DB760">
        <v>0</v>
      </c>
      <c r="DC760" t="s">
        <v>134</v>
      </c>
      <c r="DD760" t="s">
        <v>135</v>
      </c>
      <c r="DG760">
        <v>3319115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"05/01/2025 15:06:38.984"</f>
        <v>05/01/2025 15:06:38.984</v>
      </c>
      <c r="C761" t="str">
        <f t="shared" si="280"/>
        <v>FFDFD3C0</v>
      </c>
      <c r="D761" t="s">
        <v>143</v>
      </c>
      <c r="E761" t="str">
        <f>"05"</f>
        <v>05</v>
      </c>
      <c r="H761">
        <v>172</v>
      </c>
      <c r="I761" t="s">
        <v>141</v>
      </c>
      <c r="J761" t="s">
        <v>144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R761" t="s">
        <v>127</v>
      </c>
      <c r="S761" t="str">
        <f t="shared" si="300"/>
        <v>15:06:38.000</v>
      </c>
      <c r="T761" t="str">
        <f t="shared" si="300"/>
        <v>15:06:38.000</v>
      </c>
      <c r="U761" t="str">
        <f t="shared" si="281"/>
        <v>A68FCB</v>
      </c>
      <c r="V761">
        <v>0</v>
      </c>
      <c r="W761">
        <v>0</v>
      </c>
      <c r="X761">
        <v>2</v>
      </c>
      <c r="Y761">
        <v>0</v>
      </c>
      <c r="AA761">
        <v>1</v>
      </c>
      <c r="AB761">
        <v>8</v>
      </c>
      <c r="AC761">
        <v>3</v>
      </c>
      <c r="AD761">
        <v>0</v>
      </c>
      <c r="AE761">
        <v>9</v>
      </c>
      <c r="AF761" t="s">
        <v>138</v>
      </c>
      <c r="AG761">
        <v>0</v>
      </c>
      <c r="AH761">
        <v>3</v>
      </c>
      <c r="AI761">
        <v>2</v>
      </c>
      <c r="AJ761">
        <v>0</v>
      </c>
      <c r="AK761" t="s">
        <v>343</v>
      </c>
      <c r="AL761">
        <v>38.971338000000003</v>
      </c>
      <c r="AM761" t="s">
        <v>344</v>
      </c>
      <c r="AN761">
        <v>-121.05011</v>
      </c>
      <c r="AO761">
        <v>25</v>
      </c>
      <c r="AP761">
        <v>2700</v>
      </c>
      <c r="AQ761" t="s">
        <v>131</v>
      </c>
      <c r="AR761">
        <v>-6</v>
      </c>
      <c r="AS761">
        <v>83</v>
      </c>
      <c r="AT761">
        <v>576</v>
      </c>
      <c r="BB761" t="str">
        <f t="shared" si="282"/>
        <v>1200</v>
      </c>
      <c r="BC761">
        <v>1</v>
      </c>
      <c r="BD761" t="str">
        <f t="shared" si="283"/>
        <v xml:space="preserve">N52156  </v>
      </c>
      <c r="BE761">
        <v>1</v>
      </c>
      <c r="BG761">
        <v>0</v>
      </c>
      <c r="BH761">
        <v>0</v>
      </c>
      <c r="BI761">
        <v>0</v>
      </c>
      <c r="BJ761">
        <v>2625</v>
      </c>
      <c r="BK761">
        <v>-75</v>
      </c>
      <c r="BL761" t="s">
        <v>188</v>
      </c>
      <c r="BM761">
        <v>1</v>
      </c>
      <c r="BN761">
        <v>1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 t="shared" si="301"/>
        <v>15:06:38.760</v>
      </c>
      <c r="CF761">
        <v>759950737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5</v>
      </c>
      <c r="CY761">
        <v>7</v>
      </c>
      <c r="CZ761" t="s">
        <v>133</v>
      </c>
      <c r="DA761">
        <v>275</v>
      </c>
      <c r="DB761">
        <v>0</v>
      </c>
      <c r="DC761" t="s">
        <v>134</v>
      </c>
      <c r="DD761" t="s">
        <v>135</v>
      </c>
      <c r="DG761">
        <v>3319115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"05/01/2025 15:06:38.986"</f>
        <v>05/01/2025 15:06:38.986</v>
      </c>
      <c r="C762" t="str">
        <f t="shared" si="280"/>
        <v>FFDFD3C0</v>
      </c>
      <c r="D762" t="s">
        <v>145</v>
      </c>
      <c r="E762" t="str">
        <f>"09"</f>
        <v>09</v>
      </c>
      <c r="H762">
        <v>51</v>
      </c>
      <c r="I762" t="s">
        <v>147</v>
      </c>
      <c r="J762" t="s">
        <v>138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R762" t="s">
        <v>127</v>
      </c>
      <c r="S762" t="str">
        <f t="shared" si="300"/>
        <v>15:06:38.000</v>
      </c>
      <c r="T762" t="str">
        <f t="shared" si="300"/>
        <v>15:06:38.000</v>
      </c>
      <c r="U762" t="str">
        <f t="shared" si="281"/>
        <v>A68FCB</v>
      </c>
      <c r="V762">
        <v>0</v>
      </c>
      <c r="W762">
        <v>0</v>
      </c>
      <c r="X762">
        <v>2</v>
      </c>
      <c r="Y762">
        <v>0</v>
      </c>
      <c r="AA762">
        <v>1</v>
      </c>
      <c r="AB762">
        <v>8</v>
      </c>
      <c r="AC762">
        <v>3</v>
      </c>
      <c r="AD762">
        <v>0</v>
      </c>
      <c r="AE762">
        <v>9</v>
      </c>
      <c r="AF762" t="s">
        <v>138</v>
      </c>
      <c r="AG762">
        <v>0</v>
      </c>
      <c r="AH762">
        <v>3</v>
      </c>
      <c r="AI762">
        <v>2</v>
      </c>
      <c r="AJ762">
        <v>0</v>
      </c>
      <c r="AK762" t="s">
        <v>343</v>
      </c>
      <c r="AL762">
        <v>38.971338000000003</v>
      </c>
      <c r="AM762" t="s">
        <v>344</v>
      </c>
      <c r="AN762">
        <v>-121.05011</v>
      </c>
      <c r="AO762">
        <v>25</v>
      </c>
      <c r="AP762">
        <v>2700</v>
      </c>
      <c r="AQ762" t="s">
        <v>131</v>
      </c>
      <c r="AR762">
        <v>-6</v>
      </c>
      <c r="AS762">
        <v>83</v>
      </c>
      <c r="AT762">
        <v>576</v>
      </c>
      <c r="BB762" t="str">
        <f t="shared" si="282"/>
        <v>1200</v>
      </c>
      <c r="BC762">
        <v>1</v>
      </c>
      <c r="BD762" t="str">
        <f t="shared" si="283"/>
        <v xml:space="preserve">N52156  </v>
      </c>
      <c r="BE762">
        <v>1</v>
      </c>
      <c r="BG762">
        <v>0</v>
      </c>
      <c r="BH762">
        <v>0</v>
      </c>
      <c r="BI762">
        <v>0</v>
      </c>
      <c r="BJ762">
        <v>2625</v>
      </c>
      <c r="BK762">
        <v>-75</v>
      </c>
      <c r="BL762" t="s">
        <v>188</v>
      </c>
      <c r="BM762">
        <v>1</v>
      </c>
      <c r="BN762">
        <v>1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 t="shared" si="301"/>
        <v>15:06:38.760</v>
      </c>
      <c r="CF762">
        <v>759950737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5</v>
      </c>
      <c r="CY762">
        <v>7</v>
      </c>
      <c r="CZ762" t="s">
        <v>133</v>
      </c>
      <c r="DA762">
        <v>275</v>
      </c>
      <c r="DB762">
        <v>0</v>
      </c>
      <c r="DC762" t="s">
        <v>134</v>
      </c>
      <c r="DD762" t="s">
        <v>135</v>
      </c>
      <c r="DG762">
        <v>3319115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"05/01/2025 15:06:38.993"</f>
        <v>05/01/2025 15:06:38.993</v>
      </c>
      <c r="C763" t="str">
        <f t="shared" si="280"/>
        <v>FFDFD3C0</v>
      </c>
      <c r="D763" t="s">
        <v>136</v>
      </c>
      <c r="E763" t="str">
        <f>"20"</f>
        <v>20</v>
      </c>
      <c r="H763">
        <v>400</v>
      </c>
      <c r="I763" t="s">
        <v>137</v>
      </c>
      <c r="J763" t="s">
        <v>138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R763" t="s">
        <v>127</v>
      </c>
      <c r="S763" t="str">
        <f t="shared" si="300"/>
        <v>15:06:38.000</v>
      </c>
      <c r="T763" t="str">
        <f t="shared" si="300"/>
        <v>15:06:38.000</v>
      </c>
      <c r="U763" t="str">
        <f t="shared" si="281"/>
        <v>A68FCB</v>
      </c>
      <c r="V763">
        <v>0</v>
      </c>
      <c r="W763">
        <v>0</v>
      </c>
      <c r="X763">
        <v>2</v>
      </c>
      <c r="Y763">
        <v>0</v>
      </c>
      <c r="AA763">
        <v>1</v>
      </c>
      <c r="AB763">
        <v>8</v>
      </c>
      <c r="AC763">
        <v>3</v>
      </c>
      <c r="AD763">
        <v>0</v>
      </c>
      <c r="AE763">
        <v>9</v>
      </c>
      <c r="AF763" t="s">
        <v>138</v>
      </c>
      <c r="AG763">
        <v>0</v>
      </c>
      <c r="AH763">
        <v>3</v>
      </c>
      <c r="AI763">
        <v>2</v>
      </c>
      <c r="AJ763">
        <v>0</v>
      </c>
      <c r="AK763" t="s">
        <v>343</v>
      </c>
      <c r="AL763">
        <v>38.971338000000003</v>
      </c>
      <c r="AM763" t="s">
        <v>344</v>
      </c>
      <c r="AN763">
        <v>-121.05011</v>
      </c>
      <c r="AO763">
        <v>25</v>
      </c>
      <c r="AP763">
        <v>2700</v>
      </c>
      <c r="AQ763" t="s">
        <v>131</v>
      </c>
      <c r="AR763">
        <v>-6</v>
      </c>
      <c r="AS763">
        <v>83</v>
      </c>
      <c r="AT763">
        <v>576</v>
      </c>
      <c r="BB763" t="str">
        <f t="shared" si="282"/>
        <v>1200</v>
      </c>
      <c r="BC763">
        <v>1</v>
      </c>
      <c r="BD763" t="str">
        <f t="shared" si="283"/>
        <v xml:space="preserve">N52156  </v>
      </c>
      <c r="BE763">
        <v>1</v>
      </c>
      <c r="BG763">
        <v>0</v>
      </c>
      <c r="BH763">
        <v>0</v>
      </c>
      <c r="BI763">
        <v>0</v>
      </c>
      <c r="BJ763">
        <v>2625</v>
      </c>
      <c r="BK763">
        <v>-75</v>
      </c>
      <c r="BL763" t="s">
        <v>188</v>
      </c>
      <c r="BM763">
        <v>1</v>
      </c>
      <c r="BN763">
        <v>1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 t="shared" si="301"/>
        <v>15:06:38.760</v>
      </c>
      <c r="CF763">
        <v>759950737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5</v>
      </c>
      <c r="CY763">
        <v>7</v>
      </c>
      <c r="CZ763" t="s">
        <v>133</v>
      </c>
      <c r="DA763">
        <v>275</v>
      </c>
      <c r="DB763">
        <v>0</v>
      </c>
      <c r="DC763" t="s">
        <v>134</v>
      </c>
      <c r="DD763" t="s">
        <v>135</v>
      </c>
      <c r="DG763">
        <v>3319115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"05/01/2025 15:06:39.726"</f>
        <v>05/01/2025 15:06:39.726</v>
      </c>
      <c r="C764" t="str">
        <f t="shared" si="280"/>
        <v>FFDFD3C0</v>
      </c>
      <c r="D764" t="s">
        <v>140</v>
      </c>
      <c r="E764" t="str">
        <f>"13"</f>
        <v>13</v>
      </c>
      <c r="F764">
        <v>1019</v>
      </c>
      <c r="G764" t="s">
        <v>141</v>
      </c>
      <c r="J764" t="s">
        <v>142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R764" t="s">
        <v>127</v>
      </c>
      <c r="S764" t="str">
        <f t="shared" ref="S764:T769" si="302">"15:06:39.000"</f>
        <v>15:06:39.000</v>
      </c>
      <c r="T764" t="str">
        <f t="shared" si="302"/>
        <v>15:06:39.000</v>
      </c>
      <c r="U764" t="str">
        <f t="shared" si="281"/>
        <v>A68FCB</v>
      </c>
      <c r="V764">
        <v>0</v>
      </c>
      <c r="W764">
        <v>0</v>
      </c>
      <c r="X764">
        <v>2</v>
      </c>
      <c r="Y764">
        <v>0</v>
      </c>
      <c r="AA764">
        <v>1</v>
      </c>
      <c r="AB764">
        <v>8</v>
      </c>
      <c r="AC764">
        <v>3</v>
      </c>
      <c r="AD764">
        <v>0</v>
      </c>
      <c r="AE764">
        <v>9</v>
      </c>
      <c r="AF764" t="s">
        <v>138</v>
      </c>
      <c r="AG764">
        <v>0</v>
      </c>
      <c r="AH764">
        <v>3</v>
      </c>
      <c r="AI764">
        <v>2</v>
      </c>
      <c r="AJ764">
        <v>0</v>
      </c>
      <c r="AK764" t="s">
        <v>345</v>
      </c>
      <c r="AL764">
        <v>38.971724999999999</v>
      </c>
      <c r="AM764" t="s">
        <v>346</v>
      </c>
      <c r="AN764">
        <v>-121.05015299999999</v>
      </c>
      <c r="AO764">
        <v>25</v>
      </c>
      <c r="AP764">
        <v>2700</v>
      </c>
      <c r="AQ764" t="s">
        <v>131</v>
      </c>
      <c r="AR764">
        <v>-6</v>
      </c>
      <c r="AS764">
        <v>83</v>
      </c>
      <c r="AT764">
        <v>576</v>
      </c>
      <c r="BB764" t="str">
        <f t="shared" si="282"/>
        <v>1200</v>
      </c>
      <c r="BC764">
        <v>1</v>
      </c>
      <c r="BD764" t="str">
        <f t="shared" si="283"/>
        <v xml:space="preserve">N52156  </v>
      </c>
      <c r="BE764">
        <v>1</v>
      </c>
      <c r="BG764">
        <v>0</v>
      </c>
      <c r="BH764">
        <v>0</v>
      </c>
      <c r="BI764">
        <v>0</v>
      </c>
      <c r="BJ764">
        <v>2625</v>
      </c>
      <c r="BK764">
        <v>-75</v>
      </c>
      <c r="BL764" t="s">
        <v>188</v>
      </c>
      <c r="BM764">
        <v>1</v>
      </c>
      <c r="BN764">
        <v>1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 t="shared" ref="CE764:CE769" si="303">"15:06:39.495"</f>
        <v>15:06:39.495</v>
      </c>
      <c r="CF764">
        <v>495450109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5</v>
      </c>
      <c r="CY764">
        <v>7</v>
      </c>
      <c r="CZ764" t="s">
        <v>133</v>
      </c>
      <c r="DA764">
        <v>275</v>
      </c>
      <c r="DB764">
        <v>0</v>
      </c>
      <c r="DC764" t="s">
        <v>134</v>
      </c>
      <c r="DD764" t="s">
        <v>135</v>
      </c>
      <c r="DG764">
        <v>3319128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"05/01/2025 15:06:39.734"</f>
        <v>05/01/2025 15:06:39.734</v>
      </c>
      <c r="C765" t="str">
        <f t="shared" si="280"/>
        <v>FFDFD3C0</v>
      </c>
      <c r="D765" t="s">
        <v>145</v>
      </c>
      <c r="E765" t="str">
        <f>"05"</f>
        <v>05</v>
      </c>
      <c r="H765">
        <v>47</v>
      </c>
      <c r="I765" t="s">
        <v>146</v>
      </c>
      <c r="J765" t="s">
        <v>138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R765" t="s">
        <v>127</v>
      </c>
      <c r="S765" t="str">
        <f t="shared" si="302"/>
        <v>15:06:39.000</v>
      </c>
      <c r="T765" t="str">
        <f t="shared" si="302"/>
        <v>15:06:39.000</v>
      </c>
      <c r="U765" t="str">
        <f t="shared" si="281"/>
        <v>A68FCB</v>
      </c>
      <c r="V765">
        <v>0</v>
      </c>
      <c r="W765">
        <v>0</v>
      </c>
      <c r="X765">
        <v>2</v>
      </c>
      <c r="Y765">
        <v>0</v>
      </c>
      <c r="AA765">
        <v>1</v>
      </c>
      <c r="AB765">
        <v>8</v>
      </c>
      <c r="AC765">
        <v>3</v>
      </c>
      <c r="AD765">
        <v>0</v>
      </c>
      <c r="AE765">
        <v>9</v>
      </c>
      <c r="AF765" t="s">
        <v>138</v>
      </c>
      <c r="AG765">
        <v>0</v>
      </c>
      <c r="AH765">
        <v>3</v>
      </c>
      <c r="AI765">
        <v>2</v>
      </c>
      <c r="AJ765">
        <v>0</v>
      </c>
      <c r="AK765" t="s">
        <v>345</v>
      </c>
      <c r="AL765">
        <v>38.971724999999999</v>
      </c>
      <c r="AM765" t="s">
        <v>346</v>
      </c>
      <c r="AN765">
        <v>-121.05015299999999</v>
      </c>
      <c r="AO765">
        <v>25</v>
      </c>
      <c r="AP765">
        <v>2700</v>
      </c>
      <c r="AQ765" t="s">
        <v>131</v>
      </c>
      <c r="AR765">
        <v>-6</v>
      </c>
      <c r="AS765">
        <v>83</v>
      </c>
      <c r="AT765">
        <v>576</v>
      </c>
      <c r="BB765" t="str">
        <f t="shared" si="282"/>
        <v>1200</v>
      </c>
      <c r="BC765">
        <v>1</v>
      </c>
      <c r="BD765" t="str">
        <f t="shared" si="283"/>
        <v xml:space="preserve">N52156  </v>
      </c>
      <c r="BE765">
        <v>1</v>
      </c>
      <c r="BG765">
        <v>0</v>
      </c>
      <c r="BH765">
        <v>0</v>
      </c>
      <c r="BI765">
        <v>0</v>
      </c>
      <c r="BJ765">
        <v>2625</v>
      </c>
      <c r="BK765">
        <v>-75</v>
      </c>
      <c r="BL765" t="s">
        <v>188</v>
      </c>
      <c r="BM765">
        <v>1</v>
      </c>
      <c r="BN765">
        <v>1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 t="shared" si="303"/>
        <v>15:06:39.495</v>
      </c>
      <c r="CF765">
        <v>495450109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5</v>
      </c>
      <c r="CY765">
        <v>7</v>
      </c>
      <c r="CZ765" t="s">
        <v>133</v>
      </c>
      <c r="DA765">
        <v>275</v>
      </c>
      <c r="DB765">
        <v>0</v>
      </c>
      <c r="DC765" t="s">
        <v>134</v>
      </c>
      <c r="DD765" t="s">
        <v>135</v>
      </c>
      <c r="DG765">
        <v>3319128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"05/01/2025 15:06:39.736"</f>
        <v>05/01/2025 15:06:39.736</v>
      </c>
      <c r="C766" t="str">
        <f t="shared" si="280"/>
        <v>FFDFD3C0</v>
      </c>
      <c r="D766" t="s">
        <v>124</v>
      </c>
      <c r="E766" t="str">
        <f>"06"</f>
        <v>06</v>
      </c>
      <c r="F766">
        <v>2006</v>
      </c>
      <c r="G766" t="s">
        <v>125</v>
      </c>
      <c r="J766" t="s">
        <v>126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R766" t="s">
        <v>127</v>
      </c>
      <c r="S766" t="str">
        <f t="shared" si="302"/>
        <v>15:06:39.000</v>
      </c>
      <c r="T766" t="str">
        <f t="shared" si="302"/>
        <v>15:06:39.000</v>
      </c>
      <c r="U766" t="str">
        <f t="shared" si="281"/>
        <v>A68FCB</v>
      </c>
      <c r="V766">
        <v>0</v>
      </c>
      <c r="W766">
        <v>0</v>
      </c>
      <c r="X766">
        <v>2</v>
      </c>
      <c r="Y766">
        <v>0</v>
      </c>
      <c r="AA766">
        <v>1</v>
      </c>
      <c r="AB766">
        <v>8</v>
      </c>
      <c r="AC766">
        <v>3</v>
      </c>
      <c r="AD766">
        <v>0</v>
      </c>
      <c r="AE766">
        <v>9</v>
      </c>
      <c r="AF766" t="s">
        <v>138</v>
      </c>
      <c r="AG766">
        <v>0</v>
      </c>
      <c r="AH766">
        <v>3</v>
      </c>
      <c r="AI766">
        <v>2</v>
      </c>
      <c r="AJ766">
        <v>0</v>
      </c>
      <c r="AK766" t="s">
        <v>345</v>
      </c>
      <c r="AL766">
        <v>38.971724999999999</v>
      </c>
      <c r="AM766" t="s">
        <v>346</v>
      </c>
      <c r="AN766">
        <v>-121.05015299999999</v>
      </c>
      <c r="AO766">
        <v>25</v>
      </c>
      <c r="AP766">
        <v>2700</v>
      </c>
      <c r="AQ766" t="s">
        <v>131</v>
      </c>
      <c r="AR766">
        <v>-6</v>
      </c>
      <c r="AS766">
        <v>83</v>
      </c>
      <c r="AT766">
        <v>576</v>
      </c>
      <c r="BB766" t="str">
        <f t="shared" si="282"/>
        <v>1200</v>
      </c>
      <c r="BC766">
        <v>1</v>
      </c>
      <c r="BD766" t="str">
        <f t="shared" si="283"/>
        <v xml:space="preserve">N52156  </v>
      </c>
      <c r="BE766">
        <v>1</v>
      </c>
      <c r="BG766">
        <v>0</v>
      </c>
      <c r="BH766">
        <v>0</v>
      </c>
      <c r="BI766">
        <v>0</v>
      </c>
      <c r="BJ766">
        <v>2625</v>
      </c>
      <c r="BK766">
        <v>-75</v>
      </c>
      <c r="BL766" t="s">
        <v>188</v>
      </c>
      <c r="BM766">
        <v>1</v>
      </c>
      <c r="BN766">
        <v>1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 t="shared" si="303"/>
        <v>15:06:39.495</v>
      </c>
      <c r="CF766">
        <v>495450109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5</v>
      </c>
      <c r="CY766">
        <v>7</v>
      </c>
      <c r="CZ766" t="s">
        <v>133</v>
      </c>
      <c r="DA766">
        <v>275</v>
      </c>
      <c r="DB766">
        <v>0</v>
      </c>
      <c r="DC766" t="s">
        <v>134</v>
      </c>
      <c r="DD766" t="s">
        <v>135</v>
      </c>
      <c r="DG766">
        <v>3319128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"05/01/2025 15:06:39.736"</f>
        <v>05/01/2025 15:06:39.736</v>
      </c>
      <c r="C767" t="str">
        <f t="shared" si="280"/>
        <v>FFDFD3C0</v>
      </c>
      <c r="D767" t="s">
        <v>143</v>
      </c>
      <c r="E767" t="str">
        <f>"05"</f>
        <v>05</v>
      </c>
      <c r="H767">
        <v>172</v>
      </c>
      <c r="I767" t="s">
        <v>141</v>
      </c>
      <c r="J767" t="s">
        <v>144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R767" t="s">
        <v>127</v>
      </c>
      <c r="S767" t="str">
        <f t="shared" si="302"/>
        <v>15:06:39.000</v>
      </c>
      <c r="T767" t="str">
        <f t="shared" si="302"/>
        <v>15:06:39.000</v>
      </c>
      <c r="U767" t="str">
        <f t="shared" si="281"/>
        <v>A68FCB</v>
      </c>
      <c r="V767">
        <v>0</v>
      </c>
      <c r="W767">
        <v>0</v>
      </c>
      <c r="X767">
        <v>2</v>
      </c>
      <c r="Y767">
        <v>0</v>
      </c>
      <c r="AA767">
        <v>1</v>
      </c>
      <c r="AB767">
        <v>8</v>
      </c>
      <c r="AC767">
        <v>3</v>
      </c>
      <c r="AD767">
        <v>0</v>
      </c>
      <c r="AE767">
        <v>9</v>
      </c>
      <c r="AF767" t="s">
        <v>138</v>
      </c>
      <c r="AG767">
        <v>0</v>
      </c>
      <c r="AH767">
        <v>3</v>
      </c>
      <c r="AI767">
        <v>2</v>
      </c>
      <c r="AJ767">
        <v>0</v>
      </c>
      <c r="AK767" t="s">
        <v>345</v>
      </c>
      <c r="AL767">
        <v>38.971724999999999</v>
      </c>
      <c r="AM767" t="s">
        <v>346</v>
      </c>
      <c r="AN767">
        <v>-121.05015299999999</v>
      </c>
      <c r="AO767">
        <v>25</v>
      </c>
      <c r="AP767">
        <v>2700</v>
      </c>
      <c r="AQ767" t="s">
        <v>131</v>
      </c>
      <c r="AR767">
        <v>-6</v>
      </c>
      <c r="AS767">
        <v>83</v>
      </c>
      <c r="AT767">
        <v>576</v>
      </c>
      <c r="BB767" t="str">
        <f t="shared" si="282"/>
        <v>1200</v>
      </c>
      <c r="BC767">
        <v>1</v>
      </c>
      <c r="BD767" t="str">
        <f t="shared" si="283"/>
        <v xml:space="preserve">N52156  </v>
      </c>
      <c r="BE767">
        <v>1</v>
      </c>
      <c r="BG767">
        <v>0</v>
      </c>
      <c r="BH767">
        <v>0</v>
      </c>
      <c r="BI767">
        <v>0</v>
      </c>
      <c r="BJ767">
        <v>2625</v>
      </c>
      <c r="BK767">
        <v>-75</v>
      </c>
      <c r="BL767" t="s">
        <v>188</v>
      </c>
      <c r="BM767">
        <v>1</v>
      </c>
      <c r="BN767">
        <v>1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 t="shared" si="303"/>
        <v>15:06:39.495</v>
      </c>
      <c r="CF767">
        <v>495450109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5</v>
      </c>
      <c r="CY767">
        <v>7</v>
      </c>
      <c r="CZ767" t="s">
        <v>133</v>
      </c>
      <c r="DA767">
        <v>275</v>
      </c>
      <c r="DB767">
        <v>0</v>
      </c>
      <c r="DC767" t="s">
        <v>134</v>
      </c>
      <c r="DD767" t="s">
        <v>135</v>
      </c>
      <c r="DG767">
        <v>3319128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"05/01/2025 15:06:39.738"</f>
        <v>05/01/2025 15:06:39.738</v>
      </c>
      <c r="C768" t="str">
        <f t="shared" si="280"/>
        <v>FFDFD3C0</v>
      </c>
      <c r="D768" t="s">
        <v>145</v>
      </c>
      <c r="E768" t="str">
        <f>"09"</f>
        <v>09</v>
      </c>
      <c r="H768">
        <v>51</v>
      </c>
      <c r="I768" t="s">
        <v>147</v>
      </c>
      <c r="J768" t="s">
        <v>138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R768" t="s">
        <v>127</v>
      </c>
      <c r="S768" t="str">
        <f t="shared" si="302"/>
        <v>15:06:39.000</v>
      </c>
      <c r="T768" t="str">
        <f t="shared" si="302"/>
        <v>15:06:39.000</v>
      </c>
      <c r="U768" t="str">
        <f t="shared" si="281"/>
        <v>A68FCB</v>
      </c>
      <c r="V768">
        <v>0</v>
      </c>
      <c r="W768">
        <v>0</v>
      </c>
      <c r="X768">
        <v>2</v>
      </c>
      <c r="Y768">
        <v>0</v>
      </c>
      <c r="AA768">
        <v>1</v>
      </c>
      <c r="AB768">
        <v>8</v>
      </c>
      <c r="AC768">
        <v>3</v>
      </c>
      <c r="AD768">
        <v>0</v>
      </c>
      <c r="AE768">
        <v>9</v>
      </c>
      <c r="AF768" t="s">
        <v>138</v>
      </c>
      <c r="AG768">
        <v>0</v>
      </c>
      <c r="AH768">
        <v>3</v>
      </c>
      <c r="AI768">
        <v>2</v>
      </c>
      <c r="AJ768">
        <v>0</v>
      </c>
      <c r="AK768" t="s">
        <v>345</v>
      </c>
      <c r="AL768">
        <v>38.971724999999999</v>
      </c>
      <c r="AM768" t="s">
        <v>346</v>
      </c>
      <c r="AN768">
        <v>-121.05015299999999</v>
      </c>
      <c r="AO768">
        <v>25</v>
      </c>
      <c r="AP768">
        <v>2700</v>
      </c>
      <c r="AQ768" t="s">
        <v>131</v>
      </c>
      <c r="AR768">
        <v>-6</v>
      </c>
      <c r="AS768">
        <v>83</v>
      </c>
      <c r="AT768">
        <v>576</v>
      </c>
      <c r="BB768" t="str">
        <f t="shared" si="282"/>
        <v>1200</v>
      </c>
      <c r="BC768">
        <v>1</v>
      </c>
      <c r="BD768" t="str">
        <f t="shared" si="283"/>
        <v xml:space="preserve">N52156  </v>
      </c>
      <c r="BE768">
        <v>1</v>
      </c>
      <c r="BG768">
        <v>0</v>
      </c>
      <c r="BH768">
        <v>0</v>
      </c>
      <c r="BI768">
        <v>0</v>
      </c>
      <c r="BJ768">
        <v>2625</v>
      </c>
      <c r="BK768">
        <v>-75</v>
      </c>
      <c r="BL768" t="s">
        <v>188</v>
      </c>
      <c r="BM768">
        <v>1</v>
      </c>
      <c r="BN768">
        <v>1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 t="shared" si="303"/>
        <v>15:06:39.495</v>
      </c>
      <c r="CF768">
        <v>495450109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133</v>
      </c>
      <c r="DA768">
        <v>275</v>
      </c>
      <c r="DB768">
        <v>0</v>
      </c>
      <c r="DC768" t="s">
        <v>134</v>
      </c>
      <c r="DD768" t="s">
        <v>135</v>
      </c>
      <c r="DG768">
        <v>3319128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"05/01/2025 15:06:39.745"</f>
        <v>05/01/2025 15:06:39.745</v>
      </c>
      <c r="C769" t="str">
        <f t="shared" si="280"/>
        <v>FFDFD3C0</v>
      </c>
      <c r="D769" t="s">
        <v>136</v>
      </c>
      <c r="E769" t="str">
        <f>"20"</f>
        <v>20</v>
      </c>
      <c r="H769">
        <v>400</v>
      </c>
      <c r="I769" t="s">
        <v>137</v>
      </c>
      <c r="J769" t="s">
        <v>138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R769" t="s">
        <v>127</v>
      </c>
      <c r="S769" t="str">
        <f t="shared" si="302"/>
        <v>15:06:39.000</v>
      </c>
      <c r="T769" t="str">
        <f t="shared" si="302"/>
        <v>15:06:39.000</v>
      </c>
      <c r="U769" t="str">
        <f t="shared" si="281"/>
        <v>A68FCB</v>
      </c>
      <c r="V769">
        <v>0</v>
      </c>
      <c r="W769">
        <v>0</v>
      </c>
      <c r="X769">
        <v>2</v>
      </c>
      <c r="Y769">
        <v>0</v>
      </c>
      <c r="AA769">
        <v>1</v>
      </c>
      <c r="AB769">
        <v>8</v>
      </c>
      <c r="AC769">
        <v>3</v>
      </c>
      <c r="AD769">
        <v>0</v>
      </c>
      <c r="AE769">
        <v>9</v>
      </c>
      <c r="AF769" t="s">
        <v>138</v>
      </c>
      <c r="AG769">
        <v>0</v>
      </c>
      <c r="AH769">
        <v>3</v>
      </c>
      <c r="AI769">
        <v>2</v>
      </c>
      <c r="AJ769">
        <v>0</v>
      </c>
      <c r="AK769" t="s">
        <v>345</v>
      </c>
      <c r="AL769">
        <v>38.971724999999999</v>
      </c>
      <c r="AM769" t="s">
        <v>346</v>
      </c>
      <c r="AN769">
        <v>-121.05015299999999</v>
      </c>
      <c r="AO769">
        <v>25</v>
      </c>
      <c r="AP769">
        <v>2700</v>
      </c>
      <c r="AQ769" t="s">
        <v>131</v>
      </c>
      <c r="AR769">
        <v>-6</v>
      </c>
      <c r="AS769">
        <v>83</v>
      </c>
      <c r="AT769">
        <v>576</v>
      </c>
      <c r="BB769" t="str">
        <f t="shared" si="282"/>
        <v>1200</v>
      </c>
      <c r="BC769">
        <v>1</v>
      </c>
      <c r="BD769" t="str">
        <f t="shared" si="283"/>
        <v xml:space="preserve">N52156  </v>
      </c>
      <c r="BE769">
        <v>1</v>
      </c>
      <c r="BG769">
        <v>0</v>
      </c>
      <c r="BH769">
        <v>0</v>
      </c>
      <c r="BI769">
        <v>0</v>
      </c>
      <c r="BJ769">
        <v>2625</v>
      </c>
      <c r="BK769">
        <v>-75</v>
      </c>
      <c r="BL769" t="s">
        <v>188</v>
      </c>
      <c r="BM769">
        <v>1</v>
      </c>
      <c r="BN769">
        <v>1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 t="shared" si="303"/>
        <v>15:06:39.495</v>
      </c>
      <c r="CF769">
        <v>495450109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5</v>
      </c>
      <c r="CY769">
        <v>7</v>
      </c>
      <c r="CZ769" t="s">
        <v>133</v>
      </c>
      <c r="DA769">
        <v>275</v>
      </c>
      <c r="DB769">
        <v>0</v>
      </c>
      <c r="DC769" t="s">
        <v>134</v>
      </c>
      <c r="DD769" t="s">
        <v>135</v>
      </c>
      <c r="DG769">
        <v>3319128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"05/01/2025 15:06:40.528"</f>
        <v>05/01/2025 15:06:40.528</v>
      </c>
      <c r="C770" t="str">
        <f t="shared" ref="C770:C833" si="304">"FFDFD3C0"</f>
        <v>FFDFD3C0</v>
      </c>
      <c r="D770" t="s">
        <v>140</v>
      </c>
      <c r="E770" t="str">
        <f>"13"</f>
        <v>13</v>
      </c>
      <c r="F770">
        <v>1019</v>
      </c>
      <c r="G770" t="s">
        <v>141</v>
      </c>
      <c r="J770" t="s">
        <v>142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R770" t="s">
        <v>127</v>
      </c>
      <c r="S770" t="str">
        <f t="shared" ref="S770:T775" si="305">"15:06:40.000"</f>
        <v>15:06:40.000</v>
      </c>
      <c r="T770" t="str">
        <f t="shared" si="305"/>
        <v>15:06:40.000</v>
      </c>
      <c r="U770" t="str">
        <f t="shared" ref="U770:U833" si="306">"A68FCB"</f>
        <v>A68FCB</v>
      </c>
      <c r="V770">
        <v>0</v>
      </c>
      <c r="W770">
        <v>0</v>
      </c>
      <c r="X770">
        <v>2</v>
      </c>
      <c r="Y770">
        <v>0</v>
      </c>
      <c r="AA770">
        <v>1</v>
      </c>
      <c r="AB770">
        <v>8</v>
      </c>
      <c r="AC770">
        <v>3</v>
      </c>
      <c r="AD770">
        <v>0</v>
      </c>
      <c r="AE770">
        <v>9</v>
      </c>
      <c r="AF770" t="s">
        <v>138</v>
      </c>
      <c r="AG770">
        <v>0</v>
      </c>
      <c r="AH770">
        <v>3</v>
      </c>
      <c r="AI770">
        <v>2</v>
      </c>
      <c r="AJ770">
        <v>0</v>
      </c>
      <c r="AK770" t="s">
        <v>347</v>
      </c>
      <c r="AL770">
        <v>38.972110999999998</v>
      </c>
      <c r="AM770" t="s">
        <v>283</v>
      </c>
      <c r="AN770">
        <v>-121.050174</v>
      </c>
      <c r="AO770">
        <v>25</v>
      </c>
      <c r="AP770">
        <v>2700</v>
      </c>
      <c r="AQ770" t="s">
        <v>131</v>
      </c>
      <c r="AR770">
        <v>-6</v>
      </c>
      <c r="AS770">
        <v>83</v>
      </c>
      <c r="AT770">
        <v>576</v>
      </c>
      <c r="BB770" t="str">
        <f t="shared" ref="BB770:BB833" si="307">"1200"</f>
        <v>1200</v>
      </c>
      <c r="BC770">
        <v>1</v>
      </c>
      <c r="BD770" t="str">
        <f t="shared" ref="BD770:BD833" si="308">"N52156  "</f>
        <v xml:space="preserve">N52156  </v>
      </c>
      <c r="BE770">
        <v>1</v>
      </c>
      <c r="BG770">
        <v>0</v>
      </c>
      <c r="BH770">
        <v>0</v>
      </c>
      <c r="BI770">
        <v>0</v>
      </c>
      <c r="BJ770">
        <v>2625</v>
      </c>
      <c r="BK770">
        <v>-75</v>
      </c>
      <c r="BL770" t="s">
        <v>188</v>
      </c>
      <c r="BM770">
        <v>1</v>
      </c>
      <c r="BN770">
        <v>1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 t="shared" ref="CE770:CE775" si="309">"15:06:40.321"</f>
        <v>15:06:40.321</v>
      </c>
      <c r="CF770">
        <v>321449690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5</v>
      </c>
      <c r="CY770">
        <v>7</v>
      </c>
      <c r="CZ770" t="s">
        <v>133</v>
      </c>
      <c r="DA770">
        <v>275</v>
      </c>
      <c r="DB770">
        <v>0</v>
      </c>
      <c r="DC770" t="s">
        <v>134</v>
      </c>
      <c r="DD770" t="s">
        <v>135</v>
      </c>
      <c r="DG770">
        <v>3319139</v>
      </c>
      <c r="DI770">
        <v>1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"05/01/2025 15:06:40.536"</f>
        <v>05/01/2025 15:06:40.536</v>
      </c>
      <c r="C771" t="str">
        <f t="shared" si="304"/>
        <v>FFDFD3C0</v>
      </c>
      <c r="D771" t="s">
        <v>145</v>
      </c>
      <c r="E771" t="str">
        <f>"05"</f>
        <v>05</v>
      </c>
      <c r="H771">
        <v>47</v>
      </c>
      <c r="I771" t="s">
        <v>146</v>
      </c>
      <c r="J771" t="s">
        <v>138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R771" t="s">
        <v>127</v>
      </c>
      <c r="S771" t="str">
        <f t="shared" si="305"/>
        <v>15:06:40.000</v>
      </c>
      <c r="T771" t="str">
        <f t="shared" si="305"/>
        <v>15:06:40.000</v>
      </c>
      <c r="U771" t="str">
        <f t="shared" si="306"/>
        <v>A68FCB</v>
      </c>
      <c r="V771">
        <v>0</v>
      </c>
      <c r="W771">
        <v>0</v>
      </c>
      <c r="X771">
        <v>2</v>
      </c>
      <c r="Y771">
        <v>0</v>
      </c>
      <c r="AA771">
        <v>1</v>
      </c>
      <c r="AB771">
        <v>8</v>
      </c>
      <c r="AC771">
        <v>3</v>
      </c>
      <c r="AD771">
        <v>0</v>
      </c>
      <c r="AE771">
        <v>9</v>
      </c>
      <c r="AF771" t="s">
        <v>138</v>
      </c>
      <c r="AG771">
        <v>0</v>
      </c>
      <c r="AH771">
        <v>3</v>
      </c>
      <c r="AI771">
        <v>2</v>
      </c>
      <c r="AJ771">
        <v>0</v>
      </c>
      <c r="AK771" t="s">
        <v>347</v>
      </c>
      <c r="AL771">
        <v>38.972110999999998</v>
      </c>
      <c r="AM771" t="s">
        <v>283</v>
      </c>
      <c r="AN771">
        <v>-121.050174</v>
      </c>
      <c r="AO771">
        <v>25</v>
      </c>
      <c r="AP771">
        <v>2700</v>
      </c>
      <c r="AQ771" t="s">
        <v>131</v>
      </c>
      <c r="AR771">
        <v>-6</v>
      </c>
      <c r="AS771">
        <v>83</v>
      </c>
      <c r="AT771">
        <v>576</v>
      </c>
      <c r="BB771" t="str">
        <f t="shared" si="307"/>
        <v>1200</v>
      </c>
      <c r="BC771">
        <v>1</v>
      </c>
      <c r="BD771" t="str">
        <f t="shared" si="308"/>
        <v xml:space="preserve">N52156  </v>
      </c>
      <c r="BE771">
        <v>1</v>
      </c>
      <c r="BG771">
        <v>0</v>
      </c>
      <c r="BH771">
        <v>0</v>
      </c>
      <c r="BI771">
        <v>0</v>
      </c>
      <c r="BJ771">
        <v>2625</v>
      </c>
      <c r="BK771">
        <v>-75</v>
      </c>
      <c r="BL771" t="s">
        <v>188</v>
      </c>
      <c r="BM771">
        <v>1</v>
      </c>
      <c r="BN771">
        <v>1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 t="shared" si="309"/>
        <v>15:06:40.321</v>
      </c>
      <c r="CF771">
        <v>321449690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5</v>
      </c>
      <c r="CY771">
        <v>7</v>
      </c>
      <c r="CZ771" t="s">
        <v>133</v>
      </c>
      <c r="DA771">
        <v>275</v>
      </c>
      <c r="DB771">
        <v>0</v>
      </c>
      <c r="DC771" t="s">
        <v>134</v>
      </c>
      <c r="DD771" t="s">
        <v>135</v>
      </c>
      <c r="DG771">
        <v>3319139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"05/01/2025 15:06:40.536"</f>
        <v>05/01/2025 15:06:40.536</v>
      </c>
      <c r="C772" t="str">
        <f t="shared" si="304"/>
        <v>FFDFD3C0</v>
      </c>
      <c r="D772" t="s">
        <v>124</v>
      </c>
      <c r="E772" t="str">
        <f>"06"</f>
        <v>06</v>
      </c>
      <c r="F772">
        <v>2006</v>
      </c>
      <c r="G772" t="s">
        <v>125</v>
      </c>
      <c r="J772" t="s">
        <v>126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R772" t="s">
        <v>127</v>
      </c>
      <c r="S772" t="str">
        <f t="shared" si="305"/>
        <v>15:06:40.000</v>
      </c>
      <c r="T772" t="str">
        <f t="shared" si="305"/>
        <v>15:06:40.000</v>
      </c>
      <c r="U772" t="str">
        <f t="shared" si="306"/>
        <v>A68FCB</v>
      </c>
      <c r="V772">
        <v>0</v>
      </c>
      <c r="W772">
        <v>0</v>
      </c>
      <c r="X772">
        <v>2</v>
      </c>
      <c r="Y772">
        <v>0</v>
      </c>
      <c r="AA772">
        <v>1</v>
      </c>
      <c r="AB772">
        <v>8</v>
      </c>
      <c r="AC772">
        <v>3</v>
      </c>
      <c r="AD772">
        <v>0</v>
      </c>
      <c r="AE772">
        <v>9</v>
      </c>
      <c r="AF772" t="s">
        <v>138</v>
      </c>
      <c r="AG772">
        <v>0</v>
      </c>
      <c r="AH772">
        <v>3</v>
      </c>
      <c r="AI772">
        <v>2</v>
      </c>
      <c r="AJ772">
        <v>0</v>
      </c>
      <c r="AK772" t="s">
        <v>347</v>
      </c>
      <c r="AL772">
        <v>38.972110999999998</v>
      </c>
      <c r="AM772" t="s">
        <v>283</v>
      </c>
      <c r="AN772">
        <v>-121.050174</v>
      </c>
      <c r="AO772">
        <v>25</v>
      </c>
      <c r="AP772">
        <v>2700</v>
      </c>
      <c r="AQ772" t="s">
        <v>131</v>
      </c>
      <c r="AR772">
        <v>-6</v>
      </c>
      <c r="AS772">
        <v>83</v>
      </c>
      <c r="AT772">
        <v>576</v>
      </c>
      <c r="BB772" t="str">
        <f t="shared" si="307"/>
        <v>1200</v>
      </c>
      <c r="BC772">
        <v>1</v>
      </c>
      <c r="BD772" t="str">
        <f t="shared" si="308"/>
        <v xml:space="preserve">N52156  </v>
      </c>
      <c r="BE772">
        <v>1</v>
      </c>
      <c r="BG772">
        <v>0</v>
      </c>
      <c r="BH772">
        <v>0</v>
      </c>
      <c r="BI772">
        <v>0</v>
      </c>
      <c r="BJ772">
        <v>2625</v>
      </c>
      <c r="BK772">
        <v>-75</v>
      </c>
      <c r="BL772" t="s">
        <v>188</v>
      </c>
      <c r="BM772">
        <v>1</v>
      </c>
      <c r="BN772">
        <v>1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 t="shared" si="309"/>
        <v>15:06:40.321</v>
      </c>
      <c r="CF772">
        <v>321449690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5</v>
      </c>
      <c r="CY772">
        <v>7</v>
      </c>
      <c r="CZ772" t="s">
        <v>133</v>
      </c>
      <c r="DA772">
        <v>275</v>
      </c>
      <c r="DB772">
        <v>0</v>
      </c>
      <c r="DC772" t="s">
        <v>134</v>
      </c>
      <c r="DD772" t="s">
        <v>135</v>
      </c>
      <c r="DG772">
        <v>3319139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"05/01/2025 15:06:40.537"</f>
        <v>05/01/2025 15:06:40.537</v>
      </c>
      <c r="C773" t="str">
        <f t="shared" si="304"/>
        <v>FFDFD3C0</v>
      </c>
      <c r="D773" t="s">
        <v>143</v>
      </c>
      <c r="E773" t="str">
        <f>"05"</f>
        <v>05</v>
      </c>
      <c r="H773">
        <v>172</v>
      </c>
      <c r="I773" t="s">
        <v>141</v>
      </c>
      <c r="J773" t="s">
        <v>144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R773" t="s">
        <v>127</v>
      </c>
      <c r="S773" t="str">
        <f t="shared" si="305"/>
        <v>15:06:40.000</v>
      </c>
      <c r="T773" t="str">
        <f t="shared" si="305"/>
        <v>15:06:40.000</v>
      </c>
      <c r="U773" t="str">
        <f t="shared" si="306"/>
        <v>A68FCB</v>
      </c>
      <c r="V773">
        <v>0</v>
      </c>
      <c r="W773">
        <v>0</v>
      </c>
      <c r="X773">
        <v>2</v>
      </c>
      <c r="Y773">
        <v>0</v>
      </c>
      <c r="AA773">
        <v>1</v>
      </c>
      <c r="AB773">
        <v>8</v>
      </c>
      <c r="AC773">
        <v>3</v>
      </c>
      <c r="AD773">
        <v>0</v>
      </c>
      <c r="AE773">
        <v>9</v>
      </c>
      <c r="AF773" t="s">
        <v>138</v>
      </c>
      <c r="AG773">
        <v>0</v>
      </c>
      <c r="AH773">
        <v>3</v>
      </c>
      <c r="AI773">
        <v>2</v>
      </c>
      <c r="AJ773">
        <v>0</v>
      </c>
      <c r="AK773" t="s">
        <v>347</v>
      </c>
      <c r="AL773">
        <v>38.972110999999998</v>
      </c>
      <c r="AM773" t="s">
        <v>283</v>
      </c>
      <c r="AN773">
        <v>-121.050174</v>
      </c>
      <c r="AO773">
        <v>25</v>
      </c>
      <c r="AP773">
        <v>2700</v>
      </c>
      <c r="AQ773" t="s">
        <v>131</v>
      </c>
      <c r="AR773">
        <v>-6</v>
      </c>
      <c r="AS773">
        <v>83</v>
      </c>
      <c r="AT773">
        <v>576</v>
      </c>
      <c r="BB773" t="str">
        <f t="shared" si="307"/>
        <v>1200</v>
      </c>
      <c r="BC773">
        <v>1</v>
      </c>
      <c r="BD773" t="str">
        <f t="shared" si="308"/>
        <v xml:space="preserve">N52156  </v>
      </c>
      <c r="BE773">
        <v>1</v>
      </c>
      <c r="BG773">
        <v>0</v>
      </c>
      <c r="BH773">
        <v>0</v>
      </c>
      <c r="BI773">
        <v>0</v>
      </c>
      <c r="BJ773">
        <v>2625</v>
      </c>
      <c r="BK773">
        <v>-75</v>
      </c>
      <c r="BL773" t="s">
        <v>188</v>
      </c>
      <c r="BM773">
        <v>1</v>
      </c>
      <c r="BN773">
        <v>1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 t="shared" si="309"/>
        <v>15:06:40.321</v>
      </c>
      <c r="CF773">
        <v>321449690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5</v>
      </c>
      <c r="CY773">
        <v>7</v>
      </c>
      <c r="CZ773" t="s">
        <v>133</v>
      </c>
      <c r="DA773">
        <v>275</v>
      </c>
      <c r="DB773">
        <v>0</v>
      </c>
      <c r="DC773" t="s">
        <v>134</v>
      </c>
      <c r="DD773" t="s">
        <v>135</v>
      </c>
      <c r="DG773">
        <v>3319139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"05/01/2025 15:06:40.539"</f>
        <v>05/01/2025 15:06:40.539</v>
      </c>
      <c r="C774" t="str">
        <f t="shared" si="304"/>
        <v>FFDFD3C0</v>
      </c>
      <c r="D774" t="s">
        <v>145</v>
      </c>
      <c r="E774" t="str">
        <f>"09"</f>
        <v>09</v>
      </c>
      <c r="H774">
        <v>51</v>
      </c>
      <c r="I774" t="s">
        <v>147</v>
      </c>
      <c r="J774" t="s">
        <v>138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R774" t="s">
        <v>127</v>
      </c>
      <c r="S774" t="str">
        <f t="shared" si="305"/>
        <v>15:06:40.000</v>
      </c>
      <c r="T774" t="str">
        <f t="shared" si="305"/>
        <v>15:06:40.000</v>
      </c>
      <c r="U774" t="str">
        <f t="shared" si="306"/>
        <v>A68FCB</v>
      </c>
      <c r="V774">
        <v>0</v>
      </c>
      <c r="W774">
        <v>0</v>
      </c>
      <c r="X774">
        <v>2</v>
      </c>
      <c r="Y774">
        <v>0</v>
      </c>
      <c r="AA774">
        <v>1</v>
      </c>
      <c r="AB774">
        <v>8</v>
      </c>
      <c r="AC774">
        <v>3</v>
      </c>
      <c r="AD774">
        <v>0</v>
      </c>
      <c r="AE774">
        <v>9</v>
      </c>
      <c r="AF774" t="s">
        <v>138</v>
      </c>
      <c r="AG774">
        <v>0</v>
      </c>
      <c r="AH774">
        <v>3</v>
      </c>
      <c r="AI774">
        <v>2</v>
      </c>
      <c r="AJ774">
        <v>0</v>
      </c>
      <c r="AK774" t="s">
        <v>347</v>
      </c>
      <c r="AL774">
        <v>38.972110999999998</v>
      </c>
      <c r="AM774" t="s">
        <v>283</v>
      </c>
      <c r="AN774">
        <v>-121.050174</v>
      </c>
      <c r="AO774">
        <v>25</v>
      </c>
      <c r="AP774">
        <v>2700</v>
      </c>
      <c r="AQ774" t="s">
        <v>131</v>
      </c>
      <c r="AR774">
        <v>-6</v>
      </c>
      <c r="AS774">
        <v>83</v>
      </c>
      <c r="AT774">
        <v>576</v>
      </c>
      <c r="BB774" t="str">
        <f t="shared" si="307"/>
        <v>1200</v>
      </c>
      <c r="BC774">
        <v>1</v>
      </c>
      <c r="BD774" t="str">
        <f t="shared" si="308"/>
        <v xml:space="preserve">N52156  </v>
      </c>
      <c r="BE774">
        <v>1</v>
      </c>
      <c r="BG774">
        <v>0</v>
      </c>
      <c r="BH774">
        <v>0</v>
      </c>
      <c r="BI774">
        <v>0</v>
      </c>
      <c r="BJ774">
        <v>2625</v>
      </c>
      <c r="BK774">
        <v>-75</v>
      </c>
      <c r="BL774" t="s">
        <v>188</v>
      </c>
      <c r="BM774">
        <v>1</v>
      </c>
      <c r="BN774">
        <v>1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 t="shared" si="309"/>
        <v>15:06:40.321</v>
      </c>
      <c r="CF774">
        <v>321449690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5</v>
      </c>
      <c r="CY774">
        <v>7</v>
      </c>
      <c r="CZ774" t="s">
        <v>133</v>
      </c>
      <c r="DA774">
        <v>275</v>
      </c>
      <c r="DB774">
        <v>0</v>
      </c>
      <c r="DC774" t="s">
        <v>134</v>
      </c>
      <c r="DD774" t="s">
        <v>135</v>
      </c>
      <c r="DG774">
        <v>3319139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"05/01/2025 15:06:40.546"</f>
        <v>05/01/2025 15:06:40.546</v>
      </c>
      <c r="C775" t="str">
        <f t="shared" si="304"/>
        <v>FFDFD3C0</v>
      </c>
      <c r="D775" t="s">
        <v>136</v>
      </c>
      <c r="E775" t="str">
        <f>"20"</f>
        <v>20</v>
      </c>
      <c r="H775">
        <v>400</v>
      </c>
      <c r="I775" t="s">
        <v>137</v>
      </c>
      <c r="J775" t="s">
        <v>138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R775" t="s">
        <v>127</v>
      </c>
      <c r="S775" t="str">
        <f t="shared" si="305"/>
        <v>15:06:40.000</v>
      </c>
      <c r="T775" t="str">
        <f t="shared" si="305"/>
        <v>15:06:40.000</v>
      </c>
      <c r="U775" t="str">
        <f t="shared" si="306"/>
        <v>A68FCB</v>
      </c>
      <c r="V775">
        <v>0</v>
      </c>
      <c r="W775">
        <v>0</v>
      </c>
      <c r="X775">
        <v>2</v>
      </c>
      <c r="Y775">
        <v>0</v>
      </c>
      <c r="AA775">
        <v>1</v>
      </c>
      <c r="AB775">
        <v>8</v>
      </c>
      <c r="AC775">
        <v>3</v>
      </c>
      <c r="AD775">
        <v>0</v>
      </c>
      <c r="AE775">
        <v>9</v>
      </c>
      <c r="AF775" t="s">
        <v>138</v>
      </c>
      <c r="AG775">
        <v>0</v>
      </c>
      <c r="AH775">
        <v>3</v>
      </c>
      <c r="AI775">
        <v>2</v>
      </c>
      <c r="AJ775">
        <v>0</v>
      </c>
      <c r="AK775" t="s">
        <v>347</v>
      </c>
      <c r="AL775">
        <v>38.972110999999998</v>
      </c>
      <c r="AM775" t="s">
        <v>283</v>
      </c>
      <c r="AN775">
        <v>-121.050174</v>
      </c>
      <c r="AO775">
        <v>25</v>
      </c>
      <c r="AP775">
        <v>2700</v>
      </c>
      <c r="AQ775" t="s">
        <v>131</v>
      </c>
      <c r="AR775">
        <v>-6</v>
      </c>
      <c r="AS775">
        <v>83</v>
      </c>
      <c r="AT775">
        <v>576</v>
      </c>
      <c r="BB775" t="str">
        <f t="shared" si="307"/>
        <v>1200</v>
      </c>
      <c r="BC775">
        <v>1</v>
      </c>
      <c r="BD775" t="str">
        <f t="shared" si="308"/>
        <v xml:space="preserve">N52156  </v>
      </c>
      <c r="BE775">
        <v>1</v>
      </c>
      <c r="BG775">
        <v>0</v>
      </c>
      <c r="BH775">
        <v>0</v>
      </c>
      <c r="BI775">
        <v>0</v>
      </c>
      <c r="BJ775">
        <v>2625</v>
      </c>
      <c r="BK775">
        <v>-75</v>
      </c>
      <c r="BL775" t="s">
        <v>188</v>
      </c>
      <c r="BM775">
        <v>1</v>
      </c>
      <c r="BN775">
        <v>1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 t="shared" si="309"/>
        <v>15:06:40.321</v>
      </c>
      <c r="CF775">
        <v>321449690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5</v>
      </c>
      <c r="CY775">
        <v>7</v>
      </c>
      <c r="CZ775" t="s">
        <v>133</v>
      </c>
      <c r="DA775">
        <v>275</v>
      </c>
      <c r="DB775">
        <v>0</v>
      </c>
      <c r="DC775" t="s">
        <v>134</v>
      </c>
      <c r="DD775" t="s">
        <v>135</v>
      </c>
      <c r="DG775">
        <v>3319139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"05/01/2025 15:06:41.680"</f>
        <v>05/01/2025 15:06:41.680</v>
      </c>
      <c r="C776" t="str">
        <f t="shared" si="304"/>
        <v>FFDFD3C0</v>
      </c>
      <c r="D776" t="s">
        <v>140</v>
      </c>
      <c r="E776" t="str">
        <f>"13"</f>
        <v>13</v>
      </c>
      <c r="F776">
        <v>1019</v>
      </c>
      <c r="G776" t="s">
        <v>141</v>
      </c>
      <c r="J776" t="s">
        <v>142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R776" t="s">
        <v>127</v>
      </c>
      <c r="S776" t="str">
        <f t="shared" ref="S776:T781" si="310">"15:06:41.000"</f>
        <v>15:06:41.000</v>
      </c>
      <c r="T776" t="str">
        <f t="shared" si="310"/>
        <v>15:06:41.000</v>
      </c>
      <c r="U776" t="str">
        <f t="shared" si="306"/>
        <v>A68FCB</v>
      </c>
      <c r="V776">
        <v>0</v>
      </c>
      <c r="W776">
        <v>0</v>
      </c>
      <c r="X776">
        <v>2</v>
      </c>
      <c r="Y776">
        <v>0</v>
      </c>
      <c r="AA776">
        <v>1</v>
      </c>
      <c r="AB776">
        <v>8</v>
      </c>
      <c r="AC776">
        <v>3</v>
      </c>
      <c r="AD776">
        <v>0</v>
      </c>
      <c r="AE776">
        <v>9</v>
      </c>
      <c r="AF776" t="s">
        <v>138</v>
      </c>
      <c r="AG776">
        <v>0</v>
      </c>
      <c r="AH776">
        <v>3</v>
      </c>
      <c r="AI776">
        <v>2</v>
      </c>
      <c r="AJ776">
        <v>0</v>
      </c>
      <c r="AK776" t="s">
        <v>348</v>
      </c>
      <c r="AL776">
        <v>38.972496999999997</v>
      </c>
      <c r="AM776" t="s">
        <v>349</v>
      </c>
      <c r="AN776">
        <v>-121.050217</v>
      </c>
      <c r="AO776">
        <v>25</v>
      </c>
      <c r="AP776">
        <v>2700</v>
      </c>
      <c r="AQ776" t="s">
        <v>131</v>
      </c>
      <c r="AR776">
        <v>-6</v>
      </c>
      <c r="AS776">
        <v>83</v>
      </c>
      <c r="AT776">
        <v>512</v>
      </c>
      <c r="BB776" t="str">
        <f t="shared" si="307"/>
        <v>1200</v>
      </c>
      <c r="BC776">
        <v>1</v>
      </c>
      <c r="BD776" t="str">
        <f t="shared" si="308"/>
        <v xml:space="preserve">N52156  </v>
      </c>
      <c r="BE776">
        <v>1</v>
      </c>
      <c r="BG776">
        <v>0</v>
      </c>
      <c r="BH776">
        <v>0</v>
      </c>
      <c r="BI776">
        <v>0</v>
      </c>
      <c r="BJ776">
        <v>2650</v>
      </c>
      <c r="BK776">
        <v>-50</v>
      </c>
      <c r="BL776" t="s">
        <v>188</v>
      </c>
      <c r="BM776">
        <v>1</v>
      </c>
      <c r="BN776">
        <v>1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 t="shared" ref="CE776:CE781" si="311">"15:06:41.456"</f>
        <v>15:06:41.456</v>
      </c>
      <c r="CF776">
        <v>456200060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133</v>
      </c>
      <c r="DA776">
        <v>275</v>
      </c>
      <c r="DB776">
        <v>0</v>
      </c>
      <c r="DC776" t="s">
        <v>134</v>
      </c>
      <c r="DD776" t="s">
        <v>135</v>
      </c>
      <c r="DG776">
        <v>3319157</v>
      </c>
      <c r="DI776">
        <v>1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"05/01/2025 15:06:41.688"</f>
        <v>05/01/2025 15:06:41.688</v>
      </c>
      <c r="C777" t="str">
        <f t="shared" si="304"/>
        <v>FFDFD3C0</v>
      </c>
      <c r="D777" t="s">
        <v>143</v>
      </c>
      <c r="E777" t="str">
        <f>"05"</f>
        <v>05</v>
      </c>
      <c r="H777">
        <v>172</v>
      </c>
      <c r="I777" t="s">
        <v>141</v>
      </c>
      <c r="J777" t="s">
        <v>144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R777" t="s">
        <v>127</v>
      </c>
      <c r="S777" t="str">
        <f t="shared" si="310"/>
        <v>15:06:41.000</v>
      </c>
      <c r="T777" t="str">
        <f t="shared" si="310"/>
        <v>15:06:41.000</v>
      </c>
      <c r="U777" t="str">
        <f t="shared" si="306"/>
        <v>A68FCB</v>
      </c>
      <c r="V777">
        <v>0</v>
      </c>
      <c r="W777">
        <v>0</v>
      </c>
      <c r="X777">
        <v>2</v>
      </c>
      <c r="Y777">
        <v>0</v>
      </c>
      <c r="AA777">
        <v>1</v>
      </c>
      <c r="AB777">
        <v>8</v>
      </c>
      <c r="AC777">
        <v>3</v>
      </c>
      <c r="AD777">
        <v>0</v>
      </c>
      <c r="AE777">
        <v>9</v>
      </c>
      <c r="AF777" t="s">
        <v>138</v>
      </c>
      <c r="AG777">
        <v>0</v>
      </c>
      <c r="AH777">
        <v>3</v>
      </c>
      <c r="AI777">
        <v>2</v>
      </c>
      <c r="AJ777">
        <v>0</v>
      </c>
      <c r="AK777" t="s">
        <v>348</v>
      </c>
      <c r="AL777">
        <v>38.972496999999997</v>
      </c>
      <c r="AM777" t="s">
        <v>349</v>
      </c>
      <c r="AN777">
        <v>-121.050217</v>
      </c>
      <c r="AO777">
        <v>25</v>
      </c>
      <c r="AP777">
        <v>2700</v>
      </c>
      <c r="AQ777" t="s">
        <v>131</v>
      </c>
      <c r="AR777">
        <v>-6</v>
      </c>
      <c r="AS777">
        <v>83</v>
      </c>
      <c r="AT777">
        <v>512</v>
      </c>
      <c r="BB777" t="str">
        <f t="shared" si="307"/>
        <v>1200</v>
      </c>
      <c r="BC777">
        <v>1</v>
      </c>
      <c r="BD777" t="str">
        <f t="shared" si="308"/>
        <v xml:space="preserve">N52156  </v>
      </c>
      <c r="BE777">
        <v>1</v>
      </c>
      <c r="BG777">
        <v>0</v>
      </c>
      <c r="BH777">
        <v>0</v>
      </c>
      <c r="BI777">
        <v>0</v>
      </c>
      <c r="BJ777">
        <v>2650</v>
      </c>
      <c r="BK777">
        <v>-50</v>
      </c>
      <c r="BL777" t="s">
        <v>188</v>
      </c>
      <c r="BM777">
        <v>1</v>
      </c>
      <c r="BN777">
        <v>1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 t="shared" si="311"/>
        <v>15:06:41.456</v>
      </c>
      <c r="CF777">
        <v>456200060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133</v>
      </c>
      <c r="DA777">
        <v>275</v>
      </c>
      <c r="DB777">
        <v>0</v>
      </c>
      <c r="DC777" t="s">
        <v>134</v>
      </c>
      <c r="DD777" t="s">
        <v>135</v>
      </c>
      <c r="DG777">
        <v>3319157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"05/01/2025 15:06:41.688"</f>
        <v>05/01/2025 15:06:41.688</v>
      </c>
      <c r="C778" t="str">
        <f t="shared" si="304"/>
        <v>FFDFD3C0</v>
      </c>
      <c r="D778" t="s">
        <v>145</v>
      </c>
      <c r="E778" t="str">
        <f>"05"</f>
        <v>05</v>
      </c>
      <c r="H778">
        <v>47</v>
      </c>
      <c r="I778" t="s">
        <v>146</v>
      </c>
      <c r="J778" t="s">
        <v>138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R778" t="s">
        <v>127</v>
      </c>
      <c r="S778" t="str">
        <f t="shared" si="310"/>
        <v>15:06:41.000</v>
      </c>
      <c r="T778" t="str">
        <f t="shared" si="310"/>
        <v>15:06:41.000</v>
      </c>
      <c r="U778" t="str">
        <f t="shared" si="306"/>
        <v>A68FCB</v>
      </c>
      <c r="V778">
        <v>0</v>
      </c>
      <c r="W778">
        <v>0</v>
      </c>
      <c r="X778">
        <v>2</v>
      </c>
      <c r="Y778">
        <v>0</v>
      </c>
      <c r="AA778">
        <v>1</v>
      </c>
      <c r="AB778">
        <v>8</v>
      </c>
      <c r="AC778">
        <v>3</v>
      </c>
      <c r="AD778">
        <v>0</v>
      </c>
      <c r="AE778">
        <v>9</v>
      </c>
      <c r="AF778" t="s">
        <v>138</v>
      </c>
      <c r="AG778">
        <v>0</v>
      </c>
      <c r="AH778">
        <v>3</v>
      </c>
      <c r="AI778">
        <v>2</v>
      </c>
      <c r="AJ778">
        <v>0</v>
      </c>
      <c r="AK778" t="s">
        <v>348</v>
      </c>
      <c r="AL778">
        <v>38.972496999999997</v>
      </c>
      <c r="AM778" t="s">
        <v>349</v>
      </c>
      <c r="AN778">
        <v>-121.050217</v>
      </c>
      <c r="AO778">
        <v>25</v>
      </c>
      <c r="AP778">
        <v>2700</v>
      </c>
      <c r="AQ778" t="s">
        <v>131</v>
      </c>
      <c r="AR778">
        <v>-6</v>
      </c>
      <c r="AS778">
        <v>83</v>
      </c>
      <c r="AT778">
        <v>512</v>
      </c>
      <c r="BB778" t="str">
        <f t="shared" si="307"/>
        <v>1200</v>
      </c>
      <c r="BC778">
        <v>1</v>
      </c>
      <c r="BD778" t="str">
        <f t="shared" si="308"/>
        <v xml:space="preserve">N52156  </v>
      </c>
      <c r="BE778">
        <v>1</v>
      </c>
      <c r="BG778">
        <v>0</v>
      </c>
      <c r="BH778">
        <v>0</v>
      </c>
      <c r="BI778">
        <v>0</v>
      </c>
      <c r="BJ778">
        <v>2650</v>
      </c>
      <c r="BK778">
        <v>-50</v>
      </c>
      <c r="BL778" t="s">
        <v>188</v>
      </c>
      <c r="BM778">
        <v>1</v>
      </c>
      <c r="BN778">
        <v>1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 t="shared" si="311"/>
        <v>15:06:41.456</v>
      </c>
      <c r="CF778">
        <v>456200060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133</v>
      </c>
      <c r="DA778">
        <v>275</v>
      </c>
      <c r="DB778">
        <v>0</v>
      </c>
      <c r="DC778" t="s">
        <v>134</v>
      </c>
      <c r="DD778" t="s">
        <v>135</v>
      </c>
      <c r="DG778">
        <v>3319157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"05/01/2025 15:06:41.688"</f>
        <v>05/01/2025 15:06:41.688</v>
      </c>
      <c r="C779" t="str">
        <f t="shared" si="304"/>
        <v>FFDFD3C0</v>
      </c>
      <c r="D779" t="s">
        <v>124</v>
      </c>
      <c r="E779" t="str">
        <f>"06"</f>
        <v>06</v>
      </c>
      <c r="F779">
        <v>2006</v>
      </c>
      <c r="G779" t="s">
        <v>125</v>
      </c>
      <c r="J779" t="s">
        <v>126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R779" t="s">
        <v>127</v>
      </c>
      <c r="S779" t="str">
        <f t="shared" si="310"/>
        <v>15:06:41.000</v>
      </c>
      <c r="T779" t="str">
        <f t="shared" si="310"/>
        <v>15:06:41.000</v>
      </c>
      <c r="U779" t="str">
        <f t="shared" si="306"/>
        <v>A68FCB</v>
      </c>
      <c r="V779">
        <v>0</v>
      </c>
      <c r="W779">
        <v>0</v>
      </c>
      <c r="X779">
        <v>2</v>
      </c>
      <c r="Y779">
        <v>0</v>
      </c>
      <c r="AA779">
        <v>1</v>
      </c>
      <c r="AB779">
        <v>8</v>
      </c>
      <c r="AC779">
        <v>3</v>
      </c>
      <c r="AD779">
        <v>0</v>
      </c>
      <c r="AE779">
        <v>9</v>
      </c>
      <c r="AF779" t="s">
        <v>138</v>
      </c>
      <c r="AG779">
        <v>0</v>
      </c>
      <c r="AH779">
        <v>3</v>
      </c>
      <c r="AI779">
        <v>2</v>
      </c>
      <c r="AJ779">
        <v>0</v>
      </c>
      <c r="AK779" t="s">
        <v>348</v>
      </c>
      <c r="AL779">
        <v>38.972496999999997</v>
      </c>
      <c r="AM779" t="s">
        <v>349</v>
      </c>
      <c r="AN779">
        <v>-121.050217</v>
      </c>
      <c r="AO779">
        <v>25</v>
      </c>
      <c r="AP779">
        <v>2700</v>
      </c>
      <c r="AQ779" t="s">
        <v>131</v>
      </c>
      <c r="AR779">
        <v>-6</v>
      </c>
      <c r="AS779">
        <v>83</v>
      </c>
      <c r="AT779">
        <v>512</v>
      </c>
      <c r="BB779" t="str">
        <f t="shared" si="307"/>
        <v>1200</v>
      </c>
      <c r="BC779">
        <v>1</v>
      </c>
      <c r="BD779" t="str">
        <f t="shared" si="308"/>
        <v xml:space="preserve">N52156  </v>
      </c>
      <c r="BE779">
        <v>1</v>
      </c>
      <c r="BG779">
        <v>0</v>
      </c>
      <c r="BH779">
        <v>0</v>
      </c>
      <c r="BI779">
        <v>0</v>
      </c>
      <c r="BJ779">
        <v>2650</v>
      </c>
      <c r="BK779">
        <v>-50</v>
      </c>
      <c r="BL779" t="s">
        <v>188</v>
      </c>
      <c r="BM779">
        <v>1</v>
      </c>
      <c r="BN779">
        <v>1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 t="shared" si="311"/>
        <v>15:06:41.456</v>
      </c>
      <c r="CF779">
        <v>456200060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5</v>
      </c>
      <c r="CY779">
        <v>7</v>
      </c>
      <c r="CZ779" t="s">
        <v>133</v>
      </c>
      <c r="DA779">
        <v>275</v>
      </c>
      <c r="DB779">
        <v>0</v>
      </c>
      <c r="DC779" t="s">
        <v>134</v>
      </c>
      <c r="DD779" t="s">
        <v>135</v>
      </c>
      <c r="DG779">
        <v>3319157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"05/01/2025 15:06:41.691"</f>
        <v>05/01/2025 15:06:41.691</v>
      </c>
      <c r="C780" t="str">
        <f t="shared" si="304"/>
        <v>FFDFD3C0</v>
      </c>
      <c r="D780" t="s">
        <v>145</v>
      </c>
      <c r="E780" t="str">
        <f>"09"</f>
        <v>09</v>
      </c>
      <c r="H780">
        <v>51</v>
      </c>
      <c r="I780" t="s">
        <v>147</v>
      </c>
      <c r="J780" t="s">
        <v>138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R780" t="s">
        <v>127</v>
      </c>
      <c r="S780" t="str">
        <f t="shared" si="310"/>
        <v>15:06:41.000</v>
      </c>
      <c r="T780" t="str">
        <f t="shared" si="310"/>
        <v>15:06:41.000</v>
      </c>
      <c r="U780" t="str">
        <f t="shared" si="306"/>
        <v>A68FCB</v>
      </c>
      <c r="V780">
        <v>0</v>
      </c>
      <c r="W780">
        <v>0</v>
      </c>
      <c r="X780">
        <v>2</v>
      </c>
      <c r="Y780">
        <v>0</v>
      </c>
      <c r="AA780">
        <v>1</v>
      </c>
      <c r="AB780">
        <v>8</v>
      </c>
      <c r="AC780">
        <v>3</v>
      </c>
      <c r="AD780">
        <v>0</v>
      </c>
      <c r="AE780">
        <v>9</v>
      </c>
      <c r="AF780" t="s">
        <v>138</v>
      </c>
      <c r="AG780">
        <v>0</v>
      </c>
      <c r="AH780">
        <v>3</v>
      </c>
      <c r="AI780">
        <v>2</v>
      </c>
      <c r="AJ780">
        <v>0</v>
      </c>
      <c r="AK780" t="s">
        <v>348</v>
      </c>
      <c r="AL780">
        <v>38.972496999999997</v>
      </c>
      <c r="AM780" t="s">
        <v>349</v>
      </c>
      <c r="AN780">
        <v>-121.050217</v>
      </c>
      <c r="AO780">
        <v>25</v>
      </c>
      <c r="AP780">
        <v>2700</v>
      </c>
      <c r="AQ780" t="s">
        <v>131</v>
      </c>
      <c r="AR780">
        <v>-6</v>
      </c>
      <c r="AS780">
        <v>83</v>
      </c>
      <c r="AT780">
        <v>512</v>
      </c>
      <c r="BB780" t="str">
        <f t="shared" si="307"/>
        <v>1200</v>
      </c>
      <c r="BC780">
        <v>1</v>
      </c>
      <c r="BD780" t="str">
        <f t="shared" si="308"/>
        <v xml:space="preserve">N52156  </v>
      </c>
      <c r="BE780">
        <v>1</v>
      </c>
      <c r="BG780">
        <v>0</v>
      </c>
      <c r="BH780">
        <v>0</v>
      </c>
      <c r="BI780">
        <v>0</v>
      </c>
      <c r="BJ780">
        <v>2650</v>
      </c>
      <c r="BK780">
        <v>-50</v>
      </c>
      <c r="BL780" t="s">
        <v>188</v>
      </c>
      <c r="BM780">
        <v>1</v>
      </c>
      <c r="BN780">
        <v>1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 t="shared" si="311"/>
        <v>15:06:41.456</v>
      </c>
      <c r="CF780">
        <v>456200060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5</v>
      </c>
      <c r="CY780">
        <v>7</v>
      </c>
      <c r="CZ780" t="s">
        <v>133</v>
      </c>
      <c r="DA780">
        <v>275</v>
      </c>
      <c r="DB780">
        <v>0</v>
      </c>
      <c r="DC780" t="s">
        <v>134</v>
      </c>
      <c r="DD780" t="s">
        <v>135</v>
      </c>
      <c r="DG780">
        <v>3319157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"05/01/2025 15:06:41.698"</f>
        <v>05/01/2025 15:06:41.698</v>
      </c>
      <c r="C781" t="str">
        <f t="shared" si="304"/>
        <v>FFDFD3C0</v>
      </c>
      <c r="D781" t="s">
        <v>136</v>
      </c>
      <c r="E781" t="str">
        <f>"20"</f>
        <v>20</v>
      </c>
      <c r="H781">
        <v>400</v>
      </c>
      <c r="I781" t="s">
        <v>137</v>
      </c>
      <c r="J781" t="s">
        <v>138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R781" t="s">
        <v>127</v>
      </c>
      <c r="S781" t="str">
        <f t="shared" si="310"/>
        <v>15:06:41.000</v>
      </c>
      <c r="T781" t="str">
        <f t="shared" si="310"/>
        <v>15:06:41.000</v>
      </c>
      <c r="U781" t="str">
        <f t="shared" si="306"/>
        <v>A68FCB</v>
      </c>
      <c r="V781">
        <v>0</v>
      </c>
      <c r="W781">
        <v>0</v>
      </c>
      <c r="X781">
        <v>2</v>
      </c>
      <c r="Y781">
        <v>0</v>
      </c>
      <c r="AA781">
        <v>1</v>
      </c>
      <c r="AB781">
        <v>8</v>
      </c>
      <c r="AC781">
        <v>3</v>
      </c>
      <c r="AD781">
        <v>0</v>
      </c>
      <c r="AE781">
        <v>9</v>
      </c>
      <c r="AF781" t="s">
        <v>138</v>
      </c>
      <c r="AG781">
        <v>0</v>
      </c>
      <c r="AH781">
        <v>3</v>
      </c>
      <c r="AI781">
        <v>2</v>
      </c>
      <c r="AJ781">
        <v>0</v>
      </c>
      <c r="AK781" t="s">
        <v>348</v>
      </c>
      <c r="AL781">
        <v>38.972496999999997</v>
      </c>
      <c r="AM781" t="s">
        <v>349</v>
      </c>
      <c r="AN781">
        <v>-121.050217</v>
      </c>
      <c r="AO781">
        <v>25</v>
      </c>
      <c r="AP781">
        <v>2700</v>
      </c>
      <c r="AQ781" t="s">
        <v>131</v>
      </c>
      <c r="AR781">
        <v>-6</v>
      </c>
      <c r="AS781">
        <v>83</v>
      </c>
      <c r="AT781">
        <v>512</v>
      </c>
      <c r="BB781" t="str">
        <f t="shared" si="307"/>
        <v>1200</v>
      </c>
      <c r="BC781">
        <v>1</v>
      </c>
      <c r="BD781" t="str">
        <f t="shared" si="308"/>
        <v xml:space="preserve">N52156  </v>
      </c>
      <c r="BE781">
        <v>1</v>
      </c>
      <c r="BG781">
        <v>0</v>
      </c>
      <c r="BH781">
        <v>0</v>
      </c>
      <c r="BI781">
        <v>0</v>
      </c>
      <c r="BJ781">
        <v>2650</v>
      </c>
      <c r="BK781">
        <v>-50</v>
      </c>
      <c r="BL781" t="s">
        <v>188</v>
      </c>
      <c r="BM781">
        <v>1</v>
      </c>
      <c r="BN781">
        <v>1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 t="shared" si="311"/>
        <v>15:06:41.456</v>
      </c>
      <c r="CF781">
        <v>456200060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133</v>
      </c>
      <c r="DA781">
        <v>275</v>
      </c>
      <c r="DB781">
        <v>0</v>
      </c>
      <c r="DC781" t="s">
        <v>134</v>
      </c>
      <c r="DD781" t="s">
        <v>135</v>
      </c>
      <c r="DG781">
        <v>3319157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"05/01/2025 15:06:43.133"</f>
        <v>05/01/2025 15:06:43.133</v>
      </c>
      <c r="C782" t="str">
        <f t="shared" si="304"/>
        <v>FFDFD3C0</v>
      </c>
      <c r="D782" t="s">
        <v>140</v>
      </c>
      <c r="E782" t="str">
        <f>"13"</f>
        <v>13</v>
      </c>
      <c r="F782">
        <v>1019</v>
      </c>
      <c r="G782" t="s">
        <v>141</v>
      </c>
      <c r="J782" t="s">
        <v>142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R782" t="s">
        <v>127</v>
      </c>
      <c r="S782" t="str">
        <f t="shared" ref="S782:T787" si="312">"15:06:42.000"</f>
        <v>15:06:42.000</v>
      </c>
      <c r="T782" t="str">
        <f t="shared" si="312"/>
        <v>15:06:42.000</v>
      </c>
      <c r="U782" t="str">
        <f t="shared" si="306"/>
        <v>A68FCB</v>
      </c>
      <c r="V782">
        <v>0</v>
      </c>
      <c r="W782">
        <v>0</v>
      </c>
      <c r="X782">
        <v>2</v>
      </c>
      <c r="Y782">
        <v>0</v>
      </c>
      <c r="AA782">
        <v>1</v>
      </c>
      <c r="AB782">
        <v>8</v>
      </c>
      <c r="AC782">
        <v>3</v>
      </c>
      <c r="AD782">
        <v>0</v>
      </c>
      <c r="AE782">
        <v>9</v>
      </c>
      <c r="AF782" t="s">
        <v>138</v>
      </c>
      <c r="AG782">
        <v>0</v>
      </c>
      <c r="AH782">
        <v>3</v>
      </c>
      <c r="AI782">
        <v>2</v>
      </c>
      <c r="AJ782">
        <v>0</v>
      </c>
      <c r="AK782" t="s">
        <v>350</v>
      </c>
      <c r="AL782">
        <v>38.972776000000003</v>
      </c>
      <c r="AM782" t="s">
        <v>351</v>
      </c>
      <c r="AN782">
        <v>-121.050324</v>
      </c>
      <c r="AO782">
        <v>25</v>
      </c>
      <c r="AP782">
        <v>2700</v>
      </c>
      <c r="AQ782" t="s">
        <v>131</v>
      </c>
      <c r="AR782">
        <v>-8</v>
      </c>
      <c r="AS782">
        <v>84</v>
      </c>
      <c r="AT782">
        <v>512</v>
      </c>
      <c r="BB782" t="str">
        <f t="shared" si="307"/>
        <v>1200</v>
      </c>
      <c r="BC782">
        <v>1</v>
      </c>
      <c r="BD782" t="str">
        <f t="shared" si="308"/>
        <v xml:space="preserve">N52156  </v>
      </c>
      <c r="BE782">
        <v>1</v>
      </c>
      <c r="BG782">
        <v>0</v>
      </c>
      <c r="BH782">
        <v>0</v>
      </c>
      <c r="BI782">
        <v>0</v>
      </c>
      <c r="BJ782">
        <v>2675</v>
      </c>
      <c r="BK782">
        <v>-25</v>
      </c>
      <c r="BL782" t="s">
        <v>188</v>
      </c>
      <c r="BM782">
        <v>1</v>
      </c>
      <c r="BN782">
        <v>1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 t="shared" ref="CE782:CE787" si="313">"15:06:42.890"</f>
        <v>15:06:42.890</v>
      </c>
      <c r="CF782">
        <v>889951169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133</v>
      </c>
      <c r="DA782">
        <v>275</v>
      </c>
      <c r="DB782">
        <v>0</v>
      </c>
      <c r="DC782" t="s">
        <v>134</v>
      </c>
      <c r="DD782" t="s">
        <v>135</v>
      </c>
      <c r="DG782">
        <v>3319174</v>
      </c>
      <c r="DI782">
        <v>1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"05/01/2025 15:06:43.140"</f>
        <v>05/01/2025 15:06:43.140</v>
      </c>
      <c r="C783" t="str">
        <f t="shared" si="304"/>
        <v>FFDFD3C0</v>
      </c>
      <c r="D783" t="s">
        <v>145</v>
      </c>
      <c r="E783" t="str">
        <f>"05"</f>
        <v>05</v>
      </c>
      <c r="H783">
        <v>47</v>
      </c>
      <c r="I783" t="s">
        <v>146</v>
      </c>
      <c r="J783" t="s">
        <v>138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R783" t="s">
        <v>127</v>
      </c>
      <c r="S783" t="str">
        <f t="shared" si="312"/>
        <v>15:06:42.000</v>
      </c>
      <c r="T783" t="str">
        <f t="shared" si="312"/>
        <v>15:06:42.000</v>
      </c>
      <c r="U783" t="str">
        <f t="shared" si="306"/>
        <v>A68FCB</v>
      </c>
      <c r="V783">
        <v>0</v>
      </c>
      <c r="W783">
        <v>0</v>
      </c>
      <c r="X783">
        <v>2</v>
      </c>
      <c r="Y783">
        <v>0</v>
      </c>
      <c r="AA783">
        <v>1</v>
      </c>
      <c r="AB783">
        <v>8</v>
      </c>
      <c r="AC783">
        <v>3</v>
      </c>
      <c r="AD783">
        <v>0</v>
      </c>
      <c r="AE783">
        <v>9</v>
      </c>
      <c r="AF783" t="s">
        <v>138</v>
      </c>
      <c r="AG783">
        <v>0</v>
      </c>
      <c r="AH783">
        <v>3</v>
      </c>
      <c r="AI783">
        <v>2</v>
      </c>
      <c r="AJ783">
        <v>0</v>
      </c>
      <c r="AK783" t="s">
        <v>350</v>
      </c>
      <c r="AL783">
        <v>38.972776000000003</v>
      </c>
      <c r="AM783" t="s">
        <v>351</v>
      </c>
      <c r="AN783">
        <v>-121.050324</v>
      </c>
      <c r="AO783">
        <v>25</v>
      </c>
      <c r="AP783">
        <v>2700</v>
      </c>
      <c r="AQ783" t="s">
        <v>131</v>
      </c>
      <c r="AR783">
        <v>-8</v>
      </c>
      <c r="AS783">
        <v>84</v>
      </c>
      <c r="AT783">
        <v>512</v>
      </c>
      <c r="BB783" t="str">
        <f t="shared" si="307"/>
        <v>1200</v>
      </c>
      <c r="BC783">
        <v>1</v>
      </c>
      <c r="BD783" t="str">
        <f t="shared" si="308"/>
        <v xml:space="preserve">N52156  </v>
      </c>
      <c r="BE783">
        <v>1</v>
      </c>
      <c r="BG783">
        <v>0</v>
      </c>
      <c r="BH783">
        <v>0</v>
      </c>
      <c r="BI783">
        <v>0</v>
      </c>
      <c r="BJ783">
        <v>2675</v>
      </c>
      <c r="BK783">
        <v>-25</v>
      </c>
      <c r="BL783" t="s">
        <v>188</v>
      </c>
      <c r="BM783">
        <v>1</v>
      </c>
      <c r="BN783">
        <v>1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 t="shared" si="313"/>
        <v>15:06:42.890</v>
      </c>
      <c r="CF783">
        <v>889951169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133</v>
      </c>
      <c r="DA783">
        <v>275</v>
      </c>
      <c r="DB783">
        <v>0</v>
      </c>
      <c r="DC783" t="s">
        <v>134</v>
      </c>
      <c r="DD783" t="s">
        <v>135</v>
      </c>
      <c r="DG783">
        <v>3319174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"05/01/2025 15:06:43.141"</f>
        <v>05/01/2025 15:06:43.141</v>
      </c>
      <c r="C784" t="str">
        <f t="shared" si="304"/>
        <v>FFDFD3C0</v>
      </c>
      <c r="D784" t="s">
        <v>124</v>
      </c>
      <c r="E784" t="str">
        <f>"06"</f>
        <v>06</v>
      </c>
      <c r="F784">
        <v>2006</v>
      </c>
      <c r="G784" t="s">
        <v>125</v>
      </c>
      <c r="J784" t="s">
        <v>126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R784" t="s">
        <v>127</v>
      </c>
      <c r="S784" t="str">
        <f t="shared" si="312"/>
        <v>15:06:42.000</v>
      </c>
      <c r="T784" t="str">
        <f t="shared" si="312"/>
        <v>15:06:42.000</v>
      </c>
      <c r="U784" t="str">
        <f t="shared" si="306"/>
        <v>A68FCB</v>
      </c>
      <c r="V784">
        <v>0</v>
      </c>
      <c r="W784">
        <v>0</v>
      </c>
      <c r="X784">
        <v>2</v>
      </c>
      <c r="Y784">
        <v>0</v>
      </c>
      <c r="AA784">
        <v>1</v>
      </c>
      <c r="AB784">
        <v>8</v>
      </c>
      <c r="AC784">
        <v>3</v>
      </c>
      <c r="AD784">
        <v>0</v>
      </c>
      <c r="AE784">
        <v>9</v>
      </c>
      <c r="AF784" t="s">
        <v>138</v>
      </c>
      <c r="AG784">
        <v>0</v>
      </c>
      <c r="AH784">
        <v>3</v>
      </c>
      <c r="AI784">
        <v>2</v>
      </c>
      <c r="AJ784">
        <v>0</v>
      </c>
      <c r="AK784" t="s">
        <v>350</v>
      </c>
      <c r="AL784">
        <v>38.972776000000003</v>
      </c>
      <c r="AM784" t="s">
        <v>351</v>
      </c>
      <c r="AN784">
        <v>-121.050324</v>
      </c>
      <c r="AO784">
        <v>25</v>
      </c>
      <c r="AP784">
        <v>2700</v>
      </c>
      <c r="AQ784" t="s">
        <v>131</v>
      </c>
      <c r="AR784">
        <v>-8</v>
      </c>
      <c r="AS784">
        <v>84</v>
      </c>
      <c r="AT784">
        <v>512</v>
      </c>
      <c r="BB784" t="str">
        <f t="shared" si="307"/>
        <v>1200</v>
      </c>
      <c r="BC784">
        <v>1</v>
      </c>
      <c r="BD784" t="str">
        <f t="shared" si="308"/>
        <v xml:space="preserve">N52156  </v>
      </c>
      <c r="BE784">
        <v>1</v>
      </c>
      <c r="BG784">
        <v>0</v>
      </c>
      <c r="BH784">
        <v>0</v>
      </c>
      <c r="BI784">
        <v>0</v>
      </c>
      <c r="BJ784">
        <v>2675</v>
      </c>
      <c r="BK784">
        <v>-25</v>
      </c>
      <c r="BL784" t="s">
        <v>188</v>
      </c>
      <c r="BM784">
        <v>1</v>
      </c>
      <c r="BN784">
        <v>1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 t="shared" si="313"/>
        <v>15:06:42.890</v>
      </c>
      <c r="CF784">
        <v>889951169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133</v>
      </c>
      <c r="DA784">
        <v>275</v>
      </c>
      <c r="DB784">
        <v>0</v>
      </c>
      <c r="DC784" t="s">
        <v>134</v>
      </c>
      <c r="DD784" t="s">
        <v>135</v>
      </c>
      <c r="DG784">
        <v>3319174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"05/01/2025 15:06:43.142"</f>
        <v>05/01/2025 15:06:43.142</v>
      </c>
      <c r="C785" t="str">
        <f t="shared" si="304"/>
        <v>FFDFD3C0</v>
      </c>
      <c r="D785" t="s">
        <v>143</v>
      </c>
      <c r="E785" t="str">
        <f>"05"</f>
        <v>05</v>
      </c>
      <c r="H785">
        <v>172</v>
      </c>
      <c r="I785" t="s">
        <v>141</v>
      </c>
      <c r="J785" t="s">
        <v>144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R785" t="s">
        <v>127</v>
      </c>
      <c r="S785" t="str">
        <f t="shared" si="312"/>
        <v>15:06:42.000</v>
      </c>
      <c r="T785" t="str">
        <f t="shared" si="312"/>
        <v>15:06:42.000</v>
      </c>
      <c r="U785" t="str">
        <f t="shared" si="306"/>
        <v>A68FCB</v>
      </c>
      <c r="V785">
        <v>0</v>
      </c>
      <c r="W785">
        <v>0</v>
      </c>
      <c r="X785">
        <v>2</v>
      </c>
      <c r="Y785">
        <v>0</v>
      </c>
      <c r="AA785">
        <v>1</v>
      </c>
      <c r="AB785">
        <v>8</v>
      </c>
      <c r="AC785">
        <v>3</v>
      </c>
      <c r="AD785">
        <v>0</v>
      </c>
      <c r="AE785">
        <v>9</v>
      </c>
      <c r="AF785" t="s">
        <v>138</v>
      </c>
      <c r="AG785">
        <v>0</v>
      </c>
      <c r="AH785">
        <v>3</v>
      </c>
      <c r="AI785">
        <v>2</v>
      </c>
      <c r="AJ785">
        <v>0</v>
      </c>
      <c r="AK785" t="s">
        <v>350</v>
      </c>
      <c r="AL785">
        <v>38.972776000000003</v>
      </c>
      <c r="AM785" t="s">
        <v>351</v>
      </c>
      <c r="AN785">
        <v>-121.050324</v>
      </c>
      <c r="AO785">
        <v>25</v>
      </c>
      <c r="AP785">
        <v>2700</v>
      </c>
      <c r="AQ785" t="s">
        <v>131</v>
      </c>
      <c r="AR785">
        <v>-8</v>
      </c>
      <c r="AS785">
        <v>84</v>
      </c>
      <c r="AT785">
        <v>512</v>
      </c>
      <c r="BB785" t="str">
        <f t="shared" si="307"/>
        <v>1200</v>
      </c>
      <c r="BC785">
        <v>1</v>
      </c>
      <c r="BD785" t="str">
        <f t="shared" si="308"/>
        <v xml:space="preserve">N52156  </v>
      </c>
      <c r="BE785">
        <v>1</v>
      </c>
      <c r="BG785">
        <v>0</v>
      </c>
      <c r="BH785">
        <v>0</v>
      </c>
      <c r="BI785">
        <v>0</v>
      </c>
      <c r="BJ785">
        <v>2675</v>
      </c>
      <c r="BK785">
        <v>-25</v>
      </c>
      <c r="BL785" t="s">
        <v>188</v>
      </c>
      <c r="BM785">
        <v>1</v>
      </c>
      <c r="BN785">
        <v>1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 t="shared" si="313"/>
        <v>15:06:42.890</v>
      </c>
      <c r="CF785">
        <v>889951169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133</v>
      </c>
      <c r="DA785">
        <v>275</v>
      </c>
      <c r="DB785">
        <v>0</v>
      </c>
      <c r="DC785" t="s">
        <v>134</v>
      </c>
      <c r="DD785" t="s">
        <v>135</v>
      </c>
      <c r="DG785">
        <v>3319174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"05/01/2025 15:06:43.143"</f>
        <v>05/01/2025 15:06:43.143</v>
      </c>
      <c r="C786" t="str">
        <f t="shared" si="304"/>
        <v>FFDFD3C0</v>
      </c>
      <c r="D786" t="s">
        <v>145</v>
      </c>
      <c r="E786" t="str">
        <f>"09"</f>
        <v>09</v>
      </c>
      <c r="H786">
        <v>51</v>
      </c>
      <c r="I786" t="s">
        <v>147</v>
      </c>
      <c r="J786" t="s">
        <v>138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R786" t="s">
        <v>127</v>
      </c>
      <c r="S786" t="str">
        <f t="shared" si="312"/>
        <v>15:06:42.000</v>
      </c>
      <c r="T786" t="str">
        <f t="shared" si="312"/>
        <v>15:06:42.000</v>
      </c>
      <c r="U786" t="str">
        <f t="shared" si="306"/>
        <v>A68FCB</v>
      </c>
      <c r="V786">
        <v>0</v>
      </c>
      <c r="W786">
        <v>0</v>
      </c>
      <c r="X786">
        <v>2</v>
      </c>
      <c r="Y786">
        <v>0</v>
      </c>
      <c r="AA786">
        <v>1</v>
      </c>
      <c r="AB786">
        <v>8</v>
      </c>
      <c r="AC786">
        <v>3</v>
      </c>
      <c r="AD786">
        <v>0</v>
      </c>
      <c r="AE786">
        <v>9</v>
      </c>
      <c r="AF786" t="s">
        <v>138</v>
      </c>
      <c r="AG786">
        <v>0</v>
      </c>
      <c r="AH786">
        <v>3</v>
      </c>
      <c r="AI786">
        <v>2</v>
      </c>
      <c r="AJ786">
        <v>0</v>
      </c>
      <c r="AK786" t="s">
        <v>350</v>
      </c>
      <c r="AL786">
        <v>38.972776000000003</v>
      </c>
      <c r="AM786" t="s">
        <v>351</v>
      </c>
      <c r="AN786">
        <v>-121.050324</v>
      </c>
      <c r="AO786">
        <v>25</v>
      </c>
      <c r="AP786">
        <v>2700</v>
      </c>
      <c r="AQ786" t="s">
        <v>131</v>
      </c>
      <c r="AR786">
        <v>-8</v>
      </c>
      <c r="AS786">
        <v>84</v>
      </c>
      <c r="AT786">
        <v>512</v>
      </c>
      <c r="BB786" t="str">
        <f t="shared" si="307"/>
        <v>1200</v>
      </c>
      <c r="BC786">
        <v>1</v>
      </c>
      <c r="BD786" t="str">
        <f t="shared" si="308"/>
        <v xml:space="preserve">N52156  </v>
      </c>
      <c r="BE786">
        <v>1</v>
      </c>
      <c r="BG786">
        <v>0</v>
      </c>
      <c r="BH786">
        <v>0</v>
      </c>
      <c r="BI786">
        <v>0</v>
      </c>
      <c r="BJ786">
        <v>2675</v>
      </c>
      <c r="BK786">
        <v>-25</v>
      </c>
      <c r="BL786" t="s">
        <v>188</v>
      </c>
      <c r="BM786">
        <v>1</v>
      </c>
      <c r="BN786">
        <v>1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 t="shared" si="313"/>
        <v>15:06:42.890</v>
      </c>
      <c r="CF786">
        <v>889951169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5</v>
      </c>
      <c r="CY786">
        <v>7</v>
      </c>
      <c r="CZ786" t="s">
        <v>133</v>
      </c>
      <c r="DA786">
        <v>275</v>
      </c>
      <c r="DB786">
        <v>0</v>
      </c>
      <c r="DC786" t="s">
        <v>134</v>
      </c>
      <c r="DD786" t="s">
        <v>135</v>
      </c>
      <c r="DG786">
        <v>3319174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"05/01/2025 15:06:43.151"</f>
        <v>05/01/2025 15:06:43.151</v>
      </c>
      <c r="C787" t="str">
        <f t="shared" si="304"/>
        <v>FFDFD3C0</v>
      </c>
      <c r="D787" t="s">
        <v>136</v>
      </c>
      <c r="E787" t="str">
        <f>"20"</f>
        <v>20</v>
      </c>
      <c r="H787">
        <v>400</v>
      </c>
      <c r="I787" t="s">
        <v>137</v>
      </c>
      <c r="J787" t="s">
        <v>138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R787" t="s">
        <v>127</v>
      </c>
      <c r="S787" t="str">
        <f t="shared" si="312"/>
        <v>15:06:42.000</v>
      </c>
      <c r="T787" t="str">
        <f t="shared" si="312"/>
        <v>15:06:42.000</v>
      </c>
      <c r="U787" t="str">
        <f t="shared" si="306"/>
        <v>A68FCB</v>
      </c>
      <c r="V787">
        <v>0</v>
      </c>
      <c r="W787">
        <v>0</v>
      </c>
      <c r="X787">
        <v>2</v>
      </c>
      <c r="Y787">
        <v>0</v>
      </c>
      <c r="AA787">
        <v>1</v>
      </c>
      <c r="AB787">
        <v>8</v>
      </c>
      <c r="AC787">
        <v>3</v>
      </c>
      <c r="AD787">
        <v>0</v>
      </c>
      <c r="AE787">
        <v>9</v>
      </c>
      <c r="AF787" t="s">
        <v>138</v>
      </c>
      <c r="AG787">
        <v>0</v>
      </c>
      <c r="AH787">
        <v>3</v>
      </c>
      <c r="AI787">
        <v>2</v>
      </c>
      <c r="AJ787">
        <v>0</v>
      </c>
      <c r="AK787" t="s">
        <v>350</v>
      </c>
      <c r="AL787">
        <v>38.972776000000003</v>
      </c>
      <c r="AM787" t="s">
        <v>351</v>
      </c>
      <c r="AN787">
        <v>-121.050324</v>
      </c>
      <c r="AO787">
        <v>25</v>
      </c>
      <c r="AP787">
        <v>2700</v>
      </c>
      <c r="AQ787" t="s">
        <v>131</v>
      </c>
      <c r="AR787">
        <v>-8</v>
      </c>
      <c r="AS787">
        <v>84</v>
      </c>
      <c r="AT787">
        <v>512</v>
      </c>
      <c r="BB787" t="str">
        <f t="shared" si="307"/>
        <v>1200</v>
      </c>
      <c r="BC787">
        <v>1</v>
      </c>
      <c r="BD787" t="str">
        <f t="shared" si="308"/>
        <v xml:space="preserve">N52156  </v>
      </c>
      <c r="BE787">
        <v>1</v>
      </c>
      <c r="BG787">
        <v>0</v>
      </c>
      <c r="BH787">
        <v>0</v>
      </c>
      <c r="BI787">
        <v>0</v>
      </c>
      <c r="BJ787">
        <v>2675</v>
      </c>
      <c r="BK787">
        <v>-25</v>
      </c>
      <c r="BL787" t="s">
        <v>188</v>
      </c>
      <c r="BM787">
        <v>1</v>
      </c>
      <c r="BN787">
        <v>1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 t="shared" si="313"/>
        <v>15:06:42.890</v>
      </c>
      <c r="CF787">
        <v>889951169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133</v>
      </c>
      <c r="DA787">
        <v>275</v>
      </c>
      <c r="DB787">
        <v>0</v>
      </c>
      <c r="DC787" t="s">
        <v>134</v>
      </c>
      <c r="DD787" t="s">
        <v>135</v>
      </c>
      <c r="DG787">
        <v>3319174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"05/01/2025 15:06:43.834"</f>
        <v>05/01/2025 15:06:43.834</v>
      </c>
      <c r="C788" t="str">
        <f t="shared" si="304"/>
        <v>FFDFD3C0</v>
      </c>
      <c r="D788" t="s">
        <v>140</v>
      </c>
      <c r="E788" t="str">
        <f>"13"</f>
        <v>13</v>
      </c>
      <c r="F788">
        <v>1019</v>
      </c>
      <c r="G788" t="s">
        <v>141</v>
      </c>
      <c r="J788" t="s">
        <v>142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R788" t="s">
        <v>127</v>
      </c>
      <c r="S788" t="str">
        <f t="shared" ref="S788:T793" si="314">"15:06:43.000"</f>
        <v>15:06:43.000</v>
      </c>
      <c r="T788" t="str">
        <f t="shared" si="314"/>
        <v>15:06:43.000</v>
      </c>
      <c r="U788" t="str">
        <f t="shared" si="306"/>
        <v>A68FCB</v>
      </c>
      <c r="V788">
        <v>0</v>
      </c>
      <c r="W788">
        <v>0</v>
      </c>
      <c r="X788">
        <v>2</v>
      </c>
      <c r="Y788">
        <v>0</v>
      </c>
      <c r="AA788">
        <v>1</v>
      </c>
      <c r="AB788">
        <v>8</v>
      </c>
      <c r="AC788">
        <v>3</v>
      </c>
      <c r="AD788">
        <v>0</v>
      </c>
      <c r="AE788">
        <v>9</v>
      </c>
      <c r="AF788" t="s">
        <v>138</v>
      </c>
      <c r="AG788">
        <v>0</v>
      </c>
      <c r="AH788">
        <v>3</v>
      </c>
      <c r="AI788">
        <v>2</v>
      </c>
      <c r="AJ788">
        <v>0</v>
      </c>
      <c r="AK788" t="s">
        <v>352</v>
      </c>
      <c r="AL788">
        <v>38.973162000000002</v>
      </c>
      <c r="AM788" t="s">
        <v>281</v>
      </c>
      <c r="AN788">
        <v>-121.05036699999999</v>
      </c>
      <c r="AO788">
        <v>25</v>
      </c>
      <c r="AP788">
        <v>2700</v>
      </c>
      <c r="AQ788" t="s">
        <v>131</v>
      </c>
      <c r="AR788">
        <v>-8</v>
      </c>
      <c r="AS788">
        <v>84</v>
      </c>
      <c r="AT788">
        <v>512</v>
      </c>
      <c r="BB788" t="str">
        <f t="shared" si="307"/>
        <v>1200</v>
      </c>
      <c r="BC788">
        <v>1</v>
      </c>
      <c r="BD788" t="str">
        <f t="shared" si="308"/>
        <v xml:space="preserve">N52156  </v>
      </c>
      <c r="BE788">
        <v>1</v>
      </c>
      <c r="BG788">
        <v>0</v>
      </c>
      <c r="BH788">
        <v>0</v>
      </c>
      <c r="BI788">
        <v>0</v>
      </c>
      <c r="BJ788">
        <v>2675</v>
      </c>
      <c r="BK788">
        <v>-25</v>
      </c>
      <c r="BL788" t="s">
        <v>188</v>
      </c>
      <c r="BM788">
        <v>1</v>
      </c>
      <c r="BN788">
        <v>1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 t="shared" ref="CE788:CE793" si="315">"15:06:43.623"</f>
        <v>15:06:43.623</v>
      </c>
      <c r="CF788">
        <v>622950775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5</v>
      </c>
      <c r="CY788">
        <v>7</v>
      </c>
      <c r="CZ788" t="s">
        <v>133</v>
      </c>
      <c r="DA788">
        <v>275</v>
      </c>
      <c r="DB788">
        <v>0</v>
      </c>
      <c r="DC788" t="s">
        <v>134</v>
      </c>
      <c r="DD788" t="s">
        <v>135</v>
      </c>
      <c r="DG788">
        <v>3319184</v>
      </c>
      <c r="DI788">
        <v>1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"05/01/2025 15:06:43.841"</f>
        <v>05/01/2025 15:06:43.841</v>
      </c>
      <c r="C789" t="str">
        <f t="shared" si="304"/>
        <v>FFDFD3C0</v>
      </c>
      <c r="D789" t="s">
        <v>145</v>
      </c>
      <c r="E789" t="str">
        <f>"05"</f>
        <v>05</v>
      </c>
      <c r="H789">
        <v>47</v>
      </c>
      <c r="I789" t="s">
        <v>146</v>
      </c>
      <c r="J789" t="s">
        <v>138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R789" t="s">
        <v>127</v>
      </c>
      <c r="S789" t="str">
        <f t="shared" si="314"/>
        <v>15:06:43.000</v>
      </c>
      <c r="T789" t="str">
        <f t="shared" si="314"/>
        <v>15:06:43.000</v>
      </c>
      <c r="U789" t="str">
        <f t="shared" si="306"/>
        <v>A68FCB</v>
      </c>
      <c r="V789">
        <v>0</v>
      </c>
      <c r="W789">
        <v>0</v>
      </c>
      <c r="X789">
        <v>2</v>
      </c>
      <c r="Y789">
        <v>0</v>
      </c>
      <c r="AA789">
        <v>1</v>
      </c>
      <c r="AB789">
        <v>8</v>
      </c>
      <c r="AC789">
        <v>3</v>
      </c>
      <c r="AD789">
        <v>0</v>
      </c>
      <c r="AE789">
        <v>9</v>
      </c>
      <c r="AF789" t="s">
        <v>138</v>
      </c>
      <c r="AG789">
        <v>0</v>
      </c>
      <c r="AH789">
        <v>3</v>
      </c>
      <c r="AI789">
        <v>2</v>
      </c>
      <c r="AJ789">
        <v>0</v>
      </c>
      <c r="AK789" t="s">
        <v>352</v>
      </c>
      <c r="AL789">
        <v>38.973162000000002</v>
      </c>
      <c r="AM789" t="s">
        <v>281</v>
      </c>
      <c r="AN789">
        <v>-121.05036699999999</v>
      </c>
      <c r="AO789">
        <v>25</v>
      </c>
      <c r="AP789">
        <v>2700</v>
      </c>
      <c r="AQ789" t="s">
        <v>131</v>
      </c>
      <c r="AR789">
        <v>-8</v>
      </c>
      <c r="AS789">
        <v>84</v>
      </c>
      <c r="AT789">
        <v>512</v>
      </c>
      <c r="BB789" t="str">
        <f t="shared" si="307"/>
        <v>1200</v>
      </c>
      <c r="BC789">
        <v>1</v>
      </c>
      <c r="BD789" t="str">
        <f t="shared" si="308"/>
        <v xml:space="preserve">N52156  </v>
      </c>
      <c r="BE789">
        <v>1</v>
      </c>
      <c r="BG789">
        <v>0</v>
      </c>
      <c r="BH789">
        <v>0</v>
      </c>
      <c r="BI789">
        <v>0</v>
      </c>
      <c r="BJ789">
        <v>2675</v>
      </c>
      <c r="BK789">
        <v>-25</v>
      </c>
      <c r="BL789" t="s">
        <v>188</v>
      </c>
      <c r="BM789">
        <v>1</v>
      </c>
      <c r="BN789">
        <v>1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 t="shared" si="315"/>
        <v>15:06:43.623</v>
      </c>
      <c r="CF789">
        <v>622950775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133</v>
      </c>
      <c r="DA789">
        <v>275</v>
      </c>
      <c r="DB789">
        <v>0</v>
      </c>
      <c r="DC789" t="s">
        <v>134</v>
      </c>
      <c r="DD789" t="s">
        <v>135</v>
      </c>
      <c r="DG789">
        <v>3319184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"05/01/2025 15:06:43.842"</f>
        <v>05/01/2025 15:06:43.842</v>
      </c>
      <c r="C790" t="str">
        <f t="shared" si="304"/>
        <v>FFDFD3C0</v>
      </c>
      <c r="D790" t="s">
        <v>124</v>
      </c>
      <c r="E790" t="str">
        <f>"06"</f>
        <v>06</v>
      </c>
      <c r="F790">
        <v>2006</v>
      </c>
      <c r="G790" t="s">
        <v>125</v>
      </c>
      <c r="J790" t="s">
        <v>126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R790" t="s">
        <v>127</v>
      </c>
      <c r="S790" t="str">
        <f t="shared" si="314"/>
        <v>15:06:43.000</v>
      </c>
      <c r="T790" t="str">
        <f t="shared" si="314"/>
        <v>15:06:43.000</v>
      </c>
      <c r="U790" t="str">
        <f t="shared" si="306"/>
        <v>A68FCB</v>
      </c>
      <c r="V790">
        <v>0</v>
      </c>
      <c r="W790">
        <v>0</v>
      </c>
      <c r="X790">
        <v>2</v>
      </c>
      <c r="Y790">
        <v>0</v>
      </c>
      <c r="AA790">
        <v>1</v>
      </c>
      <c r="AB790">
        <v>8</v>
      </c>
      <c r="AC790">
        <v>3</v>
      </c>
      <c r="AD790">
        <v>0</v>
      </c>
      <c r="AE790">
        <v>9</v>
      </c>
      <c r="AF790" t="s">
        <v>138</v>
      </c>
      <c r="AG790">
        <v>0</v>
      </c>
      <c r="AH790">
        <v>3</v>
      </c>
      <c r="AI790">
        <v>2</v>
      </c>
      <c r="AJ790">
        <v>0</v>
      </c>
      <c r="AK790" t="s">
        <v>352</v>
      </c>
      <c r="AL790">
        <v>38.973162000000002</v>
      </c>
      <c r="AM790" t="s">
        <v>281</v>
      </c>
      <c r="AN790">
        <v>-121.05036699999999</v>
      </c>
      <c r="AO790">
        <v>25</v>
      </c>
      <c r="AP790">
        <v>2700</v>
      </c>
      <c r="AQ790" t="s">
        <v>131</v>
      </c>
      <c r="AR790">
        <v>-8</v>
      </c>
      <c r="AS790">
        <v>84</v>
      </c>
      <c r="AT790">
        <v>512</v>
      </c>
      <c r="BB790" t="str">
        <f t="shared" si="307"/>
        <v>1200</v>
      </c>
      <c r="BC790">
        <v>1</v>
      </c>
      <c r="BD790" t="str">
        <f t="shared" si="308"/>
        <v xml:space="preserve">N52156  </v>
      </c>
      <c r="BE790">
        <v>1</v>
      </c>
      <c r="BG790">
        <v>0</v>
      </c>
      <c r="BH790">
        <v>0</v>
      </c>
      <c r="BI790">
        <v>0</v>
      </c>
      <c r="BJ790">
        <v>2675</v>
      </c>
      <c r="BK790">
        <v>-25</v>
      </c>
      <c r="BL790" t="s">
        <v>188</v>
      </c>
      <c r="BM790">
        <v>1</v>
      </c>
      <c r="BN790">
        <v>1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 t="shared" si="315"/>
        <v>15:06:43.623</v>
      </c>
      <c r="CF790">
        <v>622950775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133</v>
      </c>
      <c r="DA790">
        <v>275</v>
      </c>
      <c r="DB790">
        <v>0</v>
      </c>
      <c r="DC790" t="s">
        <v>134</v>
      </c>
      <c r="DD790" t="s">
        <v>135</v>
      </c>
      <c r="DG790">
        <v>3319184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"05/01/2025 15:06:43.843"</f>
        <v>05/01/2025 15:06:43.843</v>
      </c>
      <c r="C791" t="str">
        <f t="shared" si="304"/>
        <v>FFDFD3C0</v>
      </c>
      <c r="D791" t="s">
        <v>143</v>
      </c>
      <c r="E791" t="str">
        <f>"05"</f>
        <v>05</v>
      </c>
      <c r="H791">
        <v>172</v>
      </c>
      <c r="I791" t="s">
        <v>141</v>
      </c>
      <c r="J791" t="s">
        <v>144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R791" t="s">
        <v>127</v>
      </c>
      <c r="S791" t="str">
        <f t="shared" si="314"/>
        <v>15:06:43.000</v>
      </c>
      <c r="T791" t="str">
        <f t="shared" si="314"/>
        <v>15:06:43.000</v>
      </c>
      <c r="U791" t="str">
        <f t="shared" si="306"/>
        <v>A68FCB</v>
      </c>
      <c r="V791">
        <v>0</v>
      </c>
      <c r="W791">
        <v>0</v>
      </c>
      <c r="X791">
        <v>2</v>
      </c>
      <c r="Y791">
        <v>0</v>
      </c>
      <c r="AA791">
        <v>1</v>
      </c>
      <c r="AB791">
        <v>8</v>
      </c>
      <c r="AC791">
        <v>3</v>
      </c>
      <c r="AD791">
        <v>0</v>
      </c>
      <c r="AE791">
        <v>9</v>
      </c>
      <c r="AF791" t="s">
        <v>138</v>
      </c>
      <c r="AG791">
        <v>0</v>
      </c>
      <c r="AH791">
        <v>3</v>
      </c>
      <c r="AI791">
        <v>2</v>
      </c>
      <c r="AJ791">
        <v>0</v>
      </c>
      <c r="AK791" t="s">
        <v>352</v>
      </c>
      <c r="AL791">
        <v>38.973162000000002</v>
      </c>
      <c r="AM791" t="s">
        <v>281</v>
      </c>
      <c r="AN791">
        <v>-121.05036699999999</v>
      </c>
      <c r="AO791">
        <v>25</v>
      </c>
      <c r="AP791">
        <v>2700</v>
      </c>
      <c r="AQ791" t="s">
        <v>131</v>
      </c>
      <c r="AR791">
        <v>-8</v>
      </c>
      <c r="AS791">
        <v>84</v>
      </c>
      <c r="AT791">
        <v>512</v>
      </c>
      <c r="BB791" t="str">
        <f t="shared" si="307"/>
        <v>1200</v>
      </c>
      <c r="BC791">
        <v>1</v>
      </c>
      <c r="BD791" t="str">
        <f t="shared" si="308"/>
        <v xml:space="preserve">N52156  </v>
      </c>
      <c r="BE791">
        <v>1</v>
      </c>
      <c r="BG791">
        <v>0</v>
      </c>
      <c r="BH791">
        <v>0</v>
      </c>
      <c r="BI791">
        <v>0</v>
      </c>
      <c r="BJ791">
        <v>2675</v>
      </c>
      <c r="BK791">
        <v>-25</v>
      </c>
      <c r="BL791" t="s">
        <v>188</v>
      </c>
      <c r="BM791">
        <v>1</v>
      </c>
      <c r="BN791">
        <v>1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 t="shared" si="315"/>
        <v>15:06:43.623</v>
      </c>
      <c r="CF791">
        <v>622950775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133</v>
      </c>
      <c r="DA791">
        <v>275</v>
      </c>
      <c r="DB791">
        <v>0</v>
      </c>
      <c r="DC791" t="s">
        <v>134</v>
      </c>
      <c r="DD791" t="s">
        <v>135</v>
      </c>
      <c r="DG791">
        <v>3319184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"05/01/2025 15:06:43.845"</f>
        <v>05/01/2025 15:06:43.845</v>
      </c>
      <c r="C792" t="str">
        <f t="shared" si="304"/>
        <v>FFDFD3C0</v>
      </c>
      <c r="D792" t="s">
        <v>145</v>
      </c>
      <c r="E792" t="str">
        <f>"09"</f>
        <v>09</v>
      </c>
      <c r="H792">
        <v>51</v>
      </c>
      <c r="I792" t="s">
        <v>147</v>
      </c>
      <c r="J792" t="s">
        <v>138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R792" t="s">
        <v>127</v>
      </c>
      <c r="S792" t="str">
        <f t="shared" si="314"/>
        <v>15:06:43.000</v>
      </c>
      <c r="T792" t="str">
        <f t="shared" si="314"/>
        <v>15:06:43.000</v>
      </c>
      <c r="U792" t="str">
        <f t="shared" si="306"/>
        <v>A68FCB</v>
      </c>
      <c r="V792">
        <v>0</v>
      </c>
      <c r="W792">
        <v>0</v>
      </c>
      <c r="X792">
        <v>2</v>
      </c>
      <c r="Y792">
        <v>0</v>
      </c>
      <c r="AA792">
        <v>1</v>
      </c>
      <c r="AB792">
        <v>8</v>
      </c>
      <c r="AC792">
        <v>3</v>
      </c>
      <c r="AD792">
        <v>0</v>
      </c>
      <c r="AE792">
        <v>9</v>
      </c>
      <c r="AF792" t="s">
        <v>138</v>
      </c>
      <c r="AG792">
        <v>0</v>
      </c>
      <c r="AH792">
        <v>3</v>
      </c>
      <c r="AI792">
        <v>2</v>
      </c>
      <c r="AJ792">
        <v>0</v>
      </c>
      <c r="AK792" t="s">
        <v>352</v>
      </c>
      <c r="AL792">
        <v>38.973162000000002</v>
      </c>
      <c r="AM792" t="s">
        <v>281</v>
      </c>
      <c r="AN792">
        <v>-121.05036699999999</v>
      </c>
      <c r="AO792">
        <v>25</v>
      </c>
      <c r="AP792">
        <v>2700</v>
      </c>
      <c r="AQ792" t="s">
        <v>131</v>
      </c>
      <c r="AR792">
        <v>-8</v>
      </c>
      <c r="AS792">
        <v>84</v>
      </c>
      <c r="AT792">
        <v>512</v>
      </c>
      <c r="BB792" t="str">
        <f t="shared" si="307"/>
        <v>1200</v>
      </c>
      <c r="BC792">
        <v>1</v>
      </c>
      <c r="BD792" t="str">
        <f t="shared" si="308"/>
        <v xml:space="preserve">N52156  </v>
      </c>
      <c r="BE792">
        <v>1</v>
      </c>
      <c r="BG792">
        <v>0</v>
      </c>
      <c r="BH792">
        <v>0</v>
      </c>
      <c r="BI792">
        <v>0</v>
      </c>
      <c r="BJ792">
        <v>2675</v>
      </c>
      <c r="BK792">
        <v>-25</v>
      </c>
      <c r="BL792" t="s">
        <v>188</v>
      </c>
      <c r="BM792">
        <v>1</v>
      </c>
      <c r="BN792">
        <v>1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 t="shared" si="315"/>
        <v>15:06:43.623</v>
      </c>
      <c r="CF792">
        <v>622950775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133</v>
      </c>
      <c r="DA792">
        <v>275</v>
      </c>
      <c r="DB792">
        <v>0</v>
      </c>
      <c r="DC792" t="s">
        <v>134</v>
      </c>
      <c r="DD792" t="s">
        <v>135</v>
      </c>
      <c r="DG792">
        <v>3319184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"05/01/2025 15:06:43.852"</f>
        <v>05/01/2025 15:06:43.852</v>
      </c>
      <c r="C793" t="str">
        <f t="shared" si="304"/>
        <v>FFDFD3C0</v>
      </c>
      <c r="D793" t="s">
        <v>136</v>
      </c>
      <c r="E793" t="str">
        <f>"20"</f>
        <v>20</v>
      </c>
      <c r="H793">
        <v>400</v>
      </c>
      <c r="I793" t="s">
        <v>137</v>
      </c>
      <c r="J793" t="s">
        <v>138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R793" t="s">
        <v>127</v>
      </c>
      <c r="S793" t="str">
        <f t="shared" si="314"/>
        <v>15:06:43.000</v>
      </c>
      <c r="T793" t="str">
        <f t="shared" si="314"/>
        <v>15:06:43.000</v>
      </c>
      <c r="U793" t="str">
        <f t="shared" si="306"/>
        <v>A68FCB</v>
      </c>
      <c r="V793">
        <v>0</v>
      </c>
      <c r="W793">
        <v>0</v>
      </c>
      <c r="X793">
        <v>2</v>
      </c>
      <c r="Y793">
        <v>0</v>
      </c>
      <c r="AA793">
        <v>1</v>
      </c>
      <c r="AB793">
        <v>8</v>
      </c>
      <c r="AC793">
        <v>3</v>
      </c>
      <c r="AD793">
        <v>0</v>
      </c>
      <c r="AE793">
        <v>9</v>
      </c>
      <c r="AF793" t="s">
        <v>138</v>
      </c>
      <c r="AG793">
        <v>0</v>
      </c>
      <c r="AH793">
        <v>3</v>
      </c>
      <c r="AI793">
        <v>2</v>
      </c>
      <c r="AJ793">
        <v>0</v>
      </c>
      <c r="AK793" t="s">
        <v>352</v>
      </c>
      <c r="AL793">
        <v>38.973162000000002</v>
      </c>
      <c r="AM793" t="s">
        <v>281</v>
      </c>
      <c r="AN793">
        <v>-121.05036699999999</v>
      </c>
      <c r="AO793">
        <v>25</v>
      </c>
      <c r="AP793">
        <v>2700</v>
      </c>
      <c r="AQ793" t="s">
        <v>131</v>
      </c>
      <c r="AR793">
        <v>-8</v>
      </c>
      <c r="AS793">
        <v>84</v>
      </c>
      <c r="AT793">
        <v>512</v>
      </c>
      <c r="BB793" t="str">
        <f t="shared" si="307"/>
        <v>1200</v>
      </c>
      <c r="BC793">
        <v>1</v>
      </c>
      <c r="BD793" t="str">
        <f t="shared" si="308"/>
        <v xml:space="preserve">N52156  </v>
      </c>
      <c r="BE793">
        <v>1</v>
      </c>
      <c r="BG793">
        <v>0</v>
      </c>
      <c r="BH793">
        <v>0</v>
      </c>
      <c r="BI793">
        <v>0</v>
      </c>
      <c r="BJ793">
        <v>2675</v>
      </c>
      <c r="BK793">
        <v>-25</v>
      </c>
      <c r="BL793" t="s">
        <v>188</v>
      </c>
      <c r="BM793">
        <v>1</v>
      </c>
      <c r="BN793">
        <v>1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 t="shared" si="315"/>
        <v>15:06:43.623</v>
      </c>
      <c r="CF793">
        <v>622950775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133</v>
      </c>
      <c r="DA793">
        <v>275</v>
      </c>
      <c r="DB793">
        <v>0</v>
      </c>
      <c r="DC793" t="s">
        <v>134</v>
      </c>
      <c r="DD793" t="s">
        <v>135</v>
      </c>
      <c r="DG793">
        <v>3319184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"05/01/2025 15:06:45.093"</f>
        <v>05/01/2025 15:06:45.093</v>
      </c>
      <c r="C794" t="str">
        <f t="shared" si="304"/>
        <v>FFDFD3C0</v>
      </c>
      <c r="D794" t="s">
        <v>145</v>
      </c>
      <c r="E794" t="str">
        <f>"05"</f>
        <v>05</v>
      </c>
      <c r="H794">
        <v>47</v>
      </c>
      <c r="I794" t="s">
        <v>146</v>
      </c>
      <c r="J794" t="s">
        <v>138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R794" t="s">
        <v>127</v>
      </c>
      <c r="S794" t="str">
        <f t="shared" ref="S794:T799" si="316">"15:06:44.000"</f>
        <v>15:06:44.000</v>
      </c>
      <c r="T794" t="str">
        <f t="shared" si="316"/>
        <v>15:06:44.000</v>
      </c>
      <c r="U794" t="str">
        <f t="shared" si="306"/>
        <v>A68FCB</v>
      </c>
      <c r="V794">
        <v>0</v>
      </c>
      <c r="W794">
        <v>0</v>
      </c>
      <c r="X794">
        <v>2</v>
      </c>
      <c r="Y794">
        <v>0</v>
      </c>
      <c r="AA794">
        <v>1</v>
      </c>
      <c r="AB794">
        <v>8</v>
      </c>
      <c r="AC794">
        <v>3</v>
      </c>
      <c r="AD794">
        <v>0</v>
      </c>
      <c r="AE794">
        <v>9</v>
      </c>
      <c r="AF794" t="s">
        <v>138</v>
      </c>
      <c r="AG794">
        <v>0</v>
      </c>
      <c r="AH794">
        <v>3</v>
      </c>
      <c r="AI794">
        <v>2</v>
      </c>
      <c r="AJ794">
        <v>0</v>
      </c>
      <c r="AK794" t="s">
        <v>353</v>
      </c>
      <c r="AL794">
        <v>38.973570000000002</v>
      </c>
      <c r="AM794" t="s">
        <v>354</v>
      </c>
      <c r="AN794">
        <v>-121.05041</v>
      </c>
      <c r="AO794">
        <v>25</v>
      </c>
      <c r="AP794">
        <v>2800</v>
      </c>
      <c r="AQ794" t="s">
        <v>131</v>
      </c>
      <c r="AR794">
        <v>-9</v>
      </c>
      <c r="AS794">
        <v>85</v>
      </c>
      <c r="AT794">
        <v>448</v>
      </c>
      <c r="BB794" t="str">
        <f t="shared" si="307"/>
        <v>1200</v>
      </c>
      <c r="BC794">
        <v>1</v>
      </c>
      <c r="BD794" t="str">
        <f t="shared" si="308"/>
        <v xml:space="preserve">N52156  </v>
      </c>
      <c r="BE794">
        <v>1</v>
      </c>
      <c r="BG794">
        <v>0</v>
      </c>
      <c r="BH794">
        <v>0</v>
      </c>
      <c r="BI794">
        <v>0</v>
      </c>
      <c r="BJ794">
        <v>2700</v>
      </c>
      <c r="BK794">
        <v>-100</v>
      </c>
      <c r="BL794" t="s">
        <v>188</v>
      </c>
      <c r="BM794">
        <v>1</v>
      </c>
      <c r="BN794">
        <v>1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 t="shared" ref="CE794:CE799" si="317">"15:06:44.866"</f>
        <v>15:06:44.866</v>
      </c>
      <c r="CF794">
        <v>865951396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133</v>
      </c>
      <c r="DA794">
        <v>275</v>
      </c>
      <c r="DB794">
        <v>0</v>
      </c>
      <c r="DC794" t="s">
        <v>134</v>
      </c>
      <c r="DD794" t="s">
        <v>135</v>
      </c>
      <c r="DG794">
        <v>3319201</v>
      </c>
      <c r="DI794">
        <v>1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"05/01/2025 15:06:45.094"</f>
        <v>05/01/2025 15:06:45.094</v>
      </c>
      <c r="C795" t="str">
        <f t="shared" si="304"/>
        <v>FFDFD3C0</v>
      </c>
      <c r="D795" t="s">
        <v>124</v>
      </c>
      <c r="E795" t="str">
        <f>"06"</f>
        <v>06</v>
      </c>
      <c r="F795">
        <v>2006</v>
      </c>
      <c r="G795" t="s">
        <v>125</v>
      </c>
      <c r="J795" t="s">
        <v>126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R795" t="s">
        <v>127</v>
      </c>
      <c r="S795" t="str">
        <f t="shared" si="316"/>
        <v>15:06:44.000</v>
      </c>
      <c r="T795" t="str">
        <f t="shared" si="316"/>
        <v>15:06:44.000</v>
      </c>
      <c r="U795" t="str">
        <f t="shared" si="306"/>
        <v>A68FCB</v>
      </c>
      <c r="V795">
        <v>0</v>
      </c>
      <c r="W795">
        <v>0</v>
      </c>
      <c r="X795">
        <v>2</v>
      </c>
      <c r="Y795">
        <v>0</v>
      </c>
      <c r="AA795">
        <v>1</v>
      </c>
      <c r="AB795">
        <v>8</v>
      </c>
      <c r="AC795">
        <v>3</v>
      </c>
      <c r="AD795">
        <v>0</v>
      </c>
      <c r="AE795">
        <v>9</v>
      </c>
      <c r="AF795" t="s">
        <v>138</v>
      </c>
      <c r="AG795">
        <v>0</v>
      </c>
      <c r="AH795">
        <v>3</v>
      </c>
      <c r="AI795">
        <v>2</v>
      </c>
      <c r="AJ795">
        <v>0</v>
      </c>
      <c r="AK795" t="s">
        <v>353</v>
      </c>
      <c r="AL795">
        <v>38.973570000000002</v>
      </c>
      <c r="AM795" t="s">
        <v>354</v>
      </c>
      <c r="AN795">
        <v>-121.05041</v>
      </c>
      <c r="AO795">
        <v>25</v>
      </c>
      <c r="AP795">
        <v>2800</v>
      </c>
      <c r="AQ795" t="s">
        <v>131</v>
      </c>
      <c r="AR795">
        <v>-9</v>
      </c>
      <c r="AS795">
        <v>85</v>
      </c>
      <c r="AT795">
        <v>448</v>
      </c>
      <c r="BB795" t="str">
        <f t="shared" si="307"/>
        <v>1200</v>
      </c>
      <c r="BC795">
        <v>1</v>
      </c>
      <c r="BD795" t="str">
        <f t="shared" si="308"/>
        <v xml:space="preserve">N52156  </v>
      </c>
      <c r="BE795">
        <v>1</v>
      </c>
      <c r="BG795">
        <v>0</v>
      </c>
      <c r="BH795">
        <v>0</v>
      </c>
      <c r="BI795">
        <v>0</v>
      </c>
      <c r="BJ795">
        <v>2700</v>
      </c>
      <c r="BK795">
        <v>-100</v>
      </c>
      <c r="BL795" t="s">
        <v>188</v>
      </c>
      <c r="BM795">
        <v>1</v>
      </c>
      <c r="BN795">
        <v>1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 t="shared" si="317"/>
        <v>15:06:44.866</v>
      </c>
      <c r="CF795">
        <v>865951396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133</v>
      </c>
      <c r="DA795">
        <v>275</v>
      </c>
      <c r="DB795">
        <v>0</v>
      </c>
      <c r="DC795" t="s">
        <v>134</v>
      </c>
      <c r="DD795" t="s">
        <v>135</v>
      </c>
      <c r="DG795">
        <v>3319201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"05/01/2025 15:06:45.097"</f>
        <v>05/01/2025 15:06:45.097</v>
      </c>
      <c r="C796" t="str">
        <f t="shared" si="304"/>
        <v>FFDFD3C0</v>
      </c>
      <c r="D796" t="s">
        <v>145</v>
      </c>
      <c r="E796" t="str">
        <f>"09"</f>
        <v>09</v>
      </c>
      <c r="H796">
        <v>51</v>
      </c>
      <c r="I796" t="s">
        <v>147</v>
      </c>
      <c r="J796" t="s">
        <v>138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R796" t="s">
        <v>127</v>
      </c>
      <c r="S796" t="str">
        <f t="shared" si="316"/>
        <v>15:06:44.000</v>
      </c>
      <c r="T796" t="str">
        <f t="shared" si="316"/>
        <v>15:06:44.000</v>
      </c>
      <c r="U796" t="str">
        <f t="shared" si="306"/>
        <v>A68FCB</v>
      </c>
      <c r="V796">
        <v>0</v>
      </c>
      <c r="W796">
        <v>0</v>
      </c>
      <c r="X796">
        <v>2</v>
      </c>
      <c r="Y796">
        <v>0</v>
      </c>
      <c r="AA796">
        <v>1</v>
      </c>
      <c r="AB796">
        <v>8</v>
      </c>
      <c r="AC796">
        <v>3</v>
      </c>
      <c r="AD796">
        <v>0</v>
      </c>
      <c r="AE796">
        <v>9</v>
      </c>
      <c r="AF796" t="s">
        <v>138</v>
      </c>
      <c r="AG796">
        <v>0</v>
      </c>
      <c r="AH796">
        <v>3</v>
      </c>
      <c r="AI796">
        <v>2</v>
      </c>
      <c r="AJ796">
        <v>0</v>
      </c>
      <c r="AK796" t="s">
        <v>353</v>
      </c>
      <c r="AL796">
        <v>38.973570000000002</v>
      </c>
      <c r="AM796" t="s">
        <v>354</v>
      </c>
      <c r="AN796">
        <v>-121.05041</v>
      </c>
      <c r="AO796">
        <v>25</v>
      </c>
      <c r="AP796">
        <v>2800</v>
      </c>
      <c r="AQ796" t="s">
        <v>131</v>
      </c>
      <c r="AR796">
        <v>-9</v>
      </c>
      <c r="AS796">
        <v>85</v>
      </c>
      <c r="AT796">
        <v>448</v>
      </c>
      <c r="BB796" t="str">
        <f t="shared" si="307"/>
        <v>1200</v>
      </c>
      <c r="BC796">
        <v>1</v>
      </c>
      <c r="BD796" t="str">
        <f t="shared" si="308"/>
        <v xml:space="preserve">N52156  </v>
      </c>
      <c r="BE796">
        <v>1</v>
      </c>
      <c r="BG796">
        <v>0</v>
      </c>
      <c r="BH796">
        <v>0</v>
      </c>
      <c r="BI796">
        <v>0</v>
      </c>
      <c r="BJ796">
        <v>2700</v>
      </c>
      <c r="BK796">
        <v>-100</v>
      </c>
      <c r="BL796" t="s">
        <v>188</v>
      </c>
      <c r="BM796">
        <v>1</v>
      </c>
      <c r="BN796">
        <v>1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 t="shared" si="317"/>
        <v>15:06:44.866</v>
      </c>
      <c r="CF796">
        <v>865951396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133</v>
      </c>
      <c r="DA796">
        <v>275</v>
      </c>
      <c r="DB796">
        <v>0</v>
      </c>
      <c r="DC796" t="s">
        <v>134</v>
      </c>
      <c r="DD796" t="s">
        <v>135</v>
      </c>
      <c r="DG796">
        <v>3319201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"05/01/2025 15:06:45.095"</f>
        <v>05/01/2025 15:06:45.095</v>
      </c>
      <c r="C797" t="str">
        <f t="shared" si="304"/>
        <v>FFDFD3C0</v>
      </c>
      <c r="D797" t="s">
        <v>143</v>
      </c>
      <c r="E797" t="str">
        <f>"05"</f>
        <v>05</v>
      </c>
      <c r="H797">
        <v>172</v>
      </c>
      <c r="I797" t="s">
        <v>141</v>
      </c>
      <c r="J797" t="s">
        <v>144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R797" t="s">
        <v>127</v>
      </c>
      <c r="S797" t="str">
        <f t="shared" si="316"/>
        <v>15:06:44.000</v>
      </c>
      <c r="T797" t="str">
        <f t="shared" si="316"/>
        <v>15:06:44.000</v>
      </c>
      <c r="U797" t="str">
        <f t="shared" si="306"/>
        <v>A68FCB</v>
      </c>
      <c r="V797">
        <v>0</v>
      </c>
      <c r="W797">
        <v>0</v>
      </c>
      <c r="X797">
        <v>2</v>
      </c>
      <c r="Y797">
        <v>0</v>
      </c>
      <c r="AA797">
        <v>1</v>
      </c>
      <c r="AB797">
        <v>8</v>
      </c>
      <c r="AC797">
        <v>3</v>
      </c>
      <c r="AD797">
        <v>0</v>
      </c>
      <c r="AE797">
        <v>9</v>
      </c>
      <c r="AF797" t="s">
        <v>138</v>
      </c>
      <c r="AG797">
        <v>0</v>
      </c>
      <c r="AH797">
        <v>3</v>
      </c>
      <c r="AI797">
        <v>2</v>
      </c>
      <c r="AJ797">
        <v>0</v>
      </c>
      <c r="AK797" t="s">
        <v>353</v>
      </c>
      <c r="AL797">
        <v>38.973570000000002</v>
      </c>
      <c r="AM797" t="s">
        <v>354</v>
      </c>
      <c r="AN797">
        <v>-121.05041</v>
      </c>
      <c r="AO797">
        <v>25</v>
      </c>
      <c r="AP797">
        <v>2800</v>
      </c>
      <c r="AQ797" t="s">
        <v>131</v>
      </c>
      <c r="AR797">
        <v>-9</v>
      </c>
      <c r="AS797">
        <v>85</v>
      </c>
      <c r="AT797">
        <v>448</v>
      </c>
      <c r="BB797" t="str">
        <f t="shared" si="307"/>
        <v>1200</v>
      </c>
      <c r="BC797">
        <v>1</v>
      </c>
      <c r="BD797" t="str">
        <f t="shared" si="308"/>
        <v xml:space="preserve">N52156  </v>
      </c>
      <c r="BE797">
        <v>1</v>
      </c>
      <c r="BG797">
        <v>0</v>
      </c>
      <c r="BH797">
        <v>0</v>
      </c>
      <c r="BI797">
        <v>0</v>
      </c>
      <c r="BJ797">
        <v>2700</v>
      </c>
      <c r="BK797">
        <v>-100</v>
      </c>
      <c r="BL797" t="s">
        <v>188</v>
      </c>
      <c r="BM797">
        <v>1</v>
      </c>
      <c r="BN797">
        <v>1</v>
      </c>
      <c r="BO797">
        <v>0</v>
      </c>
      <c r="BP797">
        <v>0</v>
      </c>
      <c r="BS797">
        <v>0</v>
      </c>
      <c r="BT797">
        <v>0</v>
      </c>
      <c r="BU797">
        <v>0</v>
      </c>
      <c r="CE797" t="str">
        <f t="shared" si="317"/>
        <v>15:06:44.866</v>
      </c>
      <c r="CF797">
        <v>865951396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5</v>
      </c>
      <c r="CY797">
        <v>7</v>
      </c>
      <c r="CZ797" t="s">
        <v>133</v>
      </c>
      <c r="DA797">
        <v>275</v>
      </c>
      <c r="DB797">
        <v>0</v>
      </c>
      <c r="DC797" t="s">
        <v>134</v>
      </c>
      <c r="DD797" t="s">
        <v>135</v>
      </c>
      <c r="DG797">
        <v>3319201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"05/01/2025 15:06:45.104"</f>
        <v>05/01/2025 15:06:45.104</v>
      </c>
      <c r="C798" t="str">
        <f t="shared" si="304"/>
        <v>FFDFD3C0</v>
      </c>
      <c r="D798" t="s">
        <v>136</v>
      </c>
      <c r="E798" t="str">
        <f>"20"</f>
        <v>20</v>
      </c>
      <c r="H798">
        <v>400</v>
      </c>
      <c r="I798" t="s">
        <v>137</v>
      </c>
      <c r="J798" t="s">
        <v>138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R798" t="s">
        <v>127</v>
      </c>
      <c r="S798" t="str">
        <f t="shared" si="316"/>
        <v>15:06:44.000</v>
      </c>
      <c r="T798" t="str">
        <f t="shared" si="316"/>
        <v>15:06:44.000</v>
      </c>
      <c r="U798" t="str">
        <f t="shared" si="306"/>
        <v>A68FCB</v>
      </c>
      <c r="V798">
        <v>0</v>
      </c>
      <c r="W798">
        <v>0</v>
      </c>
      <c r="X798">
        <v>2</v>
      </c>
      <c r="Y798">
        <v>0</v>
      </c>
      <c r="AA798">
        <v>1</v>
      </c>
      <c r="AB798">
        <v>8</v>
      </c>
      <c r="AC798">
        <v>3</v>
      </c>
      <c r="AD798">
        <v>0</v>
      </c>
      <c r="AE798">
        <v>9</v>
      </c>
      <c r="AF798" t="s">
        <v>138</v>
      </c>
      <c r="AG798">
        <v>0</v>
      </c>
      <c r="AH798">
        <v>3</v>
      </c>
      <c r="AI798">
        <v>2</v>
      </c>
      <c r="AJ798">
        <v>0</v>
      </c>
      <c r="AK798" t="s">
        <v>353</v>
      </c>
      <c r="AL798">
        <v>38.973570000000002</v>
      </c>
      <c r="AM798" t="s">
        <v>354</v>
      </c>
      <c r="AN798">
        <v>-121.05041</v>
      </c>
      <c r="AO798">
        <v>25</v>
      </c>
      <c r="AP798">
        <v>2800</v>
      </c>
      <c r="AQ798" t="s">
        <v>131</v>
      </c>
      <c r="AR798">
        <v>-9</v>
      </c>
      <c r="AS798">
        <v>85</v>
      </c>
      <c r="AT798">
        <v>448</v>
      </c>
      <c r="BB798" t="str">
        <f t="shared" si="307"/>
        <v>1200</v>
      </c>
      <c r="BC798">
        <v>1</v>
      </c>
      <c r="BD798" t="str">
        <f t="shared" si="308"/>
        <v xml:space="preserve">N52156  </v>
      </c>
      <c r="BE798">
        <v>1</v>
      </c>
      <c r="BG798">
        <v>0</v>
      </c>
      <c r="BH798">
        <v>0</v>
      </c>
      <c r="BI798">
        <v>0</v>
      </c>
      <c r="BJ798">
        <v>2700</v>
      </c>
      <c r="BK798">
        <v>-100</v>
      </c>
      <c r="BL798" t="s">
        <v>188</v>
      </c>
      <c r="BM798">
        <v>1</v>
      </c>
      <c r="BN798">
        <v>1</v>
      </c>
      <c r="BO798">
        <v>0</v>
      </c>
      <c r="BP798">
        <v>0</v>
      </c>
      <c r="BS798">
        <v>0</v>
      </c>
      <c r="BT798">
        <v>0</v>
      </c>
      <c r="BU798">
        <v>0</v>
      </c>
      <c r="CE798" t="str">
        <f t="shared" si="317"/>
        <v>15:06:44.866</v>
      </c>
      <c r="CF798">
        <v>865951396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133</v>
      </c>
      <c r="DA798">
        <v>275</v>
      </c>
      <c r="DB798">
        <v>0</v>
      </c>
      <c r="DC798" t="s">
        <v>134</v>
      </c>
      <c r="DD798" t="s">
        <v>135</v>
      </c>
      <c r="DG798">
        <v>3319201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"05/01/2025 15:06:45.136"</f>
        <v>05/01/2025 15:06:45.136</v>
      </c>
      <c r="C799" t="str">
        <f t="shared" si="304"/>
        <v>FFDFD3C0</v>
      </c>
      <c r="D799" t="s">
        <v>140</v>
      </c>
      <c r="E799" t="str">
        <f>"13"</f>
        <v>13</v>
      </c>
      <c r="F799">
        <v>1019</v>
      </c>
      <c r="G799" t="s">
        <v>141</v>
      </c>
      <c r="J799" t="s">
        <v>142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R799" t="s">
        <v>127</v>
      </c>
      <c r="S799" t="str">
        <f t="shared" si="316"/>
        <v>15:06:44.000</v>
      </c>
      <c r="T799" t="str">
        <f t="shared" si="316"/>
        <v>15:06:44.000</v>
      </c>
      <c r="U799" t="str">
        <f t="shared" si="306"/>
        <v>A68FCB</v>
      </c>
      <c r="V799">
        <v>0</v>
      </c>
      <c r="W799">
        <v>0</v>
      </c>
      <c r="X799">
        <v>2</v>
      </c>
      <c r="Y799">
        <v>0</v>
      </c>
      <c r="AA799">
        <v>1</v>
      </c>
      <c r="AB799">
        <v>8</v>
      </c>
      <c r="AC799">
        <v>3</v>
      </c>
      <c r="AD799">
        <v>0</v>
      </c>
      <c r="AE799">
        <v>9</v>
      </c>
      <c r="AF799" t="s">
        <v>138</v>
      </c>
      <c r="AG799">
        <v>0</v>
      </c>
      <c r="AH799">
        <v>3</v>
      </c>
      <c r="AI799">
        <v>2</v>
      </c>
      <c r="AJ799">
        <v>0</v>
      </c>
      <c r="AK799" t="s">
        <v>353</v>
      </c>
      <c r="AL799">
        <v>38.973570000000002</v>
      </c>
      <c r="AM799" t="s">
        <v>354</v>
      </c>
      <c r="AN799">
        <v>-121.05041</v>
      </c>
      <c r="AO799">
        <v>25</v>
      </c>
      <c r="AP799">
        <v>2800</v>
      </c>
      <c r="AQ799" t="s">
        <v>131</v>
      </c>
      <c r="AR799">
        <v>-9</v>
      </c>
      <c r="AS799">
        <v>85</v>
      </c>
      <c r="AT799">
        <v>448</v>
      </c>
      <c r="BB799" t="str">
        <f t="shared" si="307"/>
        <v>1200</v>
      </c>
      <c r="BC799">
        <v>1</v>
      </c>
      <c r="BD799" t="str">
        <f t="shared" si="308"/>
        <v xml:space="preserve">N52156  </v>
      </c>
      <c r="BE799">
        <v>1</v>
      </c>
      <c r="BG799">
        <v>0</v>
      </c>
      <c r="BH799">
        <v>0</v>
      </c>
      <c r="BI799">
        <v>0</v>
      </c>
      <c r="BJ799">
        <v>2700</v>
      </c>
      <c r="BK799">
        <v>-100</v>
      </c>
      <c r="BL799" t="s">
        <v>188</v>
      </c>
      <c r="BM799">
        <v>1</v>
      </c>
      <c r="BN799">
        <v>1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 t="shared" si="317"/>
        <v>15:06:44.866</v>
      </c>
      <c r="CF799">
        <v>865951396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5</v>
      </c>
      <c r="CY799">
        <v>7</v>
      </c>
      <c r="CZ799" t="s">
        <v>133</v>
      </c>
      <c r="DA799">
        <v>275</v>
      </c>
      <c r="DB799">
        <v>0</v>
      </c>
      <c r="DC799" t="s">
        <v>134</v>
      </c>
      <c r="DD799" t="s">
        <v>135</v>
      </c>
      <c r="DG799">
        <v>3319201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"05/01/2025 15:06:45.838"</f>
        <v>05/01/2025 15:06:45.838</v>
      </c>
      <c r="C800" t="str">
        <f t="shared" si="304"/>
        <v>FFDFD3C0</v>
      </c>
      <c r="D800" t="s">
        <v>140</v>
      </c>
      <c r="E800" t="str">
        <f>"13"</f>
        <v>13</v>
      </c>
      <c r="F800">
        <v>1019</v>
      </c>
      <c r="G800" t="s">
        <v>141</v>
      </c>
      <c r="J800" t="s">
        <v>142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R800" t="s">
        <v>127</v>
      </c>
      <c r="S800" t="str">
        <f t="shared" ref="S800:T805" si="318">"15:06:45.000"</f>
        <v>15:06:45.000</v>
      </c>
      <c r="T800" t="str">
        <f t="shared" si="318"/>
        <v>15:06:45.000</v>
      </c>
      <c r="U800" t="str">
        <f t="shared" si="306"/>
        <v>A68FCB</v>
      </c>
      <c r="V800">
        <v>0</v>
      </c>
      <c r="W800">
        <v>0</v>
      </c>
      <c r="X800">
        <v>2</v>
      </c>
      <c r="Y800">
        <v>0</v>
      </c>
      <c r="AA800">
        <v>1</v>
      </c>
      <c r="AB800">
        <v>8</v>
      </c>
      <c r="AC800">
        <v>3</v>
      </c>
      <c r="AD800">
        <v>0</v>
      </c>
      <c r="AE800">
        <v>9</v>
      </c>
      <c r="AF800" t="s">
        <v>138</v>
      </c>
      <c r="AG800">
        <v>0</v>
      </c>
      <c r="AH800">
        <v>3</v>
      </c>
      <c r="AI800">
        <v>2</v>
      </c>
      <c r="AJ800">
        <v>0</v>
      </c>
      <c r="AK800" t="s">
        <v>355</v>
      </c>
      <c r="AL800">
        <v>38.973978000000002</v>
      </c>
      <c r="AM800" t="s">
        <v>356</v>
      </c>
      <c r="AN800">
        <v>-121.05047500000001</v>
      </c>
      <c r="AO800">
        <v>25</v>
      </c>
      <c r="AP800">
        <v>2800</v>
      </c>
      <c r="AQ800" t="s">
        <v>131</v>
      </c>
      <c r="AR800">
        <v>-9</v>
      </c>
      <c r="AS800">
        <v>85</v>
      </c>
      <c r="AT800">
        <v>448</v>
      </c>
      <c r="BB800" t="str">
        <f t="shared" si="307"/>
        <v>1200</v>
      </c>
      <c r="BC800">
        <v>1</v>
      </c>
      <c r="BD800" t="str">
        <f t="shared" si="308"/>
        <v xml:space="preserve">N52156  </v>
      </c>
      <c r="BE800">
        <v>1</v>
      </c>
      <c r="BG800">
        <v>0</v>
      </c>
      <c r="BH800">
        <v>0</v>
      </c>
      <c r="BI800">
        <v>0</v>
      </c>
      <c r="BJ800">
        <v>2700</v>
      </c>
      <c r="BK800">
        <v>-100</v>
      </c>
      <c r="BL800" t="s">
        <v>188</v>
      </c>
      <c r="BM800">
        <v>1</v>
      </c>
      <c r="BN800">
        <v>1</v>
      </c>
      <c r="BO800">
        <v>0</v>
      </c>
      <c r="BP800">
        <v>0</v>
      </c>
      <c r="BS800">
        <v>0</v>
      </c>
      <c r="BT800">
        <v>0</v>
      </c>
      <c r="BU800">
        <v>0</v>
      </c>
      <c r="CE800" t="str">
        <f t="shared" ref="CE800:CE805" si="319">"15:06:45.598"</f>
        <v>15:06:45.598</v>
      </c>
      <c r="CF800">
        <v>597700779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133</v>
      </c>
      <c r="DA800">
        <v>275</v>
      </c>
      <c r="DB800">
        <v>0</v>
      </c>
      <c r="DC800" t="s">
        <v>134</v>
      </c>
      <c r="DD800" t="s">
        <v>135</v>
      </c>
      <c r="DG800">
        <v>3319211</v>
      </c>
      <c r="DI800">
        <v>1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"05/01/2025 15:06:45.845"</f>
        <v>05/01/2025 15:06:45.845</v>
      </c>
      <c r="C801" t="str">
        <f t="shared" si="304"/>
        <v>FFDFD3C0</v>
      </c>
      <c r="D801" t="s">
        <v>124</v>
      </c>
      <c r="E801" t="str">
        <f>"06"</f>
        <v>06</v>
      </c>
      <c r="F801">
        <v>2006</v>
      </c>
      <c r="G801" t="s">
        <v>125</v>
      </c>
      <c r="J801" t="s">
        <v>126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R801" t="s">
        <v>127</v>
      </c>
      <c r="S801" t="str">
        <f t="shared" si="318"/>
        <v>15:06:45.000</v>
      </c>
      <c r="T801" t="str">
        <f t="shared" si="318"/>
        <v>15:06:45.000</v>
      </c>
      <c r="U801" t="str">
        <f t="shared" si="306"/>
        <v>A68FCB</v>
      </c>
      <c r="V801">
        <v>0</v>
      </c>
      <c r="W801">
        <v>0</v>
      </c>
      <c r="X801">
        <v>2</v>
      </c>
      <c r="Y801">
        <v>0</v>
      </c>
      <c r="AA801">
        <v>1</v>
      </c>
      <c r="AB801">
        <v>8</v>
      </c>
      <c r="AC801">
        <v>3</v>
      </c>
      <c r="AD801">
        <v>0</v>
      </c>
      <c r="AE801">
        <v>9</v>
      </c>
      <c r="AF801" t="s">
        <v>138</v>
      </c>
      <c r="AG801">
        <v>0</v>
      </c>
      <c r="AH801">
        <v>3</v>
      </c>
      <c r="AI801">
        <v>2</v>
      </c>
      <c r="AJ801">
        <v>0</v>
      </c>
      <c r="AK801" t="s">
        <v>355</v>
      </c>
      <c r="AL801">
        <v>38.973978000000002</v>
      </c>
      <c r="AM801" t="s">
        <v>356</v>
      </c>
      <c r="AN801">
        <v>-121.05047500000001</v>
      </c>
      <c r="AO801">
        <v>25</v>
      </c>
      <c r="AP801">
        <v>2800</v>
      </c>
      <c r="AQ801" t="s">
        <v>131</v>
      </c>
      <c r="AR801">
        <v>-9</v>
      </c>
      <c r="AS801">
        <v>85</v>
      </c>
      <c r="AT801">
        <v>448</v>
      </c>
      <c r="BB801" t="str">
        <f t="shared" si="307"/>
        <v>1200</v>
      </c>
      <c r="BC801">
        <v>1</v>
      </c>
      <c r="BD801" t="str">
        <f t="shared" si="308"/>
        <v xml:space="preserve">N52156  </v>
      </c>
      <c r="BE801">
        <v>1</v>
      </c>
      <c r="BG801">
        <v>0</v>
      </c>
      <c r="BH801">
        <v>0</v>
      </c>
      <c r="BI801">
        <v>0</v>
      </c>
      <c r="BJ801">
        <v>2700</v>
      </c>
      <c r="BK801">
        <v>-100</v>
      </c>
      <c r="BL801" t="s">
        <v>188</v>
      </c>
      <c r="BM801">
        <v>1</v>
      </c>
      <c r="BN801">
        <v>1</v>
      </c>
      <c r="BO801">
        <v>0</v>
      </c>
      <c r="BP801">
        <v>0</v>
      </c>
      <c r="BS801">
        <v>0</v>
      </c>
      <c r="BT801">
        <v>0</v>
      </c>
      <c r="BU801">
        <v>0</v>
      </c>
      <c r="CE801" t="str">
        <f t="shared" si="319"/>
        <v>15:06:45.598</v>
      </c>
      <c r="CF801">
        <v>597700779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133</v>
      </c>
      <c r="DA801">
        <v>275</v>
      </c>
      <c r="DB801">
        <v>0</v>
      </c>
      <c r="DC801" t="s">
        <v>134</v>
      </c>
      <c r="DD801" t="s">
        <v>135</v>
      </c>
      <c r="DG801">
        <v>3319211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"05/01/2025 15:06:45.848"</f>
        <v>05/01/2025 15:06:45.848</v>
      </c>
      <c r="C802" t="str">
        <f t="shared" si="304"/>
        <v>FFDFD3C0</v>
      </c>
      <c r="D802" t="s">
        <v>145</v>
      </c>
      <c r="E802" t="str">
        <f>"09"</f>
        <v>09</v>
      </c>
      <c r="H802">
        <v>51</v>
      </c>
      <c r="I802" t="s">
        <v>147</v>
      </c>
      <c r="J802" t="s">
        <v>138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R802" t="s">
        <v>127</v>
      </c>
      <c r="S802" t="str">
        <f t="shared" si="318"/>
        <v>15:06:45.000</v>
      </c>
      <c r="T802" t="str">
        <f t="shared" si="318"/>
        <v>15:06:45.000</v>
      </c>
      <c r="U802" t="str">
        <f t="shared" si="306"/>
        <v>A68FCB</v>
      </c>
      <c r="V802">
        <v>0</v>
      </c>
      <c r="W802">
        <v>0</v>
      </c>
      <c r="X802">
        <v>2</v>
      </c>
      <c r="Y802">
        <v>0</v>
      </c>
      <c r="AA802">
        <v>1</v>
      </c>
      <c r="AB802">
        <v>8</v>
      </c>
      <c r="AC802">
        <v>3</v>
      </c>
      <c r="AD802">
        <v>0</v>
      </c>
      <c r="AE802">
        <v>9</v>
      </c>
      <c r="AF802" t="s">
        <v>138</v>
      </c>
      <c r="AG802">
        <v>0</v>
      </c>
      <c r="AH802">
        <v>3</v>
      </c>
      <c r="AI802">
        <v>2</v>
      </c>
      <c r="AJ802">
        <v>0</v>
      </c>
      <c r="AK802" t="s">
        <v>355</v>
      </c>
      <c r="AL802">
        <v>38.973978000000002</v>
      </c>
      <c r="AM802" t="s">
        <v>356</v>
      </c>
      <c r="AN802">
        <v>-121.05047500000001</v>
      </c>
      <c r="AO802">
        <v>25</v>
      </c>
      <c r="AP802">
        <v>2800</v>
      </c>
      <c r="AQ802" t="s">
        <v>131</v>
      </c>
      <c r="AR802">
        <v>-9</v>
      </c>
      <c r="AS802">
        <v>85</v>
      </c>
      <c r="AT802">
        <v>448</v>
      </c>
      <c r="BB802" t="str">
        <f t="shared" si="307"/>
        <v>1200</v>
      </c>
      <c r="BC802">
        <v>1</v>
      </c>
      <c r="BD802" t="str">
        <f t="shared" si="308"/>
        <v xml:space="preserve">N52156  </v>
      </c>
      <c r="BE802">
        <v>1</v>
      </c>
      <c r="BG802">
        <v>0</v>
      </c>
      <c r="BH802">
        <v>0</v>
      </c>
      <c r="BI802">
        <v>0</v>
      </c>
      <c r="BJ802">
        <v>2700</v>
      </c>
      <c r="BK802">
        <v>-100</v>
      </c>
      <c r="BL802" t="s">
        <v>188</v>
      </c>
      <c r="BM802">
        <v>1</v>
      </c>
      <c r="BN802">
        <v>1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 t="shared" si="319"/>
        <v>15:06:45.598</v>
      </c>
      <c r="CF802">
        <v>597700779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133</v>
      </c>
      <c r="DA802">
        <v>275</v>
      </c>
      <c r="DB802">
        <v>0</v>
      </c>
      <c r="DC802" t="s">
        <v>134</v>
      </c>
      <c r="DD802" t="s">
        <v>135</v>
      </c>
      <c r="DG802">
        <v>3319211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"05/01/2025 15:06:45.846"</f>
        <v>05/01/2025 15:06:45.846</v>
      </c>
      <c r="C803" t="str">
        <f t="shared" si="304"/>
        <v>FFDFD3C0</v>
      </c>
      <c r="D803" t="s">
        <v>143</v>
      </c>
      <c r="E803" t="str">
        <f>"05"</f>
        <v>05</v>
      </c>
      <c r="H803">
        <v>172</v>
      </c>
      <c r="I803" t="s">
        <v>141</v>
      </c>
      <c r="J803" t="s">
        <v>144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R803" t="s">
        <v>127</v>
      </c>
      <c r="S803" t="str">
        <f t="shared" si="318"/>
        <v>15:06:45.000</v>
      </c>
      <c r="T803" t="str">
        <f t="shared" si="318"/>
        <v>15:06:45.000</v>
      </c>
      <c r="U803" t="str">
        <f t="shared" si="306"/>
        <v>A68FCB</v>
      </c>
      <c r="V803">
        <v>0</v>
      </c>
      <c r="W803">
        <v>0</v>
      </c>
      <c r="X803">
        <v>2</v>
      </c>
      <c r="Y803">
        <v>0</v>
      </c>
      <c r="AA803">
        <v>1</v>
      </c>
      <c r="AB803">
        <v>8</v>
      </c>
      <c r="AC803">
        <v>3</v>
      </c>
      <c r="AD803">
        <v>0</v>
      </c>
      <c r="AE803">
        <v>9</v>
      </c>
      <c r="AF803" t="s">
        <v>138</v>
      </c>
      <c r="AG803">
        <v>0</v>
      </c>
      <c r="AH803">
        <v>3</v>
      </c>
      <c r="AI803">
        <v>2</v>
      </c>
      <c r="AJ803">
        <v>0</v>
      </c>
      <c r="AK803" t="s">
        <v>355</v>
      </c>
      <c r="AL803">
        <v>38.973978000000002</v>
      </c>
      <c r="AM803" t="s">
        <v>356</v>
      </c>
      <c r="AN803">
        <v>-121.05047500000001</v>
      </c>
      <c r="AO803">
        <v>25</v>
      </c>
      <c r="AP803">
        <v>2800</v>
      </c>
      <c r="AQ803" t="s">
        <v>131</v>
      </c>
      <c r="AR803">
        <v>-9</v>
      </c>
      <c r="AS803">
        <v>85</v>
      </c>
      <c r="AT803">
        <v>448</v>
      </c>
      <c r="BB803" t="str">
        <f t="shared" si="307"/>
        <v>1200</v>
      </c>
      <c r="BC803">
        <v>1</v>
      </c>
      <c r="BD803" t="str">
        <f t="shared" si="308"/>
        <v xml:space="preserve">N52156  </v>
      </c>
      <c r="BE803">
        <v>1</v>
      </c>
      <c r="BG803">
        <v>0</v>
      </c>
      <c r="BH803">
        <v>0</v>
      </c>
      <c r="BI803">
        <v>0</v>
      </c>
      <c r="BJ803">
        <v>2700</v>
      </c>
      <c r="BK803">
        <v>-100</v>
      </c>
      <c r="BL803" t="s">
        <v>188</v>
      </c>
      <c r="BM803">
        <v>1</v>
      </c>
      <c r="BN803">
        <v>1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 t="shared" si="319"/>
        <v>15:06:45.598</v>
      </c>
      <c r="CF803">
        <v>597700779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133</v>
      </c>
      <c r="DA803">
        <v>275</v>
      </c>
      <c r="DB803">
        <v>0</v>
      </c>
      <c r="DC803" t="s">
        <v>134</v>
      </c>
      <c r="DD803" t="s">
        <v>135</v>
      </c>
      <c r="DG803">
        <v>3319211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"05/01/2025 15:06:45.845"</f>
        <v>05/01/2025 15:06:45.845</v>
      </c>
      <c r="C804" t="str">
        <f t="shared" si="304"/>
        <v>FFDFD3C0</v>
      </c>
      <c r="D804" t="s">
        <v>145</v>
      </c>
      <c r="E804" t="str">
        <f>"05"</f>
        <v>05</v>
      </c>
      <c r="H804">
        <v>47</v>
      </c>
      <c r="I804" t="s">
        <v>146</v>
      </c>
      <c r="J804" t="s">
        <v>138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R804" t="s">
        <v>127</v>
      </c>
      <c r="S804" t="str">
        <f t="shared" si="318"/>
        <v>15:06:45.000</v>
      </c>
      <c r="T804" t="str">
        <f t="shared" si="318"/>
        <v>15:06:45.000</v>
      </c>
      <c r="U804" t="str">
        <f t="shared" si="306"/>
        <v>A68FCB</v>
      </c>
      <c r="V804">
        <v>0</v>
      </c>
      <c r="W804">
        <v>0</v>
      </c>
      <c r="X804">
        <v>2</v>
      </c>
      <c r="Y804">
        <v>0</v>
      </c>
      <c r="AA804">
        <v>1</v>
      </c>
      <c r="AB804">
        <v>8</v>
      </c>
      <c r="AC804">
        <v>3</v>
      </c>
      <c r="AD804">
        <v>0</v>
      </c>
      <c r="AE804">
        <v>9</v>
      </c>
      <c r="AF804" t="s">
        <v>138</v>
      </c>
      <c r="AG804">
        <v>0</v>
      </c>
      <c r="AH804">
        <v>3</v>
      </c>
      <c r="AI804">
        <v>2</v>
      </c>
      <c r="AJ804">
        <v>0</v>
      </c>
      <c r="AK804" t="s">
        <v>355</v>
      </c>
      <c r="AL804">
        <v>38.973978000000002</v>
      </c>
      <c r="AM804" t="s">
        <v>356</v>
      </c>
      <c r="AN804">
        <v>-121.05047500000001</v>
      </c>
      <c r="AO804">
        <v>25</v>
      </c>
      <c r="AP804">
        <v>2800</v>
      </c>
      <c r="AQ804" t="s">
        <v>131</v>
      </c>
      <c r="AR804">
        <v>-9</v>
      </c>
      <c r="AS804">
        <v>85</v>
      </c>
      <c r="AT804">
        <v>448</v>
      </c>
      <c r="BB804" t="str">
        <f t="shared" si="307"/>
        <v>1200</v>
      </c>
      <c r="BC804">
        <v>1</v>
      </c>
      <c r="BD804" t="str">
        <f t="shared" si="308"/>
        <v xml:space="preserve">N52156  </v>
      </c>
      <c r="BE804">
        <v>1</v>
      </c>
      <c r="BG804">
        <v>0</v>
      </c>
      <c r="BH804">
        <v>0</v>
      </c>
      <c r="BI804">
        <v>0</v>
      </c>
      <c r="BJ804">
        <v>2700</v>
      </c>
      <c r="BK804">
        <v>-100</v>
      </c>
      <c r="BL804" t="s">
        <v>188</v>
      </c>
      <c r="BM804">
        <v>1</v>
      </c>
      <c r="BN804">
        <v>1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 t="shared" si="319"/>
        <v>15:06:45.598</v>
      </c>
      <c r="CF804">
        <v>597700779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5</v>
      </c>
      <c r="CY804">
        <v>7</v>
      </c>
      <c r="CZ804" t="s">
        <v>133</v>
      </c>
      <c r="DA804">
        <v>275</v>
      </c>
      <c r="DB804">
        <v>0</v>
      </c>
      <c r="DC804" t="s">
        <v>134</v>
      </c>
      <c r="DD804" t="s">
        <v>135</v>
      </c>
      <c r="DG804">
        <v>3319211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"05/01/2025 15:06:45.855"</f>
        <v>05/01/2025 15:06:45.855</v>
      </c>
      <c r="C805" t="str">
        <f t="shared" si="304"/>
        <v>FFDFD3C0</v>
      </c>
      <c r="D805" t="s">
        <v>136</v>
      </c>
      <c r="E805" t="str">
        <f>"20"</f>
        <v>20</v>
      </c>
      <c r="H805">
        <v>400</v>
      </c>
      <c r="I805" t="s">
        <v>137</v>
      </c>
      <c r="J805" t="s">
        <v>138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R805" t="s">
        <v>127</v>
      </c>
      <c r="S805" t="str">
        <f t="shared" si="318"/>
        <v>15:06:45.000</v>
      </c>
      <c r="T805" t="str">
        <f t="shared" si="318"/>
        <v>15:06:45.000</v>
      </c>
      <c r="U805" t="str">
        <f t="shared" si="306"/>
        <v>A68FCB</v>
      </c>
      <c r="V805">
        <v>0</v>
      </c>
      <c r="W805">
        <v>0</v>
      </c>
      <c r="X805">
        <v>2</v>
      </c>
      <c r="Y805">
        <v>0</v>
      </c>
      <c r="AA805">
        <v>1</v>
      </c>
      <c r="AB805">
        <v>8</v>
      </c>
      <c r="AC805">
        <v>3</v>
      </c>
      <c r="AD805">
        <v>0</v>
      </c>
      <c r="AE805">
        <v>9</v>
      </c>
      <c r="AF805" t="s">
        <v>138</v>
      </c>
      <c r="AG805">
        <v>0</v>
      </c>
      <c r="AH805">
        <v>3</v>
      </c>
      <c r="AI805">
        <v>2</v>
      </c>
      <c r="AJ805">
        <v>0</v>
      </c>
      <c r="AK805" t="s">
        <v>355</v>
      </c>
      <c r="AL805">
        <v>38.973978000000002</v>
      </c>
      <c r="AM805" t="s">
        <v>356</v>
      </c>
      <c r="AN805">
        <v>-121.05047500000001</v>
      </c>
      <c r="AO805">
        <v>25</v>
      </c>
      <c r="AP805">
        <v>2800</v>
      </c>
      <c r="AQ805" t="s">
        <v>131</v>
      </c>
      <c r="AR805">
        <v>-9</v>
      </c>
      <c r="AS805">
        <v>85</v>
      </c>
      <c r="AT805">
        <v>448</v>
      </c>
      <c r="BB805" t="str">
        <f t="shared" si="307"/>
        <v>1200</v>
      </c>
      <c r="BC805">
        <v>1</v>
      </c>
      <c r="BD805" t="str">
        <f t="shared" si="308"/>
        <v xml:space="preserve">N52156  </v>
      </c>
      <c r="BE805">
        <v>1</v>
      </c>
      <c r="BG805">
        <v>0</v>
      </c>
      <c r="BH805">
        <v>0</v>
      </c>
      <c r="BI805">
        <v>0</v>
      </c>
      <c r="BJ805">
        <v>2700</v>
      </c>
      <c r="BK805">
        <v>-100</v>
      </c>
      <c r="BL805" t="s">
        <v>188</v>
      </c>
      <c r="BM805">
        <v>1</v>
      </c>
      <c r="BN805">
        <v>1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 t="shared" si="319"/>
        <v>15:06:45.598</v>
      </c>
      <c r="CF805">
        <v>597700779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133</v>
      </c>
      <c r="DA805">
        <v>275</v>
      </c>
      <c r="DB805">
        <v>0</v>
      </c>
      <c r="DC805" t="s">
        <v>134</v>
      </c>
      <c r="DD805" t="s">
        <v>135</v>
      </c>
      <c r="DG805">
        <v>3319211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"05/01/2025 15:06:46.890"</f>
        <v>05/01/2025 15:06:46.890</v>
      </c>
      <c r="C806" t="str">
        <f t="shared" si="304"/>
        <v>FFDFD3C0</v>
      </c>
      <c r="D806" t="s">
        <v>140</v>
      </c>
      <c r="E806" t="str">
        <f>"13"</f>
        <v>13</v>
      </c>
      <c r="F806">
        <v>1019</v>
      </c>
      <c r="G806" t="s">
        <v>141</v>
      </c>
      <c r="J806" t="s">
        <v>142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R806" t="s">
        <v>127</v>
      </c>
      <c r="S806" t="str">
        <f t="shared" ref="S806:T811" si="320">"15:06:46.000"</f>
        <v>15:06:46.000</v>
      </c>
      <c r="T806" t="str">
        <f t="shared" si="320"/>
        <v>15:06:46.000</v>
      </c>
      <c r="U806" t="str">
        <f t="shared" si="306"/>
        <v>A68FCB</v>
      </c>
      <c r="V806">
        <v>0</v>
      </c>
      <c r="W806">
        <v>0</v>
      </c>
      <c r="X806">
        <v>2</v>
      </c>
      <c r="Y806">
        <v>0</v>
      </c>
      <c r="AA806">
        <v>1</v>
      </c>
      <c r="AB806">
        <v>8</v>
      </c>
      <c r="AC806">
        <v>3</v>
      </c>
      <c r="AD806">
        <v>0</v>
      </c>
      <c r="AE806">
        <v>9</v>
      </c>
      <c r="AF806" t="s">
        <v>138</v>
      </c>
      <c r="AG806">
        <v>0</v>
      </c>
      <c r="AH806">
        <v>3</v>
      </c>
      <c r="AI806">
        <v>2</v>
      </c>
      <c r="AJ806">
        <v>0</v>
      </c>
      <c r="AK806" t="s">
        <v>357</v>
      </c>
      <c r="AL806">
        <v>38.974364000000001</v>
      </c>
      <c r="AM806" t="s">
        <v>358</v>
      </c>
      <c r="AN806">
        <v>-121.050518</v>
      </c>
      <c r="AO806">
        <v>25</v>
      </c>
      <c r="AP806">
        <v>2800</v>
      </c>
      <c r="AQ806" t="s">
        <v>131</v>
      </c>
      <c r="AR806">
        <v>-9</v>
      </c>
      <c r="AS806">
        <v>85</v>
      </c>
      <c r="AT806">
        <v>512</v>
      </c>
      <c r="BB806" t="str">
        <f t="shared" si="307"/>
        <v>1200</v>
      </c>
      <c r="BC806">
        <v>1</v>
      </c>
      <c r="BD806" t="str">
        <f t="shared" si="308"/>
        <v xml:space="preserve">N52156  </v>
      </c>
      <c r="BE806">
        <v>1</v>
      </c>
      <c r="BG806">
        <v>0</v>
      </c>
      <c r="BH806">
        <v>0</v>
      </c>
      <c r="BI806">
        <v>0</v>
      </c>
      <c r="BJ806">
        <v>2700</v>
      </c>
      <c r="BK806">
        <v>-100</v>
      </c>
      <c r="BL806" t="s">
        <v>188</v>
      </c>
      <c r="BM806">
        <v>1</v>
      </c>
      <c r="BN806">
        <v>1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 t="shared" ref="CE806:CE811" si="321">"15:06:46.650"</f>
        <v>15:06:46.650</v>
      </c>
      <c r="CF806">
        <v>649950904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133</v>
      </c>
      <c r="DA806">
        <v>275</v>
      </c>
      <c r="DB806">
        <v>0</v>
      </c>
      <c r="DC806" t="s">
        <v>134</v>
      </c>
      <c r="DD806" t="s">
        <v>135</v>
      </c>
      <c r="DG806">
        <v>3319224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"05/01/2025 15:06:46.898"</f>
        <v>05/01/2025 15:06:46.898</v>
      </c>
      <c r="C807" t="str">
        <f t="shared" si="304"/>
        <v>FFDFD3C0</v>
      </c>
      <c r="D807" t="s">
        <v>143</v>
      </c>
      <c r="E807" t="str">
        <f>"05"</f>
        <v>05</v>
      </c>
      <c r="H807">
        <v>172</v>
      </c>
      <c r="I807" t="s">
        <v>141</v>
      </c>
      <c r="J807" t="s">
        <v>144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R807" t="s">
        <v>127</v>
      </c>
      <c r="S807" t="str">
        <f t="shared" si="320"/>
        <v>15:06:46.000</v>
      </c>
      <c r="T807" t="str">
        <f t="shared" si="320"/>
        <v>15:06:46.000</v>
      </c>
      <c r="U807" t="str">
        <f t="shared" si="306"/>
        <v>A68FCB</v>
      </c>
      <c r="V807">
        <v>0</v>
      </c>
      <c r="W807">
        <v>0</v>
      </c>
      <c r="X807">
        <v>2</v>
      </c>
      <c r="Y807">
        <v>0</v>
      </c>
      <c r="AA807">
        <v>1</v>
      </c>
      <c r="AB807">
        <v>8</v>
      </c>
      <c r="AC807">
        <v>3</v>
      </c>
      <c r="AD807">
        <v>0</v>
      </c>
      <c r="AE807">
        <v>9</v>
      </c>
      <c r="AF807" t="s">
        <v>138</v>
      </c>
      <c r="AG807">
        <v>0</v>
      </c>
      <c r="AH807">
        <v>3</v>
      </c>
      <c r="AI807">
        <v>2</v>
      </c>
      <c r="AJ807">
        <v>0</v>
      </c>
      <c r="AK807" t="s">
        <v>357</v>
      </c>
      <c r="AL807">
        <v>38.974364000000001</v>
      </c>
      <c r="AM807" t="s">
        <v>358</v>
      </c>
      <c r="AN807">
        <v>-121.050518</v>
      </c>
      <c r="AO807">
        <v>25</v>
      </c>
      <c r="AP807">
        <v>2800</v>
      </c>
      <c r="AQ807" t="s">
        <v>131</v>
      </c>
      <c r="AR807">
        <v>-9</v>
      </c>
      <c r="AS807">
        <v>85</v>
      </c>
      <c r="AT807">
        <v>512</v>
      </c>
      <c r="BB807" t="str">
        <f t="shared" si="307"/>
        <v>1200</v>
      </c>
      <c r="BC807">
        <v>1</v>
      </c>
      <c r="BD807" t="str">
        <f t="shared" si="308"/>
        <v xml:space="preserve">N52156  </v>
      </c>
      <c r="BE807">
        <v>1</v>
      </c>
      <c r="BG807">
        <v>0</v>
      </c>
      <c r="BH807">
        <v>0</v>
      </c>
      <c r="BI807">
        <v>0</v>
      </c>
      <c r="BJ807">
        <v>2700</v>
      </c>
      <c r="BK807">
        <v>-100</v>
      </c>
      <c r="BL807" t="s">
        <v>188</v>
      </c>
      <c r="BM807">
        <v>1</v>
      </c>
      <c r="BN807">
        <v>1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 t="shared" si="321"/>
        <v>15:06:46.650</v>
      </c>
      <c r="CF807">
        <v>649950904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133</v>
      </c>
      <c r="DA807">
        <v>275</v>
      </c>
      <c r="DB807">
        <v>0</v>
      </c>
      <c r="DC807" t="s">
        <v>134</v>
      </c>
      <c r="DD807" t="s">
        <v>135</v>
      </c>
      <c r="DG807">
        <v>3319224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"05/01/2025 15:06:46.897"</f>
        <v>05/01/2025 15:06:46.897</v>
      </c>
      <c r="C808" t="str">
        <f t="shared" si="304"/>
        <v>FFDFD3C0</v>
      </c>
      <c r="D808" t="s">
        <v>145</v>
      </c>
      <c r="E808" t="str">
        <f>"05"</f>
        <v>05</v>
      </c>
      <c r="H808">
        <v>47</v>
      </c>
      <c r="I808" t="s">
        <v>146</v>
      </c>
      <c r="J808" t="s">
        <v>138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R808" t="s">
        <v>127</v>
      </c>
      <c r="S808" t="str">
        <f t="shared" si="320"/>
        <v>15:06:46.000</v>
      </c>
      <c r="T808" t="str">
        <f t="shared" si="320"/>
        <v>15:06:46.000</v>
      </c>
      <c r="U808" t="str">
        <f t="shared" si="306"/>
        <v>A68FCB</v>
      </c>
      <c r="V808">
        <v>0</v>
      </c>
      <c r="W808">
        <v>0</v>
      </c>
      <c r="X808">
        <v>2</v>
      </c>
      <c r="Y808">
        <v>0</v>
      </c>
      <c r="AA808">
        <v>1</v>
      </c>
      <c r="AB808">
        <v>8</v>
      </c>
      <c r="AC808">
        <v>3</v>
      </c>
      <c r="AD808">
        <v>0</v>
      </c>
      <c r="AE808">
        <v>9</v>
      </c>
      <c r="AF808" t="s">
        <v>138</v>
      </c>
      <c r="AG808">
        <v>0</v>
      </c>
      <c r="AH808">
        <v>3</v>
      </c>
      <c r="AI808">
        <v>2</v>
      </c>
      <c r="AJ808">
        <v>0</v>
      </c>
      <c r="AK808" t="s">
        <v>357</v>
      </c>
      <c r="AL808">
        <v>38.974364000000001</v>
      </c>
      <c r="AM808" t="s">
        <v>358</v>
      </c>
      <c r="AN808">
        <v>-121.050518</v>
      </c>
      <c r="AO808">
        <v>25</v>
      </c>
      <c r="AP808">
        <v>2800</v>
      </c>
      <c r="AQ808" t="s">
        <v>131</v>
      </c>
      <c r="AR808">
        <v>-9</v>
      </c>
      <c r="AS808">
        <v>85</v>
      </c>
      <c r="AT808">
        <v>512</v>
      </c>
      <c r="BB808" t="str">
        <f t="shared" si="307"/>
        <v>1200</v>
      </c>
      <c r="BC808">
        <v>1</v>
      </c>
      <c r="BD808" t="str">
        <f t="shared" si="308"/>
        <v xml:space="preserve">N52156  </v>
      </c>
      <c r="BE808">
        <v>1</v>
      </c>
      <c r="BG808">
        <v>0</v>
      </c>
      <c r="BH808">
        <v>0</v>
      </c>
      <c r="BI808">
        <v>0</v>
      </c>
      <c r="BJ808">
        <v>2700</v>
      </c>
      <c r="BK808">
        <v>-100</v>
      </c>
      <c r="BL808" t="s">
        <v>188</v>
      </c>
      <c r="BM808">
        <v>1</v>
      </c>
      <c r="BN808">
        <v>1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 t="shared" si="321"/>
        <v>15:06:46.650</v>
      </c>
      <c r="CF808">
        <v>649950904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133</v>
      </c>
      <c r="DA808">
        <v>275</v>
      </c>
      <c r="DB808">
        <v>0</v>
      </c>
      <c r="DC808" t="s">
        <v>134</v>
      </c>
      <c r="DD808" t="s">
        <v>135</v>
      </c>
      <c r="DG808">
        <v>3319224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"05/01/2025 15:06:46.897"</f>
        <v>05/01/2025 15:06:46.897</v>
      </c>
      <c r="C809" t="str">
        <f t="shared" si="304"/>
        <v>FFDFD3C0</v>
      </c>
      <c r="D809" t="s">
        <v>124</v>
      </c>
      <c r="E809" t="str">
        <f>"06"</f>
        <v>06</v>
      </c>
      <c r="F809">
        <v>2006</v>
      </c>
      <c r="G809" t="s">
        <v>125</v>
      </c>
      <c r="J809" t="s">
        <v>126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R809" t="s">
        <v>127</v>
      </c>
      <c r="S809" t="str">
        <f t="shared" si="320"/>
        <v>15:06:46.000</v>
      </c>
      <c r="T809" t="str">
        <f t="shared" si="320"/>
        <v>15:06:46.000</v>
      </c>
      <c r="U809" t="str">
        <f t="shared" si="306"/>
        <v>A68FCB</v>
      </c>
      <c r="V809">
        <v>0</v>
      </c>
      <c r="W809">
        <v>0</v>
      </c>
      <c r="X809">
        <v>2</v>
      </c>
      <c r="Y809">
        <v>0</v>
      </c>
      <c r="AA809">
        <v>1</v>
      </c>
      <c r="AB809">
        <v>8</v>
      </c>
      <c r="AC809">
        <v>3</v>
      </c>
      <c r="AD809">
        <v>0</v>
      </c>
      <c r="AE809">
        <v>9</v>
      </c>
      <c r="AF809" t="s">
        <v>138</v>
      </c>
      <c r="AG809">
        <v>0</v>
      </c>
      <c r="AH809">
        <v>3</v>
      </c>
      <c r="AI809">
        <v>2</v>
      </c>
      <c r="AJ809">
        <v>0</v>
      </c>
      <c r="AK809" t="s">
        <v>357</v>
      </c>
      <c r="AL809">
        <v>38.974364000000001</v>
      </c>
      <c r="AM809" t="s">
        <v>358</v>
      </c>
      <c r="AN809">
        <v>-121.050518</v>
      </c>
      <c r="AO809">
        <v>25</v>
      </c>
      <c r="AP809">
        <v>2800</v>
      </c>
      <c r="AQ809" t="s">
        <v>131</v>
      </c>
      <c r="AR809">
        <v>-9</v>
      </c>
      <c r="AS809">
        <v>85</v>
      </c>
      <c r="AT809">
        <v>512</v>
      </c>
      <c r="BB809" t="str">
        <f t="shared" si="307"/>
        <v>1200</v>
      </c>
      <c r="BC809">
        <v>1</v>
      </c>
      <c r="BD809" t="str">
        <f t="shared" si="308"/>
        <v xml:space="preserve">N52156  </v>
      </c>
      <c r="BE809">
        <v>1</v>
      </c>
      <c r="BG809">
        <v>0</v>
      </c>
      <c r="BH809">
        <v>0</v>
      </c>
      <c r="BI809">
        <v>0</v>
      </c>
      <c r="BJ809">
        <v>2700</v>
      </c>
      <c r="BK809">
        <v>-100</v>
      </c>
      <c r="BL809" t="s">
        <v>188</v>
      </c>
      <c r="BM809">
        <v>1</v>
      </c>
      <c r="BN809">
        <v>1</v>
      </c>
      <c r="BO809">
        <v>0</v>
      </c>
      <c r="BP809">
        <v>0</v>
      </c>
      <c r="BS809">
        <v>0</v>
      </c>
      <c r="BT809">
        <v>0</v>
      </c>
      <c r="BU809">
        <v>0</v>
      </c>
      <c r="CE809" t="str">
        <f t="shared" si="321"/>
        <v>15:06:46.650</v>
      </c>
      <c r="CF809">
        <v>649950904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133</v>
      </c>
      <c r="DA809">
        <v>275</v>
      </c>
      <c r="DB809">
        <v>0</v>
      </c>
      <c r="DC809" t="s">
        <v>134</v>
      </c>
      <c r="DD809" t="s">
        <v>135</v>
      </c>
      <c r="DG809">
        <v>3319224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"05/01/2025 15:06:46.899"</f>
        <v>05/01/2025 15:06:46.899</v>
      </c>
      <c r="C810" t="str">
        <f t="shared" si="304"/>
        <v>FFDFD3C0</v>
      </c>
      <c r="D810" t="s">
        <v>145</v>
      </c>
      <c r="E810" t="str">
        <f>"09"</f>
        <v>09</v>
      </c>
      <c r="H810">
        <v>51</v>
      </c>
      <c r="I810" t="s">
        <v>147</v>
      </c>
      <c r="J810" t="s">
        <v>138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R810" t="s">
        <v>127</v>
      </c>
      <c r="S810" t="str">
        <f t="shared" si="320"/>
        <v>15:06:46.000</v>
      </c>
      <c r="T810" t="str">
        <f t="shared" si="320"/>
        <v>15:06:46.000</v>
      </c>
      <c r="U810" t="str">
        <f t="shared" si="306"/>
        <v>A68FCB</v>
      </c>
      <c r="V810">
        <v>0</v>
      </c>
      <c r="W810">
        <v>0</v>
      </c>
      <c r="X810">
        <v>2</v>
      </c>
      <c r="Y810">
        <v>0</v>
      </c>
      <c r="AA810">
        <v>1</v>
      </c>
      <c r="AB810">
        <v>8</v>
      </c>
      <c r="AC810">
        <v>3</v>
      </c>
      <c r="AD810">
        <v>0</v>
      </c>
      <c r="AE810">
        <v>9</v>
      </c>
      <c r="AF810" t="s">
        <v>138</v>
      </c>
      <c r="AG810">
        <v>0</v>
      </c>
      <c r="AH810">
        <v>3</v>
      </c>
      <c r="AI810">
        <v>2</v>
      </c>
      <c r="AJ810">
        <v>0</v>
      </c>
      <c r="AK810" t="s">
        <v>357</v>
      </c>
      <c r="AL810">
        <v>38.974364000000001</v>
      </c>
      <c r="AM810" t="s">
        <v>358</v>
      </c>
      <c r="AN810">
        <v>-121.050518</v>
      </c>
      <c r="AO810">
        <v>25</v>
      </c>
      <c r="AP810">
        <v>2800</v>
      </c>
      <c r="AQ810" t="s">
        <v>131</v>
      </c>
      <c r="AR810">
        <v>-9</v>
      </c>
      <c r="AS810">
        <v>85</v>
      </c>
      <c r="AT810">
        <v>512</v>
      </c>
      <c r="BB810" t="str">
        <f t="shared" si="307"/>
        <v>1200</v>
      </c>
      <c r="BC810">
        <v>1</v>
      </c>
      <c r="BD810" t="str">
        <f t="shared" si="308"/>
        <v xml:space="preserve">N52156  </v>
      </c>
      <c r="BE810">
        <v>1</v>
      </c>
      <c r="BG810">
        <v>0</v>
      </c>
      <c r="BH810">
        <v>0</v>
      </c>
      <c r="BI810">
        <v>0</v>
      </c>
      <c r="BJ810">
        <v>2700</v>
      </c>
      <c r="BK810">
        <v>-100</v>
      </c>
      <c r="BL810" t="s">
        <v>188</v>
      </c>
      <c r="BM810">
        <v>1</v>
      </c>
      <c r="BN810">
        <v>1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 t="shared" si="321"/>
        <v>15:06:46.650</v>
      </c>
      <c r="CF810">
        <v>649950904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133</v>
      </c>
      <c r="DA810">
        <v>275</v>
      </c>
      <c r="DB810">
        <v>0</v>
      </c>
      <c r="DC810" t="s">
        <v>134</v>
      </c>
      <c r="DD810" t="s">
        <v>135</v>
      </c>
      <c r="DG810">
        <v>3319224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"05/01/2025 15:06:46.907"</f>
        <v>05/01/2025 15:06:46.907</v>
      </c>
      <c r="C811" t="str">
        <f t="shared" si="304"/>
        <v>FFDFD3C0</v>
      </c>
      <c r="D811" t="s">
        <v>136</v>
      </c>
      <c r="E811" t="str">
        <f>"20"</f>
        <v>20</v>
      </c>
      <c r="H811">
        <v>400</v>
      </c>
      <c r="I811" t="s">
        <v>137</v>
      </c>
      <c r="J811" t="s">
        <v>138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R811" t="s">
        <v>127</v>
      </c>
      <c r="S811" t="str">
        <f t="shared" si="320"/>
        <v>15:06:46.000</v>
      </c>
      <c r="T811" t="str">
        <f t="shared" si="320"/>
        <v>15:06:46.000</v>
      </c>
      <c r="U811" t="str">
        <f t="shared" si="306"/>
        <v>A68FCB</v>
      </c>
      <c r="V811">
        <v>0</v>
      </c>
      <c r="W811">
        <v>0</v>
      </c>
      <c r="X811">
        <v>2</v>
      </c>
      <c r="Y811">
        <v>0</v>
      </c>
      <c r="AA811">
        <v>1</v>
      </c>
      <c r="AB811">
        <v>8</v>
      </c>
      <c r="AC811">
        <v>3</v>
      </c>
      <c r="AD811">
        <v>0</v>
      </c>
      <c r="AE811">
        <v>9</v>
      </c>
      <c r="AF811" t="s">
        <v>138</v>
      </c>
      <c r="AG811">
        <v>0</v>
      </c>
      <c r="AH811">
        <v>3</v>
      </c>
      <c r="AI811">
        <v>2</v>
      </c>
      <c r="AJ811">
        <v>0</v>
      </c>
      <c r="AK811" t="s">
        <v>357</v>
      </c>
      <c r="AL811">
        <v>38.974364000000001</v>
      </c>
      <c r="AM811" t="s">
        <v>358</v>
      </c>
      <c r="AN811">
        <v>-121.050518</v>
      </c>
      <c r="AO811">
        <v>25</v>
      </c>
      <c r="AP811">
        <v>2800</v>
      </c>
      <c r="AQ811" t="s">
        <v>131</v>
      </c>
      <c r="AR811">
        <v>-9</v>
      </c>
      <c r="AS811">
        <v>85</v>
      </c>
      <c r="AT811">
        <v>512</v>
      </c>
      <c r="BB811" t="str">
        <f t="shared" si="307"/>
        <v>1200</v>
      </c>
      <c r="BC811">
        <v>1</v>
      </c>
      <c r="BD811" t="str">
        <f t="shared" si="308"/>
        <v xml:space="preserve">N52156  </v>
      </c>
      <c r="BE811">
        <v>1</v>
      </c>
      <c r="BG811">
        <v>0</v>
      </c>
      <c r="BH811">
        <v>0</v>
      </c>
      <c r="BI811">
        <v>0</v>
      </c>
      <c r="BJ811">
        <v>2700</v>
      </c>
      <c r="BK811">
        <v>-100</v>
      </c>
      <c r="BL811" t="s">
        <v>188</v>
      </c>
      <c r="BM811">
        <v>1</v>
      </c>
      <c r="BN811">
        <v>1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 t="shared" si="321"/>
        <v>15:06:46.650</v>
      </c>
      <c r="CF811">
        <v>649950904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133</v>
      </c>
      <c r="DA811">
        <v>275</v>
      </c>
      <c r="DB811">
        <v>0</v>
      </c>
      <c r="DC811" t="s">
        <v>134</v>
      </c>
      <c r="DD811" t="s">
        <v>135</v>
      </c>
      <c r="DG811">
        <v>3319224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"05/01/2025 15:06:47.591"</f>
        <v>05/01/2025 15:06:47.591</v>
      </c>
      <c r="C812" t="str">
        <f t="shared" si="304"/>
        <v>FFDFD3C0</v>
      </c>
      <c r="D812" t="s">
        <v>140</v>
      </c>
      <c r="E812" t="str">
        <f>"13"</f>
        <v>13</v>
      </c>
      <c r="F812">
        <v>1019</v>
      </c>
      <c r="G812" t="s">
        <v>141</v>
      </c>
      <c r="J812" t="s">
        <v>142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R812" t="s">
        <v>127</v>
      </c>
      <c r="S812" t="str">
        <f t="shared" ref="S812:T817" si="322">"15:06:47.000"</f>
        <v>15:06:47.000</v>
      </c>
      <c r="T812" t="str">
        <f t="shared" si="322"/>
        <v>15:06:47.000</v>
      </c>
      <c r="U812" t="str">
        <f t="shared" si="306"/>
        <v>A68FCB</v>
      </c>
      <c r="V812">
        <v>0</v>
      </c>
      <c r="W812">
        <v>0</v>
      </c>
      <c r="X812">
        <v>2</v>
      </c>
      <c r="Y812">
        <v>0</v>
      </c>
      <c r="AA812">
        <v>1</v>
      </c>
      <c r="AB812">
        <v>8</v>
      </c>
      <c r="AC812">
        <v>3</v>
      </c>
      <c r="AD812">
        <v>0</v>
      </c>
      <c r="AE812">
        <v>9</v>
      </c>
      <c r="AF812" t="s">
        <v>138</v>
      </c>
      <c r="AG812">
        <v>0</v>
      </c>
      <c r="AH812">
        <v>3</v>
      </c>
      <c r="AI812">
        <v>2</v>
      </c>
      <c r="AJ812">
        <v>0</v>
      </c>
      <c r="AK812" t="s">
        <v>359</v>
      </c>
      <c r="AL812">
        <v>38.97475</v>
      </c>
      <c r="AM812" t="s">
        <v>360</v>
      </c>
      <c r="AN812">
        <v>-121.050603</v>
      </c>
      <c r="AO812">
        <v>25</v>
      </c>
      <c r="AP812">
        <v>2800</v>
      </c>
      <c r="AQ812" t="s">
        <v>131</v>
      </c>
      <c r="AR812">
        <v>-10</v>
      </c>
      <c r="AS812">
        <v>85</v>
      </c>
      <c r="AT812">
        <v>512</v>
      </c>
      <c r="BB812" t="str">
        <f t="shared" si="307"/>
        <v>1200</v>
      </c>
      <c r="BC812">
        <v>1</v>
      </c>
      <c r="BD812" t="str">
        <f t="shared" si="308"/>
        <v xml:space="preserve">N52156  </v>
      </c>
      <c r="BE812">
        <v>1</v>
      </c>
      <c r="BG812">
        <v>0</v>
      </c>
      <c r="BH812">
        <v>0</v>
      </c>
      <c r="BI812">
        <v>0</v>
      </c>
      <c r="BJ812">
        <v>2750</v>
      </c>
      <c r="BK812">
        <v>-50</v>
      </c>
      <c r="BL812" t="s">
        <v>188</v>
      </c>
      <c r="BM812">
        <v>1</v>
      </c>
      <c r="BN812">
        <v>1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 t="shared" ref="CE812:CE817" si="323">"15:06:47.380"</f>
        <v>15:06:47.380</v>
      </c>
      <c r="CF812">
        <v>380200284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133</v>
      </c>
      <c r="DA812">
        <v>275</v>
      </c>
      <c r="DB812">
        <v>0</v>
      </c>
      <c r="DC812" t="s">
        <v>134</v>
      </c>
      <c r="DD812" t="s">
        <v>135</v>
      </c>
      <c r="DG812">
        <v>3319236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"05/01/2025 15:06:47.599"</f>
        <v>05/01/2025 15:06:47.599</v>
      </c>
      <c r="C813" t="str">
        <f t="shared" si="304"/>
        <v>FFDFD3C0</v>
      </c>
      <c r="D813" t="s">
        <v>145</v>
      </c>
      <c r="E813" t="str">
        <f>"05"</f>
        <v>05</v>
      </c>
      <c r="H813">
        <v>47</v>
      </c>
      <c r="I813" t="s">
        <v>146</v>
      </c>
      <c r="J813" t="s">
        <v>138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R813" t="s">
        <v>127</v>
      </c>
      <c r="S813" t="str">
        <f t="shared" si="322"/>
        <v>15:06:47.000</v>
      </c>
      <c r="T813" t="str">
        <f t="shared" si="322"/>
        <v>15:06:47.000</v>
      </c>
      <c r="U813" t="str">
        <f t="shared" si="306"/>
        <v>A68FCB</v>
      </c>
      <c r="V813">
        <v>0</v>
      </c>
      <c r="W813">
        <v>0</v>
      </c>
      <c r="X813">
        <v>2</v>
      </c>
      <c r="Y813">
        <v>0</v>
      </c>
      <c r="AA813">
        <v>1</v>
      </c>
      <c r="AB813">
        <v>8</v>
      </c>
      <c r="AC813">
        <v>3</v>
      </c>
      <c r="AD813">
        <v>0</v>
      </c>
      <c r="AE813">
        <v>9</v>
      </c>
      <c r="AF813" t="s">
        <v>138</v>
      </c>
      <c r="AG813">
        <v>0</v>
      </c>
      <c r="AH813">
        <v>3</v>
      </c>
      <c r="AI813">
        <v>2</v>
      </c>
      <c r="AJ813">
        <v>0</v>
      </c>
      <c r="AK813" t="s">
        <v>359</v>
      </c>
      <c r="AL813">
        <v>38.97475</v>
      </c>
      <c r="AM813" t="s">
        <v>360</v>
      </c>
      <c r="AN813">
        <v>-121.050603</v>
      </c>
      <c r="AO813">
        <v>25</v>
      </c>
      <c r="AP813">
        <v>2800</v>
      </c>
      <c r="AQ813" t="s">
        <v>131</v>
      </c>
      <c r="AR813">
        <v>-10</v>
      </c>
      <c r="AS813">
        <v>85</v>
      </c>
      <c r="AT813">
        <v>512</v>
      </c>
      <c r="BB813" t="str">
        <f t="shared" si="307"/>
        <v>1200</v>
      </c>
      <c r="BC813">
        <v>1</v>
      </c>
      <c r="BD813" t="str">
        <f t="shared" si="308"/>
        <v xml:space="preserve">N52156  </v>
      </c>
      <c r="BE813">
        <v>1</v>
      </c>
      <c r="BG813">
        <v>0</v>
      </c>
      <c r="BH813">
        <v>0</v>
      </c>
      <c r="BI813">
        <v>0</v>
      </c>
      <c r="BJ813">
        <v>2750</v>
      </c>
      <c r="BK813">
        <v>-50</v>
      </c>
      <c r="BL813" t="s">
        <v>188</v>
      </c>
      <c r="BM813">
        <v>1</v>
      </c>
      <c r="BN813">
        <v>1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 t="shared" si="323"/>
        <v>15:06:47.380</v>
      </c>
      <c r="CF813">
        <v>380200284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133</v>
      </c>
      <c r="DA813">
        <v>275</v>
      </c>
      <c r="DB813">
        <v>0</v>
      </c>
      <c r="DC813" t="s">
        <v>134</v>
      </c>
      <c r="DD813" t="s">
        <v>135</v>
      </c>
      <c r="DG813">
        <v>3319236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"05/01/2025 15:06:47.598"</f>
        <v>05/01/2025 15:06:47.598</v>
      </c>
      <c r="C814" t="str">
        <f t="shared" si="304"/>
        <v>FFDFD3C0</v>
      </c>
      <c r="D814" t="s">
        <v>124</v>
      </c>
      <c r="E814" t="str">
        <f>"06"</f>
        <v>06</v>
      </c>
      <c r="F814">
        <v>2006</v>
      </c>
      <c r="G814" t="s">
        <v>125</v>
      </c>
      <c r="J814" t="s">
        <v>126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R814" t="s">
        <v>127</v>
      </c>
      <c r="S814" t="str">
        <f t="shared" si="322"/>
        <v>15:06:47.000</v>
      </c>
      <c r="T814" t="str">
        <f t="shared" si="322"/>
        <v>15:06:47.000</v>
      </c>
      <c r="U814" t="str">
        <f t="shared" si="306"/>
        <v>A68FCB</v>
      </c>
      <c r="V814">
        <v>0</v>
      </c>
      <c r="W814">
        <v>0</v>
      </c>
      <c r="X814">
        <v>2</v>
      </c>
      <c r="Y814">
        <v>0</v>
      </c>
      <c r="AA814">
        <v>1</v>
      </c>
      <c r="AB814">
        <v>8</v>
      </c>
      <c r="AC814">
        <v>3</v>
      </c>
      <c r="AD814">
        <v>0</v>
      </c>
      <c r="AE814">
        <v>9</v>
      </c>
      <c r="AF814" t="s">
        <v>138</v>
      </c>
      <c r="AG814">
        <v>0</v>
      </c>
      <c r="AH814">
        <v>3</v>
      </c>
      <c r="AI814">
        <v>2</v>
      </c>
      <c r="AJ814">
        <v>0</v>
      </c>
      <c r="AK814" t="s">
        <v>359</v>
      </c>
      <c r="AL814">
        <v>38.97475</v>
      </c>
      <c r="AM814" t="s">
        <v>360</v>
      </c>
      <c r="AN814">
        <v>-121.050603</v>
      </c>
      <c r="AO814">
        <v>25</v>
      </c>
      <c r="AP814">
        <v>2800</v>
      </c>
      <c r="AQ814" t="s">
        <v>131</v>
      </c>
      <c r="AR814">
        <v>-10</v>
      </c>
      <c r="AS814">
        <v>85</v>
      </c>
      <c r="AT814">
        <v>512</v>
      </c>
      <c r="BB814" t="str">
        <f t="shared" si="307"/>
        <v>1200</v>
      </c>
      <c r="BC814">
        <v>1</v>
      </c>
      <c r="BD814" t="str">
        <f t="shared" si="308"/>
        <v xml:space="preserve">N52156  </v>
      </c>
      <c r="BE814">
        <v>1</v>
      </c>
      <c r="BG814">
        <v>0</v>
      </c>
      <c r="BH814">
        <v>0</v>
      </c>
      <c r="BI814">
        <v>0</v>
      </c>
      <c r="BJ814">
        <v>2750</v>
      </c>
      <c r="BK814">
        <v>-50</v>
      </c>
      <c r="BL814" t="s">
        <v>188</v>
      </c>
      <c r="BM814">
        <v>1</v>
      </c>
      <c r="BN814">
        <v>1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 t="shared" si="323"/>
        <v>15:06:47.380</v>
      </c>
      <c r="CF814">
        <v>380200284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133</v>
      </c>
      <c r="DA814">
        <v>275</v>
      </c>
      <c r="DB814">
        <v>0</v>
      </c>
      <c r="DC814" t="s">
        <v>134</v>
      </c>
      <c r="DD814" t="s">
        <v>135</v>
      </c>
      <c r="DG814">
        <v>3319236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"05/01/2025 15:06:47.601"</f>
        <v>05/01/2025 15:06:47.601</v>
      </c>
      <c r="C815" t="str">
        <f t="shared" si="304"/>
        <v>FFDFD3C0</v>
      </c>
      <c r="D815" t="s">
        <v>145</v>
      </c>
      <c r="E815" t="str">
        <f>"09"</f>
        <v>09</v>
      </c>
      <c r="H815">
        <v>51</v>
      </c>
      <c r="I815" t="s">
        <v>147</v>
      </c>
      <c r="J815" t="s">
        <v>138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R815" t="s">
        <v>127</v>
      </c>
      <c r="S815" t="str">
        <f t="shared" si="322"/>
        <v>15:06:47.000</v>
      </c>
      <c r="T815" t="str">
        <f t="shared" si="322"/>
        <v>15:06:47.000</v>
      </c>
      <c r="U815" t="str">
        <f t="shared" si="306"/>
        <v>A68FCB</v>
      </c>
      <c r="V815">
        <v>0</v>
      </c>
      <c r="W815">
        <v>0</v>
      </c>
      <c r="X815">
        <v>2</v>
      </c>
      <c r="Y815">
        <v>0</v>
      </c>
      <c r="AA815">
        <v>1</v>
      </c>
      <c r="AB815">
        <v>8</v>
      </c>
      <c r="AC815">
        <v>3</v>
      </c>
      <c r="AD815">
        <v>0</v>
      </c>
      <c r="AE815">
        <v>9</v>
      </c>
      <c r="AF815" t="s">
        <v>138</v>
      </c>
      <c r="AG815">
        <v>0</v>
      </c>
      <c r="AH815">
        <v>3</v>
      </c>
      <c r="AI815">
        <v>2</v>
      </c>
      <c r="AJ815">
        <v>0</v>
      </c>
      <c r="AK815" t="s">
        <v>359</v>
      </c>
      <c r="AL815">
        <v>38.97475</v>
      </c>
      <c r="AM815" t="s">
        <v>360</v>
      </c>
      <c r="AN815">
        <v>-121.050603</v>
      </c>
      <c r="AO815">
        <v>25</v>
      </c>
      <c r="AP815">
        <v>2800</v>
      </c>
      <c r="AQ815" t="s">
        <v>131</v>
      </c>
      <c r="AR815">
        <v>-10</v>
      </c>
      <c r="AS815">
        <v>85</v>
      </c>
      <c r="AT815">
        <v>512</v>
      </c>
      <c r="BB815" t="str">
        <f t="shared" si="307"/>
        <v>1200</v>
      </c>
      <c r="BC815">
        <v>1</v>
      </c>
      <c r="BD815" t="str">
        <f t="shared" si="308"/>
        <v xml:space="preserve">N52156  </v>
      </c>
      <c r="BE815">
        <v>1</v>
      </c>
      <c r="BG815">
        <v>0</v>
      </c>
      <c r="BH815">
        <v>0</v>
      </c>
      <c r="BI815">
        <v>0</v>
      </c>
      <c r="BJ815">
        <v>2750</v>
      </c>
      <c r="BK815">
        <v>-50</v>
      </c>
      <c r="BL815" t="s">
        <v>188</v>
      </c>
      <c r="BM815">
        <v>1</v>
      </c>
      <c r="BN815">
        <v>1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 t="shared" si="323"/>
        <v>15:06:47.380</v>
      </c>
      <c r="CF815">
        <v>380200284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133</v>
      </c>
      <c r="DA815">
        <v>275</v>
      </c>
      <c r="DB815">
        <v>0</v>
      </c>
      <c r="DC815" t="s">
        <v>134</v>
      </c>
      <c r="DD815" t="s">
        <v>135</v>
      </c>
      <c r="DG815">
        <v>3319236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"05/01/2025 15:06:47.599"</f>
        <v>05/01/2025 15:06:47.599</v>
      </c>
      <c r="C816" t="str">
        <f t="shared" si="304"/>
        <v>FFDFD3C0</v>
      </c>
      <c r="D816" t="s">
        <v>143</v>
      </c>
      <c r="E816" t="str">
        <f>"05"</f>
        <v>05</v>
      </c>
      <c r="H816">
        <v>172</v>
      </c>
      <c r="I816" t="s">
        <v>141</v>
      </c>
      <c r="J816" t="s">
        <v>144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R816" t="s">
        <v>127</v>
      </c>
      <c r="S816" t="str">
        <f t="shared" si="322"/>
        <v>15:06:47.000</v>
      </c>
      <c r="T816" t="str">
        <f t="shared" si="322"/>
        <v>15:06:47.000</v>
      </c>
      <c r="U816" t="str">
        <f t="shared" si="306"/>
        <v>A68FCB</v>
      </c>
      <c r="V816">
        <v>0</v>
      </c>
      <c r="W816">
        <v>0</v>
      </c>
      <c r="X816">
        <v>2</v>
      </c>
      <c r="Y816">
        <v>0</v>
      </c>
      <c r="AA816">
        <v>1</v>
      </c>
      <c r="AB816">
        <v>8</v>
      </c>
      <c r="AC816">
        <v>3</v>
      </c>
      <c r="AD816">
        <v>0</v>
      </c>
      <c r="AE816">
        <v>9</v>
      </c>
      <c r="AF816" t="s">
        <v>138</v>
      </c>
      <c r="AG816">
        <v>0</v>
      </c>
      <c r="AH816">
        <v>3</v>
      </c>
      <c r="AI816">
        <v>2</v>
      </c>
      <c r="AJ816">
        <v>0</v>
      </c>
      <c r="AK816" t="s">
        <v>359</v>
      </c>
      <c r="AL816">
        <v>38.97475</v>
      </c>
      <c r="AM816" t="s">
        <v>360</v>
      </c>
      <c r="AN816">
        <v>-121.050603</v>
      </c>
      <c r="AO816">
        <v>25</v>
      </c>
      <c r="AP816">
        <v>2800</v>
      </c>
      <c r="AQ816" t="s">
        <v>131</v>
      </c>
      <c r="AR816">
        <v>-10</v>
      </c>
      <c r="AS816">
        <v>85</v>
      </c>
      <c r="AT816">
        <v>512</v>
      </c>
      <c r="BB816" t="str">
        <f t="shared" si="307"/>
        <v>1200</v>
      </c>
      <c r="BC816">
        <v>1</v>
      </c>
      <c r="BD816" t="str">
        <f t="shared" si="308"/>
        <v xml:space="preserve">N52156  </v>
      </c>
      <c r="BE816">
        <v>1</v>
      </c>
      <c r="BG816">
        <v>0</v>
      </c>
      <c r="BH816">
        <v>0</v>
      </c>
      <c r="BI816">
        <v>0</v>
      </c>
      <c r="BJ816">
        <v>2750</v>
      </c>
      <c r="BK816">
        <v>-50</v>
      </c>
      <c r="BL816" t="s">
        <v>188</v>
      </c>
      <c r="BM816">
        <v>1</v>
      </c>
      <c r="BN816">
        <v>1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 t="shared" si="323"/>
        <v>15:06:47.380</v>
      </c>
      <c r="CF816">
        <v>380200284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133</v>
      </c>
      <c r="DA816">
        <v>275</v>
      </c>
      <c r="DB816">
        <v>0</v>
      </c>
      <c r="DC816" t="s">
        <v>134</v>
      </c>
      <c r="DD816" t="s">
        <v>135</v>
      </c>
      <c r="DG816">
        <v>3319236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"05/01/2025 15:06:47.608"</f>
        <v>05/01/2025 15:06:47.608</v>
      </c>
      <c r="C817" t="str">
        <f t="shared" si="304"/>
        <v>FFDFD3C0</v>
      </c>
      <c r="D817" t="s">
        <v>136</v>
      </c>
      <c r="E817" t="str">
        <f>"20"</f>
        <v>20</v>
      </c>
      <c r="H817">
        <v>400</v>
      </c>
      <c r="I817" t="s">
        <v>137</v>
      </c>
      <c r="J817" t="s">
        <v>138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R817" t="s">
        <v>127</v>
      </c>
      <c r="S817" t="str">
        <f t="shared" si="322"/>
        <v>15:06:47.000</v>
      </c>
      <c r="T817" t="str">
        <f t="shared" si="322"/>
        <v>15:06:47.000</v>
      </c>
      <c r="U817" t="str">
        <f t="shared" si="306"/>
        <v>A68FCB</v>
      </c>
      <c r="V817">
        <v>0</v>
      </c>
      <c r="W817">
        <v>0</v>
      </c>
      <c r="X817">
        <v>2</v>
      </c>
      <c r="Y817">
        <v>0</v>
      </c>
      <c r="AA817">
        <v>1</v>
      </c>
      <c r="AB817">
        <v>8</v>
      </c>
      <c r="AC817">
        <v>3</v>
      </c>
      <c r="AD817">
        <v>0</v>
      </c>
      <c r="AE817">
        <v>9</v>
      </c>
      <c r="AF817" t="s">
        <v>138</v>
      </c>
      <c r="AG817">
        <v>0</v>
      </c>
      <c r="AH817">
        <v>3</v>
      </c>
      <c r="AI817">
        <v>2</v>
      </c>
      <c r="AJ817">
        <v>0</v>
      </c>
      <c r="AK817" t="s">
        <v>359</v>
      </c>
      <c r="AL817">
        <v>38.97475</v>
      </c>
      <c r="AM817" t="s">
        <v>360</v>
      </c>
      <c r="AN817">
        <v>-121.050603</v>
      </c>
      <c r="AO817">
        <v>25</v>
      </c>
      <c r="AP817">
        <v>2800</v>
      </c>
      <c r="AQ817" t="s">
        <v>131</v>
      </c>
      <c r="AR817">
        <v>-10</v>
      </c>
      <c r="AS817">
        <v>85</v>
      </c>
      <c r="AT817">
        <v>512</v>
      </c>
      <c r="BB817" t="str">
        <f t="shared" si="307"/>
        <v>1200</v>
      </c>
      <c r="BC817">
        <v>1</v>
      </c>
      <c r="BD817" t="str">
        <f t="shared" si="308"/>
        <v xml:space="preserve">N52156  </v>
      </c>
      <c r="BE817">
        <v>1</v>
      </c>
      <c r="BG817">
        <v>0</v>
      </c>
      <c r="BH817">
        <v>0</v>
      </c>
      <c r="BI817">
        <v>0</v>
      </c>
      <c r="BJ817">
        <v>2750</v>
      </c>
      <c r="BK817">
        <v>-50</v>
      </c>
      <c r="BL817" t="s">
        <v>188</v>
      </c>
      <c r="BM817">
        <v>1</v>
      </c>
      <c r="BN817">
        <v>1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 t="shared" si="323"/>
        <v>15:06:47.380</v>
      </c>
      <c r="CF817">
        <v>380200284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133</v>
      </c>
      <c r="DA817">
        <v>275</v>
      </c>
      <c r="DB817">
        <v>0</v>
      </c>
      <c r="DC817" t="s">
        <v>134</v>
      </c>
      <c r="DD817" t="s">
        <v>135</v>
      </c>
      <c r="DG817">
        <v>3319236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"05/01/2025 15:06:49.094"</f>
        <v>05/01/2025 15:06:49.094</v>
      </c>
      <c r="C818" t="str">
        <f t="shared" si="304"/>
        <v>FFDFD3C0</v>
      </c>
      <c r="D818" t="s">
        <v>140</v>
      </c>
      <c r="E818" t="str">
        <f>"13"</f>
        <v>13</v>
      </c>
      <c r="F818">
        <v>1019</v>
      </c>
      <c r="G818" t="s">
        <v>141</v>
      </c>
      <c r="J818" t="s">
        <v>142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R818" t="s">
        <v>127</v>
      </c>
      <c r="S818" t="str">
        <f t="shared" ref="S818:T823" si="324">"15:06:48.000"</f>
        <v>15:06:48.000</v>
      </c>
      <c r="T818" t="str">
        <f t="shared" si="324"/>
        <v>15:06:48.000</v>
      </c>
      <c r="U818" t="str">
        <f t="shared" si="306"/>
        <v>A68FCB</v>
      </c>
      <c r="V818">
        <v>0</v>
      </c>
      <c r="W818">
        <v>0</v>
      </c>
      <c r="X818">
        <v>2</v>
      </c>
      <c r="Y818">
        <v>0</v>
      </c>
      <c r="AA818">
        <v>1</v>
      </c>
      <c r="AB818">
        <v>8</v>
      </c>
      <c r="AC818">
        <v>3</v>
      </c>
      <c r="AD818">
        <v>0</v>
      </c>
      <c r="AE818">
        <v>9</v>
      </c>
      <c r="AF818" t="s">
        <v>138</v>
      </c>
      <c r="AG818">
        <v>0</v>
      </c>
      <c r="AH818">
        <v>3</v>
      </c>
      <c r="AI818">
        <v>2</v>
      </c>
      <c r="AJ818">
        <v>0</v>
      </c>
      <c r="AK818" t="s">
        <v>361</v>
      </c>
      <c r="AL818">
        <v>38.975158</v>
      </c>
      <c r="AM818" t="s">
        <v>362</v>
      </c>
      <c r="AN818">
        <v>-121.050668</v>
      </c>
      <c r="AO818">
        <v>25</v>
      </c>
      <c r="AP818">
        <v>2800</v>
      </c>
      <c r="AQ818" t="s">
        <v>131</v>
      </c>
      <c r="AR818">
        <v>-10</v>
      </c>
      <c r="AS818">
        <v>86</v>
      </c>
      <c r="AT818">
        <v>512</v>
      </c>
      <c r="BB818" t="str">
        <f t="shared" si="307"/>
        <v>1200</v>
      </c>
      <c r="BC818">
        <v>1</v>
      </c>
      <c r="BD818" t="str">
        <f t="shared" si="308"/>
        <v xml:space="preserve">N52156  </v>
      </c>
      <c r="BE818">
        <v>1</v>
      </c>
      <c r="BG818">
        <v>0</v>
      </c>
      <c r="BH818">
        <v>0</v>
      </c>
      <c r="BI818">
        <v>0</v>
      </c>
      <c r="BJ818">
        <v>2750</v>
      </c>
      <c r="BK818">
        <v>-50</v>
      </c>
      <c r="BL818" t="s">
        <v>188</v>
      </c>
      <c r="BM818">
        <v>1</v>
      </c>
      <c r="BN818">
        <v>1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 t="shared" ref="CE818:CE823" si="325">"15:06:48.842"</f>
        <v>15:06:48.842</v>
      </c>
      <c r="CF818">
        <v>841701441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133</v>
      </c>
      <c r="DA818">
        <v>275</v>
      </c>
      <c r="DB818">
        <v>0</v>
      </c>
      <c r="DC818" t="s">
        <v>134</v>
      </c>
      <c r="DD818" t="s">
        <v>135</v>
      </c>
      <c r="DG818">
        <v>3319253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"05/01/2025 15:06:49.101"</f>
        <v>05/01/2025 15:06:49.101</v>
      </c>
      <c r="C819" t="str">
        <f t="shared" si="304"/>
        <v>FFDFD3C0</v>
      </c>
      <c r="D819" t="s">
        <v>145</v>
      </c>
      <c r="E819" t="str">
        <f>"05"</f>
        <v>05</v>
      </c>
      <c r="H819">
        <v>47</v>
      </c>
      <c r="I819" t="s">
        <v>146</v>
      </c>
      <c r="J819" t="s">
        <v>138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R819" t="s">
        <v>127</v>
      </c>
      <c r="S819" t="str">
        <f t="shared" si="324"/>
        <v>15:06:48.000</v>
      </c>
      <c r="T819" t="str">
        <f t="shared" si="324"/>
        <v>15:06:48.000</v>
      </c>
      <c r="U819" t="str">
        <f t="shared" si="306"/>
        <v>A68FCB</v>
      </c>
      <c r="V819">
        <v>0</v>
      </c>
      <c r="W819">
        <v>0</v>
      </c>
      <c r="X819">
        <v>2</v>
      </c>
      <c r="Y819">
        <v>0</v>
      </c>
      <c r="AA819">
        <v>1</v>
      </c>
      <c r="AB819">
        <v>8</v>
      </c>
      <c r="AC819">
        <v>3</v>
      </c>
      <c r="AD819">
        <v>0</v>
      </c>
      <c r="AE819">
        <v>9</v>
      </c>
      <c r="AF819" t="s">
        <v>138</v>
      </c>
      <c r="AG819">
        <v>0</v>
      </c>
      <c r="AH819">
        <v>3</v>
      </c>
      <c r="AI819">
        <v>2</v>
      </c>
      <c r="AJ819">
        <v>0</v>
      </c>
      <c r="AK819" t="s">
        <v>361</v>
      </c>
      <c r="AL819">
        <v>38.975158</v>
      </c>
      <c r="AM819" t="s">
        <v>362</v>
      </c>
      <c r="AN819">
        <v>-121.050668</v>
      </c>
      <c r="AO819">
        <v>25</v>
      </c>
      <c r="AP819">
        <v>2800</v>
      </c>
      <c r="AQ819" t="s">
        <v>131</v>
      </c>
      <c r="AR819">
        <v>-10</v>
      </c>
      <c r="AS819">
        <v>86</v>
      </c>
      <c r="AT819">
        <v>512</v>
      </c>
      <c r="BB819" t="str">
        <f t="shared" si="307"/>
        <v>1200</v>
      </c>
      <c r="BC819">
        <v>1</v>
      </c>
      <c r="BD819" t="str">
        <f t="shared" si="308"/>
        <v xml:space="preserve">N52156  </v>
      </c>
      <c r="BE819">
        <v>1</v>
      </c>
      <c r="BG819">
        <v>0</v>
      </c>
      <c r="BH819">
        <v>0</v>
      </c>
      <c r="BI819">
        <v>0</v>
      </c>
      <c r="BJ819">
        <v>2750</v>
      </c>
      <c r="BK819">
        <v>-50</v>
      </c>
      <c r="BL819" t="s">
        <v>188</v>
      </c>
      <c r="BM819">
        <v>1</v>
      </c>
      <c r="BN819">
        <v>1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 t="shared" si="325"/>
        <v>15:06:48.842</v>
      </c>
      <c r="CF819">
        <v>841701441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133</v>
      </c>
      <c r="DA819">
        <v>275</v>
      </c>
      <c r="DB819">
        <v>0</v>
      </c>
      <c r="DC819" t="s">
        <v>134</v>
      </c>
      <c r="DD819" t="s">
        <v>135</v>
      </c>
      <c r="DG819">
        <v>3319253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"05/01/2025 15:06:49.100"</f>
        <v>05/01/2025 15:06:49.100</v>
      </c>
      <c r="C820" t="str">
        <f t="shared" si="304"/>
        <v>FFDFD3C0</v>
      </c>
      <c r="D820" t="s">
        <v>124</v>
      </c>
      <c r="E820" t="str">
        <f>"06"</f>
        <v>06</v>
      </c>
      <c r="F820">
        <v>2006</v>
      </c>
      <c r="G820" t="s">
        <v>125</v>
      </c>
      <c r="J820" t="s">
        <v>126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R820" t="s">
        <v>127</v>
      </c>
      <c r="S820" t="str">
        <f t="shared" si="324"/>
        <v>15:06:48.000</v>
      </c>
      <c r="T820" t="str">
        <f t="shared" si="324"/>
        <v>15:06:48.000</v>
      </c>
      <c r="U820" t="str">
        <f t="shared" si="306"/>
        <v>A68FCB</v>
      </c>
      <c r="V820">
        <v>0</v>
      </c>
      <c r="W820">
        <v>0</v>
      </c>
      <c r="X820">
        <v>2</v>
      </c>
      <c r="Y820">
        <v>0</v>
      </c>
      <c r="AA820">
        <v>1</v>
      </c>
      <c r="AB820">
        <v>8</v>
      </c>
      <c r="AC820">
        <v>3</v>
      </c>
      <c r="AD820">
        <v>0</v>
      </c>
      <c r="AE820">
        <v>9</v>
      </c>
      <c r="AF820" t="s">
        <v>138</v>
      </c>
      <c r="AG820">
        <v>0</v>
      </c>
      <c r="AH820">
        <v>3</v>
      </c>
      <c r="AI820">
        <v>2</v>
      </c>
      <c r="AJ820">
        <v>0</v>
      </c>
      <c r="AK820" t="s">
        <v>361</v>
      </c>
      <c r="AL820">
        <v>38.975158</v>
      </c>
      <c r="AM820" t="s">
        <v>362</v>
      </c>
      <c r="AN820">
        <v>-121.050668</v>
      </c>
      <c r="AO820">
        <v>25</v>
      </c>
      <c r="AP820">
        <v>2800</v>
      </c>
      <c r="AQ820" t="s">
        <v>131</v>
      </c>
      <c r="AR820">
        <v>-10</v>
      </c>
      <c r="AS820">
        <v>86</v>
      </c>
      <c r="AT820">
        <v>512</v>
      </c>
      <c r="BB820" t="str">
        <f t="shared" si="307"/>
        <v>1200</v>
      </c>
      <c r="BC820">
        <v>1</v>
      </c>
      <c r="BD820" t="str">
        <f t="shared" si="308"/>
        <v xml:space="preserve">N52156  </v>
      </c>
      <c r="BE820">
        <v>1</v>
      </c>
      <c r="BG820">
        <v>0</v>
      </c>
      <c r="BH820">
        <v>0</v>
      </c>
      <c r="BI820">
        <v>0</v>
      </c>
      <c r="BJ820">
        <v>2750</v>
      </c>
      <c r="BK820">
        <v>-50</v>
      </c>
      <c r="BL820" t="s">
        <v>188</v>
      </c>
      <c r="BM820">
        <v>1</v>
      </c>
      <c r="BN820">
        <v>1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 t="shared" si="325"/>
        <v>15:06:48.842</v>
      </c>
      <c r="CF820">
        <v>841701441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133</v>
      </c>
      <c r="DA820">
        <v>275</v>
      </c>
      <c r="DB820">
        <v>0</v>
      </c>
      <c r="DC820" t="s">
        <v>134</v>
      </c>
      <c r="DD820" t="s">
        <v>135</v>
      </c>
      <c r="DG820">
        <v>3319253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"05/01/2025 15:06:49.102"</f>
        <v>05/01/2025 15:06:49.102</v>
      </c>
      <c r="C821" t="str">
        <f t="shared" si="304"/>
        <v>FFDFD3C0</v>
      </c>
      <c r="D821" t="s">
        <v>143</v>
      </c>
      <c r="E821" t="str">
        <f>"05"</f>
        <v>05</v>
      </c>
      <c r="H821">
        <v>172</v>
      </c>
      <c r="I821" t="s">
        <v>141</v>
      </c>
      <c r="J821" t="s">
        <v>144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R821" t="s">
        <v>127</v>
      </c>
      <c r="S821" t="str">
        <f t="shared" si="324"/>
        <v>15:06:48.000</v>
      </c>
      <c r="T821" t="str">
        <f t="shared" si="324"/>
        <v>15:06:48.000</v>
      </c>
      <c r="U821" t="str">
        <f t="shared" si="306"/>
        <v>A68FCB</v>
      </c>
      <c r="V821">
        <v>0</v>
      </c>
      <c r="W821">
        <v>0</v>
      </c>
      <c r="X821">
        <v>2</v>
      </c>
      <c r="Y821">
        <v>0</v>
      </c>
      <c r="AA821">
        <v>1</v>
      </c>
      <c r="AB821">
        <v>8</v>
      </c>
      <c r="AC821">
        <v>3</v>
      </c>
      <c r="AD821">
        <v>0</v>
      </c>
      <c r="AE821">
        <v>9</v>
      </c>
      <c r="AF821" t="s">
        <v>138</v>
      </c>
      <c r="AG821">
        <v>0</v>
      </c>
      <c r="AH821">
        <v>3</v>
      </c>
      <c r="AI821">
        <v>2</v>
      </c>
      <c r="AJ821">
        <v>0</v>
      </c>
      <c r="AK821" t="s">
        <v>361</v>
      </c>
      <c r="AL821">
        <v>38.975158</v>
      </c>
      <c r="AM821" t="s">
        <v>362</v>
      </c>
      <c r="AN821">
        <v>-121.050668</v>
      </c>
      <c r="AO821">
        <v>25</v>
      </c>
      <c r="AP821">
        <v>2800</v>
      </c>
      <c r="AQ821" t="s">
        <v>131</v>
      </c>
      <c r="AR821">
        <v>-10</v>
      </c>
      <c r="AS821">
        <v>86</v>
      </c>
      <c r="AT821">
        <v>512</v>
      </c>
      <c r="BB821" t="str">
        <f t="shared" si="307"/>
        <v>1200</v>
      </c>
      <c r="BC821">
        <v>1</v>
      </c>
      <c r="BD821" t="str">
        <f t="shared" si="308"/>
        <v xml:space="preserve">N52156  </v>
      </c>
      <c r="BE821">
        <v>1</v>
      </c>
      <c r="BG821">
        <v>0</v>
      </c>
      <c r="BH821">
        <v>0</v>
      </c>
      <c r="BI821">
        <v>0</v>
      </c>
      <c r="BJ821">
        <v>2750</v>
      </c>
      <c r="BK821">
        <v>-50</v>
      </c>
      <c r="BL821" t="s">
        <v>188</v>
      </c>
      <c r="BM821">
        <v>1</v>
      </c>
      <c r="BN821">
        <v>1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 t="shared" si="325"/>
        <v>15:06:48.842</v>
      </c>
      <c r="CF821">
        <v>841701441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133</v>
      </c>
      <c r="DA821">
        <v>275</v>
      </c>
      <c r="DB821">
        <v>0</v>
      </c>
      <c r="DC821" t="s">
        <v>134</v>
      </c>
      <c r="DD821" t="s">
        <v>135</v>
      </c>
      <c r="DG821">
        <v>3319253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"05/01/2025 15:06:49.103"</f>
        <v>05/01/2025 15:06:49.103</v>
      </c>
      <c r="C822" t="str">
        <f t="shared" si="304"/>
        <v>FFDFD3C0</v>
      </c>
      <c r="D822" t="s">
        <v>145</v>
      </c>
      <c r="E822" t="str">
        <f>"09"</f>
        <v>09</v>
      </c>
      <c r="H822">
        <v>51</v>
      </c>
      <c r="I822" t="s">
        <v>147</v>
      </c>
      <c r="J822" t="s">
        <v>138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R822" t="s">
        <v>127</v>
      </c>
      <c r="S822" t="str">
        <f t="shared" si="324"/>
        <v>15:06:48.000</v>
      </c>
      <c r="T822" t="str">
        <f t="shared" si="324"/>
        <v>15:06:48.000</v>
      </c>
      <c r="U822" t="str">
        <f t="shared" si="306"/>
        <v>A68FCB</v>
      </c>
      <c r="V822">
        <v>0</v>
      </c>
      <c r="W822">
        <v>0</v>
      </c>
      <c r="X822">
        <v>2</v>
      </c>
      <c r="Y822">
        <v>0</v>
      </c>
      <c r="AA822">
        <v>1</v>
      </c>
      <c r="AB822">
        <v>8</v>
      </c>
      <c r="AC822">
        <v>3</v>
      </c>
      <c r="AD822">
        <v>0</v>
      </c>
      <c r="AE822">
        <v>9</v>
      </c>
      <c r="AF822" t="s">
        <v>138</v>
      </c>
      <c r="AG822">
        <v>0</v>
      </c>
      <c r="AH822">
        <v>3</v>
      </c>
      <c r="AI822">
        <v>2</v>
      </c>
      <c r="AJ822">
        <v>0</v>
      </c>
      <c r="AK822" t="s">
        <v>361</v>
      </c>
      <c r="AL822">
        <v>38.975158</v>
      </c>
      <c r="AM822" t="s">
        <v>362</v>
      </c>
      <c r="AN822">
        <v>-121.050668</v>
      </c>
      <c r="AO822">
        <v>25</v>
      </c>
      <c r="AP822">
        <v>2800</v>
      </c>
      <c r="AQ822" t="s">
        <v>131</v>
      </c>
      <c r="AR822">
        <v>-10</v>
      </c>
      <c r="AS822">
        <v>86</v>
      </c>
      <c r="AT822">
        <v>512</v>
      </c>
      <c r="BB822" t="str">
        <f t="shared" si="307"/>
        <v>1200</v>
      </c>
      <c r="BC822">
        <v>1</v>
      </c>
      <c r="BD822" t="str">
        <f t="shared" si="308"/>
        <v xml:space="preserve">N52156  </v>
      </c>
      <c r="BE822">
        <v>1</v>
      </c>
      <c r="BG822">
        <v>0</v>
      </c>
      <c r="BH822">
        <v>0</v>
      </c>
      <c r="BI822">
        <v>0</v>
      </c>
      <c r="BJ822">
        <v>2750</v>
      </c>
      <c r="BK822">
        <v>-50</v>
      </c>
      <c r="BL822" t="s">
        <v>188</v>
      </c>
      <c r="BM822">
        <v>1</v>
      </c>
      <c r="BN822">
        <v>1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 t="shared" si="325"/>
        <v>15:06:48.842</v>
      </c>
      <c r="CF822">
        <v>841701441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5</v>
      </c>
      <c r="CY822">
        <v>7</v>
      </c>
      <c r="CZ822" t="s">
        <v>133</v>
      </c>
      <c r="DA822">
        <v>275</v>
      </c>
      <c r="DB822">
        <v>0</v>
      </c>
      <c r="DC822" t="s">
        <v>134</v>
      </c>
      <c r="DD822" t="s">
        <v>135</v>
      </c>
      <c r="DG822">
        <v>3319253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"05/01/2025 15:06:49.110"</f>
        <v>05/01/2025 15:06:49.110</v>
      </c>
      <c r="C823" t="str">
        <f t="shared" si="304"/>
        <v>FFDFD3C0</v>
      </c>
      <c r="D823" t="s">
        <v>136</v>
      </c>
      <c r="E823" t="str">
        <f>"20"</f>
        <v>20</v>
      </c>
      <c r="H823">
        <v>400</v>
      </c>
      <c r="I823" t="s">
        <v>137</v>
      </c>
      <c r="J823" t="s">
        <v>138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R823" t="s">
        <v>127</v>
      </c>
      <c r="S823" t="str">
        <f t="shared" si="324"/>
        <v>15:06:48.000</v>
      </c>
      <c r="T823" t="str">
        <f t="shared" si="324"/>
        <v>15:06:48.000</v>
      </c>
      <c r="U823" t="str">
        <f t="shared" si="306"/>
        <v>A68FCB</v>
      </c>
      <c r="V823">
        <v>0</v>
      </c>
      <c r="W823">
        <v>0</v>
      </c>
      <c r="X823">
        <v>2</v>
      </c>
      <c r="Y823">
        <v>0</v>
      </c>
      <c r="AA823">
        <v>1</v>
      </c>
      <c r="AB823">
        <v>8</v>
      </c>
      <c r="AC823">
        <v>3</v>
      </c>
      <c r="AD823">
        <v>0</v>
      </c>
      <c r="AE823">
        <v>9</v>
      </c>
      <c r="AF823" t="s">
        <v>138</v>
      </c>
      <c r="AG823">
        <v>0</v>
      </c>
      <c r="AH823">
        <v>3</v>
      </c>
      <c r="AI823">
        <v>2</v>
      </c>
      <c r="AJ823">
        <v>0</v>
      </c>
      <c r="AK823" t="s">
        <v>361</v>
      </c>
      <c r="AL823">
        <v>38.975158</v>
      </c>
      <c r="AM823" t="s">
        <v>362</v>
      </c>
      <c r="AN823">
        <v>-121.050668</v>
      </c>
      <c r="AO823">
        <v>25</v>
      </c>
      <c r="AP823">
        <v>2800</v>
      </c>
      <c r="AQ823" t="s">
        <v>131</v>
      </c>
      <c r="AR823">
        <v>-10</v>
      </c>
      <c r="AS823">
        <v>86</v>
      </c>
      <c r="AT823">
        <v>512</v>
      </c>
      <c r="BB823" t="str">
        <f t="shared" si="307"/>
        <v>1200</v>
      </c>
      <c r="BC823">
        <v>1</v>
      </c>
      <c r="BD823" t="str">
        <f t="shared" si="308"/>
        <v xml:space="preserve">N52156  </v>
      </c>
      <c r="BE823">
        <v>1</v>
      </c>
      <c r="BG823">
        <v>0</v>
      </c>
      <c r="BH823">
        <v>0</v>
      </c>
      <c r="BI823">
        <v>0</v>
      </c>
      <c r="BJ823">
        <v>2750</v>
      </c>
      <c r="BK823">
        <v>-50</v>
      </c>
      <c r="BL823" t="s">
        <v>188</v>
      </c>
      <c r="BM823">
        <v>1</v>
      </c>
      <c r="BN823">
        <v>1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 t="shared" si="325"/>
        <v>15:06:48.842</v>
      </c>
      <c r="CF823">
        <v>841701441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5</v>
      </c>
      <c r="CY823">
        <v>7</v>
      </c>
      <c r="CZ823" t="s">
        <v>133</v>
      </c>
      <c r="DA823">
        <v>275</v>
      </c>
      <c r="DB823">
        <v>0</v>
      </c>
      <c r="DC823" t="s">
        <v>134</v>
      </c>
      <c r="DD823" t="s">
        <v>135</v>
      </c>
      <c r="DG823">
        <v>3319253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"05/01/2025 15:06:49.595"</f>
        <v>05/01/2025 15:06:49.595</v>
      </c>
      <c r="C824" t="str">
        <f t="shared" si="304"/>
        <v>FFDFD3C0</v>
      </c>
      <c r="D824" t="s">
        <v>140</v>
      </c>
      <c r="E824" t="str">
        <f>"13"</f>
        <v>13</v>
      </c>
      <c r="F824">
        <v>1019</v>
      </c>
      <c r="G824" t="s">
        <v>141</v>
      </c>
      <c r="J824" t="s">
        <v>142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R824" t="s">
        <v>127</v>
      </c>
      <c r="S824" t="str">
        <f t="shared" ref="S824:T829" si="326">"15:06:49.000"</f>
        <v>15:06:49.000</v>
      </c>
      <c r="T824" t="str">
        <f t="shared" si="326"/>
        <v>15:06:49.000</v>
      </c>
      <c r="U824" t="str">
        <f t="shared" si="306"/>
        <v>A68FCB</v>
      </c>
      <c r="V824">
        <v>0</v>
      </c>
      <c r="W824">
        <v>0</v>
      </c>
      <c r="X824">
        <v>2</v>
      </c>
      <c r="Y824">
        <v>0</v>
      </c>
      <c r="AA824">
        <v>1</v>
      </c>
      <c r="AB824">
        <v>8</v>
      </c>
      <c r="AC824">
        <v>3</v>
      </c>
      <c r="AD824">
        <v>0</v>
      </c>
      <c r="AE824">
        <v>9</v>
      </c>
      <c r="AF824" t="s">
        <v>138</v>
      </c>
      <c r="AG824">
        <v>0</v>
      </c>
      <c r="AH824">
        <v>3</v>
      </c>
      <c r="AI824">
        <v>2</v>
      </c>
      <c r="AJ824">
        <v>0</v>
      </c>
      <c r="AK824" t="s">
        <v>363</v>
      </c>
      <c r="AL824">
        <v>38.975673</v>
      </c>
      <c r="AM824" t="s">
        <v>362</v>
      </c>
      <c r="AN824">
        <v>-121.050668</v>
      </c>
      <c r="AO824">
        <v>25</v>
      </c>
      <c r="AP824">
        <v>2800</v>
      </c>
      <c r="AQ824" t="s">
        <v>131</v>
      </c>
      <c r="AR824">
        <v>-10</v>
      </c>
      <c r="AS824">
        <v>86</v>
      </c>
      <c r="AT824">
        <v>512</v>
      </c>
      <c r="BB824" t="str">
        <f t="shared" si="307"/>
        <v>1200</v>
      </c>
      <c r="BC824">
        <v>1</v>
      </c>
      <c r="BD824" t="str">
        <f t="shared" si="308"/>
        <v xml:space="preserve">N52156  </v>
      </c>
      <c r="BE824">
        <v>1</v>
      </c>
      <c r="BG824">
        <v>0</v>
      </c>
      <c r="BH824">
        <v>0</v>
      </c>
      <c r="BI824">
        <v>0</v>
      </c>
      <c r="BJ824">
        <v>2750</v>
      </c>
      <c r="BK824">
        <v>-50</v>
      </c>
      <c r="BL824" t="s">
        <v>188</v>
      </c>
      <c r="BM824">
        <v>1</v>
      </c>
      <c r="BN824">
        <v>1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 t="shared" ref="CE824:CE829" si="327">"15:06:49.371"</f>
        <v>15:06:49.371</v>
      </c>
      <c r="CF824">
        <v>371200272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5</v>
      </c>
      <c r="CY824">
        <v>7</v>
      </c>
      <c r="CZ824" t="s">
        <v>133</v>
      </c>
      <c r="DA824">
        <v>275</v>
      </c>
      <c r="DB824">
        <v>0</v>
      </c>
      <c r="DC824" t="s">
        <v>134</v>
      </c>
      <c r="DD824" t="s">
        <v>135</v>
      </c>
      <c r="DG824">
        <v>3319259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"05/01/2025 15:06:49.601"</f>
        <v>05/01/2025 15:06:49.601</v>
      </c>
      <c r="C825" t="str">
        <f t="shared" si="304"/>
        <v>FFDFD3C0</v>
      </c>
      <c r="D825" t="s">
        <v>124</v>
      </c>
      <c r="E825" t="str">
        <f>"06"</f>
        <v>06</v>
      </c>
      <c r="F825">
        <v>2006</v>
      </c>
      <c r="G825" t="s">
        <v>125</v>
      </c>
      <c r="J825" t="s">
        <v>126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R825" t="s">
        <v>127</v>
      </c>
      <c r="S825" t="str">
        <f t="shared" si="326"/>
        <v>15:06:49.000</v>
      </c>
      <c r="T825" t="str">
        <f t="shared" si="326"/>
        <v>15:06:49.000</v>
      </c>
      <c r="U825" t="str">
        <f t="shared" si="306"/>
        <v>A68FCB</v>
      </c>
      <c r="V825">
        <v>0</v>
      </c>
      <c r="W825">
        <v>0</v>
      </c>
      <c r="X825">
        <v>2</v>
      </c>
      <c r="Y825">
        <v>0</v>
      </c>
      <c r="AA825">
        <v>1</v>
      </c>
      <c r="AB825">
        <v>8</v>
      </c>
      <c r="AC825">
        <v>3</v>
      </c>
      <c r="AD825">
        <v>0</v>
      </c>
      <c r="AE825">
        <v>9</v>
      </c>
      <c r="AF825" t="s">
        <v>138</v>
      </c>
      <c r="AG825">
        <v>0</v>
      </c>
      <c r="AH825">
        <v>3</v>
      </c>
      <c r="AI825">
        <v>2</v>
      </c>
      <c r="AJ825">
        <v>0</v>
      </c>
      <c r="AK825" t="s">
        <v>363</v>
      </c>
      <c r="AL825">
        <v>38.975673</v>
      </c>
      <c r="AM825" t="s">
        <v>362</v>
      </c>
      <c r="AN825">
        <v>-121.050668</v>
      </c>
      <c r="AO825">
        <v>25</v>
      </c>
      <c r="AP825">
        <v>2800</v>
      </c>
      <c r="AQ825" t="s">
        <v>131</v>
      </c>
      <c r="AR825">
        <v>-10</v>
      </c>
      <c r="AS825">
        <v>86</v>
      </c>
      <c r="AT825">
        <v>512</v>
      </c>
      <c r="BB825" t="str">
        <f t="shared" si="307"/>
        <v>1200</v>
      </c>
      <c r="BC825">
        <v>1</v>
      </c>
      <c r="BD825" t="str">
        <f t="shared" si="308"/>
        <v xml:space="preserve">N52156  </v>
      </c>
      <c r="BE825">
        <v>1</v>
      </c>
      <c r="BG825">
        <v>0</v>
      </c>
      <c r="BH825">
        <v>0</v>
      </c>
      <c r="BI825">
        <v>0</v>
      </c>
      <c r="BJ825">
        <v>2750</v>
      </c>
      <c r="BK825">
        <v>-50</v>
      </c>
      <c r="BL825" t="s">
        <v>188</v>
      </c>
      <c r="BM825">
        <v>1</v>
      </c>
      <c r="BN825">
        <v>1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 t="shared" si="327"/>
        <v>15:06:49.371</v>
      </c>
      <c r="CF825">
        <v>371200272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5</v>
      </c>
      <c r="CY825">
        <v>7</v>
      </c>
      <c r="CZ825" t="s">
        <v>133</v>
      </c>
      <c r="DA825">
        <v>275</v>
      </c>
      <c r="DB825">
        <v>0</v>
      </c>
      <c r="DC825" t="s">
        <v>134</v>
      </c>
      <c r="DD825" t="s">
        <v>135</v>
      </c>
      <c r="DG825">
        <v>3319259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"05/01/2025 15:06:49.603"</f>
        <v>05/01/2025 15:06:49.603</v>
      </c>
      <c r="C826" t="str">
        <f t="shared" si="304"/>
        <v>FFDFD3C0</v>
      </c>
      <c r="D826" t="s">
        <v>143</v>
      </c>
      <c r="E826" t="str">
        <f>"05"</f>
        <v>05</v>
      </c>
      <c r="H826">
        <v>172</v>
      </c>
      <c r="I826" t="s">
        <v>141</v>
      </c>
      <c r="J826" t="s">
        <v>144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R826" t="s">
        <v>127</v>
      </c>
      <c r="S826" t="str">
        <f t="shared" si="326"/>
        <v>15:06:49.000</v>
      </c>
      <c r="T826" t="str">
        <f t="shared" si="326"/>
        <v>15:06:49.000</v>
      </c>
      <c r="U826" t="str">
        <f t="shared" si="306"/>
        <v>A68FCB</v>
      </c>
      <c r="V826">
        <v>0</v>
      </c>
      <c r="W826">
        <v>0</v>
      </c>
      <c r="X826">
        <v>2</v>
      </c>
      <c r="Y826">
        <v>0</v>
      </c>
      <c r="AA826">
        <v>1</v>
      </c>
      <c r="AB826">
        <v>8</v>
      </c>
      <c r="AC826">
        <v>3</v>
      </c>
      <c r="AD826">
        <v>0</v>
      </c>
      <c r="AE826">
        <v>9</v>
      </c>
      <c r="AF826" t="s">
        <v>138</v>
      </c>
      <c r="AG826">
        <v>0</v>
      </c>
      <c r="AH826">
        <v>3</v>
      </c>
      <c r="AI826">
        <v>2</v>
      </c>
      <c r="AJ826">
        <v>0</v>
      </c>
      <c r="AK826" t="s">
        <v>363</v>
      </c>
      <c r="AL826">
        <v>38.975673</v>
      </c>
      <c r="AM826" t="s">
        <v>362</v>
      </c>
      <c r="AN826">
        <v>-121.050668</v>
      </c>
      <c r="AO826">
        <v>25</v>
      </c>
      <c r="AP826">
        <v>2800</v>
      </c>
      <c r="AQ826" t="s">
        <v>131</v>
      </c>
      <c r="AR826">
        <v>-10</v>
      </c>
      <c r="AS826">
        <v>86</v>
      </c>
      <c r="AT826">
        <v>512</v>
      </c>
      <c r="BB826" t="str">
        <f t="shared" si="307"/>
        <v>1200</v>
      </c>
      <c r="BC826">
        <v>1</v>
      </c>
      <c r="BD826" t="str">
        <f t="shared" si="308"/>
        <v xml:space="preserve">N52156  </v>
      </c>
      <c r="BE826">
        <v>1</v>
      </c>
      <c r="BG826">
        <v>0</v>
      </c>
      <c r="BH826">
        <v>0</v>
      </c>
      <c r="BI826">
        <v>0</v>
      </c>
      <c r="BJ826">
        <v>2750</v>
      </c>
      <c r="BK826">
        <v>-50</v>
      </c>
      <c r="BL826" t="s">
        <v>188</v>
      </c>
      <c r="BM826">
        <v>1</v>
      </c>
      <c r="BN826">
        <v>1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 t="shared" si="327"/>
        <v>15:06:49.371</v>
      </c>
      <c r="CF826">
        <v>371200272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5</v>
      </c>
      <c r="CY826">
        <v>7</v>
      </c>
      <c r="CZ826" t="s">
        <v>133</v>
      </c>
      <c r="DA826">
        <v>275</v>
      </c>
      <c r="DB826">
        <v>0</v>
      </c>
      <c r="DC826" t="s">
        <v>134</v>
      </c>
      <c r="DD826" t="s">
        <v>135</v>
      </c>
      <c r="DG826">
        <v>3319259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"05/01/2025 15:06:49.601"</f>
        <v>05/01/2025 15:06:49.601</v>
      </c>
      <c r="C827" t="str">
        <f t="shared" si="304"/>
        <v>FFDFD3C0</v>
      </c>
      <c r="D827" t="s">
        <v>145</v>
      </c>
      <c r="E827" t="str">
        <f>"05"</f>
        <v>05</v>
      </c>
      <c r="H827">
        <v>47</v>
      </c>
      <c r="I827" t="s">
        <v>146</v>
      </c>
      <c r="J827" t="s">
        <v>138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R827" t="s">
        <v>127</v>
      </c>
      <c r="S827" t="str">
        <f t="shared" si="326"/>
        <v>15:06:49.000</v>
      </c>
      <c r="T827" t="str">
        <f t="shared" si="326"/>
        <v>15:06:49.000</v>
      </c>
      <c r="U827" t="str">
        <f t="shared" si="306"/>
        <v>A68FCB</v>
      </c>
      <c r="V827">
        <v>0</v>
      </c>
      <c r="W827">
        <v>0</v>
      </c>
      <c r="X827">
        <v>2</v>
      </c>
      <c r="Y827">
        <v>0</v>
      </c>
      <c r="AA827">
        <v>1</v>
      </c>
      <c r="AB827">
        <v>8</v>
      </c>
      <c r="AC827">
        <v>3</v>
      </c>
      <c r="AD827">
        <v>0</v>
      </c>
      <c r="AE827">
        <v>9</v>
      </c>
      <c r="AF827" t="s">
        <v>138</v>
      </c>
      <c r="AG827">
        <v>0</v>
      </c>
      <c r="AH827">
        <v>3</v>
      </c>
      <c r="AI827">
        <v>2</v>
      </c>
      <c r="AJ827">
        <v>0</v>
      </c>
      <c r="AK827" t="s">
        <v>363</v>
      </c>
      <c r="AL827">
        <v>38.975673</v>
      </c>
      <c r="AM827" t="s">
        <v>362</v>
      </c>
      <c r="AN827">
        <v>-121.050668</v>
      </c>
      <c r="AO827">
        <v>25</v>
      </c>
      <c r="AP827">
        <v>2800</v>
      </c>
      <c r="AQ827" t="s">
        <v>131</v>
      </c>
      <c r="AR827">
        <v>-10</v>
      </c>
      <c r="AS827">
        <v>86</v>
      </c>
      <c r="AT827">
        <v>512</v>
      </c>
      <c r="BB827" t="str">
        <f t="shared" si="307"/>
        <v>1200</v>
      </c>
      <c r="BC827">
        <v>1</v>
      </c>
      <c r="BD827" t="str">
        <f t="shared" si="308"/>
        <v xml:space="preserve">N52156  </v>
      </c>
      <c r="BE827">
        <v>1</v>
      </c>
      <c r="BG827">
        <v>0</v>
      </c>
      <c r="BH827">
        <v>0</v>
      </c>
      <c r="BI827">
        <v>0</v>
      </c>
      <c r="BJ827">
        <v>2750</v>
      </c>
      <c r="BK827">
        <v>-50</v>
      </c>
      <c r="BL827" t="s">
        <v>188</v>
      </c>
      <c r="BM827">
        <v>1</v>
      </c>
      <c r="BN827">
        <v>1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 t="shared" si="327"/>
        <v>15:06:49.371</v>
      </c>
      <c r="CF827">
        <v>371200272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5</v>
      </c>
      <c r="CY827">
        <v>7</v>
      </c>
      <c r="CZ827" t="s">
        <v>133</v>
      </c>
      <c r="DA827">
        <v>275</v>
      </c>
      <c r="DB827">
        <v>0</v>
      </c>
      <c r="DC827" t="s">
        <v>134</v>
      </c>
      <c r="DD827" t="s">
        <v>135</v>
      </c>
      <c r="DG827">
        <v>3319259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"05/01/2025 15:06:49.604"</f>
        <v>05/01/2025 15:06:49.604</v>
      </c>
      <c r="C828" t="str">
        <f t="shared" si="304"/>
        <v>FFDFD3C0</v>
      </c>
      <c r="D828" t="s">
        <v>145</v>
      </c>
      <c r="E828" t="str">
        <f>"09"</f>
        <v>09</v>
      </c>
      <c r="H828">
        <v>51</v>
      </c>
      <c r="I828" t="s">
        <v>147</v>
      </c>
      <c r="J828" t="s">
        <v>138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R828" t="s">
        <v>127</v>
      </c>
      <c r="S828" t="str">
        <f t="shared" si="326"/>
        <v>15:06:49.000</v>
      </c>
      <c r="T828" t="str">
        <f t="shared" si="326"/>
        <v>15:06:49.000</v>
      </c>
      <c r="U828" t="str">
        <f t="shared" si="306"/>
        <v>A68FCB</v>
      </c>
      <c r="V828">
        <v>0</v>
      </c>
      <c r="W828">
        <v>0</v>
      </c>
      <c r="X828">
        <v>2</v>
      </c>
      <c r="Y828">
        <v>0</v>
      </c>
      <c r="AA828">
        <v>1</v>
      </c>
      <c r="AB828">
        <v>8</v>
      </c>
      <c r="AC828">
        <v>3</v>
      </c>
      <c r="AD828">
        <v>0</v>
      </c>
      <c r="AE828">
        <v>9</v>
      </c>
      <c r="AF828" t="s">
        <v>138</v>
      </c>
      <c r="AG828">
        <v>0</v>
      </c>
      <c r="AH828">
        <v>3</v>
      </c>
      <c r="AI828">
        <v>2</v>
      </c>
      <c r="AJ828">
        <v>0</v>
      </c>
      <c r="AK828" t="s">
        <v>363</v>
      </c>
      <c r="AL828">
        <v>38.975673</v>
      </c>
      <c r="AM828" t="s">
        <v>362</v>
      </c>
      <c r="AN828">
        <v>-121.050668</v>
      </c>
      <c r="AO828">
        <v>25</v>
      </c>
      <c r="AP828">
        <v>2800</v>
      </c>
      <c r="AQ828" t="s">
        <v>131</v>
      </c>
      <c r="AR828">
        <v>-10</v>
      </c>
      <c r="AS828">
        <v>86</v>
      </c>
      <c r="AT828">
        <v>512</v>
      </c>
      <c r="BB828" t="str">
        <f t="shared" si="307"/>
        <v>1200</v>
      </c>
      <c r="BC828">
        <v>1</v>
      </c>
      <c r="BD828" t="str">
        <f t="shared" si="308"/>
        <v xml:space="preserve">N52156  </v>
      </c>
      <c r="BE828">
        <v>1</v>
      </c>
      <c r="BG828">
        <v>0</v>
      </c>
      <c r="BH828">
        <v>0</v>
      </c>
      <c r="BI828">
        <v>0</v>
      </c>
      <c r="BJ828">
        <v>2750</v>
      </c>
      <c r="BK828">
        <v>-50</v>
      </c>
      <c r="BL828" t="s">
        <v>188</v>
      </c>
      <c r="BM828">
        <v>1</v>
      </c>
      <c r="BN828">
        <v>1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 t="shared" si="327"/>
        <v>15:06:49.371</v>
      </c>
      <c r="CF828">
        <v>371200272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133</v>
      </c>
      <c r="DA828">
        <v>275</v>
      </c>
      <c r="DB828">
        <v>0</v>
      </c>
      <c r="DC828" t="s">
        <v>134</v>
      </c>
      <c r="DD828" t="s">
        <v>135</v>
      </c>
      <c r="DG828">
        <v>3319259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"05/01/2025 15:06:49.611"</f>
        <v>05/01/2025 15:06:49.611</v>
      </c>
      <c r="C829" t="str">
        <f t="shared" si="304"/>
        <v>FFDFD3C0</v>
      </c>
      <c r="D829" t="s">
        <v>136</v>
      </c>
      <c r="E829" t="str">
        <f>"20"</f>
        <v>20</v>
      </c>
      <c r="H829">
        <v>400</v>
      </c>
      <c r="I829" t="s">
        <v>137</v>
      </c>
      <c r="J829" t="s">
        <v>138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R829" t="s">
        <v>127</v>
      </c>
      <c r="S829" t="str">
        <f t="shared" si="326"/>
        <v>15:06:49.000</v>
      </c>
      <c r="T829" t="str">
        <f t="shared" si="326"/>
        <v>15:06:49.000</v>
      </c>
      <c r="U829" t="str">
        <f t="shared" si="306"/>
        <v>A68FCB</v>
      </c>
      <c r="V829">
        <v>0</v>
      </c>
      <c r="W829">
        <v>0</v>
      </c>
      <c r="X829">
        <v>2</v>
      </c>
      <c r="Y829">
        <v>0</v>
      </c>
      <c r="AA829">
        <v>1</v>
      </c>
      <c r="AB829">
        <v>8</v>
      </c>
      <c r="AC829">
        <v>3</v>
      </c>
      <c r="AD829">
        <v>0</v>
      </c>
      <c r="AE829">
        <v>9</v>
      </c>
      <c r="AF829" t="s">
        <v>138</v>
      </c>
      <c r="AG829">
        <v>0</v>
      </c>
      <c r="AH829">
        <v>3</v>
      </c>
      <c r="AI829">
        <v>2</v>
      </c>
      <c r="AJ829">
        <v>0</v>
      </c>
      <c r="AK829" t="s">
        <v>363</v>
      </c>
      <c r="AL829">
        <v>38.975673</v>
      </c>
      <c r="AM829" t="s">
        <v>362</v>
      </c>
      <c r="AN829">
        <v>-121.050668</v>
      </c>
      <c r="AO829">
        <v>25</v>
      </c>
      <c r="AP829">
        <v>2800</v>
      </c>
      <c r="AQ829" t="s">
        <v>131</v>
      </c>
      <c r="AR829">
        <v>-10</v>
      </c>
      <c r="AS829">
        <v>86</v>
      </c>
      <c r="AT829">
        <v>512</v>
      </c>
      <c r="BB829" t="str">
        <f t="shared" si="307"/>
        <v>1200</v>
      </c>
      <c r="BC829">
        <v>1</v>
      </c>
      <c r="BD829" t="str">
        <f t="shared" si="308"/>
        <v xml:space="preserve">N52156  </v>
      </c>
      <c r="BE829">
        <v>1</v>
      </c>
      <c r="BG829">
        <v>0</v>
      </c>
      <c r="BH829">
        <v>0</v>
      </c>
      <c r="BI829">
        <v>0</v>
      </c>
      <c r="BJ829">
        <v>2750</v>
      </c>
      <c r="BK829">
        <v>-50</v>
      </c>
      <c r="BL829" t="s">
        <v>188</v>
      </c>
      <c r="BM829">
        <v>1</v>
      </c>
      <c r="BN829">
        <v>1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 t="shared" si="327"/>
        <v>15:06:49.371</v>
      </c>
      <c r="CF829">
        <v>371200272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5</v>
      </c>
      <c r="CY829">
        <v>7</v>
      </c>
      <c r="CZ829" t="s">
        <v>133</v>
      </c>
      <c r="DA829">
        <v>275</v>
      </c>
      <c r="DB829">
        <v>0</v>
      </c>
      <c r="DC829" t="s">
        <v>134</v>
      </c>
      <c r="DD829" t="s">
        <v>135</v>
      </c>
      <c r="DG829">
        <v>3319259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"05/01/2025 15:06:51.063"</f>
        <v>05/01/2025 15:06:51.063</v>
      </c>
      <c r="C830" t="str">
        <f t="shared" si="304"/>
        <v>FFDFD3C0</v>
      </c>
      <c r="D830" t="s">
        <v>136</v>
      </c>
      <c r="E830" t="str">
        <f>"20"</f>
        <v>20</v>
      </c>
      <c r="H830">
        <v>400</v>
      </c>
      <c r="I830" t="s">
        <v>137</v>
      </c>
      <c r="J830" t="s">
        <v>138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R830" t="s">
        <v>127</v>
      </c>
      <c r="S830" t="str">
        <f t="shared" ref="S830:T835" si="328">"15:06:50.000"</f>
        <v>15:06:50.000</v>
      </c>
      <c r="T830" t="str">
        <f t="shared" si="328"/>
        <v>15:06:50.000</v>
      </c>
      <c r="U830" t="str">
        <f t="shared" si="306"/>
        <v>A68FCB</v>
      </c>
      <c r="V830">
        <v>0</v>
      </c>
      <c r="W830">
        <v>0</v>
      </c>
      <c r="X830">
        <v>2</v>
      </c>
      <c r="Y830">
        <v>0</v>
      </c>
      <c r="AA830">
        <v>1</v>
      </c>
      <c r="AB830">
        <v>8</v>
      </c>
      <c r="AC830">
        <v>3</v>
      </c>
      <c r="AD830">
        <v>0</v>
      </c>
      <c r="AE830">
        <v>9</v>
      </c>
      <c r="AF830" t="s">
        <v>138</v>
      </c>
      <c r="AG830">
        <v>0</v>
      </c>
      <c r="AH830">
        <v>3</v>
      </c>
      <c r="AI830">
        <v>2</v>
      </c>
      <c r="AJ830">
        <v>0</v>
      </c>
      <c r="AK830" t="s">
        <v>364</v>
      </c>
      <c r="AL830">
        <v>38.975951999999999</v>
      </c>
      <c r="AM830" t="s">
        <v>365</v>
      </c>
      <c r="AN830">
        <v>-121.050775</v>
      </c>
      <c r="AO830">
        <v>25</v>
      </c>
      <c r="AP830">
        <v>2800</v>
      </c>
      <c r="AQ830" t="s">
        <v>131</v>
      </c>
      <c r="AR830">
        <v>-11</v>
      </c>
      <c r="AS830">
        <v>86</v>
      </c>
      <c r="AT830">
        <v>576</v>
      </c>
      <c r="BB830" t="str">
        <f t="shared" si="307"/>
        <v>1200</v>
      </c>
      <c r="BC830">
        <v>1</v>
      </c>
      <c r="BD830" t="str">
        <f t="shared" si="308"/>
        <v xml:space="preserve">N52156  </v>
      </c>
      <c r="BE830">
        <v>1</v>
      </c>
      <c r="BG830">
        <v>0</v>
      </c>
      <c r="BH830">
        <v>0</v>
      </c>
      <c r="BI830">
        <v>0</v>
      </c>
      <c r="BJ830">
        <v>2775</v>
      </c>
      <c r="BK830">
        <v>-25</v>
      </c>
      <c r="BL830" t="s">
        <v>188</v>
      </c>
      <c r="BM830">
        <v>1</v>
      </c>
      <c r="BN830">
        <v>1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 t="shared" ref="CE830:CE835" si="329">"15:06:50.842"</f>
        <v>15:06:50.842</v>
      </c>
      <c r="CF830">
        <v>841951499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133</v>
      </c>
      <c r="DA830">
        <v>275</v>
      </c>
      <c r="DB830">
        <v>0</v>
      </c>
      <c r="DC830" t="s">
        <v>134</v>
      </c>
      <c r="DD830" t="s">
        <v>135</v>
      </c>
      <c r="DG830">
        <v>3319274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"05/01/2025 15:06:51.098"</f>
        <v>05/01/2025 15:06:51.098</v>
      </c>
      <c r="C831" t="str">
        <f t="shared" si="304"/>
        <v>FFDFD3C0</v>
      </c>
      <c r="D831" t="s">
        <v>140</v>
      </c>
      <c r="E831" t="str">
        <f>"13"</f>
        <v>13</v>
      </c>
      <c r="F831">
        <v>1019</v>
      </c>
      <c r="G831" t="s">
        <v>141</v>
      </c>
      <c r="J831" t="s">
        <v>142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R831" t="s">
        <v>127</v>
      </c>
      <c r="S831" t="str">
        <f t="shared" si="328"/>
        <v>15:06:50.000</v>
      </c>
      <c r="T831" t="str">
        <f t="shared" si="328"/>
        <v>15:06:50.000</v>
      </c>
      <c r="U831" t="str">
        <f t="shared" si="306"/>
        <v>A68FCB</v>
      </c>
      <c r="V831">
        <v>0</v>
      </c>
      <c r="W831">
        <v>0</v>
      </c>
      <c r="X831">
        <v>2</v>
      </c>
      <c r="Y831">
        <v>0</v>
      </c>
      <c r="AA831">
        <v>1</v>
      </c>
      <c r="AB831">
        <v>8</v>
      </c>
      <c r="AC831">
        <v>3</v>
      </c>
      <c r="AD831">
        <v>0</v>
      </c>
      <c r="AE831">
        <v>9</v>
      </c>
      <c r="AF831" t="s">
        <v>138</v>
      </c>
      <c r="AG831">
        <v>0</v>
      </c>
      <c r="AH831">
        <v>3</v>
      </c>
      <c r="AI831">
        <v>2</v>
      </c>
      <c r="AJ831">
        <v>0</v>
      </c>
      <c r="AK831" t="s">
        <v>364</v>
      </c>
      <c r="AL831">
        <v>38.975951999999999</v>
      </c>
      <c r="AM831" t="s">
        <v>365</v>
      </c>
      <c r="AN831">
        <v>-121.050775</v>
      </c>
      <c r="AO831">
        <v>25</v>
      </c>
      <c r="AP831">
        <v>2800</v>
      </c>
      <c r="AQ831" t="s">
        <v>131</v>
      </c>
      <c r="AR831">
        <v>-11</v>
      </c>
      <c r="AS831">
        <v>86</v>
      </c>
      <c r="AT831">
        <v>576</v>
      </c>
      <c r="BB831" t="str">
        <f t="shared" si="307"/>
        <v>1200</v>
      </c>
      <c r="BC831">
        <v>1</v>
      </c>
      <c r="BD831" t="str">
        <f t="shared" si="308"/>
        <v xml:space="preserve">N52156  </v>
      </c>
      <c r="BE831">
        <v>1</v>
      </c>
      <c r="BG831">
        <v>0</v>
      </c>
      <c r="BH831">
        <v>0</v>
      </c>
      <c r="BI831">
        <v>0</v>
      </c>
      <c r="BJ831">
        <v>2775</v>
      </c>
      <c r="BK831">
        <v>-25</v>
      </c>
      <c r="BL831" t="s">
        <v>188</v>
      </c>
      <c r="BM831">
        <v>1</v>
      </c>
      <c r="BN831">
        <v>1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 t="shared" si="329"/>
        <v>15:06:50.842</v>
      </c>
      <c r="CF831">
        <v>841951499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133</v>
      </c>
      <c r="DA831">
        <v>275</v>
      </c>
      <c r="DB831">
        <v>0</v>
      </c>
      <c r="DC831" t="s">
        <v>134</v>
      </c>
      <c r="DD831" t="s">
        <v>135</v>
      </c>
      <c r="DG831">
        <v>3319274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"05/01/2025 15:06:51.103"</f>
        <v>05/01/2025 15:06:51.103</v>
      </c>
      <c r="C832" t="str">
        <f t="shared" si="304"/>
        <v>FFDFD3C0</v>
      </c>
      <c r="D832" t="s">
        <v>124</v>
      </c>
      <c r="E832" t="str">
        <f>"06"</f>
        <v>06</v>
      </c>
      <c r="F832">
        <v>2006</v>
      </c>
      <c r="G832" t="s">
        <v>125</v>
      </c>
      <c r="J832" t="s">
        <v>126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R832" t="s">
        <v>127</v>
      </c>
      <c r="S832" t="str">
        <f t="shared" si="328"/>
        <v>15:06:50.000</v>
      </c>
      <c r="T832" t="str">
        <f t="shared" si="328"/>
        <v>15:06:50.000</v>
      </c>
      <c r="U832" t="str">
        <f t="shared" si="306"/>
        <v>A68FCB</v>
      </c>
      <c r="V832">
        <v>0</v>
      </c>
      <c r="W832">
        <v>0</v>
      </c>
      <c r="X832">
        <v>2</v>
      </c>
      <c r="Y832">
        <v>0</v>
      </c>
      <c r="AA832">
        <v>1</v>
      </c>
      <c r="AB832">
        <v>8</v>
      </c>
      <c r="AC832">
        <v>3</v>
      </c>
      <c r="AD832">
        <v>0</v>
      </c>
      <c r="AE832">
        <v>9</v>
      </c>
      <c r="AF832" t="s">
        <v>138</v>
      </c>
      <c r="AG832">
        <v>0</v>
      </c>
      <c r="AH832">
        <v>3</v>
      </c>
      <c r="AI832">
        <v>2</v>
      </c>
      <c r="AJ832">
        <v>0</v>
      </c>
      <c r="AK832" t="s">
        <v>364</v>
      </c>
      <c r="AL832">
        <v>38.975951999999999</v>
      </c>
      <c r="AM832" t="s">
        <v>365</v>
      </c>
      <c r="AN832">
        <v>-121.050775</v>
      </c>
      <c r="AO832">
        <v>25</v>
      </c>
      <c r="AP832">
        <v>2800</v>
      </c>
      <c r="AQ832" t="s">
        <v>131</v>
      </c>
      <c r="AR832">
        <v>-11</v>
      </c>
      <c r="AS832">
        <v>86</v>
      </c>
      <c r="AT832">
        <v>576</v>
      </c>
      <c r="BB832" t="str">
        <f t="shared" si="307"/>
        <v>1200</v>
      </c>
      <c r="BC832">
        <v>1</v>
      </c>
      <c r="BD832" t="str">
        <f t="shared" si="308"/>
        <v xml:space="preserve">N52156  </v>
      </c>
      <c r="BE832">
        <v>1</v>
      </c>
      <c r="BG832">
        <v>0</v>
      </c>
      <c r="BH832">
        <v>0</v>
      </c>
      <c r="BI832">
        <v>0</v>
      </c>
      <c r="BJ832">
        <v>2775</v>
      </c>
      <c r="BK832">
        <v>-25</v>
      </c>
      <c r="BL832" t="s">
        <v>188</v>
      </c>
      <c r="BM832">
        <v>1</v>
      </c>
      <c r="BN832">
        <v>1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 t="shared" si="329"/>
        <v>15:06:50.842</v>
      </c>
      <c r="CF832">
        <v>841951499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5</v>
      </c>
      <c r="CY832">
        <v>7</v>
      </c>
      <c r="CZ832" t="s">
        <v>133</v>
      </c>
      <c r="DA832">
        <v>275</v>
      </c>
      <c r="DB832">
        <v>0</v>
      </c>
      <c r="DC832" t="s">
        <v>134</v>
      </c>
      <c r="DD832" t="s">
        <v>135</v>
      </c>
      <c r="DG832">
        <v>3319274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"05/01/2025 15:06:51.104"</f>
        <v>05/01/2025 15:06:51.104</v>
      </c>
      <c r="C833" t="str">
        <f t="shared" si="304"/>
        <v>FFDFD3C0</v>
      </c>
      <c r="D833" t="s">
        <v>145</v>
      </c>
      <c r="E833" t="str">
        <f>"05"</f>
        <v>05</v>
      </c>
      <c r="H833">
        <v>47</v>
      </c>
      <c r="I833" t="s">
        <v>146</v>
      </c>
      <c r="J833" t="s">
        <v>138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R833" t="s">
        <v>127</v>
      </c>
      <c r="S833" t="str">
        <f t="shared" si="328"/>
        <v>15:06:50.000</v>
      </c>
      <c r="T833" t="str">
        <f t="shared" si="328"/>
        <v>15:06:50.000</v>
      </c>
      <c r="U833" t="str">
        <f t="shared" si="306"/>
        <v>A68FCB</v>
      </c>
      <c r="V833">
        <v>0</v>
      </c>
      <c r="W833">
        <v>0</v>
      </c>
      <c r="X833">
        <v>2</v>
      </c>
      <c r="Y833">
        <v>0</v>
      </c>
      <c r="AA833">
        <v>1</v>
      </c>
      <c r="AB833">
        <v>8</v>
      </c>
      <c r="AC833">
        <v>3</v>
      </c>
      <c r="AD833">
        <v>0</v>
      </c>
      <c r="AE833">
        <v>9</v>
      </c>
      <c r="AF833" t="s">
        <v>138</v>
      </c>
      <c r="AG833">
        <v>0</v>
      </c>
      <c r="AH833">
        <v>3</v>
      </c>
      <c r="AI833">
        <v>2</v>
      </c>
      <c r="AJ833">
        <v>0</v>
      </c>
      <c r="AK833" t="s">
        <v>364</v>
      </c>
      <c r="AL833">
        <v>38.975951999999999</v>
      </c>
      <c r="AM833" t="s">
        <v>365</v>
      </c>
      <c r="AN833">
        <v>-121.050775</v>
      </c>
      <c r="AO833">
        <v>25</v>
      </c>
      <c r="AP833">
        <v>2800</v>
      </c>
      <c r="AQ833" t="s">
        <v>131</v>
      </c>
      <c r="AR833">
        <v>-11</v>
      </c>
      <c r="AS833">
        <v>86</v>
      </c>
      <c r="AT833">
        <v>576</v>
      </c>
      <c r="BB833" t="str">
        <f t="shared" si="307"/>
        <v>1200</v>
      </c>
      <c r="BC833">
        <v>1</v>
      </c>
      <c r="BD833" t="str">
        <f t="shared" si="308"/>
        <v xml:space="preserve">N52156  </v>
      </c>
      <c r="BE833">
        <v>1</v>
      </c>
      <c r="BG833">
        <v>0</v>
      </c>
      <c r="BH833">
        <v>0</v>
      </c>
      <c r="BI833">
        <v>0</v>
      </c>
      <c r="BJ833">
        <v>2775</v>
      </c>
      <c r="BK833">
        <v>-25</v>
      </c>
      <c r="BL833" t="s">
        <v>188</v>
      </c>
      <c r="BM833">
        <v>1</v>
      </c>
      <c r="BN833">
        <v>1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 t="shared" si="329"/>
        <v>15:06:50.842</v>
      </c>
      <c r="CF833">
        <v>841951499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5</v>
      </c>
      <c r="CY833">
        <v>7</v>
      </c>
      <c r="CZ833" t="s">
        <v>133</v>
      </c>
      <c r="DA833">
        <v>275</v>
      </c>
      <c r="DB833">
        <v>0</v>
      </c>
      <c r="DC833" t="s">
        <v>134</v>
      </c>
      <c r="DD833" t="s">
        <v>135</v>
      </c>
      <c r="DG833">
        <v>3319274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"05/01/2025 15:06:51.106"</f>
        <v>05/01/2025 15:06:51.106</v>
      </c>
      <c r="C834" t="str">
        <f t="shared" ref="C834:C897" si="330">"FFDFD3C0"</f>
        <v>FFDFD3C0</v>
      </c>
      <c r="D834" t="s">
        <v>143</v>
      </c>
      <c r="E834" t="str">
        <f>"05"</f>
        <v>05</v>
      </c>
      <c r="H834">
        <v>172</v>
      </c>
      <c r="I834" t="s">
        <v>141</v>
      </c>
      <c r="J834" t="s">
        <v>144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R834" t="s">
        <v>127</v>
      </c>
      <c r="S834" t="str">
        <f t="shared" si="328"/>
        <v>15:06:50.000</v>
      </c>
      <c r="T834" t="str">
        <f t="shared" si="328"/>
        <v>15:06:50.000</v>
      </c>
      <c r="U834" t="str">
        <f t="shared" ref="U834:U897" si="331">"A68FCB"</f>
        <v>A68FCB</v>
      </c>
      <c r="V834">
        <v>0</v>
      </c>
      <c r="W834">
        <v>0</v>
      </c>
      <c r="X834">
        <v>2</v>
      </c>
      <c r="Y834">
        <v>0</v>
      </c>
      <c r="AA834">
        <v>1</v>
      </c>
      <c r="AB834">
        <v>8</v>
      </c>
      <c r="AC834">
        <v>3</v>
      </c>
      <c r="AD834">
        <v>0</v>
      </c>
      <c r="AE834">
        <v>9</v>
      </c>
      <c r="AF834" t="s">
        <v>138</v>
      </c>
      <c r="AG834">
        <v>0</v>
      </c>
      <c r="AH834">
        <v>3</v>
      </c>
      <c r="AI834">
        <v>2</v>
      </c>
      <c r="AJ834">
        <v>0</v>
      </c>
      <c r="AK834" t="s">
        <v>364</v>
      </c>
      <c r="AL834">
        <v>38.975951999999999</v>
      </c>
      <c r="AM834" t="s">
        <v>365</v>
      </c>
      <c r="AN834">
        <v>-121.050775</v>
      </c>
      <c r="AO834">
        <v>25</v>
      </c>
      <c r="AP834">
        <v>2800</v>
      </c>
      <c r="AQ834" t="s">
        <v>131</v>
      </c>
      <c r="AR834">
        <v>-11</v>
      </c>
      <c r="AS834">
        <v>86</v>
      </c>
      <c r="AT834">
        <v>576</v>
      </c>
      <c r="BB834" t="str">
        <f t="shared" ref="BB834:BB897" si="332">"1200"</f>
        <v>1200</v>
      </c>
      <c r="BC834">
        <v>1</v>
      </c>
      <c r="BD834" t="str">
        <f t="shared" ref="BD834:BD897" si="333">"N52156  "</f>
        <v xml:space="preserve">N52156  </v>
      </c>
      <c r="BE834">
        <v>1</v>
      </c>
      <c r="BG834">
        <v>0</v>
      </c>
      <c r="BH834">
        <v>0</v>
      </c>
      <c r="BI834">
        <v>0</v>
      </c>
      <c r="BJ834">
        <v>2775</v>
      </c>
      <c r="BK834">
        <v>-25</v>
      </c>
      <c r="BL834" t="s">
        <v>188</v>
      </c>
      <c r="BM834">
        <v>1</v>
      </c>
      <c r="BN834">
        <v>1</v>
      </c>
      <c r="BO834">
        <v>0</v>
      </c>
      <c r="BP834">
        <v>0</v>
      </c>
      <c r="BS834">
        <v>0</v>
      </c>
      <c r="BT834">
        <v>0</v>
      </c>
      <c r="BU834">
        <v>0</v>
      </c>
      <c r="CE834" t="str">
        <f t="shared" si="329"/>
        <v>15:06:50.842</v>
      </c>
      <c r="CF834">
        <v>841951499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5</v>
      </c>
      <c r="CY834">
        <v>7</v>
      </c>
      <c r="CZ834" t="s">
        <v>133</v>
      </c>
      <c r="DA834">
        <v>275</v>
      </c>
      <c r="DB834">
        <v>0</v>
      </c>
      <c r="DC834" t="s">
        <v>134</v>
      </c>
      <c r="DD834" t="s">
        <v>135</v>
      </c>
      <c r="DG834">
        <v>3319274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"05/01/2025 15:06:51.107"</f>
        <v>05/01/2025 15:06:51.107</v>
      </c>
      <c r="C835" t="str">
        <f t="shared" si="330"/>
        <v>FFDFD3C0</v>
      </c>
      <c r="D835" t="s">
        <v>145</v>
      </c>
      <c r="E835" t="str">
        <f>"09"</f>
        <v>09</v>
      </c>
      <c r="H835">
        <v>51</v>
      </c>
      <c r="I835" t="s">
        <v>147</v>
      </c>
      <c r="J835" t="s">
        <v>138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R835" t="s">
        <v>127</v>
      </c>
      <c r="S835" t="str">
        <f t="shared" si="328"/>
        <v>15:06:50.000</v>
      </c>
      <c r="T835" t="str">
        <f t="shared" si="328"/>
        <v>15:06:50.000</v>
      </c>
      <c r="U835" t="str">
        <f t="shared" si="331"/>
        <v>A68FCB</v>
      </c>
      <c r="V835">
        <v>0</v>
      </c>
      <c r="W835">
        <v>0</v>
      </c>
      <c r="X835">
        <v>2</v>
      </c>
      <c r="Y835">
        <v>0</v>
      </c>
      <c r="AA835">
        <v>1</v>
      </c>
      <c r="AB835">
        <v>8</v>
      </c>
      <c r="AC835">
        <v>3</v>
      </c>
      <c r="AD835">
        <v>0</v>
      </c>
      <c r="AE835">
        <v>9</v>
      </c>
      <c r="AF835" t="s">
        <v>138</v>
      </c>
      <c r="AG835">
        <v>0</v>
      </c>
      <c r="AH835">
        <v>3</v>
      </c>
      <c r="AI835">
        <v>2</v>
      </c>
      <c r="AJ835">
        <v>0</v>
      </c>
      <c r="AK835" t="s">
        <v>364</v>
      </c>
      <c r="AL835">
        <v>38.975951999999999</v>
      </c>
      <c r="AM835" t="s">
        <v>365</v>
      </c>
      <c r="AN835">
        <v>-121.050775</v>
      </c>
      <c r="AO835">
        <v>25</v>
      </c>
      <c r="AP835">
        <v>2800</v>
      </c>
      <c r="AQ835" t="s">
        <v>131</v>
      </c>
      <c r="AR835">
        <v>-11</v>
      </c>
      <c r="AS835">
        <v>86</v>
      </c>
      <c r="AT835">
        <v>576</v>
      </c>
      <c r="BB835" t="str">
        <f t="shared" si="332"/>
        <v>1200</v>
      </c>
      <c r="BC835">
        <v>1</v>
      </c>
      <c r="BD835" t="str">
        <f t="shared" si="333"/>
        <v xml:space="preserve">N52156  </v>
      </c>
      <c r="BE835">
        <v>1</v>
      </c>
      <c r="BG835">
        <v>0</v>
      </c>
      <c r="BH835">
        <v>0</v>
      </c>
      <c r="BI835">
        <v>0</v>
      </c>
      <c r="BJ835">
        <v>2775</v>
      </c>
      <c r="BK835">
        <v>-25</v>
      </c>
      <c r="BL835" t="s">
        <v>188</v>
      </c>
      <c r="BM835">
        <v>1</v>
      </c>
      <c r="BN835">
        <v>1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 t="shared" si="329"/>
        <v>15:06:50.842</v>
      </c>
      <c r="CF835">
        <v>841951499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5</v>
      </c>
      <c r="CY835">
        <v>7</v>
      </c>
      <c r="CZ835" t="s">
        <v>133</v>
      </c>
      <c r="DA835">
        <v>275</v>
      </c>
      <c r="DB835">
        <v>0</v>
      </c>
      <c r="DC835" t="s">
        <v>134</v>
      </c>
      <c r="DD835" t="s">
        <v>135</v>
      </c>
      <c r="DG835">
        <v>3319274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"05/01/2025 15:06:51.799"</f>
        <v>05/01/2025 15:06:51.799</v>
      </c>
      <c r="C836" t="str">
        <f t="shared" si="330"/>
        <v>FFDFD3C0</v>
      </c>
      <c r="D836" t="s">
        <v>140</v>
      </c>
      <c r="E836" t="str">
        <f>"13"</f>
        <v>13</v>
      </c>
      <c r="F836">
        <v>1019</v>
      </c>
      <c r="G836" t="s">
        <v>141</v>
      </c>
      <c r="J836" t="s">
        <v>142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R836" t="s">
        <v>127</v>
      </c>
      <c r="S836" t="str">
        <f t="shared" ref="S836:T841" si="334">"15:06:51.000"</f>
        <v>15:06:51.000</v>
      </c>
      <c r="T836" t="str">
        <f t="shared" si="334"/>
        <v>15:06:51.000</v>
      </c>
      <c r="U836" t="str">
        <f t="shared" si="331"/>
        <v>A68FCB</v>
      </c>
      <c r="V836">
        <v>0</v>
      </c>
      <c r="W836">
        <v>0</v>
      </c>
      <c r="X836">
        <v>2</v>
      </c>
      <c r="Y836">
        <v>0</v>
      </c>
      <c r="AA836">
        <v>1</v>
      </c>
      <c r="AB836">
        <v>8</v>
      </c>
      <c r="AC836">
        <v>3</v>
      </c>
      <c r="AD836">
        <v>0</v>
      </c>
      <c r="AE836">
        <v>9</v>
      </c>
      <c r="AF836" t="s">
        <v>138</v>
      </c>
      <c r="AG836">
        <v>0</v>
      </c>
      <c r="AH836">
        <v>3</v>
      </c>
      <c r="AI836">
        <v>2</v>
      </c>
      <c r="AJ836">
        <v>0</v>
      </c>
      <c r="AK836" t="s">
        <v>366</v>
      </c>
      <c r="AL836">
        <v>38.976444999999998</v>
      </c>
      <c r="AM836" t="s">
        <v>365</v>
      </c>
      <c r="AN836">
        <v>-121.050775</v>
      </c>
      <c r="AO836">
        <v>25</v>
      </c>
      <c r="AP836">
        <v>2800</v>
      </c>
      <c r="AQ836" t="s">
        <v>131</v>
      </c>
      <c r="AR836">
        <v>-11</v>
      </c>
      <c r="AS836">
        <v>86</v>
      </c>
      <c r="AT836">
        <v>576</v>
      </c>
      <c r="BB836" t="str">
        <f t="shared" si="332"/>
        <v>1200</v>
      </c>
      <c r="BC836">
        <v>1</v>
      </c>
      <c r="BD836" t="str">
        <f t="shared" si="333"/>
        <v xml:space="preserve">N52156  </v>
      </c>
      <c r="BE836">
        <v>1</v>
      </c>
      <c r="BG836">
        <v>0</v>
      </c>
      <c r="BH836">
        <v>0</v>
      </c>
      <c r="BI836">
        <v>0</v>
      </c>
      <c r="BJ836">
        <v>2775</v>
      </c>
      <c r="BK836">
        <v>-25</v>
      </c>
      <c r="BL836" t="s">
        <v>188</v>
      </c>
      <c r="BM836">
        <v>1</v>
      </c>
      <c r="BN836">
        <v>1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 t="shared" ref="CE836:CE841" si="335">"15:06:51.570"</f>
        <v>15:06:51.570</v>
      </c>
      <c r="CF836">
        <v>570200817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5</v>
      </c>
      <c r="CY836">
        <v>7</v>
      </c>
      <c r="CZ836" t="s">
        <v>133</v>
      </c>
      <c r="DA836">
        <v>275</v>
      </c>
      <c r="DB836">
        <v>0</v>
      </c>
      <c r="DC836" t="s">
        <v>134</v>
      </c>
      <c r="DD836" t="s">
        <v>135</v>
      </c>
      <c r="DG836">
        <v>3319286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"05/01/2025 15:06:51.805"</f>
        <v>05/01/2025 15:06:51.805</v>
      </c>
      <c r="C837" t="str">
        <f t="shared" si="330"/>
        <v>FFDFD3C0</v>
      </c>
      <c r="D837" t="s">
        <v>145</v>
      </c>
      <c r="E837" t="str">
        <f>"05"</f>
        <v>05</v>
      </c>
      <c r="H837">
        <v>47</v>
      </c>
      <c r="I837" t="s">
        <v>146</v>
      </c>
      <c r="J837" t="s">
        <v>138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R837" t="s">
        <v>127</v>
      </c>
      <c r="S837" t="str">
        <f t="shared" si="334"/>
        <v>15:06:51.000</v>
      </c>
      <c r="T837" t="str">
        <f t="shared" si="334"/>
        <v>15:06:51.000</v>
      </c>
      <c r="U837" t="str">
        <f t="shared" si="331"/>
        <v>A68FCB</v>
      </c>
      <c r="V837">
        <v>0</v>
      </c>
      <c r="W837">
        <v>0</v>
      </c>
      <c r="X837">
        <v>2</v>
      </c>
      <c r="Y837">
        <v>0</v>
      </c>
      <c r="AA837">
        <v>1</v>
      </c>
      <c r="AB837">
        <v>8</v>
      </c>
      <c r="AC837">
        <v>3</v>
      </c>
      <c r="AD837">
        <v>0</v>
      </c>
      <c r="AE837">
        <v>9</v>
      </c>
      <c r="AF837" t="s">
        <v>138</v>
      </c>
      <c r="AG837">
        <v>0</v>
      </c>
      <c r="AH837">
        <v>3</v>
      </c>
      <c r="AI837">
        <v>2</v>
      </c>
      <c r="AJ837">
        <v>0</v>
      </c>
      <c r="AK837" t="s">
        <v>366</v>
      </c>
      <c r="AL837">
        <v>38.976444999999998</v>
      </c>
      <c r="AM837" t="s">
        <v>365</v>
      </c>
      <c r="AN837">
        <v>-121.050775</v>
      </c>
      <c r="AO837">
        <v>25</v>
      </c>
      <c r="AP837">
        <v>2800</v>
      </c>
      <c r="AQ837" t="s">
        <v>131</v>
      </c>
      <c r="AR837">
        <v>-11</v>
      </c>
      <c r="AS837">
        <v>86</v>
      </c>
      <c r="AT837">
        <v>576</v>
      </c>
      <c r="BB837" t="str">
        <f t="shared" si="332"/>
        <v>1200</v>
      </c>
      <c r="BC837">
        <v>1</v>
      </c>
      <c r="BD837" t="str">
        <f t="shared" si="333"/>
        <v xml:space="preserve">N52156  </v>
      </c>
      <c r="BE837">
        <v>1</v>
      </c>
      <c r="BG837">
        <v>0</v>
      </c>
      <c r="BH837">
        <v>0</v>
      </c>
      <c r="BI837">
        <v>0</v>
      </c>
      <c r="BJ837">
        <v>2775</v>
      </c>
      <c r="BK837">
        <v>-25</v>
      </c>
      <c r="BL837" t="s">
        <v>188</v>
      </c>
      <c r="BM837">
        <v>1</v>
      </c>
      <c r="BN837">
        <v>1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 t="shared" si="335"/>
        <v>15:06:51.570</v>
      </c>
      <c r="CF837">
        <v>570200817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5</v>
      </c>
      <c r="CY837">
        <v>7</v>
      </c>
      <c r="CZ837" t="s">
        <v>133</v>
      </c>
      <c r="DA837">
        <v>275</v>
      </c>
      <c r="DB837">
        <v>0</v>
      </c>
      <c r="DC837" t="s">
        <v>134</v>
      </c>
      <c r="DD837" t="s">
        <v>135</v>
      </c>
      <c r="DG837">
        <v>3319286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"05/01/2025 15:06:51.805"</f>
        <v>05/01/2025 15:06:51.805</v>
      </c>
      <c r="C838" t="str">
        <f t="shared" si="330"/>
        <v>FFDFD3C0</v>
      </c>
      <c r="D838" t="s">
        <v>124</v>
      </c>
      <c r="E838" t="str">
        <f>"06"</f>
        <v>06</v>
      </c>
      <c r="F838">
        <v>2006</v>
      </c>
      <c r="G838" t="s">
        <v>125</v>
      </c>
      <c r="J838" t="s">
        <v>126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R838" t="s">
        <v>127</v>
      </c>
      <c r="S838" t="str">
        <f t="shared" si="334"/>
        <v>15:06:51.000</v>
      </c>
      <c r="T838" t="str">
        <f t="shared" si="334"/>
        <v>15:06:51.000</v>
      </c>
      <c r="U838" t="str">
        <f t="shared" si="331"/>
        <v>A68FCB</v>
      </c>
      <c r="V838">
        <v>0</v>
      </c>
      <c r="W838">
        <v>0</v>
      </c>
      <c r="X838">
        <v>2</v>
      </c>
      <c r="Y838">
        <v>0</v>
      </c>
      <c r="AA838">
        <v>1</v>
      </c>
      <c r="AB838">
        <v>8</v>
      </c>
      <c r="AC838">
        <v>3</v>
      </c>
      <c r="AD838">
        <v>0</v>
      </c>
      <c r="AE838">
        <v>9</v>
      </c>
      <c r="AF838" t="s">
        <v>138</v>
      </c>
      <c r="AG838">
        <v>0</v>
      </c>
      <c r="AH838">
        <v>3</v>
      </c>
      <c r="AI838">
        <v>2</v>
      </c>
      <c r="AJ838">
        <v>0</v>
      </c>
      <c r="AK838" t="s">
        <v>366</v>
      </c>
      <c r="AL838">
        <v>38.976444999999998</v>
      </c>
      <c r="AM838" t="s">
        <v>365</v>
      </c>
      <c r="AN838">
        <v>-121.050775</v>
      </c>
      <c r="AO838">
        <v>25</v>
      </c>
      <c r="AP838">
        <v>2800</v>
      </c>
      <c r="AQ838" t="s">
        <v>131</v>
      </c>
      <c r="AR838">
        <v>-11</v>
      </c>
      <c r="AS838">
        <v>86</v>
      </c>
      <c r="AT838">
        <v>576</v>
      </c>
      <c r="BB838" t="str">
        <f t="shared" si="332"/>
        <v>1200</v>
      </c>
      <c r="BC838">
        <v>1</v>
      </c>
      <c r="BD838" t="str">
        <f t="shared" si="333"/>
        <v xml:space="preserve">N52156  </v>
      </c>
      <c r="BE838">
        <v>1</v>
      </c>
      <c r="BG838">
        <v>0</v>
      </c>
      <c r="BH838">
        <v>0</v>
      </c>
      <c r="BI838">
        <v>0</v>
      </c>
      <c r="BJ838">
        <v>2775</v>
      </c>
      <c r="BK838">
        <v>-25</v>
      </c>
      <c r="BL838" t="s">
        <v>188</v>
      </c>
      <c r="BM838">
        <v>1</v>
      </c>
      <c r="BN838">
        <v>1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 t="shared" si="335"/>
        <v>15:06:51.570</v>
      </c>
      <c r="CF838">
        <v>570200817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133</v>
      </c>
      <c r="DA838">
        <v>275</v>
      </c>
      <c r="DB838">
        <v>0</v>
      </c>
      <c r="DC838" t="s">
        <v>134</v>
      </c>
      <c r="DD838" t="s">
        <v>135</v>
      </c>
      <c r="DG838">
        <v>3319286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"05/01/2025 15:06:51.807"</f>
        <v>05/01/2025 15:06:51.807</v>
      </c>
      <c r="C839" t="str">
        <f t="shared" si="330"/>
        <v>FFDFD3C0</v>
      </c>
      <c r="D839" t="s">
        <v>143</v>
      </c>
      <c r="E839" t="str">
        <f>"05"</f>
        <v>05</v>
      </c>
      <c r="H839">
        <v>172</v>
      </c>
      <c r="I839" t="s">
        <v>141</v>
      </c>
      <c r="J839" t="s">
        <v>144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R839" t="s">
        <v>127</v>
      </c>
      <c r="S839" t="str">
        <f t="shared" si="334"/>
        <v>15:06:51.000</v>
      </c>
      <c r="T839" t="str">
        <f t="shared" si="334"/>
        <v>15:06:51.000</v>
      </c>
      <c r="U839" t="str">
        <f t="shared" si="331"/>
        <v>A68FCB</v>
      </c>
      <c r="V839">
        <v>0</v>
      </c>
      <c r="W839">
        <v>0</v>
      </c>
      <c r="X839">
        <v>2</v>
      </c>
      <c r="Y839">
        <v>0</v>
      </c>
      <c r="AA839">
        <v>1</v>
      </c>
      <c r="AB839">
        <v>8</v>
      </c>
      <c r="AC839">
        <v>3</v>
      </c>
      <c r="AD839">
        <v>0</v>
      </c>
      <c r="AE839">
        <v>9</v>
      </c>
      <c r="AF839" t="s">
        <v>138</v>
      </c>
      <c r="AG839">
        <v>0</v>
      </c>
      <c r="AH839">
        <v>3</v>
      </c>
      <c r="AI839">
        <v>2</v>
      </c>
      <c r="AJ839">
        <v>0</v>
      </c>
      <c r="AK839" t="s">
        <v>366</v>
      </c>
      <c r="AL839">
        <v>38.976444999999998</v>
      </c>
      <c r="AM839" t="s">
        <v>365</v>
      </c>
      <c r="AN839">
        <v>-121.050775</v>
      </c>
      <c r="AO839">
        <v>25</v>
      </c>
      <c r="AP839">
        <v>2800</v>
      </c>
      <c r="AQ839" t="s">
        <v>131</v>
      </c>
      <c r="AR839">
        <v>-11</v>
      </c>
      <c r="AS839">
        <v>86</v>
      </c>
      <c r="AT839">
        <v>576</v>
      </c>
      <c r="BB839" t="str">
        <f t="shared" si="332"/>
        <v>1200</v>
      </c>
      <c r="BC839">
        <v>1</v>
      </c>
      <c r="BD839" t="str">
        <f t="shared" si="333"/>
        <v xml:space="preserve">N52156  </v>
      </c>
      <c r="BE839">
        <v>1</v>
      </c>
      <c r="BG839">
        <v>0</v>
      </c>
      <c r="BH839">
        <v>0</v>
      </c>
      <c r="BI839">
        <v>0</v>
      </c>
      <c r="BJ839">
        <v>2775</v>
      </c>
      <c r="BK839">
        <v>-25</v>
      </c>
      <c r="BL839" t="s">
        <v>188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 t="shared" si="335"/>
        <v>15:06:51.570</v>
      </c>
      <c r="CF839">
        <v>570200817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5</v>
      </c>
      <c r="CY839">
        <v>7</v>
      </c>
      <c r="CZ839" t="s">
        <v>133</v>
      </c>
      <c r="DA839">
        <v>275</v>
      </c>
      <c r="DB839">
        <v>0</v>
      </c>
      <c r="DC839" t="s">
        <v>134</v>
      </c>
      <c r="DD839" t="s">
        <v>135</v>
      </c>
      <c r="DG839">
        <v>3319286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"05/01/2025 15:06:51.808"</f>
        <v>05/01/2025 15:06:51.808</v>
      </c>
      <c r="C840" t="str">
        <f t="shared" si="330"/>
        <v>FFDFD3C0</v>
      </c>
      <c r="D840" t="s">
        <v>145</v>
      </c>
      <c r="E840" t="str">
        <f>"09"</f>
        <v>09</v>
      </c>
      <c r="H840">
        <v>51</v>
      </c>
      <c r="I840" t="s">
        <v>147</v>
      </c>
      <c r="J840" t="s">
        <v>138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R840" t="s">
        <v>127</v>
      </c>
      <c r="S840" t="str">
        <f t="shared" si="334"/>
        <v>15:06:51.000</v>
      </c>
      <c r="T840" t="str">
        <f t="shared" si="334"/>
        <v>15:06:51.000</v>
      </c>
      <c r="U840" t="str">
        <f t="shared" si="331"/>
        <v>A68FCB</v>
      </c>
      <c r="V840">
        <v>0</v>
      </c>
      <c r="W840">
        <v>0</v>
      </c>
      <c r="X840">
        <v>2</v>
      </c>
      <c r="Y840">
        <v>0</v>
      </c>
      <c r="AA840">
        <v>1</v>
      </c>
      <c r="AB840">
        <v>8</v>
      </c>
      <c r="AC840">
        <v>3</v>
      </c>
      <c r="AD840">
        <v>0</v>
      </c>
      <c r="AE840">
        <v>9</v>
      </c>
      <c r="AF840" t="s">
        <v>138</v>
      </c>
      <c r="AG840">
        <v>0</v>
      </c>
      <c r="AH840">
        <v>3</v>
      </c>
      <c r="AI840">
        <v>2</v>
      </c>
      <c r="AJ840">
        <v>0</v>
      </c>
      <c r="AK840" t="s">
        <v>366</v>
      </c>
      <c r="AL840">
        <v>38.976444999999998</v>
      </c>
      <c r="AM840" t="s">
        <v>365</v>
      </c>
      <c r="AN840">
        <v>-121.050775</v>
      </c>
      <c r="AO840">
        <v>25</v>
      </c>
      <c r="AP840">
        <v>2800</v>
      </c>
      <c r="AQ840" t="s">
        <v>131</v>
      </c>
      <c r="AR840">
        <v>-11</v>
      </c>
      <c r="AS840">
        <v>86</v>
      </c>
      <c r="AT840">
        <v>576</v>
      </c>
      <c r="BB840" t="str">
        <f t="shared" si="332"/>
        <v>1200</v>
      </c>
      <c r="BC840">
        <v>1</v>
      </c>
      <c r="BD840" t="str">
        <f t="shared" si="333"/>
        <v xml:space="preserve">N52156  </v>
      </c>
      <c r="BE840">
        <v>1</v>
      </c>
      <c r="BG840">
        <v>0</v>
      </c>
      <c r="BH840">
        <v>0</v>
      </c>
      <c r="BI840">
        <v>0</v>
      </c>
      <c r="BJ840">
        <v>2775</v>
      </c>
      <c r="BK840">
        <v>-25</v>
      </c>
      <c r="BL840" t="s">
        <v>188</v>
      </c>
      <c r="BM840">
        <v>1</v>
      </c>
      <c r="BN840">
        <v>1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 t="shared" si="335"/>
        <v>15:06:51.570</v>
      </c>
      <c r="CF840">
        <v>570200817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133</v>
      </c>
      <c r="DA840">
        <v>275</v>
      </c>
      <c r="DB840">
        <v>0</v>
      </c>
      <c r="DC840" t="s">
        <v>134</v>
      </c>
      <c r="DD840" t="s">
        <v>135</v>
      </c>
      <c r="DG840">
        <v>3319286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"05/01/2025 15:06:51.815"</f>
        <v>05/01/2025 15:06:51.815</v>
      </c>
      <c r="C841" t="str">
        <f t="shared" si="330"/>
        <v>FFDFD3C0</v>
      </c>
      <c r="D841" t="s">
        <v>136</v>
      </c>
      <c r="E841" t="str">
        <f>"20"</f>
        <v>20</v>
      </c>
      <c r="H841">
        <v>400</v>
      </c>
      <c r="I841" t="s">
        <v>137</v>
      </c>
      <c r="J841" t="s">
        <v>138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R841" t="s">
        <v>127</v>
      </c>
      <c r="S841" t="str">
        <f t="shared" si="334"/>
        <v>15:06:51.000</v>
      </c>
      <c r="T841" t="str">
        <f t="shared" si="334"/>
        <v>15:06:51.000</v>
      </c>
      <c r="U841" t="str">
        <f t="shared" si="331"/>
        <v>A68FCB</v>
      </c>
      <c r="V841">
        <v>0</v>
      </c>
      <c r="W841">
        <v>0</v>
      </c>
      <c r="X841">
        <v>2</v>
      </c>
      <c r="Y841">
        <v>0</v>
      </c>
      <c r="AA841">
        <v>1</v>
      </c>
      <c r="AB841">
        <v>8</v>
      </c>
      <c r="AC841">
        <v>3</v>
      </c>
      <c r="AD841">
        <v>0</v>
      </c>
      <c r="AE841">
        <v>9</v>
      </c>
      <c r="AF841" t="s">
        <v>138</v>
      </c>
      <c r="AG841">
        <v>0</v>
      </c>
      <c r="AH841">
        <v>3</v>
      </c>
      <c r="AI841">
        <v>2</v>
      </c>
      <c r="AJ841">
        <v>0</v>
      </c>
      <c r="AK841" t="s">
        <v>366</v>
      </c>
      <c r="AL841">
        <v>38.976444999999998</v>
      </c>
      <c r="AM841" t="s">
        <v>365</v>
      </c>
      <c r="AN841">
        <v>-121.050775</v>
      </c>
      <c r="AO841">
        <v>25</v>
      </c>
      <c r="AP841">
        <v>2800</v>
      </c>
      <c r="AQ841" t="s">
        <v>131</v>
      </c>
      <c r="AR841">
        <v>-11</v>
      </c>
      <c r="AS841">
        <v>86</v>
      </c>
      <c r="AT841">
        <v>576</v>
      </c>
      <c r="BB841" t="str">
        <f t="shared" si="332"/>
        <v>1200</v>
      </c>
      <c r="BC841">
        <v>1</v>
      </c>
      <c r="BD841" t="str">
        <f t="shared" si="333"/>
        <v xml:space="preserve">N52156  </v>
      </c>
      <c r="BE841">
        <v>1</v>
      </c>
      <c r="BG841">
        <v>0</v>
      </c>
      <c r="BH841">
        <v>0</v>
      </c>
      <c r="BI841">
        <v>0</v>
      </c>
      <c r="BJ841">
        <v>2775</v>
      </c>
      <c r="BK841">
        <v>-25</v>
      </c>
      <c r="BL841" t="s">
        <v>188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 t="shared" si="335"/>
        <v>15:06:51.570</v>
      </c>
      <c r="CF841">
        <v>570200817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5</v>
      </c>
      <c r="CY841">
        <v>7</v>
      </c>
      <c r="CZ841" t="s">
        <v>133</v>
      </c>
      <c r="DA841">
        <v>275</v>
      </c>
      <c r="DB841">
        <v>0</v>
      </c>
      <c r="DC841" t="s">
        <v>134</v>
      </c>
      <c r="DD841" t="s">
        <v>135</v>
      </c>
      <c r="DG841">
        <v>3319286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"05/01/2025 15:06:52.466"</f>
        <v>05/01/2025 15:06:52.466</v>
      </c>
      <c r="C842" t="str">
        <f t="shared" si="330"/>
        <v>FFDFD3C0</v>
      </c>
      <c r="D842" t="s">
        <v>136</v>
      </c>
      <c r="E842" t="str">
        <f>"20"</f>
        <v>20</v>
      </c>
      <c r="H842">
        <v>400</v>
      </c>
      <c r="I842" t="s">
        <v>137</v>
      </c>
      <c r="J842" t="s">
        <v>138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R842" t="s">
        <v>127</v>
      </c>
      <c r="S842" t="str">
        <f t="shared" ref="S842:T847" si="336">"15:06:52.000"</f>
        <v>15:06:52.000</v>
      </c>
      <c r="T842" t="str">
        <f t="shared" si="336"/>
        <v>15:06:52.000</v>
      </c>
      <c r="U842" t="str">
        <f t="shared" si="331"/>
        <v>A68FCB</v>
      </c>
      <c r="V842">
        <v>0</v>
      </c>
      <c r="W842">
        <v>0</v>
      </c>
      <c r="X842">
        <v>2</v>
      </c>
      <c r="Y842">
        <v>0</v>
      </c>
      <c r="AA842">
        <v>1</v>
      </c>
      <c r="AB842">
        <v>8</v>
      </c>
      <c r="AC842">
        <v>3</v>
      </c>
      <c r="AD842">
        <v>0</v>
      </c>
      <c r="AE842">
        <v>9</v>
      </c>
      <c r="AF842" t="s">
        <v>138</v>
      </c>
      <c r="AG842">
        <v>0</v>
      </c>
      <c r="AH842">
        <v>3</v>
      </c>
      <c r="AI842">
        <v>2</v>
      </c>
      <c r="AJ842">
        <v>0</v>
      </c>
      <c r="AK842" t="s">
        <v>367</v>
      </c>
      <c r="AL842">
        <v>38.976767000000002</v>
      </c>
      <c r="AM842" t="s">
        <v>368</v>
      </c>
      <c r="AN842">
        <v>-121.050904</v>
      </c>
      <c r="AO842">
        <v>25</v>
      </c>
      <c r="AP842">
        <v>2800</v>
      </c>
      <c r="AQ842" t="s">
        <v>131</v>
      </c>
      <c r="AR842">
        <v>-11</v>
      </c>
      <c r="AS842">
        <v>86</v>
      </c>
      <c r="AT842">
        <v>576</v>
      </c>
      <c r="BB842" t="str">
        <f t="shared" si="332"/>
        <v>1200</v>
      </c>
      <c r="BC842">
        <v>1</v>
      </c>
      <c r="BD842" t="str">
        <f t="shared" si="333"/>
        <v xml:space="preserve">N52156  </v>
      </c>
      <c r="BE842">
        <v>1</v>
      </c>
      <c r="BG842">
        <v>0</v>
      </c>
      <c r="BH842">
        <v>0</v>
      </c>
      <c r="BI842">
        <v>0</v>
      </c>
      <c r="BJ842">
        <v>2750</v>
      </c>
      <c r="BK842">
        <v>-50</v>
      </c>
      <c r="BL842" t="s">
        <v>188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 t="shared" ref="CE842:CE847" si="337">"15:06:52.250"</f>
        <v>15:06:52.250</v>
      </c>
      <c r="CF842">
        <v>250200060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133</v>
      </c>
      <c r="DA842">
        <v>275</v>
      </c>
      <c r="DB842">
        <v>0</v>
      </c>
      <c r="DC842" t="s">
        <v>134</v>
      </c>
      <c r="DD842" t="s">
        <v>135</v>
      </c>
      <c r="DG842">
        <v>3319291</v>
      </c>
      <c r="DI842">
        <v>1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"05/01/2025 15:06:52.500"</f>
        <v>05/01/2025 15:06:52.500</v>
      </c>
      <c r="C843" t="str">
        <f t="shared" si="330"/>
        <v>FFDFD3C0</v>
      </c>
      <c r="D843" t="s">
        <v>140</v>
      </c>
      <c r="E843" t="str">
        <f>"13"</f>
        <v>13</v>
      </c>
      <c r="F843">
        <v>1019</v>
      </c>
      <c r="G843" t="s">
        <v>141</v>
      </c>
      <c r="J843" t="s">
        <v>142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R843" t="s">
        <v>127</v>
      </c>
      <c r="S843" t="str">
        <f t="shared" si="336"/>
        <v>15:06:52.000</v>
      </c>
      <c r="T843" t="str">
        <f t="shared" si="336"/>
        <v>15:06:52.000</v>
      </c>
      <c r="U843" t="str">
        <f t="shared" si="331"/>
        <v>A68FCB</v>
      </c>
      <c r="V843">
        <v>0</v>
      </c>
      <c r="W843">
        <v>0</v>
      </c>
      <c r="X843">
        <v>2</v>
      </c>
      <c r="Y843">
        <v>0</v>
      </c>
      <c r="AA843">
        <v>1</v>
      </c>
      <c r="AB843">
        <v>8</v>
      </c>
      <c r="AC843">
        <v>3</v>
      </c>
      <c r="AD843">
        <v>0</v>
      </c>
      <c r="AE843">
        <v>9</v>
      </c>
      <c r="AF843" t="s">
        <v>138</v>
      </c>
      <c r="AG843">
        <v>0</v>
      </c>
      <c r="AH843">
        <v>3</v>
      </c>
      <c r="AI843">
        <v>2</v>
      </c>
      <c r="AJ843">
        <v>0</v>
      </c>
      <c r="AK843" t="s">
        <v>367</v>
      </c>
      <c r="AL843">
        <v>38.976767000000002</v>
      </c>
      <c r="AM843" t="s">
        <v>368</v>
      </c>
      <c r="AN843">
        <v>-121.050904</v>
      </c>
      <c r="AO843">
        <v>25</v>
      </c>
      <c r="AP843">
        <v>2800</v>
      </c>
      <c r="AQ843" t="s">
        <v>131</v>
      </c>
      <c r="AR843">
        <v>-11</v>
      </c>
      <c r="AS843">
        <v>86</v>
      </c>
      <c r="AT843">
        <v>576</v>
      </c>
      <c r="BB843" t="str">
        <f t="shared" si="332"/>
        <v>1200</v>
      </c>
      <c r="BC843">
        <v>1</v>
      </c>
      <c r="BD843" t="str">
        <f t="shared" si="333"/>
        <v xml:space="preserve">N52156  </v>
      </c>
      <c r="BE843">
        <v>1</v>
      </c>
      <c r="BG843">
        <v>0</v>
      </c>
      <c r="BH843">
        <v>0</v>
      </c>
      <c r="BI843">
        <v>0</v>
      </c>
      <c r="BJ843">
        <v>2750</v>
      </c>
      <c r="BK843">
        <v>-50</v>
      </c>
      <c r="BL843" t="s">
        <v>188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 t="shared" si="337"/>
        <v>15:06:52.250</v>
      </c>
      <c r="CF843">
        <v>250200060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133</v>
      </c>
      <c r="DA843">
        <v>275</v>
      </c>
      <c r="DB843">
        <v>0</v>
      </c>
      <c r="DC843" t="s">
        <v>134</v>
      </c>
      <c r="DD843" t="s">
        <v>135</v>
      </c>
      <c r="DG843">
        <v>3319291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"05/01/2025 15:06:52.506"</f>
        <v>05/01/2025 15:06:52.506</v>
      </c>
      <c r="C844" t="str">
        <f t="shared" si="330"/>
        <v>FFDFD3C0</v>
      </c>
      <c r="D844" t="s">
        <v>145</v>
      </c>
      <c r="E844" t="str">
        <f>"05"</f>
        <v>05</v>
      </c>
      <c r="H844">
        <v>47</v>
      </c>
      <c r="I844" t="s">
        <v>146</v>
      </c>
      <c r="J844" t="s">
        <v>138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R844" t="s">
        <v>127</v>
      </c>
      <c r="S844" t="str">
        <f t="shared" si="336"/>
        <v>15:06:52.000</v>
      </c>
      <c r="T844" t="str">
        <f t="shared" si="336"/>
        <v>15:06:52.000</v>
      </c>
      <c r="U844" t="str">
        <f t="shared" si="331"/>
        <v>A68FCB</v>
      </c>
      <c r="V844">
        <v>0</v>
      </c>
      <c r="W844">
        <v>0</v>
      </c>
      <c r="X844">
        <v>2</v>
      </c>
      <c r="Y844">
        <v>0</v>
      </c>
      <c r="AA844">
        <v>1</v>
      </c>
      <c r="AB844">
        <v>8</v>
      </c>
      <c r="AC844">
        <v>3</v>
      </c>
      <c r="AD844">
        <v>0</v>
      </c>
      <c r="AE844">
        <v>9</v>
      </c>
      <c r="AF844" t="s">
        <v>138</v>
      </c>
      <c r="AG844">
        <v>0</v>
      </c>
      <c r="AH844">
        <v>3</v>
      </c>
      <c r="AI844">
        <v>2</v>
      </c>
      <c r="AJ844">
        <v>0</v>
      </c>
      <c r="AK844" t="s">
        <v>367</v>
      </c>
      <c r="AL844">
        <v>38.976767000000002</v>
      </c>
      <c r="AM844" t="s">
        <v>368</v>
      </c>
      <c r="AN844">
        <v>-121.050904</v>
      </c>
      <c r="AO844">
        <v>25</v>
      </c>
      <c r="AP844">
        <v>2800</v>
      </c>
      <c r="AQ844" t="s">
        <v>131</v>
      </c>
      <c r="AR844">
        <v>-11</v>
      </c>
      <c r="AS844">
        <v>86</v>
      </c>
      <c r="AT844">
        <v>576</v>
      </c>
      <c r="BB844" t="str">
        <f t="shared" si="332"/>
        <v>1200</v>
      </c>
      <c r="BC844">
        <v>1</v>
      </c>
      <c r="BD844" t="str">
        <f t="shared" si="333"/>
        <v xml:space="preserve">N52156  </v>
      </c>
      <c r="BE844">
        <v>1</v>
      </c>
      <c r="BG844">
        <v>0</v>
      </c>
      <c r="BH844">
        <v>0</v>
      </c>
      <c r="BI844">
        <v>0</v>
      </c>
      <c r="BJ844">
        <v>2750</v>
      </c>
      <c r="BK844">
        <v>-50</v>
      </c>
      <c r="BL844" t="s">
        <v>188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 t="shared" si="337"/>
        <v>15:06:52.250</v>
      </c>
      <c r="CF844">
        <v>250200060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5</v>
      </c>
      <c r="CY844">
        <v>7</v>
      </c>
      <c r="CZ844" t="s">
        <v>133</v>
      </c>
      <c r="DA844">
        <v>275</v>
      </c>
      <c r="DB844">
        <v>0</v>
      </c>
      <c r="DC844" t="s">
        <v>134</v>
      </c>
      <c r="DD844" t="s">
        <v>135</v>
      </c>
      <c r="DG844">
        <v>3319291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"05/01/2025 15:06:52.507"</f>
        <v>05/01/2025 15:06:52.507</v>
      </c>
      <c r="C845" t="str">
        <f t="shared" si="330"/>
        <v>FFDFD3C0</v>
      </c>
      <c r="D845" t="s">
        <v>143</v>
      </c>
      <c r="E845" t="str">
        <f>"05"</f>
        <v>05</v>
      </c>
      <c r="H845">
        <v>172</v>
      </c>
      <c r="I845" t="s">
        <v>141</v>
      </c>
      <c r="J845" t="s">
        <v>144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R845" t="s">
        <v>127</v>
      </c>
      <c r="S845" t="str">
        <f t="shared" si="336"/>
        <v>15:06:52.000</v>
      </c>
      <c r="T845" t="str">
        <f t="shared" si="336"/>
        <v>15:06:52.000</v>
      </c>
      <c r="U845" t="str">
        <f t="shared" si="331"/>
        <v>A68FCB</v>
      </c>
      <c r="V845">
        <v>0</v>
      </c>
      <c r="W845">
        <v>0</v>
      </c>
      <c r="X845">
        <v>2</v>
      </c>
      <c r="Y845">
        <v>0</v>
      </c>
      <c r="AA845">
        <v>1</v>
      </c>
      <c r="AB845">
        <v>8</v>
      </c>
      <c r="AC845">
        <v>3</v>
      </c>
      <c r="AD845">
        <v>0</v>
      </c>
      <c r="AE845">
        <v>9</v>
      </c>
      <c r="AF845" t="s">
        <v>138</v>
      </c>
      <c r="AG845">
        <v>0</v>
      </c>
      <c r="AH845">
        <v>3</v>
      </c>
      <c r="AI845">
        <v>2</v>
      </c>
      <c r="AJ845">
        <v>0</v>
      </c>
      <c r="AK845" t="s">
        <v>367</v>
      </c>
      <c r="AL845">
        <v>38.976767000000002</v>
      </c>
      <c r="AM845" t="s">
        <v>368</v>
      </c>
      <c r="AN845">
        <v>-121.050904</v>
      </c>
      <c r="AO845">
        <v>25</v>
      </c>
      <c r="AP845">
        <v>2800</v>
      </c>
      <c r="AQ845" t="s">
        <v>131</v>
      </c>
      <c r="AR845">
        <v>-11</v>
      </c>
      <c r="AS845">
        <v>86</v>
      </c>
      <c r="AT845">
        <v>576</v>
      </c>
      <c r="BB845" t="str">
        <f t="shared" si="332"/>
        <v>1200</v>
      </c>
      <c r="BC845">
        <v>1</v>
      </c>
      <c r="BD845" t="str">
        <f t="shared" si="333"/>
        <v xml:space="preserve">N52156  </v>
      </c>
      <c r="BE845">
        <v>1</v>
      </c>
      <c r="BG845">
        <v>0</v>
      </c>
      <c r="BH845">
        <v>0</v>
      </c>
      <c r="BI845">
        <v>0</v>
      </c>
      <c r="BJ845">
        <v>2750</v>
      </c>
      <c r="BK845">
        <v>-50</v>
      </c>
      <c r="BL845" t="s">
        <v>188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 t="shared" si="337"/>
        <v>15:06:52.250</v>
      </c>
      <c r="CF845">
        <v>250200060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133</v>
      </c>
      <c r="DA845">
        <v>275</v>
      </c>
      <c r="DB845">
        <v>0</v>
      </c>
      <c r="DC845" t="s">
        <v>134</v>
      </c>
      <c r="DD845" t="s">
        <v>135</v>
      </c>
      <c r="DG845">
        <v>3319291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"05/01/2025 15:06:52.506"</f>
        <v>05/01/2025 15:06:52.506</v>
      </c>
      <c r="C846" t="str">
        <f t="shared" si="330"/>
        <v>FFDFD3C0</v>
      </c>
      <c r="D846" t="s">
        <v>124</v>
      </c>
      <c r="E846" t="str">
        <f>"06"</f>
        <v>06</v>
      </c>
      <c r="F846">
        <v>2006</v>
      </c>
      <c r="G846" t="s">
        <v>125</v>
      </c>
      <c r="J846" t="s">
        <v>126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R846" t="s">
        <v>127</v>
      </c>
      <c r="S846" t="str">
        <f t="shared" si="336"/>
        <v>15:06:52.000</v>
      </c>
      <c r="T846" t="str">
        <f t="shared" si="336"/>
        <v>15:06:52.000</v>
      </c>
      <c r="U846" t="str">
        <f t="shared" si="331"/>
        <v>A68FCB</v>
      </c>
      <c r="V846">
        <v>0</v>
      </c>
      <c r="W846">
        <v>0</v>
      </c>
      <c r="X846">
        <v>2</v>
      </c>
      <c r="Y846">
        <v>0</v>
      </c>
      <c r="AA846">
        <v>1</v>
      </c>
      <c r="AB846">
        <v>8</v>
      </c>
      <c r="AC846">
        <v>3</v>
      </c>
      <c r="AD846">
        <v>0</v>
      </c>
      <c r="AE846">
        <v>9</v>
      </c>
      <c r="AF846" t="s">
        <v>138</v>
      </c>
      <c r="AG846">
        <v>0</v>
      </c>
      <c r="AH846">
        <v>3</v>
      </c>
      <c r="AI846">
        <v>2</v>
      </c>
      <c r="AJ846">
        <v>0</v>
      </c>
      <c r="AK846" t="s">
        <v>367</v>
      </c>
      <c r="AL846">
        <v>38.976767000000002</v>
      </c>
      <c r="AM846" t="s">
        <v>368</v>
      </c>
      <c r="AN846">
        <v>-121.050904</v>
      </c>
      <c r="AO846">
        <v>25</v>
      </c>
      <c r="AP846">
        <v>2800</v>
      </c>
      <c r="AQ846" t="s">
        <v>131</v>
      </c>
      <c r="AR846">
        <v>-11</v>
      </c>
      <c r="AS846">
        <v>86</v>
      </c>
      <c r="AT846">
        <v>576</v>
      </c>
      <c r="BB846" t="str">
        <f t="shared" si="332"/>
        <v>1200</v>
      </c>
      <c r="BC846">
        <v>1</v>
      </c>
      <c r="BD846" t="str">
        <f t="shared" si="333"/>
        <v xml:space="preserve">N52156  </v>
      </c>
      <c r="BE846">
        <v>1</v>
      </c>
      <c r="BG846">
        <v>0</v>
      </c>
      <c r="BH846">
        <v>0</v>
      </c>
      <c r="BI846">
        <v>0</v>
      </c>
      <c r="BJ846">
        <v>2750</v>
      </c>
      <c r="BK846">
        <v>-50</v>
      </c>
      <c r="BL846" t="s">
        <v>188</v>
      </c>
      <c r="BM846">
        <v>1</v>
      </c>
      <c r="BN846">
        <v>1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 t="shared" si="337"/>
        <v>15:06:52.250</v>
      </c>
      <c r="CF846">
        <v>250200060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5</v>
      </c>
      <c r="CY846">
        <v>7</v>
      </c>
      <c r="CZ846" t="s">
        <v>133</v>
      </c>
      <c r="DA846">
        <v>275</v>
      </c>
      <c r="DB846">
        <v>0</v>
      </c>
      <c r="DC846" t="s">
        <v>134</v>
      </c>
      <c r="DD846" t="s">
        <v>135</v>
      </c>
      <c r="DG846">
        <v>3319291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"05/01/2025 15:06:52.509"</f>
        <v>05/01/2025 15:06:52.509</v>
      </c>
      <c r="C847" t="str">
        <f t="shared" si="330"/>
        <v>FFDFD3C0</v>
      </c>
      <c r="D847" t="s">
        <v>145</v>
      </c>
      <c r="E847" t="str">
        <f>"09"</f>
        <v>09</v>
      </c>
      <c r="H847">
        <v>51</v>
      </c>
      <c r="I847" t="s">
        <v>147</v>
      </c>
      <c r="J847" t="s">
        <v>138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R847" t="s">
        <v>127</v>
      </c>
      <c r="S847" t="str">
        <f t="shared" si="336"/>
        <v>15:06:52.000</v>
      </c>
      <c r="T847" t="str">
        <f t="shared" si="336"/>
        <v>15:06:52.000</v>
      </c>
      <c r="U847" t="str">
        <f t="shared" si="331"/>
        <v>A68FCB</v>
      </c>
      <c r="V847">
        <v>0</v>
      </c>
      <c r="W847">
        <v>0</v>
      </c>
      <c r="X847">
        <v>2</v>
      </c>
      <c r="Y847">
        <v>0</v>
      </c>
      <c r="AA847">
        <v>1</v>
      </c>
      <c r="AB847">
        <v>8</v>
      </c>
      <c r="AC847">
        <v>3</v>
      </c>
      <c r="AD847">
        <v>0</v>
      </c>
      <c r="AE847">
        <v>9</v>
      </c>
      <c r="AF847" t="s">
        <v>138</v>
      </c>
      <c r="AG847">
        <v>0</v>
      </c>
      <c r="AH847">
        <v>3</v>
      </c>
      <c r="AI847">
        <v>2</v>
      </c>
      <c r="AJ847">
        <v>0</v>
      </c>
      <c r="AK847" t="s">
        <v>367</v>
      </c>
      <c r="AL847">
        <v>38.976767000000002</v>
      </c>
      <c r="AM847" t="s">
        <v>368</v>
      </c>
      <c r="AN847">
        <v>-121.050904</v>
      </c>
      <c r="AO847">
        <v>25</v>
      </c>
      <c r="AP847">
        <v>2800</v>
      </c>
      <c r="AQ847" t="s">
        <v>131</v>
      </c>
      <c r="AR847">
        <v>-11</v>
      </c>
      <c r="AS847">
        <v>86</v>
      </c>
      <c r="AT847">
        <v>576</v>
      </c>
      <c r="BB847" t="str">
        <f t="shared" si="332"/>
        <v>1200</v>
      </c>
      <c r="BC847">
        <v>1</v>
      </c>
      <c r="BD847" t="str">
        <f t="shared" si="333"/>
        <v xml:space="preserve">N52156  </v>
      </c>
      <c r="BE847">
        <v>1</v>
      </c>
      <c r="BG847">
        <v>0</v>
      </c>
      <c r="BH847">
        <v>0</v>
      </c>
      <c r="BI847">
        <v>0</v>
      </c>
      <c r="BJ847">
        <v>2750</v>
      </c>
      <c r="BK847">
        <v>-50</v>
      </c>
      <c r="BL847" t="s">
        <v>188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 t="shared" si="337"/>
        <v>15:06:52.250</v>
      </c>
      <c r="CF847">
        <v>250200060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5</v>
      </c>
      <c r="CY847">
        <v>7</v>
      </c>
      <c r="CZ847" t="s">
        <v>133</v>
      </c>
      <c r="DA847">
        <v>275</v>
      </c>
      <c r="DB847">
        <v>0</v>
      </c>
      <c r="DC847" t="s">
        <v>134</v>
      </c>
      <c r="DD847" t="s">
        <v>135</v>
      </c>
      <c r="DG847">
        <v>3319291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"05/01/2025 15:06:54.202"</f>
        <v>05/01/2025 15:06:54.202</v>
      </c>
      <c r="C848" t="str">
        <f t="shared" si="330"/>
        <v>FFDFD3C0</v>
      </c>
      <c r="D848" t="s">
        <v>140</v>
      </c>
      <c r="E848" t="str">
        <f>"13"</f>
        <v>13</v>
      </c>
      <c r="F848">
        <v>1019</v>
      </c>
      <c r="G848" t="s">
        <v>141</v>
      </c>
      <c r="J848" t="s">
        <v>142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R848" t="s">
        <v>127</v>
      </c>
      <c r="S848" t="str">
        <f t="shared" ref="S848:T853" si="338">"15:06:53.000"</f>
        <v>15:06:53.000</v>
      </c>
      <c r="T848" t="str">
        <f t="shared" si="338"/>
        <v>15:06:53.000</v>
      </c>
      <c r="U848" t="str">
        <f t="shared" si="331"/>
        <v>A68FCB</v>
      </c>
      <c r="V848">
        <v>0</v>
      </c>
      <c r="W848">
        <v>0</v>
      </c>
      <c r="X848">
        <v>2</v>
      </c>
      <c r="Y848">
        <v>0</v>
      </c>
      <c r="AA848">
        <v>1</v>
      </c>
      <c r="AB848">
        <v>8</v>
      </c>
      <c r="AC848">
        <v>3</v>
      </c>
      <c r="AD848">
        <v>0</v>
      </c>
      <c r="AE848">
        <v>9</v>
      </c>
      <c r="AF848" t="s">
        <v>138</v>
      </c>
      <c r="AG848">
        <v>0</v>
      </c>
      <c r="AH848">
        <v>3</v>
      </c>
      <c r="AI848">
        <v>2</v>
      </c>
      <c r="AJ848">
        <v>0</v>
      </c>
      <c r="AK848" t="s">
        <v>369</v>
      </c>
      <c r="AL848">
        <v>38.977260999999999</v>
      </c>
      <c r="AM848" t="s">
        <v>370</v>
      </c>
      <c r="AN848">
        <v>-121.05092500000001</v>
      </c>
      <c r="AO848">
        <v>25</v>
      </c>
      <c r="AP848">
        <v>2900</v>
      </c>
      <c r="AQ848" t="s">
        <v>131</v>
      </c>
      <c r="AR848">
        <v>-11</v>
      </c>
      <c r="AS848">
        <v>86</v>
      </c>
      <c r="AT848">
        <v>576</v>
      </c>
      <c r="BB848" t="str">
        <f t="shared" si="332"/>
        <v>1200</v>
      </c>
      <c r="BC848">
        <v>1</v>
      </c>
      <c r="BD848" t="str">
        <f t="shared" si="333"/>
        <v xml:space="preserve">N52156  </v>
      </c>
      <c r="BE848">
        <v>1</v>
      </c>
      <c r="BG848">
        <v>0</v>
      </c>
      <c r="BH848">
        <v>0</v>
      </c>
      <c r="BI848">
        <v>0</v>
      </c>
      <c r="BJ848">
        <v>2750</v>
      </c>
      <c r="BK848">
        <v>-150</v>
      </c>
      <c r="BL848" t="s">
        <v>188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 t="shared" ref="CE848:CE853" si="339">"15:06:53.977"</f>
        <v>15:06:53.977</v>
      </c>
      <c r="CF848">
        <v>976701935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5</v>
      </c>
      <c r="CY848">
        <v>7</v>
      </c>
      <c r="CZ848" t="s">
        <v>133</v>
      </c>
      <c r="DA848">
        <v>275</v>
      </c>
      <c r="DB848">
        <v>0</v>
      </c>
      <c r="DC848" t="s">
        <v>134</v>
      </c>
      <c r="DD848" t="s">
        <v>135</v>
      </c>
      <c r="DG848">
        <v>3319316</v>
      </c>
      <c r="DI848">
        <v>1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"05/01/2025 15:06:54.208"</f>
        <v>05/01/2025 15:06:54.208</v>
      </c>
      <c r="C849" t="str">
        <f t="shared" si="330"/>
        <v>FFDFD3C0</v>
      </c>
      <c r="D849" t="s">
        <v>145</v>
      </c>
      <c r="E849" t="str">
        <f>"05"</f>
        <v>05</v>
      </c>
      <c r="H849">
        <v>47</v>
      </c>
      <c r="I849" t="s">
        <v>146</v>
      </c>
      <c r="J849" t="s">
        <v>138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R849" t="s">
        <v>127</v>
      </c>
      <c r="S849" t="str">
        <f t="shared" si="338"/>
        <v>15:06:53.000</v>
      </c>
      <c r="T849" t="str">
        <f t="shared" si="338"/>
        <v>15:06:53.000</v>
      </c>
      <c r="U849" t="str">
        <f t="shared" si="331"/>
        <v>A68FCB</v>
      </c>
      <c r="V849">
        <v>0</v>
      </c>
      <c r="W849">
        <v>0</v>
      </c>
      <c r="X849">
        <v>2</v>
      </c>
      <c r="Y849">
        <v>0</v>
      </c>
      <c r="AA849">
        <v>1</v>
      </c>
      <c r="AB849">
        <v>8</v>
      </c>
      <c r="AC849">
        <v>3</v>
      </c>
      <c r="AD849">
        <v>0</v>
      </c>
      <c r="AE849">
        <v>9</v>
      </c>
      <c r="AF849" t="s">
        <v>138</v>
      </c>
      <c r="AG849">
        <v>0</v>
      </c>
      <c r="AH849">
        <v>3</v>
      </c>
      <c r="AI849">
        <v>2</v>
      </c>
      <c r="AJ849">
        <v>0</v>
      </c>
      <c r="AK849" t="s">
        <v>369</v>
      </c>
      <c r="AL849">
        <v>38.977260999999999</v>
      </c>
      <c r="AM849" t="s">
        <v>370</v>
      </c>
      <c r="AN849">
        <v>-121.05092500000001</v>
      </c>
      <c r="AO849">
        <v>25</v>
      </c>
      <c r="AP849">
        <v>2900</v>
      </c>
      <c r="AQ849" t="s">
        <v>131</v>
      </c>
      <c r="AR849">
        <v>-11</v>
      </c>
      <c r="AS849">
        <v>86</v>
      </c>
      <c r="AT849">
        <v>576</v>
      </c>
      <c r="BB849" t="str">
        <f t="shared" si="332"/>
        <v>1200</v>
      </c>
      <c r="BC849">
        <v>1</v>
      </c>
      <c r="BD849" t="str">
        <f t="shared" si="333"/>
        <v xml:space="preserve">N52156  </v>
      </c>
      <c r="BE849">
        <v>1</v>
      </c>
      <c r="BG849">
        <v>0</v>
      </c>
      <c r="BH849">
        <v>0</v>
      </c>
      <c r="BI849">
        <v>0</v>
      </c>
      <c r="BJ849">
        <v>2750</v>
      </c>
      <c r="BK849">
        <v>-150</v>
      </c>
      <c r="BL849" t="s">
        <v>188</v>
      </c>
      <c r="BM849">
        <v>1</v>
      </c>
      <c r="BN849">
        <v>1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 t="shared" si="339"/>
        <v>15:06:53.977</v>
      </c>
      <c r="CF849">
        <v>976701935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5</v>
      </c>
      <c r="CY849">
        <v>7</v>
      </c>
      <c r="CZ849" t="s">
        <v>133</v>
      </c>
      <c r="DA849">
        <v>275</v>
      </c>
      <c r="DB849">
        <v>0</v>
      </c>
      <c r="DC849" t="s">
        <v>134</v>
      </c>
      <c r="DD849" t="s">
        <v>135</v>
      </c>
      <c r="DG849">
        <v>3319316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"05/01/2025 15:06:54.211"</f>
        <v>05/01/2025 15:06:54.211</v>
      </c>
      <c r="C850" t="str">
        <f t="shared" si="330"/>
        <v>FFDFD3C0</v>
      </c>
      <c r="D850" t="s">
        <v>143</v>
      </c>
      <c r="E850" t="str">
        <f>"05"</f>
        <v>05</v>
      </c>
      <c r="H850">
        <v>172</v>
      </c>
      <c r="I850" t="s">
        <v>141</v>
      </c>
      <c r="J850" t="s">
        <v>144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R850" t="s">
        <v>127</v>
      </c>
      <c r="S850" t="str">
        <f t="shared" si="338"/>
        <v>15:06:53.000</v>
      </c>
      <c r="T850" t="str">
        <f t="shared" si="338"/>
        <v>15:06:53.000</v>
      </c>
      <c r="U850" t="str">
        <f t="shared" si="331"/>
        <v>A68FCB</v>
      </c>
      <c r="V850">
        <v>0</v>
      </c>
      <c r="W850">
        <v>0</v>
      </c>
      <c r="X850">
        <v>2</v>
      </c>
      <c r="Y850">
        <v>0</v>
      </c>
      <c r="AA850">
        <v>1</v>
      </c>
      <c r="AB850">
        <v>8</v>
      </c>
      <c r="AC850">
        <v>3</v>
      </c>
      <c r="AD850">
        <v>0</v>
      </c>
      <c r="AE850">
        <v>9</v>
      </c>
      <c r="AF850" t="s">
        <v>138</v>
      </c>
      <c r="AG850">
        <v>0</v>
      </c>
      <c r="AH850">
        <v>3</v>
      </c>
      <c r="AI850">
        <v>2</v>
      </c>
      <c r="AJ850">
        <v>0</v>
      </c>
      <c r="AK850" t="s">
        <v>369</v>
      </c>
      <c r="AL850">
        <v>38.977260999999999</v>
      </c>
      <c r="AM850" t="s">
        <v>370</v>
      </c>
      <c r="AN850">
        <v>-121.05092500000001</v>
      </c>
      <c r="AO850">
        <v>25</v>
      </c>
      <c r="AP850">
        <v>2900</v>
      </c>
      <c r="AQ850" t="s">
        <v>131</v>
      </c>
      <c r="AR850">
        <v>-11</v>
      </c>
      <c r="AS850">
        <v>86</v>
      </c>
      <c r="AT850">
        <v>576</v>
      </c>
      <c r="BB850" t="str">
        <f t="shared" si="332"/>
        <v>1200</v>
      </c>
      <c r="BC850">
        <v>1</v>
      </c>
      <c r="BD850" t="str">
        <f t="shared" si="333"/>
        <v xml:space="preserve">N52156  </v>
      </c>
      <c r="BE850">
        <v>1</v>
      </c>
      <c r="BG850">
        <v>0</v>
      </c>
      <c r="BH850">
        <v>0</v>
      </c>
      <c r="BI850">
        <v>0</v>
      </c>
      <c r="BJ850">
        <v>2750</v>
      </c>
      <c r="BK850">
        <v>-150</v>
      </c>
      <c r="BL850" t="s">
        <v>188</v>
      </c>
      <c r="BM850">
        <v>1</v>
      </c>
      <c r="BN850">
        <v>1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 t="shared" si="339"/>
        <v>15:06:53.977</v>
      </c>
      <c r="CF850">
        <v>976701935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5</v>
      </c>
      <c r="CY850">
        <v>7</v>
      </c>
      <c r="CZ850" t="s">
        <v>133</v>
      </c>
      <c r="DA850">
        <v>275</v>
      </c>
      <c r="DB850">
        <v>0</v>
      </c>
      <c r="DC850" t="s">
        <v>134</v>
      </c>
      <c r="DD850" t="s">
        <v>135</v>
      </c>
      <c r="DG850">
        <v>3319316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"05/01/2025 15:06:54.209"</f>
        <v>05/01/2025 15:06:54.209</v>
      </c>
      <c r="C851" t="str">
        <f t="shared" si="330"/>
        <v>FFDFD3C0</v>
      </c>
      <c r="D851" t="s">
        <v>124</v>
      </c>
      <c r="E851" t="str">
        <f>"06"</f>
        <v>06</v>
      </c>
      <c r="F851">
        <v>2006</v>
      </c>
      <c r="G851" t="s">
        <v>125</v>
      </c>
      <c r="J851" t="s">
        <v>126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R851" t="s">
        <v>127</v>
      </c>
      <c r="S851" t="str">
        <f t="shared" si="338"/>
        <v>15:06:53.000</v>
      </c>
      <c r="T851" t="str">
        <f t="shared" si="338"/>
        <v>15:06:53.000</v>
      </c>
      <c r="U851" t="str">
        <f t="shared" si="331"/>
        <v>A68FCB</v>
      </c>
      <c r="V851">
        <v>0</v>
      </c>
      <c r="W851">
        <v>0</v>
      </c>
      <c r="X851">
        <v>2</v>
      </c>
      <c r="Y851">
        <v>0</v>
      </c>
      <c r="AA851">
        <v>1</v>
      </c>
      <c r="AB851">
        <v>8</v>
      </c>
      <c r="AC851">
        <v>3</v>
      </c>
      <c r="AD851">
        <v>0</v>
      </c>
      <c r="AE851">
        <v>9</v>
      </c>
      <c r="AF851" t="s">
        <v>138</v>
      </c>
      <c r="AG851">
        <v>0</v>
      </c>
      <c r="AH851">
        <v>3</v>
      </c>
      <c r="AI851">
        <v>2</v>
      </c>
      <c r="AJ851">
        <v>0</v>
      </c>
      <c r="AK851" t="s">
        <v>369</v>
      </c>
      <c r="AL851">
        <v>38.977260999999999</v>
      </c>
      <c r="AM851" t="s">
        <v>370</v>
      </c>
      <c r="AN851">
        <v>-121.05092500000001</v>
      </c>
      <c r="AO851">
        <v>25</v>
      </c>
      <c r="AP851">
        <v>2900</v>
      </c>
      <c r="AQ851" t="s">
        <v>131</v>
      </c>
      <c r="AR851">
        <v>-11</v>
      </c>
      <c r="AS851">
        <v>86</v>
      </c>
      <c r="AT851">
        <v>576</v>
      </c>
      <c r="BB851" t="str">
        <f t="shared" si="332"/>
        <v>1200</v>
      </c>
      <c r="BC851">
        <v>1</v>
      </c>
      <c r="BD851" t="str">
        <f t="shared" si="333"/>
        <v xml:space="preserve">N52156  </v>
      </c>
      <c r="BE851">
        <v>1</v>
      </c>
      <c r="BG851">
        <v>0</v>
      </c>
      <c r="BH851">
        <v>0</v>
      </c>
      <c r="BI851">
        <v>0</v>
      </c>
      <c r="BJ851">
        <v>2750</v>
      </c>
      <c r="BK851">
        <v>-150</v>
      </c>
      <c r="BL851" t="s">
        <v>188</v>
      </c>
      <c r="BM851">
        <v>1</v>
      </c>
      <c r="BN851">
        <v>1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 t="shared" si="339"/>
        <v>15:06:53.977</v>
      </c>
      <c r="CF851">
        <v>976701935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5</v>
      </c>
      <c r="CY851">
        <v>7</v>
      </c>
      <c r="CZ851" t="s">
        <v>133</v>
      </c>
      <c r="DA851">
        <v>275</v>
      </c>
      <c r="DB851">
        <v>0</v>
      </c>
      <c r="DC851" t="s">
        <v>134</v>
      </c>
      <c r="DD851" t="s">
        <v>135</v>
      </c>
      <c r="DG851">
        <v>3319316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"05/01/2025 15:06:54.213"</f>
        <v>05/01/2025 15:06:54.213</v>
      </c>
      <c r="C852" t="str">
        <f t="shared" si="330"/>
        <v>FFDFD3C0</v>
      </c>
      <c r="D852" t="s">
        <v>145</v>
      </c>
      <c r="E852" t="str">
        <f>"09"</f>
        <v>09</v>
      </c>
      <c r="H852">
        <v>51</v>
      </c>
      <c r="I852" t="s">
        <v>147</v>
      </c>
      <c r="J852" t="s">
        <v>138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R852" t="s">
        <v>127</v>
      </c>
      <c r="S852" t="str">
        <f t="shared" si="338"/>
        <v>15:06:53.000</v>
      </c>
      <c r="T852" t="str">
        <f t="shared" si="338"/>
        <v>15:06:53.000</v>
      </c>
      <c r="U852" t="str">
        <f t="shared" si="331"/>
        <v>A68FCB</v>
      </c>
      <c r="V852">
        <v>0</v>
      </c>
      <c r="W852">
        <v>0</v>
      </c>
      <c r="X852">
        <v>2</v>
      </c>
      <c r="Y852">
        <v>0</v>
      </c>
      <c r="AA852">
        <v>1</v>
      </c>
      <c r="AB852">
        <v>8</v>
      </c>
      <c r="AC852">
        <v>3</v>
      </c>
      <c r="AD852">
        <v>0</v>
      </c>
      <c r="AE852">
        <v>9</v>
      </c>
      <c r="AF852" t="s">
        <v>138</v>
      </c>
      <c r="AG852">
        <v>0</v>
      </c>
      <c r="AH852">
        <v>3</v>
      </c>
      <c r="AI852">
        <v>2</v>
      </c>
      <c r="AJ852">
        <v>0</v>
      </c>
      <c r="AK852" t="s">
        <v>369</v>
      </c>
      <c r="AL852">
        <v>38.977260999999999</v>
      </c>
      <c r="AM852" t="s">
        <v>370</v>
      </c>
      <c r="AN852">
        <v>-121.05092500000001</v>
      </c>
      <c r="AO852">
        <v>25</v>
      </c>
      <c r="AP852">
        <v>2900</v>
      </c>
      <c r="AQ852" t="s">
        <v>131</v>
      </c>
      <c r="AR852">
        <v>-11</v>
      </c>
      <c r="AS852">
        <v>86</v>
      </c>
      <c r="AT852">
        <v>576</v>
      </c>
      <c r="BB852" t="str">
        <f t="shared" si="332"/>
        <v>1200</v>
      </c>
      <c r="BC852">
        <v>1</v>
      </c>
      <c r="BD852" t="str">
        <f t="shared" si="333"/>
        <v xml:space="preserve">N52156  </v>
      </c>
      <c r="BE852">
        <v>1</v>
      </c>
      <c r="BG852">
        <v>0</v>
      </c>
      <c r="BH852">
        <v>0</v>
      </c>
      <c r="BI852">
        <v>0</v>
      </c>
      <c r="BJ852">
        <v>2750</v>
      </c>
      <c r="BK852">
        <v>-150</v>
      </c>
      <c r="BL852" t="s">
        <v>188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 t="shared" si="339"/>
        <v>15:06:53.977</v>
      </c>
      <c r="CF852">
        <v>976701935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5</v>
      </c>
      <c r="CY852">
        <v>7</v>
      </c>
      <c r="CZ852" t="s">
        <v>133</v>
      </c>
      <c r="DA852">
        <v>275</v>
      </c>
      <c r="DB852">
        <v>0</v>
      </c>
      <c r="DC852" t="s">
        <v>134</v>
      </c>
      <c r="DD852" t="s">
        <v>135</v>
      </c>
      <c r="DG852">
        <v>3319316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"05/01/2025 15:06:54.219"</f>
        <v>05/01/2025 15:06:54.219</v>
      </c>
      <c r="C853" t="str">
        <f t="shared" si="330"/>
        <v>FFDFD3C0</v>
      </c>
      <c r="D853" t="s">
        <v>136</v>
      </c>
      <c r="E853" t="str">
        <f>"20"</f>
        <v>20</v>
      </c>
      <c r="H853">
        <v>400</v>
      </c>
      <c r="I853" t="s">
        <v>137</v>
      </c>
      <c r="J853" t="s">
        <v>138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R853" t="s">
        <v>127</v>
      </c>
      <c r="S853" t="str">
        <f t="shared" si="338"/>
        <v>15:06:53.000</v>
      </c>
      <c r="T853" t="str">
        <f t="shared" si="338"/>
        <v>15:06:53.000</v>
      </c>
      <c r="U853" t="str">
        <f t="shared" si="331"/>
        <v>A68FCB</v>
      </c>
      <c r="V853">
        <v>0</v>
      </c>
      <c r="W853">
        <v>0</v>
      </c>
      <c r="X853">
        <v>2</v>
      </c>
      <c r="Y853">
        <v>0</v>
      </c>
      <c r="AA853">
        <v>1</v>
      </c>
      <c r="AB853">
        <v>8</v>
      </c>
      <c r="AC853">
        <v>3</v>
      </c>
      <c r="AD853">
        <v>0</v>
      </c>
      <c r="AE853">
        <v>9</v>
      </c>
      <c r="AF853" t="s">
        <v>138</v>
      </c>
      <c r="AG853">
        <v>0</v>
      </c>
      <c r="AH853">
        <v>3</v>
      </c>
      <c r="AI853">
        <v>2</v>
      </c>
      <c r="AJ853">
        <v>0</v>
      </c>
      <c r="AK853" t="s">
        <v>369</v>
      </c>
      <c r="AL853">
        <v>38.977260999999999</v>
      </c>
      <c r="AM853" t="s">
        <v>370</v>
      </c>
      <c r="AN853">
        <v>-121.05092500000001</v>
      </c>
      <c r="AO853">
        <v>25</v>
      </c>
      <c r="AP853">
        <v>2900</v>
      </c>
      <c r="AQ853" t="s">
        <v>131</v>
      </c>
      <c r="AR853">
        <v>-11</v>
      </c>
      <c r="AS853">
        <v>86</v>
      </c>
      <c r="AT853">
        <v>576</v>
      </c>
      <c r="BB853" t="str">
        <f t="shared" si="332"/>
        <v>1200</v>
      </c>
      <c r="BC853">
        <v>1</v>
      </c>
      <c r="BD853" t="str">
        <f t="shared" si="333"/>
        <v xml:space="preserve">N52156  </v>
      </c>
      <c r="BE853">
        <v>1</v>
      </c>
      <c r="BG853">
        <v>0</v>
      </c>
      <c r="BH853">
        <v>0</v>
      </c>
      <c r="BI853">
        <v>0</v>
      </c>
      <c r="BJ853">
        <v>2750</v>
      </c>
      <c r="BK853">
        <v>-150</v>
      </c>
      <c r="BL853" t="s">
        <v>188</v>
      </c>
      <c r="BM853">
        <v>1</v>
      </c>
      <c r="BN853">
        <v>1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 t="shared" si="339"/>
        <v>15:06:53.977</v>
      </c>
      <c r="CF853">
        <v>976701935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5</v>
      </c>
      <c r="CY853">
        <v>7</v>
      </c>
      <c r="CZ853" t="s">
        <v>133</v>
      </c>
      <c r="DA853">
        <v>275</v>
      </c>
      <c r="DB853">
        <v>0</v>
      </c>
      <c r="DC853" t="s">
        <v>134</v>
      </c>
      <c r="DD853" t="s">
        <v>135</v>
      </c>
      <c r="DG853">
        <v>3319316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"05/01/2025 15:06:54.503"</f>
        <v>05/01/2025 15:06:54.503</v>
      </c>
      <c r="C854" t="str">
        <f t="shared" si="330"/>
        <v>FFDFD3C0</v>
      </c>
      <c r="D854" t="s">
        <v>140</v>
      </c>
      <c r="E854" t="str">
        <f>"13"</f>
        <v>13</v>
      </c>
      <c r="F854">
        <v>1019</v>
      </c>
      <c r="G854" t="s">
        <v>141</v>
      </c>
      <c r="J854" t="s">
        <v>142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R854" t="s">
        <v>127</v>
      </c>
      <c r="S854" t="str">
        <f t="shared" ref="S854:T859" si="340">"15:06:54.000"</f>
        <v>15:06:54.000</v>
      </c>
      <c r="T854" t="str">
        <f t="shared" si="340"/>
        <v>15:06:54.000</v>
      </c>
      <c r="U854" t="str">
        <f t="shared" si="331"/>
        <v>A68FCB</v>
      </c>
      <c r="V854">
        <v>0</v>
      </c>
      <c r="W854">
        <v>0</v>
      </c>
      <c r="X854">
        <v>2</v>
      </c>
      <c r="Y854">
        <v>0</v>
      </c>
      <c r="AA854">
        <v>1</v>
      </c>
      <c r="AB854">
        <v>8</v>
      </c>
      <c r="AC854">
        <v>3</v>
      </c>
      <c r="AD854">
        <v>0</v>
      </c>
      <c r="AE854">
        <v>9</v>
      </c>
      <c r="AF854" t="s">
        <v>138</v>
      </c>
      <c r="AG854">
        <v>0</v>
      </c>
      <c r="AH854">
        <v>3</v>
      </c>
      <c r="AI854">
        <v>2</v>
      </c>
      <c r="AJ854">
        <v>0</v>
      </c>
      <c r="AK854" t="s">
        <v>371</v>
      </c>
      <c r="AL854">
        <v>38.977646999999997</v>
      </c>
      <c r="AM854" t="s">
        <v>372</v>
      </c>
      <c r="AN854">
        <v>-121.05099</v>
      </c>
      <c r="AO854">
        <v>25</v>
      </c>
      <c r="AP854">
        <v>2900</v>
      </c>
      <c r="AQ854" t="s">
        <v>131</v>
      </c>
      <c r="AR854">
        <v>-11</v>
      </c>
      <c r="AS854">
        <v>86</v>
      </c>
      <c r="AT854">
        <v>576</v>
      </c>
      <c r="BB854" t="str">
        <f t="shared" si="332"/>
        <v>1200</v>
      </c>
      <c r="BC854">
        <v>1</v>
      </c>
      <c r="BD854" t="str">
        <f t="shared" si="333"/>
        <v xml:space="preserve">N52156  </v>
      </c>
      <c r="BE854">
        <v>1</v>
      </c>
      <c r="BG854">
        <v>0</v>
      </c>
      <c r="BH854">
        <v>0</v>
      </c>
      <c r="BI854">
        <v>0</v>
      </c>
      <c r="BJ854">
        <v>2750</v>
      </c>
      <c r="BK854">
        <v>-150</v>
      </c>
      <c r="BL854" t="s">
        <v>188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 t="shared" ref="CE854:CE859" si="341">"15:06:54.267"</f>
        <v>15:06:54.267</v>
      </c>
      <c r="CF854">
        <v>267200150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133</v>
      </c>
      <c r="DA854">
        <v>275</v>
      </c>
      <c r="DB854">
        <v>0</v>
      </c>
      <c r="DC854" t="s">
        <v>134</v>
      </c>
      <c r="DD854" t="s">
        <v>135</v>
      </c>
      <c r="DG854">
        <v>3319319</v>
      </c>
      <c r="DI854">
        <v>1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"05/01/2025 15:06:54.509"</f>
        <v>05/01/2025 15:06:54.509</v>
      </c>
      <c r="C855" t="str">
        <f t="shared" si="330"/>
        <v>FFDFD3C0</v>
      </c>
      <c r="D855" t="s">
        <v>145</v>
      </c>
      <c r="E855" t="str">
        <f>"05"</f>
        <v>05</v>
      </c>
      <c r="H855">
        <v>47</v>
      </c>
      <c r="I855" t="s">
        <v>146</v>
      </c>
      <c r="J855" t="s">
        <v>138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R855" t="s">
        <v>127</v>
      </c>
      <c r="S855" t="str">
        <f t="shared" si="340"/>
        <v>15:06:54.000</v>
      </c>
      <c r="T855" t="str">
        <f t="shared" si="340"/>
        <v>15:06:54.000</v>
      </c>
      <c r="U855" t="str">
        <f t="shared" si="331"/>
        <v>A68FCB</v>
      </c>
      <c r="V855">
        <v>0</v>
      </c>
      <c r="W855">
        <v>0</v>
      </c>
      <c r="X855">
        <v>2</v>
      </c>
      <c r="Y855">
        <v>0</v>
      </c>
      <c r="AA855">
        <v>1</v>
      </c>
      <c r="AB855">
        <v>8</v>
      </c>
      <c r="AC855">
        <v>3</v>
      </c>
      <c r="AD855">
        <v>0</v>
      </c>
      <c r="AE855">
        <v>9</v>
      </c>
      <c r="AF855" t="s">
        <v>138</v>
      </c>
      <c r="AG855">
        <v>0</v>
      </c>
      <c r="AH855">
        <v>3</v>
      </c>
      <c r="AI855">
        <v>2</v>
      </c>
      <c r="AJ855">
        <v>0</v>
      </c>
      <c r="AK855" t="s">
        <v>371</v>
      </c>
      <c r="AL855">
        <v>38.977646999999997</v>
      </c>
      <c r="AM855" t="s">
        <v>372</v>
      </c>
      <c r="AN855">
        <v>-121.05099</v>
      </c>
      <c r="AO855">
        <v>25</v>
      </c>
      <c r="AP855">
        <v>2900</v>
      </c>
      <c r="AQ855" t="s">
        <v>131</v>
      </c>
      <c r="AR855">
        <v>-11</v>
      </c>
      <c r="AS855">
        <v>86</v>
      </c>
      <c r="AT855">
        <v>576</v>
      </c>
      <c r="BB855" t="str">
        <f t="shared" si="332"/>
        <v>1200</v>
      </c>
      <c r="BC855">
        <v>1</v>
      </c>
      <c r="BD855" t="str">
        <f t="shared" si="333"/>
        <v xml:space="preserve">N52156  </v>
      </c>
      <c r="BE855">
        <v>1</v>
      </c>
      <c r="BG855">
        <v>0</v>
      </c>
      <c r="BH855">
        <v>0</v>
      </c>
      <c r="BI855">
        <v>0</v>
      </c>
      <c r="BJ855">
        <v>2750</v>
      </c>
      <c r="BK855">
        <v>-150</v>
      </c>
      <c r="BL855" t="s">
        <v>188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 t="shared" si="341"/>
        <v>15:06:54.267</v>
      </c>
      <c r="CF855">
        <v>267200150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133</v>
      </c>
      <c r="DA855">
        <v>275</v>
      </c>
      <c r="DB855">
        <v>0</v>
      </c>
      <c r="DC855" t="s">
        <v>134</v>
      </c>
      <c r="DD855" t="s">
        <v>135</v>
      </c>
      <c r="DG855">
        <v>3319319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"05/01/2025 15:06:54.510"</f>
        <v>05/01/2025 15:06:54.510</v>
      </c>
      <c r="C856" t="str">
        <f t="shared" si="330"/>
        <v>FFDFD3C0</v>
      </c>
      <c r="D856" t="s">
        <v>124</v>
      </c>
      <c r="E856" t="str">
        <f>"06"</f>
        <v>06</v>
      </c>
      <c r="F856">
        <v>2006</v>
      </c>
      <c r="G856" t="s">
        <v>125</v>
      </c>
      <c r="J856" t="s">
        <v>126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R856" t="s">
        <v>127</v>
      </c>
      <c r="S856" t="str">
        <f t="shared" si="340"/>
        <v>15:06:54.000</v>
      </c>
      <c r="T856" t="str">
        <f t="shared" si="340"/>
        <v>15:06:54.000</v>
      </c>
      <c r="U856" t="str">
        <f t="shared" si="331"/>
        <v>A68FCB</v>
      </c>
      <c r="V856">
        <v>0</v>
      </c>
      <c r="W856">
        <v>0</v>
      </c>
      <c r="X856">
        <v>2</v>
      </c>
      <c r="Y856">
        <v>0</v>
      </c>
      <c r="AA856">
        <v>1</v>
      </c>
      <c r="AB856">
        <v>8</v>
      </c>
      <c r="AC856">
        <v>3</v>
      </c>
      <c r="AD856">
        <v>0</v>
      </c>
      <c r="AE856">
        <v>9</v>
      </c>
      <c r="AF856" t="s">
        <v>138</v>
      </c>
      <c r="AG856">
        <v>0</v>
      </c>
      <c r="AH856">
        <v>3</v>
      </c>
      <c r="AI856">
        <v>2</v>
      </c>
      <c r="AJ856">
        <v>0</v>
      </c>
      <c r="AK856" t="s">
        <v>371</v>
      </c>
      <c r="AL856">
        <v>38.977646999999997</v>
      </c>
      <c r="AM856" t="s">
        <v>372</v>
      </c>
      <c r="AN856">
        <v>-121.05099</v>
      </c>
      <c r="AO856">
        <v>25</v>
      </c>
      <c r="AP856">
        <v>2900</v>
      </c>
      <c r="AQ856" t="s">
        <v>131</v>
      </c>
      <c r="AR856">
        <v>-11</v>
      </c>
      <c r="AS856">
        <v>86</v>
      </c>
      <c r="AT856">
        <v>576</v>
      </c>
      <c r="BB856" t="str">
        <f t="shared" si="332"/>
        <v>1200</v>
      </c>
      <c r="BC856">
        <v>1</v>
      </c>
      <c r="BD856" t="str">
        <f t="shared" si="333"/>
        <v xml:space="preserve">N52156  </v>
      </c>
      <c r="BE856">
        <v>1</v>
      </c>
      <c r="BG856">
        <v>0</v>
      </c>
      <c r="BH856">
        <v>0</v>
      </c>
      <c r="BI856">
        <v>0</v>
      </c>
      <c r="BJ856">
        <v>2750</v>
      </c>
      <c r="BK856">
        <v>-150</v>
      </c>
      <c r="BL856" t="s">
        <v>188</v>
      </c>
      <c r="BM856">
        <v>1</v>
      </c>
      <c r="BN856">
        <v>1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 t="shared" si="341"/>
        <v>15:06:54.267</v>
      </c>
      <c r="CF856">
        <v>267200150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133</v>
      </c>
      <c r="DA856">
        <v>275</v>
      </c>
      <c r="DB856">
        <v>0</v>
      </c>
      <c r="DC856" t="s">
        <v>134</v>
      </c>
      <c r="DD856" t="s">
        <v>135</v>
      </c>
      <c r="DG856">
        <v>3319319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"05/01/2025 15:06:54.511"</f>
        <v>05/01/2025 15:06:54.511</v>
      </c>
      <c r="C857" t="str">
        <f t="shared" si="330"/>
        <v>FFDFD3C0</v>
      </c>
      <c r="D857" t="s">
        <v>143</v>
      </c>
      <c r="E857" t="str">
        <f>"05"</f>
        <v>05</v>
      </c>
      <c r="H857">
        <v>172</v>
      </c>
      <c r="I857" t="s">
        <v>141</v>
      </c>
      <c r="J857" t="s">
        <v>144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R857" t="s">
        <v>127</v>
      </c>
      <c r="S857" t="str">
        <f t="shared" si="340"/>
        <v>15:06:54.000</v>
      </c>
      <c r="T857" t="str">
        <f t="shared" si="340"/>
        <v>15:06:54.000</v>
      </c>
      <c r="U857" t="str">
        <f t="shared" si="331"/>
        <v>A68FCB</v>
      </c>
      <c r="V857">
        <v>0</v>
      </c>
      <c r="W857">
        <v>0</v>
      </c>
      <c r="X857">
        <v>2</v>
      </c>
      <c r="Y857">
        <v>0</v>
      </c>
      <c r="AA857">
        <v>1</v>
      </c>
      <c r="AB857">
        <v>8</v>
      </c>
      <c r="AC857">
        <v>3</v>
      </c>
      <c r="AD857">
        <v>0</v>
      </c>
      <c r="AE857">
        <v>9</v>
      </c>
      <c r="AF857" t="s">
        <v>138</v>
      </c>
      <c r="AG857">
        <v>0</v>
      </c>
      <c r="AH857">
        <v>3</v>
      </c>
      <c r="AI857">
        <v>2</v>
      </c>
      <c r="AJ857">
        <v>0</v>
      </c>
      <c r="AK857" t="s">
        <v>371</v>
      </c>
      <c r="AL857">
        <v>38.977646999999997</v>
      </c>
      <c r="AM857" t="s">
        <v>372</v>
      </c>
      <c r="AN857">
        <v>-121.05099</v>
      </c>
      <c r="AO857">
        <v>25</v>
      </c>
      <c r="AP857">
        <v>2900</v>
      </c>
      <c r="AQ857" t="s">
        <v>131</v>
      </c>
      <c r="AR857">
        <v>-11</v>
      </c>
      <c r="AS857">
        <v>86</v>
      </c>
      <c r="AT857">
        <v>576</v>
      </c>
      <c r="BB857" t="str">
        <f t="shared" si="332"/>
        <v>1200</v>
      </c>
      <c r="BC857">
        <v>1</v>
      </c>
      <c r="BD857" t="str">
        <f t="shared" si="333"/>
        <v xml:space="preserve">N52156  </v>
      </c>
      <c r="BE857">
        <v>1</v>
      </c>
      <c r="BG857">
        <v>0</v>
      </c>
      <c r="BH857">
        <v>0</v>
      </c>
      <c r="BI857">
        <v>0</v>
      </c>
      <c r="BJ857">
        <v>2750</v>
      </c>
      <c r="BK857">
        <v>-150</v>
      </c>
      <c r="BL857" t="s">
        <v>188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 t="shared" si="341"/>
        <v>15:06:54.267</v>
      </c>
      <c r="CF857">
        <v>267200150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5</v>
      </c>
      <c r="CY857">
        <v>7</v>
      </c>
      <c r="CZ857" t="s">
        <v>133</v>
      </c>
      <c r="DA857">
        <v>275</v>
      </c>
      <c r="DB857">
        <v>0</v>
      </c>
      <c r="DC857" t="s">
        <v>134</v>
      </c>
      <c r="DD857" t="s">
        <v>135</v>
      </c>
      <c r="DG857">
        <v>3319319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"05/01/2025 15:06:54.514"</f>
        <v>05/01/2025 15:06:54.514</v>
      </c>
      <c r="C858" t="str">
        <f t="shared" si="330"/>
        <v>FFDFD3C0</v>
      </c>
      <c r="D858" t="s">
        <v>145</v>
      </c>
      <c r="E858" t="str">
        <f>"09"</f>
        <v>09</v>
      </c>
      <c r="H858">
        <v>51</v>
      </c>
      <c r="I858" t="s">
        <v>147</v>
      </c>
      <c r="J858" t="s">
        <v>138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R858" t="s">
        <v>127</v>
      </c>
      <c r="S858" t="str">
        <f t="shared" si="340"/>
        <v>15:06:54.000</v>
      </c>
      <c r="T858" t="str">
        <f t="shared" si="340"/>
        <v>15:06:54.000</v>
      </c>
      <c r="U858" t="str">
        <f t="shared" si="331"/>
        <v>A68FCB</v>
      </c>
      <c r="V858">
        <v>0</v>
      </c>
      <c r="W858">
        <v>0</v>
      </c>
      <c r="X858">
        <v>2</v>
      </c>
      <c r="Y858">
        <v>0</v>
      </c>
      <c r="AA858">
        <v>1</v>
      </c>
      <c r="AB858">
        <v>8</v>
      </c>
      <c r="AC858">
        <v>3</v>
      </c>
      <c r="AD858">
        <v>0</v>
      </c>
      <c r="AE858">
        <v>9</v>
      </c>
      <c r="AF858" t="s">
        <v>138</v>
      </c>
      <c r="AG858">
        <v>0</v>
      </c>
      <c r="AH858">
        <v>3</v>
      </c>
      <c r="AI858">
        <v>2</v>
      </c>
      <c r="AJ858">
        <v>0</v>
      </c>
      <c r="AK858" t="s">
        <v>371</v>
      </c>
      <c r="AL858">
        <v>38.977646999999997</v>
      </c>
      <c r="AM858" t="s">
        <v>372</v>
      </c>
      <c r="AN858">
        <v>-121.05099</v>
      </c>
      <c r="AO858">
        <v>25</v>
      </c>
      <c r="AP858">
        <v>2900</v>
      </c>
      <c r="AQ858" t="s">
        <v>131</v>
      </c>
      <c r="AR858">
        <v>-11</v>
      </c>
      <c r="AS858">
        <v>86</v>
      </c>
      <c r="AT858">
        <v>576</v>
      </c>
      <c r="BB858" t="str">
        <f t="shared" si="332"/>
        <v>1200</v>
      </c>
      <c r="BC858">
        <v>1</v>
      </c>
      <c r="BD858" t="str">
        <f t="shared" si="333"/>
        <v xml:space="preserve">N52156  </v>
      </c>
      <c r="BE858">
        <v>1</v>
      </c>
      <c r="BG858">
        <v>0</v>
      </c>
      <c r="BH858">
        <v>0</v>
      </c>
      <c r="BI858">
        <v>0</v>
      </c>
      <c r="BJ858">
        <v>2750</v>
      </c>
      <c r="BK858">
        <v>-150</v>
      </c>
      <c r="BL858" t="s">
        <v>188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 t="shared" si="341"/>
        <v>15:06:54.267</v>
      </c>
      <c r="CF858">
        <v>267200150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5</v>
      </c>
      <c r="CY858">
        <v>7</v>
      </c>
      <c r="CZ858" t="s">
        <v>133</v>
      </c>
      <c r="DA858">
        <v>275</v>
      </c>
      <c r="DB858">
        <v>0</v>
      </c>
      <c r="DC858" t="s">
        <v>134</v>
      </c>
      <c r="DD858" t="s">
        <v>135</v>
      </c>
      <c r="DG858">
        <v>3319319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"05/01/2025 15:06:54.519"</f>
        <v>05/01/2025 15:06:54.519</v>
      </c>
      <c r="C859" t="str">
        <f t="shared" si="330"/>
        <v>FFDFD3C0</v>
      </c>
      <c r="D859" t="s">
        <v>136</v>
      </c>
      <c r="E859" t="str">
        <f>"20"</f>
        <v>20</v>
      </c>
      <c r="H859">
        <v>400</v>
      </c>
      <c r="I859" t="s">
        <v>137</v>
      </c>
      <c r="J859" t="s">
        <v>138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R859" t="s">
        <v>127</v>
      </c>
      <c r="S859" t="str">
        <f t="shared" si="340"/>
        <v>15:06:54.000</v>
      </c>
      <c r="T859" t="str">
        <f t="shared" si="340"/>
        <v>15:06:54.000</v>
      </c>
      <c r="U859" t="str">
        <f t="shared" si="331"/>
        <v>A68FCB</v>
      </c>
      <c r="V859">
        <v>0</v>
      </c>
      <c r="W859">
        <v>0</v>
      </c>
      <c r="X859">
        <v>2</v>
      </c>
      <c r="Y859">
        <v>0</v>
      </c>
      <c r="AA859">
        <v>1</v>
      </c>
      <c r="AB859">
        <v>8</v>
      </c>
      <c r="AC859">
        <v>3</v>
      </c>
      <c r="AD859">
        <v>0</v>
      </c>
      <c r="AE859">
        <v>9</v>
      </c>
      <c r="AF859" t="s">
        <v>138</v>
      </c>
      <c r="AG859">
        <v>0</v>
      </c>
      <c r="AH859">
        <v>3</v>
      </c>
      <c r="AI859">
        <v>2</v>
      </c>
      <c r="AJ859">
        <v>0</v>
      </c>
      <c r="AK859" t="s">
        <v>371</v>
      </c>
      <c r="AL859">
        <v>38.977646999999997</v>
      </c>
      <c r="AM859" t="s">
        <v>372</v>
      </c>
      <c r="AN859">
        <v>-121.05099</v>
      </c>
      <c r="AO859">
        <v>25</v>
      </c>
      <c r="AP859">
        <v>2900</v>
      </c>
      <c r="AQ859" t="s">
        <v>131</v>
      </c>
      <c r="AR859">
        <v>-11</v>
      </c>
      <c r="AS859">
        <v>86</v>
      </c>
      <c r="AT859">
        <v>576</v>
      </c>
      <c r="BB859" t="str">
        <f t="shared" si="332"/>
        <v>1200</v>
      </c>
      <c r="BC859">
        <v>1</v>
      </c>
      <c r="BD859" t="str">
        <f t="shared" si="333"/>
        <v xml:space="preserve">N52156  </v>
      </c>
      <c r="BE859">
        <v>1</v>
      </c>
      <c r="BG859">
        <v>0</v>
      </c>
      <c r="BH859">
        <v>0</v>
      </c>
      <c r="BI859">
        <v>0</v>
      </c>
      <c r="BJ859">
        <v>2750</v>
      </c>
      <c r="BK859">
        <v>-150</v>
      </c>
      <c r="BL859" t="s">
        <v>188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 t="shared" si="341"/>
        <v>15:06:54.267</v>
      </c>
      <c r="CF859">
        <v>267200150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5</v>
      </c>
      <c r="CY859">
        <v>7</v>
      </c>
      <c r="CZ859" t="s">
        <v>133</v>
      </c>
      <c r="DA859">
        <v>275</v>
      </c>
      <c r="DB859">
        <v>0</v>
      </c>
      <c r="DC859" t="s">
        <v>134</v>
      </c>
      <c r="DD859" t="s">
        <v>135</v>
      </c>
      <c r="DG859">
        <v>3319319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"05/01/2025 15:06:56.206"</f>
        <v>05/01/2025 15:06:56.206</v>
      </c>
      <c r="C860" t="str">
        <f t="shared" si="330"/>
        <v>FFDFD3C0</v>
      </c>
      <c r="D860" t="s">
        <v>140</v>
      </c>
      <c r="E860" t="str">
        <f>"13"</f>
        <v>13</v>
      </c>
      <c r="F860">
        <v>1019</v>
      </c>
      <c r="G860" t="s">
        <v>141</v>
      </c>
      <c r="J860" t="s">
        <v>142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R860" t="s">
        <v>127</v>
      </c>
      <c r="S860" t="str">
        <f t="shared" ref="S860:T865" si="342">"15:06:55.000"</f>
        <v>15:06:55.000</v>
      </c>
      <c r="T860" t="str">
        <f t="shared" si="342"/>
        <v>15:06:55.000</v>
      </c>
      <c r="U860" t="str">
        <f t="shared" si="331"/>
        <v>A68FCB</v>
      </c>
      <c r="V860">
        <v>0</v>
      </c>
      <c r="W860">
        <v>0</v>
      </c>
      <c r="X860">
        <v>2</v>
      </c>
      <c r="Y860">
        <v>0</v>
      </c>
      <c r="AA860">
        <v>1</v>
      </c>
      <c r="AB860">
        <v>8</v>
      </c>
      <c r="AC860">
        <v>3</v>
      </c>
      <c r="AD860">
        <v>0</v>
      </c>
      <c r="AE860">
        <v>9</v>
      </c>
      <c r="AF860" t="s">
        <v>138</v>
      </c>
      <c r="AG860">
        <v>0</v>
      </c>
      <c r="AH860">
        <v>3</v>
      </c>
      <c r="AI860">
        <v>2</v>
      </c>
      <c r="AJ860">
        <v>0</v>
      </c>
      <c r="AK860" t="s">
        <v>373</v>
      </c>
      <c r="AL860">
        <v>38.977969000000002</v>
      </c>
      <c r="AM860" t="s">
        <v>374</v>
      </c>
      <c r="AN860">
        <v>-121.051118</v>
      </c>
      <c r="AO860">
        <v>25</v>
      </c>
      <c r="AP860">
        <v>2900</v>
      </c>
      <c r="AQ860" t="s">
        <v>131</v>
      </c>
      <c r="AR860">
        <v>-11</v>
      </c>
      <c r="AS860">
        <v>85</v>
      </c>
      <c r="AT860">
        <v>704</v>
      </c>
      <c r="BB860" t="str">
        <f t="shared" si="332"/>
        <v>1200</v>
      </c>
      <c r="BC860">
        <v>1</v>
      </c>
      <c r="BD860" t="str">
        <f t="shared" si="333"/>
        <v xml:space="preserve">N52156  </v>
      </c>
      <c r="BE860">
        <v>1</v>
      </c>
      <c r="BG860">
        <v>0</v>
      </c>
      <c r="BH860">
        <v>0</v>
      </c>
      <c r="BI860">
        <v>0</v>
      </c>
      <c r="BJ860">
        <v>2800</v>
      </c>
      <c r="BK860">
        <v>-100</v>
      </c>
      <c r="BL860" t="s">
        <v>188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 t="shared" ref="CE860:CE865" si="343">"15:06:55.991"</f>
        <v>15:06:55.991</v>
      </c>
      <c r="CF860">
        <v>991451959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133</v>
      </c>
      <c r="DA860">
        <v>275</v>
      </c>
      <c r="DB860">
        <v>0</v>
      </c>
      <c r="DC860" t="s">
        <v>134</v>
      </c>
      <c r="DD860" t="s">
        <v>135</v>
      </c>
      <c r="DG860">
        <v>3319343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"05/01/2025 15:06:56.212"</f>
        <v>05/01/2025 15:06:56.212</v>
      </c>
      <c r="C861" t="str">
        <f t="shared" si="330"/>
        <v>FFDFD3C0</v>
      </c>
      <c r="D861" t="s">
        <v>145</v>
      </c>
      <c r="E861" t="str">
        <f>"05"</f>
        <v>05</v>
      </c>
      <c r="H861">
        <v>47</v>
      </c>
      <c r="I861" t="s">
        <v>146</v>
      </c>
      <c r="J861" t="s">
        <v>138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R861" t="s">
        <v>127</v>
      </c>
      <c r="S861" t="str">
        <f t="shared" si="342"/>
        <v>15:06:55.000</v>
      </c>
      <c r="T861" t="str">
        <f t="shared" si="342"/>
        <v>15:06:55.000</v>
      </c>
      <c r="U861" t="str">
        <f t="shared" si="331"/>
        <v>A68FCB</v>
      </c>
      <c r="V861">
        <v>0</v>
      </c>
      <c r="W861">
        <v>0</v>
      </c>
      <c r="X861">
        <v>2</v>
      </c>
      <c r="Y861">
        <v>0</v>
      </c>
      <c r="AA861">
        <v>1</v>
      </c>
      <c r="AB861">
        <v>8</v>
      </c>
      <c r="AC861">
        <v>3</v>
      </c>
      <c r="AD861">
        <v>0</v>
      </c>
      <c r="AE861">
        <v>9</v>
      </c>
      <c r="AF861" t="s">
        <v>138</v>
      </c>
      <c r="AG861">
        <v>0</v>
      </c>
      <c r="AH861">
        <v>3</v>
      </c>
      <c r="AI861">
        <v>2</v>
      </c>
      <c r="AJ861">
        <v>0</v>
      </c>
      <c r="AK861" t="s">
        <v>373</v>
      </c>
      <c r="AL861">
        <v>38.977969000000002</v>
      </c>
      <c r="AM861" t="s">
        <v>374</v>
      </c>
      <c r="AN861">
        <v>-121.051118</v>
      </c>
      <c r="AO861">
        <v>25</v>
      </c>
      <c r="AP861">
        <v>2900</v>
      </c>
      <c r="AQ861" t="s">
        <v>131</v>
      </c>
      <c r="AR861">
        <v>-11</v>
      </c>
      <c r="AS861">
        <v>85</v>
      </c>
      <c r="AT861">
        <v>704</v>
      </c>
      <c r="BB861" t="str">
        <f t="shared" si="332"/>
        <v>1200</v>
      </c>
      <c r="BC861">
        <v>1</v>
      </c>
      <c r="BD861" t="str">
        <f t="shared" si="333"/>
        <v xml:space="preserve">N52156  </v>
      </c>
      <c r="BE861">
        <v>1</v>
      </c>
      <c r="BG861">
        <v>0</v>
      </c>
      <c r="BH861">
        <v>0</v>
      </c>
      <c r="BI861">
        <v>0</v>
      </c>
      <c r="BJ861">
        <v>2800</v>
      </c>
      <c r="BK861">
        <v>-100</v>
      </c>
      <c r="BL861" t="s">
        <v>188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 t="shared" si="343"/>
        <v>15:06:55.991</v>
      </c>
      <c r="CF861">
        <v>991451959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5</v>
      </c>
      <c r="CY861">
        <v>7</v>
      </c>
      <c r="CZ861" t="s">
        <v>133</v>
      </c>
      <c r="DA861">
        <v>275</v>
      </c>
      <c r="DB861">
        <v>0</v>
      </c>
      <c r="DC861" t="s">
        <v>134</v>
      </c>
      <c r="DD861" t="s">
        <v>135</v>
      </c>
      <c r="DG861">
        <v>3319343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"05/01/2025 15:06:56.213"</f>
        <v>05/01/2025 15:06:56.213</v>
      </c>
      <c r="C862" t="str">
        <f t="shared" si="330"/>
        <v>FFDFD3C0</v>
      </c>
      <c r="D862" t="s">
        <v>124</v>
      </c>
      <c r="E862" t="str">
        <f>"06"</f>
        <v>06</v>
      </c>
      <c r="F862">
        <v>2006</v>
      </c>
      <c r="G862" t="s">
        <v>125</v>
      </c>
      <c r="J862" t="s">
        <v>126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R862" t="s">
        <v>127</v>
      </c>
      <c r="S862" t="str">
        <f t="shared" si="342"/>
        <v>15:06:55.000</v>
      </c>
      <c r="T862" t="str">
        <f t="shared" si="342"/>
        <v>15:06:55.000</v>
      </c>
      <c r="U862" t="str">
        <f t="shared" si="331"/>
        <v>A68FCB</v>
      </c>
      <c r="V862">
        <v>0</v>
      </c>
      <c r="W862">
        <v>0</v>
      </c>
      <c r="X862">
        <v>2</v>
      </c>
      <c r="Y862">
        <v>0</v>
      </c>
      <c r="AA862">
        <v>1</v>
      </c>
      <c r="AB862">
        <v>8</v>
      </c>
      <c r="AC862">
        <v>3</v>
      </c>
      <c r="AD862">
        <v>0</v>
      </c>
      <c r="AE862">
        <v>9</v>
      </c>
      <c r="AF862" t="s">
        <v>138</v>
      </c>
      <c r="AG862">
        <v>0</v>
      </c>
      <c r="AH862">
        <v>3</v>
      </c>
      <c r="AI862">
        <v>2</v>
      </c>
      <c r="AJ862">
        <v>0</v>
      </c>
      <c r="AK862" t="s">
        <v>373</v>
      </c>
      <c r="AL862">
        <v>38.977969000000002</v>
      </c>
      <c r="AM862" t="s">
        <v>374</v>
      </c>
      <c r="AN862">
        <v>-121.051118</v>
      </c>
      <c r="AO862">
        <v>25</v>
      </c>
      <c r="AP862">
        <v>2900</v>
      </c>
      <c r="AQ862" t="s">
        <v>131</v>
      </c>
      <c r="AR862">
        <v>-11</v>
      </c>
      <c r="AS862">
        <v>85</v>
      </c>
      <c r="AT862">
        <v>704</v>
      </c>
      <c r="BB862" t="str">
        <f t="shared" si="332"/>
        <v>1200</v>
      </c>
      <c r="BC862">
        <v>1</v>
      </c>
      <c r="BD862" t="str">
        <f t="shared" si="333"/>
        <v xml:space="preserve">N52156  </v>
      </c>
      <c r="BE862">
        <v>1</v>
      </c>
      <c r="BG862">
        <v>0</v>
      </c>
      <c r="BH862">
        <v>0</v>
      </c>
      <c r="BI862">
        <v>0</v>
      </c>
      <c r="BJ862">
        <v>2800</v>
      </c>
      <c r="BK862">
        <v>-100</v>
      </c>
      <c r="BL862" t="s">
        <v>188</v>
      </c>
      <c r="BM862">
        <v>1</v>
      </c>
      <c r="BN862">
        <v>1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 t="shared" si="343"/>
        <v>15:06:55.991</v>
      </c>
      <c r="CF862">
        <v>991451959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5</v>
      </c>
      <c r="CY862">
        <v>7</v>
      </c>
      <c r="CZ862" t="s">
        <v>133</v>
      </c>
      <c r="DA862">
        <v>275</v>
      </c>
      <c r="DB862">
        <v>0</v>
      </c>
      <c r="DC862" t="s">
        <v>134</v>
      </c>
      <c r="DD862" t="s">
        <v>135</v>
      </c>
      <c r="DG862">
        <v>3319343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"05/01/2025 15:06:56.214"</f>
        <v>05/01/2025 15:06:56.214</v>
      </c>
      <c r="C863" t="str">
        <f t="shared" si="330"/>
        <v>FFDFD3C0</v>
      </c>
      <c r="D863" t="s">
        <v>143</v>
      </c>
      <c r="E863" t="str">
        <f>"05"</f>
        <v>05</v>
      </c>
      <c r="H863">
        <v>172</v>
      </c>
      <c r="I863" t="s">
        <v>141</v>
      </c>
      <c r="J863" t="s">
        <v>144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R863" t="s">
        <v>127</v>
      </c>
      <c r="S863" t="str">
        <f t="shared" si="342"/>
        <v>15:06:55.000</v>
      </c>
      <c r="T863" t="str">
        <f t="shared" si="342"/>
        <v>15:06:55.000</v>
      </c>
      <c r="U863" t="str">
        <f t="shared" si="331"/>
        <v>A68FCB</v>
      </c>
      <c r="V863">
        <v>0</v>
      </c>
      <c r="W863">
        <v>0</v>
      </c>
      <c r="X863">
        <v>2</v>
      </c>
      <c r="Y863">
        <v>0</v>
      </c>
      <c r="AA863">
        <v>1</v>
      </c>
      <c r="AB863">
        <v>8</v>
      </c>
      <c r="AC863">
        <v>3</v>
      </c>
      <c r="AD863">
        <v>0</v>
      </c>
      <c r="AE863">
        <v>9</v>
      </c>
      <c r="AF863" t="s">
        <v>138</v>
      </c>
      <c r="AG863">
        <v>0</v>
      </c>
      <c r="AH863">
        <v>3</v>
      </c>
      <c r="AI863">
        <v>2</v>
      </c>
      <c r="AJ863">
        <v>0</v>
      </c>
      <c r="AK863" t="s">
        <v>373</v>
      </c>
      <c r="AL863">
        <v>38.977969000000002</v>
      </c>
      <c r="AM863" t="s">
        <v>374</v>
      </c>
      <c r="AN863">
        <v>-121.051118</v>
      </c>
      <c r="AO863">
        <v>25</v>
      </c>
      <c r="AP863">
        <v>2900</v>
      </c>
      <c r="AQ863" t="s">
        <v>131</v>
      </c>
      <c r="AR863">
        <v>-11</v>
      </c>
      <c r="AS863">
        <v>85</v>
      </c>
      <c r="AT863">
        <v>704</v>
      </c>
      <c r="BB863" t="str">
        <f t="shared" si="332"/>
        <v>1200</v>
      </c>
      <c r="BC863">
        <v>1</v>
      </c>
      <c r="BD863" t="str">
        <f t="shared" si="333"/>
        <v xml:space="preserve">N52156  </v>
      </c>
      <c r="BE863">
        <v>1</v>
      </c>
      <c r="BG863">
        <v>0</v>
      </c>
      <c r="BH863">
        <v>0</v>
      </c>
      <c r="BI863">
        <v>0</v>
      </c>
      <c r="BJ863">
        <v>2800</v>
      </c>
      <c r="BK863">
        <v>-100</v>
      </c>
      <c r="BL863" t="s">
        <v>188</v>
      </c>
      <c r="BM863">
        <v>1</v>
      </c>
      <c r="BN863">
        <v>1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 t="shared" si="343"/>
        <v>15:06:55.991</v>
      </c>
      <c r="CF863">
        <v>991451959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5</v>
      </c>
      <c r="CY863">
        <v>7</v>
      </c>
      <c r="CZ863" t="s">
        <v>133</v>
      </c>
      <c r="DA863">
        <v>275</v>
      </c>
      <c r="DB863">
        <v>0</v>
      </c>
      <c r="DC863" t="s">
        <v>134</v>
      </c>
      <c r="DD863" t="s">
        <v>135</v>
      </c>
      <c r="DG863">
        <v>3319343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"05/01/2025 15:06:56.217"</f>
        <v>05/01/2025 15:06:56.217</v>
      </c>
      <c r="C864" t="str">
        <f t="shared" si="330"/>
        <v>FFDFD3C0</v>
      </c>
      <c r="D864" t="s">
        <v>145</v>
      </c>
      <c r="E864" t="str">
        <f>"09"</f>
        <v>09</v>
      </c>
      <c r="H864">
        <v>51</v>
      </c>
      <c r="I864" t="s">
        <v>147</v>
      </c>
      <c r="J864" t="s">
        <v>138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R864" t="s">
        <v>127</v>
      </c>
      <c r="S864" t="str">
        <f t="shared" si="342"/>
        <v>15:06:55.000</v>
      </c>
      <c r="T864" t="str">
        <f t="shared" si="342"/>
        <v>15:06:55.000</v>
      </c>
      <c r="U864" t="str">
        <f t="shared" si="331"/>
        <v>A68FCB</v>
      </c>
      <c r="V864">
        <v>0</v>
      </c>
      <c r="W864">
        <v>0</v>
      </c>
      <c r="X864">
        <v>2</v>
      </c>
      <c r="Y864">
        <v>0</v>
      </c>
      <c r="AA864">
        <v>1</v>
      </c>
      <c r="AB864">
        <v>8</v>
      </c>
      <c r="AC864">
        <v>3</v>
      </c>
      <c r="AD864">
        <v>0</v>
      </c>
      <c r="AE864">
        <v>9</v>
      </c>
      <c r="AF864" t="s">
        <v>138</v>
      </c>
      <c r="AG864">
        <v>0</v>
      </c>
      <c r="AH864">
        <v>3</v>
      </c>
      <c r="AI864">
        <v>2</v>
      </c>
      <c r="AJ864">
        <v>0</v>
      </c>
      <c r="AK864" t="s">
        <v>373</v>
      </c>
      <c r="AL864">
        <v>38.977969000000002</v>
      </c>
      <c r="AM864" t="s">
        <v>374</v>
      </c>
      <c r="AN864">
        <v>-121.051118</v>
      </c>
      <c r="AO864">
        <v>25</v>
      </c>
      <c r="AP864">
        <v>2900</v>
      </c>
      <c r="AQ864" t="s">
        <v>131</v>
      </c>
      <c r="AR864">
        <v>-11</v>
      </c>
      <c r="AS864">
        <v>85</v>
      </c>
      <c r="AT864">
        <v>704</v>
      </c>
      <c r="BB864" t="str">
        <f t="shared" si="332"/>
        <v>1200</v>
      </c>
      <c r="BC864">
        <v>1</v>
      </c>
      <c r="BD864" t="str">
        <f t="shared" si="333"/>
        <v xml:space="preserve">N52156  </v>
      </c>
      <c r="BE864">
        <v>1</v>
      </c>
      <c r="BG864">
        <v>0</v>
      </c>
      <c r="BH864">
        <v>0</v>
      </c>
      <c r="BI864">
        <v>0</v>
      </c>
      <c r="BJ864">
        <v>2800</v>
      </c>
      <c r="BK864">
        <v>-100</v>
      </c>
      <c r="BL864" t="s">
        <v>188</v>
      </c>
      <c r="BM864">
        <v>1</v>
      </c>
      <c r="BN864">
        <v>1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 t="shared" si="343"/>
        <v>15:06:55.991</v>
      </c>
      <c r="CF864">
        <v>991451959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5</v>
      </c>
      <c r="CY864">
        <v>7</v>
      </c>
      <c r="CZ864" t="s">
        <v>133</v>
      </c>
      <c r="DA864">
        <v>275</v>
      </c>
      <c r="DB864">
        <v>0</v>
      </c>
      <c r="DC864" t="s">
        <v>134</v>
      </c>
      <c r="DD864" t="s">
        <v>135</v>
      </c>
      <c r="DG864">
        <v>3319343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"05/01/2025 15:06:56.222"</f>
        <v>05/01/2025 15:06:56.222</v>
      </c>
      <c r="C865" t="str">
        <f t="shared" si="330"/>
        <v>FFDFD3C0</v>
      </c>
      <c r="D865" t="s">
        <v>136</v>
      </c>
      <c r="E865" t="str">
        <f>"20"</f>
        <v>20</v>
      </c>
      <c r="H865">
        <v>400</v>
      </c>
      <c r="I865" t="s">
        <v>137</v>
      </c>
      <c r="J865" t="s">
        <v>138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R865" t="s">
        <v>127</v>
      </c>
      <c r="S865" t="str">
        <f t="shared" si="342"/>
        <v>15:06:55.000</v>
      </c>
      <c r="T865" t="str">
        <f t="shared" si="342"/>
        <v>15:06:55.000</v>
      </c>
      <c r="U865" t="str">
        <f t="shared" si="331"/>
        <v>A68FCB</v>
      </c>
      <c r="V865">
        <v>0</v>
      </c>
      <c r="W865">
        <v>0</v>
      </c>
      <c r="X865">
        <v>2</v>
      </c>
      <c r="Y865">
        <v>0</v>
      </c>
      <c r="AA865">
        <v>1</v>
      </c>
      <c r="AB865">
        <v>8</v>
      </c>
      <c r="AC865">
        <v>3</v>
      </c>
      <c r="AD865">
        <v>0</v>
      </c>
      <c r="AE865">
        <v>9</v>
      </c>
      <c r="AF865" t="s">
        <v>138</v>
      </c>
      <c r="AG865">
        <v>0</v>
      </c>
      <c r="AH865">
        <v>3</v>
      </c>
      <c r="AI865">
        <v>2</v>
      </c>
      <c r="AJ865">
        <v>0</v>
      </c>
      <c r="AK865" t="s">
        <v>373</v>
      </c>
      <c r="AL865">
        <v>38.977969000000002</v>
      </c>
      <c r="AM865" t="s">
        <v>374</v>
      </c>
      <c r="AN865">
        <v>-121.051118</v>
      </c>
      <c r="AO865">
        <v>25</v>
      </c>
      <c r="AP865">
        <v>2900</v>
      </c>
      <c r="AQ865" t="s">
        <v>131</v>
      </c>
      <c r="AR865">
        <v>-11</v>
      </c>
      <c r="AS865">
        <v>85</v>
      </c>
      <c r="AT865">
        <v>704</v>
      </c>
      <c r="BB865" t="str">
        <f t="shared" si="332"/>
        <v>1200</v>
      </c>
      <c r="BC865">
        <v>1</v>
      </c>
      <c r="BD865" t="str">
        <f t="shared" si="333"/>
        <v xml:space="preserve">N52156  </v>
      </c>
      <c r="BE865">
        <v>1</v>
      </c>
      <c r="BG865">
        <v>0</v>
      </c>
      <c r="BH865">
        <v>0</v>
      </c>
      <c r="BI865">
        <v>0</v>
      </c>
      <c r="BJ865">
        <v>2800</v>
      </c>
      <c r="BK865">
        <v>-100</v>
      </c>
      <c r="BL865" t="s">
        <v>188</v>
      </c>
      <c r="BM865">
        <v>1</v>
      </c>
      <c r="BN865">
        <v>1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 t="shared" si="343"/>
        <v>15:06:55.991</v>
      </c>
      <c r="CF865">
        <v>991451959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5</v>
      </c>
      <c r="CY865">
        <v>7</v>
      </c>
      <c r="CZ865" t="s">
        <v>133</v>
      </c>
      <c r="DA865">
        <v>275</v>
      </c>
      <c r="DB865">
        <v>0</v>
      </c>
      <c r="DC865" t="s">
        <v>134</v>
      </c>
      <c r="DD865" t="s">
        <v>135</v>
      </c>
      <c r="DG865">
        <v>3319343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"05/01/2025 15:06:57.108"</f>
        <v>05/01/2025 15:06:57.108</v>
      </c>
      <c r="C866" t="str">
        <f t="shared" si="330"/>
        <v>FFDFD3C0</v>
      </c>
      <c r="D866" t="s">
        <v>140</v>
      </c>
      <c r="E866" t="str">
        <f>"13"</f>
        <v>13</v>
      </c>
      <c r="F866">
        <v>1019</v>
      </c>
      <c r="G866" t="s">
        <v>141</v>
      </c>
      <c r="J866" t="s">
        <v>142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R866" t="s">
        <v>127</v>
      </c>
      <c r="S866" t="str">
        <f t="shared" ref="S866:T871" si="344">"15:06:56.000"</f>
        <v>15:06:56.000</v>
      </c>
      <c r="T866" t="str">
        <f t="shared" si="344"/>
        <v>15:06:56.000</v>
      </c>
      <c r="U866" t="str">
        <f t="shared" si="331"/>
        <v>A68FCB</v>
      </c>
      <c r="V866">
        <v>0</v>
      </c>
      <c r="W866">
        <v>0</v>
      </c>
      <c r="X866">
        <v>2</v>
      </c>
      <c r="Y866">
        <v>0</v>
      </c>
      <c r="AA866">
        <v>1</v>
      </c>
      <c r="AB866">
        <v>8</v>
      </c>
      <c r="AC866">
        <v>3</v>
      </c>
      <c r="AD866">
        <v>0</v>
      </c>
      <c r="AE866">
        <v>9</v>
      </c>
      <c r="AF866" t="s">
        <v>138</v>
      </c>
      <c r="AG866">
        <v>0</v>
      </c>
      <c r="AH866">
        <v>3</v>
      </c>
      <c r="AI866">
        <v>2</v>
      </c>
      <c r="AJ866">
        <v>0</v>
      </c>
      <c r="AK866" t="s">
        <v>375</v>
      </c>
      <c r="AL866">
        <v>38.978355000000001</v>
      </c>
      <c r="AM866" t="s">
        <v>376</v>
      </c>
      <c r="AN866">
        <v>-121.05118299999999</v>
      </c>
      <c r="AO866">
        <v>25</v>
      </c>
      <c r="AP866">
        <v>2900</v>
      </c>
      <c r="AQ866" t="s">
        <v>131</v>
      </c>
      <c r="AR866">
        <v>-11</v>
      </c>
      <c r="AS866">
        <v>84</v>
      </c>
      <c r="AT866">
        <v>768</v>
      </c>
      <c r="BB866" t="str">
        <f t="shared" si="332"/>
        <v>1200</v>
      </c>
      <c r="BC866">
        <v>1</v>
      </c>
      <c r="BD866" t="str">
        <f t="shared" si="333"/>
        <v xml:space="preserve">N52156  </v>
      </c>
      <c r="BE866">
        <v>1</v>
      </c>
      <c r="BG866">
        <v>0</v>
      </c>
      <c r="BH866">
        <v>0</v>
      </c>
      <c r="BI866">
        <v>0</v>
      </c>
      <c r="BJ866">
        <v>2800</v>
      </c>
      <c r="BK866">
        <v>-100</v>
      </c>
      <c r="BL866" t="s">
        <v>188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 t="shared" ref="CE866:CE871" si="345">"15:06:56.890"</f>
        <v>15:06:56.890</v>
      </c>
      <c r="CF866">
        <v>890201748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133</v>
      </c>
      <c r="DA866">
        <v>275</v>
      </c>
      <c r="DB866">
        <v>0</v>
      </c>
      <c r="DC866" t="s">
        <v>134</v>
      </c>
      <c r="DD866" t="s">
        <v>135</v>
      </c>
      <c r="DG866">
        <v>3319356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"05/01/2025 15:06:57.113"</f>
        <v>05/01/2025 15:06:57.113</v>
      </c>
      <c r="C867" t="str">
        <f t="shared" si="330"/>
        <v>FFDFD3C0</v>
      </c>
      <c r="D867" t="s">
        <v>145</v>
      </c>
      <c r="E867" t="str">
        <f>"05"</f>
        <v>05</v>
      </c>
      <c r="H867">
        <v>47</v>
      </c>
      <c r="I867" t="s">
        <v>146</v>
      </c>
      <c r="J867" t="s">
        <v>138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R867" t="s">
        <v>127</v>
      </c>
      <c r="S867" t="str">
        <f t="shared" si="344"/>
        <v>15:06:56.000</v>
      </c>
      <c r="T867" t="str">
        <f t="shared" si="344"/>
        <v>15:06:56.000</v>
      </c>
      <c r="U867" t="str">
        <f t="shared" si="331"/>
        <v>A68FCB</v>
      </c>
      <c r="V867">
        <v>0</v>
      </c>
      <c r="W867">
        <v>0</v>
      </c>
      <c r="X867">
        <v>2</v>
      </c>
      <c r="Y867">
        <v>0</v>
      </c>
      <c r="AA867">
        <v>1</v>
      </c>
      <c r="AB867">
        <v>8</v>
      </c>
      <c r="AC867">
        <v>3</v>
      </c>
      <c r="AD867">
        <v>0</v>
      </c>
      <c r="AE867">
        <v>9</v>
      </c>
      <c r="AF867" t="s">
        <v>138</v>
      </c>
      <c r="AG867">
        <v>0</v>
      </c>
      <c r="AH867">
        <v>3</v>
      </c>
      <c r="AI867">
        <v>2</v>
      </c>
      <c r="AJ867">
        <v>0</v>
      </c>
      <c r="AK867" t="s">
        <v>375</v>
      </c>
      <c r="AL867">
        <v>38.978355000000001</v>
      </c>
      <c r="AM867" t="s">
        <v>376</v>
      </c>
      <c r="AN867">
        <v>-121.05118299999999</v>
      </c>
      <c r="AO867">
        <v>25</v>
      </c>
      <c r="AP867">
        <v>2900</v>
      </c>
      <c r="AQ867" t="s">
        <v>131</v>
      </c>
      <c r="AR867">
        <v>-11</v>
      </c>
      <c r="AS867">
        <v>84</v>
      </c>
      <c r="AT867">
        <v>768</v>
      </c>
      <c r="BB867" t="str">
        <f t="shared" si="332"/>
        <v>1200</v>
      </c>
      <c r="BC867">
        <v>1</v>
      </c>
      <c r="BD867" t="str">
        <f t="shared" si="333"/>
        <v xml:space="preserve">N52156  </v>
      </c>
      <c r="BE867">
        <v>1</v>
      </c>
      <c r="BG867">
        <v>0</v>
      </c>
      <c r="BH867">
        <v>0</v>
      </c>
      <c r="BI867">
        <v>0</v>
      </c>
      <c r="BJ867">
        <v>2800</v>
      </c>
      <c r="BK867">
        <v>-100</v>
      </c>
      <c r="BL867" t="s">
        <v>188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 t="shared" si="345"/>
        <v>15:06:56.890</v>
      </c>
      <c r="CF867">
        <v>890201748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133</v>
      </c>
      <c r="DA867">
        <v>275</v>
      </c>
      <c r="DB867">
        <v>0</v>
      </c>
      <c r="DC867" t="s">
        <v>134</v>
      </c>
      <c r="DD867" t="s">
        <v>135</v>
      </c>
      <c r="DG867">
        <v>3319356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"05/01/2025 15:06:57.114"</f>
        <v>05/01/2025 15:06:57.114</v>
      </c>
      <c r="C868" t="str">
        <f t="shared" si="330"/>
        <v>FFDFD3C0</v>
      </c>
      <c r="D868" t="s">
        <v>124</v>
      </c>
      <c r="E868" t="str">
        <f>"06"</f>
        <v>06</v>
      </c>
      <c r="F868">
        <v>2006</v>
      </c>
      <c r="G868" t="s">
        <v>125</v>
      </c>
      <c r="J868" t="s">
        <v>126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R868" t="s">
        <v>127</v>
      </c>
      <c r="S868" t="str">
        <f t="shared" si="344"/>
        <v>15:06:56.000</v>
      </c>
      <c r="T868" t="str">
        <f t="shared" si="344"/>
        <v>15:06:56.000</v>
      </c>
      <c r="U868" t="str">
        <f t="shared" si="331"/>
        <v>A68FCB</v>
      </c>
      <c r="V868">
        <v>0</v>
      </c>
      <c r="W868">
        <v>0</v>
      </c>
      <c r="X868">
        <v>2</v>
      </c>
      <c r="Y868">
        <v>0</v>
      </c>
      <c r="AA868">
        <v>1</v>
      </c>
      <c r="AB868">
        <v>8</v>
      </c>
      <c r="AC868">
        <v>3</v>
      </c>
      <c r="AD868">
        <v>0</v>
      </c>
      <c r="AE868">
        <v>9</v>
      </c>
      <c r="AF868" t="s">
        <v>138</v>
      </c>
      <c r="AG868">
        <v>0</v>
      </c>
      <c r="AH868">
        <v>3</v>
      </c>
      <c r="AI868">
        <v>2</v>
      </c>
      <c r="AJ868">
        <v>0</v>
      </c>
      <c r="AK868" t="s">
        <v>375</v>
      </c>
      <c r="AL868">
        <v>38.978355000000001</v>
      </c>
      <c r="AM868" t="s">
        <v>376</v>
      </c>
      <c r="AN868">
        <v>-121.05118299999999</v>
      </c>
      <c r="AO868">
        <v>25</v>
      </c>
      <c r="AP868">
        <v>2900</v>
      </c>
      <c r="AQ868" t="s">
        <v>131</v>
      </c>
      <c r="AR868">
        <v>-11</v>
      </c>
      <c r="AS868">
        <v>84</v>
      </c>
      <c r="AT868">
        <v>768</v>
      </c>
      <c r="BB868" t="str">
        <f t="shared" si="332"/>
        <v>1200</v>
      </c>
      <c r="BC868">
        <v>1</v>
      </c>
      <c r="BD868" t="str">
        <f t="shared" si="333"/>
        <v xml:space="preserve">N52156  </v>
      </c>
      <c r="BE868">
        <v>1</v>
      </c>
      <c r="BG868">
        <v>0</v>
      </c>
      <c r="BH868">
        <v>0</v>
      </c>
      <c r="BI868">
        <v>0</v>
      </c>
      <c r="BJ868">
        <v>2800</v>
      </c>
      <c r="BK868">
        <v>-100</v>
      </c>
      <c r="BL868" t="s">
        <v>188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 t="shared" si="345"/>
        <v>15:06:56.890</v>
      </c>
      <c r="CF868">
        <v>890201748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133</v>
      </c>
      <c r="DA868">
        <v>275</v>
      </c>
      <c r="DB868">
        <v>0</v>
      </c>
      <c r="DC868" t="s">
        <v>134</v>
      </c>
      <c r="DD868" t="s">
        <v>135</v>
      </c>
      <c r="DG868">
        <v>3319356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"05/01/2025 15:06:57.115"</f>
        <v>05/01/2025 15:06:57.115</v>
      </c>
      <c r="C869" t="str">
        <f t="shared" si="330"/>
        <v>FFDFD3C0</v>
      </c>
      <c r="D869" t="s">
        <v>143</v>
      </c>
      <c r="E869" t="str">
        <f>"05"</f>
        <v>05</v>
      </c>
      <c r="H869">
        <v>172</v>
      </c>
      <c r="I869" t="s">
        <v>141</v>
      </c>
      <c r="J869" t="s">
        <v>144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R869" t="s">
        <v>127</v>
      </c>
      <c r="S869" t="str">
        <f t="shared" si="344"/>
        <v>15:06:56.000</v>
      </c>
      <c r="T869" t="str">
        <f t="shared" si="344"/>
        <v>15:06:56.000</v>
      </c>
      <c r="U869" t="str">
        <f t="shared" si="331"/>
        <v>A68FCB</v>
      </c>
      <c r="V869">
        <v>0</v>
      </c>
      <c r="W869">
        <v>0</v>
      </c>
      <c r="X869">
        <v>2</v>
      </c>
      <c r="Y869">
        <v>0</v>
      </c>
      <c r="AA869">
        <v>1</v>
      </c>
      <c r="AB869">
        <v>8</v>
      </c>
      <c r="AC869">
        <v>3</v>
      </c>
      <c r="AD869">
        <v>0</v>
      </c>
      <c r="AE869">
        <v>9</v>
      </c>
      <c r="AF869" t="s">
        <v>138</v>
      </c>
      <c r="AG869">
        <v>0</v>
      </c>
      <c r="AH869">
        <v>3</v>
      </c>
      <c r="AI869">
        <v>2</v>
      </c>
      <c r="AJ869">
        <v>0</v>
      </c>
      <c r="AK869" t="s">
        <v>375</v>
      </c>
      <c r="AL869">
        <v>38.978355000000001</v>
      </c>
      <c r="AM869" t="s">
        <v>376</v>
      </c>
      <c r="AN869">
        <v>-121.05118299999999</v>
      </c>
      <c r="AO869">
        <v>25</v>
      </c>
      <c r="AP869">
        <v>2900</v>
      </c>
      <c r="AQ869" t="s">
        <v>131</v>
      </c>
      <c r="AR869">
        <v>-11</v>
      </c>
      <c r="AS869">
        <v>84</v>
      </c>
      <c r="AT869">
        <v>768</v>
      </c>
      <c r="BB869" t="str">
        <f t="shared" si="332"/>
        <v>1200</v>
      </c>
      <c r="BC869">
        <v>1</v>
      </c>
      <c r="BD869" t="str">
        <f t="shared" si="333"/>
        <v xml:space="preserve">N52156  </v>
      </c>
      <c r="BE869">
        <v>1</v>
      </c>
      <c r="BG869">
        <v>0</v>
      </c>
      <c r="BH869">
        <v>0</v>
      </c>
      <c r="BI869">
        <v>0</v>
      </c>
      <c r="BJ869">
        <v>2800</v>
      </c>
      <c r="BK869">
        <v>-100</v>
      </c>
      <c r="BL869" t="s">
        <v>188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 t="shared" si="345"/>
        <v>15:06:56.890</v>
      </c>
      <c r="CF869">
        <v>890201748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133</v>
      </c>
      <c r="DA869">
        <v>275</v>
      </c>
      <c r="DB869">
        <v>0</v>
      </c>
      <c r="DC869" t="s">
        <v>134</v>
      </c>
      <c r="DD869" t="s">
        <v>135</v>
      </c>
      <c r="DG869">
        <v>3319356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"05/01/2025 15:06:57.118"</f>
        <v>05/01/2025 15:06:57.118</v>
      </c>
      <c r="C870" t="str">
        <f t="shared" si="330"/>
        <v>FFDFD3C0</v>
      </c>
      <c r="D870" t="s">
        <v>145</v>
      </c>
      <c r="E870" t="str">
        <f>"09"</f>
        <v>09</v>
      </c>
      <c r="H870">
        <v>51</v>
      </c>
      <c r="I870" t="s">
        <v>147</v>
      </c>
      <c r="J870" t="s">
        <v>138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R870" t="s">
        <v>127</v>
      </c>
      <c r="S870" t="str">
        <f t="shared" si="344"/>
        <v>15:06:56.000</v>
      </c>
      <c r="T870" t="str">
        <f t="shared" si="344"/>
        <v>15:06:56.000</v>
      </c>
      <c r="U870" t="str">
        <f t="shared" si="331"/>
        <v>A68FCB</v>
      </c>
      <c r="V870">
        <v>0</v>
      </c>
      <c r="W870">
        <v>0</v>
      </c>
      <c r="X870">
        <v>2</v>
      </c>
      <c r="Y870">
        <v>0</v>
      </c>
      <c r="AA870">
        <v>1</v>
      </c>
      <c r="AB870">
        <v>8</v>
      </c>
      <c r="AC870">
        <v>3</v>
      </c>
      <c r="AD870">
        <v>0</v>
      </c>
      <c r="AE870">
        <v>9</v>
      </c>
      <c r="AF870" t="s">
        <v>138</v>
      </c>
      <c r="AG870">
        <v>0</v>
      </c>
      <c r="AH870">
        <v>3</v>
      </c>
      <c r="AI870">
        <v>2</v>
      </c>
      <c r="AJ870">
        <v>0</v>
      </c>
      <c r="AK870" t="s">
        <v>375</v>
      </c>
      <c r="AL870">
        <v>38.978355000000001</v>
      </c>
      <c r="AM870" t="s">
        <v>376</v>
      </c>
      <c r="AN870">
        <v>-121.05118299999999</v>
      </c>
      <c r="AO870">
        <v>25</v>
      </c>
      <c r="AP870">
        <v>2900</v>
      </c>
      <c r="AQ870" t="s">
        <v>131</v>
      </c>
      <c r="AR870">
        <v>-11</v>
      </c>
      <c r="AS870">
        <v>84</v>
      </c>
      <c r="AT870">
        <v>768</v>
      </c>
      <c r="BB870" t="str">
        <f t="shared" si="332"/>
        <v>1200</v>
      </c>
      <c r="BC870">
        <v>1</v>
      </c>
      <c r="BD870" t="str">
        <f t="shared" si="333"/>
        <v xml:space="preserve">N52156  </v>
      </c>
      <c r="BE870">
        <v>1</v>
      </c>
      <c r="BG870">
        <v>0</v>
      </c>
      <c r="BH870">
        <v>0</v>
      </c>
      <c r="BI870">
        <v>0</v>
      </c>
      <c r="BJ870">
        <v>2800</v>
      </c>
      <c r="BK870">
        <v>-100</v>
      </c>
      <c r="BL870" t="s">
        <v>188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 t="shared" si="345"/>
        <v>15:06:56.890</v>
      </c>
      <c r="CF870">
        <v>890201748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133</v>
      </c>
      <c r="DA870">
        <v>275</v>
      </c>
      <c r="DB870">
        <v>0</v>
      </c>
      <c r="DC870" t="s">
        <v>134</v>
      </c>
      <c r="DD870" t="s">
        <v>135</v>
      </c>
      <c r="DG870">
        <v>3319356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"05/01/2025 15:06:57.124"</f>
        <v>05/01/2025 15:06:57.124</v>
      </c>
      <c r="C871" t="str">
        <f t="shared" si="330"/>
        <v>FFDFD3C0</v>
      </c>
      <c r="D871" t="s">
        <v>136</v>
      </c>
      <c r="E871" t="str">
        <f>"20"</f>
        <v>20</v>
      </c>
      <c r="H871">
        <v>400</v>
      </c>
      <c r="I871" t="s">
        <v>137</v>
      </c>
      <c r="J871" t="s">
        <v>138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R871" t="s">
        <v>127</v>
      </c>
      <c r="S871" t="str">
        <f t="shared" si="344"/>
        <v>15:06:56.000</v>
      </c>
      <c r="T871" t="str">
        <f t="shared" si="344"/>
        <v>15:06:56.000</v>
      </c>
      <c r="U871" t="str">
        <f t="shared" si="331"/>
        <v>A68FCB</v>
      </c>
      <c r="V871">
        <v>0</v>
      </c>
      <c r="W871">
        <v>0</v>
      </c>
      <c r="X871">
        <v>2</v>
      </c>
      <c r="Y871">
        <v>0</v>
      </c>
      <c r="AA871">
        <v>1</v>
      </c>
      <c r="AB871">
        <v>8</v>
      </c>
      <c r="AC871">
        <v>3</v>
      </c>
      <c r="AD871">
        <v>0</v>
      </c>
      <c r="AE871">
        <v>9</v>
      </c>
      <c r="AF871" t="s">
        <v>138</v>
      </c>
      <c r="AG871">
        <v>0</v>
      </c>
      <c r="AH871">
        <v>3</v>
      </c>
      <c r="AI871">
        <v>2</v>
      </c>
      <c r="AJ871">
        <v>0</v>
      </c>
      <c r="AK871" t="s">
        <v>375</v>
      </c>
      <c r="AL871">
        <v>38.978355000000001</v>
      </c>
      <c r="AM871" t="s">
        <v>376</v>
      </c>
      <c r="AN871">
        <v>-121.05118299999999</v>
      </c>
      <c r="AO871">
        <v>25</v>
      </c>
      <c r="AP871">
        <v>2900</v>
      </c>
      <c r="AQ871" t="s">
        <v>131</v>
      </c>
      <c r="AR871">
        <v>-11</v>
      </c>
      <c r="AS871">
        <v>84</v>
      </c>
      <c r="AT871">
        <v>768</v>
      </c>
      <c r="BB871" t="str">
        <f t="shared" si="332"/>
        <v>1200</v>
      </c>
      <c r="BC871">
        <v>1</v>
      </c>
      <c r="BD871" t="str">
        <f t="shared" si="333"/>
        <v xml:space="preserve">N52156  </v>
      </c>
      <c r="BE871">
        <v>1</v>
      </c>
      <c r="BG871">
        <v>0</v>
      </c>
      <c r="BH871">
        <v>0</v>
      </c>
      <c r="BI871">
        <v>0</v>
      </c>
      <c r="BJ871">
        <v>2800</v>
      </c>
      <c r="BK871">
        <v>-100</v>
      </c>
      <c r="BL871" t="s">
        <v>188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 t="shared" si="345"/>
        <v>15:06:56.890</v>
      </c>
      <c r="CF871">
        <v>890201748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5</v>
      </c>
      <c r="CY871">
        <v>7</v>
      </c>
      <c r="CZ871" t="s">
        <v>133</v>
      </c>
      <c r="DA871">
        <v>275</v>
      </c>
      <c r="DB871">
        <v>0</v>
      </c>
      <c r="DC871" t="s">
        <v>134</v>
      </c>
      <c r="DD871" t="s">
        <v>135</v>
      </c>
      <c r="DG871">
        <v>3319356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"05/01/2025 15:06:58.020"</f>
        <v>05/01/2025 15:06:58.020</v>
      </c>
      <c r="C872" t="str">
        <f t="shared" si="330"/>
        <v>FFDFD3C0</v>
      </c>
      <c r="D872" t="s">
        <v>145</v>
      </c>
      <c r="E872" t="str">
        <f>"09"</f>
        <v>09</v>
      </c>
      <c r="H872">
        <v>51</v>
      </c>
      <c r="I872" t="s">
        <v>147</v>
      </c>
      <c r="J872" t="s">
        <v>138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R872" t="s">
        <v>127</v>
      </c>
      <c r="S872" t="str">
        <f t="shared" ref="S872:T877" si="346">"15:06:57.000"</f>
        <v>15:06:57.000</v>
      </c>
      <c r="T872" t="str">
        <f t="shared" si="346"/>
        <v>15:06:57.000</v>
      </c>
      <c r="U872" t="str">
        <f t="shared" si="331"/>
        <v>A68FCB</v>
      </c>
      <c r="V872">
        <v>0</v>
      </c>
      <c r="W872">
        <v>0</v>
      </c>
      <c r="X872">
        <v>2</v>
      </c>
      <c r="Y872">
        <v>0</v>
      </c>
      <c r="AA872">
        <v>1</v>
      </c>
      <c r="AB872">
        <v>8</v>
      </c>
      <c r="AC872">
        <v>3</v>
      </c>
      <c r="AD872">
        <v>0</v>
      </c>
      <c r="AE872">
        <v>9</v>
      </c>
      <c r="AF872" t="s">
        <v>138</v>
      </c>
      <c r="AG872">
        <v>0</v>
      </c>
      <c r="AH872">
        <v>3</v>
      </c>
      <c r="AI872">
        <v>2</v>
      </c>
      <c r="AJ872">
        <v>0</v>
      </c>
      <c r="AK872" t="s">
        <v>377</v>
      </c>
      <c r="AL872">
        <v>38.978740999999999</v>
      </c>
      <c r="AM872" t="s">
        <v>378</v>
      </c>
      <c r="AN872">
        <v>-121.051247</v>
      </c>
      <c r="AO872">
        <v>25</v>
      </c>
      <c r="AP872">
        <v>2900</v>
      </c>
      <c r="AQ872" t="s">
        <v>131</v>
      </c>
      <c r="AR872">
        <v>-11</v>
      </c>
      <c r="AS872">
        <v>84</v>
      </c>
      <c r="AT872">
        <v>768</v>
      </c>
      <c r="BB872" t="str">
        <f t="shared" si="332"/>
        <v>1200</v>
      </c>
      <c r="BC872">
        <v>1</v>
      </c>
      <c r="BD872" t="str">
        <f t="shared" si="333"/>
        <v xml:space="preserve">N52156  </v>
      </c>
      <c r="BE872">
        <v>1</v>
      </c>
      <c r="BG872">
        <v>0</v>
      </c>
      <c r="BH872">
        <v>0</v>
      </c>
      <c r="BI872">
        <v>0</v>
      </c>
      <c r="BJ872">
        <v>2850</v>
      </c>
      <c r="BK872">
        <v>-50</v>
      </c>
      <c r="BL872" t="s">
        <v>188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 t="shared" ref="CE872:CE877" si="347">"15:06:57.813"</f>
        <v>15:06:57.813</v>
      </c>
      <c r="CF872">
        <v>812951582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5</v>
      </c>
      <c r="CY872">
        <v>7</v>
      </c>
      <c r="CZ872" t="s">
        <v>133</v>
      </c>
      <c r="DA872">
        <v>275</v>
      </c>
      <c r="DB872">
        <v>0</v>
      </c>
      <c r="DC872" t="s">
        <v>134</v>
      </c>
      <c r="DD872" t="s">
        <v>135</v>
      </c>
      <c r="DG872">
        <v>3319366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"05/01/2025 15:06:58.026"</f>
        <v>05/01/2025 15:06:58.026</v>
      </c>
      <c r="C873" t="str">
        <f t="shared" si="330"/>
        <v>FFDFD3C0</v>
      </c>
      <c r="D873" t="s">
        <v>136</v>
      </c>
      <c r="E873" t="str">
        <f>"20"</f>
        <v>20</v>
      </c>
      <c r="H873">
        <v>400</v>
      </c>
      <c r="I873" t="s">
        <v>137</v>
      </c>
      <c r="J873" t="s">
        <v>138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R873" t="s">
        <v>127</v>
      </c>
      <c r="S873" t="str">
        <f t="shared" si="346"/>
        <v>15:06:57.000</v>
      </c>
      <c r="T873" t="str">
        <f t="shared" si="346"/>
        <v>15:06:57.000</v>
      </c>
      <c r="U873" t="str">
        <f t="shared" si="331"/>
        <v>A68FCB</v>
      </c>
      <c r="V873">
        <v>0</v>
      </c>
      <c r="W873">
        <v>0</v>
      </c>
      <c r="X873">
        <v>2</v>
      </c>
      <c r="Y873">
        <v>0</v>
      </c>
      <c r="AA873">
        <v>1</v>
      </c>
      <c r="AB873">
        <v>8</v>
      </c>
      <c r="AC873">
        <v>3</v>
      </c>
      <c r="AD873">
        <v>0</v>
      </c>
      <c r="AE873">
        <v>9</v>
      </c>
      <c r="AF873" t="s">
        <v>138</v>
      </c>
      <c r="AG873">
        <v>0</v>
      </c>
      <c r="AH873">
        <v>3</v>
      </c>
      <c r="AI873">
        <v>2</v>
      </c>
      <c r="AJ873">
        <v>0</v>
      </c>
      <c r="AK873" t="s">
        <v>377</v>
      </c>
      <c r="AL873">
        <v>38.978740999999999</v>
      </c>
      <c r="AM873" t="s">
        <v>378</v>
      </c>
      <c r="AN873">
        <v>-121.051247</v>
      </c>
      <c r="AO873">
        <v>25</v>
      </c>
      <c r="AP873">
        <v>2900</v>
      </c>
      <c r="AQ873" t="s">
        <v>131</v>
      </c>
      <c r="AR873">
        <v>-11</v>
      </c>
      <c r="AS873">
        <v>84</v>
      </c>
      <c r="AT873">
        <v>768</v>
      </c>
      <c r="BB873" t="str">
        <f t="shared" si="332"/>
        <v>1200</v>
      </c>
      <c r="BC873">
        <v>1</v>
      </c>
      <c r="BD873" t="str">
        <f t="shared" si="333"/>
        <v xml:space="preserve">N52156  </v>
      </c>
      <c r="BE873">
        <v>1</v>
      </c>
      <c r="BG873">
        <v>0</v>
      </c>
      <c r="BH873">
        <v>0</v>
      </c>
      <c r="BI873">
        <v>0</v>
      </c>
      <c r="BJ873">
        <v>2850</v>
      </c>
      <c r="BK873">
        <v>-50</v>
      </c>
      <c r="BL873" t="s">
        <v>188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 t="shared" si="347"/>
        <v>15:06:57.813</v>
      </c>
      <c r="CF873">
        <v>812951582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5</v>
      </c>
      <c r="CY873">
        <v>7</v>
      </c>
      <c r="CZ873" t="s">
        <v>133</v>
      </c>
      <c r="DA873">
        <v>275</v>
      </c>
      <c r="DB873">
        <v>0</v>
      </c>
      <c r="DC873" t="s">
        <v>134</v>
      </c>
      <c r="DD873" t="s">
        <v>135</v>
      </c>
      <c r="DG873">
        <v>3319366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"05/01/2025 15:06:58.065"</f>
        <v>05/01/2025 15:06:58.065</v>
      </c>
      <c r="C874" t="str">
        <f t="shared" si="330"/>
        <v>FFDFD3C0</v>
      </c>
      <c r="D874" t="s">
        <v>145</v>
      </c>
      <c r="E874" t="str">
        <f>"05"</f>
        <v>05</v>
      </c>
      <c r="H874">
        <v>47</v>
      </c>
      <c r="I874" t="s">
        <v>146</v>
      </c>
      <c r="J874" t="s">
        <v>138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R874" t="s">
        <v>127</v>
      </c>
      <c r="S874" t="str">
        <f t="shared" si="346"/>
        <v>15:06:57.000</v>
      </c>
      <c r="T874" t="str">
        <f t="shared" si="346"/>
        <v>15:06:57.000</v>
      </c>
      <c r="U874" t="str">
        <f t="shared" si="331"/>
        <v>A68FCB</v>
      </c>
      <c r="V874">
        <v>0</v>
      </c>
      <c r="W874">
        <v>0</v>
      </c>
      <c r="X874">
        <v>2</v>
      </c>
      <c r="Y874">
        <v>0</v>
      </c>
      <c r="AA874">
        <v>1</v>
      </c>
      <c r="AB874">
        <v>8</v>
      </c>
      <c r="AC874">
        <v>3</v>
      </c>
      <c r="AD874">
        <v>0</v>
      </c>
      <c r="AE874">
        <v>9</v>
      </c>
      <c r="AF874" t="s">
        <v>138</v>
      </c>
      <c r="AG874">
        <v>0</v>
      </c>
      <c r="AH874">
        <v>3</v>
      </c>
      <c r="AI874">
        <v>2</v>
      </c>
      <c r="AJ874">
        <v>0</v>
      </c>
      <c r="AK874" t="s">
        <v>377</v>
      </c>
      <c r="AL874">
        <v>38.978740999999999</v>
      </c>
      <c r="AM874" t="s">
        <v>378</v>
      </c>
      <c r="AN874">
        <v>-121.051247</v>
      </c>
      <c r="AO874">
        <v>25</v>
      </c>
      <c r="AP874">
        <v>2900</v>
      </c>
      <c r="AQ874" t="s">
        <v>131</v>
      </c>
      <c r="AR874">
        <v>-11</v>
      </c>
      <c r="AS874">
        <v>84</v>
      </c>
      <c r="AT874">
        <v>768</v>
      </c>
      <c r="BB874" t="str">
        <f t="shared" si="332"/>
        <v>1200</v>
      </c>
      <c r="BC874">
        <v>1</v>
      </c>
      <c r="BD874" t="str">
        <f t="shared" si="333"/>
        <v xml:space="preserve">N52156  </v>
      </c>
      <c r="BE874">
        <v>1</v>
      </c>
      <c r="BG874">
        <v>0</v>
      </c>
      <c r="BH874">
        <v>0</v>
      </c>
      <c r="BI874">
        <v>0</v>
      </c>
      <c r="BJ874">
        <v>2850</v>
      </c>
      <c r="BK874">
        <v>-50</v>
      </c>
      <c r="BL874" t="s">
        <v>188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 t="shared" si="347"/>
        <v>15:06:57.813</v>
      </c>
      <c r="CF874">
        <v>812951582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5</v>
      </c>
      <c r="CY874">
        <v>7</v>
      </c>
      <c r="CZ874" t="s">
        <v>133</v>
      </c>
      <c r="DA874">
        <v>275</v>
      </c>
      <c r="DB874">
        <v>0</v>
      </c>
      <c r="DC874" t="s">
        <v>134</v>
      </c>
      <c r="DD874" t="s">
        <v>135</v>
      </c>
      <c r="DG874">
        <v>3319366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"05/01/2025 15:06:58.059"</f>
        <v>05/01/2025 15:06:58.059</v>
      </c>
      <c r="C875" t="str">
        <f t="shared" si="330"/>
        <v>FFDFD3C0</v>
      </c>
      <c r="D875" t="s">
        <v>140</v>
      </c>
      <c r="E875" t="str">
        <f>"13"</f>
        <v>13</v>
      </c>
      <c r="F875">
        <v>1019</v>
      </c>
      <c r="G875" t="s">
        <v>141</v>
      </c>
      <c r="J875" t="s">
        <v>142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R875" t="s">
        <v>127</v>
      </c>
      <c r="S875" t="str">
        <f t="shared" si="346"/>
        <v>15:06:57.000</v>
      </c>
      <c r="T875" t="str">
        <f t="shared" si="346"/>
        <v>15:06:57.000</v>
      </c>
      <c r="U875" t="str">
        <f t="shared" si="331"/>
        <v>A68FCB</v>
      </c>
      <c r="V875">
        <v>0</v>
      </c>
      <c r="W875">
        <v>0</v>
      </c>
      <c r="X875">
        <v>2</v>
      </c>
      <c r="Y875">
        <v>0</v>
      </c>
      <c r="AA875">
        <v>1</v>
      </c>
      <c r="AB875">
        <v>8</v>
      </c>
      <c r="AC875">
        <v>3</v>
      </c>
      <c r="AD875">
        <v>0</v>
      </c>
      <c r="AE875">
        <v>9</v>
      </c>
      <c r="AF875" t="s">
        <v>138</v>
      </c>
      <c r="AG875">
        <v>0</v>
      </c>
      <c r="AH875">
        <v>3</v>
      </c>
      <c r="AI875">
        <v>2</v>
      </c>
      <c r="AJ875">
        <v>0</v>
      </c>
      <c r="AK875" t="s">
        <v>377</v>
      </c>
      <c r="AL875">
        <v>38.978740999999999</v>
      </c>
      <c r="AM875" t="s">
        <v>378</v>
      </c>
      <c r="AN875">
        <v>-121.051247</v>
      </c>
      <c r="AO875">
        <v>25</v>
      </c>
      <c r="AP875">
        <v>2900</v>
      </c>
      <c r="AQ875" t="s">
        <v>131</v>
      </c>
      <c r="AR875">
        <v>-11</v>
      </c>
      <c r="AS875">
        <v>84</v>
      </c>
      <c r="AT875">
        <v>768</v>
      </c>
      <c r="BB875" t="str">
        <f t="shared" si="332"/>
        <v>1200</v>
      </c>
      <c r="BC875">
        <v>1</v>
      </c>
      <c r="BD875" t="str">
        <f t="shared" si="333"/>
        <v xml:space="preserve">N52156  </v>
      </c>
      <c r="BE875">
        <v>1</v>
      </c>
      <c r="BG875">
        <v>0</v>
      </c>
      <c r="BH875">
        <v>0</v>
      </c>
      <c r="BI875">
        <v>0</v>
      </c>
      <c r="BJ875">
        <v>2850</v>
      </c>
      <c r="BK875">
        <v>-50</v>
      </c>
      <c r="BL875" t="s">
        <v>188</v>
      </c>
      <c r="BM875">
        <v>1</v>
      </c>
      <c r="BN875">
        <v>1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 t="shared" si="347"/>
        <v>15:06:57.813</v>
      </c>
      <c r="CF875">
        <v>812951582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5</v>
      </c>
      <c r="CY875">
        <v>7</v>
      </c>
      <c r="CZ875" t="s">
        <v>133</v>
      </c>
      <c r="DA875">
        <v>275</v>
      </c>
      <c r="DB875">
        <v>0</v>
      </c>
      <c r="DC875" t="s">
        <v>134</v>
      </c>
      <c r="DD875" t="s">
        <v>135</v>
      </c>
      <c r="DG875">
        <v>3319366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"05/01/2025 15:06:58.067"</f>
        <v>05/01/2025 15:06:58.067</v>
      </c>
      <c r="C876" t="str">
        <f t="shared" si="330"/>
        <v>FFDFD3C0</v>
      </c>
      <c r="D876" t="s">
        <v>124</v>
      </c>
      <c r="E876" t="str">
        <f>"06"</f>
        <v>06</v>
      </c>
      <c r="F876">
        <v>2006</v>
      </c>
      <c r="G876" t="s">
        <v>125</v>
      </c>
      <c r="J876" t="s">
        <v>126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R876" t="s">
        <v>127</v>
      </c>
      <c r="S876" t="str">
        <f t="shared" si="346"/>
        <v>15:06:57.000</v>
      </c>
      <c r="T876" t="str">
        <f t="shared" si="346"/>
        <v>15:06:57.000</v>
      </c>
      <c r="U876" t="str">
        <f t="shared" si="331"/>
        <v>A68FCB</v>
      </c>
      <c r="V876">
        <v>0</v>
      </c>
      <c r="W876">
        <v>0</v>
      </c>
      <c r="X876">
        <v>2</v>
      </c>
      <c r="Y876">
        <v>0</v>
      </c>
      <c r="AA876">
        <v>1</v>
      </c>
      <c r="AB876">
        <v>8</v>
      </c>
      <c r="AC876">
        <v>3</v>
      </c>
      <c r="AD876">
        <v>0</v>
      </c>
      <c r="AE876">
        <v>9</v>
      </c>
      <c r="AF876" t="s">
        <v>138</v>
      </c>
      <c r="AG876">
        <v>0</v>
      </c>
      <c r="AH876">
        <v>3</v>
      </c>
      <c r="AI876">
        <v>2</v>
      </c>
      <c r="AJ876">
        <v>0</v>
      </c>
      <c r="AK876" t="s">
        <v>377</v>
      </c>
      <c r="AL876">
        <v>38.978740999999999</v>
      </c>
      <c r="AM876" t="s">
        <v>378</v>
      </c>
      <c r="AN876">
        <v>-121.051247</v>
      </c>
      <c r="AO876">
        <v>25</v>
      </c>
      <c r="AP876">
        <v>2900</v>
      </c>
      <c r="AQ876" t="s">
        <v>131</v>
      </c>
      <c r="AR876">
        <v>-11</v>
      </c>
      <c r="AS876">
        <v>84</v>
      </c>
      <c r="AT876">
        <v>768</v>
      </c>
      <c r="BB876" t="str">
        <f t="shared" si="332"/>
        <v>1200</v>
      </c>
      <c r="BC876">
        <v>1</v>
      </c>
      <c r="BD876" t="str">
        <f t="shared" si="333"/>
        <v xml:space="preserve">N52156  </v>
      </c>
      <c r="BE876">
        <v>1</v>
      </c>
      <c r="BG876">
        <v>0</v>
      </c>
      <c r="BH876">
        <v>0</v>
      </c>
      <c r="BI876">
        <v>0</v>
      </c>
      <c r="BJ876">
        <v>2850</v>
      </c>
      <c r="BK876">
        <v>-50</v>
      </c>
      <c r="BL876" t="s">
        <v>188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 t="shared" si="347"/>
        <v>15:06:57.813</v>
      </c>
      <c r="CF876">
        <v>812951582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5</v>
      </c>
      <c r="CY876">
        <v>7</v>
      </c>
      <c r="CZ876" t="s">
        <v>133</v>
      </c>
      <c r="DA876">
        <v>275</v>
      </c>
      <c r="DB876">
        <v>0</v>
      </c>
      <c r="DC876" t="s">
        <v>134</v>
      </c>
      <c r="DD876" t="s">
        <v>135</v>
      </c>
      <c r="DG876">
        <v>3319366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"05/01/2025 15:06:58.067"</f>
        <v>05/01/2025 15:06:58.067</v>
      </c>
      <c r="C877" t="str">
        <f t="shared" si="330"/>
        <v>FFDFD3C0</v>
      </c>
      <c r="D877" t="s">
        <v>143</v>
      </c>
      <c r="E877" t="str">
        <f>"05"</f>
        <v>05</v>
      </c>
      <c r="H877">
        <v>172</v>
      </c>
      <c r="I877" t="s">
        <v>141</v>
      </c>
      <c r="J877" t="s">
        <v>144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R877" t="s">
        <v>127</v>
      </c>
      <c r="S877" t="str">
        <f t="shared" si="346"/>
        <v>15:06:57.000</v>
      </c>
      <c r="T877" t="str">
        <f t="shared" si="346"/>
        <v>15:06:57.000</v>
      </c>
      <c r="U877" t="str">
        <f t="shared" si="331"/>
        <v>A68FCB</v>
      </c>
      <c r="V877">
        <v>0</v>
      </c>
      <c r="W877">
        <v>0</v>
      </c>
      <c r="X877">
        <v>2</v>
      </c>
      <c r="Y877">
        <v>0</v>
      </c>
      <c r="AA877">
        <v>1</v>
      </c>
      <c r="AB877">
        <v>8</v>
      </c>
      <c r="AC877">
        <v>3</v>
      </c>
      <c r="AD877">
        <v>0</v>
      </c>
      <c r="AE877">
        <v>9</v>
      </c>
      <c r="AF877" t="s">
        <v>138</v>
      </c>
      <c r="AG877">
        <v>0</v>
      </c>
      <c r="AH877">
        <v>3</v>
      </c>
      <c r="AI877">
        <v>2</v>
      </c>
      <c r="AJ877">
        <v>0</v>
      </c>
      <c r="AK877" t="s">
        <v>377</v>
      </c>
      <c r="AL877">
        <v>38.978740999999999</v>
      </c>
      <c r="AM877" t="s">
        <v>378</v>
      </c>
      <c r="AN877">
        <v>-121.051247</v>
      </c>
      <c r="AO877">
        <v>25</v>
      </c>
      <c r="AP877">
        <v>2900</v>
      </c>
      <c r="AQ877" t="s">
        <v>131</v>
      </c>
      <c r="AR877">
        <v>-11</v>
      </c>
      <c r="AS877">
        <v>84</v>
      </c>
      <c r="AT877">
        <v>768</v>
      </c>
      <c r="BB877" t="str">
        <f t="shared" si="332"/>
        <v>1200</v>
      </c>
      <c r="BC877">
        <v>1</v>
      </c>
      <c r="BD877" t="str">
        <f t="shared" si="333"/>
        <v xml:space="preserve">N52156  </v>
      </c>
      <c r="BE877">
        <v>1</v>
      </c>
      <c r="BG877">
        <v>0</v>
      </c>
      <c r="BH877">
        <v>0</v>
      </c>
      <c r="BI877">
        <v>0</v>
      </c>
      <c r="BJ877">
        <v>2850</v>
      </c>
      <c r="BK877">
        <v>-50</v>
      </c>
      <c r="BL877" t="s">
        <v>188</v>
      </c>
      <c r="BM877">
        <v>1</v>
      </c>
      <c r="BN877">
        <v>1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 t="shared" si="347"/>
        <v>15:06:57.813</v>
      </c>
      <c r="CF877">
        <v>812951582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5</v>
      </c>
      <c r="CY877">
        <v>7</v>
      </c>
      <c r="CZ877" t="s">
        <v>133</v>
      </c>
      <c r="DA877">
        <v>275</v>
      </c>
      <c r="DB877">
        <v>0</v>
      </c>
      <c r="DC877" t="s">
        <v>134</v>
      </c>
      <c r="DD877" t="s">
        <v>135</v>
      </c>
      <c r="DG877">
        <v>3319366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"05/01/2025 15:06:58.515"</f>
        <v>05/01/2025 15:06:58.515</v>
      </c>
      <c r="C878" t="str">
        <f t="shared" si="330"/>
        <v>FFDFD3C0</v>
      </c>
      <c r="D878" t="s">
        <v>145</v>
      </c>
      <c r="E878" t="str">
        <f>"05"</f>
        <v>05</v>
      </c>
      <c r="H878">
        <v>47</v>
      </c>
      <c r="I878" t="s">
        <v>146</v>
      </c>
      <c r="J878" t="s">
        <v>138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R878" t="s">
        <v>127</v>
      </c>
      <c r="S878" t="str">
        <f t="shared" ref="S878:T883" si="348">"15:06:58.000"</f>
        <v>15:06:58.000</v>
      </c>
      <c r="T878" t="str">
        <f t="shared" si="348"/>
        <v>15:06:58.000</v>
      </c>
      <c r="U878" t="str">
        <f t="shared" si="331"/>
        <v>A68FCB</v>
      </c>
      <c r="V878">
        <v>0</v>
      </c>
      <c r="W878">
        <v>0</v>
      </c>
      <c r="X878">
        <v>2</v>
      </c>
      <c r="Y878">
        <v>0</v>
      </c>
      <c r="AA878">
        <v>1</v>
      </c>
      <c r="AB878">
        <v>8</v>
      </c>
      <c r="AC878">
        <v>3</v>
      </c>
      <c r="AD878">
        <v>0</v>
      </c>
      <c r="AE878">
        <v>9</v>
      </c>
      <c r="AF878" t="s">
        <v>138</v>
      </c>
      <c r="AG878">
        <v>0</v>
      </c>
      <c r="AH878">
        <v>3</v>
      </c>
      <c r="AI878">
        <v>2</v>
      </c>
      <c r="AJ878">
        <v>0</v>
      </c>
      <c r="AK878" t="s">
        <v>379</v>
      </c>
      <c r="AL878">
        <v>38.979126999999998</v>
      </c>
      <c r="AM878" t="s">
        <v>273</v>
      </c>
      <c r="AN878">
        <v>-121.051333</v>
      </c>
      <c r="AO878">
        <v>25</v>
      </c>
      <c r="AP878">
        <v>2900</v>
      </c>
      <c r="AQ878" t="s">
        <v>131</v>
      </c>
      <c r="AR878">
        <v>-12</v>
      </c>
      <c r="AS878">
        <v>84</v>
      </c>
      <c r="AT878">
        <v>768</v>
      </c>
      <c r="BB878" t="str">
        <f t="shared" si="332"/>
        <v>1200</v>
      </c>
      <c r="BC878">
        <v>1</v>
      </c>
      <c r="BD878" t="str">
        <f t="shared" si="333"/>
        <v xml:space="preserve">N52156  </v>
      </c>
      <c r="BE878">
        <v>1</v>
      </c>
      <c r="BG878">
        <v>0</v>
      </c>
      <c r="BH878">
        <v>0</v>
      </c>
      <c r="BI878">
        <v>0</v>
      </c>
      <c r="BJ878">
        <v>2875</v>
      </c>
      <c r="BK878">
        <v>-25</v>
      </c>
      <c r="BL878" t="s">
        <v>188</v>
      </c>
      <c r="BM878">
        <v>1</v>
      </c>
      <c r="BN878">
        <v>1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 t="shared" ref="CE878:CE883" si="349">"15:06:58.321"</f>
        <v>15:06:58.321</v>
      </c>
      <c r="CF878">
        <v>320700367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5</v>
      </c>
      <c r="CY878">
        <v>7</v>
      </c>
      <c r="CZ878" t="s">
        <v>133</v>
      </c>
      <c r="DA878">
        <v>275</v>
      </c>
      <c r="DB878">
        <v>0</v>
      </c>
      <c r="DC878" t="s">
        <v>134</v>
      </c>
      <c r="DD878" t="s">
        <v>135</v>
      </c>
      <c r="DG878">
        <v>3319373</v>
      </c>
      <c r="DI878">
        <v>1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"05/01/2025 15:06:58.517"</f>
        <v>05/01/2025 15:06:58.517</v>
      </c>
      <c r="C879" t="str">
        <f t="shared" si="330"/>
        <v>FFDFD3C0</v>
      </c>
      <c r="D879" t="s">
        <v>124</v>
      </c>
      <c r="E879" t="str">
        <f>"06"</f>
        <v>06</v>
      </c>
      <c r="F879">
        <v>2006</v>
      </c>
      <c r="G879" t="s">
        <v>125</v>
      </c>
      <c r="J879" t="s">
        <v>126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R879" t="s">
        <v>127</v>
      </c>
      <c r="S879" t="str">
        <f t="shared" si="348"/>
        <v>15:06:58.000</v>
      </c>
      <c r="T879" t="str">
        <f t="shared" si="348"/>
        <v>15:06:58.000</v>
      </c>
      <c r="U879" t="str">
        <f t="shared" si="331"/>
        <v>A68FCB</v>
      </c>
      <c r="V879">
        <v>0</v>
      </c>
      <c r="W879">
        <v>0</v>
      </c>
      <c r="X879">
        <v>2</v>
      </c>
      <c r="Y879">
        <v>0</v>
      </c>
      <c r="AA879">
        <v>1</v>
      </c>
      <c r="AB879">
        <v>8</v>
      </c>
      <c r="AC879">
        <v>3</v>
      </c>
      <c r="AD879">
        <v>0</v>
      </c>
      <c r="AE879">
        <v>9</v>
      </c>
      <c r="AF879" t="s">
        <v>138</v>
      </c>
      <c r="AG879">
        <v>0</v>
      </c>
      <c r="AH879">
        <v>3</v>
      </c>
      <c r="AI879">
        <v>2</v>
      </c>
      <c r="AJ879">
        <v>0</v>
      </c>
      <c r="AK879" t="s">
        <v>379</v>
      </c>
      <c r="AL879">
        <v>38.979126999999998</v>
      </c>
      <c r="AM879" t="s">
        <v>273</v>
      </c>
      <c r="AN879">
        <v>-121.051333</v>
      </c>
      <c r="AO879">
        <v>25</v>
      </c>
      <c r="AP879">
        <v>2900</v>
      </c>
      <c r="AQ879" t="s">
        <v>131</v>
      </c>
      <c r="AR879">
        <v>-12</v>
      </c>
      <c r="AS879">
        <v>84</v>
      </c>
      <c r="AT879">
        <v>768</v>
      </c>
      <c r="BB879" t="str">
        <f t="shared" si="332"/>
        <v>1200</v>
      </c>
      <c r="BC879">
        <v>1</v>
      </c>
      <c r="BD879" t="str">
        <f t="shared" si="333"/>
        <v xml:space="preserve">N52156  </v>
      </c>
      <c r="BE879">
        <v>1</v>
      </c>
      <c r="BG879">
        <v>0</v>
      </c>
      <c r="BH879">
        <v>0</v>
      </c>
      <c r="BI879">
        <v>0</v>
      </c>
      <c r="BJ879">
        <v>2875</v>
      </c>
      <c r="BK879">
        <v>-25</v>
      </c>
      <c r="BL879" t="s">
        <v>188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 t="shared" si="349"/>
        <v>15:06:58.321</v>
      </c>
      <c r="CF879">
        <v>320700367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5</v>
      </c>
      <c r="CY879">
        <v>7</v>
      </c>
      <c r="CZ879" t="s">
        <v>133</v>
      </c>
      <c r="DA879">
        <v>275</v>
      </c>
      <c r="DB879">
        <v>0</v>
      </c>
      <c r="DC879" t="s">
        <v>134</v>
      </c>
      <c r="DD879" t="s">
        <v>135</v>
      </c>
      <c r="DG879">
        <v>3319373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"05/01/2025 15:06:58.518"</f>
        <v>05/01/2025 15:06:58.518</v>
      </c>
      <c r="C880" t="str">
        <f t="shared" si="330"/>
        <v>FFDFD3C0</v>
      </c>
      <c r="D880" t="s">
        <v>143</v>
      </c>
      <c r="E880" t="str">
        <f>"05"</f>
        <v>05</v>
      </c>
      <c r="H880">
        <v>172</v>
      </c>
      <c r="I880" t="s">
        <v>141</v>
      </c>
      <c r="J880" t="s">
        <v>144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R880" t="s">
        <v>127</v>
      </c>
      <c r="S880" t="str">
        <f t="shared" si="348"/>
        <v>15:06:58.000</v>
      </c>
      <c r="T880" t="str">
        <f t="shared" si="348"/>
        <v>15:06:58.000</v>
      </c>
      <c r="U880" t="str">
        <f t="shared" si="331"/>
        <v>A68FCB</v>
      </c>
      <c r="V880">
        <v>0</v>
      </c>
      <c r="W880">
        <v>0</v>
      </c>
      <c r="X880">
        <v>2</v>
      </c>
      <c r="Y880">
        <v>0</v>
      </c>
      <c r="AA880">
        <v>1</v>
      </c>
      <c r="AB880">
        <v>8</v>
      </c>
      <c r="AC880">
        <v>3</v>
      </c>
      <c r="AD880">
        <v>0</v>
      </c>
      <c r="AE880">
        <v>9</v>
      </c>
      <c r="AF880" t="s">
        <v>138</v>
      </c>
      <c r="AG880">
        <v>0</v>
      </c>
      <c r="AH880">
        <v>3</v>
      </c>
      <c r="AI880">
        <v>2</v>
      </c>
      <c r="AJ880">
        <v>0</v>
      </c>
      <c r="AK880" t="s">
        <v>379</v>
      </c>
      <c r="AL880">
        <v>38.979126999999998</v>
      </c>
      <c r="AM880" t="s">
        <v>273</v>
      </c>
      <c r="AN880">
        <v>-121.051333</v>
      </c>
      <c r="AO880">
        <v>25</v>
      </c>
      <c r="AP880">
        <v>2900</v>
      </c>
      <c r="AQ880" t="s">
        <v>131</v>
      </c>
      <c r="AR880">
        <v>-12</v>
      </c>
      <c r="AS880">
        <v>84</v>
      </c>
      <c r="AT880">
        <v>768</v>
      </c>
      <c r="BB880" t="str">
        <f t="shared" si="332"/>
        <v>1200</v>
      </c>
      <c r="BC880">
        <v>1</v>
      </c>
      <c r="BD880" t="str">
        <f t="shared" si="333"/>
        <v xml:space="preserve">N52156  </v>
      </c>
      <c r="BE880">
        <v>1</v>
      </c>
      <c r="BG880">
        <v>0</v>
      </c>
      <c r="BH880">
        <v>0</v>
      </c>
      <c r="BI880">
        <v>0</v>
      </c>
      <c r="BJ880">
        <v>2875</v>
      </c>
      <c r="BK880">
        <v>-25</v>
      </c>
      <c r="BL880" t="s">
        <v>188</v>
      </c>
      <c r="BM880">
        <v>1</v>
      </c>
      <c r="BN880">
        <v>1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 t="shared" si="349"/>
        <v>15:06:58.321</v>
      </c>
      <c r="CF880">
        <v>320700367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5</v>
      </c>
      <c r="CY880">
        <v>7</v>
      </c>
      <c r="CZ880" t="s">
        <v>133</v>
      </c>
      <c r="DA880">
        <v>275</v>
      </c>
      <c r="DB880">
        <v>0</v>
      </c>
      <c r="DC880" t="s">
        <v>134</v>
      </c>
      <c r="DD880" t="s">
        <v>135</v>
      </c>
      <c r="DG880">
        <v>3319373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"05/01/2025 15:06:58.521"</f>
        <v>05/01/2025 15:06:58.521</v>
      </c>
      <c r="C881" t="str">
        <f t="shared" si="330"/>
        <v>FFDFD3C0</v>
      </c>
      <c r="D881" t="s">
        <v>145</v>
      </c>
      <c r="E881" t="str">
        <f>"09"</f>
        <v>09</v>
      </c>
      <c r="H881">
        <v>51</v>
      </c>
      <c r="I881" t="s">
        <v>147</v>
      </c>
      <c r="J881" t="s">
        <v>138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R881" t="s">
        <v>127</v>
      </c>
      <c r="S881" t="str">
        <f t="shared" si="348"/>
        <v>15:06:58.000</v>
      </c>
      <c r="T881" t="str">
        <f t="shared" si="348"/>
        <v>15:06:58.000</v>
      </c>
      <c r="U881" t="str">
        <f t="shared" si="331"/>
        <v>A68FCB</v>
      </c>
      <c r="V881">
        <v>0</v>
      </c>
      <c r="W881">
        <v>0</v>
      </c>
      <c r="X881">
        <v>2</v>
      </c>
      <c r="Y881">
        <v>0</v>
      </c>
      <c r="AA881">
        <v>1</v>
      </c>
      <c r="AB881">
        <v>8</v>
      </c>
      <c r="AC881">
        <v>3</v>
      </c>
      <c r="AD881">
        <v>0</v>
      </c>
      <c r="AE881">
        <v>9</v>
      </c>
      <c r="AF881" t="s">
        <v>138</v>
      </c>
      <c r="AG881">
        <v>0</v>
      </c>
      <c r="AH881">
        <v>3</v>
      </c>
      <c r="AI881">
        <v>2</v>
      </c>
      <c r="AJ881">
        <v>0</v>
      </c>
      <c r="AK881" t="s">
        <v>379</v>
      </c>
      <c r="AL881">
        <v>38.979126999999998</v>
      </c>
      <c r="AM881" t="s">
        <v>273</v>
      </c>
      <c r="AN881">
        <v>-121.051333</v>
      </c>
      <c r="AO881">
        <v>25</v>
      </c>
      <c r="AP881">
        <v>2900</v>
      </c>
      <c r="AQ881" t="s">
        <v>131</v>
      </c>
      <c r="AR881">
        <v>-12</v>
      </c>
      <c r="AS881">
        <v>84</v>
      </c>
      <c r="AT881">
        <v>768</v>
      </c>
      <c r="BB881" t="str">
        <f t="shared" si="332"/>
        <v>1200</v>
      </c>
      <c r="BC881">
        <v>1</v>
      </c>
      <c r="BD881" t="str">
        <f t="shared" si="333"/>
        <v xml:space="preserve">N52156  </v>
      </c>
      <c r="BE881">
        <v>1</v>
      </c>
      <c r="BG881">
        <v>0</v>
      </c>
      <c r="BH881">
        <v>0</v>
      </c>
      <c r="BI881">
        <v>0</v>
      </c>
      <c r="BJ881">
        <v>2875</v>
      </c>
      <c r="BK881">
        <v>-25</v>
      </c>
      <c r="BL881" t="s">
        <v>188</v>
      </c>
      <c r="BM881">
        <v>1</v>
      </c>
      <c r="BN881">
        <v>1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 t="shared" si="349"/>
        <v>15:06:58.321</v>
      </c>
      <c r="CF881">
        <v>320700367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5</v>
      </c>
      <c r="CY881">
        <v>7</v>
      </c>
      <c r="CZ881" t="s">
        <v>133</v>
      </c>
      <c r="DA881">
        <v>275</v>
      </c>
      <c r="DB881">
        <v>0</v>
      </c>
      <c r="DC881" t="s">
        <v>134</v>
      </c>
      <c r="DD881" t="s">
        <v>135</v>
      </c>
      <c r="DG881">
        <v>3319373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"05/01/2025 15:06:58.526"</f>
        <v>05/01/2025 15:06:58.526</v>
      </c>
      <c r="C882" t="str">
        <f t="shared" si="330"/>
        <v>FFDFD3C0</v>
      </c>
      <c r="D882" t="s">
        <v>136</v>
      </c>
      <c r="E882" t="str">
        <f>"20"</f>
        <v>20</v>
      </c>
      <c r="H882">
        <v>400</v>
      </c>
      <c r="I882" t="s">
        <v>137</v>
      </c>
      <c r="J882" t="s">
        <v>138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R882" t="s">
        <v>127</v>
      </c>
      <c r="S882" t="str">
        <f t="shared" si="348"/>
        <v>15:06:58.000</v>
      </c>
      <c r="T882" t="str">
        <f t="shared" si="348"/>
        <v>15:06:58.000</v>
      </c>
      <c r="U882" t="str">
        <f t="shared" si="331"/>
        <v>A68FCB</v>
      </c>
      <c r="V882">
        <v>0</v>
      </c>
      <c r="W882">
        <v>0</v>
      </c>
      <c r="X882">
        <v>2</v>
      </c>
      <c r="Y882">
        <v>0</v>
      </c>
      <c r="AA882">
        <v>1</v>
      </c>
      <c r="AB882">
        <v>8</v>
      </c>
      <c r="AC882">
        <v>3</v>
      </c>
      <c r="AD882">
        <v>0</v>
      </c>
      <c r="AE882">
        <v>9</v>
      </c>
      <c r="AF882" t="s">
        <v>138</v>
      </c>
      <c r="AG882">
        <v>0</v>
      </c>
      <c r="AH882">
        <v>3</v>
      </c>
      <c r="AI882">
        <v>2</v>
      </c>
      <c r="AJ882">
        <v>0</v>
      </c>
      <c r="AK882" t="s">
        <v>379</v>
      </c>
      <c r="AL882">
        <v>38.979126999999998</v>
      </c>
      <c r="AM882" t="s">
        <v>273</v>
      </c>
      <c r="AN882">
        <v>-121.051333</v>
      </c>
      <c r="AO882">
        <v>25</v>
      </c>
      <c r="AP882">
        <v>2900</v>
      </c>
      <c r="AQ882" t="s">
        <v>131</v>
      </c>
      <c r="AR882">
        <v>-12</v>
      </c>
      <c r="AS882">
        <v>84</v>
      </c>
      <c r="AT882">
        <v>768</v>
      </c>
      <c r="BB882" t="str">
        <f t="shared" si="332"/>
        <v>1200</v>
      </c>
      <c r="BC882">
        <v>1</v>
      </c>
      <c r="BD882" t="str">
        <f t="shared" si="333"/>
        <v xml:space="preserve">N52156  </v>
      </c>
      <c r="BE882">
        <v>1</v>
      </c>
      <c r="BG882">
        <v>0</v>
      </c>
      <c r="BH882">
        <v>0</v>
      </c>
      <c r="BI882">
        <v>0</v>
      </c>
      <c r="BJ882">
        <v>2875</v>
      </c>
      <c r="BK882">
        <v>-25</v>
      </c>
      <c r="BL882" t="s">
        <v>188</v>
      </c>
      <c r="BM882">
        <v>1</v>
      </c>
      <c r="BN882">
        <v>1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 t="shared" si="349"/>
        <v>15:06:58.321</v>
      </c>
      <c r="CF882">
        <v>320700367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5</v>
      </c>
      <c r="CY882">
        <v>7</v>
      </c>
      <c r="CZ882" t="s">
        <v>133</v>
      </c>
      <c r="DA882">
        <v>275</v>
      </c>
      <c r="DB882">
        <v>0</v>
      </c>
      <c r="DC882" t="s">
        <v>134</v>
      </c>
      <c r="DD882" t="s">
        <v>135</v>
      </c>
      <c r="DG882">
        <v>3319373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"05/01/2025 15:06:58.560"</f>
        <v>05/01/2025 15:06:58.560</v>
      </c>
      <c r="C883" t="str">
        <f t="shared" si="330"/>
        <v>FFDFD3C0</v>
      </c>
      <c r="D883" t="s">
        <v>140</v>
      </c>
      <c r="E883" t="str">
        <f>"13"</f>
        <v>13</v>
      </c>
      <c r="F883">
        <v>1019</v>
      </c>
      <c r="G883" t="s">
        <v>141</v>
      </c>
      <c r="J883" t="s">
        <v>142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R883" t="s">
        <v>127</v>
      </c>
      <c r="S883" t="str">
        <f t="shared" si="348"/>
        <v>15:06:58.000</v>
      </c>
      <c r="T883" t="str">
        <f t="shared" si="348"/>
        <v>15:06:58.000</v>
      </c>
      <c r="U883" t="str">
        <f t="shared" si="331"/>
        <v>A68FCB</v>
      </c>
      <c r="V883">
        <v>0</v>
      </c>
      <c r="W883">
        <v>0</v>
      </c>
      <c r="X883">
        <v>2</v>
      </c>
      <c r="Y883">
        <v>0</v>
      </c>
      <c r="AA883">
        <v>1</v>
      </c>
      <c r="AB883">
        <v>8</v>
      </c>
      <c r="AC883">
        <v>3</v>
      </c>
      <c r="AD883">
        <v>0</v>
      </c>
      <c r="AE883">
        <v>9</v>
      </c>
      <c r="AF883" t="s">
        <v>138</v>
      </c>
      <c r="AG883">
        <v>0</v>
      </c>
      <c r="AH883">
        <v>3</v>
      </c>
      <c r="AI883">
        <v>2</v>
      </c>
      <c r="AJ883">
        <v>0</v>
      </c>
      <c r="AK883" t="s">
        <v>379</v>
      </c>
      <c r="AL883">
        <v>38.979126999999998</v>
      </c>
      <c r="AM883" t="s">
        <v>273</v>
      </c>
      <c r="AN883">
        <v>-121.051333</v>
      </c>
      <c r="AO883">
        <v>25</v>
      </c>
      <c r="AP883">
        <v>2900</v>
      </c>
      <c r="AQ883" t="s">
        <v>131</v>
      </c>
      <c r="AR883">
        <v>-12</v>
      </c>
      <c r="AS883">
        <v>84</v>
      </c>
      <c r="AT883">
        <v>768</v>
      </c>
      <c r="BB883" t="str">
        <f t="shared" si="332"/>
        <v>1200</v>
      </c>
      <c r="BC883">
        <v>1</v>
      </c>
      <c r="BD883" t="str">
        <f t="shared" si="333"/>
        <v xml:space="preserve">N52156  </v>
      </c>
      <c r="BE883">
        <v>1</v>
      </c>
      <c r="BG883">
        <v>0</v>
      </c>
      <c r="BH883">
        <v>0</v>
      </c>
      <c r="BI883">
        <v>0</v>
      </c>
      <c r="BJ883">
        <v>2875</v>
      </c>
      <c r="BK883">
        <v>-25</v>
      </c>
      <c r="BL883" t="s">
        <v>188</v>
      </c>
      <c r="BM883">
        <v>1</v>
      </c>
      <c r="BN883">
        <v>1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 t="shared" si="349"/>
        <v>15:06:58.321</v>
      </c>
      <c r="CF883">
        <v>320700367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5</v>
      </c>
      <c r="CY883">
        <v>7</v>
      </c>
      <c r="CZ883" t="s">
        <v>133</v>
      </c>
      <c r="DA883">
        <v>275</v>
      </c>
      <c r="DB883">
        <v>0</v>
      </c>
      <c r="DC883" t="s">
        <v>134</v>
      </c>
      <c r="DD883" t="s">
        <v>135</v>
      </c>
      <c r="DG883">
        <v>3319373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"05/01/2025 15:06:59.863"</f>
        <v>05/01/2025 15:06:59.863</v>
      </c>
      <c r="C884" t="str">
        <f t="shared" si="330"/>
        <v>FFDFD3C0</v>
      </c>
      <c r="D884" t="s">
        <v>140</v>
      </c>
      <c r="E884" t="str">
        <f>"13"</f>
        <v>13</v>
      </c>
      <c r="F884">
        <v>1019</v>
      </c>
      <c r="G884" t="s">
        <v>141</v>
      </c>
      <c r="J884" t="s">
        <v>142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R884" t="s">
        <v>127</v>
      </c>
      <c r="S884" t="str">
        <f t="shared" ref="S884:T889" si="350">"15:06:59.000"</f>
        <v>15:06:59.000</v>
      </c>
      <c r="T884" t="str">
        <f t="shared" si="350"/>
        <v>15:06:59.000</v>
      </c>
      <c r="U884" t="str">
        <f t="shared" si="331"/>
        <v>A68FCB</v>
      </c>
      <c r="V884">
        <v>0</v>
      </c>
      <c r="W884">
        <v>0</v>
      </c>
      <c r="X884">
        <v>2</v>
      </c>
      <c r="Y884">
        <v>0</v>
      </c>
      <c r="AA884">
        <v>1</v>
      </c>
      <c r="AB884">
        <v>8</v>
      </c>
      <c r="AC884">
        <v>3</v>
      </c>
      <c r="AD884">
        <v>0</v>
      </c>
      <c r="AE884">
        <v>9</v>
      </c>
      <c r="AF884" t="s">
        <v>138</v>
      </c>
      <c r="AG884">
        <v>0</v>
      </c>
      <c r="AH884">
        <v>3</v>
      </c>
      <c r="AI884">
        <v>2</v>
      </c>
      <c r="AJ884">
        <v>0</v>
      </c>
      <c r="AK884" t="s">
        <v>380</v>
      </c>
      <c r="AL884">
        <v>38.979514000000002</v>
      </c>
      <c r="AM884" t="s">
        <v>381</v>
      </c>
      <c r="AN884">
        <v>-121.05139699999999</v>
      </c>
      <c r="AO884">
        <v>25</v>
      </c>
      <c r="AP884">
        <v>2900</v>
      </c>
      <c r="AQ884" t="s">
        <v>131</v>
      </c>
      <c r="AR884">
        <v>-11</v>
      </c>
      <c r="AS884">
        <v>83</v>
      </c>
      <c r="AT884">
        <v>704</v>
      </c>
      <c r="BB884" t="str">
        <f t="shared" si="332"/>
        <v>1200</v>
      </c>
      <c r="BC884">
        <v>1</v>
      </c>
      <c r="BD884" t="str">
        <f t="shared" si="333"/>
        <v xml:space="preserve">N52156  </v>
      </c>
      <c r="BE884">
        <v>1</v>
      </c>
      <c r="BG884">
        <v>0</v>
      </c>
      <c r="BH884">
        <v>0</v>
      </c>
      <c r="BI884">
        <v>0</v>
      </c>
      <c r="BJ884">
        <v>2875</v>
      </c>
      <c r="BK884">
        <v>-25</v>
      </c>
      <c r="BL884" t="s">
        <v>188</v>
      </c>
      <c r="BM884">
        <v>1</v>
      </c>
      <c r="BN884">
        <v>1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 t="shared" ref="CE884:CE889" si="351">"15:06:59.642"</f>
        <v>15:06:59.642</v>
      </c>
      <c r="CF884">
        <v>641701178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5</v>
      </c>
      <c r="CY884">
        <v>7</v>
      </c>
      <c r="CZ884" t="s">
        <v>133</v>
      </c>
      <c r="DA884">
        <v>275</v>
      </c>
      <c r="DB884">
        <v>0</v>
      </c>
      <c r="DC884" t="s">
        <v>134</v>
      </c>
      <c r="DD884" t="s">
        <v>135</v>
      </c>
      <c r="DG884">
        <v>3319387</v>
      </c>
      <c r="DI884">
        <v>1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"05/01/2025 15:06:59.867"</f>
        <v>05/01/2025 15:06:59.867</v>
      </c>
      <c r="C885" t="str">
        <f t="shared" si="330"/>
        <v>FFDFD3C0</v>
      </c>
      <c r="D885" t="s">
        <v>145</v>
      </c>
      <c r="E885" t="str">
        <f>"05"</f>
        <v>05</v>
      </c>
      <c r="H885">
        <v>47</v>
      </c>
      <c r="I885" t="s">
        <v>146</v>
      </c>
      <c r="J885" t="s">
        <v>138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R885" t="s">
        <v>127</v>
      </c>
      <c r="S885" t="str">
        <f t="shared" si="350"/>
        <v>15:06:59.000</v>
      </c>
      <c r="T885" t="str">
        <f t="shared" si="350"/>
        <v>15:06:59.000</v>
      </c>
      <c r="U885" t="str">
        <f t="shared" si="331"/>
        <v>A68FCB</v>
      </c>
      <c r="V885">
        <v>0</v>
      </c>
      <c r="W885">
        <v>0</v>
      </c>
      <c r="X885">
        <v>2</v>
      </c>
      <c r="Y885">
        <v>0</v>
      </c>
      <c r="AA885">
        <v>1</v>
      </c>
      <c r="AB885">
        <v>8</v>
      </c>
      <c r="AC885">
        <v>3</v>
      </c>
      <c r="AD885">
        <v>0</v>
      </c>
      <c r="AE885">
        <v>9</v>
      </c>
      <c r="AF885" t="s">
        <v>138</v>
      </c>
      <c r="AG885">
        <v>0</v>
      </c>
      <c r="AH885">
        <v>3</v>
      </c>
      <c r="AI885">
        <v>2</v>
      </c>
      <c r="AJ885">
        <v>0</v>
      </c>
      <c r="AK885" t="s">
        <v>380</v>
      </c>
      <c r="AL885">
        <v>38.979514000000002</v>
      </c>
      <c r="AM885" t="s">
        <v>381</v>
      </c>
      <c r="AN885">
        <v>-121.05139699999999</v>
      </c>
      <c r="AO885">
        <v>25</v>
      </c>
      <c r="AP885">
        <v>2900</v>
      </c>
      <c r="AQ885" t="s">
        <v>131</v>
      </c>
      <c r="AR885">
        <v>-11</v>
      </c>
      <c r="AS885">
        <v>83</v>
      </c>
      <c r="AT885">
        <v>704</v>
      </c>
      <c r="BB885" t="str">
        <f t="shared" si="332"/>
        <v>1200</v>
      </c>
      <c r="BC885">
        <v>1</v>
      </c>
      <c r="BD885" t="str">
        <f t="shared" si="333"/>
        <v xml:space="preserve">N52156  </v>
      </c>
      <c r="BE885">
        <v>1</v>
      </c>
      <c r="BG885">
        <v>0</v>
      </c>
      <c r="BH885">
        <v>0</v>
      </c>
      <c r="BI885">
        <v>0</v>
      </c>
      <c r="BJ885">
        <v>2875</v>
      </c>
      <c r="BK885">
        <v>-25</v>
      </c>
      <c r="BL885" t="s">
        <v>188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 t="shared" si="351"/>
        <v>15:06:59.642</v>
      </c>
      <c r="CF885">
        <v>641701178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133</v>
      </c>
      <c r="DA885">
        <v>275</v>
      </c>
      <c r="DB885">
        <v>0</v>
      </c>
      <c r="DC885" t="s">
        <v>134</v>
      </c>
      <c r="DD885" t="s">
        <v>135</v>
      </c>
      <c r="DG885">
        <v>3319387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"05/01/2025 15:06:59.869"</f>
        <v>05/01/2025 15:06:59.869</v>
      </c>
      <c r="C886" t="str">
        <f t="shared" si="330"/>
        <v>FFDFD3C0</v>
      </c>
      <c r="D886" t="s">
        <v>124</v>
      </c>
      <c r="E886" t="str">
        <f>"06"</f>
        <v>06</v>
      </c>
      <c r="F886">
        <v>2006</v>
      </c>
      <c r="G886" t="s">
        <v>125</v>
      </c>
      <c r="J886" t="s">
        <v>126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R886" t="s">
        <v>127</v>
      </c>
      <c r="S886" t="str">
        <f t="shared" si="350"/>
        <v>15:06:59.000</v>
      </c>
      <c r="T886" t="str">
        <f t="shared" si="350"/>
        <v>15:06:59.000</v>
      </c>
      <c r="U886" t="str">
        <f t="shared" si="331"/>
        <v>A68FCB</v>
      </c>
      <c r="V886">
        <v>0</v>
      </c>
      <c r="W886">
        <v>0</v>
      </c>
      <c r="X886">
        <v>2</v>
      </c>
      <c r="Y886">
        <v>0</v>
      </c>
      <c r="AA886">
        <v>1</v>
      </c>
      <c r="AB886">
        <v>8</v>
      </c>
      <c r="AC886">
        <v>3</v>
      </c>
      <c r="AD886">
        <v>0</v>
      </c>
      <c r="AE886">
        <v>9</v>
      </c>
      <c r="AF886" t="s">
        <v>138</v>
      </c>
      <c r="AG886">
        <v>0</v>
      </c>
      <c r="AH886">
        <v>3</v>
      </c>
      <c r="AI886">
        <v>2</v>
      </c>
      <c r="AJ886">
        <v>0</v>
      </c>
      <c r="AK886" t="s">
        <v>380</v>
      </c>
      <c r="AL886">
        <v>38.979514000000002</v>
      </c>
      <c r="AM886" t="s">
        <v>381</v>
      </c>
      <c r="AN886">
        <v>-121.05139699999999</v>
      </c>
      <c r="AO886">
        <v>25</v>
      </c>
      <c r="AP886">
        <v>2900</v>
      </c>
      <c r="AQ886" t="s">
        <v>131</v>
      </c>
      <c r="AR886">
        <v>-11</v>
      </c>
      <c r="AS886">
        <v>83</v>
      </c>
      <c r="AT886">
        <v>704</v>
      </c>
      <c r="BB886" t="str">
        <f t="shared" si="332"/>
        <v>1200</v>
      </c>
      <c r="BC886">
        <v>1</v>
      </c>
      <c r="BD886" t="str">
        <f t="shared" si="333"/>
        <v xml:space="preserve">N52156  </v>
      </c>
      <c r="BE886">
        <v>1</v>
      </c>
      <c r="BG886">
        <v>0</v>
      </c>
      <c r="BH886">
        <v>0</v>
      </c>
      <c r="BI886">
        <v>0</v>
      </c>
      <c r="BJ886">
        <v>2875</v>
      </c>
      <c r="BK886">
        <v>-25</v>
      </c>
      <c r="BL886" t="s">
        <v>188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 t="shared" si="351"/>
        <v>15:06:59.642</v>
      </c>
      <c r="CF886">
        <v>641701178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133</v>
      </c>
      <c r="DA886">
        <v>275</v>
      </c>
      <c r="DB886">
        <v>0</v>
      </c>
      <c r="DC886" t="s">
        <v>134</v>
      </c>
      <c r="DD886" t="s">
        <v>135</v>
      </c>
      <c r="DG886">
        <v>3319387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"05/01/2025 15:06:59.871"</f>
        <v>05/01/2025 15:06:59.871</v>
      </c>
      <c r="C887" t="str">
        <f t="shared" si="330"/>
        <v>FFDFD3C0</v>
      </c>
      <c r="D887" t="s">
        <v>143</v>
      </c>
      <c r="E887" t="str">
        <f>"05"</f>
        <v>05</v>
      </c>
      <c r="H887">
        <v>172</v>
      </c>
      <c r="I887" t="s">
        <v>141</v>
      </c>
      <c r="J887" t="s">
        <v>144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R887" t="s">
        <v>127</v>
      </c>
      <c r="S887" t="str">
        <f t="shared" si="350"/>
        <v>15:06:59.000</v>
      </c>
      <c r="T887" t="str">
        <f t="shared" si="350"/>
        <v>15:06:59.000</v>
      </c>
      <c r="U887" t="str">
        <f t="shared" si="331"/>
        <v>A68FCB</v>
      </c>
      <c r="V887">
        <v>0</v>
      </c>
      <c r="W887">
        <v>0</v>
      </c>
      <c r="X887">
        <v>2</v>
      </c>
      <c r="Y887">
        <v>0</v>
      </c>
      <c r="AA887">
        <v>1</v>
      </c>
      <c r="AB887">
        <v>8</v>
      </c>
      <c r="AC887">
        <v>3</v>
      </c>
      <c r="AD887">
        <v>0</v>
      </c>
      <c r="AE887">
        <v>9</v>
      </c>
      <c r="AF887" t="s">
        <v>138</v>
      </c>
      <c r="AG887">
        <v>0</v>
      </c>
      <c r="AH887">
        <v>3</v>
      </c>
      <c r="AI887">
        <v>2</v>
      </c>
      <c r="AJ887">
        <v>0</v>
      </c>
      <c r="AK887" t="s">
        <v>380</v>
      </c>
      <c r="AL887">
        <v>38.979514000000002</v>
      </c>
      <c r="AM887" t="s">
        <v>381</v>
      </c>
      <c r="AN887">
        <v>-121.05139699999999</v>
      </c>
      <c r="AO887">
        <v>25</v>
      </c>
      <c r="AP887">
        <v>2900</v>
      </c>
      <c r="AQ887" t="s">
        <v>131</v>
      </c>
      <c r="AR887">
        <v>-11</v>
      </c>
      <c r="AS887">
        <v>83</v>
      </c>
      <c r="AT887">
        <v>704</v>
      </c>
      <c r="BB887" t="str">
        <f t="shared" si="332"/>
        <v>1200</v>
      </c>
      <c r="BC887">
        <v>1</v>
      </c>
      <c r="BD887" t="str">
        <f t="shared" si="333"/>
        <v xml:space="preserve">N52156  </v>
      </c>
      <c r="BE887">
        <v>1</v>
      </c>
      <c r="BG887">
        <v>0</v>
      </c>
      <c r="BH887">
        <v>0</v>
      </c>
      <c r="BI887">
        <v>0</v>
      </c>
      <c r="BJ887">
        <v>2875</v>
      </c>
      <c r="BK887">
        <v>-25</v>
      </c>
      <c r="BL887" t="s">
        <v>188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 t="shared" si="351"/>
        <v>15:06:59.642</v>
      </c>
      <c r="CF887">
        <v>641701178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5</v>
      </c>
      <c r="CY887">
        <v>7</v>
      </c>
      <c r="CZ887" t="s">
        <v>133</v>
      </c>
      <c r="DA887">
        <v>275</v>
      </c>
      <c r="DB887">
        <v>0</v>
      </c>
      <c r="DC887" t="s">
        <v>134</v>
      </c>
      <c r="DD887" t="s">
        <v>135</v>
      </c>
      <c r="DG887">
        <v>3319387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"05/01/2025 15:06:59.873"</f>
        <v>05/01/2025 15:06:59.873</v>
      </c>
      <c r="C888" t="str">
        <f t="shared" si="330"/>
        <v>FFDFD3C0</v>
      </c>
      <c r="D888" t="s">
        <v>145</v>
      </c>
      <c r="E888" t="str">
        <f>"09"</f>
        <v>09</v>
      </c>
      <c r="H888">
        <v>51</v>
      </c>
      <c r="I888" t="s">
        <v>147</v>
      </c>
      <c r="J888" t="s">
        <v>138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R888" t="s">
        <v>127</v>
      </c>
      <c r="S888" t="str">
        <f t="shared" si="350"/>
        <v>15:06:59.000</v>
      </c>
      <c r="T888" t="str">
        <f t="shared" si="350"/>
        <v>15:06:59.000</v>
      </c>
      <c r="U888" t="str">
        <f t="shared" si="331"/>
        <v>A68FCB</v>
      </c>
      <c r="V888">
        <v>0</v>
      </c>
      <c r="W888">
        <v>0</v>
      </c>
      <c r="X888">
        <v>2</v>
      </c>
      <c r="Y888">
        <v>0</v>
      </c>
      <c r="AA888">
        <v>1</v>
      </c>
      <c r="AB888">
        <v>8</v>
      </c>
      <c r="AC888">
        <v>3</v>
      </c>
      <c r="AD888">
        <v>0</v>
      </c>
      <c r="AE888">
        <v>9</v>
      </c>
      <c r="AF888" t="s">
        <v>138</v>
      </c>
      <c r="AG888">
        <v>0</v>
      </c>
      <c r="AH888">
        <v>3</v>
      </c>
      <c r="AI888">
        <v>2</v>
      </c>
      <c r="AJ888">
        <v>0</v>
      </c>
      <c r="AK888" t="s">
        <v>380</v>
      </c>
      <c r="AL888">
        <v>38.979514000000002</v>
      </c>
      <c r="AM888" t="s">
        <v>381</v>
      </c>
      <c r="AN888">
        <v>-121.05139699999999</v>
      </c>
      <c r="AO888">
        <v>25</v>
      </c>
      <c r="AP888">
        <v>2900</v>
      </c>
      <c r="AQ888" t="s">
        <v>131</v>
      </c>
      <c r="AR888">
        <v>-11</v>
      </c>
      <c r="AS888">
        <v>83</v>
      </c>
      <c r="AT888">
        <v>704</v>
      </c>
      <c r="BB888" t="str">
        <f t="shared" si="332"/>
        <v>1200</v>
      </c>
      <c r="BC888">
        <v>1</v>
      </c>
      <c r="BD888" t="str">
        <f t="shared" si="333"/>
        <v xml:space="preserve">N52156  </v>
      </c>
      <c r="BE888">
        <v>1</v>
      </c>
      <c r="BG888">
        <v>0</v>
      </c>
      <c r="BH888">
        <v>0</v>
      </c>
      <c r="BI888">
        <v>0</v>
      </c>
      <c r="BJ888">
        <v>2875</v>
      </c>
      <c r="BK888">
        <v>-25</v>
      </c>
      <c r="BL888" t="s">
        <v>188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 t="shared" si="351"/>
        <v>15:06:59.642</v>
      </c>
      <c r="CF888">
        <v>641701178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133</v>
      </c>
      <c r="DA888">
        <v>275</v>
      </c>
      <c r="DB888">
        <v>0</v>
      </c>
      <c r="DC888" t="s">
        <v>134</v>
      </c>
      <c r="DD888" t="s">
        <v>135</v>
      </c>
      <c r="DG888">
        <v>3319387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"05/01/2025 15:06:59.878"</f>
        <v>05/01/2025 15:06:59.878</v>
      </c>
      <c r="C889" t="str">
        <f t="shared" si="330"/>
        <v>FFDFD3C0</v>
      </c>
      <c r="D889" t="s">
        <v>136</v>
      </c>
      <c r="E889" t="str">
        <f>"20"</f>
        <v>20</v>
      </c>
      <c r="H889">
        <v>400</v>
      </c>
      <c r="I889" t="s">
        <v>137</v>
      </c>
      <c r="J889" t="s">
        <v>138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R889" t="s">
        <v>127</v>
      </c>
      <c r="S889" t="str">
        <f t="shared" si="350"/>
        <v>15:06:59.000</v>
      </c>
      <c r="T889" t="str">
        <f t="shared" si="350"/>
        <v>15:06:59.000</v>
      </c>
      <c r="U889" t="str">
        <f t="shared" si="331"/>
        <v>A68FCB</v>
      </c>
      <c r="V889">
        <v>0</v>
      </c>
      <c r="W889">
        <v>0</v>
      </c>
      <c r="X889">
        <v>2</v>
      </c>
      <c r="Y889">
        <v>0</v>
      </c>
      <c r="AA889">
        <v>1</v>
      </c>
      <c r="AB889">
        <v>8</v>
      </c>
      <c r="AC889">
        <v>3</v>
      </c>
      <c r="AD889">
        <v>0</v>
      </c>
      <c r="AE889">
        <v>9</v>
      </c>
      <c r="AF889" t="s">
        <v>138</v>
      </c>
      <c r="AG889">
        <v>0</v>
      </c>
      <c r="AH889">
        <v>3</v>
      </c>
      <c r="AI889">
        <v>2</v>
      </c>
      <c r="AJ889">
        <v>0</v>
      </c>
      <c r="AK889" t="s">
        <v>380</v>
      </c>
      <c r="AL889">
        <v>38.979514000000002</v>
      </c>
      <c r="AM889" t="s">
        <v>381</v>
      </c>
      <c r="AN889">
        <v>-121.05139699999999</v>
      </c>
      <c r="AO889">
        <v>25</v>
      </c>
      <c r="AP889">
        <v>2900</v>
      </c>
      <c r="AQ889" t="s">
        <v>131</v>
      </c>
      <c r="AR889">
        <v>-11</v>
      </c>
      <c r="AS889">
        <v>83</v>
      </c>
      <c r="AT889">
        <v>704</v>
      </c>
      <c r="BB889" t="str">
        <f t="shared" si="332"/>
        <v>1200</v>
      </c>
      <c r="BC889">
        <v>1</v>
      </c>
      <c r="BD889" t="str">
        <f t="shared" si="333"/>
        <v xml:space="preserve">N52156  </v>
      </c>
      <c r="BE889">
        <v>1</v>
      </c>
      <c r="BG889">
        <v>0</v>
      </c>
      <c r="BH889">
        <v>0</v>
      </c>
      <c r="BI889">
        <v>0</v>
      </c>
      <c r="BJ889">
        <v>2875</v>
      </c>
      <c r="BK889">
        <v>-25</v>
      </c>
      <c r="BL889" t="s">
        <v>188</v>
      </c>
      <c r="BM889">
        <v>1</v>
      </c>
      <c r="BN889">
        <v>1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 t="shared" si="351"/>
        <v>15:06:59.642</v>
      </c>
      <c r="CF889">
        <v>641701178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5</v>
      </c>
      <c r="CY889">
        <v>7</v>
      </c>
      <c r="CZ889" t="s">
        <v>133</v>
      </c>
      <c r="DA889">
        <v>275</v>
      </c>
      <c r="DB889">
        <v>0</v>
      </c>
      <c r="DC889" t="s">
        <v>134</v>
      </c>
      <c r="DD889" t="s">
        <v>135</v>
      </c>
      <c r="DG889">
        <v>3319387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"05/01/2025 15:07:00.980"</f>
        <v>05/01/2025 15:07:00.980</v>
      </c>
      <c r="C890" t="str">
        <f t="shared" si="330"/>
        <v>FFDFD3C0</v>
      </c>
      <c r="D890" t="s">
        <v>136</v>
      </c>
      <c r="E890" t="str">
        <f>"20"</f>
        <v>20</v>
      </c>
      <c r="H890">
        <v>400</v>
      </c>
      <c r="I890" t="s">
        <v>137</v>
      </c>
      <c r="J890" t="s">
        <v>138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R890" t="s">
        <v>127</v>
      </c>
      <c r="S890" t="str">
        <f t="shared" ref="S890:T895" si="352">"15:07:00.000"</f>
        <v>15:07:00.000</v>
      </c>
      <c r="T890" t="str">
        <f t="shared" si="352"/>
        <v>15:07:00.000</v>
      </c>
      <c r="U890" t="str">
        <f t="shared" si="331"/>
        <v>A68FCB</v>
      </c>
      <c r="V890">
        <v>0</v>
      </c>
      <c r="W890">
        <v>0</v>
      </c>
      <c r="X890">
        <v>2</v>
      </c>
      <c r="Y890">
        <v>0</v>
      </c>
      <c r="AA890">
        <v>1</v>
      </c>
      <c r="AB890">
        <v>8</v>
      </c>
      <c r="AC890">
        <v>3</v>
      </c>
      <c r="AD890">
        <v>0</v>
      </c>
      <c r="AE890">
        <v>9</v>
      </c>
      <c r="AF890" t="s">
        <v>138</v>
      </c>
      <c r="AG890">
        <v>0</v>
      </c>
      <c r="AH890">
        <v>3</v>
      </c>
      <c r="AI890">
        <v>2</v>
      </c>
      <c r="AJ890">
        <v>0</v>
      </c>
      <c r="AK890" t="s">
        <v>382</v>
      </c>
      <c r="AL890">
        <v>38.979900000000001</v>
      </c>
      <c r="AM890" t="s">
        <v>383</v>
      </c>
      <c r="AN890">
        <v>-121.051462</v>
      </c>
      <c r="AO890">
        <v>25</v>
      </c>
      <c r="AP890">
        <v>2900</v>
      </c>
      <c r="AQ890" t="s">
        <v>131</v>
      </c>
      <c r="AR890">
        <v>-10</v>
      </c>
      <c r="AS890">
        <v>83</v>
      </c>
      <c r="AT890">
        <v>704</v>
      </c>
      <c r="BB890" t="str">
        <f t="shared" si="332"/>
        <v>1200</v>
      </c>
      <c r="BC890">
        <v>1</v>
      </c>
      <c r="BD890" t="str">
        <f t="shared" si="333"/>
        <v xml:space="preserve">N52156  </v>
      </c>
      <c r="BE890">
        <v>1</v>
      </c>
      <c r="BG890">
        <v>0</v>
      </c>
      <c r="BH890">
        <v>0</v>
      </c>
      <c r="BI890">
        <v>0</v>
      </c>
      <c r="BJ890">
        <v>2900</v>
      </c>
      <c r="BK890">
        <v>0</v>
      </c>
      <c r="BL890" t="s">
        <v>188</v>
      </c>
      <c r="BM890">
        <v>1</v>
      </c>
      <c r="BN890">
        <v>1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 t="shared" ref="CE890:CE895" si="353">"15:07:00.758"</f>
        <v>15:07:00.758</v>
      </c>
      <c r="CF890">
        <v>758451503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4</v>
      </c>
      <c r="CY890">
        <v>7</v>
      </c>
      <c r="CZ890" t="s">
        <v>133</v>
      </c>
      <c r="DA890">
        <v>275</v>
      </c>
      <c r="DB890">
        <v>0</v>
      </c>
      <c r="DC890" t="s">
        <v>134</v>
      </c>
      <c r="DD890" t="s">
        <v>135</v>
      </c>
      <c r="DG890">
        <v>3319400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"05/01/2025 15:07:01.015"</f>
        <v>05/01/2025 15:07:01.015</v>
      </c>
      <c r="C891" t="str">
        <f t="shared" si="330"/>
        <v>FFDFD3C0</v>
      </c>
      <c r="D891" t="s">
        <v>140</v>
      </c>
      <c r="E891" t="str">
        <f>"13"</f>
        <v>13</v>
      </c>
      <c r="F891">
        <v>1019</v>
      </c>
      <c r="G891" t="s">
        <v>141</v>
      </c>
      <c r="J891" t="s">
        <v>142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R891" t="s">
        <v>127</v>
      </c>
      <c r="S891" t="str">
        <f t="shared" si="352"/>
        <v>15:07:00.000</v>
      </c>
      <c r="T891" t="str">
        <f t="shared" si="352"/>
        <v>15:07:00.000</v>
      </c>
      <c r="U891" t="str">
        <f t="shared" si="331"/>
        <v>A68FCB</v>
      </c>
      <c r="V891">
        <v>0</v>
      </c>
      <c r="W891">
        <v>0</v>
      </c>
      <c r="X891">
        <v>2</v>
      </c>
      <c r="Y891">
        <v>0</v>
      </c>
      <c r="AA891">
        <v>1</v>
      </c>
      <c r="AB891">
        <v>8</v>
      </c>
      <c r="AC891">
        <v>3</v>
      </c>
      <c r="AD891">
        <v>0</v>
      </c>
      <c r="AE891">
        <v>9</v>
      </c>
      <c r="AF891" t="s">
        <v>138</v>
      </c>
      <c r="AG891">
        <v>0</v>
      </c>
      <c r="AH891">
        <v>3</v>
      </c>
      <c r="AI891">
        <v>2</v>
      </c>
      <c r="AJ891">
        <v>0</v>
      </c>
      <c r="AK891" t="s">
        <v>382</v>
      </c>
      <c r="AL891">
        <v>38.979900000000001</v>
      </c>
      <c r="AM891" t="s">
        <v>383</v>
      </c>
      <c r="AN891">
        <v>-121.051462</v>
      </c>
      <c r="AO891">
        <v>25</v>
      </c>
      <c r="AP891">
        <v>2900</v>
      </c>
      <c r="AQ891" t="s">
        <v>131</v>
      </c>
      <c r="AR891">
        <v>-10</v>
      </c>
      <c r="AS891">
        <v>83</v>
      </c>
      <c r="AT891">
        <v>704</v>
      </c>
      <c r="BB891" t="str">
        <f t="shared" si="332"/>
        <v>1200</v>
      </c>
      <c r="BC891">
        <v>1</v>
      </c>
      <c r="BD891" t="str">
        <f t="shared" si="333"/>
        <v xml:space="preserve">N52156  </v>
      </c>
      <c r="BE891">
        <v>1</v>
      </c>
      <c r="BG891">
        <v>0</v>
      </c>
      <c r="BH891">
        <v>0</v>
      </c>
      <c r="BI891">
        <v>0</v>
      </c>
      <c r="BJ891">
        <v>2900</v>
      </c>
      <c r="BK891">
        <v>0</v>
      </c>
      <c r="BL891" t="s">
        <v>188</v>
      </c>
      <c r="BM891">
        <v>1</v>
      </c>
      <c r="BN891">
        <v>1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 t="shared" si="353"/>
        <v>15:07:00.758</v>
      </c>
      <c r="CF891">
        <v>758451503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4</v>
      </c>
      <c r="CY891">
        <v>7</v>
      </c>
      <c r="CZ891" t="s">
        <v>133</v>
      </c>
      <c r="DA891">
        <v>275</v>
      </c>
      <c r="DB891">
        <v>0</v>
      </c>
      <c r="DC891" t="s">
        <v>134</v>
      </c>
      <c r="DD891" t="s">
        <v>135</v>
      </c>
      <c r="DG891">
        <v>3319400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"05/01/2025 15:07:01.019"</f>
        <v>05/01/2025 15:07:01.019</v>
      </c>
      <c r="C892" t="str">
        <f t="shared" si="330"/>
        <v>FFDFD3C0</v>
      </c>
      <c r="D892" t="s">
        <v>145</v>
      </c>
      <c r="E892" t="str">
        <f>"05"</f>
        <v>05</v>
      </c>
      <c r="H892">
        <v>47</v>
      </c>
      <c r="I892" t="s">
        <v>146</v>
      </c>
      <c r="J892" t="s">
        <v>138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R892" t="s">
        <v>127</v>
      </c>
      <c r="S892" t="str">
        <f t="shared" si="352"/>
        <v>15:07:00.000</v>
      </c>
      <c r="T892" t="str">
        <f t="shared" si="352"/>
        <v>15:07:00.000</v>
      </c>
      <c r="U892" t="str">
        <f t="shared" si="331"/>
        <v>A68FCB</v>
      </c>
      <c r="V892">
        <v>0</v>
      </c>
      <c r="W892">
        <v>0</v>
      </c>
      <c r="X892">
        <v>2</v>
      </c>
      <c r="Y892">
        <v>0</v>
      </c>
      <c r="AA892">
        <v>1</v>
      </c>
      <c r="AB892">
        <v>8</v>
      </c>
      <c r="AC892">
        <v>3</v>
      </c>
      <c r="AD892">
        <v>0</v>
      </c>
      <c r="AE892">
        <v>9</v>
      </c>
      <c r="AF892" t="s">
        <v>138</v>
      </c>
      <c r="AG892">
        <v>0</v>
      </c>
      <c r="AH892">
        <v>3</v>
      </c>
      <c r="AI892">
        <v>2</v>
      </c>
      <c r="AJ892">
        <v>0</v>
      </c>
      <c r="AK892" t="s">
        <v>382</v>
      </c>
      <c r="AL892">
        <v>38.979900000000001</v>
      </c>
      <c r="AM892" t="s">
        <v>383</v>
      </c>
      <c r="AN892">
        <v>-121.051462</v>
      </c>
      <c r="AO892">
        <v>25</v>
      </c>
      <c r="AP892">
        <v>2900</v>
      </c>
      <c r="AQ892" t="s">
        <v>131</v>
      </c>
      <c r="AR892">
        <v>-10</v>
      </c>
      <c r="AS892">
        <v>83</v>
      </c>
      <c r="AT892">
        <v>704</v>
      </c>
      <c r="BB892" t="str">
        <f t="shared" si="332"/>
        <v>1200</v>
      </c>
      <c r="BC892">
        <v>1</v>
      </c>
      <c r="BD892" t="str">
        <f t="shared" si="333"/>
        <v xml:space="preserve">N52156  </v>
      </c>
      <c r="BE892">
        <v>1</v>
      </c>
      <c r="BG892">
        <v>0</v>
      </c>
      <c r="BH892">
        <v>0</v>
      </c>
      <c r="BI892">
        <v>0</v>
      </c>
      <c r="BJ892">
        <v>2900</v>
      </c>
      <c r="BK892">
        <v>0</v>
      </c>
      <c r="BL892" t="s">
        <v>188</v>
      </c>
      <c r="BM892">
        <v>1</v>
      </c>
      <c r="BN892">
        <v>1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 t="shared" si="353"/>
        <v>15:07:00.758</v>
      </c>
      <c r="CF892">
        <v>758451503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4</v>
      </c>
      <c r="CY892">
        <v>7</v>
      </c>
      <c r="CZ892" t="s">
        <v>133</v>
      </c>
      <c r="DA892">
        <v>275</v>
      </c>
      <c r="DB892">
        <v>0</v>
      </c>
      <c r="DC892" t="s">
        <v>134</v>
      </c>
      <c r="DD892" t="s">
        <v>135</v>
      </c>
      <c r="DG892">
        <v>3319400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"05/01/2025 15:07:01.021"</f>
        <v>05/01/2025 15:07:01.021</v>
      </c>
      <c r="C893" t="str">
        <f t="shared" si="330"/>
        <v>FFDFD3C0</v>
      </c>
      <c r="D893" t="s">
        <v>124</v>
      </c>
      <c r="E893" t="str">
        <f>"06"</f>
        <v>06</v>
      </c>
      <c r="F893">
        <v>2006</v>
      </c>
      <c r="G893" t="s">
        <v>125</v>
      </c>
      <c r="J893" t="s">
        <v>126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R893" t="s">
        <v>127</v>
      </c>
      <c r="S893" t="str">
        <f t="shared" si="352"/>
        <v>15:07:00.000</v>
      </c>
      <c r="T893" t="str">
        <f t="shared" si="352"/>
        <v>15:07:00.000</v>
      </c>
      <c r="U893" t="str">
        <f t="shared" si="331"/>
        <v>A68FCB</v>
      </c>
      <c r="V893">
        <v>0</v>
      </c>
      <c r="W893">
        <v>0</v>
      </c>
      <c r="X893">
        <v>2</v>
      </c>
      <c r="Y893">
        <v>0</v>
      </c>
      <c r="AA893">
        <v>1</v>
      </c>
      <c r="AB893">
        <v>8</v>
      </c>
      <c r="AC893">
        <v>3</v>
      </c>
      <c r="AD893">
        <v>0</v>
      </c>
      <c r="AE893">
        <v>9</v>
      </c>
      <c r="AF893" t="s">
        <v>138</v>
      </c>
      <c r="AG893">
        <v>0</v>
      </c>
      <c r="AH893">
        <v>3</v>
      </c>
      <c r="AI893">
        <v>2</v>
      </c>
      <c r="AJ893">
        <v>0</v>
      </c>
      <c r="AK893" t="s">
        <v>382</v>
      </c>
      <c r="AL893">
        <v>38.979900000000001</v>
      </c>
      <c r="AM893" t="s">
        <v>383</v>
      </c>
      <c r="AN893">
        <v>-121.051462</v>
      </c>
      <c r="AO893">
        <v>25</v>
      </c>
      <c r="AP893">
        <v>2900</v>
      </c>
      <c r="AQ893" t="s">
        <v>131</v>
      </c>
      <c r="AR893">
        <v>-10</v>
      </c>
      <c r="AS893">
        <v>83</v>
      </c>
      <c r="AT893">
        <v>704</v>
      </c>
      <c r="BB893" t="str">
        <f t="shared" si="332"/>
        <v>1200</v>
      </c>
      <c r="BC893">
        <v>1</v>
      </c>
      <c r="BD893" t="str">
        <f t="shared" si="333"/>
        <v xml:space="preserve">N52156  </v>
      </c>
      <c r="BE893">
        <v>1</v>
      </c>
      <c r="BG893">
        <v>0</v>
      </c>
      <c r="BH893">
        <v>0</v>
      </c>
      <c r="BI893">
        <v>0</v>
      </c>
      <c r="BJ893">
        <v>2900</v>
      </c>
      <c r="BK893">
        <v>0</v>
      </c>
      <c r="BL893" t="s">
        <v>188</v>
      </c>
      <c r="BM893">
        <v>1</v>
      </c>
      <c r="BN893">
        <v>1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 t="shared" si="353"/>
        <v>15:07:00.758</v>
      </c>
      <c r="CF893">
        <v>758451503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4</v>
      </c>
      <c r="CY893">
        <v>7</v>
      </c>
      <c r="CZ893" t="s">
        <v>133</v>
      </c>
      <c r="DA893">
        <v>275</v>
      </c>
      <c r="DB893">
        <v>0</v>
      </c>
      <c r="DC893" t="s">
        <v>134</v>
      </c>
      <c r="DD893" t="s">
        <v>135</v>
      </c>
      <c r="DG893">
        <v>3319400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"05/01/2025 15:07:01.022"</f>
        <v>05/01/2025 15:07:01.022</v>
      </c>
      <c r="C894" t="str">
        <f t="shared" si="330"/>
        <v>FFDFD3C0</v>
      </c>
      <c r="D894" t="s">
        <v>143</v>
      </c>
      <c r="E894" t="str">
        <f>"05"</f>
        <v>05</v>
      </c>
      <c r="H894">
        <v>172</v>
      </c>
      <c r="I894" t="s">
        <v>141</v>
      </c>
      <c r="J894" t="s">
        <v>144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R894" t="s">
        <v>127</v>
      </c>
      <c r="S894" t="str">
        <f t="shared" si="352"/>
        <v>15:07:00.000</v>
      </c>
      <c r="T894" t="str">
        <f t="shared" si="352"/>
        <v>15:07:00.000</v>
      </c>
      <c r="U894" t="str">
        <f t="shared" si="331"/>
        <v>A68FCB</v>
      </c>
      <c r="V894">
        <v>0</v>
      </c>
      <c r="W894">
        <v>0</v>
      </c>
      <c r="X894">
        <v>2</v>
      </c>
      <c r="Y894">
        <v>0</v>
      </c>
      <c r="AA894">
        <v>1</v>
      </c>
      <c r="AB894">
        <v>8</v>
      </c>
      <c r="AC894">
        <v>3</v>
      </c>
      <c r="AD894">
        <v>0</v>
      </c>
      <c r="AE894">
        <v>9</v>
      </c>
      <c r="AF894" t="s">
        <v>138</v>
      </c>
      <c r="AG894">
        <v>0</v>
      </c>
      <c r="AH894">
        <v>3</v>
      </c>
      <c r="AI894">
        <v>2</v>
      </c>
      <c r="AJ894">
        <v>0</v>
      </c>
      <c r="AK894" t="s">
        <v>382</v>
      </c>
      <c r="AL894">
        <v>38.979900000000001</v>
      </c>
      <c r="AM894" t="s">
        <v>383</v>
      </c>
      <c r="AN894">
        <v>-121.051462</v>
      </c>
      <c r="AO894">
        <v>25</v>
      </c>
      <c r="AP894">
        <v>2900</v>
      </c>
      <c r="AQ894" t="s">
        <v>131</v>
      </c>
      <c r="AR894">
        <v>-10</v>
      </c>
      <c r="AS894">
        <v>83</v>
      </c>
      <c r="AT894">
        <v>704</v>
      </c>
      <c r="BB894" t="str">
        <f t="shared" si="332"/>
        <v>1200</v>
      </c>
      <c r="BC894">
        <v>1</v>
      </c>
      <c r="BD894" t="str">
        <f t="shared" si="333"/>
        <v xml:space="preserve">N52156  </v>
      </c>
      <c r="BE894">
        <v>1</v>
      </c>
      <c r="BG894">
        <v>0</v>
      </c>
      <c r="BH894">
        <v>0</v>
      </c>
      <c r="BI894">
        <v>0</v>
      </c>
      <c r="BJ894">
        <v>2900</v>
      </c>
      <c r="BK894">
        <v>0</v>
      </c>
      <c r="BL894" t="s">
        <v>188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 t="shared" si="353"/>
        <v>15:07:00.758</v>
      </c>
      <c r="CF894">
        <v>758451503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4</v>
      </c>
      <c r="CY894">
        <v>7</v>
      </c>
      <c r="CZ894" t="s">
        <v>133</v>
      </c>
      <c r="DA894">
        <v>275</v>
      </c>
      <c r="DB894">
        <v>0</v>
      </c>
      <c r="DC894" t="s">
        <v>134</v>
      </c>
      <c r="DD894" t="s">
        <v>135</v>
      </c>
      <c r="DG894">
        <v>3319400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"05/01/2025 15:07:01.025"</f>
        <v>05/01/2025 15:07:01.025</v>
      </c>
      <c r="C895" t="str">
        <f t="shared" si="330"/>
        <v>FFDFD3C0</v>
      </c>
      <c r="D895" t="s">
        <v>145</v>
      </c>
      <c r="E895" t="str">
        <f>"09"</f>
        <v>09</v>
      </c>
      <c r="H895">
        <v>51</v>
      </c>
      <c r="I895" t="s">
        <v>147</v>
      </c>
      <c r="J895" t="s">
        <v>138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R895" t="s">
        <v>127</v>
      </c>
      <c r="S895" t="str">
        <f t="shared" si="352"/>
        <v>15:07:00.000</v>
      </c>
      <c r="T895" t="str">
        <f t="shared" si="352"/>
        <v>15:07:00.000</v>
      </c>
      <c r="U895" t="str">
        <f t="shared" si="331"/>
        <v>A68FCB</v>
      </c>
      <c r="V895">
        <v>0</v>
      </c>
      <c r="W895">
        <v>0</v>
      </c>
      <c r="X895">
        <v>2</v>
      </c>
      <c r="Y895">
        <v>0</v>
      </c>
      <c r="AA895">
        <v>1</v>
      </c>
      <c r="AB895">
        <v>8</v>
      </c>
      <c r="AC895">
        <v>3</v>
      </c>
      <c r="AD895">
        <v>0</v>
      </c>
      <c r="AE895">
        <v>9</v>
      </c>
      <c r="AF895" t="s">
        <v>138</v>
      </c>
      <c r="AG895">
        <v>0</v>
      </c>
      <c r="AH895">
        <v>3</v>
      </c>
      <c r="AI895">
        <v>2</v>
      </c>
      <c r="AJ895">
        <v>0</v>
      </c>
      <c r="AK895" t="s">
        <v>382</v>
      </c>
      <c r="AL895">
        <v>38.979900000000001</v>
      </c>
      <c r="AM895" t="s">
        <v>383</v>
      </c>
      <c r="AN895">
        <v>-121.051462</v>
      </c>
      <c r="AO895">
        <v>25</v>
      </c>
      <c r="AP895">
        <v>2900</v>
      </c>
      <c r="AQ895" t="s">
        <v>131</v>
      </c>
      <c r="AR895">
        <v>-10</v>
      </c>
      <c r="AS895">
        <v>83</v>
      </c>
      <c r="AT895">
        <v>704</v>
      </c>
      <c r="BB895" t="str">
        <f t="shared" si="332"/>
        <v>1200</v>
      </c>
      <c r="BC895">
        <v>1</v>
      </c>
      <c r="BD895" t="str">
        <f t="shared" si="333"/>
        <v xml:space="preserve">N52156  </v>
      </c>
      <c r="BE895">
        <v>1</v>
      </c>
      <c r="BG895">
        <v>0</v>
      </c>
      <c r="BH895">
        <v>0</v>
      </c>
      <c r="BI895">
        <v>0</v>
      </c>
      <c r="BJ895">
        <v>2900</v>
      </c>
      <c r="BK895">
        <v>0</v>
      </c>
      <c r="BL895" t="s">
        <v>188</v>
      </c>
      <c r="BM895">
        <v>1</v>
      </c>
      <c r="BN895">
        <v>1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 t="shared" si="353"/>
        <v>15:07:00.758</v>
      </c>
      <c r="CF895">
        <v>758451503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4</v>
      </c>
      <c r="CY895">
        <v>7</v>
      </c>
      <c r="CZ895" t="s">
        <v>133</v>
      </c>
      <c r="DA895">
        <v>275</v>
      </c>
      <c r="DB895">
        <v>0</v>
      </c>
      <c r="DC895" t="s">
        <v>134</v>
      </c>
      <c r="DD895" t="s">
        <v>135</v>
      </c>
      <c r="DG895">
        <v>3319400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"05/01/2025 15:07:02.117"</f>
        <v>05/01/2025 15:07:02.117</v>
      </c>
      <c r="C896" t="str">
        <f t="shared" si="330"/>
        <v>FFDFD3C0</v>
      </c>
      <c r="D896" t="s">
        <v>140</v>
      </c>
      <c r="E896" t="str">
        <f>"13"</f>
        <v>13</v>
      </c>
      <c r="F896">
        <v>1019</v>
      </c>
      <c r="G896" t="s">
        <v>141</v>
      </c>
      <c r="J896" t="s">
        <v>142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R896" t="s">
        <v>127</v>
      </c>
      <c r="S896" t="str">
        <f t="shared" ref="S896:T901" si="354">"15:07:01.000"</f>
        <v>15:07:01.000</v>
      </c>
      <c r="T896" t="str">
        <f t="shared" si="354"/>
        <v>15:07:01.000</v>
      </c>
      <c r="U896" t="str">
        <f t="shared" si="331"/>
        <v>A68FCB</v>
      </c>
      <c r="V896">
        <v>0</v>
      </c>
      <c r="W896">
        <v>0</v>
      </c>
      <c r="X896">
        <v>2</v>
      </c>
      <c r="Y896">
        <v>0</v>
      </c>
      <c r="AA896">
        <v>1</v>
      </c>
      <c r="AB896">
        <v>8</v>
      </c>
      <c r="AC896">
        <v>3</v>
      </c>
      <c r="AD896">
        <v>0</v>
      </c>
      <c r="AE896">
        <v>9</v>
      </c>
      <c r="AF896" t="s">
        <v>138</v>
      </c>
      <c r="AG896">
        <v>0</v>
      </c>
      <c r="AH896">
        <v>3</v>
      </c>
      <c r="AI896">
        <v>2</v>
      </c>
      <c r="AJ896">
        <v>0</v>
      </c>
      <c r="AK896" t="s">
        <v>384</v>
      </c>
      <c r="AL896">
        <v>38.980392999999999</v>
      </c>
      <c r="AM896" t="s">
        <v>383</v>
      </c>
      <c r="AN896">
        <v>-121.051462</v>
      </c>
      <c r="AO896">
        <v>25</v>
      </c>
      <c r="AP896">
        <v>2900</v>
      </c>
      <c r="AQ896" t="s">
        <v>131</v>
      </c>
      <c r="AR896">
        <v>-10</v>
      </c>
      <c r="AS896">
        <v>83</v>
      </c>
      <c r="AT896">
        <v>640</v>
      </c>
      <c r="BB896" t="str">
        <f t="shared" si="332"/>
        <v>1200</v>
      </c>
      <c r="BC896">
        <v>1</v>
      </c>
      <c r="BD896" t="str">
        <f t="shared" si="333"/>
        <v xml:space="preserve">N52156  </v>
      </c>
      <c r="BE896">
        <v>1</v>
      </c>
      <c r="BG896">
        <v>0</v>
      </c>
      <c r="BH896">
        <v>0</v>
      </c>
      <c r="BI896">
        <v>0</v>
      </c>
      <c r="BJ896">
        <v>2900</v>
      </c>
      <c r="BK896">
        <v>0</v>
      </c>
      <c r="BL896" t="s">
        <v>188</v>
      </c>
      <c r="BM896">
        <v>1</v>
      </c>
      <c r="BN896">
        <v>1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 t="shared" ref="CE896:CE901" si="355">"15:07:01.879"</f>
        <v>15:07:01.879</v>
      </c>
      <c r="CF896">
        <v>878701822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5</v>
      </c>
      <c r="CY896">
        <v>7</v>
      </c>
      <c r="CZ896" t="s">
        <v>133</v>
      </c>
      <c r="DA896">
        <v>275</v>
      </c>
      <c r="DB896">
        <v>0</v>
      </c>
      <c r="DC896" t="s">
        <v>134</v>
      </c>
      <c r="DD896" t="s">
        <v>135</v>
      </c>
      <c r="DG896">
        <v>3319418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"05/01/2025 15:07:02.121"</f>
        <v>05/01/2025 15:07:02.121</v>
      </c>
      <c r="C897" t="str">
        <f t="shared" si="330"/>
        <v>FFDFD3C0</v>
      </c>
      <c r="D897" t="s">
        <v>145</v>
      </c>
      <c r="E897" t="str">
        <f>"05"</f>
        <v>05</v>
      </c>
      <c r="H897">
        <v>47</v>
      </c>
      <c r="I897" t="s">
        <v>146</v>
      </c>
      <c r="J897" t="s">
        <v>138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R897" t="s">
        <v>127</v>
      </c>
      <c r="S897" t="str">
        <f t="shared" si="354"/>
        <v>15:07:01.000</v>
      </c>
      <c r="T897" t="str">
        <f t="shared" si="354"/>
        <v>15:07:01.000</v>
      </c>
      <c r="U897" t="str">
        <f t="shared" si="331"/>
        <v>A68FCB</v>
      </c>
      <c r="V897">
        <v>0</v>
      </c>
      <c r="W897">
        <v>0</v>
      </c>
      <c r="X897">
        <v>2</v>
      </c>
      <c r="Y897">
        <v>0</v>
      </c>
      <c r="AA897">
        <v>1</v>
      </c>
      <c r="AB897">
        <v>8</v>
      </c>
      <c r="AC897">
        <v>3</v>
      </c>
      <c r="AD897">
        <v>0</v>
      </c>
      <c r="AE897">
        <v>9</v>
      </c>
      <c r="AF897" t="s">
        <v>138</v>
      </c>
      <c r="AG897">
        <v>0</v>
      </c>
      <c r="AH897">
        <v>3</v>
      </c>
      <c r="AI897">
        <v>2</v>
      </c>
      <c r="AJ897">
        <v>0</v>
      </c>
      <c r="AK897" t="s">
        <v>384</v>
      </c>
      <c r="AL897">
        <v>38.980392999999999</v>
      </c>
      <c r="AM897" t="s">
        <v>383</v>
      </c>
      <c r="AN897">
        <v>-121.051462</v>
      </c>
      <c r="AO897">
        <v>25</v>
      </c>
      <c r="AP897">
        <v>2900</v>
      </c>
      <c r="AQ897" t="s">
        <v>131</v>
      </c>
      <c r="AR897">
        <v>-10</v>
      </c>
      <c r="AS897">
        <v>83</v>
      </c>
      <c r="AT897">
        <v>640</v>
      </c>
      <c r="BB897" t="str">
        <f t="shared" si="332"/>
        <v>1200</v>
      </c>
      <c r="BC897">
        <v>1</v>
      </c>
      <c r="BD897" t="str">
        <f t="shared" si="333"/>
        <v xml:space="preserve">N52156  </v>
      </c>
      <c r="BE897">
        <v>1</v>
      </c>
      <c r="BG897">
        <v>0</v>
      </c>
      <c r="BH897">
        <v>0</v>
      </c>
      <c r="BI897">
        <v>0</v>
      </c>
      <c r="BJ897">
        <v>2900</v>
      </c>
      <c r="BK897">
        <v>0</v>
      </c>
      <c r="BL897" t="s">
        <v>188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 t="shared" si="355"/>
        <v>15:07:01.879</v>
      </c>
      <c r="CF897">
        <v>878701822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5</v>
      </c>
      <c r="CY897">
        <v>7</v>
      </c>
      <c r="CZ897" t="s">
        <v>133</v>
      </c>
      <c r="DA897">
        <v>275</v>
      </c>
      <c r="DB897">
        <v>0</v>
      </c>
      <c r="DC897" t="s">
        <v>134</v>
      </c>
      <c r="DD897" t="s">
        <v>135</v>
      </c>
      <c r="DG897">
        <v>3319418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"05/01/2025 15:07:02.123"</f>
        <v>05/01/2025 15:07:02.123</v>
      </c>
      <c r="C898" t="str">
        <f t="shared" ref="C898:C961" si="356">"FFDFD3C0"</f>
        <v>FFDFD3C0</v>
      </c>
      <c r="D898" t="s">
        <v>124</v>
      </c>
      <c r="E898" t="str">
        <f>"06"</f>
        <v>06</v>
      </c>
      <c r="F898">
        <v>2006</v>
      </c>
      <c r="G898" t="s">
        <v>125</v>
      </c>
      <c r="J898" t="s">
        <v>126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R898" t="s">
        <v>127</v>
      </c>
      <c r="S898" t="str">
        <f t="shared" si="354"/>
        <v>15:07:01.000</v>
      </c>
      <c r="T898" t="str">
        <f t="shared" si="354"/>
        <v>15:07:01.000</v>
      </c>
      <c r="U898" t="str">
        <f t="shared" ref="U898:U961" si="357">"A68FCB"</f>
        <v>A68FCB</v>
      </c>
      <c r="V898">
        <v>0</v>
      </c>
      <c r="W898">
        <v>0</v>
      </c>
      <c r="X898">
        <v>2</v>
      </c>
      <c r="Y898">
        <v>0</v>
      </c>
      <c r="AA898">
        <v>1</v>
      </c>
      <c r="AB898">
        <v>8</v>
      </c>
      <c r="AC898">
        <v>3</v>
      </c>
      <c r="AD898">
        <v>0</v>
      </c>
      <c r="AE898">
        <v>9</v>
      </c>
      <c r="AF898" t="s">
        <v>138</v>
      </c>
      <c r="AG898">
        <v>0</v>
      </c>
      <c r="AH898">
        <v>3</v>
      </c>
      <c r="AI898">
        <v>2</v>
      </c>
      <c r="AJ898">
        <v>0</v>
      </c>
      <c r="AK898" t="s">
        <v>384</v>
      </c>
      <c r="AL898">
        <v>38.980392999999999</v>
      </c>
      <c r="AM898" t="s">
        <v>383</v>
      </c>
      <c r="AN898">
        <v>-121.051462</v>
      </c>
      <c r="AO898">
        <v>25</v>
      </c>
      <c r="AP898">
        <v>2900</v>
      </c>
      <c r="AQ898" t="s">
        <v>131</v>
      </c>
      <c r="AR898">
        <v>-10</v>
      </c>
      <c r="AS898">
        <v>83</v>
      </c>
      <c r="AT898">
        <v>640</v>
      </c>
      <c r="BB898" t="str">
        <f t="shared" ref="BB898:BB961" si="358">"1200"</f>
        <v>1200</v>
      </c>
      <c r="BC898">
        <v>1</v>
      </c>
      <c r="BD898" t="str">
        <f t="shared" ref="BD898:BD961" si="359">"N52156  "</f>
        <v xml:space="preserve">N52156  </v>
      </c>
      <c r="BE898">
        <v>1</v>
      </c>
      <c r="BG898">
        <v>0</v>
      </c>
      <c r="BH898">
        <v>0</v>
      </c>
      <c r="BI898">
        <v>0</v>
      </c>
      <c r="BJ898">
        <v>2900</v>
      </c>
      <c r="BK898">
        <v>0</v>
      </c>
      <c r="BL898" t="s">
        <v>188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 t="shared" si="355"/>
        <v>15:07:01.879</v>
      </c>
      <c r="CF898">
        <v>878701822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5</v>
      </c>
      <c r="CY898">
        <v>7</v>
      </c>
      <c r="CZ898" t="s">
        <v>133</v>
      </c>
      <c r="DA898">
        <v>275</v>
      </c>
      <c r="DB898">
        <v>0</v>
      </c>
      <c r="DC898" t="s">
        <v>134</v>
      </c>
      <c r="DD898" t="s">
        <v>135</v>
      </c>
      <c r="DG898">
        <v>3319418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"05/01/2025 15:07:02.124"</f>
        <v>05/01/2025 15:07:02.124</v>
      </c>
      <c r="C899" t="str">
        <f t="shared" si="356"/>
        <v>FFDFD3C0</v>
      </c>
      <c r="D899" t="s">
        <v>143</v>
      </c>
      <c r="E899" t="str">
        <f>"05"</f>
        <v>05</v>
      </c>
      <c r="H899">
        <v>172</v>
      </c>
      <c r="I899" t="s">
        <v>141</v>
      </c>
      <c r="J899" t="s">
        <v>144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R899" t="s">
        <v>127</v>
      </c>
      <c r="S899" t="str">
        <f t="shared" si="354"/>
        <v>15:07:01.000</v>
      </c>
      <c r="T899" t="str">
        <f t="shared" si="354"/>
        <v>15:07:01.000</v>
      </c>
      <c r="U899" t="str">
        <f t="shared" si="357"/>
        <v>A68FCB</v>
      </c>
      <c r="V899">
        <v>0</v>
      </c>
      <c r="W899">
        <v>0</v>
      </c>
      <c r="X899">
        <v>2</v>
      </c>
      <c r="Y899">
        <v>0</v>
      </c>
      <c r="AA899">
        <v>1</v>
      </c>
      <c r="AB899">
        <v>8</v>
      </c>
      <c r="AC899">
        <v>3</v>
      </c>
      <c r="AD899">
        <v>0</v>
      </c>
      <c r="AE899">
        <v>9</v>
      </c>
      <c r="AF899" t="s">
        <v>138</v>
      </c>
      <c r="AG899">
        <v>0</v>
      </c>
      <c r="AH899">
        <v>3</v>
      </c>
      <c r="AI899">
        <v>2</v>
      </c>
      <c r="AJ899">
        <v>0</v>
      </c>
      <c r="AK899" t="s">
        <v>384</v>
      </c>
      <c r="AL899">
        <v>38.980392999999999</v>
      </c>
      <c r="AM899" t="s">
        <v>383</v>
      </c>
      <c r="AN899">
        <v>-121.051462</v>
      </c>
      <c r="AO899">
        <v>25</v>
      </c>
      <c r="AP899">
        <v>2900</v>
      </c>
      <c r="AQ899" t="s">
        <v>131</v>
      </c>
      <c r="AR899">
        <v>-10</v>
      </c>
      <c r="AS899">
        <v>83</v>
      </c>
      <c r="AT899">
        <v>640</v>
      </c>
      <c r="BB899" t="str">
        <f t="shared" si="358"/>
        <v>1200</v>
      </c>
      <c r="BC899">
        <v>1</v>
      </c>
      <c r="BD899" t="str">
        <f t="shared" si="359"/>
        <v xml:space="preserve">N52156  </v>
      </c>
      <c r="BE899">
        <v>1</v>
      </c>
      <c r="BG899">
        <v>0</v>
      </c>
      <c r="BH899">
        <v>0</v>
      </c>
      <c r="BI899">
        <v>0</v>
      </c>
      <c r="BJ899">
        <v>2900</v>
      </c>
      <c r="BK899">
        <v>0</v>
      </c>
      <c r="BL899" t="s">
        <v>188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 t="shared" si="355"/>
        <v>15:07:01.879</v>
      </c>
      <c r="CF899">
        <v>878701822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5</v>
      </c>
      <c r="CY899">
        <v>7</v>
      </c>
      <c r="CZ899" t="s">
        <v>133</v>
      </c>
      <c r="DA899">
        <v>275</v>
      </c>
      <c r="DB899">
        <v>0</v>
      </c>
      <c r="DC899" t="s">
        <v>134</v>
      </c>
      <c r="DD899" t="s">
        <v>135</v>
      </c>
      <c r="DG899">
        <v>3319418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"05/01/2025 15:07:02.127"</f>
        <v>05/01/2025 15:07:02.127</v>
      </c>
      <c r="C900" t="str">
        <f t="shared" si="356"/>
        <v>FFDFD3C0</v>
      </c>
      <c r="D900" t="s">
        <v>145</v>
      </c>
      <c r="E900" t="str">
        <f>"09"</f>
        <v>09</v>
      </c>
      <c r="H900">
        <v>51</v>
      </c>
      <c r="I900" t="s">
        <v>147</v>
      </c>
      <c r="J900" t="s">
        <v>138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R900" t="s">
        <v>127</v>
      </c>
      <c r="S900" t="str">
        <f t="shared" si="354"/>
        <v>15:07:01.000</v>
      </c>
      <c r="T900" t="str">
        <f t="shared" si="354"/>
        <v>15:07:01.000</v>
      </c>
      <c r="U900" t="str">
        <f t="shared" si="357"/>
        <v>A68FCB</v>
      </c>
      <c r="V900">
        <v>0</v>
      </c>
      <c r="W900">
        <v>0</v>
      </c>
      <c r="X900">
        <v>2</v>
      </c>
      <c r="Y900">
        <v>0</v>
      </c>
      <c r="AA900">
        <v>1</v>
      </c>
      <c r="AB900">
        <v>8</v>
      </c>
      <c r="AC900">
        <v>3</v>
      </c>
      <c r="AD900">
        <v>0</v>
      </c>
      <c r="AE900">
        <v>9</v>
      </c>
      <c r="AF900" t="s">
        <v>138</v>
      </c>
      <c r="AG900">
        <v>0</v>
      </c>
      <c r="AH900">
        <v>3</v>
      </c>
      <c r="AI900">
        <v>2</v>
      </c>
      <c r="AJ900">
        <v>0</v>
      </c>
      <c r="AK900" t="s">
        <v>384</v>
      </c>
      <c r="AL900">
        <v>38.980392999999999</v>
      </c>
      <c r="AM900" t="s">
        <v>383</v>
      </c>
      <c r="AN900">
        <v>-121.051462</v>
      </c>
      <c r="AO900">
        <v>25</v>
      </c>
      <c r="AP900">
        <v>2900</v>
      </c>
      <c r="AQ900" t="s">
        <v>131</v>
      </c>
      <c r="AR900">
        <v>-10</v>
      </c>
      <c r="AS900">
        <v>83</v>
      </c>
      <c r="AT900">
        <v>640</v>
      </c>
      <c r="BB900" t="str">
        <f t="shared" si="358"/>
        <v>1200</v>
      </c>
      <c r="BC900">
        <v>1</v>
      </c>
      <c r="BD900" t="str">
        <f t="shared" si="359"/>
        <v xml:space="preserve">N52156  </v>
      </c>
      <c r="BE900">
        <v>1</v>
      </c>
      <c r="BG900">
        <v>0</v>
      </c>
      <c r="BH900">
        <v>0</v>
      </c>
      <c r="BI900">
        <v>0</v>
      </c>
      <c r="BJ900">
        <v>2900</v>
      </c>
      <c r="BK900">
        <v>0</v>
      </c>
      <c r="BL900" t="s">
        <v>188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 t="shared" si="355"/>
        <v>15:07:01.879</v>
      </c>
      <c r="CF900">
        <v>878701822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5</v>
      </c>
      <c r="CY900">
        <v>7</v>
      </c>
      <c r="CZ900" t="s">
        <v>133</v>
      </c>
      <c r="DA900">
        <v>275</v>
      </c>
      <c r="DB900">
        <v>0</v>
      </c>
      <c r="DC900" t="s">
        <v>134</v>
      </c>
      <c r="DD900" t="s">
        <v>135</v>
      </c>
      <c r="DG900">
        <v>3319418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"05/01/2025 15:07:02.133"</f>
        <v>05/01/2025 15:07:02.133</v>
      </c>
      <c r="C901" t="str">
        <f t="shared" si="356"/>
        <v>FFDFD3C0</v>
      </c>
      <c r="D901" t="s">
        <v>136</v>
      </c>
      <c r="E901" t="str">
        <f>"20"</f>
        <v>20</v>
      </c>
      <c r="H901">
        <v>400</v>
      </c>
      <c r="I901" t="s">
        <v>137</v>
      </c>
      <c r="J901" t="s">
        <v>138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R901" t="s">
        <v>127</v>
      </c>
      <c r="S901" t="str">
        <f t="shared" si="354"/>
        <v>15:07:01.000</v>
      </c>
      <c r="T901" t="str">
        <f t="shared" si="354"/>
        <v>15:07:01.000</v>
      </c>
      <c r="U901" t="str">
        <f t="shared" si="357"/>
        <v>A68FCB</v>
      </c>
      <c r="V901">
        <v>0</v>
      </c>
      <c r="W901">
        <v>0</v>
      </c>
      <c r="X901">
        <v>2</v>
      </c>
      <c r="Y901">
        <v>0</v>
      </c>
      <c r="AA901">
        <v>1</v>
      </c>
      <c r="AB901">
        <v>8</v>
      </c>
      <c r="AC901">
        <v>3</v>
      </c>
      <c r="AD901">
        <v>0</v>
      </c>
      <c r="AE901">
        <v>9</v>
      </c>
      <c r="AF901" t="s">
        <v>138</v>
      </c>
      <c r="AG901">
        <v>0</v>
      </c>
      <c r="AH901">
        <v>3</v>
      </c>
      <c r="AI901">
        <v>2</v>
      </c>
      <c r="AJ901">
        <v>0</v>
      </c>
      <c r="AK901" t="s">
        <v>384</v>
      </c>
      <c r="AL901">
        <v>38.980392999999999</v>
      </c>
      <c r="AM901" t="s">
        <v>383</v>
      </c>
      <c r="AN901">
        <v>-121.051462</v>
      </c>
      <c r="AO901">
        <v>25</v>
      </c>
      <c r="AP901">
        <v>2900</v>
      </c>
      <c r="AQ901" t="s">
        <v>131</v>
      </c>
      <c r="AR901">
        <v>-10</v>
      </c>
      <c r="AS901">
        <v>83</v>
      </c>
      <c r="AT901">
        <v>640</v>
      </c>
      <c r="BB901" t="str">
        <f t="shared" si="358"/>
        <v>1200</v>
      </c>
      <c r="BC901">
        <v>1</v>
      </c>
      <c r="BD901" t="str">
        <f t="shared" si="359"/>
        <v xml:space="preserve">N52156  </v>
      </c>
      <c r="BE901">
        <v>1</v>
      </c>
      <c r="BG901">
        <v>0</v>
      </c>
      <c r="BH901">
        <v>0</v>
      </c>
      <c r="BI901">
        <v>0</v>
      </c>
      <c r="BJ901">
        <v>2900</v>
      </c>
      <c r="BK901">
        <v>0</v>
      </c>
      <c r="BL901" t="s">
        <v>188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 t="shared" si="355"/>
        <v>15:07:01.879</v>
      </c>
      <c r="CF901">
        <v>878701822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5</v>
      </c>
      <c r="CY901">
        <v>7</v>
      </c>
      <c r="CZ901" t="s">
        <v>133</v>
      </c>
      <c r="DA901">
        <v>275</v>
      </c>
      <c r="DB901">
        <v>0</v>
      </c>
      <c r="DC901" t="s">
        <v>134</v>
      </c>
      <c r="DD901" t="s">
        <v>135</v>
      </c>
      <c r="DG901">
        <v>3319418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"05/01/2025 15:07:02.467"</f>
        <v>05/01/2025 15:07:02.467</v>
      </c>
      <c r="C902" t="str">
        <f t="shared" si="356"/>
        <v>FFDFD3C0</v>
      </c>
      <c r="D902" t="s">
        <v>140</v>
      </c>
      <c r="E902" t="str">
        <f>"13"</f>
        <v>13</v>
      </c>
      <c r="F902">
        <v>1019</v>
      </c>
      <c r="G902" t="s">
        <v>141</v>
      </c>
      <c r="J902" t="s">
        <v>142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R902" t="s">
        <v>127</v>
      </c>
      <c r="S902" t="str">
        <f t="shared" ref="S902:T907" si="360">"15:07:02.000"</f>
        <v>15:07:02.000</v>
      </c>
      <c r="T902" t="str">
        <f t="shared" si="360"/>
        <v>15:07:02.000</v>
      </c>
      <c r="U902" t="str">
        <f t="shared" si="357"/>
        <v>A68FCB</v>
      </c>
      <c r="V902">
        <v>0</v>
      </c>
      <c r="W902">
        <v>0</v>
      </c>
      <c r="X902">
        <v>2</v>
      </c>
      <c r="Y902">
        <v>0</v>
      </c>
      <c r="AA902">
        <v>1</v>
      </c>
      <c r="AB902">
        <v>8</v>
      </c>
      <c r="AC902">
        <v>3</v>
      </c>
      <c r="AD902">
        <v>0</v>
      </c>
      <c r="AE902">
        <v>9</v>
      </c>
      <c r="AF902" t="s">
        <v>138</v>
      </c>
      <c r="AG902">
        <v>0</v>
      </c>
      <c r="AH902">
        <v>3</v>
      </c>
      <c r="AI902">
        <v>2</v>
      </c>
      <c r="AJ902">
        <v>0</v>
      </c>
      <c r="AK902" t="s">
        <v>385</v>
      </c>
      <c r="AL902">
        <v>38.980801</v>
      </c>
      <c r="AM902" t="s">
        <v>386</v>
      </c>
      <c r="AN902">
        <v>-121.051548</v>
      </c>
      <c r="AO902">
        <v>25</v>
      </c>
      <c r="AP902">
        <v>2900</v>
      </c>
      <c r="AQ902" t="s">
        <v>131</v>
      </c>
      <c r="AR902">
        <v>-10</v>
      </c>
      <c r="AS902">
        <v>83</v>
      </c>
      <c r="AT902">
        <v>576</v>
      </c>
      <c r="BB902" t="str">
        <f t="shared" si="358"/>
        <v>1200</v>
      </c>
      <c r="BC902">
        <v>1</v>
      </c>
      <c r="BD902" t="str">
        <f t="shared" si="359"/>
        <v xml:space="preserve">N52156  </v>
      </c>
      <c r="BE902">
        <v>1</v>
      </c>
      <c r="BG902">
        <v>0</v>
      </c>
      <c r="BH902">
        <v>0</v>
      </c>
      <c r="BI902">
        <v>0</v>
      </c>
      <c r="BJ902">
        <v>2900</v>
      </c>
      <c r="BK902">
        <v>0</v>
      </c>
      <c r="BL902" t="s">
        <v>188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 t="shared" ref="CE902:CE907" si="361">"15:07:02.206"</f>
        <v>15:07:02.206</v>
      </c>
      <c r="CF902">
        <v>205950374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5</v>
      </c>
      <c r="CY902">
        <v>7</v>
      </c>
      <c r="CZ902" t="s">
        <v>133</v>
      </c>
      <c r="DA902">
        <v>275</v>
      </c>
      <c r="DB902">
        <v>0</v>
      </c>
      <c r="DC902" t="s">
        <v>134</v>
      </c>
      <c r="DD902" t="s">
        <v>135</v>
      </c>
      <c r="DG902">
        <v>3319421</v>
      </c>
      <c r="DI902">
        <v>1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"05/01/2025 15:07:02.473"</f>
        <v>05/01/2025 15:07:02.473</v>
      </c>
      <c r="C903" t="str">
        <f t="shared" si="356"/>
        <v>FFDFD3C0</v>
      </c>
      <c r="D903" t="s">
        <v>124</v>
      </c>
      <c r="E903" t="str">
        <f>"06"</f>
        <v>06</v>
      </c>
      <c r="F903">
        <v>2006</v>
      </c>
      <c r="G903" t="s">
        <v>125</v>
      </c>
      <c r="J903" t="s">
        <v>126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R903" t="s">
        <v>127</v>
      </c>
      <c r="S903" t="str">
        <f t="shared" si="360"/>
        <v>15:07:02.000</v>
      </c>
      <c r="T903" t="str">
        <f t="shared" si="360"/>
        <v>15:07:02.000</v>
      </c>
      <c r="U903" t="str">
        <f t="shared" si="357"/>
        <v>A68FCB</v>
      </c>
      <c r="V903">
        <v>0</v>
      </c>
      <c r="W903">
        <v>0</v>
      </c>
      <c r="X903">
        <v>2</v>
      </c>
      <c r="Y903">
        <v>0</v>
      </c>
      <c r="AA903">
        <v>1</v>
      </c>
      <c r="AB903">
        <v>8</v>
      </c>
      <c r="AC903">
        <v>3</v>
      </c>
      <c r="AD903">
        <v>0</v>
      </c>
      <c r="AE903">
        <v>9</v>
      </c>
      <c r="AF903" t="s">
        <v>138</v>
      </c>
      <c r="AG903">
        <v>0</v>
      </c>
      <c r="AH903">
        <v>3</v>
      </c>
      <c r="AI903">
        <v>2</v>
      </c>
      <c r="AJ903">
        <v>0</v>
      </c>
      <c r="AK903" t="s">
        <v>385</v>
      </c>
      <c r="AL903">
        <v>38.980801</v>
      </c>
      <c r="AM903" t="s">
        <v>386</v>
      </c>
      <c r="AN903">
        <v>-121.051548</v>
      </c>
      <c r="AO903">
        <v>25</v>
      </c>
      <c r="AP903">
        <v>2900</v>
      </c>
      <c r="AQ903" t="s">
        <v>131</v>
      </c>
      <c r="AR903">
        <v>-10</v>
      </c>
      <c r="AS903">
        <v>83</v>
      </c>
      <c r="AT903">
        <v>576</v>
      </c>
      <c r="BB903" t="str">
        <f t="shared" si="358"/>
        <v>1200</v>
      </c>
      <c r="BC903">
        <v>1</v>
      </c>
      <c r="BD903" t="str">
        <f t="shared" si="359"/>
        <v xml:space="preserve">N52156  </v>
      </c>
      <c r="BE903">
        <v>1</v>
      </c>
      <c r="BG903">
        <v>0</v>
      </c>
      <c r="BH903">
        <v>0</v>
      </c>
      <c r="BI903">
        <v>0</v>
      </c>
      <c r="BJ903">
        <v>2900</v>
      </c>
      <c r="BK903">
        <v>0</v>
      </c>
      <c r="BL903" t="s">
        <v>188</v>
      </c>
      <c r="BM903">
        <v>1</v>
      </c>
      <c r="BN903">
        <v>1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 t="shared" si="361"/>
        <v>15:07:02.206</v>
      </c>
      <c r="CF903">
        <v>205950374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5</v>
      </c>
      <c r="CY903">
        <v>7</v>
      </c>
      <c r="CZ903" t="s">
        <v>133</v>
      </c>
      <c r="DA903">
        <v>275</v>
      </c>
      <c r="DB903">
        <v>0</v>
      </c>
      <c r="DC903" t="s">
        <v>134</v>
      </c>
      <c r="DD903" t="s">
        <v>135</v>
      </c>
      <c r="DG903">
        <v>3319421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"05/01/2025 15:07:02.472"</f>
        <v>05/01/2025 15:07:02.472</v>
      </c>
      <c r="C904" t="str">
        <f t="shared" si="356"/>
        <v>FFDFD3C0</v>
      </c>
      <c r="D904" t="s">
        <v>145</v>
      </c>
      <c r="E904" t="str">
        <f>"05"</f>
        <v>05</v>
      </c>
      <c r="H904">
        <v>47</v>
      </c>
      <c r="I904" t="s">
        <v>146</v>
      </c>
      <c r="J904" t="s">
        <v>138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R904" t="s">
        <v>127</v>
      </c>
      <c r="S904" t="str">
        <f t="shared" si="360"/>
        <v>15:07:02.000</v>
      </c>
      <c r="T904" t="str">
        <f t="shared" si="360"/>
        <v>15:07:02.000</v>
      </c>
      <c r="U904" t="str">
        <f t="shared" si="357"/>
        <v>A68FCB</v>
      </c>
      <c r="V904">
        <v>0</v>
      </c>
      <c r="W904">
        <v>0</v>
      </c>
      <c r="X904">
        <v>2</v>
      </c>
      <c r="Y904">
        <v>0</v>
      </c>
      <c r="AA904">
        <v>1</v>
      </c>
      <c r="AB904">
        <v>8</v>
      </c>
      <c r="AC904">
        <v>3</v>
      </c>
      <c r="AD904">
        <v>0</v>
      </c>
      <c r="AE904">
        <v>9</v>
      </c>
      <c r="AF904" t="s">
        <v>138</v>
      </c>
      <c r="AG904">
        <v>0</v>
      </c>
      <c r="AH904">
        <v>3</v>
      </c>
      <c r="AI904">
        <v>2</v>
      </c>
      <c r="AJ904">
        <v>0</v>
      </c>
      <c r="AK904" t="s">
        <v>385</v>
      </c>
      <c r="AL904">
        <v>38.980801</v>
      </c>
      <c r="AM904" t="s">
        <v>386</v>
      </c>
      <c r="AN904">
        <v>-121.051548</v>
      </c>
      <c r="AO904">
        <v>25</v>
      </c>
      <c r="AP904">
        <v>2900</v>
      </c>
      <c r="AQ904" t="s">
        <v>131</v>
      </c>
      <c r="AR904">
        <v>-10</v>
      </c>
      <c r="AS904">
        <v>83</v>
      </c>
      <c r="AT904">
        <v>576</v>
      </c>
      <c r="BB904" t="str">
        <f t="shared" si="358"/>
        <v>1200</v>
      </c>
      <c r="BC904">
        <v>1</v>
      </c>
      <c r="BD904" t="str">
        <f t="shared" si="359"/>
        <v xml:space="preserve">N52156  </v>
      </c>
      <c r="BE904">
        <v>1</v>
      </c>
      <c r="BG904">
        <v>0</v>
      </c>
      <c r="BH904">
        <v>0</v>
      </c>
      <c r="BI904">
        <v>0</v>
      </c>
      <c r="BJ904">
        <v>2900</v>
      </c>
      <c r="BK904">
        <v>0</v>
      </c>
      <c r="BL904" t="s">
        <v>188</v>
      </c>
      <c r="BM904">
        <v>1</v>
      </c>
      <c r="BN904">
        <v>1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 t="shared" si="361"/>
        <v>15:07:02.206</v>
      </c>
      <c r="CF904">
        <v>205950374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5</v>
      </c>
      <c r="CY904">
        <v>7</v>
      </c>
      <c r="CZ904" t="s">
        <v>133</v>
      </c>
      <c r="DA904">
        <v>275</v>
      </c>
      <c r="DB904">
        <v>0</v>
      </c>
      <c r="DC904" t="s">
        <v>134</v>
      </c>
      <c r="DD904" t="s">
        <v>135</v>
      </c>
      <c r="DG904">
        <v>3319421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"05/01/2025 15:07:02.475"</f>
        <v>05/01/2025 15:07:02.475</v>
      </c>
      <c r="C905" t="str">
        <f t="shared" si="356"/>
        <v>FFDFD3C0</v>
      </c>
      <c r="D905" t="s">
        <v>143</v>
      </c>
      <c r="E905" t="str">
        <f>"05"</f>
        <v>05</v>
      </c>
      <c r="H905">
        <v>172</v>
      </c>
      <c r="I905" t="s">
        <v>141</v>
      </c>
      <c r="J905" t="s">
        <v>144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R905" t="s">
        <v>127</v>
      </c>
      <c r="S905" t="str">
        <f t="shared" si="360"/>
        <v>15:07:02.000</v>
      </c>
      <c r="T905" t="str">
        <f t="shared" si="360"/>
        <v>15:07:02.000</v>
      </c>
      <c r="U905" t="str">
        <f t="shared" si="357"/>
        <v>A68FCB</v>
      </c>
      <c r="V905">
        <v>0</v>
      </c>
      <c r="W905">
        <v>0</v>
      </c>
      <c r="X905">
        <v>2</v>
      </c>
      <c r="Y905">
        <v>0</v>
      </c>
      <c r="AA905">
        <v>1</v>
      </c>
      <c r="AB905">
        <v>8</v>
      </c>
      <c r="AC905">
        <v>3</v>
      </c>
      <c r="AD905">
        <v>0</v>
      </c>
      <c r="AE905">
        <v>9</v>
      </c>
      <c r="AF905" t="s">
        <v>138</v>
      </c>
      <c r="AG905">
        <v>0</v>
      </c>
      <c r="AH905">
        <v>3</v>
      </c>
      <c r="AI905">
        <v>2</v>
      </c>
      <c r="AJ905">
        <v>0</v>
      </c>
      <c r="AK905" t="s">
        <v>385</v>
      </c>
      <c r="AL905">
        <v>38.980801</v>
      </c>
      <c r="AM905" t="s">
        <v>386</v>
      </c>
      <c r="AN905">
        <v>-121.051548</v>
      </c>
      <c r="AO905">
        <v>25</v>
      </c>
      <c r="AP905">
        <v>2900</v>
      </c>
      <c r="AQ905" t="s">
        <v>131</v>
      </c>
      <c r="AR905">
        <v>-10</v>
      </c>
      <c r="AS905">
        <v>83</v>
      </c>
      <c r="AT905">
        <v>576</v>
      </c>
      <c r="BB905" t="str">
        <f t="shared" si="358"/>
        <v>1200</v>
      </c>
      <c r="BC905">
        <v>1</v>
      </c>
      <c r="BD905" t="str">
        <f t="shared" si="359"/>
        <v xml:space="preserve">N52156  </v>
      </c>
      <c r="BE905">
        <v>1</v>
      </c>
      <c r="BG905">
        <v>0</v>
      </c>
      <c r="BH905">
        <v>0</v>
      </c>
      <c r="BI905">
        <v>0</v>
      </c>
      <c r="BJ905">
        <v>2900</v>
      </c>
      <c r="BK905">
        <v>0</v>
      </c>
      <c r="BL905" t="s">
        <v>188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 t="shared" si="361"/>
        <v>15:07:02.206</v>
      </c>
      <c r="CF905">
        <v>205950374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133</v>
      </c>
      <c r="DA905">
        <v>275</v>
      </c>
      <c r="DB905">
        <v>0</v>
      </c>
      <c r="DC905" t="s">
        <v>134</v>
      </c>
      <c r="DD905" t="s">
        <v>135</v>
      </c>
      <c r="DG905">
        <v>3319421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"05/01/2025 15:07:02.477"</f>
        <v>05/01/2025 15:07:02.477</v>
      </c>
      <c r="C906" t="str">
        <f t="shared" si="356"/>
        <v>FFDFD3C0</v>
      </c>
      <c r="D906" t="s">
        <v>145</v>
      </c>
      <c r="E906" t="str">
        <f>"09"</f>
        <v>09</v>
      </c>
      <c r="H906">
        <v>51</v>
      </c>
      <c r="I906" t="s">
        <v>147</v>
      </c>
      <c r="J906" t="s">
        <v>138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R906" t="s">
        <v>127</v>
      </c>
      <c r="S906" t="str">
        <f t="shared" si="360"/>
        <v>15:07:02.000</v>
      </c>
      <c r="T906" t="str">
        <f t="shared" si="360"/>
        <v>15:07:02.000</v>
      </c>
      <c r="U906" t="str">
        <f t="shared" si="357"/>
        <v>A68FCB</v>
      </c>
      <c r="V906">
        <v>0</v>
      </c>
      <c r="W906">
        <v>0</v>
      </c>
      <c r="X906">
        <v>2</v>
      </c>
      <c r="Y906">
        <v>0</v>
      </c>
      <c r="AA906">
        <v>1</v>
      </c>
      <c r="AB906">
        <v>8</v>
      </c>
      <c r="AC906">
        <v>3</v>
      </c>
      <c r="AD906">
        <v>0</v>
      </c>
      <c r="AE906">
        <v>9</v>
      </c>
      <c r="AF906" t="s">
        <v>138</v>
      </c>
      <c r="AG906">
        <v>0</v>
      </c>
      <c r="AH906">
        <v>3</v>
      </c>
      <c r="AI906">
        <v>2</v>
      </c>
      <c r="AJ906">
        <v>0</v>
      </c>
      <c r="AK906" t="s">
        <v>385</v>
      </c>
      <c r="AL906">
        <v>38.980801</v>
      </c>
      <c r="AM906" t="s">
        <v>386</v>
      </c>
      <c r="AN906">
        <v>-121.051548</v>
      </c>
      <c r="AO906">
        <v>25</v>
      </c>
      <c r="AP906">
        <v>2900</v>
      </c>
      <c r="AQ906" t="s">
        <v>131</v>
      </c>
      <c r="AR906">
        <v>-10</v>
      </c>
      <c r="AS906">
        <v>83</v>
      </c>
      <c r="AT906">
        <v>576</v>
      </c>
      <c r="BB906" t="str">
        <f t="shared" si="358"/>
        <v>1200</v>
      </c>
      <c r="BC906">
        <v>1</v>
      </c>
      <c r="BD906" t="str">
        <f t="shared" si="359"/>
        <v xml:space="preserve">N52156  </v>
      </c>
      <c r="BE906">
        <v>1</v>
      </c>
      <c r="BG906">
        <v>0</v>
      </c>
      <c r="BH906">
        <v>0</v>
      </c>
      <c r="BI906">
        <v>0</v>
      </c>
      <c r="BJ906">
        <v>2900</v>
      </c>
      <c r="BK906">
        <v>0</v>
      </c>
      <c r="BL906" t="s">
        <v>188</v>
      </c>
      <c r="BM906">
        <v>1</v>
      </c>
      <c r="BN906">
        <v>1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 t="shared" si="361"/>
        <v>15:07:02.206</v>
      </c>
      <c r="CF906">
        <v>205950374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5</v>
      </c>
      <c r="CY906">
        <v>7</v>
      </c>
      <c r="CZ906" t="s">
        <v>133</v>
      </c>
      <c r="DA906">
        <v>275</v>
      </c>
      <c r="DB906">
        <v>0</v>
      </c>
      <c r="DC906" t="s">
        <v>134</v>
      </c>
      <c r="DD906" t="s">
        <v>135</v>
      </c>
      <c r="DG906">
        <v>3319421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"05/01/2025 15:07:02.483"</f>
        <v>05/01/2025 15:07:02.483</v>
      </c>
      <c r="C907" t="str">
        <f t="shared" si="356"/>
        <v>FFDFD3C0</v>
      </c>
      <c r="D907" t="s">
        <v>136</v>
      </c>
      <c r="E907" t="str">
        <f>"20"</f>
        <v>20</v>
      </c>
      <c r="H907">
        <v>400</v>
      </c>
      <c r="I907" t="s">
        <v>137</v>
      </c>
      <c r="J907" t="s">
        <v>138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R907" t="s">
        <v>127</v>
      </c>
      <c r="S907" t="str">
        <f t="shared" si="360"/>
        <v>15:07:02.000</v>
      </c>
      <c r="T907" t="str">
        <f t="shared" si="360"/>
        <v>15:07:02.000</v>
      </c>
      <c r="U907" t="str">
        <f t="shared" si="357"/>
        <v>A68FCB</v>
      </c>
      <c r="V907">
        <v>0</v>
      </c>
      <c r="W907">
        <v>0</v>
      </c>
      <c r="X907">
        <v>2</v>
      </c>
      <c r="Y907">
        <v>0</v>
      </c>
      <c r="AA907">
        <v>1</v>
      </c>
      <c r="AB907">
        <v>8</v>
      </c>
      <c r="AC907">
        <v>3</v>
      </c>
      <c r="AD907">
        <v>0</v>
      </c>
      <c r="AE907">
        <v>9</v>
      </c>
      <c r="AF907" t="s">
        <v>138</v>
      </c>
      <c r="AG907">
        <v>0</v>
      </c>
      <c r="AH907">
        <v>3</v>
      </c>
      <c r="AI907">
        <v>2</v>
      </c>
      <c r="AJ907">
        <v>0</v>
      </c>
      <c r="AK907" t="s">
        <v>385</v>
      </c>
      <c r="AL907">
        <v>38.980801</v>
      </c>
      <c r="AM907" t="s">
        <v>386</v>
      </c>
      <c r="AN907">
        <v>-121.051548</v>
      </c>
      <c r="AO907">
        <v>25</v>
      </c>
      <c r="AP907">
        <v>2900</v>
      </c>
      <c r="AQ907" t="s">
        <v>131</v>
      </c>
      <c r="AR907">
        <v>-10</v>
      </c>
      <c r="AS907">
        <v>83</v>
      </c>
      <c r="AT907">
        <v>576</v>
      </c>
      <c r="BB907" t="str">
        <f t="shared" si="358"/>
        <v>1200</v>
      </c>
      <c r="BC907">
        <v>1</v>
      </c>
      <c r="BD907" t="str">
        <f t="shared" si="359"/>
        <v xml:space="preserve">N52156  </v>
      </c>
      <c r="BE907">
        <v>1</v>
      </c>
      <c r="BG907">
        <v>0</v>
      </c>
      <c r="BH907">
        <v>0</v>
      </c>
      <c r="BI907">
        <v>0</v>
      </c>
      <c r="BJ907">
        <v>2900</v>
      </c>
      <c r="BK907">
        <v>0</v>
      </c>
      <c r="BL907" t="s">
        <v>188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 t="shared" si="361"/>
        <v>15:07:02.206</v>
      </c>
      <c r="CF907">
        <v>205950374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5</v>
      </c>
      <c r="CY907">
        <v>7</v>
      </c>
      <c r="CZ907" t="s">
        <v>133</v>
      </c>
      <c r="DA907">
        <v>275</v>
      </c>
      <c r="DB907">
        <v>0</v>
      </c>
      <c r="DC907" t="s">
        <v>134</v>
      </c>
      <c r="DD907" t="s">
        <v>135</v>
      </c>
      <c r="DG907">
        <v>3319421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"05/01/2025 15:07:03.969"</f>
        <v>05/01/2025 15:07:03.969</v>
      </c>
      <c r="C908" t="str">
        <f t="shared" si="356"/>
        <v>FFDFD3C0</v>
      </c>
      <c r="D908" t="s">
        <v>140</v>
      </c>
      <c r="E908" t="str">
        <f>"13"</f>
        <v>13</v>
      </c>
      <c r="F908">
        <v>1019</v>
      </c>
      <c r="G908" t="s">
        <v>141</v>
      </c>
      <c r="J908" t="s">
        <v>142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R908" t="s">
        <v>127</v>
      </c>
      <c r="S908" t="str">
        <f t="shared" ref="S908:T913" si="362">"15:07:03.000"</f>
        <v>15:07:03.000</v>
      </c>
      <c r="T908" t="str">
        <f t="shared" si="362"/>
        <v>15:07:03.000</v>
      </c>
      <c r="U908" t="str">
        <f t="shared" si="357"/>
        <v>A68FCB</v>
      </c>
      <c r="V908">
        <v>0</v>
      </c>
      <c r="W908">
        <v>0</v>
      </c>
      <c r="X908">
        <v>2</v>
      </c>
      <c r="Y908">
        <v>0</v>
      </c>
      <c r="AA908">
        <v>1</v>
      </c>
      <c r="AB908">
        <v>8</v>
      </c>
      <c r="AC908">
        <v>3</v>
      </c>
      <c r="AD908">
        <v>0</v>
      </c>
      <c r="AE908">
        <v>9</v>
      </c>
      <c r="AF908" t="s">
        <v>138</v>
      </c>
      <c r="AG908">
        <v>0</v>
      </c>
      <c r="AH908">
        <v>3</v>
      </c>
      <c r="AI908">
        <v>2</v>
      </c>
      <c r="AJ908">
        <v>0</v>
      </c>
      <c r="AK908" t="s">
        <v>387</v>
      </c>
      <c r="AL908">
        <v>38.981079999999999</v>
      </c>
      <c r="AM908" t="s">
        <v>271</v>
      </c>
      <c r="AN908">
        <v>-121.051655</v>
      </c>
      <c r="AO908">
        <v>25</v>
      </c>
      <c r="AP908">
        <v>3000</v>
      </c>
      <c r="AQ908" t="s">
        <v>131</v>
      </c>
      <c r="AR908">
        <v>-10</v>
      </c>
      <c r="AS908">
        <v>84</v>
      </c>
      <c r="AT908">
        <v>512</v>
      </c>
      <c r="BB908" t="str">
        <f t="shared" si="358"/>
        <v>1200</v>
      </c>
      <c r="BC908">
        <v>1</v>
      </c>
      <c r="BD908" t="str">
        <f t="shared" si="359"/>
        <v xml:space="preserve">N52156  </v>
      </c>
      <c r="BE908">
        <v>1</v>
      </c>
      <c r="BG908">
        <v>0</v>
      </c>
      <c r="BH908">
        <v>0</v>
      </c>
      <c r="BI908">
        <v>0</v>
      </c>
      <c r="BJ908">
        <v>2900</v>
      </c>
      <c r="BK908">
        <v>-100</v>
      </c>
      <c r="BL908" t="s">
        <v>188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 t="shared" ref="CE908:CE913" si="363">"15:07:03.724"</f>
        <v>15:07:03.724</v>
      </c>
      <c r="CF908">
        <v>723951483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4</v>
      </c>
      <c r="CY908">
        <v>7</v>
      </c>
      <c r="CZ908" t="s">
        <v>133</v>
      </c>
      <c r="DA908">
        <v>275</v>
      </c>
      <c r="DB908">
        <v>0</v>
      </c>
      <c r="DC908" t="s">
        <v>134</v>
      </c>
      <c r="DD908" t="s">
        <v>135</v>
      </c>
      <c r="DG908">
        <v>3319439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"05/01/2025 15:07:03.974"</f>
        <v>05/01/2025 15:07:03.974</v>
      </c>
      <c r="C909" t="str">
        <f t="shared" si="356"/>
        <v>FFDFD3C0</v>
      </c>
      <c r="D909" t="s">
        <v>145</v>
      </c>
      <c r="E909" t="str">
        <f>"05"</f>
        <v>05</v>
      </c>
      <c r="H909">
        <v>47</v>
      </c>
      <c r="I909" t="s">
        <v>146</v>
      </c>
      <c r="J909" t="s">
        <v>138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R909" t="s">
        <v>127</v>
      </c>
      <c r="S909" t="str">
        <f t="shared" si="362"/>
        <v>15:07:03.000</v>
      </c>
      <c r="T909" t="str">
        <f t="shared" si="362"/>
        <v>15:07:03.000</v>
      </c>
      <c r="U909" t="str">
        <f t="shared" si="357"/>
        <v>A68FCB</v>
      </c>
      <c r="V909">
        <v>0</v>
      </c>
      <c r="W909">
        <v>0</v>
      </c>
      <c r="X909">
        <v>2</v>
      </c>
      <c r="Y909">
        <v>0</v>
      </c>
      <c r="AA909">
        <v>1</v>
      </c>
      <c r="AB909">
        <v>8</v>
      </c>
      <c r="AC909">
        <v>3</v>
      </c>
      <c r="AD909">
        <v>0</v>
      </c>
      <c r="AE909">
        <v>9</v>
      </c>
      <c r="AF909" t="s">
        <v>138</v>
      </c>
      <c r="AG909">
        <v>0</v>
      </c>
      <c r="AH909">
        <v>3</v>
      </c>
      <c r="AI909">
        <v>2</v>
      </c>
      <c r="AJ909">
        <v>0</v>
      </c>
      <c r="AK909" t="s">
        <v>387</v>
      </c>
      <c r="AL909">
        <v>38.981079999999999</v>
      </c>
      <c r="AM909" t="s">
        <v>271</v>
      </c>
      <c r="AN909">
        <v>-121.051655</v>
      </c>
      <c r="AO909">
        <v>25</v>
      </c>
      <c r="AP909">
        <v>3000</v>
      </c>
      <c r="AQ909" t="s">
        <v>131</v>
      </c>
      <c r="AR909">
        <v>-10</v>
      </c>
      <c r="AS909">
        <v>84</v>
      </c>
      <c r="AT909">
        <v>512</v>
      </c>
      <c r="BB909" t="str">
        <f t="shared" si="358"/>
        <v>1200</v>
      </c>
      <c r="BC909">
        <v>1</v>
      </c>
      <c r="BD909" t="str">
        <f t="shared" si="359"/>
        <v xml:space="preserve">N52156  </v>
      </c>
      <c r="BE909">
        <v>1</v>
      </c>
      <c r="BG909">
        <v>0</v>
      </c>
      <c r="BH909">
        <v>0</v>
      </c>
      <c r="BI909">
        <v>0</v>
      </c>
      <c r="BJ909">
        <v>2900</v>
      </c>
      <c r="BK909">
        <v>-100</v>
      </c>
      <c r="BL909" t="s">
        <v>188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 t="shared" si="363"/>
        <v>15:07:03.724</v>
      </c>
      <c r="CF909">
        <v>723951483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4</v>
      </c>
      <c r="CY909">
        <v>7</v>
      </c>
      <c r="CZ909" t="s">
        <v>133</v>
      </c>
      <c r="DA909">
        <v>275</v>
      </c>
      <c r="DB909">
        <v>0</v>
      </c>
      <c r="DC909" t="s">
        <v>134</v>
      </c>
      <c r="DD909" t="s">
        <v>135</v>
      </c>
      <c r="DG909">
        <v>3319439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"05/01/2025 15:07:03.976"</f>
        <v>05/01/2025 15:07:03.976</v>
      </c>
      <c r="C910" t="str">
        <f t="shared" si="356"/>
        <v>FFDFD3C0</v>
      </c>
      <c r="D910" t="s">
        <v>124</v>
      </c>
      <c r="E910" t="str">
        <f>"06"</f>
        <v>06</v>
      </c>
      <c r="F910">
        <v>2006</v>
      </c>
      <c r="G910" t="s">
        <v>125</v>
      </c>
      <c r="J910" t="s">
        <v>126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R910" t="s">
        <v>127</v>
      </c>
      <c r="S910" t="str">
        <f t="shared" si="362"/>
        <v>15:07:03.000</v>
      </c>
      <c r="T910" t="str">
        <f t="shared" si="362"/>
        <v>15:07:03.000</v>
      </c>
      <c r="U910" t="str">
        <f t="shared" si="357"/>
        <v>A68FCB</v>
      </c>
      <c r="V910">
        <v>0</v>
      </c>
      <c r="W910">
        <v>0</v>
      </c>
      <c r="X910">
        <v>2</v>
      </c>
      <c r="Y910">
        <v>0</v>
      </c>
      <c r="AA910">
        <v>1</v>
      </c>
      <c r="AB910">
        <v>8</v>
      </c>
      <c r="AC910">
        <v>3</v>
      </c>
      <c r="AD910">
        <v>0</v>
      </c>
      <c r="AE910">
        <v>9</v>
      </c>
      <c r="AF910" t="s">
        <v>138</v>
      </c>
      <c r="AG910">
        <v>0</v>
      </c>
      <c r="AH910">
        <v>3</v>
      </c>
      <c r="AI910">
        <v>2</v>
      </c>
      <c r="AJ910">
        <v>0</v>
      </c>
      <c r="AK910" t="s">
        <v>387</v>
      </c>
      <c r="AL910">
        <v>38.981079999999999</v>
      </c>
      <c r="AM910" t="s">
        <v>271</v>
      </c>
      <c r="AN910">
        <v>-121.051655</v>
      </c>
      <c r="AO910">
        <v>25</v>
      </c>
      <c r="AP910">
        <v>3000</v>
      </c>
      <c r="AQ910" t="s">
        <v>131</v>
      </c>
      <c r="AR910">
        <v>-10</v>
      </c>
      <c r="AS910">
        <v>84</v>
      </c>
      <c r="AT910">
        <v>512</v>
      </c>
      <c r="BB910" t="str">
        <f t="shared" si="358"/>
        <v>1200</v>
      </c>
      <c r="BC910">
        <v>1</v>
      </c>
      <c r="BD910" t="str">
        <f t="shared" si="359"/>
        <v xml:space="preserve">N52156  </v>
      </c>
      <c r="BE910">
        <v>1</v>
      </c>
      <c r="BG910">
        <v>0</v>
      </c>
      <c r="BH910">
        <v>0</v>
      </c>
      <c r="BI910">
        <v>0</v>
      </c>
      <c r="BJ910">
        <v>2900</v>
      </c>
      <c r="BK910">
        <v>-100</v>
      </c>
      <c r="BL910" t="s">
        <v>188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 t="shared" si="363"/>
        <v>15:07:03.724</v>
      </c>
      <c r="CF910">
        <v>723951483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4</v>
      </c>
      <c r="CY910">
        <v>7</v>
      </c>
      <c r="CZ910" t="s">
        <v>133</v>
      </c>
      <c r="DA910">
        <v>275</v>
      </c>
      <c r="DB910">
        <v>0</v>
      </c>
      <c r="DC910" t="s">
        <v>134</v>
      </c>
      <c r="DD910" t="s">
        <v>135</v>
      </c>
      <c r="DG910">
        <v>3319439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"05/01/2025 15:07:03.980"</f>
        <v>05/01/2025 15:07:03.980</v>
      </c>
      <c r="C911" t="str">
        <f t="shared" si="356"/>
        <v>FFDFD3C0</v>
      </c>
      <c r="D911" t="s">
        <v>145</v>
      </c>
      <c r="E911" t="str">
        <f>"09"</f>
        <v>09</v>
      </c>
      <c r="H911">
        <v>51</v>
      </c>
      <c r="I911" t="s">
        <v>147</v>
      </c>
      <c r="J911" t="s">
        <v>138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R911" t="s">
        <v>127</v>
      </c>
      <c r="S911" t="str">
        <f t="shared" si="362"/>
        <v>15:07:03.000</v>
      </c>
      <c r="T911" t="str">
        <f t="shared" si="362"/>
        <v>15:07:03.000</v>
      </c>
      <c r="U911" t="str">
        <f t="shared" si="357"/>
        <v>A68FCB</v>
      </c>
      <c r="V911">
        <v>0</v>
      </c>
      <c r="W911">
        <v>0</v>
      </c>
      <c r="X911">
        <v>2</v>
      </c>
      <c r="Y911">
        <v>0</v>
      </c>
      <c r="AA911">
        <v>1</v>
      </c>
      <c r="AB911">
        <v>8</v>
      </c>
      <c r="AC911">
        <v>3</v>
      </c>
      <c r="AD911">
        <v>0</v>
      </c>
      <c r="AE911">
        <v>9</v>
      </c>
      <c r="AF911" t="s">
        <v>138</v>
      </c>
      <c r="AG911">
        <v>0</v>
      </c>
      <c r="AH911">
        <v>3</v>
      </c>
      <c r="AI911">
        <v>2</v>
      </c>
      <c r="AJ911">
        <v>0</v>
      </c>
      <c r="AK911" t="s">
        <v>387</v>
      </c>
      <c r="AL911">
        <v>38.981079999999999</v>
      </c>
      <c r="AM911" t="s">
        <v>271</v>
      </c>
      <c r="AN911">
        <v>-121.051655</v>
      </c>
      <c r="AO911">
        <v>25</v>
      </c>
      <c r="AP911">
        <v>3000</v>
      </c>
      <c r="AQ911" t="s">
        <v>131</v>
      </c>
      <c r="AR911">
        <v>-10</v>
      </c>
      <c r="AS911">
        <v>84</v>
      </c>
      <c r="AT911">
        <v>512</v>
      </c>
      <c r="BB911" t="str">
        <f t="shared" si="358"/>
        <v>1200</v>
      </c>
      <c r="BC911">
        <v>1</v>
      </c>
      <c r="BD911" t="str">
        <f t="shared" si="359"/>
        <v xml:space="preserve">N52156  </v>
      </c>
      <c r="BE911">
        <v>1</v>
      </c>
      <c r="BG911">
        <v>0</v>
      </c>
      <c r="BH911">
        <v>0</v>
      </c>
      <c r="BI911">
        <v>0</v>
      </c>
      <c r="BJ911">
        <v>2900</v>
      </c>
      <c r="BK911">
        <v>-100</v>
      </c>
      <c r="BL911" t="s">
        <v>188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 t="shared" si="363"/>
        <v>15:07:03.724</v>
      </c>
      <c r="CF911">
        <v>723951483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4</v>
      </c>
      <c r="CY911">
        <v>7</v>
      </c>
      <c r="CZ911" t="s">
        <v>133</v>
      </c>
      <c r="DA911">
        <v>275</v>
      </c>
      <c r="DB911">
        <v>0</v>
      </c>
      <c r="DC911" t="s">
        <v>134</v>
      </c>
      <c r="DD911" t="s">
        <v>135</v>
      </c>
      <c r="DG911">
        <v>3319439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"05/01/2025 15:07:03.978"</f>
        <v>05/01/2025 15:07:03.978</v>
      </c>
      <c r="C912" t="str">
        <f t="shared" si="356"/>
        <v>FFDFD3C0</v>
      </c>
      <c r="D912" t="s">
        <v>143</v>
      </c>
      <c r="E912" t="str">
        <f>"05"</f>
        <v>05</v>
      </c>
      <c r="H912">
        <v>172</v>
      </c>
      <c r="I912" t="s">
        <v>141</v>
      </c>
      <c r="J912" t="s">
        <v>144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R912" t="s">
        <v>127</v>
      </c>
      <c r="S912" t="str">
        <f t="shared" si="362"/>
        <v>15:07:03.000</v>
      </c>
      <c r="T912" t="str">
        <f t="shared" si="362"/>
        <v>15:07:03.000</v>
      </c>
      <c r="U912" t="str">
        <f t="shared" si="357"/>
        <v>A68FCB</v>
      </c>
      <c r="V912">
        <v>0</v>
      </c>
      <c r="W912">
        <v>0</v>
      </c>
      <c r="X912">
        <v>2</v>
      </c>
      <c r="Y912">
        <v>0</v>
      </c>
      <c r="AA912">
        <v>1</v>
      </c>
      <c r="AB912">
        <v>8</v>
      </c>
      <c r="AC912">
        <v>3</v>
      </c>
      <c r="AD912">
        <v>0</v>
      </c>
      <c r="AE912">
        <v>9</v>
      </c>
      <c r="AF912" t="s">
        <v>138</v>
      </c>
      <c r="AG912">
        <v>0</v>
      </c>
      <c r="AH912">
        <v>3</v>
      </c>
      <c r="AI912">
        <v>2</v>
      </c>
      <c r="AJ912">
        <v>0</v>
      </c>
      <c r="AK912" t="s">
        <v>387</v>
      </c>
      <c r="AL912">
        <v>38.981079999999999</v>
      </c>
      <c r="AM912" t="s">
        <v>271</v>
      </c>
      <c r="AN912">
        <v>-121.051655</v>
      </c>
      <c r="AO912">
        <v>25</v>
      </c>
      <c r="AP912">
        <v>3000</v>
      </c>
      <c r="AQ912" t="s">
        <v>131</v>
      </c>
      <c r="AR912">
        <v>-10</v>
      </c>
      <c r="AS912">
        <v>84</v>
      </c>
      <c r="AT912">
        <v>512</v>
      </c>
      <c r="BB912" t="str">
        <f t="shared" si="358"/>
        <v>1200</v>
      </c>
      <c r="BC912">
        <v>1</v>
      </c>
      <c r="BD912" t="str">
        <f t="shared" si="359"/>
        <v xml:space="preserve">N52156  </v>
      </c>
      <c r="BE912">
        <v>1</v>
      </c>
      <c r="BG912">
        <v>0</v>
      </c>
      <c r="BH912">
        <v>0</v>
      </c>
      <c r="BI912">
        <v>0</v>
      </c>
      <c r="BJ912">
        <v>2900</v>
      </c>
      <c r="BK912">
        <v>-100</v>
      </c>
      <c r="BL912" t="s">
        <v>188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 t="shared" si="363"/>
        <v>15:07:03.724</v>
      </c>
      <c r="CF912">
        <v>723951483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4</v>
      </c>
      <c r="CY912">
        <v>7</v>
      </c>
      <c r="CZ912" t="s">
        <v>133</v>
      </c>
      <c r="DA912">
        <v>275</v>
      </c>
      <c r="DB912">
        <v>0</v>
      </c>
      <c r="DC912" t="s">
        <v>134</v>
      </c>
      <c r="DD912" t="s">
        <v>135</v>
      </c>
      <c r="DG912">
        <v>3319439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"05/01/2025 15:07:03.986"</f>
        <v>05/01/2025 15:07:03.986</v>
      </c>
      <c r="C913" t="str">
        <f t="shared" si="356"/>
        <v>FFDFD3C0</v>
      </c>
      <c r="D913" t="s">
        <v>136</v>
      </c>
      <c r="E913" t="str">
        <f>"20"</f>
        <v>20</v>
      </c>
      <c r="H913">
        <v>400</v>
      </c>
      <c r="I913" t="s">
        <v>137</v>
      </c>
      <c r="J913" t="s">
        <v>138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R913" t="s">
        <v>127</v>
      </c>
      <c r="S913" t="str">
        <f t="shared" si="362"/>
        <v>15:07:03.000</v>
      </c>
      <c r="T913" t="str">
        <f t="shared" si="362"/>
        <v>15:07:03.000</v>
      </c>
      <c r="U913" t="str">
        <f t="shared" si="357"/>
        <v>A68FCB</v>
      </c>
      <c r="V913">
        <v>0</v>
      </c>
      <c r="W913">
        <v>0</v>
      </c>
      <c r="X913">
        <v>2</v>
      </c>
      <c r="Y913">
        <v>0</v>
      </c>
      <c r="AA913">
        <v>1</v>
      </c>
      <c r="AB913">
        <v>8</v>
      </c>
      <c r="AC913">
        <v>3</v>
      </c>
      <c r="AD913">
        <v>0</v>
      </c>
      <c r="AE913">
        <v>9</v>
      </c>
      <c r="AF913" t="s">
        <v>138</v>
      </c>
      <c r="AG913">
        <v>0</v>
      </c>
      <c r="AH913">
        <v>3</v>
      </c>
      <c r="AI913">
        <v>2</v>
      </c>
      <c r="AJ913">
        <v>0</v>
      </c>
      <c r="AK913" t="s">
        <v>387</v>
      </c>
      <c r="AL913">
        <v>38.981079999999999</v>
      </c>
      <c r="AM913" t="s">
        <v>271</v>
      </c>
      <c r="AN913">
        <v>-121.051655</v>
      </c>
      <c r="AO913">
        <v>25</v>
      </c>
      <c r="AP913">
        <v>3000</v>
      </c>
      <c r="AQ913" t="s">
        <v>131</v>
      </c>
      <c r="AR913">
        <v>-10</v>
      </c>
      <c r="AS913">
        <v>84</v>
      </c>
      <c r="AT913">
        <v>512</v>
      </c>
      <c r="BB913" t="str">
        <f t="shared" si="358"/>
        <v>1200</v>
      </c>
      <c r="BC913">
        <v>1</v>
      </c>
      <c r="BD913" t="str">
        <f t="shared" si="359"/>
        <v xml:space="preserve">N52156  </v>
      </c>
      <c r="BE913">
        <v>1</v>
      </c>
      <c r="BG913">
        <v>0</v>
      </c>
      <c r="BH913">
        <v>0</v>
      </c>
      <c r="BI913">
        <v>0</v>
      </c>
      <c r="BJ913">
        <v>2900</v>
      </c>
      <c r="BK913">
        <v>-100</v>
      </c>
      <c r="BL913" t="s">
        <v>188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 t="shared" si="363"/>
        <v>15:07:03.724</v>
      </c>
      <c r="CF913">
        <v>723951483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4</v>
      </c>
      <c r="CY913">
        <v>7</v>
      </c>
      <c r="CZ913" t="s">
        <v>133</v>
      </c>
      <c r="DA913">
        <v>275</v>
      </c>
      <c r="DB913">
        <v>0</v>
      </c>
      <c r="DC913" t="s">
        <v>134</v>
      </c>
      <c r="DD913" t="s">
        <v>135</v>
      </c>
      <c r="DG913">
        <v>3319439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"05/01/2025 15:07:04.481"</f>
        <v>05/01/2025 15:07:04.481</v>
      </c>
      <c r="C914" t="str">
        <f t="shared" si="356"/>
        <v>FFDFD3C0</v>
      </c>
      <c r="D914" t="s">
        <v>145</v>
      </c>
      <c r="E914" t="str">
        <f>"09"</f>
        <v>09</v>
      </c>
      <c r="H914">
        <v>51</v>
      </c>
      <c r="I914" t="s">
        <v>147</v>
      </c>
      <c r="J914" t="s">
        <v>138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R914" t="s">
        <v>127</v>
      </c>
      <c r="S914" t="str">
        <f t="shared" ref="S914:T919" si="364">"15:07:04.000"</f>
        <v>15:07:04.000</v>
      </c>
      <c r="T914" t="str">
        <f t="shared" si="364"/>
        <v>15:07:04.000</v>
      </c>
      <c r="U914" t="str">
        <f t="shared" si="357"/>
        <v>A68FCB</v>
      </c>
      <c r="V914">
        <v>0</v>
      </c>
      <c r="W914">
        <v>0</v>
      </c>
      <c r="X914">
        <v>2</v>
      </c>
      <c r="Y914">
        <v>0</v>
      </c>
      <c r="AA914">
        <v>1</v>
      </c>
      <c r="AB914">
        <v>8</v>
      </c>
      <c r="AC914">
        <v>3</v>
      </c>
      <c r="AD914">
        <v>0</v>
      </c>
      <c r="AE914">
        <v>9</v>
      </c>
      <c r="AF914" t="s">
        <v>138</v>
      </c>
      <c r="AG914">
        <v>0</v>
      </c>
      <c r="AH914">
        <v>3</v>
      </c>
      <c r="AI914">
        <v>2</v>
      </c>
      <c r="AJ914">
        <v>0</v>
      </c>
      <c r="AK914" t="s">
        <v>388</v>
      </c>
      <c r="AL914">
        <v>38.981487999999999</v>
      </c>
      <c r="AM914" t="s">
        <v>389</v>
      </c>
      <c r="AN914">
        <v>-121.05174100000001</v>
      </c>
      <c r="AO914">
        <v>25</v>
      </c>
      <c r="AP914">
        <v>3000</v>
      </c>
      <c r="AQ914" t="s">
        <v>131</v>
      </c>
      <c r="AR914">
        <v>-10</v>
      </c>
      <c r="AS914">
        <v>84</v>
      </c>
      <c r="AT914">
        <v>448</v>
      </c>
      <c r="BB914" t="str">
        <f t="shared" si="358"/>
        <v>1200</v>
      </c>
      <c r="BC914">
        <v>1</v>
      </c>
      <c r="BD914" t="str">
        <f t="shared" si="359"/>
        <v xml:space="preserve">N52156  </v>
      </c>
      <c r="BE914">
        <v>1</v>
      </c>
      <c r="BG914">
        <v>0</v>
      </c>
      <c r="BH914">
        <v>0</v>
      </c>
      <c r="BI914">
        <v>0</v>
      </c>
      <c r="BJ914">
        <v>2900</v>
      </c>
      <c r="BK914">
        <v>-100</v>
      </c>
      <c r="BL914" t="s">
        <v>188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 t="shared" ref="CE914:CE919" si="365">"15:07:04.259"</f>
        <v>15:07:04.259</v>
      </c>
      <c r="CF914">
        <v>259200549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4</v>
      </c>
      <c r="CY914">
        <v>7</v>
      </c>
      <c r="CZ914" t="s">
        <v>133</v>
      </c>
      <c r="DA914">
        <v>275</v>
      </c>
      <c r="DB914">
        <v>0</v>
      </c>
      <c r="DC914" t="s">
        <v>134</v>
      </c>
      <c r="DD914" t="s">
        <v>135</v>
      </c>
      <c r="DG914">
        <v>3319446</v>
      </c>
      <c r="DI914">
        <v>1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"05/01/2025 15:07:04.487"</f>
        <v>05/01/2025 15:07:04.487</v>
      </c>
      <c r="C915" t="str">
        <f t="shared" si="356"/>
        <v>FFDFD3C0</v>
      </c>
      <c r="D915" t="s">
        <v>136</v>
      </c>
      <c r="E915" t="str">
        <f>"20"</f>
        <v>20</v>
      </c>
      <c r="H915">
        <v>400</v>
      </c>
      <c r="I915" t="s">
        <v>137</v>
      </c>
      <c r="J915" t="s">
        <v>138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R915" t="s">
        <v>127</v>
      </c>
      <c r="S915" t="str">
        <f t="shared" si="364"/>
        <v>15:07:04.000</v>
      </c>
      <c r="T915" t="str">
        <f t="shared" si="364"/>
        <v>15:07:04.000</v>
      </c>
      <c r="U915" t="str">
        <f t="shared" si="357"/>
        <v>A68FCB</v>
      </c>
      <c r="V915">
        <v>0</v>
      </c>
      <c r="W915">
        <v>0</v>
      </c>
      <c r="X915">
        <v>2</v>
      </c>
      <c r="Y915">
        <v>0</v>
      </c>
      <c r="AA915">
        <v>1</v>
      </c>
      <c r="AB915">
        <v>8</v>
      </c>
      <c r="AC915">
        <v>3</v>
      </c>
      <c r="AD915">
        <v>0</v>
      </c>
      <c r="AE915">
        <v>9</v>
      </c>
      <c r="AF915" t="s">
        <v>138</v>
      </c>
      <c r="AG915">
        <v>0</v>
      </c>
      <c r="AH915">
        <v>3</v>
      </c>
      <c r="AI915">
        <v>2</v>
      </c>
      <c r="AJ915">
        <v>0</v>
      </c>
      <c r="AK915" t="s">
        <v>388</v>
      </c>
      <c r="AL915">
        <v>38.981487999999999</v>
      </c>
      <c r="AM915" t="s">
        <v>389</v>
      </c>
      <c r="AN915">
        <v>-121.05174100000001</v>
      </c>
      <c r="AO915">
        <v>25</v>
      </c>
      <c r="AP915">
        <v>3000</v>
      </c>
      <c r="AQ915" t="s">
        <v>131</v>
      </c>
      <c r="AR915">
        <v>-10</v>
      </c>
      <c r="AS915">
        <v>84</v>
      </c>
      <c r="AT915">
        <v>448</v>
      </c>
      <c r="BB915" t="str">
        <f t="shared" si="358"/>
        <v>1200</v>
      </c>
      <c r="BC915">
        <v>1</v>
      </c>
      <c r="BD915" t="str">
        <f t="shared" si="359"/>
        <v xml:space="preserve">N52156  </v>
      </c>
      <c r="BE915">
        <v>1</v>
      </c>
      <c r="BG915">
        <v>0</v>
      </c>
      <c r="BH915">
        <v>0</v>
      </c>
      <c r="BI915">
        <v>0</v>
      </c>
      <c r="BJ915">
        <v>2900</v>
      </c>
      <c r="BK915">
        <v>-100</v>
      </c>
      <c r="BL915" t="s">
        <v>188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 t="shared" si="365"/>
        <v>15:07:04.259</v>
      </c>
      <c r="CF915">
        <v>259200549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4</v>
      </c>
      <c r="CY915">
        <v>7</v>
      </c>
      <c r="CZ915" t="s">
        <v>133</v>
      </c>
      <c r="DA915">
        <v>275</v>
      </c>
      <c r="DB915">
        <v>0</v>
      </c>
      <c r="DC915" t="s">
        <v>134</v>
      </c>
      <c r="DD915" t="s">
        <v>135</v>
      </c>
      <c r="DG915">
        <v>3319446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"05/01/2025 15:07:04.521"</f>
        <v>05/01/2025 15:07:04.521</v>
      </c>
      <c r="C916" t="str">
        <f t="shared" si="356"/>
        <v>FFDFD3C0</v>
      </c>
      <c r="D916" t="s">
        <v>140</v>
      </c>
      <c r="E916" t="str">
        <f>"13"</f>
        <v>13</v>
      </c>
      <c r="F916">
        <v>1019</v>
      </c>
      <c r="G916" t="s">
        <v>141</v>
      </c>
      <c r="J916" t="s">
        <v>142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R916" t="s">
        <v>127</v>
      </c>
      <c r="S916" t="str">
        <f t="shared" si="364"/>
        <v>15:07:04.000</v>
      </c>
      <c r="T916" t="str">
        <f t="shared" si="364"/>
        <v>15:07:04.000</v>
      </c>
      <c r="U916" t="str">
        <f t="shared" si="357"/>
        <v>A68FCB</v>
      </c>
      <c r="V916">
        <v>0</v>
      </c>
      <c r="W916">
        <v>0</v>
      </c>
      <c r="X916">
        <v>2</v>
      </c>
      <c r="Y916">
        <v>0</v>
      </c>
      <c r="AA916">
        <v>1</v>
      </c>
      <c r="AB916">
        <v>8</v>
      </c>
      <c r="AC916">
        <v>3</v>
      </c>
      <c r="AD916">
        <v>0</v>
      </c>
      <c r="AE916">
        <v>9</v>
      </c>
      <c r="AF916" t="s">
        <v>138</v>
      </c>
      <c r="AG916">
        <v>0</v>
      </c>
      <c r="AH916">
        <v>3</v>
      </c>
      <c r="AI916">
        <v>2</v>
      </c>
      <c r="AJ916">
        <v>0</v>
      </c>
      <c r="AK916" t="s">
        <v>388</v>
      </c>
      <c r="AL916">
        <v>38.981487999999999</v>
      </c>
      <c r="AM916" t="s">
        <v>389</v>
      </c>
      <c r="AN916">
        <v>-121.05174100000001</v>
      </c>
      <c r="AO916">
        <v>25</v>
      </c>
      <c r="AP916">
        <v>3000</v>
      </c>
      <c r="AQ916" t="s">
        <v>131</v>
      </c>
      <c r="AR916">
        <v>-10</v>
      </c>
      <c r="AS916">
        <v>84</v>
      </c>
      <c r="AT916">
        <v>448</v>
      </c>
      <c r="BB916" t="str">
        <f t="shared" si="358"/>
        <v>1200</v>
      </c>
      <c r="BC916">
        <v>1</v>
      </c>
      <c r="BD916" t="str">
        <f t="shared" si="359"/>
        <v xml:space="preserve">N52156  </v>
      </c>
      <c r="BE916">
        <v>1</v>
      </c>
      <c r="BG916">
        <v>0</v>
      </c>
      <c r="BH916">
        <v>0</v>
      </c>
      <c r="BI916">
        <v>0</v>
      </c>
      <c r="BJ916">
        <v>2900</v>
      </c>
      <c r="BK916">
        <v>-100</v>
      </c>
      <c r="BL916" t="s">
        <v>188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 t="shared" si="365"/>
        <v>15:07:04.259</v>
      </c>
      <c r="CF916">
        <v>259200549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4</v>
      </c>
      <c r="CY916">
        <v>7</v>
      </c>
      <c r="CZ916" t="s">
        <v>133</v>
      </c>
      <c r="DA916">
        <v>275</v>
      </c>
      <c r="DB916">
        <v>0</v>
      </c>
      <c r="DC916" t="s">
        <v>134</v>
      </c>
      <c r="DD916" t="s">
        <v>135</v>
      </c>
      <c r="DG916">
        <v>3319446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"05/01/2025 15:07:04.524"</f>
        <v>05/01/2025 15:07:04.524</v>
      </c>
      <c r="C917" t="str">
        <f t="shared" si="356"/>
        <v>FFDFD3C0</v>
      </c>
      <c r="D917" t="s">
        <v>145</v>
      </c>
      <c r="E917" t="str">
        <f>"05"</f>
        <v>05</v>
      </c>
      <c r="H917">
        <v>47</v>
      </c>
      <c r="I917" t="s">
        <v>146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R917" t="s">
        <v>127</v>
      </c>
      <c r="S917" t="str">
        <f t="shared" si="364"/>
        <v>15:07:04.000</v>
      </c>
      <c r="T917" t="str">
        <f t="shared" si="364"/>
        <v>15:07:04.000</v>
      </c>
      <c r="U917" t="str">
        <f t="shared" si="357"/>
        <v>A68FCB</v>
      </c>
      <c r="V917">
        <v>0</v>
      </c>
      <c r="W917">
        <v>0</v>
      </c>
      <c r="X917">
        <v>2</v>
      </c>
      <c r="Y917">
        <v>0</v>
      </c>
      <c r="AA917">
        <v>1</v>
      </c>
      <c r="AB917">
        <v>8</v>
      </c>
      <c r="AC917">
        <v>3</v>
      </c>
      <c r="AD917">
        <v>0</v>
      </c>
      <c r="AE917">
        <v>9</v>
      </c>
      <c r="AF917" t="s">
        <v>138</v>
      </c>
      <c r="AG917">
        <v>0</v>
      </c>
      <c r="AH917">
        <v>3</v>
      </c>
      <c r="AI917">
        <v>2</v>
      </c>
      <c r="AJ917">
        <v>0</v>
      </c>
      <c r="AK917" t="s">
        <v>388</v>
      </c>
      <c r="AL917">
        <v>38.981487999999999</v>
      </c>
      <c r="AM917" t="s">
        <v>389</v>
      </c>
      <c r="AN917">
        <v>-121.05174100000001</v>
      </c>
      <c r="AO917">
        <v>25</v>
      </c>
      <c r="AP917">
        <v>3000</v>
      </c>
      <c r="AQ917" t="s">
        <v>131</v>
      </c>
      <c r="AR917">
        <v>-10</v>
      </c>
      <c r="AS917">
        <v>84</v>
      </c>
      <c r="AT917">
        <v>448</v>
      </c>
      <c r="BB917" t="str">
        <f t="shared" si="358"/>
        <v>1200</v>
      </c>
      <c r="BC917">
        <v>1</v>
      </c>
      <c r="BD917" t="str">
        <f t="shared" si="359"/>
        <v xml:space="preserve">N52156  </v>
      </c>
      <c r="BE917">
        <v>1</v>
      </c>
      <c r="BG917">
        <v>0</v>
      </c>
      <c r="BH917">
        <v>0</v>
      </c>
      <c r="BI917">
        <v>0</v>
      </c>
      <c r="BJ917">
        <v>2900</v>
      </c>
      <c r="BK917">
        <v>-100</v>
      </c>
      <c r="BL917" t="s">
        <v>188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 t="shared" si="365"/>
        <v>15:07:04.259</v>
      </c>
      <c r="CF917">
        <v>259200549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4</v>
      </c>
      <c r="CY917">
        <v>7</v>
      </c>
      <c r="CZ917" t="s">
        <v>133</v>
      </c>
      <c r="DA917">
        <v>275</v>
      </c>
      <c r="DB917">
        <v>0</v>
      </c>
      <c r="DC917" t="s">
        <v>134</v>
      </c>
      <c r="DD917" t="s">
        <v>135</v>
      </c>
      <c r="DG917">
        <v>3319446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"05/01/2025 15:07:04.527"</f>
        <v>05/01/2025 15:07:04.527</v>
      </c>
      <c r="C918" t="str">
        <f t="shared" si="356"/>
        <v>FFDFD3C0</v>
      </c>
      <c r="D918" t="s">
        <v>124</v>
      </c>
      <c r="E918" t="str">
        <f>"06"</f>
        <v>06</v>
      </c>
      <c r="F918">
        <v>2006</v>
      </c>
      <c r="G918" t="s">
        <v>125</v>
      </c>
      <c r="J918" t="s">
        <v>126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R918" t="s">
        <v>127</v>
      </c>
      <c r="S918" t="str">
        <f t="shared" si="364"/>
        <v>15:07:04.000</v>
      </c>
      <c r="T918" t="str">
        <f t="shared" si="364"/>
        <v>15:07:04.000</v>
      </c>
      <c r="U918" t="str">
        <f t="shared" si="357"/>
        <v>A68FCB</v>
      </c>
      <c r="V918">
        <v>0</v>
      </c>
      <c r="W918">
        <v>0</v>
      </c>
      <c r="X918">
        <v>2</v>
      </c>
      <c r="Y918">
        <v>0</v>
      </c>
      <c r="AA918">
        <v>1</v>
      </c>
      <c r="AB918">
        <v>8</v>
      </c>
      <c r="AC918">
        <v>3</v>
      </c>
      <c r="AD918">
        <v>0</v>
      </c>
      <c r="AE918">
        <v>9</v>
      </c>
      <c r="AF918" t="s">
        <v>138</v>
      </c>
      <c r="AG918">
        <v>0</v>
      </c>
      <c r="AH918">
        <v>3</v>
      </c>
      <c r="AI918">
        <v>2</v>
      </c>
      <c r="AJ918">
        <v>0</v>
      </c>
      <c r="AK918" t="s">
        <v>388</v>
      </c>
      <c r="AL918">
        <v>38.981487999999999</v>
      </c>
      <c r="AM918" t="s">
        <v>389</v>
      </c>
      <c r="AN918">
        <v>-121.05174100000001</v>
      </c>
      <c r="AO918">
        <v>25</v>
      </c>
      <c r="AP918">
        <v>3000</v>
      </c>
      <c r="AQ918" t="s">
        <v>131</v>
      </c>
      <c r="AR918">
        <v>-10</v>
      </c>
      <c r="AS918">
        <v>84</v>
      </c>
      <c r="AT918">
        <v>448</v>
      </c>
      <c r="BB918" t="str">
        <f t="shared" si="358"/>
        <v>1200</v>
      </c>
      <c r="BC918">
        <v>1</v>
      </c>
      <c r="BD918" t="str">
        <f t="shared" si="359"/>
        <v xml:space="preserve">N52156  </v>
      </c>
      <c r="BE918">
        <v>1</v>
      </c>
      <c r="BG918">
        <v>0</v>
      </c>
      <c r="BH918">
        <v>0</v>
      </c>
      <c r="BI918">
        <v>0</v>
      </c>
      <c r="BJ918">
        <v>2900</v>
      </c>
      <c r="BK918">
        <v>-100</v>
      </c>
      <c r="BL918" t="s">
        <v>188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 t="shared" si="365"/>
        <v>15:07:04.259</v>
      </c>
      <c r="CF918">
        <v>259200549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4</v>
      </c>
      <c r="CY918">
        <v>7</v>
      </c>
      <c r="CZ918" t="s">
        <v>133</v>
      </c>
      <c r="DA918">
        <v>275</v>
      </c>
      <c r="DB918">
        <v>0</v>
      </c>
      <c r="DC918" t="s">
        <v>134</v>
      </c>
      <c r="DD918" t="s">
        <v>135</v>
      </c>
      <c r="DG918">
        <v>3319446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"05/01/2025 15:07:04.529"</f>
        <v>05/01/2025 15:07:04.529</v>
      </c>
      <c r="C919" t="str">
        <f t="shared" si="356"/>
        <v>FFDFD3C0</v>
      </c>
      <c r="D919" t="s">
        <v>143</v>
      </c>
      <c r="E919" t="str">
        <f>"05"</f>
        <v>05</v>
      </c>
      <c r="H919">
        <v>172</v>
      </c>
      <c r="I919" t="s">
        <v>141</v>
      </c>
      <c r="J919" t="s">
        <v>144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R919" t="s">
        <v>127</v>
      </c>
      <c r="S919" t="str">
        <f t="shared" si="364"/>
        <v>15:07:04.000</v>
      </c>
      <c r="T919" t="str">
        <f t="shared" si="364"/>
        <v>15:07:04.000</v>
      </c>
      <c r="U919" t="str">
        <f t="shared" si="357"/>
        <v>A68FCB</v>
      </c>
      <c r="V919">
        <v>0</v>
      </c>
      <c r="W919">
        <v>0</v>
      </c>
      <c r="X919">
        <v>2</v>
      </c>
      <c r="Y919">
        <v>0</v>
      </c>
      <c r="AA919">
        <v>1</v>
      </c>
      <c r="AB919">
        <v>8</v>
      </c>
      <c r="AC919">
        <v>3</v>
      </c>
      <c r="AD919">
        <v>0</v>
      </c>
      <c r="AE919">
        <v>9</v>
      </c>
      <c r="AF919" t="s">
        <v>138</v>
      </c>
      <c r="AG919">
        <v>0</v>
      </c>
      <c r="AH919">
        <v>3</v>
      </c>
      <c r="AI919">
        <v>2</v>
      </c>
      <c r="AJ919">
        <v>0</v>
      </c>
      <c r="AK919" t="s">
        <v>388</v>
      </c>
      <c r="AL919">
        <v>38.981487999999999</v>
      </c>
      <c r="AM919" t="s">
        <v>389</v>
      </c>
      <c r="AN919">
        <v>-121.05174100000001</v>
      </c>
      <c r="AO919">
        <v>25</v>
      </c>
      <c r="AP919">
        <v>3000</v>
      </c>
      <c r="AQ919" t="s">
        <v>131</v>
      </c>
      <c r="AR919">
        <v>-10</v>
      </c>
      <c r="AS919">
        <v>84</v>
      </c>
      <c r="AT919">
        <v>448</v>
      </c>
      <c r="BB919" t="str">
        <f t="shared" si="358"/>
        <v>1200</v>
      </c>
      <c r="BC919">
        <v>1</v>
      </c>
      <c r="BD919" t="str">
        <f t="shared" si="359"/>
        <v xml:space="preserve">N52156  </v>
      </c>
      <c r="BE919">
        <v>1</v>
      </c>
      <c r="BG919">
        <v>0</v>
      </c>
      <c r="BH919">
        <v>0</v>
      </c>
      <c r="BI919">
        <v>0</v>
      </c>
      <c r="BJ919">
        <v>2900</v>
      </c>
      <c r="BK919">
        <v>-100</v>
      </c>
      <c r="BL919" t="s">
        <v>188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 t="shared" si="365"/>
        <v>15:07:04.259</v>
      </c>
      <c r="CF919">
        <v>259200549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4</v>
      </c>
      <c r="CY919">
        <v>7</v>
      </c>
      <c r="CZ919" t="s">
        <v>133</v>
      </c>
      <c r="DA919">
        <v>275</v>
      </c>
      <c r="DB919">
        <v>0</v>
      </c>
      <c r="DC919" t="s">
        <v>134</v>
      </c>
      <c r="DD919" t="s">
        <v>135</v>
      </c>
      <c r="DG919">
        <v>3319446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"05/01/2025 15:07:06.224"</f>
        <v>05/01/2025 15:07:06.224</v>
      </c>
      <c r="C920" t="str">
        <f t="shared" si="356"/>
        <v>FFDFD3C0</v>
      </c>
      <c r="D920" t="s">
        <v>140</v>
      </c>
      <c r="E920" t="str">
        <f>"13"</f>
        <v>13</v>
      </c>
      <c r="F920">
        <v>1019</v>
      </c>
      <c r="G920" t="s">
        <v>141</v>
      </c>
      <c r="J920" t="s">
        <v>142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R920" t="s">
        <v>127</v>
      </c>
      <c r="S920" t="str">
        <f t="shared" ref="S920:T925" si="366">"15:07:05.000"</f>
        <v>15:07:05.000</v>
      </c>
      <c r="T920" t="str">
        <f t="shared" si="366"/>
        <v>15:07:05.000</v>
      </c>
      <c r="U920" t="str">
        <f t="shared" si="357"/>
        <v>A68FCB</v>
      </c>
      <c r="V920">
        <v>0</v>
      </c>
      <c r="W920">
        <v>0</v>
      </c>
      <c r="X920">
        <v>2</v>
      </c>
      <c r="Y920">
        <v>0</v>
      </c>
      <c r="AA920">
        <v>1</v>
      </c>
      <c r="AB920">
        <v>8</v>
      </c>
      <c r="AC920">
        <v>3</v>
      </c>
      <c r="AD920">
        <v>0</v>
      </c>
      <c r="AE920">
        <v>9</v>
      </c>
      <c r="AF920" t="s">
        <v>138</v>
      </c>
      <c r="AG920">
        <v>0</v>
      </c>
      <c r="AH920">
        <v>3</v>
      </c>
      <c r="AI920">
        <v>2</v>
      </c>
      <c r="AJ920">
        <v>0</v>
      </c>
      <c r="AK920" t="s">
        <v>390</v>
      </c>
      <c r="AL920">
        <v>38.981960000000001</v>
      </c>
      <c r="AM920" t="s">
        <v>391</v>
      </c>
      <c r="AN920">
        <v>-121.05171900000001</v>
      </c>
      <c r="AO920">
        <v>25</v>
      </c>
      <c r="AP920">
        <v>3000</v>
      </c>
      <c r="AQ920" t="s">
        <v>131</v>
      </c>
      <c r="AR920">
        <v>-10</v>
      </c>
      <c r="AS920">
        <v>86</v>
      </c>
      <c r="AT920">
        <v>320</v>
      </c>
      <c r="BB920" t="str">
        <f t="shared" si="358"/>
        <v>1200</v>
      </c>
      <c r="BC920">
        <v>1</v>
      </c>
      <c r="BD920" t="str">
        <f t="shared" si="359"/>
        <v xml:space="preserve">N52156  </v>
      </c>
      <c r="BE920">
        <v>1</v>
      </c>
      <c r="BG920">
        <v>0</v>
      </c>
      <c r="BH920">
        <v>0</v>
      </c>
      <c r="BI920">
        <v>0</v>
      </c>
      <c r="BJ920">
        <v>2925</v>
      </c>
      <c r="BK920">
        <v>-75</v>
      </c>
      <c r="BL920" t="s">
        <v>188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 t="shared" ref="CE920:CE925" si="367">"15:07:05.976"</f>
        <v>15:07:05.976</v>
      </c>
      <c r="CF920">
        <v>976452377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4</v>
      </c>
      <c r="CY920">
        <v>7</v>
      </c>
      <c r="CZ920" t="s">
        <v>133</v>
      </c>
      <c r="DA920">
        <v>275</v>
      </c>
      <c r="DB920">
        <v>0</v>
      </c>
      <c r="DC920" t="s">
        <v>134</v>
      </c>
      <c r="DD920" t="s">
        <v>135</v>
      </c>
      <c r="DG920">
        <v>3319466</v>
      </c>
      <c r="DI920">
        <v>1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"05/01/2025 15:07:06.227"</f>
        <v>05/01/2025 15:07:06.227</v>
      </c>
      <c r="C921" t="str">
        <f t="shared" si="356"/>
        <v>FFDFD3C0</v>
      </c>
      <c r="D921" t="s">
        <v>145</v>
      </c>
      <c r="E921" t="str">
        <f>"05"</f>
        <v>05</v>
      </c>
      <c r="H921">
        <v>47</v>
      </c>
      <c r="I921" t="s">
        <v>146</v>
      </c>
      <c r="J921" t="s">
        <v>138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R921" t="s">
        <v>127</v>
      </c>
      <c r="S921" t="str">
        <f t="shared" si="366"/>
        <v>15:07:05.000</v>
      </c>
      <c r="T921" t="str">
        <f t="shared" si="366"/>
        <v>15:07:05.000</v>
      </c>
      <c r="U921" t="str">
        <f t="shared" si="357"/>
        <v>A68FCB</v>
      </c>
      <c r="V921">
        <v>0</v>
      </c>
      <c r="W921">
        <v>0</v>
      </c>
      <c r="X921">
        <v>2</v>
      </c>
      <c r="Y921">
        <v>0</v>
      </c>
      <c r="AA921">
        <v>1</v>
      </c>
      <c r="AB921">
        <v>8</v>
      </c>
      <c r="AC921">
        <v>3</v>
      </c>
      <c r="AD921">
        <v>0</v>
      </c>
      <c r="AE921">
        <v>9</v>
      </c>
      <c r="AF921" t="s">
        <v>138</v>
      </c>
      <c r="AG921">
        <v>0</v>
      </c>
      <c r="AH921">
        <v>3</v>
      </c>
      <c r="AI921">
        <v>2</v>
      </c>
      <c r="AJ921">
        <v>0</v>
      </c>
      <c r="AK921" t="s">
        <v>390</v>
      </c>
      <c r="AL921">
        <v>38.981960000000001</v>
      </c>
      <c r="AM921" t="s">
        <v>391</v>
      </c>
      <c r="AN921">
        <v>-121.05171900000001</v>
      </c>
      <c r="AO921">
        <v>25</v>
      </c>
      <c r="AP921">
        <v>3000</v>
      </c>
      <c r="AQ921" t="s">
        <v>131</v>
      </c>
      <c r="AR921">
        <v>-10</v>
      </c>
      <c r="AS921">
        <v>86</v>
      </c>
      <c r="AT921">
        <v>320</v>
      </c>
      <c r="BB921" t="str">
        <f t="shared" si="358"/>
        <v>1200</v>
      </c>
      <c r="BC921">
        <v>1</v>
      </c>
      <c r="BD921" t="str">
        <f t="shared" si="359"/>
        <v xml:space="preserve">N52156  </v>
      </c>
      <c r="BE921">
        <v>1</v>
      </c>
      <c r="BG921">
        <v>0</v>
      </c>
      <c r="BH921">
        <v>0</v>
      </c>
      <c r="BI921">
        <v>0</v>
      </c>
      <c r="BJ921">
        <v>2925</v>
      </c>
      <c r="BK921">
        <v>-75</v>
      </c>
      <c r="BL921" t="s">
        <v>188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 t="shared" si="367"/>
        <v>15:07:05.976</v>
      </c>
      <c r="CF921">
        <v>976452377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4</v>
      </c>
      <c r="CY921">
        <v>7</v>
      </c>
      <c r="CZ921" t="s">
        <v>133</v>
      </c>
      <c r="DA921">
        <v>275</v>
      </c>
      <c r="DB921">
        <v>0</v>
      </c>
      <c r="DC921" t="s">
        <v>134</v>
      </c>
      <c r="DD921" t="s">
        <v>135</v>
      </c>
      <c r="DG921">
        <v>3319466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"05/01/2025 15:07:06.230"</f>
        <v>05/01/2025 15:07:06.230</v>
      </c>
      <c r="C922" t="str">
        <f t="shared" si="356"/>
        <v>FFDFD3C0</v>
      </c>
      <c r="D922" t="s">
        <v>124</v>
      </c>
      <c r="E922" t="str">
        <f>"06"</f>
        <v>06</v>
      </c>
      <c r="F922">
        <v>2006</v>
      </c>
      <c r="G922" t="s">
        <v>125</v>
      </c>
      <c r="J922" t="s">
        <v>126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R922" t="s">
        <v>127</v>
      </c>
      <c r="S922" t="str">
        <f t="shared" si="366"/>
        <v>15:07:05.000</v>
      </c>
      <c r="T922" t="str">
        <f t="shared" si="366"/>
        <v>15:07:05.000</v>
      </c>
      <c r="U922" t="str">
        <f t="shared" si="357"/>
        <v>A68FCB</v>
      </c>
      <c r="V922">
        <v>0</v>
      </c>
      <c r="W922">
        <v>0</v>
      </c>
      <c r="X922">
        <v>2</v>
      </c>
      <c r="Y922">
        <v>0</v>
      </c>
      <c r="AA922">
        <v>1</v>
      </c>
      <c r="AB922">
        <v>8</v>
      </c>
      <c r="AC922">
        <v>3</v>
      </c>
      <c r="AD922">
        <v>0</v>
      </c>
      <c r="AE922">
        <v>9</v>
      </c>
      <c r="AF922" t="s">
        <v>138</v>
      </c>
      <c r="AG922">
        <v>0</v>
      </c>
      <c r="AH922">
        <v>3</v>
      </c>
      <c r="AI922">
        <v>2</v>
      </c>
      <c r="AJ922">
        <v>0</v>
      </c>
      <c r="AK922" t="s">
        <v>390</v>
      </c>
      <c r="AL922">
        <v>38.981960000000001</v>
      </c>
      <c r="AM922" t="s">
        <v>391</v>
      </c>
      <c r="AN922">
        <v>-121.05171900000001</v>
      </c>
      <c r="AO922">
        <v>25</v>
      </c>
      <c r="AP922">
        <v>3000</v>
      </c>
      <c r="AQ922" t="s">
        <v>131</v>
      </c>
      <c r="AR922">
        <v>-10</v>
      </c>
      <c r="AS922">
        <v>86</v>
      </c>
      <c r="AT922">
        <v>320</v>
      </c>
      <c r="BB922" t="str">
        <f t="shared" si="358"/>
        <v>1200</v>
      </c>
      <c r="BC922">
        <v>1</v>
      </c>
      <c r="BD922" t="str">
        <f t="shared" si="359"/>
        <v xml:space="preserve">N52156  </v>
      </c>
      <c r="BE922">
        <v>1</v>
      </c>
      <c r="BG922">
        <v>0</v>
      </c>
      <c r="BH922">
        <v>0</v>
      </c>
      <c r="BI922">
        <v>0</v>
      </c>
      <c r="BJ922">
        <v>2925</v>
      </c>
      <c r="BK922">
        <v>-75</v>
      </c>
      <c r="BL922" t="s">
        <v>188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 t="shared" si="367"/>
        <v>15:07:05.976</v>
      </c>
      <c r="CF922">
        <v>976452377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4</v>
      </c>
      <c r="CY922">
        <v>7</v>
      </c>
      <c r="CZ922" t="s">
        <v>133</v>
      </c>
      <c r="DA922">
        <v>275</v>
      </c>
      <c r="DB922">
        <v>0</v>
      </c>
      <c r="DC922" t="s">
        <v>134</v>
      </c>
      <c r="DD922" t="s">
        <v>135</v>
      </c>
      <c r="DG922">
        <v>3319466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"05/01/2025 15:07:06.232"</f>
        <v>05/01/2025 15:07:06.232</v>
      </c>
      <c r="C923" t="str">
        <f t="shared" si="356"/>
        <v>FFDFD3C0</v>
      </c>
      <c r="D923" t="s">
        <v>143</v>
      </c>
      <c r="E923" t="str">
        <f>"05"</f>
        <v>05</v>
      </c>
      <c r="H923">
        <v>172</v>
      </c>
      <c r="I923" t="s">
        <v>141</v>
      </c>
      <c r="J923" t="s">
        <v>144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R923" t="s">
        <v>127</v>
      </c>
      <c r="S923" t="str">
        <f t="shared" si="366"/>
        <v>15:07:05.000</v>
      </c>
      <c r="T923" t="str">
        <f t="shared" si="366"/>
        <v>15:07:05.000</v>
      </c>
      <c r="U923" t="str">
        <f t="shared" si="357"/>
        <v>A68FCB</v>
      </c>
      <c r="V923">
        <v>0</v>
      </c>
      <c r="W923">
        <v>0</v>
      </c>
      <c r="X923">
        <v>2</v>
      </c>
      <c r="Y923">
        <v>0</v>
      </c>
      <c r="AA923">
        <v>1</v>
      </c>
      <c r="AB923">
        <v>8</v>
      </c>
      <c r="AC923">
        <v>3</v>
      </c>
      <c r="AD923">
        <v>0</v>
      </c>
      <c r="AE923">
        <v>9</v>
      </c>
      <c r="AF923" t="s">
        <v>138</v>
      </c>
      <c r="AG923">
        <v>0</v>
      </c>
      <c r="AH923">
        <v>3</v>
      </c>
      <c r="AI923">
        <v>2</v>
      </c>
      <c r="AJ923">
        <v>0</v>
      </c>
      <c r="AK923" t="s">
        <v>390</v>
      </c>
      <c r="AL923">
        <v>38.981960000000001</v>
      </c>
      <c r="AM923" t="s">
        <v>391</v>
      </c>
      <c r="AN923">
        <v>-121.05171900000001</v>
      </c>
      <c r="AO923">
        <v>25</v>
      </c>
      <c r="AP923">
        <v>3000</v>
      </c>
      <c r="AQ923" t="s">
        <v>131</v>
      </c>
      <c r="AR923">
        <v>-10</v>
      </c>
      <c r="AS923">
        <v>86</v>
      </c>
      <c r="AT923">
        <v>320</v>
      </c>
      <c r="BB923" t="str">
        <f t="shared" si="358"/>
        <v>1200</v>
      </c>
      <c r="BC923">
        <v>1</v>
      </c>
      <c r="BD923" t="str">
        <f t="shared" si="359"/>
        <v xml:space="preserve">N52156  </v>
      </c>
      <c r="BE923">
        <v>1</v>
      </c>
      <c r="BG923">
        <v>0</v>
      </c>
      <c r="BH923">
        <v>0</v>
      </c>
      <c r="BI923">
        <v>0</v>
      </c>
      <c r="BJ923">
        <v>2925</v>
      </c>
      <c r="BK923">
        <v>-75</v>
      </c>
      <c r="BL923" t="s">
        <v>188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 t="shared" si="367"/>
        <v>15:07:05.976</v>
      </c>
      <c r="CF923">
        <v>976452377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4</v>
      </c>
      <c r="CY923">
        <v>7</v>
      </c>
      <c r="CZ923" t="s">
        <v>133</v>
      </c>
      <c r="DA923">
        <v>275</v>
      </c>
      <c r="DB923">
        <v>0</v>
      </c>
      <c r="DC923" t="s">
        <v>134</v>
      </c>
      <c r="DD923" t="s">
        <v>135</v>
      </c>
      <c r="DG923">
        <v>3319466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"05/01/2025 15:07:06.235"</f>
        <v>05/01/2025 15:07:06.235</v>
      </c>
      <c r="C924" t="str">
        <f t="shared" si="356"/>
        <v>FFDFD3C0</v>
      </c>
      <c r="D924" t="s">
        <v>145</v>
      </c>
      <c r="E924" t="str">
        <f>"09"</f>
        <v>09</v>
      </c>
      <c r="H924">
        <v>51</v>
      </c>
      <c r="I924" t="s">
        <v>147</v>
      </c>
      <c r="J924" t="s">
        <v>138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R924" t="s">
        <v>127</v>
      </c>
      <c r="S924" t="str">
        <f t="shared" si="366"/>
        <v>15:07:05.000</v>
      </c>
      <c r="T924" t="str">
        <f t="shared" si="366"/>
        <v>15:07:05.000</v>
      </c>
      <c r="U924" t="str">
        <f t="shared" si="357"/>
        <v>A68FCB</v>
      </c>
      <c r="V924">
        <v>0</v>
      </c>
      <c r="W924">
        <v>0</v>
      </c>
      <c r="X924">
        <v>2</v>
      </c>
      <c r="Y924">
        <v>0</v>
      </c>
      <c r="AA924">
        <v>1</v>
      </c>
      <c r="AB924">
        <v>8</v>
      </c>
      <c r="AC924">
        <v>3</v>
      </c>
      <c r="AD924">
        <v>0</v>
      </c>
      <c r="AE924">
        <v>9</v>
      </c>
      <c r="AF924" t="s">
        <v>138</v>
      </c>
      <c r="AG924">
        <v>0</v>
      </c>
      <c r="AH924">
        <v>3</v>
      </c>
      <c r="AI924">
        <v>2</v>
      </c>
      <c r="AJ924">
        <v>0</v>
      </c>
      <c r="AK924" t="s">
        <v>390</v>
      </c>
      <c r="AL924">
        <v>38.981960000000001</v>
      </c>
      <c r="AM924" t="s">
        <v>391</v>
      </c>
      <c r="AN924">
        <v>-121.05171900000001</v>
      </c>
      <c r="AO924">
        <v>25</v>
      </c>
      <c r="AP924">
        <v>3000</v>
      </c>
      <c r="AQ924" t="s">
        <v>131</v>
      </c>
      <c r="AR924">
        <v>-10</v>
      </c>
      <c r="AS924">
        <v>86</v>
      </c>
      <c r="AT924">
        <v>320</v>
      </c>
      <c r="BB924" t="str">
        <f t="shared" si="358"/>
        <v>1200</v>
      </c>
      <c r="BC924">
        <v>1</v>
      </c>
      <c r="BD924" t="str">
        <f t="shared" si="359"/>
        <v xml:space="preserve">N52156  </v>
      </c>
      <c r="BE924">
        <v>1</v>
      </c>
      <c r="BG924">
        <v>0</v>
      </c>
      <c r="BH924">
        <v>0</v>
      </c>
      <c r="BI924">
        <v>0</v>
      </c>
      <c r="BJ924">
        <v>2925</v>
      </c>
      <c r="BK924">
        <v>-75</v>
      </c>
      <c r="BL924" t="s">
        <v>188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 t="shared" si="367"/>
        <v>15:07:05.976</v>
      </c>
      <c r="CF924">
        <v>976452377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4</v>
      </c>
      <c r="CY924">
        <v>7</v>
      </c>
      <c r="CZ924" t="s">
        <v>133</v>
      </c>
      <c r="DA924">
        <v>275</v>
      </c>
      <c r="DB924">
        <v>0</v>
      </c>
      <c r="DC924" t="s">
        <v>134</v>
      </c>
      <c r="DD924" t="s">
        <v>135</v>
      </c>
      <c r="DG924">
        <v>3319466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"05/01/2025 15:07:06.240"</f>
        <v>05/01/2025 15:07:06.240</v>
      </c>
      <c r="C925" t="str">
        <f t="shared" si="356"/>
        <v>FFDFD3C0</v>
      </c>
      <c r="D925" t="s">
        <v>136</v>
      </c>
      <c r="E925" t="str">
        <f>"20"</f>
        <v>20</v>
      </c>
      <c r="H925">
        <v>400</v>
      </c>
      <c r="I925" t="s">
        <v>137</v>
      </c>
      <c r="J925" t="s">
        <v>138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R925" t="s">
        <v>127</v>
      </c>
      <c r="S925" t="str">
        <f t="shared" si="366"/>
        <v>15:07:05.000</v>
      </c>
      <c r="T925" t="str">
        <f t="shared" si="366"/>
        <v>15:07:05.000</v>
      </c>
      <c r="U925" t="str">
        <f t="shared" si="357"/>
        <v>A68FCB</v>
      </c>
      <c r="V925">
        <v>0</v>
      </c>
      <c r="W925">
        <v>0</v>
      </c>
      <c r="X925">
        <v>2</v>
      </c>
      <c r="Y925">
        <v>0</v>
      </c>
      <c r="AA925">
        <v>1</v>
      </c>
      <c r="AB925">
        <v>8</v>
      </c>
      <c r="AC925">
        <v>3</v>
      </c>
      <c r="AD925">
        <v>0</v>
      </c>
      <c r="AE925">
        <v>9</v>
      </c>
      <c r="AF925" t="s">
        <v>138</v>
      </c>
      <c r="AG925">
        <v>0</v>
      </c>
      <c r="AH925">
        <v>3</v>
      </c>
      <c r="AI925">
        <v>2</v>
      </c>
      <c r="AJ925">
        <v>0</v>
      </c>
      <c r="AK925" t="s">
        <v>390</v>
      </c>
      <c r="AL925">
        <v>38.981960000000001</v>
      </c>
      <c r="AM925" t="s">
        <v>391</v>
      </c>
      <c r="AN925">
        <v>-121.05171900000001</v>
      </c>
      <c r="AO925">
        <v>25</v>
      </c>
      <c r="AP925">
        <v>3000</v>
      </c>
      <c r="AQ925" t="s">
        <v>131</v>
      </c>
      <c r="AR925">
        <v>-10</v>
      </c>
      <c r="AS925">
        <v>86</v>
      </c>
      <c r="AT925">
        <v>320</v>
      </c>
      <c r="BB925" t="str">
        <f t="shared" si="358"/>
        <v>1200</v>
      </c>
      <c r="BC925">
        <v>1</v>
      </c>
      <c r="BD925" t="str">
        <f t="shared" si="359"/>
        <v xml:space="preserve">N52156  </v>
      </c>
      <c r="BE925">
        <v>1</v>
      </c>
      <c r="BG925">
        <v>0</v>
      </c>
      <c r="BH925">
        <v>0</v>
      </c>
      <c r="BI925">
        <v>0</v>
      </c>
      <c r="BJ925">
        <v>2925</v>
      </c>
      <c r="BK925">
        <v>-75</v>
      </c>
      <c r="BL925" t="s">
        <v>188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 t="shared" si="367"/>
        <v>15:07:05.976</v>
      </c>
      <c r="CF925">
        <v>976452377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4</v>
      </c>
      <c r="CY925">
        <v>7</v>
      </c>
      <c r="CZ925" t="s">
        <v>133</v>
      </c>
      <c r="DA925">
        <v>275</v>
      </c>
      <c r="DB925">
        <v>0</v>
      </c>
      <c r="DC925" t="s">
        <v>134</v>
      </c>
      <c r="DD925" t="s">
        <v>135</v>
      </c>
      <c r="DG925">
        <v>3319466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"05/01/2025 15:07:07.125"</f>
        <v>05/01/2025 15:07:07.125</v>
      </c>
      <c r="C926" t="str">
        <f t="shared" si="356"/>
        <v>FFDFD3C0</v>
      </c>
      <c r="D926" t="s">
        <v>140</v>
      </c>
      <c r="E926" t="str">
        <f>"13"</f>
        <v>13</v>
      </c>
      <c r="F926">
        <v>1019</v>
      </c>
      <c r="G926" t="s">
        <v>141</v>
      </c>
      <c r="J926" t="s">
        <v>142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R926" t="s">
        <v>127</v>
      </c>
      <c r="S926" t="str">
        <f t="shared" ref="S926:T931" si="368">"15:07:06.000"</f>
        <v>15:07:06.000</v>
      </c>
      <c r="T926" t="str">
        <f t="shared" si="368"/>
        <v>15:07:06.000</v>
      </c>
      <c r="U926" t="str">
        <f t="shared" si="357"/>
        <v>A68FCB</v>
      </c>
      <c r="V926">
        <v>0</v>
      </c>
      <c r="W926">
        <v>0</v>
      </c>
      <c r="X926">
        <v>2</v>
      </c>
      <c r="Y926">
        <v>0</v>
      </c>
      <c r="AA926">
        <v>1</v>
      </c>
      <c r="AB926">
        <v>8</v>
      </c>
      <c r="AC926">
        <v>3</v>
      </c>
      <c r="AD926">
        <v>0</v>
      </c>
      <c r="AE926">
        <v>9</v>
      </c>
      <c r="AF926" t="s">
        <v>138</v>
      </c>
      <c r="AG926">
        <v>0</v>
      </c>
      <c r="AH926">
        <v>3</v>
      </c>
      <c r="AI926">
        <v>2</v>
      </c>
      <c r="AJ926">
        <v>0</v>
      </c>
      <c r="AK926" t="s">
        <v>392</v>
      </c>
      <c r="AL926">
        <v>38.982239</v>
      </c>
      <c r="AM926" t="s">
        <v>393</v>
      </c>
      <c r="AN926">
        <v>-121.05184800000001</v>
      </c>
      <c r="AO926">
        <v>25</v>
      </c>
      <c r="AP926">
        <v>3000</v>
      </c>
      <c r="AQ926" t="s">
        <v>131</v>
      </c>
      <c r="AR926">
        <v>-10</v>
      </c>
      <c r="AS926">
        <v>87</v>
      </c>
      <c r="AT926">
        <v>320</v>
      </c>
      <c r="BB926" t="str">
        <f t="shared" si="358"/>
        <v>1200</v>
      </c>
      <c r="BC926">
        <v>1</v>
      </c>
      <c r="BD926" t="str">
        <f t="shared" si="359"/>
        <v xml:space="preserve">N52156  </v>
      </c>
      <c r="BE926">
        <v>1</v>
      </c>
      <c r="BG926">
        <v>0</v>
      </c>
      <c r="BH926">
        <v>0</v>
      </c>
      <c r="BI926">
        <v>0</v>
      </c>
      <c r="BJ926">
        <v>2925</v>
      </c>
      <c r="BK926">
        <v>-75</v>
      </c>
      <c r="BL926" t="s">
        <v>188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 t="shared" ref="CE926:CE931" si="369">"15:07:06.920"</f>
        <v>15:07:06.920</v>
      </c>
      <c r="CF926">
        <v>920452261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4</v>
      </c>
      <c r="CY926">
        <v>7</v>
      </c>
      <c r="CZ926" t="s">
        <v>133</v>
      </c>
      <c r="DA926">
        <v>275</v>
      </c>
      <c r="DB926">
        <v>0</v>
      </c>
      <c r="DC926" t="s">
        <v>134</v>
      </c>
      <c r="DD926" t="s">
        <v>135</v>
      </c>
      <c r="DG926">
        <v>3319477</v>
      </c>
      <c r="DI926">
        <v>1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"05/01/2025 15:07:07.129"</f>
        <v>05/01/2025 15:07:07.129</v>
      </c>
      <c r="C927" t="str">
        <f t="shared" si="356"/>
        <v>FFDFD3C0</v>
      </c>
      <c r="D927" t="s">
        <v>145</v>
      </c>
      <c r="E927" t="str">
        <f>"05"</f>
        <v>05</v>
      </c>
      <c r="H927">
        <v>47</v>
      </c>
      <c r="I927" t="s">
        <v>146</v>
      </c>
      <c r="J927" t="s">
        <v>138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R927" t="s">
        <v>127</v>
      </c>
      <c r="S927" t="str">
        <f t="shared" si="368"/>
        <v>15:07:06.000</v>
      </c>
      <c r="T927" t="str">
        <f t="shared" si="368"/>
        <v>15:07:06.000</v>
      </c>
      <c r="U927" t="str">
        <f t="shared" si="357"/>
        <v>A68FCB</v>
      </c>
      <c r="V927">
        <v>0</v>
      </c>
      <c r="W927">
        <v>0</v>
      </c>
      <c r="X927">
        <v>2</v>
      </c>
      <c r="Y927">
        <v>0</v>
      </c>
      <c r="AA927">
        <v>1</v>
      </c>
      <c r="AB927">
        <v>8</v>
      </c>
      <c r="AC927">
        <v>3</v>
      </c>
      <c r="AD927">
        <v>0</v>
      </c>
      <c r="AE927">
        <v>9</v>
      </c>
      <c r="AF927" t="s">
        <v>138</v>
      </c>
      <c r="AG927">
        <v>0</v>
      </c>
      <c r="AH927">
        <v>3</v>
      </c>
      <c r="AI927">
        <v>2</v>
      </c>
      <c r="AJ927">
        <v>0</v>
      </c>
      <c r="AK927" t="s">
        <v>392</v>
      </c>
      <c r="AL927">
        <v>38.982239</v>
      </c>
      <c r="AM927" t="s">
        <v>393</v>
      </c>
      <c r="AN927">
        <v>-121.05184800000001</v>
      </c>
      <c r="AO927">
        <v>25</v>
      </c>
      <c r="AP927">
        <v>3000</v>
      </c>
      <c r="AQ927" t="s">
        <v>131</v>
      </c>
      <c r="AR927">
        <v>-10</v>
      </c>
      <c r="AS927">
        <v>87</v>
      </c>
      <c r="AT927">
        <v>320</v>
      </c>
      <c r="BB927" t="str">
        <f t="shared" si="358"/>
        <v>1200</v>
      </c>
      <c r="BC927">
        <v>1</v>
      </c>
      <c r="BD927" t="str">
        <f t="shared" si="359"/>
        <v xml:space="preserve">N52156  </v>
      </c>
      <c r="BE927">
        <v>1</v>
      </c>
      <c r="BG927">
        <v>0</v>
      </c>
      <c r="BH927">
        <v>0</v>
      </c>
      <c r="BI927">
        <v>0</v>
      </c>
      <c r="BJ927">
        <v>2925</v>
      </c>
      <c r="BK927">
        <v>-75</v>
      </c>
      <c r="BL927" t="s">
        <v>188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 t="shared" si="369"/>
        <v>15:07:06.920</v>
      </c>
      <c r="CF927">
        <v>920452261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4</v>
      </c>
      <c r="CY927">
        <v>7</v>
      </c>
      <c r="CZ927" t="s">
        <v>133</v>
      </c>
      <c r="DA927">
        <v>275</v>
      </c>
      <c r="DB927">
        <v>0</v>
      </c>
      <c r="DC927" t="s">
        <v>134</v>
      </c>
      <c r="DD927" t="s">
        <v>135</v>
      </c>
      <c r="DG927">
        <v>3319477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"05/01/2025 15:07:07.133"</f>
        <v>05/01/2025 15:07:07.133</v>
      </c>
      <c r="C928" t="str">
        <f t="shared" si="356"/>
        <v>FFDFD3C0</v>
      </c>
      <c r="D928" t="s">
        <v>143</v>
      </c>
      <c r="E928" t="str">
        <f>"05"</f>
        <v>05</v>
      </c>
      <c r="H928">
        <v>172</v>
      </c>
      <c r="I928" t="s">
        <v>141</v>
      </c>
      <c r="J928" t="s">
        <v>144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R928" t="s">
        <v>127</v>
      </c>
      <c r="S928" t="str">
        <f t="shared" si="368"/>
        <v>15:07:06.000</v>
      </c>
      <c r="T928" t="str">
        <f t="shared" si="368"/>
        <v>15:07:06.000</v>
      </c>
      <c r="U928" t="str">
        <f t="shared" si="357"/>
        <v>A68FCB</v>
      </c>
      <c r="V928">
        <v>0</v>
      </c>
      <c r="W928">
        <v>0</v>
      </c>
      <c r="X928">
        <v>2</v>
      </c>
      <c r="Y928">
        <v>0</v>
      </c>
      <c r="AA928">
        <v>1</v>
      </c>
      <c r="AB928">
        <v>8</v>
      </c>
      <c r="AC928">
        <v>3</v>
      </c>
      <c r="AD928">
        <v>0</v>
      </c>
      <c r="AE928">
        <v>9</v>
      </c>
      <c r="AF928" t="s">
        <v>138</v>
      </c>
      <c r="AG928">
        <v>0</v>
      </c>
      <c r="AH928">
        <v>3</v>
      </c>
      <c r="AI928">
        <v>2</v>
      </c>
      <c r="AJ928">
        <v>0</v>
      </c>
      <c r="AK928" t="s">
        <v>392</v>
      </c>
      <c r="AL928">
        <v>38.982239</v>
      </c>
      <c r="AM928" t="s">
        <v>393</v>
      </c>
      <c r="AN928">
        <v>-121.05184800000001</v>
      </c>
      <c r="AO928">
        <v>25</v>
      </c>
      <c r="AP928">
        <v>3000</v>
      </c>
      <c r="AQ928" t="s">
        <v>131</v>
      </c>
      <c r="AR928">
        <v>-10</v>
      </c>
      <c r="AS928">
        <v>87</v>
      </c>
      <c r="AT928">
        <v>320</v>
      </c>
      <c r="BB928" t="str">
        <f t="shared" si="358"/>
        <v>1200</v>
      </c>
      <c r="BC928">
        <v>1</v>
      </c>
      <c r="BD928" t="str">
        <f t="shared" si="359"/>
        <v xml:space="preserve">N52156  </v>
      </c>
      <c r="BE928">
        <v>1</v>
      </c>
      <c r="BG928">
        <v>0</v>
      </c>
      <c r="BH928">
        <v>0</v>
      </c>
      <c r="BI928">
        <v>0</v>
      </c>
      <c r="BJ928">
        <v>2925</v>
      </c>
      <c r="BK928">
        <v>-75</v>
      </c>
      <c r="BL928" t="s">
        <v>188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 t="shared" si="369"/>
        <v>15:07:06.920</v>
      </c>
      <c r="CF928">
        <v>920452261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4</v>
      </c>
      <c r="CY928">
        <v>7</v>
      </c>
      <c r="CZ928" t="s">
        <v>133</v>
      </c>
      <c r="DA928">
        <v>275</v>
      </c>
      <c r="DB928">
        <v>0</v>
      </c>
      <c r="DC928" t="s">
        <v>134</v>
      </c>
      <c r="DD928" t="s">
        <v>135</v>
      </c>
      <c r="DG928">
        <v>3319477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"05/01/2025 15:07:07.132"</f>
        <v>05/01/2025 15:07:07.132</v>
      </c>
      <c r="C929" t="str">
        <f t="shared" si="356"/>
        <v>FFDFD3C0</v>
      </c>
      <c r="D929" t="s">
        <v>124</v>
      </c>
      <c r="E929" t="str">
        <f>"06"</f>
        <v>06</v>
      </c>
      <c r="F929">
        <v>2006</v>
      </c>
      <c r="G929" t="s">
        <v>125</v>
      </c>
      <c r="J929" t="s">
        <v>126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R929" t="s">
        <v>127</v>
      </c>
      <c r="S929" t="str">
        <f t="shared" si="368"/>
        <v>15:07:06.000</v>
      </c>
      <c r="T929" t="str">
        <f t="shared" si="368"/>
        <v>15:07:06.000</v>
      </c>
      <c r="U929" t="str">
        <f t="shared" si="357"/>
        <v>A68FCB</v>
      </c>
      <c r="V929">
        <v>0</v>
      </c>
      <c r="W929">
        <v>0</v>
      </c>
      <c r="X929">
        <v>2</v>
      </c>
      <c r="Y929">
        <v>0</v>
      </c>
      <c r="AA929">
        <v>1</v>
      </c>
      <c r="AB929">
        <v>8</v>
      </c>
      <c r="AC929">
        <v>3</v>
      </c>
      <c r="AD929">
        <v>0</v>
      </c>
      <c r="AE929">
        <v>9</v>
      </c>
      <c r="AF929" t="s">
        <v>138</v>
      </c>
      <c r="AG929">
        <v>0</v>
      </c>
      <c r="AH929">
        <v>3</v>
      </c>
      <c r="AI929">
        <v>2</v>
      </c>
      <c r="AJ929">
        <v>0</v>
      </c>
      <c r="AK929" t="s">
        <v>392</v>
      </c>
      <c r="AL929">
        <v>38.982239</v>
      </c>
      <c r="AM929" t="s">
        <v>393</v>
      </c>
      <c r="AN929">
        <v>-121.05184800000001</v>
      </c>
      <c r="AO929">
        <v>25</v>
      </c>
      <c r="AP929">
        <v>3000</v>
      </c>
      <c r="AQ929" t="s">
        <v>131</v>
      </c>
      <c r="AR929">
        <v>-10</v>
      </c>
      <c r="AS929">
        <v>87</v>
      </c>
      <c r="AT929">
        <v>320</v>
      </c>
      <c r="BB929" t="str">
        <f t="shared" si="358"/>
        <v>1200</v>
      </c>
      <c r="BC929">
        <v>1</v>
      </c>
      <c r="BD929" t="str">
        <f t="shared" si="359"/>
        <v xml:space="preserve">N52156  </v>
      </c>
      <c r="BE929">
        <v>1</v>
      </c>
      <c r="BG929">
        <v>0</v>
      </c>
      <c r="BH929">
        <v>0</v>
      </c>
      <c r="BI929">
        <v>0</v>
      </c>
      <c r="BJ929">
        <v>2925</v>
      </c>
      <c r="BK929">
        <v>-75</v>
      </c>
      <c r="BL929" t="s">
        <v>188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 t="shared" si="369"/>
        <v>15:07:06.920</v>
      </c>
      <c r="CF929">
        <v>920452261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4</v>
      </c>
      <c r="CY929">
        <v>7</v>
      </c>
      <c r="CZ929" t="s">
        <v>133</v>
      </c>
      <c r="DA929">
        <v>275</v>
      </c>
      <c r="DB929">
        <v>0</v>
      </c>
      <c r="DC929" t="s">
        <v>134</v>
      </c>
      <c r="DD929" t="s">
        <v>135</v>
      </c>
      <c r="DG929">
        <v>3319477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"05/01/2025 15:07:07.136"</f>
        <v>05/01/2025 15:07:07.136</v>
      </c>
      <c r="C930" t="str">
        <f t="shared" si="356"/>
        <v>FFDFD3C0</v>
      </c>
      <c r="D930" t="s">
        <v>145</v>
      </c>
      <c r="E930" t="str">
        <f>"09"</f>
        <v>09</v>
      </c>
      <c r="H930">
        <v>51</v>
      </c>
      <c r="I930" t="s">
        <v>147</v>
      </c>
      <c r="J930" t="s">
        <v>138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R930" t="s">
        <v>127</v>
      </c>
      <c r="S930" t="str">
        <f t="shared" si="368"/>
        <v>15:07:06.000</v>
      </c>
      <c r="T930" t="str">
        <f t="shared" si="368"/>
        <v>15:07:06.000</v>
      </c>
      <c r="U930" t="str">
        <f t="shared" si="357"/>
        <v>A68FCB</v>
      </c>
      <c r="V930">
        <v>0</v>
      </c>
      <c r="W930">
        <v>0</v>
      </c>
      <c r="X930">
        <v>2</v>
      </c>
      <c r="Y930">
        <v>0</v>
      </c>
      <c r="AA930">
        <v>1</v>
      </c>
      <c r="AB930">
        <v>8</v>
      </c>
      <c r="AC930">
        <v>3</v>
      </c>
      <c r="AD930">
        <v>0</v>
      </c>
      <c r="AE930">
        <v>9</v>
      </c>
      <c r="AF930" t="s">
        <v>138</v>
      </c>
      <c r="AG930">
        <v>0</v>
      </c>
      <c r="AH930">
        <v>3</v>
      </c>
      <c r="AI930">
        <v>2</v>
      </c>
      <c r="AJ930">
        <v>0</v>
      </c>
      <c r="AK930" t="s">
        <v>392</v>
      </c>
      <c r="AL930">
        <v>38.982239</v>
      </c>
      <c r="AM930" t="s">
        <v>393</v>
      </c>
      <c r="AN930">
        <v>-121.05184800000001</v>
      </c>
      <c r="AO930">
        <v>25</v>
      </c>
      <c r="AP930">
        <v>3000</v>
      </c>
      <c r="AQ930" t="s">
        <v>131</v>
      </c>
      <c r="AR930">
        <v>-10</v>
      </c>
      <c r="AS930">
        <v>87</v>
      </c>
      <c r="AT930">
        <v>320</v>
      </c>
      <c r="BB930" t="str">
        <f t="shared" si="358"/>
        <v>1200</v>
      </c>
      <c r="BC930">
        <v>1</v>
      </c>
      <c r="BD930" t="str">
        <f t="shared" si="359"/>
        <v xml:space="preserve">N52156  </v>
      </c>
      <c r="BE930">
        <v>1</v>
      </c>
      <c r="BG930">
        <v>0</v>
      </c>
      <c r="BH930">
        <v>0</v>
      </c>
      <c r="BI930">
        <v>0</v>
      </c>
      <c r="BJ930">
        <v>2925</v>
      </c>
      <c r="BK930">
        <v>-75</v>
      </c>
      <c r="BL930" t="s">
        <v>188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 t="shared" si="369"/>
        <v>15:07:06.920</v>
      </c>
      <c r="CF930">
        <v>920452261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4</v>
      </c>
      <c r="CY930">
        <v>7</v>
      </c>
      <c r="CZ930" t="s">
        <v>133</v>
      </c>
      <c r="DA930">
        <v>275</v>
      </c>
      <c r="DB930">
        <v>0</v>
      </c>
      <c r="DC930" t="s">
        <v>134</v>
      </c>
      <c r="DD930" t="s">
        <v>135</v>
      </c>
      <c r="DG930">
        <v>3319477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"05/01/2025 15:07:07.141"</f>
        <v>05/01/2025 15:07:07.141</v>
      </c>
      <c r="C931" t="str">
        <f t="shared" si="356"/>
        <v>FFDFD3C0</v>
      </c>
      <c r="D931" t="s">
        <v>136</v>
      </c>
      <c r="E931" t="str">
        <f>"20"</f>
        <v>20</v>
      </c>
      <c r="H931">
        <v>400</v>
      </c>
      <c r="I931" t="s">
        <v>137</v>
      </c>
      <c r="J931" t="s">
        <v>138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R931" t="s">
        <v>127</v>
      </c>
      <c r="S931" t="str">
        <f t="shared" si="368"/>
        <v>15:07:06.000</v>
      </c>
      <c r="T931" t="str">
        <f t="shared" si="368"/>
        <v>15:07:06.000</v>
      </c>
      <c r="U931" t="str">
        <f t="shared" si="357"/>
        <v>A68FCB</v>
      </c>
      <c r="V931">
        <v>0</v>
      </c>
      <c r="W931">
        <v>0</v>
      </c>
      <c r="X931">
        <v>2</v>
      </c>
      <c r="Y931">
        <v>0</v>
      </c>
      <c r="AA931">
        <v>1</v>
      </c>
      <c r="AB931">
        <v>8</v>
      </c>
      <c r="AC931">
        <v>3</v>
      </c>
      <c r="AD931">
        <v>0</v>
      </c>
      <c r="AE931">
        <v>9</v>
      </c>
      <c r="AF931" t="s">
        <v>138</v>
      </c>
      <c r="AG931">
        <v>0</v>
      </c>
      <c r="AH931">
        <v>3</v>
      </c>
      <c r="AI931">
        <v>2</v>
      </c>
      <c r="AJ931">
        <v>0</v>
      </c>
      <c r="AK931" t="s">
        <v>392</v>
      </c>
      <c r="AL931">
        <v>38.982239</v>
      </c>
      <c r="AM931" t="s">
        <v>393</v>
      </c>
      <c r="AN931">
        <v>-121.05184800000001</v>
      </c>
      <c r="AO931">
        <v>25</v>
      </c>
      <c r="AP931">
        <v>3000</v>
      </c>
      <c r="AQ931" t="s">
        <v>131</v>
      </c>
      <c r="AR931">
        <v>-10</v>
      </c>
      <c r="AS931">
        <v>87</v>
      </c>
      <c r="AT931">
        <v>320</v>
      </c>
      <c r="BB931" t="str">
        <f t="shared" si="358"/>
        <v>1200</v>
      </c>
      <c r="BC931">
        <v>1</v>
      </c>
      <c r="BD931" t="str">
        <f t="shared" si="359"/>
        <v xml:space="preserve">N52156  </v>
      </c>
      <c r="BE931">
        <v>1</v>
      </c>
      <c r="BG931">
        <v>0</v>
      </c>
      <c r="BH931">
        <v>0</v>
      </c>
      <c r="BI931">
        <v>0</v>
      </c>
      <c r="BJ931">
        <v>2925</v>
      </c>
      <c r="BK931">
        <v>-75</v>
      </c>
      <c r="BL931" t="s">
        <v>188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 t="shared" si="369"/>
        <v>15:07:06.920</v>
      </c>
      <c r="CF931">
        <v>920452261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4</v>
      </c>
      <c r="CY931">
        <v>7</v>
      </c>
      <c r="CZ931" t="s">
        <v>133</v>
      </c>
      <c r="DA931">
        <v>275</v>
      </c>
      <c r="DB931">
        <v>0</v>
      </c>
      <c r="DC931" t="s">
        <v>134</v>
      </c>
      <c r="DD931" t="s">
        <v>135</v>
      </c>
      <c r="DG931">
        <v>3319477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"05/01/2025 15:07:07.441"</f>
        <v>05/01/2025 15:07:07.441</v>
      </c>
      <c r="C932" t="str">
        <f t="shared" si="356"/>
        <v>FFDFD3C0</v>
      </c>
      <c r="D932" t="s">
        <v>136</v>
      </c>
      <c r="E932" t="str">
        <f>"20"</f>
        <v>20</v>
      </c>
      <c r="H932">
        <v>400</v>
      </c>
      <c r="I932" t="s">
        <v>137</v>
      </c>
      <c r="J932" t="s">
        <v>138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R932" t="s">
        <v>127</v>
      </c>
      <c r="S932" t="str">
        <f t="shared" ref="S932:T937" si="370">"15:07:07.000"</f>
        <v>15:07:07.000</v>
      </c>
      <c r="T932" t="str">
        <f t="shared" si="370"/>
        <v>15:07:07.000</v>
      </c>
      <c r="U932" t="str">
        <f t="shared" si="357"/>
        <v>A68FCB</v>
      </c>
      <c r="V932">
        <v>0</v>
      </c>
      <c r="W932">
        <v>0</v>
      </c>
      <c r="X932">
        <v>2</v>
      </c>
      <c r="Y932">
        <v>0</v>
      </c>
      <c r="AA932">
        <v>1</v>
      </c>
      <c r="AB932">
        <v>8</v>
      </c>
      <c r="AC932">
        <v>3</v>
      </c>
      <c r="AD932">
        <v>0</v>
      </c>
      <c r="AE932">
        <v>9</v>
      </c>
      <c r="AF932" t="s">
        <v>138</v>
      </c>
      <c r="AG932">
        <v>0</v>
      </c>
      <c r="AH932">
        <v>3</v>
      </c>
      <c r="AI932">
        <v>2</v>
      </c>
      <c r="AJ932">
        <v>0</v>
      </c>
      <c r="AK932" t="s">
        <v>394</v>
      </c>
      <c r="AL932">
        <v>38.982646000000003</v>
      </c>
      <c r="AM932" t="s">
        <v>395</v>
      </c>
      <c r="AN932">
        <v>-121.051912</v>
      </c>
      <c r="AO932">
        <v>25</v>
      </c>
      <c r="AP932">
        <v>3000</v>
      </c>
      <c r="AQ932" t="s">
        <v>131</v>
      </c>
      <c r="AR932">
        <v>-10</v>
      </c>
      <c r="AS932">
        <v>87</v>
      </c>
      <c r="AT932">
        <v>320</v>
      </c>
      <c r="BB932" t="str">
        <f t="shared" si="358"/>
        <v>1200</v>
      </c>
      <c r="BC932">
        <v>1</v>
      </c>
      <c r="BD932" t="str">
        <f t="shared" si="359"/>
        <v xml:space="preserve">N52156  </v>
      </c>
      <c r="BE932">
        <v>1</v>
      </c>
      <c r="BG932">
        <v>0</v>
      </c>
      <c r="BH932">
        <v>0</v>
      </c>
      <c r="BI932">
        <v>0</v>
      </c>
      <c r="BJ932">
        <v>2925</v>
      </c>
      <c r="BK932">
        <v>-75</v>
      </c>
      <c r="BL932" t="s">
        <v>188</v>
      </c>
      <c r="BM932">
        <v>1</v>
      </c>
      <c r="BN932">
        <v>1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 t="shared" ref="CE932:CE937" si="371">"15:07:07.235"</f>
        <v>15:07:07.235</v>
      </c>
      <c r="CF932">
        <v>235450594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4</v>
      </c>
      <c r="CY932">
        <v>7</v>
      </c>
      <c r="CZ932" t="s">
        <v>133</v>
      </c>
      <c r="DA932">
        <v>275</v>
      </c>
      <c r="DB932">
        <v>0</v>
      </c>
      <c r="DC932" t="s">
        <v>134</v>
      </c>
      <c r="DD932" t="s">
        <v>135</v>
      </c>
      <c r="DG932">
        <v>3319483</v>
      </c>
      <c r="DI932">
        <v>1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"05/01/2025 15:07:07.476"</f>
        <v>05/01/2025 15:07:07.476</v>
      </c>
      <c r="C933" t="str">
        <f t="shared" si="356"/>
        <v>FFDFD3C0</v>
      </c>
      <c r="D933" t="s">
        <v>140</v>
      </c>
      <c r="E933" t="str">
        <f>"13"</f>
        <v>13</v>
      </c>
      <c r="F933">
        <v>1019</v>
      </c>
      <c r="G933" t="s">
        <v>141</v>
      </c>
      <c r="J933" t="s">
        <v>142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R933" t="s">
        <v>127</v>
      </c>
      <c r="S933" t="str">
        <f t="shared" si="370"/>
        <v>15:07:07.000</v>
      </c>
      <c r="T933" t="str">
        <f t="shared" si="370"/>
        <v>15:07:07.000</v>
      </c>
      <c r="U933" t="str">
        <f t="shared" si="357"/>
        <v>A68FCB</v>
      </c>
      <c r="V933">
        <v>0</v>
      </c>
      <c r="W933">
        <v>0</v>
      </c>
      <c r="X933">
        <v>2</v>
      </c>
      <c r="Y933">
        <v>0</v>
      </c>
      <c r="AA933">
        <v>1</v>
      </c>
      <c r="AB933">
        <v>8</v>
      </c>
      <c r="AC933">
        <v>3</v>
      </c>
      <c r="AD933">
        <v>0</v>
      </c>
      <c r="AE933">
        <v>9</v>
      </c>
      <c r="AF933" t="s">
        <v>138</v>
      </c>
      <c r="AG933">
        <v>0</v>
      </c>
      <c r="AH933">
        <v>3</v>
      </c>
      <c r="AI933">
        <v>2</v>
      </c>
      <c r="AJ933">
        <v>0</v>
      </c>
      <c r="AK933" t="s">
        <v>394</v>
      </c>
      <c r="AL933">
        <v>38.982646000000003</v>
      </c>
      <c r="AM933" t="s">
        <v>395</v>
      </c>
      <c r="AN933">
        <v>-121.051912</v>
      </c>
      <c r="AO933">
        <v>25</v>
      </c>
      <c r="AP933">
        <v>3000</v>
      </c>
      <c r="AQ933" t="s">
        <v>131</v>
      </c>
      <c r="AR933">
        <v>-10</v>
      </c>
      <c r="AS933">
        <v>87</v>
      </c>
      <c r="AT933">
        <v>320</v>
      </c>
      <c r="BB933" t="str">
        <f t="shared" si="358"/>
        <v>1200</v>
      </c>
      <c r="BC933">
        <v>1</v>
      </c>
      <c r="BD933" t="str">
        <f t="shared" si="359"/>
        <v xml:space="preserve">N52156  </v>
      </c>
      <c r="BE933">
        <v>1</v>
      </c>
      <c r="BG933">
        <v>0</v>
      </c>
      <c r="BH933">
        <v>0</v>
      </c>
      <c r="BI933">
        <v>0</v>
      </c>
      <c r="BJ933">
        <v>2925</v>
      </c>
      <c r="BK933">
        <v>-75</v>
      </c>
      <c r="BL933" t="s">
        <v>188</v>
      </c>
      <c r="BM933">
        <v>1</v>
      </c>
      <c r="BN933">
        <v>1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 t="shared" si="371"/>
        <v>15:07:07.235</v>
      </c>
      <c r="CF933">
        <v>235450594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4</v>
      </c>
      <c r="CY933">
        <v>7</v>
      </c>
      <c r="CZ933" t="s">
        <v>133</v>
      </c>
      <c r="DA933">
        <v>275</v>
      </c>
      <c r="DB933">
        <v>0</v>
      </c>
      <c r="DC933" t="s">
        <v>134</v>
      </c>
      <c r="DD933" t="s">
        <v>135</v>
      </c>
      <c r="DG933">
        <v>3319483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"05/01/2025 15:07:07.483"</f>
        <v>05/01/2025 15:07:07.483</v>
      </c>
      <c r="C934" t="str">
        <f t="shared" si="356"/>
        <v>FFDFD3C0</v>
      </c>
      <c r="D934" t="s">
        <v>124</v>
      </c>
      <c r="E934" t="str">
        <f>"06"</f>
        <v>06</v>
      </c>
      <c r="F934">
        <v>2006</v>
      </c>
      <c r="G934" t="s">
        <v>125</v>
      </c>
      <c r="J934" t="s">
        <v>126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R934" t="s">
        <v>127</v>
      </c>
      <c r="S934" t="str">
        <f t="shared" si="370"/>
        <v>15:07:07.000</v>
      </c>
      <c r="T934" t="str">
        <f t="shared" si="370"/>
        <v>15:07:07.000</v>
      </c>
      <c r="U934" t="str">
        <f t="shared" si="357"/>
        <v>A68FCB</v>
      </c>
      <c r="V934">
        <v>0</v>
      </c>
      <c r="W934">
        <v>0</v>
      </c>
      <c r="X934">
        <v>2</v>
      </c>
      <c r="Y934">
        <v>0</v>
      </c>
      <c r="AA934">
        <v>1</v>
      </c>
      <c r="AB934">
        <v>8</v>
      </c>
      <c r="AC934">
        <v>3</v>
      </c>
      <c r="AD934">
        <v>0</v>
      </c>
      <c r="AE934">
        <v>9</v>
      </c>
      <c r="AF934" t="s">
        <v>138</v>
      </c>
      <c r="AG934">
        <v>0</v>
      </c>
      <c r="AH934">
        <v>3</v>
      </c>
      <c r="AI934">
        <v>2</v>
      </c>
      <c r="AJ934">
        <v>0</v>
      </c>
      <c r="AK934" t="s">
        <v>394</v>
      </c>
      <c r="AL934">
        <v>38.982646000000003</v>
      </c>
      <c r="AM934" t="s">
        <v>395</v>
      </c>
      <c r="AN934">
        <v>-121.051912</v>
      </c>
      <c r="AO934">
        <v>25</v>
      </c>
      <c r="AP934">
        <v>3000</v>
      </c>
      <c r="AQ934" t="s">
        <v>131</v>
      </c>
      <c r="AR934">
        <v>-10</v>
      </c>
      <c r="AS934">
        <v>87</v>
      </c>
      <c r="AT934">
        <v>320</v>
      </c>
      <c r="BB934" t="str">
        <f t="shared" si="358"/>
        <v>1200</v>
      </c>
      <c r="BC934">
        <v>1</v>
      </c>
      <c r="BD934" t="str">
        <f t="shared" si="359"/>
        <v xml:space="preserve">N52156  </v>
      </c>
      <c r="BE934">
        <v>1</v>
      </c>
      <c r="BG934">
        <v>0</v>
      </c>
      <c r="BH934">
        <v>0</v>
      </c>
      <c r="BI934">
        <v>0</v>
      </c>
      <c r="BJ934">
        <v>2925</v>
      </c>
      <c r="BK934">
        <v>-75</v>
      </c>
      <c r="BL934" t="s">
        <v>188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 t="shared" si="371"/>
        <v>15:07:07.235</v>
      </c>
      <c r="CF934">
        <v>235450594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4</v>
      </c>
      <c r="CY934">
        <v>7</v>
      </c>
      <c r="CZ934" t="s">
        <v>133</v>
      </c>
      <c r="DA934">
        <v>275</v>
      </c>
      <c r="DB934">
        <v>0</v>
      </c>
      <c r="DC934" t="s">
        <v>134</v>
      </c>
      <c r="DD934" t="s">
        <v>135</v>
      </c>
      <c r="DG934">
        <v>3319483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"05/01/2025 15:07:07.479"</f>
        <v>05/01/2025 15:07:07.479</v>
      </c>
      <c r="C935" t="str">
        <f t="shared" si="356"/>
        <v>FFDFD3C0</v>
      </c>
      <c r="D935" t="s">
        <v>145</v>
      </c>
      <c r="E935" t="str">
        <f>"05"</f>
        <v>05</v>
      </c>
      <c r="H935">
        <v>47</v>
      </c>
      <c r="I935" t="s">
        <v>146</v>
      </c>
      <c r="J935" t="s">
        <v>138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R935" t="s">
        <v>127</v>
      </c>
      <c r="S935" t="str">
        <f t="shared" si="370"/>
        <v>15:07:07.000</v>
      </c>
      <c r="T935" t="str">
        <f t="shared" si="370"/>
        <v>15:07:07.000</v>
      </c>
      <c r="U935" t="str">
        <f t="shared" si="357"/>
        <v>A68FCB</v>
      </c>
      <c r="V935">
        <v>0</v>
      </c>
      <c r="W935">
        <v>0</v>
      </c>
      <c r="X935">
        <v>2</v>
      </c>
      <c r="Y935">
        <v>0</v>
      </c>
      <c r="AA935">
        <v>1</v>
      </c>
      <c r="AB935">
        <v>8</v>
      </c>
      <c r="AC935">
        <v>3</v>
      </c>
      <c r="AD935">
        <v>0</v>
      </c>
      <c r="AE935">
        <v>9</v>
      </c>
      <c r="AF935" t="s">
        <v>138</v>
      </c>
      <c r="AG935">
        <v>0</v>
      </c>
      <c r="AH935">
        <v>3</v>
      </c>
      <c r="AI935">
        <v>2</v>
      </c>
      <c r="AJ935">
        <v>0</v>
      </c>
      <c r="AK935" t="s">
        <v>394</v>
      </c>
      <c r="AL935">
        <v>38.982646000000003</v>
      </c>
      <c r="AM935" t="s">
        <v>395</v>
      </c>
      <c r="AN935">
        <v>-121.051912</v>
      </c>
      <c r="AO935">
        <v>25</v>
      </c>
      <c r="AP935">
        <v>3000</v>
      </c>
      <c r="AQ935" t="s">
        <v>131</v>
      </c>
      <c r="AR935">
        <v>-10</v>
      </c>
      <c r="AS935">
        <v>87</v>
      </c>
      <c r="AT935">
        <v>320</v>
      </c>
      <c r="BB935" t="str">
        <f t="shared" si="358"/>
        <v>1200</v>
      </c>
      <c r="BC935">
        <v>1</v>
      </c>
      <c r="BD935" t="str">
        <f t="shared" si="359"/>
        <v xml:space="preserve">N52156  </v>
      </c>
      <c r="BE935">
        <v>1</v>
      </c>
      <c r="BG935">
        <v>0</v>
      </c>
      <c r="BH935">
        <v>0</v>
      </c>
      <c r="BI935">
        <v>0</v>
      </c>
      <c r="BJ935">
        <v>2925</v>
      </c>
      <c r="BK935">
        <v>-75</v>
      </c>
      <c r="BL935" t="s">
        <v>188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 t="shared" si="371"/>
        <v>15:07:07.235</v>
      </c>
      <c r="CF935">
        <v>235450594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4</v>
      </c>
      <c r="CY935">
        <v>7</v>
      </c>
      <c r="CZ935" t="s">
        <v>133</v>
      </c>
      <c r="DA935">
        <v>275</v>
      </c>
      <c r="DB935">
        <v>0</v>
      </c>
      <c r="DC935" t="s">
        <v>134</v>
      </c>
      <c r="DD935" t="s">
        <v>135</v>
      </c>
      <c r="DG935">
        <v>3319483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"05/01/2025 15:07:07.484"</f>
        <v>05/01/2025 15:07:07.484</v>
      </c>
      <c r="C936" t="str">
        <f t="shared" si="356"/>
        <v>FFDFD3C0</v>
      </c>
      <c r="D936" t="s">
        <v>143</v>
      </c>
      <c r="E936" t="str">
        <f>"05"</f>
        <v>05</v>
      </c>
      <c r="H936">
        <v>172</v>
      </c>
      <c r="I936" t="s">
        <v>141</v>
      </c>
      <c r="J936" t="s">
        <v>144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R936" t="s">
        <v>127</v>
      </c>
      <c r="S936" t="str">
        <f t="shared" si="370"/>
        <v>15:07:07.000</v>
      </c>
      <c r="T936" t="str">
        <f t="shared" si="370"/>
        <v>15:07:07.000</v>
      </c>
      <c r="U936" t="str">
        <f t="shared" si="357"/>
        <v>A68FCB</v>
      </c>
      <c r="V936">
        <v>0</v>
      </c>
      <c r="W936">
        <v>0</v>
      </c>
      <c r="X936">
        <v>2</v>
      </c>
      <c r="Y936">
        <v>0</v>
      </c>
      <c r="AA936">
        <v>1</v>
      </c>
      <c r="AB936">
        <v>8</v>
      </c>
      <c r="AC936">
        <v>3</v>
      </c>
      <c r="AD936">
        <v>0</v>
      </c>
      <c r="AE936">
        <v>9</v>
      </c>
      <c r="AF936" t="s">
        <v>138</v>
      </c>
      <c r="AG936">
        <v>0</v>
      </c>
      <c r="AH936">
        <v>3</v>
      </c>
      <c r="AI936">
        <v>2</v>
      </c>
      <c r="AJ936">
        <v>0</v>
      </c>
      <c r="AK936" t="s">
        <v>394</v>
      </c>
      <c r="AL936">
        <v>38.982646000000003</v>
      </c>
      <c r="AM936" t="s">
        <v>395</v>
      </c>
      <c r="AN936">
        <v>-121.051912</v>
      </c>
      <c r="AO936">
        <v>25</v>
      </c>
      <c r="AP936">
        <v>3000</v>
      </c>
      <c r="AQ936" t="s">
        <v>131</v>
      </c>
      <c r="AR936">
        <v>-10</v>
      </c>
      <c r="AS936">
        <v>87</v>
      </c>
      <c r="AT936">
        <v>320</v>
      </c>
      <c r="BB936" t="str">
        <f t="shared" si="358"/>
        <v>1200</v>
      </c>
      <c r="BC936">
        <v>1</v>
      </c>
      <c r="BD936" t="str">
        <f t="shared" si="359"/>
        <v xml:space="preserve">N52156  </v>
      </c>
      <c r="BE936">
        <v>1</v>
      </c>
      <c r="BG936">
        <v>0</v>
      </c>
      <c r="BH936">
        <v>0</v>
      </c>
      <c r="BI936">
        <v>0</v>
      </c>
      <c r="BJ936">
        <v>2925</v>
      </c>
      <c r="BK936">
        <v>-75</v>
      </c>
      <c r="BL936" t="s">
        <v>188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 t="shared" si="371"/>
        <v>15:07:07.235</v>
      </c>
      <c r="CF936">
        <v>235450594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4</v>
      </c>
      <c r="CY936">
        <v>7</v>
      </c>
      <c r="CZ936" t="s">
        <v>133</v>
      </c>
      <c r="DA936">
        <v>275</v>
      </c>
      <c r="DB936">
        <v>0</v>
      </c>
      <c r="DC936" t="s">
        <v>134</v>
      </c>
      <c r="DD936" t="s">
        <v>135</v>
      </c>
      <c r="DG936">
        <v>3319483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"05/01/2025 15:07:07.486"</f>
        <v>05/01/2025 15:07:07.486</v>
      </c>
      <c r="C937" t="str">
        <f t="shared" si="356"/>
        <v>FFDFD3C0</v>
      </c>
      <c r="D937" t="s">
        <v>145</v>
      </c>
      <c r="E937" t="str">
        <f>"09"</f>
        <v>09</v>
      </c>
      <c r="H937">
        <v>51</v>
      </c>
      <c r="I937" t="s">
        <v>147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R937" t="s">
        <v>127</v>
      </c>
      <c r="S937" t="str">
        <f t="shared" si="370"/>
        <v>15:07:07.000</v>
      </c>
      <c r="T937" t="str">
        <f t="shared" si="370"/>
        <v>15:07:07.000</v>
      </c>
      <c r="U937" t="str">
        <f t="shared" si="357"/>
        <v>A68FCB</v>
      </c>
      <c r="V937">
        <v>0</v>
      </c>
      <c r="W937">
        <v>0</v>
      </c>
      <c r="X937">
        <v>2</v>
      </c>
      <c r="Y937">
        <v>0</v>
      </c>
      <c r="AA937">
        <v>1</v>
      </c>
      <c r="AB937">
        <v>8</v>
      </c>
      <c r="AC937">
        <v>3</v>
      </c>
      <c r="AD937">
        <v>0</v>
      </c>
      <c r="AE937">
        <v>9</v>
      </c>
      <c r="AF937" t="s">
        <v>138</v>
      </c>
      <c r="AG937">
        <v>0</v>
      </c>
      <c r="AH937">
        <v>3</v>
      </c>
      <c r="AI937">
        <v>2</v>
      </c>
      <c r="AJ937">
        <v>0</v>
      </c>
      <c r="AK937" t="s">
        <v>394</v>
      </c>
      <c r="AL937">
        <v>38.982646000000003</v>
      </c>
      <c r="AM937" t="s">
        <v>395</v>
      </c>
      <c r="AN937">
        <v>-121.051912</v>
      </c>
      <c r="AO937">
        <v>25</v>
      </c>
      <c r="AP937">
        <v>3000</v>
      </c>
      <c r="AQ937" t="s">
        <v>131</v>
      </c>
      <c r="AR937">
        <v>-10</v>
      </c>
      <c r="AS937">
        <v>87</v>
      </c>
      <c r="AT937">
        <v>320</v>
      </c>
      <c r="BB937" t="str">
        <f t="shared" si="358"/>
        <v>1200</v>
      </c>
      <c r="BC937">
        <v>1</v>
      </c>
      <c r="BD937" t="str">
        <f t="shared" si="359"/>
        <v xml:space="preserve">N52156  </v>
      </c>
      <c r="BE937">
        <v>1</v>
      </c>
      <c r="BG937">
        <v>0</v>
      </c>
      <c r="BH937">
        <v>0</v>
      </c>
      <c r="BI937">
        <v>0</v>
      </c>
      <c r="BJ937">
        <v>2925</v>
      </c>
      <c r="BK937">
        <v>-75</v>
      </c>
      <c r="BL937" t="s">
        <v>188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 t="shared" si="371"/>
        <v>15:07:07.235</v>
      </c>
      <c r="CF937">
        <v>235450594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4</v>
      </c>
      <c r="CY937">
        <v>7</v>
      </c>
      <c r="CZ937" t="s">
        <v>133</v>
      </c>
      <c r="DA937">
        <v>275</v>
      </c>
      <c r="DB937">
        <v>0</v>
      </c>
      <c r="DC937" t="s">
        <v>134</v>
      </c>
      <c r="DD937" t="s">
        <v>135</v>
      </c>
      <c r="DG937">
        <v>3319483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"05/01/2025 15:07:09.229"</f>
        <v>05/01/2025 15:07:09.229</v>
      </c>
      <c r="C938" t="str">
        <f t="shared" si="356"/>
        <v>FFDFD3C0</v>
      </c>
      <c r="D938" t="s">
        <v>140</v>
      </c>
      <c r="E938" t="str">
        <f>"13"</f>
        <v>13</v>
      </c>
      <c r="F938">
        <v>1019</v>
      </c>
      <c r="G938" t="s">
        <v>141</v>
      </c>
      <c r="J938" t="s">
        <v>142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R938" t="s">
        <v>127</v>
      </c>
      <c r="S938" t="str">
        <f t="shared" ref="S938:T943" si="372">"15:07:08.000"</f>
        <v>15:07:08.000</v>
      </c>
      <c r="T938" t="str">
        <f t="shared" si="372"/>
        <v>15:07:08.000</v>
      </c>
      <c r="U938" t="str">
        <f t="shared" si="357"/>
        <v>A68FCB</v>
      </c>
      <c r="V938">
        <v>0</v>
      </c>
      <c r="W938">
        <v>0</v>
      </c>
      <c r="X938">
        <v>2</v>
      </c>
      <c r="Y938">
        <v>0</v>
      </c>
      <c r="AA938">
        <v>1</v>
      </c>
      <c r="AB938">
        <v>8</v>
      </c>
      <c r="AC938">
        <v>3</v>
      </c>
      <c r="AD938">
        <v>0</v>
      </c>
      <c r="AE938">
        <v>9</v>
      </c>
      <c r="AF938" t="s">
        <v>138</v>
      </c>
      <c r="AG938">
        <v>0</v>
      </c>
      <c r="AH938">
        <v>3</v>
      </c>
      <c r="AI938">
        <v>2</v>
      </c>
      <c r="AJ938">
        <v>0</v>
      </c>
      <c r="AK938" t="s">
        <v>396</v>
      </c>
      <c r="AL938">
        <v>38.983054000000003</v>
      </c>
      <c r="AM938" t="s">
        <v>397</v>
      </c>
      <c r="AN938">
        <v>-121.05197699999999</v>
      </c>
      <c r="AO938">
        <v>25</v>
      </c>
      <c r="AP938">
        <v>3000</v>
      </c>
      <c r="AQ938" t="s">
        <v>131</v>
      </c>
      <c r="AR938">
        <v>-11</v>
      </c>
      <c r="AS938">
        <v>88</v>
      </c>
      <c r="AT938">
        <v>256</v>
      </c>
      <c r="BB938" t="str">
        <f t="shared" si="358"/>
        <v>1200</v>
      </c>
      <c r="BC938">
        <v>1</v>
      </c>
      <c r="BD938" t="str">
        <f t="shared" si="359"/>
        <v xml:space="preserve">N52156  </v>
      </c>
      <c r="BE938">
        <v>1</v>
      </c>
      <c r="BG938">
        <v>0</v>
      </c>
      <c r="BH938">
        <v>0</v>
      </c>
      <c r="BI938">
        <v>0</v>
      </c>
      <c r="BJ938">
        <v>2950</v>
      </c>
      <c r="BK938">
        <v>-50</v>
      </c>
      <c r="BL938" t="s">
        <v>188</v>
      </c>
      <c r="BM938">
        <v>1</v>
      </c>
      <c r="BN938">
        <v>1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 t="shared" ref="CE938:CE943" si="373">"15:07:08.989"</f>
        <v>15:07:08.989</v>
      </c>
      <c r="CF938">
        <v>988952492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4</v>
      </c>
      <c r="CY938">
        <v>7</v>
      </c>
      <c r="CZ938" t="s">
        <v>133</v>
      </c>
      <c r="DA938">
        <v>275</v>
      </c>
      <c r="DB938">
        <v>0</v>
      </c>
      <c r="DC938" t="s">
        <v>134</v>
      </c>
      <c r="DD938" t="s">
        <v>135</v>
      </c>
      <c r="DG938">
        <v>3319504</v>
      </c>
      <c r="DI938">
        <v>1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"05/01/2025 15:07:09.233"</f>
        <v>05/01/2025 15:07:09.233</v>
      </c>
      <c r="C939" t="str">
        <f t="shared" si="356"/>
        <v>FFDFD3C0</v>
      </c>
      <c r="D939" t="s">
        <v>145</v>
      </c>
      <c r="E939" t="str">
        <f>"05"</f>
        <v>05</v>
      </c>
      <c r="H939">
        <v>47</v>
      </c>
      <c r="I939" t="s">
        <v>146</v>
      </c>
      <c r="J939" t="s">
        <v>138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R939" t="s">
        <v>127</v>
      </c>
      <c r="S939" t="str">
        <f t="shared" si="372"/>
        <v>15:07:08.000</v>
      </c>
      <c r="T939" t="str">
        <f t="shared" si="372"/>
        <v>15:07:08.000</v>
      </c>
      <c r="U939" t="str">
        <f t="shared" si="357"/>
        <v>A68FCB</v>
      </c>
      <c r="V939">
        <v>0</v>
      </c>
      <c r="W939">
        <v>0</v>
      </c>
      <c r="X939">
        <v>2</v>
      </c>
      <c r="Y939">
        <v>0</v>
      </c>
      <c r="AA939">
        <v>1</v>
      </c>
      <c r="AB939">
        <v>8</v>
      </c>
      <c r="AC939">
        <v>3</v>
      </c>
      <c r="AD939">
        <v>0</v>
      </c>
      <c r="AE939">
        <v>9</v>
      </c>
      <c r="AF939" t="s">
        <v>138</v>
      </c>
      <c r="AG939">
        <v>0</v>
      </c>
      <c r="AH939">
        <v>3</v>
      </c>
      <c r="AI939">
        <v>2</v>
      </c>
      <c r="AJ939">
        <v>0</v>
      </c>
      <c r="AK939" t="s">
        <v>396</v>
      </c>
      <c r="AL939">
        <v>38.983054000000003</v>
      </c>
      <c r="AM939" t="s">
        <v>397</v>
      </c>
      <c r="AN939">
        <v>-121.05197699999999</v>
      </c>
      <c r="AO939">
        <v>25</v>
      </c>
      <c r="AP939">
        <v>3000</v>
      </c>
      <c r="AQ939" t="s">
        <v>131</v>
      </c>
      <c r="AR939">
        <v>-11</v>
      </c>
      <c r="AS939">
        <v>88</v>
      </c>
      <c r="AT939">
        <v>256</v>
      </c>
      <c r="BB939" t="str">
        <f t="shared" si="358"/>
        <v>1200</v>
      </c>
      <c r="BC939">
        <v>1</v>
      </c>
      <c r="BD939" t="str">
        <f t="shared" si="359"/>
        <v xml:space="preserve">N52156  </v>
      </c>
      <c r="BE939">
        <v>1</v>
      </c>
      <c r="BG939">
        <v>0</v>
      </c>
      <c r="BH939">
        <v>0</v>
      </c>
      <c r="BI939">
        <v>0</v>
      </c>
      <c r="BJ939">
        <v>2950</v>
      </c>
      <c r="BK939">
        <v>-50</v>
      </c>
      <c r="BL939" t="s">
        <v>188</v>
      </c>
      <c r="BM939">
        <v>1</v>
      </c>
      <c r="BN939">
        <v>1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 t="shared" si="373"/>
        <v>15:07:08.989</v>
      </c>
      <c r="CF939">
        <v>988952492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4</v>
      </c>
      <c r="CY939">
        <v>7</v>
      </c>
      <c r="CZ939" t="s">
        <v>133</v>
      </c>
      <c r="DA939">
        <v>275</v>
      </c>
      <c r="DB939">
        <v>0</v>
      </c>
      <c r="DC939" t="s">
        <v>134</v>
      </c>
      <c r="DD939" t="s">
        <v>135</v>
      </c>
      <c r="DG939">
        <v>3319504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"05/01/2025 15:07:09.237"</f>
        <v>05/01/2025 15:07:09.237</v>
      </c>
      <c r="C940" t="str">
        <f t="shared" si="356"/>
        <v>FFDFD3C0</v>
      </c>
      <c r="D940" t="s">
        <v>143</v>
      </c>
      <c r="E940" t="str">
        <f>"05"</f>
        <v>05</v>
      </c>
      <c r="H940">
        <v>172</v>
      </c>
      <c r="I940" t="s">
        <v>141</v>
      </c>
      <c r="J940" t="s">
        <v>144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R940" t="s">
        <v>127</v>
      </c>
      <c r="S940" t="str">
        <f t="shared" si="372"/>
        <v>15:07:08.000</v>
      </c>
      <c r="T940" t="str">
        <f t="shared" si="372"/>
        <v>15:07:08.000</v>
      </c>
      <c r="U940" t="str">
        <f t="shared" si="357"/>
        <v>A68FCB</v>
      </c>
      <c r="V940">
        <v>0</v>
      </c>
      <c r="W940">
        <v>0</v>
      </c>
      <c r="X940">
        <v>2</v>
      </c>
      <c r="Y940">
        <v>0</v>
      </c>
      <c r="AA940">
        <v>1</v>
      </c>
      <c r="AB940">
        <v>8</v>
      </c>
      <c r="AC940">
        <v>3</v>
      </c>
      <c r="AD940">
        <v>0</v>
      </c>
      <c r="AE940">
        <v>9</v>
      </c>
      <c r="AF940" t="s">
        <v>138</v>
      </c>
      <c r="AG940">
        <v>0</v>
      </c>
      <c r="AH940">
        <v>3</v>
      </c>
      <c r="AI940">
        <v>2</v>
      </c>
      <c r="AJ940">
        <v>0</v>
      </c>
      <c r="AK940" t="s">
        <v>396</v>
      </c>
      <c r="AL940">
        <v>38.983054000000003</v>
      </c>
      <c r="AM940" t="s">
        <v>397</v>
      </c>
      <c r="AN940">
        <v>-121.05197699999999</v>
      </c>
      <c r="AO940">
        <v>25</v>
      </c>
      <c r="AP940">
        <v>3000</v>
      </c>
      <c r="AQ940" t="s">
        <v>131</v>
      </c>
      <c r="AR940">
        <v>-11</v>
      </c>
      <c r="AS940">
        <v>88</v>
      </c>
      <c r="AT940">
        <v>256</v>
      </c>
      <c r="BB940" t="str">
        <f t="shared" si="358"/>
        <v>1200</v>
      </c>
      <c r="BC940">
        <v>1</v>
      </c>
      <c r="BD940" t="str">
        <f t="shared" si="359"/>
        <v xml:space="preserve">N52156  </v>
      </c>
      <c r="BE940">
        <v>1</v>
      </c>
      <c r="BG940">
        <v>0</v>
      </c>
      <c r="BH940">
        <v>0</v>
      </c>
      <c r="BI940">
        <v>0</v>
      </c>
      <c r="BJ940">
        <v>2950</v>
      </c>
      <c r="BK940">
        <v>-50</v>
      </c>
      <c r="BL940" t="s">
        <v>188</v>
      </c>
      <c r="BM940">
        <v>1</v>
      </c>
      <c r="BN940">
        <v>1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 t="shared" si="373"/>
        <v>15:07:08.989</v>
      </c>
      <c r="CF940">
        <v>988952492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4</v>
      </c>
      <c r="CY940">
        <v>7</v>
      </c>
      <c r="CZ940" t="s">
        <v>133</v>
      </c>
      <c r="DA940">
        <v>275</v>
      </c>
      <c r="DB940">
        <v>0</v>
      </c>
      <c r="DC940" t="s">
        <v>134</v>
      </c>
      <c r="DD940" t="s">
        <v>135</v>
      </c>
      <c r="DG940">
        <v>3319504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"05/01/2025 15:07:09.236"</f>
        <v>05/01/2025 15:07:09.236</v>
      </c>
      <c r="C941" t="str">
        <f t="shared" si="356"/>
        <v>FFDFD3C0</v>
      </c>
      <c r="D941" t="s">
        <v>124</v>
      </c>
      <c r="E941" t="str">
        <f>"06"</f>
        <v>06</v>
      </c>
      <c r="F941">
        <v>2006</v>
      </c>
      <c r="G941" t="s">
        <v>125</v>
      </c>
      <c r="J941" t="s">
        <v>126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R941" t="s">
        <v>127</v>
      </c>
      <c r="S941" t="str">
        <f t="shared" si="372"/>
        <v>15:07:08.000</v>
      </c>
      <c r="T941" t="str">
        <f t="shared" si="372"/>
        <v>15:07:08.000</v>
      </c>
      <c r="U941" t="str">
        <f t="shared" si="357"/>
        <v>A68FCB</v>
      </c>
      <c r="V941">
        <v>0</v>
      </c>
      <c r="W941">
        <v>0</v>
      </c>
      <c r="X941">
        <v>2</v>
      </c>
      <c r="Y941">
        <v>0</v>
      </c>
      <c r="AA941">
        <v>1</v>
      </c>
      <c r="AB941">
        <v>8</v>
      </c>
      <c r="AC941">
        <v>3</v>
      </c>
      <c r="AD941">
        <v>0</v>
      </c>
      <c r="AE941">
        <v>9</v>
      </c>
      <c r="AF941" t="s">
        <v>138</v>
      </c>
      <c r="AG941">
        <v>0</v>
      </c>
      <c r="AH941">
        <v>3</v>
      </c>
      <c r="AI941">
        <v>2</v>
      </c>
      <c r="AJ941">
        <v>0</v>
      </c>
      <c r="AK941" t="s">
        <v>396</v>
      </c>
      <c r="AL941">
        <v>38.983054000000003</v>
      </c>
      <c r="AM941" t="s">
        <v>397</v>
      </c>
      <c r="AN941">
        <v>-121.05197699999999</v>
      </c>
      <c r="AO941">
        <v>25</v>
      </c>
      <c r="AP941">
        <v>3000</v>
      </c>
      <c r="AQ941" t="s">
        <v>131</v>
      </c>
      <c r="AR941">
        <v>-11</v>
      </c>
      <c r="AS941">
        <v>88</v>
      </c>
      <c r="AT941">
        <v>256</v>
      </c>
      <c r="BB941" t="str">
        <f t="shared" si="358"/>
        <v>1200</v>
      </c>
      <c r="BC941">
        <v>1</v>
      </c>
      <c r="BD941" t="str">
        <f t="shared" si="359"/>
        <v xml:space="preserve">N52156  </v>
      </c>
      <c r="BE941">
        <v>1</v>
      </c>
      <c r="BG941">
        <v>0</v>
      </c>
      <c r="BH941">
        <v>0</v>
      </c>
      <c r="BI941">
        <v>0</v>
      </c>
      <c r="BJ941">
        <v>2950</v>
      </c>
      <c r="BK941">
        <v>-50</v>
      </c>
      <c r="BL941" t="s">
        <v>188</v>
      </c>
      <c r="BM941">
        <v>1</v>
      </c>
      <c r="BN941">
        <v>1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 t="shared" si="373"/>
        <v>15:07:08.989</v>
      </c>
      <c r="CF941">
        <v>988952492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4</v>
      </c>
      <c r="CY941">
        <v>7</v>
      </c>
      <c r="CZ941" t="s">
        <v>133</v>
      </c>
      <c r="DA941">
        <v>275</v>
      </c>
      <c r="DB941">
        <v>0</v>
      </c>
      <c r="DC941" t="s">
        <v>134</v>
      </c>
      <c r="DD941" t="s">
        <v>135</v>
      </c>
      <c r="DG941">
        <v>3319504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"05/01/2025 15:07:09.240"</f>
        <v>05/01/2025 15:07:09.240</v>
      </c>
      <c r="C942" t="str">
        <f t="shared" si="356"/>
        <v>FFDFD3C0</v>
      </c>
      <c r="D942" t="s">
        <v>145</v>
      </c>
      <c r="E942" t="str">
        <f>"09"</f>
        <v>09</v>
      </c>
      <c r="H942">
        <v>51</v>
      </c>
      <c r="I942" t="s">
        <v>147</v>
      </c>
      <c r="J942" t="s">
        <v>138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R942" t="s">
        <v>127</v>
      </c>
      <c r="S942" t="str">
        <f t="shared" si="372"/>
        <v>15:07:08.000</v>
      </c>
      <c r="T942" t="str">
        <f t="shared" si="372"/>
        <v>15:07:08.000</v>
      </c>
      <c r="U942" t="str">
        <f t="shared" si="357"/>
        <v>A68FCB</v>
      </c>
      <c r="V942">
        <v>0</v>
      </c>
      <c r="W942">
        <v>0</v>
      </c>
      <c r="X942">
        <v>2</v>
      </c>
      <c r="Y942">
        <v>0</v>
      </c>
      <c r="AA942">
        <v>1</v>
      </c>
      <c r="AB942">
        <v>8</v>
      </c>
      <c r="AC942">
        <v>3</v>
      </c>
      <c r="AD942">
        <v>0</v>
      </c>
      <c r="AE942">
        <v>9</v>
      </c>
      <c r="AF942" t="s">
        <v>138</v>
      </c>
      <c r="AG942">
        <v>0</v>
      </c>
      <c r="AH942">
        <v>3</v>
      </c>
      <c r="AI942">
        <v>2</v>
      </c>
      <c r="AJ942">
        <v>0</v>
      </c>
      <c r="AK942" t="s">
        <v>396</v>
      </c>
      <c r="AL942">
        <v>38.983054000000003</v>
      </c>
      <c r="AM942" t="s">
        <v>397</v>
      </c>
      <c r="AN942">
        <v>-121.05197699999999</v>
      </c>
      <c r="AO942">
        <v>25</v>
      </c>
      <c r="AP942">
        <v>3000</v>
      </c>
      <c r="AQ942" t="s">
        <v>131</v>
      </c>
      <c r="AR942">
        <v>-11</v>
      </c>
      <c r="AS942">
        <v>88</v>
      </c>
      <c r="AT942">
        <v>256</v>
      </c>
      <c r="BB942" t="str">
        <f t="shared" si="358"/>
        <v>1200</v>
      </c>
      <c r="BC942">
        <v>1</v>
      </c>
      <c r="BD942" t="str">
        <f t="shared" si="359"/>
        <v xml:space="preserve">N52156  </v>
      </c>
      <c r="BE942">
        <v>1</v>
      </c>
      <c r="BG942">
        <v>0</v>
      </c>
      <c r="BH942">
        <v>0</v>
      </c>
      <c r="BI942">
        <v>0</v>
      </c>
      <c r="BJ942">
        <v>2950</v>
      </c>
      <c r="BK942">
        <v>-50</v>
      </c>
      <c r="BL942" t="s">
        <v>188</v>
      </c>
      <c r="BM942">
        <v>1</v>
      </c>
      <c r="BN942">
        <v>1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 t="shared" si="373"/>
        <v>15:07:08.989</v>
      </c>
      <c r="CF942">
        <v>988952492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4</v>
      </c>
      <c r="CY942">
        <v>7</v>
      </c>
      <c r="CZ942" t="s">
        <v>133</v>
      </c>
      <c r="DA942">
        <v>275</v>
      </c>
      <c r="DB942">
        <v>0</v>
      </c>
      <c r="DC942" t="s">
        <v>134</v>
      </c>
      <c r="DD942" t="s">
        <v>135</v>
      </c>
      <c r="DG942">
        <v>3319504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"05/01/2025 15:07:09.245"</f>
        <v>05/01/2025 15:07:09.245</v>
      </c>
      <c r="C943" t="str">
        <f t="shared" si="356"/>
        <v>FFDFD3C0</v>
      </c>
      <c r="D943" t="s">
        <v>136</v>
      </c>
      <c r="E943" t="str">
        <f>"20"</f>
        <v>20</v>
      </c>
      <c r="H943">
        <v>400</v>
      </c>
      <c r="I943" t="s">
        <v>137</v>
      </c>
      <c r="J943" t="s">
        <v>138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R943" t="s">
        <v>127</v>
      </c>
      <c r="S943" t="str">
        <f t="shared" si="372"/>
        <v>15:07:08.000</v>
      </c>
      <c r="T943" t="str">
        <f t="shared" si="372"/>
        <v>15:07:08.000</v>
      </c>
      <c r="U943" t="str">
        <f t="shared" si="357"/>
        <v>A68FCB</v>
      </c>
      <c r="V943">
        <v>0</v>
      </c>
      <c r="W943">
        <v>0</v>
      </c>
      <c r="X943">
        <v>2</v>
      </c>
      <c r="Y943">
        <v>0</v>
      </c>
      <c r="AA943">
        <v>1</v>
      </c>
      <c r="AB943">
        <v>8</v>
      </c>
      <c r="AC943">
        <v>3</v>
      </c>
      <c r="AD943">
        <v>0</v>
      </c>
      <c r="AE943">
        <v>9</v>
      </c>
      <c r="AF943" t="s">
        <v>138</v>
      </c>
      <c r="AG943">
        <v>0</v>
      </c>
      <c r="AH943">
        <v>3</v>
      </c>
      <c r="AI943">
        <v>2</v>
      </c>
      <c r="AJ943">
        <v>0</v>
      </c>
      <c r="AK943" t="s">
        <v>396</v>
      </c>
      <c r="AL943">
        <v>38.983054000000003</v>
      </c>
      <c r="AM943" t="s">
        <v>397</v>
      </c>
      <c r="AN943">
        <v>-121.05197699999999</v>
      </c>
      <c r="AO943">
        <v>25</v>
      </c>
      <c r="AP943">
        <v>3000</v>
      </c>
      <c r="AQ943" t="s">
        <v>131</v>
      </c>
      <c r="AR943">
        <v>-11</v>
      </c>
      <c r="AS943">
        <v>88</v>
      </c>
      <c r="AT943">
        <v>256</v>
      </c>
      <c r="BB943" t="str">
        <f t="shared" si="358"/>
        <v>1200</v>
      </c>
      <c r="BC943">
        <v>1</v>
      </c>
      <c r="BD943" t="str">
        <f t="shared" si="359"/>
        <v xml:space="preserve">N52156  </v>
      </c>
      <c r="BE943">
        <v>1</v>
      </c>
      <c r="BG943">
        <v>0</v>
      </c>
      <c r="BH943">
        <v>0</v>
      </c>
      <c r="BI943">
        <v>0</v>
      </c>
      <c r="BJ943">
        <v>2950</v>
      </c>
      <c r="BK943">
        <v>-50</v>
      </c>
      <c r="BL943" t="s">
        <v>188</v>
      </c>
      <c r="BM943">
        <v>1</v>
      </c>
      <c r="BN943">
        <v>1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 t="shared" si="373"/>
        <v>15:07:08.989</v>
      </c>
      <c r="CF943">
        <v>988952492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4</v>
      </c>
      <c r="CY943">
        <v>7</v>
      </c>
      <c r="CZ943" t="s">
        <v>133</v>
      </c>
      <c r="DA943">
        <v>275</v>
      </c>
      <c r="DB943">
        <v>0</v>
      </c>
      <c r="DC943" t="s">
        <v>134</v>
      </c>
      <c r="DD943" t="s">
        <v>135</v>
      </c>
      <c r="DG943">
        <v>3319504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"05/01/2025 15:07:09.930"</f>
        <v>05/01/2025 15:07:09.930</v>
      </c>
      <c r="C944" t="str">
        <f t="shared" si="356"/>
        <v>FFDFD3C0</v>
      </c>
      <c r="D944" t="s">
        <v>140</v>
      </c>
      <c r="E944" t="str">
        <f>"13"</f>
        <v>13</v>
      </c>
      <c r="F944">
        <v>1019</v>
      </c>
      <c r="G944" t="s">
        <v>141</v>
      </c>
      <c r="J944" t="s">
        <v>142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R944" t="s">
        <v>127</v>
      </c>
      <c r="S944" t="str">
        <f t="shared" ref="S944:T949" si="374">"15:07:09.000"</f>
        <v>15:07:09.000</v>
      </c>
      <c r="T944" t="str">
        <f t="shared" si="374"/>
        <v>15:07:09.000</v>
      </c>
      <c r="U944" t="str">
        <f t="shared" si="357"/>
        <v>A68FCB</v>
      </c>
      <c r="V944">
        <v>0</v>
      </c>
      <c r="W944">
        <v>0</v>
      </c>
      <c r="X944">
        <v>2</v>
      </c>
      <c r="Y944">
        <v>0</v>
      </c>
      <c r="AA944">
        <v>1</v>
      </c>
      <c r="AB944">
        <v>8</v>
      </c>
      <c r="AC944">
        <v>3</v>
      </c>
      <c r="AD944">
        <v>0</v>
      </c>
      <c r="AE944">
        <v>9</v>
      </c>
      <c r="AF944" t="s">
        <v>138</v>
      </c>
      <c r="AG944">
        <v>0</v>
      </c>
      <c r="AH944">
        <v>3</v>
      </c>
      <c r="AI944">
        <v>2</v>
      </c>
      <c r="AJ944">
        <v>0</v>
      </c>
      <c r="AK944" t="s">
        <v>398</v>
      </c>
      <c r="AL944">
        <v>38.983462000000003</v>
      </c>
      <c r="AM944" t="s">
        <v>399</v>
      </c>
      <c r="AN944">
        <v>-121.052041</v>
      </c>
      <c r="AO944">
        <v>25</v>
      </c>
      <c r="AP944">
        <v>3000</v>
      </c>
      <c r="AQ944" t="s">
        <v>131</v>
      </c>
      <c r="AR944">
        <v>-11</v>
      </c>
      <c r="AS944">
        <v>89</v>
      </c>
      <c r="AT944">
        <v>320</v>
      </c>
      <c r="BB944" t="str">
        <f t="shared" si="358"/>
        <v>1200</v>
      </c>
      <c r="BC944">
        <v>1</v>
      </c>
      <c r="BD944" t="str">
        <f t="shared" si="359"/>
        <v xml:space="preserve">N52156  </v>
      </c>
      <c r="BE944">
        <v>1</v>
      </c>
      <c r="BG944">
        <v>0</v>
      </c>
      <c r="BH944">
        <v>0</v>
      </c>
      <c r="BI944">
        <v>0</v>
      </c>
      <c r="BJ944">
        <v>2950</v>
      </c>
      <c r="BK944">
        <v>-50</v>
      </c>
      <c r="BL944" t="s">
        <v>188</v>
      </c>
      <c r="BM944">
        <v>1</v>
      </c>
      <c r="BN944">
        <v>1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 t="shared" ref="CE944:CE949" si="375">"15:07:09.702"</f>
        <v>15:07:09.702</v>
      </c>
      <c r="CF944">
        <v>702451802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4</v>
      </c>
      <c r="CY944">
        <v>7</v>
      </c>
      <c r="CZ944" t="s">
        <v>133</v>
      </c>
      <c r="DA944">
        <v>275</v>
      </c>
      <c r="DB944">
        <v>0</v>
      </c>
      <c r="DC944" t="s">
        <v>134</v>
      </c>
      <c r="DD944" t="s">
        <v>135</v>
      </c>
      <c r="DG944">
        <v>3319512</v>
      </c>
      <c r="DI944">
        <v>1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"05/01/2025 15:07:09.934"</f>
        <v>05/01/2025 15:07:09.934</v>
      </c>
      <c r="C945" t="str">
        <f t="shared" si="356"/>
        <v>FFDFD3C0</v>
      </c>
      <c r="D945" t="s">
        <v>145</v>
      </c>
      <c r="E945" t="str">
        <f>"05"</f>
        <v>05</v>
      </c>
      <c r="H945">
        <v>47</v>
      </c>
      <c r="I945" t="s">
        <v>146</v>
      </c>
      <c r="J945" t="s">
        <v>138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R945" t="s">
        <v>127</v>
      </c>
      <c r="S945" t="str">
        <f t="shared" si="374"/>
        <v>15:07:09.000</v>
      </c>
      <c r="T945" t="str">
        <f t="shared" si="374"/>
        <v>15:07:09.000</v>
      </c>
      <c r="U945" t="str">
        <f t="shared" si="357"/>
        <v>A68FCB</v>
      </c>
      <c r="V945">
        <v>0</v>
      </c>
      <c r="W945">
        <v>0</v>
      </c>
      <c r="X945">
        <v>2</v>
      </c>
      <c r="Y945">
        <v>0</v>
      </c>
      <c r="AA945">
        <v>1</v>
      </c>
      <c r="AB945">
        <v>8</v>
      </c>
      <c r="AC945">
        <v>3</v>
      </c>
      <c r="AD945">
        <v>0</v>
      </c>
      <c r="AE945">
        <v>9</v>
      </c>
      <c r="AF945" t="s">
        <v>138</v>
      </c>
      <c r="AG945">
        <v>0</v>
      </c>
      <c r="AH945">
        <v>3</v>
      </c>
      <c r="AI945">
        <v>2</v>
      </c>
      <c r="AJ945">
        <v>0</v>
      </c>
      <c r="AK945" t="s">
        <v>398</v>
      </c>
      <c r="AL945">
        <v>38.983462000000003</v>
      </c>
      <c r="AM945" t="s">
        <v>399</v>
      </c>
      <c r="AN945">
        <v>-121.052041</v>
      </c>
      <c r="AO945">
        <v>25</v>
      </c>
      <c r="AP945">
        <v>3000</v>
      </c>
      <c r="AQ945" t="s">
        <v>131</v>
      </c>
      <c r="AR945">
        <v>-11</v>
      </c>
      <c r="AS945">
        <v>89</v>
      </c>
      <c r="AT945">
        <v>320</v>
      </c>
      <c r="BB945" t="str">
        <f t="shared" si="358"/>
        <v>1200</v>
      </c>
      <c r="BC945">
        <v>1</v>
      </c>
      <c r="BD945" t="str">
        <f t="shared" si="359"/>
        <v xml:space="preserve">N52156  </v>
      </c>
      <c r="BE945">
        <v>1</v>
      </c>
      <c r="BG945">
        <v>0</v>
      </c>
      <c r="BH945">
        <v>0</v>
      </c>
      <c r="BI945">
        <v>0</v>
      </c>
      <c r="BJ945">
        <v>2950</v>
      </c>
      <c r="BK945">
        <v>-50</v>
      </c>
      <c r="BL945" t="s">
        <v>188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 t="shared" si="375"/>
        <v>15:07:09.702</v>
      </c>
      <c r="CF945">
        <v>702451802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4</v>
      </c>
      <c r="CY945">
        <v>7</v>
      </c>
      <c r="CZ945" t="s">
        <v>133</v>
      </c>
      <c r="DA945">
        <v>275</v>
      </c>
      <c r="DB945">
        <v>0</v>
      </c>
      <c r="DC945" t="s">
        <v>134</v>
      </c>
      <c r="DD945" t="s">
        <v>135</v>
      </c>
      <c r="DG945">
        <v>3319512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"05/01/2025 15:07:09.937"</f>
        <v>05/01/2025 15:07:09.937</v>
      </c>
      <c r="C946" t="str">
        <f t="shared" si="356"/>
        <v>FFDFD3C0</v>
      </c>
      <c r="D946" t="s">
        <v>124</v>
      </c>
      <c r="E946" t="str">
        <f>"06"</f>
        <v>06</v>
      </c>
      <c r="F946">
        <v>2006</v>
      </c>
      <c r="G946" t="s">
        <v>125</v>
      </c>
      <c r="J946" t="s">
        <v>126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R946" t="s">
        <v>127</v>
      </c>
      <c r="S946" t="str">
        <f t="shared" si="374"/>
        <v>15:07:09.000</v>
      </c>
      <c r="T946" t="str">
        <f t="shared" si="374"/>
        <v>15:07:09.000</v>
      </c>
      <c r="U946" t="str">
        <f t="shared" si="357"/>
        <v>A68FCB</v>
      </c>
      <c r="V946">
        <v>0</v>
      </c>
      <c r="W946">
        <v>0</v>
      </c>
      <c r="X946">
        <v>2</v>
      </c>
      <c r="Y946">
        <v>0</v>
      </c>
      <c r="AA946">
        <v>1</v>
      </c>
      <c r="AB946">
        <v>8</v>
      </c>
      <c r="AC946">
        <v>3</v>
      </c>
      <c r="AD946">
        <v>0</v>
      </c>
      <c r="AE946">
        <v>9</v>
      </c>
      <c r="AF946" t="s">
        <v>138</v>
      </c>
      <c r="AG946">
        <v>0</v>
      </c>
      <c r="AH946">
        <v>3</v>
      </c>
      <c r="AI946">
        <v>2</v>
      </c>
      <c r="AJ946">
        <v>0</v>
      </c>
      <c r="AK946" t="s">
        <v>398</v>
      </c>
      <c r="AL946">
        <v>38.983462000000003</v>
      </c>
      <c r="AM946" t="s">
        <v>399</v>
      </c>
      <c r="AN946">
        <v>-121.052041</v>
      </c>
      <c r="AO946">
        <v>25</v>
      </c>
      <c r="AP946">
        <v>3000</v>
      </c>
      <c r="AQ946" t="s">
        <v>131</v>
      </c>
      <c r="AR946">
        <v>-11</v>
      </c>
      <c r="AS946">
        <v>89</v>
      </c>
      <c r="AT946">
        <v>320</v>
      </c>
      <c r="BB946" t="str">
        <f t="shared" si="358"/>
        <v>1200</v>
      </c>
      <c r="BC946">
        <v>1</v>
      </c>
      <c r="BD946" t="str">
        <f t="shared" si="359"/>
        <v xml:space="preserve">N52156  </v>
      </c>
      <c r="BE946">
        <v>1</v>
      </c>
      <c r="BG946">
        <v>0</v>
      </c>
      <c r="BH946">
        <v>0</v>
      </c>
      <c r="BI946">
        <v>0</v>
      </c>
      <c r="BJ946">
        <v>2950</v>
      </c>
      <c r="BK946">
        <v>-50</v>
      </c>
      <c r="BL946" t="s">
        <v>188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 t="shared" si="375"/>
        <v>15:07:09.702</v>
      </c>
      <c r="CF946">
        <v>702451802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4</v>
      </c>
      <c r="CY946">
        <v>7</v>
      </c>
      <c r="CZ946" t="s">
        <v>133</v>
      </c>
      <c r="DA946">
        <v>275</v>
      </c>
      <c r="DB946">
        <v>0</v>
      </c>
      <c r="DC946" t="s">
        <v>134</v>
      </c>
      <c r="DD946" t="s">
        <v>135</v>
      </c>
      <c r="DG946">
        <v>3319512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"05/01/2025 15:07:09.938"</f>
        <v>05/01/2025 15:07:09.938</v>
      </c>
      <c r="C947" t="str">
        <f t="shared" si="356"/>
        <v>FFDFD3C0</v>
      </c>
      <c r="D947" t="s">
        <v>143</v>
      </c>
      <c r="E947" t="str">
        <f>"05"</f>
        <v>05</v>
      </c>
      <c r="H947">
        <v>172</v>
      </c>
      <c r="I947" t="s">
        <v>141</v>
      </c>
      <c r="J947" t="s">
        <v>144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R947" t="s">
        <v>127</v>
      </c>
      <c r="S947" t="str">
        <f t="shared" si="374"/>
        <v>15:07:09.000</v>
      </c>
      <c r="T947" t="str">
        <f t="shared" si="374"/>
        <v>15:07:09.000</v>
      </c>
      <c r="U947" t="str">
        <f t="shared" si="357"/>
        <v>A68FCB</v>
      </c>
      <c r="V947">
        <v>0</v>
      </c>
      <c r="W947">
        <v>0</v>
      </c>
      <c r="X947">
        <v>2</v>
      </c>
      <c r="Y947">
        <v>0</v>
      </c>
      <c r="AA947">
        <v>1</v>
      </c>
      <c r="AB947">
        <v>8</v>
      </c>
      <c r="AC947">
        <v>3</v>
      </c>
      <c r="AD947">
        <v>0</v>
      </c>
      <c r="AE947">
        <v>9</v>
      </c>
      <c r="AF947" t="s">
        <v>138</v>
      </c>
      <c r="AG947">
        <v>0</v>
      </c>
      <c r="AH947">
        <v>3</v>
      </c>
      <c r="AI947">
        <v>2</v>
      </c>
      <c r="AJ947">
        <v>0</v>
      </c>
      <c r="AK947" t="s">
        <v>398</v>
      </c>
      <c r="AL947">
        <v>38.983462000000003</v>
      </c>
      <c r="AM947" t="s">
        <v>399</v>
      </c>
      <c r="AN947">
        <v>-121.052041</v>
      </c>
      <c r="AO947">
        <v>25</v>
      </c>
      <c r="AP947">
        <v>3000</v>
      </c>
      <c r="AQ947" t="s">
        <v>131</v>
      </c>
      <c r="AR947">
        <v>-11</v>
      </c>
      <c r="AS947">
        <v>89</v>
      </c>
      <c r="AT947">
        <v>320</v>
      </c>
      <c r="BB947" t="str">
        <f t="shared" si="358"/>
        <v>1200</v>
      </c>
      <c r="BC947">
        <v>1</v>
      </c>
      <c r="BD947" t="str">
        <f t="shared" si="359"/>
        <v xml:space="preserve">N52156  </v>
      </c>
      <c r="BE947">
        <v>1</v>
      </c>
      <c r="BG947">
        <v>0</v>
      </c>
      <c r="BH947">
        <v>0</v>
      </c>
      <c r="BI947">
        <v>0</v>
      </c>
      <c r="BJ947">
        <v>2950</v>
      </c>
      <c r="BK947">
        <v>-50</v>
      </c>
      <c r="BL947" t="s">
        <v>188</v>
      </c>
      <c r="BM947">
        <v>1</v>
      </c>
      <c r="BN947">
        <v>1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 t="shared" si="375"/>
        <v>15:07:09.702</v>
      </c>
      <c r="CF947">
        <v>702451802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4</v>
      </c>
      <c r="CY947">
        <v>7</v>
      </c>
      <c r="CZ947" t="s">
        <v>133</v>
      </c>
      <c r="DA947">
        <v>275</v>
      </c>
      <c r="DB947">
        <v>0</v>
      </c>
      <c r="DC947" t="s">
        <v>134</v>
      </c>
      <c r="DD947" t="s">
        <v>135</v>
      </c>
      <c r="DG947">
        <v>3319512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"05/01/2025 15:07:09.941"</f>
        <v>05/01/2025 15:07:09.941</v>
      </c>
      <c r="C948" t="str">
        <f t="shared" si="356"/>
        <v>FFDFD3C0</v>
      </c>
      <c r="D948" t="s">
        <v>145</v>
      </c>
      <c r="E948" t="str">
        <f>"09"</f>
        <v>09</v>
      </c>
      <c r="H948">
        <v>51</v>
      </c>
      <c r="I948" t="s">
        <v>147</v>
      </c>
      <c r="J948" t="s">
        <v>138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R948" t="s">
        <v>127</v>
      </c>
      <c r="S948" t="str">
        <f t="shared" si="374"/>
        <v>15:07:09.000</v>
      </c>
      <c r="T948" t="str">
        <f t="shared" si="374"/>
        <v>15:07:09.000</v>
      </c>
      <c r="U948" t="str">
        <f t="shared" si="357"/>
        <v>A68FCB</v>
      </c>
      <c r="V948">
        <v>0</v>
      </c>
      <c r="W948">
        <v>0</v>
      </c>
      <c r="X948">
        <v>2</v>
      </c>
      <c r="Y948">
        <v>0</v>
      </c>
      <c r="AA948">
        <v>1</v>
      </c>
      <c r="AB948">
        <v>8</v>
      </c>
      <c r="AC948">
        <v>3</v>
      </c>
      <c r="AD948">
        <v>0</v>
      </c>
      <c r="AE948">
        <v>9</v>
      </c>
      <c r="AF948" t="s">
        <v>138</v>
      </c>
      <c r="AG948">
        <v>0</v>
      </c>
      <c r="AH948">
        <v>3</v>
      </c>
      <c r="AI948">
        <v>2</v>
      </c>
      <c r="AJ948">
        <v>0</v>
      </c>
      <c r="AK948" t="s">
        <v>398</v>
      </c>
      <c r="AL948">
        <v>38.983462000000003</v>
      </c>
      <c r="AM948" t="s">
        <v>399</v>
      </c>
      <c r="AN948">
        <v>-121.052041</v>
      </c>
      <c r="AO948">
        <v>25</v>
      </c>
      <c r="AP948">
        <v>3000</v>
      </c>
      <c r="AQ948" t="s">
        <v>131</v>
      </c>
      <c r="AR948">
        <v>-11</v>
      </c>
      <c r="AS948">
        <v>89</v>
      </c>
      <c r="AT948">
        <v>320</v>
      </c>
      <c r="BB948" t="str">
        <f t="shared" si="358"/>
        <v>1200</v>
      </c>
      <c r="BC948">
        <v>1</v>
      </c>
      <c r="BD948" t="str">
        <f t="shared" si="359"/>
        <v xml:space="preserve">N52156  </v>
      </c>
      <c r="BE948">
        <v>1</v>
      </c>
      <c r="BG948">
        <v>0</v>
      </c>
      <c r="BH948">
        <v>0</v>
      </c>
      <c r="BI948">
        <v>0</v>
      </c>
      <c r="BJ948">
        <v>2950</v>
      </c>
      <c r="BK948">
        <v>-50</v>
      </c>
      <c r="BL948" t="s">
        <v>188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 t="shared" si="375"/>
        <v>15:07:09.702</v>
      </c>
      <c r="CF948">
        <v>702451802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4</v>
      </c>
      <c r="CY948">
        <v>7</v>
      </c>
      <c r="CZ948" t="s">
        <v>133</v>
      </c>
      <c r="DA948">
        <v>275</v>
      </c>
      <c r="DB948">
        <v>0</v>
      </c>
      <c r="DC948" t="s">
        <v>134</v>
      </c>
      <c r="DD948" t="s">
        <v>135</v>
      </c>
      <c r="DG948">
        <v>3319512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"05/01/2025 15:07:09.947"</f>
        <v>05/01/2025 15:07:09.947</v>
      </c>
      <c r="C949" t="str">
        <f t="shared" si="356"/>
        <v>FFDFD3C0</v>
      </c>
      <c r="D949" t="s">
        <v>136</v>
      </c>
      <c r="E949" t="str">
        <f>"20"</f>
        <v>20</v>
      </c>
      <c r="H949">
        <v>400</v>
      </c>
      <c r="I949" t="s">
        <v>137</v>
      </c>
      <c r="J949" t="s">
        <v>138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R949" t="s">
        <v>127</v>
      </c>
      <c r="S949" t="str">
        <f t="shared" si="374"/>
        <v>15:07:09.000</v>
      </c>
      <c r="T949" t="str">
        <f t="shared" si="374"/>
        <v>15:07:09.000</v>
      </c>
      <c r="U949" t="str">
        <f t="shared" si="357"/>
        <v>A68FCB</v>
      </c>
      <c r="V949">
        <v>0</v>
      </c>
      <c r="W949">
        <v>0</v>
      </c>
      <c r="X949">
        <v>2</v>
      </c>
      <c r="Y949">
        <v>0</v>
      </c>
      <c r="AA949">
        <v>1</v>
      </c>
      <c r="AB949">
        <v>8</v>
      </c>
      <c r="AC949">
        <v>3</v>
      </c>
      <c r="AD949">
        <v>0</v>
      </c>
      <c r="AE949">
        <v>9</v>
      </c>
      <c r="AF949" t="s">
        <v>138</v>
      </c>
      <c r="AG949">
        <v>0</v>
      </c>
      <c r="AH949">
        <v>3</v>
      </c>
      <c r="AI949">
        <v>2</v>
      </c>
      <c r="AJ949">
        <v>0</v>
      </c>
      <c r="AK949" t="s">
        <v>398</v>
      </c>
      <c r="AL949">
        <v>38.983462000000003</v>
      </c>
      <c r="AM949" t="s">
        <v>399</v>
      </c>
      <c r="AN949">
        <v>-121.052041</v>
      </c>
      <c r="AO949">
        <v>25</v>
      </c>
      <c r="AP949">
        <v>3000</v>
      </c>
      <c r="AQ949" t="s">
        <v>131</v>
      </c>
      <c r="AR949">
        <v>-11</v>
      </c>
      <c r="AS949">
        <v>89</v>
      </c>
      <c r="AT949">
        <v>320</v>
      </c>
      <c r="BB949" t="str">
        <f t="shared" si="358"/>
        <v>1200</v>
      </c>
      <c r="BC949">
        <v>1</v>
      </c>
      <c r="BD949" t="str">
        <f t="shared" si="359"/>
        <v xml:space="preserve">N52156  </v>
      </c>
      <c r="BE949">
        <v>1</v>
      </c>
      <c r="BG949">
        <v>0</v>
      </c>
      <c r="BH949">
        <v>0</v>
      </c>
      <c r="BI949">
        <v>0</v>
      </c>
      <c r="BJ949">
        <v>2950</v>
      </c>
      <c r="BK949">
        <v>-50</v>
      </c>
      <c r="BL949" t="s">
        <v>188</v>
      </c>
      <c r="BM949">
        <v>1</v>
      </c>
      <c r="BN949">
        <v>1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 t="shared" si="375"/>
        <v>15:07:09.702</v>
      </c>
      <c r="CF949">
        <v>702451802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4</v>
      </c>
      <c r="CY949">
        <v>7</v>
      </c>
      <c r="CZ949" t="s">
        <v>133</v>
      </c>
      <c r="DA949">
        <v>275</v>
      </c>
      <c r="DB949">
        <v>0</v>
      </c>
      <c r="DC949" t="s">
        <v>134</v>
      </c>
      <c r="DD949" t="s">
        <v>135</v>
      </c>
      <c r="DG949">
        <v>3319512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"05/01/2025 15:07:10.882"</f>
        <v>05/01/2025 15:07:10.882</v>
      </c>
      <c r="C950" t="str">
        <f t="shared" si="356"/>
        <v>FFDFD3C0</v>
      </c>
      <c r="D950" t="s">
        <v>140</v>
      </c>
      <c r="E950" t="str">
        <f>"13"</f>
        <v>13</v>
      </c>
      <c r="F950">
        <v>1019</v>
      </c>
      <c r="G950" t="s">
        <v>141</v>
      </c>
      <c r="J950" t="s">
        <v>142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R950" t="s">
        <v>127</v>
      </c>
      <c r="S950" t="str">
        <f t="shared" ref="S950:T955" si="376">"15:07:10.000"</f>
        <v>15:07:10.000</v>
      </c>
      <c r="T950" t="str">
        <f t="shared" si="376"/>
        <v>15:07:10.000</v>
      </c>
      <c r="U950" t="str">
        <f t="shared" si="357"/>
        <v>A68FCB</v>
      </c>
      <c r="V950">
        <v>0</v>
      </c>
      <c r="W950">
        <v>0</v>
      </c>
      <c r="X950">
        <v>2</v>
      </c>
      <c r="Y950">
        <v>0</v>
      </c>
      <c r="AA950">
        <v>1</v>
      </c>
      <c r="AB950">
        <v>8</v>
      </c>
      <c r="AC950">
        <v>3</v>
      </c>
      <c r="AD950">
        <v>0</v>
      </c>
      <c r="AE950">
        <v>9</v>
      </c>
      <c r="AF950" t="s">
        <v>138</v>
      </c>
      <c r="AG950">
        <v>0</v>
      </c>
      <c r="AH950">
        <v>3</v>
      </c>
      <c r="AI950">
        <v>2</v>
      </c>
      <c r="AJ950">
        <v>0</v>
      </c>
      <c r="AK950" t="s">
        <v>400</v>
      </c>
      <c r="AL950">
        <v>38.983891</v>
      </c>
      <c r="AM950" t="s">
        <v>401</v>
      </c>
      <c r="AN950">
        <v>-121.052105</v>
      </c>
      <c r="AO950">
        <v>25</v>
      </c>
      <c r="AP950">
        <v>3000</v>
      </c>
      <c r="AQ950" t="s">
        <v>131</v>
      </c>
      <c r="AR950">
        <v>-11</v>
      </c>
      <c r="AS950">
        <v>89</v>
      </c>
      <c r="AT950">
        <v>320</v>
      </c>
      <c r="BB950" t="str">
        <f t="shared" si="358"/>
        <v>1200</v>
      </c>
      <c r="BC950">
        <v>1</v>
      </c>
      <c r="BD950" t="str">
        <f t="shared" si="359"/>
        <v xml:space="preserve">N52156  </v>
      </c>
      <c r="BE950">
        <v>1</v>
      </c>
      <c r="BG950">
        <v>0</v>
      </c>
      <c r="BH950">
        <v>0</v>
      </c>
      <c r="BI950">
        <v>0</v>
      </c>
      <c r="BJ950">
        <v>2950</v>
      </c>
      <c r="BK950">
        <v>-50</v>
      </c>
      <c r="BL950" t="s">
        <v>188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 t="shared" ref="CE950:CE955" si="377">"15:07:10.666"</f>
        <v>15:07:10.666</v>
      </c>
      <c r="CF950">
        <v>665758850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3</v>
      </c>
      <c r="CY950">
        <v>7</v>
      </c>
      <c r="CZ950" t="s">
        <v>133</v>
      </c>
      <c r="DA950">
        <v>276</v>
      </c>
      <c r="DB950">
        <v>0</v>
      </c>
      <c r="DC950" t="s">
        <v>402</v>
      </c>
      <c r="DD950" t="s">
        <v>403</v>
      </c>
      <c r="DG950">
        <v>1624862</v>
      </c>
      <c r="DI950">
        <v>1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"05/01/2025 15:07:10.885"</f>
        <v>05/01/2025 15:07:10.885</v>
      </c>
      <c r="C951" t="str">
        <f t="shared" si="356"/>
        <v>FFDFD3C0</v>
      </c>
      <c r="D951" t="s">
        <v>145</v>
      </c>
      <c r="E951" t="str">
        <f>"05"</f>
        <v>05</v>
      </c>
      <c r="H951">
        <v>47</v>
      </c>
      <c r="I951" t="s">
        <v>146</v>
      </c>
      <c r="J951" t="s">
        <v>138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R951" t="s">
        <v>127</v>
      </c>
      <c r="S951" t="str">
        <f t="shared" si="376"/>
        <v>15:07:10.000</v>
      </c>
      <c r="T951" t="str">
        <f t="shared" si="376"/>
        <v>15:07:10.000</v>
      </c>
      <c r="U951" t="str">
        <f t="shared" si="357"/>
        <v>A68FCB</v>
      </c>
      <c r="V951">
        <v>0</v>
      </c>
      <c r="W951">
        <v>0</v>
      </c>
      <c r="X951">
        <v>2</v>
      </c>
      <c r="Y951">
        <v>0</v>
      </c>
      <c r="AA951">
        <v>1</v>
      </c>
      <c r="AB951">
        <v>8</v>
      </c>
      <c r="AC951">
        <v>3</v>
      </c>
      <c r="AD951">
        <v>0</v>
      </c>
      <c r="AE951">
        <v>9</v>
      </c>
      <c r="AF951" t="s">
        <v>138</v>
      </c>
      <c r="AG951">
        <v>0</v>
      </c>
      <c r="AH951">
        <v>3</v>
      </c>
      <c r="AI951">
        <v>2</v>
      </c>
      <c r="AJ951">
        <v>0</v>
      </c>
      <c r="AK951" t="s">
        <v>400</v>
      </c>
      <c r="AL951">
        <v>38.983891</v>
      </c>
      <c r="AM951" t="s">
        <v>401</v>
      </c>
      <c r="AN951">
        <v>-121.052105</v>
      </c>
      <c r="AO951">
        <v>25</v>
      </c>
      <c r="AP951">
        <v>3000</v>
      </c>
      <c r="AQ951" t="s">
        <v>131</v>
      </c>
      <c r="AR951">
        <v>-11</v>
      </c>
      <c r="AS951">
        <v>89</v>
      </c>
      <c r="AT951">
        <v>320</v>
      </c>
      <c r="BB951" t="str">
        <f t="shared" si="358"/>
        <v>1200</v>
      </c>
      <c r="BC951">
        <v>1</v>
      </c>
      <c r="BD951" t="str">
        <f t="shared" si="359"/>
        <v xml:space="preserve">N52156  </v>
      </c>
      <c r="BE951">
        <v>1</v>
      </c>
      <c r="BG951">
        <v>0</v>
      </c>
      <c r="BH951">
        <v>0</v>
      </c>
      <c r="BI951">
        <v>0</v>
      </c>
      <c r="BJ951">
        <v>2950</v>
      </c>
      <c r="BK951">
        <v>-50</v>
      </c>
      <c r="BL951" t="s">
        <v>188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 t="shared" si="377"/>
        <v>15:07:10.666</v>
      </c>
      <c r="CF951">
        <v>665758850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3</v>
      </c>
      <c r="CY951">
        <v>7</v>
      </c>
      <c r="CZ951" t="s">
        <v>133</v>
      </c>
      <c r="DA951">
        <v>276</v>
      </c>
      <c r="DB951">
        <v>0</v>
      </c>
      <c r="DC951" t="s">
        <v>402</v>
      </c>
      <c r="DD951" t="s">
        <v>403</v>
      </c>
      <c r="DG951">
        <v>1624862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"05/01/2025 15:07:10.889"</f>
        <v>05/01/2025 15:07:10.889</v>
      </c>
      <c r="C952" t="str">
        <f t="shared" si="356"/>
        <v>FFDFD3C0</v>
      </c>
      <c r="D952" t="s">
        <v>143</v>
      </c>
      <c r="E952" t="str">
        <f>"05"</f>
        <v>05</v>
      </c>
      <c r="H952">
        <v>172</v>
      </c>
      <c r="I952" t="s">
        <v>141</v>
      </c>
      <c r="J952" t="s">
        <v>144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R952" t="s">
        <v>127</v>
      </c>
      <c r="S952" t="str">
        <f t="shared" si="376"/>
        <v>15:07:10.000</v>
      </c>
      <c r="T952" t="str">
        <f t="shared" si="376"/>
        <v>15:07:10.000</v>
      </c>
      <c r="U952" t="str">
        <f t="shared" si="357"/>
        <v>A68FCB</v>
      </c>
      <c r="V952">
        <v>0</v>
      </c>
      <c r="W952">
        <v>0</v>
      </c>
      <c r="X952">
        <v>2</v>
      </c>
      <c r="Y952">
        <v>0</v>
      </c>
      <c r="AA952">
        <v>1</v>
      </c>
      <c r="AB952">
        <v>8</v>
      </c>
      <c r="AC952">
        <v>3</v>
      </c>
      <c r="AD952">
        <v>0</v>
      </c>
      <c r="AE952">
        <v>9</v>
      </c>
      <c r="AF952" t="s">
        <v>138</v>
      </c>
      <c r="AG952">
        <v>0</v>
      </c>
      <c r="AH952">
        <v>3</v>
      </c>
      <c r="AI952">
        <v>2</v>
      </c>
      <c r="AJ952">
        <v>0</v>
      </c>
      <c r="AK952" t="s">
        <v>400</v>
      </c>
      <c r="AL952">
        <v>38.983891</v>
      </c>
      <c r="AM952" t="s">
        <v>401</v>
      </c>
      <c r="AN952">
        <v>-121.052105</v>
      </c>
      <c r="AO952">
        <v>25</v>
      </c>
      <c r="AP952">
        <v>3000</v>
      </c>
      <c r="AQ952" t="s">
        <v>131</v>
      </c>
      <c r="AR952">
        <v>-11</v>
      </c>
      <c r="AS952">
        <v>89</v>
      </c>
      <c r="AT952">
        <v>320</v>
      </c>
      <c r="BB952" t="str">
        <f t="shared" si="358"/>
        <v>1200</v>
      </c>
      <c r="BC952">
        <v>1</v>
      </c>
      <c r="BD952" t="str">
        <f t="shared" si="359"/>
        <v xml:space="preserve">N52156  </v>
      </c>
      <c r="BE952">
        <v>1</v>
      </c>
      <c r="BG952">
        <v>0</v>
      </c>
      <c r="BH952">
        <v>0</v>
      </c>
      <c r="BI952">
        <v>0</v>
      </c>
      <c r="BJ952">
        <v>2950</v>
      </c>
      <c r="BK952">
        <v>-50</v>
      </c>
      <c r="BL952" t="s">
        <v>188</v>
      </c>
      <c r="BM952">
        <v>1</v>
      </c>
      <c r="BN952">
        <v>1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 t="shared" si="377"/>
        <v>15:07:10.666</v>
      </c>
      <c r="CF952">
        <v>665758850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3</v>
      </c>
      <c r="CY952">
        <v>7</v>
      </c>
      <c r="CZ952" t="s">
        <v>133</v>
      </c>
      <c r="DA952">
        <v>276</v>
      </c>
      <c r="DB952">
        <v>0</v>
      </c>
      <c r="DC952" t="s">
        <v>402</v>
      </c>
      <c r="DD952" t="s">
        <v>403</v>
      </c>
      <c r="DG952">
        <v>1624862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"05/01/2025 15:07:10.888"</f>
        <v>05/01/2025 15:07:10.888</v>
      </c>
      <c r="C953" t="str">
        <f t="shared" si="356"/>
        <v>FFDFD3C0</v>
      </c>
      <c r="D953" t="s">
        <v>124</v>
      </c>
      <c r="E953" t="str">
        <f>"06"</f>
        <v>06</v>
      </c>
      <c r="F953">
        <v>2006</v>
      </c>
      <c r="G953" t="s">
        <v>125</v>
      </c>
      <c r="J953" t="s">
        <v>126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R953" t="s">
        <v>127</v>
      </c>
      <c r="S953" t="str">
        <f t="shared" si="376"/>
        <v>15:07:10.000</v>
      </c>
      <c r="T953" t="str">
        <f t="shared" si="376"/>
        <v>15:07:10.000</v>
      </c>
      <c r="U953" t="str">
        <f t="shared" si="357"/>
        <v>A68FCB</v>
      </c>
      <c r="V953">
        <v>0</v>
      </c>
      <c r="W953">
        <v>0</v>
      </c>
      <c r="X953">
        <v>2</v>
      </c>
      <c r="Y953">
        <v>0</v>
      </c>
      <c r="AA953">
        <v>1</v>
      </c>
      <c r="AB953">
        <v>8</v>
      </c>
      <c r="AC953">
        <v>3</v>
      </c>
      <c r="AD953">
        <v>0</v>
      </c>
      <c r="AE953">
        <v>9</v>
      </c>
      <c r="AF953" t="s">
        <v>138</v>
      </c>
      <c r="AG953">
        <v>0</v>
      </c>
      <c r="AH953">
        <v>3</v>
      </c>
      <c r="AI953">
        <v>2</v>
      </c>
      <c r="AJ953">
        <v>0</v>
      </c>
      <c r="AK953" t="s">
        <v>400</v>
      </c>
      <c r="AL953">
        <v>38.983891</v>
      </c>
      <c r="AM953" t="s">
        <v>401</v>
      </c>
      <c r="AN953">
        <v>-121.052105</v>
      </c>
      <c r="AO953">
        <v>25</v>
      </c>
      <c r="AP953">
        <v>3000</v>
      </c>
      <c r="AQ953" t="s">
        <v>131</v>
      </c>
      <c r="AR953">
        <v>-11</v>
      </c>
      <c r="AS953">
        <v>89</v>
      </c>
      <c r="AT953">
        <v>320</v>
      </c>
      <c r="BB953" t="str">
        <f t="shared" si="358"/>
        <v>1200</v>
      </c>
      <c r="BC953">
        <v>1</v>
      </c>
      <c r="BD953" t="str">
        <f t="shared" si="359"/>
        <v xml:space="preserve">N52156  </v>
      </c>
      <c r="BE953">
        <v>1</v>
      </c>
      <c r="BG953">
        <v>0</v>
      </c>
      <c r="BH953">
        <v>0</v>
      </c>
      <c r="BI953">
        <v>0</v>
      </c>
      <c r="BJ953">
        <v>2950</v>
      </c>
      <c r="BK953">
        <v>-50</v>
      </c>
      <c r="BL953" t="s">
        <v>188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 t="shared" si="377"/>
        <v>15:07:10.666</v>
      </c>
      <c r="CF953">
        <v>665758850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3</v>
      </c>
      <c r="CY953">
        <v>7</v>
      </c>
      <c r="CZ953" t="s">
        <v>133</v>
      </c>
      <c r="DA953">
        <v>276</v>
      </c>
      <c r="DB953">
        <v>0</v>
      </c>
      <c r="DC953" t="s">
        <v>402</v>
      </c>
      <c r="DD953" t="s">
        <v>403</v>
      </c>
      <c r="DG953">
        <v>1624862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"05/01/2025 15:07:10.893"</f>
        <v>05/01/2025 15:07:10.893</v>
      </c>
      <c r="C954" t="str">
        <f t="shared" si="356"/>
        <v>FFDFD3C0</v>
      </c>
      <c r="D954" t="s">
        <v>145</v>
      </c>
      <c r="E954" t="str">
        <f>"09"</f>
        <v>09</v>
      </c>
      <c r="H954">
        <v>51</v>
      </c>
      <c r="I954" t="s">
        <v>147</v>
      </c>
      <c r="J954" t="s">
        <v>138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R954" t="s">
        <v>127</v>
      </c>
      <c r="S954" t="str">
        <f t="shared" si="376"/>
        <v>15:07:10.000</v>
      </c>
      <c r="T954" t="str">
        <f t="shared" si="376"/>
        <v>15:07:10.000</v>
      </c>
      <c r="U954" t="str">
        <f t="shared" si="357"/>
        <v>A68FCB</v>
      </c>
      <c r="V954">
        <v>0</v>
      </c>
      <c r="W954">
        <v>0</v>
      </c>
      <c r="X954">
        <v>2</v>
      </c>
      <c r="Y954">
        <v>0</v>
      </c>
      <c r="AA954">
        <v>1</v>
      </c>
      <c r="AB954">
        <v>8</v>
      </c>
      <c r="AC954">
        <v>3</v>
      </c>
      <c r="AD954">
        <v>0</v>
      </c>
      <c r="AE954">
        <v>9</v>
      </c>
      <c r="AF954" t="s">
        <v>138</v>
      </c>
      <c r="AG954">
        <v>0</v>
      </c>
      <c r="AH954">
        <v>3</v>
      </c>
      <c r="AI954">
        <v>2</v>
      </c>
      <c r="AJ954">
        <v>0</v>
      </c>
      <c r="AK954" t="s">
        <v>400</v>
      </c>
      <c r="AL954">
        <v>38.983891</v>
      </c>
      <c r="AM954" t="s">
        <v>401</v>
      </c>
      <c r="AN954">
        <v>-121.052105</v>
      </c>
      <c r="AO954">
        <v>25</v>
      </c>
      <c r="AP954">
        <v>3000</v>
      </c>
      <c r="AQ954" t="s">
        <v>131</v>
      </c>
      <c r="AR954">
        <v>-11</v>
      </c>
      <c r="AS954">
        <v>89</v>
      </c>
      <c r="AT954">
        <v>320</v>
      </c>
      <c r="BB954" t="str">
        <f t="shared" si="358"/>
        <v>1200</v>
      </c>
      <c r="BC954">
        <v>1</v>
      </c>
      <c r="BD954" t="str">
        <f t="shared" si="359"/>
        <v xml:space="preserve">N52156  </v>
      </c>
      <c r="BE954">
        <v>1</v>
      </c>
      <c r="BG954">
        <v>0</v>
      </c>
      <c r="BH954">
        <v>0</v>
      </c>
      <c r="BI954">
        <v>0</v>
      </c>
      <c r="BJ954">
        <v>2950</v>
      </c>
      <c r="BK954">
        <v>-50</v>
      </c>
      <c r="BL954" t="s">
        <v>188</v>
      </c>
      <c r="BM954">
        <v>1</v>
      </c>
      <c r="BN954">
        <v>1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 t="shared" si="377"/>
        <v>15:07:10.666</v>
      </c>
      <c r="CF954">
        <v>665758850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3</v>
      </c>
      <c r="CY954">
        <v>7</v>
      </c>
      <c r="CZ954" t="s">
        <v>133</v>
      </c>
      <c r="DA954">
        <v>276</v>
      </c>
      <c r="DB954">
        <v>0</v>
      </c>
      <c r="DC954" t="s">
        <v>402</v>
      </c>
      <c r="DD954" t="s">
        <v>403</v>
      </c>
      <c r="DG954">
        <v>1624862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"05/01/2025 15:07:10.898"</f>
        <v>05/01/2025 15:07:10.898</v>
      </c>
      <c r="C955" t="str">
        <f t="shared" si="356"/>
        <v>FFDFD3C0</v>
      </c>
      <c r="D955" t="s">
        <v>136</v>
      </c>
      <c r="E955" t="str">
        <f>"20"</f>
        <v>20</v>
      </c>
      <c r="H955">
        <v>400</v>
      </c>
      <c r="I955" t="s">
        <v>137</v>
      </c>
      <c r="J955" t="s">
        <v>138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R955" t="s">
        <v>127</v>
      </c>
      <c r="S955" t="str">
        <f t="shared" si="376"/>
        <v>15:07:10.000</v>
      </c>
      <c r="T955" t="str">
        <f t="shared" si="376"/>
        <v>15:07:10.000</v>
      </c>
      <c r="U955" t="str">
        <f t="shared" si="357"/>
        <v>A68FCB</v>
      </c>
      <c r="V955">
        <v>0</v>
      </c>
      <c r="W955">
        <v>0</v>
      </c>
      <c r="X955">
        <v>2</v>
      </c>
      <c r="Y955">
        <v>0</v>
      </c>
      <c r="AA955">
        <v>1</v>
      </c>
      <c r="AB955">
        <v>8</v>
      </c>
      <c r="AC955">
        <v>3</v>
      </c>
      <c r="AD955">
        <v>0</v>
      </c>
      <c r="AE955">
        <v>9</v>
      </c>
      <c r="AF955" t="s">
        <v>138</v>
      </c>
      <c r="AG955">
        <v>0</v>
      </c>
      <c r="AH955">
        <v>3</v>
      </c>
      <c r="AI955">
        <v>2</v>
      </c>
      <c r="AJ955">
        <v>0</v>
      </c>
      <c r="AK955" t="s">
        <v>400</v>
      </c>
      <c r="AL955">
        <v>38.983891</v>
      </c>
      <c r="AM955" t="s">
        <v>401</v>
      </c>
      <c r="AN955">
        <v>-121.052105</v>
      </c>
      <c r="AO955">
        <v>25</v>
      </c>
      <c r="AP955">
        <v>3000</v>
      </c>
      <c r="AQ955" t="s">
        <v>131</v>
      </c>
      <c r="AR955">
        <v>-11</v>
      </c>
      <c r="AS955">
        <v>89</v>
      </c>
      <c r="AT955">
        <v>320</v>
      </c>
      <c r="BB955" t="str">
        <f t="shared" si="358"/>
        <v>1200</v>
      </c>
      <c r="BC955">
        <v>1</v>
      </c>
      <c r="BD955" t="str">
        <f t="shared" si="359"/>
        <v xml:space="preserve">N52156  </v>
      </c>
      <c r="BE955">
        <v>1</v>
      </c>
      <c r="BG955">
        <v>0</v>
      </c>
      <c r="BH955">
        <v>0</v>
      </c>
      <c r="BI955">
        <v>0</v>
      </c>
      <c r="BJ955">
        <v>2950</v>
      </c>
      <c r="BK955">
        <v>-50</v>
      </c>
      <c r="BL955" t="s">
        <v>188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 t="shared" si="377"/>
        <v>15:07:10.666</v>
      </c>
      <c r="CF955">
        <v>665758850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3</v>
      </c>
      <c r="CY955">
        <v>7</v>
      </c>
      <c r="CZ955" t="s">
        <v>133</v>
      </c>
      <c r="DA955">
        <v>276</v>
      </c>
      <c r="DB955">
        <v>0</v>
      </c>
      <c r="DC955" t="s">
        <v>402</v>
      </c>
      <c r="DD955" t="s">
        <v>403</v>
      </c>
      <c r="DG955">
        <v>1624862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"05/01/2025 15:07:12.234"</f>
        <v>05/01/2025 15:07:12.234</v>
      </c>
      <c r="C956" t="str">
        <f t="shared" si="356"/>
        <v>FFDFD3C0</v>
      </c>
      <c r="D956" t="s">
        <v>140</v>
      </c>
      <c r="E956" t="str">
        <f>"13"</f>
        <v>13</v>
      </c>
      <c r="F956">
        <v>1019</v>
      </c>
      <c r="G956" t="s">
        <v>141</v>
      </c>
      <c r="J956" t="s">
        <v>142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R956" t="s">
        <v>127</v>
      </c>
      <c r="S956" t="str">
        <f t="shared" ref="S956:T961" si="378">"15:07:11.000"</f>
        <v>15:07:11.000</v>
      </c>
      <c r="T956" t="str">
        <f t="shared" si="378"/>
        <v>15:07:11.000</v>
      </c>
      <c r="U956" t="str">
        <f t="shared" si="357"/>
        <v>A68FCB</v>
      </c>
      <c r="V956">
        <v>0</v>
      </c>
      <c r="W956">
        <v>0</v>
      </c>
      <c r="X956">
        <v>2</v>
      </c>
      <c r="Y956">
        <v>0</v>
      </c>
      <c r="AA956">
        <v>1</v>
      </c>
      <c r="AB956">
        <v>8</v>
      </c>
      <c r="AC956">
        <v>3</v>
      </c>
      <c r="AD956">
        <v>0</v>
      </c>
      <c r="AE956">
        <v>9</v>
      </c>
      <c r="AF956" t="s">
        <v>138</v>
      </c>
      <c r="AG956">
        <v>0</v>
      </c>
      <c r="AH956">
        <v>3</v>
      </c>
      <c r="AI956">
        <v>2</v>
      </c>
      <c r="AJ956">
        <v>0</v>
      </c>
      <c r="AK956" t="s">
        <v>404</v>
      </c>
      <c r="AL956">
        <v>38.984299</v>
      </c>
      <c r="AM956" t="s">
        <v>405</v>
      </c>
      <c r="AN956">
        <v>-121.05219099999999</v>
      </c>
      <c r="AO956">
        <v>25</v>
      </c>
      <c r="AP956">
        <v>3000</v>
      </c>
      <c r="AQ956" t="s">
        <v>131</v>
      </c>
      <c r="AR956">
        <v>-11</v>
      </c>
      <c r="AS956">
        <v>89</v>
      </c>
      <c r="AT956">
        <v>384</v>
      </c>
      <c r="BB956" t="str">
        <f t="shared" si="358"/>
        <v>1200</v>
      </c>
      <c r="BC956">
        <v>1</v>
      </c>
      <c r="BD956" t="str">
        <f t="shared" si="359"/>
        <v xml:space="preserve">N52156  </v>
      </c>
      <c r="BE956">
        <v>1</v>
      </c>
      <c r="BG956">
        <v>0</v>
      </c>
      <c r="BH956">
        <v>0</v>
      </c>
      <c r="BI956">
        <v>0</v>
      </c>
      <c r="BJ956">
        <v>2975</v>
      </c>
      <c r="BK956">
        <v>-25</v>
      </c>
      <c r="BL956" t="s">
        <v>188</v>
      </c>
      <c r="BM956">
        <v>1</v>
      </c>
      <c r="BN956">
        <v>1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 t="shared" ref="CE956:CE961" si="379">"15:07:11.977"</f>
        <v>15:07:11.977</v>
      </c>
      <c r="CF956">
        <v>977452539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4</v>
      </c>
      <c r="CY956">
        <v>7</v>
      </c>
      <c r="CZ956" t="s">
        <v>133</v>
      </c>
      <c r="DA956">
        <v>275</v>
      </c>
      <c r="DB956">
        <v>0</v>
      </c>
      <c r="DC956" t="s">
        <v>134</v>
      </c>
      <c r="DD956" t="s">
        <v>135</v>
      </c>
      <c r="DG956">
        <v>3319543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"05/01/2025 15:07:12.239"</f>
        <v>05/01/2025 15:07:12.239</v>
      </c>
      <c r="C957" t="str">
        <f t="shared" si="356"/>
        <v>FFDFD3C0</v>
      </c>
      <c r="D957" t="s">
        <v>145</v>
      </c>
      <c r="E957" t="str">
        <f>"05"</f>
        <v>05</v>
      </c>
      <c r="H957">
        <v>47</v>
      </c>
      <c r="I957" t="s">
        <v>146</v>
      </c>
      <c r="J957" t="s">
        <v>138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R957" t="s">
        <v>127</v>
      </c>
      <c r="S957" t="str">
        <f t="shared" si="378"/>
        <v>15:07:11.000</v>
      </c>
      <c r="T957" t="str">
        <f t="shared" si="378"/>
        <v>15:07:11.000</v>
      </c>
      <c r="U957" t="str">
        <f t="shared" si="357"/>
        <v>A68FCB</v>
      </c>
      <c r="V957">
        <v>0</v>
      </c>
      <c r="W957">
        <v>0</v>
      </c>
      <c r="X957">
        <v>2</v>
      </c>
      <c r="Y957">
        <v>0</v>
      </c>
      <c r="AA957">
        <v>1</v>
      </c>
      <c r="AB957">
        <v>8</v>
      </c>
      <c r="AC957">
        <v>3</v>
      </c>
      <c r="AD957">
        <v>0</v>
      </c>
      <c r="AE957">
        <v>9</v>
      </c>
      <c r="AF957" t="s">
        <v>138</v>
      </c>
      <c r="AG957">
        <v>0</v>
      </c>
      <c r="AH957">
        <v>3</v>
      </c>
      <c r="AI957">
        <v>2</v>
      </c>
      <c r="AJ957">
        <v>0</v>
      </c>
      <c r="AK957" t="s">
        <v>404</v>
      </c>
      <c r="AL957">
        <v>38.984299</v>
      </c>
      <c r="AM957" t="s">
        <v>405</v>
      </c>
      <c r="AN957">
        <v>-121.05219099999999</v>
      </c>
      <c r="AO957">
        <v>25</v>
      </c>
      <c r="AP957">
        <v>3000</v>
      </c>
      <c r="AQ957" t="s">
        <v>131</v>
      </c>
      <c r="AR957">
        <v>-11</v>
      </c>
      <c r="AS957">
        <v>89</v>
      </c>
      <c r="AT957">
        <v>384</v>
      </c>
      <c r="BB957" t="str">
        <f t="shared" si="358"/>
        <v>1200</v>
      </c>
      <c r="BC957">
        <v>1</v>
      </c>
      <c r="BD957" t="str">
        <f t="shared" si="359"/>
        <v xml:space="preserve">N52156  </v>
      </c>
      <c r="BE957">
        <v>1</v>
      </c>
      <c r="BG957">
        <v>0</v>
      </c>
      <c r="BH957">
        <v>0</v>
      </c>
      <c r="BI957">
        <v>0</v>
      </c>
      <c r="BJ957">
        <v>2975</v>
      </c>
      <c r="BK957">
        <v>-25</v>
      </c>
      <c r="BL957" t="s">
        <v>188</v>
      </c>
      <c r="BM957">
        <v>1</v>
      </c>
      <c r="BN957">
        <v>1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 t="shared" si="379"/>
        <v>15:07:11.977</v>
      </c>
      <c r="CF957">
        <v>977452539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4</v>
      </c>
      <c r="CY957">
        <v>7</v>
      </c>
      <c r="CZ957" t="s">
        <v>133</v>
      </c>
      <c r="DA957">
        <v>275</v>
      </c>
      <c r="DB957">
        <v>0</v>
      </c>
      <c r="DC957" t="s">
        <v>134</v>
      </c>
      <c r="DD957" t="s">
        <v>135</v>
      </c>
      <c r="DG957">
        <v>3319543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"05/01/2025 15:07:12.241"</f>
        <v>05/01/2025 15:07:12.241</v>
      </c>
      <c r="C958" t="str">
        <f t="shared" si="356"/>
        <v>FFDFD3C0</v>
      </c>
      <c r="D958" t="s">
        <v>124</v>
      </c>
      <c r="E958" t="str">
        <f>"06"</f>
        <v>06</v>
      </c>
      <c r="F958">
        <v>2006</v>
      </c>
      <c r="G958" t="s">
        <v>125</v>
      </c>
      <c r="J958" t="s">
        <v>126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R958" t="s">
        <v>127</v>
      </c>
      <c r="S958" t="str">
        <f t="shared" si="378"/>
        <v>15:07:11.000</v>
      </c>
      <c r="T958" t="str">
        <f t="shared" si="378"/>
        <v>15:07:11.000</v>
      </c>
      <c r="U958" t="str">
        <f t="shared" si="357"/>
        <v>A68FCB</v>
      </c>
      <c r="V958">
        <v>0</v>
      </c>
      <c r="W958">
        <v>0</v>
      </c>
      <c r="X958">
        <v>2</v>
      </c>
      <c r="Y958">
        <v>0</v>
      </c>
      <c r="AA958">
        <v>1</v>
      </c>
      <c r="AB958">
        <v>8</v>
      </c>
      <c r="AC958">
        <v>3</v>
      </c>
      <c r="AD958">
        <v>0</v>
      </c>
      <c r="AE958">
        <v>9</v>
      </c>
      <c r="AF958" t="s">
        <v>138</v>
      </c>
      <c r="AG958">
        <v>0</v>
      </c>
      <c r="AH958">
        <v>3</v>
      </c>
      <c r="AI958">
        <v>2</v>
      </c>
      <c r="AJ958">
        <v>0</v>
      </c>
      <c r="AK958" t="s">
        <v>404</v>
      </c>
      <c r="AL958">
        <v>38.984299</v>
      </c>
      <c r="AM958" t="s">
        <v>405</v>
      </c>
      <c r="AN958">
        <v>-121.05219099999999</v>
      </c>
      <c r="AO958">
        <v>25</v>
      </c>
      <c r="AP958">
        <v>3000</v>
      </c>
      <c r="AQ958" t="s">
        <v>131</v>
      </c>
      <c r="AR958">
        <v>-11</v>
      </c>
      <c r="AS958">
        <v>89</v>
      </c>
      <c r="AT958">
        <v>384</v>
      </c>
      <c r="BB958" t="str">
        <f t="shared" si="358"/>
        <v>1200</v>
      </c>
      <c r="BC958">
        <v>1</v>
      </c>
      <c r="BD958" t="str">
        <f t="shared" si="359"/>
        <v xml:space="preserve">N52156  </v>
      </c>
      <c r="BE958">
        <v>1</v>
      </c>
      <c r="BG958">
        <v>0</v>
      </c>
      <c r="BH958">
        <v>0</v>
      </c>
      <c r="BI958">
        <v>0</v>
      </c>
      <c r="BJ958">
        <v>2975</v>
      </c>
      <c r="BK958">
        <v>-25</v>
      </c>
      <c r="BL958" t="s">
        <v>188</v>
      </c>
      <c r="BM958">
        <v>1</v>
      </c>
      <c r="BN958">
        <v>1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 t="shared" si="379"/>
        <v>15:07:11.977</v>
      </c>
      <c r="CF958">
        <v>977452539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4</v>
      </c>
      <c r="CY958">
        <v>7</v>
      </c>
      <c r="CZ958" t="s">
        <v>133</v>
      </c>
      <c r="DA958">
        <v>275</v>
      </c>
      <c r="DB958">
        <v>0</v>
      </c>
      <c r="DC958" t="s">
        <v>134</v>
      </c>
      <c r="DD958" t="s">
        <v>135</v>
      </c>
      <c r="DG958">
        <v>3319543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"05/01/2025 15:07:12.241"</f>
        <v>05/01/2025 15:07:12.241</v>
      </c>
      <c r="C959" t="str">
        <f t="shared" si="356"/>
        <v>FFDFD3C0</v>
      </c>
      <c r="D959" t="s">
        <v>143</v>
      </c>
      <c r="E959" t="str">
        <f>"05"</f>
        <v>05</v>
      </c>
      <c r="H959">
        <v>172</v>
      </c>
      <c r="I959" t="s">
        <v>141</v>
      </c>
      <c r="J959" t="s">
        <v>144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R959" t="s">
        <v>127</v>
      </c>
      <c r="S959" t="str">
        <f t="shared" si="378"/>
        <v>15:07:11.000</v>
      </c>
      <c r="T959" t="str">
        <f t="shared" si="378"/>
        <v>15:07:11.000</v>
      </c>
      <c r="U959" t="str">
        <f t="shared" si="357"/>
        <v>A68FCB</v>
      </c>
      <c r="V959">
        <v>0</v>
      </c>
      <c r="W959">
        <v>0</v>
      </c>
      <c r="X959">
        <v>2</v>
      </c>
      <c r="Y959">
        <v>0</v>
      </c>
      <c r="AA959">
        <v>1</v>
      </c>
      <c r="AB959">
        <v>8</v>
      </c>
      <c r="AC959">
        <v>3</v>
      </c>
      <c r="AD959">
        <v>0</v>
      </c>
      <c r="AE959">
        <v>9</v>
      </c>
      <c r="AF959" t="s">
        <v>138</v>
      </c>
      <c r="AG959">
        <v>0</v>
      </c>
      <c r="AH959">
        <v>3</v>
      </c>
      <c r="AI959">
        <v>2</v>
      </c>
      <c r="AJ959">
        <v>0</v>
      </c>
      <c r="AK959" t="s">
        <v>404</v>
      </c>
      <c r="AL959">
        <v>38.984299</v>
      </c>
      <c r="AM959" t="s">
        <v>405</v>
      </c>
      <c r="AN959">
        <v>-121.05219099999999</v>
      </c>
      <c r="AO959">
        <v>25</v>
      </c>
      <c r="AP959">
        <v>3000</v>
      </c>
      <c r="AQ959" t="s">
        <v>131</v>
      </c>
      <c r="AR959">
        <v>-11</v>
      </c>
      <c r="AS959">
        <v>89</v>
      </c>
      <c r="AT959">
        <v>384</v>
      </c>
      <c r="BB959" t="str">
        <f t="shared" si="358"/>
        <v>1200</v>
      </c>
      <c r="BC959">
        <v>1</v>
      </c>
      <c r="BD959" t="str">
        <f t="shared" si="359"/>
        <v xml:space="preserve">N52156  </v>
      </c>
      <c r="BE959">
        <v>1</v>
      </c>
      <c r="BG959">
        <v>0</v>
      </c>
      <c r="BH959">
        <v>0</v>
      </c>
      <c r="BI959">
        <v>0</v>
      </c>
      <c r="BJ959">
        <v>2975</v>
      </c>
      <c r="BK959">
        <v>-25</v>
      </c>
      <c r="BL959" t="s">
        <v>188</v>
      </c>
      <c r="BM959">
        <v>1</v>
      </c>
      <c r="BN959">
        <v>1</v>
      </c>
      <c r="BO959">
        <v>0</v>
      </c>
      <c r="BP959">
        <v>0</v>
      </c>
      <c r="BS959">
        <v>0</v>
      </c>
      <c r="BT959">
        <v>0</v>
      </c>
      <c r="BU959">
        <v>0</v>
      </c>
      <c r="CE959" t="str">
        <f t="shared" si="379"/>
        <v>15:07:11.977</v>
      </c>
      <c r="CF959">
        <v>977452539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4</v>
      </c>
      <c r="CY959">
        <v>7</v>
      </c>
      <c r="CZ959" t="s">
        <v>133</v>
      </c>
      <c r="DA959">
        <v>275</v>
      </c>
      <c r="DB959">
        <v>0</v>
      </c>
      <c r="DC959" t="s">
        <v>134</v>
      </c>
      <c r="DD959" t="s">
        <v>135</v>
      </c>
      <c r="DG959">
        <v>3319543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"05/01/2025 15:07:12.245"</f>
        <v>05/01/2025 15:07:12.245</v>
      </c>
      <c r="C960" t="str">
        <f t="shared" si="356"/>
        <v>FFDFD3C0</v>
      </c>
      <c r="D960" t="s">
        <v>145</v>
      </c>
      <c r="E960" t="str">
        <f>"09"</f>
        <v>09</v>
      </c>
      <c r="H960">
        <v>51</v>
      </c>
      <c r="I960" t="s">
        <v>147</v>
      </c>
      <c r="J960" t="s">
        <v>138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R960" t="s">
        <v>127</v>
      </c>
      <c r="S960" t="str">
        <f t="shared" si="378"/>
        <v>15:07:11.000</v>
      </c>
      <c r="T960" t="str">
        <f t="shared" si="378"/>
        <v>15:07:11.000</v>
      </c>
      <c r="U960" t="str">
        <f t="shared" si="357"/>
        <v>A68FCB</v>
      </c>
      <c r="V960">
        <v>0</v>
      </c>
      <c r="W960">
        <v>0</v>
      </c>
      <c r="X960">
        <v>2</v>
      </c>
      <c r="Y960">
        <v>0</v>
      </c>
      <c r="AA960">
        <v>1</v>
      </c>
      <c r="AB960">
        <v>8</v>
      </c>
      <c r="AC960">
        <v>3</v>
      </c>
      <c r="AD960">
        <v>0</v>
      </c>
      <c r="AE960">
        <v>9</v>
      </c>
      <c r="AF960" t="s">
        <v>138</v>
      </c>
      <c r="AG960">
        <v>0</v>
      </c>
      <c r="AH960">
        <v>3</v>
      </c>
      <c r="AI960">
        <v>2</v>
      </c>
      <c r="AJ960">
        <v>0</v>
      </c>
      <c r="AK960" t="s">
        <v>404</v>
      </c>
      <c r="AL960">
        <v>38.984299</v>
      </c>
      <c r="AM960" t="s">
        <v>405</v>
      </c>
      <c r="AN960">
        <v>-121.05219099999999</v>
      </c>
      <c r="AO960">
        <v>25</v>
      </c>
      <c r="AP960">
        <v>3000</v>
      </c>
      <c r="AQ960" t="s">
        <v>131</v>
      </c>
      <c r="AR960">
        <v>-11</v>
      </c>
      <c r="AS960">
        <v>89</v>
      </c>
      <c r="AT960">
        <v>384</v>
      </c>
      <c r="BB960" t="str">
        <f t="shared" si="358"/>
        <v>1200</v>
      </c>
      <c r="BC960">
        <v>1</v>
      </c>
      <c r="BD960" t="str">
        <f t="shared" si="359"/>
        <v xml:space="preserve">N52156  </v>
      </c>
      <c r="BE960">
        <v>1</v>
      </c>
      <c r="BG960">
        <v>0</v>
      </c>
      <c r="BH960">
        <v>0</v>
      </c>
      <c r="BI960">
        <v>0</v>
      </c>
      <c r="BJ960">
        <v>2975</v>
      </c>
      <c r="BK960">
        <v>-25</v>
      </c>
      <c r="BL960" t="s">
        <v>188</v>
      </c>
      <c r="BM960">
        <v>1</v>
      </c>
      <c r="BN960">
        <v>1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 t="shared" si="379"/>
        <v>15:07:11.977</v>
      </c>
      <c r="CF960">
        <v>977452539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4</v>
      </c>
      <c r="CY960">
        <v>7</v>
      </c>
      <c r="CZ960" t="s">
        <v>133</v>
      </c>
      <c r="DA960">
        <v>275</v>
      </c>
      <c r="DB960">
        <v>0</v>
      </c>
      <c r="DC960" t="s">
        <v>134</v>
      </c>
      <c r="DD960" t="s">
        <v>135</v>
      </c>
      <c r="DG960">
        <v>3319543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"05/01/2025 15:07:12.251"</f>
        <v>05/01/2025 15:07:12.251</v>
      </c>
      <c r="C961" t="str">
        <f t="shared" si="356"/>
        <v>FFDFD3C0</v>
      </c>
      <c r="D961" t="s">
        <v>136</v>
      </c>
      <c r="E961" t="str">
        <f>"20"</f>
        <v>20</v>
      </c>
      <c r="H961">
        <v>400</v>
      </c>
      <c r="I961" t="s">
        <v>137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R961" t="s">
        <v>127</v>
      </c>
      <c r="S961" t="str">
        <f t="shared" si="378"/>
        <v>15:07:11.000</v>
      </c>
      <c r="T961" t="str">
        <f t="shared" si="378"/>
        <v>15:07:11.000</v>
      </c>
      <c r="U961" t="str">
        <f t="shared" si="357"/>
        <v>A68FCB</v>
      </c>
      <c r="V961">
        <v>0</v>
      </c>
      <c r="W961">
        <v>0</v>
      </c>
      <c r="X961">
        <v>2</v>
      </c>
      <c r="Y961">
        <v>0</v>
      </c>
      <c r="AA961">
        <v>1</v>
      </c>
      <c r="AB961">
        <v>8</v>
      </c>
      <c r="AC961">
        <v>3</v>
      </c>
      <c r="AD961">
        <v>0</v>
      </c>
      <c r="AE961">
        <v>9</v>
      </c>
      <c r="AF961" t="s">
        <v>138</v>
      </c>
      <c r="AG961">
        <v>0</v>
      </c>
      <c r="AH961">
        <v>3</v>
      </c>
      <c r="AI961">
        <v>2</v>
      </c>
      <c r="AJ961">
        <v>0</v>
      </c>
      <c r="AK961" t="s">
        <v>404</v>
      </c>
      <c r="AL961">
        <v>38.984299</v>
      </c>
      <c r="AM961" t="s">
        <v>405</v>
      </c>
      <c r="AN961">
        <v>-121.05219099999999</v>
      </c>
      <c r="AO961">
        <v>25</v>
      </c>
      <c r="AP961">
        <v>3000</v>
      </c>
      <c r="AQ961" t="s">
        <v>131</v>
      </c>
      <c r="AR961">
        <v>-11</v>
      </c>
      <c r="AS961">
        <v>89</v>
      </c>
      <c r="AT961">
        <v>384</v>
      </c>
      <c r="BB961" t="str">
        <f t="shared" si="358"/>
        <v>1200</v>
      </c>
      <c r="BC961">
        <v>1</v>
      </c>
      <c r="BD961" t="str">
        <f t="shared" si="359"/>
        <v xml:space="preserve">N52156  </v>
      </c>
      <c r="BE961">
        <v>1</v>
      </c>
      <c r="BG961">
        <v>0</v>
      </c>
      <c r="BH961">
        <v>0</v>
      </c>
      <c r="BI961">
        <v>0</v>
      </c>
      <c r="BJ961">
        <v>2975</v>
      </c>
      <c r="BK961">
        <v>-25</v>
      </c>
      <c r="BL961" t="s">
        <v>188</v>
      </c>
      <c r="BM961">
        <v>1</v>
      </c>
      <c r="BN961">
        <v>1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 t="shared" si="379"/>
        <v>15:07:11.977</v>
      </c>
      <c r="CF961">
        <v>977452539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4</v>
      </c>
      <c r="CY961">
        <v>7</v>
      </c>
      <c r="CZ961" t="s">
        <v>133</v>
      </c>
      <c r="DA961">
        <v>275</v>
      </c>
      <c r="DB961">
        <v>0</v>
      </c>
      <c r="DC961" t="s">
        <v>134</v>
      </c>
      <c r="DD961" t="s">
        <v>135</v>
      </c>
      <c r="DG961">
        <v>3319543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"05/01/2025 15:07:13.186"</f>
        <v>05/01/2025 15:07:13.186</v>
      </c>
      <c r="C962" t="str">
        <f t="shared" ref="C962:C1025" si="380">"FFDFD3C0"</f>
        <v>FFDFD3C0</v>
      </c>
      <c r="D962" t="s">
        <v>140</v>
      </c>
      <c r="E962" t="str">
        <f>"13"</f>
        <v>13</v>
      </c>
      <c r="F962">
        <v>1019</v>
      </c>
      <c r="G962" t="s">
        <v>141</v>
      </c>
      <c r="J962" t="s">
        <v>142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R962" t="s">
        <v>127</v>
      </c>
      <c r="S962" t="str">
        <f t="shared" ref="S962:T967" si="381">"15:07:12.000"</f>
        <v>15:07:12.000</v>
      </c>
      <c r="T962" t="str">
        <f t="shared" si="381"/>
        <v>15:07:12.000</v>
      </c>
      <c r="U962" t="str">
        <f t="shared" ref="U962:U1025" si="382">"A68FCB"</f>
        <v>A68FCB</v>
      </c>
      <c r="V962">
        <v>0</v>
      </c>
      <c r="W962">
        <v>0</v>
      </c>
      <c r="X962">
        <v>2</v>
      </c>
      <c r="Y962">
        <v>0</v>
      </c>
      <c r="AA962">
        <v>1</v>
      </c>
      <c r="AB962">
        <v>8</v>
      </c>
      <c r="AC962">
        <v>3</v>
      </c>
      <c r="AD962">
        <v>0</v>
      </c>
      <c r="AE962">
        <v>9</v>
      </c>
      <c r="AF962" t="s">
        <v>138</v>
      </c>
      <c r="AG962">
        <v>0</v>
      </c>
      <c r="AH962">
        <v>3</v>
      </c>
      <c r="AI962">
        <v>2</v>
      </c>
      <c r="AJ962">
        <v>0</v>
      </c>
      <c r="AK962" t="s">
        <v>406</v>
      </c>
      <c r="AL962">
        <v>38.984814</v>
      </c>
      <c r="AM962" t="s">
        <v>405</v>
      </c>
      <c r="AN962">
        <v>-121.05219099999999</v>
      </c>
      <c r="AO962">
        <v>25</v>
      </c>
      <c r="AP962">
        <v>3000</v>
      </c>
      <c r="AQ962" t="s">
        <v>131</v>
      </c>
      <c r="AR962">
        <v>-11</v>
      </c>
      <c r="AS962">
        <v>89</v>
      </c>
      <c r="AT962">
        <v>448</v>
      </c>
      <c r="BB962" t="str">
        <f t="shared" ref="BB962:BB1025" si="383">"1200"</f>
        <v>1200</v>
      </c>
      <c r="BC962">
        <v>1</v>
      </c>
      <c r="BD962" t="str">
        <f t="shared" ref="BD962:BD1025" si="384">"N52156  "</f>
        <v xml:space="preserve">N52156  </v>
      </c>
      <c r="BE962">
        <v>1</v>
      </c>
      <c r="BG962">
        <v>0</v>
      </c>
      <c r="BH962">
        <v>0</v>
      </c>
      <c r="BI962">
        <v>0</v>
      </c>
      <c r="BJ962">
        <v>2975</v>
      </c>
      <c r="BK962">
        <v>-25</v>
      </c>
      <c r="BL962" t="s">
        <v>188</v>
      </c>
      <c r="BM962">
        <v>1</v>
      </c>
      <c r="BN962">
        <v>1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 t="shared" ref="CE962:CE967" si="385">"15:07:12.951"</f>
        <v>15:07:12.951</v>
      </c>
      <c r="CF962">
        <v>951452443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4</v>
      </c>
      <c r="CY962">
        <v>7</v>
      </c>
      <c r="CZ962" t="s">
        <v>133</v>
      </c>
      <c r="DA962">
        <v>275</v>
      </c>
      <c r="DB962">
        <v>0</v>
      </c>
      <c r="DC962" t="s">
        <v>134</v>
      </c>
      <c r="DD962" t="s">
        <v>135</v>
      </c>
      <c r="DG962">
        <v>3319554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"05/01/2025 15:07:13.190"</f>
        <v>05/01/2025 15:07:13.190</v>
      </c>
      <c r="C963" t="str">
        <f t="shared" si="380"/>
        <v>FFDFD3C0</v>
      </c>
      <c r="D963" t="s">
        <v>145</v>
      </c>
      <c r="E963" t="str">
        <f>"05"</f>
        <v>05</v>
      </c>
      <c r="H963">
        <v>47</v>
      </c>
      <c r="I963" t="s">
        <v>146</v>
      </c>
      <c r="J963" t="s">
        <v>138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R963" t="s">
        <v>127</v>
      </c>
      <c r="S963" t="str">
        <f t="shared" si="381"/>
        <v>15:07:12.000</v>
      </c>
      <c r="T963" t="str">
        <f t="shared" si="381"/>
        <v>15:07:12.000</v>
      </c>
      <c r="U963" t="str">
        <f t="shared" si="382"/>
        <v>A68FCB</v>
      </c>
      <c r="V963">
        <v>0</v>
      </c>
      <c r="W963">
        <v>0</v>
      </c>
      <c r="X963">
        <v>2</v>
      </c>
      <c r="Y963">
        <v>0</v>
      </c>
      <c r="AA963">
        <v>1</v>
      </c>
      <c r="AB963">
        <v>8</v>
      </c>
      <c r="AC963">
        <v>3</v>
      </c>
      <c r="AD963">
        <v>0</v>
      </c>
      <c r="AE963">
        <v>9</v>
      </c>
      <c r="AF963" t="s">
        <v>138</v>
      </c>
      <c r="AG963">
        <v>0</v>
      </c>
      <c r="AH963">
        <v>3</v>
      </c>
      <c r="AI963">
        <v>2</v>
      </c>
      <c r="AJ963">
        <v>0</v>
      </c>
      <c r="AK963" t="s">
        <v>406</v>
      </c>
      <c r="AL963">
        <v>38.984814</v>
      </c>
      <c r="AM963" t="s">
        <v>405</v>
      </c>
      <c r="AN963">
        <v>-121.05219099999999</v>
      </c>
      <c r="AO963">
        <v>25</v>
      </c>
      <c r="AP963">
        <v>3000</v>
      </c>
      <c r="AQ963" t="s">
        <v>131</v>
      </c>
      <c r="AR963">
        <v>-11</v>
      </c>
      <c r="AS963">
        <v>89</v>
      </c>
      <c r="AT963">
        <v>448</v>
      </c>
      <c r="BB963" t="str">
        <f t="shared" si="383"/>
        <v>1200</v>
      </c>
      <c r="BC963">
        <v>1</v>
      </c>
      <c r="BD963" t="str">
        <f t="shared" si="384"/>
        <v xml:space="preserve">N52156  </v>
      </c>
      <c r="BE963">
        <v>1</v>
      </c>
      <c r="BG963">
        <v>0</v>
      </c>
      <c r="BH963">
        <v>0</v>
      </c>
      <c r="BI963">
        <v>0</v>
      </c>
      <c r="BJ963">
        <v>2975</v>
      </c>
      <c r="BK963">
        <v>-25</v>
      </c>
      <c r="BL963" t="s">
        <v>188</v>
      </c>
      <c r="BM963">
        <v>1</v>
      </c>
      <c r="BN963">
        <v>1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 t="shared" si="385"/>
        <v>15:07:12.951</v>
      </c>
      <c r="CF963">
        <v>951452443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4</v>
      </c>
      <c r="CY963">
        <v>7</v>
      </c>
      <c r="CZ963" t="s">
        <v>133</v>
      </c>
      <c r="DA963">
        <v>275</v>
      </c>
      <c r="DB963">
        <v>0</v>
      </c>
      <c r="DC963" t="s">
        <v>134</v>
      </c>
      <c r="DD963" t="s">
        <v>135</v>
      </c>
      <c r="DG963">
        <v>3319554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"05/01/2025 15:07:13.192"</f>
        <v>05/01/2025 15:07:13.192</v>
      </c>
      <c r="C964" t="str">
        <f t="shared" si="380"/>
        <v>FFDFD3C0</v>
      </c>
      <c r="D964" t="s">
        <v>124</v>
      </c>
      <c r="E964" t="str">
        <f>"06"</f>
        <v>06</v>
      </c>
      <c r="F964">
        <v>2006</v>
      </c>
      <c r="G964" t="s">
        <v>125</v>
      </c>
      <c r="J964" t="s">
        <v>126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R964" t="s">
        <v>127</v>
      </c>
      <c r="S964" t="str">
        <f t="shared" si="381"/>
        <v>15:07:12.000</v>
      </c>
      <c r="T964" t="str">
        <f t="shared" si="381"/>
        <v>15:07:12.000</v>
      </c>
      <c r="U964" t="str">
        <f t="shared" si="382"/>
        <v>A68FCB</v>
      </c>
      <c r="V964">
        <v>0</v>
      </c>
      <c r="W964">
        <v>0</v>
      </c>
      <c r="X964">
        <v>2</v>
      </c>
      <c r="Y964">
        <v>0</v>
      </c>
      <c r="AA964">
        <v>1</v>
      </c>
      <c r="AB964">
        <v>8</v>
      </c>
      <c r="AC964">
        <v>3</v>
      </c>
      <c r="AD964">
        <v>0</v>
      </c>
      <c r="AE964">
        <v>9</v>
      </c>
      <c r="AF964" t="s">
        <v>138</v>
      </c>
      <c r="AG964">
        <v>0</v>
      </c>
      <c r="AH964">
        <v>3</v>
      </c>
      <c r="AI964">
        <v>2</v>
      </c>
      <c r="AJ964">
        <v>0</v>
      </c>
      <c r="AK964" t="s">
        <v>406</v>
      </c>
      <c r="AL964">
        <v>38.984814</v>
      </c>
      <c r="AM964" t="s">
        <v>405</v>
      </c>
      <c r="AN964">
        <v>-121.05219099999999</v>
      </c>
      <c r="AO964">
        <v>25</v>
      </c>
      <c r="AP964">
        <v>3000</v>
      </c>
      <c r="AQ964" t="s">
        <v>131</v>
      </c>
      <c r="AR964">
        <v>-11</v>
      </c>
      <c r="AS964">
        <v>89</v>
      </c>
      <c r="AT964">
        <v>448</v>
      </c>
      <c r="BB964" t="str">
        <f t="shared" si="383"/>
        <v>1200</v>
      </c>
      <c r="BC964">
        <v>1</v>
      </c>
      <c r="BD964" t="str">
        <f t="shared" si="384"/>
        <v xml:space="preserve">N52156  </v>
      </c>
      <c r="BE964">
        <v>1</v>
      </c>
      <c r="BG964">
        <v>0</v>
      </c>
      <c r="BH964">
        <v>0</v>
      </c>
      <c r="BI964">
        <v>0</v>
      </c>
      <c r="BJ964">
        <v>2975</v>
      </c>
      <c r="BK964">
        <v>-25</v>
      </c>
      <c r="BL964" t="s">
        <v>188</v>
      </c>
      <c r="BM964">
        <v>1</v>
      </c>
      <c r="BN964">
        <v>1</v>
      </c>
      <c r="BO964">
        <v>0</v>
      </c>
      <c r="BP964">
        <v>0</v>
      </c>
      <c r="BS964">
        <v>0</v>
      </c>
      <c r="BT964">
        <v>0</v>
      </c>
      <c r="BU964">
        <v>0</v>
      </c>
      <c r="CE964" t="str">
        <f t="shared" si="385"/>
        <v>15:07:12.951</v>
      </c>
      <c r="CF964">
        <v>951452443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4</v>
      </c>
      <c r="CY964">
        <v>7</v>
      </c>
      <c r="CZ964" t="s">
        <v>133</v>
      </c>
      <c r="DA964">
        <v>275</v>
      </c>
      <c r="DB964">
        <v>0</v>
      </c>
      <c r="DC964" t="s">
        <v>134</v>
      </c>
      <c r="DD964" t="s">
        <v>135</v>
      </c>
      <c r="DG964">
        <v>3319554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"05/01/2025 15:07:13.193"</f>
        <v>05/01/2025 15:07:13.193</v>
      </c>
      <c r="C965" t="str">
        <f t="shared" si="380"/>
        <v>FFDFD3C0</v>
      </c>
      <c r="D965" t="s">
        <v>143</v>
      </c>
      <c r="E965" t="str">
        <f>"05"</f>
        <v>05</v>
      </c>
      <c r="H965">
        <v>172</v>
      </c>
      <c r="I965" t="s">
        <v>141</v>
      </c>
      <c r="J965" t="s">
        <v>144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R965" t="s">
        <v>127</v>
      </c>
      <c r="S965" t="str">
        <f t="shared" si="381"/>
        <v>15:07:12.000</v>
      </c>
      <c r="T965" t="str">
        <f t="shared" si="381"/>
        <v>15:07:12.000</v>
      </c>
      <c r="U965" t="str">
        <f t="shared" si="382"/>
        <v>A68FCB</v>
      </c>
      <c r="V965">
        <v>0</v>
      </c>
      <c r="W965">
        <v>0</v>
      </c>
      <c r="X965">
        <v>2</v>
      </c>
      <c r="Y965">
        <v>0</v>
      </c>
      <c r="AA965">
        <v>1</v>
      </c>
      <c r="AB965">
        <v>8</v>
      </c>
      <c r="AC965">
        <v>3</v>
      </c>
      <c r="AD965">
        <v>0</v>
      </c>
      <c r="AE965">
        <v>9</v>
      </c>
      <c r="AF965" t="s">
        <v>138</v>
      </c>
      <c r="AG965">
        <v>0</v>
      </c>
      <c r="AH965">
        <v>3</v>
      </c>
      <c r="AI965">
        <v>2</v>
      </c>
      <c r="AJ965">
        <v>0</v>
      </c>
      <c r="AK965" t="s">
        <v>406</v>
      </c>
      <c r="AL965">
        <v>38.984814</v>
      </c>
      <c r="AM965" t="s">
        <v>405</v>
      </c>
      <c r="AN965">
        <v>-121.05219099999999</v>
      </c>
      <c r="AO965">
        <v>25</v>
      </c>
      <c r="AP965">
        <v>3000</v>
      </c>
      <c r="AQ965" t="s">
        <v>131</v>
      </c>
      <c r="AR965">
        <v>-11</v>
      </c>
      <c r="AS965">
        <v>89</v>
      </c>
      <c r="AT965">
        <v>448</v>
      </c>
      <c r="BB965" t="str">
        <f t="shared" si="383"/>
        <v>1200</v>
      </c>
      <c r="BC965">
        <v>1</v>
      </c>
      <c r="BD965" t="str">
        <f t="shared" si="384"/>
        <v xml:space="preserve">N52156  </v>
      </c>
      <c r="BE965">
        <v>1</v>
      </c>
      <c r="BG965">
        <v>0</v>
      </c>
      <c r="BH965">
        <v>0</v>
      </c>
      <c r="BI965">
        <v>0</v>
      </c>
      <c r="BJ965">
        <v>2975</v>
      </c>
      <c r="BK965">
        <v>-25</v>
      </c>
      <c r="BL965" t="s">
        <v>188</v>
      </c>
      <c r="BM965">
        <v>1</v>
      </c>
      <c r="BN965">
        <v>1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 t="shared" si="385"/>
        <v>15:07:12.951</v>
      </c>
      <c r="CF965">
        <v>951452443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4</v>
      </c>
      <c r="CY965">
        <v>7</v>
      </c>
      <c r="CZ965" t="s">
        <v>133</v>
      </c>
      <c r="DA965">
        <v>275</v>
      </c>
      <c r="DB965">
        <v>0</v>
      </c>
      <c r="DC965" t="s">
        <v>134</v>
      </c>
      <c r="DD965" t="s">
        <v>135</v>
      </c>
      <c r="DG965">
        <v>3319554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"05/01/2025 15:07:13.197"</f>
        <v>05/01/2025 15:07:13.197</v>
      </c>
      <c r="C966" t="str">
        <f t="shared" si="380"/>
        <v>FFDFD3C0</v>
      </c>
      <c r="D966" t="s">
        <v>145</v>
      </c>
      <c r="E966" t="str">
        <f>"09"</f>
        <v>09</v>
      </c>
      <c r="H966">
        <v>51</v>
      </c>
      <c r="I966" t="s">
        <v>147</v>
      </c>
      <c r="J966" t="s">
        <v>138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R966" t="s">
        <v>127</v>
      </c>
      <c r="S966" t="str">
        <f t="shared" si="381"/>
        <v>15:07:12.000</v>
      </c>
      <c r="T966" t="str">
        <f t="shared" si="381"/>
        <v>15:07:12.000</v>
      </c>
      <c r="U966" t="str">
        <f t="shared" si="382"/>
        <v>A68FCB</v>
      </c>
      <c r="V966">
        <v>0</v>
      </c>
      <c r="W966">
        <v>0</v>
      </c>
      <c r="X966">
        <v>2</v>
      </c>
      <c r="Y966">
        <v>0</v>
      </c>
      <c r="AA966">
        <v>1</v>
      </c>
      <c r="AB966">
        <v>8</v>
      </c>
      <c r="AC966">
        <v>3</v>
      </c>
      <c r="AD966">
        <v>0</v>
      </c>
      <c r="AE966">
        <v>9</v>
      </c>
      <c r="AF966" t="s">
        <v>138</v>
      </c>
      <c r="AG966">
        <v>0</v>
      </c>
      <c r="AH966">
        <v>3</v>
      </c>
      <c r="AI966">
        <v>2</v>
      </c>
      <c r="AJ966">
        <v>0</v>
      </c>
      <c r="AK966" t="s">
        <v>406</v>
      </c>
      <c r="AL966">
        <v>38.984814</v>
      </c>
      <c r="AM966" t="s">
        <v>405</v>
      </c>
      <c r="AN966">
        <v>-121.05219099999999</v>
      </c>
      <c r="AO966">
        <v>25</v>
      </c>
      <c r="AP966">
        <v>3000</v>
      </c>
      <c r="AQ966" t="s">
        <v>131</v>
      </c>
      <c r="AR966">
        <v>-11</v>
      </c>
      <c r="AS966">
        <v>89</v>
      </c>
      <c r="AT966">
        <v>448</v>
      </c>
      <c r="BB966" t="str">
        <f t="shared" si="383"/>
        <v>1200</v>
      </c>
      <c r="BC966">
        <v>1</v>
      </c>
      <c r="BD966" t="str">
        <f t="shared" si="384"/>
        <v xml:space="preserve">N52156  </v>
      </c>
      <c r="BE966">
        <v>1</v>
      </c>
      <c r="BG966">
        <v>0</v>
      </c>
      <c r="BH966">
        <v>0</v>
      </c>
      <c r="BI966">
        <v>0</v>
      </c>
      <c r="BJ966">
        <v>2975</v>
      </c>
      <c r="BK966">
        <v>-25</v>
      </c>
      <c r="BL966" t="s">
        <v>188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 t="shared" si="385"/>
        <v>15:07:12.951</v>
      </c>
      <c r="CF966">
        <v>951452443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4</v>
      </c>
      <c r="CY966">
        <v>7</v>
      </c>
      <c r="CZ966" t="s">
        <v>133</v>
      </c>
      <c r="DA966">
        <v>275</v>
      </c>
      <c r="DB966">
        <v>0</v>
      </c>
      <c r="DC966" t="s">
        <v>134</v>
      </c>
      <c r="DD966" t="s">
        <v>135</v>
      </c>
      <c r="DG966">
        <v>3319554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"05/01/2025 15:07:13.202"</f>
        <v>05/01/2025 15:07:13.202</v>
      </c>
      <c r="C967" t="str">
        <f t="shared" si="380"/>
        <v>FFDFD3C0</v>
      </c>
      <c r="D967" t="s">
        <v>136</v>
      </c>
      <c r="E967" t="str">
        <f>"20"</f>
        <v>20</v>
      </c>
      <c r="H967">
        <v>400</v>
      </c>
      <c r="I967" t="s">
        <v>137</v>
      </c>
      <c r="J967" t="s">
        <v>138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R967" t="s">
        <v>127</v>
      </c>
      <c r="S967" t="str">
        <f t="shared" si="381"/>
        <v>15:07:12.000</v>
      </c>
      <c r="T967" t="str">
        <f t="shared" si="381"/>
        <v>15:07:12.000</v>
      </c>
      <c r="U967" t="str">
        <f t="shared" si="382"/>
        <v>A68FCB</v>
      </c>
      <c r="V967">
        <v>0</v>
      </c>
      <c r="W967">
        <v>0</v>
      </c>
      <c r="X967">
        <v>2</v>
      </c>
      <c r="Y967">
        <v>0</v>
      </c>
      <c r="AA967">
        <v>1</v>
      </c>
      <c r="AB967">
        <v>8</v>
      </c>
      <c r="AC967">
        <v>3</v>
      </c>
      <c r="AD967">
        <v>0</v>
      </c>
      <c r="AE967">
        <v>9</v>
      </c>
      <c r="AF967" t="s">
        <v>138</v>
      </c>
      <c r="AG967">
        <v>0</v>
      </c>
      <c r="AH967">
        <v>3</v>
      </c>
      <c r="AI967">
        <v>2</v>
      </c>
      <c r="AJ967">
        <v>0</v>
      </c>
      <c r="AK967" t="s">
        <v>406</v>
      </c>
      <c r="AL967">
        <v>38.984814</v>
      </c>
      <c r="AM967" t="s">
        <v>405</v>
      </c>
      <c r="AN967">
        <v>-121.05219099999999</v>
      </c>
      <c r="AO967">
        <v>25</v>
      </c>
      <c r="AP967">
        <v>3000</v>
      </c>
      <c r="AQ967" t="s">
        <v>131</v>
      </c>
      <c r="AR967">
        <v>-11</v>
      </c>
      <c r="AS967">
        <v>89</v>
      </c>
      <c r="AT967">
        <v>448</v>
      </c>
      <c r="BB967" t="str">
        <f t="shared" si="383"/>
        <v>1200</v>
      </c>
      <c r="BC967">
        <v>1</v>
      </c>
      <c r="BD967" t="str">
        <f t="shared" si="384"/>
        <v xml:space="preserve">N52156  </v>
      </c>
      <c r="BE967">
        <v>1</v>
      </c>
      <c r="BG967">
        <v>0</v>
      </c>
      <c r="BH967">
        <v>0</v>
      </c>
      <c r="BI967">
        <v>0</v>
      </c>
      <c r="BJ967">
        <v>2975</v>
      </c>
      <c r="BK967">
        <v>-25</v>
      </c>
      <c r="BL967" t="s">
        <v>188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 t="shared" si="385"/>
        <v>15:07:12.951</v>
      </c>
      <c r="CF967">
        <v>951452443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4</v>
      </c>
      <c r="CY967">
        <v>7</v>
      </c>
      <c r="CZ967" t="s">
        <v>133</v>
      </c>
      <c r="DA967">
        <v>275</v>
      </c>
      <c r="DB967">
        <v>0</v>
      </c>
      <c r="DC967" t="s">
        <v>134</v>
      </c>
      <c r="DD967" t="s">
        <v>135</v>
      </c>
      <c r="DG967">
        <v>3319554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"05/01/2025 15:07:13.486"</f>
        <v>05/01/2025 15:07:13.486</v>
      </c>
      <c r="C968" t="str">
        <f t="shared" si="380"/>
        <v>FFDFD3C0</v>
      </c>
      <c r="D968" t="s">
        <v>140</v>
      </c>
      <c r="E968" t="str">
        <f>"13"</f>
        <v>13</v>
      </c>
      <c r="F968">
        <v>1019</v>
      </c>
      <c r="G968" t="s">
        <v>141</v>
      </c>
      <c r="J968" t="s">
        <v>142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R968" t="s">
        <v>127</v>
      </c>
      <c r="S968" t="str">
        <f t="shared" ref="S968:T973" si="386">"15:07:13.000"</f>
        <v>15:07:13.000</v>
      </c>
      <c r="T968" t="str">
        <f t="shared" si="386"/>
        <v>15:07:13.000</v>
      </c>
      <c r="U968" t="str">
        <f t="shared" si="382"/>
        <v>A68FCB</v>
      </c>
      <c r="V968">
        <v>0</v>
      </c>
      <c r="W968">
        <v>0</v>
      </c>
      <c r="X968">
        <v>2</v>
      </c>
      <c r="Y968">
        <v>0</v>
      </c>
      <c r="AA968">
        <v>1</v>
      </c>
      <c r="AB968">
        <v>8</v>
      </c>
      <c r="AC968">
        <v>3</v>
      </c>
      <c r="AD968">
        <v>0</v>
      </c>
      <c r="AE968">
        <v>9</v>
      </c>
      <c r="AF968" t="s">
        <v>138</v>
      </c>
      <c r="AG968">
        <v>0</v>
      </c>
      <c r="AH968">
        <v>3</v>
      </c>
      <c r="AI968">
        <v>2</v>
      </c>
      <c r="AJ968">
        <v>0</v>
      </c>
      <c r="AK968" t="s">
        <v>407</v>
      </c>
      <c r="AL968">
        <v>38.985114000000003</v>
      </c>
      <c r="AM968" t="s">
        <v>408</v>
      </c>
      <c r="AN968">
        <v>-121.052299</v>
      </c>
      <c r="AO968">
        <v>25</v>
      </c>
      <c r="AP968">
        <v>3000</v>
      </c>
      <c r="AQ968" t="s">
        <v>131</v>
      </c>
      <c r="AR968">
        <v>-11</v>
      </c>
      <c r="AS968">
        <v>89</v>
      </c>
      <c r="AT968">
        <v>448</v>
      </c>
      <c r="BB968" t="str">
        <f t="shared" si="383"/>
        <v>1200</v>
      </c>
      <c r="BC968">
        <v>1</v>
      </c>
      <c r="BD968" t="str">
        <f t="shared" si="384"/>
        <v xml:space="preserve">N52156  </v>
      </c>
      <c r="BE968">
        <v>1</v>
      </c>
      <c r="BG968">
        <v>0</v>
      </c>
      <c r="BH968">
        <v>0</v>
      </c>
      <c r="BI968">
        <v>0</v>
      </c>
      <c r="BJ968">
        <v>3000</v>
      </c>
      <c r="BK968">
        <v>0</v>
      </c>
      <c r="BL968" t="s">
        <v>188</v>
      </c>
      <c r="BM968">
        <v>1</v>
      </c>
      <c r="BN968">
        <v>1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 t="shared" ref="CE968:CE973" si="387">"15:07:13.262"</f>
        <v>15:07:13.262</v>
      </c>
      <c r="CF968">
        <v>261950715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4</v>
      </c>
      <c r="CY968">
        <v>7</v>
      </c>
      <c r="CZ968" t="s">
        <v>133</v>
      </c>
      <c r="DA968">
        <v>275</v>
      </c>
      <c r="DB968">
        <v>0</v>
      </c>
      <c r="DC968" t="s">
        <v>134</v>
      </c>
      <c r="DD968" t="s">
        <v>135</v>
      </c>
      <c r="DG968">
        <v>3319558</v>
      </c>
      <c r="DI968">
        <v>1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"05/01/2025 15:07:13.491"</f>
        <v>05/01/2025 15:07:13.491</v>
      </c>
      <c r="C969" t="str">
        <f t="shared" si="380"/>
        <v>FFDFD3C0</v>
      </c>
      <c r="D969" t="s">
        <v>145</v>
      </c>
      <c r="E969" t="str">
        <f>"05"</f>
        <v>05</v>
      </c>
      <c r="H969">
        <v>47</v>
      </c>
      <c r="I969" t="s">
        <v>146</v>
      </c>
      <c r="J969" t="s">
        <v>138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R969" t="s">
        <v>127</v>
      </c>
      <c r="S969" t="str">
        <f t="shared" si="386"/>
        <v>15:07:13.000</v>
      </c>
      <c r="T969" t="str">
        <f t="shared" si="386"/>
        <v>15:07:13.000</v>
      </c>
      <c r="U969" t="str">
        <f t="shared" si="382"/>
        <v>A68FCB</v>
      </c>
      <c r="V969">
        <v>0</v>
      </c>
      <c r="W969">
        <v>0</v>
      </c>
      <c r="X969">
        <v>2</v>
      </c>
      <c r="Y969">
        <v>0</v>
      </c>
      <c r="AA969">
        <v>1</v>
      </c>
      <c r="AB969">
        <v>8</v>
      </c>
      <c r="AC969">
        <v>3</v>
      </c>
      <c r="AD969">
        <v>0</v>
      </c>
      <c r="AE969">
        <v>9</v>
      </c>
      <c r="AF969" t="s">
        <v>138</v>
      </c>
      <c r="AG969">
        <v>0</v>
      </c>
      <c r="AH969">
        <v>3</v>
      </c>
      <c r="AI969">
        <v>2</v>
      </c>
      <c r="AJ969">
        <v>0</v>
      </c>
      <c r="AK969" t="s">
        <v>407</v>
      </c>
      <c r="AL969">
        <v>38.985114000000003</v>
      </c>
      <c r="AM969" t="s">
        <v>408</v>
      </c>
      <c r="AN969">
        <v>-121.052299</v>
      </c>
      <c r="AO969">
        <v>25</v>
      </c>
      <c r="AP969">
        <v>3000</v>
      </c>
      <c r="AQ969" t="s">
        <v>131</v>
      </c>
      <c r="AR969">
        <v>-11</v>
      </c>
      <c r="AS969">
        <v>89</v>
      </c>
      <c r="AT969">
        <v>448</v>
      </c>
      <c r="BB969" t="str">
        <f t="shared" si="383"/>
        <v>1200</v>
      </c>
      <c r="BC969">
        <v>1</v>
      </c>
      <c r="BD969" t="str">
        <f t="shared" si="384"/>
        <v xml:space="preserve">N52156  </v>
      </c>
      <c r="BE969">
        <v>1</v>
      </c>
      <c r="BG969">
        <v>0</v>
      </c>
      <c r="BH969">
        <v>0</v>
      </c>
      <c r="BI969">
        <v>0</v>
      </c>
      <c r="BJ969">
        <v>3000</v>
      </c>
      <c r="BK969">
        <v>0</v>
      </c>
      <c r="BL969" t="s">
        <v>188</v>
      </c>
      <c r="BM969">
        <v>1</v>
      </c>
      <c r="BN969">
        <v>1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 t="shared" si="387"/>
        <v>15:07:13.262</v>
      </c>
      <c r="CF969">
        <v>261950715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4</v>
      </c>
      <c r="CY969">
        <v>7</v>
      </c>
      <c r="CZ969" t="s">
        <v>133</v>
      </c>
      <c r="DA969">
        <v>275</v>
      </c>
      <c r="DB969">
        <v>0</v>
      </c>
      <c r="DC969" t="s">
        <v>134</v>
      </c>
      <c r="DD969" t="s">
        <v>135</v>
      </c>
      <c r="DG969">
        <v>3319558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"05/01/2025 15:07:13.493"</f>
        <v>05/01/2025 15:07:13.493</v>
      </c>
      <c r="C970" t="str">
        <f t="shared" si="380"/>
        <v>FFDFD3C0</v>
      </c>
      <c r="D970" t="s">
        <v>124</v>
      </c>
      <c r="E970" t="str">
        <f>"06"</f>
        <v>06</v>
      </c>
      <c r="F970">
        <v>2006</v>
      </c>
      <c r="G970" t="s">
        <v>125</v>
      </c>
      <c r="J970" t="s">
        <v>126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R970" t="s">
        <v>127</v>
      </c>
      <c r="S970" t="str">
        <f t="shared" si="386"/>
        <v>15:07:13.000</v>
      </c>
      <c r="T970" t="str">
        <f t="shared" si="386"/>
        <v>15:07:13.000</v>
      </c>
      <c r="U970" t="str">
        <f t="shared" si="382"/>
        <v>A68FCB</v>
      </c>
      <c r="V970">
        <v>0</v>
      </c>
      <c r="W970">
        <v>0</v>
      </c>
      <c r="X970">
        <v>2</v>
      </c>
      <c r="Y970">
        <v>0</v>
      </c>
      <c r="AA970">
        <v>1</v>
      </c>
      <c r="AB970">
        <v>8</v>
      </c>
      <c r="AC970">
        <v>3</v>
      </c>
      <c r="AD970">
        <v>0</v>
      </c>
      <c r="AE970">
        <v>9</v>
      </c>
      <c r="AF970" t="s">
        <v>138</v>
      </c>
      <c r="AG970">
        <v>0</v>
      </c>
      <c r="AH970">
        <v>3</v>
      </c>
      <c r="AI970">
        <v>2</v>
      </c>
      <c r="AJ970">
        <v>0</v>
      </c>
      <c r="AK970" t="s">
        <v>407</v>
      </c>
      <c r="AL970">
        <v>38.985114000000003</v>
      </c>
      <c r="AM970" t="s">
        <v>408</v>
      </c>
      <c r="AN970">
        <v>-121.052299</v>
      </c>
      <c r="AO970">
        <v>25</v>
      </c>
      <c r="AP970">
        <v>3000</v>
      </c>
      <c r="AQ970" t="s">
        <v>131</v>
      </c>
      <c r="AR970">
        <v>-11</v>
      </c>
      <c r="AS970">
        <v>89</v>
      </c>
      <c r="AT970">
        <v>448</v>
      </c>
      <c r="BB970" t="str">
        <f t="shared" si="383"/>
        <v>1200</v>
      </c>
      <c r="BC970">
        <v>1</v>
      </c>
      <c r="BD970" t="str">
        <f t="shared" si="384"/>
        <v xml:space="preserve">N52156  </v>
      </c>
      <c r="BE970">
        <v>1</v>
      </c>
      <c r="BG970">
        <v>0</v>
      </c>
      <c r="BH970">
        <v>0</v>
      </c>
      <c r="BI970">
        <v>0</v>
      </c>
      <c r="BJ970">
        <v>3000</v>
      </c>
      <c r="BK970">
        <v>0</v>
      </c>
      <c r="BL970" t="s">
        <v>188</v>
      </c>
      <c r="BM970">
        <v>1</v>
      </c>
      <c r="BN970">
        <v>1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 t="shared" si="387"/>
        <v>15:07:13.262</v>
      </c>
      <c r="CF970">
        <v>261950715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4</v>
      </c>
      <c r="CY970">
        <v>7</v>
      </c>
      <c r="CZ970" t="s">
        <v>133</v>
      </c>
      <c r="DA970">
        <v>275</v>
      </c>
      <c r="DB970">
        <v>0</v>
      </c>
      <c r="DC970" t="s">
        <v>134</v>
      </c>
      <c r="DD970" t="s">
        <v>135</v>
      </c>
      <c r="DG970">
        <v>3319558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"05/01/2025 15:07:13.494"</f>
        <v>05/01/2025 15:07:13.494</v>
      </c>
      <c r="C971" t="str">
        <f t="shared" si="380"/>
        <v>FFDFD3C0</v>
      </c>
      <c r="D971" t="s">
        <v>143</v>
      </c>
      <c r="E971" t="str">
        <f>"05"</f>
        <v>05</v>
      </c>
      <c r="H971">
        <v>172</v>
      </c>
      <c r="I971" t="s">
        <v>141</v>
      </c>
      <c r="J971" t="s">
        <v>144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R971" t="s">
        <v>127</v>
      </c>
      <c r="S971" t="str">
        <f t="shared" si="386"/>
        <v>15:07:13.000</v>
      </c>
      <c r="T971" t="str">
        <f t="shared" si="386"/>
        <v>15:07:13.000</v>
      </c>
      <c r="U971" t="str">
        <f t="shared" si="382"/>
        <v>A68FCB</v>
      </c>
      <c r="V971">
        <v>0</v>
      </c>
      <c r="W971">
        <v>0</v>
      </c>
      <c r="X971">
        <v>2</v>
      </c>
      <c r="Y971">
        <v>0</v>
      </c>
      <c r="AA971">
        <v>1</v>
      </c>
      <c r="AB971">
        <v>8</v>
      </c>
      <c r="AC971">
        <v>3</v>
      </c>
      <c r="AD971">
        <v>0</v>
      </c>
      <c r="AE971">
        <v>9</v>
      </c>
      <c r="AF971" t="s">
        <v>138</v>
      </c>
      <c r="AG971">
        <v>0</v>
      </c>
      <c r="AH971">
        <v>3</v>
      </c>
      <c r="AI971">
        <v>2</v>
      </c>
      <c r="AJ971">
        <v>0</v>
      </c>
      <c r="AK971" t="s">
        <v>407</v>
      </c>
      <c r="AL971">
        <v>38.985114000000003</v>
      </c>
      <c r="AM971" t="s">
        <v>408</v>
      </c>
      <c r="AN971">
        <v>-121.052299</v>
      </c>
      <c r="AO971">
        <v>25</v>
      </c>
      <c r="AP971">
        <v>3000</v>
      </c>
      <c r="AQ971" t="s">
        <v>131</v>
      </c>
      <c r="AR971">
        <v>-11</v>
      </c>
      <c r="AS971">
        <v>89</v>
      </c>
      <c r="AT971">
        <v>448</v>
      </c>
      <c r="BB971" t="str">
        <f t="shared" si="383"/>
        <v>1200</v>
      </c>
      <c r="BC971">
        <v>1</v>
      </c>
      <c r="BD971" t="str">
        <f t="shared" si="384"/>
        <v xml:space="preserve">N52156  </v>
      </c>
      <c r="BE971">
        <v>1</v>
      </c>
      <c r="BG971">
        <v>0</v>
      </c>
      <c r="BH971">
        <v>0</v>
      </c>
      <c r="BI971">
        <v>0</v>
      </c>
      <c r="BJ971">
        <v>3000</v>
      </c>
      <c r="BK971">
        <v>0</v>
      </c>
      <c r="BL971" t="s">
        <v>188</v>
      </c>
      <c r="BM971">
        <v>1</v>
      </c>
      <c r="BN971">
        <v>1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 t="shared" si="387"/>
        <v>15:07:13.262</v>
      </c>
      <c r="CF971">
        <v>261950715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4</v>
      </c>
      <c r="CY971">
        <v>7</v>
      </c>
      <c r="CZ971" t="s">
        <v>133</v>
      </c>
      <c r="DA971">
        <v>275</v>
      </c>
      <c r="DB971">
        <v>0</v>
      </c>
      <c r="DC971" t="s">
        <v>134</v>
      </c>
      <c r="DD971" t="s">
        <v>135</v>
      </c>
      <c r="DG971">
        <v>3319558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"05/01/2025 15:07:13.503"</f>
        <v>05/01/2025 15:07:13.503</v>
      </c>
      <c r="C972" t="str">
        <f t="shared" si="380"/>
        <v>FFDFD3C0</v>
      </c>
      <c r="D972" t="s">
        <v>136</v>
      </c>
      <c r="E972" t="str">
        <f>"20"</f>
        <v>20</v>
      </c>
      <c r="H972">
        <v>400</v>
      </c>
      <c r="I972" t="s">
        <v>137</v>
      </c>
      <c r="J972" t="s">
        <v>138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R972" t="s">
        <v>127</v>
      </c>
      <c r="S972" t="str">
        <f t="shared" si="386"/>
        <v>15:07:13.000</v>
      </c>
      <c r="T972" t="str">
        <f t="shared" si="386"/>
        <v>15:07:13.000</v>
      </c>
      <c r="U972" t="str">
        <f t="shared" si="382"/>
        <v>A68FCB</v>
      </c>
      <c r="V972">
        <v>0</v>
      </c>
      <c r="W972">
        <v>0</v>
      </c>
      <c r="X972">
        <v>2</v>
      </c>
      <c r="Y972">
        <v>0</v>
      </c>
      <c r="AA972">
        <v>1</v>
      </c>
      <c r="AB972">
        <v>8</v>
      </c>
      <c r="AC972">
        <v>3</v>
      </c>
      <c r="AD972">
        <v>0</v>
      </c>
      <c r="AE972">
        <v>9</v>
      </c>
      <c r="AF972" t="s">
        <v>138</v>
      </c>
      <c r="AG972">
        <v>0</v>
      </c>
      <c r="AH972">
        <v>3</v>
      </c>
      <c r="AI972">
        <v>2</v>
      </c>
      <c r="AJ972">
        <v>0</v>
      </c>
      <c r="AK972" t="s">
        <v>407</v>
      </c>
      <c r="AL972">
        <v>38.985114000000003</v>
      </c>
      <c r="AM972" t="s">
        <v>408</v>
      </c>
      <c r="AN972">
        <v>-121.052299</v>
      </c>
      <c r="AO972">
        <v>25</v>
      </c>
      <c r="AP972">
        <v>3000</v>
      </c>
      <c r="AQ972" t="s">
        <v>131</v>
      </c>
      <c r="AR972">
        <v>-11</v>
      </c>
      <c r="AS972">
        <v>89</v>
      </c>
      <c r="AT972">
        <v>448</v>
      </c>
      <c r="BB972" t="str">
        <f t="shared" si="383"/>
        <v>1200</v>
      </c>
      <c r="BC972">
        <v>1</v>
      </c>
      <c r="BD972" t="str">
        <f t="shared" si="384"/>
        <v xml:space="preserve">N52156  </v>
      </c>
      <c r="BE972">
        <v>1</v>
      </c>
      <c r="BG972">
        <v>0</v>
      </c>
      <c r="BH972">
        <v>0</v>
      </c>
      <c r="BI972">
        <v>0</v>
      </c>
      <c r="BJ972">
        <v>3000</v>
      </c>
      <c r="BK972">
        <v>0</v>
      </c>
      <c r="BL972" t="s">
        <v>188</v>
      </c>
      <c r="BM972">
        <v>1</v>
      </c>
      <c r="BN972">
        <v>1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 t="shared" si="387"/>
        <v>15:07:13.262</v>
      </c>
      <c r="CF972">
        <v>261950715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4</v>
      </c>
      <c r="CY972">
        <v>7</v>
      </c>
      <c r="CZ972" t="s">
        <v>133</v>
      </c>
      <c r="DA972">
        <v>275</v>
      </c>
      <c r="DB972">
        <v>0</v>
      </c>
      <c r="DC972" t="s">
        <v>134</v>
      </c>
      <c r="DD972" t="s">
        <v>135</v>
      </c>
      <c r="DG972">
        <v>3319558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"05/01/2025 15:07:13.498"</f>
        <v>05/01/2025 15:07:13.498</v>
      </c>
      <c r="C973" t="str">
        <f t="shared" si="380"/>
        <v>FFDFD3C0</v>
      </c>
      <c r="D973" t="s">
        <v>145</v>
      </c>
      <c r="E973" t="str">
        <f>"09"</f>
        <v>09</v>
      </c>
      <c r="H973">
        <v>51</v>
      </c>
      <c r="I973" t="s">
        <v>147</v>
      </c>
      <c r="J973" t="s">
        <v>138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R973" t="s">
        <v>127</v>
      </c>
      <c r="S973" t="str">
        <f t="shared" si="386"/>
        <v>15:07:13.000</v>
      </c>
      <c r="T973" t="str">
        <f t="shared" si="386"/>
        <v>15:07:13.000</v>
      </c>
      <c r="U973" t="str">
        <f t="shared" si="382"/>
        <v>A68FCB</v>
      </c>
      <c r="V973">
        <v>0</v>
      </c>
      <c r="W973">
        <v>0</v>
      </c>
      <c r="X973">
        <v>2</v>
      </c>
      <c r="Y973">
        <v>0</v>
      </c>
      <c r="AA973">
        <v>1</v>
      </c>
      <c r="AB973">
        <v>8</v>
      </c>
      <c r="AC973">
        <v>3</v>
      </c>
      <c r="AD973">
        <v>0</v>
      </c>
      <c r="AE973">
        <v>9</v>
      </c>
      <c r="AF973" t="s">
        <v>138</v>
      </c>
      <c r="AG973">
        <v>0</v>
      </c>
      <c r="AH973">
        <v>3</v>
      </c>
      <c r="AI973">
        <v>2</v>
      </c>
      <c r="AJ973">
        <v>0</v>
      </c>
      <c r="AK973" t="s">
        <v>407</v>
      </c>
      <c r="AL973">
        <v>38.985114000000003</v>
      </c>
      <c r="AM973" t="s">
        <v>408</v>
      </c>
      <c r="AN973">
        <v>-121.052299</v>
      </c>
      <c r="AO973">
        <v>25</v>
      </c>
      <c r="AP973">
        <v>3000</v>
      </c>
      <c r="AQ973" t="s">
        <v>131</v>
      </c>
      <c r="AR973">
        <v>-11</v>
      </c>
      <c r="AS973">
        <v>89</v>
      </c>
      <c r="AT973">
        <v>448</v>
      </c>
      <c r="BB973" t="str">
        <f t="shared" si="383"/>
        <v>1200</v>
      </c>
      <c r="BC973">
        <v>1</v>
      </c>
      <c r="BD973" t="str">
        <f t="shared" si="384"/>
        <v xml:space="preserve">N52156  </v>
      </c>
      <c r="BE973">
        <v>1</v>
      </c>
      <c r="BG973">
        <v>0</v>
      </c>
      <c r="BH973">
        <v>0</v>
      </c>
      <c r="BI973">
        <v>0</v>
      </c>
      <c r="BJ973">
        <v>3000</v>
      </c>
      <c r="BK973">
        <v>0</v>
      </c>
      <c r="BL973" t="s">
        <v>188</v>
      </c>
      <c r="BM973">
        <v>1</v>
      </c>
      <c r="BN973">
        <v>1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 t="shared" si="387"/>
        <v>15:07:13.262</v>
      </c>
      <c r="CF973">
        <v>261950715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4</v>
      </c>
      <c r="CY973">
        <v>7</v>
      </c>
      <c r="CZ973" t="s">
        <v>133</v>
      </c>
      <c r="DA973">
        <v>275</v>
      </c>
      <c r="DB973">
        <v>0</v>
      </c>
      <c r="DC973" t="s">
        <v>134</v>
      </c>
      <c r="DD973" t="s">
        <v>135</v>
      </c>
      <c r="DG973">
        <v>3319558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"05/01/2025 15:07:14.846"</f>
        <v>05/01/2025 15:07:14.846</v>
      </c>
      <c r="C974" t="str">
        <f t="shared" si="380"/>
        <v>FFDFD3C0</v>
      </c>
      <c r="D974" t="s">
        <v>124</v>
      </c>
      <c r="E974" t="str">
        <f>"06"</f>
        <v>06</v>
      </c>
      <c r="F974">
        <v>2006</v>
      </c>
      <c r="G974" t="s">
        <v>125</v>
      </c>
      <c r="J974" t="s">
        <v>126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R974" t="s">
        <v>127</v>
      </c>
      <c r="S974" t="str">
        <f t="shared" ref="S974:T979" si="388">"15:07:14.000"</f>
        <v>15:07:14.000</v>
      </c>
      <c r="T974" t="str">
        <f t="shared" si="388"/>
        <v>15:07:14.000</v>
      </c>
      <c r="U974" t="str">
        <f t="shared" si="382"/>
        <v>A68FCB</v>
      </c>
      <c r="V974">
        <v>0</v>
      </c>
      <c r="W974">
        <v>0</v>
      </c>
      <c r="X974">
        <v>2</v>
      </c>
      <c r="Y974">
        <v>0</v>
      </c>
      <c r="AA974">
        <v>1</v>
      </c>
      <c r="AB974">
        <v>8</v>
      </c>
      <c r="AC974">
        <v>3</v>
      </c>
      <c r="AD974">
        <v>0</v>
      </c>
      <c r="AE974">
        <v>9</v>
      </c>
      <c r="AF974" t="s">
        <v>138</v>
      </c>
      <c r="AG974">
        <v>0</v>
      </c>
      <c r="AH974">
        <v>3</v>
      </c>
      <c r="AI974">
        <v>2</v>
      </c>
      <c r="AJ974">
        <v>0</v>
      </c>
      <c r="AK974" t="s">
        <v>409</v>
      </c>
      <c r="AL974">
        <v>38.985543</v>
      </c>
      <c r="AM974" t="s">
        <v>410</v>
      </c>
      <c r="AN974">
        <v>-121.052363</v>
      </c>
      <c r="AO974">
        <v>25</v>
      </c>
      <c r="AP974">
        <v>3000</v>
      </c>
      <c r="AQ974" t="s">
        <v>131</v>
      </c>
      <c r="AR974">
        <v>-11</v>
      </c>
      <c r="AS974">
        <v>89</v>
      </c>
      <c r="AT974">
        <v>576</v>
      </c>
      <c r="BB974" t="str">
        <f t="shared" si="383"/>
        <v>1200</v>
      </c>
      <c r="BC974">
        <v>1</v>
      </c>
      <c r="BD974" t="str">
        <f t="shared" si="384"/>
        <v xml:space="preserve">N52156  </v>
      </c>
      <c r="BE974">
        <v>1</v>
      </c>
      <c r="BG974">
        <v>0</v>
      </c>
      <c r="BH974">
        <v>0</v>
      </c>
      <c r="BI974">
        <v>0</v>
      </c>
      <c r="BJ974">
        <v>3000</v>
      </c>
      <c r="BK974">
        <v>0</v>
      </c>
      <c r="BL974" t="s">
        <v>188</v>
      </c>
      <c r="BM974">
        <v>1</v>
      </c>
      <c r="BN974">
        <v>1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 t="shared" ref="CE974:CE979" si="389">"15:07:14.645"</f>
        <v>15:07:14.645</v>
      </c>
      <c r="CF974">
        <v>644509318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3</v>
      </c>
      <c r="CY974">
        <v>7</v>
      </c>
      <c r="CZ974" t="s">
        <v>133</v>
      </c>
      <c r="DA974">
        <v>276</v>
      </c>
      <c r="DB974">
        <v>0</v>
      </c>
      <c r="DC974" t="s">
        <v>402</v>
      </c>
      <c r="DD974" t="s">
        <v>403</v>
      </c>
      <c r="DG974">
        <v>1624903</v>
      </c>
      <c r="DI974">
        <v>1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"05/01/2025 15:07:14.847"</f>
        <v>05/01/2025 15:07:14.847</v>
      </c>
      <c r="C975" t="str">
        <f t="shared" si="380"/>
        <v>FFDFD3C0</v>
      </c>
      <c r="D975" t="s">
        <v>143</v>
      </c>
      <c r="E975" t="str">
        <f>"05"</f>
        <v>05</v>
      </c>
      <c r="H975">
        <v>172</v>
      </c>
      <c r="I975" t="s">
        <v>141</v>
      </c>
      <c r="J975" t="s">
        <v>144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R975" t="s">
        <v>127</v>
      </c>
      <c r="S975" t="str">
        <f t="shared" si="388"/>
        <v>15:07:14.000</v>
      </c>
      <c r="T975" t="str">
        <f t="shared" si="388"/>
        <v>15:07:14.000</v>
      </c>
      <c r="U975" t="str">
        <f t="shared" si="382"/>
        <v>A68FCB</v>
      </c>
      <c r="V975">
        <v>0</v>
      </c>
      <c r="W975">
        <v>0</v>
      </c>
      <c r="X975">
        <v>2</v>
      </c>
      <c r="Y975">
        <v>0</v>
      </c>
      <c r="AA975">
        <v>1</v>
      </c>
      <c r="AB975">
        <v>8</v>
      </c>
      <c r="AC975">
        <v>3</v>
      </c>
      <c r="AD975">
        <v>0</v>
      </c>
      <c r="AE975">
        <v>9</v>
      </c>
      <c r="AF975" t="s">
        <v>138</v>
      </c>
      <c r="AG975">
        <v>0</v>
      </c>
      <c r="AH975">
        <v>3</v>
      </c>
      <c r="AI975">
        <v>2</v>
      </c>
      <c r="AJ975">
        <v>0</v>
      </c>
      <c r="AK975" t="s">
        <v>409</v>
      </c>
      <c r="AL975">
        <v>38.985543</v>
      </c>
      <c r="AM975" t="s">
        <v>410</v>
      </c>
      <c r="AN975">
        <v>-121.052363</v>
      </c>
      <c r="AO975">
        <v>25</v>
      </c>
      <c r="AP975">
        <v>3000</v>
      </c>
      <c r="AQ975" t="s">
        <v>131</v>
      </c>
      <c r="AR975">
        <v>-11</v>
      </c>
      <c r="AS975">
        <v>89</v>
      </c>
      <c r="AT975">
        <v>576</v>
      </c>
      <c r="BB975" t="str">
        <f t="shared" si="383"/>
        <v>1200</v>
      </c>
      <c r="BC975">
        <v>1</v>
      </c>
      <c r="BD975" t="str">
        <f t="shared" si="384"/>
        <v xml:space="preserve">N52156  </v>
      </c>
      <c r="BE975">
        <v>1</v>
      </c>
      <c r="BG975">
        <v>0</v>
      </c>
      <c r="BH975">
        <v>0</v>
      </c>
      <c r="BI975">
        <v>0</v>
      </c>
      <c r="BJ975">
        <v>3000</v>
      </c>
      <c r="BK975">
        <v>0</v>
      </c>
      <c r="BL975" t="s">
        <v>188</v>
      </c>
      <c r="BM975">
        <v>1</v>
      </c>
      <c r="BN975">
        <v>1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 t="shared" si="389"/>
        <v>15:07:14.645</v>
      </c>
      <c r="CF975">
        <v>644509318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3</v>
      </c>
      <c r="CY975">
        <v>7</v>
      </c>
      <c r="CZ975" t="s">
        <v>133</v>
      </c>
      <c r="DA975">
        <v>276</v>
      </c>
      <c r="DB975">
        <v>0</v>
      </c>
      <c r="DC975" t="s">
        <v>402</v>
      </c>
      <c r="DD975" t="s">
        <v>403</v>
      </c>
      <c r="DG975">
        <v>1624903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"05/01/2025 15:07:14.850"</f>
        <v>05/01/2025 15:07:14.850</v>
      </c>
      <c r="C976" t="str">
        <f t="shared" si="380"/>
        <v>FFDFD3C0</v>
      </c>
      <c r="D976" t="s">
        <v>145</v>
      </c>
      <c r="E976" t="str">
        <f>"09"</f>
        <v>09</v>
      </c>
      <c r="H976">
        <v>51</v>
      </c>
      <c r="I976" t="s">
        <v>147</v>
      </c>
      <c r="J976" t="s">
        <v>138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R976" t="s">
        <v>127</v>
      </c>
      <c r="S976" t="str">
        <f t="shared" si="388"/>
        <v>15:07:14.000</v>
      </c>
      <c r="T976" t="str">
        <f t="shared" si="388"/>
        <v>15:07:14.000</v>
      </c>
      <c r="U976" t="str">
        <f t="shared" si="382"/>
        <v>A68FCB</v>
      </c>
      <c r="V976">
        <v>0</v>
      </c>
      <c r="W976">
        <v>0</v>
      </c>
      <c r="X976">
        <v>2</v>
      </c>
      <c r="Y976">
        <v>0</v>
      </c>
      <c r="AA976">
        <v>1</v>
      </c>
      <c r="AB976">
        <v>8</v>
      </c>
      <c r="AC976">
        <v>3</v>
      </c>
      <c r="AD976">
        <v>0</v>
      </c>
      <c r="AE976">
        <v>9</v>
      </c>
      <c r="AF976" t="s">
        <v>138</v>
      </c>
      <c r="AG976">
        <v>0</v>
      </c>
      <c r="AH976">
        <v>3</v>
      </c>
      <c r="AI976">
        <v>2</v>
      </c>
      <c r="AJ976">
        <v>0</v>
      </c>
      <c r="AK976" t="s">
        <v>409</v>
      </c>
      <c r="AL976">
        <v>38.985543</v>
      </c>
      <c r="AM976" t="s">
        <v>410</v>
      </c>
      <c r="AN976">
        <v>-121.052363</v>
      </c>
      <c r="AO976">
        <v>25</v>
      </c>
      <c r="AP976">
        <v>3000</v>
      </c>
      <c r="AQ976" t="s">
        <v>131</v>
      </c>
      <c r="AR976">
        <v>-11</v>
      </c>
      <c r="AS976">
        <v>89</v>
      </c>
      <c r="AT976">
        <v>576</v>
      </c>
      <c r="BB976" t="str">
        <f t="shared" si="383"/>
        <v>1200</v>
      </c>
      <c r="BC976">
        <v>1</v>
      </c>
      <c r="BD976" t="str">
        <f t="shared" si="384"/>
        <v xml:space="preserve">N52156  </v>
      </c>
      <c r="BE976">
        <v>1</v>
      </c>
      <c r="BG976">
        <v>0</v>
      </c>
      <c r="BH976">
        <v>0</v>
      </c>
      <c r="BI976">
        <v>0</v>
      </c>
      <c r="BJ976">
        <v>3000</v>
      </c>
      <c r="BK976">
        <v>0</v>
      </c>
      <c r="BL976" t="s">
        <v>188</v>
      </c>
      <c r="BM976">
        <v>1</v>
      </c>
      <c r="BN976">
        <v>1</v>
      </c>
      <c r="BO976">
        <v>0</v>
      </c>
      <c r="BP976">
        <v>0</v>
      </c>
      <c r="BS976">
        <v>0</v>
      </c>
      <c r="BT976">
        <v>0</v>
      </c>
      <c r="BU976">
        <v>0</v>
      </c>
      <c r="CE976" t="str">
        <f t="shared" si="389"/>
        <v>15:07:14.645</v>
      </c>
      <c r="CF976">
        <v>644509318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3</v>
      </c>
      <c r="CY976">
        <v>7</v>
      </c>
      <c r="CZ976" t="s">
        <v>133</v>
      </c>
      <c r="DA976">
        <v>276</v>
      </c>
      <c r="DB976">
        <v>0</v>
      </c>
      <c r="DC976" t="s">
        <v>402</v>
      </c>
      <c r="DD976" t="s">
        <v>403</v>
      </c>
      <c r="DG976">
        <v>1624903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"05/01/2025 15:07:14.855"</f>
        <v>05/01/2025 15:07:14.855</v>
      </c>
      <c r="C977" t="str">
        <f t="shared" si="380"/>
        <v>FFDFD3C0</v>
      </c>
      <c r="D977" t="s">
        <v>136</v>
      </c>
      <c r="E977" t="str">
        <f>"20"</f>
        <v>20</v>
      </c>
      <c r="H977">
        <v>400</v>
      </c>
      <c r="I977" t="s">
        <v>137</v>
      </c>
      <c r="J977" t="s">
        <v>138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R977" t="s">
        <v>127</v>
      </c>
      <c r="S977" t="str">
        <f t="shared" si="388"/>
        <v>15:07:14.000</v>
      </c>
      <c r="T977" t="str">
        <f t="shared" si="388"/>
        <v>15:07:14.000</v>
      </c>
      <c r="U977" t="str">
        <f t="shared" si="382"/>
        <v>A68FCB</v>
      </c>
      <c r="V977">
        <v>0</v>
      </c>
      <c r="W977">
        <v>0</v>
      </c>
      <c r="X977">
        <v>2</v>
      </c>
      <c r="Y977">
        <v>0</v>
      </c>
      <c r="AA977">
        <v>1</v>
      </c>
      <c r="AB977">
        <v>8</v>
      </c>
      <c r="AC977">
        <v>3</v>
      </c>
      <c r="AD977">
        <v>0</v>
      </c>
      <c r="AE977">
        <v>9</v>
      </c>
      <c r="AF977" t="s">
        <v>138</v>
      </c>
      <c r="AG977">
        <v>0</v>
      </c>
      <c r="AH977">
        <v>3</v>
      </c>
      <c r="AI977">
        <v>2</v>
      </c>
      <c r="AJ977">
        <v>0</v>
      </c>
      <c r="AK977" t="s">
        <v>409</v>
      </c>
      <c r="AL977">
        <v>38.985543</v>
      </c>
      <c r="AM977" t="s">
        <v>410</v>
      </c>
      <c r="AN977">
        <v>-121.052363</v>
      </c>
      <c r="AO977">
        <v>25</v>
      </c>
      <c r="AP977">
        <v>3000</v>
      </c>
      <c r="AQ977" t="s">
        <v>131</v>
      </c>
      <c r="AR977">
        <v>-11</v>
      </c>
      <c r="AS977">
        <v>89</v>
      </c>
      <c r="AT977">
        <v>576</v>
      </c>
      <c r="BB977" t="str">
        <f t="shared" si="383"/>
        <v>1200</v>
      </c>
      <c r="BC977">
        <v>1</v>
      </c>
      <c r="BD977" t="str">
        <f t="shared" si="384"/>
        <v xml:space="preserve">N52156  </v>
      </c>
      <c r="BE977">
        <v>1</v>
      </c>
      <c r="BG977">
        <v>0</v>
      </c>
      <c r="BH977">
        <v>0</v>
      </c>
      <c r="BI977">
        <v>0</v>
      </c>
      <c r="BJ977">
        <v>3000</v>
      </c>
      <c r="BK977">
        <v>0</v>
      </c>
      <c r="BL977" t="s">
        <v>188</v>
      </c>
      <c r="BM977">
        <v>1</v>
      </c>
      <c r="BN977">
        <v>1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 t="shared" si="389"/>
        <v>15:07:14.645</v>
      </c>
      <c r="CF977">
        <v>644509318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3</v>
      </c>
      <c r="CY977">
        <v>7</v>
      </c>
      <c r="CZ977" t="s">
        <v>133</v>
      </c>
      <c r="DA977">
        <v>276</v>
      </c>
      <c r="DB977">
        <v>0</v>
      </c>
      <c r="DC977" t="s">
        <v>402</v>
      </c>
      <c r="DD977" t="s">
        <v>403</v>
      </c>
      <c r="DG977">
        <v>1624903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"05/01/2025 15:07:14.889"</f>
        <v>05/01/2025 15:07:14.889</v>
      </c>
      <c r="C978" t="str">
        <f t="shared" si="380"/>
        <v>FFDFD3C0</v>
      </c>
      <c r="D978" t="s">
        <v>140</v>
      </c>
      <c r="E978" t="str">
        <f>"13"</f>
        <v>13</v>
      </c>
      <c r="F978">
        <v>1019</v>
      </c>
      <c r="G978" t="s">
        <v>141</v>
      </c>
      <c r="J978" t="s">
        <v>142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R978" t="s">
        <v>127</v>
      </c>
      <c r="S978" t="str">
        <f t="shared" si="388"/>
        <v>15:07:14.000</v>
      </c>
      <c r="T978" t="str">
        <f t="shared" si="388"/>
        <v>15:07:14.000</v>
      </c>
      <c r="U978" t="str">
        <f t="shared" si="382"/>
        <v>A68FCB</v>
      </c>
      <c r="V978">
        <v>0</v>
      </c>
      <c r="W978">
        <v>0</v>
      </c>
      <c r="X978">
        <v>2</v>
      </c>
      <c r="Y978">
        <v>0</v>
      </c>
      <c r="AA978">
        <v>1</v>
      </c>
      <c r="AB978">
        <v>8</v>
      </c>
      <c r="AC978">
        <v>3</v>
      </c>
      <c r="AD978">
        <v>0</v>
      </c>
      <c r="AE978">
        <v>9</v>
      </c>
      <c r="AF978" t="s">
        <v>138</v>
      </c>
      <c r="AG978">
        <v>0</v>
      </c>
      <c r="AH978">
        <v>3</v>
      </c>
      <c r="AI978">
        <v>2</v>
      </c>
      <c r="AJ978">
        <v>0</v>
      </c>
      <c r="AK978" t="s">
        <v>409</v>
      </c>
      <c r="AL978">
        <v>38.985543</v>
      </c>
      <c r="AM978" t="s">
        <v>410</v>
      </c>
      <c r="AN978">
        <v>-121.052363</v>
      </c>
      <c r="AO978">
        <v>25</v>
      </c>
      <c r="AP978">
        <v>3000</v>
      </c>
      <c r="AQ978" t="s">
        <v>131</v>
      </c>
      <c r="AR978">
        <v>-11</v>
      </c>
      <c r="AS978">
        <v>89</v>
      </c>
      <c r="AT978">
        <v>576</v>
      </c>
      <c r="BB978" t="str">
        <f t="shared" si="383"/>
        <v>1200</v>
      </c>
      <c r="BC978">
        <v>1</v>
      </c>
      <c r="BD978" t="str">
        <f t="shared" si="384"/>
        <v xml:space="preserve">N52156  </v>
      </c>
      <c r="BE978">
        <v>1</v>
      </c>
      <c r="BG978">
        <v>0</v>
      </c>
      <c r="BH978">
        <v>0</v>
      </c>
      <c r="BI978">
        <v>0</v>
      </c>
      <c r="BJ978">
        <v>3000</v>
      </c>
      <c r="BK978">
        <v>0</v>
      </c>
      <c r="BL978" t="s">
        <v>188</v>
      </c>
      <c r="BM978">
        <v>1</v>
      </c>
      <c r="BN978">
        <v>1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 t="shared" si="389"/>
        <v>15:07:14.645</v>
      </c>
      <c r="CF978">
        <v>644509318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3</v>
      </c>
      <c r="CY978">
        <v>7</v>
      </c>
      <c r="CZ978" t="s">
        <v>133</v>
      </c>
      <c r="DA978">
        <v>276</v>
      </c>
      <c r="DB978">
        <v>0</v>
      </c>
      <c r="DC978" t="s">
        <v>402</v>
      </c>
      <c r="DD978" t="s">
        <v>403</v>
      </c>
      <c r="DG978">
        <v>1624903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"05/01/2025 15:07:14.893"</f>
        <v>05/01/2025 15:07:14.893</v>
      </c>
      <c r="C979" t="str">
        <f t="shared" si="380"/>
        <v>FFDFD3C0</v>
      </c>
      <c r="D979" t="s">
        <v>145</v>
      </c>
      <c r="E979" t="str">
        <f>"05"</f>
        <v>05</v>
      </c>
      <c r="H979">
        <v>47</v>
      </c>
      <c r="I979" t="s">
        <v>146</v>
      </c>
      <c r="J979" t="s">
        <v>138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R979" t="s">
        <v>127</v>
      </c>
      <c r="S979" t="str">
        <f t="shared" si="388"/>
        <v>15:07:14.000</v>
      </c>
      <c r="T979" t="str">
        <f t="shared" si="388"/>
        <v>15:07:14.000</v>
      </c>
      <c r="U979" t="str">
        <f t="shared" si="382"/>
        <v>A68FCB</v>
      </c>
      <c r="V979">
        <v>0</v>
      </c>
      <c r="W979">
        <v>0</v>
      </c>
      <c r="X979">
        <v>2</v>
      </c>
      <c r="Y979">
        <v>0</v>
      </c>
      <c r="AA979">
        <v>1</v>
      </c>
      <c r="AB979">
        <v>8</v>
      </c>
      <c r="AC979">
        <v>3</v>
      </c>
      <c r="AD979">
        <v>0</v>
      </c>
      <c r="AE979">
        <v>9</v>
      </c>
      <c r="AF979" t="s">
        <v>138</v>
      </c>
      <c r="AG979">
        <v>0</v>
      </c>
      <c r="AH979">
        <v>3</v>
      </c>
      <c r="AI979">
        <v>2</v>
      </c>
      <c r="AJ979">
        <v>0</v>
      </c>
      <c r="AK979" t="s">
        <v>409</v>
      </c>
      <c r="AL979">
        <v>38.985543</v>
      </c>
      <c r="AM979" t="s">
        <v>410</v>
      </c>
      <c r="AN979">
        <v>-121.052363</v>
      </c>
      <c r="AO979">
        <v>25</v>
      </c>
      <c r="AP979">
        <v>3000</v>
      </c>
      <c r="AQ979" t="s">
        <v>131</v>
      </c>
      <c r="AR979">
        <v>-11</v>
      </c>
      <c r="AS979">
        <v>89</v>
      </c>
      <c r="AT979">
        <v>576</v>
      </c>
      <c r="BB979" t="str">
        <f t="shared" si="383"/>
        <v>1200</v>
      </c>
      <c r="BC979">
        <v>1</v>
      </c>
      <c r="BD979" t="str">
        <f t="shared" si="384"/>
        <v xml:space="preserve">N52156  </v>
      </c>
      <c r="BE979">
        <v>1</v>
      </c>
      <c r="BG979">
        <v>0</v>
      </c>
      <c r="BH979">
        <v>0</v>
      </c>
      <c r="BI979">
        <v>0</v>
      </c>
      <c r="BJ979">
        <v>3000</v>
      </c>
      <c r="BK979">
        <v>0</v>
      </c>
      <c r="BL979" t="s">
        <v>188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 t="shared" si="389"/>
        <v>15:07:14.645</v>
      </c>
      <c r="CF979">
        <v>644509318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3</v>
      </c>
      <c r="CY979">
        <v>7</v>
      </c>
      <c r="CZ979" t="s">
        <v>133</v>
      </c>
      <c r="DA979">
        <v>276</v>
      </c>
      <c r="DB979">
        <v>0</v>
      </c>
      <c r="DC979" t="s">
        <v>402</v>
      </c>
      <c r="DD979" t="s">
        <v>403</v>
      </c>
      <c r="DG979">
        <v>1624903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"05/01/2025 15:07:15.952"</f>
        <v>05/01/2025 15:07:15.952</v>
      </c>
      <c r="C980" t="str">
        <f t="shared" si="380"/>
        <v>FFDFD3C0</v>
      </c>
      <c r="D980" t="s">
        <v>145</v>
      </c>
      <c r="E980" t="str">
        <f>"09"</f>
        <v>09</v>
      </c>
      <c r="H980">
        <v>51</v>
      </c>
      <c r="I980" t="s">
        <v>147</v>
      </c>
      <c r="J980" t="s">
        <v>138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R980" t="s">
        <v>127</v>
      </c>
      <c r="S980" t="str">
        <f t="shared" ref="S980:T985" si="390">"15:07:15.000"</f>
        <v>15:07:15.000</v>
      </c>
      <c r="T980" t="str">
        <f t="shared" si="390"/>
        <v>15:07:15.000</v>
      </c>
      <c r="U980" t="str">
        <f t="shared" si="382"/>
        <v>A68FCB</v>
      </c>
      <c r="V980">
        <v>0</v>
      </c>
      <c r="W980">
        <v>0</v>
      </c>
      <c r="X980">
        <v>2</v>
      </c>
      <c r="Y980">
        <v>0</v>
      </c>
      <c r="AA980">
        <v>1</v>
      </c>
      <c r="AB980">
        <v>8</v>
      </c>
      <c r="AC980">
        <v>3</v>
      </c>
      <c r="AD980">
        <v>0</v>
      </c>
      <c r="AE980">
        <v>9</v>
      </c>
      <c r="AF980" t="s">
        <v>138</v>
      </c>
      <c r="AG980">
        <v>0</v>
      </c>
      <c r="AH980">
        <v>3</v>
      </c>
      <c r="AI980">
        <v>2</v>
      </c>
      <c r="AJ980">
        <v>0</v>
      </c>
      <c r="AK980" t="s">
        <v>411</v>
      </c>
      <c r="AL980">
        <v>38.985951</v>
      </c>
      <c r="AM980" t="s">
        <v>412</v>
      </c>
      <c r="AN980">
        <v>-121.05242699999999</v>
      </c>
      <c r="AO980">
        <v>25</v>
      </c>
      <c r="AP980">
        <v>3100</v>
      </c>
      <c r="AQ980" t="s">
        <v>131</v>
      </c>
      <c r="AR980">
        <v>-10</v>
      </c>
      <c r="AS980">
        <v>89</v>
      </c>
      <c r="AT980">
        <v>640</v>
      </c>
      <c r="BB980" t="str">
        <f t="shared" si="383"/>
        <v>1200</v>
      </c>
      <c r="BC980">
        <v>1</v>
      </c>
      <c r="BD980" t="str">
        <f t="shared" si="384"/>
        <v xml:space="preserve">N52156  </v>
      </c>
      <c r="BE980">
        <v>1</v>
      </c>
      <c r="BG980">
        <v>0</v>
      </c>
      <c r="BH980">
        <v>0</v>
      </c>
      <c r="BI980">
        <v>0</v>
      </c>
      <c r="BJ980">
        <v>3000</v>
      </c>
      <c r="BK980">
        <v>-100</v>
      </c>
      <c r="BL980" t="s">
        <v>188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 t="shared" ref="CE980:CE985" si="391">"15:07:15.753"</f>
        <v>15:07:15.753</v>
      </c>
      <c r="CF980">
        <v>753452277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4</v>
      </c>
      <c r="CY980">
        <v>7</v>
      </c>
      <c r="CZ980" t="s">
        <v>133</v>
      </c>
      <c r="DA980">
        <v>275</v>
      </c>
      <c r="DB980">
        <v>0</v>
      </c>
      <c r="DC980" t="s">
        <v>134</v>
      </c>
      <c r="DD980" t="s">
        <v>135</v>
      </c>
      <c r="DG980">
        <v>3319589</v>
      </c>
      <c r="DI980">
        <v>1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"05/01/2025 15:07:15.956"</f>
        <v>05/01/2025 15:07:15.956</v>
      </c>
      <c r="C981" t="str">
        <f t="shared" si="380"/>
        <v>FFDFD3C0</v>
      </c>
      <c r="D981" t="s">
        <v>136</v>
      </c>
      <c r="E981" t="str">
        <f>"20"</f>
        <v>20</v>
      </c>
      <c r="H981">
        <v>400</v>
      </c>
      <c r="I981" t="s">
        <v>137</v>
      </c>
      <c r="J981" t="s">
        <v>138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R981" t="s">
        <v>127</v>
      </c>
      <c r="S981" t="str">
        <f t="shared" si="390"/>
        <v>15:07:15.000</v>
      </c>
      <c r="T981" t="str">
        <f t="shared" si="390"/>
        <v>15:07:15.000</v>
      </c>
      <c r="U981" t="str">
        <f t="shared" si="382"/>
        <v>A68FCB</v>
      </c>
      <c r="V981">
        <v>0</v>
      </c>
      <c r="W981">
        <v>0</v>
      </c>
      <c r="X981">
        <v>2</v>
      </c>
      <c r="Y981">
        <v>0</v>
      </c>
      <c r="AA981">
        <v>1</v>
      </c>
      <c r="AB981">
        <v>8</v>
      </c>
      <c r="AC981">
        <v>3</v>
      </c>
      <c r="AD981">
        <v>0</v>
      </c>
      <c r="AE981">
        <v>9</v>
      </c>
      <c r="AF981" t="s">
        <v>138</v>
      </c>
      <c r="AG981">
        <v>0</v>
      </c>
      <c r="AH981">
        <v>3</v>
      </c>
      <c r="AI981">
        <v>2</v>
      </c>
      <c r="AJ981">
        <v>0</v>
      </c>
      <c r="AK981" t="s">
        <v>411</v>
      </c>
      <c r="AL981">
        <v>38.985951</v>
      </c>
      <c r="AM981" t="s">
        <v>412</v>
      </c>
      <c r="AN981">
        <v>-121.05242699999999</v>
      </c>
      <c r="AO981">
        <v>25</v>
      </c>
      <c r="AP981">
        <v>3100</v>
      </c>
      <c r="AQ981" t="s">
        <v>131</v>
      </c>
      <c r="AR981">
        <v>-10</v>
      </c>
      <c r="AS981">
        <v>89</v>
      </c>
      <c r="AT981">
        <v>640</v>
      </c>
      <c r="BB981" t="str">
        <f t="shared" si="383"/>
        <v>1200</v>
      </c>
      <c r="BC981">
        <v>1</v>
      </c>
      <c r="BD981" t="str">
        <f t="shared" si="384"/>
        <v xml:space="preserve">N52156  </v>
      </c>
      <c r="BE981">
        <v>1</v>
      </c>
      <c r="BG981">
        <v>0</v>
      </c>
      <c r="BH981">
        <v>0</v>
      </c>
      <c r="BI981">
        <v>0</v>
      </c>
      <c r="BJ981">
        <v>3000</v>
      </c>
      <c r="BK981">
        <v>-100</v>
      </c>
      <c r="BL981" t="s">
        <v>188</v>
      </c>
      <c r="BM981">
        <v>1</v>
      </c>
      <c r="BN981">
        <v>1</v>
      </c>
      <c r="BO981">
        <v>0</v>
      </c>
      <c r="BP981">
        <v>0</v>
      </c>
      <c r="BS981">
        <v>0</v>
      </c>
      <c r="BT981">
        <v>0</v>
      </c>
      <c r="BU981">
        <v>0</v>
      </c>
      <c r="CE981" t="str">
        <f t="shared" si="391"/>
        <v>15:07:15.753</v>
      </c>
      <c r="CF981">
        <v>753452277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4</v>
      </c>
      <c r="CY981">
        <v>7</v>
      </c>
      <c r="CZ981" t="s">
        <v>133</v>
      </c>
      <c r="DA981">
        <v>275</v>
      </c>
      <c r="DB981">
        <v>0</v>
      </c>
      <c r="DC981" t="s">
        <v>134</v>
      </c>
      <c r="DD981" t="s">
        <v>135</v>
      </c>
      <c r="DG981">
        <v>3319589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"05/01/2025 15:07:15.991"</f>
        <v>05/01/2025 15:07:15.991</v>
      </c>
      <c r="C982" t="str">
        <f t="shared" si="380"/>
        <v>FFDFD3C0</v>
      </c>
      <c r="D982" t="s">
        <v>140</v>
      </c>
      <c r="E982" t="str">
        <f>"13"</f>
        <v>13</v>
      </c>
      <c r="F982">
        <v>1019</v>
      </c>
      <c r="G982" t="s">
        <v>141</v>
      </c>
      <c r="J982" t="s">
        <v>142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R982" t="s">
        <v>127</v>
      </c>
      <c r="S982" t="str">
        <f t="shared" si="390"/>
        <v>15:07:15.000</v>
      </c>
      <c r="T982" t="str">
        <f t="shared" si="390"/>
        <v>15:07:15.000</v>
      </c>
      <c r="U982" t="str">
        <f t="shared" si="382"/>
        <v>A68FCB</v>
      </c>
      <c r="V982">
        <v>0</v>
      </c>
      <c r="W982">
        <v>0</v>
      </c>
      <c r="X982">
        <v>2</v>
      </c>
      <c r="Y982">
        <v>0</v>
      </c>
      <c r="AA982">
        <v>1</v>
      </c>
      <c r="AB982">
        <v>8</v>
      </c>
      <c r="AC982">
        <v>3</v>
      </c>
      <c r="AD982">
        <v>0</v>
      </c>
      <c r="AE982">
        <v>9</v>
      </c>
      <c r="AF982" t="s">
        <v>138</v>
      </c>
      <c r="AG982">
        <v>0</v>
      </c>
      <c r="AH982">
        <v>3</v>
      </c>
      <c r="AI982">
        <v>2</v>
      </c>
      <c r="AJ982">
        <v>0</v>
      </c>
      <c r="AK982" t="s">
        <v>411</v>
      </c>
      <c r="AL982">
        <v>38.985951</v>
      </c>
      <c r="AM982" t="s">
        <v>412</v>
      </c>
      <c r="AN982">
        <v>-121.05242699999999</v>
      </c>
      <c r="AO982">
        <v>25</v>
      </c>
      <c r="AP982">
        <v>3100</v>
      </c>
      <c r="AQ982" t="s">
        <v>131</v>
      </c>
      <c r="AR982">
        <v>-10</v>
      </c>
      <c r="AS982">
        <v>89</v>
      </c>
      <c r="AT982">
        <v>640</v>
      </c>
      <c r="BB982" t="str">
        <f t="shared" si="383"/>
        <v>1200</v>
      </c>
      <c r="BC982">
        <v>1</v>
      </c>
      <c r="BD982" t="str">
        <f t="shared" si="384"/>
        <v xml:space="preserve">N52156  </v>
      </c>
      <c r="BE982">
        <v>1</v>
      </c>
      <c r="BG982">
        <v>0</v>
      </c>
      <c r="BH982">
        <v>0</v>
      </c>
      <c r="BI982">
        <v>0</v>
      </c>
      <c r="BJ982">
        <v>3000</v>
      </c>
      <c r="BK982">
        <v>-100</v>
      </c>
      <c r="BL982" t="s">
        <v>188</v>
      </c>
      <c r="BM982">
        <v>1</v>
      </c>
      <c r="BN982">
        <v>1</v>
      </c>
      <c r="BO982">
        <v>0</v>
      </c>
      <c r="BP982">
        <v>0</v>
      </c>
      <c r="BS982">
        <v>0</v>
      </c>
      <c r="BT982">
        <v>0</v>
      </c>
      <c r="BU982">
        <v>0</v>
      </c>
      <c r="CE982" t="str">
        <f t="shared" si="391"/>
        <v>15:07:15.753</v>
      </c>
      <c r="CF982">
        <v>753452277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4</v>
      </c>
      <c r="CY982">
        <v>7</v>
      </c>
      <c r="CZ982" t="s">
        <v>133</v>
      </c>
      <c r="DA982">
        <v>275</v>
      </c>
      <c r="DB982">
        <v>0</v>
      </c>
      <c r="DC982" t="s">
        <v>134</v>
      </c>
      <c r="DD982" t="s">
        <v>135</v>
      </c>
      <c r="DG982">
        <v>3319589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"05/01/2025 15:07:15.995"</f>
        <v>05/01/2025 15:07:15.995</v>
      </c>
      <c r="C983" t="str">
        <f t="shared" si="380"/>
        <v>FFDFD3C0</v>
      </c>
      <c r="D983" t="s">
        <v>145</v>
      </c>
      <c r="E983" t="str">
        <f>"05"</f>
        <v>05</v>
      </c>
      <c r="H983">
        <v>47</v>
      </c>
      <c r="I983" t="s">
        <v>146</v>
      </c>
      <c r="J983" t="s">
        <v>138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R983" t="s">
        <v>127</v>
      </c>
      <c r="S983" t="str">
        <f t="shared" si="390"/>
        <v>15:07:15.000</v>
      </c>
      <c r="T983" t="str">
        <f t="shared" si="390"/>
        <v>15:07:15.000</v>
      </c>
      <c r="U983" t="str">
        <f t="shared" si="382"/>
        <v>A68FCB</v>
      </c>
      <c r="V983">
        <v>0</v>
      </c>
      <c r="W983">
        <v>0</v>
      </c>
      <c r="X983">
        <v>2</v>
      </c>
      <c r="Y983">
        <v>0</v>
      </c>
      <c r="AA983">
        <v>1</v>
      </c>
      <c r="AB983">
        <v>8</v>
      </c>
      <c r="AC983">
        <v>3</v>
      </c>
      <c r="AD983">
        <v>0</v>
      </c>
      <c r="AE983">
        <v>9</v>
      </c>
      <c r="AF983" t="s">
        <v>138</v>
      </c>
      <c r="AG983">
        <v>0</v>
      </c>
      <c r="AH983">
        <v>3</v>
      </c>
      <c r="AI983">
        <v>2</v>
      </c>
      <c r="AJ983">
        <v>0</v>
      </c>
      <c r="AK983" t="s">
        <v>411</v>
      </c>
      <c r="AL983">
        <v>38.985951</v>
      </c>
      <c r="AM983" t="s">
        <v>412</v>
      </c>
      <c r="AN983">
        <v>-121.05242699999999</v>
      </c>
      <c r="AO983">
        <v>25</v>
      </c>
      <c r="AP983">
        <v>3100</v>
      </c>
      <c r="AQ983" t="s">
        <v>131</v>
      </c>
      <c r="AR983">
        <v>-10</v>
      </c>
      <c r="AS983">
        <v>89</v>
      </c>
      <c r="AT983">
        <v>640</v>
      </c>
      <c r="BB983" t="str">
        <f t="shared" si="383"/>
        <v>1200</v>
      </c>
      <c r="BC983">
        <v>1</v>
      </c>
      <c r="BD983" t="str">
        <f t="shared" si="384"/>
        <v xml:space="preserve">N52156  </v>
      </c>
      <c r="BE983">
        <v>1</v>
      </c>
      <c r="BG983">
        <v>0</v>
      </c>
      <c r="BH983">
        <v>0</v>
      </c>
      <c r="BI983">
        <v>0</v>
      </c>
      <c r="BJ983">
        <v>3000</v>
      </c>
      <c r="BK983">
        <v>-100</v>
      </c>
      <c r="BL983" t="s">
        <v>188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 t="shared" si="391"/>
        <v>15:07:15.753</v>
      </c>
      <c r="CF983">
        <v>753452277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4</v>
      </c>
      <c r="CY983">
        <v>7</v>
      </c>
      <c r="CZ983" t="s">
        <v>133</v>
      </c>
      <c r="DA983">
        <v>275</v>
      </c>
      <c r="DB983">
        <v>0</v>
      </c>
      <c r="DC983" t="s">
        <v>134</v>
      </c>
      <c r="DD983" t="s">
        <v>135</v>
      </c>
      <c r="DG983">
        <v>3319589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"05/01/2025 15:07:15.998"</f>
        <v>05/01/2025 15:07:15.998</v>
      </c>
      <c r="C984" t="str">
        <f t="shared" si="380"/>
        <v>FFDFD3C0</v>
      </c>
      <c r="D984" t="s">
        <v>124</v>
      </c>
      <c r="E984" t="str">
        <f>"06"</f>
        <v>06</v>
      </c>
      <c r="F984">
        <v>2006</v>
      </c>
      <c r="G984" t="s">
        <v>125</v>
      </c>
      <c r="J984" t="s">
        <v>126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R984" t="s">
        <v>127</v>
      </c>
      <c r="S984" t="str">
        <f t="shared" si="390"/>
        <v>15:07:15.000</v>
      </c>
      <c r="T984" t="str">
        <f t="shared" si="390"/>
        <v>15:07:15.000</v>
      </c>
      <c r="U984" t="str">
        <f t="shared" si="382"/>
        <v>A68FCB</v>
      </c>
      <c r="V984">
        <v>0</v>
      </c>
      <c r="W984">
        <v>0</v>
      </c>
      <c r="X984">
        <v>2</v>
      </c>
      <c r="Y984">
        <v>0</v>
      </c>
      <c r="AA984">
        <v>1</v>
      </c>
      <c r="AB984">
        <v>8</v>
      </c>
      <c r="AC984">
        <v>3</v>
      </c>
      <c r="AD984">
        <v>0</v>
      </c>
      <c r="AE984">
        <v>9</v>
      </c>
      <c r="AF984" t="s">
        <v>138</v>
      </c>
      <c r="AG984">
        <v>0</v>
      </c>
      <c r="AH984">
        <v>3</v>
      </c>
      <c r="AI984">
        <v>2</v>
      </c>
      <c r="AJ984">
        <v>0</v>
      </c>
      <c r="AK984" t="s">
        <v>411</v>
      </c>
      <c r="AL984">
        <v>38.985951</v>
      </c>
      <c r="AM984" t="s">
        <v>412</v>
      </c>
      <c r="AN984">
        <v>-121.05242699999999</v>
      </c>
      <c r="AO984">
        <v>25</v>
      </c>
      <c r="AP984">
        <v>3100</v>
      </c>
      <c r="AQ984" t="s">
        <v>131</v>
      </c>
      <c r="AR984">
        <v>-10</v>
      </c>
      <c r="AS984">
        <v>89</v>
      </c>
      <c r="AT984">
        <v>640</v>
      </c>
      <c r="BB984" t="str">
        <f t="shared" si="383"/>
        <v>1200</v>
      </c>
      <c r="BC984">
        <v>1</v>
      </c>
      <c r="BD984" t="str">
        <f t="shared" si="384"/>
        <v xml:space="preserve">N52156  </v>
      </c>
      <c r="BE984">
        <v>1</v>
      </c>
      <c r="BG984">
        <v>0</v>
      </c>
      <c r="BH984">
        <v>0</v>
      </c>
      <c r="BI984">
        <v>0</v>
      </c>
      <c r="BJ984">
        <v>3000</v>
      </c>
      <c r="BK984">
        <v>-100</v>
      </c>
      <c r="BL984" t="s">
        <v>188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 t="shared" si="391"/>
        <v>15:07:15.753</v>
      </c>
      <c r="CF984">
        <v>753452277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4</v>
      </c>
      <c r="CY984">
        <v>7</v>
      </c>
      <c r="CZ984" t="s">
        <v>133</v>
      </c>
      <c r="DA984">
        <v>275</v>
      </c>
      <c r="DB984">
        <v>0</v>
      </c>
      <c r="DC984" t="s">
        <v>134</v>
      </c>
      <c r="DD984" t="s">
        <v>135</v>
      </c>
      <c r="DG984">
        <v>3319589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"05/01/2025 15:07:16.000"</f>
        <v>05/01/2025 15:07:16.000</v>
      </c>
      <c r="C985" t="str">
        <f t="shared" si="380"/>
        <v>FFDFD3C0</v>
      </c>
      <c r="D985" t="s">
        <v>143</v>
      </c>
      <c r="E985" t="str">
        <f>"05"</f>
        <v>05</v>
      </c>
      <c r="H985">
        <v>172</v>
      </c>
      <c r="I985" t="s">
        <v>141</v>
      </c>
      <c r="J985" t="s">
        <v>144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R985" t="s">
        <v>127</v>
      </c>
      <c r="S985" t="str">
        <f t="shared" si="390"/>
        <v>15:07:15.000</v>
      </c>
      <c r="T985" t="str">
        <f t="shared" si="390"/>
        <v>15:07:15.000</v>
      </c>
      <c r="U985" t="str">
        <f t="shared" si="382"/>
        <v>A68FCB</v>
      </c>
      <c r="V985">
        <v>0</v>
      </c>
      <c r="W985">
        <v>0</v>
      </c>
      <c r="X985">
        <v>2</v>
      </c>
      <c r="Y985">
        <v>0</v>
      </c>
      <c r="AA985">
        <v>1</v>
      </c>
      <c r="AB985">
        <v>8</v>
      </c>
      <c r="AC985">
        <v>3</v>
      </c>
      <c r="AD985">
        <v>0</v>
      </c>
      <c r="AE985">
        <v>9</v>
      </c>
      <c r="AF985" t="s">
        <v>138</v>
      </c>
      <c r="AG985">
        <v>0</v>
      </c>
      <c r="AH985">
        <v>3</v>
      </c>
      <c r="AI985">
        <v>2</v>
      </c>
      <c r="AJ985">
        <v>0</v>
      </c>
      <c r="AK985" t="s">
        <v>411</v>
      </c>
      <c r="AL985">
        <v>38.985951</v>
      </c>
      <c r="AM985" t="s">
        <v>412</v>
      </c>
      <c r="AN985">
        <v>-121.05242699999999</v>
      </c>
      <c r="AO985">
        <v>25</v>
      </c>
      <c r="AP985">
        <v>3100</v>
      </c>
      <c r="AQ985" t="s">
        <v>131</v>
      </c>
      <c r="AR985">
        <v>-10</v>
      </c>
      <c r="AS985">
        <v>89</v>
      </c>
      <c r="AT985">
        <v>640</v>
      </c>
      <c r="BB985" t="str">
        <f t="shared" si="383"/>
        <v>1200</v>
      </c>
      <c r="BC985">
        <v>1</v>
      </c>
      <c r="BD985" t="str">
        <f t="shared" si="384"/>
        <v xml:space="preserve">N52156  </v>
      </c>
      <c r="BE985">
        <v>1</v>
      </c>
      <c r="BG985">
        <v>0</v>
      </c>
      <c r="BH985">
        <v>0</v>
      </c>
      <c r="BI985">
        <v>0</v>
      </c>
      <c r="BJ985">
        <v>3000</v>
      </c>
      <c r="BK985">
        <v>-100</v>
      </c>
      <c r="BL985" t="s">
        <v>188</v>
      </c>
      <c r="BM985">
        <v>1</v>
      </c>
      <c r="BN985">
        <v>1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 t="shared" si="391"/>
        <v>15:07:15.753</v>
      </c>
      <c r="CF985">
        <v>753452277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4</v>
      </c>
      <c r="CY985">
        <v>7</v>
      </c>
      <c r="CZ985" t="s">
        <v>133</v>
      </c>
      <c r="DA985">
        <v>275</v>
      </c>
      <c r="DB985">
        <v>0</v>
      </c>
      <c r="DC985" t="s">
        <v>134</v>
      </c>
      <c r="DD985" t="s">
        <v>135</v>
      </c>
      <c r="DG985">
        <v>3319589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"05/01/2025 15:07:16.992"</f>
        <v>05/01/2025 15:07:16.992</v>
      </c>
      <c r="C986" t="str">
        <f t="shared" si="380"/>
        <v>FFDFD3C0</v>
      </c>
      <c r="D986" t="s">
        <v>140</v>
      </c>
      <c r="E986" t="str">
        <f>"13"</f>
        <v>13</v>
      </c>
      <c r="F986">
        <v>1019</v>
      </c>
      <c r="G986" t="s">
        <v>141</v>
      </c>
      <c r="J986" t="s">
        <v>142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R986" t="s">
        <v>127</v>
      </c>
      <c r="S986" t="str">
        <f t="shared" ref="S986:T991" si="392">"15:07:16.000"</f>
        <v>15:07:16.000</v>
      </c>
      <c r="T986" t="str">
        <f t="shared" si="392"/>
        <v>15:07:16.000</v>
      </c>
      <c r="U986" t="str">
        <f t="shared" si="382"/>
        <v>A68FCB</v>
      </c>
      <c r="V986">
        <v>0</v>
      </c>
      <c r="W986">
        <v>0</v>
      </c>
      <c r="X986">
        <v>2</v>
      </c>
      <c r="Y986">
        <v>0</v>
      </c>
      <c r="AA986">
        <v>1</v>
      </c>
      <c r="AB986">
        <v>8</v>
      </c>
      <c r="AC986">
        <v>3</v>
      </c>
      <c r="AD986">
        <v>0</v>
      </c>
      <c r="AE986">
        <v>9</v>
      </c>
      <c r="AF986" t="s">
        <v>138</v>
      </c>
      <c r="AG986">
        <v>0</v>
      </c>
      <c r="AH986">
        <v>3</v>
      </c>
      <c r="AI986">
        <v>2</v>
      </c>
      <c r="AJ986">
        <v>0</v>
      </c>
      <c r="AK986" t="s">
        <v>413</v>
      </c>
      <c r="AL986">
        <v>38.986379999999997</v>
      </c>
      <c r="AM986" t="s">
        <v>414</v>
      </c>
      <c r="AN986">
        <v>-121.052492</v>
      </c>
      <c r="AO986">
        <v>25</v>
      </c>
      <c r="AP986">
        <v>3100</v>
      </c>
      <c r="AQ986" t="s">
        <v>131</v>
      </c>
      <c r="AR986">
        <v>-10</v>
      </c>
      <c r="AS986">
        <v>88</v>
      </c>
      <c r="AT986">
        <v>704</v>
      </c>
      <c r="BB986" t="str">
        <f t="shared" si="383"/>
        <v>1200</v>
      </c>
      <c r="BC986">
        <v>1</v>
      </c>
      <c r="BD986" t="str">
        <f t="shared" si="384"/>
        <v xml:space="preserve">N52156  </v>
      </c>
      <c r="BE986">
        <v>1</v>
      </c>
      <c r="BG986">
        <v>0</v>
      </c>
      <c r="BH986">
        <v>0</v>
      </c>
      <c r="BI986">
        <v>0</v>
      </c>
      <c r="BJ986">
        <v>3025</v>
      </c>
      <c r="BK986">
        <v>-75</v>
      </c>
      <c r="BL986" t="s">
        <v>188</v>
      </c>
      <c r="BM986">
        <v>1</v>
      </c>
      <c r="BN986">
        <v>1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 t="shared" ref="CE986:CE991" si="393">"15:07:16.746"</f>
        <v>15:07:16.746</v>
      </c>
      <c r="CF986">
        <v>745510060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3</v>
      </c>
      <c r="CY986">
        <v>7</v>
      </c>
      <c r="CZ986" t="s">
        <v>133</v>
      </c>
      <c r="DA986">
        <v>276</v>
      </c>
      <c r="DB986">
        <v>0</v>
      </c>
      <c r="DC986" t="s">
        <v>402</v>
      </c>
      <c r="DD986" t="s">
        <v>403</v>
      </c>
      <c r="DG986">
        <v>1624923</v>
      </c>
      <c r="DI986">
        <v>1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"05/01/2025 15:07:16.997"</f>
        <v>05/01/2025 15:07:16.997</v>
      </c>
      <c r="C987" t="str">
        <f t="shared" si="380"/>
        <v>FFDFD3C0</v>
      </c>
      <c r="D987" t="s">
        <v>145</v>
      </c>
      <c r="E987" t="str">
        <f>"05"</f>
        <v>05</v>
      </c>
      <c r="H987">
        <v>47</v>
      </c>
      <c r="I987" t="s">
        <v>146</v>
      </c>
      <c r="J987" t="s">
        <v>138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R987" t="s">
        <v>127</v>
      </c>
      <c r="S987" t="str">
        <f t="shared" si="392"/>
        <v>15:07:16.000</v>
      </c>
      <c r="T987" t="str">
        <f t="shared" si="392"/>
        <v>15:07:16.000</v>
      </c>
      <c r="U987" t="str">
        <f t="shared" si="382"/>
        <v>A68FCB</v>
      </c>
      <c r="V987">
        <v>0</v>
      </c>
      <c r="W987">
        <v>0</v>
      </c>
      <c r="X987">
        <v>2</v>
      </c>
      <c r="Y987">
        <v>0</v>
      </c>
      <c r="AA987">
        <v>1</v>
      </c>
      <c r="AB987">
        <v>8</v>
      </c>
      <c r="AC987">
        <v>3</v>
      </c>
      <c r="AD987">
        <v>0</v>
      </c>
      <c r="AE987">
        <v>9</v>
      </c>
      <c r="AF987" t="s">
        <v>138</v>
      </c>
      <c r="AG987">
        <v>0</v>
      </c>
      <c r="AH987">
        <v>3</v>
      </c>
      <c r="AI987">
        <v>2</v>
      </c>
      <c r="AJ987">
        <v>0</v>
      </c>
      <c r="AK987" t="s">
        <v>413</v>
      </c>
      <c r="AL987">
        <v>38.986379999999997</v>
      </c>
      <c r="AM987" t="s">
        <v>414</v>
      </c>
      <c r="AN987">
        <v>-121.052492</v>
      </c>
      <c r="AO987">
        <v>25</v>
      </c>
      <c r="AP987">
        <v>3100</v>
      </c>
      <c r="AQ987" t="s">
        <v>131</v>
      </c>
      <c r="AR987">
        <v>-10</v>
      </c>
      <c r="AS987">
        <v>88</v>
      </c>
      <c r="AT987">
        <v>704</v>
      </c>
      <c r="BB987" t="str">
        <f t="shared" si="383"/>
        <v>1200</v>
      </c>
      <c r="BC987">
        <v>1</v>
      </c>
      <c r="BD987" t="str">
        <f t="shared" si="384"/>
        <v xml:space="preserve">N52156  </v>
      </c>
      <c r="BE987">
        <v>1</v>
      </c>
      <c r="BG987">
        <v>0</v>
      </c>
      <c r="BH987">
        <v>0</v>
      </c>
      <c r="BI987">
        <v>0</v>
      </c>
      <c r="BJ987">
        <v>3025</v>
      </c>
      <c r="BK987">
        <v>-75</v>
      </c>
      <c r="BL987" t="s">
        <v>188</v>
      </c>
      <c r="BM987">
        <v>1</v>
      </c>
      <c r="BN987">
        <v>1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 t="shared" si="393"/>
        <v>15:07:16.746</v>
      </c>
      <c r="CF987">
        <v>745510060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3</v>
      </c>
      <c r="CY987">
        <v>7</v>
      </c>
      <c r="CZ987" t="s">
        <v>133</v>
      </c>
      <c r="DA987">
        <v>276</v>
      </c>
      <c r="DB987">
        <v>0</v>
      </c>
      <c r="DC987" t="s">
        <v>402</v>
      </c>
      <c r="DD987" t="s">
        <v>403</v>
      </c>
      <c r="DG987">
        <v>1624923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"05/01/2025 15:07:17.000"</f>
        <v>05/01/2025 15:07:17.000</v>
      </c>
      <c r="C988" t="str">
        <f t="shared" si="380"/>
        <v>FFDFD3C0</v>
      </c>
      <c r="D988" t="s">
        <v>124</v>
      </c>
      <c r="E988" t="str">
        <f>"06"</f>
        <v>06</v>
      </c>
      <c r="F988">
        <v>2006</v>
      </c>
      <c r="G988" t="s">
        <v>125</v>
      </c>
      <c r="J988" t="s">
        <v>126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R988" t="s">
        <v>127</v>
      </c>
      <c r="S988" t="str">
        <f t="shared" si="392"/>
        <v>15:07:16.000</v>
      </c>
      <c r="T988" t="str">
        <f t="shared" si="392"/>
        <v>15:07:16.000</v>
      </c>
      <c r="U988" t="str">
        <f t="shared" si="382"/>
        <v>A68FCB</v>
      </c>
      <c r="V988">
        <v>0</v>
      </c>
      <c r="W988">
        <v>0</v>
      </c>
      <c r="X988">
        <v>2</v>
      </c>
      <c r="Y988">
        <v>0</v>
      </c>
      <c r="AA988">
        <v>1</v>
      </c>
      <c r="AB988">
        <v>8</v>
      </c>
      <c r="AC988">
        <v>3</v>
      </c>
      <c r="AD988">
        <v>0</v>
      </c>
      <c r="AE988">
        <v>9</v>
      </c>
      <c r="AF988" t="s">
        <v>138</v>
      </c>
      <c r="AG988">
        <v>0</v>
      </c>
      <c r="AH988">
        <v>3</v>
      </c>
      <c r="AI988">
        <v>2</v>
      </c>
      <c r="AJ988">
        <v>0</v>
      </c>
      <c r="AK988" t="s">
        <v>413</v>
      </c>
      <c r="AL988">
        <v>38.986379999999997</v>
      </c>
      <c r="AM988" t="s">
        <v>414</v>
      </c>
      <c r="AN988">
        <v>-121.052492</v>
      </c>
      <c r="AO988">
        <v>25</v>
      </c>
      <c r="AP988">
        <v>3100</v>
      </c>
      <c r="AQ988" t="s">
        <v>131</v>
      </c>
      <c r="AR988">
        <v>-10</v>
      </c>
      <c r="AS988">
        <v>88</v>
      </c>
      <c r="AT988">
        <v>704</v>
      </c>
      <c r="BB988" t="str">
        <f t="shared" si="383"/>
        <v>1200</v>
      </c>
      <c r="BC988">
        <v>1</v>
      </c>
      <c r="BD988" t="str">
        <f t="shared" si="384"/>
        <v xml:space="preserve">N52156  </v>
      </c>
      <c r="BE988">
        <v>1</v>
      </c>
      <c r="BG988">
        <v>0</v>
      </c>
      <c r="BH988">
        <v>0</v>
      </c>
      <c r="BI988">
        <v>0</v>
      </c>
      <c r="BJ988">
        <v>3025</v>
      </c>
      <c r="BK988">
        <v>-75</v>
      </c>
      <c r="BL988" t="s">
        <v>188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 t="shared" si="393"/>
        <v>15:07:16.746</v>
      </c>
      <c r="CF988">
        <v>745510060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3</v>
      </c>
      <c r="CY988">
        <v>7</v>
      </c>
      <c r="CZ988" t="s">
        <v>133</v>
      </c>
      <c r="DA988">
        <v>276</v>
      </c>
      <c r="DB988">
        <v>0</v>
      </c>
      <c r="DC988" t="s">
        <v>402</v>
      </c>
      <c r="DD988" t="s">
        <v>403</v>
      </c>
      <c r="DG988">
        <v>1624923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"05/01/2025 15:07:17.001"</f>
        <v>05/01/2025 15:07:17.001</v>
      </c>
      <c r="C989" t="str">
        <f t="shared" si="380"/>
        <v>FFDFD3C0</v>
      </c>
      <c r="D989" t="s">
        <v>143</v>
      </c>
      <c r="E989" t="str">
        <f>"05"</f>
        <v>05</v>
      </c>
      <c r="H989">
        <v>172</v>
      </c>
      <c r="I989" t="s">
        <v>141</v>
      </c>
      <c r="J989" t="s">
        <v>144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R989" t="s">
        <v>127</v>
      </c>
      <c r="S989" t="str">
        <f t="shared" si="392"/>
        <v>15:07:16.000</v>
      </c>
      <c r="T989" t="str">
        <f t="shared" si="392"/>
        <v>15:07:16.000</v>
      </c>
      <c r="U989" t="str">
        <f t="shared" si="382"/>
        <v>A68FCB</v>
      </c>
      <c r="V989">
        <v>0</v>
      </c>
      <c r="W989">
        <v>0</v>
      </c>
      <c r="X989">
        <v>2</v>
      </c>
      <c r="Y989">
        <v>0</v>
      </c>
      <c r="AA989">
        <v>1</v>
      </c>
      <c r="AB989">
        <v>8</v>
      </c>
      <c r="AC989">
        <v>3</v>
      </c>
      <c r="AD989">
        <v>0</v>
      </c>
      <c r="AE989">
        <v>9</v>
      </c>
      <c r="AF989" t="s">
        <v>138</v>
      </c>
      <c r="AG989">
        <v>0</v>
      </c>
      <c r="AH989">
        <v>3</v>
      </c>
      <c r="AI989">
        <v>2</v>
      </c>
      <c r="AJ989">
        <v>0</v>
      </c>
      <c r="AK989" t="s">
        <v>413</v>
      </c>
      <c r="AL989">
        <v>38.986379999999997</v>
      </c>
      <c r="AM989" t="s">
        <v>414</v>
      </c>
      <c r="AN989">
        <v>-121.052492</v>
      </c>
      <c r="AO989">
        <v>25</v>
      </c>
      <c r="AP989">
        <v>3100</v>
      </c>
      <c r="AQ989" t="s">
        <v>131</v>
      </c>
      <c r="AR989">
        <v>-10</v>
      </c>
      <c r="AS989">
        <v>88</v>
      </c>
      <c r="AT989">
        <v>704</v>
      </c>
      <c r="BB989" t="str">
        <f t="shared" si="383"/>
        <v>1200</v>
      </c>
      <c r="BC989">
        <v>1</v>
      </c>
      <c r="BD989" t="str">
        <f t="shared" si="384"/>
        <v xml:space="preserve">N52156  </v>
      </c>
      <c r="BE989">
        <v>1</v>
      </c>
      <c r="BG989">
        <v>0</v>
      </c>
      <c r="BH989">
        <v>0</v>
      </c>
      <c r="BI989">
        <v>0</v>
      </c>
      <c r="BJ989">
        <v>3025</v>
      </c>
      <c r="BK989">
        <v>-75</v>
      </c>
      <c r="BL989" t="s">
        <v>188</v>
      </c>
      <c r="BM989">
        <v>1</v>
      </c>
      <c r="BN989">
        <v>1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 t="shared" si="393"/>
        <v>15:07:16.746</v>
      </c>
      <c r="CF989">
        <v>745510060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3</v>
      </c>
      <c r="CY989">
        <v>7</v>
      </c>
      <c r="CZ989" t="s">
        <v>133</v>
      </c>
      <c r="DA989">
        <v>276</v>
      </c>
      <c r="DB989">
        <v>0</v>
      </c>
      <c r="DC989" t="s">
        <v>402</v>
      </c>
      <c r="DD989" t="s">
        <v>403</v>
      </c>
      <c r="DG989">
        <v>1624923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"05/01/2025 15:07:17.003"</f>
        <v>05/01/2025 15:07:17.003</v>
      </c>
      <c r="C990" t="str">
        <f t="shared" si="380"/>
        <v>FFDFD3C0</v>
      </c>
      <c r="D990" t="s">
        <v>145</v>
      </c>
      <c r="E990" t="str">
        <f>"09"</f>
        <v>09</v>
      </c>
      <c r="H990">
        <v>51</v>
      </c>
      <c r="I990" t="s">
        <v>147</v>
      </c>
      <c r="J990" t="s">
        <v>138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R990" t="s">
        <v>127</v>
      </c>
      <c r="S990" t="str">
        <f t="shared" si="392"/>
        <v>15:07:16.000</v>
      </c>
      <c r="T990" t="str">
        <f t="shared" si="392"/>
        <v>15:07:16.000</v>
      </c>
      <c r="U990" t="str">
        <f t="shared" si="382"/>
        <v>A68FCB</v>
      </c>
      <c r="V990">
        <v>0</v>
      </c>
      <c r="W990">
        <v>0</v>
      </c>
      <c r="X990">
        <v>2</v>
      </c>
      <c r="Y990">
        <v>0</v>
      </c>
      <c r="AA990">
        <v>1</v>
      </c>
      <c r="AB990">
        <v>8</v>
      </c>
      <c r="AC990">
        <v>3</v>
      </c>
      <c r="AD990">
        <v>0</v>
      </c>
      <c r="AE990">
        <v>9</v>
      </c>
      <c r="AF990" t="s">
        <v>138</v>
      </c>
      <c r="AG990">
        <v>0</v>
      </c>
      <c r="AH990">
        <v>3</v>
      </c>
      <c r="AI990">
        <v>2</v>
      </c>
      <c r="AJ990">
        <v>0</v>
      </c>
      <c r="AK990" t="s">
        <v>413</v>
      </c>
      <c r="AL990">
        <v>38.986379999999997</v>
      </c>
      <c r="AM990" t="s">
        <v>414</v>
      </c>
      <c r="AN990">
        <v>-121.052492</v>
      </c>
      <c r="AO990">
        <v>25</v>
      </c>
      <c r="AP990">
        <v>3100</v>
      </c>
      <c r="AQ990" t="s">
        <v>131</v>
      </c>
      <c r="AR990">
        <v>-10</v>
      </c>
      <c r="AS990">
        <v>88</v>
      </c>
      <c r="AT990">
        <v>704</v>
      </c>
      <c r="BB990" t="str">
        <f t="shared" si="383"/>
        <v>1200</v>
      </c>
      <c r="BC990">
        <v>1</v>
      </c>
      <c r="BD990" t="str">
        <f t="shared" si="384"/>
        <v xml:space="preserve">N52156  </v>
      </c>
      <c r="BE990">
        <v>1</v>
      </c>
      <c r="BG990">
        <v>0</v>
      </c>
      <c r="BH990">
        <v>0</v>
      </c>
      <c r="BI990">
        <v>0</v>
      </c>
      <c r="BJ990">
        <v>3025</v>
      </c>
      <c r="BK990">
        <v>-75</v>
      </c>
      <c r="BL990" t="s">
        <v>188</v>
      </c>
      <c r="BM990">
        <v>1</v>
      </c>
      <c r="BN990">
        <v>1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 t="shared" si="393"/>
        <v>15:07:16.746</v>
      </c>
      <c r="CF990">
        <v>745510060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3</v>
      </c>
      <c r="CY990">
        <v>7</v>
      </c>
      <c r="CZ990" t="s">
        <v>133</v>
      </c>
      <c r="DA990">
        <v>276</v>
      </c>
      <c r="DB990">
        <v>0</v>
      </c>
      <c r="DC990" t="s">
        <v>402</v>
      </c>
      <c r="DD990" t="s">
        <v>403</v>
      </c>
      <c r="DG990">
        <v>1624923</v>
      </c>
      <c r="DI990">
        <v>1</v>
      </c>
      <c r="DJ990">
        <v>0</v>
      </c>
      <c r="DK990">
        <v>1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"05/01/2025 15:07:17.009"</f>
        <v>05/01/2025 15:07:17.009</v>
      </c>
      <c r="C991" t="str">
        <f t="shared" si="380"/>
        <v>FFDFD3C0</v>
      </c>
      <c r="D991" t="s">
        <v>136</v>
      </c>
      <c r="E991" t="str">
        <f>"20"</f>
        <v>20</v>
      </c>
      <c r="H991">
        <v>400</v>
      </c>
      <c r="I991" t="s">
        <v>137</v>
      </c>
      <c r="J991" t="s">
        <v>138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R991" t="s">
        <v>127</v>
      </c>
      <c r="S991" t="str">
        <f t="shared" si="392"/>
        <v>15:07:16.000</v>
      </c>
      <c r="T991" t="str">
        <f t="shared" si="392"/>
        <v>15:07:16.000</v>
      </c>
      <c r="U991" t="str">
        <f t="shared" si="382"/>
        <v>A68FCB</v>
      </c>
      <c r="V991">
        <v>0</v>
      </c>
      <c r="W991">
        <v>0</v>
      </c>
      <c r="X991">
        <v>2</v>
      </c>
      <c r="Y991">
        <v>0</v>
      </c>
      <c r="AA991">
        <v>1</v>
      </c>
      <c r="AB991">
        <v>8</v>
      </c>
      <c r="AC991">
        <v>3</v>
      </c>
      <c r="AD991">
        <v>0</v>
      </c>
      <c r="AE991">
        <v>9</v>
      </c>
      <c r="AF991" t="s">
        <v>138</v>
      </c>
      <c r="AG991">
        <v>0</v>
      </c>
      <c r="AH991">
        <v>3</v>
      </c>
      <c r="AI991">
        <v>2</v>
      </c>
      <c r="AJ991">
        <v>0</v>
      </c>
      <c r="AK991" t="s">
        <v>413</v>
      </c>
      <c r="AL991">
        <v>38.986379999999997</v>
      </c>
      <c r="AM991" t="s">
        <v>414</v>
      </c>
      <c r="AN991">
        <v>-121.052492</v>
      </c>
      <c r="AO991">
        <v>25</v>
      </c>
      <c r="AP991">
        <v>3100</v>
      </c>
      <c r="AQ991" t="s">
        <v>131</v>
      </c>
      <c r="AR991">
        <v>-10</v>
      </c>
      <c r="AS991">
        <v>88</v>
      </c>
      <c r="AT991">
        <v>704</v>
      </c>
      <c r="BB991" t="str">
        <f t="shared" si="383"/>
        <v>1200</v>
      </c>
      <c r="BC991">
        <v>1</v>
      </c>
      <c r="BD991" t="str">
        <f t="shared" si="384"/>
        <v xml:space="preserve">N52156  </v>
      </c>
      <c r="BE991">
        <v>1</v>
      </c>
      <c r="BG991">
        <v>0</v>
      </c>
      <c r="BH991">
        <v>0</v>
      </c>
      <c r="BI991">
        <v>0</v>
      </c>
      <c r="BJ991">
        <v>3025</v>
      </c>
      <c r="BK991">
        <v>-75</v>
      </c>
      <c r="BL991" t="s">
        <v>188</v>
      </c>
      <c r="BM991">
        <v>1</v>
      </c>
      <c r="BN991">
        <v>1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 t="shared" si="393"/>
        <v>15:07:16.746</v>
      </c>
      <c r="CF991">
        <v>745510060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3</v>
      </c>
      <c r="CY991">
        <v>7</v>
      </c>
      <c r="CZ991" t="s">
        <v>133</v>
      </c>
      <c r="DA991">
        <v>276</v>
      </c>
      <c r="DB991">
        <v>0</v>
      </c>
      <c r="DC991" t="s">
        <v>402</v>
      </c>
      <c r="DD991" t="s">
        <v>403</v>
      </c>
      <c r="DG991">
        <v>1624923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"05/01/2025 15:07:18.051"</f>
        <v>05/01/2025 15:07:18.051</v>
      </c>
      <c r="C992" t="str">
        <f t="shared" si="380"/>
        <v>FFDFD3C0</v>
      </c>
      <c r="D992" t="s">
        <v>124</v>
      </c>
      <c r="E992" t="str">
        <f>"06"</f>
        <v>06</v>
      </c>
      <c r="F992">
        <v>2006</v>
      </c>
      <c r="G992" t="s">
        <v>125</v>
      </c>
      <c r="J992" t="s">
        <v>126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R992" t="s">
        <v>127</v>
      </c>
      <c r="S992" t="str">
        <f t="shared" ref="S992:T997" si="394">"15:07:17.000"</f>
        <v>15:07:17.000</v>
      </c>
      <c r="T992" t="str">
        <f t="shared" si="394"/>
        <v>15:07:17.000</v>
      </c>
      <c r="U992" t="str">
        <f t="shared" si="382"/>
        <v>A68FCB</v>
      </c>
      <c r="V992">
        <v>0</v>
      </c>
      <c r="W992">
        <v>0</v>
      </c>
      <c r="X992">
        <v>2</v>
      </c>
      <c r="Y992">
        <v>0</v>
      </c>
      <c r="AA992">
        <v>1</v>
      </c>
      <c r="AB992">
        <v>8</v>
      </c>
      <c r="AC992">
        <v>3</v>
      </c>
      <c r="AD992">
        <v>0</v>
      </c>
      <c r="AE992">
        <v>9</v>
      </c>
      <c r="AF992" t="s">
        <v>138</v>
      </c>
      <c r="AG992">
        <v>0</v>
      </c>
      <c r="AH992">
        <v>3</v>
      </c>
      <c r="AI992">
        <v>2</v>
      </c>
      <c r="AJ992">
        <v>0</v>
      </c>
      <c r="AK992" t="s">
        <v>415</v>
      </c>
      <c r="AL992">
        <v>38.986787999999997</v>
      </c>
      <c r="AM992" t="s">
        <v>416</v>
      </c>
      <c r="AN992">
        <v>-121.052556</v>
      </c>
      <c r="AO992">
        <v>25</v>
      </c>
      <c r="AP992">
        <v>3100</v>
      </c>
      <c r="AQ992" t="s">
        <v>131</v>
      </c>
      <c r="AR992">
        <v>-9</v>
      </c>
      <c r="AS992">
        <v>87</v>
      </c>
      <c r="AT992">
        <v>704</v>
      </c>
      <c r="BB992" t="str">
        <f t="shared" si="383"/>
        <v>1200</v>
      </c>
      <c r="BC992">
        <v>1</v>
      </c>
      <c r="BD992" t="str">
        <f t="shared" si="384"/>
        <v xml:space="preserve">N52156  </v>
      </c>
      <c r="BE992">
        <v>1</v>
      </c>
      <c r="BG992">
        <v>0</v>
      </c>
      <c r="BH992">
        <v>0</v>
      </c>
      <c r="BI992">
        <v>0</v>
      </c>
      <c r="BJ992">
        <v>3025</v>
      </c>
      <c r="BK992">
        <v>-75</v>
      </c>
      <c r="BL992" t="s">
        <v>188</v>
      </c>
      <c r="BM992">
        <v>1</v>
      </c>
      <c r="BN992">
        <v>1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 t="shared" ref="CE992:CE997" si="395">"15:07:17.853"</f>
        <v>15:07:17.853</v>
      </c>
      <c r="CF992">
        <v>853010453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4</v>
      </c>
      <c r="CY992">
        <v>7</v>
      </c>
      <c r="CZ992" t="s">
        <v>133</v>
      </c>
      <c r="DA992">
        <v>276</v>
      </c>
      <c r="DB992">
        <v>0</v>
      </c>
      <c r="DC992" t="s">
        <v>402</v>
      </c>
      <c r="DD992" t="s">
        <v>403</v>
      </c>
      <c r="DG992">
        <v>1624931</v>
      </c>
      <c r="DI992">
        <v>1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"05/01/2025 15:07:18.053"</f>
        <v>05/01/2025 15:07:18.053</v>
      </c>
      <c r="C993" t="str">
        <f t="shared" si="380"/>
        <v>FFDFD3C0</v>
      </c>
      <c r="D993" t="s">
        <v>143</v>
      </c>
      <c r="E993" t="str">
        <f>"05"</f>
        <v>05</v>
      </c>
      <c r="H993">
        <v>172</v>
      </c>
      <c r="I993" t="s">
        <v>141</v>
      </c>
      <c r="J993" t="s">
        <v>144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R993" t="s">
        <v>127</v>
      </c>
      <c r="S993" t="str">
        <f t="shared" si="394"/>
        <v>15:07:17.000</v>
      </c>
      <c r="T993" t="str">
        <f t="shared" si="394"/>
        <v>15:07:17.000</v>
      </c>
      <c r="U993" t="str">
        <f t="shared" si="382"/>
        <v>A68FCB</v>
      </c>
      <c r="V993">
        <v>0</v>
      </c>
      <c r="W993">
        <v>0</v>
      </c>
      <c r="X993">
        <v>2</v>
      </c>
      <c r="Y993">
        <v>0</v>
      </c>
      <c r="AA993">
        <v>1</v>
      </c>
      <c r="AB993">
        <v>8</v>
      </c>
      <c r="AC993">
        <v>3</v>
      </c>
      <c r="AD993">
        <v>0</v>
      </c>
      <c r="AE993">
        <v>9</v>
      </c>
      <c r="AF993" t="s">
        <v>138</v>
      </c>
      <c r="AG993">
        <v>0</v>
      </c>
      <c r="AH993">
        <v>3</v>
      </c>
      <c r="AI993">
        <v>2</v>
      </c>
      <c r="AJ993">
        <v>0</v>
      </c>
      <c r="AK993" t="s">
        <v>415</v>
      </c>
      <c r="AL993">
        <v>38.986787999999997</v>
      </c>
      <c r="AM993" t="s">
        <v>416</v>
      </c>
      <c r="AN993">
        <v>-121.052556</v>
      </c>
      <c r="AO993">
        <v>25</v>
      </c>
      <c r="AP993">
        <v>3100</v>
      </c>
      <c r="AQ993" t="s">
        <v>131</v>
      </c>
      <c r="AR993">
        <v>-9</v>
      </c>
      <c r="AS993">
        <v>87</v>
      </c>
      <c r="AT993">
        <v>704</v>
      </c>
      <c r="BB993" t="str">
        <f t="shared" si="383"/>
        <v>1200</v>
      </c>
      <c r="BC993">
        <v>1</v>
      </c>
      <c r="BD993" t="str">
        <f t="shared" si="384"/>
        <v xml:space="preserve">N52156  </v>
      </c>
      <c r="BE993">
        <v>1</v>
      </c>
      <c r="BG993">
        <v>0</v>
      </c>
      <c r="BH993">
        <v>0</v>
      </c>
      <c r="BI993">
        <v>0</v>
      </c>
      <c r="BJ993">
        <v>3025</v>
      </c>
      <c r="BK993">
        <v>-75</v>
      </c>
      <c r="BL993" t="s">
        <v>188</v>
      </c>
      <c r="BM993">
        <v>1</v>
      </c>
      <c r="BN993">
        <v>1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 t="shared" si="395"/>
        <v>15:07:17.853</v>
      </c>
      <c r="CF993">
        <v>853010453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4</v>
      </c>
      <c r="CY993">
        <v>7</v>
      </c>
      <c r="CZ993" t="s">
        <v>133</v>
      </c>
      <c r="DA993">
        <v>276</v>
      </c>
      <c r="DB993">
        <v>0</v>
      </c>
      <c r="DC993" t="s">
        <v>402</v>
      </c>
      <c r="DD993" t="s">
        <v>403</v>
      </c>
      <c r="DG993">
        <v>1624931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"05/01/2025 15:07:18.055"</f>
        <v>05/01/2025 15:07:18.055</v>
      </c>
      <c r="C994" t="str">
        <f t="shared" si="380"/>
        <v>FFDFD3C0</v>
      </c>
      <c r="D994" t="s">
        <v>145</v>
      </c>
      <c r="E994" t="str">
        <f>"09"</f>
        <v>09</v>
      </c>
      <c r="H994">
        <v>51</v>
      </c>
      <c r="I994" t="s">
        <v>147</v>
      </c>
      <c r="J994" t="s">
        <v>138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R994" t="s">
        <v>127</v>
      </c>
      <c r="S994" t="str">
        <f t="shared" si="394"/>
        <v>15:07:17.000</v>
      </c>
      <c r="T994" t="str">
        <f t="shared" si="394"/>
        <v>15:07:17.000</v>
      </c>
      <c r="U994" t="str">
        <f t="shared" si="382"/>
        <v>A68FCB</v>
      </c>
      <c r="V994">
        <v>0</v>
      </c>
      <c r="W994">
        <v>0</v>
      </c>
      <c r="X994">
        <v>2</v>
      </c>
      <c r="Y994">
        <v>0</v>
      </c>
      <c r="AA994">
        <v>1</v>
      </c>
      <c r="AB994">
        <v>8</v>
      </c>
      <c r="AC994">
        <v>3</v>
      </c>
      <c r="AD994">
        <v>0</v>
      </c>
      <c r="AE994">
        <v>9</v>
      </c>
      <c r="AF994" t="s">
        <v>138</v>
      </c>
      <c r="AG994">
        <v>0</v>
      </c>
      <c r="AH994">
        <v>3</v>
      </c>
      <c r="AI994">
        <v>2</v>
      </c>
      <c r="AJ994">
        <v>0</v>
      </c>
      <c r="AK994" t="s">
        <v>415</v>
      </c>
      <c r="AL994">
        <v>38.986787999999997</v>
      </c>
      <c r="AM994" t="s">
        <v>416</v>
      </c>
      <c r="AN994">
        <v>-121.052556</v>
      </c>
      <c r="AO994">
        <v>25</v>
      </c>
      <c r="AP994">
        <v>3100</v>
      </c>
      <c r="AQ994" t="s">
        <v>131</v>
      </c>
      <c r="AR994">
        <v>-9</v>
      </c>
      <c r="AS994">
        <v>87</v>
      </c>
      <c r="AT994">
        <v>704</v>
      </c>
      <c r="BB994" t="str">
        <f t="shared" si="383"/>
        <v>1200</v>
      </c>
      <c r="BC994">
        <v>1</v>
      </c>
      <c r="BD994" t="str">
        <f t="shared" si="384"/>
        <v xml:space="preserve">N52156  </v>
      </c>
      <c r="BE994">
        <v>1</v>
      </c>
      <c r="BG994">
        <v>0</v>
      </c>
      <c r="BH994">
        <v>0</v>
      </c>
      <c r="BI994">
        <v>0</v>
      </c>
      <c r="BJ994">
        <v>3025</v>
      </c>
      <c r="BK994">
        <v>-75</v>
      </c>
      <c r="BL994" t="s">
        <v>188</v>
      </c>
      <c r="BM994">
        <v>1</v>
      </c>
      <c r="BN994">
        <v>1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 t="shared" si="395"/>
        <v>15:07:17.853</v>
      </c>
      <c r="CF994">
        <v>853010453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4</v>
      </c>
      <c r="CY994">
        <v>7</v>
      </c>
      <c r="CZ994" t="s">
        <v>133</v>
      </c>
      <c r="DA994">
        <v>276</v>
      </c>
      <c r="DB994">
        <v>0</v>
      </c>
      <c r="DC994" t="s">
        <v>402</v>
      </c>
      <c r="DD994" t="s">
        <v>403</v>
      </c>
      <c r="DG994">
        <v>1624931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"05/01/2025 15:07:18.060"</f>
        <v>05/01/2025 15:07:18.060</v>
      </c>
      <c r="C995" t="str">
        <f t="shared" si="380"/>
        <v>FFDFD3C0</v>
      </c>
      <c r="D995" t="s">
        <v>136</v>
      </c>
      <c r="E995" t="str">
        <f>"20"</f>
        <v>20</v>
      </c>
      <c r="H995">
        <v>400</v>
      </c>
      <c r="I995" t="s">
        <v>137</v>
      </c>
      <c r="J995" t="s">
        <v>138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R995" t="s">
        <v>127</v>
      </c>
      <c r="S995" t="str">
        <f t="shared" si="394"/>
        <v>15:07:17.000</v>
      </c>
      <c r="T995" t="str">
        <f t="shared" si="394"/>
        <v>15:07:17.000</v>
      </c>
      <c r="U995" t="str">
        <f t="shared" si="382"/>
        <v>A68FCB</v>
      </c>
      <c r="V995">
        <v>0</v>
      </c>
      <c r="W995">
        <v>0</v>
      </c>
      <c r="X995">
        <v>2</v>
      </c>
      <c r="Y995">
        <v>0</v>
      </c>
      <c r="AA995">
        <v>1</v>
      </c>
      <c r="AB995">
        <v>8</v>
      </c>
      <c r="AC995">
        <v>3</v>
      </c>
      <c r="AD995">
        <v>0</v>
      </c>
      <c r="AE995">
        <v>9</v>
      </c>
      <c r="AF995" t="s">
        <v>138</v>
      </c>
      <c r="AG995">
        <v>0</v>
      </c>
      <c r="AH995">
        <v>3</v>
      </c>
      <c r="AI995">
        <v>2</v>
      </c>
      <c r="AJ995">
        <v>0</v>
      </c>
      <c r="AK995" t="s">
        <v>415</v>
      </c>
      <c r="AL995">
        <v>38.986787999999997</v>
      </c>
      <c r="AM995" t="s">
        <v>416</v>
      </c>
      <c r="AN995">
        <v>-121.052556</v>
      </c>
      <c r="AO995">
        <v>25</v>
      </c>
      <c r="AP995">
        <v>3100</v>
      </c>
      <c r="AQ995" t="s">
        <v>131</v>
      </c>
      <c r="AR995">
        <v>-9</v>
      </c>
      <c r="AS995">
        <v>87</v>
      </c>
      <c r="AT995">
        <v>704</v>
      </c>
      <c r="BB995" t="str">
        <f t="shared" si="383"/>
        <v>1200</v>
      </c>
      <c r="BC995">
        <v>1</v>
      </c>
      <c r="BD995" t="str">
        <f t="shared" si="384"/>
        <v xml:space="preserve">N52156  </v>
      </c>
      <c r="BE995">
        <v>1</v>
      </c>
      <c r="BG995">
        <v>0</v>
      </c>
      <c r="BH995">
        <v>0</v>
      </c>
      <c r="BI995">
        <v>0</v>
      </c>
      <c r="BJ995">
        <v>3025</v>
      </c>
      <c r="BK995">
        <v>-75</v>
      </c>
      <c r="BL995" t="s">
        <v>188</v>
      </c>
      <c r="BM995">
        <v>1</v>
      </c>
      <c r="BN995">
        <v>1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 t="shared" si="395"/>
        <v>15:07:17.853</v>
      </c>
      <c r="CF995">
        <v>853010453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4</v>
      </c>
      <c r="CY995">
        <v>7</v>
      </c>
      <c r="CZ995" t="s">
        <v>133</v>
      </c>
      <c r="DA995">
        <v>276</v>
      </c>
      <c r="DB995">
        <v>0</v>
      </c>
      <c r="DC995" t="s">
        <v>402</v>
      </c>
      <c r="DD995" t="s">
        <v>403</v>
      </c>
      <c r="DG995">
        <v>1624931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"05/01/2025 15:07:18.094"</f>
        <v>05/01/2025 15:07:18.094</v>
      </c>
      <c r="C996" t="str">
        <f t="shared" si="380"/>
        <v>FFDFD3C0</v>
      </c>
      <c r="D996" t="s">
        <v>140</v>
      </c>
      <c r="E996" t="str">
        <f>"13"</f>
        <v>13</v>
      </c>
      <c r="F996">
        <v>1019</v>
      </c>
      <c r="G996" t="s">
        <v>141</v>
      </c>
      <c r="J996" t="s">
        <v>142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R996" t="s">
        <v>127</v>
      </c>
      <c r="S996" t="str">
        <f t="shared" si="394"/>
        <v>15:07:17.000</v>
      </c>
      <c r="T996" t="str">
        <f t="shared" si="394"/>
        <v>15:07:17.000</v>
      </c>
      <c r="U996" t="str">
        <f t="shared" si="382"/>
        <v>A68FCB</v>
      </c>
      <c r="V996">
        <v>0</v>
      </c>
      <c r="W996">
        <v>0</v>
      </c>
      <c r="X996">
        <v>2</v>
      </c>
      <c r="Y996">
        <v>0</v>
      </c>
      <c r="AA996">
        <v>1</v>
      </c>
      <c r="AB996">
        <v>8</v>
      </c>
      <c r="AC996">
        <v>3</v>
      </c>
      <c r="AD996">
        <v>0</v>
      </c>
      <c r="AE996">
        <v>9</v>
      </c>
      <c r="AF996" t="s">
        <v>138</v>
      </c>
      <c r="AG996">
        <v>0</v>
      </c>
      <c r="AH996">
        <v>3</v>
      </c>
      <c r="AI996">
        <v>2</v>
      </c>
      <c r="AJ996">
        <v>0</v>
      </c>
      <c r="AK996" t="s">
        <v>415</v>
      </c>
      <c r="AL996">
        <v>38.986787999999997</v>
      </c>
      <c r="AM996" t="s">
        <v>416</v>
      </c>
      <c r="AN996">
        <v>-121.052556</v>
      </c>
      <c r="AO996">
        <v>25</v>
      </c>
      <c r="AP996">
        <v>3100</v>
      </c>
      <c r="AQ996" t="s">
        <v>131</v>
      </c>
      <c r="AR996">
        <v>-9</v>
      </c>
      <c r="AS996">
        <v>87</v>
      </c>
      <c r="AT996">
        <v>704</v>
      </c>
      <c r="BB996" t="str">
        <f t="shared" si="383"/>
        <v>1200</v>
      </c>
      <c r="BC996">
        <v>1</v>
      </c>
      <c r="BD996" t="str">
        <f t="shared" si="384"/>
        <v xml:space="preserve">N52156  </v>
      </c>
      <c r="BE996">
        <v>1</v>
      </c>
      <c r="BG996">
        <v>0</v>
      </c>
      <c r="BH996">
        <v>0</v>
      </c>
      <c r="BI996">
        <v>0</v>
      </c>
      <c r="BJ996">
        <v>3025</v>
      </c>
      <c r="BK996">
        <v>-75</v>
      </c>
      <c r="BL996" t="s">
        <v>188</v>
      </c>
      <c r="BM996">
        <v>1</v>
      </c>
      <c r="BN996">
        <v>1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 t="shared" si="395"/>
        <v>15:07:17.853</v>
      </c>
      <c r="CF996">
        <v>853010453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4</v>
      </c>
      <c r="CY996">
        <v>7</v>
      </c>
      <c r="CZ996" t="s">
        <v>133</v>
      </c>
      <c r="DA996">
        <v>276</v>
      </c>
      <c r="DB996">
        <v>0</v>
      </c>
      <c r="DC996" t="s">
        <v>402</v>
      </c>
      <c r="DD996" t="s">
        <v>403</v>
      </c>
      <c r="DG996">
        <v>1624931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"05/01/2025 15:07:18.099"</f>
        <v>05/01/2025 15:07:18.099</v>
      </c>
      <c r="C997" t="str">
        <f t="shared" si="380"/>
        <v>FFDFD3C0</v>
      </c>
      <c r="D997" t="s">
        <v>145</v>
      </c>
      <c r="E997" t="str">
        <f>"05"</f>
        <v>05</v>
      </c>
      <c r="H997">
        <v>47</v>
      </c>
      <c r="I997" t="s">
        <v>146</v>
      </c>
      <c r="J997" t="s">
        <v>138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R997" t="s">
        <v>127</v>
      </c>
      <c r="S997" t="str">
        <f t="shared" si="394"/>
        <v>15:07:17.000</v>
      </c>
      <c r="T997" t="str">
        <f t="shared" si="394"/>
        <v>15:07:17.000</v>
      </c>
      <c r="U997" t="str">
        <f t="shared" si="382"/>
        <v>A68FCB</v>
      </c>
      <c r="V997">
        <v>0</v>
      </c>
      <c r="W997">
        <v>0</v>
      </c>
      <c r="X997">
        <v>2</v>
      </c>
      <c r="Y997">
        <v>0</v>
      </c>
      <c r="AA997">
        <v>1</v>
      </c>
      <c r="AB997">
        <v>8</v>
      </c>
      <c r="AC997">
        <v>3</v>
      </c>
      <c r="AD997">
        <v>0</v>
      </c>
      <c r="AE997">
        <v>9</v>
      </c>
      <c r="AF997" t="s">
        <v>138</v>
      </c>
      <c r="AG997">
        <v>0</v>
      </c>
      <c r="AH997">
        <v>3</v>
      </c>
      <c r="AI997">
        <v>2</v>
      </c>
      <c r="AJ997">
        <v>0</v>
      </c>
      <c r="AK997" t="s">
        <v>415</v>
      </c>
      <c r="AL997">
        <v>38.986787999999997</v>
      </c>
      <c r="AM997" t="s">
        <v>416</v>
      </c>
      <c r="AN997">
        <v>-121.052556</v>
      </c>
      <c r="AO997">
        <v>25</v>
      </c>
      <c r="AP997">
        <v>3100</v>
      </c>
      <c r="AQ997" t="s">
        <v>131</v>
      </c>
      <c r="AR997">
        <v>-9</v>
      </c>
      <c r="AS997">
        <v>87</v>
      </c>
      <c r="AT997">
        <v>704</v>
      </c>
      <c r="BB997" t="str">
        <f t="shared" si="383"/>
        <v>1200</v>
      </c>
      <c r="BC997">
        <v>1</v>
      </c>
      <c r="BD997" t="str">
        <f t="shared" si="384"/>
        <v xml:space="preserve">N52156  </v>
      </c>
      <c r="BE997">
        <v>1</v>
      </c>
      <c r="BG997">
        <v>0</v>
      </c>
      <c r="BH997">
        <v>0</v>
      </c>
      <c r="BI997">
        <v>0</v>
      </c>
      <c r="BJ997">
        <v>3025</v>
      </c>
      <c r="BK997">
        <v>-75</v>
      </c>
      <c r="BL997" t="s">
        <v>188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 t="shared" si="395"/>
        <v>15:07:17.853</v>
      </c>
      <c r="CF997">
        <v>853010453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4</v>
      </c>
      <c r="CY997">
        <v>7</v>
      </c>
      <c r="CZ997" t="s">
        <v>133</v>
      </c>
      <c r="DA997">
        <v>276</v>
      </c>
      <c r="DB997">
        <v>0</v>
      </c>
      <c r="DC997" t="s">
        <v>402</v>
      </c>
      <c r="DD997" t="s">
        <v>403</v>
      </c>
      <c r="DG997">
        <v>1624931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"05/01/2025 15:07:18.661"</f>
        <v>05/01/2025 15:07:18.661</v>
      </c>
      <c r="C998" t="str">
        <f t="shared" si="380"/>
        <v>FFDFD3C0</v>
      </c>
      <c r="D998" t="s">
        <v>136</v>
      </c>
      <c r="E998" t="str">
        <f>"20"</f>
        <v>20</v>
      </c>
      <c r="H998">
        <v>400</v>
      </c>
      <c r="I998" t="s">
        <v>137</v>
      </c>
      <c r="J998" t="s">
        <v>138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R998" t="s">
        <v>127</v>
      </c>
      <c r="S998" t="str">
        <f t="shared" ref="S998:T1003" si="396">"15:07:18.000"</f>
        <v>15:07:18.000</v>
      </c>
      <c r="T998" t="str">
        <f t="shared" si="396"/>
        <v>15:07:18.000</v>
      </c>
      <c r="U998" t="str">
        <f t="shared" si="382"/>
        <v>A68FCB</v>
      </c>
      <c r="V998">
        <v>0</v>
      </c>
      <c r="W998">
        <v>0</v>
      </c>
      <c r="X998">
        <v>2</v>
      </c>
      <c r="Y998">
        <v>0</v>
      </c>
      <c r="AA998">
        <v>1</v>
      </c>
      <c r="AB998">
        <v>8</v>
      </c>
      <c r="AC998">
        <v>3</v>
      </c>
      <c r="AD998">
        <v>0</v>
      </c>
      <c r="AE998">
        <v>9</v>
      </c>
      <c r="AF998" t="s">
        <v>138</v>
      </c>
      <c r="AG998">
        <v>0</v>
      </c>
      <c r="AH998">
        <v>3</v>
      </c>
      <c r="AI998">
        <v>2</v>
      </c>
      <c r="AJ998">
        <v>0</v>
      </c>
      <c r="AK998" t="s">
        <v>417</v>
      </c>
      <c r="AL998">
        <v>38.987195</v>
      </c>
      <c r="AM998" t="s">
        <v>418</v>
      </c>
      <c r="AN998">
        <v>-121.05262</v>
      </c>
      <c r="AO998">
        <v>25</v>
      </c>
      <c r="AP998">
        <v>3100</v>
      </c>
      <c r="AQ998" t="s">
        <v>131</v>
      </c>
      <c r="AR998">
        <v>-8</v>
      </c>
      <c r="AS998">
        <v>87</v>
      </c>
      <c r="AT998">
        <v>768</v>
      </c>
      <c r="BB998" t="str">
        <f t="shared" si="383"/>
        <v>1200</v>
      </c>
      <c r="BC998">
        <v>1</v>
      </c>
      <c r="BD998" t="str">
        <f t="shared" si="384"/>
        <v xml:space="preserve">N52156  </v>
      </c>
      <c r="BE998">
        <v>1</v>
      </c>
      <c r="BG998">
        <v>0</v>
      </c>
      <c r="BH998">
        <v>0</v>
      </c>
      <c r="BI998">
        <v>0</v>
      </c>
      <c r="BJ998">
        <v>3025</v>
      </c>
      <c r="BK998">
        <v>-75</v>
      </c>
      <c r="BL998" t="s">
        <v>188</v>
      </c>
      <c r="BM998">
        <v>1</v>
      </c>
      <c r="BN998">
        <v>1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 t="shared" ref="CE998:CE1003" si="397">"15:07:18.455"</f>
        <v>15:07:18.455</v>
      </c>
      <c r="CF998">
        <v>454701555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4</v>
      </c>
      <c r="CY998">
        <v>7</v>
      </c>
      <c r="CZ998" t="s">
        <v>133</v>
      </c>
      <c r="DA998">
        <v>275</v>
      </c>
      <c r="DB998">
        <v>0</v>
      </c>
      <c r="DC998" t="s">
        <v>134</v>
      </c>
      <c r="DD998" t="s">
        <v>135</v>
      </c>
      <c r="DG998">
        <v>3319613</v>
      </c>
      <c r="DI998">
        <v>1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"05/01/2025 15:07:18.696"</f>
        <v>05/01/2025 15:07:18.696</v>
      </c>
      <c r="C999" t="str">
        <f t="shared" si="380"/>
        <v>FFDFD3C0</v>
      </c>
      <c r="D999" t="s">
        <v>140</v>
      </c>
      <c r="E999" t="str">
        <f>"13"</f>
        <v>13</v>
      </c>
      <c r="F999">
        <v>1019</v>
      </c>
      <c r="G999" t="s">
        <v>141</v>
      </c>
      <c r="J999" t="s">
        <v>142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R999" t="s">
        <v>127</v>
      </c>
      <c r="S999" t="str">
        <f t="shared" si="396"/>
        <v>15:07:18.000</v>
      </c>
      <c r="T999" t="str">
        <f t="shared" si="396"/>
        <v>15:07:18.000</v>
      </c>
      <c r="U999" t="str">
        <f t="shared" si="382"/>
        <v>A68FCB</v>
      </c>
      <c r="V999">
        <v>0</v>
      </c>
      <c r="W999">
        <v>0</v>
      </c>
      <c r="X999">
        <v>2</v>
      </c>
      <c r="Y999">
        <v>0</v>
      </c>
      <c r="AA999">
        <v>1</v>
      </c>
      <c r="AB999">
        <v>8</v>
      </c>
      <c r="AC999">
        <v>3</v>
      </c>
      <c r="AD999">
        <v>0</v>
      </c>
      <c r="AE999">
        <v>9</v>
      </c>
      <c r="AF999" t="s">
        <v>138</v>
      </c>
      <c r="AG999">
        <v>0</v>
      </c>
      <c r="AH999">
        <v>3</v>
      </c>
      <c r="AI999">
        <v>2</v>
      </c>
      <c r="AJ999">
        <v>0</v>
      </c>
      <c r="AK999" t="s">
        <v>417</v>
      </c>
      <c r="AL999">
        <v>38.987195</v>
      </c>
      <c r="AM999" t="s">
        <v>418</v>
      </c>
      <c r="AN999">
        <v>-121.05262</v>
      </c>
      <c r="AO999">
        <v>25</v>
      </c>
      <c r="AP999">
        <v>3100</v>
      </c>
      <c r="AQ999" t="s">
        <v>131</v>
      </c>
      <c r="AR999">
        <v>-8</v>
      </c>
      <c r="AS999">
        <v>87</v>
      </c>
      <c r="AT999">
        <v>768</v>
      </c>
      <c r="BB999" t="str">
        <f t="shared" si="383"/>
        <v>1200</v>
      </c>
      <c r="BC999">
        <v>1</v>
      </c>
      <c r="BD999" t="str">
        <f t="shared" si="384"/>
        <v xml:space="preserve">N52156  </v>
      </c>
      <c r="BE999">
        <v>1</v>
      </c>
      <c r="BG999">
        <v>0</v>
      </c>
      <c r="BH999">
        <v>0</v>
      </c>
      <c r="BI999">
        <v>0</v>
      </c>
      <c r="BJ999">
        <v>3025</v>
      </c>
      <c r="BK999">
        <v>-75</v>
      </c>
      <c r="BL999" t="s">
        <v>188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 t="shared" si="397"/>
        <v>15:07:18.455</v>
      </c>
      <c r="CF999">
        <v>454701555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4</v>
      </c>
      <c r="CY999">
        <v>7</v>
      </c>
      <c r="CZ999" t="s">
        <v>133</v>
      </c>
      <c r="DA999">
        <v>275</v>
      </c>
      <c r="DB999">
        <v>0</v>
      </c>
      <c r="DC999" t="s">
        <v>134</v>
      </c>
      <c r="DD999" t="s">
        <v>135</v>
      </c>
      <c r="DG999">
        <v>3319613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"05/01/2025 15:07:18.705"</f>
        <v>05/01/2025 15:07:18.705</v>
      </c>
      <c r="C1000" t="str">
        <f t="shared" si="380"/>
        <v>FFDFD3C0</v>
      </c>
      <c r="D1000" t="s">
        <v>145</v>
      </c>
      <c r="E1000" t="str">
        <f>"09"</f>
        <v>09</v>
      </c>
      <c r="H1000">
        <v>51</v>
      </c>
      <c r="I1000" t="s">
        <v>147</v>
      </c>
      <c r="J1000" t="s">
        <v>138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R1000" t="s">
        <v>127</v>
      </c>
      <c r="S1000" t="str">
        <f t="shared" si="396"/>
        <v>15:07:18.000</v>
      </c>
      <c r="T1000" t="str">
        <f t="shared" si="396"/>
        <v>15:07:18.000</v>
      </c>
      <c r="U1000" t="str">
        <f t="shared" si="382"/>
        <v>A68FCB</v>
      </c>
      <c r="V1000">
        <v>0</v>
      </c>
      <c r="W1000">
        <v>0</v>
      </c>
      <c r="X1000">
        <v>2</v>
      </c>
      <c r="Y1000">
        <v>0</v>
      </c>
      <c r="AA1000">
        <v>1</v>
      </c>
      <c r="AB1000">
        <v>8</v>
      </c>
      <c r="AC1000">
        <v>3</v>
      </c>
      <c r="AD1000">
        <v>0</v>
      </c>
      <c r="AE1000">
        <v>9</v>
      </c>
      <c r="AF1000" t="s">
        <v>138</v>
      </c>
      <c r="AG1000">
        <v>0</v>
      </c>
      <c r="AH1000">
        <v>3</v>
      </c>
      <c r="AI1000">
        <v>2</v>
      </c>
      <c r="AJ1000">
        <v>0</v>
      </c>
      <c r="AK1000" t="s">
        <v>417</v>
      </c>
      <c r="AL1000">
        <v>38.987195</v>
      </c>
      <c r="AM1000" t="s">
        <v>418</v>
      </c>
      <c r="AN1000">
        <v>-121.05262</v>
      </c>
      <c r="AO1000">
        <v>25</v>
      </c>
      <c r="AP1000">
        <v>3100</v>
      </c>
      <c r="AQ1000" t="s">
        <v>131</v>
      </c>
      <c r="AR1000">
        <v>-8</v>
      </c>
      <c r="AS1000">
        <v>87</v>
      </c>
      <c r="AT1000">
        <v>768</v>
      </c>
      <c r="BB1000" t="str">
        <f t="shared" si="383"/>
        <v>1200</v>
      </c>
      <c r="BC1000">
        <v>1</v>
      </c>
      <c r="BD1000" t="str">
        <f t="shared" si="384"/>
        <v xml:space="preserve">N52156  </v>
      </c>
      <c r="BE1000">
        <v>1</v>
      </c>
      <c r="BG1000">
        <v>0</v>
      </c>
      <c r="BH1000">
        <v>0</v>
      </c>
      <c r="BI1000">
        <v>0</v>
      </c>
      <c r="BJ1000">
        <v>3025</v>
      </c>
      <c r="BK1000">
        <v>-75</v>
      </c>
      <c r="BL1000" t="s">
        <v>188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 t="shared" si="397"/>
        <v>15:07:18.455</v>
      </c>
      <c r="CF1000">
        <v>454701555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4</v>
      </c>
      <c r="CY1000">
        <v>7</v>
      </c>
      <c r="CZ1000" t="s">
        <v>133</v>
      </c>
      <c r="DA1000">
        <v>275</v>
      </c>
      <c r="DB1000">
        <v>0</v>
      </c>
      <c r="DC1000" t="s">
        <v>134</v>
      </c>
      <c r="DD1000" t="s">
        <v>135</v>
      </c>
      <c r="DG1000">
        <v>3319613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"05/01/2025 15:07:18.700"</f>
        <v>05/01/2025 15:07:18.700</v>
      </c>
      <c r="C1001" t="str">
        <f t="shared" si="380"/>
        <v>FFDFD3C0</v>
      </c>
      <c r="D1001" t="s">
        <v>145</v>
      </c>
      <c r="E1001" t="str">
        <f>"05"</f>
        <v>05</v>
      </c>
      <c r="H1001">
        <v>47</v>
      </c>
      <c r="I1001" t="s">
        <v>146</v>
      </c>
      <c r="J1001" t="s">
        <v>138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R1001" t="s">
        <v>127</v>
      </c>
      <c r="S1001" t="str">
        <f t="shared" si="396"/>
        <v>15:07:18.000</v>
      </c>
      <c r="T1001" t="str">
        <f t="shared" si="396"/>
        <v>15:07:18.000</v>
      </c>
      <c r="U1001" t="str">
        <f t="shared" si="382"/>
        <v>A68FCB</v>
      </c>
      <c r="V1001">
        <v>0</v>
      </c>
      <c r="W1001">
        <v>0</v>
      </c>
      <c r="X1001">
        <v>2</v>
      </c>
      <c r="Y1001">
        <v>0</v>
      </c>
      <c r="AA1001">
        <v>1</v>
      </c>
      <c r="AB1001">
        <v>8</v>
      </c>
      <c r="AC1001">
        <v>3</v>
      </c>
      <c r="AD1001">
        <v>0</v>
      </c>
      <c r="AE1001">
        <v>9</v>
      </c>
      <c r="AF1001" t="s">
        <v>138</v>
      </c>
      <c r="AG1001">
        <v>0</v>
      </c>
      <c r="AH1001">
        <v>3</v>
      </c>
      <c r="AI1001">
        <v>2</v>
      </c>
      <c r="AJ1001">
        <v>0</v>
      </c>
      <c r="AK1001" t="s">
        <v>417</v>
      </c>
      <c r="AL1001">
        <v>38.987195</v>
      </c>
      <c r="AM1001" t="s">
        <v>418</v>
      </c>
      <c r="AN1001">
        <v>-121.05262</v>
      </c>
      <c r="AO1001">
        <v>25</v>
      </c>
      <c r="AP1001">
        <v>3100</v>
      </c>
      <c r="AQ1001" t="s">
        <v>131</v>
      </c>
      <c r="AR1001">
        <v>-8</v>
      </c>
      <c r="AS1001">
        <v>87</v>
      </c>
      <c r="AT1001">
        <v>768</v>
      </c>
      <c r="BB1001" t="str">
        <f t="shared" si="383"/>
        <v>1200</v>
      </c>
      <c r="BC1001">
        <v>1</v>
      </c>
      <c r="BD1001" t="str">
        <f t="shared" si="384"/>
        <v xml:space="preserve">N52156  </v>
      </c>
      <c r="BE1001">
        <v>1</v>
      </c>
      <c r="BG1001">
        <v>0</v>
      </c>
      <c r="BH1001">
        <v>0</v>
      </c>
      <c r="BI1001">
        <v>0</v>
      </c>
      <c r="BJ1001">
        <v>3025</v>
      </c>
      <c r="BK1001">
        <v>-75</v>
      </c>
      <c r="BL1001" t="s">
        <v>188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 t="shared" si="397"/>
        <v>15:07:18.455</v>
      </c>
      <c r="CF1001">
        <v>454701555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4</v>
      </c>
      <c r="CY1001">
        <v>7</v>
      </c>
      <c r="CZ1001" t="s">
        <v>133</v>
      </c>
      <c r="DA1001">
        <v>275</v>
      </c>
      <c r="DB1001">
        <v>0</v>
      </c>
      <c r="DC1001" t="s">
        <v>134</v>
      </c>
      <c r="DD1001" t="s">
        <v>135</v>
      </c>
      <c r="DG1001">
        <v>3319613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"05/01/2025 15:07:18.704"</f>
        <v>05/01/2025 15:07:18.704</v>
      </c>
      <c r="C1002" t="str">
        <f t="shared" si="380"/>
        <v>FFDFD3C0</v>
      </c>
      <c r="D1002" t="s">
        <v>143</v>
      </c>
      <c r="E1002" t="str">
        <f>"05"</f>
        <v>05</v>
      </c>
      <c r="H1002">
        <v>172</v>
      </c>
      <c r="I1002" t="s">
        <v>141</v>
      </c>
      <c r="J1002" t="s">
        <v>144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R1002" t="s">
        <v>127</v>
      </c>
      <c r="S1002" t="str">
        <f t="shared" si="396"/>
        <v>15:07:18.000</v>
      </c>
      <c r="T1002" t="str">
        <f t="shared" si="396"/>
        <v>15:07:18.000</v>
      </c>
      <c r="U1002" t="str">
        <f t="shared" si="382"/>
        <v>A68FCB</v>
      </c>
      <c r="V1002">
        <v>0</v>
      </c>
      <c r="W1002">
        <v>0</v>
      </c>
      <c r="X1002">
        <v>2</v>
      </c>
      <c r="Y1002">
        <v>0</v>
      </c>
      <c r="AA1002">
        <v>1</v>
      </c>
      <c r="AB1002">
        <v>8</v>
      </c>
      <c r="AC1002">
        <v>3</v>
      </c>
      <c r="AD1002">
        <v>0</v>
      </c>
      <c r="AE1002">
        <v>9</v>
      </c>
      <c r="AF1002" t="s">
        <v>138</v>
      </c>
      <c r="AG1002">
        <v>0</v>
      </c>
      <c r="AH1002">
        <v>3</v>
      </c>
      <c r="AI1002">
        <v>2</v>
      </c>
      <c r="AJ1002">
        <v>0</v>
      </c>
      <c r="AK1002" t="s">
        <v>417</v>
      </c>
      <c r="AL1002">
        <v>38.987195</v>
      </c>
      <c r="AM1002" t="s">
        <v>418</v>
      </c>
      <c r="AN1002">
        <v>-121.05262</v>
      </c>
      <c r="AO1002">
        <v>25</v>
      </c>
      <c r="AP1002">
        <v>3100</v>
      </c>
      <c r="AQ1002" t="s">
        <v>131</v>
      </c>
      <c r="AR1002">
        <v>-8</v>
      </c>
      <c r="AS1002">
        <v>87</v>
      </c>
      <c r="AT1002">
        <v>768</v>
      </c>
      <c r="BB1002" t="str">
        <f t="shared" si="383"/>
        <v>1200</v>
      </c>
      <c r="BC1002">
        <v>1</v>
      </c>
      <c r="BD1002" t="str">
        <f t="shared" si="384"/>
        <v xml:space="preserve">N52156  </v>
      </c>
      <c r="BE1002">
        <v>1</v>
      </c>
      <c r="BG1002">
        <v>0</v>
      </c>
      <c r="BH1002">
        <v>0</v>
      </c>
      <c r="BI1002">
        <v>0</v>
      </c>
      <c r="BJ1002">
        <v>3025</v>
      </c>
      <c r="BK1002">
        <v>-75</v>
      </c>
      <c r="BL1002" t="s">
        <v>188</v>
      </c>
      <c r="BM1002">
        <v>1</v>
      </c>
      <c r="BN1002">
        <v>1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 t="shared" si="397"/>
        <v>15:07:18.455</v>
      </c>
      <c r="CF1002">
        <v>454701555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4</v>
      </c>
      <c r="CY1002">
        <v>7</v>
      </c>
      <c r="CZ1002" t="s">
        <v>133</v>
      </c>
      <c r="DA1002">
        <v>275</v>
      </c>
      <c r="DB1002">
        <v>0</v>
      </c>
      <c r="DC1002" t="s">
        <v>134</v>
      </c>
      <c r="DD1002" t="s">
        <v>135</v>
      </c>
      <c r="DG1002">
        <v>3319613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"05/01/2025 15:07:18.702"</f>
        <v>05/01/2025 15:07:18.702</v>
      </c>
      <c r="C1003" t="str">
        <f t="shared" si="380"/>
        <v>FFDFD3C0</v>
      </c>
      <c r="D1003" t="s">
        <v>124</v>
      </c>
      <c r="E1003" t="str">
        <f>"06"</f>
        <v>06</v>
      </c>
      <c r="F1003">
        <v>2006</v>
      </c>
      <c r="G1003" t="s">
        <v>125</v>
      </c>
      <c r="J1003" t="s">
        <v>126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R1003" t="s">
        <v>127</v>
      </c>
      <c r="S1003" t="str">
        <f t="shared" si="396"/>
        <v>15:07:18.000</v>
      </c>
      <c r="T1003" t="str">
        <f t="shared" si="396"/>
        <v>15:07:18.000</v>
      </c>
      <c r="U1003" t="str">
        <f t="shared" si="382"/>
        <v>A68FCB</v>
      </c>
      <c r="V1003">
        <v>0</v>
      </c>
      <c r="W1003">
        <v>0</v>
      </c>
      <c r="X1003">
        <v>2</v>
      </c>
      <c r="Y1003">
        <v>0</v>
      </c>
      <c r="AA1003">
        <v>1</v>
      </c>
      <c r="AB1003">
        <v>8</v>
      </c>
      <c r="AC1003">
        <v>3</v>
      </c>
      <c r="AD1003">
        <v>0</v>
      </c>
      <c r="AE1003">
        <v>9</v>
      </c>
      <c r="AF1003" t="s">
        <v>138</v>
      </c>
      <c r="AG1003">
        <v>0</v>
      </c>
      <c r="AH1003">
        <v>3</v>
      </c>
      <c r="AI1003">
        <v>2</v>
      </c>
      <c r="AJ1003">
        <v>0</v>
      </c>
      <c r="AK1003" t="s">
        <v>417</v>
      </c>
      <c r="AL1003">
        <v>38.987195</v>
      </c>
      <c r="AM1003" t="s">
        <v>418</v>
      </c>
      <c r="AN1003">
        <v>-121.05262</v>
      </c>
      <c r="AO1003">
        <v>25</v>
      </c>
      <c r="AP1003">
        <v>3100</v>
      </c>
      <c r="AQ1003" t="s">
        <v>131</v>
      </c>
      <c r="AR1003">
        <v>-8</v>
      </c>
      <c r="AS1003">
        <v>87</v>
      </c>
      <c r="AT1003">
        <v>768</v>
      </c>
      <c r="BB1003" t="str">
        <f t="shared" si="383"/>
        <v>1200</v>
      </c>
      <c r="BC1003">
        <v>1</v>
      </c>
      <c r="BD1003" t="str">
        <f t="shared" si="384"/>
        <v xml:space="preserve">N52156  </v>
      </c>
      <c r="BE1003">
        <v>1</v>
      </c>
      <c r="BG1003">
        <v>0</v>
      </c>
      <c r="BH1003">
        <v>0</v>
      </c>
      <c r="BI1003">
        <v>0</v>
      </c>
      <c r="BJ1003">
        <v>3025</v>
      </c>
      <c r="BK1003">
        <v>-75</v>
      </c>
      <c r="BL1003" t="s">
        <v>188</v>
      </c>
      <c r="BM1003">
        <v>1</v>
      </c>
      <c r="BN1003">
        <v>1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 t="shared" si="397"/>
        <v>15:07:18.455</v>
      </c>
      <c r="CF1003">
        <v>454701555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4</v>
      </c>
      <c r="CY1003">
        <v>7</v>
      </c>
      <c r="CZ1003" t="s">
        <v>133</v>
      </c>
      <c r="DA1003">
        <v>275</v>
      </c>
      <c r="DB1003">
        <v>0</v>
      </c>
      <c r="DC1003" t="s">
        <v>134</v>
      </c>
      <c r="DD1003" t="s">
        <v>135</v>
      </c>
      <c r="DG1003">
        <v>3319613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"05/01/2025 15:07:19.964"</f>
        <v>05/01/2025 15:07:19.964</v>
      </c>
      <c r="C1004" t="str">
        <f t="shared" si="380"/>
        <v>FFDFD3C0</v>
      </c>
      <c r="D1004" t="s">
        <v>136</v>
      </c>
      <c r="E1004" t="str">
        <f>"20"</f>
        <v>20</v>
      </c>
      <c r="H1004">
        <v>400</v>
      </c>
      <c r="I1004" t="s">
        <v>137</v>
      </c>
      <c r="J1004" t="s">
        <v>138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R1004" t="s">
        <v>127</v>
      </c>
      <c r="S1004" t="str">
        <f t="shared" ref="S1004:T1009" si="398">"15:07:19.000"</f>
        <v>15:07:19.000</v>
      </c>
      <c r="T1004" t="str">
        <f t="shared" si="398"/>
        <v>15:07:19.000</v>
      </c>
      <c r="U1004" t="str">
        <f t="shared" si="382"/>
        <v>A68FCB</v>
      </c>
      <c r="V1004">
        <v>0</v>
      </c>
      <c r="W1004">
        <v>0</v>
      </c>
      <c r="X1004">
        <v>2</v>
      </c>
      <c r="Y1004">
        <v>0</v>
      </c>
      <c r="AA1004">
        <v>1</v>
      </c>
      <c r="AB1004">
        <v>8</v>
      </c>
      <c r="AC1004">
        <v>3</v>
      </c>
      <c r="AD1004">
        <v>0</v>
      </c>
      <c r="AE1004">
        <v>9</v>
      </c>
      <c r="AF1004" t="s">
        <v>138</v>
      </c>
      <c r="AG1004">
        <v>0</v>
      </c>
      <c r="AH1004">
        <v>3</v>
      </c>
      <c r="AI1004">
        <v>2</v>
      </c>
      <c r="AJ1004">
        <v>0</v>
      </c>
      <c r="AK1004" t="s">
        <v>419</v>
      </c>
      <c r="AL1004">
        <v>38.987582000000003</v>
      </c>
      <c r="AM1004" t="s">
        <v>420</v>
      </c>
      <c r="AN1004">
        <v>-121.052663</v>
      </c>
      <c r="AO1004">
        <v>25</v>
      </c>
      <c r="AP1004">
        <v>3100</v>
      </c>
      <c r="AQ1004" t="s">
        <v>131</v>
      </c>
      <c r="AR1004">
        <v>-8</v>
      </c>
      <c r="AS1004">
        <v>86</v>
      </c>
      <c r="AT1004">
        <v>768</v>
      </c>
      <c r="BB1004" t="str">
        <f t="shared" si="383"/>
        <v>1200</v>
      </c>
      <c r="BC1004">
        <v>1</v>
      </c>
      <c r="BD1004" t="str">
        <f t="shared" si="384"/>
        <v xml:space="preserve">N52156  </v>
      </c>
      <c r="BE1004">
        <v>1</v>
      </c>
      <c r="BG1004">
        <v>0</v>
      </c>
      <c r="BH1004">
        <v>0</v>
      </c>
      <c r="BI1004">
        <v>0</v>
      </c>
      <c r="BJ1004">
        <v>3075</v>
      </c>
      <c r="BK1004">
        <v>-25</v>
      </c>
      <c r="BL1004" t="s">
        <v>188</v>
      </c>
      <c r="BM1004">
        <v>1</v>
      </c>
      <c r="BN1004">
        <v>1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 t="shared" ref="CE1004:CE1009" si="399">"15:07:19.761"</f>
        <v>15:07:19.761</v>
      </c>
      <c r="CF1004">
        <v>760952268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3</v>
      </c>
      <c r="CY1004">
        <v>7</v>
      </c>
      <c r="CZ1004" t="s">
        <v>133</v>
      </c>
      <c r="DA1004">
        <v>275</v>
      </c>
      <c r="DB1004">
        <v>0</v>
      </c>
      <c r="DC1004" t="s">
        <v>134</v>
      </c>
      <c r="DD1004" t="s">
        <v>135</v>
      </c>
      <c r="DG1004">
        <v>3319625</v>
      </c>
      <c r="DI1004">
        <v>1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"05/01/2025 15:07:19.998"</f>
        <v>05/01/2025 15:07:19.998</v>
      </c>
      <c r="C1005" t="str">
        <f t="shared" si="380"/>
        <v>FFDFD3C0</v>
      </c>
      <c r="D1005" t="s">
        <v>140</v>
      </c>
      <c r="E1005" t="str">
        <f>"13"</f>
        <v>13</v>
      </c>
      <c r="F1005">
        <v>1019</v>
      </c>
      <c r="G1005" t="s">
        <v>141</v>
      </c>
      <c r="J1005" t="s">
        <v>142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R1005" t="s">
        <v>127</v>
      </c>
      <c r="S1005" t="str">
        <f t="shared" si="398"/>
        <v>15:07:19.000</v>
      </c>
      <c r="T1005" t="str">
        <f t="shared" si="398"/>
        <v>15:07:19.000</v>
      </c>
      <c r="U1005" t="str">
        <f t="shared" si="382"/>
        <v>A68FCB</v>
      </c>
      <c r="V1005">
        <v>0</v>
      </c>
      <c r="W1005">
        <v>0</v>
      </c>
      <c r="X1005">
        <v>2</v>
      </c>
      <c r="Y1005">
        <v>0</v>
      </c>
      <c r="AA1005">
        <v>1</v>
      </c>
      <c r="AB1005">
        <v>8</v>
      </c>
      <c r="AC1005">
        <v>3</v>
      </c>
      <c r="AD1005">
        <v>0</v>
      </c>
      <c r="AE1005">
        <v>9</v>
      </c>
      <c r="AF1005" t="s">
        <v>138</v>
      </c>
      <c r="AG1005">
        <v>0</v>
      </c>
      <c r="AH1005">
        <v>3</v>
      </c>
      <c r="AI1005">
        <v>2</v>
      </c>
      <c r="AJ1005">
        <v>0</v>
      </c>
      <c r="AK1005" t="s">
        <v>419</v>
      </c>
      <c r="AL1005">
        <v>38.987582000000003</v>
      </c>
      <c r="AM1005" t="s">
        <v>420</v>
      </c>
      <c r="AN1005">
        <v>-121.052663</v>
      </c>
      <c r="AO1005">
        <v>25</v>
      </c>
      <c r="AP1005">
        <v>3100</v>
      </c>
      <c r="AQ1005" t="s">
        <v>131</v>
      </c>
      <c r="AR1005">
        <v>-8</v>
      </c>
      <c r="AS1005">
        <v>86</v>
      </c>
      <c r="AT1005">
        <v>768</v>
      </c>
      <c r="BB1005" t="str">
        <f t="shared" si="383"/>
        <v>1200</v>
      </c>
      <c r="BC1005">
        <v>1</v>
      </c>
      <c r="BD1005" t="str">
        <f t="shared" si="384"/>
        <v xml:space="preserve">N52156  </v>
      </c>
      <c r="BE1005">
        <v>1</v>
      </c>
      <c r="BG1005">
        <v>0</v>
      </c>
      <c r="BH1005">
        <v>0</v>
      </c>
      <c r="BI1005">
        <v>0</v>
      </c>
      <c r="BJ1005">
        <v>3075</v>
      </c>
      <c r="BK1005">
        <v>-25</v>
      </c>
      <c r="BL1005" t="s">
        <v>188</v>
      </c>
      <c r="BM1005">
        <v>1</v>
      </c>
      <c r="BN1005">
        <v>1</v>
      </c>
      <c r="BO1005">
        <v>0</v>
      </c>
      <c r="BP1005">
        <v>0</v>
      </c>
      <c r="BS1005">
        <v>0</v>
      </c>
      <c r="BT1005">
        <v>0</v>
      </c>
      <c r="BU1005">
        <v>0</v>
      </c>
      <c r="CE1005" t="str">
        <f t="shared" si="399"/>
        <v>15:07:19.761</v>
      </c>
      <c r="CF1005">
        <v>760952268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3</v>
      </c>
      <c r="CY1005">
        <v>7</v>
      </c>
      <c r="CZ1005" t="s">
        <v>133</v>
      </c>
      <c r="DA1005">
        <v>275</v>
      </c>
      <c r="DB1005">
        <v>0</v>
      </c>
      <c r="DC1005" t="s">
        <v>134</v>
      </c>
      <c r="DD1005" t="s">
        <v>135</v>
      </c>
      <c r="DG1005">
        <v>3319625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"05/01/2025 15:07:20.002"</f>
        <v>05/01/2025 15:07:20.002</v>
      </c>
      <c r="C1006" t="str">
        <f t="shared" si="380"/>
        <v>FFDFD3C0</v>
      </c>
      <c r="D1006" t="s">
        <v>145</v>
      </c>
      <c r="E1006" t="str">
        <f>"05"</f>
        <v>05</v>
      </c>
      <c r="H1006">
        <v>47</v>
      </c>
      <c r="I1006" t="s">
        <v>146</v>
      </c>
      <c r="J1006" t="s">
        <v>138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R1006" t="s">
        <v>127</v>
      </c>
      <c r="S1006" t="str">
        <f t="shared" si="398"/>
        <v>15:07:19.000</v>
      </c>
      <c r="T1006" t="str">
        <f t="shared" si="398"/>
        <v>15:07:19.000</v>
      </c>
      <c r="U1006" t="str">
        <f t="shared" si="382"/>
        <v>A68FCB</v>
      </c>
      <c r="V1006">
        <v>0</v>
      </c>
      <c r="W1006">
        <v>0</v>
      </c>
      <c r="X1006">
        <v>2</v>
      </c>
      <c r="Y1006">
        <v>0</v>
      </c>
      <c r="AA1006">
        <v>1</v>
      </c>
      <c r="AB1006">
        <v>8</v>
      </c>
      <c r="AC1006">
        <v>3</v>
      </c>
      <c r="AD1006">
        <v>0</v>
      </c>
      <c r="AE1006">
        <v>9</v>
      </c>
      <c r="AF1006" t="s">
        <v>138</v>
      </c>
      <c r="AG1006">
        <v>0</v>
      </c>
      <c r="AH1006">
        <v>3</v>
      </c>
      <c r="AI1006">
        <v>2</v>
      </c>
      <c r="AJ1006">
        <v>0</v>
      </c>
      <c r="AK1006" t="s">
        <v>419</v>
      </c>
      <c r="AL1006">
        <v>38.987582000000003</v>
      </c>
      <c r="AM1006" t="s">
        <v>420</v>
      </c>
      <c r="AN1006">
        <v>-121.052663</v>
      </c>
      <c r="AO1006">
        <v>25</v>
      </c>
      <c r="AP1006">
        <v>3100</v>
      </c>
      <c r="AQ1006" t="s">
        <v>131</v>
      </c>
      <c r="AR1006">
        <v>-8</v>
      </c>
      <c r="AS1006">
        <v>86</v>
      </c>
      <c r="AT1006">
        <v>768</v>
      </c>
      <c r="BB1006" t="str">
        <f t="shared" si="383"/>
        <v>1200</v>
      </c>
      <c r="BC1006">
        <v>1</v>
      </c>
      <c r="BD1006" t="str">
        <f t="shared" si="384"/>
        <v xml:space="preserve">N52156  </v>
      </c>
      <c r="BE1006">
        <v>1</v>
      </c>
      <c r="BG1006">
        <v>0</v>
      </c>
      <c r="BH1006">
        <v>0</v>
      </c>
      <c r="BI1006">
        <v>0</v>
      </c>
      <c r="BJ1006">
        <v>3075</v>
      </c>
      <c r="BK1006">
        <v>-25</v>
      </c>
      <c r="BL1006" t="s">
        <v>188</v>
      </c>
      <c r="BM1006">
        <v>1</v>
      </c>
      <c r="BN1006">
        <v>1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 t="shared" si="399"/>
        <v>15:07:19.761</v>
      </c>
      <c r="CF1006">
        <v>760952268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3</v>
      </c>
      <c r="CY1006">
        <v>7</v>
      </c>
      <c r="CZ1006" t="s">
        <v>133</v>
      </c>
      <c r="DA1006">
        <v>275</v>
      </c>
      <c r="DB1006">
        <v>0</v>
      </c>
      <c r="DC1006" t="s">
        <v>134</v>
      </c>
      <c r="DD1006" t="s">
        <v>135</v>
      </c>
      <c r="DG1006">
        <v>3319625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"05/01/2025 15:07:20.004"</f>
        <v>05/01/2025 15:07:20.004</v>
      </c>
      <c r="C1007" t="str">
        <f t="shared" si="380"/>
        <v>FFDFD3C0</v>
      </c>
      <c r="D1007" t="s">
        <v>124</v>
      </c>
      <c r="E1007" t="str">
        <f>"06"</f>
        <v>06</v>
      </c>
      <c r="F1007">
        <v>2006</v>
      </c>
      <c r="G1007" t="s">
        <v>125</v>
      </c>
      <c r="J1007" t="s">
        <v>126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R1007" t="s">
        <v>127</v>
      </c>
      <c r="S1007" t="str">
        <f t="shared" si="398"/>
        <v>15:07:19.000</v>
      </c>
      <c r="T1007" t="str">
        <f t="shared" si="398"/>
        <v>15:07:19.000</v>
      </c>
      <c r="U1007" t="str">
        <f t="shared" si="382"/>
        <v>A68FCB</v>
      </c>
      <c r="V1007">
        <v>0</v>
      </c>
      <c r="W1007">
        <v>0</v>
      </c>
      <c r="X1007">
        <v>2</v>
      </c>
      <c r="Y1007">
        <v>0</v>
      </c>
      <c r="AA1007">
        <v>1</v>
      </c>
      <c r="AB1007">
        <v>8</v>
      </c>
      <c r="AC1007">
        <v>3</v>
      </c>
      <c r="AD1007">
        <v>0</v>
      </c>
      <c r="AE1007">
        <v>9</v>
      </c>
      <c r="AF1007" t="s">
        <v>138</v>
      </c>
      <c r="AG1007">
        <v>0</v>
      </c>
      <c r="AH1007">
        <v>3</v>
      </c>
      <c r="AI1007">
        <v>2</v>
      </c>
      <c r="AJ1007">
        <v>0</v>
      </c>
      <c r="AK1007" t="s">
        <v>419</v>
      </c>
      <c r="AL1007">
        <v>38.987582000000003</v>
      </c>
      <c r="AM1007" t="s">
        <v>420</v>
      </c>
      <c r="AN1007">
        <v>-121.052663</v>
      </c>
      <c r="AO1007">
        <v>25</v>
      </c>
      <c r="AP1007">
        <v>3100</v>
      </c>
      <c r="AQ1007" t="s">
        <v>131</v>
      </c>
      <c r="AR1007">
        <v>-8</v>
      </c>
      <c r="AS1007">
        <v>86</v>
      </c>
      <c r="AT1007">
        <v>768</v>
      </c>
      <c r="BB1007" t="str">
        <f t="shared" si="383"/>
        <v>1200</v>
      </c>
      <c r="BC1007">
        <v>1</v>
      </c>
      <c r="BD1007" t="str">
        <f t="shared" si="384"/>
        <v xml:space="preserve">N52156  </v>
      </c>
      <c r="BE1007">
        <v>1</v>
      </c>
      <c r="BG1007">
        <v>0</v>
      </c>
      <c r="BH1007">
        <v>0</v>
      </c>
      <c r="BI1007">
        <v>0</v>
      </c>
      <c r="BJ1007">
        <v>3075</v>
      </c>
      <c r="BK1007">
        <v>-25</v>
      </c>
      <c r="BL1007" t="s">
        <v>188</v>
      </c>
      <c r="BM1007">
        <v>1</v>
      </c>
      <c r="BN1007">
        <v>1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 t="shared" si="399"/>
        <v>15:07:19.761</v>
      </c>
      <c r="CF1007">
        <v>760952268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3</v>
      </c>
      <c r="CY1007">
        <v>7</v>
      </c>
      <c r="CZ1007" t="s">
        <v>133</v>
      </c>
      <c r="DA1007">
        <v>275</v>
      </c>
      <c r="DB1007">
        <v>0</v>
      </c>
      <c r="DC1007" t="s">
        <v>134</v>
      </c>
      <c r="DD1007" t="s">
        <v>135</v>
      </c>
      <c r="DG1007">
        <v>3319625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"05/01/2025 15:07:20.007"</f>
        <v>05/01/2025 15:07:20.007</v>
      </c>
      <c r="C1008" t="str">
        <f t="shared" si="380"/>
        <v>FFDFD3C0</v>
      </c>
      <c r="D1008" t="s">
        <v>143</v>
      </c>
      <c r="E1008" t="str">
        <f>"05"</f>
        <v>05</v>
      </c>
      <c r="H1008">
        <v>172</v>
      </c>
      <c r="I1008" t="s">
        <v>141</v>
      </c>
      <c r="J1008" t="s">
        <v>144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R1008" t="s">
        <v>127</v>
      </c>
      <c r="S1008" t="str">
        <f t="shared" si="398"/>
        <v>15:07:19.000</v>
      </c>
      <c r="T1008" t="str">
        <f t="shared" si="398"/>
        <v>15:07:19.000</v>
      </c>
      <c r="U1008" t="str">
        <f t="shared" si="382"/>
        <v>A68FCB</v>
      </c>
      <c r="V1008">
        <v>0</v>
      </c>
      <c r="W1008">
        <v>0</v>
      </c>
      <c r="X1008">
        <v>2</v>
      </c>
      <c r="Y1008">
        <v>0</v>
      </c>
      <c r="AA1008">
        <v>1</v>
      </c>
      <c r="AB1008">
        <v>8</v>
      </c>
      <c r="AC1008">
        <v>3</v>
      </c>
      <c r="AD1008">
        <v>0</v>
      </c>
      <c r="AE1008">
        <v>9</v>
      </c>
      <c r="AF1008" t="s">
        <v>138</v>
      </c>
      <c r="AG1008">
        <v>0</v>
      </c>
      <c r="AH1008">
        <v>3</v>
      </c>
      <c r="AI1008">
        <v>2</v>
      </c>
      <c r="AJ1008">
        <v>0</v>
      </c>
      <c r="AK1008" t="s">
        <v>419</v>
      </c>
      <c r="AL1008">
        <v>38.987582000000003</v>
      </c>
      <c r="AM1008" t="s">
        <v>420</v>
      </c>
      <c r="AN1008">
        <v>-121.052663</v>
      </c>
      <c r="AO1008">
        <v>25</v>
      </c>
      <c r="AP1008">
        <v>3100</v>
      </c>
      <c r="AQ1008" t="s">
        <v>131</v>
      </c>
      <c r="AR1008">
        <v>-8</v>
      </c>
      <c r="AS1008">
        <v>86</v>
      </c>
      <c r="AT1008">
        <v>768</v>
      </c>
      <c r="BB1008" t="str">
        <f t="shared" si="383"/>
        <v>1200</v>
      </c>
      <c r="BC1008">
        <v>1</v>
      </c>
      <c r="BD1008" t="str">
        <f t="shared" si="384"/>
        <v xml:space="preserve">N52156  </v>
      </c>
      <c r="BE1008">
        <v>1</v>
      </c>
      <c r="BG1008">
        <v>0</v>
      </c>
      <c r="BH1008">
        <v>0</v>
      </c>
      <c r="BI1008">
        <v>0</v>
      </c>
      <c r="BJ1008">
        <v>3075</v>
      </c>
      <c r="BK1008">
        <v>-25</v>
      </c>
      <c r="BL1008" t="s">
        <v>188</v>
      </c>
      <c r="BM1008">
        <v>1</v>
      </c>
      <c r="BN1008">
        <v>1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 t="shared" si="399"/>
        <v>15:07:19.761</v>
      </c>
      <c r="CF1008">
        <v>760952268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3</v>
      </c>
      <c r="CY1008">
        <v>7</v>
      </c>
      <c r="CZ1008" t="s">
        <v>133</v>
      </c>
      <c r="DA1008">
        <v>275</v>
      </c>
      <c r="DB1008">
        <v>0</v>
      </c>
      <c r="DC1008" t="s">
        <v>134</v>
      </c>
      <c r="DD1008" t="s">
        <v>135</v>
      </c>
      <c r="DG1008">
        <v>3319625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"05/01/2025 15:07:20.007"</f>
        <v>05/01/2025 15:07:20.007</v>
      </c>
      <c r="C1009" t="str">
        <f t="shared" si="380"/>
        <v>FFDFD3C0</v>
      </c>
      <c r="D1009" t="s">
        <v>145</v>
      </c>
      <c r="E1009" t="str">
        <f>"09"</f>
        <v>09</v>
      </c>
      <c r="H1009">
        <v>51</v>
      </c>
      <c r="I1009" t="s">
        <v>147</v>
      </c>
      <c r="J1009" t="s">
        <v>138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R1009" t="s">
        <v>127</v>
      </c>
      <c r="S1009" t="str">
        <f t="shared" si="398"/>
        <v>15:07:19.000</v>
      </c>
      <c r="T1009" t="str">
        <f t="shared" si="398"/>
        <v>15:07:19.000</v>
      </c>
      <c r="U1009" t="str">
        <f t="shared" si="382"/>
        <v>A68FCB</v>
      </c>
      <c r="V1009">
        <v>0</v>
      </c>
      <c r="W1009">
        <v>0</v>
      </c>
      <c r="X1009">
        <v>2</v>
      </c>
      <c r="Y1009">
        <v>0</v>
      </c>
      <c r="AA1009">
        <v>1</v>
      </c>
      <c r="AB1009">
        <v>8</v>
      </c>
      <c r="AC1009">
        <v>3</v>
      </c>
      <c r="AD1009">
        <v>0</v>
      </c>
      <c r="AE1009">
        <v>9</v>
      </c>
      <c r="AF1009" t="s">
        <v>138</v>
      </c>
      <c r="AG1009">
        <v>0</v>
      </c>
      <c r="AH1009">
        <v>3</v>
      </c>
      <c r="AI1009">
        <v>2</v>
      </c>
      <c r="AJ1009">
        <v>0</v>
      </c>
      <c r="AK1009" t="s">
        <v>419</v>
      </c>
      <c r="AL1009">
        <v>38.987582000000003</v>
      </c>
      <c r="AM1009" t="s">
        <v>420</v>
      </c>
      <c r="AN1009">
        <v>-121.052663</v>
      </c>
      <c r="AO1009">
        <v>25</v>
      </c>
      <c r="AP1009">
        <v>3100</v>
      </c>
      <c r="AQ1009" t="s">
        <v>131</v>
      </c>
      <c r="AR1009">
        <v>-8</v>
      </c>
      <c r="AS1009">
        <v>86</v>
      </c>
      <c r="AT1009">
        <v>768</v>
      </c>
      <c r="BB1009" t="str">
        <f t="shared" si="383"/>
        <v>1200</v>
      </c>
      <c r="BC1009">
        <v>1</v>
      </c>
      <c r="BD1009" t="str">
        <f t="shared" si="384"/>
        <v xml:space="preserve">N52156  </v>
      </c>
      <c r="BE1009">
        <v>1</v>
      </c>
      <c r="BG1009">
        <v>0</v>
      </c>
      <c r="BH1009">
        <v>0</v>
      </c>
      <c r="BI1009">
        <v>0</v>
      </c>
      <c r="BJ1009">
        <v>3075</v>
      </c>
      <c r="BK1009">
        <v>-25</v>
      </c>
      <c r="BL1009" t="s">
        <v>188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 t="shared" si="399"/>
        <v>15:07:19.761</v>
      </c>
      <c r="CF1009">
        <v>760952268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3</v>
      </c>
      <c r="CY1009">
        <v>7</v>
      </c>
      <c r="CZ1009" t="s">
        <v>133</v>
      </c>
      <c r="DA1009">
        <v>275</v>
      </c>
      <c r="DB1009">
        <v>0</v>
      </c>
      <c r="DC1009" t="s">
        <v>134</v>
      </c>
      <c r="DD1009" t="s">
        <v>135</v>
      </c>
      <c r="DG1009">
        <v>3319625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"05/01/2025 15:07:20.599"</f>
        <v>05/01/2025 15:07:20.599</v>
      </c>
      <c r="C1010" t="str">
        <f t="shared" si="380"/>
        <v>FFDFD3C0</v>
      </c>
      <c r="D1010" t="s">
        <v>140</v>
      </c>
      <c r="E1010" t="str">
        <f>"13"</f>
        <v>13</v>
      </c>
      <c r="F1010">
        <v>1019</v>
      </c>
      <c r="G1010" t="s">
        <v>141</v>
      </c>
      <c r="J1010" t="s">
        <v>142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R1010" t="s">
        <v>127</v>
      </c>
      <c r="S1010" t="str">
        <f t="shared" ref="S1010:T1015" si="400">"15:07:20.000"</f>
        <v>15:07:20.000</v>
      </c>
      <c r="T1010" t="str">
        <f t="shared" si="400"/>
        <v>15:07:20.000</v>
      </c>
      <c r="U1010" t="str">
        <f t="shared" si="382"/>
        <v>A68FCB</v>
      </c>
      <c r="V1010">
        <v>0</v>
      </c>
      <c r="W1010">
        <v>0</v>
      </c>
      <c r="X1010">
        <v>2</v>
      </c>
      <c r="Y1010">
        <v>0</v>
      </c>
      <c r="AA1010">
        <v>1</v>
      </c>
      <c r="AB1010">
        <v>8</v>
      </c>
      <c r="AC1010">
        <v>3</v>
      </c>
      <c r="AD1010">
        <v>0</v>
      </c>
      <c r="AE1010">
        <v>9</v>
      </c>
      <c r="AF1010" t="s">
        <v>138</v>
      </c>
      <c r="AG1010">
        <v>0</v>
      </c>
      <c r="AH1010">
        <v>3</v>
      </c>
      <c r="AI1010">
        <v>2</v>
      </c>
      <c r="AJ1010">
        <v>0</v>
      </c>
      <c r="AK1010" t="s">
        <v>421</v>
      </c>
      <c r="AL1010">
        <v>38.987988999999999</v>
      </c>
      <c r="AM1010" t="s">
        <v>266</v>
      </c>
      <c r="AN1010">
        <v>-121.052728</v>
      </c>
      <c r="AO1010">
        <v>25</v>
      </c>
      <c r="AP1010">
        <v>3100</v>
      </c>
      <c r="AQ1010" t="s">
        <v>131</v>
      </c>
      <c r="AR1010">
        <v>-8</v>
      </c>
      <c r="AS1010">
        <v>86</v>
      </c>
      <c r="AT1010">
        <v>768</v>
      </c>
      <c r="BB1010" t="str">
        <f t="shared" si="383"/>
        <v>1200</v>
      </c>
      <c r="BC1010">
        <v>1</v>
      </c>
      <c r="BD1010" t="str">
        <f t="shared" si="384"/>
        <v xml:space="preserve">N52156  </v>
      </c>
      <c r="BE1010">
        <v>1</v>
      </c>
      <c r="BG1010">
        <v>0</v>
      </c>
      <c r="BH1010">
        <v>0</v>
      </c>
      <c r="BI1010">
        <v>0</v>
      </c>
      <c r="BJ1010">
        <v>3075</v>
      </c>
      <c r="BK1010">
        <v>-25</v>
      </c>
      <c r="BL1010" t="s">
        <v>188</v>
      </c>
      <c r="BM1010">
        <v>1</v>
      </c>
      <c r="BN1010">
        <v>1</v>
      </c>
      <c r="BO1010">
        <v>0</v>
      </c>
      <c r="BP1010">
        <v>0</v>
      </c>
      <c r="BS1010">
        <v>0</v>
      </c>
      <c r="BT1010">
        <v>0</v>
      </c>
      <c r="BU1010">
        <v>0</v>
      </c>
      <c r="CE1010" t="str">
        <f t="shared" ref="CE1010:CE1015" si="401">"15:07:20.372"</f>
        <v>15:07:20.372</v>
      </c>
      <c r="CF1010">
        <v>371951408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133</v>
      </c>
      <c r="DA1010">
        <v>275</v>
      </c>
      <c r="DB1010">
        <v>0</v>
      </c>
      <c r="DC1010" t="s">
        <v>134</v>
      </c>
      <c r="DD1010" t="s">
        <v>135</v>
      </c>
      <c r="DG1010">
        <v>3319630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"05/01/2025 15:07:20.603"</f>
        <v>05/01/2025 15:07:20.603</v>
      </c>
      <c r="C1011" t="str">
        <f t="shared" si="380"/>
        <v>FFDFD3C0</v>
      </c>
      <c r="D1011" t="s">
        <v>145</v>
      </c>
      <c r="E1011" t="str">
        <f>"05"</f>
        <v>05</v>
      </c>
      <c r="H1011">
        <v>47</v>
      </c>
      <c r="I1011" t="s">
        <v>146</v>
      </c>
      <c r="J1011" t="s">
        <v>138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R1011" t="s">
        <v>127</v>
      </c>
      <c r="S1011" t="str">
        <f t="shared" si="400"/>
        <v>15:07:20.000</v>
      </c>
      <c r="T1011" t="str">
        <f t="shared" si="400"/>
        <v>15:07:20.000</v>
      </c>
      <c r="U1011" t="str">
        <f t="shared" si="382"/>
        <v>A68FCB</v>
      </c>
      <c r="V1011">
        <v>0</v>
      </c>
      <c r="W1011">
        <v>0</v>
      </c>
      <c r="X1011">
        <v>2</v>
      </c>
      <c r="Y1011">
        <v>0</v>
      </c>
      <c r="AA1011">
        <v>1</v>
      </c>
      <c r="AB1011">
        <v>8</v>
      </c>
      <c r="AC1011">
        <v>3</v>
      </c>
      <c r="AD1011">
        <v>0</v>
      </c>
      <c r="AE1011">
        <v>9</v>
      </c>
      <c r="AF1011" t="s">
        <v>138</v>
      </c>
      <c r="AG1011">
        <v>0</v>
      </c>
      <c r="AH1011">
        <v>3</v>
      </c>
      <c r="AI1011">
        <v>2</v>
      </c>
      <c r="AJ1011">
        <v>0</v>
      </c>
      <c r="AK1011" t="s">
        <v>421</v>
      </c>
      <c r="AL1011">
        <v>38.987988999999999</v>
      </c>
      <c r="AM1011" t="s">
        <v>266</v>
      </c>
      <c r="AN1011">
        <v>-121.052728</v>
      </c>
      <c r="AO1011">
        <v>25</v>
      </c>
      <c r="AP1011">
        <v>3100</v>
      </c>
      <c r="AQ1011" t="s">
        <v>131</v>
      </c>
      <c r="AR1011">
        <v>-8</v>
      </c>
      <c r="AS1011">
        <v>86</v>
      </c>
      <c r="AT1011">
        <v>768</v>
      </c>
      <c r="BB1011" t="str">
        <f t="shared" si="383"/>
        <v>1200</v>
      </c>
      <c r="BC1011">
        <v>1</v>
      </c>
      <c r="BD1011" t="str">
        <f t="shared" si="384"/>
        <v xml:space="preserve">N52156  </v>
      </c>
      <c r="BE1011">
        <v>1</v>
      </c>
      <c r="BG1011">
        <v>0</v>
      </c>
      <c r="BH1011">
        <v>0</v>
      </c>
      <c r="BI1011">
        <v>0</v>
      </c>
      <c r="BJ1011">
        <v>3075</v>
      </c>
      <c r="BK1011">
        <v>-25</v>
      </c>
      <c r="BL1011" t="s">
        <v>188</v>
      </c>
      <c r="BM1011">
        <v>1</v>
      </c>
      <c r="BN1011">
        <v>1</v>
      </c>
      <c r="BO1011">
        <v>0</v>
      </c>
      <c r="BP1011">
        <v>0</v>
      </c>
      <c r="BS1011">
        <v>0</v>
      </c>
      <c r="BT1011">
        <v>0</v>
      </c>
      <c r="BU1011">
        <v>0</v>
      </c>
      <c r="CE1011" t="str">
        <f t="shared" si="401"/>
        <v>15:07:20.372</v>
      </c>
      <c r="CF1011">
        <v>371951408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133</v>
      </c>
      <c r="DA1011">
        <v>275</v>
      </c>
      <c r="DB1011">
        <v>0</v>
      </c>
      <c r="DC1011" t="s">
        <v>134</v>
      </c>
      <c r="DD1011" t="s">
        <v>135</v>
      </c>
      <c r="DG1011">
        <v>3319630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"05/01/2025 15:07:20.606"</f>
        <v>05/01/2025 15:07:20.606</v>
      </c>
      <c r="C1012" t="str">
        <f t="shared" si="380"/>
        <v>FFDFD3C0</v>
      </c>
      <c r="D1012" t="s">
        <v>124</v>
      </c>
      <c r="E1012" t="str">
        <f>"06"</f>
        <v>06</v>
      </c>
      <c r="F1012">
        <v>2006</v>
      </c>
      <c r="G1012" t="s">
        <v>125</v>
      </c>
      <c r="J1012" t="s">
        <v>126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R1012" t="s">
        <v>127</v>
      </c>
      <c r="S1012" t="str">
        <f t="shared" si="400"/>
        <v>15:07:20.000</v>
      </c>
      <c r="T1012" t="str">
        <f t="shared" si="400"/>
        <v>15:07:20.000</v>
      </c>
      <c r="U1012" t="str">
        <f t="shared" si="382"/>
        <v>A68FCB</v>
      </c>
      <c r="V1012">
        <v>0</v>
      </c>
      <c r="W1012">
        <v>0</v>
      </c>
      <c r="X1012">
        <v>2</v>
      </c>
      <c r="Y1012">
        <v>0</v>
      </c>
      <c r="AA1012">
        <v>1</v>
      </c>
      <c r="AB1012">
        <v>8</v>
      </c>
      <c r="AC1012">
        <v>3</v>
      </c>
      <c r="AD1012">
        <v>0</v>
      </c>
      <c r="AE1012">
        <v>9</v>
      </c>
      <c r="AF1012" t="s">
        <v>138</v>
      </c>
      <c r="AG1012">
        <v>0</v>
      </c>
      <c r="AH1012">
        <v>3</v>
      </c>
      <c r="AI1012">
        <v>2</v>
      </c>
      <c r="AJ1012">
        <v>0</v>
      </c>
      <c r="AK1012" t="s">
        <v>421</v>
      </c>
      <c r="AL1012">
        <v>38.987988999999999</v>
      </c>
      <c r="AM1012" t="s">
        <v>266</v>
      </c>
      <c r="AN1012">
        <v>-121.052728</v>
      </c>
      <c r="AO1012">
        <v>25</v>
      </c>
      <c r="AP1012">
        <v>3100</v>
      </c>
      <c r="AQ1012" t="s">
        <v>131</v>
      </c>
      <c r="AR1012">
        <v>-8</v>
      </c>
      <c r="AS1012">
        <v>86</v>
      </c>
      <c r="AT1012">
        <v>768</v>
      </c>
      <c r="BB1012" t="str">
        <f t="shared" si="383"/>
        <v>1200</v>
      </c>
      <c r="BC1012">
        <v>1</v>
      </c>
      <c r="BD1012" t="str">
        <f t="shared" si="384"/>
        <v xml:space="preserve">N52156  </v>
      </c>
      <c r="BE1012">
        <v>1</v>
      </c>
      <c r="BG1012">
        <v>0</v>
      </c>
      <c r="BH1012">
        <v>0</v>
      </c>
      <c r="BI1012">
        <v>0</v>
      </c>
      <c r="BJ1012">
        <v>3075</v>
      </c>
      <c r="BK1012">
        <v>-25</v>
      </c>
      <c r="BL1012" t="s">
        <v>188</v>
      </c>
      <c r="BM1012">
        <v>1</v>
      </c>
      <c r="BN1012">
        <v>1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 t="shared" si="401"/>
        <v>15:07:20.372</v>
      </c>
      <c r="CF1012">
        <v>371951408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133</v>
      </c>
      <c r="DA1012">
        <v>275</v>
      </c>
      <c r="DB1012">
        <v>0</v>
      </c>
      <c r="DC1012" t="s">
        <v>134</v>
      </c>
      <c r="DD1012" t="s">
        <v>135</v>
      </c>
      <c r="DG1012">
        <v>3319630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"05/01/2025 15:07:20.608"</f>
        <v>05/01/2025 15:07:20.608</v>
      </c>
      <c r="C1013" t="str">
        <f t="shared" si="380"/>
        <v>FFDFD3C0</v>
      </c>
      <c r="D1013" t="s">
        <v>143</v>
      </c>
      <c r="E1013" t="str">
        <f>"05"</f>
        <v>05</v>
      </c>
      <c r="H1013">
        <v>172</v>
      </c>
      <c r="I1013" t="s">
        <v>141</v>
      </c>
      <c r="J1013" t="s">
        <v>144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R1013" t="s">
        <v>127</v>
      </c>
      <c r="S1013" t="str">
        <f t="shared" si="400"/>
        <v>15:07:20.000</v>
      </c>
      <c r="T1013" t="str">
        <f t="shared" si="400"/>
        <v>15:07:20.000</v>
      </c>
      <c r="U1013" t="str">
        <f t="shared" si="382"/>
        <v>A68FCB</v>
      </c>
      <c r="V1013">
        <v>0</v>
      </c>
      <c r="W1013">
        <v>0</v>
      </c>
      <c r="X1013">
        <v>2</v>
      </c>
      <c r="Y1013">
        <v>0</v>
      </c>
      <c r="AA1013">
        <v>1</v>
      </c>
      <c r="AB1013">
        <v>8</v>
      </c>
      <c r="AC1013">
        <v>3</v>
      </c>
      <c r="AD1013">
        <v>0</v>
      </c>
      <c r="AE1013">
        <v>9</v>
      </c>
      <c r="AF1013" t="s">
        <v>138</v>
      </c>
      <c r="AG1013">
        <v>0</v>
      </c>
      <c r="AH1013">
        <v>3</v>
      </c>
      <c r="AI1013">
        <v>2</v>
      </c>
      <c r="AJ1013">
        <v>0</v>
      </c>
      <c r="AK1013" t="s">
        <v>421</v>
      </c>
      <c r="AL1013">
        <v>38.987988999999999</v>
      </c>
      <c r="AM1013" t="s">
        <v>266</v>
      </c>
      <c r="AN1013">
        <v>-121.052728</v>
      </c>
      <c r="AO1013">
        <v>25</v>
      </c>
      <c r="AP1013">
        <v>3100</v>
      </c>
      <c r="AQ1013" t="s">
        <v>131</v>
      </c>
      <c r="AR1013">
        <v>-8</v>
      </c>
      <c r="AS1013">
        <v>86</v>
      </c>
      <c r="AT1013">
        <v>768</v>
      </c>
      <c r="BB1013" t="str">
        <f t="shared" si="383"/>
        <v>1200</v>
      </c>
      <c r="BC1013">
        <v>1</v>
      </c>
      <c r="BD1013" t="str">
        <f t="shared" si="384"/>
        <v xml:space="preserve">N52156  </v>
      </c>
      <c r="BE1013">
        <v>1</v>
      </c>
      <c r="BG1013">
        <v>0</v>
      </c>
      <c r="BH1013">
        <v>0</v>
      </c>
      <c r="BI1013">
        <v>0</v>
      </c>
      <c r="BJ1013">
        <v>3075</v>
      </c>
      <c r="BK1013">
        <v>-25</v>
      </c>
      <c r="BL1013" t="s">
        <v>188</v>
      </c>
      <c r="BM1013">
        <v>1</v>
      </c>
      <c r="BN1013">
        <v>1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 t="shared" si="401"/>
        <v>15:07:20.372</v>
      </c>
      <c r="CF1013">
        <v>371951408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133</v>
      </c>
      <c r="DA1013">
        <v>275</v>
      </c>
      <c r="DB1013">
        <v>0</v>
      </c>
      <c r="DC1013" t="s">
        <v>134</v>
      </c>
      <c r="DD1013" t="s">
        <v>135</v>
      </c>
      <c r="DG1013">
        <v>3319630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"05/01/2025 15:07:20.608"</f>
        <v>05/01/2025 15:07:20.608</v>
      </c>
      <c r="C1014" t="str">
        <f t="shared" si="380"/>
        <v>FFDFD3C0</v>
      </c>
      <c r="D1014" t="s">
        <v>145</v>
      </c>
      <c r="E1014" t="str">
        <f>"09"</f>
        <v>09</v>
      </c>
      <c r="H1014">
        <v>51</v>
      </c>
      <c r="I1014" t="s">
        <v>147</v>
      </c>
      <c r="J1014" t="s">
        <v>138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R1014" t="s">
        <v>127</v>
      </c>
      <c r="S1014" t="str">
        <f t="shared" si="400"/>
        <v>15:07:20.000</v>
      </c>
      <c r="T1014" t="str">
        <f t="shared" si="400"/>
        <v>15:07:20.000</v>
      </c>
      <c r="U1014" t="str">
        <f t="shared" si="382"/>
        <v>A68FCB</v>
      </c>
      <c r="V1014">
        <v>0</v>
      </c>
      <c r="W1014">
        <v>0</v>
      </c>
      <c r="X1014">
        <v>2</v>
      </c>
      <c r="Y1014">
        <v>0</v>
      </c>
      <c r="AA1014">
        <v>1</v>
      </c>
      <c r="AB1014">
        <v>8</v>
      </c>
      <c r="AC1014">
        <v>3</v>
      </c>
      <c r="AD1014">
        <v>0</v>
      </c>
      <c r="AE1014">
        <v>9</v>
      </c>
      <c r="AF1014" t="s">
        <v>138</v>
      </c>
      <c r="AG1014">
        <v>0</v>
      </c>
      <c r="AH1014">
        <v>3</v>
      </c>
      <c r="AI1014">
        <v>2</v>
      </c>
      <c r="AJ1014">
        <v>0</v>
      </c>
      <c r="AK1014" t="s">
        <v>421</v>
      </c>
      <c r="AL1014">
        <v>38.987988999999999</v>
      </c>
      <c r="AM1014" t="s">
        <v>266</v>
      </c>
      <c r="AN1014">
        <v>-121.052728</v>
      </c>
      <c r="AO1014">
        <v>25</v>
      </c>
      <c r="AP1014">
        <v>3100</v>
      </c>
      <c r="AQ1014" t="s">
        <v>131</v>
      </c>
      <c r="AR1014">
        <v>-8</v>
      </c>
      <c r="AS1014">
        <v>86</v>
      </c>
      <c r="AT1014">
        <v>768</v>
      </c>
      <c r="BB1014" t="str">
        <f t="shared" si="383"/>
        <v>1200</v>
      </c>
      <c r="BC1014">
        <v>1</v>
      </c>
      <c r="BD1014" t="str">
        <f t="shared" si="384"/>
        <v xml:space="preserve">N52156  </v>
      </c>
      <c r="BE1014">
        <v>1</v>
      </c>
      <c r="BG1014">
        <v>0</v>
      </c>
      <c r="BH1014">
        <v>0</v>
      </c>
      <c r="BI1014">
        <v>0</v>
      </c>
      <c r="BJ1014">
        <v>3075</v>
      </c>
      <c r="BK1014">
        <v>-25</v>
      </c>
      <c r="BL1014" t="s">
        <v>188</v>
      </c>
      <c r="BM1014">
        <v>1</v>
      </c>
      <c r="BN1014">
        <v>1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 t="shared" si="401"/>
        <v>15:07:20.372</v>
      </c>
      <c r="CF1014">
        <v>371951408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133</v>
      </c>
      <c r="DA1014">
        <v>275</v>
      </c>
      <c r="DB1014">
        <v>0</v>
      </c>
      <c r="DC1014" t="s">
        <v>134</v>
      </c>
      <c r="DD1014" t="s">
        <v>135</v>
      </c>
      <c r="DG1014">
        <v>3319630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"05/01/2025 15:07:20.615"</f>
        <v>05/01/2025 15:07:20.615</v>
      </c>
      <c r="C1015" t="str">
        <f t="shared" si="380"/>
        <v>FFDFD3C0</v>
      </c>
      <c r="D1015" t="s">
        <v>136</v>
      </c>
      <c r="E1015" t="str">
        <f>"20"</f>
        <v>20</v>
      </c>
      <c r="H1015">
        <v>400</v>
      </c>
      <c r="I1015" t="s">
        <v>137</v>
      </c>
      <c r="J1015" t="s">
        <v>138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R1015" t="s">
        <v>127</v>
      </c>
      <c r="S1015" t="str">
        <f t="shared" si="400"/>
        <v>15:07:20.000</v>
      </c>
      <c r="T1015" t="str">
        <f t="shared" si="400"/>
        <v>15:07:20.000</v>
      </c>
      <c r="U1015" t="str">
        <f t="shared" si="382"/>
        <v>A68FCB</v>
      </c>
      <c r="V1015">
        <v>0</v>
      </c>
      <c r="W1015">
        <v>0</v>
      </c>
      <c r="X1015">
        <v>2</v>
      </c>
      <c r="Y1015">
        <v>0</v>
      </c>
      <c r="AA1015">
        <v>1</v>
      </c>
      <c r="AB1015">
        <v>8</v>
      </c>
      <c r="AC1015">
        <v>3</v>
      </c>
      <c r="AD1015">
        <v>0</v>
      </c>
      <c r="AE1015">
        <v>9</v>
      </c>
      <c r="AF1015" t="s">
        <v>138</v>
      </c>
      <c r="AG1015">
        <v>0</v>
      </c>
      <c r="AH1015">
        <v>3</v>
      </c>
      <c r="AI1015">
        <v>2</v>
      </c>
      <c r="AJ1015">
        <v>0</v>
      </c>
      <c r="AK1015" t="s">
        <v>421</v>
      </c>
      <c r="AL1015">
        <v>38.987988999999999</v>
      </c>
      <c r="AM1015" t="s">
        <v>266</v>
      </c>
      <c r="AN1015">
        <v>-121.052728</v>
      </c>
      <c r="AO1015">
        <v>25</v>
      </c>
      <c r="AP1015">
        <v>3100</v>
      </c>
      <c r="AQ1015" t="s">
        <v>131</v>
      </c>
      <c r="AR1015">
        <v>-8</v>
      </c>
      <c r="AS1015">
        <v>86</v>
      </c>
      <c r="AT1015">
        <v>768</v>
      </c>
      <c r="BB1015" t="str">
        <f t="shared" si="383"/>
        <v>1200</v>
      </c>
      <c r="BC1015">
        <v>1</v>
      </c>
      <c r="BD1015" t="str">
        <f t="shared" si="384"/>
        <v xml:space="preserve">N52156  </v>
      </c>
      <c r="BE1015">
        <v>1</v>
      </c>
      <c r="BG1015">
        <v>0</v>
      </c>
      <c r="BH1015">
        <v>0</v>
      </c>
      <c r="BI1015">
        <v>0</v>
      </c>
      <c r="BJ1015">
        <v>3075</v>
      </c>
      <c r="BK1015">
        <v>-25</v>
      </c>
      <c r="BL1015" t="s">
        <v>188</v>
      </c>
      <c r="BM1015">
        <v>1</v>
      </c>
      <c r="BN1015">
        <v>1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 t="shared" si="401"/>
        <v>15:07:20.372</v>
      </c>
      <c r="CF1015">
        <v>371951408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5</v>
      </c>
      <c r="CY1015">
        <v>7</v>
      </c>
      <c r="CZ1015" t="s">
        <v>133</v>
      </c>
      <c r="DA1015">
        <v>275</v>
      </c>
      <c r="DB1015">
        <v>0</v>
      </c>
      <c r="DC1015" t="s">
        <v>134</v>
      </c>
      <c r="DD1015" t="s">
        <v>135</v>
      </c>
      <c r="DG1015">
        <v>3319630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"05/01/2025 15:07:22.101"</f>
        <v>05/01/2025 15:07:22.101</v>
      </c>
      <c r="C1016" t="str">
        <f t="shared" si="380"/>
        <v>FFDFD3C0</v>
      </c>
      <c r="D1016" t="s">
        <v>140</v>
      </c>
      <c r="E1016" t="str">
        <f>"13"</f>
        <v>13</v>
      </c>
      <c r="F1016">
        <v>1019</v>
      </c>
      <c r="G1016" t="s">
        <v>141</v>
      </c>
      <c r="J1016" t="s">
        <v>142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R1016" t="s">
        <v>127</v>
      </c>
      <c r="S1016" t="str">
        <f t="shared" ref="S1016:T1021" si="402">"15:07:21.000"</f>
        <v>15:07:21.000</v>
      </c>
      <c r="T1016" t="str">
        <f t="shared" si="402"/>
        <v>15:07:21.000</v>
      </c>
      <c r="U1016" t="str">
        <f t="shared" si="382"/>
        <v>A68FCB</v>
      </c>
      <c r="V1016">
        <v>0</v>
      </c>
      <c r="W1016">
        <v>0</v>
      </c>
      <c r="X1016">
        <v>2</v>
      </c>
      <c r="Y1016">
        <v>0</v>
      </c>
      <c r="AA1016">
        <v>1</v>
      </c>
      <c r="AB1016">
        <v>8</v>
      </c>
      <c r="AC1016">
        <v>3</v>
      </c>
      <c r="AD1016">
        <v>0</v>
      </c>
      <c r="AE1016">
        <v>9</v>
      </c>
      <c r="AF1016" t="s">
        <v>138</v>
      </c>
      <c r="AG1016">
        <v>0</v>
      </c>
      <c r="AH1016">
        <v>3</v>
      </c>
      <c r="AI1016">
        <v>2</v>
      </c>
      <c r="AJ1016">
        <v>0</v>
      </c>
      <c r="AK1016" t="s">
        <v>422</v>
      </c>
      <c r="AL1016">
        <v>38.988376000000002</v>
      </c>
      <c r="AM1016" t="s">
        <v>423</v>
      </c>
      <c r="AN1016">
        <v>-121.05274900000001</v>
      </c>
      <c r="AO1016">
        <v>25</v>
      </c>
      <c r="AP1016">
        <v>3100</v>
      </c>
      <c r="AQ1016" t="s">
        <v>131</v>
      </c>
      <c r="AR1016">
        <v>-7</v>
      </c>
      <c r="AS1016">
        <v>85</v>
      </c>
      <c r="AT1016">
        <v>704</v>
      </c>
      <c r="BB1016" t="str">
        <f t="shared" si="383"/>
        <v>1200</v>
      </c>
      <c r="BC1016">
        <v>1</v>
      </c>
      <c r="BD1016" t="str">
        <f t="shared" si="384"/>
        <v xml:space="preserve">N52156  </v>
      </c>
      <c r="BE1016">
        <v>1</v>
      </c>
      <c r="BG1016">
        <v>0</v>
      </c>
      <c r="BH1016">
        <v>0</v>
      </c>
      <c r="BI1016">
        <v>0</v>
      </c>
      <c r="BJ1016">
        <v>3100</v>
      </c>
      <c r="BK1016">
        <v>0</v>
      </c>
      <c r="BL1016" t="s">
        <v>188</v>
      </c>
      <c r="BM1016">
        <v>1</v>
      </c>
      <c r="BN1016">
        <v>1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 t="shared" ref="CE1016:CE1021" si="403">"15:07:21.877"</f>
        <v>15:07:21.877</v>
      </c>
      <c r="CF1016">
        <v>877010996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3</v>
      </c>
      <c r="CY1016">
        <v>7</v>
      </c>
      <c r="CZ1016" t="s">
        <v>133</v>
      </c>
      <c r="DA1016">
        <v>276</v>
      </c>
      <c r="DB1016">
        <v>0</v>
      </c>
      <c r="DC1016" t="s">
        <v>402</v>
      </c>
      <c r="DD1016" t="s">
        <v>403</v>
      </c>
      <c r="DG1016">
        <v>1624963</v>
      </c>
      <c r="DI1016">
        <v>1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"05/01/2025 15:07:22.106"</f>
        <v>05/01/2025 15:07:22.106</v>
      </c>
      <c r="C1017" t="str">
        <f t="shared" si="380"/>
        <v>FFDFD3C0</v>
      </c>
      <c r="D1017" t="s">
        <v>145</v>
      </c>
      <c r="E1017" t="str">
        <f>"05"</f>
        <v>05</v>
      </c>
      <c r="H1017">
        <v>47</v>
      </c>
      <c r="I1017" t="s">
        <v>146</v>
      </c>
      <c r="J1017" t="s">
        <v>138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R1017" t="s">
        <v>127</v>
      </c>
      <c r="S1017" t="str">
        <f t="shared" si="402"/>
        <v>15:07:21.000</v>
      </c>
      <c r="T1017" t="str">
        <f t="shared" si="402"/>
        <v>15:07:21.000</v>
      </c>
      <c r="U1017" t="str">
        <f t="shared" si="382"/>
        <v>A68FCB</v>
      </c>
      <c r="V1017">
        <v>0</v>
      </c>
      <c r="W1017">
        <v>0</v>
      </c>
      <c r="X1017">
        <v>2</v>
      </c>
      <c r="Y1017">
        <v>0</v>
      </c>
      <c r="AA1017">
        <v>1</v>
      </c>
      <c r="AB1017">
        <v>8</v>
      </c>
      <c r="AC1017">
        <v>3</v>
      </c>
      <c r="AD1017">
        <v>0</v>
      </c>
      <c r="AE1017">
        <v>9</v>
      </c>
      <c r="AF1017" t="s">
        <v>138</v>
      </c>
      <c r="AG1017">
        <v>0</v>
      </c>
      <c r="AH1017">
        <v>3</v>
      </c>
      <c r="AI1017">
        <v>2</v>
      </c>
      <c r="AJ1017">
        <v>0</v>
      </c>
      <c r="AK1017" t="s">
        <v>422</v>
      </c>
      <c r="AL1017">
        <v>38.988376000000002</v>
      </c>
      <c r="AM1017" t="s">
        <v>423</v>
      </c>
      <c r="AN1017">
        <v>-121.05274900000001</v>
      </c>
      <c r="AO1017">
        <v>25</v>
      </c>
      <c r="AP1017">
        <v>3100</v>
      </c>
      <c r="AQ1017" t="s">
        <v>131</v>
      </c>
      <c r="AR1017">
        <v>-7</v>
      </c>
      <c r="AS1017">
        <v>85</v>
      </c>
      <c r="AT1017">
        <v>704</v>
      </c>
      <c r="BB1017" t="str">
        <f t="shared" si="383"/>
        <v>1200</v>
      </c>
      <c r="BC1017">
        <v>1</v>
      </c>
      <c r="BD1017" t="str">
        <f t="shared" si="384"/>
        <v xml:space="preserve">N52156  </v>
      </c>
      <c r="BE1017">
        <v>1</v>
      </c>
      <c r="BG1017">
        <v>0</v>
      </c>
      <c r="BH1017">
        <v>0</v>
      </c>
      <c r="BI1017">
        <v>0</v>
      </c>
      <c r="BJ1017">
        <v>3100</v>
      </c>
      <c r="BK1017">
        <v>0</v>
      </c>
      <c r="BL1017" t="s">
        <v>188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 t="shared" si="403"/>
        <v>15:07:21.877</v>
      </c>
      <c r="CF1017">
        <v>877010996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3</v>
      </c>
      <c r="CY1017">
        <v>7</v>
      </c>
      <c r="CZ1017" t="s">
        <v>133</v>
      </c>
      <c r="DA1017">
        <v>276</v>
      </c>
      <c r="DB1017">
        <v>0</v>
      </c>
      <c r="DC1017" t="s">
        <v>402</v>
      </c>
      <c r="DD1017" t="s">
        <v>403</v>
      </c>
      <c r="DG1017">
        <v>1624963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"05/01/2025 15:07:22.108"</f>
        <v>05/01/2025 15:07:22.108</v>
      </c>
      <c r="C1018" t="str">
        <f t="shared" si="380"/>
        <v>FFDFD3C0</v>
      </c>
      <c r="D1018" t="s">
        <v>124</v>
      </c>
      <c r="E1018" t="str">
        <f>"06"</f>
        <v>06</v>
      </c>
      <c r="F1018">
        <v>2006</v>
      </c>
      <c r="G1018" t="s">
        <v>125</v>
      </c>
      <c r="J1018" t="s">
        <v>126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R1018" t="s">
        <v>127</v>
      </c>
      <c r="S1018" t="str">
        <f t="shared" si="402"/>
        <v>15:07:21.000</v>
      </c>
      <c r="T1018" t="str">
        <f t="shared" si="402"/>
        <v>15:07:21.000</v>
      </c>
      <c r="U1018" t="str">
        <f t="shared" si="382"/>
        <v>A68FCB</v>
      </c>
      <c r="V1018">
        <v>0</v>
      </c>
      <c r="W1018">
        <v>0</v>
      </c>
      <c r="X1018">
        <v>2</v>
      </c>
      <c r="Y1018">
        <v>0</v>
      </c>
      <c r="AA1018">
        <v>1</v>
      </c>
      <c r="AB1018">
        <v>8</v>
      </c>
      <c r="AC1018">
        <v>3</v>
      </c>
      <c r="AD1018">
        <v>0</v>
      </c>
      <c r="AE1018">
        <v>9</v>
      </c>
      <c r="AF1018" t="s">
        <v>138</v>
      </c>
      <c r="AG1018">
        <v>0</v>
      </c>
      <c r="AH1018">
        <v>3</v>
      </c>
      <c r="AI1018">
        <v>2</v>
      </c>
      <c r="AJ1018">
        <v>0</v>
      </c>
      <c r="AK1018" t="s">
        <v>422</v>
      </c>
      <c r="AL1018">
        <v>38.988376000000002</v>
      </c>
      <c r="AM1018" t="s">
        <v>423</v>
      </c>
      <c r="AN1018">
        <v>-121.05274900000001</v>
      </c>
      <c r="AO1018">
        <v>25</v>
      </c>
      <c r="AP1018">
        <v>3100</v>
      </c>
      <c r="AQ1018" t="s">
        <v>131</v>
      </c>
      <c r="AR1018">
        <v>-7</v>
      </c>
      <c r="AS1018">
        <v>85</v>
      </c>
      <c r="AT1018">
        <v>704</v>
      </c>
      <c r="BB1018" t="str">
        <f t="shared" si="383"/>
        <v>1200</v>
      </c>
      <c r="BC1018">
        <v>1</v>
      </c>
      <c r="BD1018" t="str">
        <f t="shared" si="384"/>
        <v xml:space="preserve">N52156  </v>
      </c>
      <c r="BE1018">
        <v>1</v>
      </c>
      <c r="BG1018">
        <v>0</v>
      </c>
      <c r="BH1018">
        <v>0</v>
      </c>
      <c r="BI1018">
        <v>0</v>
      </c>
      <c r="BJ1018">
        <v>3100</v>
      </c>
      <c r="BK1018">
        <v>0</v>
      </c>
      <c r="BL1018" t="s">
        <v>188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 t="shared" si="403"/>
        <v>15:07:21.877</v>
      </c>
      <c r="CF1018">
        <v>877010996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3</v>
      </c>
      <c r="CY1018">
        <v>7</v>
      </c>
      <c r="CZ1018" t="s">
        <v>133</v>
      </c>
      <c r="DA1018">
        <v>276</v>
      </c>
      <c r="DB1018">
        <v>0</v>
      </c>
      <c r="DC1018" t="s">
        <v>402</v>
      </c>
      <c r="DD1018" t="s">
        <v>403</v>
      </c>
      <c r="DG1018">
        <v>1624963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"05/01/2025 15:07:22.111"</f>
        <v>05/01/2025 15:07:22.111</v>
      </c>
      <c r="C1019" t="str">
        <f t="shared" si="380"/>
        <v>FFDFD3C0</v>
      </c>
      <c r="D1019" t="s">
        <v>145</v>
      </c>
      <c r="E1019" t="str">
        <f>"09"</f>
        <v>09</v>
      </c>
      <c r="H1019">
        <v>51</v>
      </c>
      <c r="I1019" t="s">
        <v>147</v>
      </c>
      <c r="J1019" t="s">
        <v>138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R1019" t="s">
        <v>127</v>
      </c>
      <c r="S1019" t="str">
        <f t="shared" si="402"/>
        <v>15:07:21.000</v>
      </c>
      <c r="T1019" t="str">
        <f t="shared" si="402"/>
        <v>15:07:21.000</v>
      </c>
      <c r="U1019" t="str">
        <f t="shared" si="382"/>
        <v>A68FCB</v>
      </c>
      <c r="V1019">
        <v>0</v>
      </c>
      <c r="W1019">
        <v>0</v>
      </c>
      <c r="X1019">
        <v>2</v>
      </c>
      <c r="Y1019">
        <v>0</v>
      </c>
      <c r="AA1019">
        <v>1</v>
      </c>
      <c r="AB1019">
        <v>8</v>
      </c>
      <c r="AC1019">
        <v>3</v>
      </c>
      <c r="AD1019">
        <v>0</v>
      </c>
      <c r="AE1019">
        <v>9</v>
      </c>
      <c r="AF1019" t="s">
        <v>138</v>
      </c>
      <c r="AG1019">
        <v>0</v>
      </c>
      <c r="AH1019">
        <v>3</v>
      </c>
      <c r="AI1019">
        <v>2</v>
      </c>
      <c r="AJ1019">
        <v>0</v>
      </c>
      <c r="AK1019" t="s">
        <v>422</v>
      </c>
      <c r="AL1019">
        <v>38.988376000000002</v>
      </c>
      <c r="AM1019" t="s">
        <v>423</v>
      </c>
      <c r="AN1019">
        <v>-121.05274900000001</v>
      </c>
      <c r="AO1019">
        <v>25</v>
      </c>
      <c r="AP1019">
        <v>3100</v>
      </c>
      <c r="AQ1019" t="s">
        <v>131</v>
      </c>
      <c r="AR1019">
        <v>-7</v>
      </c>
      <c r="AS1019">
        <v>85</v>
      </c>
      <c r="AT1019">
        <v>704</v>
      </c>
      <c r="BB1019" t="str">
        <f t="shared" si="383"/>
        <v>1200</v>
      </c>
      <c r="BC1019">
        <v>1</v>
      </c>
      <c r="BD1019" t="str">
        <f t="shared" si="384"/>
        <v xml:space="preserve">N52156  </v>
      </c>
      <c r="BE1019">
        <v>1</v>
      </c>
      <c r="BG1019">
        <v>0</v>
      </c>
      <c r="BH1019">
        <v>0</v>
      </c>
      <c r="BI1019">
        <v>0</v>
      </c>
      <c r="BJ1019">
        <v>3100</v>
      </c>
      <c r="BK1019">
        <v>0</v>
      </c>
      <c r="BL1019" t="s">
        <v>188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 t="shared" si="403"/>
        <v>15:07:21.877</v>
      </c>
      <c r="CF1019">
        <v>877010996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3</v>
      </c>
      <c r="CY1019">
        <v>7</v>
      </c>
      <c r="CZ1019" t="s">
        <v>133</v>
      </c>
      <c r="DA1019">
        <v>276</v>
      </c>
      <c r="DB1019">
        <v>0</v>
      </c>
      <c r="DC1019" t="s">
        <v>402</v>
      </c>
      <c r="DD1019" t="s">
        <v>403</v>
      </c>
      <c r="DG1019">
        <v>1624963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"05/01/2025 15:07:22.109"</f>
        <v>05/01/2025 15:07:22.109</v>
      </c>
      <c r="C1020" t="str">
        <f t="shared" si="380"/>
        <v>FFDFD3C0</v>
      </c>
      <c r="D1020" t="s">
        <v>143</v>
      </c>
      <c r="E1020" t="str">
        <f>"05"</f>
        <v>05</v>
      </c>
      <c r="H1020">
        <v>172</v>
      </c>
      <c r="I1020" t="s">
        <v>141</v>
      </c>
      <c r="J1020" t="s">
        <v>144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R1020" t="s">
        <v>127</v>
      </c>
      <c r="S1020" t="str">
        <f t="shared" si="402"/>
        <v>15:07:21.000</v>
      </c>
      <c r="T1020" t="str">
        <f t="shared" si="402"/>
        <v>15:07:21.000</v>
      </c>
      <c r="U1020" t="str">
        <f t="shared" si="382"/>
        <v>A68FCB</v>
      </c>
      <c r="V1020">
        <v>0</v>
      </c>
      <c r="W1020">
        <v>0</v>
      </c>
      <c r="X1020">
        <v>2</v>
      </c>
      <c r="Y1020">
        <v>0</v>
      </c>
      <c r="AA1020">
        <v>1</v>
      </c>
      <c r="AB1020">
        <v>8</v>
      </c>
      <c r="AC1020">
        <v>3</v>
      </c>
      <c r="AD1020">
        <v>0</v>
      </c>
      <c r="AE1020">
        <v>9</v>
      </c>
      <c r="AF1020" t="s">
        <v>138</v>
      </c>
      <c r="AG1020">
        <v>0</v>
      </c>
      <c r="AH1020">
        <v>3</v>
      </c>
      <c r="AI1020">
        <v>2</v>
      </c>
      <c r="AJ1020">
        <v>0</v>
      </c>
      <c r="AK1020" t="s">
        <v>422</v>
      </c>
      <c r="AL1020">
        <v>38.988376000000002</v>
      </c>
      <c r="AM1020" t="s">
        <v>423</v>
      </c>
      <c r="AN1020">
        <v>-121.05274900000001</v>
      </c>
      <c r="AO1020">
        <v>25</v>
      </c>
      <c r="AP1020">
        <v>3100</v>
      </c>
      <c r="AQ1020" t="s">
        <v>131</v>
      </c>
      <c r="AR1020">
        <v>-7</v>
      </c>
      <c r="AS1020">
        <v>85</v>
      </c>
      <c r="AT1020">
        <v>704</v>
      </c>
      <c r="BB1020" t="str">
        <f t="shared" si="383"/>
        <v>1200</v>
      </c>
      <c r="BC1020">
        <v>1</v>
      </c>
      <c r="BD1020" t="str">
        <f t="shared" si="384"/>
        <v xml:space="preserve">N52156  </v>
      </c>
      <c r="BE1020">
        <v>1</v>
      </c>
      <c r="BG1020">
        <v>0</v>
      </c>
      <c r="BH1020">
        <v>0</v>
      </c>
      <c r="BI1020">
        <v>0</v>
      </c>
      <c r="BJ1020">
        <v>3100</v>
      </c>
      <c r="BK1020">
        <v>0</v>
      </c>
      <c r="BL1020" t="s">
        <v>188</v>
      </c>
      <c r="BM1020">
        <v>1</v>
      </c>
      <c r="BN1020">
        <v>1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 t="shared" si="403"/>
        <v>15:07:21.877</v>
      </c>
      <c r="CF1020">
        <v>877010996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3</v>
      </c>
      <c r="CY1020">
        <v>7</v>
      </c>
      <c r="CZ1020" t="s">
        <v>133</v>
      </c>
      <c r="DA1020">
        <v>276</v>
      </c>
      <c r="DB1020">
        <v>0</v>
      </c>
      <c r="DC1020" t="s">
        <v>402</v>
      </c>
      <c r="DD1020" t="s">
        <v>403</v>
      </c>
      <c r="DG1020">
        <v>1624963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"05/01/2025 15:07:22.117"</f>
        <v>05/01/2025 15:07:22.117</v>
      </c>
      <c r="C1021" t="str">
        <f t="shared" si="380"/>
        <v>FFDFD3C0</v>
      </c>
      <c r="D1021" t="s">
        <v>136</v>
      </c>
      <c r="E1021" t="str">
        <f>"20"</f>
        <v>20</v>
      </c>
      <c r="H1021">
        <v>400</v>
      </c>
      <c r="I1021" t="s">
        <v>137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R1021" t="s">
        <v>127</v>
      </c>
      <c r="S1021" t="str">
        <f t="shared" si="402"/>
        <v>15:07:21.000</v>
      </c>
      <c r="T1021" t="str">
        <f t="shared" si="402"/>
        <v>15:07:21.000</v>
      </c>
      <c r="U1021" t="str">
        <f t="shared" si="382"/>
        <v>A68FCB</v>
      </c>
      <c r="V1021">
        <v>0</v>
      </c>
      <c r="W1021">
        <v>0</v>
      </c>
      <c r="X1021">
        <v>2</v>
      </c>
      <c r="Y1021">
        <v>0</v>
      </c>
      <c r="AA1021">
        <v>1</v>
      </c>
      <c r="AB1021">
        <v>8</v>
      </c>
      <c r="AC1021">
        <v>3</v>
      </c>
      <c r="AD1021">
        <v>0</v>
      </c>
      <c r="AE1021">
        <v>9</v>
      </c>
      <c r="AF1021" t="s">
        <v>138</v>
      </c>
      <c r="AG1021">
        <v>0</v>
      </c>
      <c r="AH1021">
        <v>3</v>
      </c>
      <c r="AI1021">
        <v>2</v>
      </c>
      <c r="AJ1021">
        <v>0</v>
      </c>
      <c r="AK1021" t="s">
        <v>422</v>
      </c>
      <c r="AL1021">
        <v>38.988376000000002</v>
      </c>
      <c r="AM1021" t="s">
        <v>423</v>
      </c>
      <c r="AN1021">
        <v>-121.05274900000001</v>
      </c>
      <c r="AO1021">
        <v>25</v>
      </c>
      <c r="AP1021">
        <v>3100</v>
      </c>
      <c r="AQ1021" t="s">
        <v>131</v>
      </c>
      <c r="AR1021">
        <v>-7</v>
      </c>
      <c r="AS1021">
        <v>85</v>
      </c>
      <c r="AT1021">
        <v>704</v>
      </c>
      <c r="BB1021" t="str">
        <f t="shared" si="383"/>
        <v>1200</v>
      </c>
      <c r="BC1021">
        <v>1</v>
      </c>
      <c r="BD1021" t="str">
        <f t="shared" si="384"/>
        <v xml:space="preserve">N52156  </v>
      </c>
      <c r="BE1021">
        <v>1</v>
      </c>
      <c r="BG1021">
        <v>0</v>
      </c>
      <c r="BH1021">
        <v>0</v>
      </c>
      <c r="BI1021">
        <v>0</v>
      </c>
      <c r="BJ1021">
        <v>3100</v>
      </c>
      <c r="BK1021">
        <v>0</v>
      </c>
      <c r="BL1021" t="s">
        <v>188</v>
      </c>
      <c r="BM1021">
        <v>1</v>
      </c>
      <c r="BN1021">
        <v>1</v>
      </c>
      <c r="BO1021">
        <v>0</v>
      </c>
      <c r="BP1021">
        <v>0</v>
      </c>
      <c r="BS1021">
        <v>0</v>
      </c>
      <c r="BT1021">
        <v>0</v>
      </c>
      <c r="BU1021">
        <v>0</v>
      </c>
      <c r="CE1021" t="str">
        <f t="shared" si="403"/>
        <v>15:07:21.877</v>
      </c>
      <c r="CF1021">
        <v>877010996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3</v>
      </c>
      <c r="CY1021">
        <v>7</v>
      </c>
      <c r="CZ1021" t="s">
        <v>133</v>
      </c>
      <c r="DA1021">
        <v>276</v>
      </c>
      <c r="DB1021">
        <v>0</v>
      </c>
      <c r="DC1021" t="s">
        <v>402</v>
      </c>
      <c r="DD1021" t="s">
        <v>403</v>
      </c>
      <c r="DG1021">
        <v>1624963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"05/01/2025 15:07:22.752"</f>
        <v>05/01/2025 15:07:22.752</v>
      </c>
      <c r="C1022" t="str">
        <f t="shared" si="380"/>
        <v>FFDFD3C0</v>
      </c>
      <c r="D1022" t="s">
        <v>140</v>
      </c>
      <c r="E1022" t="str">
        <f>"13"</f>
        <v>13</v>
      </c>
      <c r="F1022">
        <v>1019</v>
      </c>
      <c r="G1022" t="s">
        <v>141</v>
      </c>
      <c r="J1022" t="s">
        <v>142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R1022" t="s">
        <v>127</v>
      </c>
      <c r="S1022" t="str">
        <f t="shared" ref="S1022:T1027" si="404">"15:07:22.000"</f>
        <v>15:07:22.000</v>
      </c>
      <c r="T1022" t="str">
        <f t="shared" si="404"/>
        <v>15:07:22.000</v>
      </c>
      <c r="U1022" t="str">
        <f t="shared" si="382"/>
        <v>A68FCB</v>
      </c>
      <c r="V1022">
        <v>0</v>
      </c>
      <c r="W1022">
        <v>0</v>
      </c>
      <c r="X1022">
        <v>2</v>
      </c>
      <c r="Y1022">
        <v>0</v>
      </c>
      <c r="AA1022">
        <v>1</v>
      </c>
      <c r="AB1022">
        <v>8</v>
      </c>
      <c r="AC1022">
        <v>3</v>
      </c>
      <c r="AD1022">
        <v>0</v>
      </c>
      <c r="AE1022">
        <v>9</v>
      </c>
      <c r="AF1022" t="s">
        <v>138</v>
      </c>
      <c r="AG1022">
        <v>0</v>
      </c>
      <c r="AH1022">
        <v>3</v>
      </c>
      <c r="AI1022">
        <v>2</v>
      </c>
      <c r="AJ1022">
        <v>0</v>
      </c>
      <c r="AK1022" t="s">
        <v>424</v>
      </c>
      <c r="AL1022">
        <v>38.988782999999998</v>
      </c>
      <c r="AM1022" t="s">
        <v>425</v>
      </c>
      <c r="AN1022">
        <v>-121.052814</v>
      </c>
      <c r="AO1022">
        <v>25</v>
      </c>
      <c r="AP1022">
        <v>3100</v>
      </c>
      <c r="AQ1022" t="s">
        <v>131</v>
      </c>
      <c r="AR1022">
        <v>-6</v>
      </c>
      <c r="AS1022">
        <v>85</v>
      </c>
      <c r="AT1022">
        <v>704</v>
      </c>
      <c r="BB1022" t="str">
        <f t="shared" si="383"/>
        <v>1200</v>
      </c>
      <c r="BC1022">
        <v>1</v>
      </c>
      <c r="BD1022" t="str">
        <f t="shared" si="384"/>
        <v xml:space="preserve">N52156  </v>
      </c>
      <c r="BE1022">
        <v>1</v>
      </c>
      <c r="BG1022">
        <v>0</v>
      </c>
      <c r="BH1022">
        <v>0</v>
      </c>
      <c r="BI1022">
        <v>0</v>
      </c>
      <c r="BJ1022">
        <v>3125</v>
      </c>
      <c r="BK1022">
        <v>25</v>
      </c>
      <c r="BL1022" t="s">
        <v>188</v>
      </c>
      <c r="BM1022">
        <v>1</v>
      </c>
      <c r="BN1022">
        <v>1</v>
      </c>
      <c r="BO1022">
        <v>0</v>
      </c>
      <c r="BP1022">
        <v>0</v>
      </c>
      <c r="BS1022">
        <v>0</v>
      </c>
      <c r="BT1022">
        <v>0</v>
      </c>
      <c r="BU1022">
        <v>0</v>
      </c>
      <c r="CE1022" t="str">
        <f t="shared" ref="CE1022:CE1027" si="405">"15:07:22.497"</f>
        <v>15:07:22.497</v>
      </c>
      <c r="CF1022">
        <v>497260159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3</v>
      </c>
      <c r="CY1022">
        <v>7</v>
      </c>
      <c r="CZ1022" t="s">
        <v>133</v>
      </c>
      <c r="DA1022">
        <v>276</v>
      </c>
      <c r="DB1022">
        <v>0</v>
      </c>
      <c r="DC1022" t="s">
        <v>402</v>
      </c>
      <c r="DD1022" t="s">
        <v>403</v>
      </c>
      <c r="DG1022">
        <v>1624968</v>
      </c>
      <c r="DI1022">
        <v>1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"05/01/2025 15:07:22.756"</f>
        <v>05/01/2025 15:07:22.756</v>
      </c>
      <c r="C1023" t="str">
        <f t="shared" si="380"/>
        <v>FFDFD3C0</v>
      </c>
      <c r="D1023" t="s">
        <v>145</v>
      </c>
      <c r="E1023" t="str">
        <f>"05"</f>
        <v>05</v>
      </c>
      <c r="H1023">
        <v>47</v>
      </c>
      <c r="I1023" t="s">
        <v>146</v>
      </c>
      <c r="J1023" t="s">
        <v>138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R1023" t="s">
        <v>127</v>
      </c>
      <c r="S1023" t="str">
        <f t="shared" si="404"/>
        <v>15:07:22.000</v>
      </c>
      <c r="T1023" t="str">
        <f t="shared" si="404"/>
        <v>15:07:22.000</v>
      </c>
      <c r="U1023" t="str">
        <f t="shared" si="382"/>
        <v>A68FCB</v>
      </c>
      <c r="V1023">
        <v>0</v>
      </c>
      <c r="W1023">
        <v>0</v>
      </c>
      <c r="X1023">
        <v>2</v>
      </c>
      <c r="Y1023">
        <v>0</v>
      </c>
      <c r="AA1023">
        <v>1</v>
      </c>
      <c r="AB1023">
        <v>8</v>
      </c>
      <c r="AC1023">
        <v>3</v>
      </c>
      <c r="AD1023">
        <v>0</v>
      </c>
      <c r="AE1023">
        <v>9</v>
      </c>
      <c r="AF1023" t="s">
        <v>138</v>
      </c>
      <c r="AG1023">
        <v>0</v>
      </c>
      <c r="AH1023">
        <v>3</v>
      </c>
      <c r="AI1023">
        <v>2</v>
      </c>
      <c r="AJ1023">
        <v>0</v>
      </c>
      <c r="AK1023" t="s">
        <v>424</v>
      </c>
      <c r="AL1023">
        <v>38.988782999999998</v>
      </c>
      <c r="AM1023" t="s">
        <v>425</v>
      </c>
      <c r="AN1023">
        <v>-121.052814</v>
      </c>
      <c r="AO1023">
        <v>25</v>
      </c>
      <c r="AP1023">
        <v>3100</v>
      </c>
      <c r="AQ1023" t="s">
        <v>131</v>
      </c>
      <c r="AR1023">
        <v>-6</v>
      </c>
      <c r="AS1023">
        <v>85</v>
      </c>
      <c r="AT1023">
        <v>704</v>
      </c>
      <c r="BB1023" t="str">
        <f t="shared" si="383"/>
        <v>1200</v>
      </c>
      <c r="BC1023">
        <v>1</v>
      </c>
      <c r="BD1023" t="str">
        <f t="shared" si="384"/>
        <v xml:space="preserve">N52156  </v>
      </c>
      <c r="BE1023">
        <v>1</v>
      </c>
      <c r="BG1023">
        <v>0</v>
      </c>
      <c r="BH1023">
        <v>0</v>
      </c>
      <c r="BI1023">
        <v>0</v>
      </c>
      <c r="BJ1023">
        <v>3125</v>
      </c>
      <c r="BK1023">
        <v>25</v>
      </c>
      <c r="BL1023" t="s">
        <v>188</v>
      </c>
      <c r="BM1023">
        <v>1</v>
      </c>
      <c r="BN1023">
        <v>1</v>
      </c>
      <c r="BO1023">
        <v>0</v>
      </c>
      <c r="BP1023">
        <v>0</v>
      </c>
      <c r="BS1023">
        <v>0</v>
      </c>
      <c r="BT1023">
        <v>0</v>
      </c>
      <c r="BU1023">
        <v>0</v>
      </c>
      <c r="CE1023" t="str">
        <f t="shared" si="405"/>
        <v>15:07:22.497</v>
      </c>
      <c r="CF1023">
        <v>497260159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3</v>
      </c>
      <c r="CY1023">
        <v>7</v>
      </c>
      <c r="CZ1023" t="s">
        <v>133</v>
      </c>
      <c r="DA1023">
        <v>276</v>
      </c>
      <c r="DB1023">
        <v>0</v>
      </c>
      <c r="DC1023" t="s">
        <v>402</v>
      </c>
      <c r="DD1023" t="s">
        <v>403</v>
      </c>
      <c r="DG1023">
        <v>1624968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"05/01/2025 15:07:22.759"</f>
        <v>05/01/2025 15:07:22.759</v>
      </c>
      <c r="C1024" t="str">
        <f t="shared" si="380"/>
        <v>FFDFD3C0</v>
      </c>
      <c r="D1024" t="s">
        <v>124</v>
      </c>
      <c r="E1024" t="str">
        <f>"06"</f>
        <v>06</v>
      </c>
      <c r="F1024">
        <v>2006</v>
      </c>
      <c r="G1024" t="s">
        <v>125</v>
      </c>
      <c r="J1024" t="s">
        <v>126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R1024" t="s">
        <v>127</v>
      </c>
      <c r="S1024" t="str">
        <f t="shared" si="404"/>
        <v>15:07:22.000</v>
      </c>
      <c r="T1024" t="str">
        <f t="shared" si="404"/>
        <v>15:07:22.000</v>
      </c>
      <c r="U1024" t="str">
        <f t="shared" si="382"/>
        <v>A68FCB</v>
      </c>
      <c r="V1024">
        <v>0</v>
      </c>
      <c r="W1024">
        <v>0</v>
      </c>
      <c r="X1024">
        <v>2</v>
      </c>
      <c r="Y1024">
        <v>0</v>
      </c>
      <c r="AA1024">
        <v>1</v>
      </c>
      <c r="AB1024">
        <v>8</v>
      </c>
      <c r="AC1024">
        <v>3</v>
      </c>
      <c r="AD1024">
        <v>0</v>
      </c>
      <c r="AE1024">
        <v>9</v>
      </c>
      <c r="AF1024" t="s">
        <v>138</v>
      </c>
      <c r="AG1024">
        <v>0</v>
      </c>
      <c r="AH1024">
        <v>3</v>
      </c>
      <c r="AI1024">
        <v>2</v>
      </c>
      <c r="AJ1024">
        <v>0</v>
      </c>
      <c r="AK1024" t="s">
        <v>424</v>
      </c>
      <c r="AL1024">
        <v>38.988782999999998</v>
      </c>
      <c r="AM1024" t="s">
        <v>425</v>
      </c>
      <c r="AN1024">
        <v>-121.052814</v>
      </c>
      <c r="AO1024">
        <v>25</v>
      </c>
      <c r="AP1024">
        <v>3100</v>
      </c>
      <c r="AQ1024" t="s">
        <v>131</v>
      </c>
      <c r="AR1024">
        <v>-6</v>
      </c>
      <c r="AS1024">
        <v>85</v>
      </c>
      <c r="AT1024">
        <v>704</v>
      </c>
      <c r="BB1024" t="str">
        <f t="shared" si="383"/>
        <v>1200</v>
      </c>
      <c r="BC1024">
        <v>1</v>
      </c>
      <c r="BD1024" t="str">
        <f t="shared" si="384"/>
        <v xml:space="preserve">N52156  </v>
      </c>
      <c r="BE1024">
        <v>1</v>
      </c>
      <c r="BG1024">
        <v>0</v>
      </c>
      <c r="BH1024">
        <v>0</v>
      </c>
      <c r="BI1024">
        <v>0</v>
      </c>
      <c r="BJ1024">
        <v>3125</v>
      </c>
      <c r="BK1024">
        <v>25</v>
      </c>
      <c r="BL1024" t="s">
        <v>188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 t="shared" si="405"/>
        <v>15:07:22.497</v>
      </c>
      <c r="CF1024">
        <v>497260159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3</v>
      </c>
      <c r="CY1024">
        <v>7</v>
      </c>
      <c r="CZ1024" t="s">
        <v>133</v>
      </c>
      <c r="DA1024">
        <v>276</v>
      </c>
      <c r="DB1024">
        <v>0</v>
      </c>
      <c r="DC1024" t="s">
        <v>402</v>
      </c>
      <c r="DD1024" t="s">
        <v>403</v>
      </c>
      <c r="DG1024">
        <v>1624968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"05/01/2025 15:07:22.762"</f>
        <v>05/01/2025 15:07:22.762</v>
      </c>
      <c r="C1025" t="str">
        <f t="shared" si="380"/>
        <v>FFDFD3C0</v>
      </c>
      <c r="D1025" t="s">
        <v>145</v>
      </c>
      <c r="E1025" t="str">
        <f>"09"</f>
        <v>09</v>
      </c>
      <c r="H1025">
        <v>51</v>
      </c>
      <c r="I1025" t="s">
        <v>147</v>
      </c>
      <c r="J1025" t="s">
        <v>138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R1025" t="s">
        <v>127</v>
      </c>
      <c r="S1025" t="str">
        <f t="shared" si="404"/>
        <v>15:07:22.000</v>
      </c>
      <c r="T1025" t="str">
        <f t="shared" si="404"/>
        <v>15:07:22.000</v>
      </c>
      <c r="U1025" t="str">
        <f t="shared" si="382"/>
        <v>A68FCB</v>
      </c>
      <c r="V1025">
        <v>0</v>
      </c>
      <c r="W1025">
        <v>0</v>
      </c>
      <c r="X1025">
        <v>2</v>
      </c>
      <c r="Y1025">
        <v>0</v>
      </c>
      <c r="AA1025">
        <v>1</v>
      </c>
      <c r="AB1025">
        <v>8</v>
      </c>
      <c r="AC1025">
        <v>3</v>
      </c>
      <c r="AD1025">
        <v>0</v>
      </c>
      <c r="AE1025">
        <v>9</v>
      </c>
      <c r="AF1025" t="s">
        <v>138</v>
      </c>
      <c r="AG1025">
        <v>0</v>
      </c>
      <c r="AH1025">
        <v>3</v>
      </c>
      <c r="AI1025">
        <v>2</v>
      </c>
      <c r="AJ1025">
        <v>0</v>
      </c>
      <c r="AK1025" t="s">
        <v>424</v>
      </c>
      <c r="AL1025">
        <v>38.988782999999998</v>
      </c>
      <c r="AM1025" t="s">
        <v>425</v>
      </c>
      <c r="AN1025">
        <v>-121.052814</v>
      </c>
      <c r="AO1025">
        <v>25</v>
      </c>
      <c r="AP1025">
        <v>3100</v>
      </c>
      <c r="AQ1025" t="s">
        <v>131</v>
      </c>
      <c r="AR1025">
        <v>-6</v>
      </c>
      <c r="AS1025">
        <v>85</v>
      </c>
      <c r="AT1025">
        <v>704</v>
      </c>
      <c r="BB1025" t="str">
        <f t="shared" si="383"/>
        <v>1200</v>
      </c>
      <c r="BC1025">
        <v>1</v>
      </c>
      <c r="BD1025" t="str">
        <f t="shared" si="384"/>
        <v xml:space="preserve">N52156  </v>
      </c>
      <c r="BE1025">
        <v>1</v>
      </c>
      <c r="BG1025">
        <v>0</v>
      </c>
      <c r="BH1025">
        <v>0</v>
      </c>
      <c r="BI1025">
        <v>0</v>
      </c>
      <c r="BJ1025">
        <v>3125</v>
      </c>
      <c r="BK1025">
        <v>25</v>
      </c>
      <c r="BL1025" t="s">
        <v>188</v>
      </c>
      <c r="BM1025">
        <v>1</v>
      </c>
      <c r="BN1025">
        <v>1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 t="shared" si="405"/>
        <v>15:07:22.497</v>
      </c>
      <c r="CF1025">
        <v>497260159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3</v>
      </c>
      <c r="CY1025">
        <v>7</v>
      </c>
      <c r="CZ1025" t="s">
        <v>133</v>
      </c>
      <c r="DA1025">
        <v>276</v>
      </c>
      <c r="DB1025">
        <v>0</v>
      </c>
      <c r="DC1025" t="s">
        <v>402</v>
      </c>
      <c r="DD1025" t="s">
        <v>403</v>
      </c>
      <c r="DG1025">
        <v>1624968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"05/01/2025 15:07:22.760"</f>
        <v>05/01/2025 15:07:22.760</v>
      </c>
      <c r="C1026" t="str">
        <f t="shared" ref="C1026:C1089" si="406">"FFDFD3C0"</f>
        <v>FFDFD3C0</v>
      </c>
      <c r="D1026" t="s">
        <v>143</v>
      </c>
      <c r="E1026" t="str">
        <f>"05"</f>
        <v>05</v>
      </c>
      <c r="H1026">
        <v>172</v>
      </c>
      <c r="I1026" t="s">
        <v>141</v>
      </c>
      <c r="J1026" t="s">
        <v>144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R1026" t="s">
        <v>127</v>
      </c>
      <c r="S1026" t="str">
        <f t="shared" si="404"/>
        <v>15:07:22.000</v>
      </c>
      <c r="T1026" t="str">
        <f t="shared" si="404"/>
        <v>15:07:22.000</v>
      </c>
      <c r="U1026" t="str">
        <f t="shared" ref="U1026:U1089" si="407">"A68FCB"</f>
        <v>A68FCB</v>
      </c>
      <c r="V1026">
        <v>0</v>
      </c>
      <c r="W1026">
        <v>0</v>
      </c>
      <c r="X1026">
        <v>2</v>
      </c>
      <c r="Y1026">
        <v>0</v>
      </c>
      <c r="AA1026">
        <v>1</v>
      </c>
      <c r="AB1026">
        <v>8</v>
      </c>
      <c r="AC1026">
        <v>3</v>
      </c>
      <c r="AD1026">
        <v>0</v>
      </c>
      <c r="AE1026">
        <v>9</v>
      </c>
      <c r="AF1026" t="s">
        <v>138</v>
      </c>
      <c r="AG1026">
        <v>0</v>
      </c>
      <c r="AH1026">
        <v>3</v>
      </c>
      <c r="AI1026">
        <v>2</v>
      </c>
      <c r="AJ1026">
        <v>0</v>
      </c>
      <c r="AK1026" t="s">
        <v>424</v>
      </c>
      <c r="AL1026">
        <v>38.988782999999998</v>
      </c>
      <c r="AM1026" t="s">
        <v>425</v>
      </c>
      <c r="AN1026">
        <v>-121.052814</v>
      </c>
      <c r="AO1026">
        <v>25</v>
      </c>
      <c r="AP1026">
        <v>3100</v>
      </c>
      <c r="AQ1026" t="s">
        <v>131</v>
      </c>
      <c r="AR1026">
        <v>-6</v>
      </c>
      <c r="AS1026">
        <v>85</v>
      </c>
      <c r="AT1026">
        <v>704</v>
      </c>
      <c r="BB1026" t="str">
        <f t="shared" ref="BB1026:BB1089" si="408">"1200"</f>
        <v>1200</v>
      </c>
      <c r="BC1026">
        <v>1</v>
      </c>
      <c r="BD1026" t="str">
        <f t="shared" ref="BD1026:BD1089" si="409">"N52156  "</f>
        <v xml:space="preserve">N52156  </v>
      </c>
      <c r="BE1026">
        <v>1</v>
      </c>
      <c r="BG1026">
        <v>0</v>
      </c>
      <c r="BH1026">
        <v>0</v>
      </c>
      <c r="BI1026">
        <v>0</v>
      </c>
      <c r="BJ1026">
        <v>3125</v>
      </c>
      <c r="BK1026">
        <v>25</v>
      </c>
      <c r="BL1026" t="s">
        <v>188</v>
      </c>
      <c r="BM1026">
        <v>1</v>
      </c>
      <c r="BN1026">
        <v>1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 t="shared" si="405"/>
        <v>15:07:22.497</v>
      </c>
      <c r="CF1026">
        <v>497260159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3</v>
      </c>
      <c r="CY1026">
        <v>7</v>
      </c>
      <c r="CZ1026" t="s">
        <v>133</v>
      </c>
      <c r="DA1026">
        <v>276</v>
      </c>
      <c r="DB1026">
        <v>0</v>
      </c>
      <c r="DC1026" t="s">
        <v>402</v>
      </c>
      <c r="DD1026" t="s">
        <v>403</v>
      </c>
      <c r="DG1026">
        <v>1624968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"05/01/2025 15:07:22.768"</f>
        <v>05/01/2025 15:07:22.768</v>
      </c>
      <c r="C1027" t="str">
        <f t="shared" si="406"/>
        <v>FFDFD3C0</v>
      </c>
      <c r="D1027" t="s">
        <v>136</v>
      </c>
      <c r="E1027" t="str">
        <f>"20"</f>
        <v>20</v>
      </c>
      <c r="H1027">
        <v>400</v>
      </c>
      <c r="I1027" t="s">
        <v>137</v>
      </c>
      <c r="J1027" t="s">
        <v>138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R1027" t="s">
        <v>127</v>
      </c>
      <c r="S1027" t="str">
        <f t="shared" si="404"/>
        <v>15:07:22.000</v>
      </c>
      <c r="T1027" t="str">
        <f t="shared" si="404"/>
        <v>15:07:22.000</v>
      </c>
      <c r="U1027" t="str">
        <f t="shared" si="407"/>
        <v>A68FCB</v>
      </c>
      <c r="V1027">
        <v>0</v>
      </c>
      <c r="W1027">
        <v>0</v>
      </c>
      <c r="X1027">
        <v>2</v>
      </c>
      <c r="Y1027">
        <v>0</v>
      </c>
      <c r="AA1027">
        <v>1</v>
      </c>
      <c r="AB1027">
        <v>8</v>
      </c>
      <c r="AC1027">
        <v>3</v>
      </c>
      <c r="AD1027">
        <v>0</v>
      </c>
      <c r="AE1027">
        <v>9</v>
      </c>
      <c r="AF1027" t="s">
        <v>138</v>
      </c>
      <c r="AG1027">
        <v>0</v>
      </c>
      <c r="AH1027">
        <v>3</v>
      </c>
      <c r="AI1027">
        <v>2</v>
      </c>
      <c r="AJ1027">
        <v>0</v>
      </c>
      <c r="AK1027" t="s">
        <v>424</v>
      </c>
      <c r="AL1027">
        <v>38.988782999999998</v>
      </c>
      <c r="AM1027" t="s">
        <v>425</v>
      </c>
      <c r="AN1027">
        <v>-121.052814</v>
      </c>
      <c r="AO1027">
        <v>25</v>
      </c>
      <c r="AP1027">
        <v>3100</v>
      </c>
      <c r="AQ1027" t="s">
        <v>131</v>
      </c>
      <c r="AR1027">
        <v>-6</v>
      </c>
      <c r="AS1027">
        <v>85</v>
      </c>
      <c r="AT1027">
        <v>704</v>
      </c>
      <c r="BB1027" t="str">
        <f t="shared" si="408"/>
        <v>1200</v>
      </c>
      <c r="BC1027">
        <v>1</v>
      </c>
      <c r="BD1027" t="str">
        <f t="shared" si="409"/>
        <v xml:space="preserve">N52156  </v>
      </c>
      <c r="BE1027">
        <v>1</v>
      </c>
      <c r="BG1027">
        <v>0</v>
      </c>
      <c r="BH1027">
        <v>0</v>
      </c>
      <c r="BI1027">
        <v>0</v>
      </c>
      <c r="BJ1027">
        <v>3125</v>
      </c>
      <c r="BK1027">
        <v>25</v>
      </c>
      <c r="BL1027" t="s">
        <v>188</v>
      </c>
      <c r="BM1027">
        <v>1</v>
      </c>
      <c r="BN1027">
        <v>1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 t="shared" si="405"/>
        <v>15:07:22.497</v>
      </c>
      <c r="CF1027">
        <v>497260159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3</v>
      </c>
      <c r="CY1027">
        <v>7</v>
      </c>
      <c r="CZ1027" t="s">
        <v>133</v>
      </c>
      <c r="DA1027">
        <v>276</v>
      </c>
      <c r="DB1027">
        <v>0</v>
      </c>
      <c r="DC1027" t="s">
        <v>402</v>
      </c>
      <c r="DD1027" t="s">
        <v>403</v>
      </c>
      <c r="DG1027">
        <v>1624968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"05/01/2025 15:07:23.653"</f>
        <v>05/01/2025 15:07:23.653</v>
      </c>
      <c r="C1028" t="str">
        <f t="shared" si="406"/>
        <v>FFDFD3C0</v>
      </c>
      <c r="D1028" t="s">
        <v>140</v>
      </c>
      <c r="E1028" t="str">
        <f>"13"</f>
        <v>13</v>
      </c>
      <c r="F1028">
        <v>1019</v>
      </c>
      <c r="G1028" t="s">
        <v>141</v>
      </c>
      <c r="J1028" t="s">
        <v>142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R1028" t="s">
        <v>127</v>
      </c>
      <c r="S1028" t="str">
        <f t="shared" ref="S1028:T1033" si="410">"15:07:23.000"</f>
        <v>15:07:23.000</v>
      </c>
      <c r="T1028" t="str">
        <f t="shared" si="410"/>
        <v>15:07:23.000</v>
      </c>
      <c r="U1028" t="str">
        <f t="shared" si="407"/>
        <v>A68FCB</v>
      </c>
      <c r="V1028">
        <v>0</v>
      </c>
      <c r="W1028">
        <v>0</v>
      </c>
      <c r="X1028">
        <v>2</v>
      </c>
      <c r="Y1028">
        <v>0</v>
      </c>
      <c r="AA1028">
        <v>1</v>
      </c>
      <c r="AB1028">
        <v>8</v>
      </c>
      <c r="AC1028">
        <v>3</v>
      </c>
      <c r="AD1028">
        <v>0</v>
      </c>
      <c r="AE1028">
        <v>9</v>
      </c>
      <c r="AF1028" t="s">
        <v>138</v>
      </c>
      <c r="AG1028">
        <v>0</v>
      </c>
      <c r="AH1028">
        <v>3</v>
      </c>
      <c r="AI1028">
        <v>2</v>
      </c>
      <c r="AJ1028">
        <v>0</v>
      </c>
      <c r="AK1028" t="s">
        <v>426</v>
      </c>
      <c r="AL1028">
        <v>38.989170000000001</v>
      </c>
      <c r="AM1028" t="s">
        <v>427</v>
      </c>
      <c r="AN1028">
        <v>-121.05285600000001</v>
      </c>
      <c r="AO1028">
        <v>25</v>
      </c>
      <c r="AP1028">
        <v>3100</v>
      </c>
      <c r="AQ1028" t="s">
        <v>131</v>
      </c>
      <c r="AR1028">
        <v>-6</v>
      </c>
      <c r="AS1028">
        <v>84</v>
      </c>
      <c r="AT1028">
        <v>704</v>
      </c>
      <c r="BB1028" t="str">
        <f t="shared" si="408"/>
        <v>1200</v>
      </c>
      <c r="BC1028">
        <v>1</v>
      </c>
      <c r="BD1028" t="str">
        <f t="shared" si="409"/>
        <v xml:space="preserve">N52156  </v>
      </c>
      <c r="BE1028">
        <v>1</v>
      </c>
      <c r="BG1028">
        <v>0</v>
      </c>
      <c r="BH1028">
        <v>0</v>
      </c>
      <c r="BI1028">
        <v>0</v>
      </c>
      <c r="BJ1028">
        <v>3125</v>
      </c>
      <c r="BK1028">
        <v>25</v>
      </c>
      <c r="BL1028" t="s">
        <v>188</v>
      </c>
      <c r="BM1028">
        <v>1</v>
      </c>
      <c r="BN1028">
        <v>1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 t="shared" ref="CE1028:CE1033" si="411">"15:07:23.401"</f>
        <v>15:07:23.401</v>
      </c>
      <c r="CF1028">
        <v>401201542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4</v>
      </c>
      <c r="CY1028">
        <v>7</v>
      </c>
      <c r="CZ1028" t="s">
        <v>133</v>
      </c>
      <c r="DA1028">
        <v>275</v>
      </c>
      <c r="DB1028">
        <v>0</v>
      </c>
      <c r="DC1028" t="s">
        <v>134</v>
      </c>
      <c r="DD1028" t="s">
        <v>135</v>
      </c>
      <c r="DG1028">
        <v>3319657</v>
      </c>
      <c r="DI1028">
        <v>1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"05/01/2025 15:07:23.658"</f>
        <v>05/01/2025 15:07:23.658</v>
      </c>
      <c r="C1029" t="str">
        <f t="shared" si="406"/>
        <v>FFDFD3C0</v>
      </c>
      <c r="D1029" t="s">
        <v>145</v>
      </c>
      <c r="E1029" t="str">
        <f>"05"</f>
        <v>05</v>
      </c>
      <c r="H1029">
        <v>47</v>
      </c>
      <c r="I1029" t="s">
        <v>146</v>
      </c>
      <c r="J1029" t="s">
        <v>138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R1029" t="s">
        <v>127</v>
      </c>
      <c r="S1029" t="str">
        <f t="shared" si="410"/>
        <v>15:07:23.000</v>
      </c>
      <c r="T1029" t="str">
        <f t="shared" si="410"/>
        <v>15:07:23.000</v>
      </c>
      <c r="U1029" t="str">
        <f t="shared" si="407"/>
        <v>A68FCB</v>
      </c>
      <c r="V1029">
        <v>0</v>
      </c>
      <c r="W1029">
        <v>0</v>
      </c>
      <c r="X1029">
        <v>2</v>
      </c>
      <c r="Y1029">
        <v>0</v>
      </c>
      <c r="AA1029">
        <v>1</v>
      </c>
      <c r="AB1029">
        <v>8</v>
      </c>
      <c r="AC1029">
        <v>3</v>
      </c>
      <c r="AD1029">
        <v>0</v>
      </c>
      <c r="AE1029">
        <v>9</v>
      </c>
      <c r="AF1029" t="s">
        <v>138</v>
      </c>
      <c r="AG1029">
        <v>0</v>
      </c>
      <c r="AH1029">
        <v>3</v>
      </c>
      <c r="AI1029">
        <v>2</v>
      </c>
      <c r="AJ1029">
        <v>0</v>
      </c>
      <c r="AK1029" t="s">
        <v>426</v>
      </c>
      <c r="AL1029">
        <v>38.989170000000001</v>
      </c>
      <c r="AM1029" t="s">
        <v>427</v>
      </c>
      <c r="AN1029">
        <v>-121.05285600000001</v>
      </c>
      <c r="AO1029">
        <v>25</v>
      </c>
      <c r="AP1029">
        <v>3100</v>
      </c>
      <c r="AQ1029" t="s">
        <v>131</v>
      </c>
      <c r="AR1029">
        <v>-6</v>
      </c>
      <c r="AS1029">
        <v>84</v>
      </c>
      <c r="AT1029">
        <v>704</v>
      </c>
      <c r="BB1029" t="str">
        <f t="shared" si="408"/>
        <v>1200</v>
      </c>
      <c r="BC1029">
        <v>1</v>
      </c>
      <c r="BD1029" t="str">
        <f t="shared" si="409"/>
        <v xml:space="preserve">N52156  </v>
      </c>
      <c r="BE1029">
        <v>1</v>
      </c>
      <c r="BG1029">
        <v>0</v>
      </c>
      <c r="BH1029">
        <v>0</v>
      </c>
      <c r="BI1029">
        <v>0</v>
      </c>
      <c r="BJ1029">
        <v>3125</v>
      </c>
      <c r="BK1029">
        <v>25</v>
      </c>
      <c r="BL1029" t="s">
        <v>188</v>
      </c>
      <c r="BM1029">
        <v>1</v>
      </c>
      <c r="BN1029">
        <v>1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 t="shared" si="411"/>
        <v>15:07:23.401</v>
      </c>
      <c r="CF1029">
        <v>401201542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4</v>
      </c>
      <c r="CY1029">
        <v>7</v>
      </c>
      <c r="CZ1029" t="s">
        <v>133</v>
      </c>
      <c r="DA1029">
        <v>275</v>
      </c>
      <c r="DB1029">
        <v>0</v>
      </c>
      <c r="DC1029" t="s">
        <v>134</v>
      </c>
      <c r="DD1029" t="s">
        <v>135</v>
      </c>
      <c r="DG1029">
        <v>3319657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"05/01/2025 15:07:23.660"</f>
        <v>05/01/2025 15:07:23.660</v>
      </c>
      <c r="C1030" t="str">
        <f t="shared" si="406"/>
        <v>FFDFD3C0</v>
      </c>
      <c r="D1030" t="s">
        <v>124</v>
      </c>
      <c r="E1030" t="str">
        <f>"06"</f>
        <v>06</v>
      </c>
      <c r="F1030">
        <v>2006</v>
      </c>
      <c r="G1030" t="s">
        <v>125</v>
      </c>
      <c r="J1030" t="s">
        <v>126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R1030" t="s">
        <v>127</v>
      </c>
      <c r="S1030" t="str">
        <f t="shared" si="410"/>
        <v>15:07:23.000</v>
      </c>
      <c r="T1030" t="str">
        <f t="shared" si="410"/>
        <v>15:07:23.000</v>
      </c>
      <c r="U1030" t="str">
        <f t="shared" si="407"/>
        <v>A68FCB</v>
      </c>
      <c r="V1030">
        <v>0</v>
      </c>
      <c r="W1030">
        <v>0</v>
      </c>
      <c r="X1030">
        <v>2</v>
      </c>
      <c r="Y1030">
        <v>0</v>
      </c>
      <c r="AA1030">
        <v>1</v>
      </c>
      <c r="AB1030">
        <v>8</v>
      </c>
      <c r="AC1030">
        <v>3</v>
      </c>
      <c r="AD1030">
        <v>0</v>
      </c>
      <c r="AE1030">
        <v>9</v>
      </c>
      <c r="AF1030" t="s">
        <v>138</v>
      </c>
      <c r="AG1030">
        <v>0</v>
      </c>
      <c r="AH1030">
        <v>3</v>
      </c>
      <c r="AI1030">
        <v>2</v>
      </c>
      <c r="AJ1030">
        <v>0</v>
      </c>
      <c r="AK1030" t="s">
        <v>426</v>
      </c>
      <c r="AL1030">
        <v>38.989170000000001</v>
      </c>
      <c r="AM1030" t="s">
        <v>427</v>
      </c>
      <c r="AN1030">
        <v>-121.05285600000001</v>
      </c>
      <c r="AO1030">
        <v>25</v>
      </c>
      <c r="AP1030">
        <v>3100</v>
      </c>
      <c r="AQ1030" t="s">
        <v>131</v>
      </c>
      <c r="AR1030">
        <v>-6</v>
      </c>
      <c r="AS1030">
        <v>84</v>
      </c>
      <c r="AT1030">
        <v>704</v>
      </c>
      <c r="BB1030" t="str">
        <f t="shared" si="408"/>
        <v>1200</v>
      </c>
      <c r="BC1030">
        <v>1</v>
      </c>
      <c r="BD1030" t="str">
        <f t="shared" si="409"/>
        <v xml:space="preserve">N52156  </v>
      </c>
      <c r="BE1030">
        <v>1</v>
      </c>
      <c r="BG1030">
        <v>0</v>
      </c>
      <c r="BH1030">
        <v>0</v>
      </c>
      <c r="BI1030">
        <v>0</v>
      </c>
      <c r="BJ1030">
        <v>3125</v>
      </c>
      <c r="BK1030">
        <v>25</v>
      </c>
      <c r="BL1030" t="s">
        <v>188</v>
      </c>
      <c r="BM1030">
        <v>1</v>
      </c>
      <c r="BN1030">
        <v>1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 t="shared" si="411"/>
        <v>15:07:23.401</v>
      </c>
      <c r="CF1030">
        <v>401201542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4</v>
      </c>
      <c r="CY1030">
        <v>7</v>
      </c>
      <c r="CZ1030" t="s">
        <v>133</v>
      </c>
      <c r="DA1030">
        <v>275</v>
      </c>
      <c r="DB1030">
        <v>0</v>
      </c>
      <c r="DC1030" t="s">
        <v>134</v>
      </c>
      <c r="DD1030" t="s">
        <v>135</v>
      </c>
      <c r="DG1030">
        <v>3319657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"05/01/2025 15:07:23.662"</f>
        <v>05/01/2025 15:07:23.662</v>
      </c>
      <c r="C1031" t="str">
        <f t="shared" si="406"/>
        <v>FFDFD3C0</v>
      </c>
      <c r="D1031" t="s">
        <v>143</v>
      </c>
      <c r="E1031" t="str">
        <f>"05"</f>
        <v>05</v>
      </c>
      <c r="H1031">
        <v>172</v>
      </c>
      <c r="I1031" t="s">
        <v>141</v>
      </c>
      <c r="J1031" t="s">
        <v>144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R1031" t="s">
        <v>127</v>
      </c>
      <c r="S1031" t="str">
        <f t="shared" si="410"/>
        <v>15:07:23.000</v>
      </c>
      <c r="T1031" t="str">
        <f t="shared" si="410"/>
        <v>15:07:23.000</v>
      </c>
      <c r="U1031" t="str">
        <f t="shared" si="407"/>
        <v>A68FCB</v>
      </c>
      <c r="V1031">
        <v>0</v>
      </c>
      <c r="W1031">
        <v>0</v>
      </c>
      <c r="X1031">
        <v>2</v>
      </c>
      <c r="Y1031">
        <v>0</v>
      </c>
      <c r="AA1031">
        <v>1</v>
      </c>
      <c r="AB1031">
        <v>8</v>
      </c>
      <c r="AC1031">
        <v>3</v>
      </c>
      <c r="AD1031">
        <v>0</v>
      </c>
      <c r="AE1031">
        <v>9</v>
      </c>
      <c r="AF1031" t="s">
        <v>138</v>
      </c>
      <c r="AG1031">
        <v>0</v>
      </c>
      <c r="AH1031">
        <v>3</v>
      </c>
      <c r="AI1031">
        <v>2</v>
      </c>
      <c r="AJ1031">
        <v>0</v>
      </c>
      <c r="AK1031" t="s">
        <v>426</v>
      </c>
      <c r="AL1031">
        <v>38.989170000000001</v>
      </c>
      <c r="AM1031" t="s">
        <v>427</v>
      </c>
      <c r="AN1031">
        <v>-121.05285600000001</v>
      </c>
      <c r="AO1031">
        <v>25</v>
      </c>
      <c r="AP1031">
        <v>3100</v>
      </c>
      <c r="AQ1031" t="s">
        <v>131</v>
      </c>
      <c r="AR1031">
        <v>-6</v>
      </c>
      <c r="AS1031">
        <v>84</v>
      </c>
      <c r="AT1031">
        <v>704</v>
      </c>
      <c r="BB1031" t="str">
        <f t="shared" si="408"/>
        <v>1200</v>
      </c>
      <c r="BC1031">
        <v>1</v>
      </c>
      <c r="BD1031" t="str">
        <f t="shared" si="409"/>
        <v xml:space="preserve">N52156  </v>
      </c>
      <c r="BE1031">
        <v>1</v>
      </c>
      <c r="BG1031">
        <v>0</v>
      </c>
      <c r="BH1031">
        <v>0</v>
      </c>
      <c r="BI1031">
        <v>0</v>
      </c>
      <c r="BJ1031">
        <v>3125</v>
      </c>
      <c r="BK1031">
        <v>25</v>
      </c>
      <c r="BL1031" t="s">
        <v>188</v>
      </c>
      <c r="BM1031">
        <v>1</v>
      </c>
      <c r="BN1031">
        <v>1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 t="shared" si="411"/>
        <v>15:07:23.401</v>
      </c>
      <c r="CF1031">
        <v>401201542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4</v>
      </c>
      <c r="CY1031">
        <v>7</v>
      </c>
      <c r="CZ1031" t="s">
        <v>133</v>
      </c>
      <c r="DA1031">
        <v>275</v>
      </c>
      <c r="DB1031">
        <v>0</v>
      </c>
      <c r="DC1031" t="s">
        <v>134</v>
      </c>
      <c r="DD1031" t="s">
        <v>135</v>
      </c>
      <c r="DG1031">
        <v>3319657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"05/01/2025 15:07:23.663"</f>
        <v>05/01/2025 15:07:23.663</v>
      </c>
      <c r="C1032" t="str">
        <f t="shared" si="406"/>
        <v>FFDFD3C0</v>
      </c>
      <c r="D1032" t="s">
        <v>145</v>
      </c>
      <c r="E1032" t="str">
        <f>"09"</f>
        <v>09</v>
      </c>
      <c r="H1032">
        <v>51</v>
      </c>
      <c r="I1032" t="s">
        <v>147</v>
      </c>
      <c r="J1032" t="s">
        <v>138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R1032" t="s">
        <v>127</v>
      </c>
      <c r="S1032" t="str">
        <f t="shared" si="410"/>
        <v>15:07:23.000</v>
      </c>
      <c r="T1032" t="str">
        <f t="shared" si="410"/>
        <v>15:07:23.000</v>
      </c>
      <c r="U1032" t="str">
        <f t="shared" si="407"/>
        <v>A68FCB</v>
      </c>
      <c r="V1032">
        <v>0</v>
      </c>
      <c r="W1032">
        <v>0</v>
      </c>
      <c r="X1032">
        <v>2</v>
      </c>
      <c r="Y1032">
        <v>0</v>
      </c>
      <c r="AA1032">
        <v>1</v>
      </c>
      <c r="AB1032">
        <v>8</v>
      </c>
      <c r="AC1032">
        <v>3</v>
      </c>
      <c r="AD1032">
        <v>0</v>
      </c>
      <c r="AE1032">
        <v>9</v>
      </c>
      <c r="AF1032" t="s">
        <v>138</v>
      </c>
      <c r="AG1032">
        <v>0</v>
      </c>
      <c r="AH1032">
        <v>3</v>
      </c>
      <c r="AI1032">
        <v>2</v>
      </c>
      <c r="AJ1032">
        <v>0</v>
      </c>
      <c r="AK1032" t="s">
        <v>426</v>
      </c>
      <c r="AL1032">
        <v>38.989170000000001</v>
      </c>
      <c r="AM1032" t="s">
        <v>427</v>
      </c>
      <c r="AN1032">
        <v>-121.05285600000001</v>
      </c>
      <c r="AO1032">
        <v>25</v>
      </c>
      <c r="AP1032">
        <v>3100</v>
      </c>
      <c r="AQ1032" t="s">
        <v>131</v>
      </c>
      <c r="AR1032">
        <v>-6</v>
      </c>
      <c r="AS1032">
        <v>84</v>
      </c>
      <c r="AT1032">
        <v>704</v>
      </c>
      <c r="BB1032" t="str">
        <f t="shared" si="408"/>
        <v>1200</v>
      </c>
      <c r="BC1032">
        <v>1</v>
      </c>
      <c r="BD1032" t="str">
        <f t="shared" si="409"/>
        <v xml:space="preserve">N52156  </v>
      </c>
      <c r="BE1032">
        <v>1</v>
      </c>
      <c r="BG1032">
        <v>0</v>
      </c>
      <c r="BH1032">
        <v>0</v>
      </c>
      <c r="BI1032">
        <v>0</v>
      </c>
      <c r="BJ1032">
        <v>3125</v>
      </c>
      <c r="BK1032">
        <v>25</v>
      </c>
      <c r="BL1032" t="s">
        <v>188</v>
      </c>
      <c r="BM1032">
        <v>1</v>
      </c>
      <c r="BN1032">
        <v>1</v>
      </c>
      <c r="BO1032">
        <v>0</v>
      </c>
      <c r="BP1032">
        <v>0</v>
      </c>
      <c r="BS1032">
        <v>0</v>
      </c>
      <c r="BT1032">
        <v>0</v>
      </c>
      <c r="BU1032">
        <v>0</v>
      </c>
      <c r="CE1032" t="str">
        <f t="shared" si="411"/>
        <v>15:07:23.401</v>
      </c>
      <c r="CF1032">
        <v>401201542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4</v>
      </c>
      <c r="CY1032">
        <v>7</v>
      </c>
      <c r="CZ1032" t="s">
        <v>133</v>
      </c>
      <c r="DA1032">
        <v>275</v>
      </c>
      <c r="DB1032">
        <v>0</v>
      </c>
      <c r="DC1032" t="s">
        <v>134</v>
      </c>
      <c r="DD1032" t="s">
        <v>135</v>
      </c>
      <c r="DG1032">
        <v>3319657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"05/01/2025 15:07:23.670"</f>
        <v>05/01/2025 15:07:23.670</v>
      </c>
      <c r="C1033" t="str">
        <f t="shared" si="406"/>
        <v>FFDFD3C0</v>
      </c>
      <c r="D1033" t="s">
        <v>136</v>
      </c>
      <c r="E1033" t="str">
        <f>"20"</f>
        <v>20</v>
      </c>
      <c r="H1033">
        <v>400</v>
      </c>
      <c r="I1033" t="s">
        <v>137</v>
      </c>
      <c r="J1033" t="s">
        <v>138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R1033" t="s">
        <v>127</v>
      </c>
      <c r="S1033" t="str">
        <f t="shared" si="410"/>
        <v>15:07:23.000</v>
      </c>
      <c r="T1033" t="str">
        <f t="shared" si="410"/>
        <v>15:07:23.000</v>
      </c>
      <c r="U1033" t="str">
        <f t="shared" si="407"/>
        <v>A68FCB</v>
      </c>
      <c r="V1033">
        <v>0</v>
      </c>
      <c r="W1033">
        <v>0</v>
      </c>
      <c r="X1033">
        <v>2</v>
      </c>
      <c r="Y1033">
        <v>0</v>
      </c>
      <c r="AA1033">
        <v>1</v>
      </c>
      <c r="AB1033">
        <v>8</v>
      </c>
      <c r="AC1033">
        <v>3</v>
      </c>
      <c r="AD1033">
        <v>0</v>
      </c>
      <c r="AE1033">
        <v>9</v>
      </c>
      <c r="AF1033" t="s">
        <v>138</v>
      </c>
      <c r="AG1033">
        <v>0</v>
      </c>
      <c r="AH1033">
        <v>3</v>
      </c>
      <c r="AI1033">
        <v>2</v>
      </c>
      <c r="AJ1033">
        <v>0</v>
      </c>
      <c r="AK1033" t="s">
        <v>426</v>
      </c>
      <c r="AL1033">
        <v>38.989170000000001</v>
      </c>
      <c r="AM1033" t="s">
        <v>427</v>
      </c>
      <c r="AN1033">
        <v>-121.05285600000001</v>
      </c>
      <c r="AO1033">
        <v>25</v>
      </c>
      <c r="AP1033">
        <v>3100</v>
      </c>
      <c r="AQ1033" t="s">
        <v>131</v>
      </c>
      <c r="AR1033">
        <v>-6</v>
      </c>
      <c r="AS1033">
        <v>84</v>
      </c>
      <c r="AT1033">
        <v>704</v>
      </c>
      <c r="BB1033" t="str">
        <f t="shared" si="408"/>
        <v>1200</v>
      </c>
      <c r="BC1033">
        <v>1</v>
      </c>
      <c r="BD1033" t="str">
        <f t="shared" si="409"/>
        <v xml:space="preserve">N52156  </v>
      </c>
      <c r="BE1033">
        <v>1</v>
      </c>
      <c r="BG1033">
        <v>0</v>
      </c>
      <c r="BH1033">
        <v>0</v>
      </c>
      <c r="BI1033">
        <v>0</v>
      </c>
      <c r="BJ1033">
        <v>3125</v>
      </c>
      <c r="BK1033">
        <v>25</v>
      </c>
      <c r="BL1033" t="s">
        <v>188</v>
      </c>
      <c r="BM1033">
        <v>1</v>
      </c>
      <c r="BN1033">
        <v>1</v>
      </c>
      <c r="BO1033">
        <v>0</v>
      </c>
      <c r="BP1033">
        <v>0</v>
      </c>
      <c r="BS1033">
        <v>0</v>
      </c>
      <c r="BT1033">
        <v>0</v>
      </c>
      <c r="BU1033">
        <v>0</v>
      </c>
      <c r="CE1033" t="str">
        <f t="shared" si="411"/>
        <v>15:07:23.401</v>
      </c>
      <c r="CF1033">
        <v>401201542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4</v>
      </c>
      <c r="CY1033">
        <v>7</v>
      </c>
      <c r="CZ1033" t="s">
        <v>133</v>
      </c>
      <c r="DA1033">
        <v>275</v>
      </c>
      <c r="DB1033">
        <v>0</v>
      </c>
      <c r="DC1033" t="s">
        <v>134</v>
      </c>
      <c r="DD1033" t="s">
        <v>135</v>
      </c>
      <c r="DG1033">
        <v>3319657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"05/01/2025 15:07:24.471"</f>
        <v>05/01/2025 15:07:24.471</v>
      </c>
      <c r="C1034" t="str">
        <f t="shared" si="406"/>
        <v>FFDFD3C0</v>
      </c>
      <c r="D1034" t="s">
        <v>136</v>
      </c>
      <c r="E1034" t="str">
        <f>"20"</f>
        <v>20</v>
      </c>
      <c r="H1034">
        <v>400</v>
      </c>
      <c r="I1034" t="s">
        <v>137</v>
      </c>
      <c r="J1034" t="s">
        <v>138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R1034" t="s">
        <v>127</v>
      </c>
      <c r="S1034" t="str">
        <f t="shared" ref="S1034:T1039" si="412">"15:07:24.000"</f>
        <v>15:07:24.000</v>
      </c>
      <c r="T1034" t="str">
        <f t="shared" si="412"/>
        <v>15:07:24.000</v>
      </c>
      <c r="U1034" t="str">
        <f t="shared" si="407"/>
        <v>A68FCB</v>
      </c>
      <c r="V1034">
        <v>0</v>
      </c>
      <c r="W1034">
        <v>0</v>
      </c>
      <c r="X1034">
        <v>2</v>
      </c>
      <c r="Y1034">
        <v>0</v>
      </c>
      <c r="AA1034">
        <v>1</v>
      </c>
      <c r="AB1034">
        <v>8</v>
      </c>
      <c r="AC1034">
        <v>3</v>
      </c>
      <c r="AD1034">
        <v>0</v>
      </c>
      <c r="AE1034">
        <v>9</v>
      </c>
      <c r="AF1034" t="s">
        <v>138</v>
      </c>
      <c r="AG1034">
        <v>0</v>
      </c>
      <c r="AH1034">
        <v>3</v>
      </c>
      <c r="AI1034">
        <v>2</v>
      </c>
      <c r="AJ1034">
        <v>0</v>
      </c>
      <c r="AK1034" t="s">
        <v>428</v>
      </c>
      <c r="AL1034">
        <v>38.989576999999997</v>
      </c>
      <c r="AM1034" t="s">
        <v>429</v>
      </c>
      <c r="AN1034">
        <v>-121.05287800000001</v>
      </c>
      <c r="AO1034">
        <v>25</v>
      </c>
      <c r="AP1034">
        <v>3200</v>
      </c>
      <c r="AQ1034" t="s">
        <v>131</v>
      </c>
      <c r="AR1034">
        <v>-5</v>
      </c>
      <c r="AS1034">
        <v>84</v>
      </c>
      <c r="AT1034">
        <v>640</v>
      </c>
      <c r="BB1034" t="str">
        <f t="shared" si="408"/>
        <v>1200</v>
      </c>
      <c r="BC1034">
        <v>1</v>
      </c>
      <c r="BD1034" t="str">
        <f t="shared" si="409"/>
        <v xml:space="preserve">N52156  </v>
      </c>
      <c r="BE1034">
        <v>1</v>
      </c>
      <c r="BG1034">
        <v>0</v>
      </c>
      <c r="BH1034">
        <v>0</v>
      </c>
      <c r="BI1034">
        <v>0</v>
      </c>
      <c r="BJ1034">
        <v>3150</v>
      </c>
      <c r="BK1034">
        <v>-50</v>
      </c>
      <c r="BL1034" t="s">
        <v>188</v>
      </c>
      <c r="BM1034">
        <v>1</v>
      </c>
      <c r="BN1034">
        <v>1</v>
      </c>
      <c r="BO1034">
        <v>0</v>
      </c>
      <c r="BP1034">
        <v>0</v>
      </c>
      <c r="BS1034">
        <v>0</v>
      </c>
      <c r="BT1034">
        <v>0</v>
      </c>
      <c r="BU1034">
        <v>0</v>
      </c>
      <c r="CE1034" t="str">
        <f t="shared" ref="CE1034:CE1039" si="413">"15:07:24.230"</f>
        <v>15:07:24.230</v>
      </c>
      <c r="CF1034">
        <v>230451115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4</v>
      </c>
      <c r="CY1034">
        <v>7</v>
      </c>
      <c r="CZ1034" t="s">
        <v>133</v>
      </c>
      <c r="DA1034">
        <v>275</v>
      </c>
      <c r="DB1034">
        <v>0</v>
      </c>
      <c r="DC1034" t="s">
        <v>134</v>
      </c>
      <c r="DD1034" t="s">
        <v>135</v>
      </c>
      <c r="DG1034">
        <v>3319668</v>
      </c>
      <c r="DI1034">
        <v>1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"05/01/2025 15:07:24.504"</f>
        <v>05/01/2025 15:07:24.504</v>
      </c>
      <c r="C1035" t="str">
        <f t="shared" si="406"/>
        <v>FFDFD3C0</v>
      </c>
      <c r="D1035" t="s">
        <v>140</v>
      </c>
      <c r="E1035" t="str">
        <f>"13"</f>
        <v>13</v>
      </c>
      <c r="F1035">
        <v>1019</v>
      </c>
      <c r="G1035" t="s">
        <v>141</v>
      </c>
      <c r="J1035" t="s">
        <v>142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R1035" t="s">
        <v>127</v>
      </c>
      <c r="S1035" t="str">
        <f t="shared" si="412"/>
        <v>15:07:24.000</v>
      </c>
      <c r="T1035" t="str">
        <f t="shared" si="412"/>
        <v>15:07:24.000</v>
      </c>
      <c r="U1035" t="str">
        <f t="shared" si="407"/>
        <v>A68FCB</v>
      </c>
      <c r="V1035">
        <v>0</v>
      </c>
      <c r="W1035">
        <v>0</v>
      </c>
      <c r="X1035">
        <v>2</v>
      </c>
      <c r="Y1035">
        <v>0</v>
      </c>
      <c r="AA1035">
        <v>1</v>
      </c>
      <c r="AB1035">
        <v>8</v>
      </c>
      <c r="AC1035">
        <v>3</v>
      </c>
      <c r="AD1035">
        <v>0</v>
      </c>
      <c r="AE1035">
        <v>9</v>
      </c>
      <c r="AF1035" t="s">
        <v>138</v>
      </c>
      <c r="AG1035">
        <v>0</v>
      </c>
      <c r="AH1035">
        <v>3</v>
      </c>
      <c r="AI1035">
        <v>2</v>
      </c>
      <c r="AJ1035">
        <v>0</v>
      </c>
      <c r="AK1035" t="s">
        <v>428</v>
      </c>
      <c r="AL1035">
        <v>38.989576999999997</v>
      </c>
      <c r="AM1035" t="s">
        <v>429</v>
      </c>
      <c r="AN1035">
        <v>-121.05287800000001</v>
      </c>
      <c r="AO1035">
        <v>25</v>
      </c>
      <c r="AP1035">
        <v>3200</v>
      </c>
      <c r="AQ1035" t="s">
        <v>131</v>
      </c>
      <c r="AR1035">
        <v>-5</v>
      </c>
      <c r="AS1035">
        <v>84</v>
      </c>
      <c r="AT1035">
        <v>640</v>
      </c>
      <c r="BB1035" t="str">
        <f t="shared" si="408"/>
        <v>1200</v>
      </c>
      <c r="BC1035">
        <v>1</v>
      </c>
      <c r="BD1035" t="str">
        <f t="shared" si="409"/>
        <v xml:space="preserve">N52156  </v>
      </c>
      <c r="BE1035">
        <v>1</v>
      </c>
      <c r="BG1035">
        <v>0</v>
      </c>
      <c r="BH1035">
        <v>0</v>
      </c>
      <c r="BI1035">
        <v>0</v>
      </c>
      <c r="BJ1035">
        <v>3150</v>
      </c>
      <c r="BK1035">
        <v>-50</v>
      </c>
      <c r="BL1035" t="s">
        <v>188</v>
      </c>
      <c r="BM1035">
        <v>1</v>
      </c>
      <c r="BN1035">
        <v>1</v>
      </c>
      <c r="BO1035">
        <v>0</v>
      </c>
      <c r="BP1035">
        <v>0</v>
      </c>
      <c r="BS1035">
        <v>0</v>
      </c>
      <c r="BT1035">
        <v>0</v>
      </c>
      <c r="BU1035">
        <v>0</v>
      </c>
      <c r="CE1035" t="str">
        <f t="shared" si="413"/>
        <v>15:07:24.230</v>
      </c>
      <c r="CF1035">
        <v>230451115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4</v>
      </c>
      <c r="CY1035">
        <v>7</v>
      </c>
      <c r="CZ1035" t="s">
        <v>133</v>
      </c>
      <c r="DA1035">
        <v>275</v>
      </c>
      <c r="DB1035">
        <v>0</v>
      </c>
      <c r="DC1035" t="s">
        <v>134</v>
      </c>
      <c r="DD1035" t="s">
        <v>135</v>
      </c>
      <c r="DG1035">
        <v>3319668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"05/01/2025 15:07:24.510"</f>
        <v>05/01/2025 15:07:24.510</v>
      </c>
      <c r="C1036" t="str">
        <f t="shared" si="406"/>
        <v>FFDFD3C0</v>
      </c>
      <c r="D1036" t="s">
        <v>145</v>
      </c>
      <c r="E1036" t="str">
        <f>"05"</f>
        <v>05</v>
      </c>
      <c r="H1036">
        <v>47</v>
      </c>
      <c r="I1036" t="s">
        <v>146</v>
      </c>
      <c r="J1036" t="s">
        <v>138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R1036" t="s">
        <v>127</v>
      </c>
      <c r="S1036" t="str">
        <f t="shared" si="412"/>
        <v>15:07:24.000</v>
      </c>
      <c r="T1036" t="str">
        <f t="shared" si="412"/>
        <v>15:07:24.000</v>
      </c>
      <c r="U1036" t="str">
        <f t="shared" si="407"/>
        <v>A68FCB</v>
      </c>
      <c r="V1036">
        <v>0</v>
      </c>
      <c r="W1036">
        <v>0</v>
      </c>
      <c r="X1036">
        <v>2</v>
      </c>
      <c r="Y1036">
        <v>0</v>
      </c>
      <c r="AA1036">
        <v>1</v>
      </c>
      <c r="AB1036">
        <v>8</v>
      </c>
      <c r="AC1036">
        <v>3</v>
      </c>
      <c r="AD1036">
        <v>0</v>
      </c>
      <c r="AE1036">
        <v>9</v>
      </c>
      <c r="AF1036" t="s">
        <v>138</v>
      </c>
      <c r="AG1036">
        <v>0</v>
      </c>
      <c r="AH1036">
        <v>3</v>
      </c>
      <c r="AI1036">
        <v>2</v>
      </c>
      <c r="AJ1036">
        <v>0</v>
      </c>
      <c r="AK1036" t="s">
        <v>428</v>
      </c>
      <c r="AL1036">
        <v>38.989576999999997</v>
      </c>
      <c r="AM1036" t="s">
        <v>429</v>
      </c>
      <c r="AN1036">
        <v>-121.05287800000001</v>
      </c>
      <c r="AO1036">
        <v>25</v>
      </c>
      <c r="AP1036">
        <v>3200</v>
      </c>
      <c r="AQ1036" t="s">
        <v>131</v>
      </c>
      <c r="AR1036">
        <v>-5</v>
      </c>
      <c r="AS1036">
        <v>84</v>
      </c>
      <c r="AT1036">
        <v>640</v>
      </c>
      <c r="BB1036" t="str">
        <f t="shared" si="408"/>
        <v>1200</v>
      </c>
      <c r="BC1036">
        <v>1</v>
      </c>
      <c r="BD1036" t="str">
        <f t="shared" si="409"/>
        <v xml:space="preserve">N52156  </v>
      </c>
      <c r="BE1036">
        <v>1</v>
      </c>
      <c r="BG1036">
        <v>0</v>
      </c>
      <c r="BH1036">
        <v>0</v>
      </c>
      <c r="BI1036">
        <v>0</v>
      </c>
      <c r="BJ1036">
        <v>3150</v>
      </c>
      <c r="BK1036">
        <v>-50</v>
      </c>
      <c r="BL1036" t="s">
        <v>188</v>
      </c>
      <c r="BM1036">
        <v>1</v>
      </c>
      <c r="BN1036">
        <v>1</v>
      </c>
      <c r="BO1036">
        <v>0</v>
      </c>
      <c r="BP1036">
        <v>0</v>
      </c>
      <c r="BS1036">
        <v>0</v>
      </c>
      <c r="BT1036">
        <v>0</v>
      </c>
      <c r="BU1036">
        <v>0</v>
      </c>
      <c r="CE1036" t="str">
        <f t="shared" si="413"/>
        <v>15:07:24.230</v>
      </c>
      <c r="CF1036">
        <v>230451115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4</v>
      </c>
      <c r="CY1036">
        <v>7</v>
      </c>
      <c r="CZ1036" t="s">
        <v>133</v>
      </c>
      <c r="DA1036">
        <v>275</v>
      </c>
      <c r="DB1036">
        <v>0</v>
      </c>
      <c r="DC1036" t="s">
        <v>134</v>
      </c>
      <c r="DD1036" t="s">
        <v>135</v>
      </c>
      <c r="DG1036">
        <v>3319668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"05/01/2025 15:07:24.512"</f>
        <v>05/01/2025 15:07:24.512</v>
      </c>
      <c r="C1037" t="str">
        <f t="shared" si="406"/>
        <v>FFDFD3C0</v>
      </c>
      <c r="D1037" t="s">
        <v>124</v>
      </c>
      <c r="E1037" t="str">
        <f>"06"</f>
        <v>06</v>
      </c>
      <c r="F1037">
        <v>2006</v>
      </c>
      <c r="G1037" t="s">
        <v>125</v>
      </c>
      <c r="J1037" t="s">
        <v>126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R1037" t="s">
        <v>127</v>
      </c>
      <c r="S1037" t="str">
        <f t="shared" si="412"/>
        <v>15:07:24.000</v>
      </c>
      <c r="T1037" t="str">
        <f t="shared" si="412"/>
        <v>15:07:24.000</v>
      </c>
      <c r="U1037" t="str">
        <f t="shared" si="407"/>
        <v>A68FCB</v>
      </c>
      <c r="V1037">
        <v>0</v>
      </c>
      <c r="W1037">
        <v>0</v>
      </c>
      <c r="X1037">
        <v>2</v>
      </c>
      <c r="Y1037">
        <v>0</v>
      </c>
      <c r="AA1037">
        <v>1</v>
      </c>
      <c r="AB1037">
        <v>8</v>
      </c>
      <c r="AC1037">
        <v>3</v>
      </c>
      <c r="AD1037">
        <v>0</v>
      </c>
      <c r="AE1037">
        <v>9</v>
      </c>
      <c r="AF1037" t="s">
        <v>138</v>
      </c>
      <c r="AG1037">
        <v>0</v>
      </c>
      <c r="AH1037">
        <v>3</v>
      </c>
      <c r="AI1037">
        <v>2</v>
      </c>
      <c r="AJ1037">
        <v>0</v>
      </c>
      <c r="AK1037" t="s">
        <v>428</v>
      </c>
      <c r="AL1037">
        <v>38.989576999999997</v>
      </c>
      <c r="AM1037" t="s">
        <v>429</v>
      </c>
      <c r="AN1037">
        <v>-121.05287800000001</v>
      </c>
      <c r="AO1037">
        <v>25</v>
      </c>
      <c r="AP1037">
        <v>3200</v>
      </c>
      <c r="AQ1037" t="s">
        <v>131</v>
      </c>
      <c r="AR1037">
        <v>-5</v>
      </c>
      <c r="AS1037">
        <v>84</v>
      </c>
      <c r="AT1037">
        <v>640</v>
      </c>
      <c r="BB1037" t="str">
        <f t="shared" si="408"/>
        <v>1200</v>
      </c>
      <c r="BC1037">
        <v>1</v>
      </c>
      <c r="BD1037" t="str">
        <f t="shared" si="409"/>
        <v xml:space="preserve">N52156  </v>
      </c>
      <c r="BE1037">
        <v>1</v>
      </c>
      <c r="BG1037">
        <v>0</v>
      </c>
      <c r="BH1037">
        <v>0</v>
      </c>
      <c r="BI1037">
        <v>0</v>
      </c>
      <c r="BJ1037">
        <v>3150</v>
      </c>
      <c r="BK1037">
        <v>-50</v>
      </c>
      <c r="BL1037" t="s">
        <v>188</v>
      </c>
      <c r="BM1037">
        <v>1</v>
      </c>
      <c r="BN1037">
        <v>1</v>
      </c>
      <c r="BO1037">
        <v>0</v>
      </c>
      <c r="BP1037">
        <v>0</v>
      </c>
      <c r="BS1037">
        <v>0</v>
      </c>
      <c r="BT1037">
        <v>0</v>
      </c>
      <c r="BU1037">
        <v>0</v>
      </c>
      <c r="CE1037" t="str">
        <f t="shared" si="413"/>
        <v>15:07:24.230</v>
      </c>
      <c r="CF1037">
        <v>230451115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4</v>
      </c>
      <c r="CY1037">
        <v>7</v>
      </c>
      <c r="CZ1037" t="s">
        <v>133</v>
      </c>
      <c r="DA1037">
        <v>275</v>
      </c>
      <c r="DB1037">
        <v>0</v>
      </c>
      <c r="DC1037" t="s">
        <v>134</v>
      </c>
      <c r="DD1037" t="s">
        <v>135</v>
      </c>
      <c r="DG1037">
        <v>3319668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"05/01/2025 15:07:24.514"</f>
        <v>05/01/2025 15:07:24.514</v>
      </c>
      <c r="C1038" t="str">
        <f t="shared" si="406"/>
        <v>FFDFD3C0</v>
      </c>
      <c r="D1038" t="s">
        <v>145</v>
      </c>
      <c r="E1038" t="str">
        <f>"09"</f>
        <v>09</v>
      </c>
      <c r="H1038">
        <v>51</v>
      </c>
      <c r="I1038" t="s">
        <v>147</v>
      </c>
      <c r="J1038" t="s">
        <v>138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R1038" t="s">
        <v>127</v>
      </c>
      <c r="S1038" t="str">
        <f t="shared" si="412"/>
        <v>15:07:24.000</v>
      </c>
      <c r="T1038" t="str">
        <f t="shared" si="412"/>
        <v>15:07:24.000</v>
      </c>
      <c r="U1038" t="str">
        <f t="shared" si="407"/>
        <v>A68FCB</v>
      </c>
      <c r="V1038">
        <v>0</v>
      </c>
      <c r="W1038">
        <v>0</v>
      </c>
      <c r="X1038">
        <v>2</v>
      </c>
      <c r="Y1038">
        <v>0</v>
      </c>
      <c r="AA1038">
        <v>1</v>
      </c>
      <c r="AB1038">
        <v>8</v>
      </c>
      <c r="AC1038">
        <v>3</v>
      </c>
      <c r="AD1038">
        <v>0</v>
      </c>
      <c r="AE1038">
        <v>9</v>
      </c>
      <c r="AF1038" t="s">
        <v>138</v>
      </c>
      <c r="AG1038">
        <v>0</v>
      </c>
      <c r="AH1038">
        <v>3</v>
      </c>
      <c r="AI1038">
        <v>2</v>
      </c>
      <c r="AJ1038">
        <v>0</v>
      </c>
      <c r="AK1038" t="s">
        <v>428</v>
      </c>
      <c r="AL1038">
        <v>38.989576999999997</v>
      </c>
      <c r="AM1038" t="s">
        <v>429</v>
      </c>
      <c r="AN1038">
        <v>-121.05287800000001</v>
      </c>
      <c r="AO1038">
        <v>25</v>
      </c>
      <c r="AP1038">
        <v>3200</v>
      </c>
      <c r="AQ1038" t="s">
        <v>131</v>
      </c>
      <c r="AR1038">
        <v>-5</v>
      </c>
      <c r="AS1038">
        <v>84</v>
      </c>
      <c r="AT1038">
        <v>640</v>
      </c>
      <c r="BB1038" t="str">
        <f t="shared" si="408"/>
        <v>1200</v>
      </c>
      <c r="BC1038">
        <v>1</v>
      </c>
      <c r="BD1038" t="str">
        <f t="shared" si="409"/>
        <v xml:space="preserve">N52156  </v>
      </c>
      <c r="BE1038">
        <v>1</v>
      </c>
      <c r="BG1038">
        <v>0</v>
      </c>
      <c r="BH1038">
        <v>0</v>
      </c>
      <c r="BI1038">
        <v>0</v>
      </c>
      <c r="BJ1038">
        <v>3150</v>
      </c>
      <c r="BK1038">
        <v>-50</v>
      </c>
      <c r="BL1038" t="s">
        <v>188</v>
      </c>
      <c r="BM1038">
        <v>1</v>
      </c>
      <c r="BN1038">
        <v>1</v>
      </c>
      <c r="BO1038">
        <v>0</v>
      </c>
      <c r="BP1038">
        <v>0</v>
      </c>
      <c r="BS1038">
        <v>0</v>
      </c>
      <c r="BT1038">
        <v>0</v>
      </c>
      <c r="BU1038">
        <v>0</v>
      </c>
      <c r="CE1038" t="str">
        <f t="shared" si="413"/>
        <v>15:07:24.230</v>
      </c>
      <c r="CF1038">
        <v>230451115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4</v>
      </c>
      <c r="CY1038">
        <v>7</v>
      </c>
      <c r="CZ1038" t="s">
        <v>133</v>
      </c>
      <c r="DA1038">
        <v>275</v>
      </c>
      <c r="DB1038">
        <v>0</v>
      </c>
      <c r="DC1038" t="s">
        <v>134</v>
      </c>
      <c r="DD1038" t="s">
        <v>135</v>
      </c>
      <c r="DG1038">
        <v>3319668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"05/01/2025 15:07:24.513"</f>
        <v>05/01/2025 15:07:24.513</v>
      </c>
      <c r="C1039" t="str">
        <f t="shared" si="406"/>
        <v>FFDFD3C0</v>
      </c>
      <c r="D1039" t="s">
        <v>143</v>
      </c>
      <c r="E1039" t="str">
        <f>"05"</f>
        <v>05</v>
      </c>
      <c r="H1039">
        <v>172</v>
      </c>
      <c r="I1039" t="s">
        <v>141</v>
      </c>
      <c r="J1039" t="s">
        <v>144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R1039" t="s">
        <v>127</v>
      </c>
      <c r="S1039" t="str">
        <f t="shared" si="412"/>
        <v>15:07:24.000</v>
      </c>
      <c r="T1039" t="str">
        <f t="shared" si="412"/>
        <v>15:07:24.000</v>
      </c>
      <c r="U1039" t="str">
        <f t="shared" si="407"/>
        <v>A68FCB</v>
      </c>
      <c r="V1039">
        <v>0</v>
      </c>
      <c r="W1039">
        <v>0</v>
      </c>
      <c r="X1039">
        <v>2</v>
      </c>
      <c r="Y1039">
        <v>0</v>
      </c>
      <c r="AA1039">
        <v>1</v>
      </c>
      <c r="AB1039">
        <v>8</v>
      </c>
      <c r="AC1039">
        <v>3</v>
      </c>
      <c r="AD1039">
        <v>0</v>
      </c>
      <c r="AE1039">
        <v>9</v>
      </c>
      <c r="AF1039" t="s">
        <v>138</v>
      </c>
      <c r="AG1039">
        <v>0</v>
      </c>
      <c r="AH1039">
        <v>3</v>
      </c>
      <c r="AI1039">
        <v>2</v>
      </c>
      <c r="AJ1039">
        <v>0</v>
      </c>
      <c r="AK1039" t="s">
        <v>428</v>
      </c>
      <c r="AL1039">
        <v>38.989576999999997</v>
      </c>
      <c r="AM1039" t="s">
        <v>429</v>
      </c>
      <c r="AN1039">
        <v>-121.05287800000001</v>
      </c>
      <c r="AO1039">
        <v>25</v>
      </c>
      <c r="AP1039">
        <v>3200</v>
      </c>
      <c r="AQ1039" t="s">
        <v>131</v>
      </c>
      <c r="AR1039">
        <v>-5</v>
      </c>
      <c r="AS1039">
        <v>84</v>
      </c>
      <c r="AT1039">
        <v>640</v>
      </c>
      <c r="BB1039" t="str">
        <f t="shared" si="408"/>
        <v>1200</v>
      </c>
      <c r="BC1039">
        <v>1</v>
      </c>
      <c r="BD1039" t="str">
        <f t="shared" si="409"/>
        <v xml:space="preserve">N52156  </v>
      </c>
      <c r="BE1039">
        <v>1</v>
      </c>
      <c r="BG1039">
        <v>0</v>
      </c>
      <c r="BH1039">
        <v>0</v>
      </c>
      <c r="BI1039">
        <v>0</v>
      </c>
      <c r="BJ1039">
        <v>3150</v>
      </c>
      <c r="BK1039">
        <v>-50</v>
      </c>
      <c r="BL1039" t="s">
        <v>188</v>
      </c>
      <c r="BM1039">
        <v>1</v>
      </c>
      <c r="BN1039">
        <v>1</v>
      </c>
      <c r="BO1039">
        <v>0</v>
      </c>
      <c r="BP1039">
        <v>0</v>
      </c>
      <c r="BS1039">
        <v>0</v>
      </c>
      <c r="BT1039">
        <v>0</v>
      </c>
      <c r="BU1039">
        <v>0</v>
      </c>
      <c r="CE1039" t="str">
        <f t="shared" si="413"/>
        <v>15:07:24.230</v>
      </c>
      <c r="CF1039">
        <v>230451115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4</v>
      </c>
      <c r="CY1039">
        <v>7</v>
      </c>
      <c r="CZ1039" t="s">
        <v>133</v>
      </c>
      <c r="DA1039">
        <v>275</v>
      </c>
      <c r="DB1039">
        <v>0</v>
      </c>
      <c r="DC1039" t="s">
        <v>134</v>
      </c>
      <c r="DD1039" t="s">
        <v>135</v>
      </c>
      <c r="DG1039">
        <v>3319668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"05/01/2025 15:07:25.556"</f>
        <v>05/01/2025 15:07:25.556</v>
      </c>
      <c r="C1040" t="str">
        <f t="shared" si="406"/>
        <v>FFDFD3C0</v>
      </c>
      <c r="D1040" t="s">
        <v>140</v>
      </c>
      <c r="E1040" t="str">
        <f>"13"</f>
        <v>13</v>
      </c>
      <c r="F1040">
        <v>1019</v>
      </c>
      <c r="G1040" t="s">
        <v>141</v>
      </c>
      <c r="J1040" t="s">
        <v>142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R1040" t="s">
        <v>127</v>
      </c>
      <c r="S1040" t="str">
        <f t="shared" ref="S1040:T1045" si="414">"15:07:25.000"</f>
        <v>15:07:25.000</v>
      </c>
      <c r="T1040" t="str">
        <f t="shared" si="414"/>
        <v>15:07:25.000</v>
      </c>
      <c r="U1040" t="str">
        <f t="shared" si="407"/>
        <v>A68FCB</v>
      </c>
      <c r="V1040">
        <v>0</v>
      </c>
      <c r="W1040">
        <v>0</v>
      </c>
      <c r="X1040">
        <v>2</v>
      </c>
      <c r="Y1040">
        <v>0</v>
      </c>
      <c r="AA1040">
        <v>1</v>
      </c>
      <c r="AB1040">
        <v>8</v>
      </c>
      <c r="AC1040">
        <v>3</v>
      </c>
      <c r="AD1040">
        <v>0</v>
      </c>
      <c r="AE1040">
        <v>9</v>
      </c>
      <c r="AF1040" t="s">
        <v>138</v>
      </c>
      <c r="AG1040">
        <v>0</v>
      </c>
      <c r="AH1040">
        <v>3</v>
      </c>
      <c r="AI1040">
        <v>2</v>
      </c>
      <c r="AJ1040">
        <v>0</v>
      </c>
      <c r="AK1040" t="s">
        <v>430</v>
      </c>
      <c r="AL1040">
        <v>38.989964000000001</v>
      </c>
      <c r="AM1040" t="s">
        <v>431</v>
      </c>
      <c r="AN1040">
        <v>-121.052921</v>
      </c>
      <c r="AO1040">
        <v>25</v>
      </c>
      <c r="AP1040">
        <v>3200</v>
      </c>
      <c r="AQ1040" t="s">
        <v>131</v>
      </c>
      <c r="AR1040">
        <v>-4</v>
      </c>
      <c r="AS1040">
        <v>84</v>
      </c>
      <c r="AT1040">
        <v>640</v>
      </c>
      <c r="BB1040" t="str">
        <f t="shared" si="408"/>
        <v>1200</v>
      </c>
      <c r="BC1040">
        <v>1</v>
      </c>
      <c r="BD1040" t="str">
        <f t="shared" si="409"/>
        <v xml:space="preserve">N52156  </v>
      </c>
      <c r="BE1040">
        <v>1</v>
      </c>
      <c r="BG1040">
        <v>0</v>
      </c>
      <c r="BH1040">
        <v>0</v>
      </c>
      <c r="BI1040">
        <v>0</v>
      </c>
      <c r="BJ1040">
        <v>3150</v>
      </c>
      <c r="BK1040">
        <v>-50</v>
      </c>
      <c r="BL1040" t="s">
        <v>188</v>
      </c>
      <c r="BM1040">
        <v>1</v>
      </c>
      <c r="BN1040">
        <v>1</v>
      </c>
      <c r="BO1040">
        <v>0</v>
      </c>
      <c r="BP1040">
        <v>0</v>
      </c>
      <c r="BS1040">
        <v>0</v>
      </c>
      <c r="BT1040">
        <v>0</v>
      </c>
      <c r="BU1040">
        <v>0</v>
      </c>
      <c r="CE1040" t="str">
        <f t="shared" ref="CE1040:CE1045" si="415">"15:07:25.334"</f>
        <v>15:07:25.334</v>
      </c>
      <c r="CF1040">
        <v>333701636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4</v>
      </c>
      <c r="CY1040">
        <v>7</v>
      </c>
      <c r="CZ1040" t="s">
        <v>133</v>
      </c>
      <c r="DA1040">
        <v>275</v>
      </c>
      <c r="DB1040">
        <v>0</v>
      </c>
      <c r="DC1040" t="s">
        <v>134</v>
      </c>
      <c r="DD1040" t="s">
        <v>135</v>
      </c>
      <c r="DG1040">
        <v>3319678</v>
      </c>
      <c r="DI1040">
        <v>1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"05/01/2025 15:07:25.562"</f>
        <v>05/01/2025 15:07:25.562</v>
      </c>
      <c r="C1041" t="str">
        <f t="shared" si="406"/>
        <v>FFDFD3C0</v>
      </c>
      <c r="D1041" t="s">
        <v>145</v>
      </c>
      <c r="E1041" t="str">
        <f>"05"</f>
        <v>05</v>
      </c>
      <c r="H1041">
        <v>47</v>
      </c>
      <c r="I1041" t="s">
        <v>146</v>
      </c>
      <c r="J1041" t="s">
        <v>138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R1041" t="s">
        <v>127</v>
      </c>
      <c r="S1041" t="str">
        <f t="shared" si="414"/>
        <v>15:07:25.000</v>
      </c>
      <c r="T1041" t="str">
        <f t="shared" si="414"/>
        <v>15:07:25.000</v>
      </c>
      <c r="U1041" t="str">
        <f t="shared" si="407"/>
        <v>A68FCB</v>
      </c>
      <c r="V1041">
        <v>0</v>
      </c>
      <c r="W1041">
        <v>0</v>
      </c>
      <c r="X1041">
        <v>2</v>
      </c>
      <c r="Y1041">
        <v>0</v>
      </c>
      <c r="AA1041">
        <v>1</v>
      </c>
      <c r="AB1041">
        <v>8</v>
      </c>
      <c r="AC1041">
        <v>3</v>
      </c>
      <c r="AD1041">
        <v>0</v>
      </c>
      <c r="AE1041">
        <v>9</v>
      </c>
      <c r="AF1041" t="s">
        <v>138</v>
      </c>
      <c r="AG1041">
        <v>0</v>
      </c>
      <c r="AH1041">
        <v>3</v>
      </c>
      <c r="AI1041">
        <v>2</v>
      </c>
      <c r="AJ1041">
        <v>0</v>
      </c>
      <c r="AK1041" t="s">
        <v>430</v>
      </c>
      <c r="AL1041">
        <v>38.989964000000001</v>
      </c>
      <c r="AM1041" t="s">
        <v>431</v>
      </c>
      <c r="AN1041">
        <v>-121.052921</v>
      </c>
      <c r="AO1041">
        <v>25</v>
      </c>
      <c r="AP1041">
        <v>3200</v>
      </c>
      <c r="AQ1041" t="s">
        <v>131</v>
      </c>
      <c r="AR1041">
        <v>-4</v>
      </c>
      <c r="AS1041">
        <v>84</v>
      </c>
      <c r="AT1041">
        <v>640</v>
      </c>
      <c r="BB1041" t="str">
        <f t="shared" si="408"/>
        <v>1200</v>
      </c>
      <c r="BC1041">
        <v>1</v>
      </c>
      <c r="BD1041" t="str">
        <f t="shared" si="409"/>
        <v xml:space="preserve">N52156  </v>
      </c>
      <c r="BE1041">
        <v>1</v>
      </c>
      <c r="BG1041">
        <v>0</v>
      </c>
      <c r="BH1041">
        <v>0</v>
      </c>
      <c r="BI1041">
        <v>0</v>
      </c>
      <c r="BJ1041">
        <v>3150</v>
      </c>
      <c r="BK1041">
        <v>-50</v>
      </c>
      <c r="BL1041" t="s">
        <v>188</v>
      </c>
      <c r="BM1041">
        <v>1</v>
      </c>
      <c r="BN1041">
        <v>1</v>
      </c>
      <c r="BO1041">
        <v>0</v>
      </c>
      <c r="BP1041">
        <v>0</v>
      </c>
      <c r="BS1041">
        <v>0</v>
      </c>
      <c r="BT1041">
        <v>0</v>
      </c>
      <c r="BU1041">
        <v>0</v>
      </c>
      <c r="CE1041" t="str">
        <f t="shared" si="415"/>
        <v>15:07:25.334</v>
      </c>
      <c r="CF1041">
        <v>333701636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4</v>
      </c>
      <c r="CY1041">
        <v>7</v>
      </c>
      <c r="CZ1041" t="s">
        <v>133</v>
      </c>
      <c r="DA1041">
        <v>275</v>
      </c>
      <c r="DB1041">
        <v>0</v>
      </c>
      <c r="DC1041" t="s">
        <v>134</v>
      </c>
      <c r="DD1041" t="s">
        <v>135</v>
      </c>
      <c r="DG1041">
        <v>3319678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"05/01/2025 15:07:25.564"</f>
        <v>05/01/2025 15:07:25.564</v>
      </c>
      <c r="C1042" t="str">
        <f t="shared" si="406"/>
        <v>FFDFD3C0</v>
      </c>
      <c r="D1042" t="s">
        <v>124</v>
      </c>
      <c r="E1042" t="str">
        <f>"06"</f>
        <v>06</v>
      </c>
      <c r="F1042">
        <v>2006</v>
      </c>
      <c r="G1042" t="s">
        <v>125</v>
      </c>
      <c r="J1042" t="s">
        <v>126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R1042" t="s">
        <v>127</v>
      </c>
      <c r="S1042" t="str">
        <f t="shared" si="414"/>
        <v>15:07:25.000</v>
      </c>
      <c r="T1042" t="str">
        <f t="shared" si="414"/>
        <v>15:07:25.000</v>
      </c>
      <c r="U1042" t="str">
        <f t="shared" si="407"/>
        <v>A68FCB</v>
      </c>
      <c r="V1042">
        <v>0</v>
      </c>
      <c r="W1042">
        <v>0</v>
      </c>
      <c r="X1042">
        <v>2</v>
      </c>
      <c r="Y1042">
        <v>0</v>
      </c>
      <c r="AA1042">
        <v>1</v>
      </c>
      <c r="AB1042">
        <v>8</v>
      </c>
      <c r="AC1042">
        <v>3</v>
      </c>
      <c r="AD1042">
        <v>0</v>
      </c>
      <c r="AE1042">
        <v>9</v>
      </c>
      <c r="AF1042" t="s">
        <v>138</v>
      </c>
      <c r="AG1042">
        <v>0</v>
      </c>
      <c r="AH1042">
        <v>3</v>
      </c>
      <c r="AI1042">
        <v>2</v>
      </c>
      <c r="AJ1042">
        <v>0</v>
      </c>
      <c r="AK1042" t="s">
        <v>430</v>
      </c>
      <c r="AL1042">
        <v>38.989964000000001</v>
      </c>
      <c r="AM1042" t="s">
        <v>431</v>
      </c>
      <c r="AN1042">
        <v>-121.052921</v>
      </c>
      <c r="AO1042">
        <v>25</v>
      </c>
      <c r="AP1042">
        <v>3200</v>
      </c>
      <c r="AQ1042" t="s">
        <v>131</v>
      </c>
      <c r="AR1042">
        <v>-4</v>
      </c>
      <c r="AS1042">
        <v>84</v>
      </c>
      <c r="AT1042">
        <v>640</v>
      </c>
      <c r="BB1042" t="str">
        <f t="shared" si="408"/>
        <v>1200</v>
      </c>
      <c r="BC1042">
        <v>1</v>
      </c>
      <c r="BD1042" t="str">
        <f t="shared" si="409"/>
        <v xml:space="preserve">N52156  </v>
      </c>
      <c r="BE1042">
        <v>1</v>
      </c>
      <c r="BG1042">
        <v>0</v>
      </c>
      <c r="BH1042">
        <v>0</v>
      </c>
      <c r="BI1042">
        <v>0</v>
      </c>
      <c r="BJ1042">
        <v>3150</v>
      </c>
      <c r="BK1042">
        <v>-50</v>
      </c>
      <c r="BL1042" t="s">
        <v>188</v>
      </c>
      <c r="BM1042">
        <v>1</v>
      </c>
      <c r="BN1042">
        <v>1</v>
      </c>
      <c r="BO1042">
        <v>0</v>
      </c>
      <c r="BP1042">
        <v>0</v>
      </c>
      <c r="BS1042">
        <v>0</v>
      </c>
      <c r="BT1042">
        <v>0</v>
      </c>
      <c r="BU1042">
        <v>0</v>
      </c>
      <c r="CE1042" t="str">
        <f t="shared" si="415"/>
        <v>15:07:25.334</v>
      </c>
      <c r="CF1042">
        <v>333701636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4</v>
      </c>
      <c r="CY1042">
        <v>7</v>
      </c>
      <c r="CZ1042" t="s">
        <v>133</v>
      </c>
      <c r="DA1042">
        <v>275</v>
      </c>
      <c r="DB1042">
        <v>0</v>
      </c>
      <c r="DC1042" t="s">
        <v>134</v>
      </c>
      <c r="DD1042" t="s">
        <v>135</v>
      </c>
      <c r="DG1042">
        <v>3319678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"05/01/2025 15:07:25.566"</f>
        <v>05/01/2025 15:07:25.566</v>
      </c>
      <c r="C1043" t="str">
        <f t="shared" si="406"/>
        <v>FFDFD3C0</v>
      </c>
      <c r="D1043" t="s">
        <v>145</v>
      </c>
      <c r="E1043" t="str">
        <f>"09"</f>
        <v>09</v>
      </c>
      <c r="H1043">
        <v>51</v>
      </c>
      <c r="I1043" t="s">
        <v>147</v>
      </c>
      <c r="J1043" t="s">
        <v>138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R1043" t="s">
        <v>127</v>
      </c>
      <c r="S1043" t="str">
        <f t="shared" si="414"/>
        <v>15:07:25.000</v>
      </c>
      <c r="T1043" t="str">
        <f t="shared" si="414"/>
        <v>15:07:25.000</v>
      </c>
      <c r="U1043" t="str">
        <f t="shared" si="407"/>
        <v>A68FCB</v>
      </c>
      <c r="V1043">
        <v>0</v>
      </c>
      <c r="W1043">
        <v>0</v>
      </c>
      <c r="X1043">
        <v>2</v>
      </c>
      <c r="Y1043">
        <v>0</v>
      </c>
      <c r="AA1043">
        <v>1</v>
      </c>
      <c r="AB1043">
        <v>8</v>
      </c>
      <c r="AC1043">
        <v>3</v>
      </c>
      <c r="AD1043">
        <v>0</v>
      </c>
      <c r="AE1043">
        <v>9</v>
      </c>
      <c r="AF1043" t="s">
        <v>138</v>
      </c>
      <c r="AG1043">
        <v>0</v>
      </c>
      <c r="AH1043">
        <v>3</v>
      </c>
      <c r="AI1043">
        <v>2</v>
      </c>
      <c r="AJ1043">
        <v>0</v>
      </c>
      <c r="AK1043" t="s">
        <v>430</v>
      </c>
      <c r="AL1043">
        <v>38.989964000000001</v>
      </c>
      <c r="AM1043" t="s">
        <v>431</v>
      </c>
      <c r="AN1043">
        <v>-121.052921</v>
      </c>
      <c r="AO1043">
        <v>25</v>
      </c>
      <c r="AP1043">
        <v>3200</v>
      </c>
      <c r="AQ1043" t="s">
        <v>131</v>
      </c>
      <c r="AR1043">
        <v>-4</v>
      </c>
      <c r="AS1043">
        <v>84</v>
      </c>
      <c r="AT1043">
        <v>640</v>
      </c>
      <c r="BB1043" t="str">
        <f t="shared" si="408"/>
        <v>1200</v>
      </c>
      <c r="BC1043">
        <v>1</v>
      </c>
      <c r="BD1043" t="str">
        <f t="shared" si="409"/>
        <v xml:space="preserve">N52156  </v>
      </c>
      <c r="BE1043">
        <v>1</v>
      </c>
      <c r="BG1043">
        <v>0</v>
      </c>
      <c r="BH1043">
        <v>0</v>
      </c>
      <c r="BI1043">
        <v>0</v>
      </c>
      <c r="BJ1043">
        <v>3150</v>
      </c>
      <c r="BK1043">
        <v>-50</v>
      </c>
      <c r="BL1043" t="s">
        <v>188</v>
      </c>
      <c r="BM1043">
        <v>1</v>
      </c>
      <c r="BN1043">
        <v>1</v>
      </c>
      <c r="BO1043">
        <v>0</v>
      </c>
      <c r="BP1043">
        <v>0</v>
      </c>
      <c r="BS1043">
        <v>0</v>
      </c>
      <c r="BT1043">
        <v>0</v>
      </c>
      <c r="BU1043">
        <v>0</v>
      </c>
      <c r="CE1043" t="str">
        <f t="shared" si="415"/>
        <v>15:07:25.334</v>
      </c>
      <c r="CF1043">
        <v>333701636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4</v>
      </c>
      <c r="CY1043">
        <v>7</v>
      </c>
      <c r="CZ1043" t="s">
        <v>133</v>
      </c>
      <c r="DA1043">
        <v>275</v>
      </c>
      <c r="DB1043">
        <v>0</v>
      </c>
      <c r="DC1043" t="s">
        <v>134</v>
      </c>
      <c r="DD1043" t="s">
        <v>135</v>
      </c>
      <c r="DG1043">
        <v>3319678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"05/01/2025 15:07:25.566"</f>
        <v>05/01/2025 15:07:25.566</v>
      </c>
      <c r="C1044" t="str">
        <f t="shared" si="406"/>
        <v>FFDFD3C0</v>
      </c>
      <c r="D1044" t="s">
        <v>143</v>
      </c>
      <c r="E1044" t="str">
        <f>"05"</f>
        <v>05</v>
      </c>
      <c r="H1044">
        <v>172</v>
      </c>
      <c r="I1044" t="s">
        <v>141</v>
      </c>
      <c r="J1044" t="s">
        <v>144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R1044" t="s">
        <v>127</v>
      </c>
      <c r="S1044" t="str">
        <f t="shared" si="414"/>
        <v>15:07:25.000</v>
      </c>
      <c r="T1044" t="str">
        <f t="shared" si="414"/>
        <v>15:07:25.000</v>
      </c>
      <c r="U1044" t="str">
        <f t="shared" si="407"/>
        <v>A68FCB</v>
      </c>
      <c r="V1044">
        <v>0</v>
      </c>
      <c r="W1044">
        <v>0</v>
      </c>
      <c r="X1044">
        <v>2</v>
      </c>
      <c r="Y1044">
        <v>0</v>
      </c>
      <c r="AA1044">
        <v>1</v>
      </c>
      <c r="AB1044">
        <v>8</v>
      </c>
      <c r="AC1044">
        <v>3</v>
      </c>
      <c r="AD1044">
        <v>0</v>
      </c>
      <c r="AE1044">
        <v>9</v>
      </c>
      <c r="AF1044" t="s">
        <v>138</v>
      </c>
      <c r="AG1044">
        <v>0</v>
      </c>
      <c r="AH1044">
        <v>3</v>
      </c>
      <c r="AI1044">
        <v>2</v>
      </c>
      <c r="AJ1044">
        <v>0</v>
      </c>
      <c r="AK1044" t="s">
        <v>430</v>
      </c>
      <c r="AL1044">
        <v>38.989964000000001</v>
      </c>
      <c r="AM1044" t="s">
        <v>431</v>
      </c>
      <c r="AN1044">
        <v>-121.052921</v>
      </c>
      <c r="AO1044">
        <v>25</v>
      </c>
      <c r="AP1044">
        <v>3200</v>
      </c>
      <c r="AQ1044" t="s">
        <v>131</v>
      </c>
      <c r="AR1044">
        <v>-4</v>
      </c>
      <c r="AS1044">
        <v>84</v>
      </c>
      <c r="AT1044">
        <v>640</v>
      </c>
      <c r="BB1044" t="str">
        <f t="shared" si="408"/>
        <v>1200</v>
      </c>
      <c r="BC1044">
        <v>1</v>
      </c>
      <c r="BD1044" t="str">
        <f t="shared" si="409"/>
        <v xml:space="preserve">N52156  </v>
      </c>
      <c r="BE1044">
        <v>1</v>
      </c>
      <c r="BG1044">
        <v>0</v>
      </c>
      <c r="BH1044">
        <v>0</v>
      </c>
      <c r="BI1044">
        <v>0</v>
      </c>
      <c r="BJ1044">
        <v>3150</v>
      </c>
      <c r="BK1044">
        <v>-50</v>
      </c>
      <c r="BL1044" t="s">
        <v>188</v>
      </c>
      <c r="BM1044">
        <v>1</v>
      </c>
      <c r="BN1044">
        <v>1</v>
      </c>
      <c r="BO1044">
        <v>0</v>
      </c>
      <c r="BP1044">
        <v>0</v>
      </c>
      <c r="BS1044">
        <v>0</v>
      </c>
      <c r="BT1044">
        <v>0</v>
      </c>
      <c r="BU1044">
        <v>0</v>
      </c>
      <c r="CE1044" t="str">
        <f t="shared" si="415"/>
        <v>15:07:25.334</v>
      </c>
      <c r="CF1044">
        <v>333701636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4</v>
      </c>
      <c r="CY1044">
        <v>7</v>
      </c>
      <c r="CZ1044" t="s">
        <v>133</v>
      </c>
      <c r="DA1044">
        <v>275</v>
      </c>
      <c r="DB1044">
        <v>0</v>
      </c>
      <c r="DC1044" t="s">
        <v>134</v>
      </c>
      <c r="DD1044" t="s">
        <v>135</v>
      </c>
      <c r="DG1044">
        <v>3319678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"05/01/2025 15:07:25.573"</f>
        <v>05/01/2025 15:07:25.573</v>
      </c>
      <c r="C1045" t="str">
        <f t="shared" si="406"/>
        <v>FFDFD3C0</v>
      </c>
      <c r="D1045" t="s">
        <v>136</v>
      </c>
      <c r="E1045" t="str">
        <f>"20"</f>
        <v>20</v>
      </c>
      <c r="H1045">
        <v>400</v>
      </c>
      <c r="I1045" t="s">
        <v>137</v>
      </c>
      <c r="J1045" t="s">
        <v>138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R1045" t="s">
        <v>127</v>
      </c>
      <c r="S1045" t="str">
        <f t="shared" si="414"/>
        <v>15:07:25.000</v>
      </c>
      <c r="T1045" t="str">
        <f t="shared" si="414"/>
        <v>15:07:25.000</v>
      </c>
      <c r="U1045" t="str">
        <f t="shared" si="407"/>
        <v>A68FCB</v>
      </c>
      <c r="V1045">
        <v>0</v>
      </c>
      <c r="W1045">
        <v>0</v>
      </c>
      <c r="X1045">
        <v>2</v>
      </c>
      <c r="Y1045">
        <v>0</v>
      </c>
      <c r="AA1045">
        <v>1</v>
      </c>
      <c r="AB1045">
        <v>8</v>
      </c>
      <c r="AC1045">
        <v>3</v>
      </c>
      <c r="AD1045">
        <v>0</v>
      </c>
      <c r="AE1045">
        <v>9</v>
      </c>
      <c r="AF1045" t="s">
        <v>138</v>
      </c>
      <c r="AG1045">
        <v>0</v>
      </c>
      <c r="AH1045">
        <v>3</v>
      </c>
      <c r="AI1045">
        <v>2</v>
      </c>
      <c r="AJ1045">
        <v>0</v>
      </c>
      <c r="AK1045" t="s">
        <v>430</v>
      </c>
      <c r="AL1045">
        <v>38.989964000000001</v>
      </c>
      <c r="AM1045" t="s">
        <v>431</v>
      </c>
      <c r="AN1045">
        <v>-121.052921</v>
      </c>
      <c r="AO1045">
        <v>25</v>
      </c>
      <c r="AP1045">
        <v>3200</v>
      </c>
      <c r="AQ1045" t="s">
        <v>131</v>
      </c>
      <c r="AR1045">
        <v>-4</v>
      </c>
      <c r="AS1045">
        <v>84</v>
      </c>
      <c r="AT1045">
        <v>640</v>
      </c>
      <c r="BB1045" t="str">
        <f t="shared" si="408"/>
        <v>1200</v>
      </c>
      <c r="BC1045">
        <v>1</v>
      </c>
      <c r="BD1045" t="str">
        <f t="shared" si="409"/>
        <v xml:space="preserve">N52156  </v>
      </c>
      <c r="BE1045">
        <v>1</v>
      </c>
      <c r="BG1045">
        <v>0</v>
      </c>
      <c r="BH1045">
        <v>0</v>
      </c>
      <c r="BI1045">
        <v>0</v>
      </c>
      <c r="BJ1045">
        <v>3150</v>
      </c>
      <c r="BK1045">
        <v>-50</v>
      </c>
      <c r="BL1045" t="s">
        <v>188</v>
      </c>
      <c r="BM1045">
        <v>1</v>
      </c>
      <c r="BN1045">
        <v>1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 t="shared" si="415"/>
        <v>15:07:25.334</v>
      </c>
      <c r="CF1045">
        <v>333701636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4</v>
      </c>
      <c r="CY1045">
        <v>7</v>
      </c>
      <c r="CZ1045" t="s">
        <v>133</v>
      </c>
      <c r="DA1045">
        <v>275</v>
      </c>
      <c r="DB1045">
        <v>0</v>
      </c>
      <c r="DC1045" t="s">
        <v>134</v>
      </c>
      <c r="DD1045" t="s">
        <v>135</v>
      </c>
      <c r="DG1045">
        <v>3319678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"05/01/2025 15:07:26.808"</f>
        <v>05/01/2025 15:07:26.808</v>
      </c>
      <c r="C1046" t="str">
        <f t="shared" si="406"/>
        <v>FFDFD3C0</v>
      </c>
      <c r="D1046" t="s">
        <v>140</v>
      </c>
      <c r="E1046" t="str">
        <f>"13"</f>
        <v>13</v>
      </c>
      <c r="F1046">
        <v>1019</v>
      </c>
      <c r="G1046" t="s">
        <v>141</v>
      </c>
      <c r="J1046" t="s">
        <v>142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R1046" t="s">
        <v>127</v>
      </c>
      <c r="S1046" t="str">
        <f t="shared" ref="S1046:T1051" si="416">"15:07:26.000"</f>
        <v>15:07:26.000</v>
      </c>
      <c r="T1046" t="str">
        <f t="shared" si="416"/>
        <v>15:07:26.000</v>
      </c>
      <c r="U1046" t="str">
        <f t="shared" si="407"/>
        <v>A68FCB</v>
      </c>
      <c r="V1046">
        <v>0</v>
      </c>
      <c r="W1046">
        <v>0</v>
      </c>
      <c r="X1046">
        <v>2</v>
      </c>
      <c r="Y1046">
        <v>0</v>
      </c>
      <c r="AA1046">
        <v>1</v>
      </c>
      <c r="AB1046">
        <v>8</v>
      </c>
      <c r="AC1046">
        <v>3</v>
      </c>
      <c r="AD1046">
        <v>0</v>
      </c>
      <c r="AE1046">
        <v>9</v>
      </c>
      <c r="AF1046" t="s">
        <v>138</v>
      </c>
      <c r="AG1046">
        <v>0</v>
      </c>
      <c r="AH1046">
        <v>3</v>
      </c>
      <c r="AI1046">
        <v>2</v>
      </c>
      <c r="AJ1046">
        <v>0</v>
      </c>
      <c r="AK1046" t="s">
        <v>432</v>
      </c>
      <c r="AL1046">
        <v>38.990349999999999</v>
      </c>
      <c r="AM1046" t="s">
        <v>433</v>
      </c>
      <c r="AN1046">
        <v>-121.052942</v>
      </c>
      <c r="AO1046">
        <v>25</v>
      </c>
      <c r="AP1046">
        <v>3200</v>
      </c>
      <c r="AQ1046" t="s">
        <v>131</v>
      </c>
      <c r="AR1046">
        <v>-1</v>
      </c>
      <c r="AS1046">
        <v>83</v>
      </c>
      <c r="AT1046">
        <v>576</v>
      </c>
      <c r="BB1046" t="str">
        <f t="shared" si="408"/>
        <v>1200</v>
      </c>
      <c r="BC1046">
        <v>1</v>
      </c>
      <c r="BD1046" t="str">
        <f t="shared" si="409"/>
        <v xml:space="preserve">N52156  </v>
      </c>
      <c r="BE1046">
        <v>1</v>
      </c>
      <c r="BG1046">
        <v>0</v>
      </c>
      <c r="BH1046">
        <v>0</v>
      </c>
      <c r="BI1046">
        <v>0</v>
      </c>
      <c r="BJ1046">
        <v>3150</v>
      </c>
      <c r="BK1046">
        <v>-50</v>
      </c>
      <c r="BL1046" t="s">
        <v>188</v>
      </c>
      <c r="BM1046">
        <v>1</v>
      </c>
      <c r="BN1046">
        <v>1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 t="shared" ref="CE1046:CE1051" si="417">"15:07:26.572"</f>
        <v>15:07:26.572</v>
      </c>
      <c r="CF1046">
        <v>572261029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4</v>
      </c>
      <c r="CY1046">
        <v>7</v>
      </c>
      <c r="CZ1046" t="s">
        <v>133</v>
      </c>
      <c r="DA1046">
        <v>276</v>
      </c>
      <c r="DB1046">
        <v>0</v>
      </c>
      <c r="DC1046" t="s">
        <v>402</v>
      </c>
      <c r="DD1046" t="s">
        <v>403</v>
      </c>
      <c r="DG1046">
        <v>1625015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"05/01/2025 15:07:26.814"</f>
        <v>05/01/2025 15:07:26.814</v>
      </c>
      <c r="C1047" t="str">
        <f t="shared" si="406"/>
        <v>FFDFD3C0</v>
      </c>
      <c r="D1047" t="s">
        <v>145</v>
      </c>
      <c r="E1047" t="str">
        <f>"05"</f>
        <v>05</v>
      </c>
      <c r="H1047">
        <v>47</v>
      </c>
      <c r="I1047" t="s">
        <v>146</v>
      </c>
      <c r="J1047" t="s">
        <v>138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R1047" t="s">
        <v>127</v>
      </c>
      <c r="S1047" t="str">
        <f t="shared" si="416"/>
        <v>15:07:26.000</v>
      </c>
      <c r="T1047" t="str">
        <f t="shared" si="416"/>
        <v>15:07:26.000</v>
      </c>
      <c r="U1047" t="str">
        <f t="shared" si="407"/>
        <v>A68FCB</v>
      </c>
      <c r="V1047">
        <v>0</v>
      </c>
      <c r="W1047">
        <v>0</v>
      </c>
      <c r="X1047">
        <v>2</v>
      </c>
      <c r="Y1047">
        <v>0</v>
      </c>
      <c r="AA1047">
        <v>1</v>
      </c>
      <c r="AB1047">
        <v>8</v>
      </c>
      <c r="AC1047">
        <v>3</v>
      </c>
      <c r="AD1047">
        <v>0</v>
      </c>
      <c r="AE1047">
        <v>9</v>
      </c>
      <c r="AF1047" t="s">
        <v>138</v>
      </c>
      <c r="AG1047">
        <v>0</v>
      </c>
      <c r="AH1047">
        <v>3</v>
      </c>
      <c r="AI1047">
        <v>2</v>
      </c>
      <c r="AJ1047">
        <v>0</v>
      </c>
      <c r="AK1047" t="s">
        <v>432</v>
      </c>
      <c r="AL1047">
        <v>38.990349999999999</v>
      </c>
      <c r="AM1047" t="s">
        <v>433</v>
      </c>
      <c r="AN1047">
        <v>-121.052942</v>
      </c>
      <c r="AO1047">
        <v>25</v>
      </c>
      <c r="AP1047">
        <v>3200</v>
      </c>
      <c r="AQ1047" t="s">
        <v>131</v>
      </c>
      <c r="AR1047">
        <v>-1</v>
      </c>
      <c r="AS1047">
        <v>83</v>
      </c>
      <c r="AT1047">
        <v>576</v>
      </c>
      <c r="BB1047" t="str">
        <f t="shared" si="408"/>
        <v>1200</v>
      </c>
      <c r="BC1047">
        <v>1</v>
      </c>
      <c r="BD1047" t="str">
        <f t="shared" si="409"/>
        <v xml:space="preserve">N52156  </v>
      </c>
      <c r="BE1047">
        <v>1</v>
      </c>
      <c r="BG1047">
        <v>0</v>
      </c>
      <c r="BH1047">
        <v>0</v>
      </c>
      <c r="BI1047">
        <v>0</v>
      </c>
      <c r="BJ1047">
        <v>3150</v>
      </c>
      <c r="BK1047">
        <v>-50</v>
      </c>
      <c r="BL1047" t="s">
        <v>188</v>
      </c>
      <c r="BM1047">
        <v>1</v>
      </c>
      <c r="BN1047">
        <v>1</v>
      </c>
      <c r="BO1047">
        <v>0</v>
      </c>
      <c r="BP1047">
        <v>0</v>
      </c>
      <c r="BS1047">
        <v>0</v>
      </c>
      <c r="BT1047">
        <v>0</v>
      </c>
      <c r="BU1047">
        <v>0</v>
      </c>
      <c r="CE1047" t="str">
        <f t="shared" si="417"/>
        <v>15:07:26.572</v>
      </c>
      <c r="CF1047">
        <v>572261029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4</v>
      </c>
      <c r="CY1047">
        <v>7</v>
      </c>
      <c r="CZ1047" t="s">
        <v>133</v>
      </c>
      <c r="DA1047">
        <v>276</v>
      </c>
      <c r="DB1047">
        <v>0</v>
      </c>
      <c r="DC1047" t="s">
        <v>402</v>
      </c>
      <c r="DD1047" t="s">
        <v>403</v>
      </c>
      <c r="DG1047">
        <v>1625015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"05/01/2025 15:07:26.816"</f>
        <v>05/01/2025 15:07:26.816</v>
      </c>
      <c r="C1048" t="str">
        <f t="shared" si="406"/>
        <v>FFDFD3C0</v>
      </c>
      <c r="D1048" t="s">
        <v>124</v>
      </c>
      <c r="E1048" t="str">
        <f>"06"</f>
        <v>06</v>
      </c>
      <c r="F1048">
        <v>2006</v>
      </c>
      <c r="G1048" t="s">
        <v>125</v>
      </c>
      <c r="J1048" t="s">
        <v>126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R1048" t="s">
        <v>127</v>
      </c>
      <c r="S1048" t="str">
        <f t="shared" si="416"/>
        <v>15:07:26.000</v>
      </c>
      <c r="T1048" t="str">
        <f t="shared" si="416"/>
        <v>15:07:26.000</v>
      </c>
      <c r="U1048" t="str">
        <f t="shared" si="407"/>
        <v>A68FCB</v>
      </c>
      <c r="V1048">
        <v>0</v>
      </c>
      <c r="W1048">
        <v>0</v>
      </c>
      <c r="X1048">
        <v>2</v>
      </c>
      <c r="Y1048">
        <v>0</v>
      </c>
      <c r="AA1048">
        <v>1</v>
      </c>
      <c r="AB1048">
        <v>8</v>
      </c>
      <c r="AC1048">
        <v>3</v>
      </c>
      <c r="AD1048">
        <v>0</v>
      </c>
      <c r="AE1048">
        <v>9</v>
      </c>
      <c r="AF1048" t="s">
        <v>138</v>
      </c>
      <c r="AG1048">
        <v>0</v>
      </c>
      <c r="AH1048">
        <v>3</v>
      </c>
      <c r="AI1048">
        <v>2</v>
      </c>
      <c r="AJ1048">
        <v>0</v>
      </c>
      <c r="AK1048" t="s">
        <v>432</v>
      </c>
      <c r="AL1048">
        <v>38.990349999999999</v>
      </c>
      <c r="AM1048" t="s">
        <v>433</v>
      </c>
      <c r="AN1048">
        <v>-121.052942</v>
      </c>
      <c r="AO1048">
        <v>25</v>
      </c>
      <c r="AP1048">
        <v>3200</v>
      </c>
      <c r="AQ1048" t="s">
        <v>131</v>
      </c>
      <c r="AR1048">
        <v>-1</v>
      </c>
      <c r="AS1048">
        <v>83</v>
      </c>
      <c r="AT1048">
        <v>576</v>
      </c>
      <c r="BB1048" t="str">
        <f t="shared" si="408"/>
        <v>1200</v>
      </c>
      <c r="BC1048">
        <v>1</v>
      </c>
      <c r="BD1048" t="str">
        <f t="shared" si="409"/>
        <v xml:space="preserve">N52156  </v>
      </c>
      <c r="BE1048">
        <v>1</v>
      </c>
      <c r="BG1048">
        <v>0</v>
      </c>
      <c r="BH1048">
        <v>0</v>
      </c>
      <c r="BI1048">
        <v>0</v>
      </c>
      <c r="BJ1048">
        <v>3150</v>
      </c>
      <c r="BK1048">
        <v>-50</v>
      </c>
      <c r="BL1048" t="s">
        <v>188</v>
      </c>
      <c r="BM1048">
        <v>1</v>
      </c>
      <c r="BN1048">
        <v>1</v>
      </c>
      <c r="BO1048">
        <v>0</v>
      </c>
      <c r="BP1048">
        <v>0</v>
      </c>
      <c r="BS1048">
        <v>0</v>
      </c>
      <c r="BT1048">
        <v>0</v>
      </c>
      <c r="BU1048">
        <v>0</v>
      </c>
      <c r="CE1048" t="str">
        <f t="shared" si="417"/>
        <v>15:07:26.572</v>
      </c>
      <c r="CF1048">
        <v>572261029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4</v>
      </c>
      <c r="CY1048">
        <v>7</v>
      </c>
      <c r="CZ1048" t="s">
        <v>133</v>
      </c>
      <c r="DA1048">
        <v>276</v>
      </c>
      <c r="DB1048">
        <v>0</v>
      </c>
      <c r="DC1048" t="s">
        <v>402</v>
      </c>
      <c r="DD1048" t="s">
        <v>403</v>
      </c>
      <c r="DG1048">
        <v>1625015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"05/01/2025 15:07:26.818"</f>
        <v>05/01/2025 15:07:26.818</v>
      </c>
      <c r="C1049" t="str">
        <f t="shared" si="406"/>
        <v>FFDFD3C0</v>
      </c>
      <c r="D1049" t="s">
        <v>143</v>
      </c>
      <c r="E1049" t="str">
        <f>"05"</f>
        <v>05</v>
      </c>
      <c r="H1049">
        <v>172</v>
      </c>
      <c r="I1049" t="s">
        <v>141</v>
      </c>
      <c r="J1049" t="s">
        <v>144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R1049" t="s">
        <v>127</v>
      </c>
      <c r="S1049" t="str">
        <f t="shared" si="416"/>
        <v>15:07:26.000</v>
      </c>
      <c r="T1049" t="str">
        <f t="shared" si="416"/>
        <v>15:07:26.000</v>
      </c>
      <c r="U1049" t="str">
        <f t="shared" si="407"/>
        <v>A68FCB</v>
      </c>
      <c r="V1049">
        <v>0</v>
      </c>
      <c r="W1049">
        <v>0</v>
      </c>
      <c r="X1049">
        <v>2</v>
      </c>
      <c r="Y1049">
        <v>0</v>
      </c>
      <c r="AA1049">
        <v>1</v>
      </c>
      <c r="AB1049">
        <v>8</v>
      </c>
      <c r="AC1049">
        <v>3</v>
      </c>
      <c r="AD1049">
        <v>0</v>
      </c>
      <c r="AE1049">
        <v>9</v>
      </c>
      <c r="AF1049" t="s">
        <v>138</v>
      </c>
      <c r="AG1049">
        <v>0</v>
      </c>
      <c r="AH1049">
        <v>3</v>
      </c>
      <c r="AI1049">
        <v>2</v>
      </c>
      <c r="AJ1049">
        <v>0</v>
      </c>
      <c r="AK1049" t="s">
        <v>432</v>
      </c>
      <c r="AL1049">
        <v>38.990349999999999</v>
      </c>
      <c r="AM1049" t="s">
        <v>433</v>
      </c>
      <c r="AN1049">
        <v>-121.052942</v>
      </c>
      <c r="AO1049">
        <v>25</v>
      </c>
      <c r="AP1049">
        <v>3200</v>
      </c>
      <c r="AQ1049" t="s">
        <v>131</v>
      </c>
      <c r="AR1049">
        <v>-1</v>
      </c>
      <c r="AS1049">
        <v>83</v>
      </c>
      <c r="AT1049">
        <v>576</v>
      </c>
      <c r="BB1049" t="str">
        <f t="shared" si="408"/>
        <v>1200</v>
      </c>
      <c r="BC1049">
        <v>1</v>
      </c>
      <c r="BD1049" t="str">
        <f t="shared" si="409"/>
        <v xml:space="preserve">N52156  </v>
      </c>
      <c r="BE1049">
        <v>1</v>
      </c>
      <c r="BG1049">
        <v>0</v>
      </c>
      <c r="BH1049">
        <v>0</v>
      </c>
      <c r="BI1049">
        <v>0</v>
      </c>
      <c r="BJ1049">
        <v>3150</v>
      </c>
      <c r="BK1049">
        <v>-50</v>
      </c>
      <c r="BL1049" t="s">
        <v>188</v>
      </c>
      <c r="BM1049">
        <v>1</v>
      </c>
      <c r="BN1049">
        <v>1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 t="shared" si="417"/>
        <v>15:07:26.572</v>
      </c>
      <c r="CF1049">
        <v>572261029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4</v>
      </c>
      <c r="CY1049">
        <v>7</v>
      </c>
      <c r="CZ1049" t="s">
        <v>133</v>
      </c>
      <c r="DA1049">
        <v>276</v>
      </c>
      <c r="DB1049">
        <v>0</v>
      </c>
      <c r="DC1049" t="s">
        <v>402</v>
      </c>
      <c r="DD1049" t="s">
        <v>403</v>
      </c>
      <c r="DG1049">
        <v>1625015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"05/01/2025 15:07:26.818"</f>
        <v>05/01/2025 15:07:26.818</v>
      </c>
      <c r="C1050" t="str">
        <f t="shared" si="406"/>
        <v>FFDFD3C0</v>
      </c>
      <c r="D1050" t="s">
        <v>145</v>
      </c>
      <c r="E1050" t="str">
        <f>"09"</f>
        <v>09</v>
      </c>
      <c r="H1050">
        <v>51</v>
      </c>
      <c r="I1050" t="s">
        <v>147</v>
      </c>
      <c r="J1050" t="s">
        <v>138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R1050" t="s">
        <v>127</v>
      </c>
      <c r="S1050" t="str">
        <f t="shared" si="416"/>
        <v>15:07:26.000</v>
      </c>
      <c r="T1050" t="str">
        <f t="shared" si="416"/>
        <v>15:07:26.000</v>
      </c>
      <c r="U1050" t="str">
        <f t="shared" si="407"/>
        <v>A68FCB</v>
      </c>
      <c r="V1050">
        <v>0</v>
      </c>
      <c r="W1050">
        <v>0</v>
      </c>
      <c r="X1050">
        <v>2</v>
      </c>
      <c r="Y1050">
        <v>0</v>
      </c>
      <c r="AA1050">
        <v>1</v>
      </c>
      <c r="AB1050">
        <v>8</v>
      </c>
      <c r="AC1050">
        <v>3</v>
      </c>
      <c r="AD1050">
        <v>0</v>
      </c>
      <c r="AE1050">
        <v>9</v>
      </c>
      <c r="AF1050" t="s">
        <v>138</v>
      </c>
      <c r="AG1050">
        <v>0</v>
      </c>
      <c r="AH1050">
        <v>3</v>
      </c>
      <c r="AI1050">
        <v>2</v>
      </c>
      <c r="AJ1050">
        <v>0</v>
      </c>
      <c r="AK1050" t="s">
        <v>432</v>
      </c>
      <c r="AL1050">
        <v>38.990349999999999</v>
      </c>
      <c r="AM1050" t="s">
        <v>433</v>
      </c>
      <c r="AN1050">
        <v>-121.052942</v>
      </c>
      <c r="AO1050">
        <v>25</v>
      </c>
      <c r="AP1050">
        <v>3200</v>
      </c>
      <c r="AQ1050" t="s">
        <v>131</v>
      </c>
      <c r="AR1050">
        <v>-1</v>
      </c>
      <c r="AS1050">
        <v>83</v>
      </c>
      <c r="AT1050">
        <v>576</v>
      </c>
      <c r="BB1050" t="str">
        <f t="shared" si="408"/>
        <v>1200</v>
      </c>
      <c r="BC1050">
        <v>1</v>
      </c>
      <c r="BD1050" t="str">
        <f t="shared" si="409"/>
        <v xml:space="preserve">N52156  </v>
      </c>
      <c r="BE1050">
        <v>1</v>
      </c>
      <c r="BG1050">
        <v>0</v>
      </c>
      <c r="BH1050">
        <v>0</v>
      </c>
      <c r="BI1050">
        <v>0</v>
      </c>
      <c r="BJ1050">
        <v>3150</v>
      </c>
      <c r="BK1050">
        <v>-50</v>
      </c>
      <c r="BL1050" t="s">
        <v>188</v>
      </c>
      <c r="BM1050">
        <v>1</v>
      </c>
      <c r="BN1050">
        <v>1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 t="shared" si="417"/>
        <v>15:07:26.572</v>
      </c>
      <c r="CF1050">
        <v>572261029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4</v>
      </c>
      <c r="CY1050">
        <v>7</v>
      </c>
      <c r="CZ1050" t="s">
        <v>133</v>
      </c>
      <c r="DA1050">
        <v>276</v>
      </c>
      <c r="DB1050">
        <v>0</v>
      </c>
      <c r="DC1050" t="s">
        <v>402</v>
      </c>
      <c r="DD1050" t="s">
        <v>403</v>
      </c>
      <c r="DG1050">
        <v>1625015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"05/01/2025 15:07:26.825"</f>
        <v>05/01/2025 15:07:26.825</v>
      </c>
      <c r="C1051" t="str">
        <f t="shared" si="406"/>
        <v>FFDFD3C0</v>
      </c>
      <c r="D1051" t="s">
        <v>136</v>
      </c>
      <c r="E1051" t="str">
        <f>"20"</f>
        <v>20</v>
      </c>
      <c r="H1051">
        <v>400</v>
      </c>
      <c r="I1051" t="s">
        <v>137</v>
      </c>
      <c r="J1051" t="s">
        <v>138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R1051" t="s">
        <v>127</v>
      </c>
      <c r="S1051" t="str">
        <f t="shared" si="416"/>
        <v>15:07:26.000</v>
      </c>
      <c r="T1051" t="str">
        <f t="shared" si="416"/>
        <v>15:07:26.000</v>
      </c>
      <c r="U1051" t="str">
        <f t="shared" si="407"/>
        <v>A68FCB</v>
      </c>
      <c r="V1051">
        <v>0</v>
      </c>
      <c r="W1051">
        <v>0</v>
      </c>
      <c r="X1051">
        <v>2</v>
      </c>
      <c r="Y1051">
        <v>0</v>
      </c>
      <c r="AA1051">
        <v>1</v>
      </c>
      <c r="AB1051">
        <v>8</v>
      </c>
      <c r="AC1051">
        <v>3</v>
      </c>
      <c r="AD1051">
        <v>0</v>
      </c>
      <c r="AE1051">
        <v>9</v>
      </c>
      <c r="AF1051" t="s">
        <v>138</v>
      </c>
      <c r="AG1051">
        <v>0</v>
      </c>
      <c r="AH1051">
        <v>3</v>
      </c>
      <c r="AI1051">
        <v>2</v>
      </c>
      <c r="AJ1051">
        <v>0</v>
      </c>
      <c r="AK1051" t="s">
        <v>432</v>
      </c>
      <c r="AL1051">
        <v>38.990349999999999</v>
      </c>
      <c r="AM1051" t="s">
        <v>433</v>
      </c>
      <c r="AN1051">
        <v>-121.052942</v>
      </c>
      <c r="AO1051">
        <v>25</v>
      </c>
      <c r="AP1051">
        <v>3200</v>
      </c>
      <c r="AQ1051" t="s">
        <v>131</v>
      </c>
      <c r="AR1051">
        <v>-1</v>
      </c>
      <c r="AS1051">
        <v>83</v>
      </c>
      <c r="AT1051">
        <v>576</v>
      </c>
      <c r="BB1051" t="str">
        <f t="shared" si="408"/>
        <v>1200</v>
      </c>
      <c r="BC1051">
        <v>1</v>
      </c>
      <c r="BD1051" t="str">
        <f t="shared" si="409"/>
        <v xml:space="preserve">N52156  </v>
      </c>
      <c r="BE1051">
        <v>1</v>
      </c>
      <c r="BG1051">
        <v>0</v>
      </c>
      <c r="BH1051">
        <v>0</v>
      </c>
      <c r="BI1051">
        <v>0</v>
      </c>
      <c r="BJ1051">
        <v>3150</v>
      </c>
      <c r="BK1051">
        <v>-50</v>
      </c>
      <c r="BL1051" t="s">
        <v>188</v>
      </c>
      <c r="BM1051">
        <v>1</v>
      </c>
      <c r="BN1051">
        <v>1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 t="shared" si="417"/>
        <v>15:07:26.572</v>
      </c>
      <c r="CF1051">
        <v>572261029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4</v>
      </c>
      <c r="CY1051">
        <v>7</v>
      </c>
      <c r="CZ1051" t="s">
        <v>133</v>
      </c>
      <c r="DA1051">
        <v>276</v>
      </c>
      <c r="DB1051">
        <v>0</v>
      </c>
      <c r="DC1051" t="s">
        <v>402</v>
      </c>
      <c r="DD1051" t="s">
        <v>403</v>
      </c>
      <c r="DG1051">
        <v>1625015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"05/01/2025 15:07:27.719"</f>
        <v>05/01/2025 15:07:27.719</v>
      </c>
      <c r="C1052" t="str">
        <f t="shared" si="406"/>
        <v>FFDFD3C0</v>
      </c>
      <c r="D1052" t="s">
        <v>143</v>
      </c>
      <c r="E1052" t="str">
        <f>"05"</f>
        <v>05</v>
      </c>
      <c r="H1052">
        <v>172</v>
      </c>
      <c r="I1052" t="s">
        <v>141</v>
      </c>
      <c r="J1052" t="s">
        <v>144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R1052" t="s">
        <v>127</v>
      </c>
      <c r="S1052" t="str">
        <f t="shared" ref="S1052:T1057" si="418">"15:07:27.000"</f>
        <v>15:07:27.000</v>
      </c>
      <c r="T1052" t="str">
        <f t="shared" si="418"/>
        <v>15:07:27.000</v>
      </c>
      <c r="U1052" t="str">
        <f t="shared" si="407"/>
        <v>A68FCB</v>
      </c>
      <c r="V1052">
        <v>0</v>
      </c>
      <c r="W1052">
        <v>0</v>
      </c>
      <c r="X1052">
        <v>2</v>
      </c>
      <c r="Y1052">
        <v>0</v>
      </c>
      <c r="AA1052">
        <v>1</v>
      </c>
      <c r="AB1052">
        <v>8</v>
      </c>
      <c r="AC1052">
        <v>3</v>
      </c>
      <c r="AD1052">
        <v>0</v>
      </c>
      <c r="AE1052">
        <v>9</v>
      </c>
      <c r="AF1052" t="s">
        <v>138</v>
      </c>
      <c r="AG1052">
        <v>0</v>
      </c>
      <c r="AH1052">
        <v>3</v>
      </c>
      <c r="AI1052">
        <v>2</v>
      </c>
      <c r="AJ1052">
        <v>0</v>
      </c>
      <c r="AK1052" t="s">
        <v>434</v>
      </c>
      <c r="AL1052">
        <v>38.990735999999998</v>
      </c>
      <c r="AM1052" t="s">
        <v>433</v>
      </c>
      <c r="AN1052">
        <v>-121.052942</v>
      </c>
      <c r="AO1052">
        <v>25</v>
      </c>
      <c r="AP1052">
        <v>3200</v>
      </c>
      <c r="AQ1052" t="s">
        <v>131</v>
      </c>
      <c r="AR1052">
        <v>1</v>
      </c>
      <c r="AS1052">
        <v>82</v>
      </c>
      <c r="AT1052">
        <v>576</v>
      </c>
      <c r="BB1052" t="str">
        <f t="shared" si="408"/>
        <v>1200</v>
      </c>
      <c r="BC1052">
        <v>1</v>
      </c>
      <c r="BD1052" t="str">
        <f t="shared" si="409"/>
        <v xml:space="preserve">N52156  </v>
      </c>
      <c r="BE1052">
        <v>1</v>
      </c>
      <c r="BG1052">
        <v>0</v>
      </c>
      <c r="BH1052">
        <v>0</v>
      </c>
      <c r="BI1052">
        <v>0</v>
      </c>
      <c r="BJ1052">
        <v>3175</v>
      </c>
      <c r="BK1052">
        <v>-25</v>
      </c>
      <c r="BL1052" t="s">
        <v>188</v>
      </c>
      <c r="BM1052">
        <v>1</v>
      </c>
      <c r="BN1052">
        <v>1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 t="shared" ref="CE1052:CE1057" si="419">"15:07:27.475"</f>
        <v>15:07:27.475</v>
      </c>
      <c r="CF1052">
        <v>475202033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4</v>
      </c>
      <c r="CY1052">
        <v>7</v>
      </c>
      <c r="CZ1052" t="s">
        <v>133</v>
      </c>
      <c r="DA1052">
        <v>275</v>
      </c>
      <c r="DB1052">
        <v>0</v>
      </c>
      <c r="DC1052" t="s">
        <v>134</v>
      </c>
      <c r="DD1052" t="s">
        <v>135</v>
      </c>
      <c r="DG1052">
        <v>3319703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"05/01/2025 15:07:27.720"</f>
        <v>05/01/2025 15:07:27.720</v>
      </c>
      <c r="C1053" t="str">
        <f t="shared" si="406"/>
        <v>FFDFD3C0</v>
      </c>
      <c r="D1053" t="s">
        <v>145</v>
      </c>
      <c r="E1053" t="str">
        <f>"09"</f>
        <v>09</v>
      </c>
      <c r="H1053">
        <v>51</v>
      </c>
      <c r="I1053" t="s">
        <v>147</v>
      </c>
      <c r="J1053" t="s">
        <v>138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R1053" t="s">
        <v>127</v>
      </c>
      <c r="S1053" t="str">
        <f t="shared" si="418"/>
        <v>15:07:27.000</v>
      </c>
      <c r="T1053" t="str">
        <f t="shared" si="418"/>
        <v>15:07:27.000</v>
      </c>
      <c r="U1053" t="str">
        <f t="shared" si="407"/>
        <v>A68FCB</v>
      </c>
      <c r="V1053">
        <v>0</v>
      </c>
      <c r="W1053">
        <v>0</v>
      </c>
      <c r="X1053">
        <v>2</v>
      </c>
      <c r="Y1053">
        <v>0</v>
      </c>
      <c r="AA1053">
        <v>1</v>
      </c>
      <c r="AB1053">
        <v>8</v>
      </c>
      <c r="AC1053">
        <v>3</v>
      </c>
      <c r="AD1053">
        <v>0</v>
      </c>
      <c r="AE1053">
        <v>9</v>
      </c>
      <c r="AF1053" t="s">
        <v>138</v>
      </c>
      <c r="AG1053">
        <v>0</v>
      </c>
      <c r="AH1053">
        <v>3</v>
      </c>
      <c r="AI1053">
        <v>2</v>
      </c>
      <c r="AJ1053">
        <v>0</v>
      </c>
      <c r="AK1053" t="s">
        <v>434</v>
      </c>
      <c r="AL1053">
        <v>38.990735999999998</v>
      </c>
      <c r="AM1053" t="s">
        <v>433</v>
      </c>
      <c r="AN1053">
        <v>-121.052942</v>
      </c>
      <c r="AO1053">
        <v>25</v>
      </c>
      <c r="AP1053">
        <v>3200</v>
      </c>
      <c r="AQ1053" t="s">
        <v>131</v>
      </c>
      <c r="AR1053">
        <v>1</v>
      </c>
      <c r="AS1053">
        <v>82</v>
      </c>
      <c r="AT1053">
        <v>576</v>
      </c>
      <c r="BB1053" t="str">
        <f t="shared" si="408"/>
        <v>1200</v>
      </c>
      <c r="BC1053">
        <v>1</v>
      </c>
      <c r="BD1053" t="str">
        <f t="shared" si="409"/>
        <v xml:space="preserve">N52156  </v>
      </c>
      <c r="BE1053">
        <v>1</v>
      </c>
      <c r="BG1053">
        <v>0</v>
      </c>
      <c r="BH1053">
        <v>0</v>
      </c>
      <c r="BI1053">
        <v>0</v>
      </c>
      <c r="BJ1053">
        <v>3175</v>
      </c>
      <c r="BK1053">
        <v>-25</v>
      </c>
      <c r="BL1053" t="s">
        <v>188</v>
      </c>
      <c r="BM1053">
        <v>1</v>
      </c>
      <c r="BN1053">
        <v>1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 t="shared" si="419"/>
        <v>15:07:27.475</v>
      </c>
      <c r="CF1053">
        <v>475202033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4</v>
      </c>
      <c r="CY1053">
        <v>7</v>
      </c>
      <c r="CZ1053" t="s">
        <v>133</v>
      </c>
      <c r="DA1053">
        <v>275</v>
      </c>
      <c r="DB1053">
        <v>0</v>
      </c>
      <c r="DC1053" t="s">
        <v>134</v>
      </c>
      <c r="DD1053" t="s">
        <v>135</v>
      </c>
      <c r="DG1053">
        <v>3319703</v>
      </c>
      <c r="DI1053">
        <v>1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"05/01/2025 15:07:27.727"</f>
        <v>05/01/2025 15:07:27.727</v>
      </c>
      <c r="C1054" t="str">
        <f t="shared" si="406"/>
        <v>FFDFD3C0</v>
      </c>
      <c r="D1054" t="s">
        <v>136</v>
      </c>
      <c r="E1054" t="str">
        <f>"20"</f>
        <v>20</v>
      </c>
      <c r="H1054">
        <v>400</v>
      </c>
      <c r="I1054" t="s">
        <v>137</v>
      </c>
      <c r="J1054" t="s">
        <v>138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R1054" t="s">
        <v>127</v>
      </c>
      <c r="S1054" t="str">
        <f t="shared" si="418"/>
        <v>15:07:27.000</v>
      </c>
      <c r="T1054" t="str">
        <f t="shared" si="418"/>
        <v>15:07:27.000</v>
      </c>
      <c r="U1054" t="str">
        <f t="shared" si="407"/>
        <v>A68FCB</v>
      </c>
      <c r="V1054">
        <v>0</v>
      </c>
      <c r="W1054">
        <v>0</v>
      </c>
      <c r="X1054">
        <v>2</v>
      </c>
      <c r="Y1054">
        <v>0</v>
      </c>
      <c r="AA1054">
        <v>1</v>
      </c>
      <c r="AB1054">
        <v>8</v>
      </c>
      <c r="AC1054">
        <v>3</v>
      </c>
      <c r="AD1054">
        <v>0</v>
      </c>
      <c r="AE1054">
        <v>9</v>
      </c>
      <c r="AF1054" t="s">
        <v>138</v>
      </c>
      <c r="AG1054">
        <v>0</v>
      </c>
      <c r="AH1054">
        <v>3</v>
      </c>
      <c r="AI1054">
        <v>2</v>
      </c>
      <c r="AJ1054">
        <v>0</v>
      </c>
      <c r="AK1054" t="s">
        <v>434</v>
      </c>
      <c r="AL1054">
        <v>38.990735999999998</v>
      </c>
      <c r="AM1054" t="s">
        <v>433</v>
      </c>
      <c r="AN1054">
        <v>-121.052942</v>
      </c>
      <c r="AO1054">
        <v>25</v>
      </c>
      <c r="AP1054">
        <v>3200</v>
      </c>
      <c r="AQ1054" t="s">
        <v>131</v>
      </c>
      <c r="AR1054">
        <v>1</v>
      </c>
      <c r="AS1054">
        <v>82</v>
      </c>
      <c r="AT1054">
        <v>576</v>
      </c>
      <c r="BB1054" t="str">
        <f t="shared" si="408"/>
        <v>1200</v>
      </c>
      <c r="BC1054">
        <v>1</v>
      </c>
      <c r="BD1054" t="str">
        <f t="shared" si="409"/>
        <v xml:space="preserve">N52156  </v>
      </c>
      <c r="BE1054">
        <v>1</v>
      </c>
      <c r="BG1054">
        <v>0</v>
      </c>
      <c r="BH1054">
        <v>0</v>
      </c>
      <c r="BI1054">
        <v>0</v>
      </c>
      <c r="BJ1054">
        <v>3175</v>
      </c>
      <c r="BK1054">
        <v>-25</v>
      </c>
      <c r="BL1054" t="s">
        <v>188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 t="shared" si="419"/>
        <v>15:07:27.475</v>
      </c>
      <c r="CF1054">
        <v>475202033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4</v>
      </c>
      <c r="CY1054">
        <v>7</v>
      </c>
      <c r="CZ1054" t="s">
        <v>133</v>
      </c>
      <c r="DA1054">
        <v>275</v>
      </c>
      <c r="DB1054">
        <v>0</v>
      </c>
      <c r="DC1054" t="s">
        <v>134</v>
      </c>
      <c r="DD1054" t="s">
        <v>135</v>
      </c>
      <c r="DG1054">
        <v>3319703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"05/01/2025 15:07:27.760"</f>
        <v>05/01/2025 15:07:27.760</v>
      </c>
      <c r="C1055" t="str">
        <f t="shared" si="406"/>
        <v>FFDFD3C0</v>
      </c>
      <c r="D1055" t="s">
        <v>140</v>
      </c>
      <c r="E1055" t="str">
        <f>"13"</f>
        <v>13</v>
      </c>
      <c r="F1055">
        <v>1019</v>
      </c>
      <c r="G1055" t="s">
        <v>141</v>
      </c>
      <c r="J1055" t="s">
        <v>142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R1055" t="s">
        <v>127</v>
      </c>
      <c r="S1055" t="str">
        <f t="shared" si="418"/>
        <v>15:07:27.000</v>
      </c>
      <c r="T1055" t="str">
        <f t="shared" si="418"/>
        <v>15:07:27.000</v>
      </c>
      <c r="U1055" t="str">
        <f t="shared" si="407"/>
        <v>A68FCB</v>
      </c>
      <c r="V1055">
        <v>0</v>
      </c>
      <c r="W1055">
        <v>0</v>
      </c>
      <c r="X1055">
        <v>2</v>
      </c>
      <c r="Y1055">
        <v>0</v>
      </c>
      <c r="AA1055">
        <v>1</v>
      </c>
      <c r="AB1055">
        <v>8</v>
      </c>
      <c r="AC1055">
        <v>3</v>
      </c>
      <c r="AD1055">
        <v>0</v>
      </c>
      <c r="AE1055">
        <v>9</v>
      </c>
      <c r="AF1055" t="s">
        <v>138</v>
      </c>
      <c r="AG1055">
        <v>0</v>
      </c>
      <c r="AH1055">
        <v>3</v>
      </c>
      <c r="AI1055">
        <v>2</v>
      </c>
      <c r="AJ1055">
        <v>0</v>
      </c>
      <c r="AK1055" t="s">
        <v>434</v>
      </c>
      <c r="AL1055">
        <v>38.990735999999998</v>
      </c>
      <c r="AM1055" t="s">
        <v>433</v>
      </c>
      <c r="AN1055">
        <v>-121.052942</v>
      </c>
      <c r="AO1055">
        <v>25</v>
      </c>
      <c r="AP1055">
        <v>3200</v>
      </c>
      <c r="AQ1055" t="s">
        <v>131</v>
      </c>
      <c r="AR1055">
        <v>1</v>
      </c>
      <c r="AS1055">
        <v>82</v>
      </c>
      <c r="AT1055">
        <v>576</v>
      </c>
      <c r="BB1055" t="str">
        <f t="shared" si="408"/>
        <v>1200</v>
      </c>
      <c r="BC1055">
        <v>1</v>
      </c>
      <c r="BD1055" t="str">
        <f t="shared" si="409"/>
        <v xml:space="preserve">N52156  </v>
      </c>
      <c r="BE1055">
        <v>1</v>
      </c>
      <c r="BG1055">
        <v>0</v>
      </c>
      <c r="BH1055">
        <v>0</v>
      </c>
      <c r="BI1055">
        <v>0</v>
      </c>
      <c r="BJ1055">
        <v>3175</v>
      </c>
      <c r="BK1055">
        <v>-25</v>
      </c>
      <c r="BL1055" t="s">
        <v>188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 t="shared" si="419"/>
        <v>15:07:27.475</v>
      </c>
      <c r="CF1055">
        <v>475202033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4</v>
      </c>
      <c r="CY1055">
        <v>7</v>
      </c>
      <c r="CZ1055" t="s">
        <v>133</v>
      </c>
      <c r="DA1055">
        <v>275</v>
      </c>
      <c r="DB1055">
        <v>0</v>
      </c>
      <c r="DC1055" t="s">
        <v>134</v>
      </c>
      <c r="DD1055" t="s">
        <v>135</v>
      </c>
      <c r="DG1055">
        <v>3319703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"05/01/2025 15:07:27.766"</f>
        <v>05/01/2025 15:07:27.766</v>
      </c>
      <c r="C1056" t="str">
        <f t="shared" si="406"/>
        <v>FFDFD3C0</v>
      </c>
      <c r="D1056" t="s">
        <v>145</v>
      </c>
      <c r="E1056" t="str">
        <f>"05"</f>
        <v>05</v>
      </c>
      <c r="H1056">
        <v>47</v>
      </c>
      <c r="I1056" t="s">
        <v>146</v>
      </c>
      <c r="J1056" t="s">
        <v>138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R1056" t="s">
        <v>127</v>
      </c>
      <c r="S1056" t="str">
        <f t="shared" si="418"/>
        <v>15:07:27.000</v>
      </c>
      <c r="T1056" t="str">
        <f t="shared" si="418"/>
        <v>15:07:27.000</v>
      </c>
      <c r="U1056" t="str">
        <f t="shared" si="407"/>
        <v>A68FCB</v>
      </c>
      <c r="V1056">
        <v>0</v>
      </c>
      <c r="W1056">
        <v>0</v>
      </c>
      <c r="X1056">
        <v>2</v>
      </c>
      <c r="Y1056">
        <v>0</v>
      </c>
      <c r="AA1056">
        <v>1</v>
      </c>
      <c r="AB1056">
        <v>8</v>
      </c>
      <c r="AC1056">
        <v>3</v>
      </c>
      <c r="AD1056">
        <v>0</v>
      </c>
      <c r="AE1056">
        <v>9</v>
      </c>
      <c r="AF1056" t="s">
        <v>138</v>
      </c>
      <c r="AG1056">
        <v>0</v>
      </c>
      <c r="AH1056">
        <v>3</v>
      </c>
      <c r="AI1056">
        <v>2</v>
      </c>
      <c r="AJ1056">
        <v>0</v>
      </c>
      <c r="AK1056" t="s">
        <v>434</v>
      </c>
      <c r="AL1056">
        <v>38.990735999999998</v>
      </c>
      <c r="AM1056" t="s">
        <v>433</v>
      </c>
      <c r="AN1056">
        <v>-121.052942</v>
      </c>
      <c r="AO1056">
        <v>25</v>
      </c>
      <c r="AP1056">
        <v>3200</v>
      </c>
      <c r="AQ1056" t="s">
        <v>131</v>
      </c>
      <c r="AR1056">
        <v>1</v>
      </c>
      <c r="AS1056">
        <v>82</v>
      </c>
      <c r="AT1056">
        <v>576</v>
      </c>
      <c r="BB1056" t="str">
        <f t="shared" si="408"/>
        <v>1200</v>
      </c>
      <c r="BC1056">
        <v>1</v>
      </c>
      <c r="BD1056" t="str">
        <f t="shared" si="409"/>
        <v xml:space="preserve">N52156  </v>
      </c>
      <c r="BE1056">
        <v>1</v>
      </c>
      <c r="BG1056">
        <v>0</v>
      </c>
      <c r="BH1056">
        <v>0</v>
      </c>
      <c r="BI1056">
        <v>0</v>
      </c>
      <c r="BJ1056">
        <v>3175</v>
      </c>
      <c r="BK1056">
        <v>-25</v>
      </c>
      <c r="BL1056" t="s">
        <v>188</v>
      </c>
      <c r="BM1056">
        <v>1</v>
      </c>
      <c r="BN1056">
        <v>1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 t="shared" si="419"/>
        <v>15:07:27.475</v>
      </c>
      <c r="CF1056">
        <v>475202033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4</v>
      </c>
      <c r="CY1056">
        <v>7</v>
      </c>
      <c r="CZ1056" t="s">
        <v>133</v>
      </c>
      <c r="DA1056">
        <v>275</v>
      </c>
      <c r="DB1056">
        <v>0</v>
      </c>
      <c r="DC1056" t="s">
        <v>134</v>
      </c>
      <c r="DD1056" t="s">
        <v>135</v>
      </c>
      <c r="DG1056">
        <v>3319703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"05/01/2025 15:07:27.768"</f>
        <v>05/01/2025 15:07:27.768</v>
      </c>
      <c r="C1057" t="str">
        <f t="shared" si="406"/>
        <v>FFDFD3C0</v>
      </c>
      <c r="D1057" t="s">
        <v>124</v>
      </c>
      <c r="E1057" t="str">
        <f>"06"</f>
        <v>06</v>
      </c>
      <c r="F1057">
        <v>2006</v>
      </c>
      <c r="G1057" t="s">
        <v>125</v>
      </c>
      <c r="J1057" t="s">
        <v>126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R1057" t="s">
        <v>127</v>
      </c>
      <c r="S1057" t="str">
        <f t="shared" si="418"/>
        <v>15:07:27.000</v>
      </c>
      <c r="T1057" t="str">
        <f t="shared" si="418"/>
        <v>15:07:27.000</v>
      </c>
      <c r="U1057" t="str">
        <f t="shared" si="407"/>
        <v>A68FCB</v>
      </c>
      <c r="V1057">
        <v>0</v>
      </c>
      <c r="W1057">
        <v>0</v>
      </c>
      <c r="X1057">
        <v>2</v>
      </c>
      <c r="Y1057">
        <v>0</v>
      </c>
      <c r="AA1057">
        <v>1</v>
      </c>
      <c r="AB1057">
        <v>8</v>
      </c>
      <c r="AC1057">
        <v>3</v>
      </c>
      <c r="AD1057">
        <v>0</v>
      </c>
      <c r="AE1057">
        <v>9</v>
      </c>
      <c r="AF1057" t="s">
        <v>138</v>
      </c>
      <c r="AG1057">
        <v>0</v>
      </c>
      <c r="AH1057">
        <v>3</v>
      </c>
      <c r="AI1057">
        <v>2</v>
      </c>
      <c r="AJ1057">
        <v>0</v>
      </c>
      <c r="AK1057" t="s">
        <v>434</v>
      </c>
      <c r="AL1057">
        <v>38.990735999999998</v>
      </c>
      <c r="AM1057" t="s">
        <v>433</v>
      </c>
      <c r="AN1057">
        <v>-121.052942</v>
      </c>
      <c r="AO1057">
        <v>25</v>
      </c>
      <c r="AP1057">
        <v>3200</v>
      </c>
      <c r="AQ1057" t="s">
        <v>131</v>
      </c>
      <c r="AR1057">
        <v>1</v>
      </c>
      <c r="AS1057">
        <v>82</v>
      </c>
      <c r="AT1057">
        <v>576</v>
      </c>
      <c r="BB1057" t="str">
        <f t="shared" si="408"/>
        <v>1200</v>
      </c>
      <c r="BC1057">
        <v>1</v>
      </c>
      <c r="BD1057" t="str">
        <f t="shared" si="409"/>
        <v xml:space="preserve">N52156  </v>
      </c>
      <c r="BE1057">
        <v>1</v>
      </c>
      <c r="BG1057">
        <v>0</v>
      </c>
      <c r="BH1057">
        <v>0</v>
      </c>
      <c r="BI1057">
        <v>0</v>
      </c>
      <c r="BJ1057">
        <v>3175</v>
      </c>
      <c r="BK1057">
        <v>-25</v>
      </c>
      <c r="BL1057" t="s">
        <v>188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 t="shared" si="419"/>
        <v>15:07:27.475</v>
      </c>
      <c r="CF1057">
        <v>475202033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4</v>
      </c>
      <c r="CY1057">
        <v>7</v>
      </c>
      <c r="CZ1057" t="s">
        <v>133</v>
      </c>
      <c r="DA1057">
        <v>275</v>
      </c>
      <c r="DB1057">
        <v>0</v>
      </c>
      <c r="DC1057" t="s">
        <v>134</v>
      </c>
      <c r="DD1057" t="s">
        <v>135</v>
      </c>
      <c r="DG1057">
        <v>3319703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"05/01/2025 15:07:28.517"</f>
        <v>05/01/2025 15:07:28.517</v>
      </c>
      <c r="C1058" t="str">
        <f t="shared" si="406"/>
        <v>FFDFD3C0</v>
      </c>
      <c r="D1058" t="s">
        <v>145</v>
      </c>
      <c r="E1058" t="str">
        <f>"05"</f>
        <v>05</v>
      </c>
      <c r="H1058">
        <v>47</v>
      </c>
      <c r="I1058" t="s">
        <v>146</v>
      </c>
      <c r="J1058" t="s">
        <v>138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R1058" t="s">
        <v>127</v>
      </c>
      <c r="S1058" t="str">
        <f t="shared" ref="S1058:T1063" si="420">"15:07:28.000"</f>
        <v>15:07:28.000</v>
      </c>
      <c r="T1058" t="str">
        <f t="shared" si="420"/>
        <v>15:07:28.000</v>
      </c>
      <c r="U1058" t="str">
        <f t="shared" si="407"/>
        <v>A68FCB</v>
      </c>
      <c r="V1058">
        <v>0</v>
      </c>
      <c r="W1058">
        <v>0</v>
      </c>
      <c r="X1058">
        <v>2</v>
      </c>
      <c r="Y1058">
        <v>0</v>
      </c>
      <c r="AA1058">
        <v>1</v>
      </c>
      <c r="AB1058">
        <v>8</v>
      </c>
      <c r="AC1058">
        <v>3</v>
      </c>
      <c r="AD1058">
        <v>0</v>
      </c>
      <c r="AE1058">
        <v>9</v>
      </c>
      <c r="AF1058" t="s">
        <v>138</v>
      </c>
      <c r="AG1058">
        <v>0</v>
      </c>
      <c r="AH1058">
        <v>3</v>
      </c>
      <c r="AI1058">
        <v>2</v>
      </c>
      <c r="AJ1058">
        <v>0</v>
      </c>
      <c r="AK1058" t="s">
        <v>435</v>
      </c>
      <c r="AL1058">
        <v>38.991121999999997</v>
      </c>
      <c r="AM1058" t="s">
        <v>433</v>
      </c>
      <c r="AN1058">
        <v>-121.052942</v>
      </c>
      <c r="AO1058">
        <v>25</v>
      </c>
      <c r="AP1058">
        <v>3200</v>
      </c>
      <c r="AQ1058" t="s">
        <v>131</v>
      </c>
      <c r="AR1058">
        <v>4</v>
      </c>
      <c r="AS1058">
        <v>81</v>
      </c>
      <c r="AT1058">
        <v>576</v>
      </c>
      <c r="BB1058" t="str">
        <f t="shared" si="408"/>
        <v>1200</v>
      </c>
      <c r="BC1058">
        <v>1</v>
      </c>
      <c r="BD1058" t="str">
        <f t="shared" si="409"/>
        <v xml:space="preserve">N52156  </v>
      </c>
      <c r="BE1058">
        <v>1</v>
      </c>
      <c r="BG1058">
        <v>0</v>
      </c>
      <c r="BH1058">
        <v>0</v>
      </c>
      <c r="BI1058">
        <v>0</v>
      </c>
      <c r="BJ1058">
        <v>3175</v>
      </c>
      <c r="BK1058">
        <v>-25</v>
      </c>
      <c r="BL1058" t="s">
        <v>188</v>
      </c>
      <c r="BM1058">
        <v>1</v>
      </c>
      <c r="BN1058">
        <v>1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 t="shared" ref="CE1058:CE1063" si="421">"15:07:28.323"</f>
        <v>15:07:28.323</v>
      </c>
      <c r="CF1058">
        <v>322701669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4</v>
      </c>
      <c r="CY1058">
        <v>7</v>
      </c>
      <c r="CZ1058" t="s">
        <v>133</v>
      </c>
      <c r="DA1058">
        <v>275</v>
      </c>
      <c r="DB1058">
        <v>0</v>
      </c>
      <c r="DC1058" t="s">
        <v>134</v>
      </c>
      <c r="DD1058" t="s">
        <v>135</v>
      </c>
      <c r="DG1058">
        <v>3319710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"05/01/2025 15:07:28.519"</f>
        <v>05/01/2025 15:07:28.519</v>
      </c>
      <c r="C1059" t="str">
        <f t="shared" si="406"/>
        <v>FFDFD3C0</v>
      </c>
      <c r="D1059" t="s">
        <v>124</v>
      </c>
      <c r="E1059" t="str">
        <f>"06"</f>
        <v>06</v>
      </c>
      <c r="F1059">
        <v>2006</v>
      </c>
      <c r="G1059" t="s">
        <v>125</v>
      </c>
      <c r="J1059" t="s">
        <v>126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R1059" t="s">
        <v>127</v>
      </c>
      <c r="S1059" t="str">
        <f t="shared" si="420"/>
        <v>15:07:28.000</v>
      </c>
      <c r="T1059" t="str">
        <f t="shared" si="420"/>
        <v>15:07:28.000</v>
      </c>
      <c r="U1059" t="str">
        <f t="shared" si="407"/>
        <v>A68FCB</v>
      </c>
      <c r="V1059">
        <v>0</v>
      </c>
      <c r="W1059">
        <v>0</v>
      </c>
      <c r="X1059">
        <v>2</v>
      </c>
      <c r="Y1059">
        <v>0</v>
      </c>
      <c r="AA1059">
        <v>1</v>
      </c>
      <c r="AB1059">
        <v>8</v>
      </c>
      <c r="AC1059">
        <v>3</v>
      </c>
      <c r="AD1059">
        <v>0</v>
      </c>
      <c r="AE1059">
        <v>9</v>
      </c>
      <c r="AF1059" t="s">
        <v>138</v>
      </c>
      <c r="AG1059">
        <v>0</v>
      </c>
      <c r="AH1059">
        <v>3</v>
      </c>
      <c r="AI1059">
        <v>2</v>
      </c>
      <c r="AJ1059">
        <v>0</v>
      </c>
      <c r="AK1059" t="s">
        <v>435</v>
      </c>
      <c r="AL1059">
        <v>38.991121999999997</v>
      </c>
      <c r="AM1059" t="s">
        <v>433</v>
      </c>
      <c r="AN1059">
        <v>-121.052942</v>
      </c>
      <c r="AO1059">
        <v>25</v>
      </c>
      <c r="AP1059">
        <v>3200</v>
      </c>
      <c r="AQ1059" t="s">
        <v>131</v>
      </c>
      <c r="AR1059">
        <v>4</v>
      </c>
      <c r="AS1059">
        <v>81</v>
      </c>
      <c r="AT1059">
        <v>576</v>
      </c>
      <c r="BB1059" t="str">
        <f t="shared" si="408"/>
        <v>1200</v>
      </c>
      <c r="BC1059">
        <v>1</v>
      </c>
      <c r="BD1059" t="str">
        <f t="shared" si="409"/>
        <v xml:space="preserve">N52156  </v>
      </c>
      <c r="BE1059">
        <v>1</v>
      </c>
      <c r="BG1059">
        <v>0</v>
      </c>
      <c r="BH1059">
        <v>0</v>
      </c>
      <c r="BI1059">
        <v>0</v>
      </c>
      <c r="BJ1059">
        <v>3175</v>
      </c>
      <c r="BK1059">
        <v>-25</v>
      </c>
      <c r="BL1059" t="s">
        <v>188</v>
      </c>
      <c r="BM1059">
        <v>1</v>
      </c>
      <c r="BN1059">
        <v>1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 t="shared" si="421"/>
        <v>15:07:28.323</v>
      </c>
      <c r="CF1059">
        <v>322701669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4</v>
      </c>
      <c r="CY1059">
        <v>7</v>
      </c>
      <c r="CZ1059" t="s">
        <v>133</v>
      </c>
      <c r="DA1059">
        <v>275</v>
      </c>
      <c r="DB1059">
        <v>0</v>
      </c>
      <c r="DC1059" t="s">
        <v>134</v>
      </c>
      <c r="DD1059" t="s">
        <v>135</v>
      </c>
      <c r="DG1059">
        <v>3319710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"05/01/2025 15:07:28.521"</f>
        <v>05/01/2025 15:07:28.521</v>
      </c>
      <c r="C1060" t="str">
        <f t="shared" si="406"/>
        <v>FFDFD3C0</v>
      </c>
      <c r="D1060" t="s">
        <v>145</v>
      </c>
      <c r="E1060" t="str">
        <f>"09"</f>
        <v>09</v>
      </c>
      <c r="H1060">
        <v>51</v>
      </c>
      <c r="I1060" t="s">
        <v>147</v>
      </c>
      <c r="J1060" t="s">
        <v>138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R1060" t="s">
        <v>127</v>
      </c>
      <c r="S1060" t="str">
        <f t="shared" si="420"/>
        <v>15:07:28.000</v>
      </c>
      <c r="T1060" t="str">
        <f t="shared" si="420"/>
        <v>15:07:28.000</v>
      </c>
      <c r="U1060" t="str">
        <f t="shared" si="407"/>
        <v>A68FCB</v>
      </c>
      <c r="V1060">
        <v>0</v>
      </c>
      <c r="W1060">
        <v>0</v>
      </c>
      <c r="X1060">
        <v>2</v>
      </c>
      <c r="Y1060">
        <v>0</v>
      </c>
      <c r="AA1060">
        <v>1</v>
      </c>
      <c r="AB1060">
        <v>8</v>
      </c>
      <c r="AC1060">
        <v>3</v>
      </c>
      <c r="AD1060">
        <v>0</v>
      </c>
      <c r="AE1060">
        <v>9</v>
      </c>
      <c r="AF1060" t="s">
        <v>138</v>
      </c>
      <c r="AG1060">
        <v>0</v>
      </c>
      <c r="AH1060">
        <v>3</v>
      </c>
      <c r="AI1060">
        <v>2</v>
      </c>
      <c r="AJ1060">
        <v>0</v>
      </c>
      <c r="AK1060" t="s">
        <v>435</v>
      </c>
      <c r="AL1060">
        <v>38.991121999999997</v>
      </c>
      <c r="AM1060" t="s">
        <v>433</v>
      </c>
      <c r="AN1060">
        <v>-121.052942</v>
      </c>
      <c r="AO1060">
        <v>25</v>
      </c>
      <c r="AP1060">
        <v>3200</v>
      </c>
      <c r="AQ1060" t="s">
        <v>131</v>
      </c>
      <c r="AR1060">
        <v>4</v>
      </c>
      <c r="AS1060">
        <v>81</v>
      </c>
      <c r="AT1060">
        <v>576</v>
      </c>
      <c r="BB1060" t="str">
        <f t="shared" si="408"/>
        <v>1200</v>
      </c>
      <c r="BC1060">
        <v>1</v>
      </c>
      <c r="BD1060" t="str">
        <f t="shared" si="409"/>
        <v xml:space="preserve">N52156  </v>
      </c>
      <c r="BE1060">
        <v>1</v>
      </c>
      <c r="BG1060">
        <v>0</v>
      </c>
      <c r="BH1060">
        <v>0</v>
      </c>
      <c r="BI1060">
        <v>0</v>
      </c>
      <c r="BJ1060">
        <v>3175</v>
      </c>
      <c r="BK1060">
        <v>-25</v>
      </c>
      <c r="BL1060" t="s">
        <v>188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 t="shared" si="421"/>
        <v>15:07:28.323</v>
      </c>
      <c r="CF1060">
        <v>322701669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4</v>
      </c>
      <c r="CY1060">
        <v>7</v>
      </c>
      <c r="CZ1060" t="s">
        <v>133</v>
      </c>
      <c r="DA1060">
        <v>275</v>
      </c>
      <c r="DB1060">
        <v>0</v>
      </c>
      <c r="DC1060" t="s">
        <v>134</v>
      </c>
      <c r="DD1060" t="s">
        <v>135</v>
      </c>
      <c r="DG1060">
        <v>3319710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"05/01/2025 15:07:28.521"</f>
        <v>05/01/2025 15:07:28.521</v>
      </c>
      <c r="C1061" t="str">
        <f t="shared" si="406"/>
        <v>FFDFD3C0</v>
      </c>
      <c r="D1061" t="s">
        <v>143</v>
      </c>
      <c r="E1061" t="str">
        <f>"05"</f>
        <v>05</v>
      </c>
      <c r="H1061">
        <v>172</v>
      </c>
      <c r="I1061" t="s">
        <v>141</v>
      </c>
      <c r="J1061" t="s">
        <v>144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R1061" t="s">
        <v>127</v>
      </c>
      <c r="S1061" t="str">
        <f t="shared" si="420"/>
        <v>15:07:28.000</v>
      </c>
      <c r="T1061" t="str">
        <f t="shared" si="420"/>
        <v>15:07:28.000</v>
      </c>
      <c r="U1061" t="str">
        <f t="shared" si="407"/>
        <v>A68FCB</v>
      </c>
      <c r="V1061">
        <v>0</v>
      </c>
      <c r="W1061">
        <v>0</v>
      </c>
      <c r="X1061">
        <v>2</v>
      </c>
      <c r="Y1061">
        <v>0</v>
      </c>
      <c r="AA1061">
        <v>1</v>
      </c>
      <c r="AB1061">
        <v>8</v>
      </c>
      <c r="AC1061">
        <v>3</v>
      </c>
      <c r="AD1061">
        <v>0</v>
      </c>
      <c r="AE1061">
        <v>9</v>
      </c>
      <c r="AF1061" t="s">
        <v>138</v>
      </c>
      <c r="AG1061">
        <v>0</v>
      </c>
      <c r="AH1061">
        <v>3</v>
      </c>
      <c r="AI1061">
        <v>2</v>
      </c>
      <c r="AJ1061">
        <v>0</v>
      </c>
      <c r="AK1061" t="s">
        <v>435</v>
      </c>
      <c r="AL1061">
        <v>38.991121999999997</v>
      </c>
      <c r="AM1061" t="s">
        <v>433</v>
      </c>
      <c r="AN1061">
        <v>-121.052942</v>
      </c>
      <c r="AO1061">
        <v>25</v>
      </c>
      <c r="AP1061">
        <v>3200</v>
      </c>
      <c r="AQ1061" t="s">
        <v>131</v>
      </c>
      <c r="AR1061">
        <v>4</v>
      </c>
      <c r="AS1061">
        <v>81</v>
      </c>
      <c r="AT1061">
        <v>576</v>
      </c>
      <c r="BB1061" t="str">
        <f t="shared" si="408"/>
        <v>1200</v>
      </c>
      <c r="BC1061">
        <v>1</v>
      </c>
      <c r="BD1061" t="str">
        <f t="shared" si="409"/>
        <v xml:space="preserve">N52156  </v>
      </c>
      <c r="BE1061">
        <v>1</v>
      </c>
      <c r="BG1061">
        <v>0</v>
      </c>
      <c r="BH1061">
        <v>0</v>
      </c>
      <c r="BI1061">
        <v>0</v>
      </c>
      <c r="BJ1061">
        <v>3175</v>
      </c>
      <c r="BK1061">
        <v>-25</v>
      </c>
      <c r="BL1061" t="s">
        <v>188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 t="shared" si="421"/>
        <v>15:07:28.323</v>
      </c>
      <c r="CF1061">
        <v>322701669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4</v>
      </c>
      <c r="CY1061">
        <v>7</v>
      </c>
      <c r="CZ1061" t="s">
        <v>133</v>
      </c>
      <c r="DA1061">
        <v>275</v>
      </c>
      <c r="DB1061">
        <v>0</v>
      </c>
      <c r="DC1061" t="s">
        <v>134</v>
      </c>
      <c r="DD1061" t="s">
        <v>135</v>
      </c>
      <c r="DG1061">
        <v>3319710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"05/01/2025 15:07:28.528"</f>
        <v>05/01/2025 15:07:28.528</v>
      </c>
      <c r="C1062" t="str">
        <f t="shared" si="406"/>
        <v>FFDFD3C0</v>
      </c>
      <c r="D1062" t="s">
        <v>136</v>
      </c>
      <c r="E1062" t="str">
        <f>"20"</f>
        <v>20</v>
      </c>
      <c r="H1062">
        <v>400</v>
      </c>
      <c r="I1062" t="s">
        <v>137</v>
      </c>
      <c r="J1062" t="s">
        <v>138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R1062" t="s">
        <v>127</v>
      </c>
      <c r="S1062" t="str">
        <f t="shared" si="420"/>
        <v>15:07:28.000</v>
      </c>
      <c r="T1062" t="str">
        <f t="shared" si="420"/>
        <v>15:07:28.000</v>
      </c>
      <c r="U1062" t="str">
        <f t="shared" si="407"/>
        <v>A68FCB</v>
      </c>
      <c r="V1062">
        <v>0</v>
      </c>
      <c r="W1062">
        <v>0</v>
      </c>
      <c r="X1062">
        <v>2</v>
      </c>
      <c r="Y1062">
        <v>0</v>
      </c>
      <c r="AA1062">
        <v>1</v>
      </c>
      <c r="AB1062">
        <v>8</v>
      </c>
      <c r="AC1062">
        <v>3</v>
      </c>
      <c r="AD1062">
        <v>0</v>
      </c>
      <c r="AE1062">
        <v>9</v>
      </c>
      <c r="AF1062" t="s">
        <v>138</v>
      </c>
      <c r="AG1062">
        <v>0</v>
      </c>
      <c r="AH1062">
        <v>3</v>
      </c>
      <c r="AI1062">
        <v>2</v>
      </c>
      <c r="AJ1062">
        <v>0</v>
      </c>
      <c r="AK1062" t="s">
        <v>435</v>
      </c>
      <c r="AL1062">
        <v>38.991121999999997</v>
      </c>
      <c r="AM1062" t="s">
        <v>433</v>
      </c>
      <c r="AN1062">
        <v>-121.052942</v>
      </c>
      <c r="AO1062">
        <v>25</v>
      </c>
      <c r="AP1062">
        <v>3200</v>
      </c>
      <c r="AQ1062" t="s">
        <v>131</v>
      </c>
      <c r="AR1062">
        <v>4</v>
      </c>
      <c r="AS1062">
        <v>81</v>
      </c>
      <c r="AT1062">
        <v>576</v>
      </c>
      <c r="BB1062" t="str">
        <f t="shared" si="408"/>
        <v>1200</v>
      </c>
      <c r="BC1062">
        <v>1</v>
      </c>
      <c r="BD1062" t="str">
        <f t="shared" si="409"/>
        <v xml:space="preserve">N52156  </v>
      </c>
      <c r="BE1062">
        <v>1</v>
      </c>
      <c r="BG1062">
        <v>0</v>
      </c>
      <c r="BH1062">
        <v>0</v>
      </c>
      <c r="BI1062">
        <v>0</v>
      </c>
      <c r="BJ1062">
        <v>3175</v>
      </c>
      <c r="BK1062">
        <v>-25</v>
      </c>
      <c r="BL1062" t="s">
        <v>188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 t="shared" si="421"/>
        <v>15:07:28.323</v>
      </c>
      <c r="CF1062">
        <v>322701669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4</v>
      </c>
      <c r="CY1062">
        <v>7</v>
      </c>
      <c r="CZ1062" t="s">
        <v>133</v>
      </c>
      <c r="DA1062">
        <v>275</v>
      </c>
      <c r="DB1062">
        <v>0</v>
      </c>
      <c r="DC1062" t="s">
        <v>134</v>
      </c>
      <c r="DD1062" t="s">
        <v>135</v>
      </c>
      <c r="DG1062">
        <v>3319710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"05/01/2025 15:07:28.561"</f>
        <v>05/01/2025 15:07:28.561</v>
      </c>
      <c r="C1063" t="str">
        <f t="shared" si="406"/>
        <v>FFDFD3C0</v>
      </c>
      <c r="D1063" t="s">
        <v>140</v>
      </c>
      <c r="E1063" t="str">
        <f>"13"</f>
        <v>13</v>
      </c>
      <c r="F1063">
        <v>1019</v>
      </c>
      <c r="G1063" t="s">
        <v>141</v>
      </c>
      <c r="J1063" t="s">
        <v>142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R1063" t="s">
        <v>127</v>
      </c>
      <c r="S1063" t="str">
        <f t="shared" si="420"/>
        <v>15:07:28.000</v>
      </c>
      <c r="T1063" t="str">
        <f t="shared" si="420"/>
        <v>15:07:28.000</v>
      </c>
      <c r="U1063" t="str">
        <f t="shared" si="407"/>
        <v>A68FCB</v>
      </c>
      <c r="V1063">
        <v>0</v>
      </c>
      <c r="W1063">
        <v>0</v>
      </c>
      <c r="X1063">
        <v>2</v>
      </c>
      <c r="Y1063">
        <v>0</v>
      </c>
      <c r="AA1063">
        <v>1</v>
      </c>
      <c r="AB1063">
        <v>8</v>
      </c>
      <c r="AC1063">
        <v>3</v>
      </c>
      <c r="AD1063">
        <v>0</v>
      </c>
      <c r="AE1063">
        <v>9</v>
      </c>
      <c r="AF1063" t="s">
        <v>138</v>
      </c>
      <c r="AG1063">
        <v>0</v>
      </c>
      <c r="AH1063">
        <v>3</v>
      </c>
      <c r="AI1063">
        <v>2</v>
      </c>
      <c r="AJ1063">
        <v>0</v>
      </c>
      <c r="AK1063" t="s">
        <v>435</v>
      </c>
      <c r="AL1063">
        <v>38.991121999999997</v>
      </c>
      <c r="AM1063" t="s">
        <v>433</v>
      </c>
      <c r="AN1063">
        <v>-121.052942</v>
      </c>
      <c r="AO1063">
        <v>25</v>
      </c>
      <c r="AP1063">
        <v>3200</v>
      </c>
      <c r="AQ1063" t="s">
        <v>131</v>
      </c>
      <c r="AR1063">
        <v>4</v>
      </c>
      <c r="AS1063">
        <v>81</v>
      </c>
      <c r="AT1063">
        <v>576</v>
      </c>
      <c r="BB1063" t="str">
        <f t="shared" si="408"/>
        <v>1200</v>
      </c>
      <c r="BC1063">
        <v>1</v>
      </c>
      <c r="BD1063" t="str">
        <f t="shared" si="409"/>
        <v xml:space="preserve">N52156  </v>
      </c>
      <c r="BE1063">
        <v>1</v>
      </c>
      <c r="BG1063">
        <v>0</v>
      </c>
      <c r="BH1063">
        <v>0</v>
      </c>
      <c r="BI1063">
        <v>0</v>
      </c>
      <c r="BJ1063">
        <v>3175</v>
      </c>
      <c r="BK1063">
        <v>-25</v>
      </c>
      <c r="BL1063" t="s">
        <v>188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 t="shared" si="421"/>
        <v>15:07:28.323</v>
      </c>
      <c r="CF1063">
        <v>322701669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4</v>
      </c>
      <c r="CY1063">
        <v>7</v>
      </c>
      <c r="CZ1063" t="s">
        <v>133</v>
      </c>
      <c r="DA1063">
        <v>275</v>
      </c>
      <c r="DB1063">
        <v>0</v>
      </c>
      <c r="DC1063" t="s">
        <v>134</v>
      </c>
      <c r="DD1063" t="s">
        <v>135</v>
      </c>
      <c r="DG1063">
        <v>3319710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"05/01/2025 15:07:29.830"</f>
        <v>05/01/2025 15:07:29.830</v>
      </c>
      <c r="C1064" t="str">
        <f t="shared" si="406"/>
        <v>FFDFD3C0</v>
      </c>
      <c r="D1064" t="s">
        <v>136</v>
      </c>
      <c r="E1064" t="str">
        <f>"20"</f>
        <v>20</v>
      </c>
      <c r="H1064">
        <v>400</v>
      </c>
      <c r="I1064" t="s">
        <v>137</v>
      </c>
      <c r="J1064" t="s">
        <v>138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R1064" t="s">
        <v>127</v>
      </c>
      <c r="S1064" t="str">
        <f t="shared" ref="S1064:T1069" si="422">"15:07:29.000"</f>
        <v>15:07:29.000</v>
      </c>
      <c r="T1064" t="str">
        <f t="shared" si="422"/>
        <v>15:07:29.000</v>
      </c>
      <c r="U1064" t="str">
        <f t="shared" si="407"/>
        <v>A68FCB</v>
      </c>
      <c r="V1064">
        <v>0</v>
      </c>
      <c r="W1064">
        <v>0</v>
      </c>
      <c r="X1064">
        <v>2</v>
      </c>
      <c r="Y1064">
        <v>0</v>
      </c>
      <c r="AA1064">
        <v>1</v>
      </c>
      <c r="AB1064">
        <v>8</v>
      </c>
      <c r="AC1064">
        <v>3</v>
      </c>
      <c r="AD1064">
        <v>0</v>
      </c>
      <c r="AE1064">
        <v>9</v>
      </c>
      <c r="AF1064" t="s">
        <v>138</v>
      </c>
      <c r="AG1064">
        <v>0</v>
      </c>
      <c r="AH1064">
        <v>3</v>
      </c>
      <c r="AI1064">
        <v>2</v>
      </c>
      <c r="AJ1064">
        <v>0</v>
      </c>
      <c r="AK1064" t="s">
        <v>436</v>
      </c>
      <c r="AL1064">
        <v>38.991529999999997</v>
      </c>
      <c r="AM1064" t="s">
        <v>431</v>
      </c>
      <c r="AN1064">
        <v>-121.052921</v>
      </c>
      <c r="AO1064">
        <v>25</v>
      </c>
      <c r="AP1064">
        <v>3200</v>
      </c>
      <c r="AQ1064" t="s">
        <v>131</v>
      </c>
      <c r="AR1064">
        <v>8</v>
      </c>
      <c r="AS1064">
        <v>79</v>
      </c>
      <c r="AT1064">
        <v>576</v>
      </c>
      <c r="BB1064" t="str">
        <f t="shared" si="408"/>
        <v>1200</v>
      </c>
      <c r="BC1064">
        <v>1</v>
      </c>
      <c r="BD1064" t="str">
        <f t="shared" si="409"/>
        <v xml:space="preserve">N52156  </v>
      </c>
      <c r="BE1064">
        <v>1</v>
      </c>
      <c r="BG1064">
        <v>0</v>
      </c>
      <c r="BH1064">
        <v>0</v>
      </c>
      <c r="BI1064">
        <v>0</v>
      </c>
      <c r="BJ1064">
        <v>3200</v>
      </c>
      <c r="BK1064">
        <v>0</v>
      </c>
      <c r="BL1064" t="s">
        <v>188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 t="shared" ref="CE1064:CE1069" si="423">"15:07:29.626"</f>
        <v>15:07:29.626</v>
      </c>
      <c r="CF1064">
        <v>625952489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3</v>
      </c>
      <c r="CY1064">
        <v>7</v>
      </c>
      <c r="CZ1064" t="s">
        <v>133</v>
      </c>
      <c r="DA1064">
        <v>275</v>
      </c>
      <c r="DB1064">
        <v>0</v>
      </c>
      <c r="DC1064" t="s">
        <v>134</v>
      </c>
      <c r="DD1064" t="s">
        <v>135</v>
      </c>
      <c r="DG1064">
        <v>3319722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"05/01/2025 15:07:29.863"</f>
        <v>05/01/2025 15:07:29.863</v>
      </c>
      <c r="C1065" t="str">
        <f t="shared" si="406"/>
        <v>FFDFD3C0</v>
      </c>
      <c r="D1065" t="s">
        <v>140</v>
      </c>
      <c r="E1065" t="str">
        <f>"13"</f>
        <v>13</v>
      </c>
      <c r="F1065">
        <v>1019</v>
      </c>
      <c r="G1065" t="s">
        <v>141</v>
      </c>
      <c r="J1065" t="s">
        <v>142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R1065" t="s">
        <v>127</v>
      </c>
      <c r="S1065" t="str">
        <f t="shared" si="422"/>
        <v>15:07:29.000</v>
      </c>
      <c r="T1065" t="str">
        <f t="shared" si="422"/>
        <v>15:07:29.000</v>
      </c>
      <c r="U1065" t="str">
        <f t="shared" si="407"/>
        <v>A68FCB</v>
      </c>
      <c r="V1065">
        <v>0</v>
      </c>
      <c r="W1065">
        <v>0</v>
      </c>
      <c r="X1065">
        <v>2</v>
      </c>
      <c r="Y1065">
        <v>0</v>
      </c>
      <c r="AA1065">
        <v>1</v>
      </c>
      <c r="AB1065">
        <v>8</v>
      </c>
      <c r="AC1065">
        <v>3</v>
      </c>
      <c r="AD1065">
        <v>0</v>
      </c>
      <c r="AE1065">
        <v>9</v>
      </c>
      <c r="AF1065" t="s">
        <v>138</v>
      </c>
      <c r="AG1065">
        <v>0</v>
      </c>
      <c r="AH1065">
        <v>3</v>
      </c>
      <c r="AI1065">
        <v>2</v>
      </c>
      <c r="AJ1065">
        <v>0</v>
      </c>
      <c r="AK1065" t="s">
        <v>436</v>
      </c>
      <c r="AL1065">
        <v>38.991529999999997</v>
      </c>
      <c r="AM1065" t="s">
        <v>431</v>
      </c>
      <c r="AN1065">
        <v>-121.052921</v>
      </c>
      <c r="AO1065">
        <v>25</v>
      </c>
      <c r="AP1065">
        <v>3200</v>
      </c>
      <c r="AQ1065" t="s">
        <v>131</v>
      </c>
      <c r="AR1065">
        <v>8</v>
      </c>
      <c r="AS1065">
        <v>79</v>
      </c>
      <c r="AT1065">
        <v>576</v>
      </c>
      <c r="BB1065" t="str">
        <f t="shared" si="408"/>
        <v>1200</v>
      </c>
      <c r="BC1065">
        <v>1</v>
      </c>
      <c r="BD1065" t="str">
        <f t="shared" si="409"/>
        <v xml:space="preserve">N52156  </v>
      </c>
      <c r="BE1065">
        <v>1</v>
      </c>
      <c r="BG1065">
        <v>0</v>
      </c>
      <c r="BH1065">
        <v>0</v>
      </c>
      <c r="BI1065">
        <v>0</v>
      </c>
      <c r="BJ1065">
        <v>3200</v>
      </c>
      <c r="BK1065">
        <v>0</v>
      </c>
      <c r="BL1065" t="s">
        <v>188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 t="shared" si="423"/>
        <v>15:07:29.626</v>
      </c>
      <c r="CF1065">
        <v>625952489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3</v>
      </c>
      <c r="CY1065">
        <v>7</v>
      </c>
      <c r="CZ1065" t="s">
        <v>133</v>
      </c>
      <c r="DA1065">
        <v>275</v>
      </c>
      <c r="DB1065">
        <v>0</v>
      </c>
      <c r="DC1065" t="s">
        <v>134</v>
      </c>
      <c r="DD1065" t="s">
        <v>135</v>
      </c>
      <c r="DG1065">
        <v>3319722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"05/01/2025 15:07:29.869"</f>
        <v>05/01/2025 15:07:29.869</v>
      </c>
      <c r="C1066" t="str">
        <f t="shared" si="406"/>
        <v>FFDFD3C0</v>
      </c>
      <c r="D1066" t="s">
        <v>145</v>
      </c>
      <c r="E1066" t="str">
        <f>"05"</f>
        <v>05</v>
      </c>
      <c r="H1066">
        <v>47</v>
      </c>
      <c r="I1066" t="s">
        <v>146</v>
      </c>
      <c r="J1066" t="s">
        <v>138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R1066" t="s">
        <v>127</v>
      </c>
      <c r="S1066" t="str">
        <f t="shared" si="422"/>
        <v>15:07:29.000</v>
      </c>
      <c r="T1066" t="str">
        <f t="shared" si="422"/>
        <v>15:07:29.000</v>
      </c>
      <c r="U1066" t="str">
        <f t="shared" si="407"/>
        <v>A68FCB</v>
      </c>
      <c r="V1066">
        <v>0</v>
      </c>
      <c r="W1066">
        <v>0</v>
      </c>
      <c r="X1066">
        <v>2</v>
      </c>
      <c r="Y1066">
        <v>0</v>
      </c>
      <c r="AA1066">
        <v>1</v>
      </c>
      <c r="AB1066">
        <v>8</v>
      </c>
      <c r="AC1066">
        <v>3</v>
      </c>
      <c r="AD1066">
        <v>0</v>
      </c>
      <c r="AE1066">
        <v>9</v>
      </c>
      <c r="AF1066" t="s">
        <v>138</v>
      </c>
      <c r="AG1066">
        <v>0</v>
      </c>
      <c r="AH1066">
        <v>3</v>
      </c>
      <c r="AI1066">
        <v>2</v>
      </c>
      <c r="AJ1066">
        <v>0</v>
      </c>
      <c r="AK1066" t="s">
        <v>436</v>
      </c>
      <c r="AL1066">
        <v>38.991529999999997</v>
      </c>
      <c r="AM1066" t="s">
        <v>431</v>
      </c>
      <c r="AN1066">
        <v>-121.052921</v>
      </c>
      <c r="AO1066">
        <v>25</v>
      </c>
      <c r="AP1066">
        <v>3200</v>
      </c>
      <c r="AQ1066" t="s">
        <v>131</v>
      </c>
      <c r="AR1066">
        <v>8</v>
      </c>
      <c r="AS1066">
        <v>79</v>
      </c>
      <c r="AT1066">
        <v>576</v>
      </c>
      <c r="BB1066" t="str">
        <f t="shared" si="408"/>
        <v>1200</v>
      </c>
      <c r="BC1066">
        <v>1</v>
      </c>
      <c r="BD1066" t="str">
        <f t="shared" si="409"/>
        <v xml:space="preserve">N52156  </v>
      </c>
      <c r="BE1066">
        <v>1</v>
      </c>
      <c r="BG1066">
        <v>0</v>
      </c>
      <c r="BH1066">
        <v>0</v>
      </c>
      <c r="BI1066">
        <v>0</v>
      </c>
      <c r="BJ1066">
        <v>3200</v>
      </c>
      <c r="BK1066">
        <v>0</v>
      </c>
      <c r="BL1066" t="s">
        <v>188</v>
      </c>
      <c r="BM1066">
        <v>1</v>
      </c>
      <c r="BN1066">
        <v>1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 t="shared" si="423"/>
        <v>15:07:29.626</v>
      </c>
      <c r="CF1066">
        <v>625952489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3</v>
      </c>
      <c r="CY1066">
        <v>7</v>
      </c>
      <c r="CZ1066" t="s">
        <v>133</v>
      </c>
      <c r="DA1066">
        <v>275</v>
      </c>
      <c r="DB1066">
        <v>0</v>
      </c>
      <c r="DC1066" t="s">
        <v>134</v>
      </c>
      <c r="DD1066" t="s">
        <v>135</v>
      </c>
      <c r="DG1066">
        <v>3319722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"05/01/2025 15:07:29.873"</f>
        <v>05/01/2025 15:07:29.873</v>
      </c>
      <c r="C1067" t="str">
        <f t="shared" si="406"/>
        <v>FFDFD3C0</v>
      </c>
      <c r="D1067" t="s">
        <v>143</v>
      </c>
      <c r="E1067" t="str">
        <f>"05"</f>
        <v>05</v>
      </c>
      <c r="H1067">
        <v>172</v>
      </c>
      <c r="I1067" t="s">
        <v>141</v>
      </c>
      <c r="J1067" t="s">
        <v>144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R1067" t="s">
        <v>127</v>
      </c>
      <c r="S1067" t="str">
        <f t="shared" si="422"/>
        <v>15:07:29.000</v>
      </c>
      <c r="T1067" t="str">
        <f t="shared" si="422"/>
        <v>15:07:29.000</v>
      </c>
      <c r="U1067" t="str">
        <f t="shared" si="407"/>
        <v>A68FCB</v>
      </c>
      <c r="V1067">
        <v>0</v>
      </c>
      <c r="W1067">
        <v>0</v>
      </c>
      <c r="X1067">
        <v>2</v>
      </c>
      <c r="Y1067">
        <v>0</v>
      </c>
      <c r="AA1067">
        <v>1</v>
      </c>
      <c r="AB1067">
        <v>8</v>
      </c>
      <c r="AC1067">
        <v>3</v>
      </c>
      <c r="AD1067">
        <v>0</v>
      </c>
      <c r="AE1067">
        <v>9</v>
      </c>
      <c r="AF1067" t="s">
        <v>138</v>
      </c>
      <c r="AG1067">
        <v>0</v>
      </c>
      <c r="AH1067">
        <v>3</v>
      </c>
      <c r="AI1067">
        <v>2</v>
      </c>
      <c r="AJ1067">
        <v>0</v>
      </c>
      <c r="AK1067" t="s">
        <v>436</v>
      </c>
      <c r="AL1067">
        <v>38.991529999999997</v>
      </c>
      <c r="AM1067" t="s">
        <v>431</v>
      </c>
      <c r="AN1067">
        <v>-121.052921</v>
      </c>
      <c r="AO1067">
        <v>25</v>
      </c>
      <c r="AP1067">
        <v>3200</v>
      </c>
      <c r="AQ1067" t="s">
        <v>131</v>
      </c>
      <c r="AR1067">
        <v>8</v>
      </c>
      <c r="AS1067">
        <v>79</v>
      </c>
      <c r="AT1067">
        <v>576</v>
      </c>
      <c r="BB1067" t="str">
        <f t="shared" si="408"/>
        <v>1200</v>
      </c>
      <c r="BC1067">
        <v>1</v>
      </c>
      <c r="BD1067" t="str">
        <f t="shared" si="409"/>
        <v xml:space="preserve">N52156  </v>
      </c>
      <c r="BE1067">
        <v>1</v>
      </c>
      <c r="BG1067">
        <v>0</v>
      </c>
      <c r="BH1067">
        <v>0</v>
      </c>
      <c r="BI1067">
        <v>0</v>
      </c>
      <c r="BJ1067">
        <v>3200</v>
      </c>
      <c r="BK1067">
        <v>0</v>
      </c>
      <c r="BL1067" t="s">
        <v>188</v>
      </c>
      <c r="BM1067">
        <v>1</v>
      </c>
      <c r="BN1067">
        <v>1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 t="shared" si="423"/>
        <v>15:07:29.626</v>
      </c>
      <c r="CF1067">
        <v>625952489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3</v>
      </c>
      <c r="CY1067">
        <v>7</v>
      </c>
      <c r="CZ1067" t="s">
        <v>133</v>
      </c>
      <c r="DA1067">
        <v>275</v>
      </c>
      <c r="DB1067">
        <v>0</v>
      </c>
      <c r="DC1067" t="s">
        <v>134</v>
      </c>
      <c r="DD1067" t="s">
        <v>135</v>
      </c>
      <c r="DG1067">
        <v>3319722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"05/01/2025 15:07:29.871"</f>
        <v>05/01/2025 15:07:29.871</v>
      </c>
      <c r="C1068" t="str">
        <f t="shared" si="406"/>
        <v>FFDFD3C0</v>
      </c>
      <c r="D1068" t="s">
        <v>124</v>
      </c>
      <c r="E1068" t="str">
        <f>"06"</f>
        <v>06</v>
      </c>
      <c r="F1068">
        <v>2006</v>
      </c>
      <c r="G1068" t="s">
        <v>125</v>
      </c>
      <c r="J1068" t="s">
        <v>126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R1068" t="s">
        <v>127</v>
      </c>
      <c r="S1068" t="str">
        <f t="shared" si="422"/>
        <v>15:07:29.000</v>
      </c>
      <c r="T1068" t="str">
        <f t="shared" si="422"/>
        <v>15:07:29.000</v>
      </c>
      <c r="U1068" t="str">
        <f t="shared" si="407"/>
        <v>A68FCB</v>
      </c>
      <c r="V1068">
        <v>0</v>
      </c>
      <c r="W1068">
        <v>0</v>
      </c>
      <c r="X1068">
        <v>2</v>
      </c>
      <c r="Y1068">
        <v>0</v>
      </c>
      <c r="AA1068">
        <v>1</v>
      </c>
      <c r="AB1068">
        <v>8</v>
      </c>
      <c r="AC1068">
        <v>3</v>
      </c>
      <c r="AD1068">
        <v>0</v>
      </c>
      <c r="AE1068">
        <v>9</v>
      </c>
      <c r="AF1068" t="s">
        <v>138</v>
      </c>
      <c r="AG1068">
        <v>0</v>
      </c>
      <c r="AH1068">
        <v>3</v>
      </c>
      <c r="AI1068">
        <v>2</v>
      </c>
      <c r="AJ1068">
        <v>0</v>
      </c>
      <c r="AK1068" t="s">
        <v>436</v>
      </c>
      <c r="AL1068">
        <v>38.991529999999997</v>
      </c>
      <c r="AM1068" t="s">
        <v>431</v>
      </c>
      <c r="AN1068">
        <v>-121.052921</v>
      </c>
      <c r="AO1068">
        <v>25</v>
      </c>
      <c r="AP1068">
        <v>3200</v>
      </c>
      <c r="AQ1068" t="s">
        <v>131</v>
      </c>
      <c r="AR1068">
        <v>8</v>
      </c>
      <c r="AS1068">
        <v>79</v>
      </c>
      <c r="AT1068">
        <v>576</v>
      </c>
      <c r="BB1068" t="str">
        <f t="shared" si="408"/>
        <v>1200</v>
      </c>
      <c r="BC1068">
        <v>1</v>
      </c>
      <c r="BD1068" t="str">
        <f t="shared" si="409"/>
        <v xml:space="preserve">N52156  </v>
      </c>
      <c r="BE1068">
        <v>1</v>
      </c>
      <c r="BG1068">
        <v>0</v>
      </c>
      <c r="BH1068">
        <v>0</v>
      </c>
      <c r="BI1068">
        <v>0</v>
      </c>
      <c r="BJ1068">
        <v>3200</v>
      </c>
      <c r="BK1068">
        <v>0</v>
      </c>
      <c r="BL1068" t="s">
        <v>188</v>
      </c>
      <c r="BM1068">
        <v>1</v>
      </c>
      <c r="BN1068">
        <v>1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 t="shared" si="423"/>
        <v>15:07:29.626</v>
      </c>
      <c r="CF1068">
        <v>625952489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3</v>
      </c>
      <c r="CY1068">
        <v>7</v>
      </c>
      <c r="CZ1068" t="s">
        <v>133</v>
      </c>
      <c r="DA1068">
        <v>275</v>
      </c>
      <c r="DB1068">
        <v>0</v>
      </c>
      <c r="DC1068" t="s">
        <v>134</v>
      </c>
      <c r="DD1068" t="s">
        <v>135</v>
      </c>
      <c r="DG1068">
        <v>3319722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"05/01/2025 15:07:29.873"</f>
        <v>05/01/2025 15:07:29.873</v>
      </c>
      <c r="C1069" t="str">
        <f t="shared" si="406"/>
        <v>FFDFD3C0</v>
      </c>
      <c r="D1069" t="s">
        <v>145</v>
      </c>
      <c r="E1069" t="str">
        <f>"09"</f>
        <v>09</v>
      </c>
      <c r="H1069">
        <v>51</v>
      </c>
      <c r="I1069" t="s">
        <v>147</v>
      </c>
      <c r="J1069" t="s">
        <v>138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R1069" t="s">
        <v>127</v>
      </c>
      <c r="S1069" t="str">
        <f t="shared" si="422"/>
        <v>15:07:29.000</v>
      </c>
      <c r="T1069" t="str">
        <f t="shared" si="422"/>
        <v>15:07:29.000</v>
      </c>
      <c r="U1069" t="str">
        <f t="shared" si="407"/>
        <v>A68FCB</v>
      </c>
      <c r="V1069">
        <v>0</v>
      </c>
      <c r="W1069">
        <v>0</v>
      </c>
      <c r="X1069">
        <v>2</v>
      </c>
      <c r="Y1069">
        <v>0</v>
      </c>
      <c r="AA1069">
        <v>1</v>
      </c>
      <c r="AB1069">
        <v>8</v>
      </c>
      <c r="AC1069">
        <v>3</v>
      </c>
      <c r="AD1069">
        <v>0</v>
      </c>
      <c r="AE1069">
        <v>9</v>
      </c>
      <c r="AF1069" t="s">
        <v>138</v>
      </c>
      <c r="AG1069">
        <v>0</v>
      </c>
      <c r="AH1069">
        <v>3</v>
      </c>
      <c r="AI1069">
        <v>2</v>
      </c>
      <c r="AJ1069">
        <v>0</v>
      </c>
      <c r="AK1069" t="s">
        <v>436</v>
      </c>
      <c r="AL1069">
        <v>38.991529999999997</v>
      </c>
      <c r="AM1069" t="s">
        <v>431</v>
      </c>
      <c r="AN1069">
        <v>-121.052921</v>
      </c>
      <c r="AO1069">
        <v>25</v>
      </c>
      <c r="AP1069">
        <v>3200</v>
      </c>
      <c r="AQ1069" t="s">
        <v>131</v>
      </c>
      <c r="AR1069">
        <v>8</v>
      </c>
      <c r="AS1069">
        <v>79</v>
      </c>
      <c r="AT1069">
        <v>576</v>
      </c>
      <c r="BB1069" t="str">
        <f t="shared" si="408"/>
        <v>1200</v>
      </c>
      <c r="BC1069">
        <v>1</v>
      </c>
      <c r="BD1069" t="str">
        <f t="shared" si="409"/>
        <v xml:space="preserve">N52156  </v>
      </c>
      <c r="BE1069">
        <v>1</v>
      </c>
      <c r="BG1069">
        <v>0</v>
      </c>
      <c r="BH1069">
        <v>0</v>
      </c>
      <c r="BI1069">
        <v>0</v>
      </c>
      <c r="BJ1069">
        <v>3200</v>
      </c>
      <c r="BK1069">
        <v>0</v>
      </c>
      <c r="BL1069" t="s">
        <v>188</v>
      </c>
      <c r="BM1069">
        <v>1</v>
      </c>
      <c r="BN1069">
        <v>1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 t="shared" si="423"/>
        <v>15:07:29.626</v>
      </c>
      <c r="CF1069">
        <v>625952489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3</v>
      </c>
      <c r="CY1069">
        <v>7</v>
      </c>
      <c r="CZ1069" t="s">
        <v>133</v>
      </c>
      <c r="DA1069">
        <v>275</v>
      </c>
      <c r="DB1069">
        <v>0</v>
      </c>
      <c r="DC1069" t="s">
        <v>134</v>
      </c>
      <c r="DD1069" t="s">
        <v>135</v>
      </c>
      <c r="DG1069">
        <v>3319722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"05/01/2025 15:07:30.481"</f>
        <v>05/01/2025 15:07:30.481</v>
      </c>
      <c r="C1070" t="str">
        <f t="shared" si="406"/>
        <v>FFDFD3C0</v>
      </c>
      <c r="D1070" t="s">
        <v>136</v>
      </c>
      <c r="E1070" t="str">
        <f>"20"</f>
        <v>20</v>
      </c>
      <c r="H1070">
        <v>400</v>
      </c>
      <c r="I1070" t="s">
        <v>137</v>
      </c>
      <c r="J1070" t="s">
        <v>138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R1070" t="s">
        <v>127</v>
      </c>
      <c r="S1070" t="str">
        <f t="shared" ref="S1070:T1075" si="424">"15:07:30.000"</f>
        <v>15:07:30.000</v>
      </c>
      <c r="T1070" t="str">
        <f t="shared" si="424"/>
        <v>15:07:30.000</v>
      </c>
      <c r="U1070" t="str">
        <f t="shared" si="407"/>
        <v>A68FCB</v>
      </c>
      <c r="V1070">
        <v>0</v>
      </c>
      <c r="W1070">
        <v>0</v>
      </c>
      <c r="X1070">
        <v>2</v>
      </c>
      <c r="Y1070">
        <v>0</v>
      </c>
      <c r="AA1070">
        <v>1</v>
      </c>
      <c r="AB1070">
        <v>8</v>
      </c>
      <c r="AC1070">
        <v>3</v>
      </c>
      <c r="AD1070">
        <v>0</v>
      </c>
      <c r="AE1070">
        <v>9</v>
      </c>
      <c r="AF1070" t="s">
        <v>138</v>
      </c>
      <c r="AG1070">
        <v>0</v>
      </c>
      <c r="AH1070">
        <v>3</v>
      </c>
      <c r="AI1070">
        <v>2</v>
      </c>
      <c r="AJ1070">
        <v>0</v>
      </c>
      <c r="AK1070" t="s">
        <v>437</v>
      </c>
      <c r="AL1070">
        <v>38.991872999999998</v>
      </c>
      <c r="AM1070" t="s">
        <v>429</v>
      </c>
      <c r="AN1070">
        <v>-121.05287800000001</v>
      </c>
      <c r="AO1070">
        <v>25</v>
      </c>
      <c r="AP1070">
        <v>3200</v>
      </c>
      <c r="AQ1070" t="s">
        <v>131</v>
      </c>
      <c r="AR1070">
        <v>9</v>
      </c>
      <c r="AS1070">
        <v>79</v>
      </c>
      <c r="AT1070">
        <v>576</v>
      </c>
      <c r="BB1070" t="str">
        <f t="shared" si="408"/>
        <v>1200</v>
      </c>
      <c r="BC1070">
        <v>1</v>
      </c>
      <c r="BD1070" t="str">
        <f t="shared" si="409"/>
        <v xml:space="preserve">N52156  </v>
      </c>
      <c r="BE1070">
        <v>1</v>
      </c>
      <c r="BG1070">
        <v>0</v>
      </c>
      <c r="BH1070">
        <v>0</v>
      </c>
      <c r="BI1070">
        <v>0</v>
      </c>
      <c r="BJ1070">
        <v>3200</v>
      </c>
      <c r="BK1070">
        <v>0</v>
      </c>
      <c r="BL1070" t="s">
        <v>188</v>
      </c>
      <c r="BM1070">
        <v>1</v>
      </c>
      <c r="BN1070">
        <v>1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 t="shared" ref="CE1070:CE1075" si="425">"15:07:30.282"</f>
        <v>15:07:30.282</v>
      </c>
      <c r="CF1070">
        <v>282260665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4</v>
      </c>
      <c r="CY1070">
        <v>7</v>
      </c>
      <c r="CZ1070" t="s">
        <v>133</v>
      </c>
      <c r="DA1070">
        <v>276</v>
      </c>
      <c r="DB1070">
        <v>0</v>
      </c>
      <c r="DC1070" t="s">
        <v>402</v>
      </c>
      <c r="DD1070" t="s">
        <v>403</v>
      </c>
      <c r="DG1070">
        <v>1625057</v>
      </c>
      <c r="DI1070">
        <v>1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"05/01/2025 15:07:30.514"</f>
        <v>05/01/2025 15:07:30.514</v>
      </c>
      <c r="C1071" t="str">
        <f t="shared" si="406"/>
        <v>FFDFD3C0</v>
      </c>
      <c r="D1071" t="s">
        <v>140</v>
      </c>
      <c r="E1071" t="str">
        <f>"13"</f>
        <v>13</v>
      </c>
      <c r="F1071">
        <v>1019</v>
      </c>
      <c r="G1071" t="s">
        <v>141</v>
      </c>
      <c r="J1071" t="s">
        <v>142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R1071" t="s">
        <v>127</v>
      </c>
      <c r="S1071" t="str">
        <f t="shared" si="424"/>
        <v>15:07:30.000</v>
      </c>
      <c r="T1071" t="str">
        <f t="shared" si="424"/>
        <v>15:07:30.000</v>
      </c>
      <c r="U1071" t="str">
        <f t="shared" si="407"/>
        <v>A68FCB</v>
      </c>
      <c r="V1071">
        <v>0</v>
      </c>
      <c r="W1071">
        <v>0</v>
      </c>
      <c r="X1071">
        <v>2</v>
      </c>
      <c r="Y1071">
        <v>0</v>
      </c>
      <c r="AA1071">
        <v>1</v>
      </c>
      <c r="AB1071">
        <v>8</v>
      </c>
      <c r="AC1071">
        <v>3</v>
      </c>
      <c r="AD1071">
        <v>0</v>
      </c>
      <c r="AE1071">
        <v>9</v>
      </c>
      <c r="AF1071" t="s">
        <v>138</v>
      </c>
      <c r="AG1071">
        <v>0</v>
      </c>
      <c r="AH1071">
        <v>3</v>
      </c>
      <c r="AI1071">
        <v>2</v>
      </c>
      <c r="AJ1071">
        <v>0</v>
      </c>
      <c r="AK1071" t="s">
        <v>437</v>
      </c>
      <c r="AL1071">
        <v>38.991872999999998</v>
      </c>
      <c r="AM1071" t="s">
        <v>429</v>
      </c>
      <c r="AN1071">
        <v>-121.05287800000001</v>
      </c>
      <c r="AO1071">
        <v>25</v>
      </c>
      <c r="AP1071">
        <v>3200</v>
      </c>
      <c r="AQ1071" t="s">
        <v>131</v>
      </c>
      <c r="AR1071">
        <v>9</v>
      </c>
      <c r="AS1071">
        <v>79</v>
      </c>
      <c r="AT1071">
        <v>576</v>
      </c>
      <c r="BB1071" t="str">
        <f t="shared" si="408"/>
        <v>1200</v>
      </c>
      <c r="BC1071">
        <v>1</v>
      </c>
      <c r="BD1071" t="str">
        <f t="shared" si="409"/>
        <v xml:space="preserve">N52156  </v>
      </c>
      <c r="BE1071">
        <v>1</v>
      </c>
      <c r="BG1071">
        <v>0</v>
      </c>
      <c r="BH1071">
        <v>0</v>
      </c>
      <c r="BI1071">
        <v>0</v>
      </c>
      <c r="BJ1071">
        <v>3200</v>
      </c>
      <c r="BK1071">
        <v>0</v>
      </c>
      <c r="BL1071" t="s">
        <v>188</v>
      </c>
      <c r="BM1071">
        <v>1</v>
      </c>
      <c r="BN1071">
        <v>1</v>
      </c>
      <c r="BO1071">
        <v>0</v>
      </c>
      <c r="BP1071">
        <v>0</v>
      </c>
      <c r="BS1071">
        <v>0</v>
      </c>
      <c r="BT1071">
        <v>0</v>
      </c>
      <c r="BU1071">
        <v>0</v>
      </c>
      <c r="CE1071" t="str">
        <f t="shared" si="425"/>
        <v>15:07:30.282</v>
      </c>
      <c r="CF1071">
        <v>282260665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4</v>
      </c>
      <c r="CY1071">
        <v>7</v>
      </c>
      <c r="CZ1071" t="s">
        <v>133</v>
      </c>
      <c r="DA1071">
        <v>276</v>
      </c>
      <c r="DB1071">
        <v>0</v>
      </c>
      <c r="DC1071" t="s">
        <v>402</v>
      </c>
      <c r="DD1071" t="s">
        <v>403</v>
      </c>
      <c r="DG1071">
        <v>1625057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"05/01/2025 15:07:30.520"</f>
        <v>05/01/2025 15:07:30.520</v>
      </c>
      <c r="C1072" t="str">
        <f t="shared" si="406"/>
        <v>FFDFD3C0</v>
      </c>
      <c r="D1072" t="s">
        <v>145</v>
      </c>
      <c r="E1072" t="str">
        <f>"05"</f>
        <v>05</v>
      </c>
      <c r="H1072">
        <v>47</v>
      </c>
      <c r="I1072" t="s">
        <v>146</v>
      </c>
      <c r="J1072" t="s">
        <v>138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R1072" t="s">
        <v>127</v>
      </c>
      <c r="S1072" t="str">
        <f t="shared" si="424"/>
        <v>15:07:30.000</v>
      </c>
      <c r="T1072" t="str">
        <f t="shared" si="424"/>
        <v>15:07:30.000</v>
      </c>
      <c r="U1072" t="str">
        <f t="shared" si="407"/>
        <v>A68FCB</v>
      </c>
      <c r="V1072">
        <v>0</v>
      </c>
      <c r="W1072">
        <v>0</v>
      </c>
      <c r="X1072">
        <v>2</v>
      </c>
      <c r="Y1072">
        <v>0</v>
      </c>
      <c r="AA1072">
        <v>1</v>
      </c>
      <c r="AB1072">
        <v>8</v>
      </c>
      <c r="AC1072">
        <v>3</v>
      </c>
      <c r="AD1072">
        <v>0</v>
      </c>
      <c r="AE1072">
        <v>9</v>
      </c>
      <c r="AF1072" t="s">
        <v>138</v>
      </c>
      <c r="AG1072">
        <v>0</v>
      </c>
      <c r="AH1072">
        <v>3</v>
      </c>
      <c r="AI1072">
        <v>2</v>
      </c>
      <c r="AJ1072">
        <v>0</v>
      </c>
      <c r="AK1072" t="s">
        <v>437</v>
      </c>
      <c r="AL1072">
        <v>38.991872999999998</v>
      </c>
      <c r="AM1072" t="s">
        <v>429</v>
      </c>
      <c r="AN1072">
        <v>-121.05287800000001</v>
      </c>
      <c r="AO1072">
        <v>25</v>
      </c>
      <c r="AP1072">
        <v>3200</v>
      </c>
      <c r="AQ1072" t="s">
        <v>131</v>
      </c>
      <c r="AR1072">
        <v>9</v>
      </c>
      <c r="AS1072">
        <v>79</v>
      </c>
      <c r="AT1072">
        <v>576</v>
      </c>
      <c r="BB1072" t="str">
        <f t="shared" si="408"/>
        <v>1200</v>
      </c>
      <c r="BC1072">
        <v>1</v>
      </c>
      <c r="BD1072" t="str">
        <f t="shared" si="409"/>
        <v xml:space="preserve">N52156  </v>
      </c>
      <c r="BE1072">
        <v>1</v>
      </c>
      <c r="BG1072">
        <v>0</v>
      </c>
      <c r="BH1072">
        <v>0</v>
      </c>
      <c r="BI1072">
        <v>0</v>
      </c>
      <c r="BJ1072">
        <v>3200</v>
      </c>
      <c r="BK1072">
        <v>0</v>
      </c>
      <c r="BL1072" t="s">
        <v>188</v>
      </c>
      <c r="BM1072">
        <v>1</v>
      </c>
      <c r="BN1072">
        <v>1</v>
      </c>
      <c r="BO1072">
        <v>0</v>
      </c>
      <c r="BP1072">
        <v>0</v>
      </c>
      <c r="BS1072">
        <v>0</v>
      </c>
      <c r="BT1072">
        <v>0</v>
      </c>
      <c r="BU1072">
        <v>0</v>
      </c>
      <c r="CE1072" t="str">
        <f t="shared" si="425"/>
        <v>15:07:30.282</v>
      </c>
      <c r="CF1072">
        <v>282260665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4</v>
      </c>
      <c r="CY1072">
        <v>7</v>
      </c>
      <c r="CZ1072" t="s">
        <v>133</v>
      </c>
      <c r="DA1072">
        <v>276</v>
      </c>
      <c r="DB1072">
        <v>0</v>
      </c>
      <c r="DC1072" t="s">
        <v>402</v>
      </c>
      <c r="DD1072" t="s">
        <v>403</v>
      </c>
      <c r="DG1072">
        <v>1625057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"05/01/2025 15:07:30.522"</f>
        <v>05/01/2025 15:07:30.522</v>
      </c>
      <c r="C1073" t="str">
        <f t="shared" si="406"/>
        <v>FFDFD3C0</v>
      </c>
      <c r="D1073" t="s">
        <v>124</v>
      </c>
      <c r="E1073" t="str">
        <f>"06"</f>
        <v>06</v>
      </c>
      <c r="F1073">
        <v>2006</v>
      </c>
      <c r="G1073" t="s">
        <v>125</v>
      </c>
      <c r="J1073" t="s">
        <v>126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R1073" t="s">
        <v>127</v>
      </c>
      <c r="S1073" t="str">
        <f t="shared" si="424"/>
        <v>15:07:30.000</v>
      </c>
      <c r="T1073" t="str">
        <f t="shared" si="424"/>
        <v>15:07:30.000</v>
      </c>
      <c r="U1073" t="str">
        <f t="shared" si="407"/>
        <v>A68FCB</v>
      </c>
      <c r="V1073">
        <v>0</v>
      </c>
      <c r="W1073">
        <v>0</v>
      </c>
      <c r="X1073">
        <v>2</v>
      </c>
      <c r="Y1073">
        <v>0</v>
      </c>
      <c r="AA1073">
        <v>1</v>
      </c>
      <c r="AB1073">
        <v>8</v>
      </c>
      <c r="AC1073">
        <v>3</v>
      </c>
      <c r="AD1073">
        <v>0</v>
      </c>
      <c r="AE1073">
        <v>9</v>
      </c>
      <c r="AF1073" t="s">
        <v>138</v>
      </c>
      <c r="AG1073">
        <v>0</v>
      </c>
      <c r="AH1073">
        <v>3</v>
      </c>
      <c r="AI1073">
        <v>2</v>
      </c>
      <c r="AJ1073">
        <v>0</v>
      </c>
      <c r="AK1073" t="s">
        <v>437</v>
      </c>
      <c r="AL1073">
        <v>38.991872999999998</v>
      </c>
      <c r="AM1073" t="s">
        <v>429</v>
      </c>
      <c r="AN1073">
        <v>-121.05287800000001</v>
      </c>
      <c r="AO1073">
        <v>25</v>
      </c>
      <c r="AP1073">
        <v>3200</v>
      </c>
      <c r="AQ1073" t="s">
        <v>131</v>
      </c>
      <c r="AR1073">
        <v>9</v>
      </c>
      <c r="AS1073">
        <v>79</v>
      </c>
      <c r="AT1073">
        <v>576</v>
      </c>
      <c r="BB1073" t="str">
        <f t="shared" si="408"/>
        <v>1200</v>
      </c>
      <c r="BC1073">
        <v>1</v>
      </c>
      <c r="BD1073" t="str">
        <f t="shared" si="409"/>
        <v xml:space="preserve">N52156  </v>
      </c>
      <c r="BE1073">
        <v>1</v>
      </c>
      <c r="BG1073">
        <v>0</v>
      </c>
      <c r="BH1073">
        <v>0</v>
      </c>
      <c r="BI1073">
        <v>0</v>
      </c>
      <c r="BJ1073">
        <v>3200</v>
      </c>
      <c r="BK1073">
        <v>0</v>
      </c>
      <c r="BL1073" t="s">
        <v>188</v>
      </c>
      <c r="BM1073">
        <v>1</v>
      </c>
      <c r="BN1073">
        <v>1</v>
      </c>
      <c r="BO1073">
        <v>0</v>
      </c>
      <c r="BP1073">
        <v>0</v>
      </c>
      <c r="BS1073">
        <v>0</v>
      </c>
      <c r="BT1073">
        <v>0</v>
      </c>
      <c r="BU1073">
        <v>0</v>
      </c>
      <c r="CE1073" t="str">
        <f t="shared" si="425"/>
        <v>15:07:30.282</v>
      </c>
      <c r="CF1073">
        <v>282260665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4</v>
      </c>
      <c r="CY1073">
        <v>7</v>
      </c>
      <c r="CZ1073" t="s">
        <v>133</v>
      </c>
      <c r="DA1073">
        <v>276</v>
      </c>
      <c r="DB1073">
        <v>0</v>
      </c>
      <c r="DC1073" t="s">
        <v>402</v>
      </c>
      <c r="DD1073" t="s">
        <v>403</v>
      </c>
      <c r="DG1073">
        <v>1625057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"05/01/2025 15:07:30.524"</f>
        <v>05/01/2025 15:07:30.524</v>
      </c>
      <c r="C1074" t="str">
        <f t="shared" si="406"/>
        <v>FFDFD3C0</v>
      </c>
      <c r="D1074" t="s">
        <v>143</v>
      </c>
      <c r="E1074" t="str">
        <f>"05"</f>
        <v>05</v>
      </c>
      <c r="H1074">
        <v>172</v>
      </c>
      <c r="I1074" t="s">
        <v>141</v>
      </c>
      <c r="J1074" t="s">
        <v>144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R1074" t="s">
        <v>127</v>
      </c>
      <c r="S1074" t="str">
        <f t="shared" si="424"/>
        <v>15:07:30.000</v>
      </c>
      <c r="T1074" t="str">
        <f t="shared" si="424"/>
        <v>15:07:30.000</v>
      </c>
      <c r="U1074" t="str">
        <f t="shared" si="407"/>
        <v>A68FCB</v>
      </c>
      <c r="V1074">
        <v>0</v>
      </c>
      <c r="W1074">
        <v>0</v>
      </c>
      <c r="X1074">
        <v>2</v>
      </c>
      <c r="Y1074">
        <v>0</v>
      </c>
      <c r="AA1074">
        <v>1</v>
      </c>
      <c r="AB1074">
        <v>8</v>
      </c>
      <c r="AC1074">
        <v>3</v>
      </c>
      <c r="AD1074">
        <v>0</v>
      </c>
      <c r="AE1074">
        <v>9</v>
      </c>
      <c r="AF1074" t="s">
        <v>138</v>
      </c>
      <c r="AG1074">
        <v>0</v>
      </c>
      <c r="AH1074">
        <v>3</v>
      </c>
      <c r="AI1074">
        <v>2</v>
      </c>
      <c r="AJ1074">
        <v>0</v>
      </c>
      <c r="AK1074" t="s">
        <v>437</v>
      </c>
      <c r="AL1074">
        <v>38.991872999999998</v>
      </c>
      <c r="AM1074" t="s">
        <v>429</v>
      </c>
      <c r="AN1074">
        <v>-121.05287800000001</v>
      </c>
      <c r="AO1074">
        <v>25</v>
      </c>
      <c r="AP1074">
        <v>3200</v>
      </c>
      <c r="AQ1074" t="s">
        <v>131</v>
      </c>
      <c r="AR1074">
        <v>9</v>
      </c>
      <c r="AS1074">
        <v>79</v>
      </c>
      <c r="AT1074">
        <v>576</v>
      </c>
      <c r="BB1074" t="str">
        <f t="shared" si="408"/>
        <v>1200</v>
      </c>
      <c r="BC1074">
        <v>1</v>
      </c>
      <c r="BD1074" t="str">
        <f t="shared" si="409"/>
        <v xml:space="preserve">N52156  </v>
      </c>
      <c r="BE1074">
        <v>1</v>
      </c>
      <c r="BG1074">
        <v>0</v>
      </c>
      <c r="BH1074">
        <v>0</v>
      </c>
      <c r="BI1074">
        <v>0</v>
      </c>
      <c r="BJ1074">
        <v>3200</v>
      </c>
      <c r="BK1074">
        <v>0</v>
      </c>
      <c r="BL1074" t="s">
        <v>188</v>
      </c>
      <c r="BM1074">
        <v>1</v>
      </c>
      <c r="BN1074">
        <v>1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 t="shared" si="425"/>
        <v>15:07:30.282</v>
      </c>
      <c r="CF1074">
        <v>282260665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4</v>
      </c>
      <c r="CY1074">
        <v>7</v>
      </c>
      <c r="CZ1074" t="s">
        <v>133</v>
      </c>
      <c r="DA1074">
        <v>276</v>
      </c>
      <c r="DB1074">
        <v>0</v>
      </c>
      <c r="DC1074" t="s">
        <v>402</v>
      </c>
      <c r="DD1074" t="s">
        <v>403</v>
      </c>
      <c r="DG1074">
        <v>1625057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"05/01/2025 15:07:30.524"</f>
        <v>05/01/2025 15:07:30.524</v>
      </c>
      <c r="C1075" t="str">
        <f t="shared" si="406"/>
        <v>FFDFD3C0</v>
      </c>
      <c r="D1075" t="s">
        <v>145</v>
      </c>
      <c r="E1075" t="str">
        <f>"09"</f>
        <v>09</v>
      </c>
      <c r="H1075">
        <v>51</v>
      </c>
      <c r="I1075" t="s">
        <v>147</v>
      </c>
      <c r="J1075" t="s">
        <v>138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R1075" t="s">
        <v>127</v>
      </c>
      <c r="S1075" t="str">
        <f t="shared" si="424"/>
        <v>15:07:30.000</v>
      </c>
      <c r="T1075" t="str">
        <f t="shared" si="424"/>
        <v>15:07:30.000</v>
      </c>
      <c r="U1075" t="str">
        <f t="shared" si="407"/>
        <v>A68FCB</v>
      </c>
      <c r="V1075">
        <v>0</v>
      </c>
      <c r="W1075">
        <v>0</v>
      </c>
      <c r="X1075">
        <v>2</v>
      </c>
      <c r="Y1075">
        <v>0</v>
      </c>
      <c r="AA1075">
        <v>1</v>
      </c>
      <c r="AB1075">
        <v>8</v>
      </c>
      <c r="AC1075">
        <v>3</v>
      </c>
      <c r="AD1075">
        <v>0</v>
      </c>
      <c r="AE1075">
        <v>9</v>
      </c>
      <c r="AF1075" t="s">
        <v>138</v>
      </c>
      <c r="AG1075">
        <v>0</v>
      </c>
      <c r="AH1075">
        <v>3</v>
      </c>
      <c r="AI1075">
        <v>2</v>
      </c>
      <c r="AJ1075">
        <v>0</v>
      </c>
      <c r="AK1075" t="s">
        <v>437</v>
      </c>
      <c r="AL1075">
        <v>38.991872999999998</v>
      </c>
      <c r="AM1075" t="s">
        <v>429</v>
      </c>
      <c r="AN1075">
        <v>-121.05287800000001</v>
      </c>
      <c r="AO1075">
        <v>25</v>
      </c>
      <c r="AP1075">
        <v>3200</v>
      </c>
      <c r="AQ1075" t="s">
        <v>131</v>
      </c>
      <c r="AR1075">
        <v>9</v>
      </c>
      <c r="AS1075">
        <v>79</v>
      </c>
      <c r="AT1075">
        <v>576</v>
      </c>
      <c r="BB1075" t="str">
        <f t="shared" si="408"/>
        <v>1200</v>
      </c>
      <c r="BC1075">
        <v>1</v>
      </c>
      <c r="BD1075" t="str">
        <f t="shared" si="409"/>
        <v xml:space="preserve">N52156  </v>
      </c>
      <c r="BE1075">
        <v>1</v>
      </c>
      <c r="BG1075">
        <v>0</v>
      </c>
      <c r="BH1075">
        <v>0</v>
      </c>
      <c r="BI1075">
        <v>0</v>
      </c>
      <c r="BJ1075">
        <v>3200</v>
      </c>
      <c r="BK1075">
        <v>0</v>
      </c>
      <c r="BL1075" t="s">
        <v>188</v>
      </c>
      <c r="BM1075">
        <v>1</v>
      </c>
      <c r="BN1075">
        <v>1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 t="shared" si="425"/>
        <v>15:07:30.282</v>
      </c>
      <c r="CF1075">
        <v>282260665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4</v>
      </c>
      <c r="CY1075">
        <v>7</v>
      </c>
      <c r="CZ1075" t="s">
        <v>133</v>
      </c>
      <c r="DA1075">
        <v>276</v>
      </c>
      <c r="DB1075">
        <v>0</v>
      </c>
      <c r="DC1075" t="s">
        <v>402</v>
      </c>
      <c r="DD1075" t="s">
        <v>403</v>
      </c>
      <c r="DG1075">
        <v>1625057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"05/01/2025 15:07:32.216"</f>
        <v>05/01/2025 15:07:32.216</v>
      </c>
      <c r="C1076" t="str">
        <f t="shared" si="406"/>
        <v>FFDFD3C0</v>
      </c>
      <c r="D1076" t="s">
        <v>140</v>
      </c>
      <c r="E1076" t="str">
        <f>"13"</f>
        <v>13</v>
      </c>
      <c r="F1076">
        <v>1019</v>
      </c>
      <c r="G1076" t="s">
        <v>141</v>
      </c>
      <c r="J1076" t="s">
        <v>142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R1076" t="s">
        <v>127</v>
      </c>
      <c r="S1076" t="str">
        <f t="shared" ref="S1076:T1081" si="426">"15:07:31.000"</f>
        <v>15:07:31.000</v>
      </c>
      <c r="T1076" t="str">
        <f t="shared" si="426"/>
        <v>15:07:31.000</v>
      </c>
      <c r="U1076" t="str">
        <f t="shared" si="407"/>
        <v>A68FCB</v>
      </c>
      <c r="V1076">
        <v>0</v>
      </c>
      <c r="W1076">
        <v>0</v>
      </c>
      <c r="X1076">
        <v>2</v>
      </c>
      <c r="Y1076">
        <v>0</v>
      </c>
      <c r="AA1076">
        <v>1</v>
      </c>
      <c r="AB1076">
        <v>8</v>
      </c>
      <c r="AC1076">
        <v>3</v>
      </c>
      <c r="AD1076">
        <v>0</v>
      </c>
      <c r="AE1076">
        <v>9</v>
      </c>
      <c r="AF1076" t="s">
        <v>138</v>
      </c>
      <c r="AG1076">
        <v>0</v>
      </c>
      <c r="AH1076">
        <v>3</v>
      </c>
      <c r="AI1076">
        <v>2</v>
      </c>
      <c r="AJ1076">
        <v>0</v>
      </c>
      <c r="AK1076" t="s">
        <v>438</v>
      </c>
      <c r="AL1076">
        <v>38.992238</v>
      </c>
      <c r="AM1076" t="s">
        <v>425</v>
      </c>
      <c r="AN1076">
        <v>-121.052814</v>
      </c>
      <c r="AO1076">
        <v>25</v>
      </c>
      <c r="AP1076">
        <v>3300</v>
      </c>
      <c r="AQ1076" t="s">
        <v>131</v>
      </c>
      <c r="AR1076">
        <v>10</v>
      </c>
      <c r="AS1076">
        <v>78</v>
      </c>
      <c r="AT1076">
        <v>640</v>
      </c>
      <c r="BB1076" t="str">
        <f t="shared" si="408"/>
        <v>1200</v>
      </c>
      <c r="BC1076">
        <v>1</v>
      </c>
      <c r="BD1076" t="str">
        <f t="shared" si="409"/>
        <v xml:space="preserve">N52156  </v>
      </c>
      <c r="BE1076">
        <v>1</v>
      </c>
      <c r="BG1076">
        <v>0</v>
      </c>
      <c r="BH1076">
        <v>0</v>
      </c>
      <c r="BI1076">
        <v>0</v>
      </c>
      <c r="BJ1076">
        <v>3200</v>
      </c>
      <c r="BK1076">
        <v>-100</v>
      </c>
      <c r="BL1076" t="s">
        <v>188</v>
      </c>
      <c r="BM1076">
        <v>1</v>
      </c>
      <c r="BN1076">
        <v>1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 t="shared" ref="CE1076:CE1081" si="427">"15:07:31.987"</f>
        <v>15:07:31.987</v>
      </c>
      <c r="CF1076">
        <v>986512597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4</v>
      </c>
      <c r="CY1076">
        <v>7</v>
      </c>
      <c r="CZ1076" t="s">
        <v>133</v>
      </c>
      <c r="DA1076">
        <v>276</v>
      </c>
      <c r="DB1076">
        <v>0</v>
      </c>
      <c r="DC1076" t="s">
        <v>402</v>
      </c>
      <c r="DD1076" t="s">
        <v>403</v>
      </c>
      <c r="DG1076">
        <v>1625071</v>
      </c>
      <c r="DI1076">
        <v>1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"05/01/2025 15:07:32.222"</f>
        <v>05/01/2025 15:07:32.222</v>
      </c>
      <c r="C1077" t="str">
        <f t="shared" si="406"/>
        <v>FFDFD3C0</v>
      </c>
      <c r="D1077" t="s">
        <v>145</v>
      </c>
      <c r="E1077" t="str">
        <f>"05"</f>
        <v>05</v>
      </c>
      <c r="H1077">
        <v>47</v>
      </c>
      <c r="I1077" t="s">
        <v>146</v>
      </c>
      <c r="J1077" t="s">
        <v>138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R1077" t="s">
        <v>127</v>
      </c>
      <c r="S1077" t="str">
        <f t="shared" si="426"/>
        <v>15:07:31.000</v>
      </c>
      <c r="T1077" t="str">
        <f t="shared" si="426"/>
        <v>15:07:31.000</v>
      </c>
      <c r="U1077" t="str">
        <f t="shared" si="407"/>
        <v>A68FCB</v>
      </c>
      <c r="V1077">
        <v>0</v>
      </c>
      <c r="W1077">
        <v>0</v>
      </c>
      <c r="X1077">
        <v>2</v>
      </c>
      <c r="Y1077">
        <v>0</v>
      </c>
      <c r="AA1077">
        <v>1</v>
      </c>
      <c r="AB1077">
        <v>8</v>
      </c>
      <c r="AC1077">
        <v>3</v>
      </c>
      <c r="AD1077">
        <v>0</v>
      </c>
      <c r="AE1077">
        <v>9</v>
      </c>
      <c r="AF1077" t="s">
        <v>138</v>
      </c>
      <c r="AG1077">
        <v>0</v>
      </c>
      <c r="AH1077">
        <v>3</v>
      </c>
      <c r="AI1077">
        <v>2</v>
      </c>
      <c r="AJ1077">
        <v>0</v>
      </c>
      <c r="AK1077" t="s">
        <v>438</v>
      </c>
      <c r="AL1077">
        <v>38.992238</v>
      </c>
      <c r="AM1077" t="s">
        <v>425</v>
      </c>
      <c r="AN1077">
        <v>-121.052814</v>
      </c>
      <c r="AO1077">
        <v>25</v>
      </c>
      <c r="AP1077">
        <v>3300</v>
      </c>
      <c r="AQ1077" t="s">
        <v>131</v>
      </c>
      <c r="AR1077">
        <v>10</v>
      </c>
      <c r="AS1077">
        <v>78</v>
      </c>
      <c r="AT1077">
        <v>640</v>
      </c>
      <c r="BB1077" t="str">
        <f t="shared" si="408"/>
        <v>1200</v>
      </c>
      <c r="BC1077">
        <v>1</v>
      </c>
      <c r="BD1077" t="str">
        <f t="shared" si="409"/>
        <v xml:space="preserve">N52156  </v>
      </c>
      <c r="BE1077">
        <v>1</v>
      </c>
      <c r="BG1077">
        <v>0</v>
      </c>
      <c r="BH1077">
        <v>0</v>
      </c>
      <c r="BI1077">
        <v>0</v>
      </c>
      <c r="BJ1077">
        <v>3200</v>
      </c>
      <c r="BK1077">
        <v>-100</v>
      </c>
      <c r="BL1077" t="s">
        <v>188</v>
      </c>
      <c r="BM1077">
        <v>1</v>
      </c>
      <c r="BN1077">
        <v>1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 t="shared" si="427"/>
        <v>15:07:31.987</v>
      </c>
      <c r="CF1077">
        <v>986512597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4</v>
      </c>
      <c r="CY1077">
        <v>7</v>
      </c>
      <c r="CZ1077" t="s">
        <v>133</v>
      </c>
      <c r="DA1077">
        <v>276</v>
      </c>
      <c r="DB1077">
        <v>0</v>
      </c>
      <c r="DC1077" t="s">
        <v>402</v>
      </c>
      <c r="DD1077" t="s">
        <v>403</v>
      </c>
      <c r="DG1077">
        <v>1625071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"05/01/2025 15:07:32.227"</f>
        <v>05/01/2025 15:07:32.227</v>
      </c>
      <c r="C1078" t="str">
        <f t="shared" si="406"/>
        <v>FFDFD3C0</v>
      </c>
      <c r="D1078" t="s">
        <v>143</v>
      </c>
      <c r="E1078" t="str">
        <f>"05"</f>
        <v>05</v>
      </c>
      <c r="H1078">
        <v>172</v>
      </c>
      <c r="I1078" t="s">
        <v>141</v>
      </c>
      <c r="J1078" t="s">
        <v>144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R1078" t="s">
        <v>127</v>
      </c>
      <c r="S1078" t="str">
        <f t="shared" si="426"/>
        <v>15:07:31.000</v>
      </c>
      <c r="T1078" t="str">
        <f t="shared" si="426"/>
        <v>15:07:31.000</v>
      </c>
      <c r="U1078" t="str">
        <f t="shared" si="407"/>
        <v>A68FCB</v>
      </c>
      <c r="V1078">
        <v>0</v>
      </c>
      <c r="W1078">
        <v>0</v>
      </c>
      <c r="X1078">
        <v>2</v>
      </c>
      <c r="Y1078">
        <v>0</v>
      </c>
      <c r="AA1078">
        <v>1</v>
      </c>
      <c r="AB1078">
        <v>8</v>
      </c>
      <c r="AC1078">
        <v>3</v>
      </c>
      <c r="AD1078">
        <v>0</v>
      </c>
      <c r="AE1078">
        <v>9</v>
      </c>
      <c r="AF1078" t="s">
        <v>138</v>
      </c>
      <c r="AG1078">
        <v>0</v>
      </c>
      <c r="AH1078">
        <v>3</v>
      </c>
      <c r="AI1078">
        <v>2</v>
      </c>
      <c r="AJ1078">
        <v>0</v>
      </c>
      <c r="AK1078" t="s">
        <v>438</v>
      </c>
      <c r="AL1078">
        <v>38.992238</v>
      </c>
      <c r="AM1078" t="s">
        <v>425</v>
      </c>
      <c r="AN1078">
        <v>-121.052814</v>
      </c>
      <c r="AO1078">
        <v>25</v>
      </c>
      <c r="AP1078">
        <v>3300</v>
      </c>
      <c r="AQ1078" t="s">
        <v>131</v>
      </c>
      <c r="AR1078">
        <v>10</v>
      </c>
      <c r="AS1078">
        <v>78</v>
      </c>
      <c r="AT1078">
        <v>640</v>
      </c>
      <c r="BB1078" t="str">
        <f t="shared" si="408"/>
        <v>1200</v>
      </c>
      <c r="BC1078">
        <v>1</v>
      </c>
      <c r="BD1078" t="str">
        <f t="shared" si="409"/>
        <v xml:space="preserve">N52156  </v>
      </c>
      <c r="BE1078">
        <v>1</v>
      </c>
      <c r="BG1078">
        <v>0</v>
      </c>
      <c r="BH1078">
        <v>0</v>
      </c>
      <c r="BI1078">
        <v>0</v>
      </c>
      <c r="BJ1078">
        <v>3200</v>
      </c>
      <c r="BK1078">
        <v>-100</v>
      </c>
      <c r="BL1078" t="s">
        <v>188</v>
      </c>
      <c r="BM1078">
        <v>1</v>
      </c>
      <c r="BN1078">
        <v>1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 t="shared" si="427"/>
        <v>15:07:31.987</v>
      </c>
      <c r="CF1078">
        <v>986512597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4</v>
      </c>
      <c r="CY1078">
        <v>7</v>
      </c>
      <c r="CZ1078" t="s">
        <v>133</v>
      </c>
      <c r="DA1078">
        <v>276</v>
      </c>
      <c r="DB1078">
        <v>0</v>
      </c>
      <c r="DC1078" t="s">
        <v>402</v>
      </c>
      <c r="DD1078" t="s">
        <v>403</v>
      </c>
      <c r="DG1078">
        <v>1625071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"05/01/2025 15:07:32.225"</f>
        <v>05/01/2025 15:07:32.225</v>
      </c>
      <c r="C1079" t="str">
        <f t="shared" si="406"/>
        <v>FFDFD3C0</v>
      </c>
      <c r="D1079" t="s">
        <v>124</v>
      </c>
      <c r="E1079" t="str">
        <f>"06"</f>
        <v>06</v>
      </c>
      <c r="F1079">
        <v>2006</v>
      </c>
      <c r="G1079" t="s">
        <v>125</v>
      </c>
      <c r="J1079" t="s">
        <v>126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R1079" t="s">
        <v>127</v>
      </c>
      <c r="S1079" t="str">
        <f t="shared" si="426"/>
        <v>15:07:31.000</v>
      </c>
      <c r="T1079" t="str">
        <f t="shared" si="426"/>
        <v>15:07:31.000</v>
      </c>
      <c r="U1079" t="str">
        <f t="shared" si="407"/>
        <v>A68FCB</v>
      </c>
      <c r="V1079">
        <v>0</v>
      </c>
      <c r="W1079">
        <v>0</v>
      </c>
      <c r="X1079">
        <v>2</v>
      </c>
      <c r="Y1079">
        <v>0</v>
      </c>
      <c r="AA1079">
        <v>1</v>
      </c>
      <c r="AB1079">
        <v>8</v>
      </c>
      <c r="AC1079">
        <v>3</v>
      </c>
      <c r="AD1079">
        <v>0</v>
      </c>
      <c r="AE1079">
        <v>9</v>
      </c>
      <c r="AF1079" t="s">
        <v>138</v>
      </c>
      <c r="AG1079">
        <v>0</v>
      </c>
      <c r="AH1079">
        <v>3</v>
      </c>
      <c r="AI1079">
        <v>2</v>
      </c>
      <c r="AJ1079">
        <v>0</v>
      </c>
      <c r="AK1079" t="s">
        <v>438</v>
      </c>
      <c r="AL1079">
        <v>38.992238</v>
      </c>
      <c r="AM1079" t="s">
        <v>425</v>
      </c>
      <c r="AN1079">
        <v>-121.052814</v>
      </c>
      <c r="AO1079">
        <v>25</v>
      </c>
      <c r="AP1079">
        <v>3300</v>
      </c>
      <c r="AQ1079" t="s">
        <v>131</v>
      </c>
      <c r="AR1079">
        <v>10</v>
      </c>
      <c r="AS1079">
        <v>78</v>
      </c>
      <c r="AT1079">
        <v>640</v>
      </c>
      <c r="BB1079" t="str">
        <f t="shared" si="408"/>
        <v>1200</v>
      </c>
      <c r="BC1079">
        <v>1</v>
      </c>
      <c r="BD1079" t="str">
        <f t="shared" si="409"/>
        <v xml:space="preserve">N52156  </v>
      </c>
      <c r="BE1079">
        <v>1</v>
      </c>
      <c r="BG1079">
        <v>0</v>
      </c>
      <c r="BH1079">
        <v>0</v>
      </c>
      <c r="BI1079">
        <v>0</v>
      </c>
      <c r="BJ1079">
        <v>3200</v>
      </c>
      <c r="BK1079">
        <v>-100</v>
      </c>
      <c r="BL1079" t="s">
        <v>188</v>
      </c>
      <c r="BM1079">
        <v>1</v>
      </c>
      <c r="BN1079">
        <v>1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 t="shared" si="427"/>
        <v>15:07:31.987</v>
      </c>
      <c r="CF1079">
        <v>986512597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4</v>
      </c>
      <c r="CY1079">
        <v>7</v>
      </c>
      <c r="CZ1079" t="s">
        <v>133</v>
      </c>
      <c r="DA1079">
        <v>276</v>
      </c>
      <c r="DB1079">
        <v>0</v>
      </c>
      <c r="DC1079" t="s">
        <v>402</v>
      </c>
      <c r="DD1079" t="s">
        <v>403</v>
      </c>
      <c r="DG1079">
        <v>1625071</v>
      </c>
      <c r="DI1079">
        <v>1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"05/01/2025 15:07:32.227"</f>
        <v>05/01/2025 15:07:32.227</v>
      </c>
      <c r="C1080" t="str">
        <f t="shared" si="406"/>
        <v>FFDFD3C0</v>
      </c>
      <c r="D1080" t="s">
        <v>145</v>
      </c>
      <c r="E1080" t="str">
        <f>"09"</f>
        <v>09</v>
      </c>
      <c r="H1080">
        <v>51</v>
      </c>
      <c r="I1080" t="s">
        <v>147</v>
      </c>
      <c r="J1080" t="s">
        <v>138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R1080" t="s">
        <v>127</v>
      </c>
      <c r="S1080" t="str">
        <f t="shared" si="426"/>
        <v>15:07:31.000</v>
      </c>
      <c r="T1080" t="str">
        <f t="shared" si="426"/>
        <v>15:07:31.000</v>
      </c>
      <c r="U1080" t="str">
        <f t="shared" si="407"/>
        <v>A68FCB</v>
      </c>
      <c r="V1080">
        <v>0</v>
      </c>
      <c r="W1080">
        <v>0</v>
      </c>
      <c r="X1080">
        <v>2</v>
      </c>
      <c r="Y1080">
        <v>0</v>
      </c>
      <c r="AA1080">
        <v>1</v>
      </c>
      <c r="AB1080">
        <v>8</v>
      </c>
      <c r="AC1080">
        <v>3</v>
      </c>
      <c r="AD1080">
        <v>0</v>
      </c>
      <c r="AE1080">
        <v>9</v>
      </c>
      <c r="AF1080" t="s">
        <v>138</v>
      </c>
      <c r="AG1080">
        <v>0</v>
      </c>
      <c r="AH1080">
        <v>3</v>
      </c>
      <c r="AI1080">
        <v>2</v>
      </c>
      <c r="AJ1080">
        <v>0</v>
      </c>
      <c r="AK1080" t="s">
        <v>438</v>
      </c>
      <c r="AL1080">
        <v>38.992238</v>
      </c>
      <c r="AM1080" t="s">
        <v>425</v>
      </c>
      <c r="AN1080">
        <v>-121.052814</v>
      </c>
      <c r="AO1080">
        <v>25</v>
      </c>
      <c r="AP1080">
        <v>3300</v>
      </c>
      <c r="AQ1080" t="s">
        <v>131</v>
      </c>
      <c r="AR1080">
        <v>10</v>
      </c>
      <c r="AS1080">
        <v>78</v>
      </c>
      <c r="AT1080">
        <v>640</v>
      </c>
      <c r="BB1080" t="str">
        <f t="shared" si="408"/>
        <v>1200</v>
      </c>
      <c r="BC1080">
        <v>1</v>
      </c>
      <c r="BD1080" t="str">
        <f t="shared" si="409"/>
        <v xml:space="preserve">N52156  </v>
      </c>
      <c r="BE1080">
        <v>1</v>
      </c>
      <c r="BG1080">
        <v>0</v>
      </c>
      <c r="BH1080">
        <v>0</v>
      </c>
      <c r="BI1080">
        <v>0</v>
      </c>
      <c r="BJ1080">
        <v>3200</v>
      </c>
      <c r="BK1080">
        <v>-100</v>
      </c>
      <c r="BL1080" t="s">
        <v>188</v>
      </c>
      <c r="BM1080">
        <v>1</v>
      </c>
      <c r="BN1080">
        <v>1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 t="shared" si="427"/>
        <v>15:07:31.987</v>
      </c>
      <c r="CF1080">
        <v>986512597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4</v>
      </c>
      <c r="CY1080">
        <v>7</v>
      </c>
      <c r="CZ1080" t="s">
        <v>133</v>
      </c>
      <c r="DA1080">
        <v>276</v>
      </c>
      <c r="DB1080">
        <v>0</v>
      </c>
      <c r="DC1080" t="s">
        <v>402</v>
      </c>
      <c r="DD1080" t="s">
        <v>403</v>
      </c>
      <c r="DG1080">
        <v>1625071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"05/01/2025 15:07:32.234"</f>
        <v>05/01/2025 15:07:32.234</v>
      </c>
      <c r="C1081" t="str">
        <f t="shared" si="406"/>
        <v>FFDFD3C0</v>
      </c>
      <c r="D1081" t="s">
        <v>136</v>
      </c>
      <c r="E1081" t="str">
        <f>"20"</f>
        <v>20</v>
      </c>
      <c r="H1081">
        <v>400</v>
      </c>
      <c r="I1081" t="s">
        <v>137</v>
      </c>
      <c r="J1081" t="s">
        <v>138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R1081" t="s">
        <v>127</v>
      </c>
      <c r="S1081" t="str">
        <f t="shared" si="426"/>
        <v>15:07:31.000</v>
      </c>
      <c r="T1081" t="str">
        <f t="shared" si="426"/>
        <v>15:07:31.000</v>
      </c>
      <c r="U1081" t="str">
        <f t="shared" si="407"/>
        <v>A68FCB</v>
      </c>
      <c r="V1081">
        <v>0</v>
      </c>
      <c r="W1081">
        <v>0</v>
      </c>
      <c r="X1081">
        <v>2</v>
      </c>
      <c r="Y1081">
        <v>0</v>
      </c>
      <c r="AA1081">
        <v>1</v>
      </c>
      <c r="AB1081">
        <v>8</v>
      </c>
      <c r="AC1081">
        <v>3</v>
      </c>
      <c r="AD1081">
        <v>0</v>
      </c>
      <c r="AE1081">
        <v>9</v>
      </c>
      <c r="AF1081" t="s">
        <v>138</v>
      </c>
      <c r="AG1081">
        <v>0</v>
      </c>
      <c r="AH1081">
        <v>3</v>
      </c>
      <c r="AI1081">
        <v>2</v>
      </c>
      <c r="AJ1081">
        <v>0</v>
      </c>
      <c r="AK1081" t="s">
        <v>438</v>
      </c>
      <c r="AL1081">
        <v>38.992238</v>
      </c>
      <c r="AM1081" t="s">
        <v>425</v>
      </c>
      <c r="AN1081">
        <v>-121.052814</v>
      </c>
      <c r="AO1081">
        <v>25</v>
      </c>
      <c r="AP1081">
        <v>3300</v>
      </c>
      <c r="AQ1081" t="s">
        <v>131</v>
      </c>
      <c r="AR1081">
        <v>10</v>
      </c>
      <c r="AS1081">
        <v>78</v>
      </c>
      <c r="AT1081">
        <v>640</v>
      </c>
      <c r="BB1081" t="str">
        <f t="shared" si="408"/>
        <v>1200</v>
      </c>
      <c r="BC1081">
        <v>1</v>
      </c>
      <c r="BD1081" t="str">
        <f t="shared" si="409"/>
        <v xml:space="preserve">N52156  </v>
      </c>
      <c r="BE1081">
        <v>1</v>
      </c>
      <c r="BG1081">
        <v>0</v>
      </c>
      <c r="BH1081">
        <v>0</v>
      </c>
      <c r="BI1081">
        <v>0</v>
      </c>
      <c r="BJ1081">
        <v>3200</v>
      </c>
      <c r="BK1081">
        <v>-100</v>
      </c>
      <c r="BL1081" t="s">
        <v>188</v>
      </c>
      <c r="BM1081">
        <v>1</v>
      </c>
      <c r="BN1081">
        <v>1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 t="shared" si="427"/>
        <v>15:07:31.987</v>
      </c>
      <c r="CF1081">
        <v>986512597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4</v>
      </c>
      <c r="CY1081">
        <v>7</v>
      </c>
      <c r="CZ1081" t="s">
        <v>133</v>
      </c>
      <c r="DA1081">
        <v>276</v>
      </c>
      <c r="DB1081">
        <v>0</v>
      </c>
      <c r="DC1081" t="s">
        <v>402</v>
      </c>
      <c r="DD1081" t="s">
        <v>403</v>
      </c>
      <c r="DG1081">
        <v>1625071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"05/01/2025 15:07:32.475"</f>
        <v>05/01/2025 15:07:32.475</v>
      </c>
      <c r="C1082" t="str">
        <f t="shared" si="406"/>
        <v>FFDFD3C0</v>
      </c>
      <c r="D1082" t="s">
        <v>124</v>
      </c>
      <c r="E1082" t="str">
        <f>"06"</f>
        <v>06</v>
      </c>
      <c r="F1082">
        <v>2006</v>
      </c>
      <c r="G1082" t="s">
        <v>125</v>
      </c>
      <c r="J1082" t="s">
        <v>126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R1082" t="s">
        <v>127</v>
      </c>
      <c r="S1082" t="str">
        <f t="shared" ref="S1082:T1087" si="428">"15:07:32.000"</f>
        <v>15:07:32.000</v>
      </c>
      <c r="T1082" t="str">
        <f t="shared" si="428"/>
        <v>15:07:32.000</v>
      </c>
      <c r="U1082" t="str">
        <f t="shared" si="407"/>
        <v>A68FCB</v>
      </c>
      <c r="V1082">
        <v>0</v>
      </c>
      <c r="W1082">
        <v>0</v>
      </c>
      <c r="X1082">
        <v>2</v>
      </c>
      <c r="Y1082">
        <v>0</v>
      </c>
      <c r="AA1082">
        <v>1</v>
      </c>
      <c r="AB1082">
        <v>8</v>
      </c>
      <c r="AC1082">
        <v>3</v>
      </c>
      <c r="AD1082">
        <v>0</v>
      </c>
      <c r="AE1082">
        <v>9</v>
      </c>
      <c r="AF1082" t="s">
        <v>138</v>
      </c>
      <c r="AG1082">
        <v>0</v>
      </c>
      <c r="AH1082">
        <v>3</v>
      </c>
      <c r="AI1082">
        <v>2</v>
      </c>
      <c r="AJ1082">
        <v>0</v>
      </c>
      <c r="AK1082" t="s">
        <v>439</v>
      </c>
      <c r="AL1082">
        <v>38.992581000000001</v>
      </c>
      <c r="AM1082" t="s">
        <v>423</v>
      </c>
      <c r="AN1082">
        <v>-121.05274900000001</v>
      </c>
      <c r="AO1082">
        <v>25</v>
      </c>
      <c r="AP1082">
        <v>3300</v>
      </c>
      <c r="AQ1082" t="s">
        <v>131</v>
      </c>
      <c r="AR1082">
        <v>10</v>
      </c>
      <c r="AS1082">
        <v>77</v>
      </c>
      <c r="AT1082">
        <v>640</v>
      </c>
      <c r="BB1082" t="str">
        <f t="shared" si="408"/>
        <v>1200</v>
      </c>
      <c r="BC1082">
        <v>1</v>
      </c>
      <c r="BD1082" t="str">
        <f t="shared" si="409"/>
        <v xml:space="preserve">N52156  </v>
      </c>
      <c r="BE1082">
        <v>1</v>
      </c>
      <c r="BG1082">
        <v>0</v>
      </c>
      <c r="BH1082">
        <v>0</v>
      </c>
      <c r="BI1082">
        <v>0</v>
      </c>
      <c r="BJ1082">
        <v>3225</v>
      </c>
      <c r="BK1082">
        <v>-75</v>
      </c>
      <c r="BL1082" t="s">
        <v>188</v>
      </c>
      <c r="BM1082">
        <v>1</v>
      </c>
      <c r="BN1082">
        <v>1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 t="shared" ref="CE1082:CE1087" si="429">"15:07:32.251"</f>
        <v>15:07:32.251</v>
      </c>
      <c r="CF1082">
        <v>251010745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4</v>
      </c>
      <c r="CY1082">
        <v>7</v>
      </c>
      <c r="CZ1082" t="s">
        <v>133</v>
      </c>
      <c r="DA1082">
        <v>276</v>
      </c>
      <c r="DB1082">
        <v>0</v>
      </c>
      <c r="DC1082" t="s">
        <v>402</v>
      </c>
      <c r="DD1082" t="s">
        <v>403</v>
      </c>
      <c r="DG1082">
        <v>1625077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"05/01/2025 15:07:32.478"</f>
        <v>05/01/2025 15:07:32.478</v>
      </c>
      <c r="C1083" t="str">
        <f t="shared" si="406"/>
        <v>FFDFD3C0</v>
      </c>
      <c r="D1083" t="s">
        <v>143</v>
      </c>
      <c r="E1083" t="str">
        <f>"05"</f>
        <v>05</v>
      </c>
      <c r="H1083">
        <v>172</v>
      </c>
      <c r="I1083" t="s">
        <v>141</v>
      </c>
      <c r="J1083" t="s">
        <v>144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R1083" t="s">
        <v>127</v>
      </c>
      <c r="S1083" t="str">
        <f t="shared" si="428"/>
        <v>15:07:32.000</v>
      </c>
      <c r="T1083" t="str">
        <f t="shared" si="428"/>
        <v>15:07:32.000</v>
      </c>
      <c r="U1083" t="str">
        <f t="shared" si="407"/>
        <v>A68FCB</v>
      </c>
      <c r="V1083">
        <v>0</v>
      </c>
      <c r="W1083">
        <v>0</v>
      </c>
      <c r="X1083">
        <v>2</v>
      </c>
      <c r="Y1083">
        <v>0</v>
      </c>
      <c r="AA1083">
        <v>1</v>
      </c>
      <c r="AB1083">
        <v>8</v>
      </c>
      <c r="AC1083">
        <v>3</v>
      </c>
      <c r="AD1083">
        <v>0</v>
      </c>
      <c r="AE1083">
        <v>9</v>
      </c>
      <c r="AF1083" t="s">
        <v>138</v>
      </c>
      <c r="AG1083">
        <v>0</v>
      </c>
      <c r="AH1083">
        <v>3</v>
      </c>
      <c r="AI1083">
        <v>2</v>
      </c>
      <c r="AJ1083">
        <v>0</v>
      </c>
      <c r="AK1083" t="s">
        <v>439</v>
      </c>
      <c r="AL1083">
        <v>38.992581000000001</v>
      </c>
      <c r="AM1083" t="s">
        <v>423</v>
      </c>
      <c r="AN1083">
        <v>-121.05274900000001</v>
      </c>
      <c r="AO1083">
        <v>25</v>
      </c>
      <c r="AP1083">
        <v>3300</v>
      </c>
      <c r="AQ1083" t="s">
        <v>131</v>
      </c>
      <c r="AR1083">
        <v>10</v>
      </c>
      <c r="AS1083">
        <v>77</v>
      </c>
      <c r="AT1083">
        <v>640</v>
      </c>
      <c r="BB1083" t="str">
        <f t="shared" si="408"/>
        <v>1200</v>
      </c>
      <c r="BC1083">
        <v>1</v>
      </c>
      <c r="BD1083" t="str">
        <f t="shared" si="409"/>
        <v xml:space="preserve">N52156  </v>
      </c>
      <c r="BE1083">
        <v>1</v>
      </c>
      <c r="BG1083">
        <v>0</v>
      </c>
      <c r="BH1083">
        <v>0</v>
      </c>
      <c r="BI1083">
        <v>0</v>
      </c>
      <c r="BJ1083">
        <v>3225</v>
      </c>
      <c r="BK1083">
        <v>-75</v>
      </c>
      <c r="BL1083" t="s">
        <v>188</v>
      </c>
      <c r="BM1083">
        <v>1</v>
      </c>
      <c r="BN1083">
        <v>1</v>
      </c>
      <c r="BO1083">
        <v>0</v>
      </c>
      <c r="BP1083">
        <v>0</v>
      </c>
      <c r="BS1083">
        <v>0</v>
      </c>
      <c r="BT1083">
        <v>0</v>
      </c>
      <c r="BU1083">
        <v>0</v>
      </c>
      <c r="CE1083" t="str">
        <f t="shared" si="429"/>
        <v>15:07:32.251</v>
      </c>
      <c r="CF1083">
        <v>251010745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4</v>
      </c>
      <c r="CY1083">
        <v>7</v>
      </c>
      <c r="CZ1083" t="s">
        <v>133</v>
      </c>
      <c r="DA1083">
        <v>276</v>
      </c>
      <c r="DB1083">
        <v>0</v>
      </c>
      <c r="DC1083" t="s">
        <v>402</v>
      </c>
      <c r="DD1083" t="s">
        <v>403</v>
      </c>
      <c r="DG1083">
        <v>1625077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"05/01/2025 15:07:32.478"</f>
        <v>05/01/2025 15:07:32.478</v>
      </c>
      <c r="C1084" t="str">
        <f t="shared" si="406"/>
        <v>FFDFD3C0</v>
      </c>
      <c r="D1084" t="s">
        <v>145</v>
      </c>
      <c r="E1084" t="str">
        <f>"09"</f>
        <v>09</v>
      </c>
      <c r="H1084">
        <v>51</v>
      </c>
      <c r="I1084" t="s">
        <v>147</v>
      </c>
      <c r="J1084" t="s">
        <v>138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R1084" t="s">
        <v>127</v>
      </c>
      <c r="S1084" t="str">
        <f t="shared" si="428"/>
        <v>15:07:32.000</v>
      </c>
      <c r="T1084" t="str">
        <f t="shared" si="428"/>
        <v>15:07:32.000</v>
      </c>
      <c r="U1084" t="str">
        <f t="shared" si="407"/>
        <v>A68FCB</v>
      </c>
      <c r="V1084">
        <v>0</v>
      </c>
      <c r="W1084">
        <v>0</v>
      </c>
      <c r="X1084">
        <v>2</v>
      </c>
      <c r="Y1084">
        <v>0</v>
      </c>
      <c r="AA1084">
        <v>1</v>
      </c>
      <c r="AB1084">
        <v>8</v>
      </c>
      <c r="AC1084">
        <v>3</v>
      </c>
      <c r="AD1084">
        <v>0</v>
      </c>
      <c r="AE1084">
        <v>9</v>
      </c>
      <c r="AF1084" t="s">
        <v>138</v>
      </c>
      <c r="AG1084">
        <v>0</v>
      </c>
      <c r="AH1084">
        <v>3</v>
      </c>
      <c r="AI1084">
        <v>2</v>
      </c>
      <c r="AJ1084">
        <v>0</v>
      </c>
      <c r="AK1084" t="s">
        <v>439</v>
      </c>
      <c r="AL1084">
        <v>38.992581000000001</v>
      </c>
      <c r="AM1084" t="s">
        <v>423</v>
      </c>
      <c r="AN1084">
        <v>-121.05274900000001</v>
      </c>
      <c r="AO1084">
        <v>25</v>
      </c>
      <c r="AP1084">
        <v>3300</v>
      </c>
      <c r="AQ1084" t="s">
        <v>131</v>
      </c>
      <c r="AR1084">
        <v>10</v>
      </c>
      <c r="AS1084">
        <v>77</v>
      </c>
      <c r="AT1084">
        <v>640</v>
      </c>
      <c r="BB1084" t="str">
        <f t="shared" si="408"/>
        <v>1200</v>
      </c>
      <c r="BC1084">
        <v>1</v>
      </c>
      <c r="BD1084" t="str">
        <f t="shared" si="409"/>
        <v xml:space="preserve">N52156  </v>
      </c>
      <c r="BE1084">
        <v>1</v>
      </c>
      <c r="BG1084">
        <v>0</v>
      </c>
      <c r="BH1084">
        <v>0</v>
      </c>
      <c r="BI1084">
        <v>0</v>
      </c>
      <c r="BJ1084">
        <v>3225</v>
      </c>
      <c r="BK1084">
        <v>-75</v>
      </c>
      <c r="BL1084" t="s">
        <v>188</v>
      </c>
      <c r="BM1084">
        <v>1</v>
      </c>
      <c r="BN1084">
        <v>1</v>
      </c>
      <c r="BO1084">
        <v>0</v>
      </c>
      <c r="BP1084">
        <v>0</v>
      </c>
      <c r="BS1084">
        <v>0</v>
      </c>
      <c r="BT1084">
        <v>0</v>
      </c>
      <c r="BU1084">
        <v>0</v>
      </c>
      <c r="CE1084" t="str">
        <f t="shared" si="429"/>
        <v>15:07:32.251</v>
      </c>
      <c r="CF1084">
        <v>251010745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4</v>
      </c>
      <c r="CY1084">
        <v>7</v>
      </c>
      <c r="CZ1084" t="s">
        <v>133</v>
      </c>
      <c r="DA1084">
        <v>276</v>
      </c>
      <c r="DB1084">
        <v>0</v>
      </c>
      <c r="DC1084" t="s">
        <v>402</v>
      </c>
      <c r="DD1084" t="s">
        <v>403</v>
      </c>
      <c r="DG1084">
        <v>1625077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"05/01/2025 15:07:32.484"</f>
        <v>05/01/2025 15:07:32.484</v>
      </c>
      <c r="C1085" t="str">
        <f t="shared" si="406"/>
        <v>FFDFD3C0</v>
      </c>
      <c r="D1085" t="s">
        <v>136</v>
      </c>
      <c r="E1085" t="str">
        <f>"20"</f>
        <v>20</v>
      </c>
      <c r="H1085">
        <v>400</v>
      </c>
      <c r="I1085" t="s">
        <v>137</v>
      </c>
      <c r="J1085" t="s">
        <v>138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R1085" t="s">
        <v>127</v>
      </c>
      <c r="S1085" t="str">
        <f t="shared" si="428"/>
        <v>15:07:32.000</v>
      </c>
      <c r="T1085" t="str">
        <f t="shared" si="428"/>
        <v>15:07:32.000</v>
      </c>
      <c r="U1085" t="str">
        <f t="shared" si="407"/>
        <v>A68FCB</v>
      </c>
      <c r="V1085">
        <v>0</v>
      </c>
      <c r="W1085">
        <v>0</v>
      </c>
      <c r="X1085">
        <v>2</v>
      </c>
      <c r="Y1085">
        <v>0</v>
      </c>
      <c r="AA1085">
        <v>1</v>
      </c>
      <c r="AB1085">
        <v>8</v>
      </c>
      <c r="AC1085">
        <v>3</v>
      </c>
      <c r="AD1085">
        <v>0</v>
      </c>
      <c r="AE1085">
        <v>9</v>
      </c>
      <c r="AF1085" t="s">
        <v>138</v>
      </c>
      <c r="AG1085">
        <v>0</v>
      </c>
      <c r="AH1085">
        <v>3</v>
      </c>
      <c r="AI1085">
        <v>2</v>
      </c>
      <c r="AJ1085">
        <v>0</v>
      </c>
      <c r="AK1085" t="s">
        <v>439</v>
      </c>
      <c r="AL1085">
        <v>38.992581000000001</v>
      </c>
      <c r="AM1085" t="s">
        <v>423</v>
      </c>
      <c r="AN1085">
        <v>-121.05274900000001</v>
      </c>
      <c r="AO1085">
        <v>25</v>
      </c>
      <c r="AP1085">
        <v>3300</v>
      </c>
      <c r="AQ1085" t="s">
        <v>131</v>
      </c>
      <c r="AR1085">
        <v>10</v>
      </c>
      <c r="AS1085">
        <v>77</v>
      </c>
      <c r="AT1085">
        <v>640</v>
      </c>
      <c r="BB1085" t="str">
        <f t="shared" si="408"/>
        <v>1200</v>
      </c>
      <c r="BC1085">
        <v>1</v>
      </c>
      <c r="BD1085" t="str">
        <f t="shared" si="409"/>
        <v xml:space="preserve">N52156  </v>
      </c>
      <c r="BE1085">
        <v>1</v>
      </c>
      <c r="BG1085">
        <v>0</v>
      </c>
      <c r="BH1085">
        <v>0</v>
      </c>
      <c r="BI1085">
        <v>0</v>
      </c>
      <c r="BJ1085">
        <v>3225</v>
      </c>
      <c r="BK1085">
        <v>-75</v>
      </c>
      <c r="BL1085" t="s">
        <v>188</v>
      </c>
      <c r="BM1085">
        <v>1</v>
      </c>
      <c r="BN1085">
        <v>1</v>
      </c>
      <c r="BO1085">
        <v>0</v>
      </c>
      <c r="BP1085">
        <v>0</v>
      </c>
      <c r="BS1085">
        <v>0</v>
      </c>
      <c r="BT1085">
        <v>0</v>
      </c>
      <c r="BU1085">
        <v>0</v>
      </c>
      <c r="CE1085" t="str">
        <f t="shared" si="429"/>
        <v>15:07:32.251</v>
      </c>
      <c r="CF1085">
        <v>251010745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4</v>
      </c>
      <c r="CY1085">
        <v>7</v>
      </c>
      <c r="CZ1085" t="s">
        <v>133</v>
      </c>
      <c r="DA1085">
        <v>276</v>
      </c>
      <c r="DB1085">
        <v>0</v>
      </c>
      <c r="DC1085" t="s">
        <v>402</v>
      </c>
      <c r="DD1085" t="s">
        <v>403</v>
      </c>
      <c r="DG1085">
        <v>1625077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"05/01/2025 15:07:32.517"</f>
        <v>05/01/2025 15:07:32.517</v>
      </c>
      <c r="C1086" t="str">
        <f t="shared" si="406"/>
        <v>FFDFD3C0</v>
      </c>
      <c r="D1086" t="s">
        <v>140</v>
      </c>
      <c r="E1086" t="str">
        <f>"13"</f>
        <v>13</v>
      </c>
      <c r="F1086">
        <v>1019</v>
      </c>
      <c r="G1086" t="s">
        <v>141</v>
      </c>
      <c r="J1086" t="s">
        <v>142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R1086" t="s">
        <v>127</v>
      </c>
      <c r="S1086" t="str">
        <f t="shared" si="428"/>
        <v>15:07:32.000</v>
      </c>
      <c r="T1086" t="str">
        <f t="shared" si="428"/>
        <v>15:07:32.000</v>
      </c>
      <c r="U1086" t="str">
        <f t="shared" si="407"/>
        <v>A68FCB</v>
      </c>
      <c r="V1086">
        <v>0</v>
      </c>
      <c r="W1086">
        <v>0</v>
      </c>
      <c r="X1086">
        <v>2</v>
      </c>
      <c r="Y1086">
        <v>0</v>
      </c>
      <c r="AA1086">
        <v>1</v>
      </c>
      <c r="AB1086">
        <v>8</v>
      </c>
      <c r="AC1086">
        <v>3</v>
      </c>
      <c r="AD1086">
        <v>0</v>
      </c>
      <c r="AE1086">
        <v>9</v>
      </c>
      <c r="AF1086" t="s">
        <v>138</v>
      </c>
      <c r="AG1086">
        <v>0</v>
      </c>
      <c r="AH1086">
        <v>3</v>
      </c>
      <c r="AI1086">
        <v>2</v>
      </c>
      <c r="AJ1086">
        <v>0</v>
      </c>
      <c r="AK1086" t="s">
        <v>439</v>
      </c>
      <c r="AL1086">
        <v>38.992581000000001</v>
      </c>
      <c r="AM1086" t="s">
        <v>423</v>
      </c>
      <c r="AN1086">
        <v>-121.05274900000001</v>
      </c>
      <c r="AO1086">
        <v>25</v>
      </c>
      <c r="AP1086">
        <v>3300</v>
      </c>
      <c r="AQ1086" t="s">
        <v>131</v>
      </c>
      <c r="AR1086">
        <v>10</v>
      </c>
      <c r="AS1086">
        <v>77</v>
      </c>
      <c r="AT1086">
        <v>640</v>
      </c>
      <c r="BB1086" t="str">
        <f t="shared" si="408"/>
        <v>1200</v>
      </c>
      <c r="BC1086">
        <v>1</v>
      </c>
      <c r="BD1086" t="str">
        <f t="shared" si="409"/>
        <v xml:space="preserve">N52156  </v>
      </c>
      <c r="BE1086">
        <v>1</v>
      </c>
      <c r="BG1086">
        <v>0</v>
      </c>
      <c r="BH1086">
        <v>0</v>
      </c>
      <c r="BI1086">
        <v>0</v>
      </c>
      <c r="BJ1086">
        <v>3225</v>
      </c>
      <c r="BK1086">
        <v>-75</v>
      </c>
      <c r="BL1086" t="s">
        <v>188</v>
      </c>
      <c r="BM1086">
        <v>1</v>
      </c>
      <c r="BN1086">
        <v>1</v>
      </c>
      <c r="BO1086">
        <v>0</v>
      </c>
      <c r="BP1086">
        <v>0</v>
      </c>
      <c r="BS1086">
        <v>0</v>
      </c>
      <c r="BT1086">
        <v>0</v>
      </c>
      <c r="BU1086">
        <v>0</v>
      </c>
      <c r="CE1086" t="str">
        <f t="shared" si="429"/>
        <v>15:07:32.251</v>
      </c>
      <c r="CF1086">
        <v>251010745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4</v>
      </c>
      <c r="CY1086">
        <v>7</v>
      </c>
      <c r="CZ1086" t="s">
        <v>133</v>
      </c>
      <c r="DA1086">
        <v>276</v>
      </c>
      <c r="DB1086">
        <v>0</v>
      </c>
      <c r="DC1086" t="s">
        <v>402</v>
      </c>
      <c r="DD1086" t="s">
        <v>403</v>
      </c>
      <c r="DG1086">
        <v>1625077</v>
      </c>
      <c r="DI1086">
        <v>1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"05/01/2025 15:07:32.523"</f>
        <v>05/01/2025 15:07:32.523</v>
      </c>
      <c r="C1087" t="str">
        <f t="shared" si="406"/>
        <v>FFDFD3C0</v>
      </c>
      <c r="D1087" t="s">
        <v>145</v>
      </c>
      <c r="E1087" t="str">
        <f>"05"</f>
        <v>05</v>
      </c>
      <c r="H1087">
        <v>47</v>
      </c>
      <c r="I1087" t="s">
        <v>146</v>
      </c>
      <c r="J1087" t="s">
        <v>138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R1087" t="s">
        <v>127</v>
      </c>
      <c r="S1087" t="str">
        <f t="shared" si="428"/>
        <v>15:07:32.000</v>
      </c>
      <c r="T1087" t="str">
        <f t="shared" si="428"/>
        <v>15:07:32.000</v>
      </c>
      <c r="U1087" t="str">
        <f t="shared" si="407"/>
        <v>A68FCB</v>
      </c>
      <c r="V1087">
        <v>0</v>
      </c>
      <c r="W1087">
        <v>0</v>
      </c>
      <c r="X1087">
        <v>2</v>
      </c>
      <c r="Y1087">
        <v>0</v>
      </c>
      <c r="AA1087">
        <v>1</v>
      </c>
      <c r="AB1087">
        <v>8</v>
      </c>
      <c r="AC1087">
        <v>3</v>
      </c>
      <c r="AD1087">
        <v>0</v>
      </c>
      <c r="AE1087">
        <v>9</v>
      </c>
      <c r="AF1087" t="s">
        <v>138</v>
      </c>
      <c r="AG1087">
        <v>0</v>
      </c>
      <c r="AH1087">
        <v>3</v>
      </c>
      <c r="AI1087">
        <v>2</v>
      </c>
      <c r="AJ1087">
        <v>0</v>
      </c>
      <c r="AK1087" t="s">
        <v>439</v>
      </c>
      <c r="AL1087">
        <v>38.992581000000001</v>
      </c>
      <c r="AM1087" t="s">
        <v>423</v>
      </c>
      <c r="AN1087">
        <v>-121.05274900000001</v>
      </c>
      <c r="AO1087">
        <v>25</v>
      </c>
      <c r="AP1087">
        <v>3300</v>
      </c>
      <c r="AQ1087" t="s">
        <v>131</v>
      </c>
      <c r="AR1087">
        <v>10</v>
      </c>
      <c r="AS1087">
        <v>77</v>
      </c>
      <c r="AT1087">
        <v>640</v>
      </c>
      <c r="BB1087" t="str">
        <f t="shared" si="408"/>
        <v>1200</v>
      </c>
      <c r="BC1087">
        <v>1</v>
      </c>
      <c r="BD1087" t="str">
        <f t="shared" si="409"/>
        <v xml:space="preserve">N52156  </v>
      </c>
      <c r="BE1087">
        <v>1</v>
      </c>
      <c r="BG1087">
        <v>0</v>
      </c>
      <c r="BH1087">
        <v>0</v>
      </c>
      <c r="BI1087">
        <v>0</v>
      </c>
      <c r="BJ1087">
        <v>3225</v>
      </c>
      <c r="BK1087">
        <v>-75</v>
      </c>
      <c r="BL1087" t="s">
        <v>188</v>
      </c>
      <c r="BM1087">
        <v>1</v>
      </c>
      <c r="BN1087">
        <v>1</v>
      </c>
      <c r="BO1087">
        <v>0</v>
      </c>
      <c r="BP1087">
        <v>0</v>
      </c>
      <c r="BS1087">
        <v>0</v>
      </c>
      <c r="BT1087">
        <v>0</v>
      </c>
      <c r="BU1087">
        <v>0</v>
      </c>
      <c r="CE1087" t="str">
        <f t="shared" si="429"/>
        <v>15:07:32.251</v>
      </c>
      <c r="CF1087">
        <v>251010745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4</v>
      </c>
      <c r="CY1087">
        <v>7</v>
      </c>
      <c r="CZ1087" t="s">
        <v>133</v>
      </c>
      <c r="DA1087">
        <v>276</v>
      </c>
      <c r="DB1087">
        <v>0</v>
      </c>
      <c r="DC1087" t="s">
        <v>402</v>
      </c>
      <c r="DD1087" t="s">
        <v>403</v>
      </c>
      <c r="DG1087">
        <v>1625077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"05/01/2025 15:07:33.970"</f>
        <v>05/01/2025 15:07:33.970</v>
      </c>
      <c r="C1088" t="str">
        <f t="shared" si="406"/>
        <v>FFDFD3C0</v>
      </c>
      <c r="D1088" t="s">
        <v>140</v>
      </c>
      <c r="E1088" t="str">
        <f>"13"</f>
        <v>13</v>
      </c>
      <c r="F1088">
        <v>1019</v>
      </c>
      <c r="G1088" t="s">
        <v>141</v>
      </c>
      <c r="J1088" t="s">
        <v>142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R1088" t="s">
        <v>127</v>
      </c>
      <c r="S1088" t="str">
        <f t="shared" ref="S1088:T1093" si="430">"15:07:33.000"</f>
        <v>15:07:33.000</v>
      </c>
      <c r="T1088" t="str">
        <f t="shared" si="430"/>
        <v>15:07:33.000</v>
      </c>
      <c r="U1088" t="str">
        <f t="shared" si="407"/>
        <v>A68FCB</v>
      </c>
      <c r="V1088">
        <v>0</v>
      </c>
      <c r="W1088">
        <v>0</v>
      </c>
      <c r="X1088">
        <v>2</v>
      </c>
      <c r="Y1088">
        <v>0</v>
      </c>
      <c r="AA1088">
        <v>1</v>
      </c>
      <c r="AB1088">
        <v>8</v>
      </c>
      <c r="AC1088">
        <v>3</v>
      </c>
      <c r="AD1088">
        <v>0</v>
      </c>
      <c r="AE1088">
        <v>9</v>
      </c>
      <c r="AF1088" t="s">
        <v>138</v>
      </c>
      <c r="AG1088">
        <v>0</v>
      </c>
      <c r="AH1088">
        <v>3</v>
      </c>
      <c r="AI1088">
        <v>2</v>
      </c>
      <c r="AJ1088">
        <v>0</v>
      </c>
      <c r="AK1088" t="s">
        <v>440</v>
      </c>
      <c r="AL1088">
        <v>38.992946000000003</v>
      </c>
      <c r="AM1088" t="s">
        <v>441</v>
      </c>
      <c r="AN1088">
        <v>-121.052685</v>
      </c>
      <c r="AO1088">
        <v>25</v>
      </c>
      <c r="AP1088">
        <v>3300</v>
      </c>
      <c r="AQ1088" t="s">
        <v>131</v>
      </c>
      <c r="AR1088">
        <v>9</v>
      </c>
      <c r="AS1088">
        <v>77</v>
      </c>
      <c r="AT1088">
        <v>640</v>
      </c>
      <c r="BB1088" t="str">
        <f t="shared" si="408"/>
        <v>1200</v>
      </c>
      <c r="BC1088">
        <v>1</v>
      </c>
      <c r="BD1088" t="str">
        <f t="shared" si="409"/>
        <v xml:space="preserve">N52156  </v>
      </c>
      <c r="BE1088">
        <v>1</v>
      </c>
      <c r="BG1088">
        <v>0</v>
      </c>
      <c r="BH1088">
        <v>0</v>
      </c>
      <c r="BI1088">
        <v>0</v>
      </c>
      <c r="BJ1088">
        <v>3225</v>
      </c>
      <c r="BK1088">
        <v>-75</v>
      </c>
      <c r="BL1088" t="s">
        <v>188</v>
      </c>
      <c r="BM1088">
        <v>1</v>
      </c>
      <c r="BN1088">
        <v>1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 t="shared" ref="CE1088:CE1093" si="431">"15:07:33.757"</f>
        <v>15:07:33.757</v>
      </c>
      <c r="CF1088">
        <v>756952979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133</v>
      </c>
      <c r="DA1088">
        <v>275</v>
      </c>
      <c r="DB1088">
        <v>0</v>
      </c>
      <c r="DC1088" t="s">
        <v>134</v>
      </c>
      <c r="DD1088" t="s">
        <v>135</v>
      </c>
      <c r="DG1088">
        <v>3319766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"05/01/2025 15:07:33.975"</f>
        <v>05/01/2025 15:07:33.975</v>
      </c>
      <c r="C1089" t="str">
        <f t="shared" si="406"/>
        <v>FFDFD3C0</v>
      </c>
      <c r="D1089" t="s">
        <v>145</v>
      </c>
      <c r="E1089" t="str">
        <f>"05"</f>
        <v>05</v>
      </c>
      <c r="H1089">
        <v>47</v>
      </c>
      <c r="I1089" t="s">
        <v>146</v>
      </c>
      <c r="J1089" t="s">
        <v>138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R1089" t="s">
        <v>127</v>
      </c>
      <c r="S1089" t="str">
        <f t="shared" si="430"/>
        <v>15:07:33.000</v>
      </c>
      <c r="T1089" t="str">
        <f t="shared" si="430"/>
        <v>15:07:33.000</v>
      </c>
      <c r="U1089" t="str">
        <f t="shared" si="407"/>
        <v>A68FCB</v>
      </c>
      <c r="V1089">
        <v>0</v>
      </c>
      <c r="W1089">
        <v>0</v>
      </c>
      <c r="X1089">
        <v>2</v>
      </c>
      <c r="Y1089">
        <v>0</v>
      </c>
      <c r="AA1089">
        <v>1</v>
      </c>
      <c r="AB1089">
        <v>8</v>
      </c>
      <c r="AC1089">
        <v>3</v>
      </c>
      <c r="AD1089">
        <v>0</v>
      </c>
      <c r="AE1089">
        <v>9</v>
      </c>
      <c r="AF1089" t="s">
        <v>138</v>
      </c>
      <c r="AG1089">
        <v>0</v>
      </c>
      <c r="AH1089">
        <v>3</v>
      </c>
      <c r="AI1089">
        <v>2</v>
      </c>
      <c r="AJ1089">
        <v>0</v>
      </c>
      <c r="AK1089" t="s">
        <v>440</v>
      </c>
      <c r="AL1089">
        <v>38.992946000000003</v>
      </c>
      <c r="AM1089" t="s">
        <v>441</v>
      </c>
      <c r="AN1089">
        <v>-121.052685</v>
      </c>
      <c r="AO1089">
        <v>25</v>
      </c>
      <c r="AP1089">
        <v>3300</v>
      </c>
      <c r="AQ1089" t="s">
        <v>131</v>
      </c>
      <c r="AR1089">
        <v>9</v>
      </c>
      <c r="AS1089">
        <v>77</v>
      </c>
      <c r="AT1089">
        <v>640</v>
      </c>
      <c r="BB1089" t="str">
        <f t="shared" si="408"/>
        <v>1200</v>
      </c>
      <c r="BC1089">
        <v>1</v>
      </c>
      <c r="BD1089" t="str">
        <f t="shared" si="409"/>
        <v xml:space="preserve">N52156  </v>
      </c>
      <c r="BE1089">
        <v>1</v>
      </c>
      <c r="BG1089">
        <v>0</v>
      </c>
      <c r="BH1089">
        <v>0</v>
      </c>
      <c r="BI1089">
        <v>0</v>
      </c>
      <c r="BJ1089">
        <v>3225</v>
      </c>
      <c r="BK1089">
        <v>-75</v>
      </c>
      <c r="BL1089" t="s">
        <v>188</v>
      </c>
      <c r="BM1089">
        <v>1</v>
      </c>
      <c r="BN1089">
        <v>1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 t="shared" si="431"/>
        <v>15:07:33.757</v>
      </c>
      <c r="CF1089">
        <v>756952979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5</v>
      </c>
      <c r="CY1089">
        <v>7</v>
      </c>
      <c r="CZ1089" t="s">
        <v>133</v>
      </c>
      <c r="DA1089">
        <v>275</v>
      </c>
      <c r="DB1089">
        <v>0</v>
      </c>
      <c r="DC1089" t="s">
        <v>134</v>
      </c>
      <c r="DD1089" t="s">
        <v>135</v>
      </c>
      <c r="DG1089">
        <v>3319766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"05/01/2025 15:07:33.980"</f>
        <v>05/01/2025 15:07:33.980</v>
      </c>
      <c r="C1090" t="str">
        <f t="shared" ref="C1090:C1153" si="432">"FFDFD3C0"</f>
        <v>FFDFD3C0</v>
      </c>
      <c r="D1090" t="s">
        <v>145</v>
      </c>
      <c r="E1090" t="str">
        <f>"09"</f>
        <v>09</v>
      </c>
      <c r="H1090">
        <v>51</v>
      </c>
      <c r="I1090" t="s">
        <v>147</v>
      </c>
      <c r="J1090" t="s">
        <v>138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R1090" t="s">
        <v>127</v>
      </c>
      <c r="S1090" t="str">
        <f t="shared" si="430"/>
        <v>15:07:33.000</v>
      </c>
      <c r="T1090" t="str">
        <f t="shared" si="430"/>
        <v>15:07:33.000</v>
      </c>
      <c r="U1090" t="str">
        <f t="shared" ref="U1090:U1153" si="433">"A68FCB"</f>
        <v>A68FCB</v>
      </c>
      <c r="V1090">
        <v>0</v>
      </c>
      <c r="W1090">
        <v>0</v>
      </c>
      <c r="X1090">
        <v>2</v>
      </c>
      <c r="Y1090">
        <v>0</v>
      </c>
      <c r="AA1090">
        <v>1</v>
      </c>
      <c r="AB1090">
        <v>8</v>
      </c>
      <c r="AC1090">
        <v>3</v>
      </c>
      <c r="AD1090">
        <v>0</v>
      </c>
      <c r="AE1090">
        <v>9</v>
      </c>
      <c r="AF1090" t="s">
        <v>138</v>
      </c>
      <c r="AG1090">
        <v>0</v>
      </c>
      <c r="AH1090">
        <v>3</v>
      </c>
      <c r="AI1090">
        <v>2</v>
      </c>
      <c r="AJ1090">
        <v>0</v>
      </c>
      <c r="AK1090" t="s">
        <v>440</v>
      </c>
      <c r="AL1090">
        <v>38.992946000000003</v>
      </c>
      <c r="AM1090" t="s">
        <v>441</v>
      </c>
      <c r="AN1090">
        <v>-121.052685</v>
      </c>
      <c r="AO1090">
        <v>25</v>
      </c>
      <c r="AP1090">
        <v>3300</v>
      </c>
      <c r="AQ1090" t="s">
        <v>131</v>
      </c>
      <c r="AR1090">
        <v>9</v>
      </c>
      <c r="AS1090">
        <v>77</v>
      </c>
      <c r="AT1090">
        <v>640</v>
      </c>
      <c r="BB1090" t="str">
        <f t="shared" ref="BB1090:BB1153" si="434">"1200"</f>
        <v>1200</v>
      </c>
      <c r="BC1090">
        <v>1</v>
      </c>
      <c r="BD1090" t="str">
        <f t="shared" ref="BD1090:BD1153" si="435">"N52156  "</f>
        <v xml:space="preserve">N52156  </v>
      </c>
      <c r="BE1090">
        <v>1</v>
      </c>
      <c r="BG1090">
        <v>0</v>
      </c>
      <c r="BH1090">
        <v>0</v>
      </c>
      <c r="BI1090">
        <v>0</v>
      </c>
      <c r="BJ1090">
        <v>3225</v>
      </c>
      <c r="BK1090">
        <v>-75</v>
      </c>
      <c r="BL1090" t="s">
        <v>188</v>
      </c>
      <c r="BM1090">
        <v>1</v>
      </c>
      <c r="BN1090">
        <v>1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 t="shared" si="431"/>
        <v>15:07:33.757</v>
      </c>
      <c r="CF1090">
        <v>756952979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5</v>
      </c>
      <c r="CY1090">
        <v>7</v>
      </c>
      <c r="CZ1090" t="s">
        <v>133</v>
      </c>
      <c r="DA1090">
        <v>275</v>
      </c>
      <c r="DB1090">
        <v>0</v>
      </c>
      <c r="DC1090" t="s">
        <v>134</v>
      </c>
      <c r="DD1090" t="s">
        <v>135</v>
      </c>
      <c r="DG1090">
        <v>3319766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"05/01/2025 15:07:33.980"</f>
        <v>05/01/2025 15:07:33.980</v>
      </c>
      <c r="C1091" t="str">
        <f t="shared" si="432"/>
        <v>FFDFD3C0</v>
      </c>
      <c r="D1091" t="s">
        <v>143</v>
      </c>
      <c r="E1091" t="str">
        <f>"05"</f>
        <v>05</v>
      </c>
      <c r="H1091">
        <v>172</v>
      </c>
      <c r="I1091" t="s">
        <v>141</v>
      </c>
      <c r="J1091" t="s">
        <v>144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R1091" t="s">
        <v>127</v>
      </c>
      <c r="S1091" t="str">
        <f t="shared" si="430"/>
        <v>15:07:33.000</v>
      </c>
      <c r="T1091" t="str">
        <f t="shared" si="430"/>
        <v>15:07:33.000</v>
      </c>
      <c r="U1091" t="str">
        <f t="shared" si="433"/>
        <v>A68FCB</v>
      </c>
      <c r="V1091">
        <v>0</v>
      </c>
      <c r="W1091">
        <v>0</v>
      </c>
      <c r="X1091">
        <v>2</v>
      </c>
      <c r="Y1091">
        <v>0</v>
      </c>
      <c r="AA1091">
        <v>1</v>
      </c>
      <c r="AB1091">
        <v>8</v>
      </c>
      <c r="AC1091">
        <v>3</v>
      </c>
      <c r="AD1091">
        <v>0</v>
      </c>
      <c r="AE1091">
        <v>9</v>
      </c>
      <c r="AF1091" t="s">
        <v>138</v>
      </c>
      <c r="AG1091">
        <v>0</v>
      </c>
      <c r="AH1091">
        <v>3</v>
      </c>
      <c r="AI1091">
        <v>2</v>
      </c>
      <c r="AJ1091">
        <v>0</v>
      </c>
      <c r="AK1091" t="s">
        <v>440</v>
      </c>
      <c r="AL1091">
        <v>38.992946000000003</v>
      </c>
      <c r="AM1091" t="s">
        <v>441</v>
      </c>
      <c r="AN1091">
        <v>-121.052685</v>
      </c>
      <c r="AO1091">
        <v>25</v>
      </c>
      <c r="AP1091">
        <v>3300</v>
      </c>
      <c r="AQ1091" t="s">
        <v>131</v>
      </c>
      <c r="AR1091">
        <v>9</v>
      </c>
      <c r="AS1091">
        <v>77</v>
      </c>
      <c r="AT1091">
        <v>640</v>
      </c>
      <c r="BB1091" t="str">
        <f t="shared" si="434"/>
        <v>1200</v>
      </c>
      <c r="BC1091">
        <v>1</v>
      </c>
      <c r="BD1091" t="str">
        <f t="shared" si="435"/>
        <v xml:space="preserve">N52156  </v>
      </c>
      <c r="BE1091">
        <v>1</v>
      </c>
      <c r="BG1091">
        <v>0</v>
      </c>
      <c r="BH1091">
        <v>0</v>
      </c>
      <c r="BI1091">
        <v>0</v>
      </c>
      <c r="BJ1091">
        <v>3225</v>
      </c>
      <c r="BK1091">
        <v>-75</v>
      </c>
      <c r="BL1091" t="s">
        <v>188</v>
      </c>
      <c r="BM1091">
        <v>1</v>
      </c>
      <c r="BN1091">
        <v>1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 t="shared" si="431"/>
        <v>15:07:33.757</v>
      </c>
      <c r="CF1091">
        <v>756952979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5</v>
      </c>
      <c r="CY1091">
        <v>7</v>
      </c>
      <c r="CZ1091" t="s">
        <v>133</v>
      </c>
      <c r="DA1091">
        <v>275</v>
      </c>
      <c r="DB1091">
        <v>0</v>
      </c>
      <c r="DC1091" t="s">
        <v>134</v>
      </c>
      <c r="DD1091" t="s">
        <v>135</v>
      </c>
      <c r="DG1091">
        <v>3319766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"05/01/2025 15:07:33.978"</f>
        <v>05/01/2025 15:07:33.978</v>
      </c>
      <c r="C1092" t="str">
        <f t="shared" si="432"/>
        <v>FFDFD3C0</v>
      </c>
      <c r="D1092" t="s">
        <v>124</v>
      </c>
      <c r="E1092" t="str">
        <f>"06"</f>
        <v>06</v>
      </c>
      <c r="F1092">
        <v>2006</v>
      </c>
      <c r="G1092" t="s">
        <v>125</v>
      </c>
      <c r="J1092" t="s">
        <v>126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R1092" t="s">
        <v>127</v>
      </c>
      <c r="S1092" t="str">
        <f t="shared" si="430"/>
        <v>15:07:33.000</v>
      </c>
      <c r="T1092" t="str">
        <f t="shared" si="430"/>
        <v>15:07:33.000</v>
      </c>
      <c r="U1092" t="str">
        <f t="shared" si="433"/>
        <v>A68FCB</v>
      </c>
      <c r="V1092">
        <v>0</v>
      </c>
      <c r="W1092">
        <v>0</v>
      </c>
      <c r="X1092">
        <v>2</v>
      </c>
      <c r="Y1092">
        <v>0</v>
      </c>
      <c r="AA1092">
        <v>1</v>
      </c>
      <c r="AB1092">
        <v>8</v>
      </c>
      <c r="AC1092">
        <v>3</v>
      </c>
      <c r="AD1092">
        <v>0</v>
      </c>
      <c r="AE1092">
        <v>9</v>
      </c>
      <c r="AF1092" t="s">
        <v>138</v>
      </c>
      <c r="AG1092">
        <v>0</v>
      </c>
      <c r="AH1092">
        <v>3</v>
      </c>
      <c r="AI1092">
        <v>2</v>
      </c>
      <c r="AJ1092">
        <v>0</v>
      </c>
      <c r="AK1092" t="s">
        <v>440</v>
      </c>
      <c r="AL1092">
        <v>38.992946000000003</v>
      </c>
      <c r="AM1092" t="s">
        <v>441</v>
      </c>
      <c r="AN1092">
        <v>-121.052685</v>
      </c>
      <c r="AO1092">
        <v>25</v>
      </c>
      <c r="AP1092">
        <v>3300</v>
      </c>
      <c r="AQ1092" t="s">
        <v>131</v>
      </c>
      <c r="AR1092">
        <v>9</v>
      </c>
      <c r="AS1092">
        <v>77</v>
      </c>
      <c r="AT1092">
        <v>640</v>
      </c>
      <c r="BB1092" t="str">
        <f t="shared" si="434"/>
        <v>1200</v>
      </c>
      <c r="BC1092">
        <v>1</v>
      </c>
      <c r="BD1092" t="str">
        <f t="shared" si="435"/>
        <v xml:space="preserve">N52156  </v>
      </c>
      <c r="BE1092">
        <v>1</v>
      </c>
      <c r="BG1092">
        <v>0</v>
      </c>
      <c r="BH1092">
        <v>0</v>
      </c>
      <c r="BI1092">
        <v>0</v>
      </c>
      <c r="BJ1092">
        <v>3225</v>
      </c>
      <c r="BK1092">
        <v>-75</v>
      </c>
      <c r="BL1092" t="s">
        <v>188</v>
      </c>
      <c r="BM1092">
        <v>1</v>
      </c>
      <c r="BN1092">
        <v>1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 t="shared" si="431"/>
        <v>15:07:33.757</v>
      </c>
      <c r="CF1092">
        <v>756952979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133</v>
      </c>
      <c r="DA1092">
        <v>275</v>
      </c>
      <c r="DB1092">
        <v>0</v>
      </c>
      <c r="DC1092" t="s">
        <v>134</v>
      </c>
      <c r="DD1092" t="s">
        <v>135</v>
      </c>
      <c r="DG1092">
        <v>3319766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"05/01/2025 15:07:33.987"</f>
        <v>05/01/2025 15:07:33.987</v>
      </c>
      <c r="C1093" t="str">
        <f t="shared" si="432"/>
        <v>FFDFD3C0</v>
      </c>
      <c r="D1093" t="s">
        <v>136</v>
      </c>
      <c r="E1093" t="str">
        <f>"20"</f>
        <v>20</v>
      </c>
      <c r="H1093">
        <v>400</v>
      </c>
      <c r="I1093" t="s">
        <v>137</v>
      </c>
      <c r="J1093" t="s">
        <v>138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R1093" t="s">
        <v>127</v>
      </c>
      <c r="S1093" t="str">
        <f t="shared" si="430"/>
        <v>15:07:33.000</v>
      </c>
      <c r="T1093" t="str">
        <f t="shared" si="430"/>
        <v>15:07:33.000</v>
      </c>
      <c r="U1093" t="str">
        <f t="shared" si="433"/>
        <v>A68FCB</v>
      </c>
      <c r="V1093">
        <v>0</v>
      </c>
      <c r="W1093">
        <v>0</v>
      </c>
      <c r="X1093">
        <v>2</v>
      </c>
      <c r="Y1093">
        <v>0</v>
      </c>
      <c r="AA1093">
        <v>1</v>
      </c>
      <c r="AB1093">
        <v>8</v>
      </c>
      <c r="AC1093">
        <v>3</v>
      </c>
      <c r="AD1093">
        <v>0</v>
      </c>
      <c r="AE1093">
        <v>9</v>
      </c>
      <c r="AF1093" t="s">
        <v>138</v>
      </c>
      <c r="AG1093">
        <v>0</v>
      </c>
      <c r="AH1093">
        <v>3</v>
      </c>
      <c r="AI1093">
        <v>2</v>
      </c>
      <c r="AJ1093">
        <v>0</v>
      </c>
      <c r="AK1093" t="s">
        <v>440</v>
      </c>
      <c r="AL1093">
        <v>38.992946000000003</v>
      </c>
      <c r="AM1093" t="s">
        <v>441</v>
      </c>
      <c r="AN1093">
        <v>-121.052685</v>
      </c>
      <c r="AO1093">
        <v>25</v>
      </c>
      <c r="AP1093">
        <v>3300</v>
      </c>
      <c r="AQ1093" t="s">
        <v>131</v>
      </c>
      <c r="AR1093">
        <v>9</v>
      </c>
      <c r="AS1093">
        <v>77</v>
      </c>
      <c r="AT1093">
        <v>640</v>
      </c>
      <c r="BB1093" t="str">
        <f t="shared" si="434"/>
        <v>1200</v>
      </c>
      <c r="BC1093">
        <v>1</v>
      </c>
      <c r="BD1093" t="str">
        <f t="shared" si="435"/>
        <v xml:space="preserve">N52156  </v>
      </c>
      <c r="BE1093">
        <v>1</v>
      </c>
      <c r="BG1093">
        <v>0</v>
      </c>
      <c r="BH1093">
        <v>0</v>
      </c>
      <c r="BI1093">
        <v>0</v>
      </c>
      <c r="BJ1093">
        <v>3225</v>
      </c>
      <c r="BK1093">
        <v>-75</v>
      </c>
      <c r="BL1093" t="s">
        <v>188</v>
      </c>
      <c r="BM1093">
        <v>1</v>
      </c>
      <c r="BN1093">
        <v>1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 t="shared" si="431"/>
        <v>15:07:33.757</v>
      </c>
      <c r="CF1093">
        <v>756952979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5</v>
      </c>
      <c r="CY1093">
        <v>7</v>
      </c>
      <c r="CZ1093" t="s">
        <v>133</v>
      </c>
      <c r="DA1093">
        <v>275</v>
      </c>
      <c r="DB1093">
        <v>0</v>
      </c>
      <c r="DC1093" t="s">
        <v>134</v>
      </c>
      <c r="DD1093" t="s">
        <v>135</v>
      </c>
      <c r="DG1093">
        <v>3319766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"05/01/2025 15:07:34.638"</f>
        <v>05/01/2025 15:07:34.638</v>
      </c>
      <c r="C1094" t="str">
        <f t="shared" si="432"/>
        <v>FFDFD3C0</v>
      </c>
      <c r="D1094" t="s">
        <v>136</v>
      </c>
      <c r="E1094" t="str">
        <f>"20"</f>
        <v>20</v>
      </c>
      <c r="H1094">
        <v>400</v>
      </c>
      <c r="I1094" t="s">
        <v>137</v>
      </c>
      <c r="J1094" t="s">
        <v>138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R1094" t="s">
        <v>127</v>
      </c>
      <c r="S1094" t="str">
        <f t="shared" ref="S1094:T1099" si="436">"15:07:34.000"</f>
        <v>15:07:34.000</v>
      </c>
      <c r="T1094" t="str">
        <f t="shared" si="436"/>
        <v>15:07:34.000</v>
      </c>
      <c r="U1094" t="str">
        <f t="shared" si="433"/>
        <v>A68FCB</v>
      </c>
      <c r="V1094">
        <v>0</v>
      </c>
      <c r="W1094">
        <v>0</v>
      </c>
      <c r="X1094">
        <v>2</v>
      </c>
      <c r="Y1094">
        <v>0</v>
      </c>
      <c r="AA1094">
        <v>1</v>
      </c>
      <c r="AB1094">
        <v>8</v>
      </c>
      <c r="AC1094">
        <v>3</v>
      </c>
      <c r="AD1094">
        <v>0</v>
      </c>
      <c r="AE1094">
        <v>9</v>
      </c>
      <c r="AF1094" t="s">
        <v>138</v>
      </c>
      <c r="AG1094">
        <v>0</v>
      </c>
      <c r="AH1094">
        <v>3</v>
      </c>
      <c r="AI1094">
        <v>2</v>
      </c>
      <c r="AJ1094">
        <v>0</v>
      </c>
      <c r="AK1094" t="s">
        <v>442</v>
      </c>
      <c r="AL1094">
        <v>38.993310999999999</v>
      </c>
      <c r="AM1094" t="s">
        <v>443</v>
      </c>
      <c r="AN1094">
        <v>-121.05264200000001</v>
      </c>
      <c r="AO1094">
        <v>25</v>
      </c>
      <c r="AP1094">
        <v>3300</v>
      </c>
      <c r="AQ1094" t="s">
        <v>131</v>
      </c>
      <c r="AR1094">
        <v>8</v>
      </c>
      <c r="AS1094">
        <v>77</v>
      </c>
      <c r="AT1094">
        <v>640</v>
      </c>
      <c r="BB1094" t="str">
        <f t="shared" si="434"/>
        <v>1200</v>
      </c>
      <c r="BC1094">
        <v>1</v>
      </c>
      <c r="BD1094" t="str">
        <f t="shared" si="435"/>
        <v xml:space="preserve">N52156  </v>
      </c>
      <c r="BE1094">
        <v>1</v>
      </c>
      <c r="BG1094">
        <v>0</v>
      </c>
      <c r="BH1094">
        <v>0</v>
      </c>
      <c r="BI1094">
        <v>0</v>
      </c>
      <c r="BJ1094">
        <v>3225</v>
      </c>
      <c r="BK1094">
        <v>-75</v>
      </c>
      <c r="BL1094" t="s">
        <v>188</v>
      </c>
      <c r="BM1094">
        <v>1</v>
      </c>
      <c r="BN1094">
        <v>1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 t="shared" ref="CE1094:CE1099" si="437">"15:07:34.430"</f>
        <v>15:07:34.430</v>
      </c>
      <c r="CF1094">
        <v>429952424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4</v>
      </c>
      <c r="CY1094">
        <v>7</v>
      </c>
      <c r="CZ1094" t="s">
        <v>133</v>
      </c>
      <c r="DA1094">
        <v>275</v>
      </c>
      <c r="DB1094">
        <v>0</v>
      </c>
      <c r="DC1094" t="s">
        <v>134</v>
      </c>
      <c r="DD1094" t="s">
        <v>135</v>
      </c>
      <c r="DG1094">
        <v>3319771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"05/01/2025 15:07:34.671"</f>
        <v>05/01/2025 15:07:34.671</v>
      </c>
      <c r="C1095" t="str">
        <f t="shared" si="432"/>
        <v>FFDFD3C0</v>
      </c>
      <c r="D1095" t="s">
        <v>140</v>
      </c>
      <c r="E1095" t="str">
        <f>"13"</f>
        <v>13</v>
      </c>
      <c r="F1095">
        <v>1019</v>
      </c>
      <c r="G1095" t="s">
        <v>141</v>
      </c>
      <c r="J1095" t="s">
        <v>142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R1095" t="s">
        <v>127</v>
      </c>
      <c r="S1095" t="str">
        <f t="shared" si="436"/>
        <v>15:07:34.000</v>
      </c>
      <c r="T1095" t="str">
        <f t="shared" si="436"/>
        <v>15:07:34.000</v>
      </c>
      <c r="U1095" t="str">
        <f t="shared" si="433"/>
        <v>A68FCB</v>
      </c>
      <c r="V1095">
        <v>0</v>
      </c>
      <c r="W1095">
        <v>0</v>
      </c>
      <c r="X1095">
        <v>2</v>
      </c>
      <c r="Y1095">
        <v>0</v>
      </c>
      <c r="AA1095">
        <v>1</v>
      </c>
      <c r="AB1095">
        <v>8</v>
      </c>
      <c r="AC1095">
        <v>3</v>
      </c>
      <c r="AD1095">
        <v>0</v>
      </c>
      <c r="AE1095">
        <v>9</v>
      </c>
      <c r="AF1095" t="s">
        <v>138</v>
      </c>
      <c r="AG1095">
        <v>0</v>
      </c>
      <c r="AH1095">
        <v>3</v>
      </c>
      <c r="AI1095">
        <v>2</v>
      </c>
      <c r="AJ1095">
        <v>0</v>
      </c>
      <c r="AK1095" t="s">
        <v>442</v>
      </c>
      <c r="AL1095">
        <v>38.993310999999999</v>
      </c>
      <c r="AM1095" t="s">
        <v>443</v>
      </c>
      <c r="AN1095">
        <v>-121.05264200000001</v>
      </c>
      <c r="AO1095">
        <v>25</v>
      </c>
      <c r="AP1095">
        <v>3300</v>
      </c>
      <c r="AQ1095" t="s">
        <v>131</v>
      </c>
      <c r="AR1095">
        <v>8</v>
      </c>
      <c r="AS1095">
        <v>77</v>
      </c>
      <c r="AT1095">
        <v>640</v>
      </c>
      <c r="BB1095" t="str">
        <f t="shared" si="434"/>
        <v>1200</v>
      </c>
      <c r="BC1095">
        <v>1</v>
      </c>
      <c r="BD1095" t="str">
        <f t="shared" si="435"/>
        <v xml:space="preserve">N52156  </v>
      </c>
      <c r="BE1095">
        <v>1</v>
      </c>
      <c r="BG1095">
        <v>0</v>
      </c>
      <c r="BH1095">
        <v>0</v>
      </c>
      <c r="BI1095">
        <v>0</v>
      </c>
      <c r="BJ1095">
        <v>3225</v>
      </c>
      <c r="BK1095">
        <v>-75</v>
      </c>
      <c r="BL1095" t="s">
        <v>188</v>
      </c>
      <c r="BM1095">
        <v>1</v>
      </c>
      <c r="BN1095">
        <v>1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 t="shared" si="437"/>
        <v>15:07:34.430</v>
      </c>
      <c r="CF1095">
        <v>429952424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4</v>
      </c>
      <c r="CY1095">
        <v>7</v>
      </c>
      <c r="CZ1095" t="s">
        <v>133</v>
      </c>
      <c r="DA1095">
        <v>275</v>
      </c>
      <c r="DB1095">
        <v>0</v>
      </c>
      <c r="DC1095" t="s">
        <v>134</v>
      </c>
      <c r="DD1095" t="s">
        <v>135</v>
      </c>
      <c r="DG1095">
        <v>3319771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"05/01/2025 15:07:34.676"</f>
        <v>05/01/2025 15:07:34.676</v>
      </c>
      <c r="C1096" t="str">
        <f t="shared" si="432"/>
        <v>FFDFD3C0</v>
      </c>
      <c r="D1096" t="s">
        <v>145</v>
      </c>
      <c r="E1096" t="str">
        <f>"05"</f>
        <v>05</v>
      </c>
      <c r="H1096">
        <v>47</v>
      </c>
      <c r="I1096" t="s">
        <v>146</v>
      </c>
      <c r="J1096" t="s">
        <v>138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R1096" t="s">
        <v>127</v>
      </c>
      <c r="S1096" t="str">
        <f t="shared" si="436"/>
        <v>15:07:34.000</v>
      </c>
      <c r="T1096" t="str">
        <f t="shared" si="436"/>
        <v>15:07:34.000</v>
      </c>
      <c r="U1096" t="str">
        <f t="shared" si="433"/>
        <v>A68FCB</v>
      </c>
      <c r="V1096">
        <v>0</v>
      </c>
      <c r="W1096">
        <v>0</v>
      </c>
      <c r="X1096">
        <v>2</v>
      </c>
      <c r="Y1096">
        <v>0</v>
      </c>
      <c r="AA1096">
        <v>1</v>
      </c>
      <c r="AB1096">
        <v>8</v>
      </c>
      <c r="AC1096">
        <v>3</v>
      </c>
      <c r="AD1096">
        <v>0</v>
      </c>
      <c r="AE1096">
        <v>9</v>
      </c>
      <c r="AF1096" t="s">
        <v>138</v>
      </c>
      <c r="AG1096">
        <v>0</v>
      </c>
      <c r="AH1096">
        <v>3</v>
      </c>
      <c r="AI1096">
        <v>2</v>
      </c>
      <c r="AJ1096">
        <v>0</v>
      </c>
      <c r="AK1096" t="s">
        <v>442</v>
      </c>
      <c r="AL1096">
        <v>38.993310999999999</v>
      </c>
      <c r="AM1096" t="s">
        <v>443</v>
      </c>
      <c r="AN1096">
        <v>-121.05264200000001</v>
      </c>
      <c r="AO1096">
        <v>25</v>
      </c>
      <c r="AP1096">
        <v>3300</v>
      </c>
      <c r="AQ1096" t="s">
        <v>131</v>
      </c>
      <c r="AR1096">
        <v>8</v>
      </c>
      <c r="AS1096">
        <v>77</v>
      </c>
      <c r="AT1096">
        <v>640</v>
      </c>
      <c r="BB1096" t="str">
        <f t="shared" si="434"/>
        <v>1200</v>
      </c>
      <c r="BC1096">
        <v>1</v>
      </c>
      <c r="BD1096" t="str">
        <f t="shared" si="435"/>
        <v xml:space="preserve">N52156  </v>
      </c>
      <c r="BE1096">
        <v>1</v>
      </c>
      <c r="BG1096">
        <v>0</v>
      </c>
      <c r="BH1096">
        <v>0</v>
      </c>
      <c r="BI1096">
        <v>0</v>
      </c>
      <c r="BJ1096">
        <v>3225</v>
      </c>
      <c r="BK1096">
        <v>-75</v>
      </c>
      <c r="BL1096" t="s">
        <v>188</v>
      </c>
      <c r="BM1096">
        <v>1</v>
      </c>
      <c r="BN1096">
        <v>1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 t="shared" si="437"/>
        <v>15:07:34.430</v>
      </c>
      <c r="CF1096">
        <v>429952424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4</v>
      </c>
      <c r="CY1096">
        <v>7</v>
      </c>
      <c r="CZ1096" t="s">
        <v>133</v>
      </c>
      <c r="DA1096">
        <v>275</v>
      </c>
      <c r="DB1096">
        <v>0</v>
      </c>
      <c r="DC1096" t="s">
        <v>134</v>
      </c>
      <c r="DD1096" t="s">
        <v>135</v>
      </c>
      <c r="DG1096">
        <v>3319771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"05/01/2025 15:07:34.679"</f>
        <v>05/01/2025 15:07:34.679</v>
      </c>
      <c r="C1097" t="str">
        <f t="shared" si="432"/>
        <v>FFDFD3C0</v>
      </c>
      <c r="D1097" t="s">
        <v>124</v>
      </c>
      <c r="E1097" t="str">
        <f>"06"</f>
        <v>06</v>
      </c>
      <c r="F1097">
        <v>2006</v>
      </c>
      <c r="G1097" t="s">
        <v>125</v>
      </c>
      <c r="J1097" t="s">
        <v>126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R1097" t="s">
        <v>127</v>
      </c>
      <c r="S1097" t="str">
        <f t="shared" si="436"/>
        <v>15:07:34.000</v>
      </c>
      <c r="T1097" t="str">
        <f t="shared" si="436"/>
        <v>15:07:34.000</v>
      </c>
      <c r="U1097" t="str">
        <f t="shared" si="433"/>
        <v>A68FCB</v>
      </c>
      <c r="V1097">
        <v>0</v>
      </c>
      <c r="W1097">
        <v>0</v>
      </c>
      <c r="X1097">
        <v>2</v>
      </c>
      <c r="Y1097">
        <v>0</v>
      </c>
      <c r="AA1097">
        <v>1</v>
      </c>
      <c r="AB1097">
        <v>8</v>
      </c>
      <c r="AC1097">
        <v>3</v>
      </c>
      <c r="AD1097">
        <v>0</v>
      </c>
      <c r="AE1097">
        <v>9</v>
      </c>
      <c r="AF1097" t="s">
        <v>138</v>
      </c>
      <c r="AG1097">
        <v>0</v>
      </c>
      <c r="AH1097">
        <v>3</v>
      </c>
      <c r="AI1097">
        <v>2</v>
      </c>
      <c r="AJ1097">
        <v>0</v>
      </c>
      <c r="AK1097" t="s">
        <v>442</v>
      </c>
      <c r="AL1097">
        <v>38.993310999999999</v>
      </c>
      <c r="AM1097" t="s">
        <v>443</v>
      </c>
      <c r="AN1097">
        <v>-121.05264200000001</v>
      </c>
      <c r="AO1097">
        <v>25</v>
      </c>
      <c r="AP1097">
        <v>3300</v>
      </c>
      <c r="AQ1097" t="s">
        <v>131</v>
      </c>
      <c r="AR1097">
        <v>8</v>
      </c>
      <c r="AS1097">
        <v>77</v>
      </c>
      <c r="AT1097">
        <v>640</v>
      </c>
      <c r="BB1097" t="str">
        <f t="shared" si="434"/>
        <v>1200</v>
      </c>
      <c r="BC1097">
        <v>1</v>
      </c>
      <c r="BD1097" t="str">
        <f t="shared" si="435"/>
        <v xml:space="preserve">N52156  </v>
      </c>
      <c r="BE1097">
        <v>1</v>
      </c>
      <c r="BG1097">
        <v>0</v>
      </c>
      <c r="BH1097">
        <v>0</v>
      </c>
      <c r="BI1097">
        <v>0</v>
      </c>
      <c r="BJ1097">
        <v>3225</v>
      </c>
      <c r="BK1097">
        <v>-75</v>
      </c>
      <c r="BL1097" t="s">
        <v>188</v>
      </c>
      <c r="BM1097">
        <v>1</v>
      </c>
      <c r="BN1097">
        <v>1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 t="shared" si="437"/>
        <v>15:07:34.430</v>
      </c>
      <c r="CF1097">
        <v>429952424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4</v>
      </c>
      <c r="CY1097">
        <v>7</v>
      </c>
      <c r="CZ1097" t="s">
        <v>133</v>
      </c>
      <c r="DA1097">
        <v>275</v>
      </c>
      <c r="DB1097">
        <v>0</v>
      </c>
      <c r="DC1097" t="s">
        <v>134</v>
      </c>
      <c r="DD1097" t="s">
        <v>135</v>
      </c>
      <c r="DG1097">
        <v>3319771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"05/01/2025 15:07:34.681"</f>
        <v>05/01/2025 15:07:34.681</v>
      </c>
      <c r="C1098" t="str">
        <f t="shared" si="432"/>
        <v>FFDFD3C0</v>
      </c>
      <c r="D1098" t="s">
        <v>145</v>
      </c>
      <c r="E1098" t="str">
        <f>"09"</f>
        <v>09</v>
      </c>
      <c r="H1098">
        <v>51</v>
      </c>
      <c r="I1098" t="s">
        <v>147</v>
      </c>
      <c r="J1098" t="s">
        <v>138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R1098" t="s">
        <v>127</v>
      </c>
      <c r="S1098" t="str">
        <f t="shared" si="436"/>
        <v>15:07:34.000</v>
      </c>
      <c r="T1098" t="str">
        <f t="shared" si="436"/>
        <v>15:07:34.000</v>
      </c>
      <c r="U1098" t="str">
        <f t="shared" si="433"/>
        <v>A68FCB</v>
      </c>
      <c r="V1098">
        <v>0</v>
      </c>
      <c r="W1098">
        <v>0</v>
      </c>
      <c r="X1098">
        <v>2</v>
      </c>
      <c r="Y1098">
        <v>0</v>
      </c>
      <c r="AA1098">
        <v>1</v>
      </c>
      <c r="AB1098">
        <v>8</v>
      </c>
      <c r="AC1098">
        <v>3</v>
      </c>
      <c r="AD1098">
        <v>0</v>
      </c>
      <c r="AE1098">
        <v>9</v>
      </c>
      <c r="AF1098" t="s">
        <v>138</v>
      </c>
      <c r="AG1098">
        <v>0</v>
      </c>
      <c r="AH1098">
        <v>3</v>
      </c>
      <c r="AI1098">
        <v>2</v>
      </c>
      <c r="AJ1098">
        <v>0</v>
      </c>
      <c r="AK1098" t="s">
        <v>442</v>
      </c>
      <c r="AL1098">
        <v>38.993310999999999</v>
      </c>
      <c r="AM1098" t="s">
        <v>443</v>
      </c>
      <c r="AN1098">
        <v>-121.05264200000001</v>
      </c>
      <c r="AO1098">
        <v>25</v>
      </c>
      <c r="AP1098">
        <v>3300</v>
      </c>
      <c r="AQ1098" t="s">
        <v>131</v>
      </c>
      <c r="AR1098">
        <v>8</v>
      </c>
      <c r="AS1098">
        <v>77</v>
      </c>
      <c r="AT1098">
        <v>640</v>
      </c>
      <c r="BB1098" t="str">
        <f t="shared" si="434"/>
        <v>1200</v>
      </c>
      <c r="BC1098">
        <v>1</v>
      </c>
      <c r="BD1098" t="str">
        <f t="shared" si="435"/>
        <v xml:space="preserve">N52156  </v>
      </c>
      <c r="BE1098">
        <v>1</v>
      </c>
      <c r="BG1098">
        <v>0</v>
      </c>
      <c r="BH1098">
        <v>0</v>
      </c>
      <c r="BI1098">
        <v>0</v>
      </c>
      <c r="BJ1098">
        <v>3225</v>
      </c>
      <c r="BK1098">
        <v>-75</v>
      </c>
      <c r="BL1098" t="s">
        <v>188</v>
      </c>
      <c r="BM1098">
        <v>1</v>
      </c>
      <c r="BN1098">
        <v>1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 t="shared" si="437"/>
        <v>15:07:34.430</v>
      </c>
      <c r="CF1098">
        <v>429952424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4</v>
      </c>
      <c r="CY1098">
        <v>7</v>
      </c>
      <c r="CZ1098" t="s">
        <v>133</v>
      </c>
      <c r="DA1098">
        <v>275</v>
      </c>
      <c r="DB1098">
        <v>0</v>
      </c>
      <c r="DC1098" t="s">
        <v>134</v>
      </c>
      <c r="DD1098" t="s">
        <v>135</v>
      </c>
      <c r="DG1098">
        <v>3319771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"05/01/2025 15:07:34.681"</f>
        <v>05/01/2025 15:07:34.681</v>
      </c>
      <c r="C1099" t="str">
        <f t="shared" si="432"/>
        <v>FFDFD3C0</v>
      </c>
      <c r="D1099" t="s">
        <v>143</v>
      </c>
      <c r="E1099" t="str">
        <f>"05"</f>
        <v>05</v>
      </c>
      <c r="H1099">
        <v>172</v>
      </c>
      <c r="I1099" t="s">
        <v>141</v>
      </c>
      <c r="J1099" t="s">
        <v>144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R1099" t="s">
        <v>127</v>
      </c>
      <c r="S1099" t="str">
        <f t="shared" si="436"/>
        <v>15:07:34.000</v>
      </c>
      <c r="T1099" t="str">
        <f t="shared" si="436"/>
        <v>15:07:34.000</v>
      </c>
      <c r="U1099" t="str">
        <f t="shared" si="433"/>
        <v>A68FCB</v>
      </c>
      <c r="V1099">
        <v>0</v>
      </c>
      <c r="W1099">
        <v>0</v>
      </c>
      <c r="X1099">
        <v>2</v>
      </c>
      <c r="Y1099">
        <v>0</v>
      </c>
      <c r="AA1099">
        <v>1</v>
      </c>
      <c r="AB1099">
        <v>8</v>
      </c>
      <c r="AC1099">
        <v>3</v>
      </c>
      <c r="AD1099">
        <v>0</v>
      </c>
      <c r="AE1099">
        <v>9</v>
      </c>
      <c r="AF1099" t="s">
        <v>138</v>
      </c>
      <c r="AG1099">
        <v>0</v>
      </c>
      <c r="AH1099">
        <v>3</v>
      </c>
      <c r="AI1099">
        <v>2</v>
      </c>
      <c r="AJ1099">
        <v>0</v>
      </c>
      <c r="AK1099" t="s">
        <v>442</v>
      </c>
      <c r="AL1099">
        <v>38.993310999999999</v>
      </c>
      <c r="AM1099" t="s">
        <v>443</v>
      </c>
      <c r="AN1099">
        <v>-121.05264200000001</v>
      </c>
      <c r="AO1099">
        <v>25</v>
      </c>
      <c r="AP1099">
        <v>3300</v>
      </c>
      <c r="AQ1099" t="s">
        <v>131</v>
      </c>
      <c r="AR1099">
        <v>8</v>
      </c>
      <c r="AS1099">
        <v>77</v>
      </c>
      <c r="AT1099">
        <v>640</v>
      </c>
      <c r="BB1099" t="str">
        <f t="shared" si="434"/>
        <v>1200</v>
      </c>
      <c r="BC1099">
        <v>1</v>
      </c>
      <c r="BD1099" t="str">
        <f t="shared" si="435"/>
        <v xml:space="preserve">N52156  </v>
      </c>
      <c r="BE1099">
        <v>1</v>
      </c>
      <c r="BG1099">
        <v>0</v>
      </c>
      <c r="BH1099">
        <v>0</v>
      </c>
      <c r="BI1099">
        <v>0</v>
      </c>
      <c r="BJ1099">
        <v>3225</v>
      </c>
      <c r="BK1099">
        <v>-75</v>
      </c>
      <c r="BL1099" t="s">
        <v>188</v>
      </c>
      <c r="BM1099">
        <v>1</v>
      </c>
      <c r="BN1099">
        <v>1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 t="shared" si="437"/>
        <v>15:07:34.430</v>
      </c>
      <c r="CF1099">
        <v>429952424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133</v>
      </c>
      <c r="DA1099">
        <v>275</v>
      </c>
      <c r="DB1099">
        <v>0</v>
      </c>
      <c r="DC1099" t="s">
        <v>134</v>
      </c>
      <c r="DD1099" t="s">
        <v>135</v>
      </c>
      <c r="DG1099">
        <v>3319771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"05/01/2025 15:07:36.133"</f>
        <v>05/01/2025 15:07:36.133</v>
      </c>
      <c r="C1100" t="str">
        <f t="shared" si="432"/>
        <v>FFDFD3C0</v>
      </c>
      <c r="D1100" t="s">
        <v>145</v>
      </c>
      <c r="E1100" t="str">
        <f>"09"</f>
        <v>09</v>
      </c>
      <c r="H1100">
        <v>51</v>
      </c>
      <c r="I1100" t="s">
        <v>147</v>
      </c>
      <c r="J1100" t="s">
        <v>138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R1100" t="s">
        <v>127</v>
      </c>
      <c r="S1100" t="str">
        <f t="shared" ref="S1100:T1105" si="438">"15:07:35.000"</f>
        <v>15:07:35.000</v>
      </c>
      <c r="T1100" t="str">
        <f t="shared" si="438"/>
        <v>15:07:35.000</v>
      </c>
      <c r="U1100" t="str">
        <f t="shared" si="433"/>
        <v>A68FCB</v>
      </c>
      <c r="V1100">
        <v>0</v>
      </c>
      <c r="W1100">
        <v>0</v>
      </c>
      <c r="X1100">
        <v>2</v>
      </c>
      <c r="Y1100">
        <v>0</v>
      </c>
      <c r="AA1100">
        <v>1</v>
      </c>
      <c r="AB1100">
        <v>8</v>
      </c>
      <c r="AC1100">
        <v>3</v>
      </c>
      <c r="AD1100">
        <v>0</v>
      </c>
      <c r="AE1100">
        <v>9</v>
      </c>
      <c r="AF1100" t="s">
        <v>138</v>
      </c>
      <c r="AG1100">
        <v>0</v>
      </c>
      <c r="AH1100">
        <v>3</v>
      </c>
      <c r="AI1100">
        <v>2</v>
      </c>
      <c r="AJ1100">
        <v>0</v>
      </c>
      <c r="AK1100" t="s">
        <v>444</v>
      </c>
      <c r="AL1100">
        <v>38.993676000000001</v>
      </c>
      <c r="AM1100" t="s">
        <v>445</v>
      </c>
      <c r="AN1100">
        <v>-121.052577</v>
      </c>
      <c r="AO1100">
        <v>25</v>
      </c>
      <c r="AP1100">
        <v>3300</v>
      </c>
      <c r="AQ1100" t="s">
        <v>131</v>
      </c>
      <c r="AR1100">
        <v>6</v>
      </c>
      <c r="AS1100">
        <v>78</v>
      </c>
      <c r="AT1100">
        <v>576</v>
      </c>
      <c r="BB1100" t="str">
        <f t="shared" si="434"/>
        <v>1200</v>
      </c>
      <c r="BC1100">
        <v>1</v>
      </c>
      <c r="BD1100" t="str">
        <f t="shared" si="435"/>
        <v xml:space="preserve">N52156  </v>
      </c>
      <c r="BE1100">
        <v>1</v>
      </c>
      <c r="BG1100">
        <v>0</v>
      </c>
      <c r="BH1100">
        <v>0</v>
      </c>
      <c r="BI1100">
        <v>0</v>
      </c>
      <c r="BJ1100">
        <v>3275</v>
      </c>
      <c r="BK1100">
        <v>-25</v>
      </c>
      <c r="BL1100" t="s">
        <v>188</v>
      </c>
      <c r="BM1100">
        <v>1</v>
      </c>
      <c r="BN1100">
        <v>1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 t="shared" ref="CE1100:CE1105" si="439">"15:07:35.937"</f>
        <v>15:07:35.937</v>
      </c>
      <c r="CF1100">
        <v>937203736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4</v>
      </c>
      <c r="CY1100">
        <v>7</v>
      </c>
      <c r="CZ1100" t="s">
        <v>133</v>
      </c>
      <c r="DA1100">
        <v>275</v>
      </c>
      <c r="DB1100">
        <v>0</v>
      </c>
      <c r="DC1100" t="s">
        <v>134</v>
      </c>
      <c r="DD1100" t="s">
        <v>135</v>
      </c>
      <c r="DG1100">
        <v>3319787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"05/01/2025 15:07:36.133"</f>
        <v>05/01/2025 15:07:36.133</v>
      </c>
      <c r="C1101" t="str">
        <f t="shared" si="432"/>
        <v>FFDFD3C0</v>
      </c>
      <c r="D1101" t="s">
        <v>143</v>
      </c>
      <c r="E1101" t="str">
        <f>"05"</f>
        <v>05</v>
      </c>
      <c r="H1101">
        <v>172</v>
      </c>
      <c r="I1101" t="s">
        <v>141</v>
      </c>
      <c r="J1101" t="s">
        <v>144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R1101" t="s">
        <v>127</v>
      </c>
      <c r="S1101" t="str">
        <f t="shared" si="438"/>
        <v>15:07:35.000</v>
      </c>
      <c r="T1101" t="str">
        <f t="shared" si="438"/>
        <v>15:07:35.000</v>
      </c>
      <c r="U1101" t="str">
        <f t="shared" si="433"/>
        <v>A68FCB</v>
      </c>
      <c r="V1101">
        <v>0</v>
      </c>
      <c r="W1101">
        <v>0</v>
      </c>
      <c r="X1101">
        <v>2</v>
      </c>
      <c r="Y1101">
        <v>0</v>
      </c>
      <c r="AA1101">
        <v>1</v>
      </c>
      <c r="AB1101">
        <v>8</v>
      </c>
      <c r="AC1101">
        <v>3</v>
      </c>
      <c r="AD1101">
        <v>0</v>
      </c>
      <c r="AE1101">
        <v>9</v>
      </c>
      <c r="AF1101" t="s">
        <v>138</v>
      </c>
      <c r="AG1101">
        <v>0</v>
      </c>
      <c r="AH1101">
        <v>3</v>
      </c>
      <c r="AI1101">
        <v>2</v>
      </c>
      <c r="AJ1101">
        <v>0</v>
      </c>
      <c r="AK1101" t="s">
        <v>444</v>
      </c>
      <c r="AL1101">
        <v>38.993676000000001</v>
      </c>
      <c r="AM1101" t="s">
        <v>445</v>
      </c>
      <c r="AN1101">
        <v>-121.052577</v>
      </c>
      <c r="AO1101">
        <v>25</v>
      </c>
      <c r="AP1101">
        <v>3300</v>
      </c>
      <c r="AQ1101" t="s">
        <v>131</v>
      </c>
      <c r="AR1101">
        <v>6</v>
      </c>
      <c r="AS1101">
        <v>78</v>
      </c>
      <c r="AT1101">
        <v>576</v>
      </c>
      <c r="BB1101" t="str">
        <f t="shared" si="434"/>
        <v>1200</v>
      </c>
      <c r="BC1101">
        <v>1</v>
      </c>
      <c r="BD1101" t="str">
        <f t="shared" si="435"/>
        <v xml:space="preserve">N52156  </v>
      </c>
      <c r="BE1101">
        <v>1</v>
      </c>
      <c r="BG1101">
        <v>0</v>
      </c>
      <c r="BH1101">
        <v>0</v>
      </c>
      <c r="BI1101">
        <v>0</v>
      </c>
      <c r="BJ1101">
        <v>3275</v>
      </c>
      <c r="BK1101">
        <v>-25</v>
      </c>
      <c r="BL1101" t="s">
        <v>188</v>
      </c>
      <c r="BM1101">
        <v>1</v>
      </c>
      <c r="BN1101">
        <v>1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 t="shared" si="439"/>
        <v>15:07:35.937</v>
      </c>
      <c r="CF1101">
        <v>937203736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4</v>
      </c>
      <c r="CY1101">
        <v>7</v>
      </c>
      <c r="CZ1101" t="s">
        <v>133</v>
      </c>
      <c r="DA1101">
        <v>275</v>
      </c>
      <c r="DB1101">
        <v>0</v>
      </c>
      <c r="DC1101" t="s">
        <v>134</v>
      </c>
      <c r="DD1101" t="s">
        <v>135</v>
      </c>
      <c r="DG1101">
        <v>3319787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"05/01/2025 15:07:36.141"</f>
        <v>05/01/2025 15:07:36.141</v>
      </c>
      <c r="C1102" t="str">
        <f t="shared" si="432"/>
        <v>FFDFD3C0</v>
      </c>
      <c r="D1102" t="s">
        <v>136</v>
      </c>
      <c r="E1102" t="str">
        <f>"20"</f>
        <v>20</v>
      </c>
      <c r="H1102">
        <v>400</v>
      </c>
      <c r="I1102" t="s">
        <v>137</v>
      </c>
      <c r="J1102" t="s">
        <v>138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R1102" t="s">
        <v>127</v>
      </c>
      <c r="S1102" t="str">
        <f t="shared" si="438"/>
        <v>15:07:35.000</v>
      </c>
      <c r="T1102" t="str">
        <f t="shared" si="438"/>
        <v>15:07:35.000</v>
      </c>
      <c r="U1102" t="str">
        <f t="shared" si="433"/>
        <v>A68FCB</v>
      </c>
      <c r="V1102">
        <v>0</v>
      </c>
      <c r="W1102">
        <v>0</v>
      </c>
      <c r="X1102">
        <v>2</v>
      </c>
      <c r="Y1102">
        <v>0</v>
      </c>
      <c r="AA1102">
        <v>1</v>
      </c>
      <c r="AB1102">
        <v>8</v>
      </c>
      <c r="AC1102">
        <v>3</v>
      </c>
      <c r="AD1102">
        <v>0</v>
      </c>
      <c r="AE1102">
        <v>9</v>
      </c>
      <c r="AF1102" t="s">
        <v>138</v>
      </c>
      <c r="AG1102">
        <v>0</v>
      </c>
      <c r="AH1102">
        <v>3</v>
      </c>
      <c r="AI1102">
        <v>2</v>
      </c>
      <c r="AJ1102">
        <v>0</v>
      </c>
      <c r="AK1102" t="s">
        <v>444</v>
      </c>
      <c r="AL1102">
        <v>38.993676000000001</v>
      </c>
      <c r="AM1102" t="s">
        <v>445</v>
      </c>
      <c r="AN1102">
        <v>-121.052577</v>
      </c>
      <c r="AO1102">
        <v>25</v>
      </c>
      <c r="AP1102">
        <v>3300</v>
      </c>
      <c r="AQ1102" t="s">
        <v>131</v>
      </c>
      <c r="AR1102">
        <v>6</v>
      </c>
      <c r="AS1102">
        <v>78</v>
      </c>
      <c r="AT1102">
        <v>576</v>
      </c>
      <c r="BB1102" t="str">
        <f t="shared" si="434"/>
        <v>1200</v>
      </c>
      <c r="BC1102">
        <v>1</v>
      </c>
      <c r="BD1102" t="str">
        <f t="shared" si="435"/>
        <v xml:space="preserve">N52156  </v>
      </c>
      <c r="BE1102">
        <v>1</v>
      </c>
      <c r="BG1102">
        <v>0</v>
      </c>
      <c r="BH1102">
        <v>0</v>
      </c>
      <c r="BI1102">
        <v>0</v>
      </c>
      <c r="BJ1102">
        <v>3275</v>
      </c>
      <c r="BK1102">
        <v>-25</v>
      </c>
      <c r="BL1102" t="s">
        <v>188</v>
      </c>
      <c r="BM1102">
        <v>1</v>
      </c>
      <c r="BN1102">
        <v>1</v>
      </c>
      <c r="BO1102">
        <v>0</v>
      </c>
      <c r="BP1102">
        <v>0</v>
      </c>
      <c r="BS1102">
        <v>0</v>
      </c>
      <c r="BT1102">
        <v>0</v>
      </c>
      <c r="BU1102">
        <v>0</v>
      </c>
      <c r="CE1102" t="str">
        <f t="shared" si="439"/>
        <v>15:07:35.937</v>
      </c>
      <c r="CF1102">
        <v>937203736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4</v>
      </c>
      <c r="CY1102">
        <v>7</v>
      </c>
      <c r="CZ1102" t="s">
        <v>133</v>
      </c>
      <c r="DA1102">
        <v>275</v>
      </c>
      <c r="DB1102">
        <v>0</v>
      </c>
      <c r="DC1102" t="s">
        <v>134</v>
      </c>
      <c r="DD1102" t="s">
        <v>135</v>
      </c>
      <c r="DG1102">
        <v>3319787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"05/01/2025 15:07:36.174"</f>
        <v>05/01/2025 15:07:36.174</v>
      </c>
      <c r="C1103" t="str">
        <f t="shared" si="432"/>
        <v>FFDFD3C0</v>
      </c>
      <c r="D1103" t="s">
        <v>140</v>
      </c>
      <c r="E1103" t="str">
        <f>"13"</f>
        <v>13</v>
      </c>
      <c r="F1103">
        <v>1019</v>
      </c>
      <c r="G1103" t="s">
        <v>141</v>
      </c>
      <c r="J1103" t="s">
        <v>142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R1103" t="s">
        <v>127</v>
      </c>
      <c r="S1103" t="str">
        <f t="shared" si="438"/>
        <v>15:07:35.000</v>
      </c>
      <c r="T1103" t="str">
        <f t="shared" si="438"/>
        <v>15:07:35.000</v>
      </c>
      <c r="U1103" t="str">
        <f t="shared" si="433"/>
        <v>A68FCB</v>
      </c>
      <c r="V1103">
        <v>0</v>
      </c>
      <c r="W1103">
        <v>0</v>
      </c>
      <c r="X1103">
        <v>2</v>
      </c>
      <c r="Y1103">
        <v>0</v>
      </c>
      <c r="AA1103">
        <v>1</v>
      </c>
      <c r="AB1103">
        <v>8</v>
      </c>
      <c r="AC1103">
        <v>3</v>
      </c>
      <c r="AD1103">
        <v>0</v>
      </c>
      <c r="AE1103">
        <v>9</v>
      </c>
      <c r="AF1103" t="s">
        <v>138</v>
      </c>
      <c r="AG1103">
        <v>0</v>
      </c>
      <c r="AH1103">
        <v>3</v>
      </c>
      <c r="AI1103">
        <v>2</v>
      </c>
      <c r="AJ1103">
        <v>0</v>
      </c>
      <c r="AK1103" t="s">
        <v>444</v>
      </c>
      <c r="AL1103">
        <v>38.993676000000001</v>
      </c>
      <c r="AM1103" t="s">
        <v>445</v>
      </c>
      <c r="AN1103">
        <v>-121.052577</v>
      </c>
      <c r="AO1103">
        <v>25</v>
      </c>
      <c r="AP1103">
        <v>3300</v>
      </c>
      <c r="AQ1103" t="s">
        <v>131</v>
      </c>
      <c r="AR1103">
        <v>6</v>
      </c>
      <c r="AS1103">
        <v>78</v>
      </c>
      <c r="AT1103">
        <v>576</v>
      </c>
      <c r="BB1103" t="str">
        <f t="shared" si="434"/>
        <v>1200</v>
      </c>
      <c r="BC1103">
        <v>1</v>
      </c>
      <c r="BD1103" t="str">
        <f t="shared" si="435"/>
        <v xml:space="preserve">N52156  </v>
      </c>
      <c r="BE1103">
        <v>1</v>
      </c>
      <c r="BG1103">
        <v>0</v>
      </c>
      <c r="BH1103">
        <v>0</v>
      </c>
      <c r="BI1103">
        <v>0</v>
      </c>
      <c r="BJ1103">
        <v>3275</v>
      </c>
      <c r="BK1103">
        <v>-25</v>
      </c>
      <c r="BL1103" t="s">
        <v>188</v>
      </c>
      <c r="BM1103">
        <v>1</v>
      </c>
      <c r="BN1103">
        <v>1</v>
      </c>
      <c r="BO1103">
        <v>0</v>
      </c>
      <c r="BP1103">
        <v>0</v>
      </c>
      <c r="BS1103">
        <v>0</v>
      </c>
      <c r="BT1103">
        <v>0</v>
      </c>
      <c r="BU1103">
        <v>0</v>
      </c>
      <c r="CE1103" t="str">
        <f t="shared" si="439"/>
        <v>15:07:35.937</v>
      </c>
      <c r="CF1103">
        <v>937203736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4</v>
      </c>
      <c r="CY1103">
        <v>7</v>
      </c>
      <c r="CZ1103" t="s">
        <v>133</v>
      </c>
      <c r="DA1103">
        <v>275</v>
      </c>
      <c r="DB1103">
        <v>0</v>
      </c>
      <c r="DC1103" t="s">
        <v>134</v>
      </c>
      <c r="DD1103" t="s">
        <v>135</v>
      </c>
      <c r="DG1103">
        <v>3319787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"05/01/2025 15:07:36.179"</f>
        <v>05/01/2025 15:07:36.179</v>
      </c>
      <c r="C1104" t="str">
        <f t="shared" si="432"/>
        <v>FFDFD3C0</v>
      </c>
      <c r="D1104" t="s">
        <v>145</v>
      </c>
      <c r="E1104" t="str">
        <f>"05"</f>
        <v>05</v>
      </c>
      <c r="H1104">
        <v>47</v>
      </c>
      <c r="I1104" t="s">
        <v>146</v>
      </c>
      <c r="J1104" t="s">
        <v>138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R1104" t="s">
        <v>127</v>
      </c>
      <c r="S1104" t="str">
        <f t="shared" si="438"/>
        <v>15:07:35.000</v>
      </c>
      <c r="T1104" t="str">
        <f t="shared" si="438"/>
        <v>15:07:35.000</v>
      </c>
      <c r="U1104" t="str">
        <f t="shared" si="433"/>
        <v>A68FCB</v>
      </c>
      <c r="V1104">
        <v>0</v>
      </c>
      <c r="W1104">
        <v>0</v>
      </c>
      <c r="X1104">
        <v>2</v>
      </c>
      <c r="Y1104">
        <v>0</v>
      </c>
      <c r="AA1104">
        <v>1</v>
      </c>
      <c r="AB1104">
        <v>8</v>
      </c>
      <c r="AC1104">
        <v>3</v>
      </c>
      <c r="AD1104">
        <v>0</v>
      </c>
      <c r="AE1104">
        <v>9</v>
      </c>
      <c r="AF1104" t="s">
        <v>138</v>
      </c>
      <c r="AG1104">
        <v>0</v>
      </c>
      <c r="AH1104">
        <v>3</v>
      </c>
      <c r="AI1104">
        <v>2</v>
      </c>
      <c r="AJ1104">
        <v>0</v>
      </c>
      <c r="AK1104" t="s">
        <v>444</v>
      </c>
      <c r="AL1104">
        <v>38.993676000000001</v>
      </c>
      <c r="AM1104" t="s">
        <v>445</v>
      </c>
      <c r="AN1104">
        <v>-121.052577</v>
      </c>
      <c r="AO1104">
        <v>25</v>
      </c>
      <c r="AP1104">
        <v>3300</v>
      </c>
      <c r="AQ1104" t="s">
        <v>131</v>
      </c>
      <c r="AR1104">
        <v>6</v>
      </c>
      <c r="AS1104">
        <v>78</v>
      </c>
      <c r="AT1104">
        <v>576</v>
      </c>
      <c r="BB1104" t="str">
        <f t="shared" si="434"/>
        <v>1200</v>
      </c>
      <c r="BC1104">
        <v>1</v>
      </c>
      <c r="BD1104" t="str">
        <f t="shared" si="435"/>
        <v xml:space="preserve">N52156  </v>
      </c>
      <c r="BE1104">
        <v>1</v>
      </c>
      <c r="BG1104">
        <v>0</v>
      </c>
      <c r="BH1104">
        <v>0</v>
      </c>
      <c r="BI1104">
        <v>0</v>
      </c>
      <c r="BJ1104">
        <v>3275</v>
      </c>
      <c r="BK1104">
        <v>-25</v>
      </c>
      <c r="BL1104" t="s">
        <v>188</v>
      </c>
      <c r="BM1104">
        <v>1</v>
      </c>
      <c r="BN1104">
        <v>1</v>
      </c>
      <c r="BO1104">
        <v>0</v>
      </c>
      <c r="BP1104">
        <v>0</v>
      </c>
      <c r="BS1104">
        <v>0</v>
      </c>
      <c r="BT1104">
        <v>0</v>
      </c>
      <c r="BU1104">
        <v>0</v>
      </c>
      <c r="CE1104" t="str">
        <f t="shared" si="439"/>
        <v>15:07:35.937</v>
      </c>
      <c r="CF1104">
        <v>937203736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4</v>
      </c>
      <c r="CY1104">
        <v>7</v>
      </c>
      <c r="CZ1104" t="s">
        <v>133</v>
      </c>
      <c r="DA1104">
        <v>275</v>
      </c>
      <c r="DB1104">
        <v>0</v>
      </c>
      <c r="DC1104" t="s">
        <v>134</v>
      </c>
      <c r="DD1104" t="s">
        <v>135</v>
      </c>
      <c r="DG1104">
        <v>3319787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"05/01/2025 15:07:36.181"</f>
        <v>05/01/2025 15:07:36.181</v>
      </c>
      <c r="C1105" t="str">
        <f t="shared" si="432"/>
        <v>FFDFD3C0</v>
      </c>
      <c r="D1105" t="s">
        <v>124</v>
      </c>
      <c r="E1105" t="str">
        <f>"06"</f>
        <v>06</v>
      </c>
      <c r="F1105">
        <v>2006</v>
      </c>
      <c r="G1105" t="s">
        <v>125</v>
      </c>
      <c r="J1105" t="s">
        <v>126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R1105" t="s">
        <v>127</v>
      </c>
      <c r="S1105" t="str">
        <f t="shared" si="438"/>
        <v>15:07:35.000</v>
      </c>
      <c r="T1105" t="str">
        <f t="shared" si="438"/>
        <v>15:07:35.000</v>
      </c>
      <c r="U1105" t="str">
        <f t="shared" si="433"/>
        <v>A68FCB</v>
      </c>
      <c r="V1105">
        <v>0</v>
      </c>
      <c r="W1105">
        <v>0</v>
      </c>
      <c r="X1105">
        <v>2</v>
      </c>
      <c r="Y1105">
        <v>0</v>
      </c>
      <c r="AA1105">
        <v>1</v>
      </c>
      <c r="AB1105">
        <v>8</v>
      </c>
      <c r="AC1105">
        <v>3</v>
      </c>
      <c r="AD1105">
        <v>0</v>
      </c>
      <c r="AE1105">
        <v>9</v>
      </c>
      <c r="AF1105" t="s">
        <v>138</v>
      </c>
      <c r="AG1105">
        <v>0</v>
      </c>
      <c r="AH1105">
        <v>3</v>
      </c>
      <c r="AI1105">
        <v>2</v>
      </c>
      <c r="AJ1105">
        <v>0</v>
      </c>
      <c r="AK1105" t="s">
        <v>444</v>
      </c>
      <c r="AL1105">
        <v>38.993676000000001</v>
      </c>
      <c r="AM1105" t="s">
        <v>445</v>
      </c>
      <c r="AN1105">
        <v>-121.052577</v>
      </c>
      <c r="AO1105">
        <v>25</v>
      </c>
      <c r="AP1105">
        <v>3300</v>
      </c>
      <c r="AQ1105" t="s">
        <v>131</v>
      </c>
      <c r="AR1105">
        <v>6</v>
      </c>
      <c r="AS1105">
        <v>78</v>
      </c>
      <c r="AT1105">
        <v>576</v>
      </c>
      <c r="BB1105" t="str">
        <f t="shared" si="434"/>
        <v>1200</v>
      </c>
      <c r="BC1105">
        <v>1</v>
      </c>
      <c r="BD1105" t="str">
        <f t="shared" si="435"/>
        <v xml:space="preserve">N52156  </v>
      </c>
      <c r="BE1105">
        <v>1</v>
      </c>
      <c r="BG1105">
        <v>0</v>
      </c>
      <c r="BH1105">
        <v>0</v>
      </c>
      <c r="BI1105">
        <v>0</v>
      </c>
      <c r="BJ1105">
        <v>3275</v>
      </c>
      <c r="BK1105">
        <v>-25</v>
      </c>
      <c r="BL1105" t="s">
        <v>188</v>
      </c>
      <c r="BM1105">
        <v>1</v>
      </c>
      <c r="BN1105">
        <v>1</v>
      </c>
      <c r="BO1105">
        <v>0</v>
      </c>
      <c r="BP1105">
        <v>0</v>
      </c>
      <c r="BS1105">
        <v>0</v>
      </c>
      <c r="BT1105">
        <v>0</v>
      </c>
      <c r="BU1105">
        <v>0</v>
      </c>
      <c r="CE1105" t="str">
        <f t="shared" si="439"/>
        <v>15:07:35.937</v>
      </c>
      <c r="CF1105">
        <v>937203736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133</v>
      </c>
      <c r="DA1105">
        <v>275</v>
      </c>
      <c r="DB1105">
        <v>0</v>
      </c>
      <c r="DC1105" t="s">
        <v>134</v>
      </c>
      <c r="DD1105" t="s">
        <v>135</v>
      </c>
      <c r="DG1105">
        <v>3319787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"05/01/2025 15:07:37.075"</f>
        <v>05/01/2025 15:07:37.075</v>
      </c>
      <c r="C1106" t="str">
        <f t="shared" si="432"/>
        <v>FFDFD3C0</v>
      </c>
      <c r="D1106" t="s">
        <v>140</v>
      </c>
      <c r="E1106" t="str">
        <f>"13"</f>
        <v>13</v>
      </c>
      <c r="F1106">
        <v>1019</v>
      </c>
      <c r="G1106" t="s">
        <v>141</v>
      </c>
      <c r="J1106" t="s">
        <v>142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R1106" t="s">
        <v>127</v>
      </c>
      <c r="S1106" t="str">
        <f t="shared" ref="S1106:T1111" si="440">"15:07:36.000"</f>
        <v>15:07:36.000</v>
      </c>
      <c r="T1106" t="str">
        <f t="shared" si="440"/>
        <v>15:07:36.000</v>
      </c>
      <c r="U1106" t="str">
        <f t="shared" si="433"/>
        <v>A68FCB</v>
      </c>
      <c r="V1106">
        <v>0</v>
      </c>
      <c r="W1106">
        <v>0</v>
      </c>
      <c r="X1106">
        <v>2</v>
      </c>
      <c r="Y1106">
        <v>0</v>
      </c>
      <c r="AA1106">
        <v>1</v>
      </c>
      <c r="AB1106">
        <v>8</v>
      </c>
      <c r="AC1106">
        <v>3</v>
      </c>
      <c r="AD1106">
        <v>0</v>
      </c>
      <c r="AE1106">
        <v>9</v>
      </c>
      <c r="AF1106" t="s">
        <v>138</v>
      </c>
      <c r="AG1106">
        <v>0</v>
      </c>
      <c r="AH1106">
        <v>3</v>
      </c>
      <c r="AI1106">
        <v>2</v>
      </c>
      <c r="AJ1106">
        <v>0</v>
      </c>
      <c r="AK1106" t="s">
        <v>446</v>
      </c>
      <c r="AL1106">
        <v>38.994039999999998</v>
      </c>
      <c r="AM1106" t="s">
        <v>447</v>
      </c>
      <c r="AN1106">
        <v>-121.05253500000001</v>
      </c>
      <c r="AO1106">
        <v>25</v>
      </c>
      <c r="AP1106">
        <v>3300</v>
      </c>
      <c r="AQ1106" t="s">
        <v>131</v>
      </c>
      <c r="AR1106">
        <v>6</v>
      </c>
      <c r="AS1106">
        <v>79</v>
      </c>
      <c r="AT1106">
        <v>576</v>
      </c>
      <c r="BB1106" t="str">
        <f t="shared" si="434"/>
        <v>1200</v>
      </c>
      <c r="BC1106">
        <v>1</v>
      </c>
      <c r="BD1106" t="str">
        <f t="shared" si="435"/>
        <v xml:space="preserve">N52156  </v>
      </c>
      <c r="BE1106">
        <v>1</v>
      </c>
      <c r="BG1106">
        <v>0</v>
      </c>
      <c r="BH1106">
        <v>0</v>
      </c>
      <c r="BI1106">
        <v>0</v>
      </c>
      <c r="BJ1106">
        <v>3275</v>
      </c>
      <c r="BK1106">
        <v>-25</v>
      </c>
      <c r="BL1106" t="s">
        <v>188</v>
      </c>
      <c r="BM1106">
        <v>1</v>
      </c>
      <c r="BN1106">
        <v>1</v>
      </c>
      <c r="BO1106">
        <v>0</v>
      </c>
      <c r="BP1106">
        <v>0</v>
      </c>
      <c r="BS1106">
        <v>0</v>
      </c>
      <c r="BT1106">
        <v>0</v>
      </c>
      <c r="BU1106">
        <v>0</v>
      </c>
      <c r="CE1106" t="str">
        <f t="shared" ref="CE1106:CE1111" si="441">"15:07:36.818"</f>
        <v>15:07:36.818</v>
      </c>
      <c r="CF1106">
        <v>818453447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133</v>
      </c>
      <c r="DA1106">
        <v>275</v>
      </c>
      <c r="DB1106">
        <v>0</v>
      </c>
      <c r="DC1106" t="s">
        <v>134</v>
      </c>
      <c r="DD1106" t="s">
        <v>135</v>
      </c>
      <c r="DG1106">
        <v>3319798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"05/01/2025 15:07:37.081"</f>
        <v>05/01/2025 15:07:37.081</v>
      </c>
      <c r="C1107" t="str">
        <f t="shared" si="432"/>
        <v>FFDFD3C0</v>
      </c>
      <c r="D1107" t="s">
        <v>145</v>
      </c>
      <c r="E1107" t="str">
        <f>"05"</f>
        <v>05</v>
      </c>
      <c r="H1107">
        <v>47</v>
      </c>
      <c r="I1107" t="s">
        <v>146</v>
      </c>
      <c r="J1107" t="s">
        <v>138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R1107" t="s">
        <v>127</v>
      </c>
      <c r="S1107" t="str">
        <f t="shared" si="440"/>
        <v>15:07:36.000</v>
      </c>
      <c r="T1107" t="str">
        <f t="shared" si="440"/>
        <v>15:07:36.000</v>
      </c>
      <c r="U1107" t="str">
        <f t="shared" si="433"/>
        <v>A68FCB</v>
      </c>
      <c r="V1107">
        <v>0</v>
      </c>
      <c r="W1107">
        <v>0</v>
      </c>
      <c r="X1107">
        <v>2</v>
      </c>
      <c r="Y1107">
        <v>0</v>
      </c>
      <c r="AA1107">
        <v>1</v>
      </c>
      <c r="AB1107">
        <v>8</v>
      </c>
      <c r="AC1107">
        <v>3</v>
      </c>
      <c r="AD1107">
        <v>0</v>
      </c>
      <c r="AE1107">
        <v>9</v>
      </c>
      <c r="AF1107" t="s">
        <v>138</v>
      </c>
      <c r="AG1107">
        <v>0</v>
      </c>
      <c r="AH1107">
        <v>3</v>
      </c>
      <c r="AI1107">
        <v>2</v>
      </c>
      <c r="AJ1107">
        <v>0</v>
      </c>
      <c r="AK1107" t="s">
        <v>446</v>
      </c>
      <c r="AL1107">
        <v>38.994039999999998</v>
      </c>
      <c r="AM1107" t="s">
        <v>447</v>
      </c>
      <c r="AN1107">
        <v>-121.05253500000001</v>
      </c>
      <c r="AO1107">
        <v>25</v>
      </c>
      <c r="AP1107">
        <v>3300</v>
      </c>
      <c r="AQ1107" t="s">
        <v>131</v>
      </c>
      <c r="AR1107">
        <v>6</v>
      </c>
      <c r="AS1107">
        <v>79</v>
      </c>
      <c r="AT1107">
        <v>576</v>
      </c>
      <c r="BB1107" t="str">
        <f t="shared" si="434"/>
        <v>1200</v>
      </c>
      <c r="BC1107">
        <v>1</v>
      </c>
      <c r="BD1107" t="str">
        <f t="shared" si="435"/>
        <v xml:space="preserve">N52156  </v>
      </c>
      <c r="BE1107">
        <v>1</v>
      </c>
      <c r="BG1107">
        <v>0</v>
      </c>
      <c r="BH1107">
        <v>0</v>
      </c>
      <c r="BI1107">
        <v>0</v>
      </c>
      <c r="BJ1107">
        <v>3275</v>
      </c>
      <c r="BK1107">
        <v>-25</v>
      </c>
      <c r="BL1107" t="s">
        <v>188</v>
      </c>
      <c r="BM1107">
        <v>1</v>
      </c>
      <c r="BN1107">
        <v>1</v>
      </c>
      <c r="BO1107">
        <v>0</v>
      </c>
      <c r="BP1107">
        <v>0</v>
      </c>
      <c r="BS1107">
        <v>0</v>
      </c>
      <c r="BT1107">
        <v>0</v>
      </c>
      <c r="BU1107">
        <v>0</v>
      </c>
      <c r="CE1107" t="str">
        <f t="shared" si="441"/>
        <v>15:07:36.818</v>
      </c>
      <c r="CF1107">
        <v>818453447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4</v>
      </c>
      <c r="CY1107">
        <v>7</v>
      </c>
      <c r="CZ1107" t="s">
        <v>133</v>
      </c>
      <c r="DA1107">
        <v>275</v>
      </c>
      <c r="DB1107">
        <v>0</v>
      </c>
      <c r="DC1107" t="s">
        <v>134</v>
      </c>
      <c r="DD1107" t="s">
        <v>135</v>
      </c>
      <c r="DG1107">
        <v>3319798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"05/01/2025 15:07:37.083"</f>
        <v>05/01/2025 15:07:37.083</v>
      </c>
      <c r="C1108" t="str">
        <f t="shared" si="432"/>
        <v>FFDFD3C0</v>
      </c>
      <c r="D1108" t="s">
        <v>124</v>
      </c>
      <c r="E1108" t="str">
        <f>"06"</f>
        <v>06</v>
      </c>
      <c r="F1108">
        <v>2006</v>
      </c>
      <c r="G1108" t="s">
        <v>125</v>
      </c>
      <c r="J1108" t="s">
        <v>126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R1108" t="s">
        <v>127</v>
      </c>
      <c r="S1108" t="str">
        <f t="shared" si="440"/>
        <v>15:07:36.000</v>
      </c>
      <c r="T1108" t="str">
        <f t="shared" si="440"/>
        <v>15:07:36.000</v>
      </c>
      <c r="U1108" t="str">
        <f t="shared" si="433"/>
        <v>A68FCB</v>
      </c>
      <c r="V1108">
        <v>0</v>
      </c>
      <c r="W1108">
        <v>0</v>
      </c>
      <c r="X1108">
        <v>2</v>
      </c>
      <c r="Y1108">
        <v>0</v>
      </c>
      <c r="AA1108">
        <v>1</v>
      </c>
      <c r="AB1108">
        <v>8</v>
      </c>
      <c r="AC1108">
        <v>3</v>
      </c>
      <c r="AD1108">
        <v>0</v>
      </c>
      <c r="AE1108">
        <v>9</v>
      </c>
      <c r="AF1108" t="s">
        <v>138</v>
      </c>
      <c r="AG1108">
        <v>0</v>
      </c>
      <c r="AH1108">
        <v>3</v>
      </c>
      <c r="AI1108">
        <v>2</v>
      </c>
      <c r="AJ1108">
        <v>0</v>
      </c>
      <c r="AK1108" t="s">
        <v>446</v>
      </c>
      <c r="AL1108">
        <v>38.994039999999998</v>
      </c>
      <c r="AM1108" t="s">
        <v>447</v>
      </c>
      <c r="AN1108">
        <v>-121.05253500000001</v>
      </c>
      <c r="AO1108">
        <v>25</v>
      </c>
      <c r="AP1108">
        <v>3300</v>
      </c>
      <c r="AQ1108" t="s">
        <v>131</v>
      </c>
      <c r="AR1108">
        <v>6</v>
      </c>
      <c r="AS1108">
        <v>79</v>
      </c>
      <c r="AT1108">
        <v>576</v>
      </c>
      <c r="BB1108" t="str">
        <f t="shared" si="434"/>
        <v>1200</v>
      </c>
      <c r="BC1108">
        <v>1</v>
      </c>
      <c r="BD1108" t="str">
        <f t="shared" si="435"/>
        <v xml:space="preserve">N52156  </v>
      </c>
      <c r="BE1108">
        <v>1</v>
      </c>
      <c r="BG1108">
        <v>0</v>
      </c>
      <c r="BH1108">
        <v>0</v>
      </c>
      <c r="BI1108">
        <v>0</v>
      </c>
      <c r="BJ1108">
        <v>3275</v>
      </c>
      <c r="BK1108">
        <v>-25</v>
      </c>
      <c r="BL1108" t="s">
        <v>188</v>
      </c>
      <c r="BM1108">
        <v>1</v>
      </c>
      <c r="BN1108">
        <v>1</v>
      </c>
      <c r="BO1108">
        <v>0</v>
      </c>
      <c r="BP1108">
        <v>0</v>
      </c>
      <c r="BS1108">
        <v>0</v>
      </c>
      <c r="BT1108">
        <v>0</v>
      </c>
      <c r="BU1108">
        <v>0</v>
      </c>
      <c r="CE1108" t="str">
        <f t="shared" si="441"/>
        <v>15:07:36.818</v>
      </c>
      <c r="CF1108">
        <v>818453447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4</v>
      </c>
      <c r="CY1108">
        <v>7</v>
      </c>
      <c r="CZ1108" t="s">
        <v>133</v>
      </c>
      <c r="DA1108">
        <v>275</v>
      </c>
      <c r="DB1108">
        <v>0</v>
      </c>
      <c r="DC1108" t="s">
        <v>134</v>
      </c>
      <c r="DD1108" t="s">
        <v>135</v>
      </c>
      <c r="DG1108">
        <v>3319798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"05/01/2025 15:07:37.085"</f>
        <v>05/01/2025 15:07:37.085</v>
      </c>
      <c r="C1109" t="str">
        <f t="shared" si="432"/>
        <v>FFDFD3C0</v>
      </c>
      <c r="D1109" t="s">
        <v>143</v>
      </c>
      <c r="E1109" t="str">
        <f>"05"</f>
        <v>05</v>
      </c>
      <c r="H1109">
        <v>172</v>
      </c>
      <c r="I1109" t="s">
        <v>141</v>
      </c>
      <c r="J1109" t="s">
        <v>144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R1109" t="s">
        <v>127</v>
      </c>
      <c r="S1109" t="str">
        <f t="shared" si="440"/>
        <v>15:07:36.000</v>
      </c>
      <c r="T1109" t="str">
        <f t="shared" si="440"/>
        <v>15:07:36.000</v>
      </c>
      <c r="U1109" t="str">
        <f t="shared" si="433"/>
        <v>A68FCB</v>
      </c>
      <c r="V1109">
        <v>0</v>
      </c>
      <c r="W1109">
        <v>0</v>
      </c>
      <c r="X1109">
        <v>2</v>
      </c>
      <c r="Y1109">
        <v>0</v>
      </c>
      <c r="AA1109">
        <v>1</v>
      </c>
      <c r="AB1109">
        <v>8</v>
      </c>
      <c r="AC1109">
        <v>3</v>
      </c>
      <c r="AD1109">
        <v>0</v>
      </c>
      <c r="AE1109">
        <v>9</v>
      </c>
      <c r="AF1109" t="s">
        <v>138</v>
      </c>
      <c r="AG1109">
        <v>0</v>
      </c>
      <c r="AH1109">
        <v>3</v>
      </c>
      <c r="AI1109">
        <v>2</v>
      </c>
      <c r="AJ1109">
        <v>0</v>
      </c>
      <c r="AK1109" t="s">
        <v>446</v>
      </c>
      <c r="AL1109">
        <v>38.994039999999998</v>
      </c>
      <c r="AM1109" t="s">
        <v>447</v>
      </c>
      <c r="AN1109">
        <v>-121.05253500000001</v>
      </c>
      <c r="AO1109">
        <v>25</v>
      </c>
      <c r="AP1109">
        <v>3300</v>
      </c>
      <c r="AQ1109" t="s">
        <v>131</v>
      </c>
      <c r="AR1109">
        <v>6</v>
      </c>
      <c r="AS1109">
        <v>79</v>
      </c>
      <c r="AT1109">
        <v>576</v>
      </c>
      <c r="BB1109" t="str">
        <f t="shared" si="434"/>
        <v>1200</v>
      </c>
      <c r="BC1109">
        <v>1</v>
      </c>
      <c r="BD1109" t="str">
        <f t="shared" si="435"/>
        <v xml:space="preserve">N52156  </v>
      </c>
      <c r="BE1109">
        <v>1</v>
      </c>
      <c r="BG1109">
        <v>0</v>
      </c>
      <c r="BH1109">
        <v>0</v>
      </c>
      <c r="BI1109">
        <v>0</v>
      </c>
      <c r="BJ1109">
        <v>3275</v>
      </c>
      <c r="BK1109">
        <v>-25</v>
      </c>
      <c r="BL1109" t="s">
        <v>188</v>
      </c>
      <c r="BM1109">
        <v>1</v>
      </c>
      <c r="BN1109">
        <v>1</v>
      </c>
      <c r="BO1109">
        <v>0</v>
      </c>
      <c r="BP1109">
        <v>0</v>
      </c>
      <c r="BS1109">
        <v>0</v>
      </c>
      <c r="BT1109">
        <v>0</v>
      </c>
      <c r="BU1109">
        <v>0</v>
      </c>
      <c r="CE1109" t="str">
        <f t="shared" si="441"/>
        <v>15:07:36.818</v>
      </c>
      <c r="CF1109">
        <v>818453447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4</v>
      </c>
      <c r="CY1109">
        <v>7</v>
      </c>
      <c r="CZ1109" t="s">
        <v>133</v>
      </c>
      <c r="DA1109">
        <v>275</v>
      </c>
      <c r="DB1109">
        <v>0</v>
      </c>
      <c r="DC1109" t="s">
        <v>134</v>
      </c>
      <c r="DD1109" t="s">
        <v>135</v>
      </c>
      <c r="DG1109">
        <v>3319798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"05/01/2025 15:07:37.086"</f>
        <v>05/01/2025 15:07:37.086</v>
      </c>
      <c r="C1110" t="str">
        <f t="shared" si="432"/>
        <v>FFDFD3C0</v>
      </c>
      <c r="D1110" t="s">
        <v>145</v>
      </c>
      <c r="E1110" t="str">
        <f>"09"</f>
        <v>09</v>
      </c>
      <c r="H1110">
        <v>51</v>
      </c>
      <c r="I1110" t="s">
        <v>147</v>
      </c>
      <c r="J1110" t="s">
        <v>138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R1110" t="s">
        <v>127</v>
      </c>
      <c r="S1110" t="str">
        <f t="shared" si="440"/>
        <v>15:07:36.000</v>
      </c>
      <c r="T1110" t="str">
        <f t="shared" si="440"/>
        <v>15:07:36.000</v>
      </c>
      <c r="U1110" t="str">
        <f t="shared" si="433"/>
        <v>A68FCB</v>
      </c>
      <c r="V1110">
        <v>0</v>
      </c>
      <c r="W1110">
        <v>0</v>
      </c>
      <c r="X1110">
        <v>2</v>
      </c>
      <c r="Y1110">
        <v>0</v>
      </c>
      <c r="AA1110">
        <v>1</v>
      </c>
      <c r="AB1110">
        <v>8</v>
      </c>
      <c r="AC1110">
        <v>3</v>
      </c>
      <c r="AD1110">
        <v>0</v>
      </c>
      <c r="AE1110">
        <v>9</v>
      </c>
      <c r="AF1110" t="s">
        <v>138</v>
      </c>
      <c r="AG1110">
        <v>0</v>
      </c>
      <c r="AH1110">
        <v>3</v>
      </c>
      <c r="AI1110">
        <v>2</v>
      </c>
      <c r="AJ1110">
        <v>0</v>
      </c>
      <c r="AK1110" t="s">
        <v>446</v>
      </c>
      <c r="AL1110">
        <v>38.994039999999998</v>
      </c>
      <c r="AM1110" t="s">
        <v>447</v>
      </c>
      <c r="AN1110">
        <v>-121.05253500000001</v>
      </c>
      <c r="AO1110">
        <v>25</v>
      </c>
      <c r="AP1110">
        <v>3300</v>
      </c>
      <c r="AQ1110" t="s">
        <v>131</v>
      </c>
      <c r="AR1110">
        <v>6</v>
      </c>
      <c r="AS1110">
        <v>79</v>
      </c>
      <c r="AT1110">
        <v>576</v>
      </c>
      <c r="BB1110" t="str">
        <f t="shared" si="434"/>
        <v>1200</v>
      </c>
      <c r="BC1110">
        <v>1</v>
      </c>
      <c r="BD1110" t="str">
        <f t="shared" si="435"/>
        <v xml:space="preserve">N52156  </v>
      </c>
      <c r="BE1110">
        <v>1</v>
      </c>
      <c r="BG1110">
        <v>0</v>
      </c>
      <c r="BH1110">
        <v>0</v>
      </c>
      <c r="BI1110">
        <v>0</v>
      </c>
      <c r="BJ1110">
        <v>3275</v>
      </c>
      <c r="BK1110">
        <v>-25</v>
      </c>
      <c r="BL1110" t="s">
        <v>188</v>
      </c>
      <c r="BM1110">
        <v>1</v>
      </c>
      <c r="BN1110">
        <v>1</v>
      </c>
      <c r="BO1110">
        <v>0</v>
      </c>
      <c r="BP1110">
        <v>0</v>
      </c>
      <c r="BS1110">
        <v>0</v>
      </c>
      <c r="BT1110">
        <v>0</v>
      </c>
      <c r="BU1110">
        <v>0</v>
      </c>
      <c r="CE1110" t="str">
        <f t="shared" si="441"/>
        <v>15:07:36.818</v>
      </c>
      <c r="CF1110">
        <v>818453447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4</v>
      </c>
      <c r="CY1110">
        <v>7</v>
      </c>
      <c r="CZ1110" t="s">
        <v>133</v>
      </c>
      <c r="DA1110">
        <v>275</v>
      </c>
      <c r="DB1110">
        <v>0</v>
      </c>
      <c r="DC1110" t="s">
        <v>134</v>
      </c>
      <c r="DD1110" t="s">
        <v>135</v>
      </c>
      <c r="DG1110">
        <v>3319798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"05/01/2025 15:07:37.093"</f>
        <v>05/01/2025 15:07:37.093</v>
      </c>
      <c r="C1111" t="str">
        <f t="shared" si="432"/>
        <v>FFDFD3C0</v>
      </c>
      <c r="D1111" t="s">
        <v>136</v>
      </c>
      <c r="E1111" t="str">
        <f>"20"</f>
        <v>20</v>
      </c>
      <c r="H1111">
        <v>400</v>
      </c>
      <c r="I1111" t="s">
        <v>137</v>
      </c>
      <c r="J1111" t="s">
        <v>138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R1111" t="s">
        <v>127</v>
      </c>
      <c r="S1111" t="str">
        <f t="shared" si="440"/>
        <v>15:07:36.000</v>
      </c>
      <c r="T1111" t="str">
        <f t="shared" si="440"/>
        <v>15:07:36.000</v>
      </c>
      <c r="U1111" t="str">
        <f t="shared" si="433"/>
        <v>A68FCB</v>
      </c>
      <c r="V1111">
        <v>0</v>
      </c>
      <c r="W1111">
        <v>0</v>
      </c>
      <c r="X1111">
        <v>2</v>
      </c>
      <c r="Y1111">
        <v>0</v>
      </c>
      <c r="AA1111">
        <v>1</v>
      </c>
      <c r="AB1111">
        <v>8</v>
      </c>
      <c r="AC1111">
        <v>3</v>
      </c>
      <c r="AD1111">
        <v>0</v>
      </c>
      <c r="AE1111">
        <v>9</v>
      </c>
      <c r="AF1111" t="s">
        <v>138</v>
      </c>
      <c r="AG1111">
        <v>0</v>
      </c>
      <c r="AH1111">
        <v>3</v>
      </c>
      <c r="AI1111">
        <v>2</v>
      </c>
      <c r="AJ1111">
        <v>0</v>
      </c>
      <c r="AK1111" t="s">
        <v>446</v>
      </c>
      <c r="AL1111">
        <v>38.994039999999998</v>
      </c>
      <c r="AM1111" t="s">
        <v>447</v>
      </c>
      <c r="AN1111">
        <v>-121.05253500000001</v>
      </c>
      <c r="AO1111">
        <v>25</v>
      </c>
      <c r="AP1111">
        <v>3300</v>
      </c>
      <c r="AQ1111" t="s">
        <v>131</v>
      </c>
      <c r="AR1111">
        <v>6</v>
      </c>
      <c r="AS1111">
        <v>79</v>
      </c>
      <c r="AT1111">
        <v>576</v>
      </c>
      <c r="BB1111" t="str">
        <f t="shared" si="434"/>
        <v>1200</v>
      </c>
      <c r="BC1111">
        <v>1</v>
      </c>
      <c r="BD1111" t="str">
        <f t="shared" si="435"/>
        <v xml:space="preserve">N52156  </v>
      </c>
      <c r="BE1111">
        <v>1</v>
      </c>
      <c r="BG1111">
        <v>0</v>
      </c>
      <c r="BH1111">
        <v>0</v>
      </c>
      <c r="BI1111">
        <v>0</v>
      </c>
      <c r="BJ1111">
        <v>3275</v>
      </c>
      <c r="BK1111">
        <v>-25</v>
      </c>
      <c r="BL1111" t="s">
        <v>188</v>
      </c>
      <c r="BM1111">
        <v>1</v>
      </c>
      <c r="BN1111">
        <v>1</v>
      </c>
      <c r="BO1111">
        <v>0</v>
      </c>
      <c r="BP1111">
        <v>0</v>
      </c>
      <c r="BS1111">
        <v>0</v>
      </c>
      <c r="BT1111">
        <v>0</v>
      </c>
      <c r="BU1111">
        <v>0</v>
      </c>
      <c r="CE1111" t="str">
        <f t="shared" si="441"/>
        <v>15:07:36.818</v>
      </c>
      <c r="CF1111">
        <v>818453447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4</v>
      </c>
      <c r="CY1111">
        <v>7</v>
      </c>
      <c r="CZ1111" t="s">
        <v>133</v>
      </c>
      <c r="DA1111">
        <v>275</v>
      </c>
      <c r="DB1111">
        <v>0</v>
      </c>
      <c r="DC1111" t="s">
        <v>134</v>
      </c>
      <c r="DD1111" t="s">
        <v>135</v>
      </c>
      <c r="DG1111">
        <v>3319798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"05/01/2025 15:07:38.144"</f>
        <v>05/01/2025 15:07:38.144</v>
      </c>
      <c r="C1112" t="str">
        <f t="shared" si="432"/>
        <v>FFDFD3C0</v>
      </c>
      <c r="D1112" t="s">
        <v>136</v>
      </c>
      <c r="E1112" t="str">
        <f>"20"</f>
        <v>20</v>
      </c>
      <c r="H1112">
        <v>400</v>
      </c>
      <c r="I1112" t="s">
        <v>137</v>
      </c>
      <c r="J1112" t="s">
        <v>138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R1112" t="s">
        <v>127</v>
      </c>
      <c r="S1112" t="str">
        <f t="shared" ref="S1112:T1117" si="442">"15:07:37.000"</f>
        <v>15:07:37.000</v>
      </c>
      <c r="T1112" t="str">
        <f t="shared" si="442"/>
        <v>15:07:37.000</v>
      </c>
      <c r="U1112" t="str">
        <f t="shared" si="433"/>
        <v>A68FCB</v>
      </c>
      <c r="V1112">
        <v>0</v>
      </c>
      <c r="W1112">
        <v>0</v>
      </c>
      <c r="X1112">
        <v>2</v>
      </c>
      <c r="Y1112">
        <v>0</v>
      </c>
      <c r="AA1112">
        <v>1</v>
      </c>
      <c r="AB1112">
        <v>8</v>
      </c>
      <c r="AC1112">
        <v>3</v>
      </c>
      <c r="AD1112">
        <v>0</v>
      </c>
      <c r="AE1112">
        <v>9</v>
      </c>
      <c r="AF1112" t="s">
        <v>138</v>
      </c>
      <c r="AG1112">
        <v>0</v>
      </c>
      <c r="AH1112">
        <v>3</v>
      </c>
      <c r="AI1112">
        <v>2</v>
      </c>
      <c r="AJ1112">
        <v>0</v>
      </c>
      <c r="AK1112" t="s">
        <v>448</v>
      </c>
      <c r="AL1112">
        <v>38.994405</v>
      </c>
      <c r="AM1112" t="s">
        <v>414</v>
      </c>
      <c r="AN1112">
        <v>-121.052492</v>
      </c>
      <c r="AO1112">
        <v>25</v>
      </c>
      <c r="AP1112">
        <v>3300</v>
      </c>
      <c r="AQ1112" t="s">
        <v>131</v>
      </c>
      <c r="AR1112">
        <v>3</v>
      </c>
      <c r="AS1112">
        <v>80</v>
      </c>
      <c r="AT1112">
        <v>512</v>
      </c>
      <c r="BB1112" t="str">
        <f t="shared" si="434"/>
        <v>1200</v>
      </c>
      <c r="BC1112">
        <v>1</v>
      </c>
      <c r="BD1112" t="str">
        <f t="shared" si="435"/>
        <v xml:space="preserve">N52156  </v>
      </c>
      <c r="BE1112">
        <v>1</v>
      </c>
      <c r="BG1112">
        <v>0</v>
      </c>
      <c r="BH1112">
        <v>0</v>
      </c>
      <c r="BI1112">
        <v>0</v>
      </c>
      <c r="BJ1112">
        <v>3275</v>
      </c>
      <c r="BK1112">
        <v>-25</v>
      </c>
      <c r="BL1112" t="s">
        <v>188</v>
      </c>
      <c r="BM1112">
        <v>1</v>
      </c>
      <c r="BN1112">
        <v>1</v>
      </c>
      <c r="BO1112">
        <v>0</v>
      </c>
      <c r="BP1112">
        <v>0</v>
      </c>
      <c r="BS1112">
        <v>0</v>
      </c>
      <c r="BT1112">
        <v>0</v>
      </c>
      <c r="BU1112">
        <v>0</v>
      </c>
      <c r="CE1112" t="str">
        <f t="shared" ref="CE1112:CE1117" si="443">"15:07:37.926"</f>
        <v>15:07:37.926</v>
      </c>
      <c r="CF1112">
        <v>926453762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4</v>
      </c>
      <c r="CY1112">
        <v>7</v>
      </c>
      <c r="CZ1112" t="s">
        <v>133</v>
      </c>
      <c r="DA1112">
        <v>275</v>
      </c>
      <c r="DB1112">
        <v>0</v>
      </c>
      <c r="DC1112" t="s">
        <v>134</v>
      </c>
      <c r="DD1112" t="s">
        <v>135</v>
      </c>
      <c r="DG1112">
        <v>3319808</v>
      </c>
      <c r="DI1112">
        <v>1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"05/01/2025 15:07:38.177"</f>
        <v>05/01/2025 15:07:38.177</v>
      </c>
      <c r="C1113" t="str">
        <f t="shared" si="432"/>
        <v>FFDFD3C0</v>
      </c>
      <c r="D1113" t="s">
        <v>140</v>
      </c>
      <c r="E1113" t="str">
        <f>"13"</f>
        <v>13</v>
      </c>
      <c r="F1113">
        <v>1019</v>
      </c>
      <c r="G1113" t="s">
        <v>141</v>
      </c>
      <c r="J1113" t="s">
        <v>142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R1113" t="s">
        <v>127</v>
      </c>
      <c r="S1113" t="str">
        <f t="shared" si="442"/>
        <v>15:07:37.000</v>
      </c>
      <c r="T1113" t="str">
        <f t="shared" si="442"/>
        <v>15:07:37.000</v>
      </c>
      <c r="U1113" t="str">
        <f t="shared" si="433"/>
        <v>A68FCB</v>
      </c>
      <c r="V1113">
        <v>0</v>
      </c>
      <c r="W1113">
        <v>0</v>
      </c>
      <c r="X1113">
        <v>2</v>
      </c>
      <c r="Y1113">
        <v>0</v>
      </c>
      <c r="AA1113">
        <v>1</v>
      </c>
      <c r="AB1113">
        <v>8</v>
      </c>
      <c r="AC1113">
        <v>3</v>
      </c>
      <c r="AD1113">
        <v>0</v>
      </c>
      <c r="AE1113">
        <v>9</v>
      </c>
      <c r="AF1113" t="s">
        <v>138</v>
      </c>
      <c r="AG1113">
        <v>0</v>
      </c>
      <c r="AH1113">
        <v>3</v>
      </c>
      <c r="AI1113">
        <v>2</v>
      </c>
      <c r="AJ1113">
        <v>0</v>
      </c>
      <c r="AK1113" t="s">
        <v>448</v>
      </c>
      <c r="AL1113">
        <v>38.994405</v>
      </c>
      <c r="AM1113" t="s">
        <v>414</v>
      </c>
      <c r="AN1113">
        <v>-121.052492</v>
      </c>
      <c r="AO1113">
        <v>25</v>
      </c>
      <c r="AP1113">
        <v>3300</v>
      </c>
      <c r="AQ1113" t="s">
        <v>131</v>
      </c>
      <c r="AR1113">
        <v>3</v>
      </c>
      <c r="AS1113">
        <v>80</v>
      </c>
      <c r="AT1113">
        <v>512</v>
      </c>
      <c r="BB1113" t="str">
        <f t="shared" si="434"/>
        <v>1200</v>
      </c>
      <c r="BC1113">
        <v>1</v>
      </c>
      <c r="BD1113" t="str">
        <f t="shared" si="435"/>
        <v xml:space="preserve">N52156  </v>
      </c>
      <c r="BE1113">
        <v>1</v>
      </c>
      <c r="BG1113">
        <v>0</v>
      </c>
      <c r="BH1113">
        <v>0</v>
      </c>
      <c r="BI1113">
        <v>0</v>
      </c>
      <c r="BJ1113">
        <v>3275</v>
      </c>
      <c r="BK1113">
        <v>-25</v>
      </c>
      <c r="BL1113" t="s">
        <v>188</v>
      </c>
      <c r="BM1113">
        <v>1</v>
      </c>
      <c r="BN1113">
        <v>1</v>
      </c>
      <c r="BO1113">
        <v>0</v>
      </c>
      <c r="BP1113">
        <v>0</v>
      </c>
      <c r="BS1113">
        <v>0</v>
      </c>
      <c r="BT1113">
        <v>0</v>
      </c>
      <c r="BU1113">
        <v>0</v>
      </c>
      <c r="CE1113" t="str">
        <f t="shared" si="443"/>
        <v>15:07:37.926</v>
      </c>
      <c r="CF1113">
        <v>926453762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4</v>
      </c>
      <c r="CY1113">
        <v>7</v>
      </c>
      <c r="CZ1113" t="s">
        <v>133</v>
      </c>
      <c r="DA1113">
        <v>275</v>
      </c>
      <c r="DB1113">
        <v>0</v>
      </c>
      <c r="DC1113" t="s">
        <v>134</v>
      </c>
      <c r="DD1113" t="s">
        <v>135</v>
      </c>
      <c r="DG1113">
        <v>3319808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"05/01/2025 15:07:38.184"</f>
        <v>05/01/2025 15:07:38.184</v>
      </c>
      <c r="C1114" t="str">
        <f t="shared" si="432"/>
        <v>FFDFD3C0</v>
      </c>
      <c r="D1114" t="s">
        <v>124</v>
      </c>
      <c r="E1114" t="str">
        <f>"06"</f>
        <v>06</v>
      </c>
      <c r="F1114">
        <v>2006</v>
      </c>
      <c r="G1114" t="s">
        <v>125</v>
      </c>
      <c r="J1114" t="s">
        <v>126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R1114" t="s">
        <v>127</v>
      </c>
      <c r="S1114" t="str">
        <f t="shared" si="442"/>
        <v>15:07:37.000</v>
      </c>
      <c r="T1114" t="str">
        <f t="shared" si="442"/>
        <v>15:07:37.000</v>
      </c>
      <c r="U1114" t="str">
        <f t="shared" si="433"/>
        <v>A68FCB</v>
      </c>
      <c r="V1114">
        <v>0</v>
      </c>
      <c r="W1114">
        <v>0</v>
      </c>
      <c r="X1114">
        <v>2</v>
      </c>
      <c r="Y1114">
        <v>0</v>
      </c>
      <c r="AA1114">
        <v>1</v>
      </c>
      <c r="AB1114">
        <v>8</v>
      </c>
      <c r="AC1114">
        <v>3</v>
      </c>
      <c r="AD1114">
        <v>0</v>
      </c>
      <c r="AE1114">
        <v>9</v>
      </c>
      <c r="AF1114" t="s">
        <v>138</v>
      </c>
      <c r="AG1114">
        <v>0</v>
      </c>
      <c r="AH1114">
        <v>3</v>
      </c>
      <c r="AI1114">
        <v>2</v>
      </c>
      <c r="AJ1114">
        <v>0</v>
      </c>
      <c r="AK1114" t="s">
        <v>448</v>
      </c>
      <c r="AL1114">
        <v>38.994405</v>
      </c>
      <c r="AM1114" t="s">
        <v>414</v>
      </c>
      <c r="AN1114">
        <v>-121.052492</v>
      </c>
      <c r="AO1114">
        <v>25</v>
      </c>
      <c r="AP1114">
        <v>3300</v>
      </c>
      <c r="AQ1114" t="s">
        <v>131</v>
      </c>
      <c r="AR1114">
        <v>3</v>
      </c>
      <c r="AS1114">
        <v>80</v>
      </c>
      <c r="AT1114">
        <v>512</v>
      </c>
      <c r="BB1114" t="str">
        <f t="shared" si="434"/>
        <v>1200</v>
      </c>
      <c r="BC1114">
        <v>1</v>
      </c>
      <c r="BD1114" t="str">
        <f t="shared" si="435"/>
        <v xml:space="preserve">N52156  </v>
      </c>
      <c r="BE1114">
        <v>1</v>
      </c>
      <c r="BG1114">
        <v>0</v>
      </c>
      <c r="BH1114">
        <v>0</v>
      </c>
      <c r="BI1114">
        <v>0</v>
      </c>
      <c r="BJ1114">
        <v>3275</v>
      </c>
      <c r="BK1114">
        <v>-25</v>
      </c>
      <c r="BL1114" t="s">
        <v>188</v>
      </c>
      <c r="BM1114">
        <v>1</v>
      </c>
      <c r="BN1114">
        <v>1</v>
      </c>
      <c r="BO1114">
        <v>0</v>
      </c>
      <c r="BP1114">
        <v>0</v>
      </c>
      <c r="BS1114">
        <v>0</v>
      </c>
      <c r="BT1114">
        <v>0</v>
      </c>
      <c r="BU1114">
        <v>0</v>
      </c>
      <c r="CE1114" t="str">
        <f t="shared" si="443"/>
        <v>15:07:37.926</v>
      </c>
      <c r="CF1114">
        <v>926453762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4</v>
      </c>
      <c r="CY1114">
        <v>7</v>
      </c>
      <c r="CZ1114" t="s">
        <v>133</v>
      </c>
      <c r="DA1114">
        <v>275</v>
      </c>
      <c r="DB1114">
        <v>0</v>
      </c>
      <c r="DC1114" t="s">
        <v>134</v>
      </c>
      <c r="DD1114" t="s">
        <v>135</v>
      </c>
      <c r="DG1114">
        <v>3319808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"05/01/2025 15:07:38.182"</f>
        <v>05/01/2025 15:07:38.182</v>
      </c>
      <c r="C1115" t="str">
        <f t="shared" si="432"/>
        <v>FFDFD3C0</v>
      </c>
      <c r="D1115" t="s">
        <v>145</v>
      </c>
      <c r="E1115" t="str">
        <f>"05"</f>
        <v>05</v>
      </c>
      <c r="H1115">
        <v>47</v>
      </c>
      <c r="I1115" t="s">
        <v>146</v>
      </c>
      <c r="J1115" t="s">
        <v>138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R1115" t="s">
        <v>127</v>
      </c>
      <c r="S1115" t="str">
        <f t="shared" si="442"/>
        <v>15:07:37.000</v>
      </c>
      <c r="T1115" t="str">
        <f t="shared" si="442"/>
        <v>15:07:37.000</v>
      </c>
      <c r="U1115" t="str">
        <f t="shared" si="433"/>
        <v>A68FCB</v>
      </c>
      <c r="V1115">
        <v>0</v>
      </c>
      <c r="W1115">
        <v>0</v>
      </c>
      <c r="X1115">
        <v>2</v>
      </c>
      <c r="Y1115">
        <v>0</v>
      </c>
      <c r="AA1115">
        <v>1</v>
      </c>
      <c r="AB1115">
        <v>8</v>
      </c>
      <c r="AC1115">
        <v>3</v>
      </c>
      <c r="AD1115">
        <v>0</v>
      </c>
      <c r="AE1115">
        <v>9</v>
      </c>
      <c r="AF1115" t="s">
        <v>138</v>
      </c>
      <c r="AG1115">
        <v>0</v>
      </c>
      <c r="AH1115">
        <v>3</v>
      </c>
      <c r="AI1115">
        <v>2</v>
      </c>
      <c r="AJ1115">
        <v>0</v>
      </c>
      <c r="AK1115" t="s">
        <v>448</v>
      </c>
      <c r="AL1115">
        <v>38.994405</v>
      </c>
      <c r="AM1115" t="s">
        <v>414</v>
      </c>
      <c r="AN1115">
        <v>-121.052492</v>
      </c>
      <c r="AO1115">
        <v>25</v>
      </c>
      <c r="AP1115">
        <v>3300</v>
      </c>
      <c r="AQ1115" t="s">
        <v>131</v>
      </c>
      <c r="AR1115">
        <v>3</v>
      </c>
      <c r="AS1115">
        <v>80</v>
      </c>
      <c r="AT1115">
        <v>512</v>
      </c>
      <c r="BB1115" t="str">
        <f t="shared" si="434"/>
        <v>1200</v>
      </c>
      <c r="BC1115">
        <v>1</v>
      </c>
      <c r="BD1115" t="str">
        <f t="shared" si="435"/>
        <v xml:space="preserve">N52156  </v>
      </c>
      <c r="BE1115">
        <v>1</v>
      </c>
      <c r="BG1115">
        <v>0</v>
      </c>
      <c r="BH1115">
        <v>0</v>
      </c>
      <c r="BI1115">
        <v>0</v>
      </c>
      <c r="BJ1115">
        <v>3275</v>
      </c>
      <c r="BK1115">
        <v>-25</v>
      </c>
      <c r="BL1115" t="s">
        <v>188</v>
      </c>
      <c r="BM1115">
        <v>1</v>
      </c>
      <c r="BN1115">
        <v>1</v>
      </c>
      <c r="BO1115">
        <v>0</v>
      </c>
      <c r="BP1115">
        <v>0</v>
      </c>
      <c r="BS1115">
        <v>0</v>
      </c>
      <c r="BT1115">
        <v>0</v>
      </c>
      <c r="BU1115">
        <v>0</v>
      </c>
      <c r="CE1115" t="str">
        <f t="shared" si="443"/>
        <v>15:07:37.926</v>
      </c>
      <c r="CF1115">
        <v>926453762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4</v>
      </c>
      <c r="CY1115">
        <v>7</v>
      </c>
      <c r="CZ1115" t="s">
        <v>133</v>
      </c>
      <c r="DA1115">
        <v>275</v>
      </c>
      <c r="DB1115">
        <v>0</v>
      </c>
      <c r="DC1115" t="s">
        <v>134</v>
      </c>
      <c r="DD1115" t="s">
        <v>135</v>
      </c>
      <c r="DG1115">
        <v>3319808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"05/01/2025 15:07:38.187"</f>
        <v>05/01/2025 15:07:38.187</v>
      </c>
      <c r="C1116" t="str">
        <f t="shared" si="432"/>
        <v>FFDFD3C0</v>
      </c>
      <c r="D1116" t="s">
        <v>143</v>
      </c>
      <c r="E1116" t="str">
        <f>"05"</f>
        <v>05</v>
      </c>
      <c r="H1116">
        <v>172</v>
      </c>
      <c r="I1116" t="s">
        <v>141</v>
      </c>
      <c r="J1116" t="s">
        <v>144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R1116" t="s">
        <v>127</v>
      </c>
      <c r="S1116" t="str">
        <f t="shared" si="442"/>
        <v>15:07:37.000</v>
      </c>
      <c r="T1116" t="str">
        <f t="shared" si="442"/>
        <v>15:07:37.000</v>
      </c>
      <c r="U1116" t="str">
        <f t="shared" si="433"/>
        <v>A68FCB</v>
      </c>
      <c r="V1116">
        <v>0</v>
      </c>
      <c r="W1116">
        <v>0</v>
      </c>
      <c r="X1116">
        <v>2</v>
      </c>
      <c r="Y1116">
        <v>0</v>
      </c>
      <c r="AA1116">
        <v>1</v>
      </c>
      <c r="AB1116">
        <v>8</v>
      </c>
      <c r="AC1116">
        <v>3</v>
      </c>
      <c r="AD1116">
        <v>0</v>
      </c>
      <c r="AE1116">
        <v>9</v>
      </c>
      <c r="AF1116" t="s">
        <v>138</v>
      </c>
      <c r="AG1116">
        <v>0</v>
      </c>
      <c r="AH1116">
        <v>3</v>
      </c>
      <c r="AI1116">
        <v>2</v>
      </c>
      <c r="AJ1116">
        <v>0</v>
      </c>
      <c r="AK1116" t="s">
        <v>448</v>
      </c>
      <c r="AL1116">
        <v>38.994405</v>
      </c>
      <c r="AM1116" t="s">
        <v>414</v>
      </c>
      <c r="AN1116">
        <v>-121.052492</v>
      </c>
      <c r="AO1116">
        <v>25</v>
      </c>
      <c r="AP1116">
        <v>3300</v>
      </c>
      <c r="AQ1116" t="s">
        <v>131</v>
      </c>
      <c r="AR1116">
        <v>3</v>
      </c>
      <c r="AS1116">
        <v>80</v>
      </c>
      <c r="AT1116">
        <v>512</v>
      </c>
      <c r="BB1116" t="str">
        <f t="shared" si="434"/>
        <v>1200</v>
      </c>
      <c r="BC1116">
        <v>1</v>
      </c>
      <c r="BD1116" t="str">
        <f t="shared" si="435"/>
        <v xml:space="preserve">N52156  </v>
      </c>
      <c r="BE1116">
        <v>1</v>
      </c>
      <c r="BG1116">
        <v>0</v>
      </c>
      <c r="BH1116">
        <v>0</v>
      </c>
      <c r="BI1116">
        <v>0</v>
      </c>
      <c r="BJ1116">
        <v>3275</v>
      </c>
      <c r="BK1116">
        <v>-25</v>
      </c>
      <c r="BL1116" t="s">
        <v>188</v>
      </c>
      <c r="BM1116">
        <v>1</v>
      </c>
      <c r="BN1116">
        <v>1</v>
      </c>
      <c r="BO1116">
        <v>0</v>
      </c>
      <c r="BP1116">
        <v>0</v>
      </c>
      <c r="BS1116">
        <v>0</v>
      </c>
      <c r="BT1116">
        <v>0</v>
      </c>
      <c r="BU1116">
        <v>0</v>
      </c>
      <c r="CE1116" t="str">
        <f t="shared" si="443"/>
        <v>15:07:37.926</v>
      </c>
      <c r="CF1116">
        <v>926453762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133</v>
      </c>
      <c r="DA1116">
        <v>275</v>
      </c>
      <c r="DB1116">
        <v>0</v>
      </c>
      <c r="DC1116" t="s">
        <v>134</v>
      </c>
      <c r="DD1116" t="s">
        <v>135</v>
      </c>
      <c r="DG1116">
        <v>3319808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"05/01/2025 15:07:38.187"</f>
        <v>05/01/2025 15:07:38.187</v>
      </c>
      <c r="C1117" t="str">
        <f t="shared" si="432"/>
        <v>FFDFD3C0</v>
      </c>
      <c r="D1117" t="s">
        <v>145</v>
      </c>
      <c r="E1117" t="str">
        <f>"09"</f>
        <v>09</v>
      </c>
      <c r="H1117">
        <v>51</v>
      </c>
      <c r="I1117" t="s">
        <v>147</v>
      </c>
      <c r="J1117" t="s">
        <v>138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R1117" t="s">
        <v>127</v>
      </c>
      <c r="S1117" t="str">
        <f t="shared" si="442"/>
        <v>15:07:37.000</v>
      </c>
      <c r="T1117" t="str">
        <f t="shared" si="442"/>
        <v>15:07:37.000</v>
      </c>
      <c r="U1117" t="str">
        <f t="shared" si="433"/>
        <v>A68FCB</v>
      </c>
      <c r="V1117">
        <v>0</v>
      </c>
      <c r="W1117">
        <v>0</v>
      </c>
      <c r="X1117">
        <v>2</v>
      </c>
      <c r="Y1117">
        <v>0</v>
      </c>
      <c r="AA1117">
        <v>1</v>
      </c>
      <c r="AB1117">
        <v>8</v>
      </c>
      <c r="AC1117">
        <v>3</v>
      </c>
      <c r="AD1117">
        <v>0</v>
      </c>
      <c r="AE1117">
        <v>9</v>
      </c>
      <c r="AF1117" t="s">
        <v>138</v>
      </c>
      <c r="AG1117">
        <v>0</v>
      </c>
      <c r="AH1117">
        <v>3</v>
      </c>
      <c r="AI1117">
        <v>2</v>
      </c>
      <c r="AJ1117">
        <v>0</v>
      </c>
      <c r="AK1117" t="s">
        <v>448</v>
      </c>
      <c r="AL1117">
        <v>38.994405</v>
      </c>
      <c r="AM1117" t="s">
        <v>414</v>
      </c>
      <c r="AN1117">
        <v>-121.052492</v>
      </c>
      <c r="AO1117">
        <v>25</v>
      </c>
      <c r="AP1117">
        <v>3300</v>
      </c>
      <c r="AQ1117" t="s">
        <v>131</v>
      </c>
      <c r="AR1117">
        <v>3</v>
      </c>
      <c r="AS1117">
        <v>80</v>
      </c>
      <c r="AT1117">
        <v>512</v>
      </c>
      <c r="BB1117" t="str">
        <f t="shared" si="434"/>
        <v>1200</v>
      </c>
      <c r="BC1117">
        <v>1</v>
      </c>
      <c r="BD1117" t="str">
        <f t="shared" si="435"/>
        <v xml:space="preserve">N52156  </v>
      </c>
      <c r="BE1117">
        <v>1</v>
      </c>
      <c r="BG1117">
        <v>0</v>
      </c>
      <c r="BH1117">
        <v>0</v>
      </c>
      <c r="BI1117">
        <v>0</v>
      </c>
      <c r="BJ1117">
        <v>3275</v>
      </c>
      <c r="BK1117">
        <v>-25</v>
      </c>
      <c r="BL1117" t="s">
        <v>188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 t="shared" si="443"/>
        <v>15:07:37.926</v>
      </c>
      <c r="CF1117">
        <v>926453762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4</v>
      </c>
      <c r="CY1117">
        <v>7</v>
      </c>
      <c r="CZ1117" t="s">
        <v>133</v>
      </c>
      <c r="DA1117">
        <v>275</v>
      </c>
      <c r="DB1117">
        <v>0</v>
      </c>
      <c r="DC1117" t="s">
        <v>134</v>
      </c>
      <c r="DD1117" t="s">
        <v>135</v>
      </c>
      <c r="DG1117">
        <v>3319808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"05/01/2025 15:07:38.428"</f>
        <v>05/01/2025 15:07:38.428</v>
      </c>
      <c r="C1118" t="str">
        <f t="shared" si="432"/>
        <v>FFDFD3C0</v>
      </c>
      <c r="D1118" t="s">
        <v>140</v>
      </c>
      <c r="E1118" t="str">
        <f>"13"</f>
        <v>13</v>
      </c>
      <c r="F1118">
        <v>1019</v>
      </c>
      <c r="G1118" t="s">
        <v>141</v>
      </c>
      <c r="J1118" t="s">
        <v>142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R1118" t="s">
        <v>127</v>
      </c>
      <c r="S1118" t="str">
        <f t="shared" ref="S1118:T1123" si="444">"15:07:38.000"</f>
        <v>15:07:38.000</v>
      </c>
      <c r="T1118" t="str">
        <f t="shared" si="444"/>
        <v>15:07:38.000</v>
      </c>
      <c r="U1118" t="str">
        <f t="shared" si="433"/>
        <v>A68FCB</v>
      </c>
      <c r="V1118">
        <v>0</v>
      </c>
      <c r="W1118">
        <v>0</v>
      </c>
      <c r="X1118">
        <v>2</v>
      </c>
      <c r="Y1118">
        <v>0</v>
      </c>
      <c r="AA1118">
        <v>1</v>
      </c>
      <c r="AB1118">
        <v>8</v>
      </c>
      <c r="AC1118">
        <v>3</v>
      </c>
      <c r="AD1118">
        <v>0</v>
      </c>
      <c r="AE1118">
        <v>9</v>
      </c>
      <c r="AF1118" t="s">
        <v>138</v>
      </c>
      <c r="AG1118">
        <v>0</v>
      </c>
      <c r="AH1118">
        <v>3</v>
      </c>
      <c r="AI1118">
        <v>2</v>
      </c>
      <c r="AJ1118">
        <v>0</v>
      </c>
      <c r="AK1118" t="s">
        <v>449</v>
      </c>
      <c r="AL1118">
        <v>38.994770000000003</v>
      </c>
      <c r="AM1118" t="s">
        <v>450</v>
      </c>
      <c r="AN1118">
        <v>-121.052449</v>
      </c>
      <c r="AO1118">
        <v>25</v>
      </c>
      <c r="AP1118">
        <v>3300</v>
      </c>
      <c r="AQ1118" t="s">
        <v>131</v>
      </c>
      <c r="AR1118">
        <v>3</v>
      </c>
      <c r="AS1118">
        <v>81</v>
      </c>
      <c r="AT1118">
        <v>448</v>
      </c>
      <c r="BB1118" t="str">
        <f t="shared" si="434"/>
        <v>1200</v>
      </c>
      <c r="BC1118">
        <v>1</v>
      </c>
      <c r="BD1118" t="str">
        <f t="shared" si="435"/>
        <v xml:space="preserve">N52156  </v>
      </c>
      <c r="BE1118">
        <v>1</v>
      </c>
      <c r="BG1118">
        <v>0</v>
      </c>
      <c r="BH1118">
        <v>0</v>
      </c>
      <c r="BI1118">
        <v>0</v>
      </c>
      <c r="BJ1118">
        <v>3300</v>
      </c>
      <c r="BK1118">
        <v>0</v>
      </c>
      <c r="BL1118" t="s">
        <v>188</v>
      </c>
      <c r="BM1118">
        <v>1</v>
      </c>
      <c r="BN1118">
        <v>1</v>
      </c>
      <c r="BO1118">
        <v>0</v>
      </c>
      <c r="BP1118">
        <v>0</v>
      </c>
      <c r="BS1118">
        <v>0</v>
      </c>
      <c r="BT1118">
        <v>0</v>
      </c>
      <c r="BU1118">
        <v>0</v>
      </c>
      <c r="CE1118" t="str">
        <f t="shared" ref="CE1118:CE1123" si="445">"15:07:38.216"</f>
        <v>15:07:38.216</v>
      </c>
      <c r="CF1118">
        <v>216452021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4</v>
      </c>
      <c r="CY1118">
        <v>7</v>
      </c>
      <c r="CZ1118" t="s">
        <v>133</v>
      </c>
      <c r="DA1118">
        <v>275</v>
      </c>
      <c r="DB1118">
        <v>0</v>
      </c>
      <c r="DC1118" t="s">
        <v>134</v>
      </c>
      <c r="DD1118" t="s">
        <v>135</v>
      </c>
      <c r="DG1118">
        <v>3319813</v>
      </c>
      <c r="DI1118">
        <v>1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"05/01/2025 15:07:38.434"</f>
        <v>05/01/2025 15:07:38.434</v>
      </c>
      <c r="C1119" t="str">
        <f t="shared" si="432"/>
        <v>FFDFD3C0</v>
      </c>
      <c r="D1119" t="s">
        <v>124</v>
      </c>
      <c r="E1119" t="str">
        <f>"06"</f>
        <v>06</v>
      </c>
      <c r="F1119">
        <v>2006</v>
      </c>
      <c r="G1119" t="s">
        <v>125</v>
      </c>
      <c r="J1119" t="s">
        <v>126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R1119" t="s">
        <v>127</v>
      </c>
      <c r="S1119" t="str">
        <f t="shared" si="444"/>
        <v>15:07:38.000</v>
      </c>
      <c r="T1119" t="str">
        <f t="shared" si="444"/>
        <v>15:07:38.000</v>
      </c>
      <c r="U1119" t="str">
        <f t="shared" si="433"/>
        <v>A68FCB</v>
      </c>
      <c r="V1119">
        <v>0</v>
      </c>
      <c r="W1119">
        <v>0</v>
      </c>
      <c r="X1119">
        <v>2</v>
      </c>
      <c r="Y1119">
        <v>0</v>
      </c>
      <c r="AA1119">
        <v>1</v>
      </c>
      <c r="AB1119">
        <v>8</v>
      </c>
      <c r="AC1119">
        <v>3</v>
      </c>
      <c r="AD1119">
        <v>0</v>
      </c>
      <c r="AE1119">
        <v>9</v>
      </c>
      <c r="AF1119" t="s">
        <v>138</v>
      </c>
      <c r="AG1119">
        <v>0</v>
      </c>
      <c r="AH1119">
        <v>3</v>
      </c>
      <c r="AI1119">
        <v>2</v>
      </c>
      <c r="AJ1119">
        <v>0</v>
      </c>
      <c r="AK1119" t="s">
        <v>449</v>
      </c>
      <c r="AL1119">
        <v>38.994770000000003</v>
      </c>
      <c r="AM1119" t="s">
        <v>450</v>
      </c>
      <c r="AN1119">
        <v>-121.052449</v>
      </c>
      <c r="AO1119">
        <v>25</v>
      </c>
      <c r="AP1119">
        <v>3300</v>
      </c>
      <c r="AQ1119" t="s">
        <v>131</v>
      </c>
      <c r="AR1119">
        <v>3</v>
      </c>
      <c r="AS1119">
        <v>81</v>
      </c>
      <c r="AT1119">
        <v>448</v>
      </c>
      <c r="BB1119" t="str">
        <f t="shared" si="434"/>
        <v>1200</v>
      </c>
      <c r="BC1119">
        <v>1</v>
      </c>
      <c r="BD1119" t="str">
        <f t="shared" si="435"/>
        <v xml:space="preserve">N52156  </v>
      </c>
      <c r="BE1119">
        <v>1</v>
      </c>
      <c r="BG1119">
        <v>0</v>
      </c>
      <c r="BH1119">
        <v>0</v>
      </c>
      <c r="BI1119">
        <v>0</v>
      </c>
      <c r="BJ1119">
        <v>3300</v>
      </c>
      <c r="BK1119">
        <v>0</v>
      </c>
      <c r="BL1119" t="s">
        <v>188</v>
      </c>
      <c r="BM1119">
        <v>1</v>
      </c>
      <c r="BN1119">
        <v>1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 t="shared" si="445"/>
        <v>15:07:38.216</v>
      </c>
      <c r="CF1119">
        <v>216452021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4</v>
      </c>
      <c r="CY1119">
        <v>7</v>
      </c>
      <c r="CZ1119" t="s">
        <v>133</v>
      </c>
      <c r="DA1119">
        <v>275</v>
      </c>
      <c r="DB1119">
        <v>0</v>
      </c>
      <c r="DC1119" t="s">
        <v>134</v>
      </c>
      <c r="DD1119" t="s">
        <v>135</v>
      </c>
      <c r="DG1119">
        <v>3319813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"05/01/2025 15:07:38.433"</f>
        <v>05/01/2025 15:07:38.433</v>
      </c>
      <c r="C1120" t="str">
        <f t="shared" si="432"/>
        <v>FFDFD3C0</v>
      </c>
      <c r="D1120" t="s">
        <v>145</v>
      </c>
      <c r="E1120" t="str">
        <f>"05"</f>
        <v>05</v>
      </c>
      <c r="H1120">
        <v>47</v>
      </c>
      <c r="I1120" t="s">
        <v>146</v>
      </c>
      <c r="J1120" t="s">
        <v>138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R1120" t="s">
        <v>127</v>
      </c>
      <c r="S1120" t="str">
        <f t="shared" si="444"/>
        <v>15:07:38.000</v>
      </c>
      <c r="T1120" t="str">
        <f t="shared" si="444"/>
        <v>15:07:38.000</v>
      </c>
      <c r="U1120" t="str">
        <f t="shared" si="433"/>
        <v>A68FCB</v>
      </c>
      <c r="V1120">
        <v>0</v>
      </c>
      <c r="W1120">
        <v>0</v>
      </c>
      <c r="X1120">
        <v>2</v>
      </c>
      <c r="Y1120">
        <v>0</v>
      </c>
      <c r="AA1120">
        <v>1</v>
      </c>
      <c r="AB1120">
        <v>8</v>
      </c>
      <c r="AC1120">
        <v>3</v>
      </c>
      <c r="AD1120">
        <v>0</v>
      </c>
      <c r="AE1120">
        <v>9</v>
      </c>
      <c r="AF1120" t="s">
        <v>138</v>
      </c>
      <c r="AG1120">
        <v>0</v>
      </c>
      <c r="AH1120">
        <v>3</v>
      </c>
      <c r="AI1120">
        <v>2</v>
      </c>
      <c r="AJ1120">
        <v>0</v>
      </c>
      <c r="AK1120" t="s">
        <v>449</v>
      </c>
      <c r="AL1120">
        <v>38.994770000000003</v>
      </c>
      <c r="AM1120" t="s">
        <v>450</v>
      </c>
      <c r="AN1120">
        <v>-121.052449</v>
      </c>
      <c r="AO1120">
        <v>25</v>
      </c>
      <c r="AP1120">
        <v>3300</v>
      </c>
      <c r="AQ1120" t="s">
        <v>131</v>
      </c>
      <c r="AR1120">
        <v>3</v>
      </c>
      <c r="AS1120">
        <v>81</v>
      </c>
      <c r="AT1120">
        <v>448</v>
      </c>
      <c r="BB1120" t="str">
        <f t="shared" si="434"/>
        <v>1200</v>
      </c>
      <c r="BC1120">
        <v>1</v>
      </c>
      <c r="BD1120" t="str">
        <f t="shared" si="435"/>
        <v xml:space="preserve">N52156  </v>
      </c>
      <c r="BE1120">
        <v>1</v>
      </c>
      <c r="BG1120">
        <v>0</v>
      </c>
      <c r="BH1120">
        <v>0</v>
      </c>
      <c r="BI1120">
        <v>0</v>
      </c>
      <c r="BJ1120">
        <v>3300</v>
      </c>
      <c r="BK1120">
        <v>0</v>
      </c>
      <c r="BL1120" t="s">
        <v>188</v>
      </c>
      <c r="BM1120">
        <v>1</v>
      </c>
      <c r="BN1120">
        <v>1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 t="shared" si="445"/>
        <v>15:07:38.216</v>
      </c>
      <c r="CF1120">
        <v>216452021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4</v>
      </c>
      <c r="CY1120">
        <v>7</v>
      </c>
      <c r="CZ1120" t="s">
        <v>133</v>
      </c>
      <c r="DA1120">
        <v>275</v>
      </c>
      <c r="DB1120">
        <v>0</v>
      </c>
      <c r="DC1120" t="s">
        <v>134</v>
      </c>
      <c r="DD1120" t="s">
        <v>135</v>
      </c>
      <c r="DG1120">
        <v>3319813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"05/01/2025 15:07:38.437"</f>
        <v>05/01/2025 15:07:38.437</v>
      </c>
      <c r="C1121" t="str">
        <f t="shared" si="432"/>
        <v>FFDFD3C0</v>
      </c>
      <c r="D1121" t="s">
        <v>143</v>
      </c>
      <c r="E1121" t="str">
        <f>"05"</f>
        <v>05</v>
      </c>
      <c r="H1121">
        <v>172</v>
      </c>
      <c r="I1121" t="s">
        <v>141</v>
      </c>
      <c r="J1121" t="s">
        <v>144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R1121" t="s">
        <v>127</v>
      </c>
      <c r="S1121" t="str">
        <f t="shared" si="444"/>
        <v>15:07:38.000</v>
      </c>
      <c r="T1121" t="str">
        <f t="shared" si="444"/>
        <v>15:07:38.000</v>
      </c>
      <c r="U1121" t="str">
        <f t="shared" si="433"/>
        <v>A68FCB</v>
      </c>
      <c r="V1121">
        <v>0</v>
      </c>
      <c r="W1121">
        <v>0</v>
      </c>
      <c r="X1121">
        <v>2</v>
      </c>
      <c r="Y1121">
        <v>0</v>
      </c>
      <c r="AA1121">
        <v>1</v>
      </c>
      <c r="AB1121">
        <v>8</v>
      </c>
      <c r="AC1121">
        <v>3</v>
      </c>
      <c r="AD1121">
        <v>0</v>
      </c>
      <c r="AE1121">
        <v>9</v>
      </c>
      <c r="AF1121" t="s">
        <v>138</v>
      </c>
      <c r="AG1121">
        <v>0</v>
      </c>
      <c r="AH1121">
        <v>3</v>
      </c>
      <c r="AI1121">
        <v>2</v>
      </c>
      <c r="AJ1121">
        <v>0</v>
      </c>
      <c r="AK1121" t="s">
        <v>449</v>
      </c>
      <c r="AL1121">
        <v>38.994770000000003</v>
      </c>
      <c r="AM1121" t="s">
        <v>450</v>
      </c>
      <c r="AN1121">
        <v>-121.052449</v>
      </c>
      <c r="AO1121">
        <v>25</v>
      </c>
      <c r="AP1121">
        <v>3300</v>
      </c>
      <c r="AQ1121" t="s">
        <v>131</v>
      </c>
      <c r="AR1121">
        <v>3</v>
      </c>
      <c r="AS1121">
        <v>81</v>
      </c>
      <c r="AT1121">
        <v>448</v>
      </c>
      <c r="BB1121" t="str">
        <f t="shared" si="434"/>
        <v>1200</v>
      </c>
      <c r="BC1121">
        <v>1</v>
      </c>
      <c r="BD1121" t="str">
        <f t="shared" si="435"/>
        <v xml:space="preserve">N52156  </v>
      </c>
      <c r="BE1121">
        <v>1</v>
      </c>
      <c r="BG1121">
        <v>0</v>
      </c>
      <c r="BH1121">
        <v>0</v>
      </c>
      <c r="BI1121">
        <v>0</v>
      </c>
      <c r="BJ1121">
        <v>3300</v>
      </c>
      <c r="BK1121">
        <v>0</v>
      </c>
      <c r="BL1121" t="s">
        <v>188</v>
      </c>
      <c r="BM1121">
        <v>1</v>
      </c>
      <c r="BN1121">
        <v>1</v>
      </c>
      <c r="BO1121">
        <v>0</v>
      </c>
      <c r="BP1121">
        <v>0</v>
      </c>
      <c r="BS1121">
        <v>0</v>
      </c>
      <c r="BT1121">
        <v>0</v>
      </c>
      <c r="BU1121">
        <v>0</v>
      </c>
      <c r="CE1121" t="str">
        <f t="shared" si="445"/>
        <v>15:07:38.216</v>
      </c>
      <c r="CF1121">
        <v>216452021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4</v>
      </c>
      <c r="CY1121">
        <v>7</v>
      </c>
      <c r="CZ1121" t="s">
        <v>133</v>
      </c>
      <c r="DA1121">
        <v>275</v>
      </c>
      <c r="DB1121">
        <v>0</v>
      </c>
      <c r="DC1121" t="s">
        <v>134</v>
      </c>
      <c r="DD1121" t="s">
        <v>135</v>
      </c>
      <c r="DG1121">
        <v>3319813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"05/01/2025 15:07:38.438"</f>
        <v>05/01/2025 15:07:38.438</v>
      </c>
      <c r="C1122" t="str">
        <f t="shared" si="432"/>
        <v>FFDFD3C0</v>
      </c>
      <c r="D1122" t="s">
        <v>145</v>
      </c>
      <c r="E1122" t="str">
        <f>"09"</f>
        <v>09</v>
      </c>
      <c r="H1122">
        <v>51</v>
      </c>
      <c r="I1122" t="s">
        <v>147</v>
      </c>
      <c r="J1122" t="s">
        <v>138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R1122" t="s">
        <v>127</v>
      </c>
      <c r="S1122" t="str">
        <f t="shared" si="444"/>
        <v>15:07:38.000</v>
      </c>
      <c r="T1122" t="str">
        <f t="shared" si="444"/>
        <v>15:07:38.000</v>
      </c>
      <c r="U1122" t="str">
        <f t="shared" si="433"/>
        <v>A68FCB</v>
      </c>
      <c r="V1122">
        <v>0</v>
      </c>
      <c r="W1122">
        <v>0</v>
      </c>
      <c r="X1122">
        <v>2</v>
      </c>
      <c r="Y1122">
        <v>0</v>
      </c>
      <c r="AA1122">
        <v>1</v>
      </c>
      <c r="AB1122">
        <v>8</v>
      </c>
      <c r="AC1122">
        <v>3</v>
      </c>
      <c r="AD1122">
        <v>0</v>
      </c>
      <c r="AE1122">
        <v>9</v>
      </c>
      <c r="AF1122" t="s">
        <v>138</v>
      </c>
      <c r="AG1122">
        <v>0</v>
      </c>
      <c r="AH1122">
        <v>3</v>
      </c>
      <c r="AI1122">
        <v>2</v>
      </c>
      <c r="AJ1122">
        <v>0</v>
      </c>
      <c r="AK1122" t="s">
        <v>449</v>
      </c>
      <c r="AL1122">
        <v>38.994770000000003</v>
      </c>
      <c r="AM1122" t="s">
        <v>450</v>
      </c>
      <c r="AN1122">
        <v>-121.052449</v>
      </c>
      <c r="AO1122">
        <v>25</v>
      </c>
      <c r="AP1122">
        <v>3300</v>
      </c>
      <c r="AQ1122" t="s">
        <v>131</v>
      </c>
      <c r="AR1122">
        <v>3</v>
      </c>
      <c r="AS1122">
        <v>81</v>
      </c>
      <c r="AT1122">
        <v>448</v>
      </c>
      <c r="BB1122" t="str">
        <f t="shared" si="434"/>
        <v>1200</v>
      </c>
      <c r="BC1122">
        <v>1</v>
      </c>
      <c r="BD1122" t="str">
        <f t="shared" si="435"/>
        <v xml:space="preserve">N52156  </v>
      </c>
      <c r="BE1122">
        <v>1</v>
      </c>
      <c r="BG1122">
        <v>0</v>
      </c>
      <c r="BH1122">
        <v>0</v>
      </c>
      <c r="BI1122">
        <v>0</v>
      </c>
      <c r="BJ1122">
        <v>3300</v>
      </c>
      <c r="BK1122">
        <v>0</v>
      </c>
      <c r="BL1122" t="s">
        <v>188</v>
      </c>
      <c r="BM1122">
        <v>1</v>
      </c>
      <c r="BN1122">
        <v>1</v>
      </c>
      <c r="BO1122">
        <v>0</v>
      </c>
      <c r="BP1122">
        <v>0</v>
      </c>
      <c r="BS1122">
        <v>0</v>
      </c>
      <c r="BT1122">
        <v>0</v>
      </c>
      <c r="BU1122">
        <v>0</v>
      </c>
      <c r="CE1122" t="str">
        <f t="shared" si="445"/>
        <v>15:07:38.216</v>
      </c>
      <c r="CF1122">
        <v>216452021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4</v>
      </c>
      <c r="CY1122">
        <v>7</v>
      </c>
      <c r="CZ1122" t="s">
        <v>133</v>
      </c>
      <c r="DA1122">
        <v>275</v>
      </c>
      <c r="DB1122">
        <v>0</v>
      </c>
      <c r="DC1122" t="s">
        <v>134</v>
      </c>
      <c r="DD1122" t="s">
        <v>135</v>
      </c>
      <c r="DG1122">
        <v>3319813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"05/01/2025 15:07:38.445"</f>
        <v>05/01/2025 15:07:38.445</v>
      </c>
      <c r="C1123" t="str">
        <f t="shared" si="432"/>
        <v>FFDFD3C0</v>
      </c>
      <c r="D1123" t="s">
        <v>136</v>
      </c>
      <c r="E1123" t="str">
        <f>"20"</f>
        <v>20</v>
      </c>
      <c r="H1123">
        <v>400</v>
      </c>
      <c r="I1123" t="s">
        <v>137</v>
      </c>
      <c r="J1123" t="s">
        <v>138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R1123" t="s">
        <v>127</v>
      </c>
      <c r="S1123" t="str">
        <f t="shared" si="444"/>
        <v>15:07:38.000</v>
      </c>
      <c r="T1123" t="str">
        <f t="shared" si="444"/>
        <v>15:07:38.000</v>
      </c>
      <c r="U1123" t="str">
        <f t="shared" si="433"/>
        <v>A68FCB</v>
      </c>
      <c r="V1123">
        <v>0</v>
      </c>
      <c r="W1123">
        <v>0</v>
      </c>
      <c r="X1123">
        <v>2</v>
      </c>
      <c r="Y1123">
        <v>0</v>
      </c>
      <c r="AA1123">
        <v>1</v>
      </c>
      <c r="AB1123">
        <v>8</v>
      </c>
      <c r="AC1123">
        <v>3</v>
      </c>
      <c r="AD1123">
        <v>0</v>
      </c>
      <c r="AE1123">
        <v>9</v>
      </c>
      <c r="AF1123" t="s">
        <v>138</v>
      </c>
      <c r="AG1123">
        <v>0</v>
      </c>
      <c r="AH1123">
        <v>3</v>
      </c>
      <c r="AI1123">
        <v>2</v>
      </c>
      <c r="AJ1123">
        <v>0</v>
      </c>
      <c r="AK1123" t="s">
        <v>449</v>
      </c>
      <c r="AL1123">
        <v>38.994770000000003</v>
      </c>
      <c r="AM1123" t="s">
        <v>450</v>
      </c>
      <c r="AN1123">
        <v>-121.052449</v>
      </c>
      <c r="AO1123">
        <v>25</v>
      </c>
      <c r="AP1123">
        <v>3300</v>
      </c>
      <c r="AQ1123" t="s">
        <v>131</v>
      </c>
      <c r="AR1123">
        <v>3</v>
      </c>
      <c r="AS1123">
        <v>81</v>
      </c>
      <c r="AT1123">
        <v>448</v>
      </c>
      <c r="BB1123" t="str">
        <f t="shared" si="434"/>
        <v>1200</v>
      </c>
      <c r="BC1123">
        <v>1</v>
      </c>
      <c r="BD1123" t="str">
        <f t="shared" si="435"/>
        <v xml:space="preserve">N52156  </v>
      </c>
      <c r="BE1123">
        <v>1</v>
      </c>
      <c r="BG1123">
        <v>0</v>
      </c>
      <c r="BH1123">
        <v>0</v>
      </c>
      <c r="BI1123">
        <v>0</v>
      </c>
      <c r="BJ1123">
        <v>3300</v>
      </c>
      <c r="BK1123">
        <v>0</v>
      </c>
      <c r="BL1123" t="s">
        <v>188</v>
      </c>
      <c r="BM1123">
        <v>1</v>
      </c>
      <c r="BN1123">
        <v>1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 t="shared" si="445"/>
        <v>15:07:38.216</v>
      </c>
      <c r="CF1123">
        <v>216452021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4</v>
      </c>
      <c r="CY1123">
        <v>7</v>
      </c>
      <c r="CZ1123" t="s">
        <v>133</v>
      </c>
      <c r="DA1123">
        <v>275</v>
      </c>
      <c r="DB1123">
        <v>0</v>
      </c>
      <c r="DC1123" t="s">
        <v>134</v>
      </c>
      <c r="DD1123" t="s">
        <v>135</v>
      </c>
      <c r="DG1123">
        <v>3319813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"05/01/2025 15:07:39.580"</f>
        <v>05/01/2025 15:07:39.580</v>
      </c>
      <c r="C1124" t="str">
        <f t="shared" si="432"/>
        <v>FFDFD3C0</v>
      </c>
      <c r="D1124" t="s">
        <v>140</v>
      </c>
      <c r="E1124" t="str">
        <f>"13"</f>
        <v>13</v>
      </c>
      <c r="F1124">
        <v>1019</v>
      </c>
      <c r="G1124" t="s">
        <v>141</v>
      </c>
      <c r="J1124" t="s">
        <v>142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R1124" t="s">
        <v>127</v>
      </c>
      <c r="S1124" t="str">
        <f t="shared" ref="S1124:T1129" si="446">"15:07:39.000"</f>
        <v>15:07:39.000</v>
      </c>
      <c r="T1124" t="str">
        <f t="shared" si="446"/>
        <v>15:07:39.000</v>
      </c>
      <c r="U1124" t="str">
        <f t="shared" si="433"/>
        <v>A68FCB</v>
      </c>
      <c r="V1124">
        <v>0</v>
      </c>
      <c r="W1124">
        <v>0</v>
      </c>
      <c r="X1124">
        <v>2</v>
      </c>
      <c r="Y1124">
        <v>0</v>
      </c>
      <c r="AA1124">
        <v>1</v>
      </c>
      <c r="AB1124">
        <v>8</v>
      </c>
      <c r="AC1124">
        <v>3</v>
      </c>
      <c r="AD1124">
        <v>0</v>
      </c>
      <c r="AE1124">
        <v>9</v>
      </c>
      <c r="AF1124" t="s">
        <v>138</v>
      </c>
      <c r="AG1124">
        <v>0</v>
      </c>
      <c r="AH1124">
        <v>3</v>
      </c>
      <c r="AI1124">
        <v>2</v>
      </c>
      <c r="AJ1124">
        <v>0</v>
      </c>
      <c r="AK1124" t="s">
        <v>451</v>
      </c>
      <c r="AL1124">
        <v>38.995156000000001</v>
      </c>
      <c r="AM1124" t="s">
        <v>450</v>
      </c>
      <c r="AN1124">
        <v>-121.052449</v>
      </c>
      <c r="AO1124">
        <v>25</v>
      </c>
      <c r="AP1124">
        <v>3300</v>
      </c>
      <c r="AQ1124" t="s">
        <v>131</v>
      </c>
      <c r="AR1124">
        <v>1</v>
      </c>
      <c r="AS1124">
        <v>82</v>
      </c>
      <c r="AT1124">
        <v>448</v>
      </c>
      <c r="BB1124" t="str">
        <f t="shared" si="434"/>
        <v>1200</v>
      </c>
      <c r="BC1124">
        <v>1</v>
      </c>
      <c r="BD1124" t="str">
        <f t="shared" si="435"/>
        <v xml:space="preserve">N52156  </v>
      </c>
      <c r="BE1124">
        <v>1</v>
      </c>
      <c r="BG1124">
        <v>0</v>
      </c>
      <c r="BH1124">
        <v>0</v>
      </c>
      <c r="BI1124">
        <v>0</v>
      </c>
      <c r="BJ1124">
        <v>3300</v>
      </c>
      <c r="BK1124">
        <v>0</v>
      </c>
      <c r="BL1124" t="s">
        <v>188</v>
      </c>
      <c r="BM1124">
        <v>1</v>
      </c>
      <c r="BN1124">
        <v>1</v>
      </c>
      <c r="BO1124">
        <v>0</v>
      </c>
      <c r="BP1124">
        <v>0</v>
      </c>
      <c r="BS1124">
        <v>0</v>
      </c>
      <c r="BT1124">
        <v>0</v>
      </c>
      <c r="BU1124">
        <v>0</v>
      </c>
      <c r="CE1124" t="str">
        <f t="shared" ref="CE1124:CE1129" si="447">"15:07:39.325"</f>
        <v>15:07:39.325</v>
      </c>
      <c r="CF1124">
        <v>325202281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4</v>
      </c>
      <c r="CY1124">
        <v>7</v>
      </c>
      <c r="CZ1124" t="s">
        <v>133</v>
      </c>
      <c r="DA1124">
        <v>275</v>
      </c>
      <c r="DB1124">
        <v>0</v>
      </c>
      <c r="DC1124" t="s">
        <v>134</v>
      </c>
      <c r="DD1124" t="s">
        <v>135</v>
      </c>
      <c r="DG1124">
        <v>3319824</v>
      </c>
      <c r="DI1124">
        <v>1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"05/01/2025 15:07:39.586"</f>
        <v>05/01/2025 15:07:39.586</v>
      </c>
      <c r="C1125" t="str">
        <f t="shared" si="432"/>
        <v>FFDFD3C0</v>
      </c>
      <c r="D1125" t="s">
        <v>124</v>
      </c>
      <c r="E1125" t="str">
        <f>"06"</f>
        <v>06</v>
      </c>
      <c r="F1125">
        <v>2006</v>
      </c>
      <c r="G1125" t="s">
        <v>125</v>
      </c>
      <c r="J1125" t="s">
        <v>126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R1125" t="s">
        <v>127</v>
      </c>
      <c r="S1125" t="str">
        <f t="shared" si="446"/>
        <v>15:07:39.000</v>
      </c>
      <c r="T1125" t="str">
        <f t="shared" si="446"/>
        <v>15:07:39.000</v>
      </c>
      <c r="U1125" t="str">
        <f t="shared" si="433"/>
        <v>A68FCB</v>
      </c>
      <c r="V1125">
        <v>0</v>
      </c>
      <c r="W1125">
        <v>0</v>
      </c>
      <c r="X1125">
        <v>2</v>
      </c>
      <c r="Y1125">
        <v>0</v>
      </c>
      <c r="AA1125">
        <v>1</v>
      </c>
      <c r="AB1125">
        <v>8</v>
      </c>
      <c r="AC1125">
        <v>3</v>
      </c>
      <c r="AD1125">
        <v>0</v>
      </c>
      <c r="AE1125">
        <v>9</v>
      </c>
      <c r="AF1125" t="s">
        <v>138</v>
      </c>
      <c r="AG1125">
        <v>0</v>
      </c>
      <c r="AH1125">
        <v>3</v>
      </c>
      <c r="AI1125">
        <v>2</v>
      </c>
      <c r="AJ1125">
        <v>0</v>
      </c>
      <c r="AK1125" t="s">
        <v>451</v>
      </c>
      <c r="AL1125">
        <v>38.995156000000001</v>
      </c>
      <c r="AM1125" t="s">
        <v>450</v>
      </c>
      <c r="AN1125">
        <v>-121.052449</v>
      </c>
      <c r="AO1125">
        <v>25</v>
      </c>
      <c r="AP1125">
        <v>3300</v>
      </c>
      <c r="AQ1125" t="s">
        <v>131</v>
      </c>
      <c r="AR1125">
        <v>1</v>
      </c>
      <c r="AS1125">
        <v>82</v>
      </c>
      <c r="AT1125">
        <v>448</v>
      </c>
      <c r="BB1125" t="str">
        <f t="shared" si="434"/>
        <v>1200</v>
      </c>
      <c r="BC1125">
        <v>1</v>
      </c>
      <c r="BD1125" t="str">
        <f t="shared" si="435"/>
        <v xml:space="preserve">N52156  </v>
      </c>
      <c r="BE1125">
        <v>1</v>
      </c>
      <c r="BG1125">
        <v>0</v>
      </c>
      <c r="BH1125">
        <v>0</v>
      </c>
      <c r="BI1125">
        <v>0</v>
      </c>
      <c r="BJ1125">
        <v>3300</v>
      </c>
      <c r="BK1125">
        <v>0</v>
      </c>
      <c r="BL1125" t="s">
        <v>188</v>
      </c>
      <c r="BM1125">
        <v>1</v>
      </c>
      <c r="BN1125">
        <v>1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 t="shared" si="447"/>
        <v>15:07:39.325</v>
      </c>
      <c r="CF1125">
        <v>325202281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4</v>
      </c>
      <c r="CY1125">
        <v>7</v>
      </c>
      <c r="CZ1125" t="s">
        <v>133</v>
      </c>
      <c r="DA1125">
        <v>275</v>
      </c>
      <c r="DB1125">
        <v>0</v>
      </c>
      <c r="DC1125" t="s">
        <v>134</v>
      </c>
      <c r="DD1125" t="s">
        <v>135</v>
      </c>
      <c r="DG1125">
        <v>3319824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"05/01/2025 15:07:39.585"</f>
        <v>05/01/2025 15:07:39.585</v>
      </c>
      <c r="C1126" t="str">
        <f t="shared" si="432"/>
        <v>FFDFD3C0</v>
      </c>
      <c r="D1126" t="s">
        <v>145</v>
      </c>
      <c r="E1126" t="str">
        <f>"05"</f>
        <v>05</v>
      </c>
      <c r="H1126">
        <v>47</v>
      </c>
      <c r="I1126" t="s">
        <v>146</v>
      </c>
      <c r="J1126" t="s">
        <v>138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R1126" t="s">
        <v>127</v>
      </c>
      <c r="S1126" t="str">
        <f t="shared" si="446"/>
        <v>15:07:39.000</v>
      </c>
      <c r="T1126" t="str">
        <f t="shared" si="446"/>
        <v>15:07:39.000</v>
      </c>
      <c r="U1126" t="str">
        <f t="shared" si="433"/>
        <v>A68FCB</v>
      </c>
      <c r="V1126">
        <v>0</v>
      </c>
      <c r="W1126">
        <v>0</v>
      </c>
      <c r="X1126">
        <v>2</v>
      </c>
      <c r="Y1126">
        <v>0</v>
      </c>
      <c r="AA1126">
        <v>1</v>
      </c>
      <c r="AB1126">
        <v>8</v>
      </c>
      <c r="AC1126">
        <v>3</v>
      </c>
      <c r="AD1126">
        <v>0</v>
      </c>
      <c r="AE1126">
        <v>9</v>
      </c>
      <c r="AF1126" t="s">
        <v>138</v>
      </c>
      <c r="AG1126">
        <v>0</v>
      </c>
      <c r="AH1126">
        <v>3</v>
      </c>
      <c r="AI1126">
        <v>2</v>
      </c>
      <c r="AJ1126">
        <v>0</v>
      </c>
      <c r="AK1126" t="s">
        <v>451</v>
      </c>
      <c r="AL1126">
        <v>38.995156000000001</v>
      </c>
      <c r="AM1126" t="s">
        <v>450</v>
      </c>
      <c r="AN1126">
        <v>-121.052449</v>
      </c>
      <c r="AO1126">
        <v>25</v>
      </c>
      <c r="AP1126">
        <v>3300</v>
      </c>
      <c r="AQ1126" t="s">
        <v>131</v>
      </c>
      <c r="AR1126">
        <v>1</v>
      </c>
      <c r="AS1126">
        <v>82</v>
      </c>
      <c r="AT1126">
        <v>448</v>
      </c>
      <c r="BB1126" t="str">
        <f t="shared" si="434"/>
        <v>1200</v>
      </c>
      <c r="BC1126">
        <v>1</v>
      </c>
      <c r="BD1126" t="str">
        <f t="shared" si="435"/>
        <v xml:space="preserve">N52156  </v>
      </c>
      <c r="BE1126">
        <v>1</v>
      </c>
      <c r="BG1126">
        <v>0</v>
      </c>
      <c r="BH1126">
        <v>0</v>
      </c>
      <c r="BI1126">
        <v>0</v>
      </c>
      <c r="BJ1126">
        <v>3300</v>
      </c>
      <c r="BK1126">
        <v>0</v>
      </c>
      <c r="BL1126" t="s">
        <v>188</v>
      </c>
      <c r="BM1126">
        <v>1</v>
      </c>
      <c r="BN1126">
        <v>1</v>
      </c>
      <c r="BO1126">
        <v>0</v>
      </c>
      <c r="BP1126">
        <v>0</v>
      </c>
      <c r="BS1126">
        <v>0</v>
      </c>
      <c r="BT1126">
        <v>0</v>
      </c>
      <c r="BU1126">
        <v>0</v>
      </c>
      <c r="CE1126" t="str">
        <f t="shared" si="447"/>
        <v>15:07:39.325</v>
      </c>
      <c r="CF1126">
        <v>325202281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4</v>
      </c>
      <c r="CY1126">
        <v>7</v>
      </c>
      <c r="CZ1126" t="s">
        <v>133</v>
      </c>
      <c r="DA1126">
        <v>275</v>
      </c>
      <c r="DB1126">
        <v>0</v>
      </c>
      <c r="DC1126" t="s">
        <v>134</v>
      </c>
      <c r="DD1126" t="s">
        <v>135</v>
      </c>
      <c r="DG1126">
        <v>3319824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"05/01/2025 15:07:39.590"</f>
        <v>05/01/2025 15:07:39.590</v>
      </c>
      <c r="C1127" t="str">
        <f t="shared" si="432"/>
        <v>FFDFD3C0</v>
      </c>
      <c r="D1127" t="s">
        <v>145</v>
      </c>
      <c r="E1127" t="str">
        <f>"09"</f>
        <v>09</v>
      </c>
      <c r="H1127">
        <v>51</v>
      </c>
      <c r="I1127" t="s">
        <v>147</v>
      </c>
      <c r="J1127" t="s">
        <v>138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R1127" t="s">
        <v>127</v>
      </c>
      <c r="S1127" t="str">
        <f t="shared" si="446"/>
        <v>15:07:39.000</v>
      </c>
      <c r="T1127" t="str">
        <f t="shared" si="446"/>
        <v>15:07:39.000</v>
      </c>
      <c r="U1127" t="str">
        <f t="shared" si="433"/>
        <v>A68FCB</v>
      </c>
      <c r="V1127">
        <v>0</v>
      </c>
      <c r="W1127">
        <v>0</v>
      </c>
      <c r="X1127">
        <v>2</v>
      </c>
      <c r="Y1127">
        <v>0</v>
      </c>
      <c r="AA1127">
        <v>1</v>
      </c>
      <c r="AB1127">
        <v>8</v>
      </c>
      <c r="AC1127">
        <v>3</v>
      </c>
      <c r="AD1127">
        <v>0</v>
      </c>
      <c r="AE1127">
        <v>9</v>
      </c>
      <c r="AF1127" t="s">
        <v>138</v>
      </c>
      <c r="AG1127">
        <v>0</v>
      </c>
      <c r="AH1127">
        <v>3</v>
      </c>
      <c r="AI1127">
        <v>2</v>
      </c>
      <c r="AJ1127">
        <v>0</v>
      </c>
      <c r="AK1127" t="s">
        <v>451</v>
      </c>
      <c r="AL1127">
        <v>38.995156000000001</v>
      </c>
      <c r="AM1127" t="s">
        <v>450</v>
      </c>
      <c r="AN1127">
        <v>-121.052449</v>
      </c>
      <c r="AO1127">
        <v>25</v>
      </c>
      <c r="AP1127">
        <v>3300</v>
      </c>
      <c r="AQ1127" t="s">
        <v>131</v>
      </c>
      <c r="AR1127">
        <v>1</v>
      </c>
      <c r="AS1127">
        <v>82</v>
      </c>
      <c r="AT1127">
        <v>448</v>
      </c>
      <c r="BB1127" t="str">
        <f t="shared" si="434"/>
        <v>1200</v>
      </c>
      <c r="BC1127">
        <v>1</v>
      </c>
      <c r="BD1127" t="str">
        <f t="shared" si="435"/>
        <v xml:space="preserve">N52156  </v>
      </c>
      <c r="BE1127">
        <v>1</v>
      </c>
      <c r="BG1127">
        <v>0</v>
      </c>
      <c r="BH1127">
        <v>0</v>
      </c>
      <c r="BI1127">
        <v>0</v>
      </c>
      <c r="BJ1127">
        <v>3300</v>
      </c>
      <c r="BK1127">
        <v>0</v>
      </c>
      <c r="BL1127" t="s">
        <v>188</v>
      </c>
      <c r="BM1127">
        <v>1</v>
      </c>
      <c r="BN1127">
        <v>1</v>
      </c>
      <c r="BO1127">
        <v>0</v>
      </c>
      <c r="BP1127">
        <v>0</v>
      </c>
      <c r="BS1127">
        <v>0</v>
      </c>
      <c r="BT1127">
        <v>0</v>
      </c>
      <c r="BU1127">
        <v>0</v>
      </c>
      <c r="CE1127" t="str">
        <f t="shared" si="447"/>
        <v>15:07:39.325</v>
      </c>
      <c r="CF1127">
        <v>325202281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4</v>
      </c>
      <c r="CY1127">
        <v>7</v>
      </c>
      <c r="CZ1127" t="s">
        <v>133</v>
      </c>
      <c r="DA1127">
        <v>275</v>
      </c>
      <c r="DB1127">
        <v>0</v>
      </c>
      <c r="DC1127" t="s">
        <v>134</v>
      </c>
      <c r="DD1127" t="s">
        <v>135</v>
      </c>
      <c r="DG1127">
        <v>3319824</v>
      </c>
      <c r="DI1127">
        <v>1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"05/01/2025 15:07:39.590"</f>
        <v>05/01/2025 15:07:39.590</v>
      </c>
      <c r="C1128" t="str">
        <f t="shared" si="432"/>
        <v>FFDFD3C0</v>
      </c>
      <c r="D1128" t="s">
        <v>143</v>
      </c>
      <c r="E1128" t="str">
        <f>"05"</f>
        <v>05</v>
      </c>
      <c r="H1128">
        <v>172</v>
      </c>
      <c r="I1128" t="s">
        <v>141</v>
      </c>
      <c r="J1128" t="s">
        <v>144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R1128" t="s">
        <v>127</v>
      </c>
      <c r="S1128" t="str">
        <f t="shared" si="446"/>
        <v>15:07:39.000</v>
      </c>
      <c r="T1128" t="str">
        <f t="shared" si="446"/>
        <v>15:07:39.000</v>
      </c>
      <c r="U1128" t="str">
        <f t="shared" si="433"/>
        <v>A68FCB</v>
      </c>
      <c r="V1128">
        <v>0</v>
      </c>
      <c r="W1128">
        <v>0</v>
      </c>
      <c r="X1128">
        <v>2</v>
      </c>
      <c r="Y1128">
        <v>0</v>
      </c>
      <c r="AA1128">
        <v>1</v>
      </c>
      <c r="AB1128">
        <v>8</v>
      </c>
      <c r="AC1128">
        <v>3</v>
      </c>
      <c r="AD1128">
        <v>0</v>
      </c>
      <c r="AE1128">
        <v>9</v>
      </c>
      <c r="AF1128" t="s">
        <v>138</v>
      </c>
      <c r="AG1128">
        <v>0</v>
      </c>
      <c r="AH1128">
        <v>3</v>
      </c>
      <c r="AI1128">
        <v>2</v>
      </c>
      <c r="AJ1128">
        <v>0</v>
      </c>
      <c r="AK1128" t="s">
        <v>451</v>
      </c>
      <c r="AL1128">
        <v>38.995156000000001</v>
      </c>
      <c r="AM1128" t="s">
        <v>450</v>
      </c>
      <c r="AN1128">
        <v>-121.052449</v>
      </c>
      <c r="AO1128">
        <v>25</v>
      </c>
      <c r="AP1128">
        <v>3300</v>
      </c>
      <c r="AQ1128" t="s">
        <v>131</v>
      </c>
      <c r="AR1128">
        <v>1</v>
      </c>
      <c r="AS1128">
        <v>82</v>
      </c>
      <c r="AT1128">
        <v>448</v>
      </c>
      <c r="BB1128" t="str">
        <f t="shared" si="434"/>
        <v>1200</v>
      </c>
      <c r="BC1128">
        <v>1</v>
      </c>
      <c r="BD1128" t="str">
        <f t="shared" si="435"/>
        <v xml:space="preserve">N52156  </v>
      </c>
      <c r="BE1128">
        <v>1</v>
      </c>
      <c r="BG1128">
        <v>0</v>
      </c>
      <c r="BH1128">
        <v>0</v>
      </c>
      <c r="BI1128">
        <v>0</v>
      </c>
      <c r="BJ1128">
        <v>3300</v>
      </c>
      <c r="BK1128">
        <v>0</v>
      </c>
      <c r="BL1128" t="s">
        <v>188</v>
      </c>
      <c r="BM1128">
        <v>1</v>
      </c>
      <c r="BN1128">
        <v>1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 t="shared" si="447"/>
        <v>15:07:39.325</v>
      </c>
      <c r="CF1128">
        <v>325202281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4</v>
      </c>
      <c r="CY1128">
        <v>7</v>
      </c>
      <c r="CZ1128" t="s">
        <v>133</v>
      </c>
      <c r="DA1128">
        <v>275</v>
      </c>
      <c r="DB1128">
        <v>0</v>
      </c>
      <c r="DC1128" t="s">
        <v>134</v>
      </c>
      <c r="DD1128" t="s">
        <v>135</v>
      </c>
      <c r="DG1128">
        <v>3319824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"05/01/2025 15:07:39.597"</f>
        <v>05/01/2025 15:07:39.597</v>
      </c>
      <c r="C1129" t="str">
        <f t="shared" si="432"/>
        <v>FFDFD3C0</v>
      </c>
      <c r="D1129" t="s">
        <v>136</v>
      </c>
      <c r="E1129" t="str">
        <f>"20"</f>
        <v>20</v>
      </c>
      <c r="H1129">
        <v>400</v>
      </c>
      <c r="I1129" t="s">
        <v>137</v>
      </c>
      <c r="J1129" t="s">
        <v>138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R1129" t="s">
        <v>127</v>
      </c>
      <c r="S1129" t="str">
        <f t="shared" si="446"/>
        <v>15:07:39.000</v>
      </c>
      <c r="T1129" t="str">
        <f t="shared" si="446"/>
        <v>15:07:39.000</v>
      </c>
      <c r="U1129" t="str">
        <f t="shared" si="433"/>
        <v>A68FCB</v>
      </c>
      <c r="V1129">
        <v>0</v>
      </c>
      <c r="W1129">
        <v>0</v>
      </c>
      <c r="X1129">
        <v>2</v>
      </c>
      <c r="Y1129">
        <v>0</v>
      </c>
      <c r="AA1129">
        <v>1</v>
      </c>
      <c r="AB1129">
        <v>8</v>
      </c>
      <c r="AC1129">
        <v>3</v>
      </c>
      <c r="AD1129">
        <v>0</v>
      </c>
      <c r="AE1129">
        <v>9</v>
      </c>
      <c r="AF1129" t="s">
        <v>138</v>
      </c>
      <c r="AG1129">
        <v>0</v>
      </c>
      <c r="AH1129">
        <v>3</v>
      </c>
      <c r="AI1129">
        <v>2</v>
      </c>
      <c r="AJ1129">
        <v>0</v>
      </c>
      <c r="AK1129" t="s">
        <v>451</v>
      </c>
      <c r="AL1129">
        <v>38.995156000000001</v>
      </c>
      <c r="AM1129" t="s">
        <v>450</v>
      </c>
      <c r="AN1129">
        <v>-121.052449</v>
      </c>
      <c r="AO1129">
        <v>25</v>
      </c>
      <c r="AP1129">
        <v>3300</v>
      </c>
      <c r="AQ1129" t="s">
        <v>131</v>
      </c>
      <c r="AR1129">
        <v>1</v>
      </c>
      <c r="AS1129">
        <v>82</v>
      </c>
      <c r="AT1129">
        <v>448</v>
      </c>
      <c r="BB1129" t="str">
        <f t="shared" si="434"/>
        <v>1200</v>
      </c>
      <c r="BC1129">
        <v>1</v>
      </c>
      <c r="BD1129" t="str">
        <f t="shared" si="435"/>
        <v xml:space="preserve">N52156  </v>
      </c>
      <c r="BE1129">
        <v>1</v>
      </c>
      <c r="BG1129">
        <v>0</v>
      </c>
      <c r="BH1129">
        <v>0</v>
      </c>
      <c r="BI1129">
        <v>0</v>
      </c>
      <c r="BJ1129">
        <v>3300</v>
      </c>
      <c r="BK1129">
        <v>0</v>
      </c>
      <c r="BL1129" t="s">
        <v>188</v>
      </c>
      <c r="BM1129">
        <v>1</v>
      </c>
      <c r="BN1129">
        <v>1</v>
      </c>
      <c r="BO1129">
        <v>0</v>
      </c>
      <c r="BP1129">
        <v>0</v>
      </c>
      <c r="BS1129">
        <v>0</v>
      </c>
      <c r="BT1129">
        <v>0</v>
      </c>
      <c r="BU1129">
        <v>0</v>
      </c>
      <c r="CE1129" t="str">
        <f t="shared" si="447"/>
        <v>15:07:39.325</v>
      </c>
      <c r="CF1129">
        <v>325202281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4</v>
      </c>
      <c r="CY1129">
        <v>7</v>
      </c>
      <c r="CZ1129" t="s">
        <v>133</v>
      </c>
      <c r="DA1129">
        <v>275</v>
      </c>
      <c r="DB1129">
        <v>0</v>
      </c>
      <c r="DC1129" t="s">
        <v>134</v>
      </c>
      <c r="DD1129" t="s">
        <v>135</v>
      </c>
      <c r="DG1129">
        <v>3319824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"05/01/2025 15:07:40.432"</f>
        <v>05/01/2025 15:07:40.432</v>
      </c>
      <c r="C1130" t="str">
        <f t="shared" si="432"/>
        <v>FFDFD3C0</v>
      </c>
      <c r="D1130" t="s">
        <v>140</v>
      </c>
      <c r="E1130" t="str">
        <f>"13"</f>
        <v>13</v>
      </c>
      <c r="F1130">
        <v>1019</v>
      </c>
      <c r="G1130" t="s">
        <v>141</v>
      </c>
      <c r="J1130" t="s">
        <v>142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R1130" t="s">
        <v>127</v>
      </c>
      <c r="S1130" t="str">
        <f t="shared" ref="S1130:T1135" si="448">"15:07:40.000"</f>
        <v>15:07:40.000</v>
      </c>
      <c r="T1130" t="str">
        <f t="shared" si="448"/>
        <v>15:07:40.000</v>
      </c>
      <c r="U1130" t="str">
        <f t="shared" si="433"/>
        <v>A68FCB</v>
      </c>
      <c r="V1130">
        <v>0</v>
      </c>
      <c r="W1130">
        <v>0</v>
      </c>
      <c r="X1130">
        <v>2</v>
      </c>
      <c r="Y1130">
        <v>0</v>
      </c>
      <c r="AA1130">
        <v>1</v>
      </c>
      <c r="AB1130">
        <v>8</v>
      </c>
      <c r="AC1130">
        <v>3</v>
      </c>
      <c r="AD1130">
        <v>0</v>
      </c>
      <c r="AE1130">
        <v>9</v>
      </c>
      <c r="AF1130" t="s">
        <v>138</v>
      </c>
      <c r="AG1130">
        <v>0</v>
      </c>
      <c r="AH1130">
        <v>3</v>
      </c>
      <c r="AI1130">
        <v>2</v>
      </c>
      <c r="AJ1130">
        <v>0</v>
      </c>
      <c r="AK1130" t="s">
        <v>452</v>
      </c>
      <c r="AL1130">
        <v>38.995542999999998</v>
      </c>
      <c r="AM1130" t="s">
        <v>450</v>
      </c>
      <c r="AN1130">
        <v>-121.052449</v>
      </c>
      <c r="AO1130">
        <v>25</v>
      </c>
      <c r="AP1130">
        <v>3300</v>
      </c>
      <c r="AQ1130" t="s">
        <v>131</v>
      </c>
      <c r="AR1130">
        <v>0</v>
      </c>
      <c r="AS1130">
        <v>83</v>
      </c>
      <c r="AT1130">
        <v>384</v>
      </c>
      <c r="BB1130" t="str">
        <f t="shared" si="434"/>
        <v>1200</v>
      </c>
      <c r="BC1130">
        <v>1</v>
      </c>
      <c r="BD1130" t="str">
        <f t="shared" si="435"/>
        <v xml:space="preserve">N52156  </v>
      </c>
      <c r="BE1130">
        <v>1</v>
      </c>
      <c r="BG1130">
        <v>0</v>
      </c>
      <c r="BH1130">
        <v>0</v>
      </c>
      <c r="BI1130">
        <v>0</v>
      </c>
      <c r="BJ1130">
        <v>3300</v>
      </c>
      <c r="BK1130">
        <v>0</v>
      </c>
      <c r="BL1130" t="s">
        <v>188</v>
      </c>
      <c r="BM1130">
        <v>1</v>
      </c>
      <c r="BN1130">
        <v>1</v>
      </c>
      <c r="BO1130">
        <v>0</v>
      </c>
      <c r="BP1130">
        <v>0</v>
      </c>
      <c r="BS1130">
        <v>0</v>
      </c>
      <c r="BT1130">
        <v>0</v>
      </c>
      <c r="BU1130">
        <v>0</v>
      </c>
      <c r="CE1130" t="str">
        <f t="shared" ref="CE1130:CE1135" si="449">"15:07:40.224"</f>
        <v>15:07:40.224</v>
      </c>
      <c r="CF1130">
        <v>224202095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4</v>
      </c>
      <c r="CY1130">
        <v>7</v>
      </c>
      <c r="CZ1130" t="s">
        <v>133</v>
      </c>
      <c r="DA1130">
        <v>275</v>
      </c>
      <c r="DB1130">
        <v>0</v>
      </c>
      <c r="DC1130" t="s">
        <v>134</v>
      </c>
      <c r="DD1130" t="s">
        <v>135</v>
      </c>
      <c r="DG1130">
        <v>3319833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"05/01/2025 15:07:40.437"</f>
        <v>05/01/2025 15:07:40.437</v>
      </c>
      <c r="C1131" t="str">
        <f t="shared" si="432"/>
        <v>FFDFD3C0</v>
      </c>
      <c r="D1131" t="s">
        <v>145</v>
      </c>
      <c r="E1131" t="str">
        <f>"05"</f>
        <v>05</v>
      </c>
      <c r="H1131">
        <v>47</v>
      </c>
      <c r="I1131" t="s">
        <v>146</v>
      </c>
      <c r="J1131" t="s">
        <v>138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R1131" t="s">
        <v>127</v>
      </c>
      <c r="S1131" t="str">
        <f t="shared" si="448"/>
        <v>15:07:40.000</v>
      </c>
      <c r="T1131" t="str">
        <f t="shared" si="448"/>
        <v>15:07:40.000</v>
      </c>
      <c r="U1131" t="str">
        <f t="shared" si="433"/>
        <v>A68FCB</v>
      </c>
      <c r="V1131">
        <v>0</v>
      </c>
      <c r="W1131">
        <v>0</v>
      </c>
      <c r="X1131">
        <v>2</v>
      </c>
      <c r="Y1131">
        <v>0</v>
      </c>
      <c r="AA1131">
        <v>1</v>
      </c>
      <c r="AB1131">
        <v>8</v>
      </c>
      <c r="AC1131">
        <v>3</v>
      </c>
      <c r="AD1131">
        <v>0</v>
      </c>
      <c r="AE1131">
        <v>9</v>
      </c>
      <c r="AF1131" t="s">
        <v>138</v>
      </c>
      <c r="AG1131">
        <v>0</v>
      </c>
      <c r="AH1131">
        <v>3</v>
      </c>
      <c r="AI1131">
        <v>2</v>
      </c>
      <c r="AJ1131">
        <v>0</v>
      </c>
      <c r="AK1131" t="s">
        <v>452</v>
      </c>
      <c r="AL1131">
        <v>38.995542999999998</v>
      </c>
      <c r="AM1131" t="s">
        <v>450</v>
      </c>
      <c r="AN1131">
        <v>-121.052449</v>
      </c>
      <c r="AO1131">
        <v>25</v>
      </c>
      <c r="AP1131">
        <v>3300</v>
      </c>
      <c r="AQ1131" t="s">
        <v>131</v>
      </c>
      <c r="AR1131">
        <v>0</v>
      </c>
      <c r="AS1131">
        <v>83</v>
      </c>
      <c r="AT1131">
        <v>384</v>
      </c>
      <c r="BB1131" t="str">
        <f t="shared" si="434"/>
        <v>1200</v>
      </c>
      <c r="BC1131">
        <v>1</v>
      </c>
      <c r="BD1131" t="str">
        <f t="shared" si="435"/>
        <v xml:space="preserve">N52156  </v>
      </c>
      <c r="BE1131">
        <v>1</v>
      </c>
      <c r="BG1131">
        <v>0</v>
      </c>
      <c r="BH1131">
        <v>0</v>
      </c>
      <c r="BI1131">
        <v>0</v>
      </c>
      <c r="BJ1131">
        <v>3300</v>
      </c>
      <c r="BK1131">
        <v>0</v>
      </c>
      <c r="BL1131" t="s">
        <v>188</v>
      </c>
      <c r="BM1131">
        <v>1</v>
      </c>
      <c r="BN1131">
        <v>1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 t="shared" si="449"/>
        <v>15:07:40.224</v>
      </c>
      <c r="CF1131">
        <v>224202095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4</v>
      </c>
      <c r="CY1131">
        <v>7</v>
      </c>
      <c r="CZ1131" t="s">
        <v>133</v>
      </c>
      <c r="DA1131">
        <v>275</v>
      </c>
      <c r="DB1131">
        <v>0</v>
      </c>
      <c r="DC1131" t="s">
        <v>134</v>
      </c>
      <c r="DD1131" t="s">
        <v>135</v>
      </c>
      <c r="DG1131">
        <v>3319833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"05/01/2025 15:07:40.438"</f>
        <v>05/01/2025 15:07:40.438</v>
      </c>
      <c r="C1132" t="str">
        <f t="shared" si="432"/>
        <v>FFDFD3C0</v>
      </c>
      <c r="D1132" t="s">
        <v>124</v>
      </c>
      <c r="E1132" t="str">
        <f>"06"</f>
        <v>06</v>
      </c>
      <c r="F1132">
        <v>2006</v>
      </c>
      <c r="G1132" t="s">
        <v>125</v>
      </c>
      <c r="J1132" t="s">
        <v>126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R1132" t="s">
        <v>127</v>
      </c>
      <c r="S1132" t="str">
        <f t="shared" si="448"/>
        <v>15:07:40.000</v>
      </c>
      <c r="T1132" t="str">
        <f t="shared" si="448"/>
        <v>15:07:40.000</v>
      </c>
      <c r="U1132" t="str">
        <f t="shared" si="433"/>
        <v>A68FCB</v>
      </c>
      <c r="V1132">
        <v>0</v>
      </c>
      <c r="W1132">
        <v>0</v>
      </c>
      <c r="X1132">
        <v>2</v>
      </c>
      <c r="Y1132">
        <v>0</v>
      </c>
      <c r="AA1132">
        <v>1</v>
      </c>
      <c r="AB1132">
        <v>8</v>
      </c>
      <c r="AC1132">
        <v>3</v>
      </c>
      <c r="AD1132">
        <v>0</v>
      </c>
      <c r="AE1132">
        <v>9</v>
      </c>
      <c r="AF1132" t="s">
        <v>138</v>
      </c>
      <c r="AG1132">
        <v>0</v>
      </c>
      <c r="AH1132">
        <v>3</v>
      </c>
      <c r="AI1132">
        <v>2</v>
      </c>
      <c r="AJ1132">
        <v>0</v>
      </c>
      <c r="AK1132" t="s">
        <v>452</v>
      </c>
      <c r="AL1132">
        <v>38.995542999999998</v>
      </c>
      <c r="AM1132" t="s">
        <v>450</v>
      </c>
      <c r="AN1132">
        <v>-121.052449</v>
      </c>
      <c r="AO1132">
        <v>25</v>
      </c>
      <c r="AP1132">
        <v>3300</v>
      </c>
      <c r="AQ1132" t="s">
        <v>131</v>
      </c>
      <c r="AR1132">
        <v>0</v>
      </c>
      <c r="AS1132">
        <v>83</v>
      </c>
      <c r="AT1132">
        <v>384</v>
      </c>
      <c r="BB1132" t="str">
        <f t="shared" si="434"/>
        <v>1200</v>
      </c>
      <c r="BC1132">
        <v>1</v>
      </c>
      <c r="BD1132" t="str">
        <f t="shared" si="435"/>
        <v xml:space="preserve">N52156  </v>
      </c>
      <c r="BE1132">
        <v>1</v>
      </c>
      <c r="BG1132">
        <v>0</v>
      </c>
      <c r="BH1132">
        <v>0</v>
      </c>
      <c r="BI1132">
        <v>0</v>
      </c>
      <c r="BJ1132">
        <v>3300</v>
      </c>
      <c r="BK1132">
        <v>0</v>
      </c>
      <c r="BL1132" t="s">
        <v>188</v>
      </c>
      <c r="BM1132">
        <v>1</v>
      </c>
      <c r="BN1132">
        <v>1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 t="shared" si="449"/>
        <v>15:07:40.224</v>
      </c>
      <c r="CF1132">
        <v>224202095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4</v>
      </c>
      <c r="CY1132">
        <v>7</v>
      </c>
      <c r="CZ1132" t="s">
        <v>133</v>
      </c>
      <c r="DA1132">
        <v>275</v>
      </c>
      <c r="DB1132">
        <v>0</v>
      </c>
      <c r="DC1132" t="s">
        <v>134</v>
      </c>
      <c r="DD1132" t="s">
        <v>135</v>
      </c>
      <c r="DG1132">
        <v>3319833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"05/01/2025 15:07:40.441"</f>
        <v>05/01/2025 15:07:40.441</v>
      </c>
      <c r="C1133" t="str">
        <f t="shared" si="432"/>
        <v>FFDFD3C0</v>
      </c>
      <c r="D1133" t="s">
        <v>143</v>
      </c>
      <c r="E1133" t="str">
        <f>"05"</f>
        <v>05</v>
      </c>
      <c r="H1133">
        <v>172</v>
      </c>
      <c r="I1133" t="s">
        <v>141</v>
      </c>
      <c r="J1133" t="s">
        <v>144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R1133" t="s">
        <v>127</v>
      </c>
      <c r="S1133" t="str">
        <f t="shared" si="448"/>
        <v>15:07:40.000</v>
      </c>
      <c r="T1133" t="str">
        <f t="shared" si="448"/>
        <v>15:07:40.000</v>
      </c>
      <c r="U1133" t="str">
        <f t="shared" si="433"/>
        <v>A68FCB</v>
      </c>
      <c r="V1133">
        <v>0</v>
      </c>
      <c r="W1133">
        <v>0</v>
      </c>
      <c r="X1133">
        <v>2</v>
      </c>
      <c r="Y1133">
        <v>0</v>
      </c>
      <c r="AA1133">
        <v>1</v>
      </c>
      <c r="AB1133">
        <v>8</v>
      </c>
      <c r="AC1133">
        <v>3</v>
      </c>
      <c r="AD1133">
        <v>0</v>
      </c>
      <c r="AE1133">
        <v>9</v>
      </c>
      <c r="AF1133" t="s">
        <v>138</v>
      </c>
      <c r="AG1133">
        <v>0</v>
      </c>
      <c r="AH1133">
        <v>3</v>
      </c>
      <c r="AI1133">
        <v>2</v>
      </c>
      <c r="AJ1133">
        <v>0</v>
      </c>
      <c r="AK1133" t="s">
        <v>452</v>
      </c>
      <c r="AL1133">
        <v>38.995542999999998</v>
      </c>
      <c r="AM1133" t="s">
        <v>450</v>
      </c>
      <c r="AN1133">
        <v>-121.052449</v>
      </c>
      <c r="AO1133">
        <v>25</v>
      </c>
      <c r="AP1133">
        <v>3300</v>
      </c>
      <c r="AQ1133" t="s">
        <v>131</v>
      </c>
      <c r="AR1133">
        <v>0</v>
      </c>
      <c r="AS1133">
        <v>83</v>
      </c>
      <c r="AT1133">
        <v>384</v>
      </c>
      <c r="BB1133" t="str">
        <f t="shared" si="434"/>
        <v>1200</v>
      </c>
      <c r="BC1133">
        <v>1</v>
      </c>
      <c r="BD1133" t="str">
        <f t="shared" si="435"/>
        <v xml:space="preserve">N52156  </v>
      </c>
      <c r="BE1133">
        <v>1</v>
      </c>
      <c r="BG1133">
        <v>0</v>
      </c>
      <c r="BH1133">
        <v>0</v>
      </c>
      <c r="BI1133">
        <v>0</v>
      </c>
      <c r="BJ1133">
        <v>3300</v>
      </c>
      <c r="BK1133">
        <v>0</v>
      </c>
      <c r="BL1133" t="s">
        <v>188</v>
      </c>
      <c r="BM1133">
        <v>1</v>
      </c>
      <c r="BN1133">
        <v>1</v>
      </c>
      <c r="BO1133">
        <v>0</v>
      </c>
      <c r="BP1133">
        <v>0</v>
      </c>
      <c r="BS1133">
        <v>0</v>
      </c>
      <c r="BT1133">
        <v>0</v>
      </c>
      <c r="BU1133">
        <v>0</v>
      </c>
      <c r="CE1133" t="str">
        <f t="shared" si="449"/>
        <v>15:07:40.224</v>
      </c>
      <c r="CF1133">
        <v>224202095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4</v>
      </c>
      <c r="CY1133">
        <v>7</v>
      </c>
      <c r="CZ1133" t="s">
        <v>133</v>
      </c>
      <c r="DA1133">
        <v>275</v>
      </c>
      <c r="DB1133">
        <v>0</v>
      </c>
      <c r="DC1133" t="s">
        <v>134</v>
      </c>
      <c r="DD1133" t="s">
        <v>135</v>
      </c>
      <c r="DG1133">
        <v>3319833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"05/01/2025 15:07:40.442"</f>
        <v>05/01/2025 15:07:40.442</v>
      </c>
      <c r="C1134" t="str">
        <f t="shared" si="432"/>
        <v>FFDFD3C0</v>
      </c>
      <c r="D1134" t="s">
        <v>145</v>
      </c>
      <c r="E1134" t="str">
        <f>"09"</f>
        <v>09</v>
      </c>
      <c r="H1134">
        <v>51</v>
      </c>
      <c r="I1134" t="s">
        <v>147</v>
      </c>
      <c r="J1134" t="s">
        <v>138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R1134" t="s">
        <v>127</v>
      </c>
      <c r="S1134" t="str">
        <f t="shared" si="448"/>
        <v>15:07:40.000</v>
      </c>
      <c r="T1134" t="str">
        <f t="shared" si="448"/>
        <v>15:07:40.000</v>
      </c>
      <c r="U1134" t="str">
        <f t="shared" si="433"/>
        <v>A68FCB</v>
      </c>
      <c r="V1134">
        <v>0</v>
      </c>
      <c r="W1134">
        <v>0</v>
      </c>
      <c r="X1134">
        <v>2</v>
      </c>
      <c r="Y1134">
        <v>0</v>
      </c>
      <c r="AA1134">
        <v>1</v>
      </c>
      <c r="AB1134">
        <v>8</v>
      </c>
      <c r="AC1134">
        <v>3</v>
      </c>
      <c r="AD1134">
        <v>0</v>
      </c>
      <c r="AE1134">
        <v>9</v>
      </c>
      <c r="AF1134" t="s">
        <v>138</v>
      </c>
      <c r="AG1134">
        <v>0</v>
      </c>
      <c r="AH1134">
        <v>3</v>
      </c>
      <c r="AI1134">
        <v>2</v>
      </c>
      <c r="AJ1134">
        <v>0</v>
      </c>
      <c r="AK1134" t="s">
        <v>452</v>
      </c>
      <c r="AL1134">
        <v>38.995542999999998</v>
      </c>
      <c r="AM1134" t="s">
        <v>450</v>
      </c>
      <c r="AN1134">
        <v>-121.052449</v>
      </c>
      <c r="AO1134">
        <v>25</v>
      </c>
      <c r="AP1134">
        <v>3300</v>
      </c>
      <c r="AQ1134" t="s">
        <v>131</v>
      </c>
      <c r="AR1134">
        <v>0</v>
      </c>
      <c r="AS1134">
        <v>83</v>
      </c>
      <c r="AT1134">
        <v>384</v>
      </c>
      <c r="BB1134" t="str">
        <f t="shared" si="434"/>
        <v>1200</v>
      </c>
      <c r="BC1134">
        <v>1</v>
      </c>
      <c r="BD1134" t="str">
        <f t="shared" si="435"/>
        <v xml:space="preserve">N52156  </v>
      </c>
      <c r="BE1134">
        <v>1</v>
      </c>
      <c r="BG1134">
        <v>0</v>
      </c>
      <c r="BH1134">
        <v>0</v>
      </c>
      <c r="BI1134">
        <v>0</v>
      </c>
      <c r="BJ1134">
        <v>3300</v>
      </c>
      <c r="BK1134">
        <v>0</v>
      </c>
      <c r="BL1134" t="s">
        <v>188</v>
      </c>
      <c r="BM1134">
        <v>1</v>
      </c>
      <c r="BN1134">
        <v>1</v>
      </c>
      <c r="BO1134">
        <v>0</v>
      </c>
      <c r="BP1134">
        <v>0</v>
      </c>
      <c r="BS1134">
        <v>0</v>
      </c>
      <c r="BT1134">
        <v>0</v>
      </c>
      <c r="BU1134">
        <v>0</v>
      </c>
      <c r="CE1134" t="str">
        <f t="shared" si="449"/>
        <v>15:07:40.224</v>
      </c>
      <c r="CF1134">
        <v>224202095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4</v>
      </c>
      <c r="CY1134">
        <v>7</v>
      </c>
      <c r="CZ1134" t="s">
        <v>133</v>
      </c>
      <c r="DA1134">
        <v>275</v>
      </c>
      <c r="DB1134">
        <v>0</v>
      </c>
      <c r="DC1134" t="s">
        <v>134</v>
      </c>
      <c r="DD1134" t="s">
        <v>135</v>
      </c>
      <c r="DG1134">
        <v>3319833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"05/01/2025 15:07:40.448"</f>
        <v>05/01/2025 15:07:40.448</v>
      </c>
      <c r="C1135" t="str">
        <f t="shared" si="432"/>
        <v>FFDFD3C0</v>
      </c>
      <c r="D1135" t="s">
        <v>136</v>
      </c>
      <c r="E1135" t="str">
        <f>"20"</f>
        <v>20</v>
      </c>
      <c r="H1135">
        <v>400</v>
      </c>
      <c r="I1135" t="s">
        <v>137</v>
      </c>
      <c r="J1135" t="s">
        <v>138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R1135" t="s">
        <v>127</v>
      </c>
      <c r="S1135" t="str">
        <f t="shared" si="448"/>
        <v>15:07:40.000</v>
      </c>
      <c r="T1135" t="str">
        <f t="shared" si="448"/>
        <v>15:07:40.000</v>
      </c>
      <c r="U1135" t="str">
        <f t="shared" si="433"/>
        <v>A68FCB</v>
      </c>
      <c r="V1135">
        <v>0</v>
      </c>
      <c r="W1135">
        <v>0</v>
      </c>
      <c r="X1135">
        <v>2</v>
      </c>
      <c r="Y1135">
        <v>0</v>
      </c>
      <c r="AA1135">
        <v>1</v>
      </c>
      <c r="AB1135">
        <v>8</v>
      </c>
      <c r="AC1135">
        <v>3</v>
      </c>
      <c r="AD1135">
        <v>0</v>
      </c>
      <c r="AE1135">
        <v>9</v>
      </c>
      <c r="AF1135" t="s">
        <v>138</v>
      </c>
      <c r="AG1135">
        <v>0</v>
      </c>
      <c r="AH1135">
        <v>3</v>
      </c>
      <c r="AI1135">
        <v>2</v>
      </c>
      <c r="AJ1135">
        <v>0</v>
      </c>
      <c r="AK1135" t="s">
        <v>452</v>
      </c>
      <c r="AL1135">
        <v>38.995542999999998</v>
      </c>
      <c r="AM1135" t="s">
        <v>450</v>
      </c>
      <c r="AN1135">
        <v>-121.052449</v>
      </c>
      <c r="AO1135">
        <v>25</v>
      </c>
      <c r="AP1135">
        <v>3300</v>
      </c>
      <c r="AQ1135" t="s">
        <v>131</v>
      </c>
      <c r="AR1135">
        <v>0</v>
      </c>
      <c r="AS1135">
        <v>83</v>
      </c>
      <c r="AT1135">
        <v>384</v>
      </c>
      <c r="BB1135" t="str">
        <f t="shared" si="434"/>
        <v>1200</v>
      </c>
      <c r="BC1135">
        <v>1</v>
      </c>
      <c r="BD1135" t="str">
        <f t="shared" si="435"/>
        <v xml:space="preserve">N52156  </v>
      </c>
      <c r="BE1135">
        <v>1</v>
      </c>
      <c r="BG1135">
        <v>0</v>
      </c>
      <c r="BH1135">
        <v>0</v>
      </c>
      <c r="BI1135">
        <v>0</v>
      </c>
      <c r="BJ1135">
        <v>3300</v>
      </c>
      <c r="BK1135">
        <v>0</v>
      </c>
      <c r="BL1135" t="s">
        <v>188</v>
      </c>
      <c r="BM1135">
        <v>1</v>
      </c>
      <c r="BN1135">
        <v>1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 t="shared" si="449"/>
        <v>15:07:40.224</v>
      </c>
      <c r="CF1135">
        <v>224202095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4</v>
      </c>
      <c r="CY1135">
        <v>7</v>
      </c>
      <c r="CZ1135" t="s">
        <v>133</v>
      </c>
      <c r="DA1135">
        <v>275</v>
      </c>
      <c r="DB1135">
        <v>0</v>
      </c>
      <c r="DC1135" t="s">
        <v>134</v>
      </c>
      <c r="DD1135" t="s">
        <v>135</v>
      </c>
      <c r="DG1135">
        <v>3319833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"05/01/2025 15:07:42.151"</f>
        <v>05/01/2025 15:07:42.151</v>
      </c>
      <c r="C1136" t="str">
        <f t="shared" si="432"/>
        <v>FFDFD3C0</v>
      </c>
      <c r="D1136" t="s">
        <v>136</v>
      </c>
      <c r="E1136" t="str">
        <f>"20"</f>
        <v>20</v>
      </c>
      <c r="H1136">
        <v>400</v>
      </c>
      <c r="I1136" t="s">
        <v>137</v>
      </c>
      <c r="J1136" t="s">
        <v>138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R1136" t="s">
        <v>127</v>
      </c>
      <c r="S1136" t="str">
        <f t="shared" ref="S1136:T1141" si="450">"15:07:41.000"</f>
        <v>15:07:41.000</v>
      </c>
      <c r="T1136" t="str">
        <f t="shared" si="450"/>
        <v>15:07:41.000</v>
      </c>
      <c r="U1136" t="str">
        <f t="shared" si="433"/>
        <v>A68FCB</v>
      </c>
      <c r="V1136">
        <v>0</v>
      </c>
      <c r="W1136">
        <v>0</v>
      </c>
      <c r="X1136">
        <v>2</v>
      </c>
      <c r="Y1136">
        <v>0</v>
      </c>
      <c r="AA1136">
        <v>1</v>
      </c>
      <c r="AB1136">
        <v>8</v>
      </c>
      <c r="AC1136">
        <v>3</v>
      </c>
      <c r="AD1136">
        <v>0</v>
      </c>
      <c r="AE1136">
        <v>9</v>
      </c>
      <c r="AF1136" t="s">
        <v>138</v>
      </c>
      <c r="AG1136">
        <v>0</v>
      </c>
      <c r="AH1136">
        <v>3</v>
      </c>
      <c r="AI1136">
        <v>2</v>
      </c>
      <c r="AJ1136">
        <v>0</v>
      </c>
      <c r="AK1136" t="s">
        <v>453</v>
      </c>
      <c r="AL1136">
        <v>38.995928999999997</v>
      </c>
      <c r="AM1136" t="s">
        <v>450</v>
      </c>
      <c r="AN1136">
        <v>-121.052449</v>
      </c>
      <c r="AO1136">
        <v>25</v>
      </c>
      <c r="AP1136">
        <v>3300</v>
      </c>
      <c r="AQ1136" t="s">
        <v>131</v>
      </c>
      <c r="AR1136">
        <v>-3</v>
      </c>
      <c r="AS1136">
        <v>85</v>
      </c>
      <c r="AT1136">
        <v>320</v>
      </c>
      <c r="BB1136" t="str">
        <f t="shared" si="434"/>
        <v>1200</v>
      </c>
      <c r="BC1136">
        <v>1</v>
      </c>
      <c r="BD1136" t="str">
        <f t="shared" si="435"/>
        <v xml:space="preserve">N52156  </v>
      </c>
      <c r="BE1136">
        <v>1</v>
      </c>
      <c r="BG1136">
        <v>0</v>
      </c>
      <c r="BH1136">
        <v>0</v>
      </c>
      <c r="BI1136">
        <v>0</v>
      </c>
      <c r="BJ1136">
        <v>3300</v>
      </c>
      <c r="BK1136">
        <v>0</v>
      </c>
      <c r="BL1136" t="s">
        <v>188</v>
      </c>
      <c r="BM1136">
        <v>1</v>
      </c>
      <c r="BN1136">
        <v>1</v>
      </c>
      <c r="BO1136">
        <v>0</v>
      </c>
      <c r="BP1136">
        <v>0</v>
      </c>
      <c r="BS1136">
        <v>0</v>
      </c>
      <c r="BT1136">
        <v>0</v>
      </c>
      <c r="BU1136">
        <v>0</v>
      </c>
      <c r="CE1136" t="str">
        <f t="shared" ref="CE1136:CE1141" si="451">"15:07:41.933"</f>
        <v>15:07:41.933</v>
      </c>
      <c r="CF1136">
        <v>932953893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5</v>
      </c>
      <c r="CY1136">
        <v>7</v>
      </c>
      <c r="CZ1136" t="s">
        <v>133</v>
      </c>
      <c r="DA1136">
        <v>275</v>
      </c>
      <c r="DB1136">
        <v>0</v>
      </c>
      <c r="DC1136" t="s">
        <v>134</v>
      </c>
      <c r="DD1136" t="s">
        <v>135</v>
      </c>
      <c r="DG1136">
        <v>3319849</v>
      </c>
      <c r="DI1136">
        <v>1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"05/01/2025 15:07:42.185"</f>
        <v>05/01/2025 15:07:42.185</v>
      </c>
      <c r="C1137" t="str">
        <f t="shared" si="432"/>
        <v>FFDFD3C0</v>
      </c>
      <c r="D1137" t="s">
        <v>140</v>
      </c>
      <c r="E1137" t="str">
        <f>"13"</f>
        <v>13</v>
      </c>
      <c r="F1137">
        <v>1019</v>
      </c>
      <c r="G1137" t="s">
        <v>141</v>
      </c>
      <c r="J1137" t="s">
        <v>142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R1137" t="s">
        <v>127</v>
      </c>
      <c r="S1137" t="str">
        <f t="shared" si="450"/>
        <v>15:07:41.000</v>
      </c>
      <c r="T1137" t="str">
        <f t="shared" si="450"/>
        <v>15:07:41.000</v>
      </c>
      <c r="U1137" t="str">
        <f t="shared" si="433"/>
        <v>A68FCB</v>
      </c>
      <c r="V1137">
        <v>0</v>
      </c>
      <c r="W1137">
        <v>0</v>
      </c>
      <c r="X1137">
        <v>2</v>
      </c>
      <c r="Y1137">
        <v>0</v>
      </c>
      <c r="AA1137">
        <v>1</v>
      </c>
      <c r="AB1137">
        <v>8</v>
      </c>
      <c r="AC1137">
        <v>3</v>
      </c>
      <c r="AD1137">
        <v>0</v>
      </c>
      <c r="AE1137">
        <v>9</v>
      </c>
      <c r="AF1137" t="s">
        <v>138</v>
      </c>
      <c r="AG1137">
        <v>0</v>
      </c>
      <c r="AH1137">
        <v>3</v>
      </c>
      <c r="AI1137">
        <v>2</v>
      </c>
      <c r="AJ1137">
        <v>0</v>
      </c>
      <c r="AK1137" t="s">
        <v>453</v>
      </c>
      <c r="AL1137">
        <v>38.995928999999997</v>
      </c>
      <c r="AM1137" t="s">
        <v>450</v>
      </c>
      <c r="AN1137">
        <v>-121.052449</v>
      </c>
      <c r="AO1137">
        <v>25</v>
      </c>
      <c r="AP1137">
        <v>3300</v>
      </c>
      <c r="AQ1137" t="s">
        <v>131</v>
      </c>
      <c r="AR1137">
        <v>-3</v>
      </c>
      <c r="AS1137">
        <v>85</v>
      </c>
      <c r="AT1137">
        <v>320</v>
      </c>
      <c r="BB1137" t="str">
        <f t="shared" si="434"/>
        <v>1200</v>
      </c>
      <c r="BC1137">
        <v>1</v>
      </c>
      <c r="BD1137" t="str">
        <f t="shared" si="435"/>
        <v xml:space="preserve">N52156  </v>
      </c>
      <c r="BE1137">
        <v>1</v>
      </c>
      <c r="BG1137">
        <v>0</v>
      </c>
      <c r="BH1137">
        <v>0</v>
      </c>
      <c r="BI1137">
        <v>0</v>
      </c>
      <c r="BJ1137">
        <v>3300</v>
      </c>
      <c r="BK1137">
        <v>0</v>
      </c>
      <c r="BL1137" t="s">
        <v>188</v>
      </c>
      <c r="BM1137">
        <v>1</v>
      </c>
      <c r="BN1137">
        <v>1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 t="shared" si="451"/>
        <v>15:07:41.933</v>
      </c>
      <c r="CF1137">
        <v>932953893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133</v>
      </c>
      <c r="DA1137">
        <v>275</v>
      </c>
      <c r="DB1137">
        <v>0</v>
      </c>
      <c r="DC1137" t="s">
        <v>134</v>
      </c>
      <c r="DD1137" t="s">
        <v>135</v>
      </c>
      <c r="DG1137">
        <v>3319849</v>
      </c>
      <c r="DI1137">
        <v>1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"05/01/2025 15:07:42.190"</f>
        <v>05/01/2025 15:07:42.190</v>
      </c>
      <c r="C1138" t="str">
        <f t="shared" si="432"/>
        <v>FFDFD3C0</v>
      </c>
      <c r="D1138" t="s">
        <v>145</v>
      </c>
      <c r="E1138" t="str">
        <f>"05"</f>
        <v>05</v>
      </c>
      <c r="H1138">
        <v>47</v>
      </c>
      <c r="I1138" t="s">
        <v>146</v>
      </c>
      <c r="J1138" t="s">
        <v>138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R1138" t="s">
        <v>127</v>
      </c>
      <c r="S1138" t="str">
        <f t="shared" si="450"/>
        <v>15:07:41.000</v>
      </c>
      <c r="T1138" t="str">
        <f t="shared" si="450"/>
        <v>15:07:41.000</v>
      </c>
      <c r="U1138" t="str">
        <f t="shared" si="433"/>
        <v>A68FCB</v>
      </c>
      <c r="V1138">
        <v>0</v>
      </c>
      <c r="W1138">
        <v>0</v>
      </c>
      <c r="X1138">
        <v>2</v>
      </c>
      <c r="Y1138">
        <v>0</v>
      </c>
      <c r="AA1138">
        <v>1</v>
      </c>
      <c r="AB1138">
        <v>8</v>
      </c>
      <c r="AC1138">
        <v>3</v>
      </c>
      <c r="AD1138">
        <v>0</v>
      </c>
      <c r="AE1138">
        <v>9</v>
      </c>
      <c r="AF1138" t="s">
        <v>138</v>
      </c>
      <c r="AG1138">
        <v>0</v>
      </c>
      <c r="AH1138">
        <v>3</v>
      </c>
      <c r="AI1138">
        <v>2</v>
      </c>
      <c r="AJ1138">
        <v>0</v>
      </c>
      <c r="AK1138" t="s">
        <v>453</v>
      </c>
      <c r="AL1138">
        <v>38.995928999999997</v>
      </c>
      <c r="AM1138" t="s">
        <v>450</v>
      </c>
      <c r="AN1138">
        <v>-121.052449</v>
      </c>
      <c r="AO1138">
        <v>25</v>
      </c>
      <c r="AP1138">
        <v>3300</v>
      </c>
      <c r="AQ1138" t="s">
        <v>131</v>
      </c>
      <c r="AR1138">
        <v>-3</v>
      </c>
      <c r="AS1138">
        <v>85</v>
      </c>
      <c r="AT1138">
        <v>320</v>
      </c>
      <c r="BB1138" t="str">
        <f t="shared" si="434"/>
        <v>1200</v>
      </c>
      <c r="BC1138">
        <v>1</v>
      </c>
      <c r="BD1138" t="str">
        <f t="shared" si="435"/>
        <v xml:space="preserve">N52156  </v>
      </c>
      <c r="BE1138">
        <v>1</v>
      </c>
      <c r="BG1138">
        <v>0</v>
      </c>
      <c r="BH1138">
        <v>0</v>
      </c>
      <c r="BI1138">
        <v>0</v>
      </c>
      <c r="BJ1138">
        <v>3300</v>
      </c>
      <c r="BK1138">
        <v>0</v>
      </c>
      <c r="BL1138" t="s">
        <v>188</v>
      </c>
      <c r="BM1138">
        <v>1</v>
      </c>
      <c r="BN1138">
        <v>1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 t="shared" si="451"/>
        <v>15:07:41.933</v>
      </c>
      <c r="CF1138">
        <v>932953893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5</v>
      </c>
      <c r="CY1138">
        <v>7</v>
      </c>
      <c r="CZ1138" t="s">
        <v>133</v>
      </c>
      <c r="DA1138">
        <v>275</v>
      </c>
      <c r="DB1138">
        <v>0</v>
      </c>
      <c r="DC1138" t="s">
        <v>134</v>
      </c>
      <c r="DD1138" t="s">
        <v>135</v>
      </c>
      <c r="DG1138">
        <v>3319849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"05/01/2025 15:07:42.191"</f>
        <v>05/01/2025 15:07:42.191</v>
      </c>
      <c r="C1139" t="str">
        <f t="shared" si="432"/>
        <v>FFDFD3C0</v>
      </c>
      <c r="D1139" t="s">
        <v>124</v>
      </c>
      <c r="E1139" t="str">
        <f>"06"</f>
        <v>06</v>
      </c>
      <c r="F1139">
        <v>2006</v>
      </c>
      <c r="G1139" t="s">
        <v>125</v>
      </c>
      <c r="J1139" t="s">
        <v>126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R1139" t="s">
        <v>127</v>
      </c>
      <c r="S1139" t="str">
        <f t="shared" si="450"/>
        <v>15:07:41.000</v>
      </c>
      <c r="T1139" t="str">
        <f t="shared" si="450"/>
        <v>15:07:41.000</v>
      </c>
      <c r="U1139" t="str">
        <f t="shared" si="433"/>
        <v>A68FCB</v>
      </c>
      <c r="V1139">
        <v>0</v>
      </c>
      <c r="W1139">
        <v>0</v>
      </c>
      <c r="X1139">
        <v>2</v>
      </c>
      <c r="Y1139">
        <v>0</v>
      </c>
      <c r="AA1139">
        <v>1</v>
      </c>
      <c r="AB1139">
        <v>8</v>
      </c>
      <c r="AC1139">
        <v>3</v>
      </c>
      <c r="AD1139">
        <v>0</v>
      </c>
      <c r="AE1139">
        <v>9</v>
      </c>
      <c r="AF1139" t="s">
        <v>138</v>
      </c>
      <c r="AG1139">
        <v>0</v>
      </c>
      <c r="AH1139">
        <v>3</v>
      </c>
      <c r="AI1139">
        <v>2</v>
      </c>
      <c r="AJ1139">
        <v>0</v>
      </c>
      <c r="AK1139" t="s">
        <v>453</v>
      </c>
      <c r="AL1139">
        <v>38.995928999999997</v>
      </c>
      <c r="AM1139" t="s">
        <v>450</v>
      </c>
      <c r="AN1139">
        <v>-121.052449</v>
      </c>
      <c r="AO1139">
        <v>25</v>
      </c>
      <c r="AP1139">
        <v>3300</v>
      </c>
      <c r="AQ1139" t="s">
        <v>131</v>
      </c>
      <c r="AR1139">
        <v>-3</v>
      </c>
      <c r="AS1139">
        <v>85</v>
      </c>
      <c r="AT1139">
        <v>320</v>
      </c>
      <c r="BB1139" t="str">
        <f t="shared" si="434"/>
        <v>1200</v>
      </c>
      <c r="BC1139">
        <v>1</v>
      </c>
      <c r="BD1139" t="str">
        <f t="shared" si="435"/>
        <v xml:space="preserve">N52156  </v>
      </c>
      <c r="BE1139">
        <v>1</v>
      </c>
      <c r="BG1139">
        <v>0</v>
      </c>
      <c r="BH1139">
        <v>0</v>
      </c>
      <c r="BI1139">
        <v>0</v>
      </c>
      <c r="BJ1139">
        <v>3300</v>
      </c>
      <c r="BK1139">
        <v>0</v>
      </c>
      <c r="BL1139" t="s">
        <v>188</v>
      </c>
      <c r="BM1139">
        <v>1</v>
      </c>
      <c r="BN1139">
        <v>1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 t="shared" si="451"/>
        <v>15:07:41.933</v>
      </c>
      <c r="CF1139">
        <v>932953893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5</v>
      </c>
      <c r="CY1139">
        <v>7</v>
      </c>
      <c r="CZ1139" t="s">
        <v>133</v>
      </c>
      <c r="DA1139">
        <v>275</v>
      </c>
      <c r="DB1139">
        <v>0</v>
      </c>
      <c r="DC1139" t="s">
        <v>134</v>
      </c>
      <c r="DD1139" t="s">
        <v>135</v>
      </c>
      <c r="DG1139">
        <v>3319849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"05/01/2025 15:07:42.194"</f>
        <v>05/01/2025 15:07:42.194</v>
      </c>
      <c r="C1140" t="str">
        <f t="shared" si="432"/>
        <v>FFDFD3C0</v>
      </c>
      <c r="D1140" t="s">
        <v>143</v>
      </c>
      <c r="E1140" t="str">
        <f>"05"</f>
        <v>05</v>
      </c>
      <c r="H1140">
        <v>172</v>
      </c>
      <c r="I1140" t="s">
        <v>141</v>
      </c>
      <c r="J1140" t="s">
        <v>144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R1140" t="s">
        <v>127</v>
      </c>
      <c r="S1140" t="str">
        <f t="shared" si="450"/>
        <v>15:07:41.000</v>
      </c>
      <c r="T1140" t="str">
        <f t="shared" si="450"/>
        <v>15:07:41.000</v>
      </c>
      <c r="U1140" t="str">
        <f t="shared" si="433"/>
        <v>A68FCB</v>
      </c>
      <c r="V1140">
        <v>0</v>
      </c>
      <c r="W1140">
        <v>0</v>
      </c>
      <c r="X1140">
        <v>2</v>
      </c>
      <c r="Y1140">
        <v>0</v>
      </c>
      <c r="AA1140">
        <v>1</v>
      </c>
      <c r="AB1140">
        <v>8</v>
      </c>
      <c r="AC1140">
        <v>3</v>
      </c>
      <c r="AD1140">
        <v>0</v>
      </c>
      <c r="AE1140">
        <v>9</v>
      </c>
      <c r="AF1140" t="s">
        <v>138</v>
      </c>
      <c r="AG1140">
        <v>0</v>
      </c>
      <c r="AH1140">
        <v>3</v>
      </c>
      <c r="AI1140">
        <v>2</v>
      </c>
      <c r="AJ1140">
        <v>0</v>
      </c>
      <c r="AK1140" t="s">
        <v>453</v>
      </c>
      <c r="AL1140">
        <v>38.995928999999997</v>
      </c>
      <c r="AM1140" t="s">
        <v>450</v>
      </c>
      <c r="AN1140">
        <v>-121.052449</v>
      </c>
      <c r="AO1140">
        <v>25</v>
      </c>
      <c r="AP1140">
        <v>3300</v>
      </c>
      <c r="AQ1140" t="s">
        <v>131</v>
      </c>
      <c r="AR1140">
        <v>-3</v>
      </c>
      <c r="AS1140">
        <v>85</v>
      </c>
      <c r="AT1140">
        <v>320</v>
      </c>
      <c r="BB1140" t="str">
        <f t="shared" si="434"/>
        <v>1200</v>
      </c>
      <c r="BC1140">
        <v>1</v>
      </c>
      <c r="BD1140" t="str">
        <f t="shared" si="435"/>
        <v xml:space="preserve">N52156  </v>
      </c>
      <c r="BE1140">
        <v>1</v>
      </c>
      <c r="BG1140">
        <v>0</v>
      </c>
      <c r="BH1140">
        <v>0</v>
      </c>
      <c r="BI1140">
        <v>0</v>
      </c>
      <c r="BJ1140">
        <v>3300</v>
      </c>
      <c r="BK1140">
        <v>0</v>
      </c>
      <c r="BL1140" t="s">
        <v>188</v>
      </c>
      <c r="BM1140">
        <v>1</v>
      </c>
      <c r="BN1140">
        <v>1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 t="shared" si="451"/>
        <v>15:07:41.933</v>
      </c>
      <c r="CF1140">
        <v>932953893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5</v>
      </c>
      <c r="CY1140">
        <v>7</v>
      </c>
      <c r="CZ1140" t="s">
        <v>133</v>
      </c>
      <c r="DA1140">
        <v>275</v>
      </c>
      <c r="DB1140">
        <v>0</v>
      </c>
      <c r="DC1140" t="s">
        <v>134</v>
      </c>
      <c r="DD1140" t="s">
        <v>135</v>
      </c>
      <c r="DG1140">
        <v>3319849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"05/01/2025 15:07:42.194"</f>
        <v>05/01/2025 15:07:42.194</v>
      </c>
      <c r="C1141" t="str">
        <f t="shared" si="432"/>
        <v>FFDFD3C0</v>
      </c>
      <c r="D1141" t="s">
        <v>145</v>
      </c>
      <c r="E1141" t="str">
        <f>"09"</f>
        <v>09</v>
      </c>
      <c r="H1141">
        <v>51</v>
      </c>
      <c r="I1141" t="s">
        <v>147</v>
      </c>
      <c r="J1141" t="s">
        <v>138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R1141" t="s">
        <v>127</v>
      </c>
      <c r="S1141" t="str">
        <f t="shared" si="450"/>
        <v>15:07:41.000</v>
      </c>
      <c r="T1141" t="str">
        <f t="shared" si="450"/>
        <v>15:07:41.000</v>
      </c>
      <c r="U1141" t="str">
        <f t="shared" si="433"/>
        <v>A68FCB</v>
      </c>
      <c r="V1141">
        <v>0</v>
      </c>
      <c r="W1141">
        <v>0</v>
      </c>
      <c r="X1141">
        <v>2</v>
      </c>
      <c r="Y1141">
        <v>0</v>
      </c>
      <c r="AA1141">
        <v>1</v>
      </c>
      <c r="AB1141">
        <v>8</v>
      </c>
      <c r="AC1141">
        <v>3</v>
      </c>
      <c r="AD1141">
        <v>0</v>
      </c>
      <c r="AE1141">
        <v>9</v>
      </c>
      <c r="AF1141" t="s">
        <v>138</v>
      </c>
      <c r="AG1141">
        <v>0</v>
      </c>
      <c r="AH1141">
        <v>3</v>
      </c>
      <c r="AI1141">
        <v>2</v>
      </c>
      <c r="AJ1141">
        <v>0</v>
      </c>
      <c r="AK1141" t="s">
        <v>453</v>
      </c>
      <c r="AL1141">
        <v>38.995928999999997</v>
      </c>
      <c r="AM1141" t="s">
        <v>450</v>
      </c>
      <c r="AN1141">
        <v>-121.052449</v>
      </c>
      <c r="AO1141">
        <v>25</v>
      </c>
      <c r="AP1141">
        <v>3300</v>
      </c>
      <c r="AQ1141" t="s">
        <v>131</v>
      </c>
      <c r="AR1141">
        <v>-3</v>
      </c>
      <c r="AS1141">
        <v>85</v>
      </c>
      <c r="AT1141">
        <v>320</v>
      </c>
      <c r="BB1141" t="str">
        <f t="shared" si="434"/>
        <v>1200</v>
      </c>
      <c r="BC1141">
        <v>1</v>
      </c>
      <c r="BD1141" t="str">
        <f t="shared" si="435"/>
        <v xml:space="preserve">N52156  </v>
      </c>
      <c r="BE1141">
        <v>1</v>
      </c>
      <c r="BG1141">
        <v>0</v>
      </c>
      <c r="BH1141">
        <v>0</v>
      </c>
      <c r="BI1141">
        <v>0</v>
      </c>
      <c r="BJ1141">
        <v>3300</v>
      </c>
      <c r="BK1141">
        <v>0</v>
      </c>
      <c r="BL1141" t="s">
        <v>188</v>
      </c>
      <c r="BM1141">
        <v>1</v>
      </c>
      <c r="BN1141">
        <v>1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 t="shared" si="451"/>
        <v>15:07:41.933</v>
      </c>
      <c r="CF1141">
        <v>932953893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5</v>
      </c>
      <c r="CY1141">
        <v>7</v>
      </c>
      <c r="CZ1141" t="s">
        <v>133</v>
      </c>
      <c r="DA1141">
        <v>275</v>
      </c>
      <c r="DB1141">
        <v>0</v>
      </c>
      <c r="DC1141" t="s">
        <v>134</v>
      </c>
      <c r="DD1141" t="s">
        <v>135</v>
      </c>
      <c r="DG1141">
        <v>3319849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"05/01/2025 15:07:42.886"</f>
        <v>05/01/2025 15:07:42.886</v>
      </c>
      <c r="C1142" t="str">
        <f t="shared" si="432"/>
        <v>FFDFD3C0</v>
      </c>
      <c r="D1142" t="s">
        <v>140</v>
      </c>
      <c r="E1142" t="str">
        <f>"13"</f>
        <v>13</v>
      </c>
      <c r="F1142">
        <v>1019</v>
      </c>
      <c r="G1142" t="s">
        <v>141</v>
      </c>
      <c r="J1142" t="s">
        <v>142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R1142" t="s">
        <v>127</v>
      </c>
      <c r="S1142" t="str">
        <f t="shared" ref="S1142:T1147" si="452">"15:07:42.000"</f>
        <v>15:07:42.000</v>
      </c>
      <c r="T1142" t="str">
        <f t="shared" si="452"/>
        <v>15:07:42.000</v>
      </c>
      <c r="U1142" t="str">
        <f t="shared" si="433"/>
        <v>A68FCB</v>
      </c>
      <c r="V1142">
        <v>0</v>
      </c>
      <c r="W1142">
        <v>0</v>
      </c>
      <c r="X1142">
        <v>2</v>
      </c>
      <c r="Y1142">
        <v>0</v>
      </c>
      <c r="AA1142">
        <v>1</v>
      </c>
      <c r="AB1142">
        <v>8</v>
      </c>
      <c r="AC1142">
        <v>3</v>
      </c>
      <c r="AD1142">
        <v>0</v>
      </c>
      <c r="AE1142">
        <v>9</v>
      </c>
      <c r="AF1142" t="s">
        <v>138</v>
      </c>
      <c r="AG1142">
        <v>0</v>
      </c>
      <c r="AH1142">
        <v>3</v>
      </c>
      <c r="AI1142">
        <v>2</v>
      </c>
      <c r="AJ1142">
        <v>0</v>
      </c>
      <c r="AK1142" t="s">
        <v>454</v>
      </c>
      <c r="AL1142">
        <v>38.996315000000003</v>
      </c>
      <c r="AM1142" t="s">
        <v>455</v>
      </c>
      <c r="AN1142">
        <v>-121.05247</v>
      </c>
      <c r="AO1142">
        <v>25</v>
      </c>
      <c r="AP1142">
        <v>3300</v>
      </c>
      <c r="AQ1142" t="s">
        <v>131</v>
      </c>
      <c r="AR1142">
        <v>-4</v>
      </c>
      <c r="AS1142">
        <v>85</v>
      </c>
      <c r="AT1142">
        <v>320</v>
      </c>
      <c r="BB1142" t="str">
        <f t="shared" si="434"/>
        <v>1200</v>
      </c>
      <c r="BC1142">
        <v>1</v>
      </c>
      <c r="BD1142" t="str">
        <f t="shared" si="435"/>
        <v xml:space="preserve">N52156  </v>
      </c>
      <c r="BE1142">
        <v>1</v>
      </c>
      <c r="BG1142">
        <v>0</v>
      </c>
      <c r="BH1142">
        <v>0</v>
      </c>
      <c r="BI1142">
        <v>0</v>
      </c>
      <c r="BJ1142">
        <v>3300</v>
      </c>
      <c r="BK1142">
        <v>0</v>
      </c>
      <c r="BL1142" t="s">
        <v>188</v>
      </c>
      <c r="BM1142">
        <v>1</v>
      </c>
      <c r="BN1142">
        <v>1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 t="shared" ref="CE1142:CE1147" si="453">"15:07:42.641"</f>
        <v>15:07:42.641</v>
      </c>
      <c r="CF1142">
        <v>640953390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4</v>
      </c>
      <c r="CY1142">
        <v>7</v>
      </c>
      <c r="CZ1142" t="s">
        <v>133</v>
      </c>
      <c r="DA1142">
        <v>275</v>
      </c>
      <c r="DB1142">
        <v>0</v>
      </c>
      <c r="DC1142" t="s">
        <v>134</v>
      </c>
      <c r="DD1142" t="s">
        <v>135</v>
      </c>
      <c r="DG1142">
        <v>3319858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"05/01/2025 15:07:42.891"</f>
        <v>05/01/2025 15:07:42.891</v>
      </c>
      <c r="C1143" t="str">
        <f t="shared" si="432"/>
        <v>FFDFD3C0</v>
      </c>
      <c r="D1143" t="s">
        <v>145</v>
      </c>
      <c r="E1143" t="str">
        <f>"05"</f>
        <v>05</v>
      </c>
      <c r="H1143">
        <v>47</v>
      </c>
      <c r="I1143" t="s">
        <v>146</v>
      </c>
      <c r="J1143" t="s">
        <v>138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R1143" t="s">
        <v>127</v>
      </c>
      <c r="S1143" t="str">
        <f t="shared" si="452"/>
        <v>15:07:42.000</v>
      </c>
      <c r="T1143" t="str">
        <f t="shared" si="452"/>
        <v>15:07:42.000</v>
      </c>
      <c r="U1143" t="str">
        <f t="shared" si="433"/>
        <v>A68FCB</v>
      </c>
      <c r="V1143">
        <v>0</v>
      </c>
      <c r="W1143">
        <v>0</v>
      </c>
      <c r="X1143">
        <v>2</v>
      </c>
      <c r="Y1143">
        <v>0</v>
      </c>
      <c r="AA1143">
        <v>1</v>
      </c>
      <c r="AB1143">
        <v>8</v>
      </c>
      <c r="AC1143">
        <v>3</v>
      </c>
      <c r="AD1143">
        <v>0</v>
      </c>
      <c r="AE1143">
        <v>9</v>
      </c>
      <c r="AF1143" t="s">
        <v>138</v>
      </c>
      <c r="AG1143">
        <v>0</v>
      </c>
      <c r="AH1143">
        <v>3</v>
      </c>
      <c r="AI1143">
        <v>2</v>
      </c>
      <c r="AJ1143">
        <v>0</v>
      </c>
      <c r="AK1143" t="s">
        <v>454</v>
      </c>
      <c r="AL1143">
        <v>38.996315000000003</v>
      </c>
      <c r="AM1143" t="s">
        <v>455</v>
      </c>
      <c r="AN1143">
        <v>-121.05247</v>
      </c>
      <c r="AO1143">
        <v>25</v>
      </c>
      <c r="AP1143">
        <v>3300</v>
      </c>
      <c r="AQ1143" t="s">
        <v>131</v>
      </c>
      <c r="AR1143">
        <v>-4</v>
      </c>
      <c r="AS1143">
        <v>85</v>
      </c>
      <c r="AT1143">
        <v>320</v>
      </c>
      <c r="BB1143" t="str">
        <f t="shared" si="434"/>
        <v>1200</v>
      </c>
      <c r="BC1143">
        <v>1</v>
      </c>
      <c r="BD1143" t="str">
        <f t="shared" si="435"/>
        <v xml:space="preserve">N52156  </v>
      </c>
      <c r="BE1143">
        <v>1</v>
      </c>
      <c r="BG1143">
        <v>0</v>
      </c>
      <c r="BH1143">
        <v>0</v>
      </c>
      <c r="BI1143">
        <v>0</v>
      </c>
      <c r="BJ1143">
        <v>3300</v>
      </c>
      <c r="BK1143">
        <v>0</v>
      </c>
      <c r="BL1143" t="s">
        <v>188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 t="shared" si="453"/>
        <v>15:07:42.641</v>
      </c>
      <c r="CF1143">
        <v>640953390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4</v>
      </c>
      <c r="CY1143">
        <v>7</v>
      </c>
      <c r="CZ1143" t="s">
        <v>133</v>
      </c>
      <c r="DA1143">
        <v>275</v>
      </c>
      <c r="DB1143">
        <v>0</v>
      </c>
      <c r="DC1143" t="s">
        <v>134</v>
      </c>
      <c r="DD1143" t="s">
        <v>135</v>
      </c>
      <c r="DG1143">
        <v>3319858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"05/01/2025 15:07:42.892"</f>
        <v>05/01/2025 15:07:42.892</v>
      </c>
      <c r="C1144" t="str">
        <f t="shared" si="432"/>
        <v>FFDFD3C0</v>
      </c>
      <c r="D1144" t="s">
        <v>124</v>
      </c>
      <c r="E1144" t="str">
        <f>"06"</f>
        <v>06</v>
      </c>
      <c r="F1144">
        <v>2006</v>
      </c>
      <c r="G1144" t="s">
        <v>125</v>
      </c>
      <c r="J1144" t="s">
        <v>126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R1144" t="s">
        <v>127</v>
      </c>
      <c r="S1144" t="str">
        <f t="shared" si="452"/>
        <v>15:07:42.000</v>
      </c>
      <c r="T1144" t="str">
        <f t="shared" si="452"/>
        <v>15:07:42.000</v>
      </c>
      <c r="U1144" t="str">
        <f t="shared" si="433"/>
        <v>A68FCB</v>
      </c>
      <c r="V1144">
        <v>0</v>
      </c>
      <c r="W1144">
        <v>0</v>
      </c>
      <c r="X1144">
        <v>2</v>
      </c>
      <c r="Y1144">
        <v>0</v>
      </c>
      <c r="AA1144">
        <v>1</v>
      </c>
      <c r="AB1144">
        <v>8</v>
      </c>
      <c r="AC1144">
        <v>3</v>
      </c>
      <c r="AD1144">
        <v>0</v>
      </c>
      <c r="AE1144">
        <v>9</v>
      </c>
      <c r="AF1144" t="s">
        <v>138</v>
      </c>
      <c r="AG1144">
        <v>0</v>
      </c>
      <c r="AH1144">
        <v>3</v>
      </c>
      <c r="AI1144">
        <v>2</v>
      </c>
      <c r="AJ1144">
        <v>0</v>
      </c>
      <c r="AK1144" t="s">
        <v>454</v>
      </c>
      <c r="AL1144">
        <v>38.996315000000003</v>
      </c>
      <c r="AM1144" t="s">
        <v>455</v>
      </c>
      <c r="AN1144">
        <v>-121.05247</v>
      </c>
      <c r="AO1144">
        <v>25</v>
      </c>
      <c r="AP1144">
        <v>3300</v>
      </c>
      <c r="AQ1144" t="s">
        <v>131</v>
      </c>
      <c r="AR1144">
        <v>-4</v>
      </c>
      <c r="AS1144">
        <v>85</v>
      </c>
      <c r="AT1144">
        <v>320</v>
      </c>
      <c r="BB1144" t="str">
        <f t="shared" si="434"/>
        <v>1200</v>
      </c>
      <c r="BC1144">
        <v>1</v>
      </c>
      <c r="BD1144" t="str">
        <f t="shared" si="435"/>
        <v xml:space="preserve">N52156  </v>
      </c>
      <c r="BE1144">
        <v>1</v>
      </c>
      <c r="BG1144">
        <v>0</v>
      </c>
      <c r="BH1144">
        <v>0</v>
      </c>
      <c r="BI1144">
        <v>0</v>
      </c>
      <c r="BJ1144">
        <v>3300</v>
      </c>
      <c r="BK1144">
        <v>0</v>
      </c>
      <c r="BL1144" t="s">
        <v>188</v>
      </c>
      <c r="BM1144">
        <v>1</v>
      </c>
      <c r="BN1144">
        <v>1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 t="shared" si="453"/>
        <v>15:07:42.641</v>
      </c>
      <c r="CF1144">
        <v>640953390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4</v>
      </c>
      <c r="CY1144">
        <v>7</v>
      </c>
      <c r="CZ1144" t="s">
        <v>133</v>
      </c>
      <c r="DA1144">
        <v>275</v>
      </c>
      <c r="DB1144">
        <v>0</v>
      </c>
      <c r="DC1144" t="s">
        <v>134</v>
      </c>
      <c r="DD1144" t="s">
        <v>135</v>
      </c>
      <c r="DG1144">
        <v>3319858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"05/01/2025 15:07:42.895"</f>
        <v>05/01/2025 15:07:42.895</v>
      </c>
      <c r="C1145" t="str">
        <f t="shared" si="432"/>
        <v>FFDFD3C0</v>
      </c>
      <c r="D1145" t="s">
        <v>143</v>
      </c>
      <c r="E1145" t="str">
        <f>"05"</f>
        <v>05</v>
      </c>
      <c r="H1145">
        <v>172</v>
      </c>
      <c r="I1145" t="s">
        <v>141</v>
      </c>
      <c r="J1145" t="s">
        <v>144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R1145" t="s">
        <v>127</v>
      </c>
      <c r="S1145" t="str">
        <f t="shared" si="452"/>
        <v>15:07:42.000</v>
      </c>
      <c r="T1145" t="str">
        <f t="shared" si="452"/>
        <v>15:07:42.000</v>
      </c>
      <c r="U1145" t="str">
        <f t="shared" si="433"/>
        <v>A68FCB</v>
      </c>
      <c r="V1145">
        <v>0</v>
      </c>
      <c r="W1145">
        <v>0</v>
      </c>
      <c r="X1145">
        <v>2</v>
      </c>
      <c r="Y1145">
        <v>0</v>
      </c>
      <c r="AA1145">
        <v>1</v>
      </c>
      <c r="AB1145">
        <v>8</v>
      </c>
      <c r="AC1145">
        <v>3</v>
      </c>
      <c r="AD1145">
        <v>0</v>
      </c>
      <c r="AE1145">
        <v>9</v>
      </c>
      <c r="AF1145" t="s">
        <v>138</v>
      </c>
      <c r="AG1145">
        <v>0</v>
      </c>
      <c r="AH1145">
        <v>3</v>
      </c>
      <c r="AI1145">
        <v>2</v>
      </c>
      <c r="AJ1145">
        <v>0</v>
      </c>
      <c r="AK1145" t="s">
        <v>454</v>
      </c>
      <c r="AL1145">
        <v>38.996315000000003</v>
      </c>
      <c r="AM1145" t="s">
        <v>455</v>
      </c>
      <c r="AN1145">
        <v>-121.05247</v>
      </c>
      <c r="AO1145">
        <v>25</v>
      </c>
      <c r="AP1145">
        <v>3300</v>
      </c>
      <c r="AQ1145" t="s">
        <v>131</v>
      </c>
      <c r="AR1145">
        <v>-4</v>
      </c>
      <c r="AS1145">
        <v>85</v>
      </c>
      <c r="AT1145">
        <v>320</v>
      </c>
      <c r="BB1145" t="str">
        <f t="shared" si="434"/>
        <v>1200</v>
      </c>
      <c r="BC1145">
        <v>1</v>
      </c>
      <c r="BD1145" t="str">
        <f t="shared" si="435"/>
        <v xml:space="preserve">N52156  </v>
      </c>
      <c r="BE1145">
        <v>1</v>
      </c>
      <c r="BG1145">
        <v>0</v>
      </c>
      <c r="BH1145">
        <v>0</v>
      </c>
      <c r="BI1145">
        <v>0</v>
      </c>
      <c r="BJ1145">
        <v>3300</v>
      </c>
      <c r="BK1145">
        <v>0</v>
      </c>
      <c r="BL1145" t="s">
        <v>188</v>
      </c>
      <c r="BM1145">
        <v>1</v>
      </c>
      <c r="BN1145">
        <v>1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 t="shared" si="453"/>
        <v>15:07:42.641</v>
      </c>
      <c r="CF1145">
        <v>640953390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4</v>
      </c>
      <c r="CY1145">
        <v>7</v>
      </c>
      <c r="CZ1145" t="s">
        <v>133</v>
      </c>
      <c r="DA1145">
        <v>275</v>
      </c>
      <c r="DB1145">
        <v>0</v>
      </c>
      <c r="DC1145" t="s">
        <v>134</v>
      </c>
      <c r="DD1145" t="s">
        <v>135</v>
      </c>
      <c r="DG1145">
        <v>3319858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"05/01/2025 15:07:42.895"</f>
        <v>05/01/2025 15:07:42.895</v>
      </c>
      <c r="C1146" t="str">
        <f t="shared" si="432"/>
        <v>FFDFD3C0</v>
      </c>
      <c r="D1146" t="s">
        <v>145</v>
      </c>
      <c r="E1146" t="str">
        <f>"09"</f>
        <v>09</v>
      </c>
      <c r="H1146">
        <v>51</v>
      </c>
      <c r="I1146" t="s">
        <v>147</v>
      </c>
      <c r="J1146" t="s">
        <v>138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R1146" t="s">
        <v>127</v>
      </c>
      <c r="S1146" t="str">
        <f t="shared" si="452"/>
        <v>15:07:42.000</v>
      </c>
      <c r="T1146" t="str">
        <f t="shared" si="452"/>
        <v>15:07:42.000</v>
      </c>
      <c r="U1146" t="str">
        <f t="shared" si="433"/>
        <v>A68FCB</v>
      </c>
      <c r="V1146">
        <v>0</v>
      </c>
      <c r="W1146">
        <v>0</v>
      </c>
      <c r="X1146">
        <v>2</v>
      </c>
      <c r="Y1146">
        <v>0</v>
      </c>
      <c r="AA1146">
        <v>1</v>
      </c>
      <c r="AB1146">
        <v>8</v>
      </c>
      <c r="AC1146">
        <v>3</v>
      </c>
      <c r="AD1146">
        <v>0</v>
      </c>
      <c r="AE1146">
        <v>9</v>
      </c>
      <c r="AF1146" t="s">
        <v>138</v>
      </c>
      <c r="AG1146">
        <v>0</v>
      </c>
      <c r="AH1146">
        <v>3</v>
      </c>
      <c r="AI1146">
        <v>2</v>
      </c>
      <c r="AJ1146">
        <v>0</v>
      </c>
      <c r="AK1146" t="s">
        <v>454</v>
      </c>
      <c r="AL1146">
        <v>38.996315000000003</v>
      </c>
      <c r="AM1146" t="s">
        <v>455</v>
      </c>
      <c r="AN1146">
        <v>-121.05247</v>
      </c>
      <c r="AO1146">
        <v>25</v>
      </c>
      <c r="AP1146">
        <v>3300</v>
      </c>
      <c r="AQ1146" t="s">
        <v>131</v>
      </c>
      <c r="AR1146">
        <v>-4</v>
      </c>
      <c r="AS1146">
        <v>85</v>
      </c>
      <c r="AT1146">
        <v>320</v>
      </c>
      <c r="BB1146" t="str">
        <f t="shared" si="434"/>
        <v>1200</v>
      </c>
      <c r="BC1146">
        <v>1</v>
      </c>
      <c r="BD1146" t="str">
        <f t="shared" si="435"/>
        <v xml:space="preserve">N52156  </v>
      </c>
      <c r="BE1146">
        <v>1</v>
      </c>
      <c r="BG1146">
        <v>0</v>
      </c>
      <c r="BH1146">
        <v>0</v>
      </c>
      <c r="BI1146">
        <v>0</v>
      </c>
      <c r="BJ1146">
        <v>3300</v>
      </c>
      <c r="BK1146">
        <v>0</v>
      </c>
      <c r="BL1146" t="s">
        <v>188</v>
      </c>
      <c r="BM1146">
        <v>1</v>
      </c>
      <c r="BN1146">
        <v>1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 t="shared" si="453"/>
        <v>15:07:42.641</v>
      </c>
      <c r="CF1146">
        <v>640953390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4</v>
      </c>
      <c r="CY1146">
        <v>7</v>
      </c>
      <c r="CZ1146" t="s">
        <v>133</v>
      </c>
      <c r="DA1146">
        <v>275</v>
      </c>
      <c r="DB1146">
        <v>0</v>
      </c>
      <c r="DC1146" t="s">
        <v>134</v>
      </c>
      <c r="DD1146" t="s">
        <v>135</v>
      </c>
      <c r="DG1146">
        <v>3319858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"05/01/2025 15:07:42.902"</f>
        <v>05/01/2025 15:07:42.902</v>
      </c>
      <c r="C1147" t="str">
        <f t="shared" si="432"/>
        <v>FFDFD3C0</v>
      </c>
      <c r="D1147" t="s">
        <v>136</v>
      </c>
      <c r="E1147" t="str">
        <f>"20"</f>
        <v>20</v>
      </c>
      <c r="H1147">
        <v>400</v>
      </c>
      <c r="I1147" t="s">
        <v>137</v>
      </c>
      <c r="J1147" t="s">
        <v>138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R1147" t="s">
        <v>127</v>
      </c>
      <c r="S1147" t="str">
        <f t="shared" si="452"/>
        <v>15:07:42.000</v>
      </c>
      <c r="T1147" t="str">
        <f t="shared" si="452"/>
        <v>15:07:42.000</v>
      </c>
      <c r="U1147" t="str">
        <f t="shared" si="433"/>
        <v>A68FCB</v>
      </c>
      <c r="V1147">
        <v>0</v>
      </c>
      <c r="W1147">
        <v>0</v>
      </c>
      <c r="X1147">
        <v>2</v>
      </c>
      <c r="Y1147">
        <v>0</v>
      </c>
      <c r="AA1147">
        <v>1</v>
      </c>
      <c r="AB1147">
        <v>8</v>
      </c>
      <c r="AC1147">
        <v>3</v>
      </c>
      <c r="AD1147">
        <v>0</v>
      </c>
      <c r="AE1147">
        <v>9</v>
      </c>
      <c r="AF1147" t="s">
        <v>138</v>
      </c>
      <c r="AG1147">
        <v>0</v>
      </c>
      <c r="AH1147">
        <v>3</v>
      </c>
      <c r="AI1147">
        <v>2</v>
      </c>
      <c r="AJ1147">
        <v>0</v>
      </c>
      <c r="AK1147" t="s">
        <v>454</v>
      </c>
      <c r="AL1147">
        <v>38.996315000000003</v>
      </c>
      <c r="AM1147" t="s">
        <v>455</v>
      </c>
      <c r="AN1147">
        <v>-121.05247</v>
      </c>
      <c r="AO1147">
        <v>25</v>
      </c>
      <c r="AP1147">
        <v>3300</v>
      </c>
      <c r="AQ1147" t="s">
        <v>131</v>
      </c>
      <c r="AR1147">
        <v>-4</v>
      </c>
      <c r="AS1147">
        <v>85</v>
      </c>
      <c r="AT1147">
        <v>320</v>
      </c>
      <c r="BB1147" t="str">
        <f t="shared" si="434"/>
        <v>1200</v>
      </c>
      <c r="BC1147">
        <v>1</v>
      </c>
      <c r="BD1147" t="str">
        <f t="shared" si="435"/>
        <v xml:space="preserve">N52156  </v>
      </c>
      <c r="BE1147">
        <v>1</v>
      </c>
      <c r="BG1147">
        <v>0</v>
      </c>
      <c r="BH1147">
        <v>0</v>
      </c>
      <c r="BI1147">
        <v>0</v>
      </c>
      <c r="BJ1147">
        <v>3300</v>
      </c>
      <c r="BK1147">
        <v>0</v>
      </c>
      <c r="BL1147" t="s">
        <v>188</v>
      </c>
      <c r="BM1147">
        <v>1</v>
      </c>
      <c r="BN1147">
        <v>1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 t="shared" si="453"/>
        <v>15:07:42.641</v>
      </c>
      <c r="CF1147">
        <v>640953390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4</v>
      </c>
      <c r="CY1147">
        <v>7</v>
      </c>
      <c r="CZ1147" t="s">
        <v>133</v>
      </c>
      <c r="DA1147">
        <v>275</v>
      </c>
      <c r="DB1147">
        <v>0</v>
      </c>
      <c r="DC1147" t="s">
        <v>134</v>
      </c>
      <c r="DD1147" t="s">
        <v>135</v>
      </c>
      <c r="DG1147">
        <v>3319858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"05/01/2025 15:07:43.553"</f>
        <v>05/01/2025 15:07:43.553</v>
      </c>
      <c r="C1148" t="str">
        <f t="shared" si="432"/>
        <v>FFDFD3C0</v>
      </c>
      <c r="D1148" t="s">
        <v>136</v>
      </c>
      <c r="E1148" t="str">
        <f>"20"</f>
        <v>20</v>
      </c>
      <c r="H1148">
        <v>400</v>
      </c>
      <c r="I1148" t="s">
        <v>137</v>
      </c>
      <c r="J1148" t="s">
        <v>138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R1148" t="s">
        <v>127</v>
      </c>
      <c r="S1148" t="str">
        <f t="shared" ref="S1148:T1153" si="454">"15:07:43.000"</f>
        <v>15:07:43.000</v>
      </c>
      <c r="T1148" t="str">
        <f t="shared" si="454"/>
        <v>15:07:43.000</v>
      </c>
      <c r="U1148" t="str">
        <f t="shared" si="433"/>
        <v>A68FCB</v>
      </c>
      <c r="V1148">
        <v>0</v>
      </c>
      <c r="W1148">
        <v>0</v>
      </c>
      <c r="X1148">
        <v>2</v>
      </c>
      <c r="Y1148">
        <v>0</v>
      </c>
      <c r="AA1148">
        <v>1</v>
      </c>
      <c r="AB1148">
        <v>8</v>
      </c>
      <c r="AC1148">
        <v>3</v>
      </c>
      <c r="AD1148">
        <v>0</v>
      </c>
      <c r="AE1148">
        <v>9</v>
      </c>
      <c r="AF1148" t="s">
        <v>138</v>
      </c>
      <c r="AG1148">
        <v>0</v>
      </c>
      <c r="AH1148">
        <v>3</v>
      </c>
      <c r="AI1148">
        <v>2</v>
      </c>
      <c r="AJ1148">
        <v>0</v>
      </c>
      <c r="AK1148" t="s">
        <v>456</v>
      </c>
      <c r="AL1148">
        <v>38.996701000000002</v>
      </c>
      <c r="AM1148" t="s">
        <v>414</v>
      </c>
      <c r="AN1148">
        <v>-121.052492</v>
      </c>
      <c r="AO1148">
        <v>25</v>
      </c>
      <c r="AP1148">
        <v>3300</v>
      </c>
      <c r="AQ1148" t="s">
        <v>131</v>
      </c>
      <c r="AR1148">
        <v>-7</v>
      </c>
      <c r="AS1148">
        <v>86</v>
      </c>
      <c r="AT1148">
        <v>320</v>
      </c>
      <c r="BB1148" t="str">
        <f t="shared" si="434"/>
        <v>1200</v>
      </c>
      <c r="BC1148">
        <v>1</v>
      </c>
      <c r="BD1148" t="str">
        <f t="shared" si="435"/>
        <v xml:space="preserve">N52156  </v>
      </c>
      <c r="BE1148">
        <v>1</v>
      </c>
      <c r="BG1148">
        <v>0</v>
      </c>
      <c r="BH1148">
        <v>0</v>
      </c>
      <c r="BI1148">
        <v>0</v>
      </c>
      <c r="BJ1148">
        <v>3325</v>
      </c>
      <c r="BK1148">
        <v>25</v>
      </c>
      <c r="BL1148" t="s">
        <v>188</v>
      </c>
      <c r="BM1148">
        <v>1</v>
      </c>
      <c r="BN1148">
        <v>1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 t="shared" ref="CE1148:CE1153" si="455">"15:07:43.349"</f>
        <v>15:07:43.349</v>
      </c>
      <c r="CF1148">
        <v>349202700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133</v>
      </c>
      <c r="DA1148">
        <v>275</v>
      </c>
      <c r="DB1148">
        <v>0</v>
      </c>
      <c r="DC1148" t="s">
        <v>134</v>
      </c>
      <c r="DD1148" t="s">
        <v>135</v>
      </c>
      <c r="DG1148">
        <v>3319864</v>
      </c>
      <c r="DI1148">
        <v>1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"05/01/2025 15:07:43.587"</f>
        <v>05/01/2025 15:07:43.587</v>
      </c>
      <c r="C1149" t="str">
        <f t="shared" si="432"/>
        <v>FFDFD3C0</v>
      </c>
      <c r="D1149" t="s">
        <v>140</v>
      </c>
      <c r="E1149" t="str">
        <f>"13"</f>
        <v>13</v>
      </c>
      <c r="F1149">
        <v>1019</v>
      </c>
      <c r="G1149" t="s">
        <v>141</v>
      </c>
      <c r="J1149" t="s">
        <v>142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R1149" t="s">
        <v>127</v>
      </c>
      <c r="S1149" t="str">
        <f t="shared" si="454"/>
        <v>15:07:43.000</v>
      </c>
      <c r="T1149" t="str">
        <f t="shared" si="454"/>
        <v>15:07:43.000</v>
      </c>
      <c r="U1149" t="str">
        <f t="shared" si="433"/>
        <v>A68FCB</v>
      </c>
      <c r="V1149">
        <v>0</v>
      </c>
      <c r="W1149">
        <v>0</v>
      </c>
      <c r="X1149">
        <v>2</v>
      </c>
      <c r="Y1149">
        <v>0</v>
      </c>
      <c r="AA1149">
        <v>1</v>
      </c>
      <c r="AB1149">
        <v>8</v>
      </c>
      <c r="AC1149">
        <v>3</v>
      </c>
      <c r="AD1149">
        <v>0</v>
      </c>
      <c r="AE1149">
        <v>9</v>
      </c>
      <c r="AF1149" t="s">
        <v>138</v>
      </c>
      <c r="AG1149">
        <v>0</v>
      </c>
      <c r="AH1149">
        <v>3</v>
      </c>
      <c r="AI1149">
        <v>2</v>
      </c>
      <c r="AJ1149">
        <v>0</v>
      </c>
      <c r="AK1149" t="s">
        <v>456</v>
      </c>
      <c r="AL1149">
        <v>38.996701000000002</v>
      </c>
      <c r="AM1149" t="s">
        <v>414</v>
      </c>
      <c r="AN1149">
        <v>-121.052492</v>
      </c>
      <c r="AO1149">
        <v>25</v>
      </c>
      <c r="AP1149">
        <v>3300</v>
      </c>
      <c r="AQ1149" t="s">
        <v>131</v>
      </c>
      <c r="AR1149">
        <v>-7</v>
      </c>
      <c r="AS1149">
        <v>86</v>
      </c>
      <c r="AT1149">
        <v>320</v>
      </c>
      <c r="BB1149" t="str">
        <f t="shared" si="434"/>
        <v>1200</v>
      </c>
      <c r="BC1149">
        <v>1</v>
      </c>
      <c r="BD1149" t="str">
        <f t="shared" si="435"/>
        <v xml:space="preserve">N52156  </v>
      </c>
      <c r="BE1149">
        <v>1</v>
      </c>
      <c r="BG1149">
        <v>0</v>
      </c>
      <c r="BH1149">
        <v>0</v>
      </c>
      <c r="BI1149">
        <v>0</v>
      </c>
      <c r="BJ1149">
        <v>3325</v>
      </c>
      <c r="BK1149">
        <v>25</v>
      </c>
      <c r="BL1149" t="s">
        <v>188</v>
      </c>
      <c r="BM1149">
        <v>1</v>
      </c>
      <c r="BN1149">
        <v>1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 t="shared" si="455"/>
        <v>15:07:43.349</v>
      </c>
      <c r="CF1149">
        <v>349202700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133</v>
      </c>
      <c r="DA1149">
        <v>275</v>
      </c>
      <c r="DB1149">
        <v>0</v>
      </c>
      <c r="DC1149" t="s">
        <v>134</v>
      </c>
      <c r="DD1149" t="s">
        <v>135</v>
      </c>
      <c r="DG1149">
        <v>3319864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"05/01/2025 15:07:43.592"</f>
        <v>05/01/2025 15:07:43.592</v>
      </c>
      <c r="C1150" t="str">
        <f t="shared" si="432"/>
        <v>FFDFD3C0</v>
      </c>
      <c r="D1150" t="s">
        <v>145</v>
      </c>
      <c r="E1150" t="str">
        <f>"05"</f>
        <v>05</v>
      </c>
      <c r="H1150">
        <v>47</v>
      </c>
      <c r="I1150" t="s">
        <v>146</v>
      </c>
      <c r="J1150" t="s">
        <v>138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R1150" t="s">
        <v>127</v>
      </c>
      <c r="S1150" t="str">
        <f t="shared" si="454"/>
        <v>15:07:43.000</v>
      </c>
      <c r="T1150" t="str">
        <f t="shared" si="454"/>
        <v>15:07:43.000</v>
      </c>
      <c r="U1150" t="str">
        <f t="shared" si="433"/>
        <v>A68FCB</v>
      </c>
      <c r="V1150">
        <v>0</v>
      </c>
      <c r="W1150">
        <v>0</v>
      </c>
      <c r="X1150">
        <v>2</v>
      </c>
      <c r="Y1150">
        <v>0</v>
      </c>
      <c r="AA1150">
        <v>1</v>
      </c>
      <c r="AB1150">
        <v>8</v>
      </c>
      <c r="AC1150">
        <v>3</v>
      </c>
      <c r="AD1150">
        <v>0</v>
      </c>
      <c r="AE1150">
        <v>9</v>
      </c>
      <c r="AF1150" t="s">
        <v>138</v>
      </c>
      <c r="AG1150">
        <v>0</v>
      </c>
      <c r="AH1150">
        <v>3</v>
      </c>
      <c r="AI1150">
        <v>2</v>
      </c>
      <c r="AJ1150">
        <v>0</v>
      </c>
      <c r="AK1150" t="s">
        <v>456</v>
      </c>
      <c r="AL1150">
        <v>38.996701000000002</v>
      </c>
      <c r="AM1150" t="s">
        <v>414</v>
      </c>
      <c r="AN1150">
        <v>-121.052492</v>
      </c>
      <c r="AO1150">
        <v>25</v>
      </c>
      <c r="AP1150">
        <v>3300</v>
      </c>
      <c r="AQ1150" t="s">
        <v>131</v>
      </c>
      <c r="AR1150">
        <v>-7</v>
      </c>
      <c r="AS1150">
        <v>86</v>
      </c>
      <c r="AT1150">
        <v>320</v>
      </c>
      <c r="BB1150" t="str">
        <f t="shared" si="434"/>
        <v>1200</v>
      </c>
      <c r="BC1150">
        <v>1</v>
      </c>
      <c r="BD1150" t="str">
        <f t="shared" si="435"/>
        <v xml:space="preserve">N52156  </v>
      </c>
      <c r="BE1150">
        <v>1</v>
      </c>
      <c r="BG1150">
        <v>0</v>
      </c>
      <c r="BH1150">
        <v>0</v>
      </c>
      <c r="BI1150">
        <v>0</v>
      </c>
      <c r="BJ1150">
        <v>3325</v>
      </c>
      <c r="BK1150">
        <v>25</v>
      </c>
      <c r="BL1150" t="s">
        <v>188</v>
      </c>
      <c r="BM1150">
        <v>1</v>
      </c>
      <c r="BN1150">
        <v>1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 t="shared" si="455"/>
        <v>15:07:43.349</v>
      </c>
      <c r="CF1150">
        <v>349202700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133</v>
      </c>
      <c r="DA1150">
        <v>275</v>
      </c>
      <c r="DB1150">
        <v>0</v>
      </c>
      <c r="DC1150" t="s">
        <v>134</v>
      </c>
      <c r="DD1150" t="s">
        <v>135</v>
      </c>
      <c r="DG1150">
        <v>3319864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"05/01/2025 15:07:43.594"</f>
        <v>05/01/2025 15:07:43.594</v>
      </c>
      <c r="C1151" t="str">
        <f t="shared" si="432"/>
        <v>FFDFD3C0</v>
      </c>
      <c r="D1151" t="s">
        <v>124</v>
      </c>
      <c r="E1151" t="str">
        <f>"06"</f>
        <v>06</v>
      </c>
      <c r="F1151">
        <v>2006</v>
      </c>
      <c r="G1151" t="s">
        <v>125</v>
      </c>
      <c r="J1151" t="s">
        <v>126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R1151" t="s">
        <v>127</v>
      </c>
      <c r="S1151" t="str">
        <f t="shared" si="454"/>
        <v>15:07:43.000</v>
      </c>
      <c r="T1151" t="str">
        <f t="shared" si="454"/>
        <v>15:07:43.000</v>
      </c>
      <c r="U1151" t="str">
        <f t="shared" si="433"/>
        <v>A68FCB</v>
      </c>
      <c r="V1151">
        <v>0</v>
      </c>
      <c r="W1151">
        <v>0</v>
      </c>
      <c r="X1151">
        <v>2</v>
      </c>
      <c r="Y1151">
        <v>0</v>
      </c>
      <c r="AA1151">
        <v>1</v>
      </c>
      <c r="AB1151">
        <v>8</v>
      </c>
      <c r="AC1151">
        <v>3</v>
      </c>
      <c r="AD1151">
        <v>0</v>
      </c>
      <c r="AE1151">
        <v>9</v>
      </c>
      <c r="AF1151" t="s">
        <v>138</v>
      </c>
      <c r="AG1151">
        <v>0</v>
      </c>
      <c r="AH1151">
        <v>3</v>
      </c>
      <c r="AI1151">
        <v>2</v>
      </c>
      <c r="AJ1151">
        <v>0</v>
      </c>
      <c r="AK1151" t="s">
        <v>456</v>
      </c>
      <c r="AL1151">
        <v>38.996701000000002</v>
      </c>
      <c r="AM1151" t="s">
        <v>414</v>
      </c>
      <c r="AN1151">
        <v>-121.052492</v>
      </c>
      <c r="AO1151">
        <v>25</v>
      </c>
      <c r="AP1151">
        <v>3300</v>
      </c>
      <c r="AQ1151" t="s">
        <v>131</v>
      </c>
      <c r="AR1151">
        <v>-7</v>
      </c>
      <c r="AS1151">
        <v>86</v>
      </c>
      <c r="AT1151">
        <v>320</v>
      </c>
      <c r="BB1151" t="str">
        <f t="shared" si="434"/>
        <v>1200</v>
      </c>
      <c r="BC1151">
        <v>1</v>
      </c>
      <c r="BD1151" t="str">
        <f t="shared" si="435"/>
        <v xml:space="preserve">N52156  </v>
      </c>
      <c r="BE1151">
        <v>1</v>
      </c>
      <c r="BG1151">
        <v>0</v>
      </c>
      <c r="BH1151">
        <v>0</v>
      </c>
      <c r="BI1151">
        <v>0</v>
      </c>
      <c r="BJ1151">
        <v>3325</v>
      </c>
      <c r="BK1151">
        <v>25</v>
      </c>
      <c r="BL1151" t="s">
        <v>188</v>
      </c>
      <c r="BM1151">
        <v>1</v>
      </c>
      <c r="BN1151">
        <v>1</v>
      </c>
      <c r="BO1151">
        <v>0</v>
      </c>
      <c r="BP1151">
        <v>0</v>
      </c>
      <c r="BS1151">
        <v>0</v>
      </c>
      <c r="BT1151">
        <v>0</v>
      </c>
      <c r="BU1151">
        <v>0</v>
      </c>
      <c r="CE1151" t="str">
        <f t="shared" si="455"/>
        <v>15:07:43.349</v>
      </c>
      <c r="CF1151">
        <v>349202700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133</v>
      </c>
      <c r="DA1151">
        <v>275</v>
      </c>
      <c r="DB1151">
        <v>0</v>
      </c>
      <c r="DC1151" t="s">
        <v>134</v>
      </c>
      <c r="DD1151" t="s">
        <v>135</v>
      </c>
      <c r="DG1151">
        <v>3319864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"05/01/2025 15:07:43.596"</f>
        <v>05/01/2025 15:07:43.596</v>
      </c>
      <c r="C1152" t="str">
        <f t="shared" si="432"/>
        <v>FFDFD3C0</v>
      </c>
      <c r="D1152" t="s">
        <v>143</v>
      </c>
      <c r="E1152" t="str">
        <f>"05"</f>
        <v>05</v>
      </c>
      <c r="H1152">
        <v>172</v>
      </c>
      <c r="I1152" t="s">
        <v>141</v>
      </c>
      <c r="J1152" t="s">
        <v>144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R1152" t="s">
        <v>127</v>
      </c>
      <c r="S1152" t="str">
        <f t="shared" si="454"/>
        <v>15:07:43.000</v>
      </c>
      <c r="T1152" t="str">
        <f t="shared" si="454"/>
        <v>15:07:43.000</v>
      </c>
      <c r="U1152" t="str">
        <f t="shared" si="433"/>
        <v>A68FCB</v>
      </c>
      <c r="V1152">
        <v>0</v>
      </c>
      <c r="W1152">
        <v>0</v>
      </c>
      <c r="X1152">
        <v>2</v>
      </c>
      <c r="Y1152">
        <v>0</v>
      </c>
      <c r="AA1152">
        <v>1</v>
      </c>
      <c r="AB1152">
        <v>8</v>
      </c>
      <c r="AC1152">
        <v>3</v>
      </c>
      <c r="AD1152">
        <v>0</v>
      </c>
      <c r="AE1152">
        <v>9</v>
      </c>
      <c r="AF1152" t="s">
        <v>138</v>
      </c>
      <c r="AG1152">
        <v>0</v>
      </c>
      <c r="AH1152">
        <v>3</v>
      </c>
      <c r="AI1152">
        <v>2</v>
      </c>
      <c r="AJ1152">
        <v>0</v>
      </c>
      <c r="AK1152" t="s">
        <v>456</v>
      </c>
      <c r="AL1152">
        <v>38.996701000000002</v>
      </c>
      <c r="AM1152" t="s">
        <v>414</v>
      </c>
      <c r="AN1152">
        <v>-121.052492</v>
      </c>
      <c r="AO1152">
        <v>25</v>
      </c>
      <c r="AP1152">
        <v>3300</v>
      </c>
      <c r="AQ1152" t="s">
        <v>131</v>
      </c>
      <c r="AR1152">
        <v>-7</v>
      </c>
      <c r="AS1152">
        <v>86</v>
      </c>
      <c r="AT1152">
        <v>320</v>
      </c>
      <c r="BB1152" t="str">
        <f t="shared" si="434"/>
        <v>1200</v>
      </c>
      <c r="BC1152">
        <v>1</v>
      </c>
      <c r="BD1152" t="str">
        <f t="shared" si="435"/>
        <v xml:space="preserve">N52156  </v>
      </c>
      <c r="BE1152">
        <v>1</v>
      </c>
      <c r="BG1152">
        <v>0</v>
      </c>
      <c r="BH1152">
        <v>0</v>
      </c>
      <c r="BI1152">
        <v>0</v>
      </c>
      <c r="BJ1152">
        <v>3325</v>
      </c>
      <c r="BK1152">
        <v>25</v>
      </c>
      <c r="BL1152" t="s">
        <v>188</v>
      </c>
      <c r="BM1152">
        <v>1</v>
      </c>
      <c r="BN1152">
        <v>1</v>
      </c>
      <c r="BO1152">
        <v>0</v>
      </c>
      <c r="BP1152">
        <v>0</v>
      </c>
      <c r="BS1152">
        <v>0</v>
      </c>
      <c r="BT1152">
        <v>0</v>
      </c>
      <c r="BU1152">
        <v>0</v>
      </c>
      <c r="CE1152" t="str">
        <f t="shared" si="455"/>
        <v>15:07:43.349</v>
      </c>
      <c r="CF1152">
        <v>349202700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133</v>
      </c>
      <c r="DA1152">
        <v>275</v>
      </c>
      <c r="DB1152">
        <v>0</v>
      </c>
      <c r="DC1152" t="s">
        <v>134</v>
      </c>
      <c r="DD1152" t="s">
        <v>135</v>
      </c>
      <c r="DG1152">
        <v>3319864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"05/01/2025 15:07:43.596"</f>
        <v>05/01/2025 15:07:43.596</v>
      </c>
      <c r="C1153" t="str">
        <f t="shared" si="432"/>
        <v>FFDFD3C0</v>
      </c>
      <c r="D1153" t="s">
        <v>145</v>
      </c>
      <c r="E1153" t="str">
        <f>"09"</f>
        <v>09</v>
      </c>
      <c r="H1153">
        <v>51</v>
      </c>
      <c r="I1153" t="s">
        <v>147</v>
      </c>
      <c r="J1153" t="s">
        <v>138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R1153" t="s">
        <v>127</v>
      </c>
      <c r="S1153" t="str">
        <f t="shared" si="454"/>
        <v>15:07:43.000</v>
      </c>
      <c r="T1153" t="str">
        <f t="shared" si="454"/>
        <v>15:07:43.000</v>
      </c>
      <c r="U1153" t="str">
        <f t="shared" si="433"/>
        <v>A68FCB</v>
      </c>
      <c r="V1153">
        <v>0</v>
      </c>
      <c r="W1153">
        <v>0</v>
      </c>
      <c r="X1153">
        <v>2</v>
      </c>
      <c r="Y1153">
        <v>0</v>
      </c>
      <c r="AA1153">
        <v>1</v>
      </c>
      <c r="AB1153">
        <v>8</v>
      </c>
      <c r="AC1153">
        <v>3</v>
      </c>
      <c r="AD1153">
        <v>0</v>
      </c>
      <c r="AE1153">
        <v>9</v>
      </c>
      <c r="AF1153" t="s">
        <v>138</v>
      </c>
      <c r="AG1153">
        <v>0</v>
      </c>
      <c r="AH1153">
        <v>3</v>
      </c>
      <c r="AI1153">
        <v>2</v>
      </c>
      <c r="AJ1153">
        <v>0</v>
      </c>
      <c r="AK1153" t="s">
        <v>456</v>
      </c>
      <c r="AL1153">
        <v>38.996701000000002</v>
      </c>
      <c r="AM1153" t="s">
        <v>414</v>
      </c>
      <c r="AN1153">
        <v>-121.052492</v>
      </c>
      <c r="AO1153">
        <v>25</v>
      </c>
      <c r="AP1153">
        <v>3300</v>
      </c>
      <c r="AQ1153" t="s">
        <v>131</v>
      </c>
      <c r="AR1153">
        <v>-7</v>
      </c>
      <c r="AS1153">
        <v>86</v>
      </c>
      <c r="AT1153">
        <v>320</v>
      </c>
      <c r="BB1153" t="str">
        <f t="shared" si="434"/>
        <v>1200</v>
      </c>
      <c r="BC1153">
        <v>1</v>
      </c>
      <c r="BD1153" t="str">
        <f t="shared" si="435"/>
        <v xml:space="preserve">N52156  </v>
      </c>
      <c r="BE1153">
        <v>1</v>
      </c>
      <c r="BG1153">
        <v>0</v>
      </c>
      <c r="BH1153">
        <v>0</v>
      </c>
      <c r="BI1153">
        <v>0</v>
      </c>
      <c r="BJ1153">
        <v>3325</v>
      </c>
      <c r="BK1153">
        <v>25</v>
      </c>
      <c r="BL1153" t="s">
        <v>188</v>
      </c>
      <c r="BM1153">
        <v>1</v>
      </c>
      <c r="BN1153">
        <v>1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 t="shared" si="455"/>
        <v>15:07:43.349</v>
      </c>
      <c r="CF1153">
        <v>349202700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133</v>
      </c>
      <c r="DA1153">
        <v>275</v>
      </c>
      <c r="DB1153">
        <v>0</v>
      </c>
      <c r="DC1153" t="s">
        <v>134</v>
      </c>
      <c r="DD1153" t="s">
        <v>135</v>
      </c>
      <c r="DG1153">
        <v>3319864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"05/01/2025 15:07:44.489"</f>
        <v>05/01/2025 15:07:44.489</v>
      </c>
      <c r="C1154" t="str">
        <f t="shared" ref="C1154:C1217" si="456">"FFDFD3C0"</f>
        <v>FFDFD3C0</v>
      </c>
      <c r="D1154" t="s">
        <v>140</v>
      </c>
      <c r="E1154" t="str">
        <f>"13"</f>
        <v>13</v>
      </c>
      <c r="F1154">
        <v>1019</v>
      </c>
      <c r="G1154" t="s">
        <v>141</v>
      </c>
      <c r="J1154" t="s">
        <v>142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R1154" t="s">
        <v>127</v>
      </c>
      <c r="S1154" t="str">
        <f t="shared" ref="S1154:T1159" si="457">"15:07:44.000"</f>
        <v>15:07:44.000</v>
      </c>
      <c r="T1154" t="str">
        <f t="shared" si="457"/>
        <v>15:07:44.000</v>
      </c>
      <c r="U1154" t="str">
        <f t="shared" ref="U1154:U1217" si="458">"A68FCB"</f>
        <v>A68FCB</v>
      </c>
      <c r="V1154">
        <v>0</v>
      </c>
      <c r="W1154">
        <v>0</v>
      </c>
      <c r="X1154">
        <v>2</v>
      </c>
      <c r="Y1154">
        <v>0</v>
      </c>
      <c r="AA1154">
        <v>1</v>
      </c>
      <c r="AB1154">
        <v>8</v>
      </c>
      <c r="AC1154">
        <v>3</v>
      </c>
      <c r="AD1154">
        <v>0</v>
      </c>
      <c r="AE1154">
        <v>9</v>
      </c>
      <c r="AF1154" t="s">
        <v>138</v>
      </c>
      <c r="AG1154">
        <v>0</v>
      </c>
      <c r="AH1154">
        <v>3</v>
      </c>
      <c r="AI1154">
        <v>2</v>
      </c>
      <c r="AJ1154">
        <v>0</v>
      </c>
      <c r="AK1154" t="s">
        <v>457</v>
      </c>
      <c r="AL1154">
        <v>38.997129999999999</v>
      </c>
      <c r="AM1154" t="s">
        <v>447</v>
      </c>
      <c r="AN1154">
        <v>-121.05253500000001</v>
      </c>
      <c r="AO1154">
        <v>25</v>
      </c>
      <c r="AP1154">
        <v>3400</v>
      </c>
      <c r="AQ1154" t="s">
        <v>131</v>
      </c>
      <c r="AR1154">
        <v>-9</v>
      </c>
      <c r="AS1154">
        <v>87</v>
      </c>
      <c r="AT1154">
        <v>320</v>
      </c>
      <c r="BB1154" t="str">
        <f t="shared" ref="BB1154:BB1217" si="459">"1200"</f>
        <v>1200</v>
      </c>
      <c r="BC1154">
        <v>1</v>
      </c>
      <c r="BD1154" t="str">
        <f t="shared" ref="BD1154:BD1217" si="460">"N52156  "</f>
        <v xml:space="preserve">N52156  </v>
      </c>
      <c r="BE1154">
        <v>1</v>
      </c>
      <c r="BG1154">
        <v>0</v>
      </c>
      <c r="BH1154">
        <v>0</v>
      </c>
      <c r="BI1154">
        <v>0</v>
      </c>
      <c r="BJ1154">
        <v>3325</v>
      </c>
      <c r="BK1154">
        <v>-75</v>
      </c>
      <c r="BL1154" t="s">
        <v>188</v>
      </c>
      <c r="BM1154">
        <v>1</v>
      </c>
      <c r="BN1154">
        <v>1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 t="shared" ref="CE1154:CE1159" si="461">"15:07:44.267"</f>
        <v>15:07:44.267</v>
      </c>
      <c r="CF1154">
        <v>266702543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133</v>
      </c>
      <c r="DA1154">
        <v>275</v>
      </c>
      <c r="DB1154">
        <v>0</v>
      </c>
      <c r="DC1154" t="s">
        <v>134</v>
      </c>
      <c r="DD1154" t="s">
        <v>135</v>
      </c>
      <c r="DG1154">
        <v>3319875</v>
      </c>
      <c r="DI1154">
        <v>1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"05/01/2025 15:07:44.496"</f>
        <v>05/01/2025 15:07:44.496</v>
      </c>
      <c r="C1155" t="str">
        <f t="shared" si="456"/>
        <v>FFDFD3C0</v>
      </c>
      <c r="D1155" t="s">
        <v>124</v>
      </c>
      <c r="E1155" t="str">
        <f>"06"</f>
        <v>06</v>
      </c>
      <c r="F1155">
        <v>2006</v>
      </c>
      <c r="G1155" t="s">
        <v>125</v>
      </c>
      <c r="J1155" t="s">
        <v>126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R1155" t="s">
        <v>127</v>
      </c>
      <c r="S1155" t="str">
        <f t="shared" si="457"/>
        <v>15:07:44.000</v>
      </c>
      <c r="T1155" t="str">
        <f t="shared" si="457"/>
        <v>15:07:44.000</v>
      </c>
      <c r="U1155" t="str">
        <f t="shared" si="458"/>
        <v>A68FCB</v>
      </c>
      <c r="V1155">
        <v>0</v>
      </c>
      <c r="W1155">
        <v>0</v>
      </c>
      <c r="X1155">
        <v>2</v>
      </c>
      <c r="Y1155">
        <v>0</v>
      </c>
      <c r="AA1155">
        <v>1</v>
      </c>
      <c r="AB1155">
        <v>8</v>
      </c>
      <c r="AC1155">
        <v>3</v>
      </c>
      <c r="AD1155">
        <v>0</v>
      </c>
      <c r="AE1155">
        <v>9</v>
      </c>
      <c r="AF1155" t="s">
        <v>138</v>
      </c>
      <c r="AG1155">
        <v>0</v>
      </c>
      <c r="AH1155">
        <v>3</v>
      </c>
      <c r="AI1155">
        <v>2</v>
      </c>
      <c r="AJ1155">
        <v>0</v>
      </c>
      <c r="AK1155" t="s">
        <v>457</v>
      </c>
      <c r="AL1155">
        <v>38.997129999999999</v>
      </c>
      <c r="AM1155" t="s">
        <v>447</v>
      </c>
      <c r="AN1155">
        <v>-121.05253500000001</v>
      </c>
      <c r="AO1155">
        <v>25</v>
      </c>
      <c r="AP1155">
        <v>3400</v>
      </c>
      <c r="AQ1155" t="s">
        <v>131</v>
      </c>
      <c r="AR1155">
        <v>-9</v>
      </c>
      <c r="AS1155">
        <v>87</v>
      </c>
      <c r="AT1155">
        <v>320</v>
      </c>
      <c r="BB1155" t="str">
        <f t="shared" si="459"/>
        <v>1200</v>
      </c>
      <c r="BC1155">
        <v>1</v>
      </c>
      <c r="BD1155" t="str">
        <f t="shared" si="460"/>
        <v xml:space="preserve">N52156  </v>
      </c>
      <c r="BE1155">
        <v>1</v>
      </c>
      <c r="BG1155">
        <v>0</v>
      </c>
      <c r="BH1155">
        <v>0</v>
      </c>
      <c r="BI1155">
        <v>0</v>
      </c>
      <c r="BJ1155">
        <v>3325</v>
      </c>
      <c r="BK1155">
        <v>-75</v>
      </c>
      <c r="BL1155" t="s">
        <v>188</v>
      </c>
      <c r="BM1155">
        <v>1</v>
      </c>
      <c r="BN1155">
        <v>1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 t="shared" si="461"/>
        <v>15:07:44.267</v>
      </c>
      <c r="CF1155">
        <v>266702543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133</v>
      </c>
      <c r="DA1155">
        <v>275</v>
      </c>
      <c r="DB1155">
        <v>0</v>
      </c>
      <c r="DC1155" t="s">
        <v>134</v>
      </c>
      <c r="DD1155" t="s">
        <v>135</v>
      </c>
      <c r="DG1155">
        <v>3319875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"05/01/2025 15:07:44.498"</f>
        <v>05/01/2025 15:07:44.498</v>
      </c>
      <c r="C1156" t="str">
        <f t="shared" si="456"/>
        <v>FFDFD3C0</v>
      </c>
      <c r="D1156" t="s">
        <v>143</v>
      </c>
      <c r="E1156" t="str">
        <f>"05"</f>
        <v>05</v>
      </c>
      <c r="H1156">
        <v>172</v>
      </c>
      <c r="I1156" t="s">
        <v>141</v>
      </c>
      <c r="J1156" t="s">
        <v>144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R1156" t="s">
        <v>127</v>
      </c>
      <c r="S1156" t="str">
        <f t="shared" si="457"/>
        <v>15:07:44.000</v>
      </c>
      <c r="T1156" t="str">
        <f t="shared" si="457"/>
        <v>15:07:44.000</v>
      </c>
      <c r="U1156" t="str">
        <f t="shared" si="458"/>
        <v>A68FCB</v>
      </c>
      <c r="V1156">
        <v>0</v>
      </c>
      <c r="W1156">
        <v>0</v>
      </c>
      <c r="X1156">
        <v>2</v>
      </c>
      <c r="Y1156">
        <v>0</v>
      </c>
      <c r="AA1156">
        <v>1</v>
      </c>
      <c r="AB1156">
        <v>8</v>
      </c>
      <c r="AC1156">
        <v>3</v>
      </c>
      <c r="AD1156">
        <v>0</v>
      </c>
      <c r="AE1156">
        <v>9</v>
      </c>
      <c r="AF1156" t="s">
        <v>138</v>
      </c>
      <c r="AG1156">
        <v>0</v>
      </c>
      <c r="AH1156">
        <v>3</v>
      </c>
      <c r="AI1156">
        <v>2</v>
      </c>
      <c r="AJ1156">
        <v>0</v>
      </c>
      <c r="AK1156" t="s">
        <v>457</v>
      </c>
      <c r="AL1156">
        <v>38.997129999999999</v>
      </c>
      <c r="AM1156" t="s">
        <v>447</v>
      </c>
      <c r="AN1156">
        <v>-121.05253500000001</v>
      </c>
      <c r="AO1156">
        <v>25</v>
      </c>
      <c r="AP1156">
        <v>3400</v>
      </c>
      <c r="AQ1156" t="s">
        <v>131</v>
      </c>
      <c r="AR1156">
        <v>-9</v>
      </c>
      <c r="AS1156">
        <v>87</v>
      </c>
      <c r="AT1156">
        <v>320</v>
      </c>
      <c r="BB1156" t="str">
        <f t="shared" si="459"/>
        <v>1200</v>
      </c>
      <c r="BC1156">
        <v>1</v>
      </c>
      <c r="BD1156" t="str">
        <f t="shared" si="460"/>
        <v xml:space="preserve">N52156  </v>
      </c>
      <c r="BE1156">
        <v>1</v>
      </c>
      <c r="BG1156">
        <v>0</v>
      </c>
      <c r="BH1156">
        <v>0</v>
      </c>
      <c r="BI1156">
        <v>0</v>
      </c>
      <c r="BJ1156">
        <v>3325</v>
      </c>
      <c r="BK1156">
        <v>-75</v>
      </c>
      <c r="BL1156" t="s">
        <v>188</v>
      </c>
      <c r="BM1156">
        <v>1</v>
      </c>
      <c r="BN1156">
        <v>1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 t="shared" si="461"/>
        <v>15:07:44.267</v>
      </c>
      <c r="CF1156">
        <v>266702543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133</v>
      </c>
      <c r="DA1156">
        <v>275</v>
      </c>
      <c r="DB1156">
        <v>0</v>
      </c>
      <c r="DC1156" t="s">
        <v>134</v>
      </c>
      <c r="DD1156" t="s">
        <v>135</v>
      </c>
      <c r="DG1156">
        <v>3319875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"05/01/2025 15:07:44.498"</f>
        <v>05/01/2025 15:07:44.498</v>
      </c>
      <c r="C1157" t="str">
        <f t="shared" si="456"/>
        <v>FFDFD3C0</v>
      </c>
      <c r="D1157" t="s">
        <v>145</v>
      </c>
      <c r="E1157" t="str">
        <f>"09"</f>
        <v>09</v>
      </c>
      <c r="H1157">
        <v>51</v>
      </c>
      <c r="I1157" t="s">
        <v>147</v>
      </c>
      <c r="J1157" t="s">
        <v>138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R1157" t="s">
        <v>127</v>
      </c>
      <c r="S1157" t="str">
        <f t="shared" si="457"/>
        <v>15:07:44.000</v>
      </c>
      <c r="T1157" t="str">
        <f t="shared" si="457"/>
        <v>15:07:44.000</v>
      </c>
      <c r="U1157" t="str">
        <f t="shared" si="458"/>
        <v>A68FCB</v>
      </c>
      <c r="V1157">
        <v>0</v>
      </c>
      <c r="W1157">
        <v>0</v>
      </c>
      <c r="X1157">
        <v>2</v>
      </c>
      <c r="Y1157">
        <v>0</v>
      </c>
      <c r="AA1157">
        <v>1</v>
      </c>
      <c r="AB1157">
        <v>8</v>
      </c>
      <c r="AC1157">
        <v>3</v>
      </c>
      <c r="AD1157">
        <v>0</v>
      </c>
      <c r="AE1157">
        <v>9</v>
      </c>
      <c r="AF1157" t="s">
        <v>138</v>
      </c>
      <c r="AG1157">
        <v>0</v>
      </c>
      <c r="AH1157">
        <v>3</v>
      </c>
      <c r="AI1157">
        <v>2</v>
      </c>
      <c r="AJ1157">
        <v>0</v>
      </c>
      <c r="AK1157" t="s">
        <v>457</v>
      </c>
      <c r="AL1157">
        <v>38.997129999999999</v>
      </c>
      <c r="AM1157" t="s">
        <v>447</v>
      </c>
      <c r="AN1157">
        <v>-121.05253500000001</v>
      </c>
      <c r="AO1157">
        <v>25</v>
      </c>
      <c r="AP1157">
        <v>3400</v>
      </c>
      <c r="AQ1157" t="s">
        <v>131</v>
      </c>
      <c r="AR1157">
        <v>-9</v>
      </c>
      <c r="AS1157">
        <v>87</v>
      </c>
      <c r="AT1157">
        <v>320</v>
      </c>
      <c r="BB1157" t="str">
        <f t="shared" si="459"/>
        <v>1200</v>
      </c>
      <c r="BC1157">
        <v>1</v>
      </c>
      <c r="BD1157" t="str">
        <f t="shared" si="460"/>
        <v xml:space="preserve">N52156  </v>
      </c>
      <c r="BE1157">
        <v>1</v>
      </c>
      <c r="BG1157">
        <v>0</v>
      </c>
      <c r="BH1157">
        <v>0</v>
      </c>
      <c r="BI1157">
        <v>0</v>
      </c>
      <c r="BJ1157">
        <v>3325</v>
      </c>
      <c r="BK1157">
        <v>-75</v>
      </c>
      <c r="BL1157" t="s">
        <v>188</v>
      </c>
      <c r="BM1157">
        <v>1</v>
      </c>
      <c r="BN1157">
        <v>1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 t="shared" si="461"/>
        <v>15:07:44.267</v>
      </c>
      <c r="CF1157">
        <v>266702543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133</v>
      </c>
      <c r="DA1157">
        <v>275</v>
      </c>
      <c r="DB1157">
        <v>0</v>
      </c>
      <c r="DC1157" t="s">
        <v>134</v>
      </c>
      <c r="DD1157" t="s">
        <v>135</v>
      </c>
      <c r="DG1157">
        <v>3319875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"05/01/2025 15:07:44.494"</f>
        <v>05/01/2025 15:07:44.494</v>
      </c>
      <c r="C1158" t="str">
        <f t="shared" si="456"/>
        <v>FFDFD3C0</v>
      </c>
      <c r="D1158" t="s">
        <v>145</v>
      </c>
      <c r="E1158" t="str">
        <f>"05"</f>
        <v>05</v>
      </c>
      <c r="H1158">
        <v>47</v>
      </c>
      <c r="I1158" t="s">
        <v>146</v>
      </c>
      <c r="J1158" t="s">
        <v>138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R1158" t="s">
        <v>127</v>
      </c>
      <c r="S1158" t="str">
        <f t="shared" si="457"/>
        <v>15:07:44.000</v>
      </c>
      <c r="T1158" t="str">
        <f t="shared" si="457"/>
        <v>15:07:44.000</v>
      </c>
      <c r="U1158" t="str">
        <f t="shared" si="458"/>
        <v>A68FCB</v>
      </c>
      <c r="V1158">
        <v>0</v>
      </c>
      <c r="W1158">
        <v>0</v>
      </c>
      <c r="X1158">
        <v>2</v>
      </c>
      <c r="Y1158">
        <v>0</v>
      </c>
      <c r="AA1158">
        <v>1</v>
      </c>
      <c r="AB1158">
        <v>8</v>
      </c>
      <c r="AC1158">
        <v>3</v>
      </c>
      <c r="AD1158">
        <v>0</v>
      </c>
      <c r="AE1158">
        <v>9</v>
      </c>
      <c r="AF1158" t="s">
        <v>138</v>
      </c>
      <c r="AG1158">
        <v>0</v>
      </c>
      <c r="AH1158">
        <v>3</v>
      </c>
      <c r="AI1158">
        <v>2</v>
      </c>
      <c r="AJ1158">
        <v>0</v>
      </c>
      <c r="AK1158" t="s">
        <v>457</v>
      </c>
      <c r="AL1158">
        <v>38.997129999999999</v>
      </c>
      <c r="AM1158" t="s">
        <v>447</v>
      </c>
      <c r="AN1158">
        <v>-121.05253500000001</v>
      </c>
      <c r="AO1158">
        <v>25</v>
      </c>
      <c r="AP1158">
        <v>3400</v>
      </c>
      <c r="AQ1158" t="s">
        <v>131</v>
      </c>
      <c r="AR1158">
        <v>-9</v>
      </c>
      <c r="AS1158">
        <v>87</v>
      </c>
      <c r="AT1158">
        <v>320</v>
      </c>
      <c r="BB1158" t="str">
        <f t="shared" si="459"/>
        <v>1200</v>
      </c>
      <c r="BC1158">
        <v>1</v>
      </c>
      <c r="BD1158" t="str">
        <f t="shared" si="460"/>
        <v xml:space="preserve">N52156  </v>
      </c>
      <c r="BE1158">
        <v>1</v>
      </c>
      <c r="BG1158">
        <v>0</v>
      </c>
      <c r="BH1158">
        <v>0</v>
      </c>
      <c r="BI1158">
        <v>0</v>
      </c>
      <c r="BJ1158">
        <v>3325</v>
      </c>
      <c r="BK1158">
        <v>-75</v>
      </c>
      <c r="BL1158" t="s">
        <v>188</v>
      </c>
      <c r="BM1158">
        <v>1</v>
      </c>
      <c r="BN1158">
        <v>1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 t="shared" si="461"/>
        <v>15:07:44.267</v>
      </c>
      <c r="CF1158">
        <v>266702543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5</v>
      </c>
      <c r="CY1158">
        <v>7</v>
      </c>
      <c r="CZ1158" t="s">
        <v>133</v>
      </c>
      <c r="DA1158">
        <v>275</v>
      </c>
      <c r="DB1158">
        <v>0</v>
      </c>
      <c r="DC1158" t="s">
        <v>134</v>
      </c>
      <c r="DD1158" t="s">
        <v>135</v>
      </c>
      <c r="DG1158">
        <v>3319875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"05/01/2025 15:07:44.504"</f>
        <v>05/01/2025 15:07:44.504</v>
      </c>
      <c r="C1159" t="str">
        <f t="shared" si="456"/>
        <v>FFDFD3C0</v>
      </c>
      <c r="D1159" t="s">
        <v>136</v>
      </c>
      <c r="E1159" t="str">
        <f>"20"</f>
        <v>20</v>
      </c>
      <c r="H1159">
        <v>400</v>
      </c>
      <c r="I1159" t="s">
        <v>137</v>
      </c>
      <c r="J1159" t="s">
        <v>138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R1159" t="s">
        <v>127</v>
      </c>
      <c r="S1159" t="str">
        <f t="shared" si="457"/>
        <v>15:07:44.000</v>
      </c>
      <c r="T1159" t="str">
        <f t="shared" si="457"/>
        <v>15:07:44.000</v>
      </c>
      <c r="U1159" t="str">
        <f t="shared" si="458"/>
        <v>A68FCB</v>
      </c>
      <c r="V1159">
        <v>0</v>
      </c>
      <c r="W1159">
        <v>0</v>
      </c>
      <c r="X1159">
        <v>2</v>
      </c>
      <c r="Y1159">
        <v>0</v>
      </c>
      <c r="AA1159">
        <v>1</v>
      </c>
      <c r="AB1159">
        <v>8</v>
      </c>
      <c r="AC1159">
        <v>3</v>
      </c>
      <c r="AD1159">
        <v>0</v>
      </c>
      <c r="AE1159">
        <v>9</v>
      </c>
      <c r="AF1159" t="s">
        <v>138</v>
      </c>
      <c r="AG1159">
        <v>0</v>
      </c>
      <c r="AH1159">
        <v>3</v>
      </c>
      <c r="AI1159">
        <v>2</v>
      </c>
      <c r="AJ1159">
        <v>0</v>
      </c>
      <c r="AK1159" t="s">
        <v>457</v>
      </c>
      <c r="AL1159">
        <v>38.997129999999999</v>
      </c>
      <c r="AM1159" t="s">
        <v>447</v>
      </c>
      <c r="AN1159">
        <v>-121.05253500000001</v>
      </c>
      <c r="AO1159">
        <v>25</v>
      </c>
      <c r="AP1159">
        <v>3400</v>
      </c>
      <c r="AQ1159" t="s">
        <v>131</v>
      </c>
      <c r="AR1159">
        <v>-9</v>
      </c>
      <c r="AS1159">
        <v>87</v>
      </c>
      <c r="AT1159">
        <v>320</v>
      </c>
      <c r="BB1159" t="str">
        <f t="shared" si="459"/>
        <v>1200</v>
      </c>
      <c r="BC1159">
        <v>1</v>
      </c>
      <c r="BD1159" t="str">
        <f t="shared" si="460"/>
        <v xml:space="preserve">N52156  </v>
      </c>
      <c r="BE1159">
        <v>1</v>
      </c>
      <c r="BG1159">
        <v>0</v>
      </c>
      <c r="BH1159">
        <v>0</v>
      </c>
      <c r="BI1159">
        <v>0</v>
      </c>
      <c r="BJ1159">
        <v>3325</v>
      </c>
      <c r="BK1159">
        <v>-75</v>
      </c>
      <c r="BL1159" t="s">
        <v>188</v>
      </c>
      <c r="BM1159">
        <v>1</v>
      </c>
      <c r="BN1159">
        <v>1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 t="shared" si="461"/>
        <v>15:07:44.267</v>
      </c>
      <c r="CF1159">
        <v>266702543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5</v>
      </c>
      <c r="CY1159">
        <v>7</v>
      </c>
      <c r="CZ1159" t="s">
        <v>133</v>
      </c>
      <c r="DA1159">
        <v>275</v>
      </c>
      <c r="DB1159">
        <v>0</v>
      </c>
      <c r="DC1159" t="s">
        <v>134</v>
      </c>
      <c r="DD1159" t="s">
        <v>135</v>
      </c>
      <c r="DG1159">
        <v>3319875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"05/01/2025 15:07:45.807"</f>
        <v>05/01/2025 15:07:45.807</v>
      </c>
      <c r="C1160" t="str">
        <f t="shared" si="456"/>
        <v>FFDFD3C0</v>
      </c>
      <c r="D1160" t="s">
        <v>136</v>
      </c>
      <c r="E1160" t="str">
        <f>"20"</f>
        <v>20</v>
      </c>
      <c r="H1160">
        <v>400</v>
      </c>
      <c r="I1160" t="s">
        <v>137</v>
      </c>
      <c r="J1160" t="s">
        <v>138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R1160" t="s">
        <v>127</v>
      </c>
      <c r="S1160" t="str">
        <f t="shared" ref="S1160:T1165" si="462">"15:07:45.000"</f>
        <v>15:07:45.000</v>
      </c>
      <c r="T1160" t="str">
        <f t="shared" si="462"/>
        <v>15:07:45.000</v>
      </c>
      <c r="U1160" t="str">
        <f t="shared" si="458"/>
        <v>A68FCB</v>
      </c>
      <c r="V1160">
        <v>0</v>
      </c>
      <c r="W1160">
        <v>0</v>
      </c>
      <c r="X1160">
        <v>2</v>
      </c>
      <c r="Y1160">
        <v>0</v>
      </c>
      <c r="AA1160">
        <v>1</v>
      </c>
      <c r="AB1160">
        <v>8</v>
      </c>
      <c r="AC1160">
        <v>3</v>
      </c>
      <c r="AD1160">
        <v>0</v>
      </c>
      <c r="AE1160">
        <v>9</v>
      </c>
      <c r="AF1160" t="s">
        <v>138</v>
      </c>
      <c r="AG1160">
        <v>0</v>
      </c>
      <c r="AH1160">
        <v>3</v>
      </c>
      <c r="AI1160">
        <v>2</v>
      </c>
      <c r="AJ1160">
        <v>0</v>
      </c>
      <c r="AK1160" t="s">
        <v>458</v>
      </c>
      <c r="AL1160">
        <v>38.997517000000002</v>
      </c>
      <c r="AM1160" t="s">
        <v>459</v>
      </c>
      <c r="AN1160">
        <v>-121.052599</v>
      </c>
      <c r="AO1160">
        <v>25</v>
      </c>
      <c r="AP1160">
        <v>3400</v>
      </c>
      <c r="AQ1160" t="s">
        <v>131</v>
      </c>
      <c r="AR1160">
        <v>-12</v>
      </c>
      <c r="AS1160">
        <v>88</v>
      </c>
      <c r="AT1160">
        <v>320</v>
      </c>
      <c r="BB1160" t="str">
        <f t="shared" si="459"/>
        <v>1200</v>
      </c>
      <c r="BC1160">
        <v>1</v>
      </c>
      <c r="BD1160" t="str">
        <f t="shared" si="460"/>
        <v xml:space="preserve">N52156  </v>
      </c>
      <c r="BE1160">
        <v>1</v>
      </c>
      <c r="BG1160">
        <v>0</v>
      </c>
      <c r="BH1160">
        <v>0</v>
      </c>
      <c r="BI1160">
        <v>0</v>
      </c>
      <c r="BJ1160">
        <v>3350</v>
      </c>
      <c r="BK1160">
        <v>-50</v>
      </c>
      <c r="BL1160" t="s">
        <v>188</v>
      </c>
      <c r="BM1160">
        <v>1</v>
      </c>
      <c r="BN1160">
        <v>1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 t="shared" ref="CE1160:CE1165" si="463">"15:07:45.574"</f>
        <v>15:07:45.574</v>
      </c>
      <c r="CF1160">
        <v>573703327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133</v>
      </c>
      <c r="DA1160">
        <v>275</v>
      </c>
      <c r="DB1160">
        <v>0</v>
      </c>
      <c r="DC1160" t="s">
        <v>134</v>
      </c>
      <c r="DD1160" t="s">
        <v>135</v>
      </c>
      <c r="DG1160">
        <v>3319889</v>
      </c>
      <c r="DI1160">
        <v>1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"05/01/2025 15:07:45.841"</f>
        <v>05/01/2025 15:07:45.841</v>
      </c>
      <c r="C1161" t="str">
        <f t="shared" si="456"/>
        <v>FFDFD3C0</v>
      </c>
      <c r="D1161" t="s">
        <v>140</v>
      </c>
      <c r="E1161" t="str">
        <f>"13"</f>
        <v>13</v>
      </c>
      <c r="F1161">
        <v>1019</v>
      </c>
      <c r="G1161" t="s">
        <v>141</v>
      </c>
      <c r="J1161" t="s">
        <v>142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R1161" t="s">
        <v>127</v>
      </c>
      <c r="S1161" t="str">
        <f t="shared" si="462"/>
        <v>15:07:45.000</v>
      </c>
      <c r="T1161" t="str">
        <f t="shared" si="462"/>
        <v>15:07:45.000</v>
      </c>
      <c r="U1161" t="str">
        <f t="shared" si="458"/>
        <v>A68FCB</v>
      </c>
      <c r="V1161">
        <v>0</v>
      </c>
      <c r="W1161">
        <v>0</v>
      </c>
      <c r="X1161">
        <v>2</v>
      </c>
      <c r="Y1161">
        <v>0</v>
      </c>
      <c r="AA1161">
        <v>1</v>
      </c>
      <c r="AB1161">
        <v>8</v>
      </c>
      <c r="AC1161">
        <v>3</v>
      </c>
      <c r="AD1161">
        <v>0</v>
      </c>
      <c r="AE1161">
        <v>9</v>
      </c>
      <c r="AF1161" t="s">
        <v>138</v>
      </c>
      <c r="AG1161">
        <v>0</v>
      </c>
      <c r="AH1161">
        <v>3</v>
      </c>
      <c r="AI1161">
        <v>2</v>
      </c>
      <c r="AJ1161">
        <v>0</v>
      </c>
      <c r="AK1161" t="s">
        <v>458</v>
      </c>
      <c r="AL1161">
        <v>38.997517000000002</v>
      </c>
      <c r="AM1161" t="s">
        <v>459</v>
      </c>
      <c r="AN1161">
        <v>-121.052599</v>
      </c>
      <c r="AO1161">
        <v>25</v>
      </c>
      <c r="AP1161">
        <v>3400</v>
      </c>
      <c r="AQ1161" t="s">
        <v>131</v>
      </c>
      <c r="AR1161">
        <v>-12</v>
      </c>
      <c r="AS1161">
        <v>88</v>
      </c>
      <c r="AT1161">
        <v>320</v>
      </c>
      <c r="BB1161" t="str">
        <f t="shared" si="459"/>
        <v>1200</v>
      </c>
      <c r="BC1161">
        <v>1</v>
      </c>
      <c r="BD1161" t="str">
        <f t="shared" si="460"/>
        <v xml:space="preserve">N52156  </v>
      </c>
      <c r="BE1161">
        <v>1</v>
      </c>
      <c r="BG1161">
        <v>0</v>
      </c>
      <c r="BH1161">
        <v>0</v>
      </c>
      <c r="BI1161">
        <v>0</v>
      </c>
      <c r="BJ1161">
        <v>3350</v>
      </c>
      <c r="BK1161">
        <v>-50</v>
      </c>
      <c r="BL1161" t="s">
        <v>188</v>
      </c>
      <c r="BM1161">
        <v>1</v>
      </c>
      <c r="BN1161">
        <v>1</v>
      </c>
      <c r="BO1161">
        <v>0</v>
      </c>
      <c r="BP1161">
        <v>0</v>
      </c>
      <c r="BS1161">
        <v>0</v>
      </c>
      <c r="BT1161">
        <v>0</v>
      </c>
      <c r="BU1161">
        <v>0</v>
      </c>
      <c r="CE1161" t="str">
        <f t="shared" si="463"/>
        <v>15:07:45.574</v>
      </c>
      <c r="CF1161">
        <v>573703327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5</v>
      </c>
      <c r="CY1161">
        <v>7</v>
      </c>
      <c r="CZ1161" t="s">
        <v>133</v>
      </c>
      <c r="DA1161">
        <v>275</v>
      </c>
      <c r="DB1161">
        <v>0</v>
      </c>
      <c r="DC1161" t="s">
        <v>134</v>
      </c>
      <c r="DD1161" t="s">
        <v>135</v>
      </c>
      <c r="DG1161">
        <v>3319889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"05/01/2025 15:07:45.846"</f>
        <v>05/01/2025 15:07:45.846</v>
      </c>
      <c r="C1162" t="str">
        <f t="shared" si="456"/>
        <v>FFDFD3C0</v>
      </c>
      <c r="D1162" t="s">
        <v>145</v>
      </c>
      <c r="E1162" t="str">
        <f>"05"</f>
        <v>05</v>
      </c>
      <c r="H1162">
        <v>47</v>
      </c>
      <c r="I1162" t="s">
        <v>146</v>
      </c>
      <c r="J1162" t="s">
        <v>138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R1162" t="s">
        <v>127</v>
      </c>
      <c r="S1162" t="str">
        <f t="shared" si="462"/>
        <v>15:07:45.000</v>
      </c>
      <c r="T1162" t="str">
        <f t="shared" si="462"/>
        <v>15:07:45.000</v>
      </c>
      <c r="U1162" t="str">
        <f t="shared" si="458"/>
        <v>A68FCB</v>
      </c>
      <c r="V1162">
        <v>0</v>
      </c>
      <c r="W1162">
        <v>0</v>
      </c>
      <c r="X1162">
        <v>2</v>
      </c>
      <c r="Y1162">
        <v>0</v>
      </c>
      <c r="AA1162">
        <v>1</v>
      </c>
      <c r="AB1162">
        <v>8</v>
      </c>
      <c r="AC1162">
        <v>3</v>
      </c>
      <c r="AD1162">
        <v>0</v>
      </c>
      <c r="AE1162">
        <v>9</v>
      </c>
      <c r="AF1162" t="s">
        <v>138</v>
      </c>
      <c r="AG1162">
        <v>0</v>
      </c>
      <c r="AH1162">
        <v>3</v>
      </c>
      <c r="AI1162">
        <v>2</v>
      </c>
      <c r="AJ1162">
        <v>0</v>
      </c>
      <c r="AK1162" t="s">
        <v>458</v>
      </c>
      <c r="AL1162">
        <v>38.997517000000002</v>
      </c>
      <c r="AM1162" t="s">
        <v>459</v>
      </c>
      <c r="AN1162">
        <v>-121.052599</v>
      </c>
      <c r="AO1162">
        <v>25</v>
      </c>
      <c r="AP1162">
        <v>3400</v>
      </c>
      <c r="AQ1162" t="s">
        <v>131</v>
      </c>
      <c r="AR1162">
        <v>-12</v>
      </c>
      <c r="AS1162">
        <v>88</v>
      </c>
      <c r="AT1162">
        <v>320</v>
      </c>
      <c r="BB1162" t="str">
        <f t="shared" si="459"/>
        <v>1200</v>
      </c>
      <c r="BC1162">
        <v>1</v>
      </c>
      <c r="BD1162" t="str">
        <f t="shared" si="460"/>
        <v xml:space="preserve">N52156  </v>
      </c>
      <c r="BE1162">
        <v>1</v>
      </c>
      <c r="BG1162">
        <v>0</v>
      </c>
      <c r="BH1162">
        <v>0</v>
      </c>
      <c r="BI1162">
        <v>0</v>
      </c>
      <c r="BJ1162">
        <v>3350</v>
      </c>
      <c r="BK1162">
        <v>-50</v>
      </c>
      <c r="BL1162" t="s">
        <v>188</v>
      </c>
      <c r="BM1162">
        <v>1</v>
      </c>
      <c r="BN1162">
        <v>1</v>
      </c>
      <c r="BO1162">
        <v>0</v>
      </c>
      <c r="BP1162">
        <v>0</v>
      </c>
      <c r="BS1162">
        <v>0</v>
      </c>
      <c r="BT1162">
        <v>0</v>
      </c>
      <c r="BU1162">
        <v>0</v>
      </c>
      <c r="CE1162" t="str">
        <f t="shared" si="463"/>
        <v>15:07:45.574</v>
      </c>
      <c r="CF1162">
        <v>573703327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133</v>
      </c>
      <c r="DA1162">
        <v>275</v>
      </c>
      <c r="DB1162">
        <v>0</v>
      </c>
      <c r="DC1162" t="s">
        <v>134</v>
      </c>
      <c r="DD1162" t="s">
        <v>135</v>
      </c>
      <c r="DG1162">
        <v>3319889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"05/01/2025 15:07:45.847"</f>
        <v>05/01/2025 15:07:45.847</v>
      </c>
      <c r="C1163" t="str">
        <f t="shared" si="456"/>
        <v>FFDFD3C0</v>
      </c>
      <c r="D1163" t="s">
        <v>124</v>
      </c>
      <c r="E1163" t="str">
        <f>"06"</f>
        <v>06</v>
      </c>
      <c r="F1163">
        <v>2006</v>
      </c>
      <c r="G1163" t="s">
        <v>125</v>
      </c>
      <c r="J1163" t="s">
        <v>126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R1163" t="s">
        <v>127</v>
      </c>
      <c r="S1163" t="str">
        <f t="shared" si="462"/>
        <v>15:07:45.000</v>
      </c>
      <c r="T1163" t="str">
        <f t="shared" si="462"/>
        <v>15:07:45.000</v>
      </c>
      <c r="U1163" t="str">
        <f t="shared" si="458"/>
        <v>A68FCB</v>
      </c>
      <c r="V1163">
        <v>0</v>
      </c>
      <c r="W1163">
        <v>0</v>
      </c>
      <c r="X1163">
        <v>2</v>
      </c>
      <c r="Y1163">
        <v>0</v>
      </c>
      <c r="AA1163">
        <v>1</v>
      </c>
      <c r="AB1163">
        <v>8</v>
      </c>
      <c r="AC1163">
        <v>3</v>
      </c>
      <c r="AD1163">
        <v>0</v>
      </c>
      <c r="AE1163">
        <v>9</v>
      </c>
      <c r="AF1163" t="s">
        <v>138</v>
      </c>
      <c r="AG1163">
        <v>0</v>
      </c>
      <c r="AH1163">
        <v>3</v>
      </c>
      <c r="AI1163">
        <v>2</v>
      </c>
      <c r="AJ1163">
        <v>0</v>
      </c>
      <c r="AK1163" t="s">
        <v>458</v>
      </c>
      <c r="AL1163">
        <v>38.997517000000002</v>
      </c>
      <c r="AM1163" t="s">
        <v>459</v>
      </c>
      <c r="AN1163">
        <v>-121.052599</v>
      </c>
      <c r="AO1163">
        <v>25</v>
      </c>
      <c r="AP1163">
        <v>3400</v>
      </c>
      <c r="AQ1163" t="s">
        <v>131</v>
      </c>
      <c r="AR1163">
        <v>-12</v>
      </c>
      <c r="AS1163">
        <v>88</v>
      </c>
      <c r="AT1163">
        <v>320</v>
      </c>
      <c r="BB1163" t="str">
        <f t="shared" si="459"/>
        <v>1200</v>
      </c>
      <c r="BC1163">
        <v>1</v>
      </c>
      <c r="BD1163" t="str">
        <f t="shared" si="460"/>
        <v xml:space="preserve">N52156  </v>
      </c>
      <c r="BE1163">
        <v>1</v>
      </c>
      <c r="BG1163">
        <v>0</v>
      </c>
      <c r="BH1163">
        <v>0</v>
      </c>
      <c r="BI1163">
        <v>0</v>
      </c>
      <c r="BJ1163">
        <v>3350</v>
      </c>
      <c r="BK1163">
        <v>-50</v>
      </c>
      <c r="BL1163" t="s">
        <v>188</v>
      </c>
      <c r="BM1163">
        <v>1</v>
      </c>
      <c r="BN1163">
        <v>1</v>
      </c>
      <c r="BO1163">
        <v>0</v>
      </c>
      <c r="BP1163">
        <v>0</v>
      </c>
      <c r="BS1163">
        <v>0</v>
      </c>
      <c r="BT1163">
        <v>0</v>
      </c>
      <c r="BU1163">
        <v>0</v>
      </c>
      <c r="CE1163" t="str">
        <f t="shared" si="463"/>
        <v>15:07:45.574</v>
      </c>
      <c r="CF1163">
        <v>573703327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133</v>
      </c>
      <c r="DA1163">
        <v>275</v>
      </c>
      <c r="DB1163">
        <v>0</v>
      </c>
      <c r="DC1163" t="s">
        <v>134</v>
      </c>
      <c r="DD1163" t="s">
        <v>135</v>
      </c>
      <c r="DG1163">
        <v>3319889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"05/01/2025 15:07:45.850"</f>
        <v>05/01/2025 15:07:45.850</v>
      </c>
      <c r="C1164" t="str">
        <f t="shared" si="456"/>
        <v>FFDFD3C0</v>
      </c>
      <c r="D1164" t="s">
        <v>145</v>
      </c>
      <c r="E1164" t="str">
        <f>"09"</f>
        <v>09</v>
      </c>
      <c r="H1164">
        <v>51</v>
      </c>
      <c r="I1164" t="s">
        <v>147</v>
      </c>
      <c r="J1164" t="s">
        <v>138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R1164" t="s">
        <v>127</v>
      </c>
      <c r="S1164" t="str">
        <f t="shared" si="462"/>
        <v>15:07:45.000</v>
      </c>
      <c r="T1164" t="str">
        <f t="shared" si="462"/>
        <v>15:07:45.000</v>
      </c>
      <c r="U1164" t="str">
        <f t="shared" si="458"/>
        <v>A68FCB</v>
      </c>
      <c r="V1164">
        <v>0</v>
      </c>
      <c r="W1164">
        <v>0</v>
      </c>
      <c r="X1164">
        <v>2</v>
      </c>
      <c r="Y1164">
        <v>0</v>
      </c>
      <c r="AA1164">
        <v>1</v>
      </c>
      <c r="AB1164">
        <v>8</v>
      </c>
      <c r="AC1164">
        <v>3</v>
      </c>
      <c r="AD1164">
        <v>0</v>
      </c>
      <c r="AE1164">
        <v>9</v>
      </c>
      <c r="AF1164" t="s">
        <v>138</v>
      </c>
      <c r="AG1164">
        <v>0</v>
      </c>
      <c r="AH1164">
        <v>3</v>
      </c>
      <c r="AI1164">
        <v>2</v>
      </c>
      <c r="AJ1164">
        <v>0</v>
      </c>
      <c r="AK1164" t="s">
        <v>458</v>
      </c>
      <c r="AL1164">
        <v>38.997517000000002</v>
      </c>
      <c r="AM1164" t="s">
        <v>459</v>
      </c>
      <c r="AN1164">
        <v>-121.052599</v>
      </c>
      <c r="AO1164">
        <v>25</v>
      </c>
      <c r="AP1164">
        <v>3400</v>
      </c>
      <c r="AQ1164" t="s">
        <v>131</v>
      </c>
      <c r="AR1164">
        <v>-12</v>
      </c>
      <c r="AS1164">
        <v>88</v>
      </c>
      <c r="AT1164">
        <v>320</v>
      </c>
      <c r="BB1164" t="str">
        <f t="shared" si="459"/>
        <v>1200</v>
      </c>
      <c r="BC1164">
        <v>1</v>
      </c>
      <c r="BD1164" t="str">
        <f t="shared" si="460"/>
        <v xml:space="preserve">N52156  </v>
      </c>
      <c r="BE1164">
        <v>1</v>
      </c>
      <c r="BG1164">
        <v>0</v>
      </c>
      <c r="BH1164">
        <v>0</v>
      </c>
      <c r="BI1164">
        <v>0</v>
      </c>
      <c r="BJ1164">
        <v>3350</v>
      </c>
      <c r="BK1164">
        <v>-50</v>
      </c>
      <c r="BL1164" t="s">
        <v>188</v>
      </c>
      <c r="BM1164">
        <v>1</v>
      </c>
      <c r="BN1164">
        <v>1</v>
      </c>
      <c r="BO1164">
        <v>0</v>
      </c>
      <c r="BP1164">
        <v>0</v>
      </c>
      <c r="BS1164">
        <v>0</v>
      </c>
      <c r="BT1164">
        <v>0</v>
      </c>
      <c r="BU1164">
        <v>0</v>
      </c>
      <c r="CE1164" t="str">
        <f t="shared" si="463"/>
        <v>15:07:45.574</v>
      </c>
      <c r="CF1164">
        <v>573703327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133</v>
      </c>
      <c r="DA1164">
        <v>275</v>
      </c>
      <c r="DB1164">
        <v>0</v>
      </c>
      <c r="DC1164" t="s">
        <v>134</v>
      </c>
      <c r="DD1164" t="s">
        <v>135</v>
      </c>
      <c r="DG1164">
        <v>3319889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"05/01/2025 15:07:45.850"</f>
        <v>05/01/2025 15:07:45.850</v>
      </c>
      <c r="C1165" t="str">
        <f t="shared" si="456"/>
        <v>FFDFD3C0</v>
      </c>
      <c r="D1165" t="s">
        <v>143</v>
      </c>
      <c r="E1165" t="str">
        <f>"05"</f>
        <v>05</v>
      </c>
      <c r="H1165">
        <v>172</v>
      </c>
      <c r="I1165" t="s">
        <v>141</v>
      </c>
      <c r="J1165" t="s">
        <v>144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R1165" t="s">
        <v>127</v>
      </c>
      <c r="S1165" t="str">
        <f t="shared" si="462"/>
        <v>15:07:45.000</v>
      </c>
      <c r="T1165" t="str">
        <f t="shared" si="462"/>
        <v>15:07:45.000</v>
      </c>
      <c r="U1165" t="str">
        <f t="shared" si="458"/>
        <v>A68FCB</v>
      </c>
      <c r="V1165">
        <v>0</v>
      </c>
      <c r="W1165">
        <v>0</v>
      </c>
      <c r="X1165">
        <v>2</v>
      </c>
      <c r="Y1165">
        <v>0</v>
      </c>
      <c r="AA1165">
        <v>1</v>
      </c>
      <c r="AB1165">
        <v>8</v>
      </c>
      <c r="AC1165">
        <v>3</v>
      </c>
      <c r="AD1165">
        <v>0</v>
      </c>
      <c r="AE1165">
        <v>9</v>
      </c>
      <c r="AF1165" t="s">
        <v>138</v>
      </c>
      <c r="AG1165">
        <v>0</v>
      </c>
      <c r="AH1165">
        <v>3</v>
      </c>
      <c r="AI1165">
        <v>2</v>
      </c>
      <c r="AJ1165">
        <v>0</v>
      </c>
      <c r="AK1165" t="s">
        <v>458</v>
      </c>
      <c r="AL1165">
        <v>38.997517000000002</v>
      </c>
      <c r="AM1165" t="s">
        <v>459</v>
      </c>
      <c r="AN1165">
        <v>-121.052599</v>
      </c>
      <c r="AO1165">
        <v>25</v>
      </c>
      <c r="AP1165">
        <v>3400</v>
      </c>
      <c r="AQ1165" t="s">
        <v>131</v>
      </c>
      <c r="AR1165">
        <v>-12</v>
      </c>
      <c r="AS1165">
        <v>88</v>
      </c>
      <c r="AT1165">
        <v>320</v>
      </c>
      <c r="BB1165" t="str">
        <f t="shared" si="459"/>
        <v>1200</v>
      </c>
      <c r="BC1165">
        <v>1</v>
      </c>
      <c r="BD1165" t="str">
        <f t="shared" si="460"/>
        <v xml:space="preserve">N52156  </v>
      </c>
      <c r="BE1165">
        <v>1</v>
      </c>
      <c r="BG1165">
        <v>0</v>
      </c>
      <c r="BH1165">
        <v>0</v>
      </c>
      <c r="BI1165">
        <v>0</v>
      </c>
      <c r="BJ1165">
        <v>3350</v>
      </c>
      <c r="BK1165">
        <v>-50</v>
      </c>
      <c r="BL1165" t="s">
        <v>188</v>
      </c>
      <c r="BM1165">
        <v>1</v>
      </c>
      <c r="BN1165">
        <v>1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 t="shared" si="463"/>
        <v>15:07:45.574</v>
      </c>
      <c r="CF1165">
        <v>573703327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133</v>
      </c>
      <c r="DA1165">
        <v>275</v>
      </c>
      <c r="DB1165">
        <v>0</v>
      </c>
      <c r="DC1165" t="s">
        <v>134</v>
      </c>
      <c r="DD1165" t="s">
        <v>135</v>
      </c>
      <c r="DG1165">
        <v>3319889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"05/01/2025 15:07:47.143"</f>
        <v>05/01/2025 15:07:47.143</v>
      </c>
      <c r="C1166" t="str">
        <f t="shared" si="456"/>
        <v>FFDFD3C0</v>
      </c>
      <c r="D1166" t="s">
        <v>140</v>
      </c>
      <c r="E1166" t="str">
        <f>"13"</f>
        <v>13</v>
      </c>
      <c r="F1166">
        <v>1019</v>
      </c>
      <c r="G1166" t="s">
        <v>141</v>
      </c>
      <c r="J1166" t="s">
        <v>142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R1166" t="s">
        <v>127</v>
      </c>
      <c r="S1166" t="str">
        <f t="shared" ref="S1166:T1171" si="464">"15:07:46.000"</f>
        <v>15:07:46.000</v>
      </c>
      <c r="T1166" t="str">
        <f t="shared" si="464"/>
        <v>15:07:46.000</v>
      </c>
      <c r="U1166" t="str">
        <f t="shared" si="458"/>
        <v>A68FCB</v>
      </c>
      <c r="V1166">
        <v>0</v>
      </c>
      <c r="W1166">
        <v>0</v>
      </c>
      <c r="X1166">
        <v>2</v>
      </c>
      <c r="Y1166">
        <v>0</v>
      </c>
      <c r="AA1166">
        <v>1</v>
      </c>
      <c r="AB1166">
        <v>8</v>
      </c>
      <c r="AC1166">
        <v>3</v>
      </c>
      <c r="AD1166">
        <v>0</v>
      </c>
      <c r="AE1166">
        <v>9</v>
      </c>
      <c r="AF1166" t="s">
        <v>138</v>
      </c>
      <c r="AG1166">
        <v>0</v>
      </c>
      <c r="AH1166">
        <v>3</v>
      </c>
      <c r="AI1166">
        <v>2</v>
      </c>
      <c r="AJ1166">
        <v>0</v>
      </c>
      <c r="AK1166" t="s">
        <v>460</v>
      </c>
      <c r="AL1166">
        <v>38.997945999999999</v>
      </c>
      <c r="AM1166" t="s">
        <v>420</v>
      </c>
      <c r="AN1166">
        <v>-121.052663</v>
      </c>
      <c r="AO1166">
        <v>25</v>
      </c>
      <c r="AP1166">
        <v>3400</v>
      </c>
      <c r="AQ1166" t="s">
        <v>131</v>
      </c>
      <c r="AR1166">
        <v>-15</v>
      </c>
      <c r="AS1166">
        <v>89</v>
      </c>
      <c r="AT1166">
        <v>320</v>
      </c>
      <c r="BB1166" t="str">
        <f t="shared" si="459"/>
        <v>1200</v>
      </c>
      <c r="BC1166">
        <v>1</v>
      </c>
      <c r="BD1166" t="str">
        <f t="shared" si="460"/>
        <v xml:space="preserve">N52156  </v>
      </c>
      <c r="BE1166">
        <v>1</v>
      </c>
      <c r="BG1166">
        <v>0</v>
      </c>
      <c r="BH1166">
        <v>0</v>
      </c>
      <c r="BI1166">
        <v>0</v>
      </c>
      <c r="BJ1166">
        <v>3350</v>
      </c>
      <c r="BK1166">
        <v>-50</v>
      </c>
      <c r="BL1166" t="s">
        <v>188</v>
      </c>
      <c r="BM1166">
        <v>1</v>
      </c>
      <c r="BN1166">
        <v>1</v>
      </c>
      <c r="BO1166">
        <v>0</v>
      </c>
      <c r="BP1166">
        <v>0</v>
      </c>
      <c r="BS1166">
        <v>0</v>
      </c>
      <c r="BT1166">
        <v>0</v>
      </c>
      <c r="BU1166">
        <v>0</v>
      </c>
      <c r="CE1166" t="str">
        <f t="shared" ref="CE1166:CE1171" si="465">"15:07:46.900"</f>
        <v>15:07:46.900</v>
      </c>
      <c r="CF1166">
        <v>900454128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4</v>
      </c>
      <c r="CY1166">
        <v>7</v>
      </c>
      <c r="CZ1166" t="s">
        <v>133</v>
      </c>
      <c r="DA1166">
        <v>275</v>
      </c>
      <c r="DB1166">
        <v>0</v>
      </c>
      <c r="DC1166" t="s">
        <v>134</v>
      </c>
      <c r="DD1166" t="s">
        <v>135</v>
      </c>
      <c r="DG1166">
        <v>3319900</v>
      </c>
      <c r="DI1166">
        <v>1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"05/01/2025 15:07:47.148"</f>
        <v>05/01/2025 15:07:47.148</v>
      </c>
      <c r="C1167" t="str">
        <f t="shared" si="456"/>
        <v>FFDFD3C0</v>
      </c>
      <c r="D1167" t="s">
        <v>145</v>
      </c>
      <c r="E1167" t="str">
        <f>"05"</f>
        <v>05</v>
      </c>
      <c r="H1167">
        <v>47</v>
      </c>
      <c r="I1167" t="s">
        <v>146</v>
      </c>
      <c r="J1167" t="s">
        <v>138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R1167" t="s">
        <v>127</v>
      </c>
      <c r="S1167" t="str">
        <f t="shared" si="464"/>
        <v>15:07:46.000</v>
      </c>
      <c r="T1167" t="str">
        <f t="shared" si="464"/>
        <v>15:07:46.000</v>
      </c>
      <c r="U1167" t="str">
        <f t="shared" si="458"/>
        <v>A68FCB</v>
      </c>
      <c r="V1167">
        <v>0</v>
      </c>
      <c r="W1167">
        <v>0</v>
      </c>
      <c r="X1167">
        <v>2</v>
      </c>
      <c r="Y1167">
        <v>0</v>
      </c>
      <c r="AA1167">
        <v>1</v>
      </c>
      <c r="AB1167">
        <v>8</v>
      </c>
      <c r="AC1167">
        <v>3</v>
      </c>
      <c r="AD1167">
        <v>0</v>
      </c>
      <c r="AE1167">
        <v>9</v>
      </c>
      <c r="AF1167" t="s">
        <v>138</v>
      </c>
      <c r="AG1167">
        <v>0</v>
      </c>
      <c r="AH1167">
        <v>3</v>
      </c>
      <c r="AI1167">
        <v>2</v>
      </c>
      <c r="AJ1167">
        <v>0</v>
      </c>
      <c r="AK1167" t="s">
        <v>460</v>
      </c>
      <c r="AL1167">
        <v>38.997945999999999</v>
      </c>
      <c r="AM1167" t="s">
        <v>420</v>
      </c>
      <c r="AN1167">
        <v>-121.052663</v>
      </c>
      <c r="AO1167">
        <v>25</v>
      </c>
      <c r="AP1167">
        <v>3400</v>
      </c>
      <c r="AQ1167" t="s">
        <v>131</v>
      </c>
      <c r="AR1167">
        <v>-15</v>
      </c>
      <c r="AS1167">
        <v>89</v>
      </c>
      <c r="AT1167">
        <v>320</v>
      </c>
      <c r="BB1167" t="str">
        <f t="shared" si="459"/>
        <v>1200</v>
      </c>
      <c r="BC1167">
        <v>1</v>
      </c>
      <c r="BD1167" t="str">
        <f t="shared" si="460"/>
        <v xml:space="preserve">N52156  </v>
      </c>
      <c r="BE1167">
        <v>1</v>
      </c>
      <c r="BG1167">
        <v>0</v>
      </c>
      <c r="BH1167">
        <v>0</v>
      </c>
      <c r="BI1167">
        <v>0</v>
      </c>
      <c r="BJ1167">
        <v>3350</v>
      </c>
      <c r="BK1167">
        <v>-50</v>
      </c>
      <c r="BL1167" t="s">
        <v>188</v>
      </c>
      <c r="BM1167">
        <v>1</v>
      </c>
      <c r="BN1167">
        <v>1</v>
      </c>
      <c r="BO1167">
        <v>0</v>
      </c>
      <c r="BP1167">
        <v>0</v>
      </c>
      <c r="BS1167">
        <v>0</v>
      </c>
      <c r="BT1167">
        <v>0</v>
      </c>
      <c r="BU1167">
        <v>0</v>
      </c>
      <c r="CE1167" t="str">
        <f t="shared" si="465"/>
        <v>15:07:46.900</v>
      </c>
      <c r="CF1167">
        <v>900454128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4</v>
      </c>
      <c r="CY1167">
        <v>7</v>
      </c>
      <c r="CZ1167" t="s">
        <v>133</v>
      </c>
      <c r="DA1167">
        <v>275</v>
      </c>
      <c r="DB1167">
        <v>0</v>
      </c>
      <c r="DC1167" t="s">
        <v>134</v>
      </c>
      <c r="DD1167" t="s">
        <v>135</v>
      </c>
      <c r="DG1167">
        <v>3319900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"05/01/2025 15:07:47.150"</f>
        <v>05/01/2025 15:07:47.150</v>
      </c>
      <c r="C1168" t="str">
        <f t="shared" si="456"/>
        <v>FFDFD3C0</v>
      </c>
      <c r="D1168" t="s">
        <v>124</v>
      </c>
      <c r="E1168" t="str">
        <f>"06"</f>
        <v>06</v>
      </c>
      <c r="F1168">
        <v>2006</v>
      </c>
      <c r="G1168" t="s">
        <v>125</v>
      </c>
      <c r="J1168" t="s">
        <v>126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R1168" t="s">
        <v>127</v>
      </c>
      <c r="S1168" t="str">
        <f t="shared" si="464"/>
        <v>15:07:46.000</v>
      </c>
      <c r="T1168" t="str">
        <f t="shared" si="464"/>
        <v>15:07:46.000</v>
      </c>
      <c r="U1168" t="str">
        <f t="shared" si="458"/>
        <v>A68FCB</v>
      </c>
      <c r="V1168">
        <v>0</v>
      </c>
      <c r="W1168">
        <v>0</v>
      </c>
      <c r="X1168">
        <v>2</v>
      </c>
      <c r="Y1168">
        <v>0</v>
      </c>
      <c r="AA1168">
        <v>1</v>
      </c>
      <c r="AB1168">
        <v>8</v>
      </c>
      <c r="AC1168">
        <v>3</v>
      </c>
      <c r="AD1168">
        <v>0</v>
      </c>
      <c r="AE1168">
        <v>9</v>
      </c>
      <c r="AF1168" t="s">
        <v>138</v>
      </c>
      <c r="AG1168">
        <v>0</v>
      </c>
      <c r="AH1168">
        <v>3</v>
      </c>
      <c r="AI1168">
        <v>2</v>
      </c>
      <c r="AJ1168">
        <v>0</v>
      </c>
      <c r="AK1168" t="s">
        <v>460</v>
      </c>
      <c r="AL1168">
        <v>38.997945999999999</v>
      </c>
      <c r="AM1168" t="s">
        <v>420</v>
      </c>
      <c r="AN1168">
        <v>-121.052663</v>
      </c>
      <c r="AO1168">
        <v>25</v>
      </c>
      <c r="AP1168">
        <v>3400</v>
      </c>
      <c r="AQ1168" t="s">
        <v>131</v>
      </c>
      <c r="AR1168">
        <v>-15</v>
      </c>
      <c r="AS1168">
        <v>89</v>
      </c>
      <c r="AT1168">
        <v>320</v>
      </c>
      <c r="BB1168" t="str">
        <f t="shared" si="459"/>
        <v>1200</v>
      </c>
      <c r="BC1168">
        <v>1</v>
      </c>
      <c r="BD1168" t="str">
        <f t="shared" si="460"/>
        <v xml:space="preserve">N52156  </v>
      </c>
      <c r="BE1168">
        <v>1</v>
      </c>
      <c r="BG1168">
        <v>0</v>
      </c>
      <c r="BH1168">
        <v>0</v>
      </c>
      <c r="BI1168">
        <v>0</v>
      </c>
      <c r="BJ1168">
        <v>3350</v>
      </c>
      <c r="BK1168">
        <v>-50</v>
      </c>
      <c r="BL1168" t="s">
        <v>188</v>
      </c>
      <c r="BM1168">
        <v>1</v>
      </c>
      <c r="BN1168">
        <v>1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 t="shared" si="465"/>
        <v>15:07:46.900</v>
      </c>
      <c r="CF1168">
        <v>900454128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4</v>
      </c>
      <c r="CY1168">
        <v>7</v>
      </c>
      <c r="CZ1168" t="s">
        <v>133</v>
      </c>
      <c r="DA1168">
        <v>275</v>
      </c>
      <c r="DB1168">
        <v>0</v>
      </c>
      <c r="DC1168" t="s">
        <v>134</v>
      </c>
      <c r="DD1168" t="s">
        <v>135</v>
      </c>
      <c r="DG1168">
        <v>3319900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"05/01/2025 15:07:47.153"</f>
        <v>05/01/2025 15:07:47.153</v>
      </c>
      <c r="C1169" t="str">
        <f t="shared" si="456"/>
        <v>FFDFD3C0</v>
      </c>
      <c r="D1169" t="s">
        <v>145</v>
      </c>
      <c r="E1169" t="str">
        <f>"09"</f>
        <v>09</v>
      </c>
      <c r="H1169">
        <v>51</v>
      </c>
      <c r="I1169" t="s">
        <v>147</v>
      </c>
      <c r="J1169" t="s">
        <v>138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R1169" t="s">
        <v>127</v>
      </c>
      <c r="S1169" t="str">
        <f t="shared" si="464"/>
        <v>15:07:46.000</v>
      </c>
      <c r="T1169" t="str">
        <f t="shared" si="464"/>
        <v>15:07:46.000</v>
      </c>
      <c r="U1169" t="str">
        <f t="shared" si="458"/>
        <v>A68FCB</v>
      </c>
      <c r="V1169">
        <v>0</v>
      </c>
      <c r="W1169">
        <v>0</v>
      </c>
      <c r="X1169">
        <v>2</v>
      </c>
      <c r="Y1169">
        <v>0</v>
      </c>
      <c r="AA1169">
        <v>1</v>
      </c>
      <c r="AB1169">
        <v>8</v>
      </c>
      <c r="AC1169">
        <v>3</v>
      </c>
      <c r="AD1169">
        <v>0</v>
      </c>
      <c r="AE1169">
        <v>9</v>
      </c>
      <c r="AF1169" t="s">
        <v>138</v>
      </c>
      <c r="AG1169">
        <v>0</v>
      </c>
      <c r="AH1169">
        <v>3</v>
      </c>
      <c r="AI1169">
        <v>2</v>
      </c>
      <c r="AJ1169">
        <v>0</v>
      </c>
      <c r="AK1169" t="s">
        <v>460</v>
      </c>
      <c r="AL1169">
        <v>38.997945999999999</v>
      </c>
      <c r="AM1169" t="s">
        <v>420</v>
      </c>
      <c r="AN1169">
        <v>-121.052663</v>
      </c>
      <c r="AO1169">
        <v>25</v>
      </c>
      <c r="AP1169">
        <v>3400</v>
      </c>
      <c r="AQ1169" t="s">
        <v>131</v>
      </c>
      <c r="AR1169">
        <v>-15</v>
      </c>
      <c r="AS1169">
        <v>89</v>
      </c>
      <c r="AT1169">
        <v>320</v>
      </c>
      <c r="BB1169" t="str">
        <f t="shared" si="459"/>
        <v>1200</v>
      </c>
      <c r="BC1169">
        <v>1</v>
      </c>
      <c r="BD1169" t="str">
        <f t="shared" si="460"/>
        <v xml:space="preserve">N52156  </v>
      </c>
      <c r="BE1169">
        <v>1</v>
      </c>
      <c r="BG1169">
        <v>0</v>
      </c>
      <c r="BH1169">
        <v>0</v>
      </c>
      <c r="BI1169">
        <v>0</v>
      </c>
      <c r="BJ1169">
        <v>3350</v>
      </c>
      <c r="BK1169">
        <v>-50</v>
      </c>
      <c r="BL1169" t="s">
        <v>188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 t="shared" si="465"/>
        <v>15:07:46.900</v>
      </c>
      <c r="CF1169">
        <v>900454128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4</v>
      </c>
      <c r="CY1169">
        <v>7</v>
      </c>
      <c r="CZ1169" t="s">
        <v>133</v>
      </c>
      <c r="DA1169">
        <v>275</v>
      </c>
      <c r="DB1169">
        <v>0</v>
      </c>
      <c r="DC1169" t="s">
        <v>134</v>
      </c>
      <c r="DD1169" t="s">
        <v>135</v>
      </c>
      <c r="DG1169">
        <v>3319900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"05/01/2025 15:07:47.153"</f>
        <v>05/01/2025 15:07:47.153</v>
      </c>
      <c r="C1170" t="str">
        <f t="shared" si="456"/>
        <v>FFDFD3C0</v>
      </c>
      <c r="D1170" t="s">
        <v>143</v>
      </c>
      <c r="E1170" t="str">
        <f>"05"</f>
        <v>05</v>
      </c>
      <c r="H1170">
        <v>172</v>
      </c>
      <c r="I1170" t="s">
        <v>141</v>
      </c>
      <c r="J1170" t="s">
        <v>144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R1170" t="s">
        <v>127</v>
      </c>
      <c r="S1170" t="str">
        <f t="shared" si="464"/>
        <v>15:07:46.000</v>
      </c>
      <c r="T1170" t="str">
        <f t="shared" si="464"/>
        <v>15:07:46.000</v>
      </c>
      <c r="U1170" t="str">
        <f t="shared" si="458"/>
        <v>A68FCB</v>
      </c>
      <c r="V1170">
        <v>0</v>
      </c>
      <c r="W1170">
        <v>0</v>
      </c>
      <c r="X1170">
        <v>2</v>
      </c>
      <c r="Y1170">
        <v>0</v>
      </c>
      <c r="AA1170">
        <v>1</v>
      </c>
      <c r="AB1170">
        <v>8</v>
      </c>
      <c r="AC1170">
        <v>3</v>
      </c>
      <c r="AD1170">
        <v>0</v>
      </c>
      <c r="AE1170">
        <v>9</v>
      </c>
      <c r="AF1170" t="s">
        <v>138</v>
      </c>
      <c r="AG1170">
        <v>0</v>
      </c>
      <c r="AH1170">
        <v>3</v>
      </c>
      <c r="AI1170">
        <v>2</v>
      </c>
      <c r="AJ1170">
        <v>0</v>
      </c>
      <c r="AK1170" t="s">
        <v>460</v>
      </c>
      <c r="AL1170">
        <v>38.997945999999999</v>
      </c>
      <c r="AM1170" t="s">
        <v>420</v>
      </c>
      <c r="AN1170">
        <v>-121.052663</v>
      </c>
      <c r="AO1170">
        <v>25</v>
      </c>
      <c r="AP1170">
        <v>3400</v>
      </c>
      <c r="AQ1170" t="s">
        <v>131</v>
      </c>
      <c r="AR1170">
        <v>-15</v>
      </c>
      <c r="AS1170">
        <v>89</v>
      </c>
      <c r="AT1170">
        <v>320</v>
      </c>
      <c r="BB1170" t="str">
        <f t="shared" si="459"/>
        <v>1200</v>
      </c>
      <c r="BC1170">
        <v>1</v>
      </c>
      <c r="BD1170" t="str">
        <f t="shared" si="460"/>
        <v xml:space="preserve">N52156  </v>
      </c>
      <c r="BE1170">
        <v>1</v>
      </c>
      <c r="BG1170">
        <v>0</v>
      </c>
      <c r="BH1170">
        <v>0</v>
      </c>
      <c r="BI1170">
        <v>0</v>
      </c>
      <c r="BJ1170">
        <v>3350</v>
      </c>
      <c r="BK1170">
        <v>-50</v>
      </c>
      <c r="BL1170" t="s">
        <v>188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 t="shared" si="465"/>
        <v>15:07:46.900</v>
      </c>
      <c r="CF1170">
        <v>900454128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4</v>
      </c>
      <c r="CY1170">
        <v>7</v>
      </c>
      <c r="CZ1170" t="s">
        <v>133</v>
      </c>
      <c r="DA1170">
        <v>275</v>
      </c>
      <c r="DB1170">
        <v>0</v>
      </c>
      <c r="DC1170" t="s">
        <v>134</v>
      </c>
      <c r="DD1170" t="s">
        <v>135</v>
      </c>
      <c r="DG1170">
        <v>3319900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"05/01/2025 15:07:47.159"</f>
        <v>05/01/2025 15:07:47.159</v>
      </c>
      <c r="C1171" t="str">
        <f t="shared" si="456"/>
        <v>FFDFD3C0</v>
      </c>
      <c r="D1171" t="s">
        <v>136</v>
      </c>
      <c r="E1171" t="str">
        <f>"20"</f>
        <v>20</v>
      </c>
      <c r="H1171">
        <v>400</v>
      </c>
      <c r="I1171" t="s">
        <v>137</v>
      </c>
      <c r="J1171" t="s">
        <v>138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R1171" t="s">
        <v>127</v>
      </c>
      <c r="S1171" t="str">
        <f t="shared" si="464"/>
        <v>15:07:46.000</v>
      </c>
      <c r="T1171" t="str">
        <f t="shared" si="464"/>
        <v>15:07:46.000</v>
      </c>
      <c r="U1171" t="str">
        <f t="shared" si="458"/>
        <v>A68FCB</v>
      </c>
      <c r="V1171">
        <v>0</v>
      </c>
      <c r="W1171">
        <v>0</v>
      </c>
      <c r="X1171">
        <v>2</v>
      </c>
      <c r="Y1171">
        <v>0</v>
      </c>
      <c r="AA1171">
        <v>1</v>
      </c>
      <c r="AB1171">
        <v>8</v>
      </c>
      <c r="AC1171">
        <v>3</v>
      </c>
      <c r="AD1171">
        <v>0</v>
      </c>
      <c r="AE1171">
        <v>9</v>
      </c>
      <c r="AF1171" t="s">
        <v>138</v>
      </c>
      <c r="AG1171">
        <v>0</v>
      </c>
      <c r="AH1171">
        <v>3</v>
      </c>
      <c r="AI1171">
        <v>2</v>
      </c>
      <c r="AJ1171">
        <v>0</v>
      </c>
      <c r="AK1171" t="s">
        <v>460</v>
      </c>
      <c r="AL1171">
        <v>38.997945999999999</v>
      </c>
      <c r="AM1171" t="s">
        <v>420</v>
      </c>
      <c r="AN1171">
        <v>-121.052663</v>
      </c>
      <c r="AO1171">
        <v>25</v>
      </c>
      <c r="AP1171">
        <v>3400</v>
      </c>
      <c r="AQ1171" t="s">
        <v>131</v>
      </c>
      <c r="AR1171">
        <v>-15</v>
      </c>
      <c r="AS1171">
        <v>89</v>
      </c>
      <c r="AT1171">
        <v>320</v>
      </c>
      <c r="BB1171" t="str">
        <f t="shared" si="459"/>
        <v>1200</v>
      </c>
      <c r="BC1171">
        <v>1</v>
      </c>
      <c r="BD1171" t="str">
        <f t="shared" si="460"/>
        <v xml:space="preserve">N52156  </v>
      </c>
      <c r="BE1171">
        <v>1</v>
      </c>
      <c r="BG1171">
        <v>0</v>
      </c>
      <c r="BH1171">
        <v>0</v>
      </c>
      <c r="BI1171">
        <v>0</v>
      </c>
      <c r="BJ1171">
        <v>3350</v>
      </c>
      <c r="BK1171">
        <v>-50</v>
      </c>
      <c r="BL1171" t="s">
        <v>188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 t="shared" si="465"/>
        <v>15:07:46.900</v>
      </c>
      <c r="CF1171">
        <v>900454128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4</v>
      </c>
      <c r="CY1171">
        <v>7</v>
      </c>
      <c r="CZ1171" t="s">
        <v>133</v>
      </c>
      <c r="DA1171">
        <v>275</v>
      </c>
      <c r="DB1171">
        <v>0</v>
      </c>
      <c r="DC1171" t="s">
        <v>134</v>
      </c>
      <c r="DD1171" t="s">
        <v>135</v>
      </c>
      <c r="DG1171">
        <v>3319900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"05/01/2025 15:07:47.444"</f>
        <v>05/01/2025 15:07:47.444</v>
      </c>
      <c r="C1172" t="str">
        <f t="shared" si="456"/>
        <v>FFDFD3C0</v>
      </c>
      <c r="D1172" t="s">
        <v>140</v>
      </c>
      <c r="E1172" t="str">
        <f>"13"</f>
        <v>13</v>
      </c>
      <c r="F1172">
        <v>1019</v>
      </c>
      <c r="G1172" t="s">
        <v>141</v>
      </c>
      <c r="J1172" t="s">
        <v>142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R1172" t="s">
        <v>127</v>
      </c>
      <c r="S1172" t="str">
        <f t="shared" ref="S1172:T1177" si="466">"15:07:47.000"</f>
        <v>15:07:47.000</v>
      </c>
      <c r="T1172" t="str">
        <f t="shared" si="466"/>
        <v>15:07:47.000</v>
      </c>
      <c r="U1172" t="str">
        <f t="shared" si="458"/>
        <v>A68FCB</v>
      </c>
      <c r="V1172">
        <v>0</v>
      </c>
      <c r="W1172">
        <v>0</v>
      </c>
      <c r="X1172">
        <v>2</v>
      </c>
      <c r="Y1172">
        <v>0</v>
      </c>
      <c r="AA1172">
        <v>1</v>
      </c>
      <c r="AB1172">
        <v>8</v>
      </c>
      <c r="AC1172">
        <v>3</v>
      </c>
      <c r="AD1172">
        <v>0</v>
      </c>
      <c r="AE1172">
        <v>9</v>
      </c>
      <c r="AF1172" t="s">
        <v>138</v>
      </c>
      <c r="AG1172">
        <v>0</v>
      </c>
      <c r="AH1172">
        <v>3</v>
      </c>
      <c r="AI1172">
        <v>2</v>
      </c>
      <c r="AJ1172">
        <v>0</v>
      </c>
      <c r="AK1172" t="s">
        <v>461</v>
      </c>
      <c r="AL1172">
        <v>38.998353000000002</v>
      </c>
      <c r="AM1172" t="s">
        <v>423</v>
      </c>
      <c r="AN1172">
        <v>-121.05274900000001</v>
      </c>
      <c r="AO1172">
        <v>25</v>
      </c>
      <c r="AP1172">
        <v>3400</v>
      </c>
      <c r="AQ1172" t="s">
        <v>131</v>
      </c>
      <c r="AR1172">
        <v>-15</v>
      </c>
      <c r="AS1172">
        <v>89</v>
      </c>
      <c r="AT1172">
        <v>320</v>
      </c>
      <c r="BB1172" t="str">
        <f t="shared" si="459"/>
        <v>1200</v>
      </c>
      <c r="BC1172">
        <v>1</v>
      </c>
      <c r="BD1172" t="str">
        <f t="shared" si="460"/>
        <v xml:space="preserve">N52156  </v>
      </c>
      <c r="BE1172">
        <v>1</v>
      </c>
      <c r="BG1172">
        <v>0</v>
      </c>
      <c r="BH1172">
        <v>0</v>
      </c>
      <c r="BI1172">
        <v>0</v>
      </c>
      <c r="BJ1172">
        <v>3350</v>
      </c>
      <c r="BK1172">
        <v>-50</v>
      </c>
      <c r="BL1172" t="s">
        <v>188</v>
      </c>
      <c r="BM1172">
        <v>1</v>
      </c>
      <c r="BN1172">
        <v>1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 t="shared" ref="CE1172:CE1177" si="467">"15:07:47.206"</f>
        <v>15:07:47.206</v>
      </c>
      <c r="CF1172">
        <v>205702427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133</v>
      </c>
      <c r="DA1172">
        <v>275</v>
      </c>
      <c r="DB1172">
        <v>0</v>
      </c>
      <c r="DC1172" t="s">
        <v>134</v>
      </c>
      <c r="DD1172" t="s">
        <v>135</v>
      </c>
      <c r="DG1172">
        <v>3319904</v>
      </c>
      <c r="DI1172">
        <v>1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"05/01/2025 15:07:47.450"</f>
        <v>05/01/2025 15:07:47.450</v>
      </c>
      <c r="C1173" t="str">
        <f t="shared" si="456"/>
        <v>FFDFD3C0</v>
      </c>
      <c r="D1173" t="s">
        <v>124</v>
      </c>
      <c r="E1173" t="str">
        <f>"06"</f>
        <v>06</v>
      </c>
      <c r="F1173">
        <v>2006</v>
      </c>
      <c r="G1173" t="s">
        <v>125</v>
      </c>
      <c r="J1173" t="s">
        <v>126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R1173" t="s">
        <v>127</v>
      </c>
      <c r="S1173" t="str">
        <f t="shared" si="466"/>
        <v>15:07:47.000</v>
      </c>
      <c r="T1173" t="str">
        <f t="shared" si="466"/>
        <v>15:07:47.000</v>
      </c>
      <c r="U1173" t="str">
        <f t="shared" si="458"/>
        <v>A68FCB</v>
      </c>
      <c r="V1173">
        <v>0</v>
      </c>
      <c r="W1173">
        <v>0</v>
      </c>
      <c r="X1173">
        <v>2</v>
      </c>
      <c r="Y1173">
        <v>0</v>
      </c>
      <c r="AA1173">
        <v>1</v>
      </c>
      <c r="AB1173">
        <v>8</v>
      </c>
      <c r="AC1173">
        <v>3</v>
      </c>
      <c r="AD1173">
        <v>0</v>
      </c>
      <c r="AE1173">
        <v>9</v>
      </c>
      <c r="AF1173" t="s">
        <v>138</v>
      </c>
      <c r="AG1173">
        <v>0</v>
      </c>
      <c r="AH1173">
        <v>3</v>
      </c>
      <c r="AI1173">
        <v>2</v>
      </c>
      <c r="AJ1173">
        <v>0</v>
      </c>
      <c r="AK1173" t="s">
        <v>461</v>
      </c>
      <c r="AL1173">
        <v>38.998353000000002</v>
      </c>
      <c r="AM1173" t="s">
        <v>423</v>
      </c>
      <c r="AN1173">
        <v>-121.05274900000001</v>
      </c>
      <c r="AO1173">
        <v>25</v>
      </c>
      <c r="AP1173">
        <v>3400</v>
      </c>
      <c r="AQ1173" t="s">
        <v>131</v>
      </c>
      <c r="AR1173">
        <v>-15</v>
      </c>
      <c r="AS1173">
        <v>89</v>
      </c>
      <c r="AT1173">
        <v>320</v>
      </c>
      <c r="BB1173" t="str">
        <f t="shared" si="459"/>
        <v>1200</v>
      </c>
      <c r="BC1173">
        <v>1</v>
      </c>
      <c r="BD1173" t="str">
        <f t="shared" si="460"/>
        <v xml:space="preserve">N52156  </v>
      </c>
      <c r="BE1173">
        <v>1</v>
      </c>
      <c r="BG1173">
        <v>0</v>
      </c>
      <c r="BH1173">
        <v>0</v>
      </c>
      <c r="BI1173">
        <v>0</v>
      </c>
      <c r="BJ1173">
        <v>3350</v>
      </c>
      <c r="BK1173">
        <v>-50</v>
      </c>
      <c r="BL1173" t="s">
        <v>188</v>
      </c>
      <c r="BM1173">
        <v>1</v>
      </c>
      <c r="BN1173">
        <v>1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 t="shared" si="467"/>
        <v>15:07:47.206</v>
      </c>
      <c r="CF1173">
        <v>205702427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133</v>
      </c>
      <c r="DA1173">
        <v>275</v>
      </c>
      <c r="DB1173">
        <v>0</v>
      </c>
      <c r="DC1173" t="s">
        <v>134</v>
      </c>
      <c r="DD1173" t="s">
        <v>135</v>
      </c>
      <c r="DG1173">
        <v>3319904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"05/01/2025 15:07:47.449"</f>
        <v>05/01/2025 15:07:47.449</v>
      </c>
      <c r="C1174" t="str">
        <f t="shared" si="456"/>
        <v>FFDFD3C0</v>
      </c>
      <c r="D1174" t="s">
        <v>145</v>
      </c>
      <c r="E1174" t="str">
        <f>"05"</f>
        <v>05</v>
      </c>
      <c r="H1174">
        <v>47</v>
      </c>
      <c r="I1174" t="s">
        <v>146</v>
      </c>
      <c r="J1174" t="s">
        <v>138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R1174" t="s">
        <v>127</v>
      </c>
      <c r="S1174" t="str">
        <f t="shared" si="466"/>
        <v>15:07:47.000</v>
      </c>
      <c r="T1174" t="str">
        <f t="shared" si="466"/>
        <v>15:07:47.000</v>
      </c>
      <c r="U1174" t="str">
        <f t="shared" si="458"/>
        <v>A68FCB</v>
      </c>
      <c r="V1174">
        <v>0</v>
      </c>
      <c r="W1174">
        <v>0</v>
      </c>
      <c r="X1174">
        <v>2</v>
      </c>
      <c r="Y1174">
        <v>0</v>
      </c>
      <c r="AA1174">
        <v>1</v>
      </c>
      <c r="AB1174">
        <v>8</v>
      </c>
      <c r="AC1174">
        <v>3</v>
      </c>
      <c r="AD1174">
        <v>0</v>
      </c>
      <c r="AE1174">
        <v>9</v>
      </c>
      <c r="AF1174" t="s">
        <v>138</v>
      </c>
      <c r="AG1174">
        <v>0</v>
      </c>
      <c r="AH1174">
        <v>3</v>
      </c>
      <c r="AI1174">
        <v>2</v>
      </c>
      <c r="AJ1174">
        <v>0</v>
      </c>
      <c r="AK1174" t="s">
        <v>461</v>
      </c>
      <c r="AL1174">
        <v>38.998353000000002</v>
      </c>
      <c r="AM1174" t="s">
        <v>423</v>
      </c>
      <c r="AN1174">
        <v>-121.05274900000001</v>
      </c>
      <c r="AO1174">
        <v>25</v>
      </c>
      <c r="AP1174">
        <v>3400</v>
      </c>
      <c r="AQ1174" t="s">
        <v>131</v>
      </c>
      <c r="AR1174">
        <v>-15</v>
      </c>
      <c r="AS1174">
        <v>89</v>
      </c>
      <c r="AT1174">
        <v>320</v>
      </c>
      <c r="BB1174" t="str">
        <f t="shared" si="459"/>
        <v>1200</v>
      </c>
      <c r="BC1174">
        <v>1</v>
      </c>
      <c r="BD1174" t="str">
        <f t="shared" si="460"/>
        <v xml:space="preserve">N52156  </v>
      </c>
      <c r="BE1174">
        <v>1</v>
      </c>
      <c r="BG1174">
        <v>0</v>
      </c>
      <c r="BH1174">
        <v>0</v>
      </c>
      <c r="BI1174">
        <v>0</v>
      </c>
      <c r="BJ1174">
        <v>3350</v>
      </c>
      <c r="BK1174">
        <v>-50</v>
      </c>
      <c r="BL1174" t="s">
        <v>188</v>
      </c>
      <c r="BM1174">
        <v>1</v>
      </c>
      <c r="BN1174">
        <v>1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 t="shared" si="467"/>
        <v>15:07:47.206</v>
      </c>
      <c r="CF1174">
        <v>205702427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133</v>
      </c>
      <c r="DA1174">
        <v>275</v>
      </c>
      <c r="DB1174">
        <v>0</v>
      </c>
      <c r="DC1174" t="s">
        <v>134</v>
      </c>
      <c r="DD1174" t="s">
        <v>135</v>
      </c>
      <c r="DG1174">
        <v>3319904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"05/01/2025 15:07:47.453"</f>
        <v>05/01/2025 15:07:47.453</v>
      </c>
      <c r="C1175" t="str">
        <f t="shared" si="456"/>
        <v>FFDFD3C0</v>
      </c>
      <c r="D1175" t="s">
        <v>143</v>
      </c>
      <c r="E1175" t="str">
        <f>"05"</f>
        <v>05</v>
      </c>
      <c r="H1175">
        <v>172</v>
      </c>
      <c r="I1175" t="s">
        <v>141</v>
      </c>
      <c r="J1175" t="s">
        <v>144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R1175" t="s">
        <v>127</v>
      </c>
      <c r="S1175" t="str">
        <f t="shared" si="466"/>
        <v>15:07:47.000</v>
      </c>
      <c r="T1175" t="str">
        <f t="shared" si="466"/>
        <v>15:07:47.000</v>
      </c>
      <c r="U1175" t="str">
        <f t="shared" si="458"/>
        <v>A68FCB</v>
      </c>
      <c r="V1175">
        <v>0</v>
      </c>
      <c r="W1175">
        <v>0</v>
      </c>
      <c r="X1175">
        <v>2</v>
      </c>
      <c r="Y1175">
        <v>0</v>
      </c>
      <c r="AA1175">
        <v>1</v>
      </c>
      <c r="AB1175">
        <v>8</v>
      </c>
      <c r="AC1175">
        <v>3</v>
      </c>
      <c r="AD1175">
        <v>0</v>
      </c>
      <c r="AE1175">
        <v>9</v>
      </c>
      <c r="AF1175" t="s">
        <v>138</v>
      </c>
      <c r="AG1175">
        <v>0</v>
      </c>
      <c r="AH1175">
        <v>3</v>
      </c>
      <c r="AI1175">
        <v>2</v>
      </c>
      <c r="AJ1175">
        <v>0</v>
      </c>
      <c r="AK1175" t="s">
        <v>461</v>
      </c>
      <c r="AL1175">
        <v>38.998353000000002</v>
      </c>
      <c r="AM1175" t="s">
        <v>423</v>
      </c>
      <c r="AN1175">
        <v>-121.05274900000001</v>
      </c>
      <c r="AO1175">
        <v>25</v>
      </c>
      <c r="AP1175">
        <v>3400</v>
      </c>
      <c r="AQ1175" t="s">
        <v>131</v>
      </c>
      <c r="AR1175">
        <v>-15</v>
      </c>
      <c r="AS1175">
        <v>89</v>
      </c>
      <c r="AT1175">
        <v>320</v>
      </c>
      <c r="BB1175" t="str">
        <f t="shared" si="459"/>
        <v>1200</v>
      </c>
      <c r="BC1175">
        <v>1</v>
      </c>
      <c r="BD1175" t="str">
        <f t="shared" si="460"/>
        <v xml:space="preserve">N52156  </v>
      </c>
      <c r="BE1175">
        <v>1</v>
      </c>
      <c r="BG1175">
        <v>0</v>
      </c>
      <c r="BH1175">
        <v>0</v>
      </c>
      <c r="BI1175">
        <v>0</v>
      </c>
      <c r="BJ1175">
        <v>3350</v>
      </c>
      <c r="BK1175">
        <v>-50</v>
      </c>
      <c r="BL1175" t="s">
        <v>188</v>
      </c>
      <c r="BM1175">
        <v>1</v>
      </c>
      <c r="BN1175">
        <v>1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 t="shared" si="467"/>
        <v>15:07:47.206</v>
      </c>
      <c r="CF1175">
        <v>205702427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5</v>
      </c>
      <c r="CY1175">
        <v>7</v>
      </c>
      <c r="CZ1175" t="s">
        <v>133</v>
      </c>
      <c r="DA1175">
        <v>275</v>
      </c>
      <c r="DB1175">
        <v>0</v>
      </c>
      <c r="DC1175" t="s">
        <v>134</v>
      </c>
      <c r="DD1175" t="s">
        <v>135</v>
      </c>
      <c r="DG1175">
        <v>3319904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"05/01/2025 15:07:47.453"</f>
        <v>05/01/2025 15:07:47.453</v>
      </c>
      <c r="C1176" t="str">
        <f t="shared" si="456"/>
        <v>FFDFD3C0</v>
      </c>
      <c r="D1176" t="s">
        <v>145</v>
      </c>
      <c r="E1176" t="str">
        <f>"09"</f>
        <v>09</v>
      </c>
      <c r="H1176">
        <v>51</v>
      </c>
      <c r="I1176" t="s">
        <v>147</v>
      </c>
      <c r="J1176" t="s">
        <v>138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R1176" t="s">
        <v>127</v>
      </c>
      <c r="S1176" t="str">
        <f t="shared" si="466"/>
        <v>15:07:47.000</v>
      </c>
      <c r="T1176" t="str">
        <f t="shared" si="466"/>
        <v>15:07:47.000</v>
      </c>
      <c r="U1176" t="str">
        <f t="shared" si="458"/>
        <v>A68FCB</v>
      </c>
      <c r="V1176">
        <v>0</v>
      </c>
      <c r="W1176">
        <v>0</v>
      </c>
      <c r="X1176">
        <v>2</v>
      </c>
      <c r="Y1176">
        <v>0</v>
      </c>
      <c r="AA1176">
        <v>1</v>
      </c>
      <c r="AB1176">
        <v>8</v>
      </c>
      <c r="AC1176">
        <v>3</v>
      </c>
      <c r="AD1176">
        <v>0</v>
      </c>
      <c r="AE1176">
        <v>9</v>
      </c>
      <c r="AF1176" t="s">
        <v>138</v>
      </c>
      <c r="AG1176">
        <v>0</v>
      </c>
      <c r="AH1176">
        <v>3</v>
      </c>
      <c r="AI1176">
        <v>2</v>
      </c>
      <c r="AJ1176">
        <v>0</v>
      </c>
      <c r="AK1176" t="s">
        <v>461</v>
      </c>
      <c r="AL1176">
        <v>38.998353000000002</v>
      </c>
      <c r="AM1176" t="s">
        <v>423</v>
      </c>
      <c r="AN1176">
        <v>-121.05274900000001</v>
      </c>
      <c r="AO1176">
        <v>25</v>
      </c>
      <c r="AP1176">
        <v>3400</v>
      </c>
      <c r="AQ1176" t="s">
        <v>131</v>
      </c>
      <c r="AR1176">
        <v>-15</v>
      </c>
      <c r="AS1176">
        <v>89</v>
      </c>
      <c r="AT1176">
        <v>320</v>
      </c>
      <c r="BB1176" t="str">
        <f t="shared" si="459"/>
        <v>1200</v>
      </c>
      <c r="BC1176">
        <v>1</v>
      </c>
      <c r="BD1176" t="str">
        <f t="shared" si="460"/>
        <v xml:space="preserve">N52156  </v>
      </c>
      <c r="BE1176">
        <v>1</v>
      </c>
      <c r="BG1176">
        <v>0</v>
      </c>
      <c r="BH1176">
        <v>0</v>
      </c>
      <c r="BI1176">
        <v>0</v>
      </c>
      <c r="BJ1176">
        <v>3350</v>
      </c>
      <c r="BK1176">
        <v>-50</v>
      </c>
      <c r="BL1176" t="s">
        <v>188</v>
      </c>
      <c r="BM1176">
        <v>1</v>
      </c>
      <c r="BN1176">
        <v>1</v>
      </c>
      <c r="BO1176">
        <v>0</v>
      </c>
      <c r="BP1176">
        <v>0</v>
      </c>
      <c r="BS1176">
        <v>0</v>
      </c>
      <c r="BT1176">
        <v>0</v>
      </c>
      <c r="BU1176">
        <v>0</v>
      </c>
      <c r="CE1176" t="str">
        <f t="shared" si="467"/>
        <v>15:07:47.206</v>
      </c>
      <c r="CF1176">
        <v>205702427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133</v>
      </c>
      <c r="DA1176">
        <v>275</v>
      </c>
      <c r="DB1176">
        <v>0</v>
      </c>
      <c r="DC1176" t="s">
        <v>134</v>
      </c>
      <c r="DD1176" t="s">
        <v>135</v>
      </c>
      <c r="DG1176">
        <v>3319904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"05/01/2025 15:07:47.460"</f>
        <v>05/01/2025 15:07:47.460</v>
      </c>
      <c r="C1177" t="str">
        <f t="shared" si="456"/>
        <v>FFDFD3C0</v>
      </c>
      <c r="D1177" t="s">
        <v>136</v>
      </c>
      <c r="E1177" t="str">
        <f>"20"</f>
        <v>20</v>
      </c>
      <c r="H1177">
        <v>400</v>
      </c>
      <c r="I1177" t="s">
        <v>137</v>
      </c>
      <c r="J1177" t="s">
        <v>138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R1177" t="s">
        <v>127</v>
      </c>
      <c r="S1177" t="str">
        <f t="shared" si="466"/>
        <v>15:07:47.000</v>
      </c>
      <c r="T1177" t="str">
        <f t="shared" si="466"/>
        <v>15:07:47.000</v>
      </c>
      <c r="U1177" t="str">
        <f t="shared" si="458"/>
        <v>A68FCB</v>
      </c>
      <c r="V1177">
        <v>0</v>
      </c>
      <c r="W1177">
        <v>0</v>
      </c>
      <c r="X1177">
        <v>2</v>
      </c>
      <c r="Y1177">
        <v>0</v>
      </c>
      <c r="AA1177">
        <v>1</v>
      </c>
      <c r="AB1177">
        <v>8</v>
      </c>
      <c r="AC1177">
        <v>3</v>
      </c>
      <c r="AD1177">
        <v>0</v>
      </c>
      <c r="AE1177">
        <v>9</v>
      </c>
      <c r="AF1177" t="s">
        <v>138</v>
      </c>
      <c r="AG1177">
        <v>0</v>
      </c>
      <c r="AH1177">
        <v>3</v>
      </c>
      <c r="AI1177">
        <v>2</v>
      </c>
      <c r="AJ1177">
        <v>0</v>
      </c>
      <c r="AK1177" t="s">
        <v>461</v>
      </c>
      <c r="AL1177">
        <v>38.998353000000002</v>
      </c>
      <c r="AM1177" t="s">
        <v>423</v>
      </c>
      <c r="AN1177">
        <v>-121.05274900000001</v>
      </c>
      <c r="AO1177">
        <v>25</v>
      </c>
      <c r="AP1177">
        <v>3400</v>
      </c>
      <c r="AQ1177" t="s">
        <v>131</v>
      </c>
      <c r="AR1177">
        <v>-15</v>
      </c>
      <c r="AS1177">
        <v>89</v>
      </c>
      <c r="AT1177">
        <v>320</v>
      </c>
      <c r="BB1177" t="str">
        <f t="shared" si="459"/>
        <v>1200</v>
      </c>
      <c r="BC1177">
        <v>1</v>
      </c>
      <c r="BD1177" t="str">
        <f t="shared" si="460"/>
        <v xml:space="preserve">N52156  </v>
      </c>
      <c r="BE1177">
        <v>1</v>
      </c>
      <c r="BG1177">
        <v>0</v>
      </c>
      <c r="BH1177">
        <v>0</v>
      </c>
      <c r="BI1177">
        <v>0</v>
      </c>
      <c r="BJ1177">
        <v>3350</v>
      </c>
      <c r="BK1177">
        <v>-50</v>
      </c>
      <c r="BL1177" t="s">
        <v>188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 t="shared" si="467"/>
        <v>15:07:47.206</v>
      </c>
      <c r="CF1177">
        <v>205702427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133</v>
      </c>
      <c r="DA1177">
        <v>275</v>
      </c>
      <c r="DB1177">
        <v>0</v>
      </c>
      <c r="DC1177" t="s">
        <v>134</v>
      </c>
      <c r="DD1177" t="s">
        <v>135</v>
      </c>
      <c r="DG1177">
        <v>3319904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"05/01/2025 15:07:48.762"</f>
        <v>05/01/2025 15:07:48.762</v>
      </c>
      <c r="C1178" t="str">
        <f t="shared" si="456"/>
        <v>FFDFD3C0</v>
      </c>
      <c r="D1178" t="s">
        <v>136</v>
      </c>
      <c r="E1178" t="str">
        <f>"20"</f>
        <v>20</v>
      </c>
      <c r="H1178">
        <v>400</v>
      </c>
      <c r="I1178" t="s">
        <v>137</v>
      </c>
      <c r="J1178" t="s">
        <v>138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R1178" t="s">
        <v>127</v>
      </c>
      <c r="S1178" t="str">
        <f t="shared" ref="S1178:T1183" si="468">"15:07:48.000"</f>
        <v>15:07:48.000</v>
      </c>
      <c r="T1178" t="str">
        <f t="shared" si="468"/>
        <v>15:07:48.000</v>
      </c>
      <c r="U1178" t="str">
        <f t="shared" si="458"/>
        <v>A68FCB</v>
      </c>
      <c r="V1178">
        <v>0</v>
      </c>
      <c r="W1178">
        <v>0</v>
      </c>
      <c r="X1178">
        <v>2</v>
      </c>
      <c r="Y1178">
        <v>0</v>
      </c>
      <c r="AA1178">
        <v>1</v>
      </c>
      <c r="AB1178">
        <v>8</v>
      </c>
      <c r="AC1178">
        <v>3</v>
      </c>
      <c r="AD1178">
        <v>0</v>
      </c>
      <c r="AE1178">
        <v>9</v>
      </c>
      <c r="AF1178" t="s">
        <v>138</v>
      </c>
      <c r="AG1178">
        <v>0</v>
      </c>
      <c r="AH1178">
        <v>3</v>
      </c>
      <c r="AI1178">
        <v>2</v>
      </c>
      <c r="AJ1178">
        <v>0</v>
      </c>
      <c r="AK1178" t="s">
        <v>462</v>
      </c>
      <c r="AL1178">
        <v>38.998761000000002</v>
      </c>
      <c r="AM1178" t="s">
        <v>427</v>
      </c>
      <c r="AN1178">
        <v>-121.05285600000001</v>
      </c>
      <c r="AO1178">
        <v>25</v>
      </c>
      <c r="AP1178">
        <v>3400</v>
      </c>
      <c r="AQ1178" t="s">
        <v>131</v>
      </c>
      <c r="AR1178">
        <v>-17</v>
      </c>
      <c r="AS1178">
        <v>90</v>
      </c>
      <c r="AT1178">
        <v>384</v>
      </c>
      <c r="BB1178" t="str">
        <f t="shared" si="459"/>
        <v>1200</v>
      </c>
      <c r="BC1178">
        <v>1</v>
      </c>
      <c r="BD1178" t="str">
        <f t="shared" si="460"/>
        <v xml:space="preserve">N52156  </v>
      </c>
      <c r="BE1178">
        <v>1</v>
      </c>
      <c r="BG1178">
        <v>0</v>
      </c>
      <c r="BH1178">
        <v>0</v>
      </c>
      <c r="BI1178">
        <v>0</v>
      </c>
      <c r="BJ1178">
        <v>3375</v>
      </c>
      <c r="BK1178">
        <v>-25</v>
      </c>
      <c r="BL1178" t="s">
        <v>188</v>
      </c>
      <c r="BM1178">
        <v>1</v>
      </c>
      <c r="BN1178">
        <v>1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 t="shared" ref="CE1178:CE1183" si="469">"15:07:48.542"</f>
        <v>15:07:48.542</v>
      </c>
      <c r="CF1178">
        <v>542203284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133</v>
      </c>
      <c r="DA1178">
        <v>275</v>
      </c>
      <c r="DB1178">
        <v>0</v>
      </c>
      <c r="DC1178" t="s">
        <v>134</v>
      </c>
      <c r="DD1178" t="s">
        <v>135</v>
      </c>
      <c r="DG1178">
        <v>3319915</v>
      </c>
      <c r="DI1178">
        <v>1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"05/01/2025 15:07:48.796"</f>
        <v>05/01/2025 15:07:48.796</v>
      </c>
      <c r="C1179" t="str">
        <f t="shared" si="456"/>
        <v>FFDFD3C0</v>
      </c>
      <c r="D1179" t="s">
        <v>140</v>
      </c>
      <c r="E1179" t="str">
        <f>"13"</f>
        <v>13</v>
      </c>
      <c r="F1179">
        <v>1019</v>
      </c>
      <c r="G1179" t="s">
        <v>141</v>
      </c>
      <c r="J1179" t="s">
        <v>142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R1179" t="s">
        <v>127</v>
      </c>
      <c r="S1179" t="str">
        <f t="shared" si="468"/>
        <v>15:07:48.000</v>
      </c>
      <c r="T1179" t="str">
        <f t="shared" si="468"/>
        <v>15:07:48.000</v>
      </c>
      <c r="U1179" t="str">
        <f t="shared" si="458"/>
        <v>A68FCB</v>
      </c>
      <c r="V1179">
        <v>0</v>
      </c>
      <c r="W1179">
        <v>0</v>
      </c>
      <c r="X1179">
        <v>2</v>
      </c>
      <c r="Y1179">
        <v>0</v>
      </c>
      <c r="AA1179">
        <v>1</v>
      </c>
      <c r="AB1179">
        <v>8</v>
      </c>
      <c r="AC1179">
        <v>3</v>
      </c>
      <c r="AD1179">
        <v>0</v>
      </c>
      <c r="AE1179">
        <v>9</v>
      </c>
      <c r="AF1179" t="s">
        <v>138</v>
      </c>
      <c r="AG1179">
        <v>0</v>
      </c>
      <c r="AH1179">
        <v>3</v>
      </c>
      <c r="AI1179">
        <v>2</v>
      </c>
      <c r="AJ1179">
        <v>0</v>
      </c>
      <c r="AK1179" t="s">
        <v>462</v>
      </c>
      <c r="AL1179">
        <v>38.998761000000002</v>
      </c>
      <c r="AM1179" t="s">
        <v>427</v>
      </c>
      <c r="AN1179">
        <v>-121.05285600000001</v>
      </c>
      <c r="AO1179">
        <v>25</v>
      </c>
      <c r="AP1179">
        <v>3400</v>
      </c>
      <c r="AQ1179" t="s">
        <v>131</v>
      </c>
      <c r="AR1179">
        <v>-17</v>
      </c>
      <c r="AS1179">
        <v>90</v>
      </c>
      <c r="AT1179">
        <v>384</v>
      </c>
      <c r="BB1179" t="str">
        <f t="shared" si="459"/>
        <v>1200</v>
      </c>
      <c r="BC1179">
        <v>1</v>
      </c>
      <c r="BD1179" t="str">
        <f t="shared" si="460"/>
        <v xml:space="preserve">N52156  </v>
      </c>
      <c r="BE1179">
        <v>1</v>
      </c>
      <c r="BG1179">
        <v>0</v>
      </c>
      <c r="BH1179">
        <v>0</v>
      </c>
      <c r="BI1179">
        <v>0</v>
      </c>
      <c r="BJ1179">
        <v>3375</v>
      </c>
      <c r="BK1179">
        <v>-25</v>
      </c>
      <c r="BL1179" t="s">
        <v>188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 t="shared" si="469"/>
        <v>15:07:48.542</v>
      </c>
      <c r="CF1179">
        <v>542203284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133</v>
      </c>
      <c r="DA1179">
        <v>275</v>
      </c>
      <c r="DB1179">
        <v>0</v>
      </c>
      <c r="DC1179" t="s">
        <v>134</v>
      </c>
      <c r="DD1179" t="s">
        <v>135</v>
      </c>
      <c r="DG1179">
        <v>3319915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"05/01/2025 15:07:48.801"</f>
        <v>05/01/2025 15:07:48.801</v>
      </c>
      <c r="C1180" t="str">
        <f t="shared" si="456"/>
        <v>FFDFD3C0</v>
      </c>
      <c r="D1180" t="s">
        <v>145</v>
      </c>
      <c r="E1180" t="str">
        <f>"05"</f>
        <v>05</v>
      </c>
      <c r="H1180">
        <v>47</v>
      </c>
      <c r="I1180" t="s">
        <v>146</v>
      </c>
      <c r="J1180" t="s">
        <v>138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R1180" t="s">
        <v>127</v>
      </c>
      <c r="S1180" t="str">
        <f t="shared" si="468"/>
        <v>15:07:48.000</v>
      </c>
      <c r="T1180" t="str">
        <f t="shared" si="468"/>
        <v>15:07:48.000</v>
      </c>
      <c r="U1180" t="str">
        <f t="shared" si="458"/>
        <v>A68FCB</v>
      </c>
      <c r="V1180">
        <v>0</v>
      </c>
      <c r="W1180">
        <v>0</v>
      </c>
      <c r="X1180">
        <v>2</v>
      </c>
      <c r="Y1180">
        <v>0</v>
      </c>
      <c r="AA1180">
        <v>1</v>
      </c>
      <c r="AB1180">
        <v>8</v>
      </c>
      <c r="AC1180">
        <v>3</v>
      </c>
      <c r="AD1180">
        <v>0</v>
      </c>
      <c r="AE1180">
        <v>9</v>
      </c>
      <c r="AF1180" t="s">
        <v>138</v>
      </c>
      <c r="AG1180">
        <v>0</v>
      </c>
      <c r="AH1180">
        <v>3</v>
      </c>
      <c r="AI1180">
        <v>2</v>
      </c>
      <c r="AJ1180">
        <v>0</v>
      </c>
      <c r="AK1180" t="s">
        <v>462</v>
      </c>
      <c r="AL1180">
        <v>38.998761000000002</v>
      </c>
      <c r="AM1180" t="s">
        <v>427</v>
      </c>
      <c r="AN1180">
        <v>-121.05285600000001</v>
      </c>
      <c r="AO1180">
        <v>25</v>
      </c>
      <c r="AP1180">
        <v>3400</v>
      </c>
      <c r="AQ1180" t="s">
        <v>131</v>
      </c>
      <c r="AR1180">
        <v>-17</v>
      </c>
      <c r="AS1180">
        <v>90</v>
      </c>
      <c r="AT1180">
        <v>384</v>
      </c>
      <c r="BB1180" t="str">
        <f t="shared" si="459"/>
        <v>1200</v>
      </c>
      <c r="BC1180">
        <v>1</v>
      </c>
      <c r="BD1180" t="str">
        <f t="shared" si="460"/>
        <v xml:space="preserve">N52156  </v>
      </c>
      <c r="BE1180">
        <v>1</v>
      </c>
      <c r="BG1180">
        <v>0</v>
      </c>
      <c r="BH1180">
        <v>0</v>
      </c>
      <c r="BI1180">
        <v>0</v>
      </c>
      <c r="BJ1180">
        <v>3375</v>
      </c>
      <c r="BK1180">
        <v>-25</v>
      </c>
      <c r="BL1180" t="s">
        <v>188</v>
      </c>
      <c r="BM1180">
        <v>1</v>
      </c>
      <c r="BN1180">
        <v>1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 t="shared" si="469"/>
        <v>15:07:48.542</v>
      </c>
      <c r="CF1180">
        <v>542203284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133</v>
      </c>
      <c r="DA1180">
        <v>275</v>
      </c>
      <c r="DB1180">
        <v>0</v>
      </c>
      <c r="DC1180" t="s">
        <v>134</v>
      </c>
      <c r="DD1180" t="s">
        <v>135</v>
      </c>
      <c r="DG1180">
        <v>3319915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"05/01/2025 15:07:48.803"</f>
        <v>05/01/2025 15:07:48.803</v>
      </c>
      <c r="C1181" t="str">
        <f t="shared" si="456"/>
        <v>FFDFD3C0</v>
      </c>
      <c r="D1181" t="s">
        <v>124</v>
      </c>
      <c r="E1181" t="str">
        <f>"06"</f>
        <v>06</v>
      </c>
      <c r="F1181">
        <v>2006</v>
      </c>
      <c r="G1181" t="s">
        <v>125</v>
      </c>
      <c r="J1181" t="s">
        <v>126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R1181" t="s">
        <v>127</v>
      </c>
      <c r="S1181" t="str">
        <f t="shared" si="468"/>
        <v>15:07:48.000</v>
      </c>
      <c r="T1181" t="str">
        <f t="shared" si="468"/>
        <v>15:07:48.000</v>
      </c>
      <c r="U1181" t="str">
        <f t="shared" si="458"/>
        <v>A68FCB</v>
      </c>
      <c r="V1181">
        <v>0</v>
      </c>
      <c r="W1181">
        <v>0</v>
      </c>
      <c r="X1181">
        <v>2</v>
      </c>
      <c r="Y1181">
        <v>0</v>
      </c>
      <c r="AA1181">
        <v>1</v>
      </c>
      <c r="AB1181">
        <v>8</v>
      </c>
      <c r="AC1181">
        <v>3</v>
      </c>
      <c r="AD1181">
        <v>0</v>
      </c>
      <c r="AE1181">
        <v>9</v>
      </c>
      <c r="AF1181" t="s">
        <v>138</v>
      </c>
      <c r="AG1181">
        <v>0</v>
      </c>
      <c r="AH1181">
        <v>3</v>
      </c>
      <c r="AI1181">
        <v>2</v>
      </c>
      <c r="AJ1181">
        <v>0</v>
      </c>
      <c r="AK1181" t="s">
        <v>462</v>
      </c>
      <c r="AL1181">
        <v>38.998761000000002</v>
      </c>
      <c r="AM1181" t="s">
        <v>427</v>
      </c>
      <c r="AN1181">
        <v>-121.05285600000001</v>
      </c>
      <c r="AO1181">
        <v>25</v>
      </c>
      <c r="AP1181">
        <v>3400</v>
      </c>
      <c r="AQ1181" t="s">
        <v>131</v>
      </c>
      <c r="AR1181">
        <v>-17</v>
      </c>
      <c r="AS1181">
        <v>90</v>
      </c>
      <c r="AT1181">
        <v>384</v>
      </c>
      <c r="BB1181" t="str">
        <f t="shared" si="459"/>
        <v>1200</v>
      </c>
      <c r="BC1181">
        <v>1</v>
      </c>
      <c r="BD1181" t="str">
        <f t="shared" si="460"/>
        <v xml:space="preserve">N52156  </v>
      </c>
      <c r="BE1181">
        <v>1</v>
      </c>
      <c r="BG1181">
        <v>0</v>
      </c>
      <c r="BH1181">
        <v>0</v>
      </c>
      <c r="BI1181">
        <v>0</v>
      </c>
      <c r="BJ1181">
        <v>3375</v>
      </c>
      <c r="BK1181">
        <v>-25</v>
      </c>
      <c r="BL1181" t="s">
        <v>188</v>
      </c>
      <c r="BM1181">
        <v>1</v>
      </c>
      <c r="BN1181">
        <v>1</v>
      </c>
      <c r="BO1181">
        <v>0</v>
      </c>
      <c r="BP1181">
        <v>0</v>
      </c>
      <c r="BS1181">
        <v>0</v>
      </c>
      <c r="BT1181">
        <v>0</v>
      </c>
      <c r="BU1181">
        <v>0</v>
      </c>
      <c r="CE1181" t="str">
        <f t="shared" si="469"/>
        <v>15:07:48.542</v>
      </c>
      <c r="CF1181">
        <v>542203284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133</v>
      </c>
      <c r="DA1181">
        <v>275</v>
      </c>
      <c r="DB1181">
        <v>0</v>
      </c>
      <c r="DC1181" t="s">
        <v>134</v>
      </c>
      <c r="DD1181" t="s">
        <v>135</v>
      </c>
      <c r="DG1181">
        <v>3319915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"05/01/2025 15:07:48.806"</f>
        <v>05/01/2025 15:07:48.806</v>
      </c>
      <c r="C1182" t="str">
        <f t="shared" si="456"/>
        <v>FFDFD3C0</v>
      </c>
      <c r="D1182" t="s">
        <v>143</v>
      </c>
      <c r="E1182" t="str">
        <f>"05"</f>
        <v>05</v>
      </c>
      <c r="H1182">
        <v>172</v>
      </c>
      <c r="I1182" t="s">
        <v>141</v>
      </c>
      <c r="J1182" t="s">
        <v>144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R1182" t="s">
        <v>127</v>
      </c>
      <c r="S1182" t="str">
        <f t="shared" si="468"/>
        <v>15:07:48.000</v>
      </c>
      <c r="T1182" t="str">
        <f t="shared" si="468"/>
        <v>15:07:48.000</v>
      </c>
      <c r="U1182" t="str">
        <f t="shared" si="458"/>
        <v>A68FCB</v>
      </c>
      <c r="V1182">
        <v>0</v>
      </c>
      <c r="W1182">
        <v>0</v>
      </c>
      <c r="X1182">
        <v>2</v>
      </c>
      <c r="Y1182">
        <v>0</v>
      </c>
      <c r="AA1182">
        <v>1</v>
      </c>
      <c r="AB1182">
        <v>8</v>
      </c>
      <c r="AC1182">
        <v>3</v>
      </c>
      <c r="AD1182">
        <v>0</v>
      </c>
      <c r="AE1182">
        <v>9</v>
      </c>
      <c r="AF1182" t="s">
        <v>138</v>
      </c>
      <c r="AG1182">
        <v>0</v>
      </c>
      <c r="AH1182">
        <v>3</v>
      </c>
      <c r="AI1182">
        <v>2</v>
      </c>
      <c r="AJ1182">
        <v>0</v>
      </c>
      <c r="AK1182" t="s">
        <v>462</v>
      </c>
      <c r="AL1182">
        <v>38.998761000000002</v>
      </c>
      <c r="AM1182" t="s">
        <v>427</v>
      </c>
      <c r="AN1182">
        <v>-121.05285600000001</v>
      </c>
      <c r="AO1182">
        <v>25</v>
      </c>
      <c r="AP1182">
        <v>3400</v>
      </c>
      <c r="AQ1182" t="s">
        <v>131</v>
      </c>
      <c r="AR1182">
        <v>-17</v>
      </c>
      <c r="AS1182">
        <v>90</v>
      </c>
      <c r="AT1182">
        <v>384</v>
      </c>
      <c r="BB1182" t="str">
        <f t="shared" si="459"/>
        <v>1200</v>
      </c>
      <c r="BC1182">
        <v>1</v>
      </c>
      <c r="BD1182" t="str">
        <f t="shared" si="460"/>
        <v xml:space="preserve">N52156  </v>
      </c>
      <c r="BE1182">
        <v>1</v>
      </c>
      <c r="BG1182">
        <v>0</v>
      </c>
      <c r="BH1182">
        <v>0</v>
      </c>
      <c r="BI1182">
        <v>0</v>
      </c>
      <c r="BJ1182">
        <v>3375</v>
      </c>
      <c r="BK1182">
        <v>-25</v>
      </c>
      <c r="BL1182" t="s">
        <v>188</v>
      </c>
      <c r="BM1182">
        <v>1</v>
      </c>
      <c r="BN1182">
        <v>1</v>
      </c>
      <c r="BO1182">
        <v>0</v>
      </c>
      <c r="BP1182">
        <v>0</v>
      </c>
      <c r="BS1182">
        <v>0</v>
      </c>
      <c r="BT1182">
        <v>0</v>
      </c>
      <c r="BU1182">
        <v>0</v>
      </c>
      <c r="CE1182" t="str">
        <f t="shared" si="469"/>
        <v>15:07:48.542</v>
      </c>
      <c r="CF1182">
        <v>542203284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133</v>
      </c>
      <c r="DA1182">
        <v>275</v>
      </c>
      <c r="DB1182">
        <v>0</v>
      </c>
      <c r="DC1182" t="s">
        <v>134</v>
      </c>
      <c r="DD1182" t="s">
        <v>135</v>
      </c>
      <c r="DG1182">
        <v>3319915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"05/01/2025 15:07:48.805"</f>
        <v>05/01/2025 15:07:48.805</v>
      </c>
      <c r="C1183" t="str">
        <f t="shared" si="456"/>
        <v>FFDFD3C0</v>
      </c>
      <c r="D1183" t="s">
        <v>145</v>
      </c>
      <c r="E1183" t="str">
        <f>"09"</f>
        <v>09</v>
      </c>
      <c r="H1183">
        <v>51</v>
      </c>
      <c r="I1183" t="s">
        <v>147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R1183" t="s">
        <v>127</v>
      </c>
      <c r="S1183" t="str">
        <f t="shared" si="468"/>
        <v>15:07:48.000</v>
      </c>
      <c r="T1183" t="str">
        <f t="shared" si="468"/>
        <v>15:07:48.000</v>
      </c>
      <c r="U1183" t="str">
        <f t="shared" si="458"/>
        <v>A68FCB</v>
      </c>
      <c r="V1183">
        <v>0</v>
      </c>
      <c r="W1183">
        <v>0</v>
      </c>
      <c r="X1183">
        <v>2</v>
      </c>
      <c r="Y1183">
        <v>0</v>
      </c>
      <c r="AA1183">
        <v>1</v>
      </c>
      <c r="AB1183">
        <v>8</v>
      </c>
      <c r="AC1183">
        <v>3</v>
      </c>
      <c r="AD1183">
        <v>0</v>
      </c>
      <c r="AE1183">
        <v>9</v>
      </c>
      <c r="AF1183" t="s">
        <v>138</v>
      </c>
      <c r="AG1183">
        <v>0</v>
      </c>
      <c r="AH1183">
        <v>3</v>
      </c>
      <c r="AI1183">
        <v>2</v>
      </c>
      <c r="AJ1183">
        <v>0</v>
      </c>
      <c r="AK1183" t="s">
        <v>462</v>
      </c>
      <c r="AL1183">
        <v>38.998761000000002</v>
      </c>
      <c r="AM1183" t="s">
        <v>427</v>
      </c>
      <c r="AN1183">
        <v>-121.05285600000001</v>
      </c>
      <c r="AO1183">
        <v>25</v>
      </c>
      <c r="AP1183">
        <v>3400</v>
      </c>
      <c r="AQ1183" t="s">
        <v>131</v>
      </c>
      <c r="AR1183">
        <v>-17</v>
      </c>
      <c r="AS1183">
        <v>90</v>
      </c>
      <c r="AT1183">
        <v>384</v>
      </c>
      <c r="BB1183" t="str">
        <f t="shared" si="459"/>
        <v>1200</v>
      </c>
      <c r="BC1183">
        <v>1</v>
      </c>
      <c r="BD1183" t="str">
        <f t="shared" si="460"/>
        <v xml:space="preserve">N52156  </v>
      </c>
      <c r="BE1183">
        <v>1</v>
      </c>
      <c r="BG1183">
        <v>0</v>
      </c>
      <c r="BH1183">
        <v>0</v>
      </c>
      <c r="BI1183">
        <v>0</v>
      </c>
      <c r="BJ1183">
        <v>3375</v>
      </c>
      <c r="BK1183">
        <v>-25</v>
      </c>
      <c r="BL1183" t="s">
        <v>188</v>
      </c>
      <c r="BM1183">
        <v>1</v>
      </c>
      <c r="BN1183">
        <v>1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 t="shared" si="469"/>
        <v>15:07:48.542</v>
      </c>
      <c r="CF1183">
        <v>542203284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133</v>
      </c>
      <c r="DA1183">
        <v>275</v>
      </c>
      <c r="DB1183">
        <v>0</v>
      </c>
      <c r="DC1183" t="s">
        <v>134</v>
      </c>
      <c r="DD1183" t="s">
        <v>135</v>
      </c>
      <c r="DG1183">
        <v>3319915</v>
      </c>
      <c r="DI1183">
        <v>1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"05/01/2025 15:07:49.663"</f>
        <v>05/01/2025 15:07:49.663</v>
      </c>
      <c r="C1184" t="str">
        <f t="shared" si="456"/>
        <v>FFDFD3C0</v>
      </c>
      <c r="D1184" t="s">
        <v>136</v>
      </c>
      <c r="E1184" t="str">
        <f>"20"</f>
        <v>20</v>
      </c>
      <c r="H1184">
        <v>400</v>
      </c>
      <c r="I1184" t="s">
        <v>137</v>
      </c>
      <c r="J1184" t="s">
        <v>138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R1184" t="s">
        <v>127</v>
      </c>
      <c r="S1184" t="str">
        <f t="shared" ref="S1184:T1189" si="470">"15:07:49.000"</f>
        <v>15:07:49.000</v>
      </c>
      <c r="T1184" t="str">
        <f t="shared" si="470"/>
        <v>15:07:49.000</v>
      </c>
      <c r="U1184" t="str">
        <f t="shared" si="458"/>
        <v>A68FCB</v>
      </c>
      <c r="V1184">
        <v>0</v>
      </c>
      <c r="W1184">
        <v>0</v>
      </c>
      <c r="X1184">
        <v>2</v>
      </c>
      <c r="Y1184">
        <v>0</v>
      </c>
      <c r="AA1184">
        <v>1</v>
      </c>
      <c r="AB1184">
        <v>8</v>
      </c>
      <c r="AC1184">
        <v>3</v>
      </c>
      <c r="AD1184">
        <v>0</v>
      </c>
      <c r="AE1184">
        <v>9</v>
      </c>
      <c r="AF1184" t="s">
        <v>138</v>
      </c>
      <c r="AG1184">
        <v>0</v>
      </c>
      <c r="AH1184">
        <v>3</v>
      </c>
      <c r="AI1184">
        <v>2</v>
      </c>
      <c r="AJ1184">
        <v>0</v>
      </c>
      <c r="AK1184" t="s">
        <v>463</v>
      </c>
      <c r="AL1184">
        <v>38.999189999999999</v>
      </c>
      <c r="AM1184" t="s">
        <v>464</v>
      </c>
      <c r="AN1184">
        <v>-121.052964</v>
      </c>
      <c r="AO1184">
        <v>25</v>
      </c>
      <c r="AP1184">
        <v>3400</v>
      </c>
      <c r="AQ1184" t="s">
        <v>131</v>
      </c>
      <c r="AR1184">
        <v>-18</v>
      </c>
      <c r="AS1184">
        <v>90</v>
      </c>
      <c r="AT1184">
        <v>448</v>
      </c>
      <c r="BB1184" t="str">
        <f t="shared" si="459"/>
        <v>1200</v>
      </c>
      <c r="BC1184">
        <v>1</v>
      </c>
      <c r="BD1184" t="str">
        <f t="shared" si="460"/>
        <v xml:space="preserve">N52156  </v>
      </c>
      <c r="BE1184">
        <v>1</v>
      </c>
      <c r="BG1184">
        <v>0</v>
      </c>
      <c r="BH1184">
        <v>0</v>
      </c>
      <c r="BI1184">
        <v>0</v>
      </c>
      <c r="BJ1184">
        <v>3375</v>
      </c>
      <c r="BK1184">
        <v>-25</v>
      </c>
      <c r="BL1184" t="s">
        <v>188</v>
      </c>
      <c r="BM1184">
        <v>1</v>
      </c>
      <c r="BN1184">
        <v>1</v>
      </c>
      <c r="BO1184">
        <v>0</v>
      </c>
      <c r="BP1184">
        <v>0</v>
      </c>
      <c r="BS1184">
        <v>0</v>
      </c>
      <c r="BT1184">
        <v>0</v>
      </c>
      <c r="BU1184">
        <v>0</v>
      </c>
      <c r="CE1184" t="str">
        <f t="shared" ref="CE1184:CE1189" si="471">"15:07:49.445"</f>
        <v>15:07:49.445</v>
      </c>
      <c r="CF1184">
        <v>444953015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4</v>
      </c>
      <c r="CY1184">
        <v>7</v>
      </c>
      <c r="CZ1184" t="s">
        <v>133</v>
      </c>
      <c r="DA1184">
        <v>275</v>
      </c>
      <c r="DB1184">
        <v>0</v>
      </c>
      <c r="DC1184" t="s">
        <v>134</v>
      </c>
      <c r="DD1184" t="s">
        <v>135</v>
      </c>
      <c r="DG1184">
        <v>3319925</v>
      </c>
      <c r="DI1184">
        <v>1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"05/01/2025 15:07:49.697"</f>
        <v>05/01/2025 15:07:49.697</v>
      </c>
      <c r="C1185" t="str">
        <f t="shared" si="456"/>
        <v>FFDFD3C0</v>
      </c>
      <c r="D1185" t="s">
        <v>140</v>
      </c>
      <c r="E1185" t="str">
        <f>"13"</f>
        <v>13</v>
      </c>
      <c r="F1185">
        <v>1019</v>
      </c>
      <c r="G1185" t="s">
        <v>141</v>
      </c>
      <c r="J1185" t="s">
        <v>142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R1185" t="s">
        <v>127</v>
      </c>
      <c r="S1185" t="str">
        <f t="shared" si="470"/>
        <v>15:07:49.000</v>
      </c>
      <c r="T1185" t="str">
        <f t="shared" si="470"/>
        <v>15:07:49.000</v>
      </c>
      <c r="U1185" t="str">
        <f t="shared" si="458"/>
        <v>A68FCB</v>
      </c>
      <c r="V1185">
        <v>0</v>
      </c>
      <c r="W1185">
        <v>0</v>
      </c>
      <c r="X1185">
        <v>2</v>
      </c>
      <c r="Y1185">
        <v>0</v>
      </c>
      <c r="AA1185">
        <v>1</v>
      </c>
      <c r="AB1185">
        <v>8</v>
      </c>
      <c r="AC1185">
        <v>3</v>
      </c>
      <c r="AD1185">
        <v>0</v>
      </c>
      <c r="AE1185">
        <v>9</v>
      </c>
      <c r="AF1185" t="s">
        <v>138</v>
      </c>
      <c r="AG1185">
        <v>0</v>
      </c>
      <c r="AH1185">
        <v>3</v>
      </c>
      <c r="AI1185">
        <v>2</v>
      </c>
      <c r="AJ1185">
        <v>0</v>
      </c>
      <c r="AK1185" t="s">
        <v>463</v>
      </c>
      <c r="AL1185">
        <v>38.999189999999999</v>
      </c>
      <c r="AM1185" t="s">
        <v>464</v>
      </c>
      <c r="AN1185">
        <v>-121.052964</v>
      </c>
      <c r="AO1185">
        <v>25</v>
      </c>
      <c r="AP1185">
        <v>3400</v>
      </c>
      <c r="AQ1185" t="s">
        <v>131</v>
      </c>
      <c r="AR1185">
        <v>-18</v>
      </c>
      <c r="AS1185">
        <v>90</v>
      </c>
      <c r="AT1185">
        <v>448</v>
      </c>
      <c r="BB1185" t="str">
        <f t="shared" si="459"/>
        <v>1200</v>
      </c>
      <c r="BC1185">
        <v>1</v>
      </c>
      <c r="BD1185" t="str">
        <f t="shared" si="460"/>
        <v xml:space="preserve">N52156  </v>
      </c>
      <c r="BE1185">
        <v>1</v>
      </c>
      <c r="BG1185">
        <v>0</v>
      </c>
      <c r="BH1185">
        <v>0</v>
      </c>
      <c r="BI1185">
        <v>0</v>
      </c>
      <c r="BJ1185">
        <v>3375</v>
      </c>
      <c r="BK1185">
        <v>-25</v>
      </c>
      <c r="BL1185" t="s">
        <v>188</v>
      </c>
      <c r="BM1185">
        <v>1</v>
      </c>
      <c r="BN1185">
        <v>1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 t="shared" si="471"/>
        <v>15:07:49.445</v>
      </c>
      <c r="CF1185">
        <v>444953015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4</v>
      </c>
      <c r="CY1185">
        <v>7</v>
      </c>
      <c r="CZ1185" t="s">
        <v>133</v>
      </c>
      <c r="DA1185">
        <v>275</v>
      </c>
      <c r="DB1185">
        <v>0</v>
      </c>
      <c r="DC1185" t="s">
        <v>134</v>
      </c>
      <c r="DD1185" t="s">
        <v>135</v>
      </c>
      <c r="DG1185">
        <v>3319925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"05/01/2025 15:07:49.703"</f>
        <v>05/01/2025 15:07:49.703</v>
      </c>
      <c r="C1186" t="str">
        <f t="shared" si="456"/>
        <v>FFDFD3C0</v>
      </c>
      <c r="D1186" t="s">
        <v>145</v>
      </c>
      <c r="E1186" t="str">
        <f>"05"</f>
        <v>05</v>
      </c>
      <c r="H1186">
        <v>47</v>
      </c>
      <c r="I1186" t="s">
        <v>146</v>
      </c>
      <c r="J1186" t="s">
        <v>138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R1186" t="s">
        <v>127</v>
      </c>
      <c r="S1186" t="str">
        <f t="shared" si="470"/>
        <v>15:07:49.000</v>
      </c>
      <c r="T1186" t="str">
        <f t="shared" si="470"/>
        <v>15:07:49.000</v>
      </c>
      <c r="U1186" t="str">
        <f t="shared" si="458"/>
        <v>A68FCB</v>
      </c>
      <c r="V1186">
        <v>0</v>
      </c>
      <c r="W1186">
        <v>0</v>
      </c>
      <c r="X1186">
        <v>2</v>
      </c>
      <c r="Y1186">
        <v>0</v>
      </c>
      <c r="AA1186">
        <v>1</v>
      </c>
      <c r="AB1186">
        <v>8</v>
      </c>
      <c r="AC1186">
        <v>3</v>
      </c>
      <c r="AD1186">
        <v>0</v>
      </c>
      <c r="AE1186">
        <v>9</v>
      </c>
      <c r="AF1186" t="s">
        <v>138</v>
      </c>
      <c r="AG1186">
        <v>0</v>
      </c>
      <c r="AH1186">
        <v>3</v>
      </c>
      <c r="AI1186">
        <v>2</v>
      </c>
      <c r="AJ1186">
        <v>0</v>
      </c>
      <c r="AK1186" t="s">
        <v>463</v>
      </c>
      <c r="AL1186">
        <v>38.999189999999999</v>
      </c>
      <c r="AM1186" t="s">
        <v>464</v>
      </c>
      <c r="AN1186">
        <v>-121.052964</v>
      </c>
      <c r="AO1186">
        <v>25</v>
      </c>
      <c r="AP1186">
        <v>3400</v>
      </c>
      <c r="AQ1186" t="s">
        <v>131</v>
      </c>
      <c r="AR1186">
        <v>-18</v>
      </c>
      <c r="AS1186">
        <v>90</v>
      </c>
      <c r="AT1186">
        <v>448</v>
      </c>
      <c r="BB1186" t="str">
        <f t="shared" si="459"/>
        <v>1200</v>
      </c>
      <c r="BC1186">
        <v>1</v>
      </c>
      <c r="BD1186" t="str">
        <f t="shared" si="460"/>
        <v xml:space="preserve">N52156  </v>
      </c>
      <c r="BE1186">
        <v>1</v>
      </c>
      <c r="BG1186">
        <v>0</v>
      </c>
      <c r="BH1186">
        <v>0</v>
      </c>
      <c r="BI1186">
        <v>0</v>
      </c>
      <c r="BJ1186">
        <v>3375</v>
      </c>
      <c r="BK1186">
        <v>-25</v>
      </c>
      <c r="BL1186" t="s">
        <v>188</v>
      </c>
      <c r="BM1186">
        <v>1</v>
      </c>
      <c r="BN1186">
        <v>1</v>
      </c>
      <c r="BO1186">
        <v>0</v>
      </c>
      <c r="BP1186">
        <v>0</v>
      </c>
      <c r="BS1186">
        <v>0</v>
      </c>
      <c r="BT1186">
        <v>0</v>
      </c>
      <c r="BU1186">
        <v>0</v>
      </c>
      <c r="CE1186" t="str">
        <f t="shared" si="471"/>
        <v>15:07:49.445</v>
      </c>
      <c r="CF1186">
        <v>444953015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4</v>
      </c>
      <c r="CY1186">
        <v>7</v>
      </c>
      <c r="CZ1186" t="s">
        <v>133</v>
      </c>
      <c r="DA1186">
        <v>275</v>
      </c>
      <c r="DB1186">
        <v>0</v>
      </c>
      <c r="DC1186" t="s">
        <v>134</v>
      </c>
      <c r="DD1186" t="s">
        <v>135</v>
      </c>
      <c r="DG1186">
        <v>3319925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"05/01/2025 15:07:49.705"</f>
        <v>05/01/2025 15:07:49.705</v>
      </c>
      <c r="C1187" t="str">
        <f t="shared" si="456"/>
        <v>FFDFD3C0</v>
      </c>
      <c r="D1187" t="s">
        <v>124</v>
      </c>
      <c r="E1187" t="str">
        <f>"06"</f>
        <v>06</v>
      </c>
      <c r="F1187">
        <v>2006</v>
      </c>
      <c r="G1187" t="s">
        <v>125</v>
      </c>
      <c r="J1187" t="s">
        <v>126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R1187" t="s">
        <v>127</v>
      </c>
      <c r="S1187" t="str">
        <f t="shared" si="470"/>
        <v>15:07:49.000</v>
      </c>
      <c r="T1187" t="str">
        <f t="shared" si="470"/>
        <v>15:07:49.000</v>
      </c>
      <c r="U1187" t="str">
        <f t="shared" si="458"/>
        <v>A68FCB</v>
      </c>
      <c r="V1187">
        <v>0</v>
      </c>
      <c r="W1187">
        <v>0</v>
      </c>
      <c r="X1187">
        <v>2</v>
      </c>
      <c r="Y1187">
        <v>0</v>
      </c>
      <c r="AA1187">
        <v>1</v>
      </c>
      <c r="AB1187">
        <v>8</v>
      </c>
      <c r="AC1187">
        <v>3</v>
      </c>
      <c r="AD1187">
        <v>0</v>
      </c>
      <c r="AE1187">
        <v>9</v>
      </c>
      <c r="AF1187" t="s">
        <v>138</v>
      </c>
      <c r="AG1187">
        <v>0</v>
      </c>
      <c r="AH1187">
        <v>3</v>
      </c>
      <c r="AI1187">
        <v>2</v>
      </c>
      <c r="AJ1187">
        <v>0</v>
      </c>
      <c r="AK1187" t="s">
        <v>463</v>
      </c>
      <c r="AL1187">
        <v>38.999189999999999</v>
      </c>
      <c r="AM1187" t="s">
        <v>464</v>
      </c>
      <c r="AN1187">
        <v>-121.052964</v>
      </c>
      <c r="AO1187">
        <v>25</v>
      </c>
      <c r="AP1187">
        <v>3400</v>
      </c>
      <c r="AQ1187" t="s">
        <v>131</v>
      </c>
      <c r="AR1187">
        <v>-18</v>
      </c>
      <c r="AS1187">
        <v>90</v>
      </c>
      <c r="AT1187">
        <v>448</v>
      </c>
      <c r="BB1187" t="str">
        <f t="shared" si="459"/>
        <v>1200</v>
      </c>
      <c r="BC1187">
        <v>1</v>
      </c>
      <c r="BD1187" t="str">
        <f t="shared" si="460"/>
        <v xml:space="preserve">N52156  </v>
      </c>
      <c r="BE1187">
        <v>1</v>
      </c>
      <c r="BG1187">
        <v>0</v>
      </c>
      <c r="BH1187">
        <v>0</v>
      </c>
      <c r="BI1187">
        <v>0</v>
      </c>
      <c r="BJ1187">
        <v>3375</v>
      </c>
      <c r="BK1187">
        <v>-25</v>
      </c>
      <c r="BL1187" t="s">
        <v>188</v>
      </c>
      <c r="BM1187">
        <v>1</v>
      </c>
      <c r="BN1187">
        <v>1</v>
      </c>
      <c r="BO1187">
        <v>0</v>
      </c>
      <c r="BP1187">
        <v>0</v>
      </c>
      <c r="BS1187">
        <v>0</v>
      </c>
      <c r="BT1187">
        <v>0</v>
      </c>
      <c r="BU1187">
        <v>0</v>
      </c>
      <c r="CE1187" t="str">
        <f t="shared" si="471"/>
        <v>15:07:49.445</v>
      </c>
      <c r="CF1187">
        <v>444953015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4</v>
      </c>
      <c r="CY1187">
        <v>7</v>
      </c>
      <c r="CZ1187" t="s">
        <v>133</v>
      </c>
      <c r="DA1187">
        <v>275</v>
      </c>
      <c r="DB1187">
        <v>0</v>
      </c>
      <c r="DC1187" t="s">
        <v>134</v>
      </c>
      <c r="DD1187" t="s">
        <v>135</v>
      </c>
      <c r="DG1187">
        <v>3319925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"05/01/2025 15:07:49.707"</f>
        <v>05/01/2025 15:07:49.707</v>
      </c>
      <c r="C1188" t="str">
        <f t="shared" si="456"/>
        <v>FFDFD3C0</v>
      </c>
      <c r="D1188" t="s">
        <v>143</v>
      </c>
      <c r="E1188" t="str">
        <f>"05"</f>
        <v>05</v>
      </c>
      <c r="H1188">
        <v>172</v>
      </c>
      <c r="I1188" t="s">
        <v>141</v>
      </c>
      <c r="J1188" t="s">
        <v>144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R1188" t="s">
        <v>127</v>
      </c>
      <c r="S1188" t="str">
        <f t="shared" si="470"/>
        <v>15:07:49.000</v>
      </c>
      <c r="T1188" t="str">
        <f t="shared" si="470"/>
        <v>15:07:49.000</v>
      </c>
      <c r="U1188" t="str">
        <f t="shared" si="458"/>
        <v>A68FCB</v>
      </c>
      <c r="V1188">
        <v>0</v>
      </c>
      <c r="W1188">
        <v>0</v>
      </c>
      <c r="X1188">
        <v>2</v>
      </c>
      <c r="Y1188">
        <v>0</v>
      </c>
      <c r="AA1188">
        <v>1</v>
      </c>
      <c r="AB1188">
        <v>8</v>
      </c>
      <c r="AC1188">
        <v>3</v>
      </c>
      <c r="AD1188">
        <v>0</v>
      </c>
      <c r="AE1188">
        <v>9</v>
      </c>
      <c r="AF1188" t="s">
        <v>138</v>
      </c>
      <c r="AG1188">
        <v>0</v>
      </c>
      <c r="AH1188">
        <v>3</v>
      </c>
      <c r="AI1188">
        <v>2</v>
      </c>
      <c r="AJ1188">
        <v>0</v>
      </c>
      <c r="AK1188" t="s">
        <v>463</v>
      </c>
      <c r="AL1188">
        <v>38.999189999999999</v>
      </c>
      <c r="AM1188" t="s">
        <v>464</v>
      </c>
      <c r="AN1188">
        <v>-121.052964</v>
      </c>
      <c r="AO1188">
        <v>25</v>
      </c>
      <c r="AP1188">
        <v>3400</v>
      </c>
      <c r="AQ1188" t="s">
        <v>131</v>
      </c>
      <c r="AR1188">
        <v>-18</v>
      </c>
      <c r="AS1188">
        <v>90</v>
      </c>
      <c r="AT1188">
        <v>448</v>
      </c>
      <c r="BB1188" t="str">
        <f t="shared" si="459"/>
        <v>1200</v>
      </c>
      <c r="BC1188">
        <v>1</v>
      </c>
      <c r="BD1188" t="str">
        <f t="shared" si="460"/>
        <v xml:space="preserve">N52156  </v>
      </c>
      <c r="BE1188">
        <v>1</v>
      </c>
      <c r="BG1188">
        <v>0</v>
      </c>
      <c r="BH1188">
        <v>0</v>
      </c>
      <c r="BI1188">
        <v>0</v>
      </c>
      <c r="BJ1188">
        <v>3375</v>
      </c>
      <c r="BK1188">
        <v>-25</v>
      </c>
      <c r="BL1188" t="s">
        <v>188</v>
      </c>
      <c r="BM1188">
        <v>1</v>
      </c>
      <c r="BN1188">
        <v>1</v>
      </c>
      <c r="BO1188">
        <v>0</v>
      </c>
      <c r="BP1188">
        <v>0</v>
      </c>
      <c r="BS1188">
        <v>0</v>
      </c>
      <c r="BT1188">
        <v>0</v>
      </c>
      <c r="BU1188">
        <v>0</v>
      </c>
      <c r="CE1188" t="str">
        <f t="shared" si="471"/>
        <v>15:07:49.445</v>
      </c>
      <c r="CF1188">
        <v>444953015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4</v>
      </c>
      <c r="CY1188">
        <v>7</v>
      </c>
      <c r="CZ1188" t="s">
        <v>133</v>
      </c>
      <c r="DA1188">
        <v>275</v>
      </c>
      <c r="DB1188">
        <v>0</v>
      </c>
      <c r="DC1188" t="s">
        <v>134</v>
      </c>
      <c r="DD1188" t="s">
        <v>135</v>
      </c>
      <c r="DG1188">
        <v>3319925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"05/01/2025 15:07:49.707"</f>
        <v>05/01/2025 15:07:49.707</v>
      </c>
      <c r="C1189" t="str">
        <f t="shared" si="456"/>
        <v>FFDFD3C0</v>
      </c>
      <c r="D1189" t="s">
        <v>145</v>
      </c>
      <c r="E1189" t="str">
        <f>"09"</f>
        <v>09</v>
      </c>
      <c r="H1189">
        <v>51</v>
      </c>
      <c r="I1189" t="s">
        <v>147</v>
      </c>
      <c r="J1189" t="s">
        <v>138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R1189" t="s">
        <v>127</v>
      </c>
      <c r="S1189" t="str">
        <f t="shared" si="470"/>
        <v>15:07:49.000</v>
      </c>
      <c r="T1189" t="str">
        <f t="shared" si="470"/>
        <v>15:07:49.000</v>
      </c>
      <c r="U1189" t="str">
        <f t="shared" si="458"/>
        <v>A68FCB</v>
      </c>
      <c r="V1189">
        <v>0</v>
      </c>
      <c r="W1189">
        <v>0</v>
      </c>
      <c r="X1189">
        <v>2</v>
      </c>
      <c r="Y1189">
        <v>0</v>
      </c>
      <c r="AA1189">
        <v>1</v>
      </c>
      <c r="AB1189">
        <v>8</v>
      </c>
      <c r="AC1189">
        <v>3</v>
      </c>
      <c r="AD1189">
        <v>0</v>
      </c>
      <c r="AE1189">
        <v>9</v>
      </c>
      <c r="AF1189" t="s">
        <v>138</v>
      </c>
      <c r="AG1189">
        <v>0</v>
      </c>
      <c r="AH1189">
        <v>3</v>
      </c>
      <c r="AI1189">
        <v>2</v>
      </c>
      <c r="AJ1189">
        <v>0</v>
      </c>
      <c r="AK1189" t="s">
        <v>463</v>
      </c>
      <c r="AL1189">
        <v>38.999189999999999</v>
      </c>
      <c r="AM1189" t="s">
        <v>464</v>
      </c>
      <c r="AN1189">
        <v>-121.052964</v>
      </c>
      <c r="AO1189">
        <v>25</v>
      </c>
      <c r="AP1189">
        <v>3400</v>
      </c>
      <c r="AQ1189" t="s">
        <v>131</v>
      </c>
      <c r="AR1189">
        <v>-18</v>
      </c>
      <c r="AS1189">
        <v>90</v>
      </c>
      <c r="AT1189">
        <v>448</v>
      </c>
      <c r="BB1189" t="str">
        <f t="shared" si="459"/>
        <v>1200</v>
      </c>
      <c r="BC1189">
        <v>1</v>
      </c>
      <c r="BD1189" t="str">
        <f t="shared" si="460"/>
        <v xml:space="preserve">N52156  </v>
      </c>
      <c r="BE1189">
        <v>1</v>
      </c>
      <c r="BG1189">
        <v>0</v>
      </c>
      <c r="BH1189">
        <v>0</v>
      </c>
      <c r="BI1189">
        <v>0</v>
      </c>
      <c r="BJ1189">
        <v>3375</v>
      </c>
      <c r="BK1189">
        <v>-25</v>
      </c>
      <c r="BL1189" t="s">
        <v>188</v>
      </c>
      <c r="BM1189">
        <v>1</v>
      </c>
      <c r="BN1189">
        <v>1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 t="shared" si="471"/>
        <v>15:07:49.445</v>
      </c>
      <c r="CF1189">
        <v>444953015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4</v>
      </c>
      <c r="CY1189">
        <v>7</v>
      </c>
      <c r="CZ1189" t="s">
        <v>133</v>
      </c>
      <c r="DA1189">
        <v>275</v>
      </c>
      <c r="DB1189">
        <v>0</v>
      </c>
      <c r="DC1189" t="s">
        <v>134</v>
      </c>
      <c r="DD1189" t="s">
        <v>135</v>
      </c>
      <c r="DG1189">
        <v>3319925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"05/01/2025 15:07:51.200"</f>
        <v>05/01/2025 15:07:51.200</v>
      </c>
      <c r="C1190" t="str">
        <f t="shared" si="456"/>
        <v>FFDFD3C0</v>
      </c>
      <c r="D1190" t="s">
        <v>140</v>
      </c>
      <c r="E1190" t="str">
        <f>"13"</f>
        <v>13</v>
      </c>
      <c r="F1190">
        <v>1019</v>
      </c>
      <c r="G1190" t="s">
        <v>141</v>
      </c>
      <c r="J1190" t="s">
        <v>142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R1190" t="s">
        <v>127</v>
      </c>
      <c r="S1190" t="str">
        <f t="shared" ref="S1190:T1195" si="472">"15:07:50.000"</f>
        <v>15:07:50.000</v>
      </c>
      <c r="T1190" t="str">
        <f t="shared" si="472"/>
        <v>15:07:50.000</v>
      </c>
      <c r="U1190" t="str">
        <f t="shared" si="458"/>
        <v>A68FCB</v>
      </c>
      <c r="V1190">
        <v>0</v>
      </c>
      <c r="W1190">
        <v>0</v>
      </c>
      <c r="X1190">
        <v>2</v>
      </c>
      <c r="Y1190">
        <v>0</v>
      </c>
      <c r="AA1190">
        <v>1</v>
      </c>
      <c r="AB1190">
        <v>8</v>
      </c>
      <c r="AC1190">
        <v>3</v>
      </c>
      <c r="AD1190">
        <v>0</v>
      </c>
      <c r="AE1190">
        <v>9</v>
      </c>
      <c r="AF1190" t="s">
        <v>138</v>
      </c>
      <c r="AG1190">
        <v>0</v>
      </c>
      <c r="AH1190">
        <v>3</v>
      </c>
      <c r="AI1190">
        <v>2</v>
      </c>
      <c r="AJ1190">
        <v>0</v>
      </c>
      <c r="AK1190" t="s">
        <v>465</v>
      </c>
      <c r="AL1190">
        <v>38.999619000000003</v>
      </c>
      <c r="AM1190" t="s">
        <v>265</v>
      </c>
      <c r="AN1190">
        <v>-121.053071</v>
      </c>
      <c r="AO1190">
        <v>25</v>
      </c>
      <c r="AP1190">
        <v>3400</v>
      </c>
      <c r="AQ1190" t="s">
        <v>131</v>
      </c>
      <c r="AR1190">
        <v>-19</v>
      </c>
      <c r="AS1190">
        <v>90</v>
      </c>
      <c r="AT1190">
        <v>512</v>
      </c>
      <c r="BB1190" t="str">
        <f t="shared" si="459"/>
        <v>1200</v>
      </c>
      <c r="BC1190">
        <v>1</v>
      </c>
      <c r="BD1190" t="str">
        <f t="shared" si="460"/>
        <v xml:space="preserve">N52156  </v>
      </c>
      <c r="BE1190">
        <v>1</v>
      </c>
      <c r="BG1190">
        <v>0</v>
      </c>
      <c r="BH1190">
        <v>0</v>
      </c>
      <c r="BI1190">
        <v>0</v>
      </c>
      <c r="BJ1190">
        <v>3375</v>
      </c>
      <c r="BK1190">
        <v>-25</v>
      </c>
      <c r="BL1190" t="s">
        <v>188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 t="shared" ref="CE1190:CE1195" si="473">"15:07:50.991"</f>
        <v>15:07:50.991</v>
      </c>
      <c r="CF1190">
        <v>991204387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133</v>
      </c>
      <c r="DA1190">
        <v>275</v>
      </c>
      <c r="DB1190">
        <v>0</v>
      </c>
      <c r="DC1190" t="s">
        <v>134</v>
      </c>
      <c r="DD1190" t="s">
        <v>135</v>
      </c>
      <c r="DG1190">
        <v>3319942</v>
      </c>
      <c r="DI1190">
        <v>1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"05/01/2025 15:07:51.205"</f>
        <v>05/01/2025 15:07:51.205</v>
      </c>
      <c r="C1191" t="str">
        <f t="shared" si="456"/>
        <v>FFDFD3C0</v>
      </c>
      <c r="D1191" t="s">
        <v>145</v>
      </c>
      <c r="E1191" t="str">
        <f>"05"</f>
        <v>05</v>
      </c>
      <c r="H1191">
        <v>47</v>
      </c>
      <c r="I1191" t="s">
        <v>146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R1191" t="s">
        <v>127</v>
      </c>
      <c r="S1191" t="str">
        <f t="shared" si="472"/>
        <v>15:07:50.000</v>
      </c>
      <c r="T1191" t="str">
        <f t="shared" si="472"/>
        <v>15:07:50.000</v>
      </c>
      <c r="U1191" t="str">
        <f t="shared" si="458"/>
        <v>A68FCB</v>
      </c>
      <c r="V1191">
        <v>0</v>
      </c>
      <c r="W1191">
        <v>0</v>
      </c>
      <c r="X1191">
        <v>2</v>
      </c>
      <c r="Y1191">
        <v>0</v>
      </c>
      <c r="AA1191">
        <v>1</v>
      </c>
      <c r="AB1191">
        <v>8</v>
      </c>
      <c r="AC1191">
        <v>3</v>
      </c>
      <c r="AD1191">
        <v>0</v>
      </c>
      <c r="AE1191">
        <v>9</v>
      </c>
      <c r="AF1191" t="s">
        <v>138</v>
      </c>
      <c r="AG1191">
        <v>0</v>
      </c>
      <c r="AH1191">
        <v>3</v>
      </c>
      <c r="AI1191">
        <v>2</v>
      </c>
      <c r="AJ1191">
        <v>0</v>
      </c>
      <c r="AK1191" t="s">
        <v>465</v>
      </c>
      <c r="AL1191">
        <v>38.999619000000003</v>
      </c>
      <c r="AM1191" t="s">
        <v>265</v>
      </c>
      <c r="AN1191">
        <v>-121.053071</v>
      </c>
      <c r="AO1191">
        <v>25</v>
      </c>
      <c r="AP1191">
        <v>3400</v>
      </c>
      <c r="AQ1191" t="s">
        <v>131</v>
      </c>
      <c r="AR1191">
        <v>-19</v>
      </c>
      <c r="AS1191">
        <v>90</v>
      </c>
      <c r="AT1191">
        <v>512</v>
      </c>
      <c r="BB1191" t="str">
        <f t="shared" si="459"/>
        <v>1200</v>
      </c>
      <c r="BC1191">
        <v>1</v>
      </c>
      <c r="BD1191" t="str">
        <f t="shared" si="460"/>
        <v xml:space="preserve">N52156  </v>
      </c>
      <c r="BE1191">
        <v>1</v>
      </c>
      <c r="BG1191">
        <v>0</v>
      </c>
      <c r="BH1191">
        <v>0</v>
      </c>
      <c r="BI1191">
        <v>0</v>
      </c>
      <c r="BJ1191">
        <v>3375</v>
      </c>
      <c r="BK1191">
        <v>-25</v>
      </c>
      <c r="BL1191" t="s">
        <v>188</v>
      </c>
      <c r="BM1191">
        <v>1</v>
      </c>
      <c r="BN1191">
        <v>1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 t="shared" si="473"/>
        <v>15:07:50.991</v>
      </c>
      <c r="CF1191">
        <v>991204387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133</v>
      </c>
      <c r="DA1191">
        <v>275</v>
      </c>
      <c r="DB1191">
        <v>0</v>
      </c>
      <c r="DC1191" t="s">
        <v>134</v>
      </c>
      <c r="DD1191" t="s">
        <v>135</v>
      </c>
      <c r="DG1191">
        <v>3319942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"05/01/2025 15:07:51.207"</f>
        <v>05/01/2025 15:07:51.207</v>
      </c>
      <c r="C1192" t="str">
        <f t="shared" si="456"/>
        <v>FFDFD3C0</v>
      </c>
      <c r="D1192" t="s">
        <v>124</v>
      </c>
      <c r="E1192" t="str">
        <f>"06"</f>
        <v>06</v>
      </c>
      <c r="F1192">
        <v>2006</v>
      </c>
      <c r="G1192" t="s">
        <v>125</v>
      </c>
      <c r="J1192" t="s">
        <v>126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R1192" t="s">
        <v>127</v>
      </c>
      <c r="S1192" t="str">
        <f t="shared" si="472"/>
        <v>15:07:50.000</v>
      </c>
      <c r="T1192" t="str">
        <f t="shared" si="472"/>
        <v>15:07:50.000</v>
      </c>
      <c r="U1192" t="str">
        <f t="shared" si="458"/>
        <v>A68FCB</v>
      </c>
      <c r="V1192">
        <v>0</v>
      </c>
      <c r="W1192">
        <v>0</v>
      </c>
      <c r="X1192">
        <v>2</v>
      </c>
      <c r="Y1192">
        <v>0</v>
      </c>
      <c r="AA1192">
        <v>1</v>
      </c>
      <c r="AB1192">
        <v>8</v>
      </c>
      <c r="AC1192">
        <v>3</v>
      </c>
      <c r="AD1192">
        <v>0</v>
      </c>
      <c r="AE1192">
        <v>9</v>
      </c>
      <c r="AF1192" t="s">
        <v>138</v>
      </c>
      <c r="AG1192">
        <v>0</v>
      </c>
      <c r="AH1192">
        <v>3</v>
      </c>
      <c r="AI1192">
        <v>2</v>
      </c>
      <c r="AJ1192">
        <v>0</v>
      </c>
      <c r="AK1192" t="s">
        <v>465</v>
      </c>
      <c r="AL1192">
        <v>38.999619000000003</v>
      </c>
      <c r="AM1192" t="s">
        <v>265</v>
      </c>
      <c r="AN1192">
        <v>-121.053071</v>
      </c>
      <c r="AO1192">
        <v>25</v>
      </c>
      <c r="AP1192">
        <v>3400</v>
      </c>
      <c r="AQ1192" t="s">
        <v>131</v>
      </c>
      <c r="AR1192">
        <v>-19</v>
      </c>
      <c r="AS1192">
        <v>90</v>
      </c>
      <c r="AT1192">
        <v>512</v>
      </c>
      <c r="BB1192" t="str">
        <f t="shared" si="459"/>
        <v>1200</v>
      </c>
      <c r="BC1192">
        <v>1</v>
      </c>
      <c r="BD1192" t="str">
        <f t="shared" si="460"/>
        <v xml:space="preserve">N52156  </v>
      </c>
      <c r="BE1192">
        <v>1</v>
      </c>
      <c r="BG1192">
        <v>0</v>
      </c>
      <c r="BH1192">
        <v>0</v>
      </c>
      <c r="BI1192">
        <v>0</v>
      </c>
      <c r="BJ1192">
        <v>3375</v>
      </c>
      <c r="BK1192">
        <v>-25</v>
      </c>
      <c r="BL1192" t="s">
        <v>188</v>
      </c>
      <c r="BM1192">
        <v>1</v>
      </c>
      <c r="BN1192">
        <v>1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 t="shared" si="473"/>
        <v>15:07:50.991</v>
      </c>
      <c r="CF1192">
        <v>991204387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133</v>
      </c>
      <c r="DA1192">
        <v>275</v>
      </c>
      <c r="DB1192">
        <v>0</v>
      </c>
      <c r="DC1192" t="s">
        <v>134</v>
      </c>
      <c r="DD1192" t="s">
        <v>135</v>
      </c>
      <c r="DG1192">
        <v>3319942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"05/01/2025 15:07:51.209"</f>
        <v>05/01/2025 15:07:51.209</v>
      </c>
      <c r="C1193" t="str">
        <f t="shared" si="456"/>
        <v>FFDFD3C0</v>
      </c>
      <c r="D1193" t="s">
        <v>145</v>
      </c>
      <c r="E1193" t="str">
        <f>"09"</f>
        <v>09</v>
      </c>
      <c r="H1193">
        <v>51</v>
      </c>
      <c r="I1193" t="s">
        <v>147</v>
      </c>
      <c r="J1193" t="s">
        <v>138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R1193" t="s">
        <v>127</v>
      </c>
      <c r="S1193" t="str">
        <f t="shared" si="472"/>
        <v>15:07:50.000</v>
      </c>
      <c r="T1193" t="str">
        <f t="shared" si="472"/>
        <v>15:07:50.000</v>
      </c>
      <c r="U1193" t="str">
        <f t="shared" si="458"/>
        <v>A68FCB</v>
      </c>
      <c r="V1193">
        <v>0</v>
      </c>
      <c r="W1193">
        <v>0</v>
      </c>
      <c r="X1193">
        <v>2</v>
      </c>
      <c r="Y1193">
        <v>0</v>
      </c>
      <c r="AA1193">
        <v>1</v>
      </c>
      <c r="AB1193">
        <v>8</v>
      </c>
      <c r="AC1193">
        <v>3</v>
      </c>
      <c r="AD1193">
        <v>0</v>
      </c>
      <c r="AE1193">
        <v>9</v>
      </c>
      <c r="AF1193" t="s">
        <v>138</v>
      </c>
      <c r="AG1193">
        <v>0</v>
      </c>
      <c r="AH1193">
        <v>3</v>
      </c>
      <c r="AI1193">
        <v>2</v>
      </c>
      <c r="AJ1193">
        <v>0</v>
      </c>
      <c r="AK1193" t="s">
        <v>465</v>
      </c>
      <c r="AL1193">
        <v>38.999619000000003</v>
      </c>
      <c r="AM1193" t="s">
        <v>265</v>
      </c>
      <c r="AN1193">
        <v>-121.053071</v>
      </c>
      <c r="AO1193">
        <v>25</v>
      </c>
      <c r="AP1193">
        <v>3400</v>
      </c>
      <c r="AQ1193" t="s">
        <v>131</v>
      </c>
      <c r="AR1193">
        <v>-19</v>
      </c>
      <c r="AS1193">
        <v>90</v>
      </c>
      <c r="AT1193">
        <v>512</v>
      </c>
      <c r="BB1193" t="str">
        <f t="shared" si="459"/>
        <v>1200</v>
      </c>
      <c r="BC1193">
        <v>1</v>
      </c>
      <c r="BD1193" t="str">
        <f t="shared" si="460"/>
        <v xml:space="preserve">N52156  </v>
      </c>
      <c r="BE1193">
        <v>1</v>
      </c>
      <c r="BG1193">
        <v>0</v>
      </c>
      <c r="BH1193">
        <v>0</v>
      </c>
      <c r="BI1193">
        <v>0</v>
      </c>
      <c r="BJ1193">
        <v>3375</v>
      </c>
      <c r="BK1193">
        <v>-25</v>
      </c>
      <c r="BL1193" t="s">
        <v>188</v>
      </c>
      <c r="BM1193">
        <v>1</v>
      </c>
      <c r="BN1193">
        <v>1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 t="shared" si="473"/>
        <v>15:07:50.991</v>
      </c>
      <c r="CF1193">
        <v>991204387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133</v>
      </c>
      <c r="DA1193">
        <v>275</v>
      </c>
      <c r="DB1193">
        <v>0</v>
      </c>
      <c r="DC1193" t="s">
        <v>134</v>
      </c>
      <c r="DD1193" t="s">
        <v>135</v>
      </c>
      <c r="DG1193">
        <v>3319942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"05/01/2025 15:07:51.209"</f>
        <v>05/01/2025 15:07:51.209</v>
      </c>
      <c r="C1194" t="str">
        <f t="shared" si="456"/>
        <v>FFDFD3C0</v>
      </c>
      <c r="D1194" t="s">
        <v>143</v>
      </c>
      <c r="E1194" t="str">
        <f>"05"</f>
        <v>05</v>
      </c>
      <c r="H1194">
        <v>172</v>
      </c>
      <c r="I1194" t="s">
        <v>141</v>
      </c>
      <c r="J1194" t="s">
        <v>144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R1194" t="s">
        <v>127</v>
      </c>
      <c r="S1194" t="str">
        <f t="shared" si="472"/>
        <v>15:07:50.000</v>
      </c>
      <c r="T1194" t="str">
        <f t="shared" si="472"/>
        <v>15:07:50.000</v>
      </c>
      <c r="U1194" t="str">
        <f t="shared" si="458"/>
        <v>A68FCB</v>
      </c>
      <c r="V1194">
        <v>0</v>
      </c>
      <c r="W1194">
        <v>0</v>
      </c>
      <c r="X1194">
        <v>2</v>
      </c>
      <c r="Y1194">
        <v>0</v>
      </c>
      <c r="AA1194">
        <v>1</v>
      </c>
      <c r="AB1194">
        <v>8</v>
      </c>
      <c r="AC1194">
        <v>3</v>
      </c>
      <c r="AD1194">
        <v>0</v>
      </c>
      <c r="AE1194">
        <v>9</v>
      </c>
      <c r="AF1194" t="s">
        <v>138</v>
      </c>
      <c r="AG1194">
        <v>0</v>
      </c>
      <c r="AH1194">
        <v>3</v>
      </c>
      <c r="AI1194">
        <v>2</v>
      </c>
      <c r="AJ1194">
        <v>0</v>
      </c>
      <c r="AK1194" t="s">
        <v>465</v>
      </c>
      <c r="AL1194">
        <v>38.999619000000003</v>
      </c>
      <c r="AM1194" t="s">
        <v>265</v>
      </c>
      <c r="AN1194">
        <v>-121.053071</v>
      </c>
      <c r="AO1194">
        <v>25</v>
      </c>
      <c r="AP1194">
        <v>3400</v>
      </c>
      <c r="AQ1194" t="s">
        <v>131</v>
      </c>
      <c r="AR1194">
        <v>-19</v>
      </c>
      <c r="AS1194">
        <v>90</v>
      </c>
      <c r="AT1194">
        <v>512</v>
      </c>
      <c r="BB1194" t="str">
        <f t="shared" si="459"/>
        <v>1200</v>
      </c>
      <c r="BC1194">
        <v>1</v>
      </c>
      <c r="BD1194" t="str">
        <f t="shared" si="460"/>
        <v xml:space="preserve">N52156  </v>
      </c>
      <c r="BE1194">
        <v>1</v>
      </c>
      <c r="BG1194">
        <v>0</v>
      </c>
      <c r="BH1194">
        <v>0</v>
      </c>
      <c r="BI1194">
        <v>0</v>
      </c>
      <c r="BJ1194">
        <v>3375</v>
      </c>
      <c r="BK1194">
        <v>-25</v>
      </c>
      <c r="BL1194" t="s">
        <v>188</v>
      </c>
      <c r="BM1194">
        <v>1</v>
      </c>
      <c r="BN1194">
        <v>1</v>
      </c>
      <c r="BO1194">
        <v>0</v>
      </c>
      <c r="BP1194">
        <v>0</v>
      </c>
      <c r="BS1194">
        <v>0</v>
      </c>
      <c r="BT1194">
        <v>0</v>
      </c>
      <c r="BU1194">
        <v>0</v>
      </c>
      <c r="CE1194" t="str">
        <f t="shared" si="473"/>
        <v>15:07:50.991</v>
      </c>
      <c r="CF1194">
        <v>991204387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133</v>
      </c>
      <c r="DA1194">
        <v>275</v>
      </c>
      <c r="DB1194">
        <v>0</v>
      </c>
      <c r="DC1194" t="s">
        <v>134</v>
      </c>
      <c r="DD1194" t="s">
        <v>135</v>
      </c>
      <c r="DG1194">
        <v>3319942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"05/01/2025 15:07:51.216"</f>
        <v>05/01/2025 15:07:51.216</v>
      </c>
      <c r="C1195" t="str">
        <f t="shared" si="456"/>
        <v>FFDFD3C0</v>
      </c>
      <c r="D1195" t="s">
        <v>136</v>
      </c>
      <c r="E1195" t="str">
        <f>"20"</f>
        <v>20</v>
      </c>
      <c r="H1195">
        <v>400</v>
      </c>
      <c r="I1195" t="s">
        <v>137</v>
      </c>
      <c r="J1195" t="s">
        <v>138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R1195" t="s">
        <v>127</v>
      </c>
      <c r="S1195" t="str">
        <f t="shared" si="472"/>
        <v>15:07:50.000</v>
      </c>
      <c r="T1195" t="str">
        <f t="shared" si="472"/>
        <v>15:07:50.000</v>
      </c>
      <c r="U1195" t="str">
        <f t="shared" si="458"/>
        <v>A68FCB</v>
      </c>
      <c r="V1195">
        <v>0</v>
      </c>
      <c r="W1195">
        <v>0</v>
      </c>
      <c r="X1195">
        <v>2</v>
      </c>
      <c r="Y1195">
        <v>0</v>
      </c>
      <c r="AA1195">
        <v>1</v>
      </c>
      <c r="AB1195">
        <v>8</v>
      </c>
      <c r="AC1195">
        <v>3</v>
      </c>
      <c r="AD1195">
        <v>0</v>
      </c>
      <c r="AE1195">
        <v>9</v>
      </c>
      <c r="AF1195" t="s">
        <v>138</v>
      </c>
      <c r="AG1195">
        <v>0</v>
      </c>
      <c r="AH1195">
        <v>3</v>
      </c>
      <c r="AI1195">
        <v>2</v>
      </c>
      <c r="AJ1195">
        <v>0</v>
      </c>
      <c r="AK1195" t="s">
        <v>465</v>
      </c>
      <c r="AL1195">
        <v>38.999619000000003</v>
      </c>
      <c r="AM1195" t="s">
        <v>265</v>
      </c>
      <c r="AN1195">
        <v>-121.053071</v>
      </c>
      <c r="AO1195">
        <v>25</v>
      </c>
      <c r="AP1195">
        <v>3400</v>
      </c>
      <c r="AQ1195" t="s">
        <v>131</v>
      </c>
      <c r="AR1195">
        <v>-19</v>
      </c>
      <c r="AS1195">
        <v>90</v>
      </c>
      <c r="AT1195">
        <v>512</v>
      </c>
      <c r="BB1195" t="str">
        <f t="shared" si="459"/>
        <v>1200</v>
      </c>
      <c r="BC1195">
        <v>1</v>
      </c>
      <c r="BD1195" t="str">
        <f t="shared" si="460"/>
        <v xml:space="preserve">N52156  </v>
      </c>
      <c r="BE1195">
        <v>1</v>
      </c>
      <c r="BG1195">
        <v>0</v>
      </c>
      <c r="BH1195">
        <v>0</v>
      </c>
      <c r="BI1195">
        <v>0</v>
      </c>
      <c r="BJ1195">
        <v>3375</v>
      </c>
      <c r="BK1195">
        <v>-25</v>
      </c>
      <c r="BL1195" t="s">
        <v>188</v>
      </c>
      <c r="BM1195">
        <v>1</v>
      </c>
      <c r="BN1195">
        <v>1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 t="shared" si="473"/>
        <v>15:07:50.991</v>
      </c>
      <c r="CF1195">
        <v>991204387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133</v>
      </c>
      <c r="DA1195">
        <v>275</v>
      </c>
      <c r="DB1195">
        <v>0</v>
      </c>
      <c r="DC1195" t="s">
        <v>134</v>
      </c>
      <c r="DD1195" t="s">
        <v>135</v>
      </c>
      <c r="DG1195">
        <v>3319942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"05/01/2025 15:07:52.107"</f>
        <v>05/01/2025 15:07:52.107</v>
      </c>
      <c r="C1196" t="str">
        <f t="shared" si="456"/>
        <v>FFDFD3C0</v>
      </c>
      <c r="D1196" t="s">
        <v>145</v>
      </c>
      <c r="E1196" t="str">
        <f>"05"</f>
        <v>05</v>
      </c>
      <c r="H1196">
        <v>47</v>
      </c>
      <c r="I1196" t="s">
        <v>146</v>
      </c>
      <c r="J1196" t="s">
        <v>138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R1196" t="s">
        <v>127</v>
      </c>
      <c r="S1196" t="str">
        <f t="shared" ref="S1196:T1201" si="474">"15:07:51.000"</f>
        <v>15:07:51.000</v>
      </c>
      <c r="T1196" t="str">
        <f t="shared" si="474"/>
        <v>15:07:51.000</v>
      </c>
      <c r="U1196" t="str">
        <f t="shared" si="458"/>
        <v>A68FCB</v>
      </c>
      <c r="V1196">
        <v>0</v>
      </c>
      <c r="W1196">
        <v>0</v>
      </c>
      <c r="X1196">
        <v>2</v>
      </c>
      <c r="Y1196">
        <v>0</v>
      </c>
      <c r="AA1196">
        <v>1</v>
      </c>
      <c r="AB1196">
        <v>8</v>
      </c>
      <c r="AC1196">
        <v>3</v>
      </c>
      <c r="AD1196">
        <v>0</v>
      </c>
      <c r="AE1196">
        <v>9</v>
      </c>
      <c r="AF1196" t="s">
        <v>138</v>
      </c>
      <c r="AG1196">
        <v>0</v>
      </c>
      <c r="AH1196">
        <v>3</v>
      </c>
      <c r="AI1196">
        <v>2</v>
      </c>
      <c r="AJ1196">
        <v>0</v>
      </c>
      <c r="AK1196" t="s">
        <v>466</v>
      </c>
      <c r="AL1196">
        <v>39.000027000000003</v>
      </c>
      <c r="AM1196" t="s">
        <v>467</v>
      </c>
      <c r="AN1196">
        <v>-121.053178</v>
      </c>
      <c r="AO1196">
        <v>25</v>
      </c>
      <c r="AP1196">
        <v>3400</v>
      </c>
      <c r="AQ1196" t="s">
        <v>131</v>
      </c>
      <c r="AR1196">
        <v>-18</v>
      </c>
      <c r="AS1196">
        <v>90</v>
      </c>
      <c r="AT1196">
        <v>576</v>
      </c>
      <c r="BB1196" t="str">
        <f t="shared" si="459"/>
        <v>1200</v>
      </c>
      <c r="BC1196">
        <v>1</v>
      </c>
      <c r="BD1196" t="str">
        <f t="shared" si="460"/>
        <v xml:space="preserve">N52156  </v>
      </c>
      <c r="BE1196">
        <v>1</v>
      </c>
      <c r="BG1196">
        <v>0</v>
      </c>
      <c r="BH1196">
        <v>0</v>
      </c>
      <c r="BI1196">
        <v>0</v>
      </c>
      <c r="BJ1196">
        <v>3400</v>
      </c>
      <c r="BK1196">
        <v>0</v>
      </c>
      <c r="BL1196" t="s">
        <v>188</v>
      </c>
      <c r="BM1196">
        <v>1</v>
      </c>
      <c r="BN1196">
        <v>1</v>
      </c>
      <c r="BO1196">
        <v>0</v>
      </c>
      <c r="BP1196">
        <v>0</v>
      </c>
      <c r="BS1196">
        <v>0</v>
      </c>
      <c r="BT1196">
        <v>0</v>
      </c>
      <c r="BU1196">
        <v>0</v>
      </c>
      <c r="CE1196" t="str">
        <f t="shared" ref="CE1196:CE1201" si="475">"15:07:51.891"</f>
        <v>15:07:51.891</v>
      </c>
      <c r="CF1196">
        <v>891454398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133</v>
      </c>
      <c r="DA1196">
        <v>275</v>
      </c>
      <c r="DB1196">
        <v>0</v>
      </c>
      <c r="DC1196" t="s">
        <v>134</v>
      </c>
      <c r="DD1196" t="s">
        <v>135</v>
      </c>
      <c r="DG1196">
        <v>3319950</v>
      </c>
      <c r="DI1196">
        <v>1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"05/01/2025 15:07:52.109"</f>
        <v>05/01/2025 15:07:52.109</v>
      </c>
      <c r="C1197" t="str">
        <f t="shared" si="456"/>
        <v>FFDFD3C0</v>
      </c>
      <c r="D1197" t="s">
        <v>124</v>
      </c>
      <c r="E1197" t="str">
        <f>"06"</f>
        <v>06</v>
      </c>
      <c r="F1197">
        <v>2006</v>
      </c>
      <c r="G1197" t="s">
        <v>125</v>
      </c>
      <c r="J1197" t="s">
        <v>126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R1197" t="s">
        <v>127</v>
      </c>
      <c r="S1197" t="str">
        <f t="shared" si="474"/>
        <v>15:07:51.000</v>
      </c>
      <c r="T1197" t="str">
        <f t="shared" si="474"/>
        <v>15:07:51.000</v>
      </c>
      <c r="U1197" t="str">
        <f t="shared" si="458"/>
        <v>A68FCB</v>
      </c>
      <c r="V1197">
        <v>0</v>
      </c>
      <c r="W1197">
        <v>0</v>
      </c>
      <c r="X1197">
        <v>2</v>
      </c>
      <c r="Y1197">
        <v>0</v>
      </c>
      <c r="AA1197">
        <v>1</v>
      </c>
      <c r="AB1197">
        <v>8</v>
      </c>
      <c r="AC1197">
        <v>3</v>
      </c>
      <c r="AD1197">
        <v>0</v>
      </c>
      <c r="AE1197">
        <v>9</v>
      </c>
      <c r="AF1197" t="s">
        <v>138</v>
      </c>
      <c r="AG1197">
        <v>0</v>
      </c>
      <c r="AH1197">
        <v>3</v>
      </c>
      <c r="AI1197">
        <v>2</v>
      </c>
      <c r="AJ1197">
        <v>0</v>
      </c>
      <c r="AK1197" t="s">
        <v>466</v>
      </c>
      <c r="AL1197">
        <v>39.000027000000003</v>
      </c>
      <c r="AM1197" t="s">
        <v>467</v>
      </c>
      <c r="AN1197">
        <v>-121.053178</v>
      </c>
      <c r="AO1197">
        <v>25</v>
      </c>
      <c r="AP1197">
        <v>3400</v>
      </c>
      <c r="AQ1197" t="s">
        <v>131</v>
      </c>
      <c r="AR1197">
        <v>-18</v>
      </c>
      <c r="AS1197">
        <v>90</v>
      </c>
      <c r="AT1197">
        <v>576</v>
      </c>
      <c r="BB1197" t="str">
        <f t="shared" si="459"/>
        <v>1200</v>
      </c>
      <c r="BC1197">
        <v>1</v>
      </c>
      <c r="BD1197" t="str">
        <f t="shared" si="460"/>
        <v xml:space="preserve">N52156  </v>
      </c>
      <c r="BE1197">
        <v>1</v>
      </c>
      <c r="BG1197">
        <v>0</v>
      </c>
      <c r="BH1197">
        <v>0</v>
      </c>
      <c r="BI1197">
        <v>0</v>
      </c>
      <c r="BJ1197">
        <v>3400</v>
      </c>
      <c r="BK1197">
        <v>0</v>
      </c>
      <c r="BL1197" t="s">
        <v>188</v>
      </c>
      <c r="BM1197">
        <v>1</v>
      </c>
      <c r="BN1197">
        <v>1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 t="shared" si="475"/>
        <v>15:07:51.891</v>
      </c>
      <c r="CF1197">
        <v>891454398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133</v>
      </c>
      <c r="DA1197">
        <v>275</v>
      </c>
      <c r="DB1197">
        <v>0</v>
      </c>
      <c r="DC1197" t="s">
        <v>134</v>
      </c>
      <c r="DD1197" t="s">
        <v>135</v>
      </c>
      <c r="DG1197">
        <v>3319950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"05/01/2025 15:07:52.110"</f>
        <v>05/01/2025 15:07:52.110</v>
      </c>
      <c r="C1198" t="str">
        <f t="shared" si="456"/>
        <v>FFDFD3C0</v>
      </c>
      <c r="D1198" t="s">
        <v>145</v>
      </c>
      <c r="E1198" t="str">
        <f>"09"</f>
        <v>09</v>
      </c>
      <c r="H1198">
        <v>51</v>
      </c>
      <c r="I1198" t="s">
        <v>147</v>
      </c>
      <c r="J1198" t="s">
        <v>138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R1198" t="s">
        <v>127</v>
      </c>
      <c r="S1198" t="str">
        <f t="shared" si="474"/>
        <v>15:07:51.000</v>
      </c>
      <c r="T1198" t="str">
        <f t="shared" si="474"/>
        <v>15:07:51.000</v>
      </c>
      <c r="U1198" t="str">
        <f t="shared" si="458"/>
        <v>A68FCB</v>
      </c>
      <c r="V1198">
        <v>0</v>
      </c>
      <c r="W1198">
        <v>0</v>
      </c>
      <c r="X1198">
        <v>2</v>
      </c>
      <c r="Y1198">
        <v>0</v>
      </c>
      <c r="AA1198">
        <v>1</v>
      </c>
      <c r="AB1198">
        <v>8</v>
      </c>
      <c r="AC1198">
        <v>3</v>
      </c>
      <c r="AD1198">
        <v>0</v>
      </c>
      <c r="AE1198">
        <v>9</v>
      </c>
      <c r="AF1198" t="s">
        <v>138</v>
      </c>
      <c r="AG1198">
        <v>0</v>
      </c>
      <c r="AH1198">
        <v>3</v>
      </c>
      <c r="AI1198">
        <v>2</v>
      </c>
      <c r="AJ1198">
        <v>0</v>
      </c>
      <c r="AK1198" t="s">
        <v>466</v>
      </c>
      <c r="AL1198">
        <v>39.000027000000003</v>
      </c>
      <c r="AM1198" t="s">
        <v>467</v>
      </c>
      <c r="AN1198">
        <v>-121.053178</v>
      </c>
      <c r="AO1198">
        <v>25</v>
      </c>
      <c r="AP1198">
        <v>3400</v>
      </c>
      <c r="AQ1198" t="s">
        <v>131</v>
      </c>
      <c r="AR1198">
        <v>-18</v>
      </c>
      <c r="AS1198">
        <v>90</v>
      </c>
      <c r="AT1198">
        <v>576</v>
      </c>
      <c r="BB1198" t="str">
        <f t="shared" si="459"/>
        <v>1200</v>
      </c>
      <c r="BC1198">
        <v>1</v>
      </c>
      <c r="BD1198" t="str">
        <f t="shared" si="460"/>
        <v xml:space="preserve">N52156  </v>
      </c>
      <c r="BE1198">
        <v>1</v>
      </c>
      <c r="BG1198">
        <v>0</v>
      </c>
      <c r="BH1198">
        <v>0</v>
      </c>
      <c r="BI1198">
        <v>0</v>
      </c>
      <c r="BJ1198">
        <v>3400</v>
      </c>
      <c r="BK1198">
        <v>0</v>
      </c>
      <c r="BL1198" t="s">
        <v>188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 t="shared" si="475"/>
        <v>15:07:51.891</v>
      </c>
      <c r="CF1198">
        <v>891454398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133</v>
      </c>
      <c r="DA1198">
        <v>275</v>
      </c>
      <c r="DB1198">
        <v>0</v>
      </c>
      <c r="DC1198" t="s">
        <v>134</v>
      </c>
      <c r="DD1198" t="s">
        <v>135</v>
      </c>
      <c r="DG1198">
        <v>3319950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"05/01/2025 15:07:52.111"</f>
        <v>05/01/2025 15:07:52.111</v>
      </c>
      <c r="C1199" t="str">
        <f t="shared" si="456"/>
        <v>FFDFD3C0</v>
      </c>
      <c r="D1199" t="s">
        <v>143</v>
      </c>
      <c r="E1199" t="str">
        <f>"05"</f>
        <v>05</v>
      </c>
      <c r="H1199">
        <v>172</v>
      </c>
      <c r="I1199" t="s">
        <v>141</v>
      </c>
      <c r="J1199" t="s">
        <v>144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R1199" t="s">
        <v>127</v>
      </c>
      <c r="S1199" t="str">
        <f t="shared" si="474"/>
        <v>15:07:51.000</v>
      </c>
      <c r="T1199" t="str">
        <f t="shared" si="474"/>
        <v>15:07:51.000</v>
      </c>
      <c r="U1199" t="str">
        <f t="shared" si="458"/>
        <v>A68FCB</v>
      </c>
      <c r="V1199">
        <v>0</v>
      </c>
      <c r="W1199">
        <v>0</v>
      </c>
      <c r="X1199">
        <v>2</v>
      </c>
      <c r="Y1199">
        <v>0</v>
      </c>
      <c r="AA1199">
        <v>1</v>
      </c>
      <c r="AB1199">
        <v>8</v>
      </c>
      <c r="AC1199">
        <v>3</v>
      </c>
      <c r="AD1199">
        <v>0</v>
      </c>
      <c r="AE1199">
        <v>9</v>
      </c>
      <c r="AF1199" t="s">
        <v>138</v>
      </c>
      <c r="AG1199">
        <v>0</v>
      </c>
      <c r="AH1199">
        <v>3</v>
      </c>
      <c r="AI1199">
        <v>2</v>
      </c>
      <c r="AJ1199">
        <v>0</v>
      </c>
      <c r="AK1199" t="s">
        <v>466</v>
      </c>
      <c r="AL1199">
        <v>39.000027000000003</v>
      </c>
      <c r="AM1199" t="s">
        <v>467</v>
      </c>
      <c r="AN1199">
        <v>-121.053178</v>
      </c>
      <c r="AO1199">
        <v>25</v>
      </c>
      <c r="AP1199">
        <v>3400</v>
      </c>
      <c r="AQ1199" t="s">
        <v>131</v>
      </c>
      <c r="AR1199">
        <v>-18</v>
      </c>
      <c r="AS1199">
        <v>90</v>
      </c>
      <c r="AT1199">
        <v>576</v>
      </c>
      <c r="BB1199" t="str">
        <f t="shared" si="459"/>
        <v>1200</v>
      </c>
      <c r="BC1199">
        <v>1</v>
      </c>
      <c r="BD1199" t="str">
        <f t="shared" si="460"/>
        <v xml:space="preserve">N52156  </v>
      </c>
      <c r="BE1199">
        <v>1</v>
      </c>
      <c r="BG1199">
        <v>0</v>
      </c>
      <c r="BH1199">
        <v>0</v>
      </c>
      <c r="BI1199">
        <v>0</v>
      </c>
      <c r="BJ1199">
        <v>3400</v>
      </c>
      <c r="BK1199">
        <v>0</v>
      </c>
      <c r="BL1199" t="s">
        <v>188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 t="shared" si="475"/>
        <v>15:07:51.891</v>
      </c>
      <c r="CF1199">
        <v>891454398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133</v>
      </c>
      <c r="DA1199">
        <v>275</v>
      </c>
      <c r="DB1199">
        <v>0</v>
      </c>
      <c r="DC1199" t="s">
        <v>134</v>
      </c>
      <c r="DD1199" t="s">
        <v>135</v>
      </c>
      <c r="DG1199">
        <v>3319950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"05/01/2025 15:07:52.118"</f>
        <v>05/01/2025 15:07:52.118</v>
      </c>
      <c r="C1200" t="str">
        <f t="shared" si="456"/>
        <v>FFDFD3C0</v>
      </c>
      <c r="D1200" t="s">
        <v>136</v>
      </c>
      <c r="E1200" t="str">
        <f>"20"</f>
        <v>20</v>
      </c>
      <c r="H1200">
        <v>400</v>
      </c>
      <c r="I1200" t="s">
        <v>137</v>
      </c>
      <c r="J1200" t="s">
        <v>138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R1200" t="s">
        <v>127</v>
      </c>
      <c r="S1200" t="str">
        <f t="shared" si="474"/>
        <v>15:07:51.000</v>
      </c>
      <c r="T1200" t="str">
        <f t="shared" si="474"/>
        <v>15:07:51.000</v>
      </c>
      <c r="U1200" t="str">
        <f t="shared" si="458"/>
        <v>A68FCB</v>
      </c>
      <c r="V1200">
        <v>0</v>
      </c>
      <c r="W1200">
        <v>0</v>
      </c>
      <c r="X1200">
        <v>2</v>
      </c>
      <c r="Y1200">
        <v>0</v>
      </c>
      <c r="AA1200">
        <v>1</v>
      </c>
      <c r="AB1200">
        <v>8</v>
      </c>
      <c r="AC1200">
        <v>3</v>
      </c>
      <c r="AD1200">
        <v>0</v>
      </c>
      <c r="AE1200">
        <v>9</v>
      </c>
      <c r="AF1200" t="s">
        <v>138</v>
      </c>
      <c r="AG1200">
        <v>0</v>
      </c>
      <c r="AH1200">
        <v>3</v>
      </c>
      <c r="AI1200">
        <v>2</v>
      </c>
      <c r="AJ1200">
        <v>0</v>
      </c>
      <c r="AK1200" t="s">
        <v>466</v>
      </c>
      <c r="AL1200">
        <v>39.000027000000003</v>
      </c>
      <c r="AM1200" t="s">
        <v>467</v>
      </c>
      <c r="AN1200">
        <v>-121.053178</v>
      </c>
      <c r="AO1200">
        <v>25</v>
      </c>
      <c r="AP1200">
        <v>3400</v>
      </c>
      <c r="AQ1200" t="s">
        <v>131</v>
      </c>
      <c r="AR1200">
        <v>-18</v>
      </c>
      <c r="AS1200">
        <v>90</v>
      </c>
      <c r="AT1200">
        <v>576</v>
      </c>
      <c r="BB1200" t="str">
        <f t="shared" si="459"/>
        <v>1200</v>
      </c>
      <c r="BC1200">
        <v>1</v>
      </c>
      <c r="BD1200" t="str">
        <f t="shared" si="460"/>
        <v xml:space="preserve">N52156  </v>
      </c>
      <c r="BE1200">
        <v>1</v>
      </c>
      <c r="BG1200">
        <v>0</v>
      </c>
      <c r="BH1200">
        <v>0</v>
      </c>
      <c r="BI1200">
        <v>0</v>
      </c>
      <c r="BJ1200">
        <v>3400</v>
      </c>
      <c r="BK1200">
        <v>0</v>
      </c>
      <c r="BL1200" t="s">
        <v>188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 t="shared" si="475"/>
        <v>15:07:51.891</v>
      </c>
      <c r="CF1200">
        <v>891454398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133</v>
      </c>
      <c r="DA1200">
        <v>275</v>
      </c>
      <c r="DB1200">
        <v>0</v>
      </c>
      <c r="DC1200" t="s">
        <v>134</v>
      </c>
      <c r="DD1200" t="s">
        <v>135</v>
      </c>
      <c r="DG1200">
        <v>3319950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"05/01/2025 15:07:52.152"</f>
        <v>05/01/2025 15:07:52.152</v>
      </c>
      <c r="C1201" t="str">
        <f t="shared" si="456"/>
        <v>FFDFD3C0</v>
      </c>
      <c r="D1201" t="s">
        <v>140</v>
      </c>
      <c r="E1201" t="str">
        <f>"13"</f>
        <v>13</v>
      </c>
      <c r="F1201">
        <v>1019</v>
      </c>
      <c r="G1201" t="s">
        <v>141</v>
      </c>
      <c r="J1201" t="s">
        <v>142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R1201" t="s">
        <v>127</v>
      </c>
      <c r="S1201" t="str">
        <f t="shared" si="474"/>
        <v>15:07:51.000</v>
      </c>
      <c r="T1201" t="str">
        <f t="shared" si="474"/>
        <v>15:07:51.000</v>
      </c>
      <c r="U1201" t="str">
        <f t="shared" si="458"/>
        <v>A68FCB</v>
      </c>
      <c r="V1201">
        <v>0</v>
      </c>
      <c r="W1201">
        <v>0</v>
      </c>
      <c r="X1201">
        <v>2</v>
      </c>
      <c r="Y1201">
        <v>0</v>
      </c>
      <c r="AA1201">
        <v>1</v>
      </c>
      <c r="AB1201">
        <v>8</v>
      </c>
      <c r="AC1201">
        <v>3</v>
      </c>
      <c r="AD1201">
        <v>0</v>
      </c>
      <c r="AE1201">
        <v>9</v>
      </c>
      <c r="AF1201" t="s">
        <v>138</v>
      </c>
      <c r="AG1201">
        <v>0</v>
      </c>
      <c r="AH1201">
        <v>3</v>
      </c>
      <c r="AI1201">
        <v>2</v>
      </c>
      <c r="AJ1201">
        <v>0</v>
      </c>
      <c r="AK1201" t="s">
        <v>466</v>
      </c>
      <c r="AL1201">
        <v>39.000027000000003</v>
      </c>
      <c r="AM1201" t="s">
        <v>467</v>
      </c>
      <c r="AN1201">
        <v>-121.053178</v>
      </c>
      <c r="AO1201">
        <v>25</v>
      </c>
      <c r="AP1201">
        <v>3400</v>
      </c>
      <c r="AQ1201" t="s">
        <v>131</v>
      </c>
      <c r="AR1201">
        <v>-18</v>
      </c>
      <c r="AS1201">
        <v>90</v>
      </c>
      <c r="AT1201">
        <v>576</v>
      </c>
      <c r="BB1201" t="str">
        <f t="shared" si="459"/>
        <v>1200</v>
      </c>
      <c r="BC1201">
        <v>1</v>
      </c>
      <c r="BD1201" t="str">
        <f t="shared" si="460"/>
        <v xml:space="preserve">N52156  </v>
      </c>
      <c r="BE1201">
        <v>1</v>
      </c>
      <c r="BG1201">
        <v>0</v>
      </c>
      <c r="BH1201">
        <v>0</v>
      </c>
      <c r="BI1201">
        <v>0</v>
      </c>
      <c r="BJ1201">
        <v>3400</v>
      </c>
      <c r="BK1201">
        <v>0</v>
      </c>
      <c r="BL1201" t="s">
        <v>188</v>
      </c>
      <c r="BM1201">
        <v>1</v>
      </c>
      <c r="BN1201">
        <v>1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 t="shared" si="475"/>
        <v>15:07:51.891</v>
      </c>
      <c r="CF1201">
        <v>891454398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5</v>
      </c>
      <c r="CY1201">
        <v>7</v>
      </c>
      <c r="CZ1201" t="s">
        <v>133</v>
      </c>
      <c r="DA1201">
        <v>275</v>
      </c>
      <c r="DB1201">
        <v>0</v>
      </c>
      <c r="DC1201" t="s">
        <v>134</v>
      </c>
      <c r="DD1201" t="s">
        <v>135</v>
      </c>
      <c r="DG1201">
        <v>3319950</v>
      </c>
      <c r="DI1201">
        <v>1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"05/01/2025 15:07:52.457"</f>
        <v>05/01/2025 15:07:52.457</v>
      </c>
      <c r="C1202" t="str">
        <f t="shared" si="456"/>
        <v>FFDFD3C0</v>
      </c>
      <c r="D1202" t="s">
        <v>145</v>
      </c>
      <c r="E1202" t="str">
        <f>"05"</f>
        <v>05</v>
      </c>
      <c r="H1202">
        <v>47</v>
      </c>
      <c r="I1202" t="s">
        <v>146</v>
      </c>
      <c r="J1202" t="s">
        <v>138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R1202" t="s">
        <v>127</v>
      </c>
      <c r="S1202" t="str">
        <f t="shared" ref="S1202:T1207" si="476">"15:07:52.000"</f>
        <v>15:07:52.000</v>
      </c>
      <c r="T1202" t="str">
        <f t="shared" si="476"/>
        <v>15:07:52.000</v>
      </c>
      <c r="U1202" t="str">
        <f t="shared" si="458"/>
        <v>A68FCB</v>
      </c>
      <c r="V1202">
        <v>0</v>
      </c>
      <c r="W1202">
        <v>0</v>
      </c>
      <c r="X1202">
        <v>2</v>
      </c>
      <c r="Y1202">
        <v>0</v>
      </c>
      <c r="AA1202">
        <v>1</v>
      </c>
      <c r="AB1202">
        <v>8</v>
      </c>
      <c r="AC1202">
        <v>3</v>
      </c>
      <c r="AD1202">
        <v>0</v>
      </c>
      <c r="AE1202">
        <v>9</v>
      </c>
      <c r="AF1202" t="s">
        <v>138</v>
      </c>
      <c r="AG1202">
        <v>0</v>
      </c>
      <c r="AH1202">
        <v>3</v>
      </c>
      <c r="AI1202">
        <v>2</v>
      </c>
      <c r="AJ1202">
        <v>0</v>
      </c>
      <c r="AK1202" t="s">
        <v>468</v>
      </c>
      <c r="AL1202">
        <v>39.000456</v>
      </c>
      <c r="AM1202" t="s">
        <v>469</v>
      </c>
      <c r="AN1202">
        <v>-121.053286</v>
      </c>
      <c r="AO1202">
        <v>25</v>
      </c>
      <c r="AP1202">
        <v>3400</v>
      </c>
      <c r="AQ1202" t="s">
        <v>131</v>
      </c>
      <c r="AR1202">
        <v>-18</v>
      </c>
      <c r="AS1202">
        <v>89</v>
      </c>
      <c r="AT1202">
        <v>576</v>
      </c>
      <c r="BB1202" t="str">
        <f t="shared" si="459"/>
        <v>1200</v>
      </c>
      <c r="BC1202">
        <v>1</v>
      </c>
      <c r="BD1202" t="str">
        <f t="shared" si="460"/>
        <v xml:space="preserve">N52156  </v>
      </c>
      <c r="BE1202">
        <v>1</v>
      </c>
      <c r="BG1202">
        <v>0</v>
      </c>
      <c r="BH1202">
        <v>0</v>
      </c>
      <c r="BI1202">
        <v>0</v>
      </c>
      <c r="BJ1202">
        <v>3400</v>
      </c>
      <c r="BK1202">
        <v>0</v>
      </c>
      <c r="BL1202" t="s">
        <v>188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 t="shared" ref="CE1202:CE1207" si="477">"15:07:52.248"</f>
        <v>15:07:52.248</v>
      </c>
      <c r="CF1202">
        <v>247702787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133</v>
      </c>
      <c r="DA1202">
        <v>275</v>
      </c>
      <c r="DB1202">
        <v>0</v>
      </c>
      <c r="DC1202" t="s">
        <v>134</v>
      </c>
      <c r="DD1202" t="s">
        <v>135</v>
      </c>
      <c r="DG1202">
        <v>3319957</v>
      </c>
      <c r="DI1202">
        <v>1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"05/01/2025 15:07:52.459"</f>
        <v>05/01/2025 15:07:52.459</v>
      </c>
      <c r="C1203" t="str">
        <f t="shared" si="456"/>
        <v>FFDFD3C0</v>
      </c>
      <c r="D1203" t="s">
        <v>124</v>
      </c>
      <c r="E1203" t="str">
        <f>"06"</f>
        <v>06</v>
      </c>
      <c r="F1203">
        <v>2006</v>
      </c>
      <c r="G1203" t="s">
        <v>125</v>
      </c>
      <c r="J1203" t="s">
        <v>126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R1203" t="s">
        <v>127</v>
      </c>
      <c r="S1203" t="str">
        <f t="shared" si="476"/>
        <v>15:07:52.000</v>
      </c>
      <c r="T1203" t="str">
        <f t="shared" si="476"/>
        <v>15:07:52.000</v>
      </c>
      <c r="U1203" t="str">
        <f t="shared" si="458"/>
        <v>A68FCB</v>
      </c>
      <c r="V1203">
        <v>0</v>
      </c>
      <c r="W1203">
        <v>0</v>
      </c>
      <c r="X1203">
        <v>2</v>
      </c>
      <c r="Y1203">
        <v>0</v>
      </c>
      <c r="AA1203">
        <v>1</v>
      </c>
      <c r="AB1203">
        <v>8</v>
      </c>
      <c r="AC1203">
        <v>3</v>
      </c>
      <c r="AD1203">
        <v>0</v>
      </c>
      <c r="AE1203">
        <v>9</v>
      </c>
      <c r="AF1203" t="s">
        <v>138</v>
      </c>
      <c r="AG1203">
        <v>0</v>
      </c>
      <c r="AH1203">
        <v>3</v>
      </c>
      <c r="AI1203">
        <v>2</v>
      </c>
      <c r="AJ1203">
        <v>0</v>
      </c>
      <c r="AK1203" t="s">
        <v>468</v>
      </c>
      <c r="AL1203">
        <v>39.000456</v>
      </c>
      <c r="AM1203" t="s">
        <v>469</v>
      </c>
      <c r="AN1203">
        <v>-121.053286</v>
      </c>
      <c r="AO1203">
        <v>25</v>
      </c>
      <c r="AP1203">
        <v>3400</v>
      </c>
      <c r="AQ1203" t="s">
        <v>131</v>
      </c>
      <c r="AR1203">
        <v>-18</v>
      </c>
      <c r="AS1203">
        <v>89</v>
      </c>
      <c r="AT1203">
        <v>576</v>
      </c>
      <c r="BB1203" t="str">
        <f t="shared" si="459"/>
        <v>1200</v>
      </c>
      <c r="BC1203">
        <v>1</v>
      </c>
      <c r="BD1203" t="str">
        <f t="shared" si="460"/>
        <v xml:space="preserve">N52156  </v>
      </c>
      <c r="BE1203">
        <v>1</v>
      </c>
      <c r="BG1203">
        <v>0</v>
      </c>
      <c r="BH1203">
        <v>0</v>
      </c>
      <c r="BI1203">
        <v>0</v>
      </c>
      <c r="BJ1203">
        <v>3400</v>
      </c>
      <c r="BK1203">
        <v>0</v>
      </c>
      <c r="BL1203" t="s">
        <v>188</v>
      </c>
      <c r="BM1203">
        <v>1</v>
      </c>
      <c r="BN1203">
        <v>1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 t="shared" si="477"/>
        <v>15:07:52.248</v>
      </c>
      <c r="CF1203">
        <v>247702787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5</v>
      </c>
      <c r="CY1203">
        <v>7</v>
      </c>
      <c r="CZ1203" t="s">
        <v>133</v>
      </c>
      <c r="DA1203">
        <v>275</v>
      </c>
      <c r="DB1203">
        <v>0</v>
      </c>
      <c r="DC1203" t="s">
        <v>134</v>
      </c>
      <c r="DD1203" t="s">
        <v>135</v>
      </c>
      <c r="DG1203">
        <v>3319957</v>
      </c>
      <c r="DI1203">
        <v>1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"05/01/2025 15:07:52.461"</f>
        <v>05/01/2025 15:07:52.461</v>
      </c>
      <c r="C1204" t="str">
        <f t="shared" si="456"/>
        <v>FFDFD3C0</v>
      </c>
      <c r="D1204" t="s">
        <v>143</v>
      </c>
      <c r="E1204" t="str">
        <f>"05"</f>
        <v>05</v>
      </c>
      <c r="H1204">
        <v>172</v>
      </c>
      <c r="I1204" t="s">
        <v>141</v>
      </c>
      <c r="J1204" t="s">
        <v>144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R1204" t="s">
        <v>127</v>
      </c>
      <c r="S1204" t="str">
        <f t="shared" si="476"/>
        <v>15:07:52.000</v>
      </c>
      <c r="T1204" t="str">
        <f t="shared" si="476"/>
        <v>15:07:52.000</v>
      </c>
      <c r="U1204" t="str">
        <f t="shared" si="458"/>
        <v>A68FCB</v>
      </c>
      <c r="V1204">
        <v>0</v>
      </c>
      <c r="W1204">
        <v>0</v>
      </c>
      <c r="X1204">
        <v>2</v>
      </c>
      <c r="Y1204">
        <v>0</v>
      </c>
      <c r="AA1204">
        <v>1</v>
      </c>
      <c r="AB1204">
        <v>8</v>
      </c>
      <c r="AC1204">
        <v>3</v>
      </c>
      <c r="AD1204">
        <v>0</v>
      </c>
      <c r="AE1204">
        <v>9</v>
      </c>
      <c r="AF1204" t="s">
        <v>138</v>
      </c>
      <c r="AG1204">
        <v>0</v>
      </c>
      <c r="AH1204">
        <v>3</v>
      </c>
      <c r="AI1204">
        <v>2</v>
      </c>
      <c r="AJ1204">
        <v>0</v>
      </c>
      <c r="AK1204" t="s">
        <v>468</v>
      </c>
      <c r="AL1204">
        <v>39.000456</v>
      </c>
      <c r="AM1204" t="s">
        <v>469</v>
      </c>
      <c r="AN1204">
        <v>-121.053286</v>
      </c>
      <c r="AO1204">
        <v>25</v>
      </c>
      <c r="AP1204">
        <v>3400</v>
      </c>
      <c r="AQ1204" t="s">
        <v>131</v>
      </c>
      <c r="AR1204">
        <v>-18</v>
      </c>
      <c r="AS1204">
        <v>89</v>
      </c>
      <c r="AT1204">
        <v>576</v>
      </c>
      <c r="BB1204" t="str">
        <f t="shared" si="459"/>
        <v>1200</v>
      </c>
      <c r="BC1204">
        <v>1</v>
      </c>
      <c r="BD1204" t="str">
        <f t="shared" si="460"/>
        <v xml:space="preserve">N52156  </v>
      </c>
      <c r="BE1204">
        <v>1</v>
      </c>
      <c r="BG1204">
        <v>0</v>
      </c>
      <c r="BH1204">
        <v>0</v>
      </c>
      <c r="BI1204">
        <v>0</v>
      </c>
      <c r="BJ1204">
        <v>3400</v>
      </c>
      <c r="BK1204">
        <v>0</v>
      </c>
      <c r="BL1204" t="s">
        <v>188</v>
      </c>
      <c r="BM1204">
        <v>1</v>
      </c>
      <c r="BN1204">
        <v>1</v>
      </c>
      <c r="BO1204">
        <v>0</v>
      </c>
      <c r="BP1204">
        <v>0</v>
      </c>
      <c r="BS1204">
        <v>0</v>
      </c>
      <c r="BT1204">
        <v>0</v>
      </c>
      <c r="BU1204">
        <v>0</v>
      </c>
      <c r="CE1204" t="str">
        <f t="shared" si="477"/>
        <v>15:07:52.248</v>
      </c>
      <c r="CF1204">
        <v>247702787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5</v>
      </c>
      <c r="CY1204">
        <v>7</v>
      </c>
      <c r="CZ1204" t="s">
        <v>133</v>
      </c>
      <c r="DA1204">
        <v>275</v>
      </c>
      <c r="DB1204">
        <v>0</v>
      </c>
      <c r="DC1204" t="s">
        <v>134</v>
      </c>
      <c r="DD1204" t="s">
        <v>135</v>
      </c>
      <c r="DG1204">
        <v>3319957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"05/01/2025 15:07:52.461"</f>
        <v>05/01/2025 15:07:52.461</v>
      </c>
      <c r="C1205" t="str">
        <f t="shared" si="456"/>
        <v>FFDFD3C0</v>
      </c>
      <c r="D1205" t="s">
        <v>145</v>
      </c>
      <c r="E1205" t="str">
        <f>"09"</f>
        <v>09</v>
      </c>
      <c r="H1205">
        <v>51</v>
      </c>
      <c r="I1205" t="s">
        <v>147</v>
      </c>
      <c r="J1205" t="s">
        <v>138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R1205" t="s">
        <v>127</v>
      </c>
      <c r="S1205" t="str">
        <f t="shared" si="476"/>
        <v>15:07:52.000</v>
      </c>
      <c r="T1205" t="str">
        <f t="shared" si="476"/>
        <v>15:07:52.000</v>
      </c>
      <c r="U1205" t="str">
        <f t="shared" si="458"/>
        <v>A68FCB</v>
      </c>
      <c r="V1205">
        <v>0</v>
      </c>
      <c r="W1205">
        <v>0</v>
      </c>
      <c r="X1205">
        <v>2</v>
      </c>
      <c r="Y1205">
        <v>0</v>
      </c>
      <c r="AA1205">
        <v>1</v>
      </c>
      <c r="AB1205">
        <v>8</v>
      </c>
      <c r="AC1205">
        <v>3</v>
      </c>
      <c r="AD1205">
        <v>0</v>
      </c>
      <c r="AE1205">
        <v>9</v>
      </c>
      <c r="AF1205" t="s">
        <v>138</v>
      </c>
      <c r="AG1205">
        <v>0</v>
      </c>
      <c r="AH1205">
        <v>3</v>
      </c>
      <c r="AI1205">
        <v>2</v>
      </c>
      <c r="AJ1205">
        <v>0</v>
      </c>
      <c r="AK1205" t="s">
        <v>468</v>
      </c>
      <c r="AL1205">
        <v>39.000456</v>
      </c>
      <c r="AM1205" t="s">
        <v>469</v>
      </c>
      <c r="AN1205">
        <v>-121.053286</v>
      </c>
      <c r="AO1205">
        <v>25</v>
      </c>
      <c r="AP1205">
        <v>3400</v>
      </c>
      <c r="AQ1205" t="s">
        <v>131</v>
      </c>
      <c r="AR1205">
        <v>-18</v>
      </c>
      <c r="AS1205">
        <v>89</v>
      </c>
      <c r="AT1205">
        <v>576</v>
      </c>
      <c r="BB1205" t="str">
        <f t="shared" si="459"/>
        <v>1200</v>
      </c>
      <c r="BC1205">
        <v>1</v>
      </c>
      <c r="BD1205" t="str">
        <f t="shared" si="460"/>
        <v xml:space="preserve">N52156  </v>
      </c>
      <c r="BE1205">
        <v>1</v>
      </c>
      <c r="BG1205">
        <v>0</v>
      </c>
      <c r="BH1205">
        <v>0</v>
      </c>
      <c r="BI1205">
        <v>0</v>
      </c>
      <c r="BJ1205">
        <v>3400</v>
      </c>
      <c r="BK1205">
        <v>0</v>
      </c>
      <c r="BL1205" t="s">
        <v>188</v>
      </c>
      <c r="BM1205">
        <v>1</v>
      </c>
      <c r="BN1205">
        <v>1</v>
      </c>
      <c r="BO1205">
        <v>0</v>
      </c>
      <c r="BP1205">
        <v>0</v>
      </c>
      <c r="BS1205">
        <v>0</v>
      </c>
      <c r="BT1205">
        <v>0</v>
      </c>
      <c r="BU1205">
        <v>0</v>
      </c>
      <c r="CE1205" t="str">
        <f t="shared" si="477"/>
        <v>15:07:52.248</v>
      </c>
      <c r="CF1205">
        <v>247702787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5</v>
      </c>
      <c r="CY1205">
        <v>7</v>
      </c>
      <c r="CZ1205" t="s">
        <v>133</v>
      </c>
      <c r="DA1205">
        <v>275</v>
      </c>
      <c r="DB1205">
        <v>0</v>
      </c>
      <c r="DC1205" t="s">
        <v>134</v>
      </c>
      <c r="DD1205" t="s">
        <v>135</v>
      </c>
      <c r="DG1205">
        <v>3319957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"05/01/2025 15:07:52.468"</f>
        <v>05/01/2025 15:07:52.468</v>
      </c>
      <c r="C1206" t="str">
        <f t="shared" si="456"/>
        <v>FFDFD3C0</v>
      </c>
      <c r="D1206" t="s">
        <v>136</v>
      </c>
      <c r="E1206" t="str">
        <f>"20"</f>
        <v>20</v>
      </c>
      <c r="H1206">
        <v>400</v>
      </c>
      <c r="I1206" t="s">
        <v>137</v>
      </c>
      <c r="J1206" t="s">
        <v>138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R1206" t="s">
        <v>127</v>
      </c>
      <c r="S1206" t="str">
        <f t="shared" si="476"/>
        <v>15:07:52.000</v>
      </c>
      <c r="T1206" t="str">
        <f t="shared" si="476"/>
        <v>15:07:52.000</v>
      </c>
      <c r="U1206" t="str">
        <f t="shared" si="458"/>
        <v>A68FCB</v>
      </c>
      <c r="V1206">
        <v>0</v>
      </c>
      <c r="W1206">
        <v>0</v>
      </c>
      <c r="X1206">
        <v>2</v>
      </c>
      <c r="Y1206">
        <v>0</v>
      </c>
      <c r="AA1206">
        <v>1</v>
      </c>
      <c r="AB1206">
        <v>8</v>
      </c>
      <c r="AC1206">
        <v>3</v>
      </c>
      <c r="AD1206">
        <v>0</v>
      </c>
      <c r="AE1206">
        <v>9</v>
      </c>
      <c r="AF1206" t="s">
        <v>138</v>
      </c>
      <c r="AG1206">
        <v>0</v>
      </c>
      <c r="AH1206">
        <v>3</v>
      </c>
      <c r="AI1206">
        <v>2</v>
      </c>
      <c r="AJ1206">
        <v>0</v>
      </c>
      <c r="AK1206" t="s">
        <v>468</v>
      </c>
      <c r="AL1206">
        <v>39.000456</v>
      </c>
      <c r="AM1206" t="s">
        <v>469</v>
      </c>
      <c r="AN1206">
        <v>-121.053286</v>
      </c>
      <c r="AO1206">
        <v>25</v>
      </c>
      <c r="AP1206">
        <v>3400</v>
      </c>
      <c r="AQ1206" t="s">
        <v>131</v>
      </c>
      <c r="AR1206">
        <v>-18</v>
      </c>
      <c r="AS1206">
        <v>89</v>
      </c>
      <c r="AT1206">
        <v>576</v>
      </c>
      <c r="BB1206" t="str">
        <f t="shared" si="459"/>
        <v>1200</v>
      </c>
      <c r="BC1206">
        <v>1</v>
      </c>
      <c r="BD1206" t="str">
        <f t="shared" si="460"/>
        <v xml:space="preserve">N52156  </v>
      </c>
      <c r="BE1206">
        <v>1</v>
      </c>
      <c r="BG1206">
        <v>0</v>
      </c>
      <c r="BH1206">
        <v>0</v>
      </c>
      <c r="BI1206">
        <v>0</v>
      </c>
      <c r="BJ1206">
        <v>3400</v>
      </c>
      <c r="BK1206">
        <v>0</v>
      </c>
      <c r="BL1206" t="s">
        <v>188</v>
      </c>
      <c r="BM1206">
        <v>1</v>
      </c>
      <c r="BN1206">
        <v>1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 t="shared" si="477"/>
        <v>15:07:52.248</v>
      </c>
      <c r="CF1206">
        <v>247702787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133</v>
      </c>
      <c r="DA1206">
        <v>275</v>
      </c>
      <c r="DB1206">
        <v>0</v>
      </c>
      <c r="DC1206" t="s">
        <v>134</v>
      </c>
      <c r="DD1206" t="s">
        <v>135</v>
      </c>
      <c r="DG1206">
        <v>3319957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"05/01/2025 15:07:52.503"</f>
        <v>05/01/2025 15:07:52.503</v>
      </c>
      <c r="C1207" t="str">
        <f t="shared" si="456"/>
        <v>FFDFD3C0</v>
      </c>
      <c r="D1207" t="s">
        <v>140</v>
      </c>
      <c r="E1207" t="str">
        <f>"13"</f>
        <v>13</v>
      </c>
      <c r="F1207">
        <v>1019</v>
      </c>
      <c r="G1207" t="s">
        <v>141</v>
      </c>
      <c r="J1207" t="s">
        <v>142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R1207" t="s">
        <v>127</v>
      </c>
      <c r="S1207" t="str">
        <f t="shared" si="476"/>
        <v>15:07:52.000</v>
      </c>
      <c r="T1207" t="str">
        <f t="shared" si="476"/>
        <v>15:07:52.000</v>
      </c>
      <c r="U1207" t="str">
        <f t="shared" si="458"/>
        <v>A68FCB</v>
      </c>
      <c r="V1207">
        <v>0</v>
      </c>
      <c r="W1207">
        <v>0</v>
      </c>
      <c r="X1207">
        <v>2</v>
      </c>
      <c r="Y1207">
        <v>0</v>
      </c>
      <c r="AA1207">
        <v>1</v>
      </c>
      <c r="AB1207">
        <v>8</v>
      </c>
      <c r="AC1207">
        <v>3</v>
      </c>
      <c r="AD1207">
        <v>0</v>
      </c>
      <c r="AE1207">
        <v>9</v>
      </c>
      <c r="AF1207" t="s">
        <v>138</v>
      </c>
      <c r="AG1207">
        <v>0</v>
      </c>
      <c r="AH1207">
        <v>3</v>
      </c>
      <c r="AI1207">
        <v>2</v>
      </c>
      <c r="AJ1207">
        <v>0</v>
      </c>
      <c r="AK1207" t="s">
        <v>468</v>
      </c>
      <c r="AL1207">
        <v>39.000456</v>
      </c>
      <c r="AM1207" t="s">
        <v>469</v>
      </c>
      <c r="AN1207">
        <v>-121.053286</v>
      </c>
      <c r="AO1207">
        <v>25</v>
      </c>
      <c r="AP1207">
        <v>3400</v>
      </c>
      <c r="AQ1207" t="s">
        <v>131</v>
      </c>
      <c r="AR1207">
        <v>-18</v>
      </c>
      <c r="AS1207">
        <v>89</v>
      </c>
      <c r="AT1207">
        <v>576</v>
      </c>
      <c r="BB1207" t="str">
        <f t="shared" si="459"/>
        <v>1200</v>
      </c>
      <c r="BC1207">
        <v>1</v>
      </c>
      <c r="BD1207" t="str">
        <f t="shared" si="460"/>
        <v xml:space="preserve">N52156  </v>
      </c>
      <c r="BE1207">
        <v>1</v>
      </c>
      <c r="BG1207">
        <v>0</v>
      </c>
      <c r="BH1207">
        <v>0</v>
      </c>
      <c r="BI1207">
        <v>0</v>
      </c>
      <c r="BJ1207">
        <v>3400</v>
      </c>
      <c r="BK1207">
        <v>0</v>
      </c>
      <c r="BL1207" t="s">
        <v>188</v>
      </c>
      <c r="BM1207">
        <v>1</v>
      </c>
      <c r="BN1207">
        <v>1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 t="shared" si="477"/>
        <v>15:07:52.248</v>
      </c>
      <c r="CF1207">
        <v>247702787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133</v>
      </c>
      <c r="DA1207">
        <v>275</v>
      </c>
      <c r="DB1207">
        <v>0</v>
      </c>
      <c r="DC1207" t="s">
        <v>134</v>
      </c>
      <c r="DD1207" t="s">
        <v>135</v>
      </c>
      <c r="DG1207">
        <v>3319957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"05/01/2025 15:07:53.755"</f>
        <v>05/01/2025 15:07:53.755</v>
      </c>
      <c r="C1208" t="str">
        <f t="shared" si="456"/>
        <v>FFDFD3C0</v>
      </c>
      <c r="D1208" t="s">
        <v>140</v>
      </c>
      <c r="E1208" t="str">
        <f>"13"</f>
        <v>13</v>
      </c>
      <c r="F1208">
        <v>1019</v>
      </c>
      <c r="G1208" t="s">
        <v>141</v>
      </c>
      <c r="J1208" t="s">
        <v>142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R1208" t="s">
        <v>127</v>
      </c>
      <c r="S1208" t="str">
        <f t="shared" ref="S1208:T1213" si="478">"15:07:53.000"</f>
        <v>15:07:53.000</v>
      </c>
      <c r="T1208" t="str">
        <f t="shared" si="478"/>
        <v>15:07:53.000</v>
      </c>
      <c r="U1208" t="str">
        <f t="shared" si="458"/>
        <v>A68FCB</v>
      </c>
      <c r="V1208">
        <v>0</v>
      </c>
      <c r="W1208">
        <v>0</v>
      </c>
      <c r="X1208">
        <v>2</v>
      </c>
      <c r="Y1208">
        <v>0</v>
      </c>
      <c r="AA1208">
        <v>1</v>
      </c>
      <c r="AB1208">
        <v>8</v>
      </c>
      <c r="AC1208">
        <v>3</v>
      </c>
      <c r="AD1208">
        <v>0</v>
      </c>
      <c r="AE1208">
        <v>9</v>
      </c>
      <c r="AF1208" t="s">
        <v>138</v>
      </c>
      <c r="AG1208">
        <v>0</v>
      </c>
      <c r="AH1208">
        <v>3</v>
      </c>
      <c r="AI1208">
        <v>2</v>
      </c>
      <c r="AJ1208">
        <v>0</v>
      </c>
      <c r="AK1208" t="s">
        <v>470</v>
      </c>
      <c r="AL1208">
        <v>39.000864</v>
      </c>
      <c r="AM1208" t="s">
        <v>471</v>
      </c>
      <c r="AN1208">
        <v>-121.053393</v>
      </c>
      <c r="AO1208">
        <v>25</v>
      </c>
      <c r="AP1208">
        <v>3400</v>
      </c>
      <c r="AQ1208" t="s">
        <v>131</v>
      </c>
      <c r="AR1208">
        <v>-17</v>
      </c>
      <c r="AS1208">
        <v>88</v>
      </c>
      <c r="AT1208">
        <v>704</v>
      </c>
      <c r="BB1208" t="str">
        <f t="shared" si="459"/>
        <v>1200</v>
      </c>
      <c r="BC1208">
        <v>1</v>
      </c>
      <c r="BD1208" t="str">
        <f t="shared" si="460"/>
        <v xml:space="preserve">N52156  </v>
      </c>
      <c r="BE1208">
        <v>1</v>
      </c>
      <c r="BG1208">
        <v>0</v>
      </c>
      <c r="BH1208">
        <v>0</v>
      </c>
      <c r="BI1208">
        <v>0</v>
      </c>
      <c r="BJ1208">
        <v>3400</v>
      </c>
      <c r="BK1208">
        <v>0</v>
      </c>
      <c r="BL1208" t="s">
        <v>188</v>
      </c>
      <c r="BM1208">
        <v>1</v>
      </c>
      <c r="BN1208">
        <v>1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 t="shared" ref="CE1208:CE1213" si="479">"15:07:53.545"</f>
        <v>15:07:53.545</v>
      </c>
      <c r="CF1208">
        <v>545453543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133</v>
      </c>
      <c r="DA1208">
        <v>275</v>
      </c>
      <c r="DB1208">
        <v>0</v>
      </c>
      <c r="DC1208" t="s">
        <v>134</v>
      </c>
      <c r="DD1208" t="s">
        <v>135</v>
      </c>
      <c r="DG1208">
        <v>3319971</v>
      </c>
      <c r="DI1208">
        <v>1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"05/01/2025 15:07:53.760"</f>
        <v>05/01/2025 15:07:53.760</v>
      </c>
      <c r="C1209" t="str">
        <f t="shared" si="456"/>
        <v>FFDFD3C0</v>
      </c>
      <c r="D1209" t="s">
        <v>145</v>
      </c>
      <c r="E1209" t="str">
        <f>"05"</f>
        <v>05</v>
      </c>
      <c r="H1209">
        <v>47</v>
      </c>
      <c r="I1209" t="s">
        <v>146</v>
      </c>
      <c r="J1209" t="s">
        <v>138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R1209" t="s">
        <v>127</v>
      </c>
      <c r="S1209" t="str">
        <f t="shared" si="478"/>
        <v>15:07:53.000</v>
      </c>
      <c r="T1209" t="str">
        <f t="shared" si="478"/>
        <v>15:07:53.000</v>
      </c>
      <c r="U1209" t="str">
        <f t="shared" si="458"/>
        <v>A68FCB</v>
      </c>
      <c r="V1209">
        <v>0</v>
      </c>
      <c r="W1209">
        <v>0</v>
      </c>
      <c r="X1209">
        <v>2</v>
      </c>
      <c r="Y1209">
        <v>0</v>
      </c>
      <c r="AA1209">
        <v>1</v>
      </c>
      <c r="AB1209">
        <v>8</v>
      </c>
      <c r="AC1209">
        <v>3</v>
      </c>
      <c r="AD1209">
        <v>0</v>
      </c>
      <c r="AE1209">
        <v>9</v>
      </c>
      <c r="AF1209" t="s">
        <v>138</v>
      </c>
      <c r="AG1209">
        <v>0</v>
      </c>
      <c r="AH1209">
        <v>3</v>
      </c>
      <c r="AI1209">
        <v>2</v>
      </c>
      <c r="AJ1209">
        <v>0</v>
      </c>
      <c r="AK1209" t="s">
        <v>470</v>
      </c>
      <c r="AL1209">
        <v>39.000864</v>
      </c>
      <c r="AM1209" t="s">
        <v>471</v>
      </c>
      <c r="AN1209">
        <v>-121.053393</v>
      </c>
      <c r="AO1209">
        <v>25</v>
      </c>
      <c r="AP1209">
        <v>3400</v>
      </c>
      <c r="AQ1209" t="s">
        <v>131</v>
      </c>
      <c r="AR1209">
        <v>-17</v>
      </c>
      <c r="AS1209">
        <v>88</v>
      </c>
      <c r="AT1209">
        <v>704</v>
      </c>
      <c r="BB1209" t="str">
        <f t="shared" si="459"/>
        <v>1200</v>
      </c>
      <c r="BC1209">
        <v>1</v>
      </c>
      <c r="BD1209" t="str">
        <f t="shared" si="460"/>
        <v xml:space="preserve">N52156  </v>
      </c>
      <c r="BE1209">
        <v>1</v>
      </c>
      <c r="BG1209">
        <v>0</v>
      </c>
      <c r="BH1209">
        <v>0</v>
      </c>
      <c r="BI1209">
        <v>0</v>
      </c>
      <c r="BJ1209">
        <v>3400</v>
      </c>
      <c r="BK1209">
        <v>0</v>
      </c>
      <c r="BL1209" t="s">
        <v>188</v>
      </c>
      <c r="BM1209">
        <v>1</v>
      </c>
      <c r="BN1209">
        <v>1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 t="shared" si="479"/>
        <v>15:07:53.545</v>
      </c>
      <c r="CF1209">
        <v>545453543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133</v>
      </c>
      <c r="DA1209">
        <v>275</v>
      </c>
      <c r="DB1209">
        <v>0</v>
      </c>
      <c r="DC1209" t="s">
        <v>134</v>
      </c>
      <c r="DD1209" t="s">
        <v>135</v>
      </c>
      <c r="DG1209">
        <v>3319971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"05/01/2025 15:07:53.762"</f>
        <v>05/01/2025 15:07:53.762</v>
      </c>
      <c r="C1210" t="str">
        <f t="shared" si="456"/>
        <v>FFDFD3C0</v>
      </c>
      <c r="D1210" t="s">
        <v>124</v>
      </c>
      <c r="E1210" t="str">
        <f>"06"</f>
        <v>06</v>
      </c>
      <c r="F1210">
        <v>2006</v>
      </c>
      <c r="G1210" t="s">
        <v>125</v>
      </c>
      <c r="J1210" t="s">
        <v>126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R1210" t="s">
        <v>127</v>
      </c>
      <c r="S1210" t="str">
        <f t="shared" si="478"/>
        <v>15:07:53.000</v>
      </c>
      <c r="T1210" t="str">
        <f t="shared" si="478"/>
        <v>15:07:53.000</v>
      </c>
      <c r="U1210" t="str">
        <f t="shared" si="458"/>
        <v>A68FCB</v>
      </c>
      <c r="V1210">
        <v>0</v>
      </c>
      <c r="W1210">
        <v>0</v>
      </c>
      <c r="X1210">
        <v>2</v>
      </c>
      <c r="Y1210">
        <v>0</v>
      </c>
      <c r="AA1210">
        <v>1</v>
      </c>
      <c r="AB1210">
        <v>8</v>
      </c>
      <c r="AC1210">
        <v>3</v>
      </c>
      <c r="AD1210">
        <v>0</v>
      </c>
      <c r="AE1210">
        <v>9</v>
      </c>
      <c r="AF1210" t="s">
        <v>138</v>
      </c>
      <c r="AG1210">
        <v>0</v>
      </c>
      <c r="AH1210">
        <v>3</v>
      </c>
      <c r="AI1210">
        <v>2</v>
      </c>
      <c r="AJ1210">
        <v>0</v>
      </c>
      <c r="AK1210" t="s">
        <v>470</v>
      </c>
      <c r="AL1210">
        <v>39.000864</v>
      </c>
      <c r="AM1210" t="s">
        <v>471</v>
      </c>
      <c r="AN1210">
        <v>-121.053393</v>
      </c>
      <c r="AO1210">
        <v>25</v>
      </c>
      <c r="AP1210">
        <v>3400</v>
      </c>
      <c r="AQ1210" t="s">
        <v>131</v>
      </c>
      <c r="AR1210">
        <v>-17</v>
      </c>
      <c r="AS1210">
        <v>88</v>
      </c>
      <c r="AT1210">
        <v>704</v>
      </c>
      <c r="BB1210" t="str">
        <f t="shared" si="459"/>
        <v>1200</v>
      </c>
      <c r="BC1210">
        <v>1</v>
      </c>
      <c r="BD1210" t="str">
        <f t="shared" si="460"/>
        <v xml:space="preserve">N52156  </v>
      </c>
      <c r="BE1210">
        <v>1</v>
      </c>
      <c r="BG1210">
        <v>0</v>
      </c>
      <c r="BH1210">
        <v>0</v>
      </c>
      <c r="BI1210">
        <v>0</v>
      </c>
      <c r="BJ1210">
        <v>3400</v>
      </c>
      <c r="BK1210">
        <v>0</v>
      </c>
      <c r="BL1210" t="s">
        <v>188</v>
      </c>
      <c r="BM1210">
        <v>1</v>
      </c>
      <c r="BN1210">
        <v>1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 t="shared" si="479"/>
        <v>15:07:53.545</v>
      </c>
      <c r="CF1210">
        <v>545453543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133</v>
      </c>
      <c r="DA1210">
        <v>275</v>
      </c>
      <c r="DB1210">
        <v>0</v>
      </c>
      <c r="DC1210" t="s">
        <v>134</v>
      </c>
      <c r="DD1210" t="s">
        <v>135</v>
      </c>
      <c r="DG1210">
        <v>3319971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"05/01/2025 15:07:53.763"</f>
        <v>05/01/2025 15:07:53.763</v>
      </c>
      <c r="C1211" t="str">
        <f t="shared" si="456"/>
        <v>FFDFD3C0</v>
      </c>
      <c r="D1211" t="s">
        <v>145</v>
      </c>
      <c r="E1211" t="str">
        <f>"09"</f>
        <v>09</v>
      </c>
      <c r="H1211">
        <v>51</v>
      </c>
      <c r="I1211" t="s">
        <v>147</v>
      </c>
      <c r="J1211" t="s">
        <v>138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R1211" t="s">
        <v>127</v>
      </c>
      <c r="S1211" t="str">
        <f t="shared" si="478"/>
        <v>15:07:53.000</v>
      </c>
      <c r="T1211" t="str">
        <f t="shared" si="478"/>
        <v>15:07:53.000</v>
      </c>
      <c r="U1211" t="str">
        <f t="shared" si="458"/>
        <v>A68FCB</v>
      </c>
      <c r="V1211">
        <v>0</v>
      </c>
      <c r="W1211">
        <v>0</v>
      </c>
      <c r="X1211">
        <v>2</v>
      </c>
      <c r="Y1211">
        <v>0</v>
      </c>
      <c r="AA1211">
        <v>1</v>
      </c>
      <c r="AB1211">
        <v>8</v>
      </c>
      <c r="AC1211">
        <v>3</v>
      </c>
      <c r="AD1211">
        <v>0</v>
      </c>
      <c r="AE1211">
        <v>9</v>
      </c>
      <c r="AF1211" t="s">
        <v>138</v>
      </c>
      <c r="AG1211">
        <v>0</v>
      </c>
      <c r="AH1211">
        <v>3</v>
      </c>
      <c r="AI1211">
        <v>2</v>
      </c>
      <c r="AJ1211">
        <v>0</v>
      </c>
      <c r="AK1211" t="s">
        <v>470</v>
      </c>
      <c r="AL1211">
        <v>39.000864</v>
      </c>
      <c r="AM1211" t="s">
        <v>471</v>
      </c>
      <c r="AN1211">
        <v>-121.053393</v>
      </c>
      <c r="AO1211">
        <v>25</v>
      </c>
      <c r="AP1211">
        <v>3400</v>
      </c>
      <c r="AQ1211" t="s">
        <v>131</v>
      </c>
      <c r="AR1211">
        <v>-17</v>
      </c>
      <c r="AS1211">
        <v>88</v>
      </c>
      <c r="AT1211">
        <v>704</v>
      </c>
      <c r="BB1211" t="str">
        <f t="shared" si="459"/>
        <v>1200</v>
      </c>
      <c r="BC1211">
        <v>1</v>
      </c>
      <c r="BD1211" t="str">
        <f t="shared" si="460"/>
        <v xml:space="preserve">N52156  </v>
      </c>
      <c r="BE1211">
        <v>1</v>
      </c>
      <c r="BG1211">
        <v>0</v>
      </c>
      <c r="BH1211">
        <v>0</v>
      </c>
      <c r="BI1211">
        <v>0</v>
      </c>
      <c r="BJ1211">
        <v>3400</v>
      </c>
      <c r="BK1211">
        <v>0</v>
      </c>
      <c r="BL1211" t="s">
        <v>188</v>
      </c>
      <c r="BM1211">
        <v>1</v>
      </c>
      <c r="BN1211">
        <v>1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 t="shared" si="479"/>
        <v>15:07:53.545</v>
      </c>
      <c r="CF1211">
        <v>545453543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5</v>
      </c>
      <c r="CY1211">
        <v>7</v>
      </c>
      <c r="CZ1211" t="s">
        <v>133</v>
      </c>
      <c r="DA1211">
        <v>275</v>
      </c>
      <c r="DB1211">
        <v>0</v>
      </c>
      <c r="DC1211" t="s">
        <v>134</v>
      </c>
      <c r="DD1211" t="s">
        <v>135</v>
      </c>
      <c r="DG1211">
        <v>3319971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"05/01/2025 15:07:53.764"</f>
        <v>05/01/2025 15:07:53.764</v>
      </c>
      <c r="C1212" t="str">
        <f t="shared" si="456"/>
        <v>FFDFD3C0</v>
      </c>
      <c r="D1212" t="s">
        <v>143</v>
      </c>
      <c r="E1212" t="str">
        <f>"05"</f>
        <v>05</v>
      </c>
      <c r="H1212">
        <v>172</v>
      </c>
      <c r="I1212" t="s">
        <v>141</v>
      </c>
      <c r="J1212" t="s">
        <v>144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R1212" t="s">
        <v>127</v>
      </c>
      <c r="S1212" t="str">
        <f t="shared" si="478"/>
        <v>15:07:53.000</v>
      </c>
      <c r="T1212" t="str">
        <f t="shared" si="478"/>
        <v>15:07:53.000</v>
      </c>
      <c r="U1212" t="str">
        <f t="shared" si="458"/>
        <v>A68FCB</v>
      </c>
      <c r="V1212">
        <v>0</v>
      </c>
      <c r="W1212">
        <v>0</v>
      </c>
      <c r="X1212">
        <v>2</v>
      </c>
      <c r="Y1212">
        <v>0</v>
      </c>
      <c r="AA1212">
        <v>1</v>
      </c>
      <c r="AB1212">
        <v>8</v>
      </c>
      <c r="AC1212">
        <v>3</v>
      </c>
      <c r="AD1212">
        <v>0</v>
      </c>
      <c r="AE1212">
        <v>9</v>
      </c>
      <c r="AF1212" t="s">
        <v>138</v>
      </c>
      <c r="AG1212">
        <v>0</v>
      </c>
      <c r="AH1212">
        <v>3</v>
      </c>
      <c r="AI1212">
        <v>2</v>
      </c>
      <c r="AJ1212">
        <v>0</v>
      </c>
      <c r="AK1212" t="s">
        <v>470</v>
      </c>
      <c r="AL1212">
        <v>39.000864</v>
      </c>
      <c r="AM1212" t="s">
        <v>471</v>
      </c>
      <c r="AN1212">
        <v>-121.053393</v>
      </c>
      <c r="AO1212">
        <v>25</v>
      </c>
      <c r="AP1212">
        <v>3400</v>
      </c>
      <c r="AQ1212" t="s">
        <v>131</v>
      </c>
      <c r="AR1212">
        <v>-17</v>
      </c>
      <c r="AS1212">
        <v>88</v>
      </c>
      <c r="AT1212">
        <v>704</v>
      </c>
      <c r="BB1212" t="str">
        <f t="shared" si="459"/>
        <v>1200</v>
      </c>
      <c r="BC1212">
        <v>1</v>
      </c>
      <c r="BD1212" t="str">
        <f t="shared" si="460"/>
        <v xml:space="preserve">N52156  </v>
      </c>
      <c r="BE1212">
        <v>1</v>
      </c>
      <c r="BG1212">
        <v>0</v>
      </c>
      <c r="BH1212">
        <v>0</v>
      </c>
      <c r="BI1212">
        <v>0</v>
      </c>
      <c r="BJ1212">
        <v>3400</v>
      </c>
      <c r="BK1212">
        <v>0</v>
      </c>
      <c r="BL1212" t="s">
        <v>188</v>
      </c>
      <c r="BM1212">
        <v>1</v>
      </c>
      <c r="BN1212">
        <v>1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 t="shared" si="479"/>
        <v>15:07:53.545</v>
      </c>
      <c r="CF1212">
        <v>545453543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5</v>
      </c>
      <c r="CY1212">
        <v>7</v>
      </c>
      <c r="CZ1212" t="s">
        <v>133</v>
      </c>
      <c r="DA1212">
        <v>275</v>
      </c>
      <c r="DB1212">
        <v>0</v>
      </c>
      <c r="DC1212" t="s">
        <v>134</v>
      </c>
      <c r="DD1212" t="s">
        <v>135</v>
      </c>
      <c r="DG1212">
        <v>3319971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"05/01/2025 15:07:53.770"</f>
        <v>05/01/2025 15:07:53.770</v>
      </c>
      <c r="C1213" t="str">
        <f t="shared" si="456"/>
        <v>FFDFD3C0</v>
      </c>
      <c r="D1213" t="s">
        <v>136</v>
      </c>
      <c r="E1213" t="str">
        <f>"20"</f>
        <v>20</v>
      </c>
      <c r="H1213">
        <v>400</v>
      </c>
      <c r="I1213" t="s">
        <v>137</v>
      </c>
      <c r="J1213" t="s">
        <v>138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R1213" t="s">
        <v>127</v>
      </c>
      <c r="S1213" t="str">
        <f t="shared" si="478"/>
        <v>15:07:53.000</v>
      </c>
      <c r="T1213" t="str">
        <f t="shared" si="478"/>
        <v>15:07:53.000</v>
      </c>
      <c r="U1213" t="str">
        <f t="shared" si="458"/>
        <v>A68FCB</v>
      </c>
      <c r="V1213">
        <v>0</v>
      </c>
      <c r="W1213">
        <v>0</v>
      </c>
      <c r="X1213">
        <v>2</v>
      </c>
      <c r="Y1213">
        <v>0</v>
      </c>
      <c r="AA1213">
        <v>1</v>
      </c>
      <c r="AB1213">
        <v>8</v>
      </c>
      <c r="AC1213">
        <v>3</v>
      </c>
      <c r="AD1213">
        <v>0</v>
      </c>
      <c r="AE1213">
        <v>9</v>
      </c>
      <c r="AF1213" t="s">
        <v>138</v>
      </c>
      <c r="AG1213">
        <v>0</v>
      </c>
      <c r="AH1213">
        <v>3</v>
      </c>
      <c r="AI1213">
        <v>2</v>
      </c>
      <c r="AJ1213">
        <v>0</v>
      </c>
      <c r="AK1213" t="s">
        <v>470</v>
      </c>
      <c r="AL1213">
        <v>39.000864</v>
      </c>
      <c r="AM1213" t="s">
        <v>471</v>
      </c>
      <c r="AN1213">
        <v>-121.053393</v>
      </c>
      <c r="AO1213">
        <v>25</v>
      </c>
      <c r="AP1213">
        <v>3400</v>
      </c>
      <c r="AQ1213" t="s">
        <v>131</v>
      </c>
      <c r="AR1213">
        <v>-17</v>
      </c>
      <c r="AS1213">
        <v>88</v>
      </c>
      <c r="AT1213">
        <v>704</v>
      </c>
      <c r="BB1213" t="str">
        <f t="shared" si="459"/>
        <v>1200</v>
      </c>
      <c r="BC1213">
        <v>1</v>
      </c>
      <c r="BD1213" t="str">
        <f t="shared" si="460"/>
        <v xml:space="preserve">N52156  </v>
      </c>
      <c r="BE1213">
        <v>1</v>
      </c>
      <c r="BG1213">
        <v>0</v>
      </c>
      <c r="BH1213">
        <v>0</v>
      </c>
      <c r="BI1213">
        <v>0</v>
      </c>
      <c r="BJ1213">
        <v>3400</v>
      </c>
      <c r="BK1213">
        <v>0</v>
      </c>
      <c r="BL1213" t="s">
        <v>188</v>
      </c>
      <c r="BM1213">
        <v>1</v>
      </c>
      <c r="BN1213">
        <v>1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 t="shared" si="479"/>
        <v>15:07:53.545</v>
      </c>
      <c r="CF1213">
        <v>545453543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133</v>
      </c>
      <c r="DA1213">
        <v>275</v>
      </c>
      <c r="DB1213">
        <v>0</v>
      </c>
      <c r="DC1213" t="s">
        <v>134</v>
      </c>
      <c r="DD1213" t="s">
        <v>135</v>
      </c>
      <c r="DG1213">
        <v>3319971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"05/01/2025 15:07:54.923"</f>
        <v>05/01/2025 15:07:54.923</v>
      </c>
      <c r="C1214" t="str">
        <f t="shared" si="456"/>
        <v>FFDFD3C0</v>
      </c>
      <c r="D1214" t="s">
        <v>136</v>
      </c>
      <c r="E1214" t="str">
        <f>"20"</f>
        <v>20</v>
      </c>
      <c r="H1214">
        <v>400</v>
      </c>
      <c r="I1214" t="s">
        <v>137</v>
      </c>
      <c r="J1214" t="s">
        <v>138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R1214" t="s">
        <v>127</v>
      </c>
      <c r="S1214" t="str">
        <f t="shared" ref="S1214:T1219" si="480">"15:07:54.000"</f>
        <v>15:07:54.000</v>
      </c>
      <c r="T1214" t="str">
        <f t="shared" si="480"/>
        <v>15:07:54.000</v>
      </c>
      <c r="U1214" t="str">
        <f t="shared" si="458"/>
        <v>A68FCB</v>
      </c>
      <c r="V1214">
        <v>0</v>
      </c>
      <c r="W1214">
        <v>0</v>
      </c>
      <c r="X1214">
        <v>2</v>
      </c>
      <c r="Y1214">
        <v>0</v>
      </c>
      <c r="AA1214">
        <v>1</v>
      </c>
      <c r="AB1214">
        <v>8</v>
      </c>
      <c r="AC1214">
        <v>3</v>
      </c>
      <c r="AD1214">
        <v>0</v>
      </c>
      <c r="AE1214">
        <v>9</v>
      </c>
      <c r="AF1214" t="s">
        <v>138</v>
      </c>
      <c r="AG1214">
        <v>0</v>
      </c>
      <c r="AH1214">
        <v>3</v>
      </c>
      <c r="AI1214">
        <v>2</v>
      </c>
      <c r="AJ1214">
        <v>0</v>
      </c>
      <c r="AK1214" t="s">
        <v>472</v>
      </c>
      <c r="AL1214">
        <v>39.001292999999997</v>
      </c>
      <c r="AM1214" t="s">
        <v>473</v>
      </c>
      <c r="AN1214">
        <v>-121.0535</v>
      </c>
      <c r="AO1214">
        <v>25</v>
      </c>
      <c r="AP1214">
        <v>3400</v>
      </c>
      <c r="AQ1214" t="s">
        <v>131</v>
      </c>
      <c r="AR1214">
        <v>-17</v>
      </c>
      <c r="AS1214">
        <v>87</v>
      </c>
      <c r="AT1214">
        <v>768</v>
      </c>
      <c r="BB1214" t="str">
        <f t="shared" si="459"/>
        <v>1200</v>
      </c>
      <c r="BC1214">
        <v>1</v>
      </c>
      <c r="BD1214" t="str">
        <f t="shared" si="460"/>
        <v xml:space="preserve">N52156  </v>
      </c>
      <c r="BE1214">
        <v>1</v>
      </c>
      <c r="BG1214">
        <v>0</v>
      </c>
      <c r="BH1214">
        <v>0</v>
      </c>
      <c r="BI1214">
        <v>0</v>
      </c>
      <c r="BJ1214">
        <v>3425</v>
      </c>
      <c r="BK1214">
        <v>25</v>
      </c>
      <c r="BL1214" t="s">
        <v>188</v>
      </c>
      <c r="BM1214">
        <v>1</v>
      </c>
      <c r="BN1214">
        <v>1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 t="shared" ref="CE1214:CE1219" si="481">"15:07:54.711"</f>
        <v>15:07:54.711</v>
      </c>
      <c r="CF1214">
        <v>711453998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133</v>
      </c>
      <c r="DA1214">
        <v>275</v>
      </c>
      <c r="DB1214">
        <v>0</v>
      </c>
      <c r="DC1214" t="s">
        <v>134</v>
      </c>
      <c r="DD1214" t="s">
        <v>135</v>
      </c>
      <c r="DG1214">
        <v>3319980</v>
      </c>
      <c r="DI1214">
        <v>1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"05/01/2025 15:07:54.957"</f>
        <v>05/01/2025 15:07:54.957</v>
      </c>
      <c r="C1215" t="str">
        <f t="shared" si="456"/>
        <v>FFDFD3C0</v>
      </c>
      <c r="D1215" t="s">
        <v>140</v>
      </c>
      <c r="E1215" t="str">
        <f>"13"</f>
        <v>13</v>
      </c>
      <c r="F1215">
        <v>1019</v>
      </c>
      <c r="G1215" t="s">
        <v>141</v>
      </c>
      <c r="J1215" t="s">
        <v>142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R1215" t="s">
        <v>127</v>
      </c>
      <c r="S1215" t="str">
        <f t="shared" si="480"/>
        <v>15:07:54.000</v>
      </c>
      <c r="T1215" t="str">
        <f t="shared" si="480"/>
        <v>15:07:54.000</v>
      </c>
      <c r="U1215" t="str">
        <f t="shared" si="458"/>
        <v>A68FCB</v>
      </c>
      <c r="V1215">
        <v>0</v>
      </c>
      <c r="W1215">
        <v>0</v>
      </c>
      <c r="X1215">
        <v>2</v>
      </c>
      <c r="Y1215">
        <v>0</v>
      </c>
      <c r="AA1215">
        <v>1</v>
      </c>
      <c r="AB1215">
        <v>8</v>
      </c>
      <c r="AC1215">
        <v>3</v>
      </c>
      <c r="AD1215">
        <v>0</v>
      </c>
      <c r="AE1215">
        <v>9</v>
      </c>
      <c r="AF1215" t="s">
        <v>138</v>
      </c>
      <c r="AG1215">
        <v>0</v>
      </c>
      <c r="AH1215">
        <v>3</v>
      </c>
      <c r="AI1215">
        <v>2</v>
      </c>
      <c r="AJ1215">
        <v>0</v>
      </c>
      <c r="AK1215" t="s">
        <v>472</v>
      </c>
      <c r="AL1215">
        <v>39.001292999999997</v>
      </c>
      <c r="AM1215" t="s">
        <v>473</v>
      </c>
      <c r="AN1215">
        <v>-121.0535</v>
      </c>
      <c r="AO1215">
        <v>25</v>
      </c>
      <c r="AP1215">
        <v>3400</v>
      </c>
      <c r="AQ1215" t="s">
        <v>131</v>
      </c>
      <c r="AR1215">
        <v>-17</v>
      </c>
      <c r="AS1215">
        <v>87</v>
      </c>
      <c r="AT1215">
        <v>768</v>
      </c>
      <c r="BB1215" t="str">
        <f t="shared" si="459"/>
        <v>1200</v>
      </c>
      <c r="BC1215">
        <v>1</v>
      </c>
      <c r="BD1215" t="str">
        <f t="shared" si="460"/>
        <v xml:space="preserve">N52156  </v>
      </c>
      <c r="BE1215">
        <v>1</v>
      </c>
      <c r="BG1215">
        <v>0</v>
      </c>
      <c r="BH1215">
        <v>0</v>
      </c>
      <c r="BI1215">
        <v>0</v>
      </c>
      <c r="BJ1215">
        <v>3425</v>
      </c>
      <c r="BK1215">
        <v>25</v>
      </c>
      <c r="BL1215" t="s">
        <v>188</v>
      </c>
      <c r="BM1215">
        <v>1</v>
      </c>
      <c r="BN1215">
        <v>1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 t="shared" si="481"/>
        <v>15:07:54.711</v>
      </c>
      <c r="CF1215">
        <v>711453998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5</v>
      </c>
      <c r="CY1215">
        <v>7</v>
      </c>
      <c r="CZ1215" t="s">
        <v>133</v>
      </c>
      <c r="DA1215">
        <v>275</v>
      </c>
      <c r="DB1215">
        <v>0</v>
      </c>
      <c r="DC1215" t="s">
        <v>134</v>
      </c>
      <c r="DD1215" t="s">
        <v>135</v>
      </c>
      <c r="DG1215">
        <v>3319980</v>
      </c>
      <c r="DI1215">
        <v>1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"05/01/2025 15:07:54.962"</f>
        <v>05/01/2025 15:07:54.962</v>
      </c>
      <c r="C1216" t="str">
        <f t="shared" si="456"/>
        <v>FFDFD3C0</v>
      </c>
      <c r="D1216" t="s">
        <v>145</v>
      </c>
      <c r="E1216" t="str">
        <f>"05"</f>
        <v>05</v>
      </c>
      <c r="H1216">
        <v>47</v>
      </c>
      <c r="I1216" t="s">
        <v>146</v>
      </c>
      <c r="J1216" t="s">
        <v>138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R1216" t="s">
        <v>127</v>
      </c>
      <c r="S1216" t="str">
        <f t="shared" si="480"/>
        <v>15:07:54.000</v>
      </c>
      <c r="T1216" t="str">
        <f t="shared" si="480"/>
        <v>15:07:54.000</v>
      </c>
      <c r="U1216" t="str">
        <f t="shared" si="458"/>
        <v>A68FCB</v>
      </c>
      <c r="V1216">
        <v>0</v>
      </c>
      <c r="W1216">
        <v>0</v>
      </c>
      <c r="X1216">
        <v>2</v>
      </c>
      <c r="Y1216">
        <v>0</v>
      </c>
      <c r="AA1216">
        <v>1</v>
      </c>
      <c r="AB1216">
        <v>8</v>
      </c>
      <c r="AC1216">
        <v>3</v>
      </c>
      <c r="AD1216">
        <v>0</v>
      </c>
      <c r="AE1216">
        <v>9</v>
      </c>
      <c r="AF1216" t="s">
        <v>138</v>
      </c>
      <c r="AG1216">
        <v>0</v>
      </c>
      <c r="AH1216">
        <v>3</v>
      </c>
      <c r="AI1216">
        <v>2</v>
      </c>
      <c r="AJ1216">
        <v>0</v>
      </c>
      <c r="AK1216" t="s">
        <v>472</v>
      </c>
      <c r="AL1216">
        <v>39.001292999999997</v>
      </c>
      <c r="AM1216" t="s">
        <v>473</v>
      </c>
      <c r="AN1216">
        <v>-121.0535</v>
      </c>
      <c r="AO1216">
        <v>25</v>
      </c>
      <c r="AP1216">
        <v>3400</v>
      </c>
      <c r="AQ1216" t="s">
        <v>131</v>
      </c>
      <c r="AR1216">
        <v>-17</v>
      </c>
      <c r="AS1216">
        <v>87</v>
      </c>
      <c r="AT1216">
        <v>768</v>
      </c>
      <c r="BB1216" t="str">
        <f t="shared" si="459"/>
        <v>1200</v>
      </c>
      <c r="BC1216">
        <v>1</v>
      </c>
      <c r="BD1216" t="str">
        <f t="shared" si="460"/>
        <v xml:space="preserve">N52156  </v>
      </c>
      <c r="BE1216">
        <v>1</v>
      </c>
      <c r="BG1216">
        <v>0</v>
      </c>
      <c r="BH1216">
        <v>0</v>
      </c>
      <c r="BI1216">
        <v>0</v>
      </c>
      <c r="BJ1216">
        <v>3425</v>
      </c>
      <c r="BK1216">
        <v>25</v>
      </c>
      <c r="BL1216" t="s">
        <v>188</v>
      </c>
      <c r="BM1216">
        <v>1</v>
      </c>
      <c r="BN1216">
        <v>1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 t="shared" si="481"/>
        <v>15:07:54.711</v>
      </c>
      <c r="CF1216">
        <v>711453998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133</v>
      </c>
      <c r="DA1216">
        <v>275</v>
      </c>
      <c r="DB1216">
        <v>0</v>
      </c>
      <c r="DC1216" t="s">
        <v>134</v>
      </c>
      <c r="DD1216" t="s">
        <v>135</v>
      </c>
      <c r="DG1216">
        <v>3319980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"05/01/2025 15:07:54.964"</f>
        <v>05/01/2025 15:07:54.964</v>
      </c>
      <c r="C1217" t="str">
        <f t="shared" si="456"/>
        <v>FFDFD3C0</v>
      </c>
      <c r="D1217" t="s">
        <v>124</v>
      </c>
      <c r="E1217" t="str">
        <f>"06"</f>
        <v>06</v>
      </c>
      <c r="F1217">
        <v>2006</v>
      </c>
      <c r="G1217" t="s">
        <v>125</v>
      </c>
      <c r="J1217" t="s">
        <v>126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R1217" t="s">
        <v>127</v>
      </c>
      <c r="S1217" t="str">
        <f t="shared" si="480"/>
        <v>15:07:54.000</v>
      </c>
      <c r="T1217" t="str">
        <f t="shared" si="480"/>
        <v>15:07:54.000</v>
      </c>
      <c r="U1217" t="str">
        <f t="shared" si="458"/>
        <v>A68FCB</v>
      </c>
      <c r="V1217">
        <v>0</v>
      </c>
      <c r="W1217">
        <v>0</v>
      </c>
      <c r="X1217">
        <v>2</v>
      </c>
      <c r="Y1217">
        <v>0</v>
      </c>
      <c r="AA1217">
        <v>1</v>
      </c>
      <c r="AB1217">
        <v>8</v>
      </c>
      <c r="AC1217">
        <v>3</v>
      </c>
      <c r="AD1217">
        <v>0</v>
      </c>
      <c r="AE1217">
        <v>9</v>
      </c>
      <c r="AF1217" t="s">
        <v>138</v>
      </c>
      <c r="AG1217">
        <v>0</v>
      </c>
      <c r="AH1217">
        <v>3</v>
      </c>
      <c r="AI1217">
        <v>2</v>
      </c>
      <c r="AJ1217">
        <v>0</v>
      </c>
      <c r="AK1217" t="s">
        <v>472</v>
      </c>
      <c r="AL1217">
        <v>39.001292999999997</v>
      </c>
      <c r="AM1217" t="s">
        <v>473</v>
      </c>
      <c r="AN1217">
        <v>-121.0535</v>
      </c>
      <c r="AO1217">
        <v>25</v>
      </c>
      <c r="AP1217">
        <v>3400</v>
      </c>
      <c r="AQ1217" t="s">
        <v>131</v>
      </c>
      <c r="AR1217">
        <v>-17</v>
      </c>
      <c r="AS1217">
        <v>87</v>
      </c>
      <c r="AT1217">
        <v>768</v>
      </c>
      <c r="BB1217" t="str">
        <f t="shared" si="459"/>
        <v>1200</v>
      </c>
      <c r="BC1217">
        <v>1</v>
      </c>
      <c r="BD1217" t="str">
        <f t="shared" si="460"/>
        <v xml:space="preserve">N52156  </v>
      </c>
      <c r="BE1217">
        <v>1</v>
      </c>
      <c r="BG1217">
        <v>0</v>
      </c>
      <c r="BH1217">
        <v>0</v>
      </c>
      <c r="BI1217">
        <v>0</v>
      </c>
      <c r="BJ1217">
        <v>3425</v>
      </c>
      <c r="BK1217">
        <v>25</v>
      </c>
      <c r="BL1217" t="s">
        <v>188</v>
      </c>
      <c r="BM1217">
        <v>1</v>
      </c>
      <c r="BN1217">
        <v>1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 t="shared" si="481"/>
        <v>15:07:54.711</v>
      </c>
      <c r="CF1217">
        <v>711453998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133</v>
      </c>
      <c r="DA1217">
        <v>275</v>
      </c>
      <c r="DB1217">
        <v>0</v>
      </c>
      <c r="DC1217" t="s">
        <v>134</v>
      </c>
      <c r="DD1217" t="s">
        <v>135</v>
      </c>
      <c r="DG1217">
        <v>3319980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"05/01/2025 15:07:54.965"</f>
        <v>05/01/2025 15:07:54.965</v>
      </c>
      <c r="C1218" t="str">
        <f t="shared" ref="C1218:C1281" si="482">"FFDFD3C0"</f>
        <v>FFDFD3C0</v>
      </c>
      <c r="D1218" t="s">
        <v>145</v>
      </c>
      <c r="E1218" t="str">
        <f>"09"</f>
        <v>09</v>
      </c>
      <c r="H1218">
        <v>51</v>
      </c>
      <c r="I1218" t="s">
        <v>147</v>
      </c>
      <c r="J1218" t="s">
        <v>138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R1218" t="s">
        <v>127</v>
      </c>
      <c r="S1218" t="str">
        <f t="shared" si="480"/>
        <v>15:07:54.000</v>
      </c>
      <c r="T1218" t="str">
        <f t="shared" si="480"/>
        <v>15:07:54.000</v>
      </c>
      <c r="U1218" t="str">
        <f t="shared" ref="U1218:U1281" si="483">"A68FCB"</f>
        <v>A68FCB</v>
      </c>
      <c r="V1218">
        <v>0</v>
      </c>
      <c r="W1218">
        <v>0</v>
      </c>
      <c r="X1218">
        <v>2</v>
      </c>
      <c r="Y1218">
        <v>0</v>
      </c>
      <c r="AA1218">
        <v>1</v>
      </c>
      <c r="AB1218">
        <v>8</v>
      </c>
      <c r="AC1218">
        <v>3</v>
      </c>
      <c r="AD1218">
        <v>0</v>
      </c>
      <c r="AE1218">
        <v>9</v>
      </c>
      <c r="AF1218" t="s">
        <v>138</v>
      </c>
      <c r="AG1218">
        <v>0</v>
      </c>
      <c r="AH1218">
        <v>3</v>
      </c>
      <c r="AI1218">
        <v>2</v>
      </c>
      <c r="AJ1218">
        <v>0</v>
      </c>
      <c r="AK1218" t="s">
        <v>472</v>
      </c>
      <c r="AL1218">
        <v>39.001292999999997</v>
      </c>
      <c r="AM1218" t="s">
        <v>473</v>
      </c>
      <c r="AN1218">
        <v>-121.0535</v>
      </c>
      <c r="AO1218">
        <v>25</v>
      </c>
      <c r="AP1218">
        <v>3400</v>
      </c>
      <c r="AQ1218" t="s">
        <v>131</v>
      </c>
      <c r="AR1218">
        <v>-17</v>
      </c>
      <c r="AS1218">
        <v>87</v>
      </c>
      <c r="AT1218">
        <v>768</v>
      </c>
      <c r="BB1218" t="str">
        <f t="shared" ref="BB1218:BB1281" si="484">"1200"</f>
        <v>1200</v>
      </c>
      <c r="BC1218">
        <v>1</v>
      </c>
      <c r="BD1218" t="str">
        <f t="shared" ref="BD1218:BD1281" si="485">"N52156  "</f>
        <v xml:space="preserve">N52156  </v>
      </c>
      <c r="BE1218">
        <v>1</v>
      </c>
      <c r="BG1218">
        <v>0</v>
      </c>
      <c r="BH1218">
        <v>0</v>
      </c>
      <c r="BI1218">
        <v>0</v>
      </c>
      <c r="BJ1218">
        <v>3425</v>
      </c>
      <c r="BK1218">
        <v>25</v>
      </c>
      <c r="BL1218" t="s">
        <v>188</v>
      </c>
      <c r="BM1218">
        <v>1</v>
      </c>
      <c r="BN1218">
        <v>1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 t="shared" si="481"/>
        <v>15:07:54.711</v>
      </c>
      <c r="CF1218">
        <v>711453998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133</v>
      </c>
      <c r="DA1218">
        <v>275</v>
      </c>
      <c r="DB1218">
        <v>0</v>
      </c>
      <c r="DC1218" t="s">
        <v>134</v>
      </c>
      <c r="DD1218" t="s">
        <v>135</v>
      </c>
      <c r="DG1218">
        <v>3319980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"05/01/2025 15:07:54.966"</f>
        <v>05/01/2025 15:07:54.966</v>
      </c>
      <c r="C1219" t="str">
        <f t="shared" si="482"/>
        <v>FFDFD3C0</v>
      </c>
      <c r="D1219" t="s">
        <v>143</v>
      </c>
      <c r="E1219" t="str">
        <f>"05"</f>
        <v>05</v>
      </c>
      <c r="H1219">
        <v>172</v>
      </c>
      <c r="I1219" t="s">
        <v>141</v>
      </c>
      <c r="J1219" t="s">
        <v>144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R1219" t="s">
        <v>127</v>
      </c>
      <c r="S1219" t="str">
        <f t="shared" si="480"/>
        <v>15:07:54.000</v>
      </c>
      <c r="T1219" t="str">
        <f t="shared" si="480"/>
        <v>15:07:54.000</v>
      </c>
      <c r="U1219" t="str">
        <f t="shared" si="483"/>
        <v>A68FCB</v>
      </c>
      <c r="V1219">
        <v>0</v>
      </c>
      <c r="W1219">
        <v>0</v>
      </c>
      <c r="X1219">
        <v>2</v>
      </c>
      <c r="Y1219">
        <v>0</v>
      </c>
      <c r="AA1219">
        <v>1</v>
      </c>
      <c r="AB1219">
        <v>8</v>
      </c>
      <c r="AC1219">
        <v>3</v>
      </c>
      <c r="AD1219">
        <v>0</v>
      </c>
      <c r="AE1219">
        <v>9</v>
      </c>
      <c r="AF1219" t="s">
        <v>138</v>
      </c>
      <c r="AG1219">
        <v>0</v>
      </c>
      <c r="AH1219">
        <v>3</v>
      </c>
      <c r="AI1219">
        <v>2</v>
      </c>
      <c r="AJ1219">
        <v>0</v>
      </c>
      <c r="AK1219" t="s">
        <v>472</v>
      </c>
      <c r="AL1219">
        <v>39.001292999999997</v>
      </c>
      <c r="AM1219" t="s">
        <v>473</v>
      </c>
      <c r="AN1219">
        <v>-121.0535</v>
      </c>
      <c r="AO1219">
        <v>25</v>
      </c>
      <c r="AP1219">
        <v>3400</v>
      </c>
      <c r="AQ1219" t="s">
        <v>131</v>
      </c>
      <c r="AR1219">
        <v>-17</v>
      </c>
      <c r="AS1219">
        <v>87</v>
      </c>
      <c r="AT1219">
        <v>768</v>
      </c>
      <c r="BB1219" t="str">
        <f t="shared" si="484"/>
        <v>1200</v>
      </c>
      <c r="BC1219">
        <v>1</v>
      </c>
      <c r="BD1219" t="str">
        <f t="shared" si="485"/>
        <v xml:space="preserve">N52156  </v>
      </c>
      <c r="BE1219">
        <v>1</v>
      </c>
      <c r="BG1219">
        <v>0</v>
      </c>
      <c r="BH1219">
        <v>0</v>
      </c>
      <c r="BI1219">
        <v>0</v>
      </c>
      <c r="BJ1219">
        <v>3425</v>
      </c>
      <c r="BK1219">
        <v>25</v>
      </c>
      <c r="BL1219" t="s">
        <v>188</v>
      </c>
      <c r="BM1219">
        <v>1</v>
      </c>
      <c r="BN1219">
        <v>1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 t="shared" si="481"/>
        <v>15:07:54.711</v>
      </c>
      <c r="CF1219">
        <v>711453998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133</v>
      </c>
      <c r="DA1219">
        <v>275</v>
      </c>
      <c r="DB1219">
        <v>0</v>
      </c>
      <c r="DC1219" t="s">
        <v>134</v>
      </c>
      <c r="DD1219" t="s">
        <v>135</v>
      </c>
      <c r="DG1219">
        <v>3319980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"05/01/2025 15:07:56.009"</f>
        <v>05/01/2025 15:07:56.009</v>
      </c>
      <c r="C1220" t="str">
        <f t="shared" si="482"/>
        <v>FFDFD3C0</v>
      </c>
      <c r="D1220" t="s">
        <v>140</v>
      </c>
      <c r="E1220" t="str">
        <f>"13"</f>
        <v>13</v>
      </c>
      <c r="F1220">
        <v>1019</v>
      </c>
      <c r="G1220" t="s">
        <v>141</v>
      </c>
      <c r="J1220" t="s">
        <v>142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R1220" t="s">
        <v>127</v>
      </c>
      <c r="S1220" t="str">
        <f t="shared" ref="S1220:T1225" si="486">"15:07:55.000"</f>
        <v>15:07:55.000</v>
      </c>
      <c r="T1220" t="str">
        <f t="shared" si="486"/>
        <v>15:07:55.000</v>
      </c>
      <c r="U1220" t="str">
        <f t="shared" si="483"/>
        <v>A68FCB</v>
      </c>
      <c r="V1220">
        <v>0</v>
      </c>
      <c r="W1220">
        <v>0</v>
      </c>
      <c r="X1220">
        <v>2</v>
      </c>
      <c r="Y1220">
        <v>0</v>
      </c>
      <c r="AA1220">
        <v>1</v>
      </c>
      <c r="AB1220">
        <v>8</v>
      </c>
      <c r="AC1220">
        <v>3</v>
      </c>
      <c r="AD1220">
        <v>0</v>
      </c>
      <c r="AE1220">
        <v>9</v>
      </c>
      <c r="AF1220" t="s">
        <v>138</v>
      </c>
      <c r="AG1220">
        <v>0</v>
      </c>
      <c r="AH1220">
        <v>3</v>
      </c>
      <c r="AI1220">
        <v>2</v>
      </c>
      <c r="AJ1220">
        <v>0</v>
      </c>
      <c r="AK1220" t="s">
        <v>474</v>
      </c>
      <c r="AL1220">
        <v>39.001700999999997</v>
      </c>
      <c r="AM1220" t="s">
        <v>475</v>
      </c>
      <c r="AN1220">
        <v>-121.053607</v>
      </c>
      <c r="AO1220">
        <v>25</v>
      </c>
      <c r="AP1220">
        <v>3500</v>
      </c>
      <c r="AQ1220" t="s">
        <v>131</v>
      </c>
      <c r="AR1220">
        <v>-16</v>
      </c>
      <c r="AS1220">
        <v>86</v>
      </c>
      <c r="AT1220">
        <v>832</v>
      </c>
      <c r="BB1220" t="str">
        <f t="shared" si="484"/>
        <v>1200</v>
      </c>
      <c r="BC1220">
        <v>1</v>
      </c>
      <c r="BD1220" t="str">
        <f t="shared" si="485"/>
        <v xml:space="preserve">N52156  </v>
      </c>
      <c r="BE1220">
        <v>1</v>
      </c>
      <c r="BG1220">
        <v>0</v>
      </c>
      <c r="BH1220">
        <v>0</v>
      </c>
      <c r="BI1220">
        <v>0</v>
      </c>
      <c r="BJ1220">
        <v>3425</v>
      </c>
      <c r="BK1220">
        <v>-75</v>
      </c>
      <c r="BL1220" t="s">
        <v>188</v>
      </c>
      <c r="BM1220">
        <v>1</v>
      </c>
      <c r="BN1220">
        <v>1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 t="shared" ref="CE1220:CE1225" si="487">"15:07:55.807"</f>
        <v>15:07:55.807</v>
      </c>
      <c r="CF1220">
        <v>806704208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4</v>
      </c>
      <c r="CY1220">
        <v>7</v>
      </c>
      <c r="CZ1220" t="s">
        <v>133</v>
      </c>
      <c r="DA1220">
        <v>275</v>
      </c>
      <c r="DB1220">
        <v>0</v>
      </c>
      <c r="DC1220" t="s">
        <v>134</v>
      </c>
      <c r="DD1220" t="s">
        <v>135</v>
      </c>
      <c r="DG1220">
        <v>3319990</v>
      </c>
      <c r="DI1220">
        <v>1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"05/01/2025 15:07:56.013"</f>
        <v>05/01/2025 15:07:56.013</v>
      </c>
      <c r="C1221" t="str">
        <f t="shared" si="482"/>
        <v>FFDFD3C0</v>
      </c>
      <c r="D1221" t="s">
        <v>145</v>
      </c>
      <c r="E1221" t="str">
        <f>"05"</f>
        <v>05</v>
      </c>
      <c r="H1221">
        <v>47</v>
      </c>
      <c r="I1221" t="s">
        <v>146</v>
      </c>
      <c r="J1221" t="s">
        <v>138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R1221" t="s">
        <v>127</v>
      </c>
      <c r="S1221" t="str">
        <f t="shared" si="486"/>
        <v>15:07:55.000</v>
      </c>
      <c r="T1221" t="str">
        <f t="shared" si="486"/>
        <v>15:07:55.000</v>
      </c>
      <c r="U1221" t="str">
        <f t="shared" si="483"/>
        <v>A68FCB</v>
      </c>
      <c r="V1221">
        <v>0</v>
      </c>
      <c r="W1221">
        <v>0</v>
      </c>
      <c r="X1221">
        <v>2</v>
      </c>
      <c r="Y1221">
        <v>0</v>
      </c>
      <c r="AA1221">
        <v>1</v>
      </c>
      <c r="AB1221">
        <v>8</v>
      </c>
      <c r="AC1221">
        <v>3</v>
      </c>
      <c r="AD1221">
        <v>0</v>
      </c>
      <c r="AE1221">
        <v>9</v>
      </c>
      <c r="AF1221" t="s">
        <v>138</v>
      </c>
      <c r="AG1221">
        <v>0</v>
      </c>
      <c r="AH1221">
        <v>3</v>
      </c>
      <c r="AI1221">
        <v>2</v>
      </c>
      <c r="AJ1221">
        <v>0</v>
      </c>
      <c r="AK1221" t="s">
        <v>474</v>
      </c>
      <c r="AL1221">
        <v>39.001700999999997</v>
      </c>
      <c r="AM1221" t="s">
        <v>475</v>
      </c>
      <c r="AN1221">
        <v>-121.053607</v>
      </c>
      <c r="AO1221">
        <v>25</v>
      </c>
      <c r="AP1221">
        <v>3500</v>
      </c>
      <c r="AQ1221" t="s">
        <v>131</v>
      </c>
      <c r="AR1221">
        <v>-16</v>
      </c>
      <c r="AS1221">
        <v>86</v>
      </c>
      <c r="AT1221">
        <v>832</v>
      </c>
      <c r="BB1221" t="str">
        <f t="shared" si="484"/>
        <v>1200</v>
      </c>
      <c r="BC1221">
        <v>1</v>
      </c>
      <c r="BD1221" t="str">
        <f t="shared" si="485"/>
        <v xml:space="preserve">N52156  </v>
      </c>
      <c r="BE1221">
        <v>1</v>
      </c>
      <c r="BG1221">
        <v>0</v>
      </c>
      <c r="BH1221">
        <v>0</v>
      </c>
      <c r="BI1221">
        <v>0</v>
      </c>
      <c r="BJ1221">
        <v>3425</v>
      </c>
      <c r="BK1221">
        <v>-75</v>
      </c>
      <c r="BL1221" t="s">
        <v>188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 t="shared" si="487"/>
        <v>15:07:55.807</v>
      </c>
      <c r="CF1221">
        <v>806704208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4</v>
      </c>
      <c r="CY1221">
        <v>7</v>
      </c>
      <c r="CZ1221" t="s">
        <v>133</v>
      </c>
      <c r="DA1221">
        <v>275</v>
      </c>
      <c r="DB1221">
        <v>0</v>
      </c>
      <c r="DC1221" t="s">
        <v>134</v>
      </c>
      <c r="DD1221" t="s">
        <v>135</v>
      </c>
      <c r="DG1221">
        <v>3319990</v>
      </c>
      <c r="DI1221">
        <v>1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"05/01/2025 15:07:56.015"</f>
        <v>05/01/2025 15:07:56.015</v>
      </c>
      <c r="C1222" t="str">
        <f t="shared" si="482"/>
        <v>FFDFD3C0</v>
      </c>
      <c r="D1222" t="s">
        <v>124</v>
      </c>
      <c r="E1222" t="str">
        <f>"06"</f>
        <v>06</v>
      </c>
      <c r="F1222">
        <v>2006</v>
      </c>
      <c r="G1222" t="s">
        <v>125</v>
      </c>
      <c r="J1222" t="s">
        <v>126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R1222" t="s">
        <v>127</v>
      </c>
      <c r="S1222" t="str">
        <f t="shared" si="486"/>
        <v>15:07:55.000</v>
      </c>
      <c r="T1222" t="str">
        <f t="shared" si="486"/>
        <v>15:07:55.000</v>
      </c>
      <c r="U1222" t="str">
        <f t="shared" si="483"/>
        <v>A68FCB</v>
      </c>
      <c r="V1222">
        <v>0</v>
      </c>
      <c r="W1222">
        <v>0</v>
      </c>
      <c r="X1222">
        <v>2</v>
      </c>
      <c r="Y1222">
        <v>0</v>
      </c>
      <c r="AA1222">
        <v>1</v>
      </c>
      <c r="AB1222">
        <v>8</v>
      </c>
      <c r="AC1222">
        <v>3</v>
      </c>
      <c r="AD1222">
        <v>0</v>
      </c>
      <c r="AE1222">
        <v>9</v>
      </c>
      <c r="AF1222" t="s">
        <v>138</v>
      </c>
      <c r="AG1222">
        <v>0</v>
      </c>
      <c r="AH1222">
        <v>3</v>
      </c>
      <c r="AI1222">
        <v>2</v>
      </c>
      <c r="AJ1222">
        <v>0</v>
      </c>
      <c r="AK1222" t="s">
        <v>474</v>
      </c>
      <c r="AL1222">
        <v>39.001700999999997</v>
      </c>
      <c r="AM1222" t="s">
        <v>475</v>
      </c>
      <c r="AN1222">
        <v>-121.053607</v>
      </c>
      <c r="AO1222">
        <v>25</v>
      </c>
      <c r="AP1222">
        <v>3500</v>
      </c>
      <c r="AQ1222" t="s">
        <v>131</v>
      </c>
      <c r="AR1222">
        <v>-16</v>
      </c>
      <c r="AS1222">
        <v>86</v>
      </c>
      <c r="AT1222">
        <v>832</v>
      </c>
      <c r="BB1222" t="str">
        <f t="shared" si="484"/>
        <v>1200</v>
      </c>
      <c r="BC1222">
        <v>1</v>
      </c>
      <c r="BD1222" t="str">
        <f t="shared" si="485"/>
        <v xml:space="preserve">N52156  </v>
      </c>
      <c r="BE1222">
        <v>1</v>
      </c>
      <c r="BG1222">
        <v>0</v>
      </c>
      <c r="BH1222">
        <v>0</v>
      </c>
      <c r="BI1222">
        <v>0</v>
      </c>
      <c r="BJ1222">
        <v>3425</v>
      </c>
      <c r="BK1222">
        <v>-75</v>
      </c>
      <c r="BL1222" t="s">
        <v>188</v>
      </c>
      <c r="BM1222">
        <v>1</v>
      </c>
      <c r="BN1222">
        <v>1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 t="shared" si="487"/>
        <v>15:07:55.807</v>
      </c>
      <c r="CF1222">
        <v>806704208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4</v>
      </c>
      <c r="CY1222">
        <v>7</v>
      </c>
      <c r="CZ1222" t="s">
        <v>133</v>
      </c>
      <c r="DA1222">
        <v>275</v>
      </c>
      <c r="DB1222">
        <v>0</v>
      </c>
      <c r="DC1222" t="s">
        <v>134</v>
      </c>
      <c r="DD1222" t="s">
        <v>135</v>
      </c>
      <c r="DG1222">
        <v>3319990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"05/01/2025 15:07:56.016"</f>
        <v>05/01/2025 15:07:56.016</v>
      </c>
      <c r="C1223" t="str">
        <f t="shared" si="482"/>
        <v>FFDFD3C0</v>
      </c>
      <c r="D1223" t="s">
        <v>145</v>
      </c>
      <c r="E1223" t="str">
        <f>"09"</f>
        <v>09</v>
      </c>
      <c r="H1223">
        <v>51</v>
      </c>
      <c r="I1223" t="s">
        <v>147</v>
      </c>
      <c r="J1223" t="s">
        <v>138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R1223" t="s">
        <v>127</v>
      </c>
      <c r="S1223" t="str">
        <f t="shared" si="486"/>
        <v>15:07:55.000</v>
      </c>
      <c r="T1223" t="str">
        <f t="shared" si="486"/>
        <v>15:07:55.000</v>
      </c>
      <c r="U1223" t="str">
        <f t="shared" si="483"/>
        <v>A68FCB</v>
      </c>
      <c r="V1223">
        <v>0</v>
      </c>
      <c r="W1223">
        <v>0</v>
      </c>
      <c r="X1223">
        <v>2</v>
      </c>
      <c r="Y1223">
        <v>0</v>
      </c>
      <c r="AA1223">
        <v>1</v>
      </c>
      <c r="AB1223">
        <v>8</v>
      </c>
      <c r="AC1223">
        <v>3</v>
      </c>
      <c r="AD1223">
        <v>0</v>
      </c>
      <c r="AE1223">
        <v>9</v>
      </c>
      <c r="AF1223" t="s">
        <v>138</v>
      </c>
      <c r="AG1223">
        <v>0</v>
      </c>
      <c r="AH1223">
        <v>3</v>
      </c>
      <c r="AI1223">
        <v>2</v>
      </c>
      <c r="AJ1223">
        <v>0</v>
      </c>
      <c r="AK1223" t="s">
        <v>474</v>
      </c>
      <c r="AL1223">
        <v>39.001700999999997</v>
      </c>
      <c r="AM1223" t="s">
        <v>475</v>
      </c>
      <c r="AN1223">
        <v>-121.053607</v>
      </c>
      <c r="AO1223">
        <v>25</v>
      </c>
      <c r="AP1223">
        <v>3500</v>
      </c>
      <c r="AQ1223" t="s">
        <v>131</v>
      </c>
      <c r="AR1223">
        <v>-16</v>
      </c>
      <c r="AS1223">
        <v>86</v>
      </c>
      <c r="AT1223">
        <v>832</v>
      </c>
      <c r="BB1223" t="str">
        <f t="shared" si="484"/>
        <v>1200</v>
      </c>
      <c r="BC1223">
        <v>1</v>
      </c>
      <c r="BD1223" t="str">
        <f t="shared" si="485"/>
        <v xml:space="preserve">N52156  </v>
      </c>
      <c r="BE1223">
        <v>1</v>
      </c>
      <c r="BG1223">
        <v>0</v>
      </c>
      <c r="BH1223">
        <v>0</v>
      </c>
      <c r="BI1223">
        <v>0</v>
      </c>
      <c r="BJ1223">
        <v>3425</v>
      </c>
      <c r="BK1223">
        <v>-75</v>
      </c>
      <c r="BL1223" t="s">
        <v>188</v>
      </c>
      <c r="BM1223">
        <v>1</v>
      </c>
      <c r="BN1223">
        <v>1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 t="shared" si="487"/>
        <v>15:07:55.807</v>
      </c>
      <c r="CF1223">
        <v>806704208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4</v>
      </c>
      <c r="CY1223">
        <v>7</v>
      </c>
      <c r="CZ1223" t="s">
        <v>133</v>
      </c>
      <c r="DA1223">
        <v>275</v>
      </c>
      <c r="DB1223">
        <v>0</v>
      </c>
      <c r="DC1223" t="s">
        <v>134</v>
      </c>
      <c r="DD1223" t="s">
        <v>135</v>
      </c>
      <c r="DG1223">
        <v>3319990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"05/01/2025 15:07:56.018"</f>
        <v>05/01/2025 15:07:56.018</v>
      </c>
      <c r="C1224" t="str">
        <f t="shared" si="482"/>
        <v>FFDFD3C0</v>
      </c>
      <c r="D1224" t="s">
        <v>143</v>
      </c>
      <c r="E1224" t="str">
        <f>"05"</f>
        <v>05</v>
      </c>
      <c r="H1224">
        <v>172</v>
      </c>
      <c r="I1224" t="s">
        <v>141</v>
      </c>
      <c r="J1224" t="s">
        <v>144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R1224" t="s">
        <v>127</v>
      </c>
      <c r="S1224" t="str">
        <f t="shared" si="486"/>
        <v>15:07:55.000</v>
      </c>
      <c r="T1224" t="str">
        <f t="shared" si="486"/>
        <v>15:07:55.000</v>
      </c>
      <c r="U1224" t="str">
        <f t="shared" si="483"/>
        <v>A68FCB</v>
      </c>
      <c r="V1224">
        <v>0</v>
      </c>
      <c r="W1224">
        <v>0</v>
      </c>
      <c r="X1224">
        <v>2</v>
      </c>
      <c r="Y1224">
        <v>0</v>
      </c>
      <c r="AA1224">
        <v>1</v>
      </c>
      <c r="AB1224">
        <v>8</v>
      </c>
      <c r="AC1224">
        <v>3</v>
      </c>
      <c r="AD1224">
        <v>0</v>
      </c>
      <c r="AE1224">
        <v>9</v>
      </c>
      <c r="AF1224" t="s">
        <v>138</v>
      </c>
      <c r="AG1224">
        <v>0</v>
      </c>
      <c r="AH1224">
        <v>3</v>
      </c>
      <c r="AI1224">
        <v>2</v>
      </c>
      <c r="AJ1224">
        <v>0</v>
      </c>
      <c r="AK1224" t="s">
        <v>474</v>
      </c>
      <c r="AL1224">
        <v>39.001700999999997</v>
      </c>
      <c r="AM1224" t="s">
        <v>475</v>
      </c>
      <c r="AN1224">
        <v>-121.053607</v>
      </c>
      <c r="AO1224">
        <v>25</v>
      </c>
      <c r="AP1224">
        <v>3500</v>
      </c>
      <c r="AQ1224" t="s">
        <v>131</v>
      </c>
      <c r="AR1224">
        <v>-16</v>
      </c>
      <c r="AS1224">
        <v>86</v>
      </c>
      <c r="AT1224">
        <v>832</v>
      </c>
      <c r="BB1224" t="str">
        <f t="shared" si="484"/>
        <v>1200</v>
      </c>
      <c r="BC1224">
        <v>1</v>
      </c>
      <c r="BD1224" t="str">
        <f t="shared" si="485"/>
        <v xml:space="preserve">N52156  </v>
      </c>
      <c r="BE1224">
        <v>1</v>
      </c>
      <c r="BG1224">
        <v>0</v>
      </c>
      <c r="BH1224">
        <v>0</v>
      </c>
      <c r="BI1224">
        <v>0</v>
      </c>
      <c r="BJ1224">
        <v>3425</v>
      </c>
      <c r="BK1224">
        <v>-75</v>
      </c>
      <c r="BL1224" t="s">
        <v>188</v>
      </c>
      <c r="BM1224">
        <v>1</v>
      </c>
      <c r="BN1224">
        <v>1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 t="shared" si="487"/>
        <v>15:07:55.807</v>
      </c>
      <c r="CF1224">
        <v>806704208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4</v>
      </c>
      <c r="CY1224">
        <v>7</v>
      </c>
      <c r="CZ1224" t="s">
        <v>133</v>
      </c>
      <c r="DA1224">
        <v>275</v>
      </c>
      <c r="DB1224">
        <v>0</v>
      </c>
      <c r="DC1224" t="s">
        <v>134</v>
      </c>
      <c r="DD1224" t="s">
        <v>135</v>
      </c>
      <c r="DG1224">
        <v>3319990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"05/01/2025 15:07:56.024"</f>
        <v>05/01/2025 15:07:56.024</v>
      </c>
      <c r="C1225" t="str">
        <f t="shared" si="482"/>
        <v>FFDFD3C0</v>
      </c>
      <c r="D1225" t="s">
        <v>136</v>
      </c>
      <c r="E1225" t="str">
        <f>"20"</f>
        <v>20</v>
      </c>
      <c r="H1225">
        <v>400</v>
      </c>
      <c r="I1225" t="s">
        <v>137</v>
      </c>
      <c r="J1225" t="s">
        <v>138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R1225" t="s">
        <v>127</v>
      </c>
      <c r="S1225" t="str">
        <f t="shared" si="486"/>
        <v>15:07:55.000</v>
      </c>
      <c r="T1225" t="str">
        <f t="shared" si="486"/>
        <v>15:07:55.000</v>
      </c>
      <c r="U1225" t="str">
        <f t="shared" si="483"/>
        <v>A68FCB</v>
      </c>
      <c r="V1225">
        <v>0</v>
      </c>
      <c r="W1225">
        <v>0</v>
      </c>
      <c r="X1225">
        <v>2</v>
      </c>
      <c r="Y1225">
        <v>0</v>
      </c>
      <c r="AA1225">
        <v>1</v>
      </c>
      <c r="AB1225">
        <v>8</v>
      </c>
      <c r="AC1225">
        <v>3</v>
      </c>
      <c r="AD1225">
        <v>0</v>
      </c>
      <c r="AE1225">
        <v>9</v>
      </c>
      <c r="AF1225" t="s">
        <v>138</v>
      </c>
      <c r="AG1225">
        <v>0</v>
      </c>
      <c r="AH1225">
        <v>3</v>
      </c>
      <c r="AI1225">
        <v>2</v>
      </c>
      <c r="AJ1225">
        <v>0</v>
      </c>
      <c r="AK1225" t="s">
        <v>474</v>
      </c>
      <c r="AL1225">
        <v>39.001700999999997</v>
      </c>
      <c r="AM1225" t="s">
        <v>475</v>
      </c>
      <c r="AN1225">
        <v>-121.053607</v>
      </c>
      <c r="AO1225">
        <v>25</v>
      </c>
      <c r="AP1225">
        <v>3500</v>
      </c>
      <c r="AQ1225" t="s">
        <v>131</v>
      </c>
      <c r="AR1225">
        <v>-16</v>
      </c>
      <c r="AS1225">
        <v>86</v>
      </c>
      <c r="AT1225">
        <v>832</v>
      </c>
      <c r="BB1225" t="str">
        <f t="shared" si="484"/>
        <v>1200</v>
      </c>
      <c r="BC1225">
        <v>1</v>
      </c>
      <c r="BD1225" t="str">
        <f t="shared" si="485"/>
        <v xml:space="preserve">N52156  </v>
      </c>
      <c r="BE1225">
        <v>1</v>
      </c>
      <c r="BG1225">
        <v>0</v>
      </c>
      <c r="BH1225">
        <v>0</v>
      </c>
      <c r="BI1225">
        <v>0</v>
      </c>
      <c r="BJ1225">
        <v>3425</v>
      </c>
      <c r="BK1225">
        <v>-75</v>
      </c>
      <c r="BL1225" t="s">
        <v>188</v>
      </c>
      <c r="BM1225">
        <v>1</v>
      </c>
      <c r="BN1225">
        <v>1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 t="shared" si="487"/>
        <v>15:07:55.807</v>
      </c>
      <c r="CF1225">
        <v>806704208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4</v>
      </c>
      <c r="CY1225">
        <v>7</v>
      </c>
      <c r="CZ1225" t="s">
        <v>133</v>
      </c>
      <c r="DA1225">
        <v>275</v>
      </c>
      <c r="DB1225">
        <v>0</v>
      </c>
      <c r="DC1225" t="s">
        <v>134</v>
      </c>
      <c r="DD1225" t="s">
        <v>135</v>
      </c>
      <c r="DG1225">
        <v>3319990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"05/01/2025 15:07:56.610"</f>
        <v>05/01/2025 15:07:56.610</v>
      </c>
      <c r="C1226" t="str">
        <f t="shared" si="482"/>
        <v>FFDFD3C0</v>
      </c>
      <c r="D1226" t="s">
        <v>140</v>
      </c>
      <c r="E1226" t="str">
        <f>"13"</f>
        <v>13</v>
      </c>
      <c r="F1226">
        <v>1019</v>
      </c>
      <c r="G1226" t="s">
        <v>141</v>
      </c>
      <c r="J1226" t="s">
        <v>142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R1226" t="s">
        <v>127</v>
      </c>
      <c r="S1226" t="str">
        <f t="shared" ref="S1226:T1231" si="488">"15:07:56.000"</f>
        <v>15:07:56.000</v>
      </c>
      <c r="T1226" t="str">
        <f t="shared" si="488"/>
        <v>15:07:56.000</v>
      </c>
      <c r="U1226" t="str">
        <f t="shared" si="483"/>
        <v>A68FCB</v>
      </c>
      <c r="V1226">
        <v>0</v>
      </c>
      <c r="W1226">
        <v>0</v>
      </c>
      <c r="X1226">
        <v>2</v>
      </c>
      <c r="Y1226">
        <v>0</v>
      </c>
      <c r="AA1226">
        <v>1</v>
      </c>
      <c r="AB1226">
        <v>8</v>
      </c>
      <c r="AC1226">
        <v>3</v>
      </c>
      <c r="AD1226">
        <v>0</v>
      </c>
      <c r="AE1226">
        <v>9</v>
      </c>
      <c r="AF1226" t="s">
        <v>138</v>
      </c>
      <c r="AG1226">
        <v>0</v>
      </c>
      <c r="AH1226">
        <v>3</v>
      </c>
      <c r="AI1226">
        <v>2</v>
      </c>
      <c r="AJ1226">
        <v>0</v>
      </c>
      <c r="AK1226" t="s">
        <v>476</v>
      </c>
      <c r="AL1226">
        <v>39.002087000000003</v>
      </c>
      <c r="AM1226" t="s">
        <v>477</v>
      </c>
      <c r="AN1226">
        <v>-121.053715</v>
      </c>
      <c r="AO1226">
        <v>25</v>
      </c>
      <c r="AP1226">
        <v>3500</v>
      </c>
      <c r="AQ1226" t="s">
        <v>131</v>
      </c>
      <c r="AR1226">
        <v>-16</v>
      </c>
      <c r="AS1226">
        <v>86</v>
      </c>
      <c r="AT1226">
        <v>832</v>
      </c>
      <c r="BB1226" t="str">
        <f t="shared" si="484"/>
        <v>1200</v>
      </c>
      <c r="BC1226">
        <v>1</v>
      </c>
      <c r="BD1226" t="str">
        <f t="shared" si="485"/>
        <v xml:space="preserve">N52156  </v>
      </c>
      <c r="BE1226">
        <v>1</v>
      </c>
      <c r="BG1226">
        <v>0</v>
      </c>
      <c r="BH1226">
        <v>0</v>
      </c>
      <c r="BI1226">
        <v>0</v>
      </c>
      <c r="BJ1226">
        <v>3450</v>
      </c>
      <c r="BK1226">
        <v>-50</v>
      </c>
      <c r="BL1226" t="s">
        <v>188</v>
      </c>
      <c r="BM1226">
        <v>1</v>
      </c>
      <c r="BN1226">
        <v>1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 t="shared" ref="CE1226:CE1231" si="489">"15:07:56.382"</f>
        <v>15:07:56.382</v>
      </c>
      <c r="CF1226">
        <v>381953175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133</v>
      </c>
      <c r="DA1226">
        <v>275</v>
      </c>
      <c r="DB1226">
        <v>0</v>
      </c>
      <c r="DC1226" t="s">
        <v>134</v>
      </c>
      <c r="DD1226" t="s">
        <v>135</v>
      </c>
      <c r="DG1226">
        <v>3319997</v>
      </c>
      <c r="DI1226">
        <v>1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"05/01/2025 15:07:56.614"</f>
        <v>05/01/2025 15:07:56.614</v>
      </c>
      <c r="C1227" t="str">
        <f t="shared" si="482"/>
        <v>FFDFD3C0</v>
      </c>
      <c r="D1227" t="s">
        <v>145</v>
      </c>
      <c r="E1227" t="str">
        <f>"05"</f>
        <v>05</v>
      </c>
      <c r="H1227">
        <v>47</v>
      </c>
      <c r="I1227" t="s">
        <v>146</v>
      </c>
      <c r="J1227" t="s">
        <v>138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R1227" t="s">
        <v>127</v>
      </c>
      <c r="S1227" t="str">
        <f t="shared" si="488"/>
        <v>15:07:56.000</v>
      </c>
      <c r="T1227" t="str">
        <f t="shared" si="488"/>
        <v>15:07:56.000</v>
      </c>
      <c r="U1227" t="str">
        <f t="shared" si="483"/>
        <v>A68FCB</v>
      </c>
      <c r="V1227">
        <v>0</v>
      </c>
      <c r="W1227">
        <v>0</v>
      </c>
      <c r="X1227">
        <v>2</v>
      </c>
      <c r="Y1227">
        <v>0</v>
      </c>
      <c r="AA1227">
        <v>1</v>
      </c>
      <c r="AB1227">
        <v>8</v>
      </c>
      <c r="AC1227">
        <v>3</v>
      </c>
      <c r="AD1227">
        <v>0</v>
      </c>
      <c r="AE1227">
        <v>9</v>
      </c>
      <c r="AF1227" t="s">
        <v>138</v>
      </c>
      <c r="AG1227">
        <v>0</v>
      </c>
      <c r="AH1227">
        <v>3</v>
      </c>
      <c r="AI1227">
        <v>2</v>
      </c>
      <c r="AJ1227">
        <v>0</v>
      </c>
      <c r="AK1227" t="s">
        <v>476</v>
      </c>
      <c r="AL1227">
        <v>39.002087000000003</v>
      </c>
      <c r="AM1227" t="s">
        <v>477</v>
      </c>
      <c r="AN1227">
        <v>-121.053715</v>
      </c>
      <c r="AO1227">
        <v>25</v>
      </c>
      <c r="AP1227">
        <v>3500</v>
      </c>
      <c r="AQ1227" t="s">
        <v>131</v>
      </c>
      <c r="AR1227">
        <v>-16</v>
      </c>
      <c r="AS1227">
        <v>86</v>
      </c>
      <c r="AT1227">
        <v>832</v>
      </c>
      <c r="BB1227" t="str">
        <f t="shared" si="484"/>
        <v>1200</v>
      </c>
      <c r="BC1227">
        <v>1</v>
      </c>
      <c r="BD1227" t="str">
        <f t="shared" si="485"/>
        <v xml:space="preserve">N52156  </v>
      </c>
      <c r="BE1227">
        <v>1</v>
      </c>
      <c r="BG1227">
        <v>0</v>
      </c>
      <c r="BH1227">
        <v>0</v>
      </c>
      <c r="BI1227">
        <v>0</v>
      </c>
      <c r="BJ1227">
        <v>3450</v>
      </c>
      <c r="BK1227">
        <v>-50</v>
      </c>
      <c r="BL1227" t="s">
        <v>188</v>
      </c>
      <c r="BM1227">
        <v>1</v>
      </c>
      <c r="BN1227">
        <v>1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 t="shared" si="489"/>
        <v>15:07:56.382</v>
      </c>
      <c r="CF1227">
        <v>381953175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133</v>
      </c>
      <c r="DA1227">
        <v>275</v>
      </c>
      <c r="DB1227">
        <v>0</v>
      </c>
      <c r="DC1227" t="s">
        <v>134</v>
      </c>
      <c r="DD1227" t="s">
        <v>135</v>
      </c>
      <c r="DG1227">
        <v>3319997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"05/01/2025 15:07:56.616"</f>
        <v>05/01/2025 15:07:56.616</v>
      </c>
      <c r="C1228" t="str">
        <f t="shared" si="482"/>
        <v>FFDFD3C0</v>
      </c>
      <c r="D1228" t="s">
        <v>124</v>
      </c>
      <c r="E1228" t="str">
        <f>"06"</f>
        <v>06</v>
      </c>
      <c r="F1228">
        <v>2006</v>
      </c>
      <c r="G1228" t="s">
        <v>125</v>
      </c>
      <c r="J1228" t="s">
        <v>126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R1228" t="s">
        <v>127</v>
      </c>
      <c r="S1228" t="str">
        <f t="shared" si="488"/>
        <v>15:07:56.000</v>
      </c>
      <c r="T1228" t="str">
        <f t="shared" si="488"/>
        <v>15:07:56.000</v>
      </c>
      <c r="U1228" t="str">
        <f t="shared" si="483"/>
        <v>A68FCB</v>
      </c>
      <c r="V1228">
        <v>0</v>
      </c>
      <c r="W1228">
        <v>0</v>
      </c>
      <c r="X1228">
        <v>2</v>
      </c>
      <c r="Y1228">
        <v>0</v>
      </c>
      <c r="AA1228">
        <v>1</v>
      </c>
      <c r="AB1228">
        <v>8</v>
      </c>
      <c r="AC1228">
        <v>3</v>
      </c>
      <c r="AD1228">
        <v>0</v>
      </c>
      <c r="AE1228">
        <v>9</v>
      </c>
      <c r="AF1228" t="s">
        <v>138</v>
      </c>
      <c r="AG1228">
        <v>0</v>
      </c>
      <c r="AH1228">
        <v>3</v>
      </c>
      <c r="AI1228">
        <v>2</v>
      </c>
      <c r="AJ1228">
        <v>0</v>
      </c>
      <c r="AK1228" t="s">
        <v>476</v>
      </c>
      <c r="AL1228">
        <v>39.002087000000003</v>
      </c>
      <c r="AM1228" t="s">
        <v>477</v>
      </c>
      <c r="AN1228">
        <v>-121.053715</v>
      </c>
      <c r="AO1228">
        <v>25</v>
      </c>
      <c r="AP1228">
        <v>3500</v>
      </c>
      <c r="AQ1228" t="s">
        <v>131</v>
      </c>
      <c r="AR1228">
        <v>-16</v>
      </c>
      <c r="AS1228">
        <v>86</v>
      </c>
      <c r="AT1228">
        <v>832</v>
      </c>
      <c r="BB1228" t="str">
        <f t="shared" si="484"/>
        <v>1200</v>
      </c>
      <c r="BC1228">
        <v>1</v>
      </c>
      <c r="BD1228" t="str">
        <f t="shared" si="485"/>
        <v xml:space="preserve">N52156  </v>
      </c>
      <c r="BE1228">
        <v>1</v>
      </c>
      <c r="BG1228">
        <v>0</v>
      </c>
      <c r="BH1228">
        <v>0</v>
      </c>
      <c r="BI1228">
        <v>0</v>
      </c>
      <c r="BJ1228">
        <v>3450</v>
      </c>
      <c r="BK1228">
        <v>-50</v>
      </c>
      <c r="BL1228" t="s">
        <v>188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 t="shared" si="489"/>
        <v>15:07:56.382</v>
      </c>
      <c r="CF1228">
        <v>381953175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133</v>
      </c>
      <c r="DA1228">
        <v>275</v>
      </c>
      <c r="DB1228">
        <v>0</v>
      </c>
      <c r="DC1228" t="s">
        <v>134</v>
      </c>
      <c r="DD1228" t="s">
        <v>135</v>
      </c>
      <c r="DG1228">
        <v>3319997</v>
      </c>
      <c r="DI1228">
        <v>1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"05/01/2025 15:07:56.619"</f>
        <v>05/01/2025 15:07:56.619</v>
      </c>
      <c r="C1229" t="str">
        <f t="shared" si="482"/>
        <v>FFDFD3C0</v>
      </c>
      <c r="D1229" t="s">
        <v>143</v>
      </c>
      <c r="E1229" t="str">
        <f>"05"</f>
        <v>05</v>
      </c>
      <c r="H1229">
        <v>172</v>
      </c>
      <c r="I1229" t="s">
        <v>141</v>
      </c>
      <c r="J1229" t="s">
        <v>144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R1229" t="s">
        <v>127</v>
      </c>
      <c r="S1229" t="str">
        <f t="shared" si="488"/>
        <v>15:07:56.000</v>
      </c>
      <c r="T1229" t="str">
        <f t="shared" si="488"/>
        <v>15:07:56.000</v>
      </c>
      <c r="U1229" t="str">
        <f t="shared" si="483"/>
        <v>A68FCB</v>
      </c>
      <c r="V1229">
        <v>0</v>
      </c>
      <c r="W1229">
        <v>0</v>
      </c>
      <c r="X1229">
        <v>2</v>
      </c>
      <c r="Y1229">
        <v>0</v>
      </c>
      <c r="AA1229">
        <v>1</v>
      </c>
      <c r="AB1229">
        <v>8</v>
      </c>
      <c r="AC1229">
        <v>3</v>
      </c>
      <c r="AD1229">
        <v>0</v>
      </c>
      <c r="AE1229">
        <v>9</v>
      </c>
      <c r="AF1229" t="s">
        <v>138</v>
      </c>
      <c r="AG1229">
        <v>0</v>
      </c>
      <c r="AH1229">
        <v>3</v>
      </c>
      <c r="AI1229">
        <v>2</v>
      </c>
      <c r="AJ1229">
        <v>0</v>
      </c>
      <c r="AK1229" t="s">
        <v>476</v>
      </c>
      <c r="AL1229">
        <v>39.002087000000003</v>
      </c>
      <c r="AM1229" t="s">
        <v>477</v>
      </c>
      <c r="AN1229">
        <v>-121.053715</v>
      </c>
      <c r="AO1229">
        <v>25</v>
      </c>
      <c r="AP1229">
        <v>3500</v>
      </c>
      <c r="AQ1229" t="s">
        <v>131</v>
      </c>
      <c r="AR1229">
        <v>-16</v>
      </c>
      <c r="AS1229">
        <v>86</v>
      </c>
      <c r="AT1229">
        <v>832</v>
      </c>
      <c r="BB1229" t="str">
        <f t="shared" si="484"/>
        <v>1200</v>
      </c>
      <c r="BC1229">
        <v>1</v>
      </c>
      <c r="BD1229" t="str">
        <f t="shared" si="485"/>
        <v xml:space="preserve">N52156  </v>
      </c>
      <c r="BE1229">
        <v>1</v>
      </c>
      <c r="BG1229">
        <v>0</v>
      </c>
      <c r="BH1229">
        <v>0</v>
      </c>
      <c r="BI1229">
        <v>0</v>
      </c>
      <c r="BJ1229">
        <v>3450</v>
      </c>
      <c r="BK1229">
        <v>-50</v>
      </c>
      <c r="BL1229" t="s">
        <v>188</v>
      </c>
      <c r="BM1229">
        <v>1</v>
      </c>
      <c r="BN1229">
        <v>1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 t="shared" si="489"/>
        <v>15:07:56.382</v>
      </c>
      <c r="CF1229">
        <v>381953175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133</v>
      </c>
      <c r="DA1229">
        <v>275</v>
      </c>
      <c r="DB1229">
        <v>0</v>
      </c>
      <c r="DC1229" t="s">
        <v>134</v>
      </c>
      <c r="DD1229" t="s">
        <v>135</v>
      </c>
      <c r="DG1229">
        <v>3319997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"05/01/2025 15:07:56.618"</f>
        <v>05/01/2025 15:07:56.618</v>
      </c>
      <c r="C1230" t="str">
        <f t="shared" si="482"/>
        <v>FFDFD3C0</v>
      </c>
      <c r="D1230" t="s">
        <v>145</v>
      </c>
      <c r="E1230" t="str">
        <f>"09"</f>
        <v>09</v>
      </c>
      <c r="H1230">
        <v>51</v>
      </c>
      <c r="I1230" t="s">
        <v>147</v>
      </c>
      <c r="J1230" t="s">
        <v>138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R1230" t="s">
        <v>127</v>
      </c>
      <c r="S1230" t="str">
        <f t="shared" si="488"/>
        <v>15:07:56.000</v>
      </c>
      <c r="T1230" t="str">
        <f t="shared" si="488"/>
        <v>15:07:56.000</v>
      </c>
      <c r="U1230" t="str">
        <f t="shared" si="483"/>
        <v>A68FCB</v>
      </c>
      <c r="V1230">
        <v>0</v>
      </c>
      <c r="W1230">
        <v>0</v>
      </c>
      <c r="X1230">
        <v>2</v>
      </c>
      <c r="Y1230">
        <v>0</v>
      </c>
      <c r="AA1230">
        <v>1</v>
      </c>
      <c r="AB1230">
        <v>8</v>
      </c>
      <c r="AC1230">
        <v>3</v>
      </c>
      <c r="AD1230">
        <v>0</v>
      </c>
      <c r="AE1230">
        <v>9</v>
      </c>
      <c r="AF1230" t="s">
        <v>138</v>
      </c>
      <c r="AG1230">
        <v>0</v>
      </c>
      <c r="AH1230">
        <v>3</v>
      </c>
      <c r="AI1230">
        <v>2</v>
      </c>
      <c r="AJ1230">
        <v>0</v>
      </c>
      <c r="AK1230" t="s">
        <v>476</v>
      </c>
      <c r="AL1230">
        <v>39.002087000000003</v>
      </c>
      <c r="AM1230" t="s">
        <v>477</v>
      </c>
      <c r="AN1230">
        <v>-121.053715</v>
      </c>
      <c r="AO1230">
        <v>25</v>
      </c>
      <c r="AP1230">
        <v>3500</v>
      </c>
      <c r="AQ1230" t="s">
        <v>131</v>
      </c>
      <c r="AR1230">
        <v>-16</v>
      </c>
      <c r="AS1230">
        <v>86</v>
      </c>
      <c r="AT1230">
        <v>832</v>
      </c>
      <c r="BB1230" t="str">
        <f t="shared" si="484"/>
        <v>1200</v>
      </c>
      <c r="BC1230">
        <v>1</v>
      </c>
      <c r="BD1230" t="str">
        <f t="shared" si="485"/>
        <v xml:space="preserve">N52156  </v>
      </c>
      <c r="BE1230">
        <v>1</v>
      </c>
      <c r="BG1230">
        <v>0</v>
      </c>
      <c r="BH1230">
        <v>0</v>
      </c>
      <c r="BI1230">
        <v>0</v>
      </c>
      <c r="BJ1230">
        <v>3450</v>
      </c>
      <c r="BK1230">
        <v>-50</v>
      </c>
      <c r="BL1230" t="s">
        <v>188</v>
      </c>
      <c r="BM1230">
        <v>1</v>
      </c>
      <c r="BN1230">
        <v>1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 t="shared" si="489"/>
        <v>15:07:56.382</v>
      </c>
      <c r="CF1230">
        <v>381953175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133</v>
      </c>
      <c r="DA1230">
        <v>275</v>
      </c>
      <c r="DB1230">
        <v>0</v>
      </c>
      <c r="DC1230" t="s">
        <v>134</v>
      </c>
      <c r="DD1230" t="s">
        <v>135</v>
      </c>
      <c r="DG1230">
        <v>3319997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"05/01/2025 15:07:56.626"</f>
        <v>05/01/2025 15:07:56.626</v>
      </c>
      <c r="C1231" t="str">
        <f t="shared" si="482"/>
        <v>FFDFD3C0</v>
      </c>
      <c r="D1231" t="s">
        <v>136</v>
      </c>
      <c r="E1231" t="str">
        <f>"20"</f>
        <v>20</v>
      </c>
      <c r="H1231">
        <v>400</v>
      </c>
      <c r="I1231" t="s">
        <v>137</v>
      </c>
      <c r="J1231" t="s">
        <v>138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R1231" t="s">
        <v>127</v>
      </c>
      <c r="S1231" t="str">
        <f t="shared" si="488"/>
        <v>15:07:56.000</v>
      </c>
      <c r="T1231" t="str">
        <f t="shared" si="488"/>
        <v>15:07:56.000</v>
      </c>
      <c r="U1231" t="str">
        <f t="shared" si="483"/>
        <v>A68FCB</v>
      </c>
      <c r="V1231">
        <v>0</v>
      </c>
      <c r="W1231">
        <v>0</v>
      </c>
      <c r="X1231">
        <v>2</v>
      </c>
      <c r="Y1231">
        <v>0</v>
      </c>
      <c r="AA1231">
        <v>1</v>
      </c>
      <c r="AB1231">
        <v>8</v>
      </c>
      <c r="AC1231">
        <v>3</v>
      </c>
      <c r="AD1231">
        <v>0</v>
      </c>
      <c r="AE1231">
        <v>9</v>
      </c>
      <c r="AF1231" t="s">
        <v>138</v>
      </c>
      <c r="AG1231">
        <v>0</v>
      </c>
      <c r="AH1231">
        <v>3</v>
      </c>
      <c r="AI1231">
        <v>2</v>
      </c>
      <c r="AJ1231">
        <v>0</v>
      </c>
      <c r="AK1231" t="s">
        <v>476</v>
      </c>
      <c r="AL1231">
        <v>39.002087000000003</v>
      </c>
      <c r="AM1231" t="s">
        <v>477</v>
      </c>
      <c r="AN1231">
        <v>-121.053715</v>
      </c>
      <c r="AO1231">
        <v>25</v>
      </c>
      <c r="AP1231">
        <v>3500</v>
      </c>
      <c r="AQ1231" t="s">
        <v>131</v>
      </c>
      <c r="AR1231">
        <v>-16</v>
      </c>
      <c r="AS1231">
        <v>86</v>
      </c>
      <c r="AT1231">
        <v>832</v>
      </c>
      <c r="BB1231" t="str">
        <f t="shared" si="484"/>
        <v>1200</v>
      </c>
      <c r="BC1231">
        <v>1</v>
      </c>
      <c r="BD1231" t="str">
        <f t="shared" si="485"/>
        <v xml:space="preserve">N52156  </v>
      </c>
      <c r="BE1231">
        <v>1</v>
      </c>
      <c r="BG1231">
        <v>0</v>
      </c>
      <c r="BH1231">
        <v>0</v>
      </c>
      <c r="BI1231">
        <v>0</v>
      </c>
      <c r="BJ1231">
        <v>3450</v>
      </c>
      <c r="BK1231">
        <v>-50</v>
      </c>
      <c r="BL1231" t="s">
        <v>188</v>
      </c>
      <c r="BM1231">
        <v>1</v>
      </c>
      <c r="BN1231">
        <v>1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 t="shared" si="489"/>
        <v>15:07:56.382</v>
      </c>
      <c r="CF1231">
        <v>381953175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133</v>
      </c>
      <c r="DA1231">
        <v>275</v>
      </c>
      <c r="DB1231">
        <v>0</v>
      </c>
      <c r="DC1231" t="s">
        <v>134</v>
      </c>
      <c r="DD1231" t="s">
        <v>135</v>
      </c>
      <c r="DG1231">
        <v>3319997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"05/01/2025 15:07:58.113"</f>
        <v>05/01/2025 15:07:58.113</v>
      </c>
      <c r="C1232" t="str">
        <f t="shared" si="482"/>
        <v>FFDFD3C0</v>
      </c>
      <c r="D1232" t="s">
        <v>140</v>
      </c>
      <c r="E1232" t="str">
        <f>"13"</f>
        <v>13</v>
      </c>
      <c r="F1232">
        <v>1019</v>
      </c>
      <c r="G1232" t="s">
        <v>141</v>
      </c>
      <c r="J1232" t="s">
        <v>142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R1232" t="s">
        <v>127</v>
      </c>
      <c r="S1232" t="str">
        <f t="shared" ref="S1232:T1237" si="490">"15:07:57.000"</f>
        <v>15:07:57.000</v>
      </c>
      <c r="T1232" t="str">
        <f t="shared" si="490"/>
        <v>15:07:57.000</v>
      </c>
      <c r="U1232" t="str">
        <f t="shared" si="483"/>
        <v>A68FCB</v>
      </c>
      <c r="V1232">
        <v>0</v>
      </c>
      <c r="W1232">
        <v>0</v>
      </c>
      <c r="X1232">
        <v>2</v>
      </c>
      <c r="Y1232">
        <v>0</v>
      </c>
      <c r="AA1232">
        <v>1</v>
      </c>
      <c r="AB1232">
        <v>8</v>
      </c>
      <c r="AC1232">
        <v>3</v>
      </c>
      <c r="AD1232">
        <v>0</v>
      </c>
      <c r="AE1232">
        <v>9</v>
      </c>
      <c r="AF1232" t="s">
        <v>138</v>
      </c>
      <c r="AG1232">
        <v>0</v>
      </c>
      <c r="AH1232">
        <v>3</v>
      </c>
      <c r="AI1232">
        <v>2</v>
      </c>
      <c r="AJ1232">
        <v>0</v>
      </c>
      <c r="AK1232" t="s">
        <v>478</v>
      </c>
      <c r="AL1232">
        <v>39.002495000000003</v>
      </c>
      <c r="AM1232" t="s">
        <v>479</v>
      </c>
      <c r="AN1232">
        <v>-121.05380100000001</v>
      </c>
      <c r="AO1232">
        <v>25</v>
      </c>
      <c r="AP1232">
        <v>3500</v>
      </c>
      <c r="AQ1232" t="s">
        <v>131</v>
      </c>
      <c r="AR1232">
        <v>-16</v>
      </c>
      <c r="AS1232">
        <v>85</v>
      </c>
      <c r="AT1232">
        <v>832</v>
      </c>
      <c r="BB1232" t="str">
        <f t="shared" si="484"/>
        <v>1200</v>
      </c>
      <c r="BC1232">
        <v>1</v>
      </c>
      <c r="BD1232" t="str">
        <f t="shared" si="485"/>
        <v xml:space="preserve">N52156  </v>
      </c>
      <c r="BE1232">
        <v>1</v>
      </c>
      <c r="BG1232">
        <v>0</v>
      </c>
      <c r="BH1232">
        <v>0</v>
      </c>
      <c r="BI1232">
        <v>0</v>
      </c>
      <c r="BJ1232">
        <v>3450</v>
      </c>
      <c r="BK1232">
        <v>-50</v>
      </c>
      <c r="BL1232" t="s">
        <v>188</v>
      </c>
      <c r="BM1232">
        <v>1</v>
      </c>
      <c r="BN1232">
        <v>1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 t="shared" ref="CE1232:CE1237" si="491">"15:07:57.875"</f>
        <v>15:07:57.875</v>
      </c>
      <c r="CF1232">
        <v>874954395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133</v>
      </c>
      <c r="DA1232">
        <v>275</v>
      </c>
      <c r="DB1232">
        <v>0</v>
      </c>
      <c r="DC1232" t="s">
        <v>134</v>
      </c>
      <c r="DD1232" t="s">
        <v>135</v>
      </c>
      <c r="DG1232">
        <v>3320009</v>
      </c>
      <c r="DI1232">
        <v>1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"05/01/2025 15:07:58.117"</f>
        <v>05/01/2025 15:07:58.117</v>
      </c>
      <c r="C1233" t="str">
        <f t="shared" si="482"/>
        <v>FFDFD3C0</v>
      </c>
      <c r="D1233" t="s">
        <v>145</v>
      </c>
      <c r="E1233" t="str">
        <f>"05"</f>
        <v>05</v>
      </c>
      <c r="H1233">
        <v>47</v>
      </c>
      <c r="I1233" t="s">
        <v>146</v>
      </c>
      <c r="J1233" t="s">
        <v>138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R1233" t="s">
        <v>127</v>
      </c>
      <c r="S1233" t="str">
        <f t="shared" si="490"/>
        <v>15:07:57.000</v>
      </c>
      <c r="T1233" t="str">
        <f t="shared" si="490"/>
        <v>15:07:57.000</v>
      </c>
      <c r="U1233" t="str">
        <f t="shared" si="483"/>
        <v>A68FCB</v>
      </c>
      <c r="V1233">
        <v>0</v>
      </c>
      <c r="W1233">
        <v>0</v>
      </c>
      <c r="X1233">
        <v>2</v>
      </c>
      <c r="Y1233">
        <v>0</v>
      </c>
      <c r="AA1233">
        <v>1</v>
      </c>
      <c r="AB1233">
        <v>8</v>
      </c>
      <c r="AC1233">
        <v>3</v>
      </c>
      <c r="AD1233">
        <v>0</v>
      </c>
      <c r="AE1233">
        <v>9</v>
      </c>
      <c r="AF1233" t="s">
        <v>138</v>
      </c>
      <c r="AG1233">
        <v>0</v>
      </c>
      <c r="AH1233">
        <v>3</v>
      </c>
      <c r="AI1233">
        <v>2</v>
      </c>
      <c r="AJ1233">
        <v>0</v>
      </c>
      <c r="AK1233" t="s">
        <v>478</v>
      </c>
      <c r="AL1233">
        <v>39.002495000000003</v>
      </c>
      <c r="AM1233" t="s">
        <v>479</v>
      </c>
      <c r="AN1233">
        <v>-121.05380100000001</v>
      </c>
      <c r="AO1233">
        <v>25</v>
      </c>
      <c r="AP1233">
        <v>3500</v>
      </c>
      <c r="AQ1233" t="s">
        <v>131</v>
      </c>
      <c r="AR1233">
        <v>-16</v>
      </c>
      <c r="AS1233">
        <v>85</v>
      </c>
      <c r="AT1233">
        <v>832</v>
      </c>
      <c r="BB1233" t="str">
        <f t="shared" si="484"/>
        <v>1200</v>
      </c>
      <c r="BC1233">
        <v>1</v>
      </c>
      <c r="BD1233" t="str">
        <f t="shared" si="485"/>
        <v xml:space="preserve">N52156  </v>
      </c>
      <c r="BE1233">
        <v>1</v>
      </c>
      <c r="BG1233">
        <v>0</v>
      </c>
      <c r="BH1233">
        <v>0</v>
      </c>
      <c r="BI1233">
        <v>0</v>
      </c>
      <c r="BJ1233">
        <v>3450</v>
      </c>
      <c r="BK1233">
        <v>-50</v>
      </c>
      <c r="BL1233" t="s">
        <v>188</v>
      </c>
      <c r="BM1233">
        <v>1</v>
      </c>
      <c r="BN1233">
        <v>1</v>
      </c>
      <c r="BO1233">
        <v>0</v>
      </c>
      <c r="BP1233">
        <v>0</v>
      </c>
      <c r="BS1233">
        <v>0</v>
      </c>
      <c r="BT1233">
        <v>0</v>
      </c>
      <c r="BU1233">
        <v>0</v>
      </c>
      <c r="CE1233" t="str">
        <f t="shared" si="491"/>
        <v>15:07:57.875</v>
      </c>
      <c r="CF1233">
        <v>874954395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133</v>
      </c>
      <c r="DA1233">
        <v>275</v>
      </c>
      <c r="DB1233">
        <v>0</v>
      </c>
      <c r="DC1233" t="s">
        <v>134</v>
      </c>
      <c r="DD1233" t="s">
        <v>135</v>
      </c>
      <c r="DG1233">
        <v>3320009</v>
      </c>
      <c r="DI1233">
        <v>1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"05/01/2025 15:07:58.121"</f>
        <v>05/01/2025 15:07:58.121</v>
      </c>
      <c r="C1234" t="str">
        <f t="shared" si="482"/>
        <v>FFDFD3C0</v>
      </c>
      <c r="D1234" t="s">
        <v>143</v>
      </c>
      <c r="E1234" t="str">
        <f>"05"</f>
        <v>05</v>
      </c>
      <c r="H1234">
        <v>172</v>
      </c>
      <c r="I1234" t="s">
        <v>141</v>
      </c>
      <c r="J1234" t="s">
        <v>144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R1234" t="s">
        <v>127</v>
      </c>
      <c r="S1234" t="str">
        <f t="shared" si="490"/>
        <v>15:07:57.000</v>
      </c>
      <c r="T1234" t="str">
        <f t="shared" si="490"/>
        <v>15:07:57.000</v>
      </c>
      <c r="U1234" t="str">
        <f t="shared" si="483"/>
        <v>A68FCB</v>
      </c>
      <c r="V1234">
        <v>0</v>
      </c>
      <c r="W1234">
        <v>0</v>
      </c>
      <c r="X1234">
        <v>2</v>
      </c>
      <c r="Y1234">
        <v>0</v>
      </c>
      <c r="AA1234">
        <v>1</v>
      </c>
      <c r="AB1234">
        <v>8</v>
      </c>
      <c r="AC1234">
        <v>3</v>
      </c>
      <c r="AD1234">
        <v>0</v>
      </c>
      <c r="AE1234">
        <v>9</v>
      </c>
      <c r="AF1234" t="s">
        <v>138</v>
      </c>
      <c r="AG1234">
        <v>0</v>
      </c>
      <c r="AH1234">
        <v>3</v>
      </c>
      <c r="AI1234">
        <v>2</v>
      </c>
      <c r="AJ1234">
        <v>0</v>
      </c>
      <c r="AK1234" t="s">
        <v>478</v>
      </c>
      <c r="AL1234">
        <v>39.002495000000003</v>
      </c>
      <c r="AM1234" t="s">
        <v>479</v>
      </c>
      <c r="AN1234">
        <v>-121.05380100000001</v>
      </c>
      <c r="AO1234">
        <v>25</v>
      </c>
      <c r="AP1234">
        <v>3500</v>
      </c>
      <c r="AQ1234" t="s">
        <v>131</v>
      </c>
      <c r="AR1234">
        <v>-16</v>
      </c>
      <c r="AS1234">
        <v>85</v>
      </c>
      <c r="AT1234">
        <v>832</v>
      </c>
      <c r="BB1234" t="str">
        <f t="shared" si="484"/>
        <v>1200</v>
      </c>
      <c r="BC1234">
        <v>1</v>
      </c>
      <c r="BD1234" t="str">
        <f t="shared" si="485"/>
        <v xml:space="preserve">N52156  </v>
      </c>
      <c r="BE1234">
        <v>1</v>
      </c>
      <c r="BG1234">
        <v>0</v>
      </c>
      <c r="BH1234">
        <v>0</v>
      </c>
      <c r="BI1234">
        <v>0</v>
      </c>
      <c r="BJ1234">
        <v>3450</v>
      </c>
      <c r="BK1234">
        <v>-50</v>
      </c>
      <c r="BL1234" t="s">
        <v>188</v>
      </c>
      <c r="BM1234">
        <v>1</v>
      </c>
      <c r="BN1234">
        <v>1</v>
      </c>
      <c r="BO1234">
        <v>0</v>
      </c>
      <c r="BP1234">
        <v>0</v>
      </c>
      <c r="BS1234">
        <v>0</v>
      </c>
      <c r="BT1234">
        <v>0</v>
      </c>
      <c r="BU1234">
        <v>0</v>
      </c>
      <c r="CE1234" t="str">
        <f t="shared" si="491"/>
        <v>15:07:57.875</v>
      </c>
      <c r="CF1234">
        <v>874954395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133</v>
      </c>
      <c r="DA1234">
        <v>275</v>
      </c>
      <c r="DB1234">
        <v>0</v>
      </c>
      <c r="DC1234" t="s">
        <v>134</v>
      </c>
      <c r="DD1234" t="s">
        <v>135</v>
      </c>
      <c r="DG1234">
        <v>3320009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"05/01/2025 15:07:58.119"</f>
        <v>05/01/2025 15:07:58.119</v>
      </c>
      <c r="C1235" t="str">
        <f t="shared" si="482"/>
        <v>FFDFD3C0</v>
      </c>
      <c r="D1235" t="s">
        <v>124</v>
      </c>
      <c r="E1235" t="str">
        <f>"06"</f>
        <v>06</v>
      </c>
      <c r="F1235">
        <v>2006</v>
      </c>
      <c r="G1235" t="s">
        <v>125</v>
      </c>
      <c r="J1235" t="s">
        <v>126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R1235" t="s">
        <v>127</v>
      </c>
      <c r="S1235" t="str">
        <f t="shared" si="490"/>
        <v>15:07:57.000</v>
      </c>
      <c r="T1235" t="str">
        <f t="shared" si="490"/>
        <v>15:07:57.000</v>
      </c>
      <c r="U1235" t="str">
        <f t="shared" si="483"/>
        <v>A68FCB</v>
      </c>
      <c r="V1235">
        <v>0</v>
      </c>
      <c r="W1235">
        <v>0</v>
      </c>
      <c r="X1235">
        <v>2</v>
      </c>
      <c r="Y1235">
        <v>0</v>
      </c>
      <c r="AA1235">
        <v>1</v>
      </c>
      <c r="AB1235">
        <v>8</v>
      </c>
      <c r="AC1235">
        <v>3</v>
      </c>
      <c r="AD1235">
        <v>0</v>
      </c>
      <c r="AE1235">
        <v>9</v>
      </c>
      <c r="AF1235" t="s">
        <v>138</v>
      </c>
      <c r="AG1235">
        <v>0</v>
      </c>
      <c r="AH1235">
        <v>3</v>
      </c>
      <c r="AI1235">
        <v>2</v>
      </c>
      <c r="AJ1235">
        <v>0</v>
      </c>
      <c r="AK1235" t="s">
        <v>478</v>
      </c>
      <c r="AL1235">
        <v>39.002495000000003</v>
      </c>
      <c r="AM1235" t="s">
        <v>479</v>
      </c>
      <c r="AN1235">
        <v>-121.05380100000001</v>
      </c>
      <c r="AO1235">
        <v>25</v>
      </c>
      <c r="AP1235">
        <v>3500</v>
      </c>
      <c r="AQ1235" t="s">
        <v>131</v>
      </c>
      <c r="AR1235">
        <v>-16</v>
      </c>
      <c r="AS1235">
        <v>85</v>
      </c>
      <c r="AT1235">
        <v>832</v>
      </c>
      <c r="BB1235" t="str">
        <f t="shared" si="484"/>
        <v>1200</v>
      </c>
      <c r="BC1235">
        <v>1</v>
      </c>
      <c r="BD1235" t="str">
        <f t="shared" si="485"/>
        <v xml:space="preserve">N52156  </v>
      </c>
      <c r="BE1235">
        <v>1</v>
      </c>
      <c r="BG1235">
        <v>0</v>
      </c>
      <c r="BH1235">
        <v>0</v>
      </c>
      <c r="BI1235">
        <v>0</v>
      </c>
      <c r="BJ1235">
        <v>3450</v>
      </c>
      <c r="BK1235">
        <v>-50</v>
      </c>
      <c r="BL1235" t="s">
        <v>188</v>
      </c>
      <c r="BM1235">
        <v>1</v>
      </c>
      <c r="BN1235">
        <v>1</v>
      </c>
      <c r="BO1235">
        <v>0</v>
      </c>
      <c r="BP1235">
        <v>0</v>
      </c>
      <c r="BS1235">
        <v>0</v>
      </c>
      <c r="BT1235">
        <v>0</v>
      </c>
      <c r="BU1235">
        <v>0</v>
      </c>
      <c r="CE1235" t="str">
        <f t="shared" si="491"/>
        <v>15:07:57.875</v>
      </c>
      <c r="CF1235">
        <v>874954395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133</v>
      </c>
      <c r="DA1235">
        <v>275</v>
      </c>
      <c r="DB1235">
        <v>0</v>
      </c>
      <c r="DC1235" t="s">
        <v>134</v>
      </c>
      <c r="DD1235" t="s">
        <v>135</v>
      </c>
      <c r="DG1235">
        <v>3320009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"05/01/2025 15:07:58.120"</f>
        <v>05/01/2025 15:07:58.120</v>
      </c>
      <c r="C1236" t="str">
        <f t="shared" si="482"/>
        <v>FFDFD3C0</v>
      </c>
      <c r="D1236" t="s">
        <v>145</v>
      </c>
      <c r="E1236" t="str">
        <f>"09"</f>
        <v>09</v>
      </c>
      <c r="H1236">
        <v>51</v>
      </c>
      <c r="I1236" t="s">
        <v>147</v>
      </c>
      <c r="J1236" t="s">
        <v>138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R1236" t="s">
        <v>127</v>
      </c>
      <c r="S1236" t="str">
        <f t="shared" si="490"/>
        <v>15:07:57.000</v>
      </c>
      <c r="T1236" t="str">
        <f t="shared" si="490"/>
        <v>15:07:57.000</v>
      </c>
      <c r="U1236" t="str">
        <f t="shared" si="483"/>
        <v>A68FCB</v>
      </c>
      <c r="V1236">
        <v>0</v>
      </c>
      <c r="W1236">
        <v>0</v>
      </c>
      <c r="X1236">
        <v>2</v>
      </c>
      <c r="Y1236">
        <v>0</v>
      </c>
      <c r="AA1236">
        <v>1</v>
      </c>
      <c r="AB1236">
        <v>8</v>
      </c>
      <c r="AC1236">
        <v>3</v>
      </c>
      <c r="AD1236">
        <v>0</v>
      </c>
      <c r="AE1236">
        <v>9</v>
      </c>
      <c r="AF1236" t="s">
        <v>138</v>
      </c>
      <c r="AG1236">
        <v>0</v>
      </c>
      <c r="AH1236">
        <v>3</v>
      </c>
      <c r="AI1236">
        <v>2</v>
      </c>
      <c r="AJ1236">
        <v>0</v>
      </c>
      <c r="AK1236" t="s">
        <v>478</v>
      </c>
      <c r="AL1236">
        <v>39.002495000000003</v>
      </c>
      <c r="AM1236" t="s">
        <v>479</v>
      </c>
      <c r="AN1236">
        <v>-121.05380100000001</v>
      </c>
      <c r="AO1236">
        <v>25</v>
      </c>
      <c r="AP1236">
        <v>3500</v>
      </c>
      <c r="AQ1236" t="s">
        <v>131</v>
      </c>
      <c r="AR1236">
        <v>-16</v>
      </c>
      <c r="AS1236">
        <v>85</v>
      </c>
      <c r="AT1236">
        <v>832</v>
      </c>
      <c r="BB1236" t="str">
        <f t="shared" si="484"/>
        <v>1200</v>
      </c>
      <c r="BC1236">
        <v>1</v>
      </c>
      <c r="BD1236" t="str">
        <f t="shared" si="485"/>
        <v xml:space="preserve">N52156  </v>
      </c>
      <c r="BE1236">
        <v>1</v>
      </c>
      <c r="BG1236">
        <v>0</v>
      </c>
      <c r="BH1236">
        <v>0</v>
      </c>
      <c r="BI1236">
        <v>0</v>
      </c>
      <c r="BJ1236">
        <v>3450</v>
      </c>
      <c r="BK1236">
        <v>-50</v>
      </c>
      <c r="BL1236" t="s">
        <v>188</v>
      </c>
      <c r="BM1236">
        <v>1</v>
      </c>
      <c r="BN1236">
        <v>1</v>
      </c>
      <c r="BO1236">
        <v>0</v>
      </c>
      <c r="BP1236">
        <v>0</v>
      </c>
      <c r="BS1236">
        <v>0</v>
      </c>
      <c r="BT1236">
        <v>0</v>
      </c>
      <c r="BU1236">
        <v>0</v>
      </c>
      <c r="CE1236" t="str">
        <f t="shared" si="491"/>
        <v>15:07:57.875</v>
      </c>
      <c r="CF1236">
        <v>874954395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133</v>
      </c>
      <c r="DA1236">
        <v>275</v>
      </c>
      <c r="DB1236">
        <v>0</v>
      </c>
      <c r="DC1236" t="s">
        <v>134</v>
      </c>
      <c r="DD1236" t="s">
        <v>135</v>
      </c>
      <c r="DG1236">
        <v>3320009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"05/01/2025 15:07:58.128"</f>
        <v>05/01/2025 15:07:58.128</v>
      </c>
      <c r="C1237" t="str">
        <f t="shared" si="482"/>
        <v>FFDFD3C0</v>
      </c>
      <c r="D1237" t="s">
        <v>136</v>
      </c>
      <c r="E1237" t="str">
        <f>"20"</f>
        <v>20</v>
      </c>
      <c r="H1237">
        <v>400</v>
      </c>
      <c r="I1237" t="s">
        <v>137</v>
      </c>
      <c r="J1237" t="s">
        <v>138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R1237" t="s">
        <v>127</v>
      </c>
      <c r="S1237" t="str">
        <f t="shared" si="490"/>
        <v>15:07:57.000</v>
      </c>
      <c r="T1237" t="str">
        <f t="shared" si="490"/>
        <v>15:07:57.000</v>
      </c>
      <c r="U1237" t="str">
        <f t="shared" si="483"/>
        <v>A68FCB</v>
      </c>
      <c r="V1237">
        <v>0</v>
      </c>
      <c r="W1237">
        <v>0</v>
      </c>
      <c r="X1237">
        <v>2</v>
      </c>
      <c r="Y1237">
        <v>0</v>
      </c>
      <c r="AA1237">
        <v>1</v>
      </c>
      <c r="AB1237">
        <v>8</v>
      </c>
      <c r="AC1237">
        <v>3</v>
      </c>
      <c r="AD1237">
        <v>0</v>
      </c>
      <c r="AE1237">
        <v>9</v>
      </c>
      <c r="AF1237" t="s">
        <v>138</v>
      </c>
      <c r="AG1237">
        <v>0</v>
      </c>
      <c r="AH1237">
        <v>3</v>
      </c>
      <c r="AI1237">
        <v>2</v>
      </c>
      <c r="AJ1237">
        <v>0</v>
      </c>
      <c r="AK1237" t="s">
        <v>478</v>
      </c>
      <c r="AL1237">
        <v>39.002495000000003</v>
      </c>
      <c r="AM1237" t="s">
        <v>479</v>
      </c>
      <c r="AN1237">
        <v>-121.05380100000001</v>
      </c>
      <c r="AO1237">
        <v>25</v>
      </c>
      <c r="AP1237">
        <v>3500</v>
      </c>
      <c r="AQ1237" t="s">
        <v>131</v>
      </c>
      <c r="AR1237">
        <v>-16</v>
      </c>
      <c r="AS1237">
        <v>85</v>
      </c>
      <c r="AT1237">
        <v>832</v>
      </c>
      <c r="BB1237" t="str">
        <f t="shared" si="484"/>
        <v>1200</v>
      </c>
      <c r="BC1237">
        <v>1</v>
      </c>
      <c r="BD1237" t="str">
        <f t="shared" si="485"/>
        <v xml:space="preserve">N52156  </v>
      </c>
      <c r="BE1237">
        <v>1</v>
      </c>
      <c r="BG1237">
        <v>0</v>
      </c>
      <c r="BH1237">
        <v>0</v>
      </c>
      <c r="BI1237">
        <v>0</v>
      </c>
      <c r="BJ1237">
        <v>3450</v>
      </c>
      <c r="BK1237">
        <v>-50</v>
      </c>
      <c r="BL1237" t="s">
        <v>188</v>
      </c>
      <c r="BM1237">
        <v>1</v>
      </c>
      <c r="BN1237">
        <v>1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 t="shared" si="491"/>
        <v>15:07:57.875</v>
      </c>
      <c r="CF1237">
        <v>874954395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133</v>
      </c>
      <c r="DA1237">
        <v>275</v>
      </c>
      <c r="DB1237">
        <v>0</v>
      </c>
      <c r="DC1237" t="s">
        <v>134</v>
      </c>
      <c r="DD1237" t="s">
        <v>135</v>
      </c>
      <c r="DG1237">
        <v>3320009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"05/01/2025 15:07:58.914"</f>
        <v>05/01/2025 15:07:58.914</v>
      </c>
      <c r="C1238" t="str">
        <f t="shared" si="482"/>
        <v>FFDFD3C0</v>
      </c>
      <c r="D1238" t="s">
        <v>140</v>
      </c>
      <c r="E1238" t="str">
        <f>"13"</f>
        <v>13</v>
      </c>
      <c r="F1238">
        <v>1019</v>
      </c>
      <c r="G1238" t="s">
        <v>141</v>
      </c>
      <c r="J1238" t="s">
        <v>142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R1238" t="s">
        <v>127</v>
      </c>
      <c r="S1238" t="str">
        <f t="shared" ref="S1238:T1243" si="492">"15:07:58.000"</f>
        <v>15:07:58.000</v>
      </c>
      <c r="T1238" t="str">
        <f t="shared" si="492"/>
        <v>15:07:58.000</v>
      </c>
      <c r="U1238" t="str">
        <f t="shared" si="483"/>
        <v>A68FCB</v>
      </c>
      <c r="V1238">
        <v>0</v>
      </c>
      <c r="W1238">
        <v>0</v>
      </c>
      <c r="X1238">
        <v>2</v>
      </c>
      <c r="Y1238">
        <v>0</v>
      </c>
      <c r="AA1238">
        <v>1</v>
      </c>
      <c r="AB1238">
        <v>8</v>
      </c>
      <c r="AC1238">
        <v>3</v>
      </c>
      <c r="AD1238">
        <v>0</v>
      </c>
      <c r="AE1238">
        <v>9</v>
      </c>
      <c r="AF1238" t="s">
        <v>138</v>
      </c>
      <c r="AG1238">
        <v>0</v>
      </c>
      <c r="AH1238">
        <v>3</v>
      </c>
      <c r="AI1238">
        <v>2</v>
      </c>
      <c r="AJ1238">
        <v>0</v>
      </c>
      <c r="AK1238" t="s">
        <v>480</v>
      </c>
      <c r="AL1238">
        <v>39.002903000000003</v>
      </c>
      <c r="AM1238" t="s">
        <v>481</v>
      </c>
      <c r="AN1238">
        <v>-121.05390800000001</v>
      </c>
      <c r="AO1238">
        <v>25</v>
      </c>
      <c r="AP1238">
        <v>3500</v>
      </c>
      <c r="AQ1238" t="s">
        <v>131</v>
      </c>
      <c r="AR1238">
        <v>-16</v>
      </c>
      <c r="AS1238">
        <v>85</v>
      </c>
      <c r="AT1238">
        <v>832</v>
      </c>
      <c r="BB1238" t="str">
        <f t="shared" si="484"/>
        <v>1200</v>
      </c>
      <c r="BC1238">
        <v>1</v>
      </c>
      <c r="BD1238" t="str">
        <f t="shared" si="485"/>
        <v xml:space="preserve">N52156  </v>
      </c>
      <c r="BE1238">
        <v>1</v>
      </c>
      <c r="BG1238">
        <v>0</v>
      </c>
      <c r="BH1238">
        <v>0</v>
      </c>
      <c r="BI1238">
        <v>0</v>
      </c>
      <c r="BJ1238">
        <v>3450</v>
      </c>
      <c r="BK1238">
        <v>-50</v>
      </c>
      <c r="BL1238" t="s">
        <v>188</v>
      </c>
      <c r="BM1238">
        <v>1</v>
      </c>
      <c r="BN1238">
        <v>1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 t="shared" ref="CE1238:CE1243" si="493">"15:07:58.660"</f>
        <v>15:07:58.660</v>
      </c>
      <c r="CF1238">
        <v>659703840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4</v>
      </c>
      <c r="CY1238">
        <v>7</v>
      </c>
      <c r="CZ1238" t="s">
        <v>133</v>
      </c>
      <c r="DA1238">
        <v>275</v>
      </c>
      <c r="DB1238">
        <v>0</v>
      </c>
      <c r="DC1238" t="s">
        <v>134</v>
      </c>
      <c r="DD1238" t="s">
        <v>135</v>
      </c>
      <c r="DG1238">
        <v>3320018</v>
      </c>
      <c r="DI1238">
        <v>1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"05/01/2025 15:07:58.920"</f>
        <v>05/01/2025 15:07:58.920</v>
      </c>
      <c r="C1239" t="str">
        <f t="shared" si="482"/>
        <v>FFDFD3C0</v>
      </c>
      <c r="D1239" t="s">
        <v>124</v>
      </c>
      <c r="E1239" t="str">
        <f>"06"</f>
        <v>06</v>
      </c>
      <c r="F1239">
        <v>2006</v>
      </c>
      <c r="G1239" t="s">
        <v>125</v>
      </c>
      <c r="J1239" t="s">
        <v>126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R1239" t="s">
        <v>127</v>
      </c>
      <c r="S1239" t="str">
        <f t="shared" si="492"/>
        <v>15:07:58.000</v>
      </c>
      <c r="T1239" t="str">
        <f t="shared" si="492"/>
        <v>15:07:58.000</v>
      </c>
      <c r="U1239" t="str">
        <f t="shared" si="483"/>
        <v>A68FCB</v>
      </c>
      <c r="V1239">
        <v>0</v>
      </c>
      <c r="W1239">
        <v>0</v>
      </c>
      <c r="X1239">
        <v>2</v>
      </c>
      <c r="Y1239">
        <v>0</v>
      </c>
      <c r="AA1239">
        <v>1</v>
      </c>
      <c r="AB1239">
        <v>8</v>
      </c>
      <c r="AC1239">
        <v>3</v>
      </c>
      <c r="AD1239">
        <v>0</v>
      </c>
      <c r="AE1239">
        <v>9</v>
      </c>
      <c r="AF1239" t="s">
        <v>138</v>
      </c>
      <c r="AG1239">
        <v>0</v>
      </c>
      <c r="AH1239">
        <v>3</v>
      </c>
      <c r="AI1239">
        <v>2</v>
      </c>
      <c r="AJ1239">
        <v>0</v>
      </c>
      <c r="AK1239" t="s">
        <v>480</v>
      </c>
      <c r="AL1239">
        <v>39.002903000000003</v>
      </c>
      <c r="AM1239" t="s">
        <v>481</v>
      </c>
      <c r="AN1239">
        <v>-121.05390800000001</v>
      </c>
      <c r="AO1239">
        <v>25</v>
      </c>
      <c r="AP1239">
        <v>3500</v>
      </c>
      <c r="AQ1239" t="s">
        <v>131</v>
      </c>
      <c r="AR1239">
        <v>-16</v>
      </c>
      <c r="AS1239">
        <v>85</v>
      </c>
      <c r="AT1239">
        <v>832</v>
      </c>
      <c r="BB1239" t="str">
        <f t="shared" si="484"/>
        <v>1200</v>
      </c>
      <c r="BC1239">
        <v>1</v>
      </c>
      <c r="BD1239" t="str">
        <f t="shared" si="485"/>
        <v xml:space="preserve">N52156  </v>
      </c>
      <c r="BE1239">
        <v>1</v>
      </c>
      <c r="BG1239">
        <v>0</v>
      </c>
      <c r="BH1239">
        <v>0</v>
      </c>
      <c r="BI1239">
        <v>0</v>
      </c>
      <c r="BJ1239">
        <v>3450</v>
      </c>
      <c r="BK1239">
        <v>-50</v>
      </c>
      <c r="BL1239" t="s">
        <v>188</v>
      </c>
      <c r="BM1239">
        <v>1</v>
      </c>
      <c r="BN1239">
        <v>1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 t="shared" si="493"/>
        <v>15:07:58.660</v>
      </c>
      <c r="CF1239">
        <v>659703840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4</v>
      </c>
      <c r="CY1239">
        <v>7</v>
      </c>
      <c r="CZ1239" t="s">
        <v>133</v>
      </c>
      <c r="DA1239">
        <v>275</v>
      </c>
      <c r="DB1239">
        <v>0</v>
      </c>
      <c r="DC1239" t="s">
        <v>134</v>
      </c>
      <c r="DD1239" t="s">
        <v>135</v>
      </c>
      <c r="DG1239">
        <v>3320018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"05/01/2025 15:07:58.923"</f>
        <v>05/01/2025 15:07:58.923</v>
      </c>
      <c r="C1240" t="str">
        <f t="shared" si="482"/>
        <v>FFDFD3C0</v>
      </c>
      <c r="D1240" t="s">
        <v>143</v>
      </c>
      <c r="E1240" t="str">
        <f>"05"</f>
        <v>05</v>
      </c>
      <c r="H1240">
        <v>172</v>
      </c>
      <c r="I1240" t="s">
        <v>141</v>
      </c>
      <c r="J1240" t="s">
        <v>144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R1240" t="s">
        <v>127</v>
      </c>
      <c r="S1240" t="str">
        <f t="shared" si="492"/>
        <v>15:07:58.000</v>
      </c>
      <c r="T1240" t="str">
        <f t="shared" si="492"/>
        <v>15:07:58.000</v>
      </c>
      <c r="U1240" t="str">
        <f t="shared" si="483"/>
        <v>A68FCB</v>
      </c>
      <c r="V1240">
        <v>0</v>
      </c>
      <c r="W1240">
        <v>0</v>
      </c>
      <c r="X1240">
        <v>2</v>
      </c>
      <c r="Y1240">
        <v>0</v>
      </c>
      <c r="AA1240">
        <v>1</v>
      </c>
      <c r="AB1240">
        <v>8</v>
      </c>
      <c r="AC1240">
        <v>3</v>
      </c>
      <c r="AD1240">
        <v>0</v>
      </c>
      <c r="AE1240">
        <v>9</v>
      </c>
      <c r="AF1240" t="s">
        <v>138</v>
      </c>
      <c r="AG1240">
        <v>0</v>
      </c>
      <c r="AH1240">
        <v>3</v>
      </c>
      <c r="AI1240">
        <v>2</v>
      </c>
      <c r="AJ1240">
        <v>0</v>
      </c>
      <c r="AK1240" t="s">
        <v>480</v>
      </c>
      <c r="AL1240">
        <v>39.002903000000003</v>
      </c>
      <c r="AM1240" t="s">
        <v>481</v>
      </c>
      <c r="AN1240">
        <v>-121.05390800000001</v>
      </c>
      <c r="AO1240">
        <v>25</v>
      </c>
      <c r="AP1240">
        <v>3500</v>
      </c>
      <c r="AQ1240" t="s">
        <v>131</v>
      </c>
      <c r="AR1240">
        <v>-16</v>
      </c>
      <c r="AS1240">
        <v>85</v>
      </c>
      <c r="AT1240">
        <v>832</v>
      </c>
      <c r="BB1240" t="str">
        <f t="shared" si="484"/>
        <v>1200</v>
      </c>
      <c r="BC1240">
        <v>1</v>
      </c>
      <c r="BD1240" t="str">
        <f t="shared" si="485"/>
        <v xml:space="preserve">N52156  </v>
      </c>
      <c r="BE1240">
        <v>1</v>
      </c>
      <c r="BG1240">
        <v>0</v>
      </c>
      <c r="BH1240">
        <v>0</v>
      </c>
      <c r="BI1240">
        <v>0</v>
      </c>
      <c r="BJ1240">
        <v>3450</v>
      </c>
      <c r="BK1240">
        <v>-50</v>
      </c>
      <c r="BL1240" t="s">
        <v>188</v>
      </c>
      <c r="BM1240">
        <v>1</v>
      </c>
      <c r="BN1240">
        <v>1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 t="shared" si="493"/>
        <v>15:07:58.660</v>
      </c>
      <c r="CF1240">
        <v>659703840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4</v>
      </c>
      <c r="CY1240">
        <v>7</v>
      </c>
      <c r="CZ1240" t="s">
        <v>133</v>
      </c>
      <c r="DA1240">
        <v>275</v>
      </c>
      <c r="DB1240">
        <v>0</v>
      </c>
      <c r="DC1240" t="s">
        <v>134</v>
      </c>
      <c r="DD1240" t="s">
        <v>135</v>
      </c>
      <c r="DG1240">
        <v>3320018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"05/01/2025 15:07:58.918"</f>
        <v>05/01/2025 15:07:58.918</v>
      </c>
      <c r="C1241" t="str">
        <f t="shared" si="482"/>
        <v>FFDFD3C0</v>
      </c>
      <c r="D1241" t="s">
        <v>145</v>
      </c>
      <c r="E1241" t="str">
        <f>"05"</f>
        <v>05</v>
      </c>
      <c r="H1241">
        <v>47</v>
      </c>
      <c r="I1241" t="s">
        <v>146</v>
      </c>
      <c r="J1241" t="s">
        <v>138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R1241" t="s">
        <v>127</v>
      </c>
      <c r="S1241" t="str">
        <f t="shared" si="492"/>
        <v>15:07:58.000</v>
      </c>
      <c r="T1241" t="str">
        <f t="shared" si="492"/>
        <v>15:07:58.000</v>
      </c>
      <c r="U1241" t="str">
        <f t="shared" si="483"/>
        <v>A68FCB</v>
      </c>
      <c r="V1241">
        <v>0</v>
      </c>
      <c r="W1241">
        <v>0</v>
      </c>
      <c r="X1241">
        <v>2</v>
      </c>
      <c r="Y1241">
        <v>0</v>
      </c>
      <c r="AA1241">
        <v>1</v>
      </c>
      <c r="AB1241">
        <v>8</v>
      </c>
      <c r="AC1241">
        <v>3</v>
      </c>
      <c r="AD1241">
        <v>0</v>
      </c>
      <c r="AE1241">
        <v>9</v>
      </c>
      <c r="AF1241" t="s">
        <v>138</v>
      </c>
      <c r="AG1241">
        <v>0</v>
      </c>
      <c r="AH1241">
        <v>3</v>
      </c>
      <c r="AI1241">
        <v>2</v>
      </c>
      <c r="AJ1241">
        <v>0</v>
      </c>
      <c r="AK1241" t="s">
        <v>480</v>
      </c>
      <c r="AL1241">
        <v>39.002903000000003</v>
      </c>
      <c r="AM1241" t="s">
        <v>481</v>
      </c>
      <c r="AN1241">
        <v>-121.05390800000001</v>
      </c>
      <c r="AO1241">
        <v>25</v>
      </c>
      <c r="AP1241">
        <v>3500</v>
      </c>
      <c r="AQ1241" t="s">
        <v>131</v>
      </c>
      <c r="AR1241">
        <v>-16</v>
      </c>
      <c r="AS1241">
        <v>85</v>
      </c>
      <c r="AT1241">
        <v>832</v>
      </c>
      <c r="BB1241" t="str">
        <f t="shared" si="484"/>
        <v>1200</v>
      </c>
      <c r="BC1241">
        <v>1</v>
      </c>
      <c r="BD1241" t="str">
        <f t="shared" si="485"/>
        <v xml:space="preserve">N52156  </v>
      </c>
      <c r="BE1241">
        <v>1</v>
      </c>
      <c r="BG1241">
        <v>0</v>
      </c>
      <c r="BH1241">
        <v>0</v>
      </c>
      <c r="BI1241">
        <v>0</v>
      </c>
      <c r="BJ1241">
        <v>3450</v>
      </c>
      <c r="BK1241">
        <v>-50</v>
      </c>
      <c r="BL1241" t="s">
        <v>188</v>
      </c>
      <c r="BM1241">
        <v>1</v>
      </c>
      <c r="BN1241">
        <v>1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 t="shared" si="493"/>
        <v>15:07:58.660</v>
      </c>
      <c r="CF1241">
        <v>659703840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4</v>
      </c>
      <c r="CY1241">
        <v>7</v>
      </c>
      <c r="CZ1241" t="s">
        <v>133</v>
      </c>
      <c r="DA1241">
        <v>275</v>
      </c>
      <c r="DB1241">
        <v>0</v>
      </c>
      <c r="DC1241" t="s">
        <v>134</v>
      </c>
      <c r="DD1241" t="s">
        <v>135</v>
      </c>
      <c r="DG1241">
        <v>3320018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"05/01/2025 15:07:58.922"</f>
        <v>05/01/2025 15:07:58.922</v>
      </c>
      <c r="C1242" t="str">
        <f t="shared" si="482"/>
        <v>FFDFD3C0</v>
      </c>
      <c r="D1242" t="s">
        <v>145</v>
      </c>
      <c r="E1242" t="str">
        <f>"09"</f>
        <v>09</v>
      </c>
      <c r="H1242">
        <v>51</v>
      </c>
      <c r="I1242" t="s">
        <v>147</v>
      </c>
      <c r="J1242" t="s">
        <v>138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R1242" t="s">
        <v>127</v>
      </c>
      <c r="S1242" t="str">
        <f t="shared" si="492"/>
        <v>15:07:58.000</v>
      </c>
      <c r="T1242" t="str">
        <f t="shared" si="492"/>
        <v>15:07:58.000</v>
      </c>
      <c r="U1242" t="str">
        <f t="shared" si="483"/>
        <v>A68FCB</v>
      </c>
      <c r="V1242">
        <v>0</v>
      </c>
      <c r="W1242">
        <v>0</v>
      </c>
      <c r="X1242">
        <v>2</v>
      </c>
      <c r="Y1242">
        <v>0</v>
      </c>
      <c r="AA1242">
        <v>1</v>
      </c>
      <c r="AB1242">
        <v>8</v>
      </c>
      <c r="AC1242">
        <v>3</v>
      </c>
      <c r="AD1242">
        <v>0</v>
      </c>
      <c r="AE1242">
        <v>9</v>
      </c>
      <c r="AF1242" t="s">
        <v>138</v>
      </c>
      <c r="AG1242">
        <v>0</v>
      </c>
      <c r="AH1242">
        <v>3</v>
      </c>
      <c r="AI1242">
        <v>2</v>
      </c>
      <c r="AJ1242">
        <v>0</v>
      </c>
      <c r="AK1242" t="s">
        <v>480</v>
      </c>
      <c r="AL1242">
        <v>39.002903000000003</v>
      </c>
      <c r="AM1242" t="s">
        <v>481</v>
      </c>
      <c r="AN1242">
        <v>-121.05390800000001</v>
      </c>
      <c r="AO1242">
        <v>25</v>
      </c>
      <c r="AP1242">
        <v>3500</v>
      </c>
      <c r="AQ1242" t="s">
        <v>131</v>
      </c>
      <c r="AR1242">
        <v>-16</v>
      </c>
      <c r="AS1242">
        <v>85</v>
      </c>
      <c r="AT1242">
        <v>832</v>
      </c>
      <c r="BB1242" t="str">
        <f t="shared" si="484"/>
        <v>1200</v>
      </c>
      <c r="BC1242">
        <v>1</v>
      </c>
      <c r="BD1242" t="str">
        <f t="shared" si="485"/>
        <v xml:space="preserve">N52156  </v>
      </c>
      <c r="BE1242">
        <v>1</v>
      </c>
      <c r="BG1242">
        <v>0</v>
      </c>
      <c r="BH1242">
        <v>0</v>
      </c>
      <c r="BI1242">
        <v>0</v>
      </c>
      <c r="BJ1242">
        <v>3450</v>
      </c>
      <c r="BK1242">
        <v>-50</v>
      </c>
      <c r="BL1242" t="s">
        <v>188</v>
      </c>
      <c r="BM1242">
        <v>1</v>
      </c>
      <c r="BN1242">
        <v>1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 t="shared" si="493"/>
        <v>15:07:58.660</v>
      </c>
      <c r="CF1242">
        <v>659703840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4</v>
      </c>
      <c r="CY1242">
        <v>7</v>
      </c>
      <c r="CZ1242" t="s">
        <v>133</v>
      </c>
      <c r="DA1242">
        <v>275</v>
      </c>
      <c r="DB1242">
        <v>0</v>
      </c>
      <c r="DC1242" t="s">
        <v>134</v>
      </c>
      <c r="DD1242" t="s">
        <v>135</v>
      </c>
      <c r="DG1242">
        <v>3320018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"05/01/2025 15:07:58.930"</f>
        <v>05/01/2025 15:07:58.930</v>
      </c>
      <c r="C1243" t="str">
        <f t="shared" si="482"/>
        <v>FFDFD3C0</v>
      </c>
      <c r="D1243" t="s">
        <v>136</v>
      </c>
      <c r="E1243" t="str">
        <f>"20"</f>
        <v>20</v>
      </c>
      <c r="H1243">
        <v>400</v>
      </c>
      <c r="I1243" t="s">
        <v>137</v>
      </c>
      <c r="J1243" t="s">
        <v>138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R1243" t="s">
        <v>127</v>
      </c>
      <c r="S1243" t="str">
        <f t="shared" si="492"/>
        <v>15:07:58.000</v>
      </c>
      <c r="T1243" t="str">
        <f t="shared" si="492"/>
        <v>15:07:58.000</v>
      </c>
      <c r="U1243" t="str">
        <f t="shared" si="483"/>
        <v>A68FCB</v>
      </c>
      <c r="V1243">
        <v>0</v>
      </c>
      <c r="W1243">
        <v>0</v>
      </c>
      <c r="X1243">
        <v>2</v>
      </c>
      <c r="Y1243">
        <v>0</v>
      </c>
      <c r="AA1243">
        <v>1</v>
      </c>
      <c r="AB1243">
        <v>8</v>
      </c>
      <c r="AC1243">
        <v>3</v>
      </c>
      <c r="AD1243">
        <v>0</v>
      </c>
      <c r="AE1243">
        <v>9</v>
      </c>
      <c r="AF1243" t="s">
        <v>138</v>
      </c>
      <c r="AG1243">
        <v>0</v>
      </c>
      <c r="AH1243">
        <v>3</v>
      </c>
      <c r="AI1243">
        <v>2</v>
      </c>
      <c r="AJ1243">
        <v>0</v>
      </c>
      <c r="AK1243" t="s">
        <v>480</v>
      </c>
      <c r="AL1243">
        <v>39.002903000000003</v>
      </c>
      <c r="AM1243" t="s">
        <v>481</v>
      </c>
      <c r="AN1243">
        <v>-121.05390800000001</v>
      </c>
      <c r="AO1243">
        <v>25</v>
      </c>
      <c r="AP1243">
        <v>3500</v>
      </c>
      <c r="AQ1243" t="s">
        <v>131</v>
      </c>
      <c r="AR1243">
        <v>-16</v>
      </c>
      <c r="AS1243">
        <v>85</v>
      </c>
      <c r="AT1243">
        <v>832</v>
      </c>
      <c r="BB1243" t="str">
        <f t="shared" si="484"/>
        <v>1200</v>
      </c>
      <c r="BC1243">
        <v>1</v>
      </c>
      <c r="BD1243" t="str">
        <f t="shared" si="485"/>
        <v xml:space="preserve">N52156  </v>
      </c>
      <c r="BE1243">
        <v>1</v>
      </c>
      <c r="BG1243">
        <v>0</v>
      </c>
      <c r="BH1243">
        <v>0</v>
      </c>
      <c r="BI1243">
        <v>0</v>
      </c>
      <c r="BJ1243">
        <v>3450</v>
      </c>
      <c r="BK1243">
        <v>-50</v>
      </c>
      <c r="BL1243" t="s">
        <v>188</v>
      </c>
      <c r="BM1243">
        <v>1</v>
      </c>
      <c r="BN1243">
        <v>1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 t="shared" si="493"/>
        <v>15:07:58.660</v>
      </c>
      <c r="CF1243">
        <v>659703840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4</v>
      </c>
      <c r="CY1243">
        <v>7</v>
      </c>
      <c r="CZ1243" t="s">
        <v>133</v>
      </c>
      <c r="DA1243">
        <v>275</v>
      </c>
      <c r="DB1243">
        <v>0</v>
      </c>
      <c r="DC1243" t="s">
        <v>134</v>
      </c>
      <c r="DD1243" t="s">
        <v>135</v>
      </c>
      <c r="DG1243">
        <v>3320018</v>
      </c>
      <c r="DI1243">
        <v>1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"05/01/2025 15:08:00.182"</f>
        <v>05/01/2025 15:08:00.182</v>
      </c>
      <c r="C1244" t="str">
        <f t="shared" si="482"/>
        <v>FFDFD3C0</v>
      </c>
      <c r="D1244" t="s">
        <v>136</v>
      </c>
      <c r="E1244" t="str">
        <f>"20"</f>
        <v>20</v>
      </c>
      <c r="H1244">
        <v>400</v>
      </c>
      <c r="I1244" t="s">
        <v>137</v>
      </c>
      <c r="J1244" t="s">
        <v>138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R1244" t="s">
        <v>127</v>
      </c>
      <c r="S1244" t="str">
        <f t="shared" ref="S1244:T1249" si="494">"15:07:59.000"</f>
        <v>15:07:59.000</v>
      </c>
      <c r="T1244" t="str">
        <f t="shared" si="494"/>
        <v>15:07:59.000</v>
      </c>
      <c r="U1244" t="str">
        <f t="shared" si="483"/>
        <v>A68FCB</v>
      </c>
      <c r="V1244">
        <v>0</v>
      </c>
      <c r="W1244">
        <v>0</v>
      </c>
      <c r="X1244">
        <v>2</v>
      </c>
      <c r="Y1244">
        <v>0</v>
      </c>
      <c r="AA1244">
        <v>1</v>
      </c>
      <c r="AB1244">
        <v>8</v>
      </c>
      <c r="AC1244">
        <v>3</v>
      </c>
      <c r="AD1244">
        <v>0</v>
      </c>
      <c r="AE1244">
        <v>9</v>
      </c>
      <c r="AF1244" t="s">
        <v>138</v>
      </c>
      <c r="AG1244">
        <v>0</v>
      </c>
      <c r="AH1244">
        <v>3</v>
      </c>
      <c r="AI1244">
        <v>2</v>
      </c>
      <c r="AJ1244">
        <v>0</v>
      </c>
      <c r="AK1244" t="s">
        <v>482</v>
      </c>
      <c r="AL1244">
        <v>39.003289000000002</v>
      </c>
      <c r="AM1244" t="s">
        <v>483</v>
      </c>
      <c r="AN1244">
        <v>-121.05401500000001</v>
      </c>
      <c r="AO1244">
        <v>25</v>
      </c>
      <c r="AP1244">
        <v>3500</v>
      </c>
      <c r="AQ1244" t="s">
        <v>131</v>
      </c>
      <c r="AR1244">
        <v>-16</v>
      </c>
      <c r="AS1244">
        <v>84</v>
      </c>
      <c r="AT1244">
        <v>768</v>
      </c>
      <c r="BB1244" t="str">
        <f t="shared" si="484"/>
        <v>1200</v>
      </c>
      <c r="BC1244">
        <v>1</v>
      </c>
      <c r="BD1244" t="str">
        <f t="shared" si="485"/>
        <v xml:space="preserve">N52156  </v>
      </c>
      <c r="BE1244">
        <v>1</v>
      </c>
      <c r="BG1244">
        <v>0</v>
      </c>
      <c r="BH1244">
        <v>0</v>
      </c>
      <c r="BI1244">
        <v>0</v>
      </c>
      <c r="BJ1244">
        <v>3500</v>
      </c>
      <c r="BK1244">
        <v>0</v>
      </c>
      <c r="BL1244" t="s">
        <v>188</v>
      </c>
      <c r="BM1244">
        <v>1</v>
      </c>
      <c r="BN1244">
        <v>1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 t="shared" ref="CE1244:CE1249" si="495">"15:07:59.950"</f>
        <v>15:07:59.950</v>
      </c>
      <c r="CF1244">
        <v>950204580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4</v>
      </c>
      <c r="CY1244">
        <v>7</v>
      </c>
      <c r="CZ1244" t="s">
        <v>133</v>
      </c>
      <c r="DA1244">
        <v>275</v>
      </c>
      <c r="DB1244">
        <v>0</v>
      </c>
      <c r="DC1244" t="s">
        <v>134</v>
      </c>
      <c r="DD1244" t="s">
        <v>135</v>
      </c>
      <c r="DG1244">
        <v>3320026</v>
      </c>
      <c r="DI1244">
        <v>1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"05/01/2025 15:08:00.217"</f>
        <v>05/01/2025 15:08:00.217</v>
      </c>
      <c r="C1245" t="str">
        <f t="shared" si="482"/>
        <v>FFDFD3C0</v>
      </c>
      <c r="D1245" t="s">
        <v>140</v>
      </c>
      <c r="E1245" t="str">
        <f>"13"</f>
        <v>13</v>
      </c>
      <c r="F1245">
        <v>1019</v>
      </c>
      <c r="G1245" t="s">
        <v>141</v>
      </c>
      <c r="J1245" t="s">
        <v>142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R1245" t="s">
        <v>127</v>
      </c>
      <c r="S1245" t="str">
        <f t="shared" si="494"/>
        <v>15:07:59.000</v>
      </c>
      <c r="T1245" t="str">
        <f t="shared" si="494"/>
        <v>15:07:59.000</v>
      </c>
      <c r="U1245" t="str">
        <f t="shared" si="483"/>
        <v>A68FCB</v>
      </c>
      <c r="V1245">
        <v>0</v>
      </c>
      <c r="W1245">
        <v>0</v>
      </c>
      <c r="X1245">
        <v>2</v>
      </c>
      <c r="Y1245">
        <v>0</v>
      </c>
      <c r="AA1245">
        <v>1</v>
      </c>
      <c r="AB1245">
        <v>8</v>
      </c>
      <c r="AC1245">
        <v>3</v>
      </c>
      <c r="AD1245">
        <v>0</v>
      </c>
      <c r="AE1245">
        <v>9</v>
      </c>
      <c r="AF1245" t="s">
        <v>138</v>
      </c>
      <c r="AG1245">
        <v>0</v>
      </c>
      <c r="AH1245">
        <v>3</v>
      </c>
      <c r="AI1245">
        <v>2</v>
      </c>
      <c r="AJ1245">
        <v>0</v>
      </c>
      <c r="AK1245" t="s">
        <v>482</v>
      </c>
      <c r="AL1245">
        <v>39.003289000000002</v>
      </c>
      <c r="AM1245" t="s">
        <v>483</v>
      </c>
      <c r="AN1245">
        <v>-121.05401500000001</v>
      </c>
      <c r="AO1245">
        <v>25</v>
      </c>
      <c r="AP1245">
        <v>3500</v>
      </c>
      <c r="AQ1245" t="s">
        <v>131</v>
      </c>
      <c r="AR1245">
        <v>-16</v>
      </c>
      <c r="AS1245">
        <v>84</v>
      </c>
      <c r="AT1245">
        <v>768</v>
      </c>
      <c r="BB1245" t="str">
        <f t="shared" si="484"/>
        <v>1200</v>
      </c>
      <c r="BC1245">
        <v>1</v>
      </c>
      <c r="BD1245" t="str">
        <f t="shared" si="485"/>
        <v xml:space="preserve">N52156  </v>
      </c>
      <c r="BE1245">
        <v>1</v>
      </c>
      <c r="BG1245">
        <v>0</v>
      </c>
      <c r="BH1245">
        <v>0</v>
      </c>
      <c r="BI1245">
        <v>0</v>
      </c>
      <c r="BJ1245">
        <v>3500</v>
      </c>
      <c r="BK1245">
        <v>0</v>
      </c>
      <c r="BL1245" t="s">
        <v>188</v>
      </c>
      <c r="BM1245">
        <v>1</v>
      </c>
      <c r="BN1245">
        <v>1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 t="shared" si="495"/>
        <v>15:07:59.950</v>
      </c>
      <c r="CF1245">
        <v>950204580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4</v>
      </c>
      <c r="CY1245">
        <v>7</v>
      </c>
      <c r="CZ1245" t="s">
        <v>133</v>
      </c>
      <c r="DA1245">
        <v>275</v>
      </c>
      <c r="DB1245">
        <v>0</v>
      </c>
      <c r="DC1245" t="s">
        <v>134</v>
      </c>
      <c r="DD1245" t="s">
        <v>135</v>
      </c>
      <c r="DG1245">
        <v>3320026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"05/01/2025 15:08:00.223"</f>
        <v>05/01/2025 15:08:00.223</v>
      </c>
      <c r="C1246" t="str">
        <f t="shared" si="482"/>
        <v>FFDFD3C0</v>
      </c>
      <c r="D1246" t="s">
        <v>124</v>
      </c>
      <c r="E1246" t="str">
        <f>"06"</f>
        <v>06</v>
      </c>
      <c r="F1246">
        <v>2006</v>
      </c>
      <c r="G1246" t="s">
        <v>125</v>
      </c>
      <c r="J1246" t="s">
        <v>126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R1246" t="s">
        <v>127</v>
      </c>
      <c r="S1246" t="str">
        <f t="shared" si="494"/>
        <v>15:07:59.000</v>
      </c>
      <c r="T1246" t="str">
        <f t="shared" si="494"/>
        <v>15:07:59.000</v>
      </c>
      <c r="U1246" t="str">
        <f t="shared" si="483"/>
        <v>A68FCB</v>
      </c>
      <c r="V1246">
        <v>0</v>
      </c>
      <c r="W1246">
        <v>0</v>
      </c>
      <c r="X1246">
        <v>2</v>
      </c>
      <c r="Y1246">
        <v>0</v>
      </c>
      <c r="AA1246">
        <v>1</v>
      </c>
      <c r="AB1246">
        <v>8</v>
      </c>
      <c r="AC1246">
        <v>3</v>
      </c>
      <c r="AD1246">
        <v>0</v>
      </c>
      <c r="AE1246">
        <v>9</v>
      </c>
      <c r="AF1246" t="s">
        <v>138</v>
      </c>
      <c r="AG1246">
        <v>0</v>
      </c>
      <c r="AH1246">
        <v>3</v>
      </c>
      <c r="AI1246">
        <v>2</v>
      </c>
      <c r="AJ1246">
        <v>0</v>
      </c>
      <c r="AK1246" t="s">
        <v>482</v>
      </c>
      <c r="AL1246">
        <v>39.003289000000002</v>
      </c>
      <c r="AM1246" t="s">
        <v>483</v>
      </c>
      <c r="AN1246">
        <v>-121.05401500000001</v>
      </c>
      <c r="AO1246">
        <v>25</v>
      </c>
      <c r="AP1246">
        <v>3500</v>
      </c>
      <c r="AQ1246" t="s">
        <v>131</v>
      </c>
      <c r="AR1246">
        <v>-16</v>
      </c>
      <c r="AS1246">
        <v>84</v>
      </c>
      <c r="AT1246">
        <v>768</v>
      </c>
      <c r="BB1246" t="str">
        <f t="shared" si="484"/>
        <v>1200</v>
      </c>
      <c r="BC1246">
        <v>1</v>
      </c>
      <c r="BD1246" t="str">
        <f t="shared" si="485"/>
        <v xml:space="preserve">N52156  </v>
      </c>
      <c r="BE1246">
        <v>1</v>
      </c>
      <c r="BG1246">
        <v>0</v>
      </c>
      <c r="BH1246">
        <v>0</v>
      </c>
      <c r="BI1246">
        <v>0</v>
      </c>
      <c r="BJ1246">
        <v>3500</v>
      </c>
      <c r="BK1246">
        <v>0</v>
      </c>
      <c r="BL1246" t="s">
        <v>188</v>
      </c>
      <c r="BM1246">
        <v>1</v>
      </c>
      <c r="BN1246">
        <v>1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 t="shared" si="495"/>
        <v>15:07:59.950</v>
      </c>
      <c r="CF1246">
        <v>950204580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4</v>
      </c>
      <c r="CY1246">
        <v>7</v>
      </c>
      <c r="CZ1246" t="s">
        <v>133</v>
      </c>
      <c r="DA1246">
        <v>275</v>
      </c>
      <c r="DB1246">
        <v>0</v>
      </c>
      <c r="DC1246" t="s">
        <v>134</v>
      </c>
      <c r="DD1246" t="s">
        <v>135</v>
      </c>
      <c r="DG1246">
        <v>3320026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"05/01/2025 15:08:00.220"</f>
        <v>05/01/2025 15:08:00.220</v>
      </c>
      <c r="C1247" t="str">
        <f t="shared" si="482"/>
        <v>FFDFD3C0</v>
      </c>
      <c r="D1247" t="s">
        <v>145</v>
      </c>
      <c r="E1247" t="str">
        <f>"05"</f>
        <v>05</v>
      </c>
      <c r="H1247">
        <v>47</v>
      </c>
      <c r="I1247" t="s">
        <v>146</v>
      </c>
      <c r="J1247" t="s">
        <v>138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R1247" t="s">
        <v>127</v>
      </c>
      <c r="S1247" t="str">
        <f t="shared" si="494"/>
        <v>15:07:59.000</v>
      </c>
      <c r="T1247" t="str">
        <f t="shared" si="494"/>
        <v>15:07:59.000</v>
      </c>
      <c r="U1247" t="str">
        <f t="shared" si="483"/>
        <v>A68FCB</v>
      </c>
      <c r="V1247">
        <v>0</v>
      </c>
      <c r="W1247">
        <v>0</v>
      </c>
      <c r="X1247">
        <v>2</v>
      </c>
      <c r="Y1247">
        <v>0</v>
      </c>
      <c r="AA1247">
        <v>1</v>
      </c>
      <c r="AB1247">
        <v>8</v>
      </c>
      <c r="AC1247">
        <v>3</v>
      </c>
      <c r="AD1247">
        <v>0</v>
      </c>
      <c r="AE1247">
        <v>9</v>
      </c>
      <c r="AF1247" t="s">
        <v>138</v>
      </c>
      <c r="AG1247">
        <v>0</v>
      </c>
      <c r="AH1247">
        <v>3</v>
      </c>
      <c r="AI1247">
        <v>2</v>
      </c>
      <c r="AJ1247">
        <v>0</v>
      </c>
      <c r="AK1247" t="s">
        <v>482</v>
      </c>
      <c r="AL1247">
        <v>39.003289000000002</v>
      </c>
      <c r="AM1247" t="s">
        <v>483</v>
      </c>
      <c r="AN1247">
        <v>-121.05401500000001</v>
      </c>
      <c r="AO1247">
        <v>25</v>
      </c>
      <c r="AP1247">
        <v>3500</v>
      </c>
      <c r="AQ1247" t="s">
        <v>131</v>
      </c>
      <c r="AR1247">
        <v>-16</v>
      </c>
      <c r="AS1247">
        <v>84</v>
      </c>
      <c r="AT1247">
        <v>768</v>
      </c>
      <c r="BB1247" t="str">
        <f t="shared" si="484"/>
        <v>1200</v>
      </c>
      <c r="BC1247">
        <v>1</v>
      </c>
      <c r="BD1247" t="str">
        <f t="shared" si="485"/>
        <v xml:space="preserve">N52156  </v>
      </c>
      <c r="BE1247">
        <v>1</v>
      </c>
      <c r="BG1247">
        <v>0</v>
      </c>
      <c r="BH1247">
        <v>0</v>
      </c>
      <c r="BI1247">
        <v>0</v>
      </c>
      <c r="BJ1247">
        <v>3500</v>
      </c>
      <c r="BK1247">
        <v>0</v>
      </c>
      <c r="BL1247" t="s">
        <v>188</v>
      </c>
      <c r="BM1247">
        <v>1</v>
      </c>
      <c r="BN1247">
        <v>1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 t="shared" si="495"/>
        <v>15:07:59.950</v>
      </c>
      <c r="CF1247">
        <v>950204580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4</v>
      </c>
      <c r="CY1247">
        <v>7</v>
      </c>
      <c r="CZ1247" t="s">
        <v>133</v>
      </c>
      <c r="DA1247">
        <v>275</v>
      </c>
      <c r="DB1247">
        <v>0</v>
      </c>
      <c r="DC1247" t="s">
        <v>134</v>
      </c>
      <c r="DD1247" t="s">
        <v>135</v>
      </c>
      <c r="DG1247">
        <v>3320026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"05/01/2025 15:08:00.224"</f>
        <v>05/01/2025 15:08:00.224</v>
      </c>
      <c r="C1248" t="str">
        <f t="shared" si="482"/>
        <v>FFDFD3C0</v>
      </c>
      <c r="D1248" t="s">
        <v>145</v>
      </c>
      <c r="E1248" t="str">
        <f>"09"</f>
        <v>09</v>
      </c>
      <c r="H1248">
        <v>51</v>
      </c>
      <c r="I1248" t="s">
        <v>147</v>
      </c>
      <c r="J1248" t="s">
        <v>138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R1248" t="s">
        <v>127</v>
      </c>
      <c r="S1248" t="str">
        <f t="shared" si="494"/>
        <v>15:07:59.000</v>
      </c>
      <c r="T1248" t="str">
        <f t="shared" si="494"/>
        <v>15:07:59.000</v>
      </c>
      <c r="U1248" t="str">
        <f t="shared" si="483"/>
        <v>A68FCB</v>
      </c>
      <c r="V1248">
        <v>0</v>
      </c>
      <c r="W1248">
        <v>0</v>
      </c>
      <c r="X1248">
        <v>2</v>
      </c>
      <c r="Y1248">
        <v>0</v>
      </c>
      <c r="AA1248">
        <v>1</v>
      </c>
      <c r="AB1248">
        <v>8</v>
      </c>
      <c r="AC1248">
        <v>3</v>
      </c>
      <c r="AD1248">
        <v>0</v>
      </c>
      <c r="AE1248">
        <v>9</v>
      </c>
      <c r="AF1248" t="s">
        <v>138</v>
      </c>
      <c r="AG1248">
        <v>0</v>
      </c>
      <c r="AH1248">
        <v>3</v>
      </c>
      <c r="AI1248">
        <v>2</v>
      </c>
      <c r="AJ1248">
        <v>0</v>
      </c>
      <c r="AK1248" t="s">
        <v>482</v>
      </c>
      <c r="AL1248">
        <v>39.003289000000002</v>
      </c>
      <c r="AM1248" t="s">
        <v>483</v>
      </c>
      <c r="AN1248">
        <v>-121.05401500000001</v>
      </c>
      <c r="AO1248">
        <v>25</v>
      </c>
      <c r="AP1248">
        <v>3500</v>
      </c>
      <c r="AQ1248" t="s">
        <v>131</v>
      </c>
      <c r="AR1248">
        <v>-16</v>
      </c>
      <c r="AS1248">
        <v>84</v>
      </c>
      <c r="AT1248">
        <v>768</v>
      </c>
      <c r="BB1248" t="str">
        <f t="shared" si="484"/>
        <v>1200</v>
      </c>
      <c r="BC1248">
        <v>1</v>
      </c>
      <c r="BD1248" t="str">
        <f t="shared" si="485"/>
        <v xml:space="preserve">N52156  </v>
      </c>
      <c r="BE1248">
        <v>1</v>
      </c>
      <c r="BG1248">
        <v>0</v>
      </c>
      <c r="BH1248">
        <v>0</v>
      </c>
      <c r="BI1248">
        <v>0</v>
      </c>
      <c r="BJ1248">
        <v>3500</v>
      </c>
      <c r="BK1248">
        <v>0</v>
      </c>
      <c r="BL1248" t="s">
        <v>188</v>
      </c>
      <c r="BM1248">
        <v>1</v>
      </c>
      <c r="BN1248">
        <v>1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 t="shared" si="495"/>
        <v>15:07:59.950</v>
      </c>
      <c r="CF1248">
        <v>950204580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4</v>
      </c>
      <c r="CY1248">
        <v>7</v>
      </c>
      <c r="CZ1248" t="s">
        <v>133</v>
      </c>
      <c r="DA1248">
        <v>275</v>
      </c>
      <c r="DB1248">
        <v>0</v>
      </c>
      <c r="DC1248" t="s">
        <v>134</v>
      </c>
      <c r="DD1248" t="s">
        <v>135</v>
      </c>
      <c r="DG1248">
        <v>3320026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"05/01/2025 15:08:00.225"</f>
        <v>05/01/2025 15:08:00.225</v>
      </c>
      <c r="C1249" t="str">
        <f t="shared" si="482"/>
        <v>FFDFD3C0</v>
      </c>
      <c r="D1249" t="s">
        <v>143</v>
      </c>
      <c r="E1249" t="str">
        <f>"05"</f>
        <v>05</v>
      </c>
      <c r="H1249">
        <v>172</v>
      </c>
      <c r="I1249" t="s">
        <v>141</v>
      </c>
      <c r="J1249" t="s">
        <v>144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R1249" t="s">
        <v>127</v>
      </c>
      <c r="S1249" t="str">
        <f t="shared" si="494"/>
        <v>15:07:59.000</v>
      </c>
      <c r="T1249" t="str">
        <f t="shared" si="494"/>
        <v>15:07:59.000</v>
      </c>
      <c r="U1249" t="str">
        <f t="shared" si="483"/>
        <v>A68FCB</v>
      </c>
      <c r="V1249">
        <v>0</v>
      </c>
      <c r="W1249">
        <v>0</v>
      </c>
      <c r="X1249">
        <v>2</v>
      </c>
      <c r="Y1249">
        <v>0</v>
      </c>
      <c r="AA1249">
        <v>1</v>
      </c>
      <c r="AB1249">
        <v>8</v>
      </c>
      <c r="AC1249">
        <v>3</v>
      </c>
      <c r="AD1249">
        <v>0</v>
      </c>
      <c r="AE1249">
        <v>9</v>
      </c>
      <c r="AF1249" t="s">
        <v>138</v>
      </c>
      <c r="AG1249">
        <v>0</v>
      </c>
      <c r="AH1249">
        <v>3</v>
      </c>
      <c r="AI1249">
        <v>2</v>
      </c>
      <c r="AJ1249">
        <v>0</v>
      </c>
      <c r="AK1249" t="s">
        <v>482</v>
      </c>
      <c r="AL1249">
        <v>39.003289000000002</v>
      </c>
      <c r="AM1249" t="s">
        <v>483</v>
      </c>
      <c r="AN1249">
        <v>-121.05401500000001</v>
      </c>
      <c r="AO1249">
        <v>25</v>
      </c>
      <c r="AP1249">
        <v>3500</v>
      </c>
      <c r="AQ1249" t="s">
        <v>131</v>
      </c>
      <c r="AR1249">
        <v>-16</v>
      </c>
      <c r="AS1249">
        <v>84</v>
      </c>
      <c r="AT1249">
        <v>768</v>
      </c>
      <c r="BB1249" t="str">
        <f t="shared" si="484"/>
        <v>1200</v>
      </c>
      <c r="BC1249">
        <v>1</v>
      </c>
      <c r="BD1249" t="str">
        <f t="shared" si="485"/>
        <v xml:space="preserve">N52156  </v>
      </c>
      <c r="BE1249">
        <v>1</v>
      </c>
      <c r="BG1249">
        <v>0</v>
      </c>
      <c r="BH1249">
        <v>0</v>
      </c>
      <c r="BI1249">
        <v>0</v>
      </c>
      <c r="BJ1249">
        <v>3500</v>
      </c>
      <c r="BK1249">
        <v>0</v>
      </c>
      <c r="BL1249" t="s">
        <v>188</v>
      </c>
      <c r="BM1249">
        <v>1</v>
      </c>
      <c r="BN1249">
        <v>1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 t="shared" si="495"/>
        <v>15:07:59.950</v>
      </c>
      <c r="CF1249">
        <v>950204580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4</v>
      </c>
      <c r="CY1249">
        <v>7</v>
      </c>
      <c r="CZ1249" t="s">
        <v>133</v>
      </c>
      <c r="DA1249">
        <v>275</v>
      </c>
      <c r="DB1249">
        <v>0</v>
      </c>
      <c r="DC1249" t="s">
        <v>134</v>
      </c>
      <c r="DD1249" t="s">
        <v>135</v>
      </c>
      <c r="DG1249">
        <v>3320026</v>
      </c>
      <c r="DI1249">
        <v>1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"05/01/2025 15:08:01.168"</f>
        <v>05/01/2025 15:08:01.168</v>
      </c>
      <c r="C1250" t="str">
        <f t="shared" si="482"/>
        <v>FFDFD3C0</v>
      </c>
      <c r="D1250" t="s">
        <v>140</v>
      </c>
      <c r="E1250" t="str">
        <f>"13"</f>
        <v>13</v>
      </c>
      <c r="F1250">
        <v>1019</v>
      </c>
      <c r="G1250" t="s">
        <v>141</v>
      </c>
      <c r="J1250" t="s">
        <v>142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R1250" t="s">
        <v>127</v>
      </c>
      <c r="S1250" t="str">
        <f t="shared" ref="S1250:T1255" si="496">"15:08:00.000"</f>
        <v>15:08:00.000</v>
      </c>
      <c r="T1250" t="str">
        <f t="shared" si="496"/>
        <v>15:08:00.000</v>
      </c>
      <c r="U1250" t="str">
        <f t="shared" si="483"/>
        <v>A68FCB</v>
      </c>
      <c r="V1250">
        <v>0</v>
      </c>
      <c r="W1250">
        <v>0</v>
      </c>
      <c r="X1250">
        <v>2</v>
      </c>
      <c r="Y1250">
        <v>0</v>
      </c>
      <c r="AA1250">
        <v>1</v>
      </c>
      <c r="AB1250">
        <v>8</v>
      </c>
      <c r="AC1250">
        <v>3</v>
      </c>
      <c r="AD1250">
        <v>0</v>
      </c>
      <c r="AE1250">
        <v>9</v>
      </c>
      <c r="AF1250" t="s">
        <v>138</v>
      </c>
      <c r="AG1250">
        <v>0</v>
      </c>
      <c r="AH1250">
        <v>3</v>
      </c>
      <c r="AI1250">
        <v>2</v>
      </c>
      <c r="AJ1250">
        <v>0</v>
      </c>
      <c r="AK1250" t="s">
        <v>484</v>
      </c>
      <c r="AL1250">
        <v>39.003675000000001</v>
      </c>
      <c r="AM1250" t="s">
        <v>485</v>
      </c>
      <c r="AN1250">
        <v>-121.054101</v>
      </c>
      <c r="AO1250">
        <v>25</v>
      </c>
      <c r="AP1250">
        <v>3600</v>
      </c>
      <c r="AQ1250" t="s">
        <v>131</v>
      </c>
      <c r="AR1250">
        <v>-15</v>
      </c>
      <c r="AS1250">
        <v>84</v>
      </c>
      <c r="AT1250">
        <v>704</v>
      </c>
      <c r="BB1250" t="str">
        <f t="shared" si="484"/>
        <v>1200</v>
      </c>
      <c r="BC1250">
        <v>1</v>
      </c>
      <c r="BD1250" t="str">
        <f t="shared" si="485"/>
        <v xml:space="preserve">N52156  </v>
      </c>
      <c r="BE1250">
        <v>1</v>
      </c>
      <c r="BG1250">
        <v>0</v>
      </c>
      <c r="BH1250">
        <v>0</v>
      </c>
      <c r="BI1250">
        <v>0</v>
      </c>
      <c r="BJ1250">
        <v>3500</v>
      </c>
      <c r="BK1250">
        <v>-100</v>
      </c>
      <c r="BL1250" t="s">
        <v>188</v>
      </c>
      <c r="BM1250">
        <v>1</v>
      </c>
      <c r="BN1250">
        <v>1</v>
      </c>
      <c r="BO1250">
        <v>0</v>
      </c>
      <c r="BP1250">
        <v>0</v>
      </c>
      <c r="BS1250">
        <v>0</v>
      </c>
      <c r="BT1250">
        <v>0</v>
      </c>
      <c r="BU1250">
        <v>0</v>
      </c>
      <c r="CE1250" t="str">
        <f t="shared" ref="CE1250:CE1255" si="497">"15:08:00.944"</f>
        <v>15:08:00.944</v>
      </c>
      <c r="CF1250">
        <v>943954809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4</v>
      </c>
      <c r="CY1250">
        <v>7</v>
      </c>
      <c r="CZ1250" t="s">
        <v>133</v>
      </c>
      <c r="DA1250">
        <v>275</v>
      </c>
      <c r="DB1250">
        <v>0</v>
      </c>
      <c r="DC1250" t="s">
        <v>134</v>
      </c>
      <c r="DD1250" t="s">
        <v>135</v>
      </c>
      <c r="DG1250">
        <v>3320035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"05/01/2025 15:08:01.171"</f>
        <v>05/01/2025 15:08:01.171</v>
      </c>
      <c r="C1251" t="str">
        <f t="shared" si="482"/>
        <v>FFDFD3C0</v>
      </c>
      <c r="D1251" t="s">
        <v>145</v>
      </c>
      <c r="E1251" t="str">
        <f>"05"</f>
        <v>05</v>
      </c>
      <c r="H1251">
        <v>47</v>
      </c>
      <c r="I1251" t="s">
        <v>146</v>
      </c>
      <c r="J1251" t="s">
        <v>138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R1251" t="s">
        <v>127</v>
      </c>
      <c r="S1251" t="str">
        <f t="shared" si="496"/>
        <v>15:08:00.000</v>
      </c>
      <c r="T1251" t="str">
        <f t="shared" si="496"/>
        <v>15:08:00.000</v>
      </c>
      <c r="U1251" t="str">
        <f t="shared" si="483"/>
        <v>A68FCB</v>
      </c>
      <c r="V1251">
        <v>0</v>
      </c>
      <c r="W1251">
        <v>0</v>
      </c>
      <c r="X1251">
        <v>2</v>
      </c>
      <c r="Y1251">
        <v>0</v>
      </c>
      <c r="AA1251">
        <v>1</v>
      </c>
      <c r="AB1251">
        <v>8</v>
      </c>
      <c r="AC1251">
        <v>3</v>
      </c>
      <c r="AD1251">
        <v>0</v>
      </c>
      <c r="AE1251">
        <v>9</v>
      </c>
      <c r="AF1251" t="s">
        <v>138</v>
      </c>
      <c r="AG1251">
        <v>0</v>
      </c>
      <c r="AH1251">
        <v>3</v>
      </c>
      <c r="AI1251">
        <v>2</v>
      </c>
      <c r="AJ1251">
        <v>0</v>
      </c>
      <c r="AK1251" t="s">
        <v>484</v>
      </c>
      <c r="AL1251">
        <v>39.003675000000001</v>
      </c>
      <c r="AM1251" t="s">
        <v>485</v>
      </c>
      <c r="AN1251">
        <v>-121.054101</v>
      </c>
      <c r="AO1251">
        <v>25</v>
      </c>
      <c r="AP1251">
        <v>3600</v>
      </c>
      <c r="AQ1251" t="s">
        <v>131</v>
      </c>
      <c r="AR1251">
        <v>-15</v>
      </c>
      <c r="AS1251">
        <v>84</v>
      </c>
      <c r="AT1251">
        <v>704</v>
      </c>
      <c r="BB1251" t="str">
        <f t="shared" si="484"/>
        <v>1200</v>
      </c>
      <c r="BC1251">
        <v>1</v>
      </c>
      <c r="BD1251" t="str">
        <f t="shared" si="485"/>
        <v xml:space="preserve">N52156  </v>
      </c>
      <c r="BE1251">
        <v>1</v>
      </c>
      <c r="BG1251">
        <v>0</v>
      </c>
      <c r="BH1251">
        <v>0</v>
      </c>
      <c r="BI1251">
        <v>0</v>
      </c>
      <c r="BJ1251">
        <v>3500</v>
      </c>
      <c r="BK1251">
        <v>-100</v>
      </c>
      <c r="BL1251" t="s">
        <v>188</v>
      </c>
      <c r="BM1251">
        <v>1</v>
      </c>
      <c r="BN1251">
        <v>1</v>
      </c>
      <c r="BO1251">
        <v>0</v>
      </c>
      <c r="BP1251">
        <v>0</v>
      </c>
      <c r="BS1251">
        <v>0</v>
      </c>
      <c r="BT1251">
        <v>0</v>
      </c>
      <c r="BU1251">
        <v>0</v>
      </c>
      <c r="CE1251" t="str">
        <f t="shared" si="497"/>
        <v>15:08:00.944</v>
      </c>
      <c r="CF1251">
        <v>943954809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4</v>
      </c>
      <c r="CY1251">
        <v>7</v>
      </c>
      <c r="CZ1251" t="s">
        <v>133</v>
      </c>
      <c r="DA1251">
        <v>275</v>
      </c>
      <c r="DB1251">
        <v>0</v>
      </c>
      <c r="DC1251" t="s">
        <v>134</v>
      </c>
      <c r="DD1251" t="s">
        <v>135</v>
      </c>
      <c r="DG1251">
        <v>3320035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"05/01/2025 15:08:01.174"</f>
        <v>05/01/2025 15:08:01.174</v>
      </c>
      <c r="C1252" t="str">
        <f t="shared" si="482"/>
        <v>FFDFD3C0</v>
      </c>
      <c r="D1252" t="s">
        <v>124</v>
      </c>
      <c r="E1252" t="str">
        <f>"06"</f>
        <v>06</v>
      </c>
      <c r="F1252">
        <v>2006</v>
      </c>
      <c r="G1252" t="s">
        <v>125</v>
      </c>
      <c r="J1252" t="s">
        <v>126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R1252" t="s">
        <v>127</v>
      </c>
      <c r="S1252" t="str">
        <f t="shared" si="496"/>
        <v>15:08:00.000</v>
      </c>
      <c r="T1252" t="str">
        <f t="shared" si="496"/>
        <v>15:08:00.000</v>
      </c>
      <c r="U1252" t="str">
        <f t="shared" si="483"/>
        <v>A68FCB</v>
      </c>
      <c r="V1252">
        <v>0</v>
      </c>
      <c r="W1252">
        <v>0</v>
      </c>
      <c r="X1252">
        <v>2</v>
      </c>
      <c r="Y1252">
        <v>0</v>
      </c>
      <c r="AA1252">
        <v>1</v>
      </c>
      <c r="AB1252">
        <v>8</v>
      </c>
      <c r="AC1252">
        <v>3</v>
      </c>
      <c r="AD1252">
        <v>0</v>
      </c>
      <c r="AE1252">
        <v>9</v>
      </c>
      <c r="AF1252" t="s">
        <v>138</v>
      </c>
      <c r="AG1252">
        <v>0</v>
      </c>
      <c r="AH1252">
        <v>3</v>
      </c>
      <c r="AI1252">
        <v>2</v>
      </c>
      <c r="AJ1252">
        <v>0</v>
      </c>
      <c r="AK1252" t="s">
        <v>484</v>
      </c>
      <c r="AL1252">
        <v>39.003675000000001</v>
      </c>
      <c r="AM1252" t="s">
        <v>485</v>
      </c>
      <c r="AN1252">
        <v>-121.054101</v>
      </c>
      <c r="AO1252">
        <v>25</v>
      </c>
      <c r="AP1252">
        <v>3600</v>
      </c>
      <c r="AQ1252" t="s">
        <v>131</v>
      </c>
      <c r="AR1252">
        <v>-15</v>
      </c>
      <c r="AS1252">
        <v>84</v>
      </c>
      <c r="AT1252">
        <v>704</v>
      </c>
      <c r="BB1252" t="str">
        <f t="shared" si="484"/>
        <v>1200</v>
      </c>
      <c r="BC1252">
        <v>1</v>
      </c>
      <c r="BD1252" t="str">
        <f t="shared" si="485"/>
        <v xml:space="preserve">N52156  </v>
      </c>
      <c r="BE1252">
        <v>1</v>
      </c>
      <c r="BG1252">
        <v>0</v>
      </c>
      <c r="BH1252">
        <v>0</v>
      </c>
      <c r="BI1252">
        <v>0</v>
      </c>
      <c r="BJ1252">
        <v>3500</v>
      </c>
      <c r="BK1252">
        <v>-100</v>
      </c>
      <c r="BL1252" t="s">
        <v>188</v>
      </c>
      <c r="BM1252">
        <v>1</v>
      </c>
      <c r="BN1252">
        <v>1</v>
      </c>
      <c r="BO1252">
        <v>0</v>
      </c>
      <c r="BP1252">
        <v>0</v>
      </c>
      <c r="BS1252">
        <v>0</v>
      </c>
      <c r="BT1252">
        <v>0</v>
      </c>
      <c r="BU1252">
        <v>0</v>
      </c>
      <c r="CE1252" t="str">
        <f t="shared" si="497"/>
        <v>15:08:00.944</v>
      </c>
      <c r="CF1252">
        <v>943954809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4</v>
      </c>
      <c r="CY1252">
        <v>7</v>
      </c>
      <c r="CZ1252" t="s">
        <v>133</v>
      </c>
      <c r="DA1252">
        <v>275</v>
      </c>
      <c r="DB1252">
        <v>0</v>
      </c>
      <c r="DC1252" t="s">
        <v>134</v>
      </c>
      <c r="DD1252" t="s">
        <v>135</v>
      </c>
      <c r="DG1252">
        <v>3320035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"05/01/2025 15:08:01.176"</f>
        <v>05/01/2025 15:08:01.176</v>
      </c>
      <c r="C1253" t="str">
        <f t="shared" si="482"/>
        <v>FFDFD3C0</v>
      </c>
      <c r="D1253" t="s">
        <v>145</v>
      </c>
      <c r="E1253" t="str">
        <f>"09"</f>
        <v>09</v>
      </c>
      <c r="H1253">
        <v>51</v>
      </c>
      <c r="I1253" t="s">
        <v>147</v>
      </c>
      <c r="J1253" t="s">
        <v>138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R1253" t="s">
        <v>127</v>
      </c>
      <c r="S1253" t="str">
        <f t="shared" si="496"/>
        <v>15:08:00.000</v>
      </c>
      <c r="T1253" t="str">
        <f t="shared" si="496"/>
        <v>15:08:00.000</v>
      </c>
      <c r="U1253" t="str">
        <f t="shared" si="483"/>
        <v>A68FCB</v>
      </c>
      <c r="V1253">
        <v>0</v>
      </c>
      <c r="W1253">
        <v>0</v>
      </c>
      <c r="X1253">
        <v>2</v>
      </c>
      <c r="Y1253">
        <v>0</v>
      </c>
      <c r="AA1253">
        <v>1</v>
      </c>
      <c r="AB1253">
        <v>8</v>
      </c>
      <c r="AC1253">
        <v>3</v>
      </c>
      <c r="AD1253">
        <v>0</v>
      </c>
      <c r="AE1253">
        <v>9</v>
      </c>
      <c r="AF1253" t="s">
        <v>138</v>
      </c>
      <c r="AG1253">
        <v>0</v>
      </c>
      <c r="AH1253">
        <v>3</v>
      </c>
      <c r="AI1253">
        <v>2</v>
      </c>
      <c r="AJ1253">
        <v>0</v>
      </c>
      <c r="AK1253" t="s">
        <v>484</v>
      </c>
      <c r="AL1253">
        <v>39.003675000000001</v>
      </c>
      <c r="AM1253" t="s">
        <v>485</v>
      </c>
      <c r="AN1253">
        <v>-121.054101</v>
      </c>
      <c r="AO1253">
        <v>25</v>
      </c>
      <c r="AP1253">
        <v>3600</v>
      </c>
      <c r="AQ1253" t="s">
        <v>131</v>
      </c>
      <c r="AR1253">
        <v>-15</v>
      </c>
      <c r="AS1253">
        <v>84</v>
      </c>
      <c r="AT1253">
        <v>704</v>
      </c>
      <c r="BB1253" t="str">
        <f t="shared" si="484"/>
        <v>1200</v>
      </c>
      <c r="BC1253">
        <v>1</v>
      </c>
      <c r="BD1253" t="str">
        <f t="shared" si="485"/>
        <v xml:space="preserve">N52156  </v>
      </c>
      <c r="BE1253">
        <v>1</v>
      </c>
      <c r="BG1253">
        <v>0</v>
      </c>
      <c r="BH1253">
        <v>0</v>
      </c>
      <c r="BI1253">
        <v>0</v>
      </c>
      <c r="BJ1253">
        <v>3500</v>
      </c>
      <c r="BK1253">
        <v>-100</v>
      </c>
      <c r="BL1253" t="s">
        <v>188</v>
      </c>
      <c r="BM1253">
        <v>1</v>
      </c>
      <c r="BN1253">
        <v>1</v>
      </c>
      <c r="BO1253">
        <v>0</v>
      </c>
      <c r="BP1253">
        <v>0</v>
      </c>
      <c r="BS1253">
        <v>0</v>
      </c>
      <c r="BT1253">
        <v>0</v>
      </c>
      <c r="BU1253">
        <v>0</v>
      </c>
      <c r="CE1253" t="str">
        <f t="shared" si="497"/>
        <v>15:08:00.944</v>
      </c>
      <c r="CF1253">
        <v>943954809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4</v>
      </c>
      <c r="CY1253">
        <v>7</v>
      </c>
      <c r="CZ1253" t="s">
        <v>133</v>
      </c>
      <c r="DA1253">
        <v>275</v>
      </c>
      <c r="DB1253">
        <v>0</v>
      </c>
      <c r="DC1253" t="s">
        <v>134</v>
      </c>
      <c r="DD1253" t="s">
        <v>135</v>
      </c>
      <c r="DG1253">
        <v>3320035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"05/01/2025 15:08:01.177"</f>
        <v>05/01/2025 15:08:01.177</v>
      </c>
      <c r="C1254" t="str">
        <f t="shared" si="482"/>
        <v>FFDFD3C0</v>
      </c>
      <c r="D1254" t="s">
        <v>143</v>
      </c>
      <c r="E1254" t="str">
        <f>"05"</f>
        <v>05</v>
      </c>
      <c r="H1254">
        <v>172</v>
      </c>
      <c r="I1254" t="s">
        <v>141</v>
      </c>
      <c r="J1254" t="s">
        <v>144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R1254" t="s">
        <v>127</v>
      </c>
      <c r="S1254" t="str">
        <f t="shared" si="496"/>
        <v>15:08:00.000</v>
      </c>
      <c r="T1254" t="str">
        <f t="shared" si="496"/>
        <v>15:08:00.000</v>
      </c>
      <c r="U1254" t="str">
        <f t="shared" si="483"/>
        <v>A68FCB</v>
      </c>
      <c r="V1254">
        <v>0</v>
      </c>
      <c r="W1254">
        <v>0</v>
      </c>
      <c r="X1254">
        <v>2</v>
      </c>
      <c r="Y1254">
        <v>0</v>
      </c>
      <c r="AA1254">
        <v>1</v>
      </c>
      <c r="AB1254">
        <v>8</v>
      </c>
      <c r="AC1254">
        <v>3</v>
      </c>
      <c r="AD1254">
        <v>0</v>
      </c>
      <c r="AE1254">
        <v>9</v>
      </c>
      <c r="AF1254" t="s">
        <v>138</v>
      </c>
      <c r="AG1254">
        <v>0</v>
      </c>
      <c r="AH1254">
        <v>3</v>
      </c>
      <c r="AI1254">
        <v>2</v>
      </c>
      <c r="AJ1254">
        <v>0</v>
      </c>
      <c r="AK1254" t="s">
        <v>484</v>
      </c>
      <c r="AL1254">
        <v>39.003675000000001</v>
      </c>
      <c r="AM1254" t="s">
        <v>485</v>
      </c>
      <c r="AN1254">
        <v>-121.054101</v>
      </c>
      <c r="AO1254">
        <v>25</v>
      </c>
      <c r="AP1254">
        <v>3600</v>
      </c>
      <c r="AQ1254" t="s">
        <v>131</v>
      </c>
      <c r="AR1254">
        <v>-15</v>
      </c>
      <c r="AS1254">
        <v>84</v>
      </c>
      <c r="AT1254">
        <v>704</v>
      </c>
      <c r="BB1254" t="str">
        <f t="shared" si="484"/>
        <v>1200</v>
      </c>
      <c r="BC1254">
        <v>1</v>
      </c>
      <c r="BD1254" t="str">
        <f t="shared" si="485"/>
        <v xml:space="preserve">N52156  </v>
      </c>
      <c r="BE1254">
        <v>1</v>
      </c>
      <c r="BG1254">
        <v>0</v>
      </c>
      <c r="BH1254">
        <v>0</v>
      </c>
      <c r="BI1254">
        <v>0</v>
      </c>
      <c r="BJ1254">
        <v>3500</v>
      </c>
      <c r="BK1254">
        <v>-100</v>
      </c>
      <c r="BL1254" t="s">
        <v>188</v>
      </c>
      <c r="BM1254">
        <v>1</v>
      </c>
      <c r="BN1254">
        <v>1</v>
      </c>
      <c r="BO1254">
        <v>0</v>
      </c>
      <c r="BP1254">
        <v>0</v>
      </c>
      <c r="BS1254">
        <v>0</v>
      </c>
      <c r="BT1254">
        <v>0</v>
      </c>
      <c r="BU1254">
        <v>0</v>
      </c>
      <c r="CE1254" t="str">
        <f t="shared" si="497"/>
        <v>15:08:00.944</v>
      </c>
      <c r="CF1254">
        <v>943954809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4</v>
      </c>
      <c r="CY1254">
        <v>7</v>
      </c>
      <c r="CZ1254" t="s">
        <v>133</v>
      </c>
      <c r="DA1254">
        <v>275</v>
      </c>
      <c r="DB1254">
        <v>0</v>
      </c>
      <c r="DC1254" t="s">
        <v>134</v>
      </c>
      <c r="DD1254" t="s">
        <v>135</v>
      </c>
      <c r="DG1254">
        <v>3320035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"05/01/2025 15:08:01.184"</f>
        <v>05/01/2025 15:08:01.184</v>
      </c>
      <c r="C1255" t="str">
        <f t="shared" si="482"/>
        <v>FFDFD3C0</v>
      </c>
      <c r="D1255" t="s">
        <v>136</v>
      </c>
      <c r="E1255" t="str">
        <f>"20"</f>
        <v>20</v>
      </c>
      <c r="H1255">
        <v>400</v>
      </c>
      <c r="I1255" t="s">
        <v>137</v>
      </c>
      <c r="J1255" t="s">
        <v>138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R1255" t="s">
        <v>127</v>
      </c>
      <c r="S1255" t="str">
        <f t="shared" si="496"/>
        <v>15:08:00.000</v>
      </c>
      <c r="T1255" t="str">
        <f t="shared" si="496"/>
        <v>15:08:00.000</v>
      </c>
      <c r="U1255" t="str">
        <f t="shared" si="483"/>
        <v>A68FCB</v>
      </c>
      <c r="V1255">
        <v>0</v>
      </c>
      <c r="W1255">
        <v>0</v>
      </c>
      <c r="X1255">
        <v>2</v>
      </c>
      <c r="Y1255">
        <v>0</v>
      </c>
      <c r="AA1255">
        <v>1</v>
      </c>
      <c r="AB1255">
        <v>8</v>
      </c>
      <c r="AC1255">
        <v>3</v>
      </c>
      <c r="AD1255">
        <v>0</v>
      </c>
      <c r="AE1255">
        <v>9</v>
      </c>
      <c r="AF1255" t="s">
        <v>138</v>
      </c>
      <c r="AG1255">
        <v>0</v>
      </c>
      <c r="AH1255">
        <v>3</v>
      </c>
      <c r="AI1255">
        <v>2</v>
      </c>
      <c r="AJ1255">
        <v>0</v>
      </c>
      <c r="AK1255" t="s">
        <v>484</v>
      </c>
      <c r="AL1255">
        <v>39.003675000000001</v>
      </c>
      <c r="AM1255" t="s">
        <v>485</v>
      </c>
      <c r="AN1255">
        <v>-121.054101</v>
      </c>
      <c r="AO1255">
        <v>25</v>
      </c>
      <c r="AP1255">
        <v>3600</v>
      </c>
      <c r="AQ1255" t="s">
        <v>131</v>
      </c>
      <c r="AR1255">
        <v>-15</v>
      </c>
      <c r="AS1255">
        <v>84</v>
      </c>
      <c r="AT1255">
        <v>704</v>
      </c>
      <c r="BB1255" t="str">
        <f t="shared" si="484"/>
        <v>1200</v>
      </c>
      <c r="BC1255">
        <v>1</v>
      </c>
      <c r="BD1255" t="str">
        <f t="shared" si="485"/>
        <v xml:space="preserve">N52156  </v>
      </c>
      <c r="BE1255">
        <v>1</v>
      </c>
      <c r="BG1255">
        <v>0</v>
      </c>
      <c r="BH1255">
        <v>0</v>
      </c>
      <c r="BI1255">
        <v>0</v>
      </c>
      <c r="BJ1255">
        <v>3500</v>
      </c>
      <c r="BK1255">
        <v>-100</v>
      </c>
      <c r="BL1255" t="s">
        <v>188</v>
      </c>
      <c r="BM1255">
        <v>1</v>
      </c>
      <c r="BN1255">
        <v>1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 t="shared" si="497"/>
        <v>15:08:00.944</v>
      </c>
      <c r="CF1255">
        <v>943954809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4</v>
      </c>
      <c r="CY1255">
        <v>7</v>
      </c>
      <c r="CZ1255" t="s">
        <v>133</v>
      </c>
      <c r="DA1255">
        <v>275</v>
      </c>
      <c r="DB1255">
        <v>0</v>
      </c>
      <c r="DC1255" t="s">
        <v>134</v>
      </c>
      <c r="DD1255" t="s">
        <v>135</v>
      </c>
      <c r="DG1255">
        <v>3320035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"05/01/2025 15:08:01.836"</f>
        <v>05/01/2025 15:08:01.836</v>
      </c>
      <c r="C1256" t="str">
        <f t="shared" si="482"/>
        <v>FFDFD3C0</v>
      </c>
      <c r="D1256" t="s">
        <v>136</v>
      </c>
      <c r="E1256" t="str">
        <f>"20"</f>
        <v>20</v>
      </c>
      <c r="H1256">
        <v>400</v>
      </c>
      <c r="I1256" t="s">
        <v>137</v>
      </c>
      <c r="J1256" t="s">
        <v>138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R1256" t="s">
        <v>127</v>
      </c>
      <c r="S1256" t="str">
        <f t="shared" ref="S1256:T1261" si="498">"15:08:01.000"</f>
        <v>15:08:01.000</v>
      </c>
      <c r="T1256" t="str">
        <f t="shared" si="498"/>
        <v>15:08:01.000</v>
      </c>
      <c r="U1256" t="str">
        <f t="shared" si="483"/>
        <v>A68FCB</v>
      </c>
      <c r="V1256">
        <v>0</v>
      </c>
      <c r="W1256">
        <v>0</v>
      </c>
      <c r="X1256">
        <v>2</v>
      </c>
      <c r="Y1256">
        <v>0</v>
      </c>
      <c r="AA1256">
        <v>1</v>
      </c>
      <c r="AB1256">
        <v>8</v>
      </c>
      <c r="AC1256">
        <v>3</v>
      </c>
      <c r="AD1256">
        <v>0</v>
      </c>
      <c r="AE1256">
        <v>9</v>
      </c>
      <c r="AF1256" t="s">
        <v>138</v>
      </c>
      <c r="AG1256">
        <v>0</v>
      </c>
      <c r="AH1256">
        <v>3</v>
      </c>
      <c r="AI1256">
        <v>2</v>
      </c>
      <c r="AJ1256">
        <v>0</v>
      </c>
      <c r="AK1256" t="s">
        <v>486</v>
      </c>
      <c r="AL1256">
        <v>39.004061</v>
      </c>
      <c r="AM1256" t="s">
        <v>487</v>
      </c>
      <c r="AN1256">
        <v>-121.054208</v>
      </c>
      <c r="AO1256">
        <v>25</v>
      </c>
      <c r="AP1256">
        <v>3600</v>
      </c>
      <c r="AQ1256" t="s">
        <v>131</v>
      </c>
      <c r="AR1256">
        <v>-15</v>
      </c>
      <c r="AS1256">
        <v>84</v>
      </c>
      <c r="AT1256">
        <v>704</v>
      </c>
      <c r="BB1256" t="str">
        <f t="shared" si="484"/>
        <v>1200</v>
      </c>
      <c r="BC1256">
        <v>1</v>
      </c>
      <c r="BD1256" t="str">
        <f t="shared" si="485"/>
        <v xml:space="preserve">N52156  </v>
      </c>
      <c r="BE1256">
        <v>1</v>
      </c>
      <c r="BG1256">
        <v>0</v>
      </c>
      <c r="BH1256">
        <v>0</v>
      </c>
      <c r="BI1256">
        <v>0</v>
      </c>
      <c r="BJ1256">
        <v>3525</v>
      </c>
      <c r="BK1256">
        <v>-75</v>
      </c>
      <c r="BL1256" t="s">
        <v>188</v>
      </c>
      <c r="BM1256">
        <v>1</v>
      </c>
      <c r="BN1256">
        <v>1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 t="shared" ref="CE1256:CE1261" si="499">"15:08:01.632"</f>
        <v>15:08:01.632</v>
      </c>
      <c r="CF1256">
        <v>632204052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4</v>
      </c>
      <c r="CY1256">
        <v>7</v>
      </c>
      <c r="CZ1256" t="s">
        <v>133</v>
      </c>
      <c r="DA1256">
        <v>275</v>
      </c>
      <c r="DB1256">
        <v>0</v>
      </c>
      <c r="DC1256" t="s">
        <v>134</v>
      </c>
      <c r="DD1256" t="s">
        <v>135</v>
      </c>
      <c r="DG1256">
        <v>3320047</v>
      </c>
      <c r="DI1256">
        <v>1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"05/01/2025 15:08:01.870"</f>
        <v>05/01/2025 15:08:01.870</v>
      </c>
      <c r="C1257" t="str">
        <f t="shared" si="482"/>
        <v>FFDFD3C0</v>
      </c>
      <c r="D1257" t="s">
        <v>140</v>
      </c>
      <c r="E1257" t="str">
        <f>"13"</f>
        <v>13</v>
      </c>
      <c r="F1257">
        <v>1019</v>
      </c>
      <c r="G1257" t="s">
        <v>141</v>
      </c>
      <c r="J1257" t="s">
        <v>142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R1257" t="s">
        <v>127</v>
      </c>
      <c r="S1257" t="str">
        <f t="shared" si="498"/>
        <v>15:08:01.000</v>
      </c>
      <c r="T1257" t="str">
        <f t="shared" si="498"/>
        <v>15:08:01.000</v>
      </c>
      <c r="U1257" t="str">
        <f t="shared" si="483"/>
        <v>A68FCB</v>
      </c>
      <c r="V1257">
        <v>0</v>
      </c>
      <c r="W1257">
        <v>0</v>
      </c>
      <c r="X1257">
        <v>2</v>
      </c>
      <c r="Y1257">
        <v>0</v>
      </c>
      <c r="AA1257">
        <v>1</v>
      </c>
      <c r="AB1257">
        <v>8</v>
      </c>
      <c r="AC1257">
        <v>3</v>
      </c>
      <c r="AD1257">
        <v>0</v>
      </c>
      <c r="AE1257">
        <v>9</v>
      </c>
      <c r="AF1257" t="s">
        <v>138</v>
      </c>
      <c r="AG1257">
        <v>0</v>
      </c>
      <c r="AH1257">
        <v>3</v>
      </c>
      <c r="AI1257">
        <v>2</v>
      </c>
      <c r="AJ1257">
        <v>0</v>
      </c>
      <c r="AK1257" t="s">
        <v>486</v>
      </c>
      <c r="AL1257">
        <v>39.004061</v>
      </c>
      <c r="AM1257" t="s">
        <v>487</v>
      </c>
      <c r="AN1257">
        <v>-121.054208</v>
      </c>
      <c r="AO1257">
        <v>25</v>
      </c>
      <c r="AP1257">
        <v>3600</v>
      </c>
      <c r="AQ1257" t="s">
        <v>131</v>
      </c>
      <c r="AR1257">
        <v>-15</v>
      </c>
      <c r="AS1257">
        <v>84</v>
      </c>
      <c r="AT1257">
        <v>704</v>
      </c>
      <c r="BB1257" t="str">
        <f t="shared" si="484"/>
        <v>1200</v>
      </c>
      <c r="BC1257">
        <v>1</v>
      </c>
      <c r="BD1257" t="str">
        <f t="shared" si="485"/>
        <v xml:space="preserve">N52156  </v>
      </c>
      <c r="BE1257">
        <v>1</v>
      </c>
      <c r="BG1257">
        <v>0</v>
      </c>
      <c r="BH1257">
        <v>0</v>
      </c>
      <c r="BI1257">
        <v>0</v>
      </c>
      <c r="BJ1257">
        <v>3525</v>
      </c>
      <c r="BK1257">
        <v>-75</v>
      </c>
      <c r="BL1257" t="s">
        <v>188</v>
      </c>
      <c r="BM1257">
        <v>1</v>
      </c>
      <c r="BN1257">
        <v>1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 t="shared" si="499"/>
        <v>15:08:01.632</v>
      </c>
      <c r="CF1257">
        <v>632204052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4</v>
      </c>
      <c r="CY1257">
        <v>7</v>
      </c>
      <c r="CZ1257" t="s">
        <v>133</v>
      </c>
      <c r="DA1257">
        <v>275</v>
      </c>
      <c r="DB1257">
        <v>0</v>
      </c>
      <c r="DC1257" t="s">
        <v>134</v>
      </c>
      <c r="DD1257" t="s">
        <v>135</v>
      </c>
      <c r="DG1257">
        <v>3320047</v>
      </c>
      <c r="DI1257">
        <v>1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"05/01/2025 15:08:01.872"</f>
        <v>05/01/2025 15:08:01.872</v>
      </c>
      <c r="C1258" t="str">
        <f t="shared" si="482"/>
        <v>FFDFD3C0</v>
      </c>
      <c r="D1258" t="s">
        <v>145</v>
      </c>
      <c r="E1258" t="str">
        <f>"05"</f>
        <v>05</v>
      </c>
      <c r="H1258">
        <v>47</v>
      </c>
      <c r="I1258" t="s">
        <v>146</v>
      </c>
      <c r="J1258" t="s">
        <v>138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R1258" t="s">
        <v>127</v>
      </c>
      <c r="S1258" t="str">
        <f t="shared" si="498"/>
        <v>15:08:01.000</v>
      </c>
      <c r="T1258" t="str">
        <f t="shared" si="498"/>
        <v>15:08:01.000</v>
      </c>
      <c r="U1258" t="str">
        <f t="shared" si="483"/>
        <v>A68FCB</v>
      </c>
      <c r="V1258">
        <v>0</v>
      </c>
      <c r="W1258">
        <v>0</v>
      </c>
      <c r="X1258">
        <v>2</v>
      </c>
      <c r="Y1258">
        <v>0</v>
      </c>
      <c r="AA1258">
        <v>1</v>
      </c>
      <c r="AB1258">
        <v>8</v>
      </c>
      <c r="AC1258">
        <v>3</v>
      </c>
      <c r="AD1258">
        <v>0</v>
      </c>
      <c r="AE1258">
        <v>9</v>
      </c>
      <c r="AF1258" t="s">
        <v>138</v>
      </c>
      <c r="AG1258">
        <v>0</v>
      </c>
      <c r="AH1258">
        <v>3</v>
      </c>
      <c r="AI1258">
        <v>2</v>
      </c>
      <c r="AJ1258">
        <v>0</v>
      </c>
      <c r="AK1258" t="s">
        <v>486</v>
      </c>
      <c r="AL1258">
        <v>39.004061</v>
      </c>
      <c r="AM1258" t="s">
        <v>487</v>
      </c>
      <c r="AN1258">
        <v>-121.054208</v>
      </c>
      <c r="AO1258">
        <v>25</v>
      </c>
      <c r="AP1258">
        <v>3600</v>
      </c>
      <c r="AQ1258" t="s">
        <v>131</v>
      </c>
      <c r="AR1258">
        <v>-15</v>
      </c>
      <c r="AS1258">
        <v>84</v>
      </c>
      <c r="AT1258">
        <v>704</v>
      </c>
      <c r="BB1258" t="str">
        <f t="shared" si="484"/>
        <v>1200</v>
      </c>
      <c r="BC1258">
        <v>1</v>
      </c>
      <c r="BD1258" t="str">
        <f t="shared" si="485"/>
        <v xml:space="preserve">N52156  </v>
      </c>
      <c r="BE1258">
        <v>1</v>
      </c>
      <c r="BG1258">
        <v>0</v>
      </c>
      <c r="BH1258">
        <v>0</v>
      </c>
      <c r="BI1258">
        <v>0</v>
      </c>
      <c r="BJ1258">
        <v>3525</v>
      </c>
      <c r="BK1258">
        <v>-75</v>
      </c>
      <c r="BL1258" t="s">
        <v>188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 t="shared" si="499"/>
        <v>15:08:01.632</v>
      </c>
      <c r="CF1258">
        <v>632204052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4</v>
      </c>
      <c r="CY1258">
        <v>7</v>
      </c>
      <c r="CZ1258" t="s">
        <v>133</v>
      </c>
      <c r="DA1258">
        <v>275</v>
      </c>
      <c r="DB1258">
        <v>0</v>
      </c>
      <c r="DC1258" t="s">
        <v>134</v>
      </c>
      <c r="DD1258" t="s">
        <v>135</v>
      </c>
      <c r="DG1258">
        <v>3320047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"05/01/2025 15:08:01.877"</f>
        <v>05/01/2025 15:08:01.877</v>
      </c>
      <c r="C1259" t="str">
        <f t="shared" si="482"/>
        <v>FFDFD3C0</v>
      </c>
      <c r="D1259" t="s">
        <v>145</v>
      </c>
      <c r="E1259" t="str">
        <f>"09"</f>
        <v>09</v>
      </c>
      <c r="H1259">
        <v>51</v>
      </c>
      <c r="I1259" t="s">
        <v>147</v>
      </c>
      <c r="J1259" t="s">
        <v>138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R1259" t="s">
        <v>127</v>
      </c>
      <c r="S1259" t="str">
        <f t="shared" si="498"/>
        <v>15:08:01.000</v>
      </c>
      <c r="T1259" t="str">
        <f t="shared" si="498"/>
        <v>15:08:01.000</v>
      </c>
      <c r="U1259" t="str">
        <f t="shared" si="483"/>
        <v>A68FCB</v>
      </c>
      <c r="V1259">
        <v>0</v>
      </c>
      <c r="W1259">
        <v>0</v>
      </c>
      <c r="X1259">
        <v>2</v>
      </c>
      <c r="Y1259">
        <v>0</v>
      </c>
      <c r="AA1259">
        <v>1</v>
      </c>
      <c r="AB1259">
        <v>8</v>
      </c>
      <c r="AC1259">
        <v>3</v>
      </c>
      <c r="AD1259">
        <v>0</v>
      </c>
      <c r="AE1259">
        <v>9</v>
      </c>
      <c r="AF1259" t="s">
        <v>138</v>
      </c>
      <c r="AG1259">
        <v>0</v>
      </c>
      <c r="AH1259">
        <v>3</v>
      </c>
      <c r="AI1259">
        <v>2</v>
      </c>
      <c r="AJ1259">
        <v>0</v>
      </c>
      <c r="AK1259" t="s">
        <v>486</v>
      </c>
      <c r="AL1259">
        <v>39.004061</v>
      </c>
      <c r="AM1259" t="s">
        <v>487</v>
      </c>
      <c r="AN1259">
        <v>-121.054208</v>
      </c>
      <c r="AO1259">
        <v>25</v>
      </c>
      <c r="AP1259">
        <v>3600</v>
      </c>
      <c r="AQ1259" t="s">
        <v>131</v>
      </c>
      <c r="AR1259">
        <v>-15</v>
      </c>
      <c r="AS1259">
        <v>84</v>
      </c>
      <c r="AT1259">
        <v>704</v>
      </c>
      <c r="BB1259" t="str">
        <f t="shared" si="484"/>
        <v>1200</v>
      </c>
      <c r="BC1259">
        <v>1</v>
      </c>
      <c r="BD1259" t="str">
        <f t="shared" si="485"/>
        <v xml:space="preserve">N52156  </v>
      </c>
      <c r="BE1259">
        <v>1</v>
      </c>
      <c r="BG1259">
        <v>0</v>
      </c>
      <c r="BH1259">
        <v>0</v>
      </c>
      <c r="BI1259">
        <v>0</v>
      </c>
      <c r="BJ1259">
        <v>3525</v>
      </c>
      <c r="BK1259">
        <v>-75</v>
      </c>
      <c r="BL1259" t="s">
        <v>188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 t="shared" si="499"/>
        <v>15:08:01.632</v>
      </c>
      <c r="CF1259">
        <v>632204052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4</v>
      </c>
      <c r="CY1259">
        <v>7</v>
      </c>
      <c r="CZ1259" t="s">
        <v>133</v>
      </c>
      <c r="DA1259">
        <v>275</v>
      </c>
      <c r="DB1259">
        <v>0</v>
      </c>
      <c r="DC1259" t="s">
        <v>134</v>
      </c>
      <c r="DD1259" t="s">
        <v>135</v>
      </c>
      <c r="DG1259">
        <v>3320047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"05/01/2025 15:08:01.878"</f>
        <v>05/01/2025 15:08:01.878</v>
      </c>
      <c r="C1260" t="str">
        <f t="shared" si="482"/>
        <v>FFDFD3C0</v>
      </c>
      <c r="D1260" t="s">
        <v>143</v>
      </c>
      <c r="E1260" t="str">
        <f>"05"</f>
        <v>05</v>
      </c>
      <c r="H1260">
        <v>172</v>
      </c>
      <c r="I1260" t="s">
        <v>141</v>
      </c>
      <c r="J1260" t="s">
        <v>144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R1260" t="s">
        <v>127</v>
      </c>
      <c r="S1260" t="str">
        <f t="shared" si="498"/>
        <v>15:08:01.000</v>
      </c>
      <c r="T1260" t="str">
        <f t="shared" si="498"/>
        <v>15:08:01.000</v>
      </c>
      <c r="U1260" t="str">
        <f t="shared" si="483"/>
        <v>A68FCB</v>
      </c>
      <c r="V1260">
        <v>0</v>
      </c>
      <c r="W1260">
        <v>0</v>
      </c>
      <c r="X1260">
        <v>2</v>
      </c>
      <c r="Y1260">
        <v>0</v>
      </c>
      <c r="AA1260">
        <v>1</v>
      </c>
      <c r="AB1260">
        <v>8</v>
      </c>
      <c r="AC1260">
        <v>3</v>
      </c>
      <c r="AD1260">
        <v>0</v>
      </c>
      <c r="AE1260">
        <v>9</v>
      </c>
      <c r="AF1260" t="s">
        <v>138</v>
      </c>
      <c r="AG1260">
        <v>0</v>
      </c>
      <c r="AH1260">
        <v>3</v>
      </c>
      <c r="AI1260">
        <v>2</v>
      </c>
      <c r="AJ1260">
        <v>0</v>
      </c>
      <c r="AK1260" t="s">
        <v>486</v>
      </c>
      <c r="AL1260">
        <v>39.004061</v>
      </c>
      <c r="AM1260" t="s">
        <v>487</v>
      </c>
      <c r="AN1260">
        <v>-121.054208</v>
      </c>
      <c r="AO1260">
        <v>25</v>
      </c>
      <c r="AP1260">
        <v>3600</v>
      </c>
      <c r="AQ1260" t="s">
        <v>131</v>
      </c>
      <c r="AR1260">
        <v>-15</v>
      </c>
      <c r="AS1260">
        <v>84</v>
      </c>
      <c r="AT1260">
        <v>704</v>
      </c>
      <c r="BB1260" t="str">
        <f t="shared" si="484"/>
        <v>1200</v>
      </c>
      <c r="BC1260">
        <v>1</v>
      </c>
      <c r="BD1260" t="str">
        <f t="shared" si="485"/>
        <v xml:space="preserve">N52156  </v>
      </c>
      <c r="BE1260">
        <v>1</v>
      </c>
      <c r="BG1260">
        <v>0</v>
      </c>
      <c r="BH1260">
        <v>0</v>
      </c>
      <c r="BI1260">
        <v>0</v>
      </c>
      <c r="BJ1260">
        <v>3525</v>
      </c>
      <c r="BK1260">
        <v>-75</v>
      </c>
      <c r="BL1260" t="s">
        <v>188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 t="shared" si="499"/>
        <v>15:08:01.632</v>
      </c>
      <c r="CF1260">
        <v>632204052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4</v>
      </c>
      <c r="CY1260">
        <v>7</v>
      </c>
      <c r="CZ1260" t="s">
        <v>133</v>
      </c>
      <c r="DA1260">
        <v>275</v>
      </c>
      <c r="DB1260">
        <v>0</v>
      </c>
      <c r="DC1260" t="s">
        <v>134</v>
      </c>
      <c r="DD1260" t="s">
        <v>135</v>
      </c>
      <c r="DG1260">
        <v>3320047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"05/01/2025 15:08:01.875"</f>
        <v>05/01/2025 15:08:01.875</v>
      </c>
      <c r="C1261" t="str">
        <f t="shared" si="482"/>
        <v>FFDFD3C0</v>
      </c>
      <c r="D1261" t="s">
        <v>124</v>
      </c>
      <c r="E1261" t="str">
        <f>"06"</f>
        <v>06</v>
      </c>
      <c r="F1261">
        <v>2006</v>
      </c>
      <c r="G1261" t="s">
        <v>125</v>
      </c>
      <c r="J1261" t="s">
        <v>126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R1261" t="s">
        <v>127</v>
      </c>
      <c r="S1261" t="str">
        <f t="shared" si="498"/>
        <v>15:08:01.000</v>
      </c>
      <c r="T1261" t="str">
        <f t="shared" si="498"/>
        <v>15:08:01.000</v>
      </c>
      <c r="U1261" t="str">
        <f t="shared" si="483"/>
        <v>A68FCB</v>
      </c>
      <c r="V1261">
        <v>0</v>
      </c>
      <c r="W1261">
        <v>0</v>
      </c>
      <c r="X1261">
        <v>2</v>
      </c>
      <c r="Y1261">
        <v>0</v>
      </c>
      <c r="AA1261">
        <v>1</v>
      </c>
      <c r="AB1261">
        <v>8</v>
      </c>
      <c r="AC1261">
        <v>3</v>
      </c>
      <c r="AD1261">
        <v>0</v>
      </c>
      <c r="AE1261">
        <v>9</v>
      </c>
      <c r="AF1261" t="s">
        <v>138</v>
      </c>
      <c r="AG1261">
        <v>0</v>
      </c>
      <c r="AH1261">
        <v>3</v>
      </c>
      <c r="AI1261">
        <v>2</v>
      </c>
      <c r="AJ1261">
        <v>0</v>
      </c>
      <c r="AK1261" t="s">
        <v>486</v>
      </c>
      <c r="AL1261">
        <v>39.004061</v>
      </c>
      <c r="AM1261" t="s">
        <v>487</v>
      </c>
      <c r="AN1261">
        <v>-121.054208</v>
      </c>
      <c r="AO1261">
        <v>25</v>
      </c>
      <c r="AP1261">
        <v>3600</v>
      </c>
      <c r="AQ1261" t="s">
        <v>131</v>
      </c>
      <c r="AR1261">
        <v>-15</v>
      </c>
      <c r="AS1261">
        <v>84</v>
      </c>
      <c r="AT1261">
        <v>704</v>
      </c>
      <c r="BB1261" t="str">
        <f t="shared" si="484"/>
        <v>1200</v>
      </c>
      <c r="BC1261">
        <v>1</v>
      </c>
      <c r="BD1261" t="str">
        <f t="shared" si="485"/>
        <v xml:space="preserve">N52156  </v>
      </c>
      <c r="BE1261">
        <v>1</v>
      </c>
      <c r="BG1261">
        <v>0</v>
      </c>
      <c r="BH1261">
        <v>0</v>
      </c>
      <c r="BI1261">
        <v>0</v>
      </c>
      <c r="BJ1261">
        <v>3525</v>
      </c>
      <c r="BK1261">
        <v>-75</v>
      </c>
      <c r="BL1261" t="s">
        <v>188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 t="shared" si="499"/>
        <v>15:08:01.632</v>
      </c>
      <c r="CF1261">
        <v>632204052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4</v>
      </c>
      <c r="CY1261">
        <v>7</v>
      </c>
      <c r="CZ1261" t="s">
        <v>133</v>
      </c>
      <c r="DA1261">
        <v>275</v>
      </c>
      <c r="DB1261">
        <v>0</v>
      </c>
      <c r="DC1261" t="s">
        <v>134</v>
      </c>
      <c r="DD1261" t="s">
        <v>135</v>
      </c>
      <c r="DG1261">
        <v>3320047</v>
      </c>
      <c r="DI1261">
        <v>1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"05/01/2025 15:08:02.872"</f>
        <v>05/01/2025 15:08:02.872</v>
      </c>
      <c r="C1262" t="str">
        <f t="shared" si="482"/>
        <v>FFDFD3C0</v>
      </c>
      <c r="D1262" t="s">
        <v>140</v>
      </c>
      <c r="E1262" t="str">
        <f>"13"</f>
        <v>13</v>
      </c>
      <c r="F1262">
        <v>1019</v>
      </c>
      <c r="G1262" t="s">
        <v>141</v>
      </c>
      <c r="J1262" t="s">
        <v>142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R1262" t="s">
        <v>127</v>
      </c>
      <c r="S1262" t="str">
        <f t="shared" ref="S1262:T1267" si="500">"15:08:02.000"</f>
        <v>15:08:02.000</v>
      </c>
      <c r="T1262" t="str">
        <f t="shared" si="500"/>
        <v>15:08:02.000</v>
      </c>
      <c r="U1262" t="str">
        <f t="shared" si="483"/>
        <v>A68FCB</v>
      </c>
      <c r="V1262">
        <v>0</v>
      </c>
      <c r="W1262">
        <v>0</v>
      </c>
      <c r="X1262">
        <v>2</v>
      </c>
      <c r="Y1262">
        <v>0</v>
      </c>
      <c r="AA1262">
        <v>1</v>
      </c>
      <c r="AB1262">
        <v>8</v>
      </c>
      <c r="AC1262">
        <v>3</v>
      </c>
      <c r="AD1262">
        <v>0</v>
      </c>
      <c r="AE1262">
        <v>9</v>
      </c>
      <c r="AF1262" t="s">
        <v>138</v>
      </c>
      <c r="AG1262">
        <v>0</v>
      </c>
      <c r="AH1262">
        <v>3</v>
      </c>
      <c r="AI1262">
        <v>2</v>
      </c>
      <c r="AJ1262">
        <v>0</v>
      </c>
      <c r="AK1262" t="s">
        <v>488</v>
      </c>
      <c r="AL1262">
        <v>39.004469</v>
      </c>
      <c r="AM1262" t="s">
        <v>489</v>
      </c>
      <c r="AN1262">
        <v>-121.054294</v>
      </c>
      <c r="AO1262">
        <v>25</v>
      </c>
      <c r="AP1262">
        <v>3600</v>
      </c>
      <c r="AQ1262" t="s">
        <v>131</v>
      </c>
      <c r="AR1262">
        <v>-14</v>
      </c>
      <c r="AS1262">
        <v>84</v>
      </c>
      <c r="AT1262">
        <v>640</v>
      </c>
      <c r="BB1262" t="str">
        <f t="shared" si="484"/>
        <v>1200</v>
      </c>
      <c r="BC1262">
        <v>1</v>
      </c>
      <c r="BD1262" t="str">
        <f t="shared" si="485"/>
        <v xml:space="preserve">N52156  </v>
      </c>
      <c r="BE1262">
        <v>1</v>
      </c>
      <c r="BG1262">
        <v>0</v>
      </c>
      <c r="BH1262">
        <v>0</v>
      </c>
      <c r="BI1262">
        <v>0</v>
      </c>
      <c r="BJ1262">
        <v>3525</v>
      </c>
      <c r="BK1262">
        <v>-75</v>
      </c>
      <c r="BL1262" t="s">
        <v>188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 t="shared" ref="CE1262:CE1267" si="501">"15:08:02.635"</f>
        <v>15:08:02.635</v>
      </c>
      <c r="CF1262">
        <v>635204068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4</v>
      </c>
      <c r="CY1262">
        <v>7</v>
      </c>
      <c r="CZ1262" t="s">
        <v>133</v>
      </c>
      <c r="DA1262">
        <v>275</v>
      </c>
      <c r="DB1262">
        <v>0</v>
      </c>
      <c r="DC1262" t="s">
        <v>134</v>
      </c>
      <c r="DD1262" t="s">
        <v>135</v>
      </c>
      <c r="DG1262">
        <v>3320052</v>
      </c>
      <c r="DI1262">
        <v>1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"05/01/2025 15:08:02.873"</f>
        <v>05/01/2025 15:08:02.873</v>
      </c>
      <c r="C1263" t="str">
        <f t="shared" si="482"/>
        <v>FFDFD3C0</v>
      </c>
      <c r="D1263" t="s">
        <v>145</v>
      </c>
      <c r="E1263" t="str">
        <f>"05"</f>
        <v>05</v>
      </c>
      <c r="H1263">
        <v>47</v>
      </c>
      <c r="I1263" t="s">
        <v>146</v>
      </c>
      <c r="J1263" t="s">
        <v>138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R1263" t="s">
        <v>127</v>
      </c>
      <c r="S1263" t="str">
        <f t="shared" si="500"/>
        <v>15:08:02.000</v>
      </c>
      <c r="T1263" t="str">
        <f t="shared" si="500"/>
        <v>15:08:02.000</v>
      </c>
      <c r="U1263" t="str">
        <f t="shared" si="483"/>
        <v>A68FCB</v>
      </c>
      <c r="V1263">
        <v>0</v>
      </c>
      <c r="W1263">
        <v>0</v>
      </c>
      <c r="X1263">
        <v>2</v>
      </c>
      <c r="Y1263">
        <v>0</v>
      </c>
      <c r="AA1263">
        <v>1</v>
      </c>
      <c r="AB1263">
        <v>8</v>
      </c>
      <c r="AC1263">
        <v>3</v>
      </c>
      <c r="AD1263">
        <v>0</v>
      </c>
      <c r="AE1263">
        <v>9</v>
      </c>
      <c r="AF1263" t="s">
        <v>138</v>
      </c>
      <c r="AG1263">
        <v>0</v>
      </c>
      <c r="AH1263">
        <v>3</v>
      </c>
      <c r="AI1263">
        <v>2</v>
      </c>
      <c r="AJ1263">
        <v>0</v>
      </c>
      <c r="AK1263" t="s">
        <v>488</v>
      </c>
      <c r="AL1263">
        <v>39.004469</v>
      </c>
      <c r="AM1263" t="s">
        <v>489</v>
      </c>
      <c r="AN1263">
        <v>-121.054294</v>
      </c>
      <c r="AO1263">
        <v>25</v>
      </c>
      <c r="AP1263">
        <v>3600</v>
      </c>
      <c r="AQ1263" t="s">
        <v>131</v>
      </c>
      <c r="AR1263">
        <v>-14</v>
      </c>
      <c r="AS1263">
        <v>84</v>
      </c>
      <c r="AT1263">
        <v>640</v>
      </c>
      <c r="BB1263" t="str">
        <f t="shared" si="484"/>
        <v>1200</v>
      </c>
      <c r="BC1263">
        <v>1</v>
      </c>
      <c r="BD1263" t="str">
        <f t="shared" si="485"/>
        <v xml:space="preserve">N52156  </v>
      </c>
      <c r="BE1263">
        <v>1</v>
      </c>
      <c r="BG1263">
        <v>0</v>
      </c>
      <c r="BH1263">
        <v>0</v>
      </c>
      <c r="BI1263">
        <v>0</v>
      </c>
      <c r="BJ1263">
        <v>3525</v>
      </c>
      <c r="BK1263">
        <v>-75</v>
      </c>
      <c r="BL1263" t="s">
        <v>188</v>
      </c>
      <c r="BM1263">
        <v>1</v>
      </c>
      <c r="BN1263">
        <v>1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 t="shared" si="501"/>
        <v>15:08:02.635</v>
      </c>
      <c r="CF1263">
        <v>635204068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4</v>
      </c>
      <c r="CY1263">
        <v>7</v>
      </c>
      <c r="CZ1263" t="s">
        <v>133</v>
      </c>
      <c r="DA1263">
        <v>275</v>
      </c>
      <c r="DB1263">
        <v>0</v>
      </c>
      <c r="DC1263" t="s">
        <v>134</v>
      </c>
      <c r="DD1263" t="s">
        <v>135</v>
      </c>
      <c r="DG1263">
        <v>3320052</v>
      </c>
      <c r="DI1263">
        <v>1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"05/01/2025 15:08:02.877"</f>
        <v>05/01/2025 15:08:02.877</v>
      </c>
      <c r="C1264" t="str">
        <f t="shared" si="482"/>
        <v>FFDFD3C0</v>
      </c>
      <c r="D1264" t="s">
        <v>124</v>
      </c>
      <c r="E1264" t="str">
        <f>"06"</f>
        <v>06</v>
      </c>
      <c r="F1264">
        <v>2006</v>
      </c>
      <c r="G1264" t="s">
        <v>125</v>
      </c>
      <c r="J1264" t="s">
        <v>126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R1264" t="s">
        <v>127</v>
      </c>
      <c r="S1264" t="str">
        <f t="shared" si="500"/>
        <v>15:08:02.000</v>
      </c>
      <c r="T1264" t="str">
        <f t="shared" si="500"/>
        <v>15:08:02.000</v>
      </c>
      <c r="U1264" t="str">
        <f t="shared" si="483"/>
        <v>A68FCB</v>
      </c>
      <c r="V1264">
        <v>0</v>
      </c>
      <c r="W1264">
        <v>0</v>
      </c>
      <c r="X1264">
        <v>2</v>
      </c>
      <c r="Y1264">
        <v>0</v>
      </c>
      <c r="AA1264">
        <v>1</v>
      </c>
      <c r="AB1264">
        <v>8</v>
      </c>
      <c r="AC1264">
        <v>3</v>
      </c>
      <c r="AD1264">
        <v>0</v>
      </c>
      <c r="AE1264">
        <v>9</v>
      </c>
      <c r="AF1264" t="s">
        <v>138</v>
      </c>
      <c r="AG1264">
        <v>0</v>
      </c>
      <c r="AH1264">
        <v>3</v>
      </c>
      <c r="AI1264">
        <v>2</v>
      </c>
      <c r="AJ1264">
        <v>0</v>
      </c>
      <c r="AK1264" t="s">
        <v>488</v>
      </c>
      <c r="AL1264">
        <v>39.004469</v>
      </c>
      <c r="AM1264" t="s">
        <v>489</v>
      </c>
      <c r="AN1264">
        <v>-121.054294</v>
      </c>
      <c r="AO1264">
        <v>25</v>
      </c>
      <c r="AP1264">
        <v>3600</v>
      </c>
      <c r="AQ1264" t="s">
        <v>131</v>
      </c>
      <c r="AR1264">
        <v>-14</v>
      </c>
      <c r="AS1264">
        <v>84</v>
      </c>
      <c r="AT1264">
        <v>640</v>
      </c>
      <c r="BB1264" t="str">
        <f t="shared" si="484"/>
        <v>1200</v>
      </c>
      <c r="BC1264">
        <v>1</v>
      </c>
      <c r="BD1264" t="str">
        <f t="shared" si="485"/>
        <v xml:space="preserve">N52156  </v>
      </c>
      <c r="BE1264">
        <v>1</v>
      </c>
      <c r="BG1264">
        <v>0</v>
      </c>
      <c r="BH1264">
        <v>0</v>
      </c>
      <c r="BI1264">
        <v>0</v>
      </c>
      <c r="BJ1264">
        <v>3525</v>
      </c>
      <c r="BK1264">
        <v>-75</v>
      </c>
      <c r="BL1264" t="s">
        <v>188</v>
      </c>
      <c r="BM1264">
        <v>1</v>
      </c>
      <c r="BN1264">
        <v>1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 t="shared" si="501"/>
        <v>15:08:02.635</v>
      </c>
      <c r="CF1264">
        <v>635204068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4</v>
      </c>
      <c r="CY1264">
        <v>7</v>
      </c>
      <c r="CZ1264" t="s">
        <v>133</v>
      </c>
      <c r="DA1264">
        <v>275</v>
      </c>
      <c r="DB1264">
        <v>0</v>
      </c>
      <c r="DC1264" t="s">
        <v>134</v>
      </c>
      <c r="DD1264" t="s">
        <v>135</v>
      </c>
      <c r="DG1264">
        <v>3320052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"05/01/2025 15:08:02.880"</f>
        <v>05/01/2025 15:08:02.880</v>
      </c>
      <c r="C1265" t="str">
        <f t="shared" si="482"/>
        <v>FFDFD3C0</v>
      </c>
      <c r="D1265" t="s">
        <v>143</v>
      </c>
      <c r="E1265" t="str">
        <f>"05"</f>
        <v>05</v>
      </c>
      <c r="H1265">
        <v>172</v>
      </c>
      <c r="I1265" t="s">
        <v>141</v>
      </c>
      <c r="J1265" t="s">
        <v>144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R1265" t="s">
        <v>127</v>
      </c>
      <c r="S1265" t="str">
        <f t="shared" si="500"/>
        <v>15:08:02.000</v>
      </c>
      <c r="T1265" t="str">
        <f t="shared" si="500"/>
        <v>15:08:02.000</v>
      </c>
      <c r="U1265" t="str">
        <f t="shared" si="483"/>
        <v>A68FCB</v>
      </c>
      <c r="V1265">
        <v>0</v>
      </c>
      <c r="W1265">
        <v>0</v>
      </c>
      <c r="X1265">
        <v>2</v>
      </c>
      <c r="Y1265">
        <v>0</v>
      </c>
      <c r="AA1265">
        <v>1</v>
      </c>
      <c r="AB1265">
        <v>8</v>
      </c>
      <c r="AC1265">
        <v>3</v>
      </c>
      <c r="AD1265">
        <v>0</v>
      </c>
      <c r="AE1265">
        <v>9</v>
      </c>
      <c r="AF1265" t="s">
        <v>138</v>
      </c>
      <c r="AG1265">
        <v>0</v>
      </c>
      <c r="AH1265">
        <v>3</v>
      </c>
      <c r="AI1265">
        <v>2</v>
      </c>
      <c r="AJ1265">
        <v>0</v>
      </c>
      <c r="AK1265" t="s">
        <v>488</v>
      </c>
      <c r="AL1265">
        <v>39.004469</v>
      </c>
      <c r="AM1265" t="s">
        <v>489</v>
      </c>
      <c r="AN1265">
        <v>-121.054294</v>
      </c>
      <c r="AO1265">
        <v>25</v>
      </c>
      <c r="AP1265">
        <v>3600</v>
      </c>
      <c r="AQ1265" t="s">
        <v>131</v>
      </c>
      <c r="AR1265">
        <v>-14</v>
      </c>
      <c r="AS1265">
        <v>84</v>
      </c>
      <c r="AT1265">
        <v>640</v>
      </c>
      <c r="BB1265" t="str">
        <f t="shared" si="484"/>
        <v>1200</v>
      </c>
      <c r="BC1265">
        <v>1</v>
      </c>
      <c r="BD1265" t="str">
        <f t="shared" si="485"/>
        <v xml:space="preserve">N52156  </v>
      </c>
      <c r="BE1265">
        <v>1</v>
      </c>
      <c r="BG1265">
        <v>0</v>
      </c>
      <c r="BH1265">
        <v>0</v>
      </c>
      <c r="BI1265">
        <v>0</v>
      </c>
      <c r="BJ1265">
        <v>3525</v>
      </c>
      <c r="BK1265">
        <v>-75</v>
      </c>
      <c r="BL1265" t="s">
        <v>188</v>
      </c>
      <c r="BM1265">
        <v>1</v>
      </c>
      <c r="BN1265">
        <v>1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 t="shared" si="501"/>
        <v>15:08:02.635</v>
      </c>
      <c r="CF1265">
        <v>635204068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4</v>
      </c>
      <c r="CY1265">
        <v>7</v>
      </c>
      <c r="CZ1265" t="s">
        <v>133</v>
      </c>
      <c r="DA1265">
        <v>275</v>
      </c>
      <c r="DB1265">
        <v>0</v>
      </c>
      <c r="DC1265" t="s">
        <v>134</v>
      </c>
      <c r="DD1265" t="s">
        <v>135</v>
      </c>
      <c r="DG1265">
        <v>3320052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"05/01/2025 15:08:02.879"</f>
        <v>05/01/2025 15:08:02.879</v>
      </c>
      <c r="C1266" t="str">
        <f t="shared" si="482"/>
        <v>FFDFD3C0</v>
      </c>
      <c r="D1266" t="s">
        <v>145</v>
      </c>
      <c r="E1266" t="str">
        <f>"09"</f>
        <v>09</v>
      </c>
      <c r="H1266">
        <v>51</v>
      </c>
      <c r="I1266" t="s">
        <v>147</v>
      </c>
      <c r="J1266" t="s">
        <v>138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R1266" t="s">
        <v>127</v>
      </c>
      <c r="S1266" t="str">
        <f t="shared" si="500"/>
        <v>15:08:02.000</v>
      </c>
      <c r="T1266" t="str">
        <f t="shared" si="500"/>
        <v>15:08:02.000</v>
      </c>
      <c r="U1266" t="str">
        <f t="shared" si="483"/>
        <v>A68FCB</v>
      </c>
      <c r="V1266">
        <v>0</v>
      </c>
      <c r="W1266">
        <v>0</v>
      </c>
      <c r="X1266">
        <v>2</v>
      </c>
      <c r="Y1266">
        <v>0</v>
      </c>
      <c r="AA1266">
        <v>1</v>
      </c>
      <c r="AB1266">
        <v>8</v>
      </c>
      <c r="AC1266">
        <v>3</v>
      </c>
      <c r="AD1266">
        <v>0</v>
      </c>
      <c r="AE1266">
        <v>9</v>
      </c>
      <c r="AF1266" t="s">
        <v>138</v>
      </c>
      <c r="AG1266">
        <v>0</v>
      </c>
      <c r="AH1266">
        <v>3</v>
      </c>
      <c r="AI1266">
        <v>2</v>
      </c>
      <c r="AJ1266">
        <v>0</v>
      </c>
      <c r="AK1266" t="s">
        <v>488</v>
      </c>
      <c r="AL1266">
        <v>39.004469</v>
      </c>
      <c r="AM1266" t="s">
        <v>489</v>
      </c>
      <c r="AN1266">
        <v>-121.054294</v>
      </c>
      <c r="AO1266">
        <v>25</v>
      </c>
      <c r="AP1266">
        <v>3600</v>
      </c>
      <c r="AQ1266" t="s">
        <v>131</v>
      </c>
      <c r="AR1266">
        <v>-14</v>
      </c>
      <c r="AS1266">
        <v>84</v>
      </c>
      <c r="AT1266">
        <v>640</v>
      </c>
      <c r="BB1266" t="str">
        <f t="shared" si="484"/>
        <v>1200</v>
      </c>
      <c r="BC1266">
        <v>1</v>
      </c>
      <c r="BD1266" t="str">
        <f t="shared" si="485"/>
        <v xml:space="preserve">N52156  </v>
      </c>
      <c r="BE1266">
        <v>1</v>
      </c>
      <c r="BG1266">
        <v>0</v>
      </c>
      <c r="BH1266">
        <v>0</v>
      </c>
      <c r="BI1266">
        <v>0</v>
      </c>
      <c r="BJ1266">
        <v>3525</v>
      </c>
      <c r="BK1266">
        <v>-75</v>
      </c>
      <c r="BL1266" t="s">
        <v>188</v>
      </c>
      <c r="BM1266">
        <v>1</v>
      </c>
      <c r="BN1266">
        <v>1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 t="shared" si="501"/>
        <v>15:08:02.635</v>
      </c>
      <c r="CF1266">
        <v>635204068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4</v>
      </c>
      <c r="CY1266">
        <v>7</v>
      </c>
      <c r="CZ1266" t="s">
        <v>133</v>
      </c>
      <c r="DA1266">
        <v>275</v>
      </c>
      <c r="DB1266">
        <v>0</v>
      </c>
      <c r="DC1266" t="s">
        <v>134</v>
      </c>
      <c r="DD1266" t="s">
        <v>135</v>
      </c>
      <c r="DG1266">
        <v>3320052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"05/01/2025 15:08:02.887"</f>
        <v>05/01/2025 15:08:02.887</v>
      </c>
      <c r="C1267" t="str">
        <f t="shared" si="482"/>
        <v>FFDFD3C0</v>
      </c>
      <c r="D1267" t="s">
        <v>136</v>
      </c>
      <c r="E1267" t="str">
        <f>"20"</f>
        <v>20</v>
      </c>
      <c r="H1267">
        <v>400</v>
      </c>
      <c r="I1267" t="s">
        <v>137</v>
      </c>
      <c r="J1267" t="s">
        <v>138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R1267" t="s">
        <v>127</v>
      </c>
      <c r="S1267" t="str">
        <f t="shared" si="500"/>
        <v>15:08:02.000</v>
      </c>
      <c r="T1267" t="str">
        <f t="shared" si="500"/>
        <v>15:08:02.000</v>
      </c>
      <c r="U1267" t="str">
        <f t="shared" si="483"/>
        <v>A68FCB</v>
      </c>
      <c r="V1267">
        <v>0</v>
      </c>
      <c r="W1267">
        <v>0</v>
      </c>
      <c r="X1267">
        <v>2</v>
      </c>
      <c r="Y1267">
        <v>0</v>
      </c>
      <c r="AA1267">
        <v>1</v>
      </c>
      <c r="AB1267">
        <v>8</v>
      </c>
      <c r="AC1267">
        <v>3</v>
      </c>
      <c r="AD1267">
        <v>0</v>
      </c>
      <c r="AE1267">
        <v>9</v>
      </c>
      <c r="AF1267" t="s">
        <v>138</v>
      </c>
      <c r="AG1267">
        <v>0</v>
      </c>
      <c r="AH1267">
        <v>3</v>
      </c>
      <c r="AI1267">
        <v>2</v>
      </c>
      <c r="AJ1267">
        <v>0</v>
      </c>
      <c r="AK1267" t="s">
        <v>488</v>
      </c>
      <c r="AL1267">
        <v>39.004469</v>
      </c>
      <c r="AM1267" t="s">
        <v>489</v>
      </c>
      <c r="AN1267">
        <v>-121.054294</v>
      </c>
      <c r="AO1267">
        <v>25</v>
      </c>
      <c r="AP1267">
        <v>3600</v>
      </c>
      <c r="AQ1267" t="s">
        <v>131</v>
      </c>
      <c r="AR1267">
        <v>-14</v>
      </c>
      <c r="AS1267">
        <v>84</v>
      </c>
      <c r="AT1267">
        <v>640</v>
      </c>
      <c r="BB1267" t="str">
        <f t="shared" si="484"/>
        <v>1200</v>
      </c>
      <c r="BC1267">
        <v>1</v>
      </c>
      <c r="BD1267" t="str">
        <f t="shared" si="485"/>
        <v xml:space="preserve">N52156  </v>
      </c>
      <c r="BE1267">
        <v>1</v>
      </c>
      <c r="BG1267">
        <v>0</v>
      </c>
      <c r="BH1267">
        <v>0</v>
      </c>
      <c r="BI1267">
        <v>0</v>
      </c>
      <c r="BJ1267">
        <v>3525</v>
      </c>
      <c r="BK1267">
        <v>-75</v>
      </c>
      <c r="BL1267" t="s">
        <v>188</v>
      </c>
      <c r="BM1267">
        <v>1</v>
      </c>
      <c r="BN1267">
        <v>1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 t="shared" si="501"/>
        <v>15:08:02.635</v>
      </c>
      <c r="CF1267">
        <v>635204068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4</v>
      </c>
      <c r="CY1267">
        <v>7</v>
      </c>
      <c r="CZ1267" t="s">
        <v>133</v>
      </c>
      <c r="DA1267">
        <v>275</v>
      </c>
      <c r="DB1267">
        <v>0</v>
      </c>
      <c r="DC1267" t="s">
        <v>134</v>
      </c>
      <c r="DD1267" t="s">
        <v>135</v>
      </c>
      <c r="DG1267">
        <v>3320052</v>
      </c>
      <c r="DI1267">
        <v>1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"05/01/2025 15:08:03.730"</f>
        <v>05/01/2025 15:08:03.730</v>
      </c>
      <c r="C1268" t="str">
        <f t="shared" si="482"/>
        <v>FFDFD3C0</v>
      </c>
      <c r="D1268" t="s">
        <v>145</v>
      </c>
      <c r="E1268" t="str">
        <f>"09"</f>
        <v>09</v>
      </c>
      <c r="H1268">
        <v>51</v>
      </c>
      <c r="I1268" t="s">
        <v>147</v>
      </c>
      <c r="J1268" t="s">
        <v>138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R1268" t="s">
        <v>127</v>
      </c>
      <c r="S1268" t="str">
        <f t="shared" ref="S1268:T1273" si="502">"15:08:03.000"</f>
        <v>15:08:03.000</v>
      </c>
      <c r="T1268" t="str">
        <f t="shared" si="502"/>
        <v>15:08:03.000</v>
      </c>
      <c r="U1268" t="str">
        <f t="shared" si="483"/>
        <v>A68FCB</v>
      </c>
      <c r="V1268">
        <v>0</v>
      </c>
      <c r="W1268">
        <v>0</v>
      </c>
      <c r="X1268">
        <v>2</v>
      </c>
      <c r="Y1268">
        <v>0</v>
      </c>
      <c r="AA1268">
        <v>1</v>
      </c>
      <c r="AB1268">
        <v>8</v>
      </c>
      <c r="AC1268">
        <v>3</v>
      </c>
      <c r="AD1268">
        <v>0</v>
      </c>
      <c r="AE1268">
        <v>9</v>
      </c>
      <c r="AF1268" t="s">
        <v>138</v>
      </c>
      <c r="AG1268">
        <v>0</v>
      </c>
      <c r="AH1268">
        <v>3</v>
      </c>
      <c r="AI1268">
        <v>2</v>
      </c>
      <c r="AJ1268">
        <v>0</v>
      </c>
      <c r="AK1268" t="s">
        <v>490</v>
      </c>
      <c r="AL1268">
        <v>39.004854999999999</v>
      </c>
      <c r="AM1268" t="s">
        <v>491</v>
      </c>
      <c r="AN1268">
        <v>-121.05437999999999</v>
      </c>
      <c r="AO1268">
        <v>25</v>
      </c>
      <c r="AP1268">
        <v>3600</v>
      </c>
      <c r="AQ1268" t="s">
        <v>131</v>
      </c>
      <c r="AR1268">
        <v>-14</v>
      </c>
      <c r="AS1268">
        <v>84</v>
      </c>
      <c r="AT1268">
        <v>576</v>
      </c>
      <c r="BB1268" t="str">
        <f t="shared" si="484"/>
        <v>1200</v>
      </c>
      <c r="BC1268">
        <v>1</v>
      </c>
      <c r="BD1268" t="str">
        <f t="shared" si="485"/>
        <v xml:space="preserve">N52156  </v>
      </c>
      <c r="BE1268">
        <v>1</v>
      </c>
      <c r="BG1268">
        <v>0</v>
      </c>
      <c r="BH1268">
        <v>0</v>
      </c>
      <c r="BI1268">
        <v>0</v>
      </c>
      <c r="BJ1268">
        <v>3525</v>
      </c>
      <c r="BK1268">
        <v>-75</v>
      </c>
      <c r="BL1268" t="s">
        <v>188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 t="shared" ref="CE1268:CE1273" si="503">"15:08:03.521"</f>
        <v>15:08:03.521</v>
      </c>
      <c r="CF1268">
        <v>521453796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4</v>
      </c>
      <c r="CY1268">
        <v>7</v>
      </c>
      <c r="CZ1268" t="s">
        <v>133</v>
      </c>
      <c r="DA1268">
        <v>275</v>
      </c>
      <c r="DB1268">
        <v>0</v>
      </c>
      <c r="DC1268" t="s">
        <v>134</v>
      </c>
      <c r="DD1268" t="s">
        <v>135</v>
      </c>
      <c r="DG1268">
        <v>3320064</v>
      </c>
      <c r="DI1268">
        <v>1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"05/01/2025 15:08:03.732"</f>
        <v>05/01/2025 15:08:03.732</v>
      </c>
      <c r="C1269" t="str">
        <f t="shared" si="482"/>
        <v>FFDFD3C0</v>
      </c>
      <c r="D1269" t="s">
        <v>143</v>
      </c>
      <c r="E1269" t="str">
        <f>"05"</f>
        <v>05</v>
      </c>
      <c r="H1269">
        <v>172</v>
      </c>
      <c r="I1269" t="s">
        <v>141</v>
      </c>
      <c r="J1269" t="s">
        <v>144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R1269" t="s">
        <v>127</v>
      </c>
      <c r="S1269" t="str">
        <f t="shared" si="502"/>
        <v>15:08:03.000</v>
      </c>
      <c r="T1269" t="str">
        <f t="shared" si="502"/>
        <v>15:08:03.000</v>
      </c>
      <c r="U1269" t="str">
        <f t="shared" si="483"/>
        <v>A68FCB</v>
      </c>
      <c r="V1269">
        <v>0</v>
      </c>
      <c r="W1269">
        <v>0</v>
      </c>
      <c r="X1269">
        <v>2</v>
      </c>
      <c r="Y1269">
        <v>0</v>
      </c>
      <c r="AA1269">
        <v>1</v>
      </c>
      <c r="AB1269">
        <v>8</v>
      </c>
      <c r="AC1269">
        <v>3</v>
      </c>
      <c r="AD1269">
        <v>0</v>
      </c>
      <c r="AE1269">
        <v>9</v>
      </c>
      <c r="AF1269" t="s">
        <v>138</v>
      </c>
      <c r="AG1269">
        <v>0</v>
      </c>
      <c r="AH1269">
        <v>3</v>
      </c>
      <c r="AI1269">
        <v>2</v>
      </c>
      <c r="AJ1269">
        <v>0</v>
      </c>
      <c r="AK1269" t="s">
        <v>490</v>
      </c>
      <c r="AL1269">
        <v>39.004854999999999</v>
      </c>
      <c r="AM1269" t="s">
        <v>491</v>
      </c>
      <c r="AN1269">
        <v>-121.05437999999999</v>
      </c>
      <c r="AO1269">
        <v>25</v>
      </c>
      <c r="AP1269">
        <v>3600</v>
      </c>
      <c r="AQ1269" t="s">
        <v>131</v>
      </c>
      <c r="AR1269">
        <v>-14</v>
      </c>
      <c r="AS1269">
        <v>84</v>
      </c>
      <c r="AT1269">
        <v>576</v>
      </c>
      <c r="BB1269" t="str">
        <f t="shared" si="484"/>
        <v>1200</v>
      </c>
      <c r="BC1269">
        <v>1</v>
      </c>
      <c r="BD1269" t="str">
        <f t="shared" si="485"/>
        <v xml:space="preserve">N52156  </v>
      </c>
      <c r="BE1269">
        <v>1</v>
      </c>
      <c r="BG1269">
        <v>0</v>
      </c>
      <c r="BH1269">
        <v>0</v>
      </c>
      <c r="BI1269">
        <v>0</v>
      </c>
      <c r="BJ1269">
        <v>3525</v>
      </c>
      <c r="BK1269">
        <v>-75</v>
      </c>
      <c r="BL1269" t="s">
        <v>188</v>
      </c>
      <c r="BM1269">
        <v>1</v>
      </c>
      <c r="BN1269">
        <v>1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 t="shared" si="503"/>
        <v>15:08:03.521</v>
      </c>
      <c r="CF1269">
        <v>521453796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4</v>
      </c>
      <c r="CY1269">
        <v>7</v>
      </c>
      <c r="CZ1269" t="s">
        <v>133</v>
      </c>
      <c r="DA1269">
        <v>275</v>
      </c>
      <c r="DB1269">
        <v>0</v>
      </c>
      <c r="DC1269" t="s">
        <v>134</v>
      </c>
      <c r="DD1269" t="s">
        <v>135</v>
      </c>
      <c r="DG1269">
        <v>3320064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"05/01/2025 15:08:03.739"</f>
        <v>05/01/2025 15:08:03.739</v>
      </c>
      <c r="C1270" t="str">
        <f t="shared" si="482"/>
        <v>FFDFD3C0</v>
      </c>
      <c r="D1270" t="s">
        <v>136</v>
      </c>
      <c r="E1270" t="str">
        <f>"20"</f>
        <v>20</v>
      </c>
      <c r="H1270">
        <v>400</v>
      </c>
      <c r="I1270" t="s">
        <v>137</v>
      </c>
      <c r="J1270" t="s">
        <v>138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R1270" t="s">
        <v>127</v>
      </c>
      <c r="S1270" t="str">
        <f t="shared" si="502"/>
        <v>15:08:03.000</v>
      </c>
      <c r="T1270" t="str">
        <f t="shared" si="502"/>
        <v>15:08:03.000</v>
      </c>
      <c r="U1270" t="str">
        <f t="shared" si="483"/>
        <v>A68FCB</v>
      </c>
      <c r="V1270">
        <v>0</v>
      </c>
      <c r="W1270">
        <v>0</v>
      </c>
      <c r="X1270">
        <v>2</v>
      </c>
      <c r="Y1270">
        <v>0</v>
      </c>
      <c r="AA1270">
        <v>1</v>
      </c>
      <c r="AB1270">
        <v>8</v>
      </c>
      <c r="AC1270">
        <v>3</v>
      </c>
      <c r="AD1270">
        <v>0</v>
      </c>
      <c r="AE1270">
        <v>9</v>
      </c>
      <c r="AF1270" t="s">
        <v>138</v>
      </c>
      <c r="AG1270">
        <v>0</v>
      </c>
      <c r="AH1270">
        <v>3</v>
      </c>
      <c r="AI1270">
        <v>2</v>
      </c>
      <c r="AJ1270">
        <v>0</v>
      </c>
      <c r="AK1270" t="s">
        <v>490</v>
      </c>
      <c r="AL1270">
        <v>39.004854999999999</v>
      </c>
      <c r="AM1270" t="s">
        <v>491</v>
      </c>
      <c r="AN1270">
        <v>-121.05437999999999</v>
      </c>
      <c r="AO1270">
        <v>25</v>
      </c>
      <c r="AP1270">
        <v>3600</v>
      </c>
      <c r="AQ1270" t="s">
        <v>131</v>
      </c>
      <c r="AR1270">
        <v>-14</v>
      </c>
      <c r="AS1270">
        <v>84</v>
      </c>
      <c r="AT1270">
        <v>576</v>
      </c>
      <c r="BB1270" t="str">
        <f t="shared" si="484"/>
        <v>1200</v>
      </c>
      <c r="BC1270">
        <v>1</v>
      </c>
      <c r="BD1270" t="str">
        <f t="shared" si="485"/>
        <v xml:space="preserve">N52156  </v>
      </c>
      <c r="BE1270">
        <v>1</v>
      </c>
      <c r="BG1270">
        <v>0</v>
      </c>
      <c r="BH1270">
        <v>0</v>
      </c>
      <c r="BI1270">
        <v>0</v>
      </c>
      <c r="BJ1270">
        <v>3525</v>
      </c>
      <c r="BK1270">
        <v>-75</v>
      </c>
      <c r="BL1270" t="s">
        <v>188</v>
      </c>
      <c r="BM1270">
        <v>1</v>
      </c>
      <c r="BN1270">
        <v>1</v>
      </c>
      <c r="BO1270">
        <v>0</v>
      </c>
      <c r="BP1270">
        <v>0</v>
      </c>
      <c r="BS1270">
        <v>0</v>
      </c>
      <c r="BT1270">
        <v>0</v>
      </c>
      <c r="BU1270">
        <v>0</v>
      </c>
      <c r="CE1270" t="str">
        <f t="shared" si="503"/>
        <v>15:08:03.521</v>
      </c>
      <c r="CF1270">
        <v>521453796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4</v>
      </c>
      <c r="CY1270">
        <v>7</v>
      </c>
      <c r="CZ1270" t="s">
        <v>133</v>
      </c>
      <c r="DA1270">
        <v>275</v>
      </c>
      <c r="DB1270">
        <v>0</v>
      </c>
      <c r="DC1270" t="s">
        <v>134</v>
      </c>
      <c r="DD1270" t="s">
        <v>135</v>
      </c>
      <c r="DG1270">
        <v>3320064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"05/01/2025 15:08:03.775"</f>
        <v>05/01/2025 15:08:03.775</v>
      </c>
      <c r="C1271" t="str">
        <f t="shared" si="482"/>
        <v>FFDFD3C0</v>
      </c>
      <c r="D1271" t="s">
        <v>145</v>
      </c>
      <c r="E1271" t="str">
        <f>"05"</f>
        <v>05</v>
      </c>
      <c r="H1271">
        <v>47</v>
      </c>
      <c r="I1271" t="s">
        <v>146</v>
      </c>
      <c r="J1271" t="s">
        <v>138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R1271" t="s">
        <v>127</v>
      </c>
      <c r="S1271" t="str">
        <f t="shared" si="502"/>
        <v>15:08:03.000</v>
      </c>
      <c r="T1271" t="str">
        <f t="shared" si="502"/>
        <v>15:08:03.000</v>
      </c>
      <c r="U1271" t="str">
        <f t="shared" si="483"/>
        <v>A68FCB</v>
      </c>
      <c r="V1271">
        <v>0</v>
      </c>
      <c r="W1271">
        <v>0</v>
      </c>
      <c r="X1271">
        <v>2</v>
      </c>
      <c r="Y1271">
        <v>0</v>
      </c>
      <c r="AA1271">
        <v>1</v>
      </c>
      <c r="AB1271">
        <v>8</v>
      </c>
      <c r="AC1271">
        <v>3</v>
      </c>
      <c r="AD1271">
        <v>0</v>
      </c>
      <c r="AE1271">
        <v>9</v>
      </c>
      <c r="AF1271" t="s">
        <v>138</v>
      </c>
      <c r="AG1271">
        <v>0</v>
      </c>
      <c r="AH1271">
        <v>3</v>
      </c>
      <c r="AI1271">
        <v>2</v>
      </c>
      <c r="AJ1271">
        <v>0</v>
      </c>
      <c r="AK1271" t="s">
        <v>490</v>
      </c>
      <c r="AL1271">
        <v>39.004854999999999</v>
      </c>
      <c r="AM1271" t="s">
        <v>491</v>
      </c>
      <c r="AN1271">
        <v>-121.05437999999999</v>
      </c>
      <c r="AO1271">
        <v>25</v>
      </c>
      <c r="AP1271">
        <v>3600</v>
      </c>
      <c r="AQ1271" t="s">
        <v>131</v>
      </c>
      <c r="AR1271">
        <v>-14</v>
      </c>
      <c r="AS1271">
        <v>84</v>
      </c>
      <c r="AT1271">
        <v>576</v>
      </c>
      <c r="BB1271" t="str">
        <f t="shared" si="484"/>
        <v>1200</v>
      </c>
      <c r="BC1271">
        <v>1</v>
      </c>
      <c r="BD1271" t="str">
        <f t="shared" si="485"/>
        <v xml:space="preserve">N52156  </v>
      </c>
      <c r="BE1271">
        <v>1</v>
      </c>
      <c r="BG1271">
        <v>0</v>
      </c>
      <c r="BH1271">
        <v>0</v>
      </c>
      <c r="BI1271">
        <v>0</v>
      </c>
      <c r="BJ1271">
        <v>3525</v>
      </c>
      <c r="BK1271">
        <v>-75</v>
      </c>
      <c r="BL1271" t="s">
        <v>188</v>
      </c>
      <c r="BM1271">
        <v>1</v>
      </c>
      <c r="BN1271">
        <v>1</v>
      </c>
      <c r="BO1271">
        <v>0</v>
      </c>
      <c r="BP1271">
        <v>0</v>
      </c>
      <c r="BS1271">
        <v>0</v>
      </c>
      <c r="BT1271">
        <v>0</v>
      </c>
      <c r="BU1271">
        <v>0</v>
      </c>
      <c r="CE1271" t="str">
        <f t="shared" si="503"/>
        <v>15:08:03.521</v>
      </c>
      <c r="CF1271">
        <v>521453796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4</v>
      </c>
      <c r="CY1271">
        <v>7</v>
      </c>
      <c r="CZ1271" t="s">
        <v>133</v>
      </c>
      <c r="DA1271">
        <v>275</v>
      </c>
      <c r="DB1271">
        <v>0</v>
      </c>
      <c r="DC1271" t="s">
        <v>134</v>
      </c>
      <c r="DD1271" t="s">
        <v>135</v>
      </c>
      <c r="DG1271">
        <v>3320064</v>
      </c>
      <c r="DI1271">
        <v>1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"05/01/2025 15:08:03.773"</f>
        <v>05/01/2025 15:08:03.773</v>
      </c>
      <c r="C1272" t="str">
        <f t="shared" si="482"/>
        <v>FFDFD3C0</v>
      </c>
      <c r="D1272" t="s">
        <v>140</v>
      </c>
      <c r="E1272" t="str">
        <f>"13"</f>
        <v>13</v>
      </c>
      <c r="F1272">
        <v>1019</v>
      </c>
      <c r="G1272" t="s">
        <v>141</v>
      </c>
      <c r="J1272" t="s">
        <v>142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R1272" t="s">
        <v>127</v>
      </c>
      <c r="S1272" t="str">
        <f t="shared" si="502"/>
        <v>15:08:03.000</v>
      </c>
      <c r="T1272" t="str">
        <f t="shared" si="502"/>
        <v>15:08:03.000</v>
      </c>
      <c r="U1272" t="str">
        <f t="shared" si="483"/>
        <v>A68FCB</v>
      </c>
      <c r="V1272">
        <v>0</v>
      </c>
      <c r="W1272">
        <v>0</v>
      </c>
      <c r="X1272">
        <v>2</v>
      </c>
      <c r="Y1272">
        <v>0</v>
      </c>
      <c r="AA1272">
        <v>1</v>
      </c>
      <c r="AB1272">
        <v>8</v>
      </c>
      <c r="AC1272">
        <v>3</v>
      </c>
      <c r="AD1272">
        <v>0</v>
      </c>
      <c r="AE1272">
        <v>9</v>
      </c>
      <c r="AF1272" t="s">
        <v>138</v>
      </c>
      <c r="AG1272">
        <v>0</v>
      </c>
      <c r="AH1272">
        <v>3</v>
      </c>
      <c r="AI1272">
        <v>2</v>
      </c>
      <c r="AJ1272">
        <v>0</v>
      </c>
      <c r="AK1272" t="s">
        <v>490</v>
      </c>
      <c r="AL1272">
        <v>39.004854999999999</v>
      </c>
      <c r="AM1272" t="s">
        <v>491</v>
      </c>
      <c r="AN1272">
        <v>-121.05437999999999</v>
      </c>
      <c r="AO1272">
        <v>25</v>
      </c>
      <c r="AP1272">
        <v>3600</v>
      </c>
      <c r="AQ1272" t="s">
        <v>131</v>
      </c>
      <c r="AR1272">
        <v>-14</v>
      </c>
      <c r="AS1272">
        <v>84</v>
      </c>
      <c r="AT1272">
        <v>576</v>
      </c>
      <c r="BB1272" t="str">
        <f t="shared" si="484"/>
        <v>1200</v>
      </c>
      <c r="BC1272">
        <v>1</v>
      </c>
      <c r="BD1272" t="str">
        <f t="shared" si="485"/>
        <v xml:space="preserve">N52156  </v>
      </c>
      <c r="BE1272">
        <v>1</v>
      </c>
      <c r="BG1272">
        <v>0</v>
      </c>
      <c r="BH1272">
        <v>0</v>
      </c>
      <c r="BI1272">
        <v>0</v>
      </c>
      <c r="BJ1272">
        <v>3525</v>
      </c>
      <c r="BK1272">
        <v>-75</v>
      </c>
      <c r="BL1272" t="s">
        <v>188</v>
      </c>
      <c r="BM1272">
        <v>1</v>
      </c>
      <c r="BN1272">
        <v>1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 t="shared" si="503"/>
        <v>15:08:03.521</v>
      </c>
      <c r="CF1272">
        <v>521453796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4</v>
      </c>
      <c r="CY1272">
        <v>7</v>
      </c>
      <c r="CZ1272" t="s">
        <v>133</v>
      </c>
      <c r="DA1272">
        <v>275</v>
      </c>
      <c r="DB1272">
        <v>0</v>
      </c>
      <c r="DC1272" t="s">
        <v>134</v>
      </c>
      <c r="DD1272" t="s">
        <v>135</v>
      </c>
      <c r="DG1272">
        <v>3320064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"05/01/2025 15:08:03.779"</f>
        <v>05/01/2025 15:08:03.779</v>
      </c>
      <c r="C1273" t="str">
        <f t="shared" si="482"/>
        <v>FFDFD3C0</v>
      </c>
      <c r="D1273" t="s">
        <v>124</v>
      </c>
      <c r="E1273" t="str">
        <f>"06"</f>
        <v>06</v>
      </c>
      <c r="F1273">
        <v>2006</v>
      </c>
      <c r="G1273" t="s">
        <v>125</v>
      </c>
      <c r="J1273" t="s">
        <v>126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R1273" t="s">
        <v>127</v>
      </c>
      <c r="S1273" t="str">
        <f t="shared" si="502"/>
        <v>15:08:03.000</v>
      </c>
      <c r="T1273" t="str">
        <f t="shared" si="502"/>
        <v>15:08:03.000</v>
      </c>
      <c r="U1273" t="str">
        <f t="shared" si="483"/>
        <v>A68FCB</v>
      </c>
      <c r="V1273">
        <v>0</v>
      </c>
      <c r="W1273">
        <v>0</v>
      </c>
      <c r="X1273">
        <v>2</v>
      </c>
      <c r="Y1273">
        <v>0</v>
      </c>
      <c r="AA1273">
        <v>1</v>
      </c>
      <c r="AB1273">
        <v>8</v>
      </c>
      <c r="AC1273">
        <v>3</v>
      </c>
      <c r="AD1273">
        <v>0</v>
      </c>
      <c r="AE1273">
        <v>9</v>
      </c>
      <c r="AF1273" t="s">
        <v>138</v>
      </c>
      <c r="AG1273">
        <v>0</v>
      </c>
      <c r="AH1273">
        <v>3</v>
      </c>
      <c r="AI1273">
        <v>2</v>
      </c>
      <c r="AJ1273">
        <v>0</v>
      </c>
      <c r="AK1273" t="s">
        <v>490</v>
      </c>
      <c r="AL1273">
        <v>39.004854999999999</v>
      </c>
      <c r="AM1273" t="s">
        <v>491</v>
      </c>
      <c r="AN1273">
        <v>-121.05437999999999</v>
      </c>
      <c r="AO1273">
        <v>25</v>
      </c>
      <c r="AP1273">
        <v>3600</v>
      </c>
      <c r="AQ1273" t="s">
        <v>131</v>
      </c>
      <c r="AR1273">
        <v>-14</v>
      </c>
      <c r="AS1273">
        <v>84</v>
      </c>
      <c r="AT1273">
        <v>576</v>
      </c>
      <c r="BB1273" t="str">
        <f t="shared" si="484"/>
        <v>1200</v>
      </c>
      <c r="BC1273">
        <v>1</v>
      </c>
      <c r="BD1273" t="str">
        <f t="shared" si="485"/>
        <v xml:space="preserve">N52156  </v>
      </c>
      <c r="BE1273">
        <v>1</v>
      </c>
      <c r="BG1273">
        <v>0</v>
      </c>
      <c r="BH1273">
        <v>0</v>
      </c>
      <c r="BI1273">
        <v>0</v>
      </c>
      <c r="BJ1273">
        <v>3525</v>
      </c>
      <c r="BK1273">
        <v>-75</v>
      </c>
      <c r="BL1273" t="s">
        <v>188</v>
      </c>
      <c r="BM1273">
        <v>1</v>
      </c>
      <c r="BN1273">
        <v>1</v>
      </c>
      <c r="BO1273">
        <v>0</v>
      </c>
      <c r="BP1273">
        <v>0</v>
      </c>
      <c r="BS1273">
        <v>0</v>
      </c>
      <c r="BT1273">
        <v>0</v>
      </c>
      <c r="BU1273">
        <v>0</v>
      </c>
      <c r="CE1273" t="str">
        <f t="shared" si="503"/>
        <v>15:08:03.521</v>
      </c>
      <c r="CF1273">
        <v>521453796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4</v>
      </c>
      <c r="CY1273">
        <v>7</v>
      </c>
      <c r="CZ1273" t="s">
        <v>133</v>
      </c>
      <c r="DA1273">
        <v>275</v>
      </c>
      <c r="DB1273">
        <v>0</v>
      </c>
      <c r="DC1273" t="s">
        <v>134</v>
      </c>
      <c r="DD1273" t="s">
        <v>135</v>
      </c>
      <c r="DG1273">
        <v>3320064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"05/01/2025 15:08:04.932"</f>
        <v>05/01/2025 15:08:04.932</v>
      </c>
      <c r="C1274" t="str">
        <f t="shared" si="482"/>
        <v>FFDFD3C0</v>
      </c>
      <c r="D1274" t="s">
        <v>145</v>
      </c>
      <c r="E1274" t="str">
        <f>"09"</f>
        <v>09</v>
      </c>
      <c r="H1274">
        <v>51</v>
      </c>
      <c r="I1274" t="s">
        <v>147</v>
      </c>
      <c r="J1274" t="s">
        <v>138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R1274" t="s">
        <v>127</v>
      </c>
      <c r="S1274" t="str">
        <f t="shared" ref="S1274:T1279" si="504">"15:08:04.000"</f>
        <v>15:08:04.000</v>
      </c>
      <c r="T1274" t="str">
        <f t="shared" si="504"/>
        <v>15:08:04.000</v>
      </c>
      <c r="U1274" t="str">
        <f t="shared" si="483"/>
        <v>A68FCB</v>
      </c>
      <c r="V1274">
        <v>0</v>
      </c>
      <c r="W1274">
        <v>0</v>
      </c>
      <c r="X1274">
        <v>2</v>
      </c>
      <c r="Y1274">
        <v>0</v>
      </c>
      <c r="AA1274">
        <v>1</v>
      </c>
      <c r="AB1274">
        <v>8</v>
      </c>
      <c r="AC1274">
        <v>3</v>
      </c>
      <c r="AD1274">
        <v>0</v>
      </c>
      <c r="AE1274">
        <v>9</v>
      </c>
      <c r="AF1274" t="s">
        <v>138</v>
      </c>
      <c r="AG1274">
        <v>0</v>
      </c>
      <c r="AH1274">
        <v>3</v>
      </c>
      <c r="AI1274">
        <v>2</v>
      </c>
      <c r="AJ1274">
        <v>0</v>
      </c>
      <c r="AK1274" t="s">
        <v>492</v>
      </c>
      <c r="AL1274">
        <v>39.005262999999999</v>
      </c>
      <c r="AM1274" t="s">
        <v>493</v>
      </c>
      <c r="AN1274">
        <v>-121.05448699999999</v>
      </c>
      <c r="AO1274">
        <v>25</v>
      </c>
      <c r="AP1274">
        <v>3600</v>
      </c>
      <c r="AQ1274" t="s">
        <v>131</v>
      </c>
      <c r="AR1274">
        <v>-14</v>
      </c>
      <c r="AS1274">
        <v>85</v>
      </c>
      <c r="AT1274">
        <v>448</v>
      </c>
      <c r="BB1274" t="str">
        <f t="shared" si="484"/>
        <v>1200</v>
      </c>
      <c r="BC1274">
        <v>1</v>
      </c>
      <c r="BD1274" t="str">
        <f t="shared" si="485"/>
        <v xml:space="preserve">N52156  </v>
      </c>
      <c r="BE1274">
        <v>1</v>
      </c>
      <c r="BG1274">
        <v>0</v>
      </c>
      <c r="BH1274">
        <v>0</v>
      </c>
      <c r="BI1274">
        <v>0</v>
      </c>
      <c r="BJ1274">
        <v>3550</v>
      </c>
      <c r="BK1274">
        <v>-50</v>
      </c>
      <c r="BL1274" t="s">
        <v>188</v>
      </c>
      <c r="BM1274">
        <v>1</v>
      </c>
      <c r="BN1274">
        <v>1</v>
      </c>
      <c r="BO1274">
        <v>0</v>
      </c>
      <c r="BP1274">
        <v>0</v>
      </c>
      <c r="BS1274">
        <v>0</v>
      </c>
      <c r="BT1274">
        <v>0</v>
      </c>
      <c r="BU1274">
        <v>0</v>
      </c>
      <c r="CE1274" t="str">
        <f t="shared" ref="CE1274:CE1279" si="505">"15:08:04.734"</f>
        <v>15:08:04.734</v>
      </c>
      <c r="CF1274">
        <v>733704336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4</v>
      </c>
      <c r="CY1274">
        <v>7</v>
      </c>
      <c r="CZ1274" t="s">
        <v>133</v>
      </c>
      <c r="DA1274">
        <v>275</v>
      </c>
      <c r="DB1274">
        <v>0</v>
      </c>
      <c r="DC1274" t="s">
        <v>134</v>
      </c>
      <c r="DD1274" t="s">
        <v>135</v>
      </c>
      <c r="DG1274">
        <v>3320079</v>
      </c>
      <c r="DI1274">
        <v>1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"05/01/2025 15:08:04.934"</f>
        <v>05/01/2025 15:08:04.934</v>
      </c>
      <c r="C1275" t="str">
        <f t="shared" si="482"/>
        <v>FFDFD3C0</v>
      </c>
      <c r="D1275" t="s">
        <v>143</v>
      </c>
      <c r="E1275" t="str">
        <f>"05"</f>
        <v>05</v>
      </c>
      <c r="H1275">
        <v>172</v>
      </c>
      <c r="I1275" t="s">
        <v>141</v>
      </c>
      <c r="J1275" t="s">
        <v>144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R1275" t="s">
        <v>127</v>
      </c>
      <c r="S1275" t="str">
        <f t="shared" si="504"/>
        <v>15:08:04.000</v>
      </c>
      <c r="T1275" t="str">
        <f t="shared" si="504"/>
        <v>15:08:04.000</v>
      </c>
      <c r="U1275" t="str">
        <f t="shared" si="483"/>
        <v>A68FCB</v>
      </c>
      <c r="V1275">
        <v>0</v>
      </c>
      <c r="W1275">
        <v>0</v>
      </c>
      <c r="X1275">
        <v>2</v>
      </c>
      <c r="Y1275">
        <v>0</v>
      </c>
      <c r="AA1275">
        <v>1</v>
      </c>
      <c r="AB1275">
        <v>8</v>
      </c>
      <c r="AC1275">
        <v>3</v>
      </c>
      <c r="AD1275">
        <v>0</v>
      </c>
      <c r="AE1275">
        <v>9</v>
      </c>
      <c r="AF1275" t="s">
        <v>138</v>
      </c>
      <c r="AG1275">
        <v>0</v>
      </c>
      <c r="AH1275">
        <v>3</v>
      </c>
      <c r="AI1275">
        <v>2</v>
      </c>
      <c r="AJ1275">
        <v>0</v>
      </c>
      <c r="AK1275" t="s">
        <v>492</v>
      </c>
      <c r="AL1275">
        <v>39.005262999999999</v>
      </c>
      <c r="AM1275" t="s">
        <v>493</v>
      </c>
      <c r="AN1275">
        <v>-121.05448699999999</v>
      </c>
      <c r="AO1275">
        <v>25</v>
      </c>
      <c r="AP1275">
        <v>3600</v>
      </c>
      <c r="AQ1275" t="s">
        <v>131</v>
      </c>
      <c r="AR1275">
        <v>-14</v>
      </c>
      <c r="AS1275">
        <v>85</v>
      </c>
      <c r="AT1275">
        <v>448</v>
      </c>
      <c r="BB1275" t="str">
        <f t="shared" si="484"/>
        <v>1200</v>
      </c>
      <c r="BC1275">
        <v>1</v>
      </c>
      <c r="BD1275" t="str">
        <f t="shared" si="485"/>
        <v xml:space="preserve">N52156  </v>
      </c>
      <c r="BE1275">
        <v>1</v>
      </c>
      <c r="BG1275">
        <v>0</v>
      </c>
      <c r="BH1275">
        <v>0</v>
      </c>
      <c r="BI1275">
        <v>0</v>
      </c>
      <c r="BJ1275">
        <v>3550</v>
      </c>
      <c r="BK1275">
        <v>-50</v>
      </c>
      <c r="BL1275" t="s">
        <v>188</v>
      </c>
      <c r="BM1275">
        <v>1</v>
      </c>
      <c r="BN1275">
        <v>1</v>
      </c>
      <c r="BO1275">
        <v>0</v>
      </c>
      <c r="BP1275">
        <v>0</v>
      </c>
      <c r="BS1275">
        <v>0</v>
      </c>
      <c r="BT1275">
        <v>0</v>
      </c>
      <c r="BU1275">
        <v>0</v>
      </c>
      <c r="CE1275" t="str">
        <f t="shared" si="505"/>
        <v>15:08:04.734</v>
      </c>
      <c r="CF1275">
        <v>733704336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4</v>
      </c>
      <c r="CY1275">
        <v>7</v>
      </c>
      <c r="CZ1275" t="s">
        <v>133</v>
      </c>
      <c r="DA1275">
        <v>275</v>
      </c>
      <c r="DB1275">
        <v>0</v>
      </c>
      <c r="DC1275" t="s">
        <v>134</v>
      </c>
      <c r="DD1275" t="s">
        <v>135</v>
      </c>
      <c r="DG1275">
        <v>3320079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"05/01/2025 15:08:04.941"</f>
        <v>05/01/2025 15:08:04.941</v>
      </c>
      <c r="C1276" t="str">
        <f t="shared" si="482"/>
        <v>FFDFD3C0</v>
      </c>
      <c r="D1276" t="s">
        <v>136</v>
      </c>
      <c r="E1276" t="str">
        <f>"20"</f>
        <v>20</v>
      </c>
      <c r="H1276">
        <v>400</v>
      </c>
      <c r="I1276" t="s">
        <v>137</v>
      </c>
      <c r="J1276" t="s">
        <v>138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R1276" t="s">
        <v>127</v>
      </c>
      <c r="S1276" t="str">
        <f t="shared" si="504"/>
        <v>15:08:04.000</v>
      </c>
      <c r="T1276" t="str">
        <f t="shared" si="504"/>
        <v>15:08:04.000</v>
      </c>
      <c r="U1276" t="str">
        <f t="shared" si="483"/>
        <v>A68FCB</v>
      </c>
      <c r="V1276">
        <v>0</v>
      </c>
      <c r="W1276">
        <v>0</v>
      </c>
      <c r="X1276">
        <v>2</v>
      </c>
      <c r="Y1276">
        <v>0</v>
      </c>
      <c r="AA1276">
        <v>1</v>
      </c>
      <c r="AB1276">
        <v>8</v>
      </c>
      <c r="AC1276">
        <v>3</v>
      </c>
      <c r="AD1276">
        <v>0</v>
      </c>
      <c r="AE1276">
        <v>9</v>
      </c>
      <c r="AF1276" t="s">
        <v>138</v>
      </c>
      <c r="AG1276">
        <v>0</v>
      </c>
      <c r="AH1276">
        <v>3</v>
      </c>
      <c r="AI1276">
        <v>2</v>
      </c>
      <c r="AJ1276">
        <v>0</v>
      </c>
      <c r="AK1276" t="s">
        <v>492</v>
      </c>
      <c r="AL1276">
        <v>39.005262999999999</v>
      </c>
      <c r="AM1276" t="s">
        <v>493</v>
      </c>
      <c r="AN1276">
        <v>-121.05448699999999</v>
      </c>
      <c r="AO1276">
        <v>25</v>
      </c>
      <c r="AP1276">
        <v>3600</v>
      </c>
      <c r="AQ1276" t="s">
        <v>131</v>
      </c>
      <c r="AR1276">
        <v>-14</v>
      </c>
      <c r="AS1276">
        <v>85</v>
      </c>
      <c r="AT1276">
        <v>448</v>
      </c>
      <c r="BB1276" t="str">
        <f t="shared" si="484"/>
        <v>1200</v>
      </c>
      <c r="BC1276">
        <v>1</v>
      </c>
      <c r="BD1276" t="str">
        <f t="shared" si="485"/>
        <v xml:space="preserve">N52156  </v>
      </c>
      <c r="BE1276">
        <v>1</v>
      </c>
      <c r="BG1276">
        <v>0</v>
      </c>
      <c r="BH1276">
        <v>0</v>
      </c>
      <c r="BI1276">
        <v>0</v>
      </c>
      <c r="BJ1276">
        <v>3550</v>
      </c>
      <c r="BK1276">
        <v>-50</v>
      </c>
      <c r="BL1276" t="s">
        <v>188</v>
      </c>
      <c r="BM1276">
        <v>1</v>
      </c>
      <c r="BN1276">
        <v>1</v>
      </c>
      <c r="BO1276">
        <v>0</v>
      </c>
      <c r="BP1276">
        <v>0</v>
      </c>
      <c r="BS1276">
        <v>0</v>
      </c>
      <c r="BT1276">
        <v>0</v>
      </c>
      <c r="BU1276">
        <v>0</v>
      </c>
      <c r="CE1276" t="str">
        <f t="shared" si="505"/>
        <v>15:08:04.734</v>
      </c>
      <c r="CF1276">
        <v>733704336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4</v>
      </c>
      <c r="CY1276">
        <v>7</v>
      </c>
      <c r="CZ1276" t="s">
        <v>133</v>
      </c>
      <c r="DA1276">
        <v>275</v>
      </c>
      <c r="DB1276">
        <v>0</v>
      </c>
      <c r="DC1276" t="s">
        <v>134</v>
      </c>
      <c r="DD1276" t="s">
        <v>135</v>
      </c>
      <c r="DG1276">
        <v>3320079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"05/01/2025 15:08:04.975"</f>
        <v>05/01/2025 15:08:04.975</v>
      </c>
      <c r="C1277" t="str">
        <f t="shared" si="482"/>
        <v>FFDFD3C0</v>
      </c>
      <c r="D1277" t="s">
        <v>140</v>
      </c>
      <c r="E1277" t="str">
        <f>"13"</f>
        <v>13</v>
      </c>
      <c r="F1277">
        <v>1019</v>
      </c>
      <c r="G1277" t="s">
        <v>141</v>
      </c>
      <c r="J1277" t="s">
        <v>142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R1277" t="s">
        <v>127</v>
      </c>
      <c r="S1277" t="str">
        <f t="shared" si="504"/>
        <v>15:08:04.000</v>
      </c>
      <c r="T1277" t="str">
        <f t="shared" si="504"/>
        <v>15:08:04.000</v>
      </c>
      <c r="U1277" t="str">
        <f t="shared" si="483"/>
        <v>A68FCB</v>
      </c>
      <c r="V1277">
        <v>0</v>
      </c>
      <c r="W1277">
        <v>0</v>
      </c>
      <c r="X1277">
        <v>2</v>
      </c>
      <c r="Y1277">
        <v>0</v>
      </c>
      <c r="AA1277">
        <v>1</v>
      </c>
      <c r="AB1277">
        <v>8</v>
      </c>
      <c r="AC1277">
        <v>3</v>
      </c>
      <c r="AD1277">
        <v>0</v>
      </c>
      <c r="AE1277">
        <v>9</v>
      </c>
      <c r="AF1277" t="s">
        <v>138</v>
      </c>
      <c r="AG1277">
        <v>0</v>
      </c>
      <c r="AH1277">
        <v>3</v>
      </c>
      <c r="AI1277">
        <v>2</v>
      </c>
      <c r="AJ1277">
        <v>0</v>
      </c>
      <c r="AK1277" t="s">
        <v>492</v>
      </c>
      <c r="AL1277">
        <v>39.005262999999999</v>
      </c>
      <c r="AM1277" t="s">
        <v>493</v>
      </c>
      <c r="AN1277">
        <v>-121.05448699999999</v>
      </c>
      <c r="AO1277">
        <v>25</v>
      </c>
      <c r="AP1277">
        <v>3600</v>
      </c>
      <c r="AQ1277" t="s">
        <v>131</v>
      </c>
      <c r="AR1277">
        <v>-14</v>
      </c>
      <c r="AS1277">
        <v>85</v>
      </c>
      <c r="AT1277">
        <v>448</v>
      </c>
      <c r="BB1277" t="str">
        <f t="shared" si="484"/>
        <v>1200</v>
      </c>
      <c r="BC1277">
        <v>1</v>
      </c>
      <c r="BD1277" t="str">
        <f t="shared" si="485"/>
        <v xml:space="preserve">N52156  </v>
      </c>
      <c r="BE1277">
        <v>1</v>
      </c>
      <c r="BG1277">
        <v>0</v>
      </c>
      <c r="BH1277">
        <v>0</v>
      </c>
      <c r="BI1277">
        <v>0</v>
      </c>
      <c r="BJ1277">
        <v>3550</v>
      </c>
      <c r="BK1277">
        <v>-50</v>
      </c>
      <c r="BL1277" t="s">
        <v>188</v>
      </c>
      <c r="BM1277">
        <v>1</v>
      </c>
      <c r="BN1277">
        <v>1</v>
      </c>
      <c r="BO1277">
        <v>0</v>
      </c>
      <c r="BP1277">
        <v>0</v>
      </c>
      <c r="BS1277">
        <v>0</v>
      </c>
      <c r="BT1277">
        <v>0</v>
      </c>
      <c r="BU1277">
        <v>0</v>
      </c>
      <c r="CE1277" t="str">
        <f t="shared" si="505"/>
        <v>15:08:04.734</v>
      </c>
      <c r="CF1277">
        <v>733704336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4</v>
      </c>
      <c r="CY1277">
        <v>7</v>
      </c>
      <c r="CZ1277" t="s">
        <v>133</v>
      </c>
      <c r="DA1277">
        <v>275</v>
      </c>
      <c r="DB1277">
        <v>0</v>
      </c>
      <c r="DC1277" t="s">
        <v>134</v>
      </c>
      <c r="DD1277" t="s">
        <v>135</v>
      </c>
      <c r="DG1277">
        <v>3320079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"05/01/2025 15:08:04.977"</f>
        <v>05/01/2025 15:08:04.977</v>
      </c>
      <c r="C1278" t="str">
        <f t="shared" si="482"/>
        <v>FFDFD3C0</v>
      </c>
      <c r="D1278" t="s">
        <v>145</v>
      </c>
      <c r="E1278" t="str">
        <f>"05"</f>
        <v>05</v>
      </c>
      <c r="H1278">
        <v>47</v>
      </c>
      <c r="I1278" t="s">
        <v>146</v>
      </c>
      <c r="J1278" t="s">
        <v>138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R1278" t="s">
        <v>127</v>
      </c>
      <c r="S1278" t="str">
        <f t="shared" si="504"/>
        <v>15:08:04.000</v>
      </c>
      <c r="T1278" t="str">
        <f t="shared" si="504"/>
        <v>15:08:04.000</v>
      </c>
      <c r="U1278" t="str">
        <f t="shared" si="483"/>
        <v>A68FCB</v>
      </c>
      <c r="V1278">
        <v>0</v>
      </c>
      <c r="W1278">
        <v>0</v>
      </c>
      <c r="X1278">
        <v>2</v>
      </c>
      <c r="Y1278">
        <v>0</v>
      </c>
      <c r="AA1278">
        <v>1</v>
      </c>
      <c r="AB1278">
        <v>8</v>
      </c>
      <c r="AC1278">
        <v>3</v>
      </c>
      <c r="AD1278">
        <v>0</v>
      </c>
      <c r="AE1278">
        <v>9</v>
      </c>
      <c r="AF1278" t="s">
        <v>138</v>
      </c>
      <c r="AG1278">
        <v>0</v>
      </c>
      <c r="AH1278">
        <v>3</v>
      </c>
      <c r="AI1278">
        <v>2</v>
      </c>
      <c r="AJ1278">
        <v>0</v>
      </c>
      <c r="AK1278" t="s">
        <v>492</v>
      </c>
      <c r="AL1278">
        <v>39.005262999999999</v>
      </c>
      <c r="AM1278" t="s">
        <v>493</v>
      </c>
      <c r="AN1278">
        <v>-121.05448699999999</v>
      </c>
      <c r="AO1278">
        <v>25</v>
      </c>
      <c r="AP1278">
        <v>3600</v>
      </c>
      <c r="AQ1278" t="s">
        <v>131</v>
      </c>
      <c r="AR1278">
        <v>-14</v>
      </c>
      <c r="AS1278">
        <v>85</v>
      </c>
      <c r="AT1278">
        <v>448</v>
      </c>
      <c r="BB1278" t="str">
        <f t="shared" si="484"/>
        <v>1200</v>
      </c>
      <c r="BC1278">
        <v>1</v>
      </c>
      <c r="BD1278" t="str">
        <f t="shared" si="485"/>
        <v xml:space="preserve">N52156  </v>
      </c>
      <c r="BE1278">
        <v>1</v>
      </c>
      <c r="BG1278">
        <v>0</v>
      </c>
      <c r="BH1278">
        <v>0</v>
      </c>
      <c r="BI1278">
        <v>0</v>
      </c>
      <c r="BJ1278">
        <v>3550</v>
      </c>
      <c r="BK1278">
        <v>-50</v>
      </c>
      <c r="BL1278" t="s">
        <v>188</v>
      </c>
      <c r="BM1278">
        <v>1</v>
      </c>
      <c r="BN1278">
        <v>1</v>
      </c>
      <c r="BO1278">
        <v>0</v>
      </c>
      <c r="BP1278">
        <v>0</v>
      </c>
      <c r="BS1278">
        <v>0</v>
      </c>
      <c r="BT1278">
        <v>0</v>
      </c>
      <c r="BU1278">
        <v>0</v>
      </c>
      <c r="CE1278" t="str">
        <f t="shared" si="505"/>
        <v>15:08:04.734</v>
      </c>
      <c r="CF1278">
        <v>733704336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4</v>
      </c>
      <c r="CY1278">
        <v>7</v>
      </c>
      <c r="CZ1278" t="s">
        <v>133</v>
      </c>
      <c r="DA1278">
        <v>275</v>
      </c>
      <c r="DB1278">
        <v>0</v>
      </c>
      <c r="DC1278" t="s">
        <v>134</v>
      </c>
      <c r="DD1278" t="s">
        <v>135</v>
      </c>
      <c r="DG1278">
        <v>3320079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"05/01/2025 15:08:04.981"</f>
        <v>05/01/2025 15:08:04.981</v>
      </c>
      <c r="C1279" t="str">
        <f t="shared" si="482"/>
        <v>FFDFD3C0</v>
      </c>
      <c r="D1279" t="s">
        <v>124</v>
      </c>
      <c r="E1279" t="str">
        <f>"06"</f>
        <v>06</v>
      </c>
      <c r="F1279">
        <v>2006</v>
      </c>
      <c r="G1279" t="s">
        <v>125</v>
      </c>
      <c r="J1279" t="s">
        <v>126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R1279" t="s">
        <v>127</v>
      </c>
      <c r="S1279" t="str">
        <f t="shared" si="504"/>
        <v>15:08:04.000</v>
      </c>
      <c r="T1279" t="str">
        <f t="shared" si="504"/>
        <v>15:08:04.000</v>
      </c>
      <c r="U1279" t="str">
        <f t="shared" si="483"/>
        <v>A68FCB</v>
      </c>
      <c r="V1279">
        <v>0</v>
      </c>
      <c r="W1279">
        <v>0</v>
      </c>
      <c r="X1279">
        <v>2</v>
      </c>
      <c r="Y1279">
        <v>0</v>
      </c>
      <c r="AA1279">
        <v>1</v>
      </c>
      <c r="AB1279">
        <v>8</v>
      </c>
      <c r="AC1279">
        <v>3</v>
      </c>
      <c r="AD1279">
        <v>0</v>
      </c>
      <c r="AE1279">
        <v>9</v>
      </c>
      <c r="AF1279" t="s">
        <v>138</v>
      </c>
      <c r="AG1279">
        <v>0</v>
      </c>
      <c r="AH1279">
        <v>3</v>
      </c>
      <c r="AI1279">
        <v>2</v>
      </c>
      <c r="AJ1279">
        <v>0</v>
      </c>
      <c r="AK1279" t="s">
        <v>492</v>
      </c>
      <c r="AL1279">
        <v>39.005262999999999</v>
      </c>
      <c r="AM1279" t="s">
        <v>493</v>
      </c>
      <c r="AN1279">
        <v>-121.05448699999999</v>
      </c>
      <c r="AO1279">
        <v>25</v>
      </c>
      <c r="AP1279">
        <v>3600</v>
      </c>
      <c r="AQ1279" t="s">
        <v>131</v>
      </c>
      <c r="AR1279">
        <v>-14</v>
      </c>
      <c r="AS1279">
        <v>85</v>
      </c>
      <c r="AT1279">
        <v>448</v>
      </c>
      <c r="BB1279" t="str">
        <f t="shared" si="484"/>
        <v>1200</v>
      </c>
      <c r="BC1279">
        <v>1</v>
      </c>
      <c r="BD1279" t="str">
        <f t="shared" si="485"/>
        <v xml:space="preserve">N52156  </v>
      </c>
      <c r="BE1279">
        <v>1</v>
      </c>
      <c r="BG1279">
        <v>0</v>
      </c>
      <c r="BH1279">
        <v>0</v>
      </c>
      <c r="BI1279">
        <v>0</v>
      </c>
      <c r="BJ1279">
        <v>3550</v>
      </c>
      <c r="BK1279">
        <v>-50</v>
      </c>
      <c r="BL1279" t="s">
        <v>188</v>
      </c>
      <c r="BM1279">
        <v>1</v>
      </c>
      <c r="BN1279">
        <v>1</v>
      </c>
      <c r="BO1279">
        <v>0</v>
      </c>
      <c r="BP1279">
        <v>0</v>
      </c>
      <c r="BS1279">
        <v>0</v>
      </c>
      <c r="BT1279">
        <v>0</v>
      </c>
      <c r="BU1279">
        <v>0</v>
      </c>
      <c r="CE1279" t="str">
        <f t="shared" si="505"/>
        <v>15:08:04.734</v>
      </c>
      <c r="CF1279">
        <v>733704336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4</v>
      </c>
      <c r="CY1279">
        <v>7</v>
      </c>
      <c r="CZ1279" t="s">
        <v>133</v>
      </c>
      <c r="DA1279">
        <v>275</v>
      </c>
      <c r="DB1279">
        <v>0</v>
      </c>
      <c r="DC1279" t="s">
        <v>134</v>
      </c>
      <c r="DD1279" t="s">
        <v>135</v>
      </c>
      <c r="DG1279">
        <v>3320079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"05/01/2025 15:08:05.426"</f>
        <v>05/01/2025 15:08:05.426</v>
      </c>
      <c r="C1280" t="str">
        <f t="shared" si="482"/>
        <v>FFDFD3C0</v>
      </c>
      <c r="D1280" t="s">
        <v>140</v>
      </c>
      <c r="E1280" t="str">
        <f>"13"</f>
        <v>13</v>
      </c>
      <c r="F1280">
        <v>1019</v>
      </c>
      <c r="G1280" t="s">
        <v>141</v>
      </c>
      <c r="J1280" t="s">
        <v>142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R1280" t="s">
        <v>127</v>
      </c>
      <c r="S1280" t="str">
        <f t="shared" ref="S1280:T1285" si="506">"15:08:05.000"</f>
        <v>15:08:05.000</v>
      </c>
      <c r="T1280" t="str">
        <f t="shared" si="506"/>
        <v>15:08:05.000</v>
      </c>
      <c r="U1280" t="str">
        <f t="shared" si="483"/>
        <v>A68FCB</v>
      </c>
      <c r="V1280">
        <v>0</v>
      </c>
      <c r="W1280">
        <v>0</v>
      </c>
      <c r="X1280">
        <v>2</v>
      </c>
      <c r="Y1280">
        <v>0</v>
      </c>
      <c r="AA1280">
        <v>1</v>
      </c>
      <c r="AB1280">
        <v>8</v>
      </c>
      <c r="AC1280">
        <v>3</v>
      </c>
      <c r="AD1280">
        <v>0</v>
      </c>
      <c r="AE1280">
        <v>9</v>
      </c>
      <c r="AF1280" t="s">
        <v>138</v>
      </c>
      <c r="AG1280">
        <v>0</v>
      </c>
      <c r="AH1280">
        <v>3</v>
      </c>
      <c r="AI1280">
        <v>2</v>
      </c>
      <c r="AJ1280">
        <v>0</v>
      </c>
      <c r="AK1280" t="s">
        <v>494</v>
      </c>
      <c r="AL1280">
        <v>39.005648999999998</v>
      </c>
      <c r="AM1280" t="s">
        <v>495</v>
      </c>
      <c r="AN1280">
        <v>-121.054552</v>
      </c>
      <c r="AO1280">
        <v>25</v>
      </c>
      <c r="AP1280">
        <v>3600</v>
      </c>
      <c r="AQ1280" t="s">
        <v>131</v>
      </c>
      <c r="AR1280">
        <v>-14</v>
      </c>
      <c r="AS1280">
        <v>85</v>
      </c>
      <c r="AT1280">
        <v>448</v>
      </c>
      <c r="BB1280" t="str">
        <f t="shared" si="484"/>
        <v>1200</v>
      </c>
      <c r="BC1280">
        <v>1</v>
      </c>
      <c r="BD1280" t="str">
        <f t="shared" si="485"/>
        <v xml:space="preserve">N52156  </v>
      </c>
      <c r="BE1280">
        <v>1</v>
      </c>
      <c r="BG1280">
        <v>0</v>
      </c>
      <c r="BH1280">
        <v>0</v>
      </c>
      <c r="BI1280">
        <v>0</v>
      </c>
      <c r="BJ1280">
        <v>3550</v>
      </c>
      <c r="BK1280">
        <v>-50</v>
      </c>
      <c r="BL1280" t="s">
        <v>188</v>
      </c>
      <c r="BM1280">
        <v>1</v>
      </c>
      <c r="BN1280">
        <v>1</v>
      </c>
      <c r="BO1280">
        <v>0</v>
      </c>
      <c r="BP1280">
        <v>0</v>
      </c>
      <c r="BS1280">
        <v>0</v>
      </c>
      <c r="BT1280">
        <v>0</v>
      </c>
      <c r="BU1280">
        <v>0</v>
      </c>
      <c r="CE1280" t="str">
        <f t="shared" ref="CE1280:CE1285" si="507">"15:08:05.218"</f>
        <v>15:08:05.218</v>
      </c>
      <c r="CF1280">
        <v>217703030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4</v>
      </c>
      <c r="CY1280">
        <v>7</v>
      </c>
      <c r="CZ1280" t="s">
        <v>133</v>
      </c>
      <c r="DA1280">
        <v>275</v>
      </c>
      <c r="DB1280">
        <v>0</v>
      </c>
      <c r="DC1280" t="s">
        <v>134</v>
      </c>
      <c r="DD1280" t="s">
        <v>135</v>
      </c>
      <c r="DG1280">
        <v>3320085</v>
      </c>
      <c r="DI1280">
        <v>1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"05/01/2025 15:08:05.428"</f>
        <v>05/01/2025 15:08:05.428</v>
      </c>
      <c r="C1281" t="str">
        <f t="shared" si="482"/>
        <v>FFDFD3C0</v>
      </c>
      <c r="D1281" t="s">
        <v>145</v>
      </c>
      <c r="E1281" t="str">
        <f>"05"</f>
        <v>05</v>
      </c>
      <c r="H1281">
        <v>47</v>
      </c>
      <c r="I1281" t="s">
        <v>146</v>
      </c>
      <c r="J1281" t="s">
        <v>138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R1281" t="s">
        <v>127</v>
      </c>
      <c r="S1281" t="str">
        <f t="shared" si="506"/>
        <v>15:08:05.000</v>
      </c>
      <c r="T1281" t="str">
        <f t="shared" si="506"/>
        <v>15:08:05.000</v>
      </c>
      <c r="U1281" t="str">
        <f t="shared" si="483"/>
        <v>A68FCB</v>
      </c>
      <c r="V1281">
        <v>0</v>
      </c>
      <c r="W1281">
        <v>0</v>
      </c>
      <c r="X1281">
        <v>2</v>
      </c>
      <c r="Y1281">
        <v>0</v>
      </c>
      <c r="AA1281">
        <v>1</v>
      </c>
      <c r="AB1281">
        <v>8</v>
      </c>
      <c r="AC1281">
        <v>3</v>
      </c>
      <c r="AD1281">
        <v>0</v>
      </c>
      <c r="AE1281">
        <v>9</v>
      </c>
      <c r="AF1281" t="s">
        <v>138</v>
      </c>
      <c r="AG1281">
        <v>0</v>
      </c>
      <c r="AH1281">
        <v>3</v>
      </c>
      <c r="AI1281">
        <v>2</v>
      </c>
      <c r="AJ1281">
        <v>0</v>
      </c>
      <c r="AK1281" t="s">
        <v>494</v>
      </c>
      <c r="AL1281">
        <v>39.005648999999998</v>
      </c>
      <c r="AM1281" t="s">
        <v>495</v>
      </c>
      <c r="AN1281">
        <v>-121.054552</v>
      </c>
      <c r="AO1281">
        <v>25</v>
      </c>
      <c r="AP1281">
        <v>3600</v>
      </c>
      <c r="AQ1281" t="s">
        <v>131</v>
      </c>
      <c r="AR1281">
        <v>-14</v>
      </c>
      <c r="AS1281">
        <v>85</v>
      </c>
      <c r="AT1281">
        <v>448</v>
      </c>
      <c r="BB1281" t="str">
        <f t="shared" si="484"/>
        <v>1200</v>
      </c>
      <c r="BC1281">
        <v>1</v>
      </c>
      <c r="BD1281" t="str">
        <f t="shared" si="485"/>
        <v xml:space="preserve">N52156  </v>
      </c>
      <c r="BE1281">
        <v>1</v>
      </c>
      <c r="BG1281">
        <v>0</v>
      </c>
      <c r="BH1281">
        <v>0</v>
      </c>
      <c r="BI1281">
        <v>0</v>
      </c>
      <c r="BJ1281">
        <v>3550</v>
      </c>
      <c r="BK1281">
        <v>-50</v>
      </c>
      <c r="BL1281" t="s">
        <v>188</v>
      </c>
      <c r="BM1281">
        <v>1</v>
      </c>
      <c r="BN1281">
        <v>1</v>
      </c>
      <c r="BO1281">
        <v>0</v>
      </c>
      <c r="BP1281">
        <v>0</v>
      </c>
      <c r="BS1281">
        <v>0</v>
      </c>
      <c r="BT1281">
        <v>0</v>
      </c>
      <c r="BU1281">
        <v>0</v>
      </c>
      <c r="CE1281" t="str">
        <f t="shared" si="507"/>
        <v>15:08:05.218</v>
      </c>
      <c r="CF1281">
        <v>217703030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4</v>
      </c>
      <c r="CY1281">
        <v>7</v>
      </c>
      <c r="CZ1281" t="s">
        <v>133</v>
      </c>
      <c r="DA1281">
        <v>275</v>
      </c>
      <c r="DB1281">
        <v>0</v>
      </c>
      <c r="DC1281" t="s">
        <v>134</v>
      </c>
      <c r="DD1281" t="s">
        <v>135</v>
      </c>
      <c r="DG1281">
        <v>3320085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"05/01/2025 15:08:05.432"</f>
        <v>05/01/2025 15:08:05.432</v>
      </c>
      <c r="C1282" t="str">
        <f t="shared" ref="C1282:C1345" si="508">"FFDFD3C0"</f>
        <v>FFDFD3C0</v>
      </c>
      <c r="D1282" t="s">
        <v>124</v>
      </c>
      <c r="E1282" t="str">
        <f>"06"</f>
        <v>06</v>
      </c>
      <c r="F1282">
        <v>2006</v>
      </c>
      <c r="G1282" t="s">
        <v>125</v>
      </c>
      <c r="J1282" t="s">
        <v>126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R1282" t="s">
        <v>127</v>
      </c>
      <c r="S1282" t="str">
        <f t="shared" si="506"/>
        <v>15:08:05.000</v>
      </c>
      <c r="T1282" t="str">
        <f t="shared" si="506"/>
        <v>15:08:05.000</v>
      </c>
      <c r="U1282" t="str">
        <f t="shared" ref="U1282:U1345" si="509">"A68FCB"</f>
        <v>A68FCB</v>
      </c>
      <c r="V1282">
        <v>0</v>
      </c>
      <c r="W1282">
        <v>0</v>
      </c>
      <c r="X1282">
        <v>2</v>
      </c>
      <c r="Y1282">
        <v>0</v>
      </c>
      <c r="AA1282">
        <v>1</v>
      </c>
      <c r="AB1282">
        <v>8</v>
      </c>
      <c r="AC1282">
        <v>3</v>
      </c>
      <c r="AD1282">
        <v>0</v>
      </c>
      <c r="AE1282">
        <v>9</v>
      </c>
      <c r="AF1282" t="s">
        <v>138</v>
      </c>
      <c r="AG1282">
        <v>0</v>
      </c>
      <c r="AH1282">
        <v>3</v>
      </c>
      <c r="AI1282">
        <v>2</v>
      </c>
      <c r="AJ1282">
        <v>0</v>
      </c>
      <c r="AK1282" t="s">
        <v>494</v>
      </c>
      <c r="AL1282">
        <v>39.005648999999998</v>
      </c>
      <c r="AM1282" t="s">
        <v>495</v>
      </c>
      <c r="AN1282">
        <v>-121.054552</v>
      </c>
      <c r="AO1282">
        <v>25</v>
      </c>
      <c r="AP1282">
        <v>3600</v>
      </c>
      <c r="AQ1282" t="s">
        <v>131</v>
      </c>
      <c r="AR1282">
        <v>-14</v>
      </c>
      <c r="AS1282">
        <v>85</v>
      </c>
      <c r="AT1282">
        <v>448</v>
      </c>
      <c r="BB1282" t="str">
        <f t="shared" ref="BB1282:BB1345" si="510">"1200"</f>
        <v>1200</v>
      </c>
      <c r="BC1282">
        <v>1</v>
      </c>
      <c r="BD1282" t="str">
        <f t="shared" ref="BD1282:BD1345" si="511">"N52156  "</f>
        <v xml:space="preserve">N52156  </v>
      </c>
      <c r="BE1282">
        <v>1</v>
      </c>
      <c r="BG1282">
        <v>0</v>
      </c>
      <c r="BH1282">
        <v>0</v>
      </c>
      <c r="BI1282">
        <v>0</v>
      </c>
      <c r="BJ1282">
        <v>3550</v>
      </c>
      <c r="BK1282">
        <v>-50</v>
      </c>
      <c r="BL1282" t="s">
        <v>188</v>
      </c>
      <c r="BM1282">
        <v>1</v>
      </c>
      <c r="BN1282">
        <v>1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 t="shared" si="507"/>
        <v>15:08:05.218</v>
      </c>
      <c r="CF1282">
        <v>217703030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4</v>
      </c>
      <c r="CY1282">
        <v>7</v>
      </c>
      <c r="CZ1282" t="s">
        <v>133</v>
      </c>
      <c r="DA1282">
        <v>275</v>
      </c>
      <c r="DB1282">
        <v>0</v>
      </c>
      <c r="DC1282" t="s">
        <v>134</v>
      </c>
      <c r="DD1282" t="s">
        <v>135</v>
      </c>
      <c r="DG1282">
        <v>3320085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"05/01/2025 15:08:05.433"</f>
        <v>05/01/2025 15:08:05.433</v>
      </c>
      <c r="C1283" t="str">
        <f t="shared" si="508"/>
        <v>FFDFD3C0</v>
      </c>
      <c r="D1283" t="s">
        <v>145</v>
      </c>
      <c r="E1283" t="str">
        <f>"09"</f>
        <v>09</v>
      </c>
      <c r="H1283">
        <v>51</v>
      </c>
      <c r="I1283" t="s">
        <v>147</v>
      </c>
      <c r="J1283" t="s">
        <v>138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R1283" t="s">
        <v>127</v>
      </c>
      <c r="S1283" t="str">
        <f t="shared" si="506"/>
        <v>15:08:05.000</v>
      </c>
      <c r="T1283" t="str">
        <f t="shared" si="506"/>
        <v>15:08:05.000</v>
      </c>
      <c r="U1283" t="str">
        <f t="shared" si="509"/>
        <v>A68FCB</v>
      </c>
      <c r="V1283">
        <v>0</v>
      </c>
      <c r="W1283">
        <v>0</v>
      </c>
      <c r="X1283">
        <v>2</v>
      </c>
      <c r="Y1283">
        <v>0</v>
      </c>
      <c r="AA1283">
        <v>1</v>
      </c>
      <c r="AB1283">
        <v>8</v>
      </c>
      <c r="AC1283">
        <v>3</v>
      </c>
      <c r="AD1283">
        <v>0</v>
      </c>
      <c r="AE1283">
        <v>9</v>
      </c>
      <c r="AF1283" t="s">
        <v>138</v>
      </c>
      <c r="AG1283">
        <v>0</v>
      </c>
      <c r="AH1283">
        <v>3</v>
      </c>
      <c r="AI1283">
        <v>2</v>
      </c>
      <c r="AJ1283">
        <v>0</v>
      </c>
      <c r="AK1283" t="s">
        <v>494</v>
      </c>
      <c r="AL1283">
        <v>39.005648999999998</v>
      </c>
      <c r="AM1283" t="s">
        <v>495</v>
      </c>
      <c r="AN1283">
        <v>-121.054552</v>
      </c>
      <c r="AO1283">
        <v>25</v>
      </c>
      <c r="AP1283">
        <v>3600</v>
      </c>
      <c r="AQ1283" t="s">
        <v>131</v>
      </c>
      <c r="AR1283">
        <v>-14</v>
      </c>
      <c r="AS1283">
        <v>85</v>
      </c>
      <c r="AT1283">
        <v>448</v>
      </c>
      <c r="BB1283" t="str">
        <f t="shared" si="510"/>
        <v>1200</v>
      </c>
      <c r="BC1283">
        <v>1</v>
      </c>
      <c r="BD1283" t="str">
        <f t="shared" si="511"/>
        <v xml:space="preserve">N52156  </v>
      </c>
      <c r="BE1283">
        <v>1</v>
      </c>
      <c r="BG1283">
        <v>0</v>
      </c>
      <c r="BH1283">
        <v>0</v>
      </c>
      <c r="BI1283">
        <v>0</v>
      </c>
      <c r="BJ1283">
        <v>3550</v>
      </c>
      <c r="BK1283">
        <v>-50</v>
      </c>
      <c r="BL1283" t="s">
        <v>188</v>
      </c>
      <c r="BM1283">
        <v>1</v>
      </c>
      <c r="BN1283">
        <v>1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 t="shared" si="507"/>
        <v>15:08:05.218</v>
      </c>
      <c r="CF1283">
        <v>217703030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4</v>
      </c>
      <c r="CY1283">
        <v>7</v>
      </c>
      <c r="CZ1283" t="s">
        <v>133</v>
      </c>
      <c r="DA1283">
        <v>275</v>
      </c>
      <c r="DB1283">
        <v>0</v>
      </c>
      <c r="DC1283" t="s">
        <v>134</v>
      </c>
      <c r="DD1283" t="s">
        <v>135</v>
      </c>
      <c r="DG1283">
        <v>3320085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"05/01/2025 15:08:05.435"</f>
        <v>05/01/2025 15:08:05.435</v>
      </c>
      <c r="C1284" t="str">
        <f t="shared" si="508"/>
        <v>FFDFD3C0</v>
      </c>
      <c r="D1284" t="s">
        <v>143</v>
      </c>
      <c r="E1284" t="str">
        <f>"05"</f>
        <v>05</v>
      </c>
      <c r="H1284">
        <v>172</v>
      </c>
      <c r="I1284" t="s">
        <v>141</v>
      </c>
      <c r="J1284" t="s">
        <v>144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R1284" t="s">
        <v>127</v>
      </c>
      <c r="S1284" t="str">
        <f t="shared" si="506"/>
        <v>15:08:05.000</v>
      </c>
      <c r="T1284" t="str">
        <f t="shared" si="506"/>
        <v>15:08:05.000</v>
      </c>
      <c r="U1284" t="str">
        <f t="shared" si="509"/>
        <v>A68FCB</v>
      </c>
      <c r="V1284">
        <v>0</v>
      </c>
      <c r="W1284">
        <v>0</v>
      </c>
      <c r="X1284">
        <v>2</v>
      </c>
      <c r="Y1284">
        <v>0</v>
      </c>
      <c r="AA1284">
        <v>1</v>
      </c>
      <c r="AB1284">
        <v>8</v>
      </c>
      <c r="AC1284">
        <v>3</v>
      </c>
      <c r="AD1284">
        <v>0</v>
      </c>
      <c r="AE1284">
        <v>9</v>
      </c>
      <c r="AF1284" t="s">
        <v>138</v>
      </c>
      <c r="AG1284">
        <v>0</v>
      </c>
      <c r="AH1284">
        <v>3</v>
      </c>
      <c r="AI1284">
        <v>2</v>
      </c>
      <c r="AJ1284">
        <v>0</v>
      </c>
      <c r="AK1284" t="s">
        <v>494</v>
      </c>
      <c r="AL1284">
        <v>39.005648999999998</v>
      </c>
      <c r="AM1284" t="s">
        <v>495</v>
      </c>
      <c r="AN1284">
        <v>-121.054552</v>
      </c>
      <c r="AO1284">
        <v>25</v>
      </c>
      <c r="AP1284">
        <v>3600</v>
      </c>
      <c r="AQ1284" t="s">
        <v>131</v>
      </c>
      <c r="AR1284">
        <v>-14</v>
      </c>
      <c r="AS1284">
        <v>85</v>
      </c>
      <c r="AT1284">
        <v>448</v>
      </c>
      <c r="BB1284" t="str">
        <f t="shared" si="510"/>
        <v>1200</v>
      </c>
      <c r="BC1284">
        <v>1</v>
      </c>
      <c r="BD1284" t="str">
        <f t="shared" si="511"/>
        <v xml:space="preserve">N52156  </v>
      </c>
      <c r="BE1284">
        <v>1</v>
      </c>
      <c r="BG1284">
        <v>0</v>
      </c>
      <c r="BH1284">
        <v>0</v>
      </c>
      <c r="BI1284">
        <v>0</v>
      </c>
      <c r="BJ1284">
        <v>3550</v>
      </c>
      <c r="BK1284">
        <v>-50</v>
      </c>
      <c r="BL1284" t="s">
        <v>188</v>
      </c>
      <c r="BM1284">
        <v>1</v>
      </c>
      <c r="BN1284">
        <v>1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 t="shared" si="507"/>
        <v>15:08:05.218</v>
      </c>
      <c r="CF1284">
        <v>217703030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4</v>
      </c>
      <c r="CY1284">
        <v>7</v>
      </c>
      <c r="CZ1284" t="s">
        <v>133</v>
      </c>
      <c r="DA1284">
        <v>275</v>
      </c>
      <c r="DB1284">
        <v>0</v>
      </c>
      <c r="DC1284" t="s">
        <v>134</v>
      </c>
      <c r="DD1284" t="s">
        <v>135</v>
      </c>
      <c r="DG1284">
        <v>3320085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"05/01/2025 15:08:05.441"</f>
        <v>05/01/2025 15:08:05.441</v>
      </c>
      <c r="C1285" t="str">
        <f t="shared" si="508"/>
        <v>FFDFD3C0</v>
      </c>
      <c r="D1285" t="s">
        <v>136</v>
      </c>
      <c r="E1285" t="str">
        <f>"20"</f>
        <v>20</v>
      </c>
      <c r="H1285">
        <v>400</v>
      </c>
      <c r="I1285" t="s">
        <v>137</v>
      </c>
      <c r="J1285" t="s">
        <v>138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R1285" t="s">
        <v>127</v>
      </c>
      <c r="S1285" t="str">
        <f t="shared" si="506"/>
        <v>15:08:05.000</v>
      </c>
      <c r="T1285" t="str">
        <f t="shared" si="506"/>
        <v>15:08:05.000</v>
      </c>
      <c r="U1285" t="str">
        <f t="shared" si="509"/>
        <v>A68FCB</v>
      </c>
      <c r="V1285">
        <v>0</v>
      </c>
      <c r="W1285">
        <v>0</v>
      </c>
      <c r="X1285">
        <v>2</v>
      </c>
      <c r="Y1285">
        <v>0</v>
      </c>
      <c r="AA1285">
        <v>1</v>
      </c>
      <c r="AB1285">
        <v>8</v>
      </c>
      <c r="AC1285">
        <v>3</v>
      </c>
      <c r="AD1285">
        <v>0</v>
      </c>
      <c r="AE1285">
        <v>9</v>
      </c>
      <c r="AF1285" t="s">
        <v>138</v>
      </c>
      <c r="AG1285">
        <v>0</v>
      </c>
      <c r="AH1285">
        <v>3</v>
      </c>
      <c r="AI1285">
        <v>2</v>
      </c>
      <c r="AJ1285">
        <v>0</v>
      </c>
      <c r="AK1285" t="s">
        <v>494</v>
      </c>
      <c r="AL1285">
        <v>39.005648999999998</v>
      </c>
      <c r="AM1285" t="s">
        <v>495</v>
      </c>
      <c r="AN1285">
        <v>-121.054552</v>
      </c>
      <c r="AO1285">
        <v>25</v>
      </c>
      <c r="AP1285">
        <v>3600</v>
      </c>
      <c r="AQ1285" t="s">
        <v>131</v>
      </c>
      <c r="AR1285">
        <v>-14</v>
      </c>
      <c r="AS1285">
        <v>85</v>
      </c>
      <c r="AT1285">
        <v>448</v>
      </c>
      <c r="BB1285" t="str">
        <f t="shared" si="510"/>
        <v>1200</v>
      </c>
      <c r="BC1285">
        <v>1</v>
      </c>
      <c r="BD1285" t="str">
        <f t="shared" si="511"/>
        <v xml:space="preserve">N52156  </v>
      </c>
      <c r="BE1285">
        <v>1</v>
      </c>
      <c r="BG1285">
        <v>0</v>
      </c>
      <c r="BH1285">
        <v>0</v>
      </c>
      <c r="BI1285">
        <v>0</v>
      </c>
      <c r="BJ1285">
        <v>3550</v>
      </c>
      <c r="BK1285">
        <v>-50</v>
      </c>
      <c r="BL1285" t="s">
        <v>188</v>
      </c>
      <c r="BM1285">
        <v>1</v>
      </c>
      <c r="BN1285">
        <v>1</v>
      </c>
      <c r="BO1285">
        <v>0</v>
      </c>
      <c r="BP1285">
        <v>0</v>
      </c>
      <c r="BS1285">
        <v>0</v>
      </c>
      <c r="BT1285">
        <v>0</v>
      </c>
      <c r="BU1285">
        <v>0</v>
      </c>
      <c r="CE1285" t="str">
        <f t="shared" si="507"/>
        <v>15:08:05.218</v>
      </c>
      <c r="CF1285">
        <v>217703030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4</v>
      </c>
      <c r="CY1285">
        <v>7</v>
      </c>
      <c r="CZ1285" t="s">
        <v>133</v>
      </c>
      <c r="DA1285">
        <v>275</v>
      </c>
      <c r="DB1285">
        <v>0</v>
      </c>
      <c r="DC1285" t="s">
        <v>134</v>
      </c>
      <c r="DD1285" t="s">
        <v>135</v>
      </c>
      <c r="DG1285">
        <v>3320085</v>
      </c>
      <c r="DI1285">
        <v>1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"05/01/2025 15:08:06.880"</f>
        <v>05/01/2025 15:08:06.880</v>
      </c>
      <c r="C1286" t="str">
        <f t="shared" si="508"/>
        <v>FFDFD3C0</v>
      </c>
      <c r="D1286" t="s">
        <v>145</v>
      </c>
      <c r="E1286" t="str">
        <f>"05"</f>
        <v>05</v>
      </c>
      <c r="H1286">
        <v>47</v>
      </c>
      <c r="I1286" t="s">
        <v>146</v>
      </c>
      <c r="J1286" t="s">
        <v>138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R1286" t="s">
        <v>127</v>
      </c>
      <c r="S1286" t="str">
        <f t="shared" ref="S1286:T1291" si="512">"15:08:06.000"</f>
        <v>15:08:06.000</v>
      </c>
      <c r="T1286" t="str">
        <f t="shared" si="512"/>
        <v>15:08:06.000</v>
      </c>
      <c r="U1286" t="str">
        <f t="shared" si="509"/>
        <v>A68FCB</v>
      </c>
      <c r="V1286">
        <v>0</v>
      </c>
      <c r="W1286">
        <v>0</v>
      </c>
      <c r="X1286">
        <v>2</v>
      </c>
      <c r="Y1286">
        <v>0</v>
      </c>
      <c r="AA1286">
        <v>1</v>
      </c>
      <c r="AB1286">
        <v>8</v>
      </c>
      <c r="AC1286">
        <v>3</v>
      </c>
      <c r="AD1286">
        <v>0</v>
      </c>
      <c r="AE1286">
        <v>9</v>
      </c>
      <c r="AF1286" t="s">
        <v>138</v>
      </c>
      <c r="AG1286">
        <v>0</v>
      </c>
      <c r="AH1286">
        <v>3</v>
      </c>
      <c r="AI1286">
        <v>2</v>
      </c>
      <c r="AJ1286">
        <v>0</v>
      </c>
      <c r="AK1286" t="s">
        <v>496</v>
      </c>
      <c r="AL1286">
        <v>39.006056999999998</v>
      </c>
      <c r="AM1286" t="s">
        <v>497</v>
      </c>
      <c r="AN1286">
        <v>-121.054637</v>
      </c>
      <c r="AO1286">
        <v>25</v>
      </c>
      <c r="AP1286">
        <v>3600</v>
      </c>
      <c r="AQ1286" t="s">
        <v>131</v>
      </c>
      <c r="AR1286">
        <v>-13</v>
      </c>
      <c r="AS1286">
        <v>86</v>
      </c>
      <c r="AT1286">
        <v>384</v>
      </c>
      <c r="BB1286" t="str">
        <f t="shared" si="510"/>
        <v>1200</v>
      </c>
      <c r="BC1286">
        <v>1</v>
      </c>
      <c r="BD1286" t="str">
        <f t="shared" si="511"/>
        <v xml:space="preserve">N52156  </v>
      </c>
      <c r="BE1286">
        <v>1</v>
      </c>
      <c r="BG1286">
        <v>0</v>
      </c>
      <c r="BH1286">
        <v>0</v>
      </c>
      <c r="BI1286">
        <v>0</v>
      </c>
      <c r="BJ1286">
        <v>3550</v>
      </c>
      <c r="BK1286">
        <v>-50</v>
      </c>
      <c r="BL1286" t="s">
        <v>188</v>
      </c>
      <c r="BM1286">
        <v>1</v>
      </c>
      <c r="BN1286">
        <v>1</v>
      </c>
      <c r="BO1286">
        <v>0</v>
      </c>
      <c r="BP1286">
        <v>0</v>
      </c>
      <c r="BS1286">
        <v>0</v>
      </c>
      <c r="BT1286">
        <v>0</v>
      </c>
      <c r="BU1286">
        <v>0</v>
      </c>
      <c r="CE1286" t="str">
        <f t="shared" ref="CE1286:CE1291" si="513">"15:08:06.639"</f>
        <v>15:08:06.639</v>
      </c>
      <c r="CF1286">
        <v>638954096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4</v>
      </c>
      <c r="CY1286">
        <v>7</v>
      </c>
      <c r="CZ1286" t="s">
        <v>133</v>
      </c>
      <c r="DA1286">
        <v>275</v>
      </c>
      <c r="DB1286">
        <v>0</v>
      </c>
      <c r="DC1286" t="s">
        <v>134</v>
      </c>
      <c r="DD1286" t="s">
        <v>135</v>
      </c>
      <c r="DG1286">
        <v>3320100</v>
      </c>
      <c r="DI1286">
        <v>1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"05/01/2025 15:08:06.878"</f>
        <v>05/01/2025 15:08:06.878</v>
      </c>
      <c r="C1287" t="str">
        <f t="shared" si="508"/>
        <v>FFDFD3C0</v>
      </c>
      <c r="D1287" t="s">
        <v>140</v>
      </c>
      <c r="E1287" t="str">
        <f>"13"</f>
        <v>13</v>
      </c>
      <c r="F1287">
        <v>1019</v>
      </c>
      <c r="G1287" t="s">
        <v>141</v>
      </c>
      <c r="J1287" t="s">
        <v>142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R1287" t="s">
        <v>127</v>
      </c>
      <c r="S1287" t="str">
        <f t="shared" si="512"/>
        <v>15:08:06.000</v>
      </c>
      <c r="T1287" t="str">
        <f t="shared" si="512"/>
        <v>15:08:06.000</v>
      </c>
      <c r="U1287" t="str">
        <f t="shared" si="509"/>
        <v>A68FCB</v>
      </c>
      <c r="V1287">
        <v>0</v>
      </c>
      <c r="W1287">
        <v>0</v>
      </c>
      <c r="X1287">
        <v>2</v>
      </c>
      <c r="Y1287">
        <v>0</v>
      </c>
      <c r="AA1287">
        <v>1</v>
      </c>
      <c r="AB1287">
        <v>8</v>
      </c>
      <c r="AC1287">
        <v>3</v>
      </c>
      <c r="AD1287">
        <v>0</v>
      </c>
      <c r="AE1287">
        <v>9</v>
      </c>
      <c r="AF1287" t="s">
        <v>138</v>
      </c>
      <c r="AG1287">
        <v>0</v>
      </c>
      <c r="AH1287">
        <v>3</v>
      </c>
      <c r="AI1287">
        <v>2</v>
      </c>
      <c r="AJ1287">
        <v>0</v>
      </c>
      <c r="AK1287" t="s">
        <v>496</v>
      </c>
      <c r="AL1287">
        <v>39.006056999999998</v>
      </c>
      <c r="AM1287" t="s">
        <v>497</v>
      </c>
      <c r="AN1287">
        <v>-121.054637</v>
      </c>
      <c r="AO1287">
        <v>25</v>
      </c>
      <c r="AP1287">
        <v>3600</v>
      </c>
      <c r="AQ1287" t="s">
        <v>131</v>
      </c>
      <c r="AR1287">
        <v>-13</v>
      </c>
      <c r="AS1287">
        <v>86</v>
      </c>
      <c r="AT1287">
        <v>384</v>
      </c>
      <c r="BB1287" t="str">
        <f t="shared" si="510"/>
        <v>1200</v>
      </c>
      <c r="BC1287">
        <v>1</v>
      </c>
      <c r="BD1287" t="str">
        <f t="shared" si="511"/>
        <v xml:space="preserve">N52156  </v>
      </c>
      <c r="BE1287">
        <v>1</v>
      </c>
      <c r="BG1287">
        <v>0</v>
      </c>
      <c r="BH1287">
        <v>0</v>
      </c>
      <c r="BI1287">
        <v>0</v>
      </c>
      <c r="BJ1287">
        <v>3550</v>
      </c>
      <c r="BK1287">
        <v>-50</v>
      </c>
      <c r="BL1287" t="s">
        <v>188</v>
      </c>
      <c r="BM1287">
        <v>1</v>
      </c>
      <c r="BN1287">
        <v>1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 t="shared" si="513"/>
        <v>15:08:06.639</v>
      </c>
      <c r="CF1287">
        <v>638954096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4</v>
      </c>
      <c r="CY1287">
        <v>7</v>
      </c>
      <c r="CZ1287" t="s">
        <v>133</v>
      </c>
      <c r="DA1287">
        <v>275</v>
      </c>
      <c r="DB1287">
        <v>0</v>
      </c>
      <c r="DC1287" t="s">
        <v>134</v>
      </c>
      <c r="DD1287" t="s">
        <v>135</v>
      </c>
      <c r="DG1287">
        <v>3320100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"05/01/2025 15:08:06.885"</f>
        <v>05/01/2025 15:08:06.885</v>
      </c>
      <c r="C1288" t="str">
        <f t="shared" si="508"/>
        <v>FFDFD3C0</v>
      </c>
      <c r="D1288" t="s">
        <v>124</v>
      </c>
      <c r="E1288" t="str">
        <f>"06"</f>
        <v>06</v>
      </c>
      <c r="F1288">
        <v>2006</v>
      </c>
      <c r="G1288" t="s">
        <v>125</v>
      </c>
      <c r="J1288" t="s">
        <v>126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R1288" t="s">
        <v>127</v>
      </c>
      <c r="S1288" t="str">
        <f t="shared" si="512"/>
        <v>15:08:06.000</v>
      </c>
      <c r="T1288" t="str">
        <f t="shared" si="512"/>
        <v>15:08:06.000</v>
      </c>
      <c r="U1288" t="str">
        <f t="shared" si="509"/>
        <v>A68FCB</v>
      </c>
      <c r="V1288">
        <v>0</v>
      </c>
      <c r="W1288">
        <v>0</v>
      </c>
      <c r="X1288">
        <v>2</v>
      </c>
      <c r="Y1288">
        <v>0</v>
      </c>
      <c r="AA1288">
        <v>1</v>
      </c>
      <c r="AB1288">
        <v>8</v>
      </c>
      <c r="AC1288">
        <v>3</v>
      </c>
      <c r="AD1288">
        <v>0</v>
      </c>
      <c r="AE1288">
        <v>9</v>
      </c>
      <c r="AF1288" t="s">
        <v>138</v>
      </c>
      <c r="AG1288">
        <v>0</v>
      </c>
      <c r="AH1288">
        <v>3</v>
      </c>
      <c r="AI1288">
        <v>2</v>
      </c>
      <c r="AJ1288">
        <v>0</v>
      </c>
      <c r="AK1288" t="s">
        <v>496</v>
      </c>
      <c r="AL1288">
        <v>39.006056999999998</v>
      </c>
      <c r="AM1288" t="s">
        <v>497</v>
      </c>
      <c r="AN1288">
        <v>-121.054637</v>
      </c>
      <c r="AO1288">
        <v>25</v>
      </c>
      <c r="AP1288">
        <v>3600</v>
      </c>
      <c r="AQ1288" t="s">
        <v>131</v>
      </c>
      <c r="AR1288">
        <v>-13</v>
      </c>
      <c r="AS1288">
        <v>86</v>
      </c>
      <c r="AT1288">
        <v>384</v>
      </c>
      <c r="BB1288" t="str">
        <f t="shared" si="510"/>
        <v>1200</v>
      </c>
      <c r="BC1288">
        <v>1</v>
      </c>
      <c r="BD1288" t="str">
        <f t="shared" si="511"/>
        <v xml:space="preserve">N52156  </v>
      </c>
      <c r="BE1288">
        <v>1</v>
      </c>
      <c r="BG1288">
        <v>0</v>
      </c>
      <c r="BH1288">
        <v>0</v>
      </c>
      <c r="BI1288">
        <v>0</v>
      </c>
      <c r="BJ1288">
        <v>3550</v>
      </c>
      <c r="BK1288">
        <v>-50</v>
      </c>
      <c r="BL1288" t="s">
        <v>188</v>
      </c>
      <c r="BM1288">
        <v>1</v>
      </c>
      <c r="BN1288">
        <v>1</v>
      </c>
      <c r="BO1288">
        <v>0</v>
      </c>
      <c r="BP1288">
        <v>0</v>
      </c>
      <c r="BS1288">
        <v>0</v>
      </c>
      <c r="BT1288">
        <v>0</v>
      </c>
      <c r="BU1288">
        <v>0</v>
      </c>
      <c r="CE1288" t="str">
        <f t="shared" si="513"/>
        <v>15:08:06.639</v>
      </c>
      <c r="CF1288">
        <v>638954096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4</v>
      </c>
      <c r="CY1288">
        <v>7</v>
      </c>
      <c r="CZ1288" t="s">
        <v>133</v>
      </c>
      <c r="DA1288">
        <v>275</v>
      </c>
      <c r="DB1288">
        <v>0</v>
      </c>
      <c r="DC1288" t="s">
        <v>134</v>
      </c>
      <c r="DD1288" t="s">
        <v>135</v>
      </c>
      <c r="DG1288">
        <v>3320100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"05/01/2025 15:08:06.885"</f>
        <v>05/01/2025 15:08:06.885</v>
      </c>
      <c r="C1289" t="str">
        <f t="shared" si="508"/>
        <v>FFDFD3C0</v>
      </c>
      <c r="D1289" t="s">
        <v>145</v>
      </c>
      <c r="E1289" t="str">
        <f>"09"</f>
        <v>09</v>
      </c>
      <c r="H1289">
        <v>51</v>
      </c>
      <c r="I1289" t="s">
        <v>147</v>
      </c>
      <c r="J1289" t="s">
        <v>138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R1289" t="s">
        <v>127</v>
      </c>
      <c r="S1289" t="str">
        <f t="shared" si="512"/>
        <v>15:08:06.000</v>
      </c>
      <c r="T1289" t="str">
        <f t="shared" si="512"/>
        <v>15:08:06.000</v>
      </c>
      <c r="U1289" t="str">
        <f t="shared" si="509"/>
        <v>A68FCB</v>
      </c>
      <c r="V1289">
        <v>0</v>
      </c>
      <c r="W1289">
        <v>0</v>
      </c>
      <c r="X1289">
        <v>2</v>
      </c>
      <c r="Y1289">
        <v>0</v>
      </c>
      <c r="AA1289">
        <v>1</v>
      </c>
      <c r="AB1289">
        <v>8</v>
      </c>
      <c r="AC1289">
        <v>3</v>
      </c>
      <c r="AD1289">
        <v>0</v>
      </c>
      <c r="AE1289">
        <v>9</v>
      </c>
      <c r="AF1289" t="s">
        <v>138</v>
      </c>
      <c r="AG1289">
        <v>0</v>
      </c>
      <c r="AH1289">
        <v>3</v>
      </c>
      <c r="AI1289">
        <v>2</v>
      </c>
      <c r="AJ1289">
        <v>0</v>
      </c>
      <c r="AK1289" t="s">
        <v>496</v>
      </c>
      <c r="AL1289">
        <v>39.006056999999998</v>
      </c>
      <c r="AM1289" t="s">
        <v>497</v>
      </c>
      <c r="AN1289">
        <v>-121.054637</v>
      </c>
      <c r="AO1289">
        <v>25</v>
      </c>
      <c r="AP1289">
        <v>3600</v>
      </c>
      <c r="AQ1289" t="s">
        <v>131</v>
      </c>
      <c r="AR1289">
        <v>-13</v>
      </c>
      <c r="AS1289">
        <v>86</v>
      </c>
      <c r="AT1289">
        <v>384</v>
      </c>
      <c r="BB1289" t="str">
        <f t="shared" si="510"/>
        <v>1200</v>
      </c>
      <c r="BC1289">
        <v>1</v>
      </c>
      <c r="BD1289" t="str">
        <f t="shared" si="511"/>
        <v xml:space="preserve">N52156  </v>
      </c>
      <c r="BE1289">
        <v>1</v>
      </c>
      <c r="BG1289">
        <v>0</v>
      </c>
      <c r="BH1289">
        <v>0</v>
      </c>
      <c r="BI1289">
        <v>0</v>
      </c>
      <c r="BJ1289">
        <v>3550</v>
      </c>
      <c r="BK1289">
        <v>-50</v>
      </c>
      <c r="BL1289" t="s">
        <v>188</v>
      </c>
      <c r="BM1289">
        <v>1</v>
      </c>
      <c r="BN1289">
        <v>1</v>
      </c>
      <c r="BO1289">
        <v>0</v>
      </c>
      <c r="BP1289">
        <v>0</v>
      </c>
      <c r="BS1289">
        <v>0</v>
      </c>
      <c r="BT1289">
        <v>0</v>
      </c>
      <c r="BU1289">
        <v>0</v>
      </c>
      <c r="CE1289" t="str">
        <f t="shared" si="513"/>
        <v>15:08:06.639</v>
      </c>
      <c r="CF1289">
        <v>638954096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4</v>
      </c>
      <c r="CY1289">
        <v>7</v>
      </c>
      <c r="CZ1289" t="s">
        <v>133</v>
      </c>
      <c r="DA1289">
        <v>275</v>
      </c>
      <c r="DB1289">
        <v>0</v>
      </c>
      <c r="DC1289" t="s">
        <v>134</v>
      </c>
      <c r="DD1289" t="s">
        <v>135</v>
      </c>
      <c r="DG1289">
        <v>3320100</v>
      </c>
      <c r="DI1289">
        <v>1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"05/01/2025 15:08:06.887"</f>
        <v>05/01/2025 15:08:06.887</v>
      </c>
      <c r="C1290" t="str">
        <f t="shared" si="508"/>
        <v>FFDFD3C0</v>
      </c>
      <c r="D1290" t="s">
        <v>143</v>
      </c>
      <c r="E1290" t="str">
        <f>"05"</f>
        <v>05</v>
      </c>
      <c r="H1290">
        <v>172</v>
      </c>
      <c r="I1290" t="s">
        <v>141</v>
      </c>
      <c r="J1290" t="s">
        <v>144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R1290" t="s">
        <v>127</v>
      </c>
      <c r="S1290" t="str">
        <f t="shared" si="512"/>
        <v>15:08:06.000</v>
      </c>
      <c r="T1290" t="str">
        <f t="shared" si="512"/>
        <v>15:08:06.000</v>
      </c>
      <c r="U1290" t="str">
        <f t="shared" si="509"/>
        <v>A68FCB</v>
      </c>
      <c r="V1290">
        <v>0</v>
      </c>
      <c r="W1290">
        <v>0</v>
      </c>
      <c r="X1290">
        <v>2</v>
      </c>
      <c r="Y1290">
        <v>0</v>
      </c>
      <c r="AA1290">
        <v>1</v>
      </c>
      <c r="AB1290">
        <v>8</v>
      </c>
      <c r="AC1290">
        <v>3</v>
      </c>
      <c r="AD1290">
        <v>0</v>
      </c>
      <c r="AE1290">
        <v>9</v>
      </c>
      <c r="AF1290" t="s">
        <v>138</v>
      </c>
      <c r="AG1290">
        <v>0</v>
      </c>
      <c r="AH1290">
        <v>3</v>
      </c>
      <c r="AI1290">
        <v>2</v>
      </c>
      <c r="AJ1290">
        <v>0</v>
      </c>
      <c r="AK1290" t="s">
        <v>496</v>
      </c>
      <c r="AL1290">
        <v>39.006056999999998</v>
      </c>
      <c r="AM1290" t="s">
        <v>497</v>
      </c>
      <c r="AN1290">
        <v>-121.054637</v>
      </c>
      <c r="AO1290">
        <v>25</v>
      </c>
      <c r="AP1290">
        <v>3600</v>
      </c>
      <c r="AQ1290" t="s">
        <v>131</v>
      </c>
      <c r="AR1290">
        <v>-13</v>
      </c>
      <c r="AS1290">
        <v>86</v>
      </c>
      <c r="AT1290">
        <v>384</v>
      </c>
      <c r="BB1290" t="str">
        <f t="shared" si="510"/>
        <v>1200</v>
      </c>
      <c r="BC1290">
        <v>1</v>
      </c>
      <c r="BD1290" t="str">
        <f t="shared" si="511"/>
        <v xml:space="preserve">N52156  </v>
      </c>
      <c r="BE1290">
        <v>1</v>
      </c>
      <c r="BG1290">
        <v>0</v>
      </c>
      <c r="BH1290">
        <v>0</v>
      </c>
      <c r="BI1290">
        <v>0</v>
      </c>
      <c r="BJ1290">
        <v>3550</v>
      </c>
      <c r="BK1290">
        <v>-50</v>
      </c>
      <c r="BL1290" t="s">
        <v>188</v>
      </c>
      <c r="BM1290">
        <v>1</v>
      </c>
      <c r="BN1290">
        <v>1</v>
      </c>
      <c r="BO1290">
        <v>0</v>
      </c>
      <c r="BP1290">
        <v>0</v>
      </c>
      <c r="BS1290">
        <v>0</v>
      </c>
      <c r="BT1290">
        <v>0</v>
      </c>
      <c r="BU1290">
        <v>0</v>
      </c>
      <c r="CE1290" t="str">
        <f t="shared" si="513"/>
        <v>15:08:06.639</v>
      </c>
      <c r="CF1290">
        <v>638954096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4</v>
      </c>
      <c r="CY1290">
        <v>7</v>
      </c>
      <c r="CZ1290" t="s">
        <v>133</v>
      </c>
      <c r="DA1290">
        <v>275</v>
      </c>
      <c r="DB1290">
        <v>0</v>
      </c>
      <c r="DC1290" t="s">
        <v>134</v>
      </c>
      <c r="DD1290" t="s">
        <v>135</v>
      </c>
      <c r="DG1290">
        <v>3320100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"05/01/2025 15:08:06.894"</f>
        <v>05/01/2025 15:08:06.894</v>
      </c>
      <c r="C1291" t="str">
        <f t="shared" si="508"/>
        <v>FFDFD3C0</v>
      </c>
      <c r="D1291" t="s">
        <v>136</v>
      </c>
      <c r="E1291" t="str">
        <f>"20"</f>
        <v>20</v>
      </c>
      <c r="H1291">
        <v>400</v>
      </c>
      <c r="I1291" t="s">
        <v>137</v>
      </c>
      <c r="J1291" t="s">
        <v>138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R1291" t="s">
        <v>127</v>
      </c>
      <c r="S1291" t="str">
        <f t="shared" si="512"/>
        <v>15:08:06.000</v>
      </c>
      <c r="T1291" t="str">
        <f t="shared" si="512"/>
        <v>15:08:06.000</v>
      </c>
      <c r="U1291" t="str">
        <f t="shared" si="509"/>
        <v>A68FCB</v>
      </c>
      <c r="V1291">
        <v>0</v>
      </c>
      <c r="W1291">
        <v>0</v>
      </c>
      <c r="X1291">
        <v>2</v>
      </c>
      <c r="Y1291">
        <v>0</v>
      </c>
      <c r="AA1291">
        <v>1</v>
      </c>
      <c r="AB1291">
        <v>8</v>
      </c>
      <c r="AC1291">
        <v>3</v>
      </c>
      <c r="AD1291">
        <v>0</v>
      </c>
      <c r="AE1291">
        <v>9</v>
      </c>
      <c r="AF1291" t="s">
        <v>138</v>
      </c>
      <c r="AG1291">
        <v>0</v>
      </c>
      <c r="AH1291">
        <v>3</v>
      </c>
      <c r="AI1291">
        <v>2</v>
      </c>
      <c r="AJ1291">
        <v>0</v>
      </c>
      <c r="AK1291" t="s">
        <v>496</v>
      </c>
      <c r="AL1291">
        <v>39.006056999999998</v>
      </c>
      <c r="AM1291" t="s">
        <v>497</v>
      </c>
      <c r="AN1291">
        <v>-121.054637</v>
      </c>
      <c r="AO1291">
        <v>25</v>
      </c>
      <c r="AP1291">
        <v>3600</v>
      </c>
      <c r="AQ1291" t="s">
        <v>131</v>
      </c>
      <c r="AR1291">
        <v>-13</v>
      </c>
      <c r="AS1291">
        <v>86</v>
      </c>
      <c r="AT1291">
        <v>384</v>
      </c>
      <c r="BB1291" t="str">
        <f t="shared" si="510"/>
        <v>1200</v>
      </c>
      <c r="BC1291">
        <v>1</v>
      </c>
      <c r="BD1291" t="str">
        <f t="shared" si="511"/>
        <v xml:space="preserve">N52156  </v>
      </c>
      <c r="BE1291">
        <v>1</v>
      </c>
      <c r="BG1291">
        <v>0</v>
      </c>
      <c r="BH1291">
        <v>0</v>
      </c>
      <c r="BI1291">
        <v>0</v>
      </c>
      <c r="BJ1291">
        <v>3550</v>
      </c>
      <c r="BK1291">
        <v>-50</v>
      </c>
      <c r="BL1291" t="s">
        <v>188</v>
      </c>
      <c r="BM1291">
        <v>1</v>
      </c>
      <c r="BN1291">
        <v>1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 t="shared" si="513"/>
        <v>15:08:06.639</v>
      </c>
      <c r="CF1291">
        <v>638954096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4</v>
      </c>
      <c r="CY1291">
        <v>7</v>
      </c>
      <c r="CZ1291" t="s">
        <v>133</v>
      </c>
      <c r="DA1291">
        <v>275</v>
      </c>
      <c r="DB1291">
        <v>0</v>
      </c>
      <c r="DC1291" t="s">
        <v>134</v>
      </c>
      <c r="DD1291" t="s">
        <v>135</v>
      </c>
      <c r="DG1291">
        <v>3320100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"05/01/2025 15:08:07.579"</f>
        <v>05/01/2025 15:08:07.579</v>
      </c>
      <c r="C1292" t="str">
        <f t="shared" si="508"/>
        <v>FFDFD3C0</v>
      </c>
      <c r="D1292" t="s">
        <v>140</v>
      </c>
      <c r="E1292" t="str">
        <f>"13"</f>
        <v>13</v>
      </c>
      <c r="F1292">
        <v>1019</v>
      </c>
      <c r="G1292" t="s">
        <v>141</v>
      </c>
      <c r="J1292" t="s">
        <v>142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R1292" t="s">
        <v>127</v>
      </c>
      <c r="S1292" t="str">
        <f t="shared" ref="S1292:T1297" si="514">"15:08:07.000"</f>
        <v>15:08:07.000</v>
      </c>
      <c r="T1292" t="str">
        <f t="shared" si="514"/>
        <v>15:08:07.000</v>
      </c>
      <c r="U1292" t="str">
        <f t="shared" si="509"/>
        <v>A68FCB</v>
      </c>
      <c r="V1292">
        <v>0</v>
      </c>
      <c r="W1292">
        <v>0</v>
      </c>
      <c r="X1292">
        <v>2</v>
      </c>
      <c r="Y1292">
        <v>0</v>
      </c>
      <c r="AA1292">
        <v>1</v>
      </c>
      <c r="AB1292">
        <v>8</v>
      </c>
      <c r="AC1292">
        <v>3</v>
      </c>
      <c r="AD1292">
        <v>0</v>
      </c>
      <c r="AE1292">
        <v>9</v>
      </c>
      <c r="AF1292" t="s">
        <v>138</v>
      </c>
      <c r="AG1292">
        <v>0</v>
      </c>
      <c r="AH1292">
        <v>3</v>
      </c>
      <c r="AI1292">
        <v>2</v>
      </c>
      <c r="AJ1292">
        <v>0</v>
      </c>
      <c r="AK1292" t="s">
        <v>498</v>
      </c>
      <c r="AL1292">
        <v>39.006442999999997</v>
      </c>
      <c r="AM1292" t="s">
        <v>499</v>
      </c>
      <c r="AN1292">
        <v>-121.054723</v>
      </c>
      <c r="AO1292">
        <v>25</v>
      </c>
      <c r="AP1292">
        <v>3600</v>
      </c>
      <c r="AQ1292" t="s">
        <v>131</v>
      </c>
      <c r="AR1292">
        <v>-13</v>
      </c>
      <c r="AS1292">
        <v>86</v>
      </c>
      <c r="AT1292">
        <v>384</v>
      </c>
      <c r="BB1292" t="str">
        <f t="shared" si="510"/>
        <v>1200</v>
      </c>
      <c r="BC1292">
        <v>1</v>
      </c>
      <c r="BD1292" t="str">
        <f t="shared" si="511"/>
        <v xml:space="preserve">N52156  </v>
      </c>
      <c r="BE1292">
        <v>1</v>
      </c>
      <c r="BG1292">
        <v>0</v>
      </c>
      <c r="BH1292">
        <v>0</v>
      </c>
      <c r="BI1292">
        <v>0</v>
      </c>
      <c r="BJ1292">
        <v>3575</v>
      </c>
      <c r="BK1292">
        <v>-25</v>
      </c>
      <c r="BL1292" t="s">
        <v>188</v>
      </c>
      <c r="BM1292">
        <v>1</v>
      </c>
      <c r="BN1292">
        <v>1</v>
      </c>
      <c r="BO1292">
        <v>0</v>
      </c>
      <c r="BP1292">
        <v>0</v>
      </c>
      <c r="BS1292">
        <v>0</v>
      </c>
      <c r="BT1292">
        <v>0</v>
      </c>
      <c r="BU1292">
        <v>0</v>
      </c>
      <c r="CE1292" t="str">
        <f t="shared" ref="CE1292:CE1297" si="515">"15:08:07.321"</f>
        <v>15:08:07.321</v>
      </c>
      <c r="CF1292">
        <v>321203300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4</v>
      </c>
      <c r="CY1292">
        <v>7</v>
      </c>
      <c r="CZ1292" t="s">
        <v>133</v>
      </c>
      <c r="DA1292">
        <v>275</v>
      </c>
      <c r="DB1292">
        <v>0</v>
      </c>
      <c r="DC1292" t="s">
        <v>134</v>
      </c>
      <c r="DD1292" t="s">
        <v>135</v>
      </c>
      <c r="DG1292">
        <v>3320106</v>
      </c>
      <c r="DI1292">
        <v>1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"05/01/2025 15:08:07.582"</f>
        <v>05/01/2025 15:08:07.582</v>
      </c>
      <c r="C1293" t="str">
        <f t="shared" si="508"/>
        <v>FFDFD3C0</v>
      </c>
      <c r="D1293" t="s">
        <v>145</v>
      </c>
      <c r="E1293" t="str">
        <f>"05"</f>
        <v>05</v>
      </c>
      <c r="H1293">
        <v>47</v>
      </c>
      <c r="I1293" t="s">
        <v>146</v>
      </c>
      <c r="J1293" t="s">
        <v>138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R1293" t="s">
        <v>127</v>
      </c>
      <c r="S1293" t="str">
        <f t="shared" si="514"/>
        <v>15:08:07.000</v>
      </c>
      <c r="T1293" t="str">
        <f t="shared" si="514"/>
        <v>15:08:07.000</v>
      </c>
      <c r="U1293" t="str">
        <f t="shared" si="509"/>
        <v>A68FCB</v>
      </c>
      <c r="V1293">
        <v>0</v>
      </c>
      <c r="W1293">
        <v>0</v>
      </c>
      <c r="X1293">
        <v>2</v>
      </c>
      <c r="Y1293">
        <v>0</v>
      </c>
      <c r="AA1293">
        <v>1</v>
      </c>
      <c r="AB1293">
        <v>8</v>
      </c>
      <c r="AC1293">
        <v>3</v>
      </c>
      <c r="AD1293">
        <v>0</v>
      </c>
      <c r="AE1293">
        <v>9</v>
      </c>
      <c r="AF1293" t="s">
        <v>138</v>
      </c>
      <c r="AG1293">
        <v>0</v>
      </c>
      <c r="AH1293">
        <v>3</v>
      </c>
      <c r="AI1293">
        <v>2</v>
      </c>
      <c r="AJ1293">
        <v>0</v>
      </c>
      <c r="AK1293" t="s">
        <v>498</v>
      </c>
      <c r="AL1293">
        <v>39.006442999999997</v>
      </c>
      <c r="AM1293" t="s">
        <v>499</v>
      </c>
      <c r="AN1293">
        <v>-121.054723</v>
      </c>
      <c r="AO1293">
        <v>25</v>
      </c>
      <c r="AP1293">
        <v>3600</v>
      </c>
      <c r="AQ1293" t="s">
        <v>131</v>
      </c>
      <c r="AR1293">
        <v>-13</v>
      </c>
      <c r="AS1293">
        <v>86</v>
      </c>
      <c r="AT1293">
        <v>384</v>
      </c>
      <c r="BB1293" t="str">
        <f t="shared" si="510"/>
        <v>1200</v>
      </c>
      <c r="BC1293">
        <v>1</v>
      </c>
      <c r="BD1293" t="str">
        <f t="shared" si="511"/>
        <v xml:space="preserve">N52156  </v>
      </c>
      <c r="BE1293">
        <v>1</v>
      </c>
      <c r="BG1293">
        <v>0</v>
      </c>
      <c r="BH1293">
        <v>0</v>
      </c>
      <c r="BI1293">
        <v>0</v>
      </c>
      <c r="BJ1293">
        <v>3575</v>
      </c>
      <c r="BK1293">
        <v>-25</v>
      </c>
      <c r="BL1293" t="s">
        <v>188</v>
      </c>
      <c r="BM1293">
        <v>1</v>
      </c>
      <c r="BN1293">
        <v>1</v>
      </c>
      <c r="BO1293">
        <v>0</v>
      </c>
      <c r="BP1293">
        <v>0</v>
      </c>
      <c r="BS1293">
        <v>0</v>
      </c>
      <c r="BT1293">
        <v>0</v>
      </c>
      <c r="BU1293">
        <v>0</v>
      </c>
      <c r="CE1293" t="str">
        <f t="shared" si="515"/>
        <v>15:08:07.321</v>
      </c>
      <c r="CF1293">
        <v>321203300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4</v>
      </c>
      <c r="CY1293">
        <v>7</v>
      </c>
      <c r="CZ1293" t="s">
        <v>133</v>
      </c>
      <c r="DA1293">
        <v>275</v>
      </c>
      <c r="DB1293">
        <v>0</v>
      </c>
      <c r="DC1293" t="s">
        <v>134</v>
      </c>
      <c r="DD1293" t="s">
        <v>135</v>
      </c>
      <c r="DG1293">
        <v>3320106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"05/01/2025 15:08:07.586"</f>
        <v>05/01/2025 15:08:07.586</v>
      </c>
      <c r="C1294" t="str">
        <f t="shared" si="508"/>
        <v>FFDFD3C0</v>
      </c>
      <c r="D1294" t="s">
        <v>124</v>
      </c>
      <c r="E1294" t="str">
        <f>"06"</f>
        <v>06</v>
      </c>
      <c r="F1294">
        <v>2006</v>
      </c>
      <c r="G1294" t="s">
        <v>125</v>
      </c>
      <c r="J1294" t="s">
        <v>126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R1294" t="s">
        <v>127</v>
      </c>
      <c r="S1294" t="str">
        <f t="shared" si="514"/>
        <v>15:08:07.000</v>
      </c>
      <c r="T1294" t="str">
        <f t="shared" si="514"/>
        <v>15:08:07.000</v>
      </c>
      <c r="U1294" t="str">
        <f t="shared" si="509"/>
        <v>A68FCB</v>
      </c>
      <c r="V1294">
        <v>0</v>
      </c>
      <c r="W1294">
        <v>0</v>
      </c>
      <c r="X1294">
        <v>2</v>
      </c>
      <c r="Y1294">
        <v>0</v>
      </c>
      <c r="AA1294">
        <v>1</v>
      </c>
      <c r="AB1294">
        <v>8</v>
      </c>
      <c r="AC1294">
        <v>3</v>
      </c>
      <c r="AD1294">
        <v>0</v>
      </c>
      <c r="AE1294">
        <v>9</v>
      </c>
      <c r="AF1294" t="s">
        <v>138</v>
      </c>
      <c r="AG1294">
        <v>0</v>
      </c>
      <c r="AH1294">
        <v>3</v>
      </c>
      <c r="AI1294">
        <v>2</v>
      </c>
      <c r="AJ1294">
        <v>0</v>
      </c>
      <c r="AK1294" t="s">
        <v>498</v>
      </c>
      <c r="AL1294">
        <v>39.006442999999997</v>
      </c>
      <c r="AM1294" t="s">
        <v>499</v>
      </c>
      <c r="AN1294">
        <v>-121.054723</v>
      </c>
      <c r="AO1294">
        <v>25</v>
      </c>
      <c r="AP1294">
        <v>3600</v>
      </c>
      <c r="AQ1294" t="s">
        <v>131</v>
      </c>
      <c r="AR1294">
        <v>-13</v>
      </c>
      <c r="AS1294">
        <v>86</v>
      </c>
      <c r="AT1294">
        <v>384</v>
      </c>
      <c r="BB1294" t="str">
        <f t="shared" si="510"/>
        <v>1200</v>
      </c>
      <c r="BC1294">
        <v>1</v>
      </c>
      <c r="BD1294" t="str">
        <f t="shared" si="511"/>
        <v xml:space="preserve">N52156  </v>
      </c>
      <c r="BE1294">
        <v>1</v>
      </c>
      <c r="BG1294">
        <v>0</v>
      </c>
      <c r="BH1294">
        <v>0</v>
      </c>
      <c r="BI1294">
        <v>0</v>
      </c>
      <c r="BJ1294">
        <v>3575</v>
      </c>
      <c r="BK1294">
        <v>-25</v>
      </c>
      <c r="BL1294" t="s">
        <v>188</v>
      </c>
      <c r="BM1294">
        <v>1</v>
      </c>
      <c r="BN1294">
        <v>1</v>
      </c>
      <c r="BO1294">
        <v>0</v>
      </c>
      <c r="BP1294">
        <v>0</v>
      </c>
      <c r="BS1294">
        <v>0</v>
      </c>
      <c r="BT1294">
        <v>0</v>
      </c>
      <c r="BU1294">
        <v>0</v>
      </c>
      <c r="CE1294" t="str">
        <f t="shared" si="515"/>
        <v>15:08:07.321</v>
      </c>
      <c r="CF1294">
        <v>321203300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4</v>
      </c>
      <c r="CY1294">
        <v>7</v>
      </c>
      <c r="CZ1294" t="s">
        <v>133</v>
      </c>
      <c r="DA1294">
        <v>275</v>
      </c>
      <c r="DB1294">
        <v>0</v>
      </c>
      <c r="DC1294" t="s">
        <v>134</v>
      </c>
      <c r="DD1294" t="s">
        <v>135</v>
      </c>
      <c r="DG1294">
        <v>3320106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"05/01/2025 15:08:07.586"</f>
        <v>05/01/2025 15:08:07.586</v>
      </c>
      <c r="C1295" t="str">
        <f t="shared" si="508"/>
        <v>FFDFD3C0</v>
      </c>
      <c r="D1295" t="s">
        <v>145</v>
      </c>
      <c r="E1295" t="str">
        <f>"09"</f>
        <v>09</v>
      </c>
      <c r="H1295">
        <v>51</v>
      </c>
      <c r="I1295" t="s">
        <v>147</v>
      </c>
      <c r="J1295" t="s">
        <v>138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R1295" t="s">
        <v>127</v>
      </c>
      <c r="S1295" t="str">
        <f t="shared" si="514"/>
        <v>15:08:07.000</v>
      </c>
      <c r="T1295" t="str">
        <f t="shared" si="514"/>
        <v>15:08:07.000</v>
      </c>
      <c r="U1295" t="str">
        <f t="shared" si="509"/>
        <v>A68FCB</v>
      </c>
      <c r="V1295">
        <v>0</v>
      </c>
      <c r="W1295">
        <v>0</v>
      </c>
      <c r="X1295">
        <v>2</v>
      </c>
      <c r="Y1295">
        <v>0</v>
      </c>
      <c r="AA1295">
        <v>1</v>
      </c>
      <c r="AB1295">
        <v>8</v>
      </c>
      <c r="AC1295">
        <v>3</v>
      </c>
      <c r="AD1295">
        <v>0</v>
      </c>
      <c r="AE1295">
        <v>9</v>
      </c>
      <c r="AF1295" t="s">
        <v>138</v>
      </c>
      <c r="AG1295">
        <v>0</v>
      </c>
      <c r="AH1295">
        <v>3</v>
      </c>
      <c r="AI1295">
        <v>2</v>
      </c>
      <c r="AJ1295">
        <v>0</v>
      </c>
      <c r="AK1295" t="s">
        <v>498</v>
      </c>
      <c r="AL1295">
        <v>39.006442999999997</v>
      </c>
      <c r="AM1295" t="s">
        <v>499</v>
      </c>
      <c r="AN1295">
        <v>-121.054723</v>
      </c>
      <c r="AO1295">
        <v>25</v>
      </c>
      <c r="AP1295">
        <v>3600</v>
      </c>
      <c r="AQ1295" t="s">
        <v>131</v>
      </c>
      <c r="AR1295">
        <v>-13</v>
      </c>
      <c r="AS1295">
        <v>86</v>
      </c>
      <c r="AT1295">
        <v>384</v>
      </c>
      <c r="BB1295" t="str">
        <f t="shared" si="510"/>
        <v>1200</v>
      </c>
      <c r="BC1295">
        <v>1</v>
      </c>
      <c r="BD1295" t="str">
        <f t="shared" si="511"/>
        <v xml:space="preserve">N52156  </v>
      </c>
      <c r="BE1295">
        <v>1</v>
      </c>
      <c r="BG1295">
        <v>0</v>
      </c>
      <c r="BH1295">
        <v>0</v>
      </c>
      <c r="BI1295">
        <v>0</v>
      </c>
      <c r="BJ1295">
        <v>3575</v>
      </c>
      <c r="BK1295">
        <v>-25</v>
      </c>
      <c r="BL1295" t="s">
        <v>188</v>
      </c>
      <c r="BM1295">
        <v>1</v>
      </c>
      <c r="BN1295">
        <v>1</v>
      </c>
      <c r="BO1295">
        <v>0</v>
      </c>
      <c r="BP1295">
        <v>0</v>
      </c>
      <c r="BS1295">
        <v>0</v>
      </c>
      <c r="BT1295">
        <v>0</v>
      </c>
      <c r="BU1295">
        <v>0</v>
      </c>
      <c r="CE1295" t="str">
        <f t="shared" si="515"/>
        <v>15:08:07.321</v>
      </c>
      <c r="CF1295">
        <v>321203300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4</v>
      </c>
      <c r="CY1295">
        <v>7</v>
      </c>
      <c r="CZ1295" t="s">
        <v>133</v>
      </c>
      <c r="DA1295">
        <v>275</v>
      </c>
      <c r="DB1295">
        <v>0</v>
      </c>
      <c r="DC1295" t="s">
        <v>134</v>
      </c>
      <c r="DD1295" t="s">
        <v>135</v>
      </c>
      <c r="DG1295">
        <v>3320106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"05/01/2025 15:08:07.588"</f>
        <v>05/01/2025 15:08:07.588</v>
      </c>
      <c r="C1296" t="str">
        <f t="shared" si="508"/>
        <v>FFDFD3C0</v>
      </c>
      <c r="D1296" t="s">
        <v>143</v>
      </c>
      <c r="E1296" t="str">
        <f>"05"</f>
        <v>05</v>
      </c>
      <c r="H1296">
        <v>172</v>
      </c>
      <c r="I1296" t="s">
        <v>141</v>
      </c>
      <c r="J1296" t="s">
        <v>144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R1296" t="s">
        <v>127</v>
      </c>
      <c r="S1296" t="str">
        <f t="shared" si="514"/>
        <v>15:08:07.000</v>
      </c>
      <c r="T1296" t="str">
        <f t="shared" si="514"/>
        <v>15:08:07.000</v>
      </c>
      <c r="U1296" t="str">
        <f t="shared" si="509"/>
        <v>A68FCB</v>
      </c>
      <c r="V1296">
        <v>0</v>
      </c>
      <c r="W1296">
        <v>0</v>
      </c>
      <c r="X1296">
        <v>2</v>
      </c>
      <c r="Y1296">
        <v>0</v>
      </c>
      <c r="AA1296">
        <v>1</v>
      </c>
      <c r="AB1296">
        <v>8</v>
      </c>
      <c r="AC1296">
        <v>3</v>
      </c>
      <c r="AD1296">
        <v>0</v>
      </c>
      <c r="AE1296">
        <v>9</v>
      </c>
      <c r="AF1296" t="s">
        <v>138</v>
      </c>
      <c r="AG1296">
        <v>0</v>
      </c>
      <c r="AH1296">
        <v>3</v>
      </c>
      <c r="AI1296">
        <v>2</v>
      </c>
      <c r="AJ1296">
        <v>0</v>
      </c>
      <c r="AK1296" t="s">
        <v>498</v>
      </c>
      <c r="AL1296">
        <v>39.006442999999997</v>
      </c>
      <c r="AM1296" t="s">
        <v>499</v>
      </c>
      <c r="AN1296">
        <v>-121.054723</v>
      </c>
      <c r="AO1296">
        <v>25</v>
      </c>
      <c r="AP1296">
        <v>3600</v>
      </c>
      <c r="AQ1296" t="s">
        <v>131</v>
      </c>
      <c r="AR1296">
        <v>-13</v>
      </c>
      <c r="AS1296">
        <v>86</v>
      </c>
      <c r="AT1296">
        <v>384</v>
      </c>
      <c r="BB1296" t="str">
        <f t="shared" si="510"/>
        <v>1200</v>
      </c>
      <c r="BC1296">
        <v>1</v>
      </c>
      <c r="BD1296" t="str">
        <f t="shared" si="511"/>
        <v xml:space="preserve">N52156  </v>
      </c>
      <c r="BE1296">
        <v>1</v>
      </c>
      <c r="BG1296">
        <v>0</v>
      </c>
      <c r="BH1296">
        <v>0</v>
      </c>
      <c r="BI1296">
        <v>0</v>
      </c>
      <c r="BJ1296">
        <v>3575</v>
      </c>
      <c r="BK1296">
        <v>-25</v>
      </c>
      <c r="BL1296" t="s">
        <v>188</v>
      </c>
      <c r="BM1296">
        <v>1</v>
      </c>
      <c r="BN1296">
        <v>1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 t="shared" si="515"/>
        <v>15:08:07.321</v>
      </c>
      <c r="CF1296">
        <v>321203300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4</v>
      </c>
      <c r="CY1296">
        <v>7</v>
      </c>
      <c r="CZ1296" t="s">
        <v>133</v>
      </c>
      <c r="DA1296">
        <v>275</v>
      </c>
      <c r="DB1296">
        <v>0</v>
      </c>
      <c r="DC1296" t="s">
        <v>134</v>
      </c>
      <c r="DD1296" t="s">
        <v>135</v>
      </c>
      <c r="DG1296">
        <v>3320106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"05/01/2025 15:08:07.595"</f>
        <v>05/01/2025 15:08:07.595</v>
      </c>
      <c r="C1297" t="str">
        <f t="shared" si="508"/>
        <v>FFDFD3C0</v>
      </c>
      <c r="D1297" t="s">
        <v>136</v>
      </c>
      <c r="E1297" t="str">
        <f>"20"</f>
        <v>20</v>
      </c>
      <c r="H1297">
        <v>400</v>
      </c>
      <c r="I1297" t="s">
        <v>137</v>
      </c>
      <c r="J1297" t="s">
        <v>138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R1297" t="s">
        <v>127</v>
      </c>
      <c r="S1297" t="str">
        <f t="shared" si="514"/>
        <v>15:08:07.000</v>
      </c>
      <c r="T1297" t="str">
        <f t="shared" si="514"/>
        <v>15:08:07.000</v>
      </c>
      <c r="U1297" t="str">
        <f t="shared" si="509"/>
        <v>A68FCB</v>
      </c>
      <c r="V1297">
        <v>0</v>
      </c>
      <c r="W1297">
        <v>0</v>
      </c>
      <c r="X1297">
        <v>2</v>
      </c>
      <c r="Y1297">
        <v>0</v>
      </c>
      <c r="AA1297">
        <v>1</v>
      </c>
      <c r="AB1297">
        <v>8</v>
      </c>
      <c r="AC1297">
        <v>3</v>
      </c>
      <c r="AD1297">
        <v>0</v>
      </c>
      <c r="AE1297">
        <v>9</v>
      </c>
      <c r="AF1297" t="s">
        <v>138</v>
      </c>
      <c r="AG1297">
        <v>0</v>
      </c>
      <c r="AH1297">
        <v>3</v>
      </c>
      <c r="AI1297">
        <v>2</v>
      </c>
      <c r="AJ1297">
        <v>0</v>
      </c>
      <c r="AK1297" t="s">
        <v>498</v>
      </c>
      <c r="AL1297">
        <v>39.006442999999997</v>
      </c>
      <c r="AM1297" t="s">
        <v>499</v>
      </c>
      <c r="AN1297">
        <v>-121.054723</v>
      </c>
      <c r="AO1297">
        <v>25</v>
      </c>
      <c r="AP1297">
        <v>3600</v>
      </c>
      <c r="AQ1297" t="s">
        <v>131</v>
      </c>
      <c r="AR1297">
        <v>-13</v>
      </c>
      <c r="AS1297">
        <v>86</v>
      </c>
      <c r="AT1297">
        <v>384</v>
      </c>
      <c r="BB1297" t="str">
        <f t="shared" si="510"/>
        <v>1200</v>
      </c>
      <c r="BC1297">
        <v>1</v>
      </c>
      <c r="BD1297" t="str">
        <f t="shared" si="511"/>
        <v xml:space="preserve">N52156  </v>
      </c>
      <c r="BE1297">
        <v>1</v>
      </c>
      <c r="BG1297">
        <v>0</v>
      </c>
      <c r="BH1297">
        <v>0</v>
      </c>
      <c r="BI1297">
        <v>0</v>
      </c>
      <c r="BJ1297">
        <v>3575</v>
      </c>
      <c r="BK1297">
        <v>-25</v>
      </c>
      <c r="BL1297" t="s">
        <v>188</v>
      </c>
      <c r="BM1297">
        <v>1</v>
      </c>
      <c r="BN1297">
        <v>1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 t="shared" si="515"/>
        <v>15:08:07.321</v>
      </c>
      <c r="CF1297">
        <v>321203300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4</v>
      </c>
      <c r="CY1297">
        <v>7</v>
      </c>
      <c r="CZ1297" t="s">
        <v>133</v>
      </c>
      <c r="DA1297">
        <v>275</v>
      </c>
      <c r="DB1297">
        <v>0</v>
      </c>
      <c r="DC1297" t="s">
        <v>134</v>
      </c>
      <c r="DD1297" t="s">
        <v>135</v>
      </c>
      <c r="DG1297">
        <v>3320106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"05/01/2025 15:08:08.581"</f>
        <v>05/01/2025 15:08:08.581</v>
      </c>
      <c r="C1298" t="str">
        <f t="shared" si="508"/>
        <v>FFDFD3C0</v>
      </c>
      <c r="D1298" t="s">
        <v>140</v>
      </c>
      <c r="E1298" t="str">
        <f>"13"</f>
        <v>13</v>
      </c>
      <c r="F1298">
        <v>1019</v>
      </c>
      <c r="G1298" t="s">
        <v>141</v>
      </c>
      <c r="J1298" t="s">
        <v>142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R1298" t="s">
        <v>127</v>
      </c>
      <c r="S1298" t="str">
        <f t="shared" ref="S1298:T1303" si="516">"15:08:08.000"</f>
        <v>15:08:08.000</v>
      </c>
      <c r="T1298" t="str">
        <f t="shared" si="516"/>
        <v>15:08:08.000</v>
      </c>
      <c r="U1298" t="str">
        <f t="shared" si="509"/>
        <v>A68FCB</v>
      </c>
      <c r="V1298">
        <v>0</v>
      </c>
      <c r="W1298">
        <v>0</v>
      </c>
      <c r="X1298">
        <v>2</v>
      </c>
      <c r="Y1298">
        <v>0</v>
      </c>
      <c r="AA1298">
        <v>1</v>
      </c>
      <c r="AB1298">
        <v>8</v>
      </c>
      <c r="AC1298">
        <v>3</v>
      </c>
      <c r="AD1298">
        <v>0</v>
      </c>
      <c r="AE1298">
        <v>9</v>
      </c>
      <c r="AF1298" t="s">
        <v>138</v>
      </c>
      <c r="AG1298">
        <v>0</v>
      </c>
      <c r="AH1298">
        <v>3</v>
      </c>
      <c r="AI1298">
        <v>2</v>
      </c>
      <c r="AJ1298">
        <v>0</v>
      </c>
      <c r="AK1298" t="s">
        <v>500</v>
      </c>
      <c r="AL1298">
        <v>39.006850999999997</v>
      </c>
      <c r="AM1298" t="s">
        <v>501</v>
      </c>
      <c r="AN1298">
        <v>-121.05480900000001</v>
      </c>
      <c r="AO1298">
        <v>25</v>
      </c>
      <c r="AP1298">
        <v>3600</v>
      </c>
      <c r="AQ1298" t="s">
        <v>131</v>
      </c>
      <c r="AR1298">
        <v>-13</v>
      </c>
      <c r="AS1298">
        <v>87</v>
      </c>
      <c r="AT1298">
        <v>384</v>
      </c>
      <c r="BB1298" t="str">
        <f t="shared" si="510"/>
        <v>1200</v>
      </c>
      <c r="BC1298">
        <v>1</v>
      </c>
      <c r="BD1298" t="str">
        <f t="shared" si="511"/>
        <v xml:space="preserve">N52156  </v>
      </c>
      <c r="BE1298">
        <v>1</v>
      </c>
      <c r="BG1298">
        <v>0</v>
      </c>
      <c r="BH1298">
        <v>0</v>
      </c>
      <c r="BI1298">
        <v>0</v>
      </c>
      <c r="BJ1298">
        <v>3575</v>
      </c>
      <c r="BK1298">
        <v>-25</v>
      </c>
      <c r="BL1298" t="s">
        <v>188</v>
      </c>
      <c r="BM1298">
        <v>1</v>
      </c>
      <c r="BN1298">
        <v>1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 t="shared" ref="CE1298:CE1303" si="517">"15:08:08.352"</f>
        <v>15:08:08.352</v>
      </c>
      <c r="CF1298">
        <v>351953638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4</v>
      </c>
      <c r="CY1298">
        <v>7</v>
      </c>
      <c r="CZ1298" t="s">
        <v>133</v>
      </c>
      <c r="DA1298">
        <v>275</v>
      </c>
      <c r="DB1298">
        <v>0</v>
      </c>
      <c r="DC1298" t="s">
        <v>134</v>
      </c>
      <c r="DD1298" t="s">
        <v>135</v>
      </c>
      <c r="DG1298">
        <v>3320117</v>
      </c>
      <c r="DI1298">
        <v>1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"05/01/2025 15:08:08.584"</f>
        <v>05/01/2025 15:08:08.584</v>
      </c>
      <c r="C1299" t="str">
        <f t="shared" si="508"/>
        <v>FFDFD3C0</v>
      </c>
      <c r="D1299" t="s">
        <v>145</v>
      </c>
      <c r="E1299" t="str">
        <f>"05"</f>
        <v>05</v>
      </c>
      <c r="H1299">
        <v>47</v>
      </c>
      <c r="I1299" t="s">
        <v>146</v>
      </c>
      <c r="J1299" t="s">
        <v>138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R1299" t="s">
        <v>127</v>
      </c>
      <c r="S1299" t="str">
        <f t="shared" si="516"/>
        <v>15:08:08.000</v>
      </c>
      <c r="T1299" t="str">
        <f t="shared" si="516"/>
        <v>15:08:08.000</v>
      </c>
      <c r="U1299" t="str">
        <f t="shared" si="509"/>
        <v>A68FCB</v>
      </c>
      <c r="V1299">
        <v>0</v>
      </c>
      <c r="W1299">
        <v>0</v>
      </c>
      <c r="X1299">
        <v>2</v>
      </c>
      <c r="Y1299">
        <v>0</v>
      </c>
      <c r="AA1299">
        <v>1</v>
      </c>
      <c r="AB1299">
        <v>8</v>
      </c>
      <c r="AC1299">
        <v>3</v>
      </c>
      <c r="AD1299">
        <v>0</v>
      </c>
      <c r="AE1299">
        <v>9</v>
      </c>
      <c r="AF1299" t="s">
        <v>138</v>
      </c>
      <c r="AG1299">
        <v>0</v>
      </c>
      <c r="AH1299">
        <v>3</v>
      </c>
      <c r="AI1299">
        <v>2</v>
      </c>
      <c r="AJ1299">
        <v>0</v>
      </c>
      <c r="AK1299" t="s">
        <v>500</v>
      </c>
      <c r="AL1299">
        <v>39.006850999999997</v>
      </c>
      <c r="AM1299" t="s">
        <v>501</v>
      </c>
      <c r="AN1299">
        <v>-121.05480900000001</v>
      </c>
      <c r="AO1299">
        <v>25</v>
      </c>
      <c r="AP1299">
        <v>3600</v>
      </c>
      <c r="AQ1299" t="s">
        <v>131</v>
      </c>
      <c r="AR1299">
        <v>-13</v>
      </c>
      <c r="AS1299">
        <v>87</v>
      </c>
      <c r="AT1299">
        <v>384</v>
      </c>
      <c r="BB1299" t="str">
        <f t="shared" si="510"/>
        <v>1200</v>
      </c>
      <c r="BC1299">
        <v>1</v>
      </c>
      <c r="BD1299" t="str">
        <f t="shared" si="511"/>
        <v xml:space="preserve">N52156  </v>
      </c>
      <c r="BE1299">
        <v>1</v>
      </c>
      <c r="BG1299">
        <v>0</v>
      </c>
      <c r="BH1299">
        <v>0</v>
      </c>
      <c r="BI1299">
        <v>0</v>
      </c>
      <c r="BJ1299">
        <v>3575</v>
      </c>
      <c r="BK1299">
        <v>-25</v>
      </c>
      <c r="BL1299" t="s">
        <v>188</v>
      </c>
      <c r="BM1299">
        <v>1</v>
      </c>
      <c r="BN1299">
        <v>1</v>
      </c>
      <c r="BO1299">
        <v>0</v>
      </c>
      <c r="BP1299">
        <v>0</v>
      </c>
      <c r="BS1299">
        <v>0</v>
      </c>
      <c r="BT1299">
        <v>0</v>
      </c>
      <c r="BU1299">
        <v>0</v>
      </c>
      <c r="CE1299" t="str">
        <f t="shared" si="517"/>
        <v>15:08:08.352</v>
      </c>
      <c r="CF1299">
        <v>351953638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4</v>
      </c>
      <c r="CY1299">
        <v>7</v>
      </c>
      <c r="CZ1299" t="s">
        <v>133</v>
      </c>
      <c r="DA1299">
        <v>275</v>
      </c>
      <c r="DB1299">
        <v>0</v>
      </c>
      <c r="DC1299" t="s">
        <v>134</v>
      </c>
      <c r="DD1299" t="s">
        <v>135</v>
      </c>
      <c r="DG1299">
        <v>3320117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"05/01/2025 15:08:08.587"</f>
        <v>05/01/2025 15:08:08.587</v>
      </c>
      <c r="C1300" t="str">
        <f t="shared" si="508"/>
        <v>FFDFD3C0</v>
      </c>
      <c r="D1300" t="s">
        <v>124</v>
      </c>
      <c r="E1300" t="str">
        <f>"06"</f>
        <v>06</v>
      </c>
      <c r="F1300">
        <v>2006</v>
      </c>
      <c r="G1300" t="s">
        <v>125</v>
      </c>
      <c r="J1300" t="s">
        <v>126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R1300" t="s">
        <v>127</v>
      </c>
      <c r="S1300" t="str">
        <f t="shared" si="516"/>
        <v>15:08:08.000</v>
      </c>
      <c r="T1300" t="str">
        <f t="shared" si="516"/>
        <v>15:08:08.000</v>
      </c>
      <c r="U1300" t="str">
        <f t="shared" si="509"/>
        <v>A68FCB</v>
      </c>
      <c r="V1300">
        <v>0</v>
      </c>
      <c r="W1300">
        <v>0</v>
      </c>
      <c r="X1300">
        <v>2</v>
      </c>
      <c r="Y1300">
        <v>0</v>
      </c>
      <c r="AA1300">
        <v>1</v>
      </c>
      <c r="AB1300">
        <v>8</v>
      </c>
      <c r="AC1300">
        <v>3</v>
      </c>
      <c r="AD1300">
        <v>0</v>
      </c>
      <c r="AE1300">
        <v>9</v>
      </c>
      <c r="AF1300" t="s">
        <v>138</v>
      </c>
      <c r="AG1300">
        <v>0</v>
      </c>
      <c r="AH1300">
        <v>3</v>
      </c>
      <c r="AI1300">
        <v>2</v>
      </c>
      <c r="AJ1300">
        <v>0</v>
      </c>
      <c r="AK1300" t="s">
        <v>500</v>
      </c>
      <c r="AL1300">
        <v>39.006850999999997</v>
      </c>
      <c r="AM1300" t="s">
        <v>501</v>
      </c>
      <c r="AN1300">
        <v>-121.05480900000001</v>
      </c>
      <c r="AO1300">
        <v>25</v>
      </c>
      <c r="AP1300">
        <v>3600</v>
      </c>
      <c r="AQ1300" t="s">
        <v>131</v>
      </c>
      <c r="AR1300">
        <v>-13</v>
      </c>
      <c r="AS1300">
        <v>87</v>
      </c>
      <c r="AT1300">
        <v>384</v>
      </c>
      <c r="BB1300" t="str">
        <f t="shared" si="510"/>
        <v>1200</v>
      </c>
      <c r="BC1300">
        <v>1</v>
      </c>
      <c r="BD1300" t="str">
        <f t="shared" si="511"/>
        <v xml:space="preserve">N52156  </v>
      </c>
      <c r="BE1300">
        <v>1</v>
      </c>
      <c r="BG1300">
        <v>0</v>
      </c>
      <c r="BH1300">
        <v>0</v>
      </c>
      <c r="BI1300">
        <v>0</v>
      </c>
      <c r="BJ1300">
        <v>3575</v>
      </c>
      <c r="BK1300">
        <v>-25</v>
      </c>
      <c r="BL1300" t="s">
        <v>188</v>
      </c>
      <c r="BM1300">
        <v>1</v>
      </c>
      <c r="BN1300">
        <v>1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 t="shared" si="517"/>
        <v>15:08:08.352</v>
      </c>
      <c r="CF1300">
        <v>351953638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4</v>
      </c>
      <c r="CY1300">
        <v>7</v>
      </c>
      <c r="CZ1300" t="s">
        <v>133</v>
      </c>
      <c r="DA1300">
        <v>275</v>
      </c>
      <c r="DB1300">
        <v>0</v>
      </c>
      <c r="DC1300" t="s">
        <v>134</v>
      </c>
      <c r="DD1300" t="s">
        <v>135</v>
      </c>
      <c r="DG1300">
        <v>3320117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"05/01/2025 15:08:08.588"</f>
        <v>05/01/2025 15:08:08.588</v>
      </c>
      <c r="C1301" t="str">
        <f t="shared" si="508"/>
        <v>FFDFD3C0</v>
      </c>
      <c r="D1301" t="s">
        <v>145</v>
      </c>
      <c r="E1301" t="str">
        <f>"09"</f>
        <v>09</v>
      </c>
      <c r="H1301">
        <v>51</v>
      </c>
      <c r="I1301" t="s">
        <v>147</v>
      </c>
      <c r="J1301" t="s">
        <v>138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R1301" t="s">
        <v>127</v>
      </c>
      <c r="S1301" t="str">
        <f t="shared" si="516"/>
        <v>15:08:08.000</v>
      </c>
      <c r="T1301" t="str">
        <f t="shared" si="516"/>
        <v>15:08:08.000</v>
      </c>
      <c r="U1301" t="str">
        <f t="shared" si="509"/>
        <v>A68FCB</v>
      </c>
      <c r="V1301">
        <v>0</v>
      </c>
      <c r="W1301">
        <v>0</v>
      </c>
      <c r="X1301">
        <v>2</v>
      </c>
      <c r="Y1301">
        <v>0</v>
      </c>
      <c r="AA1301">
        <v>1</v>
      </c>
      <c r="AB1301">
        <v>8</v>
      </c>
      <c r="AC1301">
        <v>3</v>
      </c>
      <c r="AD1301">
        <v>0</v>
      </c>
      <c r="AE1301">
        <v>9</v>
      </c>
      <c r="AF1301" t="s">
        <v>138</v>
      </c>
      <c r="AG1301">
        <v>0</v>
      </c>
      <c r="AH1301">
        <v>3</v>
      </c>
      <c r="AI1301">
        <v>2</v>
      </c>
      <c r="AJ1301">
        <v>0</v>
      </c>
      <c r="AK1301" t="s">
        <v>500</v>
      </c>
      <c r="AL1301">
        <v>39.006850999999997</v>
      </c>
      <c r="AM1301" t="s">
        <v>501</v>
      </c>
      <c r="AN1301">
        <v>-121.05480900000001</v>
      </c>
      <c r="AO1301">
        <v>25</v>
      </c>
      <c r="AP1301">
        <v>3600</v>
      </c>
      <c r="AQ1301" t="s">
        <v>131</v>
      </c>
      <c r="AR1301">
        <v>-13</v>
      </c>
      <c r="AS1301">
        <v>87</v>
      </c>
      <c r="AT1301">
        <v>384</v>
      </c>
      <c r="BB1301" t="str">
        <f t="shared" si="510"/>
        <v>1200</v>
      </c>
      <c r="BC1301">
        <v>1</v>
      </c>
      <c r="BD1301" t="str">
        <f t="shared" si="511"/>
        <v xml:space="preserve">N52156  </v>
      </c>
      <c r="BE1301">
        <v>1</v>
      </c>
      <c r="BG1301">
        <v>0</v>
      </c>
      <c r="BH1301">
        <v>0</v>
      </c>
      <c r="BI1301">
        <v>0</v>
      </c>
      <c r="BJ1301">
        <v>3575</v>
      </c>
      <c r="BK1301">
        <v>-25</v>
      </c>
      <c r="BL1301" t="s">
        <v>188</v>
      </c>
      <c r="BM1301">
        <v>1</v>
      </c>
      <c r="BN1301">
        <v>1</v>
      </c>
      <c r="BO1301">
        <v>0</v>
      </c>
      <c r="BP1301">
        <v>0</v>
      </c>
      <c r="BS1301">
        <v>0</v>
      </c>
      <c r="BT1301">
        <v>0</v>
      </c>
      <c r="BU1301">
        <v>0</v>
      </c>
      <c r="CE1301" t="str">
        <f t="shared" si="517"/>
        <v>15:08:08.352</v>
      </c>
      <c r="CF1301">
        <v>351953638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4</v>
      </c>
      <c r="CY1301">
        <v>7</v>
      </c>
      <c r="CZ1301" t="s">
        <v>133</v>
      </c>
      <c r="DA1301">
        <v>275</v>
      </c>
      <c r="DB1301">
        <v>0</v>
      </c>
      <c r="DC1301" t="s">
        <v>134</v>
      </c>
      <c r="DD1301" t="s">
        <v>135</v>
      </c>
      <c r="DG1301">
        <v>3320117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"05/01/2025 15:08:08.590"</f>
        <v>05/01/2025 15:08:08.590</v>
      </c>
      <c r="C1302" t="str">
        <f t="shared" si="508"/>
        <v>FFDFD3C0</v>
      </c>
      <c r="D1302" t="s">
        <v>143</v>
      </c>
      <c r="E1302" t="str">
        <f>"05"</f>
        <v>05</v>
      </c>
      <c r="H1302">
        <v>172</v>
      </c>
      <c r="I1302" t="s">
        <v>141</v>
      </c>
      <c r="J1302" t="s">
        <v>144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R1302" t="s">
        <v>127</v>
      </c>
      <c r="S1302" t="str">
        <f t="shared" si="516"/>
        <v>15:08:08.000</v>
      </c>
      <c r="T1302" t="str">
        <f t="shared" si="516"/>
        <v>15:08:08.000</v>
      </c>
      <c r="U1302" t="str">
        <f t="shared" si="509"/>
        <v>A68FCB</v>
      </c>
      <c r="V1302">
        <v>0</v>
      </c>
      <c r="W1302">
        <v>0</v>
      </c>
      <c r="X1302">
        <v>2</v>
      </c>
      <c r="Y1302">
        <v>0</v>
      </c>
      <c r="AA1302">
        <v>1</v>
      </c>
      <c r="AB1302">
        <v>8</v>
      </c>
      <c r="AC1302">
        <v>3</v>
      </c>
      <c r="AD1302">
        <v>0</v>
      </c>
      <c r="AE1302">
        <v>9</v>
      </c>
      <c r="AF1302" t="s">
        <v>138</v>
      </c>
      <c r="AG1302">
        <v>0</v>
      </c>
      <c r="AH1302">
        <v>3</v>
      </c>
      <c r="AI1302">
        <v>2</v>
      </c>
      <c r="AJ1302">
        <v>0</v>
      </c>
      <c r="AK1302" t="s">
        <v>500</v>
      </c>
      <c r="AL1302">
        <v>39.006850999999997</v>
      </c>
      <c r="AM1302" t="s">
        <v>501</v>
      </c>
      <c r="AN1302">
        <v>-121.05480900000001</v>
      </c>
      <c r="AO1302">
        <v>25</v>
      </c>
      <c r="AP1302">
        <v>3600</v>
      </c>
      <c r="AQ1302" t="s">
        <v>131</v>
      </c>
      <c r="AR1302">
        <v>-13</v>
      </c>
      <c r="AS1302">
        <v>87</v>
      </c>
      <c r="AT1302">
        <v>384</v>
      </c>
      <c r="BB1302" t="str">
        <f t="shared" si="510"/>
        <v>1200</v>
      </c>
      <c r="BC1302">
        <v>1</v>
      </c>
      <c r="BD1302" t="str">
        <f t="shared" si="511"/>
        <v xml:space="preserve">N52156  </v>
      </c>
      <c r="BE1302">
        <v>1</v>
      </c>
      <c r="BG1302">
        <v>0</v>
      </c>
      <c r="BH1302">
        <v>0</v>
      </c>
      <c r="BI1302">
        <v>0</v>
      </c>
      <c r="BJ1302">
        <v>3575</v>
      </c>
      <c r="BK1302">
        <v>-25</v>
      </c>
      <c r="BL1302" t="s">
        <v>188</v>
      </c>
      <c r="BM1302">
        <v>1</v>
      </c>
      <c r="BN1302">
        <v>1</v>
      </c>
      <c r="BO1302">
        <v>0</v>
      </c>
      <c r="BP1302">
        <v>0</v>
      </c>
      <c r="BS1302">
        <v>0</v>
      </c>
      <c r="BT1302">
        <v>0</v>
      </c>
      <c r="BU1302">
        <v>0</v>
      </c>
      <c r="CE1302" t="str">
        <f t="shared" si="517"/>
        <v>15:08:08.352</v>
      </c>
      <c r="CF1302">
        <v>351953638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4</v>
      </c>
      <c r="CY1302">
        <v>7</v>
      </c>
      <c r="CZ1302" t="s">
        <v>133</v>
      </c>
      <c r="DA1302">
        <v>275</v>
      </c>
      <c r="DB1302">
        <v>0</v>
      </c>
      <c r="DC1302" t="s">
        <v>134</v>
      </c>
      <c r="DD1302" t="s">
        <v>135</v>
      </c>
      <c r="DG1302">
        <v>3320117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"05/01/2025 15:08:08.597"</f>
        <v>05/01/2025 15:08:08.597</v>
      </c>
      <c r="C1303" t="str">
        <f t="shared" si="508"/>
        <v>FFDFD3C0</v>
      </c>
      <c r="D1303" t="s">
        <v>136</v>
      </c>
      <c r="E1303" t="str">
        <f>"20"</f>
        <v>20</v>
      </c>
      <c r="H1303">
        <v>400</v>
      </c>
      <c r="I1303" t="s">
        <v>137</v>
      </c>
      <c r="J1303" t="s">
        <v>138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R1303" t="s">
        <v>127</v>
      </c>
      <c r="S1303" t="str">
        <f t="shared" si="516"/>
        <v>15:08:08.000</v>
      </c>
      <c r="T1303" t="str">
        <f t="shared" si="516"/>
        <v>15:08:08.000</v>
      </c>
      <c r="U1303" t="str">
        <f t="shared" si="509"/>
        <v>A68FCB</v>
      </c>
      <c r="V1303">
        <v>0</v>
      </c>
      <c r="W1303">
        <v>0</v>
      </c>
      <c r="X1303">
        <v>2</v>
      </c>
      <c r="Y1303">
        <v>0</v>
      </c>
      <c r="AA1303">
        <v>1</v>
      </c>
      <c r="AB1303">
        <v>8</v>
      </c>
      <c r="AC1303">
        <v>3</v>
      </c>
      <c r="AD1303">
        <v>0</v>
      </c>
      <c r="AE1303">
        <v>9</v>
      </c>
      <c r="AF1303" t="s">
        <v>138</v>
      </c>
      <c r="AG1303">
        <v>0</v>
      </c>
      <c r="AH1303">
        <v>3</v>
      </c>
      <c r="AI1303">
        <v>2</v>
      </c>
      <c r="AJ1303">
        <v>0</v>
      </c>
      <c r="AK1303" t="s">
        <v>500</v>
      </c>
      <c r="AL1303">
        <v>39.006850999999997</v>
      </c>
      <c r="AM1303" t="s">
        <v>501</v>
      </c>
      <c r="AN1303">
        <v>-121.05480900000001</v>
      </c>
      <c r="AO1303">
        <v>25</v>
      </c>
      <c r="AP1303">
        <v>3600</v>
      </c>
      <c r="AQ1303" t="s">
        <v>131</v>
      </c>
      <c r="AR1303">
        <v>-13</v>
      </c>
      <c r="AS1303">
        <v>87</v>
      </c>
      <c r="AT1303">
        <v>384</v>
      </c>
      <c r="BB1303" t="str">
        <f t="shared" si="510"/>
        <v>1200</v>
      </c>
      <c r="BC1303">
        <v>1</v>
      </c>
      <c r="BD1303" t="str">
        <f t="shared" si="511"/>
        <v xml:space="preserve">N52156  </v>
      </c>
      <c r="BE1303">
        <v>1</v>
      </c>
      <c r="BG1303">
        <v>0</v>
      </c>
      <c r="BH1303">
        <v>0</v>
      </c>
      <c r="BI1303">
        <v>0</v>
      </c>
      <c r="BJ1303">
        <v>3575</v>
      </c>
      <c r="BK1303">
        <v>-25</v>
      </c>
      <c r="BL1303" t="s">
        <v>188</v>
      </c>
      <c r="BM1303">
        <v>1</v>
      </c>
      <c r="BN1303">
        <v>1</v>
      </c>
      <c r="BO1303">
        <v>0</v>
      </c>
      <c r="BP1303">
        <v>0</v>
      </c>
      <c r="BS1303">
        <v>0</v>
      </c>
      <c r="BT1303">
        <v>0</v>
      </c>
      <c r="BU1303">
        <v>0</v>
      </c>
      <c r="CE1303" t="str">
        <f t="shared" si="517"/>
        <v>15:08:08.352</v>
      </c>
      <c r="CF1303">
        <v>351953638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4</v>
      </c>
      <c r="CY1303">
        <v>7</v>
      </c>
      <c r="CZ1303" t="s">
        <v>133</v>
      </c>
      <c r="DA1303">
        <v>275</v>
      </c>
      <c r="DB1303">
        <v>0</v>
      </c>
      <c r="DC1303" t="s">
        <v>134</v>
      </c>
      <c r="DD1303" t="s">
        <v>135</v>
      </c>
      <c r="DG1303">
        <v>3320117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"05/01/2025 15:08:10.084"</f>
        <v>05/01/2025 15:08:10.084</v>
      </c>
      <c r="C1304" t="str">
        <f t="shared" si="508"/>
        <v>FFDFD3C0</v>
      </c>
      <c r="D1304" t="s">
        <v>140</v>
      </c>
      <c r="E1304" t="str">
        <f>"13"</f>
        <v>13</v>
      </c>
      <c r="F1304">
        <v>1019</v>
      </c>
      <c r="G1304" t="s">
        <v>141</v>
      </c>
      <c r="J1304" t="s">
        <v>142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R1304" t="s">
        <v>127</v>
      </c>
      <c r="S1304" t="str">
        <f t="shared" ref="S1304:T1309" si="518">"15:08:09.000"</f>
        <v>15:08:09.000</v>
      </c>
      <c r="T1304" t="str">
        <f t="shared" si="518"/>
        <v>15:08:09.000</v>
      </c>
      <c r="U1304" t="str">
        <f t="shared" si="509"/>
        <v>A68FCB</v>
      </c>
      <c r="V1304">
        <v>0</v>
      </c>
      <c r="W1304">
        <v>0</v>
      </c>
      <c r="X1304">
        <v>2</v>
      </c>
      <c r="Y1304">
        <v>0</v>
      </c>
      <c r="AA1304">
        <v>1</v>
      </c>
      <c r="AB1304">
        <v>8</v>
      </c>
      <c r="AC1304">
        <v>3</v>
      </c>
      <c r="AD1304">
        <v>0</v>
      </c>
      <c r="AE1304">
        <v>9</v>
      </c>
      <c r="AF1304" t="s">
        <v>138</v>
      </c>
      <c r="AG1304">
        <v>0</v>
      </c>
      <c r="AH1304">
        <v>3</v>
      </c>
      <c r="AI1304">
        <v>2</v>
      </c>
      <c r="AJ1304">
        <v>0</v>
      </c>
      <c r="AK1304" t="s">
        <v>502</v>
      </c>
      <c r="AL1304">
        <v>39.007258</v>
      </c>
      <c r="AM1304" t="s">
        <v>503</v>
      </c>
      <c r="AN1304">
        <v>-121.054873</v>
      </c>
      <c r="AO1304">
        <v>25</v>
      </c>
      <c r="AP1304">
        <v>3600</v>
      </c>
      <c r="AQ1304" t="s">
        <v>131</v>
      </c>
      <c r="AR1304">
        <v>-13</v>
      </c>
      <c r="AS1304">
        <v>88</v>
      </c>
      <c r="AT1304">
        <v>384</v>
      </c>
      <c r="BB1304" t="str">
        <f t="shared" si="510"/>
        <v>1200</v>
      </c>
      <c r="BC1304">
        <v>1</v>
      </c>
      <c r="BD1304" t="str">
        <f t="shared" si="511"/>
        <v xml:space="preserve">N52156  </v>
      </c>
      <c r="BE1304">
        <v>1</v>
      </c>
      <c r="BG1304">
        <v>0</v>
      </c>
      <c r="BH1304">
        <v>0</v>
      </c>
      <c r="BI1304">
        <v>0</v>
      </c>
      <c r="BJ1304">
        <v>3600</v>
      </c>
      <c r="BK1304">
        <v>0</v>
      </c>
      <c r="BL1304" t="s">
        <v>188</v>
      </c>
      <c r="BM1304">
        <v>1</v>
      </c>
      <c r="BN1304">
        <v>1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 t="shared" ref="CE1304:CE1309" si="519">"15:08:09.832"</f>
        <v>15:08:09.832</v>
      </c>
      <c r="CF1304">
        <v>832454886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4</v>
      </c>
      <c r="CY1304">
        <v>7</v>
      </c>
      <c r="CZ1304" t="s">
        <v>133</v>
      </c>
      <c r="DA1304">
        <v>275</v>
      </c>
      <c r="DB1304">
        <v>0</v>
      </c>
      <c r="DC1304" t="s">
        <v>134</v>
      </c>
      <c r="DD1304" t="s">
        <v>135</v>
      </c>
      <c r="DG1304">
        <v>3320133</v>
      </c>
      <c r="DI1304">
        <v>1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"05/01/2025 15:08:10.086"</f>
        <v>05/01/2025 15:08:10.086</v>
      </c>
      <c r="C1305" t="str">
        <f t="shared" si="508"/>
        <v>FFDFD3C0</v>
      </c>
      <c r="D1305" t="s">
        <v>145</v>
      </c>
      <c r="E1305" t="str">
        <f>"05"</f>
        <v>05</v>
      </c>
      <c r="H1305">
        <v>47</v>
      </c>
      <c r="I1305" t="s">
        <v>146</v>
      </c>
      <c r="J1305" t="s">
        <v>138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R1305" t="s">
        <v>127</v>
      </c>
      <c r="S1305" t="str">
        <f t="shared" si="518"/>
        <v>15:08:09.000</v>
      </c>
      <c r="T1305" t="str">
        <f t="shared" si="518"/>
        <v>15:08:09.000</v>
      </c>
      <c r="U1305" t="str">
        <f t="shared" si="509"/>
        <v>A68FCB</v>
      </c>
      <c r="V1305">
        <v>0</v>
      </c>
      <c r="W1305">
        <v>0</v>
      </c>
      <c r="X1305">
        <v>2</v>
      </c>
      <c r="Y1305">
        <v>0</v>
      </c>
      <c r="AA1305">
        <v>1</v>
      </c>
      <c r="AB1305">
        <v>8</v>
      </c>
      <c r="AC1305">
        <v>3</v>
      </c>
      <c r="AD1305">
        <v>0</v>
      </c>
      <c r="AE1305">
        <v>9</v>
      </c>
      <c r="AF1305" t="s">
        <v>138</v>
      </c>
      <c r="AG1305">
        <v>0</v>
      </c>
      <c r="AH1305">
        <v>3</v>
      </c>
      <c r="AI1305">
        <v>2</v>
      </c>
      <c r="AJ1305">
        <v>0</v>
      </c>
      <c r="AK1305" t="s">
        <v>502</v>
      </c>
      <c r="AL1305">
        <v>39.007258</v>
      </c>
      <c r="AM1305" t="s">
        <v>503</v>
      </c>
      <c r="AN1305">
        <v>-121.054873</v>
      </c>
      <c r="AO1305">
        <v>25</v>
      </c>
      <c r="AP1305">
        <v>3600</v>
      </c>
      <c r="AQ1305" t="s">
        <v>131</v>
      </c>
      <c r="AR1305">
        <v>-13</v>
      </c>
      <c r="AS1305">
        <v>88</v>
      </c>
      <c r="AT1305">
        <v>384</v>
      </c>
      <c r="BB1305" t="str">
        <f t="shared" si="510"/>
        <v>1200</v>
      </c>
      <c r="BC1305">
        <v>1</v>
      </c>
      <c r="BD1305" t="str">
        <f t="shared" si="511"/>
        <v xml:space="preserve">N52156  </v>
      </c>
      <c r="BE1305">
        <v>1</v>
      </c>
      <c r="BG1305">
        <v>0</v>
      </c>
      <c r="BH1305">
        <v>0</v>
      </c>
      <c r="BI1305">
        <v>0</v>
      </c>
      <c r="BJ1305">
        <v>3600</v>
      </c>
      <c r="BK1305">
        <v>0</v>
      </c>
      <c r="BL1305" t="s">
        <v>188</v>
      </c>
      <c r="BM1305">
        <v>1</v>
      </c>
      <c r="BN1305">
        <v>1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 t="shared" si="519"/>
        <v>15:08:09.832</v>
      </c>
      <c r="CF1305">
        <v>832454886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4</v>
      </c>
      <c r="CY1305">
        <v>7</v>
      </c>
      <c r="CZ1305" t="s">
        <v>133</v>
      </c>
      <c r="DA1305">
        <v>275</v>
      </c>
      <c r="DB1305">
        <v>0</v>
      </c>
      <c r="DC1305" t="s">
        <v>134</v>
      </c>
      <c r="DD1305" t="s">
        <v>135</v>
      </c>
      <c r="DG1305">
        <v>3320133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"05/01/2025 15:08:10.089"</f>
        <v>05/01/2025 15:08:10.089</v>
      </c>
      <c r="C1306" t="str">
        <f t="shared" si="508"/>
        <v>FFDFD3C0</v>
      </c>
      <c r="D1306" t="s">
        <v>124</v>
      </c>
      <c r="E1306" t="str">
        <f>"06"</f>
        <v>06</v>
      </c>
      <c r="F1306">
        <v>2006</v>
      </c>
      <c r="G1306" t="s">
        <v>125</v>
      </c>
      <c r="J1306" t="s">
        <v>126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R1306" t="s">
        <v>127</v>
      </c>
      <c r="S1306" t="str">
        <f t="shared" si="518"/>
        <v>15:08:09.000</v>
      </c>
      <c r="T1306" t="str">
        <f t="shared" si="518"/>
        <v>15:08:09.000</v>
      </c>
      <c r="U1306" t="str">
        <f t="shared" si="509"/>
        <v>A68FCB</v>
      </c>
      <c r="V1306">
        <v>0</v>
      </c>
      <c r="W1306">
        <v>0</v>
      </c>
      <c r="X1306">
        <v>2</v>
      </c>
      <c r="Y1306">
        <v>0</v>
      </c>
      <c r="AA1306">
        <v>1</v>
      </c>
      <c r="AB1306">
        <v>8</v>
      </c>
      <c r="AC1306">
        <v>3</v>
      </c>
      <c r="AD1306">
        <v>0</v>
      </c>
      <c r="AE1306">
        <v>9</v>
      </c>
      <c r="AF1306" t="s">
        <v>138</v>
      </c>
      <c r="AG1306">
        <v>0</v>
      </c>
      <c r="AH1306">
        <v>3</v>
      </c>
      <c r="AI1306">
        <v>2</v>
      </c>
      <c r="AJ1306">
        <v>0</v>
      </c>
      <c r="AK1306" t="s">
        <v>502</v>
      </c>
      <c r="AL1306">
        <v>39.007258</v>
      </c>
      <c r="AM1306" t="s">
        <v>503</v>
      </c>
      <c r="AN1306">
        <v>-121.054873</v>
      </c>
      <c r="AO1306">
        <v>25</v>
      </c>
      <c r="AP1306">
        <v>3600</v>
      </c>
      <c r="AQ1306" t="s">
        <v>131</v>
      </c>
      <c r="AR1306">
        <v>-13</v>
      </c>
      <c r="AS1306">
        <v>88</v>
      </c>
      <c r="AT1306">
        <v>384</v>
      </c>
      <c r="BB1306" t="str">
        <f t="shared" si="510"/>
        <v>1200</v>
      </c>
      <c r="BC1306">
        <v>1</v>
      </c>
      <c r="BD1306" t="str">
        <f t="shared" si="511"/>
        <v xml:space="preserve">N52156  </v>
      </c>
      <c r="BE1306">
        <v>1</v>
      </c>
      <c r="BG1306">
        <v>0</v>
      </c>
      <c r="BH1306">
        <v>0</v>
      </c>
      <c r="BI1306">
        <v>0</v>
      </c>
      <c r="BJ1306">
        <v>3600</v>
      </c>
      <c r="BK1306">
        <v>0</v>
      </c>
      <c r="BL1306" t="s">
        <v>188</v>
      </c>
      <c r="BM1306">
        <v>1</v>
      </c>
      <c r="BN1306">
        <v>1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 t="shared" si="519"/>
        <v>15:08:09.832</v>
      </c>
      <c r="CF1306">
        <v>832454886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4</v>
      </c>
      <c r="CY1306">
        <v>7</v>
      </c>
      <c r="CZ1306" t="s">
        <v>133</v>
      </c>
      <c r="DA1306">
        <v>275</v>
      </c>
      <c r="DB1306">
        <v>0</v>
      </c>
      <c r="DC1306" t="s">
        <v>134</v>
      </c>
      <c r="DD1306" t="s">
        <v>135</v>
      </c>
      <c r="DG1306">
        <v>3320133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"05/01/2025 15:08:10.091"</f>
        <v>05/01/2025 15:08:10.091</v>
      </c>
      <c r="C1307" t="str">
        <f t="shared" si="508"/>
        <v>FFDFD3C0</v>
      </c>
      <c r="D1307" t="s">
        <v>145</v>
      </c>
      <c r="E1307" t="str">
        <f>"09"</f>
        <v>09</v>
      </c>
      <c r="H1307">
        <v>51</v>
      </c>
      <c r="I1307" t="s">
        <v>147</v>
      </c>
      <c r="J1307" t="s">
        <v>138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R1307" t="s">
        <v>127</v>
      </c>
      <c r="S1307" t="str">
        <f t="shared" si="518"/>
        <v>15:08:09.000</v>
      </c>
      <c r="T1307" t="str">
        <f t="shared" si="518"/>
        <v>15:08:09.000</v>
      </c>
      <c r="U1307" t="str">
        <f t="shared" si="509"/>
        <v>A68FCB</v>
      </c>
      <c r="V1307">
        <v>0</v>
      </c>
      <c r="W1307">
        <v>0</v>
      </c>
      <c r="X1307">
        <v>2</v>
      </c>
      <c r="Y1307">
        <v>0</v>
      </c>
      <c r="AA1307">
        <v>1</v>
      </c>
      <c r="AB1307">
        <v>8</v>
      </c>
      <c r="AC1307">
        <v>3</v>
      </c>
      <c r="AD1307">
        <v>0</v>
      </c>
      <c r="AE1307">
        <v>9</v>
      </c>
      <c r="AF1307" t="s">
        <v>138</v>
      </c>
      <c r="AG1307">
        <v>0</v>
      </c>
      <c r="AH1307">
        <v>3</v>
      </c>
      <c r="AI1307">
        <v>2</v>
      </c>
      <c r="AJ1307">
        <v>0</v>
      </c>
      <c r="AK1307" t="s">
        <v>502</v>
      </c>
      <c r="AL1307">
        <v>39.007258</v>
      </c>
      <c r="AM1307" t="s">
        <v>503</v>
      </c>
      <c r="AN1307">
        <v>-121.054873</v>
      </c>
      <c r="AO1307">
        <v>25</v>
      </c>
      <c r="AP1307">
        <v>3600</v>
      </c>
      <c r="AQ1307" t="s">
        <v>131</v>
      </c>
      <c r="AR1307">
        <v>-13</v>
      </c>
      <c r="AS1307">
        <v>88</v>
      </c>
      <c r="AT1307">
        <v>384</v>
      </c>
      <c r="BB1307" t="str">
        <f t="shared" si="510"/>
        <v>1200</v>
      </c>
      <c r="BC1307">
        <v>1</v>
      </c>
      <c r="BD1307" t="str">
        <f t="shared" si="511"/>
        <v xml:space="preserve">N52156  </v>
      </c>
      <c r="BE1307">
        <v>1</v>
      </c>
      <c r="BG1307">
        <v>0</v>
      </c>
      <c r="BH1307">
        <v>0</v>
      </c>
      <c r="BI1307">
        <v>0</v>
      </c>
      <c r="BJ1307">
        <v>3600</v>
      </c>
      <c r="BK1307">
        <v>0</v>
      </c>
      <c r="BL1307" t="s">
        <v>188</v>
      </c>
      <c r="BM1307">
        <v>1</v>
      </c>
      <c r="BN1307">
        <v>1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 t="shared" si="519"/>
        <v>15:08:09.832</v>
      </c>
      <c r="CF1307">
        <v>832454886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4</v>
      </c>
      <c r="CY1307">
        <v>7</v>
      </c>
      <c r="CZ1307" t="s">
        <v>133</v>
      </c>
      <c r="DA1307">
        <v>275</v>
      </c>
      <c r="DB1307">
        <v>0</v>
      </c>
      <c r="DC1307" t="s">
        <v>134</v>
      </c>
      <c r="DD1307" t="s">
        <v>135</v>
      </c>
      <c r="DG1307">
        <v>3320133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"05/01/2025 15:08:10.092"</f>
        <v>05/01/2025 15:08:10.092</v>
      </c>
      <c r="C1308" t="str">
        <f t="shared" si="508"/>
        <v>FFDFD3C0</v>
      </c>
      <c r="D1308" t="s">
        <v>143</v>
      </c>
      <c r="E1308" t="str">
        <f>"05"</f>
        <v>05</v>
      </c>
      <c r="H1308">
        <v>172</v>
      </c>
      <c r="I1308" t="s">
        <v>141</v>
      </c>
      <c r="J1308" t="s">
        <v>144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R1308" t="s">
        <v>127</v>
      </c>
      <c r="S1308" t="str">
        <f t="shared" si="518"/>
        <v>15:08:09.000</v>
      </c>
      <c r="T1308" t="str">
        <f t="shared" si="518"/>
        <v>15:08:09.000</v>
      </c>
      <c r="U1308" t="str">
        <f t="shared" si="509"/>
        <v>A68FCB</v>
      </c>
      <c r="V1308">
        <v>0</v>
      </c>
      <c r="W1308">
        <v>0</v>
      </c>
      <c r="X1308">
        <v>2</v>
      </c>
      <c r="Y1308">
        <v>0</v>
      </c>
      <c r="AA1308">
        <v>1</v>
      </c>
      <c r="AB1308">
        <v>8</v>
      </c>
      <c r="AC1308">
        <v>3</v>
      </c>
      <c r="AD1308">
        <v>0</v>
      </c>
      <c r="AE1308">
        <v>9</v>
      </c>
      <c r="AF1308" t="s">
        <v>138</v>
      </c>
      <c r="AG1308">
        <v>0</v>
      </c>
      <c r="AH1308">
        <v>3</v>
      </c>
      <c r="AI1308">
        <v>2</v>
      </c>
      <c r="AJ1308">
        <v>0</v>
      </c>
      <c r="AK1308" t="s">
        <v>502</v>
      </c>
      <c r="AL1308">
        <v>39.007258</v>
      </c>
      <c r="AM1308" t="s">
        <v>503</v>
      </c>
      <c r="AN1308">
        <v>-121.054873</v>
      </c>
      <c r="AO1308">
        <v>25</v>
      </c>
      <c r="AP1308">
        <v>3600</v>
      </c>
      <c r="AQ1308" t="s">
        <v>131</v>
      </c>
      <c r="AR1308">
        <v>-13</v>
      </c>
      <c r="AS1308">
        <v>88</v>
      </c>
      <c r="AT1308">
        <v>384</v>
      </c>
      <c r="BB1308" t="str">
        <f t="shared" si="510"/>
        <v>1200</v>
      </c>
      <c r="BC1308">
        <v>1</v>
      </c>
      <c r="BD1308" t="str">
        <f t="shared" si="511"/>
        <v xml:space="preserve">N52156  </v>
      </c>
      <c r="BE1308">
        <v>1</v>
      </c>
      <c r="BG1308">
        <v>0</v>
      </c>
      <c r="BH1308">
        <v>0</v>
      </c>
      <c r="BI1308">
        <v>0</v>
      </c>
      <c r="BJ1308">
        <v>3600</v>
      </c>
      <c r="BK1308">
        <v>0</v>
      </c>
      <c r="BL1308" t="s">
        <v>188</v>
      </c>
      <c r="BM1308">
        <v>1</v>
      </c>
      <c r="BN1308">
        <v>1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 t="shared" si="519"/>
        <v>15:08:09.832</v>
      </c>
      <c r="CF1308">
        <v>832454886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4</v>
      </c>
      <c r="CY1308">
        <v>7</v>
      </c>
      <c r="CZ1308" t="s">
        <v>133</v>
      </c>
      <c r="DA1308">
        <v>275</v>
      </c>
      <c r="DB1308">
        <v>0</v>
      </c>
      <c r="DC1308" t="s">
        <v>134</v>
      </c>
      <c r="DD1308" t="s">
        <v>135</v>
      </c>
      <c r="DG1308">
        <v>3320133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"05/01/2025 15:08:10.099"</f>
        <v>05/01/2025 15:08:10.099</v>
      </c>
      <c r="C1309" t="str">
        <f t="shared" si="508"/>
        <v>FFDFD3C0</v>
      </c>
      <c r="D1309" t="s">
        <v>136</v>
      </c>
      <c r="E1309" t="str">
        <f>"20"</f>
        <v>20</v>
      </c>
      <c r="H1309">
        <v>400</v>
      </c>
      <c r="I1309" t="s">
        <v>137</v>
      </c>
      <c r="J1309" t="s">
        <v>138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R1309" t="s">
        <v>127</v>
      </c>
      <c r="S1309" t="str">
        <f t="shared" si="518"/>
        <v>15:08:09.000</v>
      </c>
      <c r="T1309" t="str">
        <f t="shared" si="518"/>
        <v>15:08:09.000</v>
      </c>
      <c r="U1309" t="str">
        <f t="shared" si="509"/>
        <v>A68FCB</v>
      </c>
      <c r="V1309">
        <v>0</v>
      </c>
      <c r="W1309">
        <v>0</v>
      </c>
      <c r="X1309">
        <v>2</v>
      </c>
      <c r="Y1309">
        <v>0</v>
      </c>
      <c r="AA1309">
        <v>1</v>
      </c>
      <c r="AB1309">
        <v>8</v>
      </c>
      <c r="AC1309">
        <v>3</v>
      </c>
      <c r="AD1309">
        <v>0</v>
      </c>
      <c r="AE1309">
        <v>9</v>
      </c>
      <c r="AF1309" t="s">
        <v>138</v>
      </c>
      <c r="AG1309">
        <v>0</v>
      </c>
      <c r="AH1309">
        <v>3</v>
      </c>
      <c r="AI1309">
        <v>2</v>
      </c>
      <c r="AJ1309">
        <v>0</v>
      </c>
      <c r="AK1309" t="s">
        <v>502</v>
      </c>
      <c r="AL1309">
        <v>39.007258</v>
      </c>
      <c r="AM1309" t="s">
        <v>503</v>
      </c>
      <c r="AN1309">
        <v>-121.054873</v>
      </c>
      <c r="AO1309">
        <v>25</v>
      </c>
      <c r="AP1309">
        <v>3600</v>
      </c>
      <c r="AQ1309" t="s">
        <v>131</v>
      </c>
      <c r="AR1309">
        <v>-13</v>
      </c>
      <c r="AS1309">
        <v>88</v>
      </c>
      <c r="AT1309">
        <v>384</v>
      </c>
      <c r="BB1309" t="str">
        <f t="shared" si="510"/>
        <v>1200</v>
      </c>
      <c r="BC1309">
        <v>1</v>
      </c>
      <c r="BD1309" t="str">
        <f t="shared" si="511"/>
        <v xml:space="preserve">N52156  </v>
      </c>
      <c r="BE1309">
        <v>1</v>
      </c>
      <c r="BG1309">
        <v>0</v>
      </c>
      <c r="BH1309">
        <v>0</v>
      </c>
      <c r="BI1309">
        <v>0</v>
      </c>
      <c r="BJ1309">
        <v>3600</v>
      </c>
      <c r="BK1309">
        <v>0</v>
      </c>
      <c r="BL1309" t="s">
        <v>188</v>
      </c>
      <c r="BM1309">
        <v>1</v>
      </c>
      <c r="BN1309">
        <v>1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 t="shared" si="519"/>
        <v>15:08:09.832</v>
      </c>
      <c r="CF1309">
        <v>832454886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4</v>
      </c>
      <c r="CY1309">
        <v>7</v>
      </c>
      <c r="CZ1309" t="s">
        <v>133</v>
      </c>
      <c r="DA1309">
        <v>275</v>
      </c>
      <c r="DB1309">
        <v>0</v>
      </c>
      <c r="DC1309" t="s">
        <v>134</v>
      </c>
      <c r="DD1309" t="s">
        <v>135</v>
      </c>
      <c r="DG1309">
        <v>3320133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"05/01/2025 15:08:10.489"</f>
        <v>05/01/2025 15:08:10.489</v>
      </c>
      <c r="C1310" t="str">
        <f t="shared" si="508"/>
        <v>FFDFD3C0</v>
      </c>
      <c r="D1310" t="s">
        <v>124</v>
      </c>
      <c r="E1310" t="str">
        <f>"06"</f>
        <v>06</v>
      </c>
      <c r="F1310">
        <v>2006</v>
      </c>
      <c r="G1310" t="s">
        <v>125</v>
      </c>
      <c r="J1310" t="s">
        <v>126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R1310" t="s">
        <v>127</v>
      </c>
      <c r="S1310" t="str">
        <f t="shared" ref="S1310:T1315" si="520">"15:08:10.000"</f>
        <v>15:08:10.000</v>
      </c>
      <c r="T1310" t="str">
        <f t="shared" si="520"/>
        <v>15:08:10.000</v>
      </c>
      <c r="U1310" t="str">
        <f t="shared" si="509"/>
        <v>A68FCB</v>
      </c>
      <c r="V1310">
        <v>0</v>
      </c>
      <c r="W1310">
        <v>0</v>
      </c>
      <c r="X1310">
        <v>2</v>
      </c>
      <c r="Y1310">
        <v>0</v>
      </c>
      <c r="AA1310">
        <v>1</v>
      </c>
      <c r="AB1310">
        <v>8</v>
      </c>
      <c r="AC1310">
        <v>3</v>
      </c>
      <c r="AD1310">
        <v>0</v>
      </c>
      <c r="AE1310">
        <v>9</v>
      </c>
      <c r="AF1310" t="s">
        <v>138</v>
      </c>
      <c r="AG1310">
        <v>0</v>
      </c>
      <c r="AH1310">
        <v>3</v>
      </c>
      <c r="AI1310">
        <v>2</v>
      </c>
      <c r="AJ1310">
        <v>0</v>
      </c>
      <c r="AK1310" t="s">
        <v>504</v>
      </c>
      <c r="AL1310">
        <v>39.007666</v>
      </c>
      <c r="AM1310" t="s">
        <v>505</v>
      </c>
      <c r="AN1310">
        <v>-121.054959</v>
      </c>
      <c r="AO1310">
        <v>25</v>
      </c>
      <c r="AP1310">
        <v>3600</v>
      </c>
      <c r="AQ1310" t="s">
        <v>131</v>
      </c>
      <c r="AR1310">
        <v>-13</v>
      </c>
      <c r="AS1310">
        <v>88</v>
      </c>
      <c r="AT1310">
        <v>384</v>
      </c>
      <c r="BB1310" t="str">
        <f t="shared" si="510"/>
        <v>1200</v>
      </c>
      <c r="BC1310">
        <v>1</v>
      </c>
      <c r="BD1310" t="str">
        <f t="shared" si="511"/>
        <v xml:space="preserve">N52156  </v>
      </c>
      <c r="BE1310">
        <v>1</v>
      </c>
      <c r="BG1310">
        <v>0</v>
      </c>
      <c r="BH1310">
        <v>0</v>
      </c>
      <c r="BI1310">
        <v>0</v>
      </c>
      <c r="BJ1310">
        <v>3600</v>
      </c>
      <c r="BK1310">
        <v>0</v>
      </c>
      <c r="BL1310" t="s">
        <v>188</v>
      </c>
      <c r="BM1310">
        <v>1</v>
      </c>
      <c r="BN1310">
        <v>1</v>
      </c>
      <c r="BO1310">
        <v>0</v>
      </c>
      <c r="BP1310">
        <v>0</v>
      </c>
      <c r="BS1310">
        <v>0</v>
      </c>
      <c r="BT1310">
        <v>0</v>
      </c>
      <c r="BU1310">
        <v>0</v>
      </c>
      <c r="CE1310" t="str">
        <f t="shared" ref="CE1310:CE1315" si="521">"15:08:10.273"</f>
        <v>15:08:10.273</v>
      </c>
      <c r="CF1310">
        <v>272703484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3</v>
      </c>
      <c r="CY1310">
        <v>7</v>
      </c>
      <c r="CZ1310" t="s">
        <v>133</v>
      </c>
      <c r="DA1310">
        <v>275</v>
      </c>
      <c r="DB1310">
        <v>0</v>
      </c>
      <c r="DC1310" t="s">
        <v>134</v>
      </c>
      <c r="DD1310" t="s">
        <v>135</v>
      </c>
      <c r="DG1310">
        <v>3320140</v>
      </c>
      <c r="DI1310">
        <v>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"05/01/2025 15:08:10.492"</f>
        <v>05/01/2025 15:08:10.492</v>
      </c>
      <c r="C1311" t="str">
        <f t="shared" si="508"/>
        <v>FFDFD3C0</v>
      </c>
      <c r="D1311" t="s">
        <v>145</v>
      </c>
      <c r="E1311" t="str">
        <f>"09"</f>
        <v>09</v>
      </c>
      <c r="H1311">
        <v>51</v>
      </c>
      <c r="I1311" t="s">
        <v>147</v>
      </c>
      <c r="J1311" t="s">
        <v>138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R1311" t="s">
        <v>127</v>
      </c>
      <c r="S1311" t="str">
        <f t="shared" si="520"/>
        <v>15:08:10.000</v>
      </c>
      <c r="T1311" t="str">
        <f t="shared" si="520"/>
        <v>15:08:10.000</v>
      </c>
      <c r="U1311" t="str">
        <f t="shared" si="509"/>
        <v>A68FCB</v>
      </c>
      <c r="V1311">
        <v>0</v>
      </c>
      <c r="W1311">
        <v>0</v>
      </c>
      <c r="X1311">
        <v>2</v>
      </c>
      <c r="Y1311">
        <v>0</v>
      </c>
      <c r="AA1311">
        <v>1</v>
      </c>
      <c r="AB1311">
        <v>8</v>
      </c>
      <c r="AC1311">
        <v>3</v>
      </c>
      <c r="AD1311">
        <v>0</v>
      </c>
      <c r="AE1311">
        <v>9</v>
      </c>
      <c r="AF1311" t="s">
        <v>138</v>
      </c>
      <c r="AG1311">
        <v>0</v>
      </c>
      <c r="AH1311">
        <v>3</v>
      </c>
      <c r="AI1311">
        <v>2</v>
      </c>
      <c r="AJ1311">
        <v>0</v>
      </c>
      <c r="AK1311" t="s">
        <v>504</v>
      </c>
      <c r="AL1311">
        <v>39.007666</v>
      </c>
      <c r="AM1311" t="s">
        <v>505</v>
      </c>
      <c r="AN1311">
        <v>-121.054959</v>
      </c>
      <c r="AO1311">
        <v>25</v>
      </c>
      <c r="AP1311">
        <v>3600</v>
      </c>
      <c r="AQ1311" t="s">
        <v>131</v>
      </c>
      <c r="AR1311">
        <v>-13</v>
      </c>
      <c r="AS1311">
        <v>88</v>
      </c>
      <c r="AT1311">
        <v>384</v>
      </c>
      <c r="BB1311" t="str">
        <f t="shared" si="510"/>
        <v>1200</v>
      </c>
      <c r="BC1311">
        <v>1</v>
      </c>
      <c r="BD1311" t="str">
        <f t="shared" si="511"/>
        <v xml:space="preserve">N52156  </v>
      </c>
      <c r="BE1311">
        <v>1</v>
      </c>
      <c r="BG1311">
        <v>0</v>
      </c>
      <c r="BH1311">
        <v>0</v>
      </c>
      <c r="BI1311">
        <v>0</v>
      </c>
      <c r="BJ1311">
        <v>3600</v>
      </c>
      <c r="BK1311">
        <v>0</v>
      </c>
      <c r="BL1311" t="s">
        <v>188</v>
      </c>
      <c r="BM1311">
        <v>1</v>
      </c>
      <c r="BN1311">
        <v>1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 t="shared" si="521"/>
        <v>15:08:10.273</v>
      </c>
      <c r="CF1311">
        <v>272703484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3</v>
      </c>
      <c r="CY1311">
        <v>7</v>
      </c>
      <c r="CZ1311" t="s">
        <v>133</v>
      </c>
      <c r="DA1311">
        <v>275</v>
      </c>
      <c r="DB1311">
        <v>0</v>
      </c>
      <c r="DC1311" t="s">
        <v>134</v>
      </c>
      <c r="DD1311" t="s">
        <v>135</v>
      </c>
      <c r="DG1311">
        <v>3320140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"05/01/2025 15:08:10.493"</f>
        <v>05/01/2025 15:08:10.493</v>
      </c>
      <c r="C1312" t="str">
        <f t="shared" si="508"/>
        <v>FFDFD3C0</v>
      </c>
      <c r="D1312" t="s">
        <v>143</v>
      </c>
      <c r="E1312" t="str">
        <f>"05"</f>
        <v>05</v>
      </c>
      <c r="H1312">
        <v>172</v>
      </c>
      <c r="I1312" t="s">
        <v>141</v>
      </c>
      <c r="J1312" t="s">
        <v>144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R1312" t="s">
        <v>127</v>
      </c>
      <c r="S1312" t="str">
        <f t="shared" si="520"/>
        <v>15:08:10.000</v>
      </c>
      <c r="T1312" t="str">
        <f t="shared" si="520"/>
        <v>15:08:10.000</v>
      </c>
      <c r="U1312" t="str">
        <f t="shared" si="509"/>
        <v>A68FCB</v>
      </c>
      <c r="V1312">
        <v>0</v>
      </c>
      <c r="W1312">
        <v>0</v>
      </c>
      <c r="X1312">
        <v>2</v>
      </c>
      <c r="Y1312">
        <v>0</v>
      </c>
      <c r="AA1312">
        <v>1</v>
      </c>
      <c r="AB1312">
        <v>8</v>
      </c>
      <c r="AC1312">
        <v>3</v>
      </c>
      <c r="AD1312">
        <v>0</v>
      </c>
      <c r="AE1312">
        <v>9</v>
      </c>
      <c r="AF1312" t="s">
        <v>138</v>
      </c>
      <c r="AG1312">
        <v>0</v>
      </c>
      <c r="AH1312">
        <v>3</v>
      </c>
      <c r="AI1312">
        <v>2</v>
      </c>
      <c r="AJ1312">
        <v>0</v>
      </c>
      <c r="AK1312" t="s">
        <v>504</v>
      </c>
      <c r="AL1312">
        <v>39.007666</v>
      </c>
      <c r="AM1312" t="s">
        <v>505</v>
      </c>
      <c r="AN1312">
        <v>-121.054959</v>
      </c>
      <c r="AO1312">
        <v>25</v>
      </c>
      <c r="AP1312">
        <v>3600</v>
      </c>
      <c r="AQ1312" t="s">
        <v>131</v>
      </c>
      <c r="AR1312">
        <v>-13</v>
      </c>
      <c r="AS1312">
        <v>88</v>
      </c>
      <c r="AT1312">
        <v>384</v>
      </c>
      <c r="BB1312" t="str">
        <f t="shared" si="510"/>
        <v>1200</v>
      </c>
      <c r="BC1312">
        <v>1</v>
      </c>
      <c r="BD1312" t="str">
        <f t="shared" si="511"/>
        <v xml:space="preserve">N52156  </v>
      </c>
      <c r="BE1312">
        <v>1</v>
      </c>
      <c r="BG1312">
        <v>0</v>
      </c>
      <c r="BH1312">
        <v>0</v>
      </c>
      <c r="BI1312">
        <v>0</v>
      </c>
      <c r="BJ1312">
        <v>3600</v>
      </c>
      <c r="BK1312">
        <v>0</v>
      </c>
      <c r="BL1312" t="s">
        <v>188</v>
      </c>
      <c r="BM1312">
        <v>1</v>
      </c>
      <c r="BN1312">
        <v>1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 t="shared" si="521"/>
        <v>15:08:10.273</v>
      </c>
      <c r="CF1312">
        <v>272703484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3</v>
      </c>
      <c r="CY1312">
        <v>7</v>
      </c>
      <c r="CZ1312" t="s">
        <v>133</v>
      </c>
      <c r="DA1312">
        <v>275</v>
      </c>
      <c r="DB1312">
        <v>0</v>
      </c>
      <c r="DC1312" t="s">
        <v>134</v>
      </c>
      <c r="DD1312" t="s">
        <v>135</v>
      </c>
      <c r="DG1312">
        <v>3320140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"05/01/2025 15:08:10.500"</f>
        <v>05/01/2025 15:08:10.500</v>
      </c>
      <c r="C1313" t="str">
        <f t="shared" si="508"/>
        <v>FFDFD3C0</v>
      </c>
      <c r="D1313" t="s">
        <v>136</v>
      </c>
      <c r="E1313" t="str">
        <f>"20"</f>
        <v>20</v>
      </c>
      <c r="H1313">
        <v>400</v>
      </c>
      <c r="I1313" t="s">
        <v>137</v>
      </c>
      <c r="J1313" t="s">
        <v>138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R1313" t="s">
        <v>127</v>
      </c>
      <c r="S1313" t="str">
        <f t="shared" si="520"/>
        <v>15:08:10.000</v>
      </c>
      <c r="T1313" t="str">
        <f t="shared" si="520"/>
        <v>15:08:10.000</v>
      </c>
      <c r="U1313" t="str">
        <f t="shared" si="509"/>
        <v>A68FCB</v>
      </c>
      <c r="V1313">
        <v>0</v>
      </c>
      <c r="W1313">
        <v>0</v>
      </c>
      <c r="X1313">
        <v>2</v>
      </c>
      <c r="Y1313">
        <v>0</v>
      </c>
      <c r="AA1313">
        <v>1</v>
      </c>
      <c r="AB1313">
        <v>8</v>
      </c>
      <c r="AC1313">
        <v>3</v>
      </c>
      <c r="AD1313">
        <v>0</v>
      </c>
      <c r="AE1313">
        <v>9</v>
      </c>
      <c r="AF1313" t="s">
        <v>138</v>
      </c>
      <c r="AG1313">
        <v>0</v>
      </c>
      <c r="AH1313">
        <v>3</v>
      </c>
      <c r="AI1313">
        <v>2</v>
      </c>
      <c r="AJ1313">
        <v>0</v>
      </c>
      <c r="AK1313" t="s">
        <v>504</v>
      </c>
      <c r="AL1313">
        <v>39.007666</v>
      </c>
      <c r="AM1313" t="s">
        <v>505</v>
      </c>
      <c r="AN1313">
        <v>-121.054959</v>
      </c>
      <c r="AO1313">
        <v>25</v>
      </c>
      <c r="AP1313">
        <v>3600</v>
      </c>
      <c r="AQ1313" t="s">
        <v>131</v>
      </c>
      <c r="AR1313">
        <v>-13</v>
      </c>
      <c r="AS1313">
        <v>88</v>
      </c>
      <c r="AT1313">
        <v>384</v>
      </c>
      <c r="BB1313" t="str">
        <f t="shared" si="510"/>
        <v>1200</v>
      </c>
      <c r="BC1313">
        <v>1</v>
      </c>
      <c r="BD1313" t="str">
        <f t="shared" si="511"/>
        <v xml:space="preserve">N52156  </v>
      </c>
      <c r="BE1313">
        <v>1</v>
      </c>
      <c r="BG1313">
        <v>0</v>
      </c>
      <c r="BH1313">
        <v>0</v>
      </c>
      <c r="BI1313">
        <v>0</v>
      </c>
      <c r="BJ1313">
        <v>3600</v>
      </c>
      <c r="BK1313">
        <v>0</v>
      </c>
      <c r="BL1313" t="s">
        <v>188</v>
      </c>
      <c r="BM1313">
        <v>1</v>
      </c>
      <c r="BN1313">
        <v>1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 t="shared" si="521"/>
        <v>15:08:10.273</v>
      </c>
      <c r="CF1313">
        <v>272703484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3</v>
      </c>
      <c r="CY1313">
        <v>7</v>
      </c>
      <c r="CZ1313" t="s">
        <v>133</v>
      </c>
      <c r="DA1313">
        <v>275</v>
      </c>
      <c r="DB1313">
        <v>0</v>
      </c>
      <c r="DC1313" t="s">
        <v>134</v>
      </c>
      <c r="DD1313" t="s">
        <v>135</v>
      </c>
      <c r="DG1313">
        <v>3320140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"05/01/2025 15:08:10.537"</f>
        <v>05/01/2025 15:08:10.537</v>
      </c>
      <c r="C1314" t="str">
        <f t="shared" si="508"/>
        <v>FFDFD3C0</v>
      </c>
      <c r="D1314" t="s">
        <v>145</v>
      </c>
      <c r="E1314" t="str">
        <f>"05"</f>
        <v>05</v>
      </c>
      <c r="H1314">
        <v>47</v>
      </c>
      <c r="I1314" t="s">
        <v>146</v>
      </c>
      <c r="J1314" t="s">
        <v>138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R1314" t="s">
        <v>127</v>
      </c>
      <c r="S1314" t="str">
        <f t="shared" si="520"/>
        <v>15:08:10.000</v>
      </c>
      <c r="T1314" t="str">
        <f t="shared" si="520"/>
        <v>15:08:10.000</v>
      </c>
      <c r="U1314" t="str">
        <f t="shared" si="509"/>
        <v>A68FCB</v>
      </c>
      <c r="V1314">
        <v>0</v>
      </c>
      <c r="W1314">
        <v>0</v>
      </c>
      <c r="X1314">
        <v>2</v>
      </c>
      <c r="Y1314">
        <v>0</v>
      </c>
      <c r="AA1314">
        <v>1</v>
      </c>
      <c r="AB1314">
        <v>8</v>
      </c>
      <c r="AC1314">
        <v>3</v>
      </c>
      <c r="AD1314">
        <v>0</v>
      </c>
      <c r="AE1314">
        <v>9</v>
      </c>
      <c r="AF1314" t="s">
        <v>138</v>
      </c>
      <c r="AG1314">
        <v>0</v>
      </c>
      <c r="AH1314">
        <v>3</v>
      </c>
      <c r="AI1314">
        <v>2</v>
      </c>
      <c r="AJ1314">
        <v>0</v>
      </c>
      <c r="AK1314" t="s">
        <v>504</v>
      </c>
      <c r="AL1314">
        <v>39.007666</v>
      </c>
      <c r="AM1314" t="s">
        <v>505</v>
      </c>
      <c r="AN1314">
        <v>-121.054959</v>
      </c>
      <c r="AO1314">
        <v>25</v>
      </c>
      <c r="AP1314">
        <v>3600</v>
      </c>
      <c r="AQ1314" t="s">
        <v>131</v>
      </c>
      <c r="AR1314">
        <v>-13</v>
      </c>
      <c r="AS1314">
        <v>88</v>
      </c>
      <c r="AT1314">
        <v>384</v>
      </c>
      <c r="BB1314" t="str">
        <f t="shared" si="510"/>
        <v>1200</v>
      </c>
      <c r="BC1314">
        <v>1</v>
      </c>
      <c r="BD1314" t="str">
        <f t="shared" si="511"/>
        <v xml:space="preserve">N52156  </v>
      </c>
      <c r="BE1314">
        <v>1</v>
      </c>
      <c r="BG1314">
        <v>0</v>
      </c>
      <c r="BH1314">
        <v>0</v>
      </c>
      <c r="BI1314">
        <v>0</v>
      </c>
      <c r="BJ1314">
        <v>3600</v>
      </c>
      <c r="BK1314">
        <v>0</v>
      </c>
      <c r="BL1314" t="s">
        <v>188</v>
      </c>
      <c r="BM1314">
        <v>1</v>
      </c>
      <c r="BN1314">
        <v>1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 t="shared" si="521"/>
        <v>15:08:10.273</v>
      </c>
      <c r="CF1314">
        <v>272703484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3</v>
      </c>
      <c r="CY1314">
        <v>7</v>
      </c>
      <c r="CZ1314" t="s">
        <v>133</v>
      </c>
      <c r="DA1314">
        <v>275</v>
      </c>
      <c r="DB1314">
        <v>0</v>
      </c>
      <c r="DC1314" t="s">
        <v>134</v>
      </c>
      <c r="DD1314" t="s">
        <v>135</v>
      </c>
      <c r="DG1314">
        <v>3320140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"05/01/2025 15:08:10.534"</f>
        <v>05/01/2025 15:08:10.534</v>
      </c>
      <c r="C1315" t="str">
        <f t="shared" si="508"/>
        <v>FFDFD3C0</v>
      </c>
      <c r="D1315" t="s">
        <v>140</v>
      </c>
      <c r="E1315" t="str">
        <f>"13"</f>
        <v>13</v>
      </c>
      <c r="F1315">
        <v>1019</v>
      </c>
      <c r="G1315" t="s">
        <v>141</v>
      </c>
      <c r="J1315" t="s">
        <v>142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R1315" t="s">
        <v>127</v>
      </c>
      <c r="S1315" t="str">
        <f t="shared" si="520"/>
        <v>15:08:10.000</v>
      </c>
      <c r="T1315" t="str">
        <f t="shared" si="520"/>
        <v>15:08:10.000</v>
      </c>
      <c r="U1315" t="str">
        <f t="shared" si="509"/>
        <v>A68FCB</v>
      </c>
      <c r="V1315">
        <v>0</v>
      </c>
      <c r="W1315">
        <v>0</v>
      </c>
      <c r="X1315">
        <v>2</v>
      </c>
      <c r="Y1315">
        <v>0</v>
      </c>
      <c r="AA1315">
        <v>1</v>
      </c>
      <c r="AB1315">
        <v>8</v>
      </c>
      <c r="AC1315">
        <v>3</v>
      </c>
      <c r="AD1315">
        <v>0</v>
      </c>
      <c r="AE1315">
        <v>9</v>
      </c>
      <c r="AF1315" t="s">
        <v>138</v>
      </c>
      <c r="AG1315">
        <v>0</v>
      </c>
      <c r="AH1315">
        <v>3</v>
      </c>
      <c r="AI1315">
        <v>2</v>
      </c>
      <c r="AJ1315">
        <v>0</v>
      </c>
      <c r="AK1315" t="s">
        <v>504</v>
      </c>
      <c r="AL1315">
        <v>39.007666</v>
      </c>
      <c r="AM1315" t="s">
        <v>505</v>
      </c>
      <c r="AN1315">
        <v>-121.054959</v>
      </c>
      <c r="AO1315">
        <v>25</v>
      </c>
      <c r="AP1315">
        <v>3600</v>
      </c>
      <c r="AQ1315" t="s">
        <v>131</v>
      </c>
      <c r="AR1315">
        <v>-13</v>
      </c>
      <c r="AS1315">
        <v>88</v>
      </c>
      <c r="AT1315">
        <v>384</v>
      </c>
      <c r="BB1315" t="str">
        <f t="shared" si="510"/>
        <v>1200</v>
      </c>
      <c r="BC1315">
        <v>1</v>
      </c>
      <c r="BD1315" t="str">
        <f t="shared" si="511"/>
        <v xml:space="preserve">N52156  </v>
      </c>
      <c r="BE1315">
        <v>1</v>
      </c>
      <c r="BG1315">
        <v>0</v>
      </c>
      <c r="BH1315">
        <v>0</v>
      </c>
      <c r="BI1315">
        <v>0</v>
      </c>
      <c r="BJ1315">
        <v>3600</v>
      </c>
      <c r="BK1315">
        <v>0</v>
      </c>
      <c r="BL1315" t="s">
        <v>188</v>
      </c>
      <c r="BM1315">
        <v>1</v>
      </c>
      <c r="BN1315">
        <v>1</v>
      </c>
      <c r="BO1315">
        <v>0</v>
      </c>
      <c r="BP1315">
        <v>0</v>
      </c>
      <c r="BS1315">
        <v>0</v>
      </c>
      <c r="BT1315">
        <v>0</v>
      </c>
      <c r="BU1315">
        <v>0</v>
      </c>
      <c r="CE1315" t="str">
        <f t="shared" si="521"/>
        <v>15:08:10.273</v>
      </c>
      <c r="CF1315">
        <v>272703484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3</v>
      </c>
      <c r="CY1315">
        <v>7</v>
      </c>
      <c r="CZ1315" t="s">
        <v>133</v>
      </c>
      <c r="DA1315">
        <v>275</v>
      </c>
      <c r="DB1315">
        <v>0</v>
      </c>
      <c r="DC1315" t="s">
        <v>134</v>
      </c>
      <c r="DD1315" t="s">
        <v>135</v>
      </c>
      <c r="DG1315">
        <v>3320140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"05/01/2025 15:08:11.752"</f>
        <v>05/01/2025 15:08:11.752</v>
      </c>
      <c r="C1316" t="str">
        <f t="shared" si="508"/>
        <v>FFDFD3C0</v>
      </c>
      <c r="D1316" t="s">
        <v>136</v>
      </c>
      <c r="E1316" t="str">
        <f>"20"</f>
        <v>20</v>
      </c>
      <c r="H1316">
        <v>400</v>
      </c>
      <c r="I1316" t="s">
        <v>137</v>
      </c>
      <c r="J1316" t="s">
        <v>138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R1316" t="s">
        <v>127</v>
      </c>
      <c r="S1316" t="str">
        <f t="shared" ref="S1316:T1321" si="522">"15:08:11.000"</f>
        <v>15:08:11.000</v>
      </c>
      <c r="T1316" t="str">
        <f t="shared" si="522"/>
        <v>15:08:11.000</v>
      </c>
      <c r="U1316" t="str">
        <f t="shared" si="509"/>
        <v>A68FCB</v>
      </c>
      <c r="V1316">
        <v>0</v>
      </c>
      <c r="W1316">
        <v>0</v>
      </c>
      <c r="X1316">
        <v>2</v>
      </c>
      <c r="Y1316">
        <v>0</v>
      </c>
      <c r="AA1316">
        <v>1</v>
      </c>
      <c r="AB1316">
        <v>8</v>
      </c>
      <c r="AC1316">
        <v>3</v>
      </c>
      <c r="AD1316">
        <v>0</v>
      </c>
      <c r="AE1316">
        <v>9</v>
      </c>
      <c r="AF1316" t="s">
        <v>138</v>
      </c>
      <c r="AG1316">
        <v>0</v>
      </c>
      <c r="AH1316">
        <v>3</v>
      </c>
      <c r="AI1316">
        <v>2</v>
      </c>
      <c r="AJ1316">
        <v>0</v>
      </c>
      <c r="AK1316" t="s">
        <v>506</v>
      </c>
      <c r="AL1316">
        <v>39.008074000000001</v>
      </c>
      <c r="AM1316" t="s">
        <v>507</v>
      </c>
      <c r="AN1316">
        <v>-121.05504500000001</v>
      </c>
      <c r="AO1316">
        <v>25</v>
      </c>
      <c r="AP1316">
        <v>3600</v>
      </c>
      <c r="AQ1316" t="s">
        <v>131</v>
      </c>
      <c r="AR1316">
        <v>-13</v>
      </c>
      <c r="AS1316">
        <v>88</v>
      </c>
      <c r="AT1316">
        <v>448</v>
      </c>
      <c r="BB1316" t="str">
        <f t="shared" si="510"/>
        <v>1200</v>
      </c>
      <c r="BC1316">
        <v>1</v>
      </c>
      <c r="BD1316" t="str">
        <f t="shared" si="511"/>
        <v xml:space="preserve">N52156  </v>
      </c>
      <c r="BE1316">
        <v>1</v>
      </c>
      <c r="BG1316">
        <v>0</v>
      </c>
      <c r="BH1316">
        <v>0</v>
      </c>
      <c r="BI1316">
        <v>0</v>
      </c>
      <c r="BJ1316">
        <v>3600</v>
      </c>
      <c r="BK1316">
        <v>0</v>
      </c>
      <c r="BL1316" t="s">
        <v>188</v>
      </c>
      <c r="BM1316">
        <v>1</v>
      </c>
      <c r="BN1316">
        <v>1</v>
      </c>
      <c r="BO1316">
        <v>0</v>
      </c>
      <c r="BP1316">
        <v>0</v>
      </c>
      <c r="BS1316">
        <v>0</v>
      </c>
      <c r="BT1316">
        <v>0</v>
      </c>
      <c r="BU1316">
        <v>0</v>
      </c>
      <c r="CE1316" t="str">
        <f t="shared" ref="CE1316:CE1321" si="523">"15:08:11.551"</f>
        <v>15:08:11.551</v>
      </c>
      <c r="CF1316">
        <v>551204138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3</v>
      </c>
      <c r="CY1316">
        <v>7</v>
      </c>
      <c r="CZ1316" t="s">
        <v>133</v>
      </c>
      <c r="DA1316">
        <v>275</v>
      </c>
      <c r="DB1316">
        <v>0</v>
      </c>
      <c r="DC1316" t="s">
        <v>134</v>
      </c>
      <c r="DD1316" t="s">
        <v>135</v>
      </c>
      <c r="DG1316">
        <v>3320158</v>
      </c>
      <c r="DI1316">
        <v>1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"05/01/2025 15:08:11.787"</f>
        <v>05/01/2025 15:08:11.787</v>
      </c>
      <c r="C1317" t="str">
        <f t="shared" si="508"/>
        <v>FFDFD3C0</v>
      </c>
      <c r="D1317" t="s">
        <v>140</v>
      </c>
      <c r="E1317" t="str">
        <f>"13"</f>
        <v>13</v>
      </c>
      <c r="F1317">
        <v>1019</v>
      </c>
      <c r="G1317" t="s">
        <v>141</v>
      </c>
      <c r="J1317" t="s">
        <v>142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R1317" t="s">
        <v>127</v>
      </c>
      <c r="S1317" t="str">
        <f t="shared" si="522"/>
        <v>15:08:11.000</v>
      </c>
      <c r="T1317" t="str">
        <f t="shared" si="522"/>
        <v>15:08:11.000</v>
      </c>
      <c r="U1317" t="str">
        <f t="shared" si="509"/>
        <v>A68FCB</v>
      </c>
      <c r="V1317">
        <v>0</v>
      </c>
      <c r="W1317">
        <v>0</v>
      </c>
      <c r="X1317">
        <v>2</v>
      </c>
      <c r="Y1317">
        <v>0</v>
      </c>
      <c r="AA1317">
        <v>1</v>
      </c>
      <c r="AB1317">
        <v>8</v>
      </c>
      <c r="AC1317">
        <v>3</v>
      </c>
      <c r="AD1317">
        <v>0</v>
      </c>
      <c r="AE1317">
        <v>9</v>
      </c>
      <c r="AF1317" t="s">
        <v>138</v>
      </c>
      <c r="AG1317">
        <v>0</v>
      </c>
      <c r="AH1317">
        <v>3</v>
      </c>
      <c r="AI1317">
        <v>2</v>
      </c>
      <c r="AJ1317">
        <v>0</v>
      </c>
      <c r="AK1317" t="s">
        <v>506</v>
      </c>
      <c r="AL1317">
        <v>39.008074000000001</v>
      </c>
      <c r="AM1317" t="s">
        <v>507</v>
      </c>
      <c r="AN1317">
        <v>-121.05504500000001</v>
      </c>
      <c r="AO1317">
        <v>25</v>
      </c>
      <c r="AP1317">
        <v>3600</v>
      </c>
      <c r="AQ1317" t="s">
        <v>131</v>
      </c>
      <c r="AR1317">
        <v>-13</v>
      </c>
      <c r="AS1317">
        <v>88</v>
      </c>
      <c r="AT1317">
        <v>448</v>
      </c>
      <c r="BB1317" t="str">
        <f t="shared" si="510"/>
        <v>1200</v>
      </c>
      <c r="BC1317">
        <v>1</v>
      </c>
      <c r="BD1317" t="str">
        <f t="shared" si="511"/>
        <v xml:space="preserve">N52156  </v>
      </c>
      <c r="BE1317">
        <v>1</v>
      </c>
      <c r="BG1317">
        <v>0</v>
      </c>
      <c r="BH1317">
        <v>0</v>
      </c>
      <c r="BI1317">
        <v>0</v>
      </c>
      <c r="BJ1317">
        <v>3600</v>
      </c>
      <c r="BK1317">
        <v>0</v>
      </c>
      <c r="BL1317" t="s">
        <v>188</v>
      </c>
      <c r="BM1317">
        <v>1</v>
      </c>
      <c r="BN1317">
        <v>1</v>
      </c>
      <c r="BO1317">
        <v>0</v>
      </c>
      <c r="BP1317">
        <v>0</v>
      </c>
      <c r="BS1317">
        <v>0</v>
      </c>
      <c r="BT1317">
        <v>0</v>
      </c>
      <c r="BU1317">
        <v>0</v>
      </c>
      <c r="CE1317" t="str">
        <f t="shared" si="523"/>
        <v>15:08:11.551</v>
      </c>
      <c r="CF1317">
        <v>551204138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3</v>
      </c>
      <c r="CY1317">
        <v>7</v>
      </c>
      <c r="CZ1317" t="s">
        <v>133</v>
      </c>
      <c r="DA1317">
        <v>275</v>
      </c>
      <c r="DB1317">
        <v>0</v>
      </c>
      <c r="DC1317" t="s">
        <v>134</v>
      </c>
      <c r="DD1317" t="s">
        <v>135</v>
      </c>
      <c r="DG1317">
        <v>3320158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"05/01/2025 15:08:11.789"</f>
        <v>05/01/2025 15:08:11.789</v>
      </c>
      <c r="C1318" t="str">
        <f t="shared" si="508"/>
        <v>FFDFD3C0</v>
      </c>
      <c r="D1318" t="s">
        <v>145</v>
      </c>
      <c r="E1318" t="str">
        <f>"05"</f>
        <v>05</v>
      </c>
      <c r="H1318">
        <v>47</v>
      </c>
      <c r="I1318" t="s">
        <v>146</v>
      </c>
      <c r="J1318" t="s">
        <v>138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R1318" t="s">
        <v>127</v>
      </c>
      <c r="S1318" t="str">
        <f t="shared" si="522"/>
        <v>15:08:11.000</v>
      </c>
      <c r="T1318" t="str">
        <f t="shared" si="522"/>
        <v>15:08:11.000</v>
      </c>
      <c r="U1318" t="str">
        <f t="shared" si="509"/>
        <v>A68FCB</v>
      </c>
      <c r="V1318">
        <v>0</v>
      </c>
      <c r="W1318">
        <v>0</v>
      </c>
      <c r="X1318">
        <v>2</v>
      </c>
      <c r="Y1318">
        <v>0</v>
      </c>
      <c r="AA1318">
        <v>1</v>
      </c>
      <c r="AB1318">
        <v>8</v>
      </c>
      <c r="AC1318">
        <v>3</v>
      </c>
      <c r="AD1318">
        <v>0</v>
      </c>
      <c r="AE1318">
        <v>9</v>
      </c>
      <c r="AF1318" t="s">
        <v>138</v>
      </c>
      <c r="AG1318">
        <v>0</v>
      </c>
      <c r="AH1318">
        <v>3</v>
      </c>
      <c r="AI1318">
        <v>2</v>
      </c>
      <c r="AJ1318">
        <v>0</v>
      </c>
      <c r="AK1318" t="s">
        <v>506</v>
      </c>
      <c r="AL1318">
        <v>39.008074000000001</v>
      </c>
      <c r="AM1318" t="s">
        <v>507</v>
      </c>
      <c r="AN1318">
        <v>-121.05504500000001</v>
      </c>
      <c r="AO1318">
        <v>25</v>
      </c>
      <c r="AP1318">
        <v>3600</v>
      </c>
      <c r="AQ1318" t="s">
        <v>131</v>
      </c>
      <c r="AR1318">
        <v>-13</v>
      </c>
      <c r="AS1318">
        <v>88</v>
      </c>
      <c r="AT1318">
        <v>448</v>
      </c>
      <c r="BB1318" t="str">
        <f t="shared" si="510"/>
        <v>1200</v>
      </c>
      <c r="BC1318">
        <v>1</v>
      </c>
      <c r="BD1318" t="str">
        <f t="shared" si="511"/>
        <v xml:space="preserve">N52156  </v>
      </c>
      <c r="BE1318">
        <v>1</v>
      </c>
      <c r="BG1318">
        <v>0</v>
      </c>
      <c r="BH1318">
        <v>0</v>
      </c>
      <c r="BI1318">
        <v>0</v>
      </c>
      <c r="BJ1318">
        <v>3600</v>
      </c>
      <c r="BK1318">
        <v>0</v>
      </c>
      <c r="BL1318" t="s">
        <v>188</v>
      </c>
      <c r="BM1318">
        <v>1</v>
      </c>
      <c r="BN1318">
        <v>1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 t="shared" si="523"/>
        <v>15:08:11.551</v>
      </c>
      <c r="CF1318">
        <v>551204138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3</v>
      </c>
      <c r="CY1318">
        <v>7</v>
      </c>
      <c r="CZ1318" t="s">
        <v>133</v>
      </c>
      <c r="DA1318">
        <v>275</v>
      </c>
      <c r="DB1318">
        <v>0</v>
      </c>
      <c r="DC1318" t="s">
        <v>134</v>
      </c>
      <c r="DD1318" t="s">
        <v>135</v>
      </c>
      <c r="DG1318">
        <v>3320158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"05/01/2025 15:08:11.792"</f>
        <v>05/01/2025 15:08:11.792</v>
      </c>
      <c r="C1319" t="str">
        <f t="shared" si="508"/>
        <v>FFDFD3C0</v>
      </c>
      <c r="D1319" t="s">
        <v>124</v>
      </c>
      <c r="E1319" t="str">
        <f>"06"</f>
        <v>06</v>
      </c>
      <c r="F1319">
        <v>2006</v>
      </c>
      <c r="G1319" t="s">
        <v>125</v>
      </c>
      <c r="J1319" t="s">
        <v>126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R1319" t="s">
        <v>127</v>
      </c>
      <c r="S1319" t="str">
        <f t="shared" si="522"/>
        <v>15:08:11.000</v>
      </c>
      <c r="T1319" t="str">
        <f t="shared" si="522"/>
        <v>15:08:11.000</v>
      </c>
      <c r="U1319" t="str">
        <f t="shared" si="509"/>
        <v>A68FCB</v>
      </c>
      <c r="V1319">
        <v>0</v>
      </c>
      <c r="W1319">
        <v>0</v>
      </c>
      <c r="X1319">
        <v>2</v>
      </c>
      <c r="Y1319">
        <v>0</v>
      </c>
      <c r="AA1319">
        <v>1</v>
      </c>
      <c r="AB1319">
        <v>8</v>
      </c>
      <c r="AC1319">
        <v>3</v>
      </c>
      <c r="AD1319">
        <v>0</v>
      </c>
      <c r="AE1319">
        <v>9</v>
      </c>
      <c r="AF1319" t="s">
        <v>138</v>
      </c>
      <c r="AG1319">
        <v>0</v>
      </c>
      <c r="AH1319">
        <v>3</v>
      </c>
      <c r="AI1319">
        <v>2</v>
      </c>
      <c r="AJ1319">
        <v>0</v>
      </c>
      <c r="AK1319" t="s">
        <v>506</v>
      </c>
      <c r="AL1319">
        <v>39.008074000000001</v>
      </c>
      <c r="AM1319" t="s">
        <v>507</v>
      </c>
      <c r="AN1319">
        <v>-121.05504500000001</v>
      </c>
      <c r="AO1319">
        <v>25</v>
      </c>
      <c r="AP1319">
        <v>3600</v>
      </c>
      <c r="AQ1319" t="s">
        <v>131</v>
      </c>
      <c r="AR1319">
        <v>-13</v>
      </c>
      <c r="AS1319">
        <v>88</v>
      </c>
      <c r="AT1319">
        <v>448</v>
      </c>
      <c r="BB1319" t="str">
        <f t="shared" si="510"/>
        <v>1200</v>
      </c>
      <c r="BC1319">
        <v>1</v>
      </c>
      <c r="BD1319" t="str">
        <f t="shared" si="511"/>
        <v xml:space="preserve">N52156  </v>
      </c>
      <c r="BE1319">
        <v>1</v>
      </c>
      <c r="BG1319">
        <v>0</v>
      </c>
      <c r="BH1319">
        <v>0</v>
      </c>
      <c r="BI1319">
        <v>0</v>
      </c>
      <c r="BJ1319">
        <v>3600</v>
      </c>
      <c r="BK1319">
        <v>0</v>
      </c>
      <c r="BL1319" t="s">
        <v>188</v>
      </c>
      <c r="BM1319">
        <v>1</v>
      </c>
      <c r="BN1319">
        <v>1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 t="shared" si="523"/>
        <v>15:08:11.551</v>
      </c>
      <c r="CF1319">
        <v>551204138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3</v>
      </c>
      <c r="CY1319">
        <v>7</v>
      </c>
      <c r="CZ1319" t="s">
        <v>133</v>
      </c>
      <c r="DA1319">
        <v>275</v>
      </c>
      <c r="DB1319">
        <v>0</v>
      </c>
      <c r="DC1319" t="s">
        <v>134</v>
      </c>
      <c r="DD1319" t="s">
        <v>135</v>
      </c>
      <c r="DG1319">
        <v>3320158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"05/01/2025 15:08:11.795"</f>
        <v>05/01/2025 15:08:11.795</v>
      </c>
      <c r="C1320" t="str">
        <f t="shared" si="508"/>
        <v>FFDFD3C0</v>
      </c>
      <c r="D1320" t="s">
        <v>145</v>
      </c>
      <c r="E1320" t="str">
        <f>"09"</f>
        <v>09</v>
      </c>
      <c r="H1320">
        <v>51</v>
      </c>
      <c r="I1320" t="s">
        <v>147</v>
      </c>
      <c r="J1320" t="s">
        <v>138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R1320" t="s">
        <v>127</v>
      </c>
      <c r="S1320" t="str">
        <f t="shared" si="522"/>
        <v>15:08:11.000</v>
      </c>
      <c r="T1320" t="str">
        <f t="shared" si="522"/>
        <v>15:08:11.000</v>
      </c>
      <c r="U1320" t="str">
        <f t="shared" si="509"/>
        <v>A68FCB</v>
      </c>
      <c r="V1320">
        <v>0</v>
      </c>
      <c r="W1320">
        <v>0</v>
      </c>
      <c r="X1320">
        <v>2</v>
      </c>
      <c r="Y1320">
        <v>0</v>
      </c>
      <c r="AA1320">
        <v>1</v>
      </c>
      <c r="AB1320">
        <v>8</v>
      </c>
      <c r="AC1320">
        <v>3</v>
      </c>
      <c r="AD1320">
        <v>0</v>
      </c>
      <c r="AE1320">
        <v>9</v>
      </c>
      <c r="AF1320" t="s">
        <v>138</v>
      </c>
      <c r="AG1320">
        <v>0</v>
      </c>
      <c r="AH1320">
        <v>3</v>
      </c>
      <c r="AI1320">
        <v>2</v>
      </c>
      <c r="AJ1320">
        <v>0</v>
      </c>
      <c r="AK1320" t="s">
        <v>506</v>
      </c>
      <c r="AL1320">
        <v>39.008074000000001</v>
      </c>
      <c r="AM1320" t="s">
        <v>507</v>
      </c>
      <c r="AN1320">
        <v>-121.05504500000001</v>
      </c>
      <c r="AO1320">
        <v>25</v>
      </c>
      <c r="AP1320">
        <v>3600</v>
      </c>
      <c r="AQ1320" t="s">
        <v>131</v>
      </c>
      <c r="AR1320">
        <v>-13</v>
      </c>
      <c r="AS1320">
        <v>88</v>
      </c>
      <c r="AT1320">
        <v>448</v>
      </c>
      <c r="BB1320" t="str">
        <f t="shared" si="510"/>
        <v>1200</v>
      </c>
      <c r="BC1320">
        <v>1</v>
      </c>
      <c r="BD1320" t="str">
        <f t="shared" si="511"/>
        <v xml:space="preserve">N52156  </v>
      </c>
      <c r="BE1320">
        <v>1</v>
      </c>
      <c r="BG1320">
        <v>0</v>
      </c>
      <c r="BH1320">
        <v>0</v>
      </c>
      <c r="BI1320">
        <v>0</v>
      </c>
      <c r="BJ1320">
        <v>3600</v>
      </c>
      <c r="BK1320">
        <v>0</v>
      </c>
      <c r="BL1320" t="s">
        <v>188</v>
      </c>
      <c r="BM1320">
        <v>1</v>
      </c>
      <c r="BN1320">
        <v>1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 t="shared" si="523"/>
        <v>15:08:11.551</v>
      </c>
      <c r="CF1320">
        <v>551204138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3</v>
      </c>
      <c r="CY1320">
        <v>7</v>
      </c>
      <c r="CZ1320" t="s">
        <v>133</v>
      </c>
      <c r="DA1320">
        <v>275</v>
      </c>
      <c r="DB1320">
        <v>0</v>
      </c>
      <c r="DC1320" t="s">
        <v>134</v>
      </c>
      <c r="DD1320" t="s">
        <v>135</v>
      </c>
      <c r="DG1320">
        <v>3320158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"05/01/2025 15:08:11.795"</f>
        <v>05/01/2025 15:08:11.795</v>
      </c>
      <c r="C1321" t="str">
        <f t="shared" si="508"/>
        <v>FFDFD3C0</v>
      </c>
      <c r="D1321" t="s">
        <v>143</v>
      </c>
      <c r="E1321" t="str">
        <f>"05"</f>
        <v>05</v>
      </c>
      <c r="H1321">
        <v>172</v>
      </c>
      <c r="I1321" t="s">
        <v>141</v>
      </c>
      <c r="J1321" t="s">
        <v>144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R1321" t="s">
        <v>127</v>
      </c>
      <c r="S1321" t="str">
        <f t="shared" si="522"/>
        <v>15:08:11.000</v>
      </c>
      <c r="T1321" t="str">
        <f t="shared" si="522"/>
        <v>15:08:11.000</v>
      </c>
      <c r="U1321" t="str">
        <f t="shared" si="509"/>
        <v>A68FCB</v>
      </c>
      <c r="V1321">
        <v>0</v>
      </c>
      <c r="W1321">
        <v>0</v>
      </c>
      <c r="X1321">
        <v>2</v>
      </c>
      <c r="Y1321">
        <v>0</v>
      </c>
      <c r="AA1321">
        <v>1</v>
      </c>
      <c r="AB1321">
        <v>8</v>
      </c>
      <c r="AC1321">
        <v>3</v>
      </c>
      <c r="AD1321">
        <v>0</v>
      </c>
      <c r="AE1321">
        <v>9</v>
      </c>
      <c r="AF1321" t="s">
        <v>138</v>
      </c>
      <c r="AG1321">
        <v>0</v>
      </c>
      <c r="AH1321">
        <v>3</v>
      </c>
      <c r="AI1321">
        <v>2</v>
      </c>
      <c r="AJ1321">
        <v>0</v>
      </c>
      <c r="AK1321" t="s">
        <v>506</v>
      </c>
      <c r="AL1321">
        <v>39.008074000000001</v>
      </c>
      <c r="AM1321" t="s">
        <v>507</v>
      </c>
      <c r="AN1321">
        <v>-121.05504500000001</v>
      </c>
      <c r="AO1321">
        <v>25</v>
      </c>
      <c r="AP1321">
        <v>3600</v>
      </c>
      <c r="AQ1321" t="s">
        <v>131</v>
      </c>
      <c r="AR1321">
        <v>-13</v>
      </c>
      <c r="AS1321">
        <v>88</v>
      </c>
      <c r="AT1321">
        <v>448</v>
      </c>
      <c r="BB1321" t="str">
        <f t="shared" si="510"/>
        <v>1200</v>
      </c>
      <c r="BC1321">
        <v>1</v>
      </c>
      <c r="BD1321" t="str">
        <f t="shared" si="511"/>
        <v xml:space="preserve">N52156  </v>
      </c>
      <c r="BE1321">
        <v>1</v>
      </c>
      <c r="BG1321">
        <v>0</v>
      </c>
      <c r="BH1321">
        <v>0</v>
      </c>
      <c r="BI1321">
        <v>0</v>
      </c>
      <c r="BJ1321">
        <v>3600</v>
      </c>
      <c r="BK1321">
        <v>0</v>
      </c>
      <c r="BL1321" t="s">
        <v>188</v>
      </c>
      <c r="BM1321">
        <v>1</v>
      </c>
      <c r="BN1321">
        <v>1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 t="shared" si="523"/>
        <v>15:08:11.551</v>
      </c>
      <c r="CF1321">
        <v>551204138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3</v>
      </c>
      <c r="CY1321">
        <v>7</v>
      </c>
      <c r="CZ1321" t="s">
        <v>133</v>
      </c>
      <c r="DA1321">
        <v>275</v>
      </c>
      <c r="DB1321">
        <v>0</v>
      </c>
      <c r="DC1321" t="s">
        <v>134</v>
      </c>
      <c r="DD1321" t="s">
        <v>135</v>
      </c>
      <c r="DG1321">
        <v>3320158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"05/01/2025 15:08:12.838"</f>
        <v>05/01/2025 15:08:12.838</v>
      </c>
      <c r="C1322" t="str">
        <f t="shared" si="508"/>
        <v>FFDFD3C0</v>
      </c>
      <c r="D1322" t="s">
        <v>140</v>
      </c>
      <c r="E1322" t="str">
        <f>"13"</f>
        <v>13</v>
      </c>
      <c r="F1322">
        <v>1019</v>
      </c>
      <c r="G1322" t="s">
        <v>141</v>
      </c>
      <c r="J1322" t="s">
        <v>142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R1322" t="s">
        <v>127</v>
      </c>
      <c r="S1322" t="str">
        <f t="shared" ref="S1322:T1327" si="524">"15:08:12.000"</f>
        <v>15:08:12.000</v>
      </c>
      <c r="T1322" t="str">
        <f t="shared" si="524"/>
        <v>15:08:12.000</v>
      </c>
      <c r="U1322" t="str">
        <f t="shared" si="509"/>
        <v>A68FCB</v>
      </c>
      <c r="V1322">
        <v>0</v>
      </c>
      <c r="W1322">
        <v>0</v>
      </c>
      <c r="X1322">
        <v>2</v>
      </c>
      <c r="Y1322">
        <v>0</v>
      </c>
      <c r="AA1322">
        <v>1</v>
      </c>
      <c r="AB1322">
        <v>8</v>
      </c>
      <c r="AC1322">
        <v>3</v>
      </c>
      <c r="AD1322">
        <v>0</v>
      </c>
      <c r="AE1322">
        <v>9</v>
      </c>
      <c r="AF1322" t="s">
        <v>138</v>
      </c>
      <c r="AG1322">
        <v>0</v>
      </c>
      <c r="AH1322">
        <v>3</v>
      </c>
      <c r="AI1322">
        <v>2</v>
      </c>
      <c r="AJ1322">
        <v>0</v>
      </c>
      <c r="AK1322" t="s">
        <v>508</v>
      </c>
      <c r="AL1322">
        <v>39.008482000000001</v>
      </c>
      <c r="AM1322" t="s">
        <v>509</v>
      </c>
      <c r="AN1322">
        <v>-121.055131</v>
      </c>
      <c r="AO1322">
        <v>25</v>
      </c>
      <c r="AP1322">
        <v>3600</v>
      </c>
      <c r="AQ1322" t="s">
        <v>131</v>
      </c>
      <c r="AR1322">
        <v>-13</v>
      </c>
      <c r="AS1322">
        <v>88</v>
      </c>
      <c r="AT1322">
        <v>448</v>
      </c>
      <c r="BB1322" t="str">
        <f t="shared" si="510"/>
        <v>1200</v>
      </c>
      <c r="BC1322">
        <v>1</v>
      </c>
      <c r="BD1322" t="str">
        <f t="shared" si="511"/>
        <v xml:space="preserve">N52156  </v>
      </c>
      <c r="BE1322">
        <v>1</v>
      </c>
      <c r="BG1322">
        <v>0</v>
      </c>
      <c r="BH1322">
        <v>0</v>
      </c>
      <c r="BI1322">
        <v>0</v>
      </c>
      <c r="BJ1322">
        <v>3625</v>
      </c>
      <c r="BK1322">
        <v>25</v>
      </c>
      <c r="BL1322" t="s">
        <v>188</v>
      </c>
      <c r="BM1322">
        <v>1</v>
      </c>
      <c r="BN1322">
        <v>1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 t="shared" ref="CE1322:CE1327" si="525">"15:08:12.601"</f>
        <v>15:08:12.601</v>
      </c>
      <c r="CF1322">
        <v>600954328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4</v>
      </c>
      <c r="CY1322">
        <v>7</v>
      </c>
      <c r="CZ1322" t="s">
        <v>133</v>
      </c>
      <c r="DA1322">
        <v>275</v>
      </c>
      <c r="DB1322">
        <v>0</v>
      </c>
      <c r="DC1322" t="s">
        <v>134</v>
      </c>
      <c r="DD1322" t="s">
        <v>135</v>
      </c>
      <c r="DG1322">
        <v>3320171</v>
      </c>
      <c r="DI1322">
        <v>1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"05/01/2025 15:08:12.842"</f>
        <v>05/01/2025 15:08:12.842</v>
      </c>
      <c r="C1323" t="str">
        <f t="shared" si="508"/>
        <v>FFDFD3C0</v>
      </c>
      <c r="D1323" t="s">
        <v>145</v>
      </c>
      <c r="E1323" t="str">
        <f>"05"</f>
        <v>05</v>
      </c>
      <c r="H1323">
        <v>47</v>
      </c>
      <c r="I1323" t="s">
        <v>146</v>
      </c>
      <c r="J1323" t="s">
        <v>138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R1323" t="s">
        <v>127</v>
      </c>
      <c r="S1323" t="str">
        <f t="shared" si="524"/>
        <v>15:08:12.000</v>
      </c>
      <c r="T1323" t="str">
        <f t="shared" si="524"/>
        <v>15:08:12.000</v>
      </c>
      <c r="U1323" t="str">
        <f t="shared" si="509"/>
        <v>A68FCB</v>
      </c>
      <c r="V1323">
        <v>0</v>
      </c>
      <c r="W1323">
        <v>0</v>
      </c>
      <c r="X1323">
        <v>2</v>
      </c>
      <c r="Y1323">
        <v>0</v>
      </c>
      <c r="AA1323">
        <v>1</v>
      </c>
      <c r="AB1323">
        <v>8</v>
      </c>
      <c r="AC1323">
        <v>3</v>
      </c>
      <c r="AD1323">
        <v>0</v>
      </c>
      <c r="AE1323">
        <v>9</v>
      </c>
      <c r="AF1323" t="s">
        <v>138</v>
      </c>
      <c r="AG1323">
        <v>0</v>
      </c>
      <c r="AH1323">
        <v>3</v>
      </c>
      <c r="AI1323">
        <v>2</v>
      </c>
      <c r="AJ1323">
        <v>0</v>
      </c>
      <c r="AK1323" t="s">
        <v>508</v>
      </c>
      <c r="AL1323">
        <v>39.008482000000001</v>
      </c>
      <c r="AM1323" t="s">
        <v>509</v>
      </c>
      <c r="AN1323">
        <v>-121.055131</v>
      </c>
      <c r="AO1323">
        <v>25</v>
      </c>
      <c r="AP1323">
        <v>3600</v>
      </c>
      <c r="AQ1323" t="s">
        <v>131</v>
      </c>
      <c r="AR1323">
        <v>-13</v>
      </c>
      <c r="AS1323">
        <v>88</v>
      </c>
      <c r="AT1323">
        <v>448</v>
      </c>
      <c r="BB1323" t="str">
        <f t="shared" si="510"/>
        <v>1200</v>
      </c>
      <c r="BC1323">
        <v>1</v>
      </c>
      <c r="BD1323" t="str">
        <f t="shared" si="511"/>
        <v xml:space="preserve">N52156  </v>
      </c>
      <c r="BE1323">
        <v>1</v>
      </c>
      <c r="BG1323">
        <v>0</v>
      </c>
      <c r="BH1323">
        <v>0</v>
      </c>
      <c r="BI1323">
        <v>0</v>
      </c>
      <c r="BJ1323">
        <v>3625</v>
      </c>
      <c r="BK1323">
        <v>25</v>
      </c>
      <c r="BL1323" t="s">
        <v>188</v>
      </c>
      <c r="BM1323">
        <v>1</v>
      </c>
      <c r="BN1323">
        <v>1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 t="shared" si="525"/>
        <v>15:08:12.601</v>
      </c>
      <c r="CF1323">
        <v>600954328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4</v>
      </c>
      <c r="CY1323">
        <v>7</v>
      </c>
      <c r="CZ1323" t="s">
        <v>133</v>
      </c>
      <c r="DA1323">
        <v>275</v>
      </c>
      <c r="DB1323">
        <v>0</v>
      </c>
      <c r="DC1323" t="s">
        <v>134</v>
      </c>
      <c r="DD1323" t="s">
        <v>135</v>
      </c>
      <c r="DG1323">
        <v>3320171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"05/01/2025 15:08:12.843"</f>
        <v>05/01/2025 15:08:12.843</v>
      </c>
      <c r="C1324" t="str">
        <f t="shared" si="508"/>
        <v>FFDFD3C0</v>
      </c>
      <c r="D1324" t="s">
        <v>124</v>
      </c>
      <c r="E1324" t="str">
        <f>"06"</f>
        <v>06</v>
      </c>
      <c r="F1324">
        <v>2006</v>
      </c>
      <c r="G1324" t="s">
        <v>125</v>
      </c>
      <c r="J1324" t="s">
        <v>126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R1324" t="s">
        <v>127</v>
      </c>
      <c r="S1324" t="str">
        <f t="shared" si="524"/>
        <v>15:08:12.000</v>
      </c>
      <c r="T1324" t="str">
        <f t="shared" si="524"/>
        <v>15:08:12.000</v>
      </c>
      <c r="U1324" t="str">
        <f t="shared" si="509"/>
        <v>A68FCB</v>
      </c>
      <c r="V1324">
        <v>0</v>
      </c>
      <c r="W1324">
        <v>0</v>
      </c>
      <c r="X1324">
        <v>2</v>
      </c>
      <c r="Y1324">
        <v>0</v>
      </c>
      <c r="AA1324">
        <v>1</v>
      </c>
      <c r="AB1324">
        <v>8</v>
      </c>
      <c r="AC1324">
        <v>3</v>
      </c>
      <c r="AD1324">
        <v>0</v>
      </c>
      <c r="AE1324">
        <v>9</v>
      </c>
      <c r="AF1324" t="s">
        <v>138</v>
      </c>
      <c r="AG1324">
        <v>0</v>
      </c>
      <c r="AH1324">
        <v>3</v>
      </c>
      <c r="AI1324">
        <v>2</v>
      </c>
      <c r="AJ1324">
        <v>0</v>
      </c>
      <c r="AK1324" t="s">
        <v>508</v>
      </c>
      <c r="AL1324">
        <v>39.008482000000001</v>
      </c>
      <c r="AM1324" t="s">
        <v>509</v>
      </c>
      <c r="AN1324">
        <v>-121.055131</v>
      </c>
      <c r="AO1324">
        <v>25</v>
      </c>
      <c r="AP1324">
        <v>3600</v>
      </c>
      <c r="AQ1324" t="s">
        <v>131</v>
      </c>
      <c r="AR1324">
        <v>-13</v>
      </c>
      <c r="AS1324">
        <v>88</v>
      </c>
      <c r="AT1324">
        <v>448</v>
      </c>
      <c r="BB1324" t="str">
        <f t="shared" si="510"/>
        <v>1200</v>
      </c>
      <c r="BC1324">
        <v>1</v>
      </c>
      <c r="BD1324" t="str">
        <f t="shared" si="511"/>
        <v xml:space="preserve">N52156  </v>
      </c>
      <c r="BE1324">
        <v>1</v>
      </c>
      <c r="BG1324">
        <v>0</v>
      </c>
      <c r="BH1324">
        <v>0</v>
      </c>
      <c r="BI1324">
        <v>0</v>
      </c>
      <c r="BJ1324">
        <v>3625</v>
      </c>
      <c r="BK1324">
        <v>25</v>
      </c>
      <c r="BL1324" t="s">
        <v>188</v>
      </c>
      <c r="BM1324">
        <v>1</v>
      </c>
      <c r="BN1324">
        <v>1</v>
      </c>
      <c r="BO1324">
        <v>0</v>
      </c>
      <c r="BP1324">
        <v>0</v>
      </c>
      <c r="BS1324">
        <v>0</v>
      </c>
      <c r="BT1324">
        <v>0</v>
      </c>
      <c r="BU1324">
        <v>0</v>
      </c>
      <c r="CE1324" t="str">
        <f t="shared" si="525"/>
        <v>15:08:12.601</v>
      </c>
      <c r="CF1324">
        <v>600954328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4</v>
      </c>
      <c r="CY1324">
        <v>7</v>
      </c>
      <c r="CZ1324" t="s">
        <v>133</v>
      </c>
      <c r="DA1324">
        <v>275</v>
      </c>
      <c r="DB1324">
        <v>0</v>
      </c>
      <c r="DC1324" t="s">
        <v>134</v>
      </c>
      <c r="DD1324" t="s">
        <v>135</v>
      </c>
      <c r="DG1324">
        <v>3320171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"05/01/2025 15:08:12.846"</f>
        <v>05/01/2025 15:08:12.846</v>
      </c>
      <c r="C1325" t="str">
        <f t="shared" si="508"/>
        <v>FFDFD3C0</v>
      </c>
      <c r="D1325" t="s">
        <v>145</v>
      </c>
      <c r="E1325" t="str">
        <f>"09"</f>
        <v>09</v>
      </c>
      <c r="H1325">
        <v>51</v>
      </c>
      <c r="I1325" t="s">
        <v>147</v>
      </c>
      <c r="J1325" t="s">
        <v>138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R1325" t="s">
        <v>127</v>
      </c>
      <c r="S1325" t="str">
        <f t="shared" si="524"/>
        <v>15:08:12.000</v>
      </c>
      <c r="T1325" t="str">
        <f t="shared" si="524"/>
        <v>15:08:12.000</v>
      </c>
      <c r="U1325" t="str">
        <f t="shared" si="509"/>
        <v>A68FCB</v>
      </c>
      <c r="V1325">
        <v>0</v>
      </c>
      <c r="W1325">
        <v>0</v>
      </c>
      <c r="X1325">
        <v>2</v>
      </c>
      <c r="Y1325">
        <v>0</v>
      </c>
      <c r="AA1325">
        <v>1</v>
      </c>
      <c r="AB1325">
        <v>8</v>
      </c>
      <c r="AC1325">
        <v>3</v>
      </c>
      <c r="AD1325">
        <v>0</v>
      </c>
      <c r="AE1325">
        <v>9</v>
      </c>
      <c r="AF1325" t="s">
        <v>138</v>
      </c>
      <c r="AG1325">
        <v>0</v>
      </c>
      <c r="AH1325">
        <v>3</v>
      </c>
      <c r="AI1325">
        <v>2</v>
      </c>
      <c r="AJ1325">
        <v>0</v>
      </c>
      <c r="AK1325" t="s">
        <v>508</v>
      </c>
      <c r="AL1325">
        <v>39.008482000000001</v>
      </c>
      <c r="AM1325" t="s">
        <v>509</v>
      </c>
      <c r="AN1325">
        <v>-121.055131</v>
      </c>
      <c r="AO1325">
        <v>25</v>
      </c>
      <c r="AP1325">
        <v>3600</v>
      </c>
      <c r="AQ1325" t="s">
        <v>131</v>
      </c>
      <c r="AR1325">
        <v>-13</v>
      </c>
      <c r="AS1325">
        <v>88</v>
      </c>
      <c r="AT1325">
        <v>448</v>
      </c>
      <c r="BB1325" t="str">
        <f t="shared" si="510"/>
        <v>1200</v>
      </c>
      <c r="BC1325">
        <v>1</v>
      </c>
      <c r="BD1325" t="str">
        <f t="shared" si="511"/>
        <v xml:space="preserve">N52156  </v>
      </c>
      <c r="BE1325">
        <v>1</v>
      </c>
      <c r="BG1325">
        <v>0</v>
      </c>
      <c r="BH1325">
        <v>0</v>
      </c>
      <c r="BI1325">
        <v>0</v>
      </c>
      <c r="BJ1325">
        <v>3625</v>
      </c>
      <c r="BK1325">
        <v>25</v>
      </c>
      <c r="BL1325" t="s">
        <v>188</v>
      </c>
      <c r="BM1325">
        <v>1</v>
      </c>
      <c r="BN1325">
        <v>1</v>
      </c>
      <c r="BO1325">
        <v>0</v>
      </c>
      <c r="BP1325">
        <v>0</v>
      </c>
      <c r="BS1325">
        <v>0</v>
      </c>
      <c r="BT1325">
        <v>0</v>
      </c>
      <c r="BU1325">
        <v>0</v>
      </c>
      <c r="CE1325" t="str">
        <f t="shared" si="525"/>
        <v>15:08:12.601</v>
      </c>
      <c r="CF1325">
        <v>600954328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4</v>
      </c>
      <c r="CY1325">
        <v>7</v>
      </c>
      <c r="CZ1325" t="s">
        <v>133</v>
      </c>
      <c r="DA1325">
        <v>275</v>
      </c>
      <c r="DB1325">
        <v>0</v>
      </c>
      <c r="DC1325" t="s">
        <v>134</v>
      </c>
      <c r="DD1325" t="s">
        <v>135</v>
      </c>
      <c r="DG1325">
        <v>3320171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"05/01/2025 15:08:12.847"</f>
        <v>05/01/2025 15:08:12.847</v>
      </c>
      <c r="C1326" t="str">
        <f t="shared" si="508"/>
        <v>FFDFD3C0</v>
      </c>
      <c r="D1326" t="s">
        <v>143</v>
      </c>
      <c r="E1326" t="str">
        <f>"05"</f>
        <v>05</v>
      </c>
      <c r="H1326">
        <v>172</v>
      </c>
      <c r="I1326" t="s">
        <v>141</v>
      </c>
      <c r="J1326" t="s">
        <v>144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R1326" t="s">
        <v>127</v>
      </c>
      <c r="S1326" t="str">
        <f t="shared" si="524"/>
        <v>15:08:12.000</v>
      </c>
      <c r="T1326" t="str">
        <f t="shared" si="524"/>
        <v>15:08:12.000</v>
      </c>
      <c r="U1326" t="str">
        <f t="shared" si="509"/>
        <v>A68FCB</v>
      </c>
      <c r="V1326">
        <v>0</v>
      </c>
      <c r="W1326">
        <v>0</v>
      </c>
      <c r="X1326">
        <v>2</v>
      </c>
      <c r="Y1326">
        <v>0</v>
      </c>
      <c r="AA1326">
        <v>1</v>
      </c>
      <c r="AB1326">
        <v>8</v>
      </c>
      <c r="AC1326">
        <v>3</v>
      </c>
      <c r="AD1326">
        <v>0</v>
      </c>
      <c r="AE1326">
        <v>9</v>
      </c>
      <c r="AF1326" t="s">
        <v>138</v>
      </c>
      <c r="AG1326">
        <v>0</v>
      </c>
      <c r="AH1326">
        <v>3</v>
      </c>
      <c r="AI1326">
        <v>2</v>
      </c>
      <c r="AJ1326">
        <v>0</v>
      </c>
      <c r="AK1326" t="s">
        <v>508</v>
      </c>
      <c r="AL1326">
        <v>39.008482000000001</v>
      </c>
      <c r="AM1326" t="s">
        <v>509</v>
      </c>
      <c r="AN1326">
        <v>-121.055131</v>
      </c>
      <c r="AO1326">
        <v>25</v>
      </c>
      <c r="AP1326">
        <v>3600</v>
      </c>
      <c r="AQ1326" t="s">
        <v>131</v>
      </c>
      <c r="AR1326">
        <v>-13</v>
      </c>
      <c r="AS1326">
        <v>88</v>
      </c>
      <c r="AT1326">
        <v>448</v>
      </c>
      <c r="BB1326" t="str">
        <f t="shared" si="510"/>
        <v>1200</v>
      </c>
      <c r="BC1326">
        <v>1</v>
      </c>
      <c r="BD1326" t="str">
        <f t="shared" si="511"/>
        <v xml:space="preserve">N52156  </v>
      </c>
      <c r="BE1326">
        <v>1</v>
      </c>
      <c r="BG1326">
        <v>0</v>
      </c>
      <c r="BH1326">
        <v>0</v>
      </c>
      <c r="BI1326">
        <v>0</v>
      </c>
      <c r="BJ1326">
        <v>3625</v>
      </c>
      <c r="BK1326">
        <v>25</v>
      </c>
      <c r="BL1326" t="s">
        <v>188</v>
      </c>
      <c r="BM1326">
        <v>1</v>
      </c>
      <c r="BN1326">
        <v>1</v>
      </c>
      <c r="BO1326">
        <v>0</v>
      </c>
      <c r="BP1326">
        <v>0</v>
      </c>
      <c r="BS1326">
        <v>0</v>
      </c>
      <c r="BT1326">
        <v>0</v>
      </c>
      <c r="BU1326">
        <v>0</v>
      </c>
      <c r="CE1326" t="str">
        <f t="shared" si="525"/>
        <v>15:08:12.601</v>
      </c>
      <c r="CF1326">
        <v>600954328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4</v>
      </c>
      <c r="CY1326">
        <v>7</v>
      </c>
      <c r="CZ1326" t="s">
        <v>133</v>
      </c>
      <c r="DA1326">
        <v>275</v>
      </c>
      <c r="DB1326">
        <v>0</v>
      </c>
      <c r="DC1326" t="s">
        <v>134</v>
      </c>
      <c r="DD1326" t="s">
        <v>135</v>
      </c>
      <c r="DG1326">
        <v>3320171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"05/01/2025 15:08:12.854"</f>
        <v>05/01/2025 15:08:12.854</v>
      </c>
      <c r="C1327" t="str">
        <f t="shared" si="508"/>
        <v>FFDFD3C0</v>
      </c>
      <c r="D1327" t="s">
        <v>136</v>
      </c>
      <c r="E1327" t="str">
        <f>"20"</f>
        <v>20</v>
      </c>
      <c r="H1327">
        <v>400</v>
      </c>
      <c r="I1327" t="s">
        <v>137</v>
      </c>
      <c r="J1327" t="s">
        <v>138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R1327" t="s">
        <v>127</v>
      </c>
      <c r="S1327" t="str">
        <f t="shared" si="524"/>
        <v>15:08:12.000</v>
      </c>
      <c r="T1327" t="str">
        <f t="shared" si="524"/>
        <v>15:08:12.000</v>
      </c>
      <c r="U1327" t="str">
        <f t="shared" si="509"/>
        <v>A68FCB</v>
      </c>
      <c r="V1327">
        <v>0</v>
      </c>
      <c r="W1327">
        <v>0</v>
      </c>
      <c r="X1327">
        <v>2</v>
      </c>
      <c r="Y1327">
        <v>0</v>
      </c>
      <c r="AA1327">
        <v>1</v>
      </c>
      <c r="AB1327">
        <v>8</v>
      </c>
      <c r="AC1327">
        <v>3</v>
      </c>
      <c r="AD1327">
        <v>0</v>
      </c>
      <c r="AE1327">
        <v>9</v>
      </c>
      <c r="AF1327" t="s">
        <v>138</v>
      </c>
      <c r="AG1327">
        <v>0</v>
      </c>
      <c r="AH1327">
        <v>3</v>
      </c>
      <c r="AI1327">
        <v>2</v>
      </c>
      <c r="AJ1327">
        <v>0</v>
      </c>
      <c r="AK1327" t="s">
        <v>508</v>
      </c>
      <c r="AL1327">
        <v>39.008482000000001</v>
      </c>
      <c r="AM1327" t="s">
        <v>509</v>
      </c>
      <c r="AN1327">
        <v>-121.055131</v>
      </c>
      <c r="AO1327">
        <v>25</v>
      </c>
      <c r="AP1327">
        <v>3600</v>
      </c>
      <c r="AQ1327" t="s">
        <v>131</v>
      </c>
      <c r="AR1327">
        <v>-13</v>
      </c>
      <c r="AS1327">
        <v>88</v>
      </c>
      <c r="AT1327">
        <v>448</v>
      </c>
      <c r="BB1327" t="str">
        <f t="shared" si="510"/>
        <v>1200</v>
      </c>
      <c r="BC1327">
        <v>1</v>
      </c>
      <c r="BD1327" t="str">
        <f t="shared" si="511"/>
        <v xml:space="preserve">N52156  </v>
      </c>
      <c r="BE1327">
        <v>1</v>
      </c>
      <c r="BG1327">
        <v>0</v>
      </c>
      <c r="BH1327">
        <v>0</v>
      </c>
      <c r="BI1327">
        <v>0</v>
      </c>
      <c r="BJ1327">
        <v>3625</v>
      </c>
      <c r="BK1327">
        <v>25</v>
      </c>
      <c r="BL1327" t="s">
        <v>188</v>
      </c>
      <c r="BM1327">
        <v>1</v>
      </c>
      <c r="BN1327">
        <v>1</v>
      </c>
      <c r="BO1327">
        <v>0</v>
      </c>
      <c r="BP1327">
        <v>0</v>
      </c>
      <c r="BS1327">
        <v>0</v>
      </c>
      <c r="BT1327">
        <v>0</v>
      </c>
      <c r="BU1327">
        <v>0</v>
      </c>
      <c r="CE1327" t="str">
        <f t="shared" si="525"/>
        <v>15:08:12.601</v>
      </c>
      <c r="CF1327">
        <v>600954328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4</v>
      </c>
      <c r="CY1327">
        <v>7</v>
      </c>
      <c r="CZ1327" t="s">
        <v>133</v>
      </c>
      <c r="DA1327">
        <v>275</v>
      </c>
      <c r="DB1327">
        <v>0</v>
      </c>
      <c r="DC1327" t="s">
        <v>134</v>
      </c>
      <c r="DD1327" t="s">
        <v>135</v>
      </c>
      <c r="DG1327">
        <v>3320171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"05/01/2025 15:08:13.539"</f>
        <v>05/01/2025 15:08:13.539</v>
      </c>
      <c r="C1328" t="str">
        <f t="shared" si="508"/>
        <v>FFDFD3C0</v>
      </c>
      <c r="D1328" t="s">
        <v>140</v>
      </c>
      <c r="E1328" t="str">
        <f>"13"</f>
        <v>13</v>
      </c>
      <c r="F1328">
        <v>1019</v>
      </c>
      <c r="G1328" t="s">
        <v>141</v>
      </c>
      <c r="J1328" t="s">
        <v>142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R1328" t="s">
        <v>127</v>
      </c>
      <c r="S1328" t="str">
        <f t="shared" ref="S1328:T1333" si="526">"15:08:13.000"</f>
        <v>15:08:13.000</v>
      </c>
      <c r="T1328" t="str">
        <f t="shared" si="526"/>
        <v>15:08:13.000</v>
      </c>
      <c r="U1328" t="str">
        <f t="shared" si="509"/>
        <v>A68FCB</v>
      </c>
      <c r="V1328">
        <v>0</v>
      </c>
      <c r="W1328">
        <v>0</v>
      </c>
      <c r="X1328">
        <v>2</v>
      </c>
      <c r="Y1328">
        <v>0</v>
      </c>
      <c r="AA1328">
        <v>1</v>
      </c>
      <c r="AB1328">
        <v>8</v>
      </c>
      <c r="AC1328">
        <v>3</v>
      </c>
      <c r="AD1328">
        <v>0</v>
      </c>
      <c r="AE1328">
        <v>9</v>
      </c>
      <c r="AF1328" t="s">
        <v>138</v>
      </c>
      <c r="AG1328">
        <v>0</v>
      </c>
      <c r="AH1328">
        <v>3</v>
      </c>
      <c r="AI1328">
        <v>2</v>
      </c>
      <c r="AJ1328">
        <v>0</v>
      </c>
      <c r="AK1328" t="s">
        <v>510</v>
      </c>
      <c r="AL1328">
        <v>39.008889000000003</v>
      </c>
      <c r="AM1328" t="s">
        <v>511</v>
      </c>
      <c r="AN1328">
        <v>-121.055217</v>
      </c>
      <c r="AO1328">
        <v>25</v>
      </c>
      <c r="AP1328">
        <v>3600</v>
      </c>
      <c r="AQ1328" t="s">
        <v>131</v>
      </c>
      <c r="AR1328">
        <v>-13</v>
      </c>
      <c r="AS1328">
        <v>88</v>
      </c>
      <c r="AT1328">
        <v>512</v>
      </c>
      <c r="BB1328" t="str">
        <f t="shared" si="510"/>
        <v>1200</v>
      </c>
      <c r="BC1328">
        <v>1</v>
      </c>
      <c r="BD1328" t="str">
        <f t="shared" si="511"/>
        <v xml:space="preserve">N52156  </v>
      </c>
      <c r="BE1328">
        <v>1</v>
      </c>
      <c r="BG1328">
        <v>0</v>
      </c>
      <c r="BH1328">
        <v>0</v>
      </c>
      <c r="BI1328">
        <v>0</v>
      </c>
      <c r="BJ1328">
        <v>3625</v>
      </c>
      <c r="BK1328">
        <v>25</v>
      </c>
      <c r="BL1328" t="s">
        <v>188</v>
      </c>
      <c r="BM1328">
        <v>1</v>
      </c>
      <c r="BN1328">
        <v>1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 t="shared" ref="CE1328:CE1333" si="527">"15:08:13.278"</f>
        <v>15:08:13.278</v>
      </c>
      <c r="CF1328">
        <v>277516794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3</v>
      </c>
      <c r="CY1328">
        <v>7</v>
      </c>
      <c r="CZ1328" t="s">
        <v>133</v>
      </c>
      <c r="DA1328">
        <v>276</v>
      </c>
      <c r="DB1328">
        <v>0</v>
      </c>
      <c r="DC1328" t="s">
        <v>402</v>
      </c>
      <c r="DD1328" t="s">
        <v>403</v>
      </c>
      <c r="DG1328">
        <v>1625507</v>
      </c>
      <c r="DI1328">
        <v>1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"05/01/2025 15:08:13.542"</f>
        <v>05/01/2025 15:08:13.542</v>
      </c>
      <c r="C1329" t="str">
        <f t="shared" si="508"/>
        <v>FFDFD3C0</v>
      </c>
      <c r="D1329" t="s">
        <v>145</v>
      </c>
      <c r="E1329" t="str">
        <f>"05"</f>
        <v>05</v>
      </c>
      <c r="H1329">
        <v>47</v>
      </c>
      <c r="I1329" t="s">
        <v>146</v>
      </c>
      <c r="J1329" t="s">
        <v>138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R1329" t="s">
        <v>127</v>
      </c>
      <c r="S1329" t="str">
        <f t="shared" si="526"/>
        <v>15:08:13.000</v>
      </c>
      <c r="T1329" t="str">
        <f t="shared" si="526"/>
        <v>15:08:13.000</v>
      </c>
      <c r="U1329" t="str">
        <f t="shared" si="509"/>
        <v>A68FCB</v>
      </c>
      <c r="V1329">
        <v>0</v>
      </c>
      <c r="W1329">
        <v>0</v>
      </c>
      <c r="X1329">
        <v>2</v>
      </c>
      <c r="Y1329">
        <v>0</v>
      </c>
      <c r="AA1329">
        <v>1</v>
      </c>
      <c r="AB1329">
        <v>8</v>
      </c>
      <c r="AC1329">
        <v>3</v>
      </c>
      <c r="AD1329">
        <v>0</v>
      </c>
      <c r="AE1329">
        <v>9</v>
      </c>
      <c r="AF1329" t="s">
        <v>138</v>
      </c>
      <c r="AG1329">
        <v>0</v>
      </c>
      <c r="AH1329">
        <v>3</v>
      </c>
      <c r="AI1329">
        <v>2</v>
      </c>
      <c r="AJ1329">
        <v>0</v>
      </c>
      <c r="AK1329" t="s">
        <v>510</v>
      </c>
      <c r="AL1329">
        <v>39.008889000000003</v>
      </c>
      <c r="AM1329" t="s">
        <v>511</v>
      </c>
      <c r="AN1329">
        <v>-121.055217</v>
      </c>
      <c r="AO1329">
        <v>25</v>
      </c>
      <c r="AP1329">
        <v>3600</v>
      </c>
      <c r="AQ1329" t="s">
        <v>131</v>
      </c>
      <c r="AR1329">
        <v>-13</v>
      </c>
      <c r="AS1329">
        <v>88</v>
      </c>
      <c r="AT1329">
        <v>512</v>
      </c>
      <c r="BB1329" t="str">
        <f t="shared" si="510"/>
        <v>1200</v>
      </c>
      <c r="BC1329">
        <v>1</v>
      </c>
      <c r="BD1329" t="str">
        <f t="shared" si="511"/>
        <v xml:space="preserve">N52156  </v>
      </c>
      <c r="BE1329">
        <v>1</v>
      </c>
      <c r="BG1329">
        <v>0</v>
      </c>
      <c r="BH1329">
        <v>0</v>
      </c>
      <c r="BI1329">
        <v>0</v>
      </c>
      <c r="BJ1329">
        <v>3625</v>
      </c>
      <c r="BK1329">
        <v>25</v>
      </c>
      <c r="BL1329" t="s">
        <v>188</v>
      </c>
      <c r="BM1329">
        <v>1</v>
      </c>
      <c r="BN1329">
        <v>1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 t="shared" si="527"/>
        <v>15:08:13.278</v>
      </c>
      <c r="CF1329">
        <v>277516794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3</v>
      </c>
      <c r="CY1329">
        <v>7</v>
      </c>
      <c r="CZ1329" t="s">
        <v>133</v>
      </c>
      <c r="DA1329">
        <v>276</v>
      </c>
      <c r="DB1329">
        <v>0</v>
      </c>
      <c r="DC1329" t="s">
        <v>402</v>
      </c>
      <c r="DD1329" t="s">
        <v>403</v>
      </c>
      <c r="DG1329">
        <v>1625507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"05/01/2025 15:08:13.544"</f>
        <v>05/01/2025 15:08:13.544</v>
      </c>
      <c r="C1330" t="str">
        <f t="shared" si="508"/>
        <v>FFDFD3C0</v>
      </c>
      <c r="D1330" t="s">
        <v>124</v>
      </c>
      <c r="E1330" t="str">
        <f>"06"</f>
        <v>06</v>
      </c>
      <c r="F1330">
        <v>2006</v>
      </c>
      <c r="G1330" t="s">
        <v>125</v>
      </c>
      <c r="J1330" t="s">
        <v>126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R1330" t="s">
        <v>127</v>
      </c>
      <c r="S1330" t="str">
        <f t="shared" si="526"/>
        <v>15:08:13.000</v>
      </c>
      <c r="T1330" t="str">
        <f t="shared" si="526"/>
        <v>15:08:13.000</v>
      </c>
      <c r="U1330" t="str">
        <f t="shared" si="509"/>
        <v>A68FCB</v>
      </c>
      <c r="V1330">
        <v>0</v>
      </c>
      <c r="W1330">
        <v>0</v>
      </c>
      <c r="X1330">
        <v>2</v>
      </c>
      <c r="Y1330">
        <v>0</v>
      </c>
      <c r="AA1330">
        <v>1</v>
      </c>
      <c r="AB1330">
        <v>8</v>
      </c>
      <c r="AC1330">
        <v>3</v>
      </c>
      <c r="AD1330">
        <v>0</v>
      </c>
      <c r="AE1330">
        <v>9</v>
      </c>
      <c r="AF1330" t="s">
        <v>138</v>
      </c>
      <c r="AG1330">
        <v>0</v>
      </c>
      <c r="AH1330">
        <v>3</v>
      </c>
      <c r="AI1330">
        <v>2</v>
      </c>
      <c r="AJ1330">
        <v>0</v>
      </c>
      <c r="AK1330" t="s">
        <v>510</v>
      </c>
      <c r="AL1330">
        <v>39.008889000000003</v>
      </c>
      <c r="AM1330" t="s">
        <v>511</v>
      </c>
      <c r="AN1330">
        <v>-121.055217</v>
      </c>
      <c r="AO1330">
        <v>25</v>
      </c>
      <c r="AP1330">
        <v>3600</v>
      </c>
      <c r="AQ1330" t="s">
        <v>131</v>
      </c>
      <c r="AR1330">
        <v>-13</v>
      </c>
      <c r="AS1330">
        <v>88</v>
      </c>
      <c r="AT1330">
        <v>512</v>
      </c>
      <c r="BB1330" t="str">
        <f t="shared" si="510"/>
        <v>1200</v>
      </c>
      <c r="BC1330">
        <v>1</v>
      </c>
      <c r="BD1330" t="str">
        <f t="shared" si="511"/>
        <v xml:space="preserve">N52156  </v>
      </c>
      <c r="BE1330">
        <v>1</v>
      </c>
      <c r="BG1330">
        <v>0</v>
      </c>
      <c r="BH1330">
        <v>0</v>
      </c>
      <c r="BI1330">
        <v>0</v>
      </c>
      <c r="BJ1330">
        <v>3625</v>
      </c>
      <c r="BK1330">
        <v>25</v>
      </c>
      <c r="BL1330" t="s">
        <v>188</v>
      </c>
      <c r="BM1330">
        <v>1</v>
      </c>
      <c r="BN1330">
        <v>1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 t="shared" si="527"/>
        <v>15:08:13.278</v>
      </c>
      <c r="CF1330">
        <v>277516794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3</v>
      </c>
      <c r="CY1330">
        <v>7</v>
      </c>
      <c r="CZ1330" t="s">
        <v>133</v>
      </c>
      <c r="DA1330">
        <v>276</v>
      </c>
      <c r="DB1330">
        <v>0</v>
      </c>
      <c r="DC1330" t="s">
        <v>402</v>
      </c>
      <c r="DD1330" t="s">
        <v>403</v>
      </c>
      <c r="DG1330">
        <v>1625507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"05/01/2025 15:08:13.547"</f>
        <v>05/01/2025 15:08:13.547</v>
      </c>
      <c r="C1331" t="str">
        <f t="shared" si="508"/>
        <v>FFDFD3C0</v>
      </c>
      <c r="D1331" t="s">
        <v>145</v>
      </c>
      <c r="E1331" t="str">
        <f>"09"</f>
        <v>09</v>
      </c>
      <c r="H1331">
        <v>51</v>
      </c>
      <c r="I1331" t="s">
        <v>147</v>
      </c>
      <c r="J1331" t="s">
        <v>138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R1331" t="s">
        <v>127</v>
      </c>
      <c r="S1331" t="str">
        <f t="shared" si="526"/>
        <v>15:08:13.000</v>
      </c>
      <c r="T1331" t="str">
        <f t="shared" si="526"/>
        <v>15:08:13.000</v>
      </c>
      <c r="U1331" t="str">
        <f t="shared" si="509"/>
        <v>A68FCB</v>
      </c>
      <c r="V1331">
        <v>0</v>
      </c>
      <c r="W1331">
        <v>0</v>
      </c>
      <c r="X1331">
        <v>2</v>
      </c>
      <c r="Y1331">
        <v>0</v>
      </c>
      <c r="AA1331">
        <v>1</v>
      </c>
      <c r="AB1331">
        <v>8</v>
      </c>
      <c r="AC1331">
        <v>3</v>
      </c>
      <c r="AD1331">
        <v>0</v>
      </c>
      <c r="AE1331">
        <v>9</v>
      </c>
      <c r="AF1331" t="s">
        <v>138</v>
      </c>
      <c r="AG1331">
        <v>0</v>
      </c>
      <c r="AH1331">
        <v>3</v>
      </c>
      <c r="AI1331">
        <v>2</v>
      </c>
      <c r="AJ1331">
        <v>0</v>
      </c>
      <c r="AK1331" t="s">
        <v>510</v>
      </c>
      <c r="AL1331">
        <v>39.008889000000003</v>
      </c>
      <c r="AM1331" t="s">
        <v>511</v>
      </c>
      <c r="AN1331">
        <v>-121.055217</v>
      </c>
      <c r="AO1331">
        <v>25</v>
      </c>
      <c r="AP1331">
        <v>3600</v>
      </c>
      <c r="AQ1331" t="s">
        <v>131</v>
      </c>
      <c r="AR1331">
        <v>-13</v>
      </c>
      <c r="AS1331">
        <v>88</v>
      </c>
      <c r="AT1331">
        <v>512</v>
      </c>
      <c r="BB1331" t="str">
        <f t="shared" si="510"/>
        <v>1200</v>
      </c>
      <c r="BC1331">
        <v>1</v>
      </c>
      <c r="BD1331" t="str">
        <f t="shared" si="511"/>
        <v xml:space="preserve">N52156  </v>
      </c>
      <c r="BE1331">
        <v>1</v>
      </c>
      <c r="BG1331">
        <v>0</v>
      </c>
      <c r="BH1331">
        <v>0</v>
      </c>
      <c r="BI1331">
        <v>0</v>
      </c>
      <c r="BJ1331">
        <v>3625</v>
      </c>
      <c r="BK1331">
        <v>25</v>
      </c>
      <c r="BL1331" t="s">
        <v>188</v>
      </c>
      <c r="BM1331">
        <v>1</v>
      </c>
      <c r="BN1331">
        <v>1</v>
      </c>
      <c r="BO1331">
        <v>0</v>
      </c>
      <c r="BP1331">
        <v>0</v>
      </c>
      <c r="BS1331">
        <v>0</v>
      </c>
      <c r="BT1331">
        <v>0</v>
      </c>
      <c r="BU1331">
        <v>0</v>
      </c>
      <c r="CE1331" t="str">
        <f t="shared" si="527"/>
        <v>15:08:13.278</v>
      </c>
      <c r="CF1331">
        <v>277516794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3</v>
      </c>
      <c r="CY1331">
        <v>7</v>
      </c>
      <c r="CZ1331" t="s">
        <v>133</v>
      </c>
      <c r="DA1331">
        <v>276</v>
      </c>
      <c r="DB1331">
        <v>0</v>
      </c>
      <c r="DC1331" t="s">
        <v>402</v>
      </c>
      <c r="DD1331" t="s">
        <v>403</v>
      </c>
      <c r="DG1331">
        <v>1625507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"05/01/2025 15:08:13.548"</f>
        <v>05/01/2025 15:08:13.548</v>
      </c>
      <c r="C1332" t="str">
        <f t="shared" si="508"/>
        <v>FFDFD3C0</v>
      </c>
      <c r="D1332" t="s">
        <v>143</v>
      </c>
      <c r="E1332" t="str">
        <f>"05"</f>
        <v>05</v>
      </c>
      <c r="H1332">
        <v>172</v>
      </c>
      <c r="I1332" t="s">
        <v>141</v>
      </c>
      <c r="J1332" t="s">
        <v>144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R1332" t="s">
        <v>127</v>
      </c>
      <c r="S1332" t="str">
        <f t="shared" si="526"/>
        <v>15:08:13.000</v>
      </c>
      <c r="T1332" t="str">
        <f t="shared" si="526"/>
        <v>15:08:13.000</v>
      </c>
      <c r="U1332" t="str">
        <f t="shared" si="509"/>
        <v>A68FCB</v>
      </c>
      <c r="V1332">
        <v>0</v>
      </c>
      <c r="W1332">
        <v>0</v>
      </c>
      <c r="X1332">
        <v>2</v>
      </c>
      <c r="Y1332">
        <v>0</v>
      </c>
      <c r="AA1332">
        <v>1</v>
      </c>
      <c r="AB1332">
        <v>8</v>
      </c>
      <c r="AC1332">
        <v>3</v>
      </c>
      <c r="AD1332">
        <v>0</v>
      </c>
      <c r="AE1332">
        <v>9</v>
      </c>
      <c r="AF1332" t="s">
        <v>138</v>
      </c>
      <c r="AG1332">
        <v>0</v>
      </c>
      <c r="AH1332">
        <v>3</v>
      </c>
      <c r="AI1332">
        <v>2</v>
      </c>
      <c r="AJ1332">
        <v>0</v>
      </c>
      <c r="AK1332" t="s">
        <v>510</v>
      </c>
      <c r="AL1332">
        <v>39.008889000000003</v>
      </c>
      <c r="AM1332" t="s">
        <v>511</v>
      </c>
      <c r="AN1332">
        <v>-121.055217</v>
      </c>
      <c r="AO1332">
        <v>25</v>
      </c>
      <c r="AP1332">
        <v>3600</v>
      </c>
      <c r="AQ1332" t="s">
        <v>131</v>
      </c>
      <c r="AR1332">
        <v>-13</v>
      </c>
      <c r="AS1332">
        <v>88</v>
      </c>
      <c r="AT1332">
        <v>512</v>
      </c>
      <c r="BB1332" t="str">
        <f t="shared" si="510"/>
        <v>1200</v>
      </c>
      <c r="BC1332">
        <v>1</v>
      </c>
      <c r="BD1332" t="str">
        <f t="shared" si="511"/>
        <v xml:space="preserve">N52156  </v>
      </c>
      <c r="BE1332">
        <v>1</v>
      </c>
      <c r="BG1332">
        <v>0</v>
      </c>
      <c r="BH1332">
        <v>0</v>
      </c>
      <c r="BI1332">
        <v>0</v>
      </c>
      <c r="BJ1332">
        <v>3625</v>
      </c>
      <c r="BK1332">
        <v>25</v>
      </c>
      <c r="BL1332" t="s">
        <v>188</v>
      </c>
      <c r="BM1332">
        <v>1</v>
      </c>
      <c r="BN1332">
        <v>1</v>
      </c>
      <c r="BO1332">
        <v>0</v>
      </c>
      <c r="BP1332">
        <v>0</v>
      </c>
      <c r="BS1332">
        <v>0</v>
      </c>
      <c r="BT1332">
        <v>0</v>
      </c>
      <c r="BU1332">
        <v>0</v>
      </c>
      <c r="CE1332" t="str">
        <f t="shared" si="527"/>
        <v>15:08:13.278</v>
      </c>
      <c r="CF1332">
        <v>277516794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3</v>
      </c>
      <c r="CY1332">
        <v>7</v>
      </c>
      <c r="CZ1332" t="s">
        <v>133</v>
      </c>
      <c r="DA1332">
        <v>276</v>
      </c>
      <c r="DB1332">
        <v>0</v>
      </c>
      <c r="DC1332" t="s">
        <v>402</v>
      </c>
      <c r="DD1332" t="s">
        <v>403</v>
      </c>
      <c r="DG1332">
        <v>1625507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"05/01/2025 15:08:13.555"</f>
        <v>05/01/2025 15:08:13.555</v>
      </c>
      <c r="C1333" t="str">
        <f t="shared" si="508"/>
        <v>FFDFD3C0</v>
      </c>
      <c r="D1333" t="s">
        <v>136</v>
      </c>
      <c r="E1333" t="str">
        <f>"20"</f>
        <v>20</v>
      </c>
      <c r="H1333">
        <v>400</v>
      </c>
      <c r="I1333" t="s">
        <v>137</v>
      </c>
      <c r="J1333" t="s">
        <v>138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R1333" t="s">
        <v>127</v>
      </c>
      <c r="S1333" t="str">
        <f t="shared" si="526"/>
        <v>15:08:13.000</v>
      </c>
      <c r="T1333" t="str">
        <f t="shared" si="526"/>
        <v>15:08:13.000</v>
      </c>
      <c r="U1333" t="str">
        <f t="shared" si="509"/>
        <v>A68FCB</v>
      </c>
      <c r="V1333">
        <v>0</v>
      </c>
      <c r="W1333">
        <v>0</v>
      </c>
      <c r="X1333">
        <v>2</v>
      </c>
      <c r="Y1333">
        <v>0</v>
      </c>
      <c r="AA1333">
        <v>1</v>
      </c>
      <c r="AB1333">
        <v>8</v>
      </c>
      <c r="AC1333">
        <v>3</v>
      </c>
      <c r="AD1333">
        <v>0</v>
      </c>
      <c r="AE1333">
        <v>9</v>
      </c>
      <c r="AF1333" t="s">
        <v>138</v>
      </c>
      <c r="AG1333">
        <v>0</v>
      </c>
      <c r="AH1333">
        <v>3</v>
      </c>
      <c r="AI1333">
        <v>2</v>
      </c>
      <c r="AJ1333">
        <v>0</v>
      </c>
      <c r="AK1333" t="s">
        <v>510</v>
      </c>
      <c r="AL1333">
        <v>39.008889000000003</v>
      </c>
      <c r="AM1333" t="s">
        <v>511</v>
      </c>
      <c r="AN1333">
        <v>-121.055217</v>
      </c>
      <c r="AO1333">
        <v>25</v>
      </c>
      <c r="AP1333">
        <v>3600</v>
      </c>
      <c r="AQ1333" t="s">
        <v>131</v>
      </c>
      <c r="AR1333">
        <v>-13</v>
      </c>
      <c r="AS1333">
        <v>88</v>
      </c>
      <c r="AT1333">
        <v>512</v>
      </c>
      <c r="BB1333" t="str">
        <f t="shared" si="510"/>
        <v>1200</v>
      </c>
      <c r="BC1333">
        <v>1</v>
      </c>
      <c r="BD1333" t="str">
        <f t="shared" si="511"/>
        <v xml:space="preserve">N52156  </v>
      </c>
      <c r="BE1333">
        <v>1</v>
      </c>
      <c r="BG1333">
        <v>0</v>
      </c>
      <c r="BH1333">
        <v>0</v>
      </c>
      <c r="BI1333">
        <v>0</v>
      </c>
      <c r="BJ1333">
        <v>3625</v>
      </c>
      <c r="BK1333">
        <v>25</v>
      </c>
      <c r="BL1333" t="s">
        <v>188</v>
      </c>
      <c r="BM1333">
        <v>1</v>
      </c>
      <c r="BN1333">
        <v>1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 t="shared" si="527"/>
        <v>15:08:13.278</v>
      </c>
      <c r="CF1333">
        <v>277516794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3</v>
      </c>
      <c r="CY1333">
        <v>7</v>
      </c>
      <c r="CZ1333" t="s">
        <v>133</v>
      </c>
      <c r="DA1333">
        <v>276</v>
      </c>
      <c r="DB1333">
        <v>0</v>
      </c>
      <c r="DC1333" t="s">
        <v>402</v>
      </c>
      <c r="DD1333" t="s">
        <v>403</v>
      </c>
      <c r="DG1333">
        <v>1625507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"05/01/2025 15:08:14.750"</f>
        <v>05/01/2025 15:08:14.750</v>
      </c>
      <c r="C1334" t="str">
        <f t="shared" si="508"/>
        <v>FFDFD3C0</v>
      </c>
      <c r="D1334" t="s">
        <v>145</v>
      </c>
      <c r="E1334" t="str">
        <f>"09"</f>
        <v>09</v>
      </c>
      <c r="H1334">
        <v>51</v>
      </c>
      <c r="I1334" t="s">
        <v>147</v>
      </c>
      <c r="J1334" t="s">
        <v>138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R1334" t="s">
        <v>127</v>
      </c>
      <c r="S1334" t="str">
        <f t="shared" ref="S1334:T1339" si="528">"15:08:14.000"</f>
        <v>15:08:14.000</v>
      </c>
      <c r="T1334" t="str">
        <f t="shared" si="528"/>
        <v>15:08:14.000</v>
      </c>
      <c r="U1334" t="str">
        <f t="shared" si="509"/>
        <v>A68FCB</v>
      </c>
      <c r="V1334">
        <v>0</v>
      </c>
      <c r="W1334">
        <v>0</v>
      </c>
      <c r="X1334">
        <v>2</v>
      </c>
      <c r="Y1334">
        <v>0</v>
      </c>
      <c r="AA1334">
        <v>1</v>
      </c>
      <c r="AB1334">
        <v>8</v>
      </c>
      <c r="AC1334">
        <v>3</v>
      </c>
      <c r="AD1334">
        <v>0</v>
      </c>
      <c r="AE1334">
        <v>9</v>
      </c>
      <c r="AF1334" t="s">
        <v>138</v>
      </c>
      <c r="AG1334">
        <v>0</v>
      </c>
      <c r="AH1334">
        <v>3</v>
      </c>
      <c r="AI1334">
        <v>2</v>
      </c>
      <c r="AJ1334">
        <v>0</v>
      </c>
      <c r="AK1334" t="s">
        <v>512</v>
      </c>
      <c r="AL1334">
        <v>39.009296999999997</v>
      </c>
      <c r="AM1334" t="s">
        <v>513</v>
      </c>
      <c r="AN1334">
        <v>-121.05530299999999</v>
      </c>
      <c r="AO1334">
        <v>25</v>
      </c>
      <c r="AP1334">
        <v>3600</v>
      </c>
      <c r="AQ1334" t="s">
        <v>131</v>
      </c>
      <c r="AR1334">
        <v>-13</v>
      </c>
      <c r="AS1334">
        <v>87</v>
      </c>
      <c r="AT1334">
        <v>576</v>
      </c>
      <c r="BB1334" t="str">
        <f t="shared" si="510"/>
        <v>1200</v>
      </c>
      <c r="BC1334">
        <v>1</v>
      </c>
      <c r="BD1334" t="str">
        <f t="shared" si="511"/>
        <v xml:space="preserve">N52156  </v>
      </c>
      <c r="BE1334">
        <v>1</v>
      </c>
      <c r="BG1334">
        <v>0</v>
      </c>
      <c r="BH1334">
        <v>0</v>
      </c>
      <c r="BI1334">
        <v>0</v>
      </c>
      <c r="BJ1334">
        <v>3625</v>
      </c>
      <c r="BK1334">
        <v>25</v>
      </c>
      <c r="BL1334" t="s">
        <v>188</v>
      </c>
      <c r="BM1334">
        <v>1</v>
      </c>
      <c r="BN1334">
        <v>1</v>
      </c>
      <c r="BO1334">
        <v>0</v>
      </c>
      <c r="BP1334">
        <v>0</v>
      </c>
      <c r="BS1334">
        <v>0</v>
      </c>
      <c r="BT1334">
        <v>0</v>
      </c>
      <c r="BU1334">
        <v>0</v>
      </c>
      <c r="CE1334" t="str">
        <f t="shared" ref="CE1334:CE1339" si="529">"15:08:14.537"</f>
        <v>15:08:14.537</v>
      </c>
      <c r="CF1334">
        <v>536704187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3</v>
      </c>
      <c r="CY1334">
        <v>7</v>
      </c>
      <c r="CZ1334" t="s">
        <v>133</v>
      </c>
      <c r="DA1334">
        <v>275</v>
      </c>
      <c r="DB1334">
        <v>0</v>
      </c>
      <c r="DC1334" t="s">
        <v>134</v>
      </c>
      <c r="DD1334" t="s">
        <v>135</v>
      </c>
      <c r="DG1334">
        <v>3320192</v>
      </c>
      <c r="DI1334">
        <v>1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"05/01/2025 15:08:14.750"</f>
        <v>05/01/2025 15:08:14.750</v>
      </c>
      <c r="C1335" t="str">
        <f t="shared" si="508"/>
        <v>FFDFD3C0</v>
      </c>
      <c r="D1335" t="s">
        <v>143</v>
      </c>
      <c r="E1335" t="str">
        <f>"05"</f>
        <v>05</v>
      </c>
      <c r="H1335">
        <v>172</v>
      </c>
      <c r="I1335" t="s">
        <v>141</v>
      </c>
      <c r="J1335" t="s">
        <v>144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R1335" t="s">
        <v>127</v>
      </c>
      <c r="S1335" t="str">
        <f t="shared" si="528"/>
        <v>15:08:14.000</v>
      </c>
      <c r="T1335" t="str">
        <f t="shared" si="528"/>
        <v>15:08:14.000</v>
      </c>
      <c r="U1335" t="str">
        <f t="shared" si="509"/>
        <v>A68FCB</v>
      </c>
      <c r="V1335">
        <v>0</v>
      </c>
      <c r="W1335">
        <v>0</v>
      </c>
      <c r="X1335">
        <v>2</v>
      </c>
      <c r="Y1335">
        <v>0</v>
      </c>
      <c r="AA1335">
        <v>1</v>
      </c>
      <c r="AB1335">
        <v>8</v>
      </c>
      <c r="AC1335">
        <v>3</v>
      </c>
      <c r="AD1335">
        <v>0</v>
      </c>
      <c r="AE1335">
        <v>9</v>
      </c>
      <c r="AF1335" t="s">
        <v>138</v>
      </c>
      <c r="AG1335">
        <v>0</v>
      </c>
      <c r="AH1335">
        <v>3</v>
      </c>
      <c r="AI1335">
        <v>2</v>
      </c>
      <c r="AJ1335">
        <v>0</v>
      </c>
      <c r="AK1335" t="s">
        <v>512</v>
      </c>
      <c r="AL1335">
        <v>39.009296999999997</v>
      </c>
      <c r="AM1335" t="s">
        <v>513</v>
      </c>
      <c r="AN1335">
        <v>-121.05530299999999</v>
      </c>
      <c r="AO1335">
        <v>25</v>
      </c>
      <c r="AP1335">
        <v>3600</v>
      </c>
      <c r="AQ1335" t="s">
        <v>131</v>
      </c>
      <c r="AR1335">
        <v>-13</v>
      </c>
      <c r="AS1335">
        <v>87</v>
      </c>
      <c r="AT1335">
        <v>576</v>
      </c>
      <c r="BB1335" t="str">
        <f t="shared" si="510"/>
        <v>1200</v>
      </c>
      <c r="BC1335">
        <v>1</v>
      </c>
      <c r="BD1335" t="str">
        <f t="shared" si="511"/>
        <v xml:space="preserve">N52156  </v>
      </c>
      <c r="BE1335">
        <v>1</v>
      </c>
      <c r="BG1335">
        <v>0</v>
      </c>
      <c r="BH1335">
        <v>0</v>
      </c>
      <c r="BI1335">
        <v>0</v>
      </c>
      <c r="BJ1335">
        <v>3625</v>
      </c>
      <c r="BK1335">
        <v>25</v>
      </c>
      <c r="BL1335" t="s">
        <v>188</v>
      </c>
      <c r="BM1335">
        <v>1</v>
      </c>
      <c r="BN1335">
        <v>1</v>
      </c>
      <c r="BO1335">
        <v>0</v>
      </c>
      <c r="BP1335">
        <v>0</v>
      </c>
      <c r="BS1335">
        <v>0</v>
      </c>
      <c r="BT1335">
        <v>0</v>
      </c>
      <c r="BU1335">
        <v>0</v>
      </c>
      <c r="CE1335" t="str">
        <f t="shared" si="529"/>
        <v>15:08:14.537</v>
      </c>
      <c r="CF1335">
        <v>536704187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3</v>
      </c>
      <c r="CY1335">
        <v>7</v>
      </c>
      <c r="CZ1335" t="s">
        <v>133</v>
      </c>
      <c r="DA1335">
        <v>275</v>
      </c>
      <c r="DB1335">
        <v>0</v>
      </c>
      <c r="DC1335" t="s">
        <v>134</v>
      </c>
      <c r="DD1335" t="s">
        <v>135</v>
      </c>
      <c r="DG1335">
        <v>3320192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"05/01/2025 15:08:14.758"</f>
        <v>05/01/2025 15:08:14.758</v>
      </c>
      <c r="C1336" t="str">
        <f t="shared" si="508"/>
        <v>FFDFD3C0</v>
      </c>
      <c r="D1336" t="s">
        <v>136</v>
      </c>
      <c r="E1336" t="str">
        <f>"20"</f>
        <v>20</v>
      </c>
      <c r="H1336">
        <v>400</v>
      </c>
      <c r="I1336" t="s">
        <v>137</v>
      </c>
      <c r="J1336" t="s">
        <v>138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R1336" t="s">
        <v>127</v>
      </c>
      <c r="S1336" t="str">
        <f t="shared" si="528"/>
        <v>15:08:14.000</v>
      </c>
      <c r="T1336" t="str">
        <f t="shared" si="528"/>
        <v>15:08:14.000</v>
      </c>
      <c r="U1336" t="str">
        <f t="shared" si="509"/>
        <v>A68FCB</v>
      </c>
      <c r="V1336">
        <v>0</v>
      </c>
      <c r="W1336">
        <v>0</v>
      </c>
      <c r="X1336">
        <v>2</v>
      </c>
      <c r="Y1336">
        <v>0</v>
      </c>
      <c r="AA1336">
        <v>1</v>
      </c>
      <c r="AB1336">
        <v>8</v>
      </c>
      <c r="AC1336">
        <v>3</v>
      </c>
      <c r="AD1336">
        <v>0</v>
      </c>
      <c r="AE1336">
        <v>9</v>
      </c>
      <c r="AF1336" t="s">
        <v>138</v>
      </c>
      <c r="AG1336">
        <v>0</v>
      </c>
      <c r="AH1336">
        <v>3</v>
      </c>
      <c r="AI1336">
        <v>2</v>
      </c>
      <c r="AJ1336">
        <v>0</v>
      </c>
      <c r="AK1336" t="s">
        <v>512</v>
      </c>
      <c r="AL1336">
        <v>39.009296999999997</v>
      </c>
      <c r="AM1336" t="s">
        <v>513</v>
      </c>
      <c r="AN1336">
        <v>-121.05530299999999</v>
      </c>
      <c r="AO1336">
        <v>25</v>
      </c>
      <c r="AP1336">
        <v>3600</v>
      </c>
      <c r="AQ1336" t="s">
        <v>131</v>
      </c>
      <c r="AR1336">
        <v>-13</v>
      </c>
      <c r="AS1336">
        <v>87</v>
      </c>
      <c r="AT1336">
        <v>576</v>
      </c>
      <c r="BB1336" t="str">
        <f t="shared" si="510"/>
        <v>1200</v>
      </c>
      <c r="BC1336">
        <v>1</v>
      </c>
      <c r="BD1336" t="str">
        <f t="shared" si="511"/>
        <v xml:space="preserve">N52156  </v>
      </c>
      <c r="BE1336">
        <v>1</v>
      </c>
      <c r="BG1336">
        <v>0</v>
      </c>
      <c r="BH1336">
        <v>0</v>
      </c>
      <c r="BI1336">
        <v>0</v>
      </c>
      <c r="BJ1336">
        <v>3625</v>
      </c>
      <c r="BK1336">
        <v>25</v>
      </c>
      <c r="BL1336" t="s">
        <v>188</v>
      </c>
      <c r="BM1336">
        <v>1</v>
      </c>
      <c r="BN1336">
        <v>1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 t="shared" si="529"/>
        <v>15:08:14.537</v>
      </c>
      <c r="CF1336">
        <v>536704187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3</v>
      </c>
      <c r="CY1336">
        <v>7</v>
      </c>
      <c r="CZ1336" t="s">
        <v>133</v>
      </c>
      <c r="DA1336">
        <v>275</v>
      </c>
      <c r="DB1336">
        <v>0</v>
      </c>
      <c r="DC1336" t="s">
        <v>134</v>
      </c>
      <c r="DD1336" t="s">
        <v>135</v>
      </c>
      <c r="DG1336">
        <v>3320192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"05/01/2025 15:08:14.792"</f>
        <v>05/01/2025 15:08:14.792</v>
      </c>
      <c r="C1337" t="str">
        <f t="shared" si="508"/>
        <v>FFDFD3C0</v>
      </c>
      <c r="D1337" t="s">
        <v>140</v>
      </c>
      <c r="E1337" t="str">
        <f>"13"</f>
        <v>13</v>
      </c>
      <c r="F1337">
        <v>1019</v>
      </c>
      <c r="G1337" t="s">
        <v>141</v>
      </c>
      <c r="J1337" t="s">
        <v>142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R1337" t="s">
        <v>127</v>
      </c>
      <c r="S1337" t="str">
        <f t="shared" si="528"/>
        <v>15:08:14.000</v>
      </c>
      <c r="T1337" t="str">
        <f t="shared" si="528"/>
        <v>15:08:14.000</v>
      </c>
      <c r="U1337" t="str">
        <f t="shared" si="509"/>
        <v>A68FCB</v>
      </c>
      <c r="V1337">
        <v>0</v>
      </c>
      <c r="W1337">
        <v>0</v>
      </c>
      <c r="X1337">
        <v>2</v>
      </c>
      <c r="Y1337">
        <v>0</v>
      </c>
      <c r="AA1337">
        <v>1</v>
      </c>
      <c r="AB1337">
        <v>8</v>
      </c>
      <c r="AC1337">
        <v>3</v>
      </c>
      <c r="AD1337">
        <v>0</v>
      </c>
      <c r="AE1337">
        <v>9</v>
      </c>
      <c r="AF1337" t="s">
        <v>138</v>
      </c>
      <c r="AG1337">
        <v>0</v>
      </c>
      <c r="AH1337">
        <v>3</v>
      </c>
      <c r="AI1337">
        <v>2</v>
      </c>
      <c r="AJ1337">
        <v>0</v>
      </c>
      <c r="AK1337" t="s">
        <v>512</v>
      </c>
      <c r="AL1337">
        <v>39.009296999999997</v>
      </c>
      <c r="AM1337" t="s">
        <v>513</v>
      </c>
      <c r="AN1337">
        <v>-121.05530299999999</v>
      </c>
      <c r="AO1337">
        <v>25</v>
      </c>
      <c r="AP1337">
        <v>3600</v>
      </c>
      <c r="AQ1337" t="s">
        <v>131</v>
      </c>
      <c r="AR1337">
        <v>-13</v>
      </c>
      <c r="AS1337">
        <v>87</v>
      </c>
      <c r="AT1337">
        <v>576</v>
      </c>
      <c r="BB1337" t="str">
        <f t="shared" si="510"/>
        <v>1200</v>
      </c>
      <c r="BC1337">
        <v>1</v>
      </c>
      <c r="BD1337" t="str">
        <f t="shared" si="511"/>
        <v xml:space="preserve">N52156  </v>
      </c>
      <c r="BE1337">
        <v>1</v>
      </c>
      <c r="BG1337">
        <v>0</v>
      </c>
      <c r="BH1337">
        <v>0</v>
      </c>
      <c r="BI1337">
        <v>0</v>
      </c>
      <c r="BJ1337">
        <v>3625</v>
      </c>
      <c r="BK1337">
        <v>25</v>
      </c>
      <c r="BL1337" t="s">
        <v>188</v>
      </c>
      <c r="BM1337">
        <v>1</v>
      </c>
      <c r="BN1337">
        <v>1</v>
      </c>
      <c r="BO1337">
        <v>0</v>
      </c>
      <c r="BP1337">
        <v>0</v>
      </c>
      <c r="BS1337">
        <v>0</v>
      </c>
      <c r="BT1337">
        <v>0</v>
      </c>
      <c r="BU1337">
        <v>0</v>
      </c>
      <c r="CE1337" t="str">
        <f t="shared" si="529"/>
        <v>15:08:14.537</v>
      </c>
      <c r="CF1337">
        <v>536704187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3</v>
      </c>
      <c r="CY1337">
        <v>7</v>
      </c>
      <c r="CZ1337" t="s">
        <v>133</v>
      </c>
      <c r="DA1337">
        <v>275</v>
      </c>
      <c r="DB1337">
        <v>0</v>
      </c>
      <c r="DC1337" t="s">
        <v>134</v>
      </c>
      <c r="DD1337" t="s">
        <v>135</v>
      </c>
      <c r="DG1337">
        <v>3320192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"05/01/2025 15:08:14.796"</f>
        <v>05/01/2025 15:08:14.796</v>
      </c>
      <c r="C1338" t="str">
        <f t="shared" si="508"/>
        <v>FFDFD3C0</v>
      </c>
      <c r="D1338" t="s">
        <v>124</v>
      </c>
      <c r="E1338" t="str">
        <f>"06"</f>
        <v>06</v>
      </c>
      <c r="F1338">
        <v>2006</v>
      </c>
      <c r="G1338" t="s">
        <v>125</v>
      </c>
      <c r="J1338" t="s">
        <v>126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R1338" t="s">
        <v>127</v>
      </c>
      <c r="S1338" t="str">
        <f t="shared" si="528"/>
        <v>15:08:14.000</v>
      </c>
      <c r="T1338" t="str">
        <f t="shared" si="528"/>
        <v>15:08:14.000</v>
      </c>
      <c r="U1338" t="str">
        <f t="shared" si="509"/>
        <v>A68FCB</v>
      </c>
      <c r="V1338">
        <v>0</v>
      </c>
      <c r="W1338">
        <v>0</v>
      </c>
      <c r="X1338">
        <v>2</v>
      </c>
      <c r="Y1338">
        <v>0</v>
      </c>
      <c r="AA1338">
        <v>1</v>
      </c>
      <c r="AB1338">
        <v>8</v>
      </c>
      <c r="AC1338">
        <v>3</v>
      </c>
      <c r="AD1338">
        <v>0</v>
      </c>
      <c r="AE1338">
        <v>9</v>
      </c>
      <c r="AF1338" t="s">
        <v>138</v>
      </c>
      <c r="AG1338">
        <v>0</v>
      </c>
      <c r="AH1338">
        <v>3</v>
      </c>
      <c r="AI1338">
        <v>2</v>
      </c>
      <c r="AJ1338">
        <v>0</v>
      </c>
      <c r="AK1338" t="s">
        <v>512</v>
      </c>
      <c r="AL1338">
        <v>39.009296999999997</v>
      </c>
      <c r="AM1338" t="s">
        <v>513</v>
      </c>
      <c r="AN1338">
        <v>-121.05530299999999</v>
      </c>
      <c r="AO1338">
        <v>25</v>
      </c>
      <c r="AP1338">
        <v>3600</v>
      </c>
      <c r="AQ1338" t="s">
        <v>131</v>
      </c>
      <c r="AR1338">
        <v>-13</v>
      </c>
      <c r="AS1338">
        <v>87</v>
      </c>
      <c r="AT1338">
        <v>576</v>
      </c>
      <c r="BB1338" t="str">
        <f t="shared" si="510"/>
        <v>1200</v>
      </c>
      <c r="BC1338">
        <v>1</v>
      </c>
      <c r="BD1338" t="str">
        <f t="shared" si="511"/>
        <v xml:space="preserve">N52156  </v>
      </c>
      <c r="BE1338">
        <v>1</v>
      </c>
      <c r="BG1338">
        <v>0</v>
      </c>
      <c r="BH1338">
        <v>0</v>
      </c>
      <c r="BI1338">
        <v>0</v>
      </c>
      <c r="BJ1338">
        <v>3625</v>
      </c>
      <c r="BK1338">
        <v>25</v>
      </c>
      <c r="BL1338" t="s">
        <v>188</v>
      </c>
      <c r="BM1338">
        <v>1</v>
      </c>
      <c r="BN1338">
        <v>1</v>
      </c>
      <c r="BO1338">
        <v>0</v>
      </c>
      <c r="BP1338">
        <v>0</v>
      </c>
      <c r="BS1338">
        <v>0</v>
      </c>
      <c r="BT1338">
        <v>0</v>
      </c>
      <c r="BU1338">
        <v>0</v>
      </c>
      <c r="CE1338" t="str">
        <f t="shared" si="529"/>
        <v>15:08:14.537</v>
      </c>
      <c r="CF1338">
        <v>536704187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3</v>
      </c>
      <c r="CY1338">
        <v>7</v>
      </c>
      <c r="CZ1338" t="s">
        <v>133</v>
      </c>
      <c r="DA1338">
        <v>275</v>
      </c>
      <c r="DB1338">
        <v>0</v>
      </c>
      <c r="DC1338" t="s">
        <v>134</v>
      </c>
      <c r="DD1338" t="s">
        <v>135</v>
      </c>
      <c r="DG1338">
        <v>3320192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"05/01/2025 15:08:14.795"</f>
        <v>05/01/2025 15:08:14.795</v>
      </c>
      <c r="C1339" t="str">
        <f t="shared" si="508"/>
        <v>FFDFD3C0</v>
      </c>
      <c r="D1339" t="s">
        <v>145</v>
      </c>
      <c r="E1339" t="str">
        <f>"05"</f>
        <v>05</v>
      </c>
      <c r="H1339">
        <v>47</v>
      </c>
      <c r="I1339" t="s">
        <v>146</v>
      </c>
      <c r="J1339" t="s">
        <v>138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R1339" t="s">
        <v>127</v>
      </c>
      <c r="S1339" t="str">
        <f t="shared" si="528"/>
        <v>15:08:14.000</v>
      </c>
      <c r="T1339" t="str">
        <f t="shared" si="528"/>
        <v>15:08:14.000</v>
      </c>
      <c r="U1339" t="str">
        <f t="shared" si="509"/>
        <v>A68FCB</v>
      </c>
      <c r="V1339">
        <v>0</v>
      </c>
      <c r="W1339">
        <v>0</v>
      </c>
      <c r="X1339">
        <v>2</v>
      </c>
      <c r="Y1339">
        <v>0</v>
      </c>
      <c r="AA1339">
        <v>1</v>
      </c>
      <c r="AB1339">
        <v>8</v>
      </c>
      <c r="AC1339">
        <v>3</v>
      </c>
      <c r="AD1339">
        <v>0</v>
      </c>
      <c r="AE1339">
        <v>9</v>
      </c>
      <c r="AF1339" t="s">
        <v>138</v>
      </c>
      <c r="AG1339">
        <v>0</v>
      </c>
      <c r="AH1339">
        <v>3</v>
      </c>
      <c r="AI1339">
        <v>2</v>
      </c>
      <c r="AJ1339">
        <v>0</v>
      </c>
      <c r="AK1339" t="s">
        <v>512</v>
      </c>
      <c r="AL1339">
        <v>39.009296999999997</v>
      </c>
      <c r="AM1339" t="s">
        <v>513</v>
      </c>
      <c r="AN1339">
        <v>-121.05530299999999</v>
      </c>
      <c r="AO1339">
        <v>25</v>
      </c>
      <c r="AP1339">
        <v>3600</v>
      </c>
      <c r="AQ1339" t="s">
        <v>131</v>
      </c>
      <c r="AR1339">
        <v>-13</v>
      </c>
      <c r="AS1339">
        <v>87</v>
      </c>
      <c r="AT1339">
        <v>576</v>
      </c>
      <c r="BB1339" t="str">
        <f t="shared" si="510"/>
        <v>1200</v>
      </c>
      <c r="BC1339">
        <v>1</v>
      </c>
      <c r="BD1339" t="str">
        <f t="shared" si="511"/>
        <v xml:space="preserve">N52156  </v>
      </c>
      <c r="BE1339">
        <v>1</v>
      </c>
      <c r="BG1339">
        <v>0</v>
      </c>
      <c r="BH1339">
        <v>0</v>
      </c>
      <c r="BI1339">
        <v>0</v>
      </c>
      <c r="BJ1339">
        <v>3625</v>
      </c>
      <c r="BK1339">
        <v>25</v>
      </c>
      <c r="BL1339" t="s">
        <v>188</v>
      </c>
      <c r="BM1339">
        <v>1</v>
      </c>
      <c r="BN1339">
        <v>1</v>
      </c>
      <c r="BO1339">
        <v>0</v>
      </c>
      <c r="BP1339">
        <v>0</v>
      </c>
      <c r="BS1339">
        <v>0</v>
      </c>
      <c r="BT1339">
        <v>0</v>
      </c>
      <c r="BU1339">
        <v>0</v>
      </c>
      <c r="CE1339" t="str">
        <f t="shared" si="529"/>
        <v>15:08:14.537</v>
      </c>
      <c r="CF1339">
        <v>536704187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3</v>
      </c>
      <c r="CY1339">
        <v>7</v>
      </c>
      <c r="CZ1339" t="s">
        <v>133</v>
      </c>
      <c r="DA1339">
        <v>275</v>
      </c>
      <c r="DB1339">
        <v>0</v>
      </c>
      <c r="DC1339" t="s">
        <v>134</v>
      </c>
      <c r="DD1339" t="s">
        <v>135</v>
      </c>
      <c r="DG1339">
        <v>3320192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"05/01/2025 15:08:16.011"</f>
        <v>05/01/2025 15:08:16.011</v>
      </c>
      <c r="C1340" t="str">
        <f t="shared" si="508"/>
        <v>FFDFD3C0</v>
      </c>
      <c r="D1340" t="s">
        <v>136</v>
      </c>
      <c r="E1340" t="str">
        <f>"20"</f>
        <v>20</v>
      </c>
      <c r="H1340">
        <v>400</v>
      </c>
      <c r="I1340" t="s">
        <v>137</v>
      </c>
      <c r="J1340" t="s">
        <v>138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R1340" t="s">
        <v>127</v>
      </c>
      <c r="S1340" t="str">
        <f t="shared" ref="S1340:T1345" si="530">"15:08:15.000"</f>
        <v>15:08:15.000</v>
      </c>
      <c r="T1340" t="str">
        <f t="shared" si="530"/>
        <v>15:08:15.000</v>
      </c>
      <c r="U1340" t="str">
        <f t="shared" si="509"/>
        <v>A68FCB</v>
      </c>
      <c r="V1340">
        <v>0</v>
      </c>
      <c r="W1340">
        <v>0</v>
      </c>
      <c r="X1340">
        <v>2</v>
      </c>
      <c r="Y1340">
        <v>0</v>
      </c>
      <c r="AA1340">
        <v>1</v>
      </c>
      <c r="AB1340">
        <v>8</v>
      </c>
      <c r="AC1340">
        <v>3</v>
      </c>
      <c r="AD1340">
        <v>0</v>
      </c>
      <c r="AE1340">
        <v>9</v>
      </c>
      <c r="AF1340" t="s">
        <v>138</v>
      </c>
      <c r="AG1340">
        <v>0</v>
      </c>
      <c r="AH1340">
        <v>3</v>
      </c>
      <c r="AI1340">
        <v>2</v>
      </c>
      <c r="AJ1340">
        <v>0</v>
      </c>
      <c r="AK1340" t="s">
        <v>514</v>
      </c>
      <c r="AL1340">
        <v>39.009704999999997</v>
      </c>
      <c r="AM1340" t="s">
        <v>515</v>
      </c>
      <c r="AN1340">
        <v>-121.055367</v>
      </c>
      <c r="AO1340">
        <v>25</v>
      </c>
      <c r="AP1340">
        <v>3700</v>
      </c>
      <c r="AQ1340" t="s">
        <v>131</v>
      </c>
      <c r="AR1340">
        <v>-9</v>
      </c>
      <c r="AS1340">
        <v>87</v>
      </c>
      <c r="AT1340">
        <v>704</v>
      </c>
      <c r="BB1340" t="str">
        <f t="shared" si="510"/>
        <v>1200</v>
      </c>
      <c r="BC1340">
        <v>1</v>
      </c>
      <c r="BD1340" t="str">
        <f t="shared" si="511"/>
        <v xml:space="preserve">N52156  </v>
      </c>
      <c r="BE1340">
        <v>1</v>
      </c>
      <c r="BG1340">
        <v>0</v>
      </c>
      <c r="BH1340">
        <v>0</v>
      </c>
      <c r="BI1340">
        <v>0</v>
      </c>
      <c r="BJ1340">
        <v>3650</v>
      </c>
      <c r="BK1340">
        <v>-50</v>
      </c>
      <c r="BL1340" t="s">
        <v>188</v>
      </c>
      <c r="BM1340">
        <v>1</v>
      </c>
      <c r="BN1340">
        <v>1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 t="shared" ref="CE1340:CE1345" si="531">"15:08:15.811"</f>
        <v>15:08:15.811</v>
      </c>
      <c r="CF1340">
        <v>811268401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3</v>
      </c>
      <c r="CY1340">
        <v>7</v>
      </c>
      <c r="CZ1340" t="s">
        <v>133</v>
      </c>
      <c r="DA1340">
        <v>276</v>
      </c>
      <c r="DB1340">
        <v>0</v>
      </c>
      <c r="DC1340" t="s">
        <v>402</v>
      </c>
      <c r="DD1340" t="s">
        <v>403</v>
      </c>
      <c r="DG1340">
        <v>1625542</v>
      </c>
      <c r="DI1340">
        <v>1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"05/01/2025 15:08:16.044"</f>
        <v>05/01/2025 15:08:16.044</v>
      </c>
      <c r="C1341" t="str">
        <f t="shared" si="508"/>
        <v>FFDFD3C0</v>
      </c>
      <c r="D1341" t="s">
        <v>140</v>
      </c>
      <c r="E1341" t="str">
        <f>"13"</f>
        <v>13</v>
      </c>
      <c r="F1341">
        <v>1019</v>
      </c>
      <c r="G1341" t="s">
        <v>141</v>
      </c>
      <c r="J1341" t="s">
        <v>142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R1341" t="s">
        <v>127</v>
      </c>
      <c r="S1341" t="str">
        <f t="shared" si="530"/>
        <v>15:08:15.000</v>
      </c>
      <c r="T1341" t="str">
        <f t="shared" si="530"/>
        <v>15:08:15.000</v>
      </c>
      <c r="U1341" t="str">
        <f t="shared" si="509"/>
        <v>A68FCB</v>
      </c>
      <c r="V1341">
        <v>0</v>
      </c>
      <c r="W1341">
        <v>0</v>
      </c>
      <c r="X1341">
        <v>2</v>
      </c>
      <c r="Y1341">
        <v>0</v>
      </c>
      <c r="AA1341">
        <v>1</v>
      </c>
      <c r="AB1341">
        <v>8</v>
      </c>
      <c r="AC1341">
        <v>3</v>
      </c>
      <c r="AD1341">
        <v>0</v>
      </c>
      <c r="AE1341">
        <v>9</v>
      </c>
      <c r="AF1341" t="s">
        <v>138</v>
      </c>
      <c r="AG1341">
        <v>0</v>
      </c>
      <c r="AH1341">
        <v>3</v>
      </c>
      <c r="AI1341">
        <v>2</v>
      </c>
      <c r="AJ1341">
        <v>0</v>
      </c>
      <c r="AK1341" t="s">
        <v>514</v>
      </c>
      <c r="AL1341">
        <v>39.009704999999997</v>
      </c>
      <c r="AM1341" t="s">
        <v>515</v>
      </c>
      <c r="AN1341">
        <v>-121.055367</v>
      </c>
      <c r="AO1341">
        <v>25</v>
      </c>
      <c r="AP1341">
        <v>3700</v>
      </c>
      <c r="AQ1341" t="s">
        <v>131</v>
      </c>
      <c r="AR1341">
        <v>-9</v>
      </c>
      <c r="AS1341">
        <v>87</v>
      </c>
      <c r="AT1341">
        <v>704</v>
      </c>
      <c r="BB1341" t="str">
        <f t="shared" si="510"/>
        <v>1200</v>
      </c>
      <c r="BC1341">
        <v>1</v>
      </c>
      <c r="BD1341" t="str">
        <f t="shared" si="511"/>
        <v xml:space="preserve">N52156  </v>
      </c>
      <c r="BE1341">
        <v>1</v>
      </c>
      <c r="BG1341">
        <v>0</v>
      </c>
      <c r="BH1341">
        <v>0</v>
      </c>
      <c r="BI1341">
        <v>0</v>
      </c>
      <c r="BJ1341">
        <v>3650</v>
      </c>
      <c r="BK1341">
        <v>-50</v>
      </c>
      <c r="BL1341" t="s">
        <v>188</v>
      </c>
      <c r="BM1341">
        <v>1</v>
      </c>
      <c r="BN1341">
        <v>1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 t="shared" si="531"/>
        <v>15:08:15.811</v>
      </c>
      <c r="CF1341">
        <v>811268401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3</v>
      </c>
      <c r="CY1341">
        <v>7</v>
      </c>
      <c r="CZ1341" t="s">
        <v>133</v>
      </c>
      <c r="DA1341">
        <v>276</v>
      </c>
      <c r="DB1341">
        <v>0</v>
      </c>
      <c r="DC1341" t="s">
        <v>402</v>
      </c>
      <c r="DD1341" t="s">
        <v>403</v>
      </c>
      <c r="DG1341">
        <v>1625542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"05/01/2025 15:08:16.047"</f>
        <v>05/01/2025 15:08:16.047</v>
      </c>
      <c r="C1342" t="str">
        <f t="shared" si="508"/>
        <v>FFDFD3C0</v>
      </c>
      <c r="D1342" t="s">
        <v>145</v>
      </c>
      <c r="E1342" t="str">
        <f>"05"</f>
        <v>05</v>
      </c>
      <c r="H1342">
        <v>47</v>
      </c>
      <c r="I1342" t="s">
        <v>146</v>
      </c>
      <c r="J1342" t="s">
        <v>138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R1342" t="s">
        <v>127</v>
      </c>
      <c r="S1342" t="str">
        <f t="shared" si="530"/>
        <v>15:08:15.000</v>
      </c>
      <c r="T1342" t="str">
        <f t="shared" si="530"/>
        <v>15:08:15.000</v>
      </c>
      <c r="U1342" t="str">
        <f t="shared" si="509"/>
        <v>A68FCB</v>
      </c>
      <c r="V1342">
        <v>0</v>
      </c>
      <c r="W1342">
        <v>0</v>
      </c>
      <c r="X1342">
        <v>2</v>
      </c>
      <c r="Y1342">
        <v>0</v>
      </c>
      <c r="AA1342">
        <v>1</v>
      </c>
      <c r="AB1342">
        <v>8</v>
      </c>
      <c r="AC1342">
        <v>3</v>
      </c>
      <c r="AD1342">
        <v>0</v>
      </c>
      <c r="AE1342">
        <v>9</v>
      </c>
      <c r="AF1342" t="s">
        <v>138</v>
      </c>
      <c r="AG1342">
        <v>0</v>
      </c>
      <c r="AH1342">
        <v>3</v>
      </c>
      <c r="AI1342">
        <v>2</v>
      </c>
      <c r="AJ1342">
        <v>0</v>
      </c>
      <c r="AK1342" t="s">
        <v>514</v>
      </c>
      <c r="AL1342">
        <v>39.009704999999997</v>
      </c>
      <c r="AM1342" t="s">
        <v>515</v>
      </c>
      <c r="AN1342">
        <v>-121.055367</v>
      </c>
      <c r="AO1342">
        <v>25</v>
      </c>
      <c r="AP1342">
        <v>3700</v>
      </c>
      <c r="AQ1342" t="s">
        <v>131</v>
      </c>
      <c r="AR1342">
        <v>-9</v>
      </c>
      <c r="AS1342">
        <v>87</v>
      </c>
      <c r="AT1342">
        <v>704</v>
      </c>
      <c r="BB1342" t="str">
        <f t="shared" si="510"/>
        <v>1200</v>
      </c>
      <c r="BC1342">
        <v>1</v>
      </c>
      <c r="BD1342" t="str">
        <f t="shared" si="511"/>
        <v xml:space="preserve">N52156  </v>
      </c>
      <c r="BE1342">
        <v>1</v>
      </c>
      <c r="BG1342">
        <v>0</v>
      </c>
      <c r="BH1342">
        <v>0</v>
      </c>
      <c r="BI1342">
        <v>0</v>
      </c>
      <c r="BJ1342">
        <v>3650</v>
      </c>
      <c r="BK1342">
        <v>-50</v>
      </c>
      <c r="BL1342" t="s">
        <v>188</v>
      </c>
      <c r="BM1342">
        <v>1</v>
      </c>
      <c r="BN1342">
        <v>1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 t="shared" si="531"/>
        <v>15:08:15.811</v>
      </c>
      <c r="CF1342">
        <v>811268401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3</v>
      </c>
      <c r="CY1342">
        <v>7</v>
      </c>
      <c r="CZ1342" t="s">
        <v>133</v>
      </c>
      <c r="DA1342">
        <v>276</v>
      </c>
      <c r="DB1342">
        <v>0</v>
      </c>
      <c r="DC1342" t="s">
        <v>402</v>
      </c>
      <c r="DD1342" t="s">
        <v>403</v>
      </c>
      <c r="DG1342">
        <v>1625542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"05/01/2025 15:08:16.049"</f>
        <v>05/01/2025 15:08:16.049</v>
      </c>
      <c r="C1343" t="str">
        <f t="shared" si="508"/>
        <v>FFDFD3C0</v>
      </c>
      <c r="D1343" t="s">
        <v>124</v>
      </c>
      <c r="E1343" t="str">
        <f>"06"</f>
        <v>06</v>
      </c>
      <c r="F1343">
        <v>2006</v>
      </c>
      <c r="G1343" t="s">
        <v>125</v>
      </c>
      <c r="J1343" t="s">
        <v>126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R1343" t="s">
        <v>127</v>
      </c>
      <c r="S1343" t="str">
        <f t="shared" si="530"/>
        <v>15:08:15.000</v>
      </c>
      <c r="T1343" t="str">
        <f t="shared" si="530"/>
        <v>15:08:15.000</v>
      </c>
      <c r="U1343" t="str">
        <f t="shared" si="509"/>
        <v>A68FCB</v>
      </c>
      <c r="V1343">
        <v>0</v>
      </c>
      <c r="W1343">
        <v>0</v>
      </c>
      <c r="X1343">
        <v>2</v>
      </c>
      <c r="Y1343">
        <v>0</v>
      </c>
      <c r="AA1343">
        <v>1</v>
      </c>
      <c r="AB1343">
        <v>8</v>
      </c>
      <c r="AC1343">
        <v>3</v>
      </c>
      <c r="AD1343">
        <v>0</v>
      </c>
      <c r="AE1343">
        <v>9</v>
      </c>
      <c r="AF1343" t="s">
        <v>138</v>
      </c>
      <c r="AG1343">
        <v>0</v>
      </c>
      <c r="AH1343">
        <v>3</v>
      </c>
      <c r="AI1343">
        <v>2</v>
      </c>
      <c r="AJ1343">
        <v>0</v>
      </c>
      <c r="AK1343" t="s">
        <v>514</v>
      </c>
      <c r="AL1343">
        <v>39.009704999999997</v>
      </c>
      <c r="AM1343" t="s">
        <v>515</v>
      </c>
      <c r="AN1343">
        <v>-121.055367</v>
      </c>
      <c r="AO1343">
        <v>25</v>
      </c>
      <c r="AP1343">
        <v>3700</v>
      </c>
      <c r="AQ1343" t="s">
        <v>131</v>
      </c>
      <c r="AR1343">
        <v>-9</v>
      </c>
      <c r="AS1343">
        <v>87</v>
      </c>
      <c r="AT1343">
        <v>704</v>
      </c>
      <c r="BB1343" t="str">
        <f t="shared" si="510"/>
        <v>1200</v>
      </c>
      <c r="BC1343">
        <v>1</v>
      </c>
      <c r="BD1343" t="str">
        <f t="shared" si="511"/>
        <v xml:space="preserve">N52156  </v>
      </c>
      <c r="BE1343">
        <v>1</v>
      </c>
      <c r="BG1343">
        <v>0</v>
      </c>
      <c r="BH1343">
        <v>0</v>
      </c>
      <c r="BI1343">
        <v>0</v>
      </c>
      <c r="BJ1343">
        <v>3650</v>
      </c>
      <c r="BK1343">
        <v>-50</v>
      </c>
      <c r="BL1343" t="s">
        <v>188</v>
      </c>
      <c r="BM1343">
        <v>1</v>
      </c>
      <c r="BN1343">
        <v>1</v>
      </c>
      <c r="BO1343">
        <v>0</v>
      </c>
      <c r="BP1343">
        <v>0</v>
      </c>
      <c r="BS1343">
        <v>0</v>
      </c>
      <c r="BT1343">
        <v>0</v>
      </c>
      <c r="BU1343">
        <v>0</v>
      </c>
      <c r="CE1343" t="str">
        <f t="shared" si="531"/>
        <v>15:08:15.811</v>
      </c>
      <c r="CF1343">
        <v>811268401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3</v>
      </c>
      <c r="CY1343">
        <v>7</v>
      </c>
      <c r="CZ1343" t="s">
        <v>133</v>
      </c>
      <c r="DA1343">
        <v>276</v>
      </c>
      <c r="DB1343">
        <v>0</v>
      </c>
      <c r="DC1343" t="s">
        <v>402</v>
      </c>
      <c r="DD1343" t="s">
        <v>403</v>
      </c>
      <c r="DG1343">
        <v>1625542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"05/01/2025 15:08:16.052"</f>
        <v>05/01/2025 15:08:16.052</v>
      </c>
      <c r="C1344" t="str">
        <f t="shared" si="508"/>
        <v>FFDFD3C0</v>
      </c>
      <c r="D1344" t="s">
        <v>145</v>
      </c>
      <c r="E1344" t="str">
        <f>"09"</f>
        <v>09</v>
      </c>
      <c r="H1344">
        <v>51</v>
      </c>
      <c r="I1344" t="s">
        <v>147</v>
      </c>
      <c r="J1344" t="s">
        <v>138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R1344" t="s">
        <v>127</v>
      </c>
      <c r="S1344" t="str">
        <f t="shared" si="530"/>
        <v>15:08:15.000</v>
      </c>
      <c r="T1344" t="str">
        <f t="shared" si="530"/>
        <v>15:08:15.000</v>
      </c>
      <c r="U1344" t="str">
        <f t="shared" si="509"/>
        <v>A68FCB</v>
      </c>
      <c r="V1344">
        <v>0</v>
      </c>
      <c r="W1344">
        <v>0</v>
      </c>
      <c r="X1344">
        <v>2</v>
      </c>
      <c r="Y1344">
        <v>0</v>
      </c>
      <c r="AA1344">
        <v>1</v>
      </c>
      <c r="AB1344">
        <v>8</v>
      </c>
      <c r="AC1344">
        <v>3</v>
      </c>
      <c r="AD1344">
        <v>0</v>
      </c>
      <c r="AE1344">
        <v>9</v>
      </c>
      <c r="AF1344" t="s">
        <v>138</v>
      </c>
      <c r="AG1344">
        <v>0</v>
      </c>
      <c r="AH1344">
        <v>3</v>
      </c>
      <c r="AI1344">
        <v>2</v>
      </c>
      <c r="AJ1344">
        <v>0</v>
      </c>
      <c r="AK1344" t="s">
        <v>514</v>
      </c>
      <c r="AL1344">
        <v>39.009704999999997</v>
      </c>
      <c r="AM1344" t="s">
        <v>515</v>
      </c>
      <c r="AN1344">
        <v>-121.055367</v>
      </c>
      <c r="AO1344">
        <v>25</v>
      </c>
      <c r="AP1344">
        <v>3700</v>
      </c>
      <c r="AQ1344" t="s">
        <v>131</v>
      </c>
      <c r="AR1344">
        <v>-9</v>
      </c>
      <c r="AS1344">
        <v>87</v>
      </c>
      <c r="AT1344">
        <v>704</v>
      </c>
      <c r="BB1344" t="str">
        <f t="shared" si="510"/>
        <v>1200</v>
      </c>
      <c r="BC1344">
        <v>1</v>
      </c>
      <c r="BD1344" t="str">
        <f t="shared" si="511"/>
        <v xml:space="preserve">N52156  </v>
      </c>
      <c r="BE1344">
        <v>1</v>
      </c>
      <c r="BG1344">
        <v>0</v>
      </c>
      <c r="BH1344">
        <v>0</v>
      </c>
      <c r="BI1344">
        <v>0</v>
      </c>
      <c r="BJ1344">
        <v>3650</v>
      </c>
      <c r="BK1344">
        <v>-50</v>
      </c>
      <c r="BL1344" t="s">
        <v>188</v>
      </c>
      <c r="BM1344">
        <v>1</v>
      </c>
      <c r="BN1344">
        <v>1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 t="shared" si="531"/>
        <v>15:08:15.811</v>
      </c>
      <c r="CF1344">
        <v>811268401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3</v>
      </c>
      <c r="CY1344">
        <v>7</v>
      </c>
      <c r="CZ1344" t="s">
        <v>133</v>
      </c>
      <c r="DA1344">
        <v>276</v>
      </c>
      <c r="DB1344">
        <v>0</v>
      </c>
      <c r="DC1344" t="s">
        <v>402</v>
      </c>
      <c r="DD1344" t="s">
        <v>403</v>
      </c>
      <c r="DG1344">
        <v>1625542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"05/01/2025 15:08:16.053"</f>
        <v>05/01/2025 15:08:16.053</v>
      </c>
      <c r="C1345" t="str">
        <f t="shared" si="508"/>
        <v>FFDFD3C0</v>
      </c>
      <c r="D1345" t="s">
        <v>143</v>
      </c>
      <c r="E1345" t="str">
        <f>"05"</f>
        <v>05</v>
      </c>
      <c r="H1345">
        <v>172</v>
      </c>
      <c r="I1345" t="s">
        <v>141</v>
      </c>
      <c r="J1345" t="s">
        <v>144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R1345" t="s">
        <v>127</v>
      </c>
      <c r="S1345" t="str">
        <f t="shared" si="530"/>
        <v>15:08:15.000</v>
      </c>
      <c r="T1345" t="str">
        <f t="shared" si="530"/>
        <v>15:08:15.000</v>
      </c>
      <c r="U1345" t="str">
        <f t="shared" si="509"/>
        <v>A68FCB</v>
      </c>
      <c r="V1345">
        <v>0</v>
      </c>
      <c r="W1345">
        <v>0</v>
      </c>
      <c r="X1345">
        <v>2</v>
      </c>
      <c r="Y1345">
        <v>0</v>
      </c>
      <c r="AA1345">
        <v>1</v>
      </c>
      <c r="AB1345">
        <v>8</v>
      </c>
      <c r="AC1345">
        <v>3</v>
      </c>
      <c r="AD1345">
        <v>0</v>
      </c>
      <c r="AE1345">
        <v>9</v>
      </c>
      <c r="AF1345" t="s">
        <v>138</v>
      </c>
      <c r="AG1345">
        <v>0</v>
      </c>
      <c r="AH1345">
        <v>3</v>
      </c>
      <c r="AI1345">
        <v>2</v>
      </c>
      <c r="AJ1345">
        <v>0</v>
      </c>
      <c r="AK1345" t="s">
        <v>514</v>
      </c>
      <c r="AL1345">
        <v>39.009704999999997</v>
      </c>
      <c r="AM1345" t="s">
        <v>515</v>
      </c>
      <c r="AN1345">
        <v>-121.055367</v>
      </c>
      <c r="AO1345">
        <v>25</v>
      </c>
      <c r="AP1345">
        <v>3700</v>
      </c>
      <c r="AQ1345" t="s">
        <v>131</v>
      </c>
      <c r="AR1345">
        <v>-9</v>
      </c>
      <c r="AS1345">
        <v>87</v>
      </c>
      <c r="AT1345">
        <v>704</v>
      </c>
      <c r="BB1345" t="str">
        <f t="shared" si="510"/>
        <v>1200</v>
      </c>
      <c r="BC1345">
        <v>1</v>
      </c>
      <c r="BD1345" t="str">
        <f t="shared" si="511"/>
        <v xml:space="preserve">N52156  </v>
      </c>
      <c r="BE1345">
        <v>1</v>
      </c>
      <c r="BG1345">
        <v>0</v>
      </c>
      <c r="BH1345">
        <v>0</v>
      </c>
      <c r="BI1345">
        <v>0</v>
      </c>
      <c r="BJ1345">
        <v>3650</v>
      </c>
      <c r="BK1345">
        <v>-50</v>
      </c>
      <c r="BL1345" t="s">
        <v>188</v>
      </c>
      <c r="BM1345">
        <v>1</v>
      </c>
      <c r="BN1345">
        <v>1</v>
      </c>
      <c r="BO1345">
        <v>0</v>
      </c>
      <c r="BP1345">
        <v>0</v>
      </c>
      <c r="BS1345">
        <v>0</v>
      </c>
      <c r="BT1345">
        <v>0</v>
      </c>
      <c r="BU1345">
        <v>0</v>
      </c>
      <c r="CE1345" t="str">
        <f t="shared" si="531"/>
        <v>15:08:15.811</v>
      </c>
      <c r="CF1345">
        <v>811268401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3</v>
      </c>
      <c r="CY1345">
        <v>7</v>
      </c>
      <c r="CZ1345" t="s">
        <v>133</v>
      </c>
      <c r="DA1345">
        <v>276</v>
      </c>
      <c r="DB1345">
        <v>0</v>
      </c>
      <c r="DC1345" t="s">
        <v>402</v>
      </c>
      <c r="DD1345" t="s">
        <v>403</v>
      </c>
      <c r="DG1345">
        <v>1625542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"05/01/2025 15:08:17.100"</f>
        <v>05/01/2025 15:08:17.100</v>
      </c>
      <c r="C1346" t="str">
        <f t="shared" ref="C1346:C1409" si="532">"FFDFD3C0"</f>
        <v>FFDFD3C0</v>
      </c>
      <c r="D1346" t="s">
        <v>124</v>
      </c>
      <c r="E1346" t="str">
        <f>"06"</f>
        <v>06</v>
      </c>
      <c r="F1346">
        <v>2006</v>
      </c>
      <c r="G1346" t="s">
        <v>125</v>
      </c>
      <c r="J1346" t="s">
        <v>126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R1346" t="s">
        <v>127</v>
      </c>
      <c r="S1346" t="str">
        <f t="shared" ref="S1346:T1351" si="533">"15:08:16.000"</f>
        <v>15:08:16.000</v>
      </c>
      <c r="T1346" t="str">
        <f t="shared" si="533"/>
        <v>15:08:16.000</v>
      </c>
      <c r="U1346" t="str">
        <f t="shared" ref="U1346:U1409" si="534">"A68FCB"</f>
        <v>A68FCB</v>
      </c>
      <c r="V1346">
        <v>0</v>
      </c>
      <c r="W1346">
        <v>0</v>
      </c>
      <c r="X1346">
        <v>2</v>
      </c>
      <c r="Y1346">
        <v>0</v>
      </c>
      <c r="AA1346">
        <v>1</v>
      </c>
      <c r="AB1346">
        <v>8</v>
      </c>
      <c r="AC1346">
        <v>3</v>
      </c>
      <c r="AD1346">
        <v>0</v>
      </c>
      <c r="AE1346">
        <v>9</v>
      </c>
      <c r="AF1346" t="s">
        <v>138</v>
      </c>
      <c r="AG1346">
        <v>0</v>
      </c>
      <c r="AH1346">
        <v>3</v>
      </c>
      <c r="AI1346">
        <v>2</v>
      </c>
      <c r="AJ1346">
        <v>0</v>
      </c>
      <c r="AK1346" t="s">
        <v>516</v>
      </c>
      <c r="AL1346">
        <v>39.010111999999999</v>
      </c>
      <c r="AM1346" t="s">
        <v>517</v>
      </c>
      <c r="AN1346">
        <v>-121.055431</v>
      </c>
      <c r="AO1346">
        <v>25</v>
      </c>
      <c r="AP1346">
        <v>3700</v>
      </c>
      <c r="AQ1346" t="s">
        <v>131</v>
      </c>
      <c r="AR1346">
        <v>-6</v>
      </c>
      <c r="AS1346">
        <v>85</v>
      </c>
      <c r="AT1346">
        <v>768</v>
      </c>
      <c r="BB1346" t="str">
        <f t="shared" ref="BB1346:BB1409" si="535">"1200"</f>
        <v>1200</v>
      </c>
      <c r="BC1346">
        <v>1</v>
      </c>
      <c r="BD1346" t="str">
        <f t="shared" ref="BD1346:BD1409" si="536">"N52156  "</f>
        <v xml:space="preserve">N52156  </v>
      </c>
      <c r="BE1346">
        <v>1</v>
      </c>
      <c r="BG1346">
        <v>0</v>
      </c>
      <c r="BH1346">
        <v>0</v>
      </c>
      <c r="BI1346">
        <v>0</v>
      </c>
      <c r="BJ1346">
        <v>3650</v>
      </c>
      <c r="BK1346">
        <v>-50</v>
      </c>
      <c r="BL1346" t="s">
        <v>188</v>
      </c>
      <c r="BM1346">
        <v>1</v>
      </c>
      <c r="BN1346">
        <v>1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 t="shared" ref="CE1346:CE1351" si="537">"15:08:16.880"</f>
        <v>15:08:16.880</v>
      </c>
      <c r="CF1346">
        <v>879955357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3</v>
      </c>
      <c r="CY1346">
        <v>7</v>
      </c>
      <c r="CZ1346" t="s">
        <v>133</v>
      </c>
      <c r="DA1346">
        <v>275</v>
      </c>
      <c r="DB1346">
        <v>0</v>
      </c>
      <c r="DC1346" t="s">
        <v>134</v>
      </c>
      <c r="DD1346" t="s">
        <v>135</v>
      </c>
      <c r="DG1346">
        <v>3320213</v>
      </c>
      <c r="DI1346">
        <v>1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"05/01/2025 15:08:17.096"</f>
        <v>05/01/2025 15:08:17.096</v>
      </c>
      <c r="C1347" t="str">
        <f t="shared" si="532"/>
        <v>FFDFD3C0</v>
      </c>
      <c r="D1347" t="s">
        <v>140</v>
      </c>
      <c r="E1347" t="str">
        <f>"13"</f>
        <v>13</v>
      </c>
      <c r="F1347">
        <v>1019</v>
      </c>
      <c r="G1347" t="s">
        <v>141</v>
      </c>
      <c r="J1347" t="s">
        <v>142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R1347" t="s">
        <v>127</v>
      </c>
      <c r="S1347" t="str">
        <f t="shared" si="533"/>
        <v>15:08:16.000</v>
      </c>
      <c r="T1347" t="str">
        <f t="shared" si="533"/>
        <v>15:08:16.000</v>
      </c>
      <c r="U1347" t="str">
        <f t="shared" si="534"/>
        <v>A68FCB</v>
      </c>
      <c r="V1347">
        <v>0</v>
      </c>
      <c r="W1347">
        <v>0</v>
      </c>
      <c r="X1347">
        <v>2</v>
      </c>
      <c r="Y1347">
        <v>0</v>
      </c>
      <c r="AA1347">
        <v>1</v>
      </c>
      <c r="AB1347">
        <v>8</v>
      </c>
      <c r="AC1347">
        <v>3</v>
      </c>
      <c r="AD1347">
        <v>0</v>
      </c>
      <c r="AE1347">
        <v>9</v>
      </c>
      <c r="AF1347" t="s">
        <v>138</v>
      </c>
      <c r="AG1347">
        <v>0</v>
      </c>
      <c r="AH1347">
        <v>3</v>
      </c>
      <c r="AI1347">
        <v>2</v>
      </c>
      <c r="AJ1347">
        <v>0</v>
      </c>
      <c r="AK1347" t="s">
        <v>516</v>
      </c>
      <c r="AL1347">
        <v>39.010111999999999</v>
      </c>
      <c r="AM1347" t="s">
        <v>517</v>
      </c>
      <c r="AN1347">
        <v>-121.055431</v>
      </c>
      <c r="AO1347">
        <v>25</v>
      </c>
      <c r="AP1347">
        <v>3700</v>
      </c>
      <c r="AQ1347" t="s">
        <v>131</v>
      </c>
      <c r="AR1347">
        <v>-6</v>
      </c>
      <c r="AS1347">
        <v>85</v>
      </c>
      <c r="AT1347">
        <v>768</v>
      </c>
      <c r="BB1347" t="str">
        <f t="shared" si="535"/>
        <v>1200</v>
      </c>
      <c r="BC1347">
        <v>1</v>
      </c>
      <c r="BD1347" t="str">
        <f t="shared" si="536"/>
        <v xml:space="preserve">N52156  </v>
      </c>
      <c r="BE1347">
        <v>1</v>
      </c>
      <c r="BG1347">
        <v>0</v>
      </c>
      <c r="BH1347">
        <v>0</v>
      </c>
      <c r="BI1347">
        <v>0</v>
      </c>
      <c r="BJ1347">
        <v>3650</v>
      </c>
      <c r="BK1347">
        <v>-50</v>
      </c>
      <c r="BL1347" t="s">
        <v>188</v>
      </c>
      <c r="BM1347">
        <v>1</v>
      </c>
      <c r="BN1347">
        <v>1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 t="shared" si="537"/>
        <v>15:08:16.880</v>
      </c>
      <c r="CF1347">
        <v>879955357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3</v>
      </c>
      <c r="CY1347">
        <v>7</v>
      </c>
      <c r="CZ1347" t="s">
        <v>133</v>
      </c>
      <c r="DA1347">
        <v>275</v>
      </c>
      <c r="DB1347">
        <v>0</v>
      </c>
      <c r="DC1347" t="s">
        <v>134</v>
      </c>
      <c r="DD1347" t="s">
        <v>135</v>
      </c>
      <c r="DG1347">
        <v>3320213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"05/01/2025 15:08:17.100"</f>
        <v>05/01/2025 15:08:17.100</v>
      </c>
      <c r="C1348" t="str">
        <f t="shared" si="532"/>
        <v>FFDFD3C0</v>
      </c>
      <c r="D1348" t="s">
        <v>145</v>
      </c>
      <c r="E1348" t="str">
        <f>"05"</f>
        <v>05</v>
      </c>
      <c r="H1348">
        <v>47</v>
      </c>
      <c r="I1348" t="s">
        <v>146</v>
      </c>
      <c r="J1348" t="s">
        <v>138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R1348" t="s">
        <v>127</v>
      </c>
      <c r="S1348" t="str">
        <f t="shared" si="533"/>
        <v>15:08:16.000</v>
      </c>
      <c r="T1348" t="str">
        <f t="shared" si="533"/>
        <v>15:08:16.000</v>
      </c>
      <c r="U1348" t="str">
        <f t="shared" si="534"/>
        <v>A68FCB</v>
      </c>
      <c r="V1348">
        <v>0</v>
      </c>
      <c r="W1348">
        <v>0</v>
      </c>
      <c r="X1348">
        <v>2</v>
      </c>
      <c r="Y1348">
        <v>0</v>
      </c>
      <c r="AA1348">
        <v>1</v>
      </c>
      <c r="AB1348">
        <v>8</v>
      </c>
      <c r="AC1348">
        <v>3</v>
      </c>
      <c r="AD1348">
        <v>0</v>
      </c>
      <c r="AE1348">
        <v>9</v>
      </c>
      <c r="AF1348" t="s">
        <v>138</v>
      </c>
      <c r="AG1348">
        <v>0</v>
      </c>
      <c r="AH1348">
        <v>3</v>
      </c>
      <c r="AI1348">
        <v>2</v>
      </c>
      <c r="AJ1348">
        <v>0</v>
      </c>
      <c r="AK1348" t="s">
        <v>516</v>
      </c>
      <c r="AL1348">
        <v>39.010111999999999</v>
      </c>
      <c r="AM1348" t="s">
        <v>517</v>
      </c>
      <c r="AN1348">
        <v>-121.055431</v>
      </c>
      <c r="AO1348">
        <v>25</v>
      </c>
      <c r="AP1348">
        <v>3700</v>
      </c>
      <c r="AQ1348" t="s">
        <v>131</v>
      </c>
      <c r="AR1348">
        <v>-6</v>
      </c>
      <c r="AS1348">
        <v>85</v>
      </c>
      <c r="AT1348">
        <v>768</v>
      </c>
      <c r="BB1348" t="str">
        <f t="shared" si="535"/>
        <v>1200</v>
      </c>
      <c r="BC1348">
        <v>1</v>
      </c>
      <c r="BD1348" t="str">
        <f t="shared" si="536"/>
        <v xml:space="preserve">N52156  </v>
      </c>
      <c r="BE1348">
        <v>1</v>
      </c>
      <c r="BG1348">
        <v>0</v>
      </c>
      <c r="BH1348">
        <v>0</v>
      </c>
      <c r="BI1348">
        <v>0</v>
      </c>
      <c r="BJ1348">
        <v>3650</v>
      </c>
      <c r="BK1348">
        <v>-50</v>
      </c>
      <c r="BL1348" t="s">
        <v>188</v>
      </c>
      <c r="BM1348">
        <v>1</v>
      </c>
      <c r="BN1348">
        <v>1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 t="shared" si="537"/>
        <v>15:08:16.880</v>
      </c>
      <c r="CF1348">
        <v>879955357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3</v>
      </c>
      <c r="CY1348">
        <v>7</v>
      </c>
      <c r="CZ1348" t="s">
        <v>133</v>
      </c>
      <c r="DA1348">
        <v>275</v>
      </c>
      <c r="DB1348">
        <v>0</v>
      </c>
      <c r="DC1348" t="s">
        <v>134</v>
      </c>
      <c r="DD1348" t="s">
        <v>135</v>
      </c>
      <c r="DG1348">
        <v>3320213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"05/01/2025 15:08:17.103"</f>
        <v>05/01/2025 15:08:17.103</v>
      </c>
      <c r="C1349" t="str">
        <f t="shared" si="532"/>
        <v>FFDFD3C0</v>
      </c>
      <c r="D1349" t="s">
        <v>145</v>
      </c>
      <c r="E1349" t="str">
        <f>"09"</f>
        <v>09</v>
      </c>
      <c r="H1349">
        <v>51</v>
      </c>
      <c r="I1349" t="s">
        <v>147</v>
      </c>
      <c r="J1349" t="s">
        <v>138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R1349" t="s">
        <v>127</v>
      </c>
      <c r="S1349" t="str">
        <f t="shared" si="533"/>
        <v>15:08:16.000</v>
      </c>
      <c r="T1349" t="str">
        <f t="shared" si="533"/>
        <v>15:08:16.000</v>
      </c>
      <c r="U1349" t="str">
        <f t="shared" si="534"/>
        <v>A68FCB</v>
      </c>
      <c r="V1349">
        <v>0</v>
      </c>
      <c r="W1349">
        <v>0</v>
      </c>
      <c r="X1349">
        <v>2</v>
      </c>
      <c r="Y1349">
        <v>0</v>
      </c>
      <c r="AA1349">
        <v>1</v>
      </c>
      <c r="AB1349">
        <v>8</v>
      </c>
      <c r="AC1349">
        <v>3</v>
      </c>
      <c r="AD1349">
        <v>0</v>
      </c>
      <c r="AE1349">
        <v>9</v>
      </c>
      <c r="AF1349" t="s">
        <v>138</v>
      </c>
      <c r="AG1349">
        <v>0</v>
      </c>
      <c r="AH1349">
        <v>3</v>
      </c>
      <c r="AI1349">
        <v>2</v>
      </c>
      <c r="AJ1349">
        <v>0</v>
      </c>
      <c r="AK1349" t="s">
        <v>516</v>
      </c>
      <c r="AL1349">
        <v>39.010111999999999</v>
      </c>
      <c r="AM1349" t="s">
        <v>517</v>
      </c>
      <c r="AN1349">
        <v>-121.055431</v>
      </c>
      <c r="AO1349">
        <v>25</v>
      </c>
      <c r="AP1349">
        <v>3700</v>
      </c>
      <c r="AQ1349" t="s">
        <v>131</v>
      </c>
      <c r="AR1349">
        <v>-6</v>
      </c>
      <c r="AS1349">
        <v>85</v>
      </c>
      <c r="AT1349">
        <v>768</v>
      </c>
      <c r="BB1349" t="str">
        <f t="shared" si="535"/>
        <v>1200</v>
      </c>
      <c r="BC1349">
        <v>1</v>
      </c>
      <c r="BD1349" t="str">
        <f t="shared" si="536"/>
        <v xml:space="preserve">N52156  </v>
      </c>
      <c r="BE1349">
        <v>1</v>
      </c>
      <c r="BG1349">
        <v>0</v>
      </c>
      <c r="BH1349">
        <v>0</v>
      </c>
      <c r="BI1349">
        <v>0</v>
      </c>
      <c r="BJ1349">
        <v>3650</v>
      </c>
      <c r="BK1349">
        <v>-50</v>
      </c>
      <c r="BL1349" t="s">
        <v>188</v>
      </c>
      <c r="BM1349">
        <v>1</v>
      </c>
      <c r="BN1349">
        <v>1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 t="shared" si="537"/>
        <v>15:08:16.880</v>
      </c>
      <c r="CF1349">
        <v>879955357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3</v>
      </c>
      <c r="CY1349">
        <v>7</v>
      </c>
      <c r="CZ1349" t="s">
        <v>133</v>
      </c>
      <c r="DA1349">
        <v>275</v>
      </c>
      <c r="DB1349">
        <v>0</v>
      </c>
      <c r="DC1349" t="s">
        <v>134</v>
      </c>
      <c r="DD1349" t="s">
        <v>135</v>
      </c>
      <c r="DG1349">
        <v>3320213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"05/01/2025 15:08:17.105"</f>
        <v>05/01/2025 15:08:17.105</v>
      </c>
      <c r="C1350" t="str">
        <f t="shared" si="532"/>
        <v>FFDFD3C0</v>
      </c>
      <c r="D1350" t="s">
        <v>143</v>
      </c>
      <c r="E1350" t="str">
        <f>"05"</f>
        <v>05</v>
      </c>
      <c r="H1350">
        <v>172</v>
      </c>
      <c r="I1350" t="s">
        <v>141</v>
      </c>
      <c r="J1350" t="s">
        <v>144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R1350" t="s">
        <v>127</v>
      </c>
      <c r="S1350" t="str">
        <f t="shared" si="533"/>
        <v>15:08:16.000</v>
      </c>
      <c r="T1350" t="str">
        <f t="shared" si="533"/>
        <v>15:08:16.000</v>
      </c>
      <c r="U1350" t="str">
        <f t="shared" si="534"/>
        <v>A68FCB</v>
      </c>
      <c r="V1350">
        <v>0</v>
      </c>
      <c r="W1350">
        <v>0</v>
      </c>
      <c r="X1350">
        <v>2</v>
      </c>
      <c r="Y1350">
        <v>0</v>
      </c>
      <c r="AA1350">
        <v>1</v>
      </c>
      <c r="AB1350">
        <v>8</v>
      </c>
      <c r="AC1350">
        <v>3</v>
      </c>
      <c r="AD1350">
        <v>0</v>
      </c>
      <c r="AE1350">
        <v>9</v>
      </c>
      <c r="AF1350" t="s">
        <v>138</v>
      </c>
      <c r="AG1350">
        <v>0</v>
      </c>
      <c r="AH1350">
        <v>3</v>
      </c>
      <c r="AI1350">
        <v>2</v>
      </c>
      <c r="AJ1350">
        <v>0</v>
      </c>
      <c r="AK1350" t="s">
        <v>516</v>
      </c>
      <c r="AL1350">
        <v>39.010111999999999</v>
      </c>
      <c r="AM1350" t="s">
        <v>517</v>
      </c>
      <c r="AN1350">
        <v>-121.055431</v>
      </c>
      <c r="AO1350">
        <v>25</v>
      </c>
      <c r="AP1350">
        <v>3700</v>
      </c>
      <c r="AQ1350" t="s">
        <v>131</v>
      </c>
      <c r="AR1350">
        <v>-6</v>
      </c>
      <c r="AS1350">
        <v>85</v>
      </c>
      <c r="AT1350">
        <v>768</v>
      </c>
      <c r="BB1350" t="str">
        <f t="shared" si="535"/>
        <v>1200</v>
      </c>
      <c r="BC1350">
        <v>1</v>
      </c>
      <c r="BD1350" t="str">
        <f t="shared" si="536"/>
        <v xml:space="preserve">N52156  </v>
      </c>
      <c r="BE1350">
        <v>1</v>
      </c>
      <c r="BG1350">
        <v>0</v>
      </c>
      <c r="BH1350">
        <v>0</v>
      </c>
      <c r="BI1350">
        <v>0</v>
      </c>
      <c r="BJ1350">
        <v>3650</v>
      </c>
      <c r="BK1350">
        <v>-50</v>
      </c>
      <c r="BL1350" t="s">
        <v>188</v>
      </c>
      <c r="BM1350">
        <v>1</v>
      </c>
      <c r="BN1350">
        <v>1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 t="shared" si="537"/>
        <v>15:08:16.880</v>
      </c>
      <c r="CF1350">
        <v>879955357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3</v>
      </c>
      <c r="CY1350">
        <v>7</v>
      </c>
      <c r="CZ1350" t="s">
        <v>133</v>
      </c>
      <c r="DA1350">
        <v>275</v>
      </c>
      <c r="DB1350">
        <v>0</v>
      </c>
      <c r="DC1350" t="s">
        <v>134</v>
      </c>
      <c r="DD1350" t="s">
        <v>135</v>
      </c>
      <c r="DG1350">
        <v>3320213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"05/01/2025 15:08:17.113"</f>
        <v>05/01/2025 15:08:17.113</v>
      </c>
      <c r="C1351" t="str">
        <f t="shared" si="532"/>
        <v>FFDFD3C0</v>
      </c>
      <c r="D1351" t="s">
        <v>136</v>
      </c>
      <c r="E1351" t="str">
        <f>"20"</f>
        <v>20</v>
      </c>
      <c r="H1351">
        <v>400</v>
      </c>
      <c r="I1351" t="s">
        <v>137</v>
      </c>
      <c r="J1351" t="s">
        <v>138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R1351" t="s">
        <v>127</v>
      </c>
      <c r="S1351" t="str">
        <f t="shared" si="533"/>
        <v>15:08:16.000</v>
      </c>
      <c r="T1351" t="str">
        <f t="shared" si="533"/>
        <v>15:08:16.000</v>
      </c>
      <c r="U1351" t="str">
        <f t="shared" si="534"/>
        <v>A68FCB</v>
      </c>
      <c r="V1351">
        <v>0</v>
      </c>
      <c r="W1351">
        <v>0</v>
      </c>
      <c r="X1351">
        <v>2</v>
      </c>
      <c r="Y1351">
        <v>0</v>
      </c>
      <c r="AA1351">
        <v>1</v>
      </c>
      <c r="AB1351">
        <v>8</v>
      </c>
      <c r="AC1351">
        <v>3</v>
      </c>
      <c r="AD1351">
        <v>0</v>
      </c>
      <c r="AE1351">
        <v>9</v>
      </c>
      <c r="AF1351" t="s">
        <v>138</v>
      </c>
      <c r="AG1351">
        <v>0</v>
      </c>
      <c r="AH1351">
        <v>3</v>
      </c>
      <c r="AI1351">
        <v>2</v>
      </c>
      <c r="AJ1351">
        <v>0</v>
      </c>
      <c r="AK1351" t="s">
        <v>516</v>
      </c>
      <c r="AL1351">
        <v>39.010111999999999</v>
      </c>
      <c r="AM1351" t="s">
        <v>517</v>
      </c>
      <c r="AN1351">
        <v>-121.055431</v>
      </c>
      <c r="AO1351">
        <v>25</v>
      </c>
      <c r="AP1351">
        <v>3700</v>
      </c>
      <c r="AQ1351" t="s">
        <v>131</v>
      </c>
      <c r="AR1351">
        <v>-6</v>
      </c>
      <c r="AS1351">
        <v>85</v>
      </c>
      <c r="AT1351">
        <v>768</v>
      </c>
      <c r="BB1351" t="str">
        <f t="shared" si="535"/>
        <v>1200</v>
      </c>
      <c r="BC1351">
        <v>1</v>
      </c>
      <c r="BD1351" t="str">
        <f t="shared" si="536"/>
        <v xml:space="preserve">N52156  </v>
      </c>
      <c r="BE1351">
        <v>1</v>
      </c>
      <c r="BG1351">
        <v>0</v>
      </c>
      <c r="BH1351">
        <v>0</v>
      </c>
      <c r="BI1351">
        <v>0</v>
      </c>
      <c r="BJ1351">
        <v>3650</v>
      </c>
      <c r="BK1351">
        <v>-50</v>
      </c>
      <c r="BL1351" t="s">
        <v>188</v>
      </c>
      <c r="BM1351">
        <v>1</v>
      </c>
      <c r="BN1351">
        <v>1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 t="shared" si="537"/>
        <v>15:08:16.880</v>
      </c>
      <c r="CF1351">
        <v>879955357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3</v>
      </c>
      <c r="CY1351">
        <v>7</v>
      </c>
      <c r="CZ1351" t="s">
        <v>133</v>
      </c>
      <c r="DA1351">
        <v>275</v>
      </c>
      <c r="DB1351">
        <v>0</v>
      </c>
      <c r="DC1351" t="s">
        <v>134</v>
      </c>
      <c r="DD1351" t="s">
        <v>135</v>
      </c>
      <c r="DG1351">
        <v>3320213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"05/01/2025 15:08:17.764"</f>
        <v>05/01/2025 15:08:17.764</v>
      </c>
      <c r="C1352" t="str">
        <f t="shared" si="532"/>
        <v>FFDFD3C0</v>
      </c>
      <c r="D1352" t="s">
        <v>136</v>
      </c>
      <c r="E1352" t="str">
        <f>"20"</f>
        <v>20</v>
      </c>
      <c r="H1352">
        <v>400</v>
      </c>
      <c r="I1352" t="s">
        <v>137</v>
      </c>
      <c r="J1352" t="s">
        <v>138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R1352" t="s">
        <v>127</v>
      </c>
      <c r="S1352" t="str">
        <f t="shared" ref="S1352:T1357" si="538">"15:08:17.000"</f>
        <v>15:08:17.000</v>
      </c>
      <c r="T1352" t="str">
        <f t="shared" si="538"/>
        <v>15:08:17.000</v>
      </c>
      <c r="U1352" t="str">
        <f t="shared" si="534"/>
        <v>A68FCB</v>
      </c>
      <c r="V1352">
        <v>0</v>
      </c>
      <c r="W1352">
        <v>0</v>
      </c>
      <c r="X1352">
        <v>2</v>
      </c>
      <c r="Y1352">
        <v>0</v>
      </c>
      <c r="AA1352">
        <v>1</v>
      </c>
      <c r="AB1352">
        <v>8</v>
      </c>
      <c r="AC1352">
        <v>3</v>
      </c>
      <c r="AD1352">
        <v>0</v>
      </c>
      <c r="AE1352">
        <v>9</v>
      </c>
      <c r="AF1352" t="s">
        <v>138</v>
      </c>
      <c r="AG1352">
        <v>0</v>
      </c>
      <c r="AH1352">
        <v>3</v>
      </c>
      <c r="AI1352">
        <v>2</v>
      </c>
      <c r="AJ1352">
        <v>0</v>
      </c>
      <c r="AK1352" t="s">
        <v>518</v>
      </c>
      <c r="AL1352">
        <v>39.010499000000003</v>
      </c>
      <c r="AM1352" t="s">
        <v>519</v>
      </c>
      <c r="AN1352">
        <v>-121.05549600000001</v>
      </c>
      <c r="AO1352">
        <v>25</v>
      </c>
      <c r="AP1352">
        <v>3700</v>
      </c>
      <c r="AQ1352" t="s">
        <v>131</v>
      </c>
      <c r="AR1352">
        <v>-3</v>
      </c>
      <c r="AS1352">
        <v>84</v>
      </c>
      <c r="AT1352">
        <v>832</v>
      </c>
      <c r="BB1352" t="str">
        <f t="shared" si="535"/>
        <v>1200</v>
      </c>
      <c r="BC1352">
        <v>1</v>
      </c>
      <c r="BD1352" t="str">
        <f t="shared" si="536"/>
        <v xml:space="preserve">N52156  </v>
      </c>
      <c r="BE1352">
        <v>1</v>
      </c>
      <c r="BG1352">
        <v>0</v>
      </c>
      <c r="BH1352">
        <v>0</v>
      </c>
      <c r="BI1352">
        <v>0</v>
      </c>
      <c r="BJ1352">
        <v>3675</v>
      </c>
      <c r="BK1352">
        <v>-25</v>
      </c>
      <c r="BL1352" t="s">
        <v>188</v>
      </c>
      <c r="BM1352">
        <v>1</v>
      </c>
      <c r="BN1352">
        <v>1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 t="shared" ref="CE1352:CE1357" si="539">"15:08:17.553"</f>
        <v>15:08:17.553</v>
      </c>
      <c r="CF1352">
        <v>553268205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3</v>
      </c>
      <c r="CY1352">
        <v>7</v>
      </c>
      <c r="CZ1352" t="s">
        <v>133</v>
      </c>
      <c r="DA1352">
        <v>276</v>
      </c>
      <c r="DB1352">
        <v>0</v>
      </c>
      <c r="DC1352" t="s">
        <v>402</v>
      </c>
      <c r="DD1352" t="s">
        <v>403</v>
      </c>
      <c r="DG1352">
        <v>1625558</v>
      </c>
      <c r="DI1352">
        <v>1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"05/01/2025 15:08:17.797"</f>
        <v>05/01/2025 15:08:17.797</v>
      </c>
      <c r="C1353" t="str">
        <f t="shared" si="532"/>
        <v>FFDFD3C0</v>
      </c>
      <c r="D1353" t="s">
        <v>140</v>
      </c>
      <c r="E1353" t="str">
        <f>"13"</f>
        <v>13</v>
      </c>
      <c r="F1353">
        <v>1019</v>
      </c>
      <c r="G1353" t="s">
        <v>141</v>
      </c>
      <c r="J1353" t="s">
        <v>142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R1353" t="s">
        <v>127</v>
      </c>
      <c r="S1353" t="str">
        <f t="shared" si="538"/>
        <v>15:08:17.000</v>
      </c>
      <c r="T1353" t="str">
        <f t="shared" si="538"/>
        <v>15:08:17.000</v>
      </c>
      <c r="U1353" t="str">
        <f t="shared" si="534"/>
        <v>A68FCB</v>
      </c>
      <c r="V1353">
        <v>0</v>
      </c>
      <c r="W1353">
        <v>0</v>
      </c>
      <c r="X1353">
        <v>2</v>
      </c>
      <c r="Y1353">
        <v>0</v>
      </c>
      <c r="AA1353">
        <v>1</v>
      </c>
      <c r="AB1353">
        <v>8</v>
      </c>
      <c r="AC1353">
        <v>3</v>
      </c>
      <c r="AD1353">
        <v>0</v>
      </c>
      <c r="AE1353">
        <v>9</v>
      </c>
      <c r="AF1353" t="s">
        <v>138</v>
      </c>
      <c r="AG1353">
        <v>0</v>
      </c>
      <c r="AH1353">
        <v>3</v>
      </c>
      <c r="AI1353">
        <v>2</v>
      </c>
      <c r="AJ1353">
        <v>0</v>
      </c>
      <c r="AK1353" t="s">
        <v>518</v>
      </c>
      <c r="AL1353">
        <v>39.010499000000003</v>
      </c>
      <c r="AM1353" t="s">
        <v>519</v>
      </c>
      <c r="AN1353">
        <v>-121.05549600000001</v>
      </c>
      <c r="AO1353">
        <v>25</v>
      </c>
      <c r="AP1353">
        <v>3700</v>
      </c>
      <c r="AQ1353" t="s">
        <v>131</v>
      </c>
      <c r="AR1353">
        <v>-3</v>
      </c>
      <c r="AS1353">
        <v>84</v>
      </c>
      <c r="AT1353">
        <v>832</v>
      </c>
      <c r="BB1353" t="str">
        <f t="shared" si="535"/>
        <v>1200</v>
      </c>
      <c r="BC1353">
        <v>1</v>
      </c>
      <c r="BD1353" t="str">
        <f t="shared" si="536"/>
        <v xml:space="preserve">N52156  </v>
      </c>
      <c r="BE1353">
        <v>1</v>
      </c>
      <c r="BG1353">
        <v>0</v>
      </c>
      <c r="BH1353">
        <v>0</v>
      </c>
      <c r="BI1353">
        <v>0</v>
      </c>
      <c r="BJ1353">
        <v>3675</v>
      </c>
      <c r="BK1353">
        <v>-25</v>
      </c>
      <c r="BL1353" t="s">
        <v>188</v>
      </c>
      <c r="BM1353">
        <v>1</v>
      </c>
      <c r="BN1353">
        <v>1</v>
      </c>
      <c r="BO1353">
        <v>0</v>
      </c>
      <c r="BP1353">
        <v>0</v>
      </c>
      <c r="BS1353">
        <v>0</v>
      </c>
      <c r="BT1353">
        <v>0</v>
      </c>
      <c r="BU1353">
        <v>0</v>
      </c>
      <c r="CE1353" t="str">
        <f t="shared" si="539"/>
        <v>15:08:17.553</v>
      </c>
      <c r="CF1353">
        <v>553268205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3</v>
      </c>
      <c r="CY1353">
        <v>7</v>
      </c>
      <c r="CZ1353" t="s">
        <v>133</v>
      </c>
      <c r="DA1353">
        <v>276</v>
      </c>
      <c r="DB1353">
        <v>0</v>
      </c>
      <c r="DC1353" t="s">
        <v>402</v>
      </c>
      <c r="DD1353" t="s">
        <v>403</v>
      </c>
      <c r="DG1353">
        <v>1625558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"05/01/2025 15:08:17.801"</f>
        <v>05/01/2025 15:08:17.801</v>
      </c>
      <c r="C1354" t="str">
        <f t="shared" si="532"/>
        <v>FFDFD3C0</v>
      </c>
      <c r="D1354" t="s">
        <v>145</v>
      </c>
      <c r="E1354" t="str">
        <f>"05"</f>
        <v>05</v>
      </c>
      <c r="H1354">
        <v>47</v>
      </c>
      <c r="I1354" t="s">
        <v>146</v>
      </c>
      <c r="J1354" t="s">
        <v>138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R1354" t="s">
        <v>127</v>
      </c>
      <c r="S1354" t="str">
        <f t="shared" si="538"/>
        <v>15:08:17.000</v>
      </c>
      <c r="T1354" t="str">
        <f t="shared" si="538"/>
        <v>15:08:17.000</v>
      </c>
      <c r="U1354" t="str">
        <f t="shared" si="534"/>
        <v>A68FCB</v>
      </c>
      <c r="V1354">
        <v>0</v>
      </c>
      <c r="W1354">
        <v>0</v>
      </c>
      <c r="X1354">
        <v>2</v>
      </c>
      <c r="Y1354">
        <v>0</v>
      </c>
      <c r="AA1354">
        <v>1</v>
      </c>
      <c r="AB1354">
        <v>8</v>
      </c>
      <c r="AC1354">
        <v>3</v>
      </c>
      <c r="AD1354">
        <v>0</v>
      </c>
      <c r="AE1354">
        <v>9</v>
      </c>
      <c r="AF1354" t="s">
        <v>138</v>
      </c>
      <c r="AG1354">
        <v>0</v>
      </c>
      <c r="AH1354">
        <v>3</v>
      </c>
      <c r="AI1354">
        <v>2</v>
      </c>
      <c r="AJ1354">
        <v>0</v>
      </c>
      <c r="AK1354" t="s">
        <v>518</v>
      </c>
      <c r="AL1354">
        <v>39.010499000000003</v>
      </c>
      <c r="AM1354" t="s">
        <v>519</v>
      </c>
      <c r="AN1354">
        <v>-121.05549600000001</v>
      </c>
      <c r="AO1354">
        <v>25</v>
      </c>
      <c r="AP1354">
        <v>3700</v>
      </c>
      <c r="AQ1354" t="s">
        <v>131</v>
      </c>
      <c r="AR1354">
        <v>-3</v>
      </c>
      <c r="AS1354">
        <v>84</v>
      </c>
      <c r="AT1354">
        <v>832</v>
      </c>
      <c r="BB1354" t="str">
        <f t="shared" si="535"/>
        <v>1200</v>
      </c>
      <c r="BC1354">
        <v>1</v>
      </c>
      <c r="BD1354" t="str">
        <f t="shared" si="536"/>
        <v xml:space="preserve">N52156  </v>
      </c>
      <c r="BE1354">
        <v>1</v>
      </c>
      <c r="BG1354">
        <v>0</v>
      </c>
      <c r="BH1354">
        <v>0</v>
      </c>
      <c r="BI1354">
        <v>0</v>
      </c>
      <c r="BJ1354">
        <v>3675</v>
      </c>
      <c r="BK1354">
        <v>-25</v>
      </c>
      <c r="BL1354" t="s">
        <v>188</v>
      </c>
      <c r="BM1354">
        <v>1</v>
      </c>
      <c r="BN1354">
        <v>1</v>
      </c>
      <c r="BO1354">
        <v>0</v>
      </c>
      <c r="BP1354">
        <v>0</v>
      </c>
      <c r="BS1354">
        <v>0</v>
      </c>
      <c r="BT1354">
        <v>0</v>
      </c>
      <c r="BU1354">
        <v>0</v>
      </c>
      <c r="CE1354" t="str">
        <f t="shared" si="539"/>
        <v>15:08:17.553</v>
      </c>
      <c r="CF1354">
        <v>553268205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3</v>
      </c>
      <c r="CY1354">
        <v>7</v>
      </c>
      <c r="CZ1354" t="s">
        <v>133</v>
      </c>
      <c r="DA1354">
        <v>276</v>
      </c>
      <c r="DB1354">
        <v>0</v>
      </c>
      <c r="DC1354" t="s">
        <v>402</v>
      </c>
      <c r="DD1354" t="s">
        <v>403</v>
      </c>
      <c r="DG1354">
        <v>1625558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"05/01/2025 15:08:17.802"</f>
        <v>05/01/2025 15:08:17.802</v>
      </c>
      <c r="C1355" t="str">
        <f t="shared" si="532"/>
        <v>FFDFD3C0</v>
      </c>
      <c r="D1355" t="s">
        <v>124</v>
      </c>
      <c r="E1355" t="str">
        <f>"06"</f>
        <v>06</v>
      </c>
      <c r="F1355">
        <v>2006</v>
      </c>
      <c r="G1355" t="s">
        <v>125</v>
      </c>
      <c r="J1355" t="s">
        <v>126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R1355" t="s">
        <v>127</v>
      </c>
      <c r="S1355" t="str">
        <f t="shared" si="538"/>
        <v>15:08:17.000</v>
      </c>
      <c r="T1355" t="str">
        <f t="shared" si="538"/>
        <v>15:08:17.000</v>
      </c>
      <c r="U1355" t="str">
        <f t="shared" si="534"/>
        <v>A68FCB</v>
      </c>
      <c r="V1355">
        <v>0</v>
      </c>
      <c r="W1355">
        <v>0</v>
      </c>
      <c r="X1355">
        <v>2</v>
      </c>
      <c r="Y1355">
        <v>0</v>
      </c>
      <c r="AA1355">
        <v>1</v>
      </c>
      <c r="AB1355">
        <v>8</v>
      </c>
      <c r="AC1355">
        <v>3</v>
      </c>
      <c r="AD1355">
        <v>0</v>
      </c>
      <c r="AE1355">
        <v>9</v>
      </c>
      <c r="AF1355" t="s">
        <v>138</v>
      </c>
      <c r="AG1355">
        <v>0</v>
      </c>
      <c r="AH1355">
        <v>3</v>
      </c>
      <c r="AI1355">
        <v>2</v>
      </c>
      <c r="AJ1355">
        <v>0</v>
      </c>
      <c r="AK1355" t="s">
        <v>518</v>
      </c>
      <c r="AL1355">
        <v>39.010499000000003</v>
      </c>
      <c r="AM1355" t="s">
        <v>519</v>
      </c>
      <c r="AN1355">
        <v>-121.05549600000001</v>
      </c>
      <c r="AO1355">
        <v>25</v>
      </c>
      <c r="AP1355">
        <v>3700</v>
      </c>
      <c r="AQ1355" t="s">
        <v>131</v>
      </c>
      <c r="AR1355">
        <v>-3</v>
      </c>
      <c r="AS1355">
        <v>84</v>
      </c>
      <c r="AT1355">
        <v>832</v>
      </c>
      <c r="BB1355" t="str">
        <f t="shared" si="535"/>
        <v>1200</v>
      </c>
      <c r="BC1355">
        <v>1</v>
      </c>
      <c r="BD1355" t="str">
        <f t="shared" si="536"/>
        <v xml:space="preserve">N52156  </v>
      </c>
      <c r="BE1355">
        <v>1</v>
      </c>
      <c r="BG1355">
        <v>0</v>
      </c>
      <c r="BH1355">
        <v>0</v>
      </c>
      <c r="BI1355">
        <v>0</v>
      </c>
      <c r="BJ1355">
        <v>3675</v>
      </c>
      <c r="BK1355">
        <v>-25</v>
      </c>
      <c r="BL1355" t="s">
        <v>188</v>
      </c>
      <c r="BM1355">
        <v>1</v>
      </c>
      <c r="BN1355">
        <v>1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 t="shared" si="539"/>
        <v>15:08:17.553</v>
      </c>
      <c r="CF1355">
        <v>553268205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3</v>
      </c>
      <c r="CY1355">
        <v>7</v>
      </c>
      <c r="CZ1355" t="s">
        <v>133</v>
      </c>
      <c r="DA1355">
        <v>276</v>
      </c>
      <c r="DB1355">
        <v>0</v>
      </c>
      <c r="DC1355" t="s">
        <v>402</v>
      </c>
      <c r="DD1355" t="s">
        <v>403</v>
      </c>
      <c r="DG1355">
        <v>1625558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"05/01/2025 15:08:17.804"</f>
        <v>05/01/2025 15:08:17.804</v>
      </c>
      <c r="C1356" t="str">
        <f t="shared" si="532"/>
        <v>FFDFD3C0</v>
      </c>
      <c r="D1356" t="s">
        <v>145</v>
      </c>
      <c r="E1356" t="str">
        <f>"09"</f>
        <v>09</v>
      </c>
      <c r="H1356">
        <v>51</v>
      </c>
      <c r="I1356" t="s">
        <v>147</v>
      </c>
      <c r="J1356" t="s">
        <v>138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R1356" t="s">
        <v>127</v>
      </c>
      <c r="S1356" t="str">
        <f t="shared" si="538"/>
        <v>15:08:17.000</v>
      </c>
      <c r="T1356" t="str">
        <f t="shared" si="538"/>
        <v>15:08:17.000</v>
      </c>
      <c r="U1356" t="str">
        <f t="shared" si="534"/>
        <v>A68FCB</v>
      </c>
      <c r="V1356">
        <v>0</v>
      </c>
      <c r="W1356">
        <v>0</v>
      </c>
      <c r="X1356">
        <v>2</v>
      </c>
      <c r="Y1356">
        <v>0</v>
      </c>
      <c r="AA1356">
        <v>1</v>
      </c>
      <c r="AB1356">
        <v>8</v>
      </c>
      <c r="AC1356">
        <v>3</v>
      </c>
      <c r="AD1356">
        <v>0</v>
      </c>
      <c r="AE1356">
        <v>9</v>
      </c>
      <c r="AF1356" t="s">
        <v>138</v>
      </c>
      <c r="AG1356">
        <v>0</v>
      </c>
      <c r="AH1356">
        <v>3</v>
      </c>
      <c r="AI1356">
        <v>2</v>
      </c>
      <c r="AJ1356">
        <v>0</v>
      </c>
      <c r="AK1356" t="s">
        <v>518</v>
      </c>
      <c r="AL1356">
        <v>39.010499000000003</v>
      </c>
      <c r="AM1356" t="s">
        <v>519</v>
      </c>
      <c r="AN1356">
        <v>-121.05549600000001</v>
      </c>
      <c r="AO1356">
        <v>25</v>
      </c>
      <c r="AP1356">
        <v>3700</v>
      </c>
      <c r="AQ1356" t="s">
        <v>131</v>
      </c>
      <c r="AR1356">
        <v>-3</v>
      </c>
      <c r="AS1356">
        <v>84</v>
      </c>
      <c r="AT1356">
        <v>832</v>
      </c>
      <c r="BB1356" t="str">
        <f t="shared" si="535"/>
        <v>1200</v>
      </c>
      <c r="BC1356">
        <v>1</v>
      </c>
      <c r="BD1356" t="str">
        <f t="shared" si="536"/>
        <v xml:space="preserve">N52156  </v>
      </c>
      <c r="BE1356">
        <v>1</v>
      </c>
      <c r="BG1356">
        <v>0</v>
      </c>
      <c r="BH1356">
        <v>0</v>
      </c>
      <c r="BI1356">
        <v>0</v>
      </c>
      <c r="BJ1356">
        <v>3675</v>
      </c>
      <c r="BK1356">
        <v>-25</v>
      </c>
      <c r="BL1356" t="s">
        <v>188</v>
      </c>
      <c r="BM1356">
        <v>1</v>
      </c>
      <c r="BN1356">
        <v>1</v>
      </c>
      <c r="BO1356">
        <v>0</v>
      </c>
      <c r="BP1356">
        <v>0</v>
      </c>
      <c r="BS1356">
        <v>0</v>
      </c>
      <c r="BT1356">
        <v>0</v>
      </c>
      <c r="BU1356">
        <v>0</v>
      </c>
      <c r="CE1356" t="str">
        <f t="shared" si="539"/>
        <v>15:08:17.553</v>
      </c>
      <c r="CF1356">
        <v>553268205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3</v>
      </c>
      <c r="CY1356">
        <v>7</v>
      </c>
      <c r="CZ1356" t="s">
        <v>133</v>
      </c>
      <c r="DA1356">
        <v>276</v>
      </c>
      <c r="DB1356">
        <v>0</v>
      </c>
      <c r="DC1356" t="s">
        <v>402</v>
      </c>
      <c r="DD1356" t="s">
        <v>403</v>
      </c>
      <c r="DG1356">
        <v>1625558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"05/01/2025 15:08:17.805"</f>
        <v>05/01/2025 15:08:17.805</v>
      </c>
      <c r="C1357" t="str">
        <f t="shared" si="532"/>
        <v>FFDFD3C0</v>
      </c>
      <c r="D1357" t="s">
        <v>143</v>
      </c>
      <c r="E1357" t="str">
        <f>"05"</f>
        <v>05</v>
      </c>
      <c r="H1357">
        <v>172</v>
      </c>
      <c r="I1357" t="s">
        <v>141</v>
      </c>
      <c r="J1357" t="s">
        <v>144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R1357" t="s">
        <v>127</v>
      </c>
      <c r="S1357" t="str">
        <f t="shared" si="538"/>
        <v>15:08:17.000</v>
      </c>
      <c r="T1357" t="str">
        <f t="shared" si="538"/>
        <v>15:08:17.000</v>
      </c>
      <c r="U1357" t="str">
        <f t="shared" si="534"/>
        <v>A68FCB</v>
      </c>
      <c r="V1357">
        <v>0</v>
      </c>
      <c r="W1357">
        <v>0</v>
      </c>
      <c r="X1357">
        <v>2</v>
      </c>
      <c r="Y1357">
        <v>0</v>
      </c>
      <c r="AA1357">
        <v>1</v>
      </c>
      <c r="AB1357">
        <v>8</v>
      </c>
      <c r="AC1357">
        <v>3</v>
      </c>
      <c r="AD1357">
        <v>0</v>
      </c>
      <c r="AE1357">
        <v>9</v>
      </c>
      <c r="AF1357" t="s">
        <v>138</v>
      </c>
      <c r="AG1357">
        <v>0</v>
      </c>
      <c r="AH1357">
        <v>3</v>
      </c>
      <c r="AI1357">
        <v>2</v>
      </c>
      <c r="AJ1357">
        <v>0</v>
      </c>
      <c r="AK1357" t="s">
        <v>518</v>
      </c>
      <c r="AL1357">
        <v>39.010499000000003</v>
      </c>
      <c r="AM1357" t="s">
        <v>519</v>
      </c>
      <c r="AN1357">
        <v>-121.05549600000001</v>
      </c>
      <c r="AO1357">
        <v>25</v>
      </c>
      <c r="AP1357">
        <v>3700</v>
      </c>
      <c r="AQ1357" t="s">
        <v>131</v>
      </c>
      <c r="AR1357">
        <v>-3</v>
      </c>
      <c r="AS1357">
        <v>84</v>
      </c>
      <c r="AT1357">
        <v>832</v>
      </c>
      <c r="BB1357" t="str">
        <f t="shared" si="535"/>
        <v>1200</v>
      </c>
      <c r="BC1357">
        <v>1</v>
      </c>
      <c r="BD1357" t="str">
        <f t="shared" si="536"/>
        <v xml:space="preserve">N52156  </v>
      </c>
      <c r="BE1357">
        <v>1</v>
      </c>
      <c r="BG1357">
        <v>0</v>
      </c>
      <c r="BH1357">
        <v>0</v>
      </c>
      <c r="BI1357">
        <v>0</v>
      </c>
      <c r="BJ1357">
        <v>3675</v>
      </c>
      <c r="BK1357">
        <v>-25</v>
      </c>
      <c r="BL1357" t="s">
        <v>188</v>
      </c>
      <c r="BM1357">
        <v>1</v>
      </c>
      <c r="BN1357">
        <v>1</v>
      </c>
      <c r="BO1357">
        <v>0</v>
      </c>
      <c r="BP1357">
        <v>0</v>
      </c>
      <c r="BS1357">
        <v>0</v>
      </c>
      <c r="BT1357">
        <v>0</v>
      </c>
      <c r="BU1357">
        <v>0</v>
      </c>
      <c r="CE1357" t="str">
        <f t="shared" si="539"/>
        <v>15:08:17.553</v>
      </c>
      <c r="CF1357">
        <v>553268205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3</v>
      </c>
      <c r="CY1357">
        <v>7</v>
      </c>
      <c r="CZ1357" t="s">
        <v>133</v>
      </c>
      <c r="DA1357">
        <v>276</v>
      </c>
      <c r="DB1357">
        <v>0</v>
      </c>
      <c r="DC1357" t="s">
        <v>402</v>
      </c>
      <c r="DD1357" t="s">
        <v>403</v>
      </c>
      <c r="DG1357">
        <v>1625558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"05/01/2025 15:08:18.849"</f>
        <v>05/01/2025 15:08:18.849</v>
      </c>
      <c r="C1358" t="str">
        <f t="shared" si="532"/>
        <v>FFDFD3C0</v>
      </c>
      <c r="D1358" t="s">
        <v>140</v>
      </c>
      <c r="E1358" t="str">
        <f>"13"</f>
        <v>13</v>
      </c>
      <c r="F1358">
        <v>1019</v>
      </c>
      <c r="G1358" t="s">
        <v>141</v>
      </c>
      <c r="J1358" t="s">
        <v>142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R1358" t="s">
        <v>127</v>
      </c>
      <c r="S1358" t="str">
        <f t="shared" ref="S1358:T1363" si="540">"15:08:18.000"</f>
        <v>15:08:18.000</v>
      </c>
      <c r="T1358" t="str">
        <f t="shared" si="540"/>
        <v>15:08:18.000</v>
      </c>
      <c r="U1358" t="str">
        <f t="shared" si="534"/>
        <v>A68FCB</v>
      </c>
      <c r="V1358">
        <v>0</v>
      </c>
      <c r="W1358">
        <v>0</v>
      </c>
      <c r="X1358">
        <v>2</v>
      </c>
      <c r="Y1358">
        <v>0</v>
      </c>
      <c r="AA1358">
        <v>1</v>
      </c>
      <c r="AB1358">
        <v>8</v>
      </c>
      <c r="AC1358">
        <v>3</v>
      </c>
      <c r="AD1358">
        <v>0</v>
      </c>
      <c r="AE1358">
        <v>9</v>
      </c>
      <c r="AF1358" t="s">
        <v>138</v>
      </c>
      <c r="AG1358">
        <v>0</v>
      </c>
      <c r="AH1358">
        <v>3</v>
      </c>
      <c r="AI1358">
        <v>2</v>
      </c>
      <c r="AJ1358">
        <v>0</v>
      </c>
      <c r="AK1358" t="s">
        <v>520</v>
      </c>
      <c r="AL1358">
        <v>39.010885000000002</v>
      </c>
      <c r="AM1358" t="s">
        <v>258</v>
      </c>
      <c r="AN1358">
        <v>-121.05551699999999</v>
      </c>
      <c r="AO1358">
        <v>25</v>
      </c>
      <c r="AP1358">
        <v>3700</v>
      </c>
      <c r="AQ1358" t="s">
        <v>131</v>
      </c>
      <c r="AR1358">
        <v>0</v>
      </c>
      <c r="AS1358">
        <v>83</v>
      </c>
      <c r="AT1358">
        <v>832</v>
      </c>
      <c r="BB1358" t="str">
        <f t="shared" si="535"/>
        <v>1200</v>
      </c>
      <c r="BC1358">
        <v>1</v>
      </c>
      <c r="BD1358" t="str">
        <f t="shared" si="536"/>
        <v xml:space="preserve">N52156  </v>
      </c>
      <c r="BE1358">
        <v>1</v>
      </c>
      <c r="BG1358">
        <v>0</v>
      </c>
      <c r="BH1358">
        <v>0</v>
      </c>
      <c r="BI1358">
        <v>0</v>
      </c>
      <c r="BJ1358">
        <v>3700</v>
      </c>
      <c r="BK1358">
        <v>0</v>
      </c>
      <c r="BL1358" t="s">
        <v>188</v>
      </c>
      <c r="BM1358">
        <v>1</v>
      </c>
      <c r="BN1358">
        <v>1</v>
      </c>
      <c r="BO1358">
        <v>0</v>
      </c>
      <c r="BP1358">
        <v>0</v>
      </c>
      <c r="BS1358">
        <v>0</v>
      </c>
      <c r="BT1358">
        <v>0</v>
      </c>
      <c r="BU1358">
        <v>0</v>
      </c>
      <c r="CE1358" t="str">
        <f t="shared" ref="CE1358:CE1363" si="541">"15:08:18.631"</f>
        <v>15:08:18.631</v>
      </c>
      <c r="CF1358">
        <v>631018456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3</v>
      </c>
      <c r="CY1358">
        <v>7</v>
      </c>
      <c r="CZ1358" t="s">
        <v>133</v>
      </c>
      <c r="DA1358">
        <v>276</v>
      </c>
      <c r="DB1358">
        <v>0</v>
      </c>
      <c r="DC1358" t="s">
        <v>402</v>
      </c>
      <c r="DD1358" t="s">
        <v>403</v>
      </c>
      <c r="DG1358">
        <v>1625567</v>
      </c>
      <c r="DI1358">
        <v>1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"05/01/2025 15:08:18.852"</f>
        <v>05/01/2025 15:08:18.852</v>
      </c>
      <c r="C1359" t="str">
        <f t="shared" si="532"/>
        <v>FFDFD3C0</v>
      </c>
      <c r="D1359" t="s">
        <v>145</v>
      </c>
      <c r="E1359" t="str">
        <f>"05"</f>
        <v>05</v>
      </c>
      <c r="H1359">
        <v>47</v>
      </c>
      <c r="I1359" t="s">
        <v>146</v>
      </c>
      <c r="J1359" t="s">
        <v>138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R1359" t="s">
        <v>127</v>
      </c>
      <c r="S1359" t="str">
        <f t="shared" si="540"/>
        <v>15:08:18.000</v>
      </c>
      <c r="T1359" t="str">
        <f t="shared" si="540"/>
        <v>15:08:18.000</v>
      </c>
      <c r="U1359" t="str">
        <f t="shared" si="534"/>
        <v>A68FCB</v>
      </c>
      <c r="V1359">
        <v>0</v>
      </c>
      <c r="W1359">
        <v>0</v>
      </c>
      <c r="X1359">
        <v>2</v>
      </c>
      <c r="Y1359">
        <v>0</v>
      </c>
      <c r="AA1359">
        <v>1</v>
      </c>
      <c r="AB1359">
        <v>8</v>
      </c>
      <c r="AC1359">
        <v>3</v>
      </c>
      <c r="AD1359">
        <v>0</v>
      </c>
      <c r="AE1359">
        <v>9</v>
      </c>
      <c r="AF1359" t="s">
        <v>138</v>
      </c>
      <c r="AG1359">
        <v>0</v>
      </c>
      <c r="AH1359">
        <v>3</v>
      </c>
      <c r="AI1359">
        <v>2</v>
      </c>
      <c r="AJ1359">
        <v>0</v>
      </c>
      <c r="AK1359" t="s">
        <v>520</v>
      </c>
      <c r="AL1359">
        <v>39.010885000000002</v>
      </c>
      <c r="AM1359" t="s">
        <v>258</v>
      </c>
      <c r="AN1359">
        <v>-121.05551699999999</v>
      </c>
      <c r="AO1359">
        <v>25</v>
      </c>
      <c r="AP1359">
        <v>3700</v>
      </c>
      <c r="AQ1359" t="s">
        <v>131</v>
      </c>
      <c r="AR1359">
        <v>0</v>
      </c>
      <c r="AS1359">
        <v>83</v>
      </c>
      <c r="AT1359">
        <v>832</v>
      </c>
      <c r="BB1359" t="str">
        <f t="shared" si="535"/>
        <v>1200</v>
      </c>
      <c r="BC1359">
        <v>1</v>
      </c>
      <c r="BD1359" t="str">
        <f t="shared" si="536"/>
        <v xml:space="preserve">N52156  </v>
      </c>
      <c r="BE1359">
        <v>1</v>
      </c>
      <c r="BG1359">
        <v>0</v>
      </c>
      <c r="BH1359">
        <v>0</v>
      </c>
      <c r="BI1359">
        <v>0</v>
      </c>
      <c r="BJ1359">
        <v>3700</v>
      </c>
      <c r="BK1359">
        <v>0</v>
      </c>
      <c r="BL1359" t="s">
        <v>188</v>
      </c>
      <c r="BM1359">
        <v>1</v>
      </c>
      <c r="BN1359">
        <v>1</v>
      </c>
      <c r="BO1359">
        <v>0</v>
      </c>
      <c r="BP1359">
        <v>0</v>
      </c>
      <c r="BS1359">
        <v>0</v>
      </c>
      <c r="BT1359">
        <v>0</v>
      </c>
      <c r="BU1359">
        <v>0</v>
      </c>
      <c r="CE1359" t="str">
        <f t="shared" si="541"/>
        <v>15:08:18.631</v>
      </c>
      <c r="CF1359">
        <v>631018456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3</v>
      </c>
      <c r="CY1359">
        <v>7</v>
      </c>
      <c r="CZ1359" t="s">
        <v>133</v>
      </c>
      <c r="DA1359">
        <v>276</v>
      </c>
      <c r="DB1359">
        <v>0</v>
      </c>
      <c r="DC1359" t="s">
        <v>402</v>
      </c>
      <c r="DD1359" t="s">
        <v>403</v>
      </c>
      <c r="DG1359">
        <v>1625567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"05/01/2025 15:08:18.853"</f>
        <v>05/01/2025 15:08:18.853</v>
      </c>
      <c r="C1360" t="str">
        <f t="shared" si="532"/>
        <v>FFDFD3C0</v>
      </c>
      <c r="D1360" t="s">
        <v>124</v>
      </c>
      <c r="E1360" t="str">
        <f>"06"</f>
        <v>06</v>
      </c>
      <c r="F1360">
        <v>2006</v>
      </c>
      <c r="G1360" t="s">
        <v>125</v>
      </c>
      <c r="J1360" t="s">
        <v>126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R1360" t="s">
        <v>127</v>
      </c>
      <c r="S1360" t="str">
        <f t="shared" si="540"/>
        <v>15:08:18.000</v>
      </c>
      <c r="T1360" t="str">
        <f t="shared" si="540"/>
        <v>15:08:18.000</v>
      </c>
      <c r="U1360" t="str">
        <f t="shared" si="534"/>
        <v>A68FCB</v>
      </c>
      <c r="V1360">
        <v>0</v>
      </c>
      <c r="W1360">
        <v>0</v>
      </c>
      <c r="X1360">
        <v>2</v>
      </c>
      <c r="Y1360">
        <v>0</v>
      </c>
      <c r="AA1360">
        <v>1</v>
      </c>
      <c r="AB1360">
        <v>8</v>
      </c>
      <c r="AC1360">
        <v>3</v>
      </c>
      <c r="AD1360">
        <v>0</v>
      </c>
      <c r="AE1360">
        <v>9</v>
      </c>
      <c r="AF1360" t="s">
        <v>138</v>
      </c>
      <c r="AG1360">
        <v>0</v>
      </c>
      <c r="AH1360">
        <v>3</v>
      </c>
      <c r="AI1360">
        <v>2</v>
      </c>
      <c r="AJ1360">
        <v>0</v>
      </c>
      <c r="AK1360" t="s">
        <v>520</v>
      </c>
      <c r="AL1360">
        <v>39.010885000000002</v>
      </c>
      <c r="AM1360" t="s">
        <v>258</v>
      </c>
      <c r="AN1360">
        <v>-121.05551699999999</v>
      </c>
      <c r="AO1360">
        <v>25</v>
      </c>
      <c r="AP1360">
        <v>3700</v>
      </c>
      <c r="AQ1360" t="s">
        <v>131</v>
      </c>
      <c r="AR1360">
        <v>0</v>
      </c>
      <c r="AS1360">
        <v>83</v>
      </c>
      <c r="AT1360">
        <v>832</v>
      </c>
      <c r="BB1360" t="str">
        <f t="shared" si="535"/>
        <v>1200</v>
      </c>
      <c r="BC1360">
        <v>1</v>
      </c>
      <c r="BD1360" t="str">
        <f t="shared" si="536"/>
        <v xml:space="preserve">N52156  </v>
      </c>
      <c r="BE1360">
        <v>1</v>
      </c>
      <c r="BG1360">
        <v>0</v>
      </c>
      <c r="BH1360">
        <v>0</v>
      </c>
      <c r="BI1360">
        <v>0</v>
      </c>
      <c r="BJ1360">
        <v>3700</v>
      </c>
      <c r="BK1360">
        <v>0</v>
      </c>
      <c r="BL1360" t="s">
        <v>188</v>
      </c>
      <c r="BM1360">
        <v>1</v>
      </c>
      <c r="BN1360">
        <v>1</v>
      </c>
      <c r="BO1360">
        <v>0</v>
      </c>
      <c r="BP1360">
        <v>0</v>
      </c>
      <c r="BS1360">
        <v>0</v>
      </c>
      <c r="BT1360">
        <v>0</v>
      </c>
      <c r="BU1360">
        <v>0</v>
      </c>
      <c r="CE1360" t="str">
        <f t="shared" si="541"/>
        <v>15:08:18.631</v>
      </c>
      <c r="CF1360">
        <v>631018456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3</v>
      </c>
      <c r="CY1360">
        <v>7</v>
      </c>
      <c r="CZ1360" t="s">
        <v>133</v>
      </c>
      <c r="DA1360">
        <v>276</v>
      </c>
      <c r="DB1360">
        <v>0</v>
      </c>
      <c r="DC1360" t="s">
        <v>402</v>
      </c>
      <c r="DD1360" t="s">
        <v>403</v>
      </c>
      <c r="DG1360">
        <v>1625567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"05/01/2025 15:08:18.856"</f>
        <v>05/01/2025 15:08:18.856</v>
      </c>
      <c r="C1361" t="str">
        <f t="shared" si="532"/>
        <v>FFDFD3C0</v>
      </c>
      <c r="D1361" t="s">
        <v>145</v>
      </c>
      <c r="E1361" t="str">
        <f>"09"</f>
        <v>09</v>
      </c>
      <c r="H1361">
        <v>51</v>
      </c>
      <c r="I1361" t="s">
        <v>147</v>
      </c>
      <c r="J1361" t="s">
        <v>138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R1361" t="s">
        <v>127</v>
      </c>
      <c r="S1361" t="str">
        <f t="shared" si="540"/>
        <v>15:08:18.000</v>
      </c>
      <c r="T1361" t="str">
        <f t="shared" si="540"/>
        <v>15:08:18.000</v>
      </c>
      <c r="U1361" t="str">
        <f t="shared" si="534"/>
        <v>A68FCB</v>
      </c>
      <c r="V1361">
        <v>0</v>
      </c>
      <c r="W1361">
        <v>0</v>
      </c>
      <c r="X1361">
        <v>2</v>
      </c>
      <c r="Y1361">
        <v>0</v>
      </c>
      <c r="AA1361">
        <v>1</v>
      </c>
      <c r="AB1361">
        <v>8</v>
      </c>
      <c r="AC1361">
        <v>3</v>
      </c>
      <c r="AD1361">
        <v>0</v>
      </c>
      <c r="AE1361">
        <v>9</v>
      </c>
      <c r="AF1361" t="s">
        <v>138</v>
      </c>
      <c r="AG1361">
        <v>0</v>
      </c>
      <c r="AH1361">
        <v>3</v>
      </c>
      <c r="AI1361">
        <v>2</v>
      </c>
      <c r="AJ1361">
        <v>0</v>
      </c>
      <c r="AK1361" t="s">
        <v>520</v>
      </c>
      <c r="AL1361">
        <v>39.010885000000002</v>
      </c>
      <c r="AM1361" t="s">
        <v>258</v>
      </c>
      <c r="AN1361">
        <v>-121.05551699999999</v>
      </c>
      <c r="AO1361">
        <v>25</v>
      </c>
      <c r="AP1361">
        <v>3700</v>
      </c>
      <c r="AQ1361" t="s">
        <v>131</v>
      </c>
      <c r="AR1361">
        <v>0</v>
      </c>
      <c r="AS1361">
        <v>83</v>
      </c>
      <c r="AT1361">
        <v>832</v>
      </c>
      <c r="BB1361" t="str">
        <f t="shared" si="535"/>
        <v>1200</v>
      </c>
      <c r="BC1361">
        <v>1</v>
      </c>
      <c r="BD1361" t="str">
        <f t="shared" si="536"/>
        <v xml:space="preserve">N52156  </v>
      </c>
      <c r="BE1361">
        <v>1</v>
      </c>
      <c r="BG1361">
        <v>0</v>
      </c>
      <c r="BH1361">
        <v>0</v>
      </c>
      <c r="BI1361">
        <v>0</v>
      </c>
      <c r="BJ1361">
        <v>3700</v>
      </c>
      <c r="BK1361">
        <v>0</v>
      </c>
      <c r="BL1361" t="s">
        <v>188</v>
      </c>
      <c r="BM1361">
        <v>1</v>
      </c>
      <c r="BN1361">
        <v>1</v>
      </c>
      <c r="BO1361">
        <v>0</v>
      </c>
      <c r="BP1361">
        <v>0</v>
      </c>
      <c r="BS1361">
        <v>0</v>
      </c>
      <c r="BT1361">
        <v>0</v>
      </c>
      <c r="BU1361">
        <v>0</v>
      </c>
      <c r="CE1361" t="str">
        <f t="shared" si="541"/>
        <v>15:08:18.631</v>
      </c>
      <c r="CF1361">
        <v>631018456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3</v>
      </c>
      <c r="CY1361">
        <v>7</v>
      </c>
      <c r="CZ1361" t="s">
        <v>133</v>
      </c>
      <c r="DA1361">
        <v>276</v>
      </c>
      <c r="DB1361">
        <v>0</v>
      </c>
      <c r="DC1361" t="s">
        <v>402</v>
      </c>
      <c r="DD1361" t="s">
        <v>403</v>
      </c>
      <c r="DG1361">
        <v>1625567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"05/01/2025 15:08:18.858"</f>
        <v>05/01/2025 15:08:18.858</v>
      </c>
      <c r="C1362" t="str">
        <f t="shared" si="532"/>
        <v>FFDFD3C0</v>
      </c>
      <c r="D1362" t="s">
        <v>143</v>
      </c>
      <c r="E1362" t="str">
        <f>"05"</f>
        <v>05</v>
      </c>
      <c r="H1362">
        <v>172</v>
      </c>
      <c r="I1362" t="s">
        <v>141</v>
      </c>
      <c r="J1362" t="s">
        <v>144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R1362" t="s">
        <v>127</v>
      </c>
      <c r="S1362" t="str">
        <f t="shared" si="540"/>
        <v>15:08:18.000</v>
      </c>
      <c r="T1362" t="str">
        <f t="shared" si="540"/>
        <v>15:08:18.000</v>
      </c>
      <c r="U1362" t="str">
        <f t="shared" si="534"/>
        <v>A68FCB</v>
      </c>
      <c r="V1362">
        <v>0</v>
      </c>
      <c r="W1362">
        <v>0</v>
      </c>
      <c r="X1362">
        <v>2</v>
      </c>
      <c r="Y1362">
        <v>0</v>
      </c>
      <c r="AA1362">
        <v>1</v>
      </c>
      <c r="AB1362">
        <v>8</v>
      </c>
      <c r="AC1362">
        <v>3</v>
      </c>
      <c r="AD1362">
        <v>0</v>
      </c>
      <c r="AE1362">
        <v>9</v>
      </c>
      <c r="AF1362" t="s">
        <v>138</v>
      </c>
      <c r="AG1362">
        <v>0</v>
      </c>
      <c r="AH1362">
        <v>3</v>
      </c>
      <c r="AI1362">
        <v>2</v>
      </c>
      <c r="AJ1362">
        <v>0</v>
      </c>
      <c r="AK1362" t="s">
        <v>520</v>
      </c>
      <c r="AL1362">
        <v>39.010885000000002</v>
      </c>
      <c r="AM1362" t="s">
        <v>258</v>
      </c>
      <c r="AN1362">
        <v>-121.05551699999999</v>
      </c>
      <c r="AO1362">
        <v>25</v>
      </c>
      <c r="AP1362">
        <v>3700</v>
      </c>
      <c r="AQ1362" t="s">
        <v>131</v>
      </c>
      <c r="AR1362">
        <v>0</v>
      </c>
      <c r="AS1362">
        <v>83</v>
      </c>
      <c r="AT1362">
        <v>832</v>
      </c>
      <c r="BB1362" t="str">
        <f t="shared" si="535"/>
        <v>1200</v>
      </c>
      <c r="BC1362">
        <v>1</v>
      </c>
      <c r="BD1362" t="str">
        <f t="shared" si="536"/>
        <v xml:space="preserve">N52156  </v>
      </c>
      <c r="BE1362">
        <v>1</v>
      </c>
      <c r="BG1362">
        <v>0</v>
      </c>
      <c r="BH1362">
        <v>0</v>
      </c>
      <c r="BI1362">
        <v>0</v>
      </c>
      <c r="BJ1362">
        <v>3700</v>
      </c>
      <c r="BK1362">
        <v>0</v>
      </c>
      <c r="BL1362" t="s">
        <v>188</v>
      </c>
      <c r="BM1362">
        <v>1</v>
      </c>
      <c r="BN1362">
        <v>1</v>
      </c>
      <c r="BO1362">
        <v>0</v>
      </c>
      <c r="BP1362">
        <v>0</v>
      </c>
      <c r="BS1362">
        <v>0</v>
      </c>
      <c r="BT1362">
        <v>0</v>
      </c>
      <c r="BU1362">
        <v>0</v>
      </c>
      <c r="CE1362" t="str">
        <f t="shared" si="541"/>
        <v>15:08:18.631</v>
      </c>
      <c r="CF1362">
        <v>631018456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3</v>
      </c>
      <c r="CY1362">
        <v>7</v>
      </c>
      <c r="CZ1362" t="s">
        <v>133</v>
      </c>
      <c r="DA1362">
        <v>276</v>
      </c>
      <c r="DB1362">
        <v>0</v>
      </c>
      <c r="DC1362" t="s">
        <v>402</v>
      </c>
      <c r="DD1362" t="s">
        <v>403</v>
      </c>
      <c r="DG1362">
        <v>1625567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"05/01/2025 15:08:18.866"</f>
        <v>05/01/2025 15:08:18.866</v>
      </c>
      <c r="C1363" t="str">
        <f t="shared" si="532"/>
        <v>FFDFD3C0</v>
      </c>
      <c r="D1363" t="s">
        <v>136</v>
      </c>
      <c r="E1363" t="str">
        <f>"20"</f>
        <v>20</v>
      </c>
      <c r="H1363">
        <v>400</v>
      </c>
      <c r="I1363" t="s">
        <v>137</v>
      </c>
      <c r="J1363" t="s">
        <v>138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R1363" t="s">
        <v>127</v>
      </c>
      <c r="S1363" t="str">
        <f t="shared" si="540"/>
        <v>15:08:18.000</v>
      </c>
      <c r="T1363" t="str">
        <f t="shared" si="540"/>
        <v>15:08:18.000</v>
      </c>
      <c r="U1363" t="str">
        <f t="shared" si="534"/>
        <v>A68FCB</v>
      </c>
      <c r="V1363">
        <v>0</v>
      </c>
      <c r="W1363">
        <v>0</v>
      </c>
      <c r="X1363">
        <v>2</v>
      </c>
      <c r="Y1363">
        <v>0</v>
      </c>
      <c r="AA1363">
        <v>1</v>
      </c>
      <c r="AB1363">
        <v>8</v>
      </c>
      <c r="AC1363">
        <v>3</v>
      </c>
      <c r="AD1363">
        <v>0</v>
      </c>
      <c r="AE1363">
        <v>9</v>
      </c>
      <c r="AF1363" t="s">
        <v>138</v>
      </c>
      <c r="AG1363">
        <v>0</v>
      </c>
      <c r="AH1363">
        <v>3</v>
      </c>
      <c r="AI1363">
        <v>2</v>
      </c>
      <c r="AJ1363">
        <v>0</v>
      </c>
      <c r="AK1363" t="s">
        <v>520</v>
      </c>
      <c r="AL1363">
        <v>39.010885000000002</v>
      </c>
      <c r="AM1363" t="s">
        <v>258</v>
      </c>
      <c r="AN1363">
        <v>-121.05551699999999</v>
      </c>
      <c r="AO1363">
        <v>25</v>
      </c>
      <c r="AP1363">
        <v>3700</v>
      </c>
      <c r="AQ1363" t="s">
        <v>131</v>
      </c>
      <c r="AR1363">
        <v>0</v>
      </c>
      <c r="AS1363">
        <v>83</v>
      </c>
      <c r="AT1363">
        <v>832</v>
      </c>
      <c r="BB1363" t="str">
        <f t="shared" si="535"/>
        <v>1200</v>
      </c>
      <c r="BC1363">
        <v>1</v>
      </c>
      <c r="BD1363" t="str">
        <f t="shared" si="536"/>
        <v xml:space="preserve">N52156  </v>
      </c>
      <c r="BE1363">
        <v>1</v>
      </c>
      <c r="BG1363">
        <v>0</v>
      </c>
      <c r="BH1363">
        <v>0</v>
      </c>
      <c r="BI1363">
        <v>0</v>
      </c>
      <c r="BJ1363">
        <v>3700</v>
      </c>
      <c r="BK1363">
        <v>0</v>
      </c>
      <c r="BL1363" t="s">
        <v>188</v>
      </c>
      <c r="BM1363">
        <v>1</v>
      </c>
      <c r="BN1363">
        <v>1</v>
      </c>
      <c r="BO1363">
        <v>0</v>
      </c>
      <c r="BP1363">
        <v>0</v>
      </c>
      <c r="BS1363">
        <v>0</v>
      </c>
      <c r="BT1363">
        <v>0</v>
      </c>
      <c r="BU1363">
        <v>0</v>
      </c>
      <c r="CE1363" t="str">
        <f t="shared" si="541"/>
        <v>15:08:18.631</v>
      </c>
      <c r="CF1363">
        <v>631018456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3</v>
      </c>
      <c r="CY1363">
        <v>7</v>
      </c>
      <c r="CZ1363" t="s">
        <v>133</v>
      </c>
      <c r="DA1363">
        <v>276</v>
      </c>
      <c r="DB1363">
        <v>0</v>
      </c>
      <c r="DC1363" t="s">
        <v>402</v>
      </c>
      <c r="DD1363" t="s">
        <v>403</v>
      </c>
      <c r="DG1363">
        <v>1625567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"05/01/2025 15:08:19.509"</f>
        <v>05/01/2025 15:08:19.509</v>
      </c>
      <c r="C1364" t="str">
        <f t="shared" si="532"/>
        <v>FFDFD3C0</v>
      </c>
      <c r="D1364" t="s">
        <v>143</v>
      </c>
      <c r="E1364" t="str">
        <f>"05"</f>
        <v>05</v>
      </c>
      <c r="H1364">
        <v>172</v>
      </c>
      <c r="I1364" t="s">
        <v>141</v>
      </c>
      <c r="J1364" t="s">
        <v>144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R1364" t="s">
        <v>127</v>
      </c>
      <c r="S1364" t="str">
        <f t="shared" ref="S1364:T1369" si="542">"15:08:19.000"</f>
        <v>15:08:19.000</v>
      </c>
      <c r="T1364" t="str">
        <f t="shared" si="542"/>
        <v>15:08:19.000</v>
      </c>
      <c r="U1364" t="str">
        <f t="shared" si="534"/>
        <v>A68FCB</v>
      </c>
      <c r="V1364">
        <v>0</v>
      </c>
      <c r="W1364">
        <v>0</v>
      </c>
      <c r="X1364">
        <v>2</v>
      </c>
      <c r="Y1364">
        <v>0</v>
      </c>
      <c r="AA1364">
        <v>1</v>
      </c>
      <c r="AB1364">
        <v>8</v>
      </c>
      <c r="AC1364">
        <v>3</v>
      </c>
      <c r="AD1364">
        <v>0</v>
      </c>
      <c r="AE1364">
        <v>9</v>
      </c>
      <c r="AF1364" t="s">
        <v>138</v>
      </c>
      <c r="AG1364">
        <v>0</v>
      </c>
      <c r="AH1364">
        <v>3</v>
      </c>
      <c r="AI1364">
        <v>2</v>
      </c>
      <c r="AJ1364">
        <v>0</v>
      </c>
      <c r="AK1364" t="s">
        <v>521</v>
      </c>
      <c r="AL1364">
        <v>39.011271000000001</v>
      </c>
      <c r="AM1364" t="s">
        <v>258</v>
      </c>
      <c r="AN1364">
        <v>-121.05551699999999</v>
      </c>
      <c r="AO1364">
        <v>25</v>
      </c>
      <c r="AP1364">
        <v>3700</v>
      </c>
      <c r="AQ1364" t="s">
        <v>131</v>
      </c>
      <c r="AR1364">
        <v>1</v>
      </c>
      <c r="AS1364">
        <v>81</v>
      </c>
      <c r="AT1364">
        <v>832</v>
      </c>
      <c r="BB1364" t="str">
        <f t="shared" si="535"/>
        <v>1200</v>
      </c>
      <c r="BC1364">
        <v>1</v>
      </c>
      <c r="BD1364" t="str">
        <f t="shared" si="536"/>
        <v xml:space="preserve">N52156  </v>
      </c>
      <c r="BE1364">
        <v>1</v>
      </c>
      <c r="BG1364">
        <v>0</v>
      </c>
      <c r="BH1364">
        <v>0</v>
      </c>
      <c r="BI1364">
        <v>0</v>
      </c>
      <c r="BJ1364">
        <v>3700</v>
      </c>
      <c r="BK1364">
        <v>0</v>
      </c>
      <c r="BL1364" t="s">
        <v>188</v>
      </c>
      <c r="BM1364">
        <v>1</v>
      </c>
      <c r="BN1364">
        <v>1</v>
      </c>
      <c r="BO1364">
        <v>0</v>
      </c>
      <c r="BP1364">
        <v>0</v>
      </c>
      <c r="BS1364">
        <v>0</v>
      </c>
      <c r="BT1364">
        <v>0</v>
      </c>
      <c r="BU1364">
        <v>0</v>
      </c>
      <c r="CE1364" t="str">
        <f t="shared" ref="CE1364:CE1369" si="543">"15:08:19.304"</f>
        <v>15:08:19.304</v>
      </c>
      <c r="CF1364">
        <v>304017733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4</v>
      </c>
      <c r="CY1364">
        <v>7</v>
      </c>
      <c r="CZ1364" t="s">
        <v>133</v>
      </c>
      <c r="DA1364">
        <v>276</v>
      </c>
      <c r="DB1364">
        <v>0</v>
      </c>
      <c r="DC1364" t="s">
        <v>402</v>
      </c>
      <c r="DD1364" t="s">
        <v>403</v>
      </c>
      <c r="DG1364">
        <v>1625573</v>
      </c>
      <c r="DI1364">
        <v>1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"05/01/2025 15:08:19.517"</f>
        <v>05/01/2025 15:08:19.517</v>
      </c>
      <c r="C1365" t="str">
        <f t="shared" si="532"/>
        <v>FFDFD3C0</v>
      </c>
      <c r="D1365" t="s">
        <v>136</v>
      </c>
      <c r="E1365" t="str">
        <f>"20"</f>
        <v>20</v>
      </c>
      <c r="H1365">
        <v>400</v>
      </c>
      <c r="I1365" t="s">
        <v>137</v>
      </c>
      <c r="J1365" t="s">
        <v>138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R1365" t="s">
        <v>127</v>
      </c>
      <c r="S1365" t="str">
        <f t="shared" si="542"/>
        <v>15:08:19.000</v>
      </c>
      <c r="T1365" t="str">
        <f t="shared" si="542"/>
        <v>15:08:19.000</v>
      </c>
      <c r="U1365" t="str">
        <f t="shared" si="534"/>
        <v>A68FCB</v>
      </c>
      <c r="V1365">
        <v>0</v>
      </c>
      <c r="W1365">
        <v>0</v>
      </c>
      <c r="X1365">
        <v>2</v>
      </c>
      <c r="Y1365">
        <v>0</v>
      </c>
      <c r="AA1365">
        <v>1</v>
      </c>
      <c r="AB1365">
        <v>8</v>
      </c>
      <c r="AC1365">
        <v>3</v>
      </c>
      <c r="AD1365">
        <v>0</v>
      </c>
      <c r="AE1365">
        <v>9</v>
      </c>
      <c r="AF1365" t="s">
        <v>138</v>
      </c>
      <c r="AG1365">
        <v>0</v>
      </c>
      <c r="AH1365">
        <v>3</v>
      </c>
      <c r="AI1365">
        <v>2</v>
      </c>
      <c r="AJ1365">
        <v>0</v>
      </c>
      <c r="AK1365" t="s">
        <v>521</v>
      </c>
      <c r="AL1365">
        <v>39.011271000000001</v>
      </c>
      <c r="AM1365" t="s">
        <v>258</v>
      </c>
      <c r="AN1365">
        <v>-121.05551699999999</v>
      </c>
      <c r="AO1365">
        <v>25</v>
      </c>
      <c r="AP1365">
        <v>3700</v>
      </c>
      <c r="AQ1365" t="s">
        <v>131</v>
      </c>
      <c r="AR1365">
        <v>1</v>
      </c>
      <c r="AS1365">
        <v>81</v>
      </c>
      <c r="AT1365">
        <v>832</v>
      </c>
      <c r="BB1365" t="str">
        <f t="shared" si="535"/>
        <v>1200</v>
      </c>
      <c r="BC1365">
        <v>1</v>
      </c>
      <c r="BD1365" t="str">
        <f t="shared" si="536"/>
        <v xml:space="preserve">N52156  </v>
      </c>
      <c r="BE1365">
        <v>1</v>
      </c>
      <c r="BG1365">
        <v>0</v>
      </c>
      <c r="BH1365">
        <v>0</v>
      </c>
      <c r="BI1365">
        <v>0</v>
      </c>
      <c r="BJ1365">
        <v>3700</v>
      </c>
      <c r="BK1365">
        <v>0</v>
      </c>
      <c r="BL1365" t="s">
        <v>188</v>
      </c>
      <c r="BM1365">
        <v>1</v>
      </c>
      <c r="BN1365">
        <v>1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 t="shared" si="543"/>
        <v>15:08:19.304</v>
      </c>
      <c r="CF1365">
        <v>304017733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4</v>
      </c>
      <c r="CY1365">
        <v>7</v>
      </c>
      <c r="CZ1365" t="s">
        <v>133</v>
      </c>
      <c r="DA1365">
        <v>276</v>
      </c>
      <c r="DB1365">
        <v>0</v>
      </c>
      <c r="DC1365" t="s">
        <v>402</v>
      </c>
      <c r="DD1365" t="s">
        <v>403</v>
      </c>
      <c r="DG1365">
        <v>1625573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"05/01/2025 15:08:19.550"</f>
        <v>05/01/2025 15:08:19.550</v>
      </c>
      <c r="C1366" t="str">
        <f t="shared" si="532"/>
        <v>FFDFD3C0</v>
      </c>
      <c r="D1366" t="s">
        <v>140</v>
      </c>
      <c r="E1366" t="str">
        <f>"13"</f>
        <v>13</v>
      </c>
      <c r="F1366">
        <v>1019</v>
      </c>
      <c r="G1366" t="s">
        <v>141</v>
      </c>
      <c r="J1366" t="s">
        <v>142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R1366" t="s">
        <v>127</v>
      </c>
      <c r="S1366" t="str">
        <f t="shared" si="542"/>
        <v>15:08:19.000</v>
      </c>
      <c r="T1366" t="str">
        <f t="shared" si="542"/>
        <v>15:08:19.000</v>
      </c>
      <c r="U1366" t="str">
        <f t="shared" si="534"/>
        <v>A68FCB</v>
      </c>
      <c r="V1366">
        <v>0</v>
      </c>
      <c r="W1366">
        <v>0</v>
      </c>
      <c r="X1366">
        <v>2</v>
      </c>
      <c r="Y1366">
        <v>0</v>
      </c>
      <c r="AA1366">
        <v>1</v>
      </c>
      <c r="AB1366">
        <v>8</v>
      </c>
      <c r="AC1366">
        <v>3</v>
      </c>
      <c r="AD1366">
        <v>0</v>
      </c>
      <c r="AE1366">
        <v>9</v>
      </c>
      <c r="AF1366" t="s">
        <v>138</v>
      </c>
      <c r="AG1366">
        <v>0</v>
      </c>
      <c r="AH1366">
        <v>3</v>
      </c>
      <c r="AI1366">
        <v>2</v>
      </c>
      <c r="AJ1366">
        <v>0</v>
      </c>
      <c r="AK1366" t="s">
        <v>521</v>
      </c>
      <c r="AL1366">
        <v>39.011271000000001</v>
      </c>
      <c r="AM1366" t="s">
        <v>258</v>
      </c>
      <c r="AN1366">
        <v>-121.05551699999999</v>
      </c>
      <c r="AO1366">
        <v>25</v>
      </c>
      <c r="AP1366">
        <v>3700</v>
      </c>
      <c r="AQ1366" t="s">
        <v>131</v>
      </c>
      <c r="AR1366">
        <v>1</v>
      </c>
      <c r="AS1366">
        <v>81</v>
      </c>
      <c r="AT1366">
        <v>832</v>
      </c>
      <c r="BB1366" t="str">
        <f t="shared" si="535"/>
        <v>1200</v>
      </c>
      <c r="BC1366">
        <v>1</v>
      </c>
      <c r="BD1366" t="str">
        <f t="shared" si="536"/>
        <v xml:space="preserve">N52156  </v>
      </c>
      <c r="BE1366">
        <v>1</v>
      </c>
      <c r="BG1366">
        <v>0</v>
      </c>
      <c r="BH1366">
        <v>0</v>
      </c>
      <c r="BI1366">
        <v>0</v>
      </c>
      <c r="BJ1366">
        <v>3700</v>
      </c>
      <c r="BK1366">
        <v>0</v>
      </c>
      <c r="BL1366" t="s">
        <v>188</v>
      </c>
      <c r="BM1366">
        <v>1</v>
      </c>
      <c r="BN1366">
        <v>1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 t="shared" si="543"/>
        <v>15:08:19.304</v>
      </c>
      <c r="CF1366">
        <v>304017733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4</v>
      </c>
      <c r="CY1366">
        <v>7</v>
      </c>
      <c r="CZ1366" t="s">
        <v>133</v>
      </c>
      <c r="DA1366">
        <v>276</v>
      </c>
      <c r="DB1366">
        <v>0</v>
      </c>
      <c r="DC1366" t="s">
        <v>402</v>
      </c>
      <c r="DD1366" t="s">
        <v>403</v>
      </c>
      <c r="DG1366">
        <v>1625573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"05/01/2025 15:08:19.554"</f>
        <v>05/01/2025 15:08:19.554</v>
      </c>
      <c r="C1367" t="str">
        <f t="shared" si="532"/>
        <v>FFDFD3C0</v>
      </c>
      <c r="D1367" t="s">
        <v>145</v>
      </c>
      <c r="E1367" t="str">
        <f>"05"</f>
        <v>05</v>
      </c>
      <c r="H1367">
        <v>47</v>
      </c>
      <c r="I1367" t="s">
        <v>146</v>
      </c>
      <c r="J1367" t="s">
        <v>138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R1367" t="s">
        <v>127</v>
      </c>
      <c r="S1367" t="str">
        <f t="shared" si="542"/>
        <v>15:08:19.000</v>
      </c>
      <c r="T1367" t="str">
        <f t="shared" si="542"/>
        <v>15:08:19.000</v>
      </c>
      <c r="U1367" t="str">
        <f t="shared" si="534"/>
        <v>A68FCB</v>
      </c>
      <c r="V1367">
        <v>0</v>
      </c>
      <c r="W1367">
        <v>0</v>
      </c>
      <c r="X1367">
        <v>2</v>
      </c>
      <c r="Y1367">
        <v>0</v>
      </c>
      <c r="AA1367">
        <v>1</v>
      </c>
      <c r="AB1367">
        <v>8</v>
      </c>
      <c r="AC1367">
        <v>3</v>
      </c>
      <c r="AD1367">
        <v>0</v>
      </c>
      <c r="AE1367">
        <v>9</v>
      </c>
      <c r="AF1367" t="s">
        <v>138</v>
      </c>
      <c r="AG1367">
        <v>0</v>
      </c>
      <c r="AH1367">
        <v>3</v>
      </c>
      <c r="AI1367">
        <v>2</v>
      </c>
      <c r="AJ1367">
        <v>0</v>
      </c>
      <c r="AK1367" t="s">
        <v>521</v>
      </c>
      <c r="AL1367">
        <v>39.011271000000001</v>
      </c>
      <c r="AM1367" t="s">
        <v>258</v>
      </c>
      <c r="AN1367">
        <v>-121.05551699999999</v>
      </c>
      <c r="AO1367">
        <v>25</v>
      </c>
      <c r="AP1367">
        <v>3700</v>
      </c>
      <c r="AQ1367" t="s">
        <v>131</v>
      </c>
      <c r="AR1367">
        <v>1</v>
      </c>
      <c r="AS1367">
        <v>81</v>
      </c>
      <c r="AT1367">
        <v>832</v>
      </c>
      <c r="BB1367" t="str">
        <f t="shared" si="535"/>
        <v>1200</v>
      </c>
      <c r="BC1367">
        <v>1</v>
      </c>
      <c r="BD1367" t="str">
        <f t="shared" si="536"/>
        <v xml:space="preserve">N52156  </v>
      </c>
      <c r="BE1367">
        <v>1</v>
      </c>
      <c r="BG1367">
        <v>0</v>
      </c>
      <c r="BH1367">
        <v>0</v>
      </c>
      <c r="BI1367">
        <v>0</v>
      </c>
      <c r="BJ1367">
        <v>3700</v>
      </c>
      <c r="BK1367">
        <v>0</v>
      </c>
      <c r="BL1367" t="s">
        <v>188</v>
      </c>
      <c r="BM1367">
        <v>1</v>
      </c>
      <c r="BN1367">
        <v>1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 t="shared" si="543"/>
        <v>15:08:19.304</v>
      </c>
      <c r="CF1367">
        <v>304017733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4</v>
      </c>
      <c r="CY1367">
        <v>7</v>
      </c>
      <c r="CZ1367" t="s">
        <v>133</v>
      </c>
      <c r="DA1367">
        <v>276</v>
      </c>
      <c r="DB1367">
        <v>0</v>
      </c>
      <c r="DC1367" t="s">
        <v>402</v>
      </c>
      <c r="DD1367" t="s">
        <v>403</v>
      </c>
      <c r="DG1367">
        <v>1625573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"05/01/2025 15:08:19.555"</f>
        <v>05/01/2025 15:08:19.555</v>
      </c>
      <c r="C1368" t="str">
        <f t="shared" si="532"/>
        <v>FFDFD3C0</v>
      </c>
      <c r="D1368" t="s">
        <v>124</v>
      </c>
      <c r="E1368" t="str">
        <f>"06"</f>
        <v>06</v>
      </c>
      <c r="F1368">
        <v>2006</v>
      </c>
      <c r="G1368" t="s">
        <v>125</v>
      </c>
      <c r="J1368" t="s">
        <v>126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R1368" t="s">
        <v>127</v>
      </c>
      <c r="S1368" t="str">
        <f t="shared" si="542"/>
        <v>15:08:19.000</v>
      </c>
      <c r="T1368" t="str">
        <f t="shared" si="542"/>
        <v>15:08:19.000</v>
      </c>
      <c r="U1368" t="str">
        <f t="shared" si="534"/>
        <v>A68FCB</v>
      </c>
      <c r="V1368">
        <v>0</v>
      </c>
      <c r="W1368">
        <v>0</v>
      </c>
      <c r="X1368">
        <v>2</v>
      </c>
      <c r="Y1368">
        <v>0</v>
      </c>
      <c r="AA1368">
        <v>1</v>
      </c>
      <c r="AB1368">
        <v>8</v>
      </c>
      <c r="AC1368">
        <v>3</v>
      </c>
      <c r="AD1368">
        <v>0</v>
      </c>
      <c r="AE1368">
        <v>9</v>
      </c>
      <c r="AF1368" t="s">
        <v>138</v>
      </c>
      <c r="AG1368">
        <v>0</v>
      </c>
      <c r="AH1368">
        <v>3</v>
      </c>
      <c r="AI1368">
        <v>2</v>
      </c>
      <c r="AJ1368">
        <v>0</v>
      </c>
      <c r="AK1368" t="s">
        <v>521</v>
      </c>
      <c r="AL1368">
        <v>39.011271000000001</v>
      </c>
      <c r="AM1368" t="s">
        <v>258</v>
      </c>
      <c r="AN1368">
        <v>-121.05551699999999</v>
      </c>
      <c r="AO1368">
        <v>25</v>
      </c>
      <c r="AP1368">
        <v>3700</v>
      </c>
      <c r="AQ1368" t="s">
        <v>131</v>
      </c>
      <c r="AR1368">
        <v>1</v>
      </c>
      <c r="AS1368">
        <v>81</v>
      </c>
      <c r="AT1368">
        <v>832</v>
      </c>
      <c r="BB1368" t="str">
        <f t="shared" si="535"/>
        <v>1200</v>
      </c>
      <c r="BC1368">
        <v>1</v>
      </c>
      <c r="BD1368" t="str">
        <f t="shared" si="536"/>
        <v xml:space="preserve">N52156  </v>
      </c>
      <c r="BE1368">
        <v>1</v>
      </c>
      <c r="BG1368">
        <v>0</v>
      </c>
      <c r="BH1368">
        <v>0</v>
      </c>
      <c r="BI1368">
        <v>0</v>
      </c>
      <c r="BJ1368">
        <v>3700</v>
      </c>
      <c r="BK1368">
        <v>0</v>
      </c>
      <c r="BL1368" t="s">
        <v>188</v>
      </c>
      <c r="BM1368">
        <v>1</v>
      </c>
      <c r="BN1368">
        <v>1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 t="shared" si="543"/>
        <v>15:08:19.304</v>
      </c>
      <c r="CF1368">
        <v>304017733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4</v>
      </c>
      <c r="CY1368">
        <v>7</v>
      </c>
      <c r="CZ1368" t="s">
        <v>133</v>
      </c>
      <c r="DA1368">
        <v>276</v>
      </c>
      <c r="DB1368">
        <v>0</v>
      </c>
      <c r="DC1368" t="s">
        <v>402</v>
      </c>
      <c r="DD1368" t="s">
        <v>403</v>
      </c>
      <c r="DG1368">
        <v>1625573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"05/01/2025 15:08:19.557"</f>
        <v>05/01/2025 15:08:19.557</v>
      </c>
      <c r="C1369" t="str">
        <f t="shared" si="532"/>
        <v>FFDFD3C0</v>
      </c>
      <c r="D1369" t="s">
        <v>145</v>
      </c>
      <c r="E1369" t="str">
        <f>"09"</f>
        <v>09</v>
      </c>
      <c r="H1369">
        <v>51</v>
      </c>
      <c r="I1369" t="s">
        <v>147</v>
      </c>
      <c r="J1369" t="s">
        <v>138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R1369" t="s">
        <v>127</v>
      </c>
      <c r="S1369" t="str">
        <f t="shared" si="542"/>
        <v>15:08:19.000</v>
      </c>
      <c r="T1369" t="str">
        <f t="shared" si="542"/>
        <v>15:08:19.000</v>
      </c>
      <c r="U1369" t="str">
        <f t="shared" si="534"/>
        <v>A68FCB</v>
      </c>
      <c r="V1369">
        <v>0</v>
      </c>
      <c r="W1369">
        <v>0</v>
      </c>
      <c r="X1369">
        <v>2</v>
      </c>
      <c r="Y1369">
        <v>0</v>
      </c>
      <c r="AA1369">
        <v>1</v>
      </c>
      <c r="AB1369">
        <v>8</v>
      </c>
      <c r="AC1369">
        <v>3</v>
      </c>
      <c r="AD1369">
        <v>0</v>
      </c>
      <c r="AE1369">
        <v>9</v>
      </c>
      <c r="AF1369" t="s">
        <v>138</v>
      </c>
      <c r="AG1369">
        <v>0</v>
      </c>
      <c r="AH1369">
        <v>3</v>
      </c>
      <c r="AI1369">
        <v>2</v>
      </c>
      <c r="AJ1369">
        <v>0</v>
      </c>
      <c r="AK1369" t="s">
        <v>521</v>
      </c>
      <c r="AL1369">
        <v>39.011271000000001</v>
      </c>
      <c r="AM1369" t="s">
        <v>258</v>
      </c>
      <c r="AN1369">
        <v>-121.05551699999999</v>
      </c>
      <c r="AO1369">
        <v>25</v>
      </c>
      <c r="AP1369">
        <v>3700</v>
      </c>
      <c r="AQ1369" t="s">
        <v>131</v>
      </c>
      <c r="AR1369">
        <v>1</v>
      </c>
      <c r="AS1369">
        <v>81</v>
      </c>
      <c r="AT1369">
        <v>832</v>
      </c>
      <c r="BB1369" t="str">
        <f t="shared" si="535"/>
        <v>1200</v>
      </c>
      <c r="BC1369">
        <v>1</v>
      </c>
      <c r="BD1369" t="str">
        <f t="shared" si="536"/>
        <v xml:space="preserve">N52156  </v>
      </c>
      <c r="BE1369">
        <v>1</v>
      </c>
      <c r="BG1369">
        <v>0</v>
      </c>
      <c r="BH1369">
        <v>0</v>
      </c>
      <c r="BI1369">
        <v>0</v>
      </c>
      <c r="BJ1369">
        <v>3700</v>
      </c>
      <c r="BK1369">
        <v>0</v>
      </c>
      <c r="BL1369" t="s">
        <v>188</v>
      </c>
      <c r="BM1369">
        <v>1</v>
      </c>
      <c r="BN1369">
        <v>1</v>
      </c>
      <c r="BO1369">
        <v>0</v>
      </c>
      <c r="BP1369">
        <v>0</v>
      </c>
      <c r="BS1369">
        <v>0</v>
      </c>
      <c r="BT1369">
        <v>0</v>
      </c>
      <c r="BU1369">
        <v>0</v>
      </c>
      <c r="CE1369" t="str">
        <f t="shared" si="543"/>
        <v>15:08:19.304</v>
      </c>
      <c r="CF1369">
        <v>304017733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4</v>
      </c>
      <c r="CY1369">
        <v>7</v>
      </c>
      <c r="CZ1369" t="s">
        <v>133</v>
      </c>
      <c r="DA1369">
        <v>276</v>
      </c>
      <c r="DB1369">
        <v>0</v>
      </c>
      <c r="DC1369" t="s">
        <v>402</v>
      </c>
      <c r="DD1369" t="s">
        <v>403</v>
      </c>
      <c r="DG1369">
        <v>1625573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"05/01/2025 15:08:21.203"</f>
        <v>05/01/2025 15:08:21.203</v>
      </c>
      <c r="C1370" t="str">
        <f t="shared" si="532"/>
        <v>FFDFD3C0</v>
      </c>
      <c r="D1370" t="s">
        <v>140</v>
      </c>
      <c r="E1370" t="str">
        <f>"13"</f>
        <v>13</v>
      </c>
      <c r="F1370">
        <v>1019</v>
      </c>
      <c r="G1370" t="s">
        <v>141</v>
      </c>
      <c r="J1370" t="s">
        <v>142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R1370" t="s">
        <v>127</v>
      </c>
      <c r="S1370" t="str">
        <f t="shared" ref="S1370:T1375" si="544">"15:08:20.000"</f>
        <v>15:08:20.000</v>
      </c>
      <c r="T1370" t="str">
        <f t="shared" si="544"/>
        <v>15:08:20.000</v>
      </c>
      <c r="U1370" t="str">
        <f t="shared" si="534"/>
        <v>A68FCB</v>
      </c>
      <c r="V1370">
        <v>0</v>
      </c>
      <c r="W1370">
        <v>0</v>
      </c>
      <c r="X1370">
        <v>2</v>
      </c>
      <c r="Y1370">
        <v>0</v>
      </c>
      <c r="AA1370">
        <v>1</v>
      </c>
      <c r="AB1370">
        <v>8</v>
      </c>
      <c r="AC1370">
        <v>3</v>
      </c>
      <c r="AD1370">
        <v>0</v>
      </c>
      <c r="AE1370">
        <v>9</v>
      </c>
      <c r="AF1370" t="s">
        <v>138</v>
      </c>
      <c r="AG1370">
        <v>0</v>
      </c>
      <c r="AH1370">
        <v>3</v>
      </c>
      <c r="AI1370">
        <v>2</v>
      </c>
      <c r="AJ1370">
        <v>0</v>
      </c>
      <c r="AK1370" t="s">
        <v>522</v>
      </c>
      <c r="AL1370">
        <v>39.011679000000001</v>
      </c>
      <c r="AM1370" t="s">
        <v>258</v>
      </c>
      <c r="AN1370">
        <v>-121.05551699999999</v>
      </c>
      <c r="AO1370">
        <v>25</v>
      </c>
      <c r="AP1370">
        <v>3700</v>
      </c>
      <c r="AQ1370" t="s">
        <v>131</v>
      </c>
      <c r="AR1370">
        <v>5</v>
      </c>
      <c r="AS1370">
        <v>79</v>
      </c>
      <c r="AT1370">
        <v>832</v>
      </c>
      <c r="BB1370" t="str">
        <f t="shared" si="535"/>
        <v>1200</v>
      </c>
      <c r="BC1370">
        <v>1</v>
      </c>
      <c r="BD1370" t="str">
        <f t="shared" si="536"/>
        <v xml:space="preserve">N52156  </v>
      </c>
      <c r="BE1370">
        <v>1</v>
      </c>
      <c r="BG1370">
        <v>0</v>
      </c>
      <c r="BH1370">
        <v>0</v>
      </c>
      <c r="BI1370">
        <v>0</v>
      </c>
      <c r="BJ1370">
        <v>3725</v>
      </c>
      <c r="BK1370">
        <v>25</v>
      </c>
      <c r="BL1370" t="s">
        <v>188</v>
      </c>
      <c r="BM1370">
        <v>1</v>
      </c>
      <c r="BN1370">
        <v>1</v>
      </c>
      <c r="BO1370">
        <v>0</v>
      </c>
      <c r="BP1370">
        <v>0</v>
      </c>
      <c r="BS1370">
        <v>0</v>
      </c>
      <c r="BT1370">
        <v>0</v>
      </c>
      <c r="BU1370">
        <v>0</v>
      </c>
      <c r="CE1370" t="str">
        <f t="shared" ref="CE1370:CE1375" si="545">"15:08:20.991"</f>
        <v>15:08:20.991</v>
      </c>
      <c r="CF1370">
        <v>990955662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4</v>
      </c>
      <c r="CY1370">
        <v>7</v>
      </c>
      <c r="CZ1370" t="s">
        <v>133</v>
      </c>
      <c r="DA1370">
        <v>275</v>
      </c>
      <c r="DB1370">
        <v>0</v>
      </c>
      <c r="DC1370" t="s">
        <v>134</v>
      </c>
      <c r="DD1370" t="s">
        <v>135</v>
      </c>
      <c r="DG1370">
        <v>3320253</v>
      </c>
      <c r="DI1370">
        <v>1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"05/01/2025 15:08:21.206"</f>
        <v>05/01/2025 15:08:21.206</v>
      </c>
      <c r="C1371" t="str">
        <f t="shared" si="532"/>
        <v>FFDFD3C0</v>
      </c>
      <c r="D1371" t="s">
        <v>145</v>
      </c>
      <c r="E1371" t="str">
        <f>"05"</f>
        <v>05</v>
      </c>
      <c r="H1371">
        <v>47</v>
      </c>
      <c r="I1371" t="s">
        <v>146</v>
      </c>
      <c r="J1371" t="s">
        <v>138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R1371" t="s">
        <v>127</v>
      </c>
      <c r="S1371" t="str">
        <f t="shared" si="544"/>
        <v>15:08:20.000</v>
      </c>
      <c r="T1371" t="str">
        <f t="shared" si="544"/>
        <v>15:08:20.000</v>
      </c>
      <c r="U1371" t="str">
        <f t="shared" si="534"/>
        <v>A68FCB</v>
      </c>
      <c r="V1371">
        <v>0</v>
      </c>
      <c r="W1371">
        <v>0</v>
      </c>
      <c r="X1371">
        <v>2</v>
      </c>
      <c r="Y1371">
        <v>0</v>
      </c>
      <c r="AA1371">
        <v>1</v>
      </c>
      <c r="AB1371">
        <v>8</v>
      </c>
      <c r="AC1371">
        <v>3</v>
      </c>
      <c r="AD1371">
        <v>0</v>
      </c>
      <c r="AE1371">
        <v>9</v>
      </c>
      <c r="AF1371" t="s">
        <v>138</v>
      </c>
      <c r="AG1371">
        <v>0</v>
      </c>
      <c r="AH1371">
        <v>3</v>
      </c>
      <c r="AI1371">
        <v>2</v>
      </c>
      <c r="AJ1371">
        <v>0</v>
      </c>
      <c r="AK1371" t="s">
        <v>522</v>
      </c>
      <c r="AL1371">
        <v>39.011679000000001</v>
      </c>
      <c r="AM1371" t="s">
        <v>258</v>
      </c>
      <c r="AN1371">
        <v>-121.05551699999999</v>
      </c>
      <c r="AO1371">
        <v>25</v>
      </c>
      <c r="AP1371">
        <v>3700</v>
      </c>
      <c r="AQ1371" t="s">
        <v>131</v>
      </c>
      <c r="AR1371">
        <v>5</v>
      </c>
      <c r="AS1371">
        <v>79</v>
      </c>
      <c r="AT1371">
        <v>832</v>
      </c>
      <c r="BB1371" t="str">
        <f t="shared" si="535"/>
        <v>1200</v>
      </c>
      <c r="BC1371">
        <v>1</v>
      </c>
      <c r="BD1371" t="str">
        <f t="shared" si="536"/>
        <v xml:space="preserve">N52156  </v>
      </c>
      <c r="BE1371">
        <v>1</v>
      </c>
      <c r="BG1371">
        <v>0</v>
      </c>
      <c r="BH1371">
        <v>0</v>
      </c>
      <c r="BI1371">
        <v>0</v>
      </c>
      <c r="BJ1371">
        <v>3725</v>
      </c>
      <c r="BK1371">
        <v>25</v>
      </c>
      <c r="BL1371" t="s">
        <v>188</v>
      </c>
      <c r="BM1371">
        <v>1</v>
      </c>
      <c r="BN1371">
        <v>1</v>
      </c>
      <c r="BO1371">
        <v>0</v>
      </c>
      <c r="BP1371">
        <v>0</v>
      </c>
      <c r="BS1371">
        <v>0</v>
      </c>
      <c r="BT1371">
        <v>0</v>
      </c>
      <c r="BU1371">
        <v>0</v>
      </c>
      <c r="CE1371" t="str">
        <f t="shared" si="545"/>
        <v>15:08:20.991</v>
      </c>
      <c r="CF1371">
        <v>990955662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4</v>
      </c>
      <c r="CY1371">
        <v>7</v>
      </c>
      <c r="CZ1371" t="s">
        <v>133</v>
      </c>
      <c r="DA1371">
        <v>275</v>
      </c>
      <c r="DB1371">
        <v>0</v>
      </c>
      <c r="DC1371" t="s">
        <v>134</v>
      </c>
      <c r="DD1371" t="s">
        <v>135</v>
      </c>
      <c r="DG1371">
        <v>3320253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"05/01/2025 15:08:21.211"</f>
        <v>05/01/2025 15:08:21.211</v>
      </c>
      <c r="C1372" t="str">
        <f t="shared" si="532"/>
        <v>FFDFD3C0</v>
      </c>
      <c r="D1372" t="s">
        <v>143</v>
      </c>
      <c r="E1372" t="str">
        <f>"05"</f>
        <v>05</v>
      </c>
      <c r="H1372">
        <v>172</v>
      </c>
      <c r="I1372" t="s">
        <v>141</v>
      </c>
      <c r="J1372" t="s">
        <v>144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R1372" t="s">
        <v>127</v>
      </c>
      <c r="S1372" t="str">
        <f t="shared" si="544"/>
        <v>15:08:20.000</v>
      </c>
      <c r="T1372" t="str">
        <f t="shared" si="544"/>
        <v>15:08:20.000</v>
      </c>
      <c r="U1372" t="str">
        <f t="shared" si="534"/>
        <v>A68FCB</v>
      </c>
      <c r="V1372">
        <v>0</v>
      </c>
      <c r="W1372">
        <v>0</v>
      </c>
      <c r="X1372">
        <v>2</v>
      </c>
      <c r="Y1372">
        <v>0</v>
      </c>
      <c r="AA1372">
        <v>1</v>
      </c>
      <c r="AB1372">
        <v>8</v>
      </c>
      <c r="AC1372">
        <v>3</v>
      </c>
      <c r="AD1372">
        <v>0</v>
      </c>
      <c r="AE1372">
        <v>9</v>
      </c>
      <c r="AF1372" t="s">
        <v>138</v>
      </c>
      <c r="AG1372">
        <v>0</v>
      </c>
      <c r="AH1372">
        <v>3</v>
      </c>
      <c r="AI1372">
        <v>2</v>
      </c>
      <c r="AJ1372">
        <v>0</v>
      </c>
      <c r="AK1372" t="s">
        <v>522</v>
      </c>
      <c r="AL1372">
        <v>39.011679000000001</v>
      </c>
      <c r="AM1372" t="s">
        <v>258</v>
      </c>
      <c r="AN1372">
        <v>-121.05551699999999</v>
      </c>
      <c r="AO1372">
        <v>25</v>
      </c>
      <c r="AP1372">
        <v>3700</v>
      </c>
      <c r="AQ1372" t="s">
        <v>131</v>
      </c>
      <c r="AR1372">
        <v>5</v>
      </c>
      <c r="AS1372">
        <v>79</v>
      </c>
      <c r="AT1372">
        <v>832</v>
      </c>
      <c r="BB1372" t="str">
        <f t="shared" si="535"/>
        <v>1200</v>
      </c>
      <c r="BC1372">
        <v>1</v>
      </c>
      <c r="BD1372" t="str">
        <f t="shared" si="536"/>
        <v xml:space="preserve">N52156  </v>
      </c>
      <c r="BE1372">
        <v>1</v>
      </c>
      <c r="BG1372">
        <v>0</v>
      </c>
      <c r="BH1372">
        <v>0</v>
      </c>
      <c r="BI1372">
        <v>0</v>
      </c>
      <c r="BJ1372">
        <v>3725</v>
      </c>
      <c r="BK1372">
        <v>25</v>
      </c>
      <c r="BL1372" t="s">
        <v>188</v>
      </c>
      <c r="BM1372">
        <v>1</v>
      </c>
      <c r="BN1372">
        <v>1</v>
      </c>
      <c r="BO1372">
        <v>0</v>
      </c>
      <c r="BP1372">
        <v>0</v>
      </c>
      <c r="BS1372">
        <v>0</v>
      </c>
      <c r="BT1372">
        <v>0</v>
      </c>
      <c r="BU1372">
        <v>0</v>
      </c>
      <c r="CE1372" t="str">
        <f t="shared" si="545"/>
        <v>15:08:20.991</v>
      </c>
      <c r="CF1372">
        <v>990955662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4</v>
      </c>
      <c r="CY1372">
        <v>7</v>
      </c>
      <c r="CZ1372" t="s">
        <v>133</v>
      </c>
      <c r="DA1372">
        <v>275</v>
      </c>
      <c r="DB1372">
        <v>0</v>
      </c>
      <c r="DC1372" t="s">
        <v>134</v>
      </c>
      <c r="DD1372" t="s">
        <v>135</v>
      </c>
      <c r="DG1372">
        <v>3320253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"05/01/2025 15:08:21.207"</f>
        <v>05/01/2025 15:08:21.207</v>
      </c>
      <c r="C1373" t="str">
        <f t="shared" si="532"/>
        <v>FFDFD3C0</v>
      </c>
      <c r="D1373" t="s">
        <v>124</v>
      </c>
      <c r="E1373" t="str">
        <f>"06"</f>
        <v>06</v>
      </c>
      <c r="F1373">
        <v>2006</v>
      </c>
      <c r="G1373" t="s">
        <v>125</v>
      </c>
      <c r="J1373" t="s">
        <v>126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R1373" t="s">
        <v>127</v>
      </c>
      <c r="S1373" t="str">
        <f t="shared" si="544"/>
        <v>15:08:20.000</v>
      </c>
      <c r="T1373" t="str">
        <f t="shared" si="544"/>
        <v>15:08:20.000</v>
      </c>
      <c r="U1373" t="str">
        <f t="shared" si="534"/>
        <v>A68FCB</v>
      </c>
      <c r="V1373">
        <v>0</v>
      </c>
      <c r="W1373">
        <v>0</v>
      </c>
      <c r="X1373">
        <v>2</v>
      </c>
      <c r="Y1373">
        <v>0</v>
      </c>
      <c r="AA1373">
        <v>1</v>
      </c>
      <c r="AB1373">
        <v>8</v>
      </c>
      <c r="AC1373">
        <v>3</v>
      </c>
      <c r="AD1373">
        <v>0</v>
      </c>
      <c r="AE1373">
        <v>9</v>
      </c>
      <c r="AF1373" t="s">
        <v>138</v>
      </c>
      <c r="AG1373">
        <v>0</v>
      </c>
      <c r="AH1373">
        <v>3</v>
      </c>
      <c r="AI1373">
        <v>2</v>
      </c>
      <c r="AJ1373">
        <v>0</v>
      </c>
      <c r="AK1373" t="s">
        <v>522</v>
      </c>
      <c r="AL1373">
        <v>39.011679000000001</v>
      </c>
      <c r="AM1373" t="s">
        <v>258</v>
      </c>
      <c r="AN1373">
        <v>-121.05551699999999</v>
      </c>
      <c r="AO1373">
        <v>25</v>
      </c>
      <c r="AP1373">
        <v>3700</v>
      </c>
      <c r="AQ1373" t="s">
        <v>131</v>
      </c>
      <c r="AR1373">
        <v>5</v>
      </c>
      <c r="AS1373">
        <v>79</v>
      </c>
      <c r="AT1373">
        <v>832</v>
      </c>
      <c r="BB1373" t="str">
        <f t="shared" si="535"/>
        <v>1200</v>
      </c>
      <c r="BC1373">
        <v>1</v>
      </c>
      <c r="BD1373" t="str">
        <f t="shared" si="536"/>
        <v xml:space="preserve">N52156  </v>
      </c>
      <c r="BE1373">
        <v>1</v>
      </c>
      <c r="BG1373">
        <v>0</v>
      </c>
      <c r="BH1373">
        <v>0</v>
      </c>
      <c r="BI1373">
        <v>0</v>
      </c>
      <c r="BJ1373">
        <v>3725</v>
      </c>
      <c r="BK1373">
        <v>25</v>
      </c>
      <c r="BL1373" t="s">
        <v>188</v>
      </c>
      <c r="BM1373">
        <v>1</v>
      </c>
      <c r="BN1373">
        <v>1</v>
      </c>
      <c r="BO1373">
        <v>0</v>
      </c>
      <c r="BP1373">
        <v>0</v>
      </c>
      <c r="BS1373">
        <v>0</v>
      </c>
      <c r="BT1373">
        <v>0</v>
      </c>
      <c r="BU1373">
        <v>0</v>
      </c>
      <c r="CE1373" t="str">
        <f t="shared" si="545"/>
        <v>15:08:20.991</v>
      </c>
      <c r="CF1373">
        <v>990955662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4</v>
      </c>
      <c r="CY1373">
        <v>7</v>
      </c>
      <c r="CZ1373" t="s">
        <v>133</v>
      </c>
      <c r="DA1373">
        <v>275</v>
      </c>
      <c r="DB1373">
        <v>0</v>
      </c>
      <c r="DC1373" t="s">
        <v>134</v>
      </c>
      <c r="DD1373" t="s">
        <v>135</v>
      </c>
      <c r="DG1373">
        <v>3320253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"05/01/2025 15:08:21.210"</f>
        <v>05/01/2025 15:08:21.210</v>
      </c>
      <c r="C1374" t="str">
        <f t="shared" si="532"/>
        <v>FFDFD3C0</v>
      </c>
      <c r="D1374" t="s">
        <v>145</v>
      </c>
      <c r="E1374" t="str">
        <f>"09"</f>
        <v>09</v>
      </c>
      <c r="H1374">
        <v>51</v>
      </c>
      <c r="I1374" t="s">
        <v>147</v>
      </c>
      <c r="J1374" t="s">
        <v>138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R1374" t="s">
        <v>127</v>
      </c>
      <c r="S1374" t="str">
        <f t="shared" si="544"/>
        <v>15:08:20.000</v>
      </c>
      <c r="T1374" t="str">
        <f t="shared" si="544"/>
        <v>15:08:20.000</v>
      </c>
      <c r="U1374" t="str">
        <f t="shared" si="534"/>
        <v>A68FCB</v>
      </c>
      <c r="V1374">
        <v>0</v>
      </c>
      <c r="W1374">
        <v>0</v>
      </c>
      <c r="X1374">
        <v>2</v>
      </c>
      <c r="Y1374">
        <v>0</v>
      </c>
      <c r="AA1374">
        <v>1</v>
      </c>
      <c r="AB1374">
        <v>8</v>
      </c>
      <c r="AC1374">
        <v>3</v>
      </c>
      <c r="AD1374">
        <v>0</v>
      </c>
      <c r="AE1374">
        <v>9</v>
      </c>
      <c r="AF1374" t="s">
        <v>138</v>
      </c>
      <c r="AG1374">
        <v>0</v>
      </c>
      <c r="AH1374">
        <v>3</v>
      </c>
      <c r="AI1374">
        <v>2</v>
      </c>
      <c r="AJ1374">
        <v>0</v>
      </c>
      <c r="AK1374" t="s">
        <v>522</v>
      </c>
      <c r="AL1374">
        <v>39.011679000000001</v>
      </c>
      <c r="AM1374" t="s">
        <v>258</v>
      </c>
      <c r="AN1374">
        <v>-121.05551699999999</v>
      </c>
      <c r="AO1374">
        <v>25</v>
      </c>
      <c r="AP1374">
        <v>3700</v>
      </c>
      <c r="AQ1374" t="s">
        <v>131</v>
      </c>
      <c r="AR1374">
        <v>5</v>
      </c>
      <c r="AS1374">
        <v>79</v>
      </c>
      <c r="AT1374">
        <v>832</v>
      </c>
      <c r="BB1374" t="str">
        <f t="shared" si="535"/>
        <v>1200</v>
      </c>
      <c r="BC1374">
        <v>1</v>
      </c>
      <c r="BD1374" t="str">
        <f t="shared" si="536"/>
        <v xml:space="preserve">N52156  </v>
      </c>
      <c r="BE1374">
        <v>1</v>
      </c>
      <c r="BG1374">
        <v>0</v>
      </c>
      <c r="BH1374">
        <v>0</v>
      </c>
      <c r="BI1374">
        <v>0</v>
      </c>
      <c r="BJ1374">
        <v>3725</v>
      </c>
      <c r="BK1374">
        <v>25</v>
      </c>
      <c r="BL1374" t="s">
        <v>188</v>
      </c>
      <c r="BM1374">
        <v>1</v>
      </c>
      <c r="BN1374">
        <v>1</v>
      </c>
      <c r="BO1374">
        <v>0</v>
      </c>
      <c r="BP1374">
        <v>0</v>
      </c>
      <c r="BS1374">
        <v>0</v>
      </c>
      <c r="BT1374">
        <v>0</v>
      </c>
      <c r="BU1374">
        <v>0</v>
      </c>
      <c r="CE1374" t="str">
        <f t="shared" si="545"/>
        <v>15:08:20.991</v>
      </c>
      <c r="CF1374">
        <v>990955662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4</v>
      </c>
      <c r="CY1374">
        <v>7</v>
      </c>
      <c r="CZ1374" t="s">
        <v>133</v>
      </c>
      <c r="DA1374">
        <v>275</v>
      </c>
      <c r="DB1374">
        <v>0</v>
      </c>
      <c r="DC1374" t="s">
        <v>134</v>
      </c>
      <c r="DD1374" t="s">
        <v>135</v>
      </c>
      <c r="DG1374">
        <v>3320253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"05/01/2025 15:08:21.220"</f>
        <v>05/01/2025 15:08:21.220</v>
      </c>
      <c r="C1375" t="str">
        <f t="shared" si="532"/>
        <v>FFDFD3C0</v>
      </c>
      <c r="D1375" t="s">
        <v>136</v>
      </c>
      <c r="E1375" t="str">
        <f>"20"</f>
        <v>20</v>
      </c>
      <c r="H1375">
        <v>400</v>
      </c>
      <c r="I1375" t="s">
        <v>137</v>
      </c>
      <c r="J1375" t="s">
        <v>138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R1375" t="s">
        <v>127</v>
      </c>
      <c r="S1375" t="str">
        <f t="shared" si="544"/>
        <v>15:08:20.000</v>
      </c>
      <c r="T1375" t="str">
        <f t="shared" si="544"/>
        <v>15:08:20.000</v>
      </c>
      <c r="U1375" t="str">
        <f t="shared" si="534"/>
        <v>A68FCB</v>
      </c>
      <c r="V1375">
        <v>0</v>
      </c>
      <c r="W1375">
        <v>0</v>
      </c>
      <c r="X1375">
        <v>2</v>
      </c>
      <c r="Y1375">
        <v>0</v>
      </c>
      <c r="AA1375">
        <v>1</v>
      </c>
      <c r="AB1375">
        <v>8</v>
      </c>
      <c r="AC1375">
        <v>3</v>
      </c>
      <c r="AD1375">
        <v>0</v>
      </c>
      <c r="AE1375">
        <v>9</v>
      </c>
      <c r="AF1375" t="s">
        <v>138</v>
      </c>
      <c r="AG1375">
        <v>0</v>
      </c>
      <c r="AH1375">
        <v>3</v>
      </c>
      <c r="AI1375">
        <v>2</v>
      </c>
      <c r="AJ1375">
        <v>0</v>
      </c>
      <c r="AK1375" t="s">
        <v>522</v>
      </c>
      <c r="AL1375">
        <v>39.011679000000001</v>
      </c>
      <c r="AM1375" t="s">
        <v>258</v>
      </c>
      <c r="AN1375">
        <v>-121.05551699999999</v>
      </c>
      <c r="AO1375">
        <v>25</v>
      </c>
      <c r="AP1375">
        <v>3700</v>
      </c>
      <c r="AQ1375" t="s">
        <v>131</v>
      </c>
      <c r="AR1375">
        <v>5</v>
      </c>
      <c r="AS1375">
        <v>79</v>
      </c>
      <c r="AT1375">
        <v>832</v>
      </c>
      <c r="BB1375" t="str">
        <f t="shared" si="535"/>
        <v>1200</v>
      </c>
      <c r="BC1375">
        <v>1</v>
      </c>
      <c r="BD1375" t="str">
        <f t="shared" si="536"/>
        <v xml:space="preserve">N52156  </v>
      </c>
      <c r="BE1375">
        <v>1</v>
      </c>
      <c r="BG1375">
        <v>0</v>
      </c>
      <c r="BH1375">
        <v>0</v>
      </c>
      <c r="BI1375">
        <v>0</v>
      </c>
      <c r="BJ1375">
        <v>3725</v>
      </c>
      <c r="BK1375">
        <v>25</v>
      </c>
      <c r="BL1375" t="s">
        <v>188</v>
      </c>
      <c r="BM1375">
        <v>1</v>
      </c>
      <c r="BN1375">
        <v>1</v>
      </c>
      <c r="BO1375">
        <v>0</v>
      </c>
      <c r="BP1375">
        <v>0</v>
      </c>
      <c r="BS1375">
        <v>0</v>
      </c>
      <c r="BT1375">
        <v>0</v>
      </c>
      <c r="BU1375">
        <v>0</v>
      </c>
      <c r="CE1375" t="str">
        <f t="shared" si="545"/>
        <v>15:08:20.991</v>
      </c>
      <c r="CF1375">
        <v>990955662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4</v>
      </c>
      <c r="CY1375">
        <v>7</v>
      </c>
      <c r="CZ1375" t="s">
        <v>133</v>
      </c>
      <c r="DA1375">
        <v>275</v>
      </c>
      <c r="DB1375">
        <v>0</v>
      </c>
      <c r="DC1375" t="s">
        <v>134</v>
      </c>
      <c r="DD1375" t="s">
        <v>135</v>
      </c>
      <c r="DG1375">
        <v>3320253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"05/01/2025 15:08:21.905"</f>
        <v>05/01/2025 15:08:21.905</v>
      </c>
      <c r="C1376" t="str">
        <f t="shared" si="532"/>
        <v>FFDFD3C0</v>
      </c>
      <c r="D1376" t="s">
        <v>140</v>
      </c>
      <c r="E1376" t="str">
        <f>"13"</f>
        <v>13</v>
      </c>
      <c r="F1376">
        <v>1019</v>
      </c>
      <c r="G1376" t="s">
        <v>141</v>
      </c>
      <c r="J1376" t="s">
        <v>142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R1376" t="s">
        <v>127</v>
      </c>
      <c r="S1376" t="str">
        <f t="shared" ref="S1376:T1381" si="546">"15:08:21.000"</f>
        <v>15:08:21.000</v>
      </c>
      <c r="T1376" t="str">
        <f t="shared" si="546"/>
        <v>15:08:21.000</v>
      </c>
      <c r="U1376" t="str">
        <f t="shared" si="534"/>
        <v>A68FCB</v>
      </c>
      <c r="V1376">
        <v>0</v>
      </c>
      <c r="W1376">
        <v>0</v>
      </c>
      <c r="X1376">
        <v>2</v>
      </c>
      <c r="Y1376">
        <v>0</v>
      </c>
      <c r="AA1376">
        <v>1</v>
      </c>
      <c r="AB1376">
        <v>8</v>
      </c>
      <c r="AC1376">
        <v>3</v>
      </c>
      <c r="AD1376">
        <v>0</v>
      </c>
      <c r="AE1376">
        <v>9</v>
      </c>
      <c r="AF1376" t="s">
        <v>138</v>
      </c>
      <c r="AG1376">
        <v>0</v>
      </c>
      <c r="AH1376">
        <v>3</v>
      </c>
      <c r="AI1376">
        <v>2</v>
      </c>
      <c r="AJ1376">
        <v>0</v>
      </c>
      <c r="AK1376" t="s">
        <v>523</v>
      </c>
      <c r="AL1376">
        <v>39.012042999999998</v>
      </c>
      <c r="AM1376" t="s">
        <v>524</v>
      </c>
      <c r="AN1376">
        <v>-121.055474</v>
      </c>
      <c r="AO1376">
        <v>25</v>
      </c>
      <c r="AP1376">
        <v>3800</v>
      </c>
      <c r="AQ1376" t="s">
        <v>131</v>
      </c>
      <c r="AR1376">
        <v>5</v>
      </c>
      <c r="AS1376">
        <v>78</v>
      </c>
      <c r="AT1376">
        <v>832</v>
      </c>
      <c r="BB1376" t="str">
        <f t="shared" si="535"/>
        <v>1200</v>
      </c>
      <c r="BC1376">
        <v>1</v>
      </c>
      <c r="BD1376" t="str">
        <f t="shared" si="536"/>
        <v xml:space="preserve">N52156  </v>
      </c>
      <c r="BE1376">
        <v>1</v>
      </c>
      <c r="BG1376">
        <v>0</v>
      </c>
      <c r="BH1376">
        <v>0</v>
      </c>
      <c r="BI1376">
        <v>0</v>
      </c>
      <c r="BJ1376">
        <v>3725</v>
      </c>
      <c r="BK1376">
        <v>-75</v>
      </c>
      <c r="BL1376" t="s">
        <v>188</v>
      </c>
      <c r="BM1376">
        <v>1</v>
      </c>
      <c r="BN1376">
        <v>1</v>
      </c>
      <c r="BO1376">
        <v>0</v>
      </c>
      <c r="BP1376">
        <v>0</v>
      </c>
      <c r="BS1376">
        <v>0</v>
      </c>
      <c r="BT1376">
        <v>0</v>
      </c>
      <c r="BU1376">
        <v>0</v>
      </c>
      <c r="CE1376" t="str">
        <f t="shared" ref="CE1376:CE1381" si="547">"15:08:21.664"</f>
        <v>15:08:21.664</v>
      </c>
      <c r="CF1376">
        <v>664204867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4</v>
      </c>
      <c r="CY1376">
        <v>7</v>
      </c>
      <c r="CZ1376" t="s">
        <v>133</v>
      </c>
      <c r="DA1376">
        <v>275</v>
      </c>
      <c r="DB1376">
        <v>0</v>
      </c>
      <c r="DC1376" t="s">
        <v>134</v>
      </c>
      <c r="DD1376" t="s">
        <v>135</v>
      </c>
      <c r="DG1376">
        <v>3320259</v>
      </c>
      <c r="DI1376">
        <v>1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"05/01/2025 15:08:21.907"</f>
        <v>05/01/2025 15:08:21.907</v>
      </c>
      <c r="C1377" t="str">
        <f t="shared" si="532"/>
        <v>FFDFD3C0</v>
      </c>
      <c r="D1377" t="s">
        <v>145</v>
      </c>
      <c r="E1377" t="str">
        <f>"05"</f>
        <v>05</v>
      </c>
      <c r="H1377">
        <v>47</v>
      </c>
      <c r="I1377" t="s">
        <v>146</v>
      </c>
      <c r="J1377" t="s">
        <v>138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R1377" t="s">
        <v>127</v>
      </c>
      <c r="S1377" t="str">
        <f t="shared" si="546"/>
        <v>15:08:21.000</v>
      </c>
      <c r="T1377" t="str">
        <f t="shared" si="546"/>
        <v>15:08:21.000</v>
      </c>
      <c r="U1377" t="str">
        <f t="shared" si="534"/>
        <v>A68FCB</v>
      </c>
      <c r="V1377">
        <v>0</v>
      </c>
      <c r="W1377">
        <v>0</v>
      </c>
      <c r="X1377">
        <v>2</v>
      </c>
      <c r="Y1377">
        <v>0</v>
      </c>
      <c r="AA1377">
        <v>1</v>
      </c>
      <c r="AB1377">
        <v>8</v>
      </c>
      <c r="AC1377">
        <v>3</v>
      </c>
      <c r="AD1377">
        <v>0</v>
      </c>
      <c r="AE1377">
        <v>9</v>
      </c>
      <c r="AF1377" t="s">
        <v>138</v>
      </c>
      <c r="AG1377">
        <v>0</v>
      </c>
      <c r="AH1377">
        <v>3</v>
      </c>
      <c r="AI1377">
        <v>2</v>
      </c>
      <c r="AJ1377">
        <v>0</v>
      </c>
      <c r="AK1377" t="s">
        <v>523</v>
      </c>
      <c r="AL1377">
        <v>39.012042999999998</v>
      </c>
      <c r="AM1377" t="s">
        <v>524</v>
      </c>
      <c r="AN1377">
        <v>-121.055474</v>
      </c>
      <c r="AO1377">
        <v>25</v>
      </c>
      <c r="AP1377">
        <v>3800</v>
      </c>
      <c r="AQ1377" t="s">
        <v>131</v>
      </c>
      <c r="AR1377">
        <v>5</v>
      </c>
      <c r="AS1377">
        <v>78</v>
      </c>
      <c r="AT1377">
        <v>832</v>
      </c>
      <c r="BB1377" t="str">
        <f t="shared" si="535"/>
        <v>1200</v>
      </c>
      <c r="BC1377">
        <v>1</v>
      </c>
      <c r="BD1377" t="str">
        <f t="shared" si="536"/>
        <v xml:space="preserve">N52156  </v>
      </c>
      <c r="BE1377">
        <v>1</v>
      </c>
      <c r="BG1377">
        <v>0</v>
      </c>
      <c r="BH1377">
        <v>0</v>
      </c>
      <c r="BI1377">
        <v>0</v>
      </c>
      <c r="BJ1377">
        <v>3725</v>
      </c>
      <c r="BK1377">
        <v>-75</v>
      </c>
      <c r="BL1377" t="s">
        <v>188</v>
      </c>
      <c r="BM1377">
        <v>1</v>
      </c>
      <c r="BN1377">
        <v>1</v>
      </c>
      <c r="BO1377">
        <v>0</v>
      </c>
      <c r="BP1377">
        <v>0</v>
      </c>
      <c r="BS1377">
        <v>0</v>
      </c>
      <c r="BT1377">
        <v>0</v>
      </c>
      <c r="BU1377">
        <v>0</v>
      </c>
      <c r="CE1377" t="str">
        <f t="shared" si="547"/>
        <v>15:08:21.664</v>
      </c>
      <c r="CF1377">
        <v>664204867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4</v>
      </c>
      <c r="CY1377">
        <v>7</v>
      </c>
      <c r="CZ1377" t="s">
        <v>133</v>
      </c>
      <c r="DA1377">
        <v>275</v>
      </c>
      <c r="DB1377">
        <v>0</v>
      </c>
      <c r="DC1377" t="s">
        <v>134</v>
      </c>
      <c r="DD1377" t="s">
        <v>135</v>
      </c>
      <c r="DG1377">
        <v>3320259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"05/01/2025 15:08:21.909"</f>
        <v>05/01/2025 15:08:21.909</v>
      </c>
      <c r="C1378" t="str">
        <f t="shared" si="532"/>
        <v>FFDFD3C0</v>
      </c>
      <c r="D1378" t="s">
        <v>124</v>
      </c>
      <c r="E1378" t="str">
        <f>"06"</f>
        <v>06</v>
      </c>
      <c r="F1378">
        <v>2006</v>
      </c>
      <c r="G1378" t="s">
        <v>125</v>
      </c>
      <c r="J1378" t="s">
        <v>126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R1378" t="s">
        <v>127</v>
      </c>
      <c r="S1378" t="str">
        <f t="shared" si="546"/>
        <v>15:08:21.000</v>
      </c>
      <c r="T1378" t="str">
        <f t="shared" si="546"/>
        <v>15:08:21.000</v>
      </c>
      <c r="U1378" t="str">
        <f t="shared" si="534"/>
        <v>A68FCB</v>
      </c>
      <c r="V1378">
        <v>0</v>
      </c>
      <c r="W1378">
        <v>0</v>
      </c>
      <c r="X1378">
        <v>2</v>
      </c>
      <c r="Y1378">
        <v>0</v>
      </c>
      <c r="AA1378">
        <v>1</v>
      </c>
      <c r="AB1378">
        <v>8</v>
      </c>
      <c r="AC1378">
        <v>3</v>
      </c>
      <c r="AD1378">
        <v>0</v>
      </c>
      <c r="AE1378">
        <v>9</v>
      </c>
      <c r="AF1378" t="s">
        <v>138</v>
      </c>
      <c r="AG1378">
        <v>0</v>
      </c>
      <c r="AH1378">
        <v>3</v>
      </c>
      <c r="AI1378">
        <v>2</v>
      </c>
      <c r="AJ1378">
        <v>0</v>
      </c>
      <c r="AK1378" t="s">
        <v>523</v>
      </c>
      <c r="AL1378">
        <v>39.012042999999998</v>
      </c>
      <c r="AM1378" t="s">
        <v>524</v>
      </c>
      <c r="AN1378">
        <v>-121.055474</v>
      </c>
      <c r="AO1378">
        <v>25</v>
      </c>
      <c r="AP1378">
        <v>3800</v>
      </c>
      <c r="AQ1378" t="s">
        <v>131</v>
      </c>
      <c r="AR1378">
        <v>5</v>
      </c>
      <c r="AS1378">
        <v>78</v>
      </c>
      <c r="AT1378">
        <v>832</v>
      </c>
      <c r="BB1378" t="str">
        <f t="shared" si="535"/>
        <v>1200</v>
      </c>
      <c r="BC1378">
        <v>1</v>
      </c>
      <c r="BD1378" t="str">
        <f t="shared" si="536"/>
        <v xml:space="preserve">N52156  </v>
      </c>
      <c r="BE1378">
        <v>1</v>
      </c>
      <c r="BG1378">
        <v>0</v>
      </c>
      <c r="BH1378">
        <v>0</v>
      </c>
      <c r="BI1378">
        <v>0</v>
      </c>
      <c r="BJ1378">
        <v>3725</v>
      </c>
      <c r="BK1378">
        <v>-75</v>
      </c>
      <c r="BL1378" t="s">
        <v>188</v>
      </c>
      <c r="BM1378">
        <v>1</v>
      </c>
      <c r="BN1378">
        <v>1</v>
      </c>
      <c r="BO1378">
        <v>0</v>
      </c>
      <c r="BP1378">
        <v>0</v>
      </c>
      <c r="BS1378">
        <v>0</v>
      </c>
      <c r="BT1378">
        <v>0</v>
      </c>
      <c r="BU1378">
        <v>0</v>
      </c>
      <c r="CE1378" t="str">
        <f t="shared" si="547"/>
        <v>15:08:21.664</v>
      </c>
      <c r="CF1378">
        <v>664204867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4</v>
      </c>
      <c r="CY1378">
        <v>7</v>
      </c>
      <c r="CZ1378" t="s">
        <v>133</v>
      </c>
      <c r="DA1378">
        <v>275</v>
      </c>
      <c r="DB1378">
        <v>0</v>
      </c>
      <c r="DC1378" t="s">
        <v>134</v>
      </c>
      <c r="DD1378" t="s">
        <v>135</v>
      </c>
      <c r="DG1378">
        <v>3320259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"05/01/2025 15:08:21.911"</f>
        <v>05/01/2025 15:08:21.911</v>
      </c>
      <c r="C1379" t="str">
        <f t="shared" si="532"/>
        <v>FFDFD3C0</v>
      </c>
      <c r="D1379" t="s">
        <v>145</v>
      </c>
      <c r="E1379" t="str">
        <f>"09"</f>
        <v>09</v>
      </c>
      <c r="H1379">
        <v>51</v>
      </c>
      <c r="I1379" t="s">
        <v>147</v>
      </c>
      <c r="J1379" t="s">
        <v>138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R1379" t="s">
        <v>127</v>
      </c>
      <c r="S1379" t="str">
        <f t="shared" si="546"/>
        <v>15:08:21.000</v>
      </c>
      <c r="T1379" t="str">
        <f t="shared" si="546"/>
        <v>15:08:21.000</v>
      </c>
      <c r="U1379" t="str">
        <f t="shared" si="534"/>
        <v>A68FCB</v>
      </c>
      <c r="V1379">
        <v>0</v>
      </c>
      <c r="W1379">
        <v>0</v>
      </c>
      <c r="X1379">
        <v>2</v>
      </c>
      <c r="Y1379">
        <v>0</v>
      </c>
      <c r="AA1379">
        <v>1</v>
      </c>
      <c r="AB1379">
        <v>8</v>
      </c>
      <c r="AC1379">
        <v>3</v>
      </c>
      <c r="AD1379">
        <v>0</v>
      </c>
      <c r="AE1379">
        <v>9</v>
      </c>
      <c r="AF1379" t="s">
        <v>138</v>
      </c>
      <c r="AG1379">
        <v>0</v>
      </c>
      <c r="AH1379">
        <v>3</v>
      </c>
      <c r="AI1379">
        <v>2</v>
      </c>
      <c r="AJ1379">
        <v>0</v>
      </c>
      <c r="AK1379" t="s">
        <v>523</v>
      </c>
      <c r="AL1379">
        <v>39.012042999999998</v>
      </c>
      <c r="AM1379" t="s">
        <v>524</v>
      </c>
      <c r="AN1379">
        <v>-121.055474</v>
      </c>
      <c r="AO1379">
        <v>25</v>
      </c>
      <c r="AP1379">
        <v>3800</v>
      </c>
      <c r="AQ1379" t="s">
        <v>131</v>
      </c>
      <c r="AR1379">
        <v>5</v>
      </c>
      <c r="AS1379">
        <v>78</v>
      </c>
      <c r="AT1379">
        <v>832</v>
      </c>
      <c r="BB1379" t="str">
        <f t="shared" si="535"/>
        <v>1200</v>
      </c>
      <c r="BC1379">
        <v>1</v>
      </c>
      <c r="BD1379" t="str">
        <f t="shared" si="536"/>
        <v xml:space="preserve">N52156  </v>
      </c>
      <c r="BE1379">
        <v>1</v>
      </c>
      <c r="BG1379">
        <v>0</v>
      </c>
      <c r="BH1379">
        <v>0</v>
      </c>
      <c r="BI1379">
        <v>0</v>
      </c>
      <c r="BJ1379">
        <v>3725</v>
      </c>
      <c r="BK1379">
        <v>-75</v>
      </c>
      <c r="BL1379" t="s">
        <v>188</v>
      </c>
      <c r="BM1379">
        <v>1</v>
      </c>
      <c r="BN1379">
        <v>1</v>
      </c>
      <c r="BO1379">
        <v>0</v>
      </c>
      <c r="BP1379">
        <v>0</v>
      </c>
      <c r="BS1379">
        <v>0</v>
      </c>
      <c r="BT1379">
        <v>0</v>
      </c>
      <c r="BU1379">
        <v>0</v>
      </c>
      <c r="CE1379" t="str">
        <f t="shared" si="547"/>
        <v>15:08:21.664</v>
      </c>
      <c r="CF1379">
        <v>664204867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4</v>
      </c>
      <c r="CY1379">
        <v>7</v>
      </c>
      <c r="CZ1379" t="s">
        <v>133</v>
      </c>
      <c r="DA1379">
        <v>275</v>
      </c>
      <c r="DB1379">
        <v>0</v>
      </c>
      <c r="DC1379" t="s">
        <v>134</v>
      </c>
      <c r="DD1379" t="s">
        <v>135</v>
      </c>
      <c r="DG1379">
        <v>3320259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"05/01/2025 15:08:21.913"</f>
        <v>05/01/2025 15:08:21.913</v>
      </c>
      <c r="C1380" t="str">
        <f t="shared" si="532"/>
        <v>FFDFD3C0</v>
      </c>
      <c r="D1380" t="s">
        <v>143</v>
      </c>
      <c r="E1380" t="str">
        <f>"05"</f>
        <v>05</v>
      </c>
      <c r="H1380">
        <v>172</v>
      </c>
      <c r="I1380" t="s">
        <v>141</v>
      </c>
      <c r="J1380" t="s">
        <v>144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R1380" t="s">
        <v>127</v>
      </c>
      <c r="S1380" t="str">
        <f t="shared" si="546"/>
        <v>15:08:21.000</v>
      </c>
      <c r="T1380" t="str">
        <f t="shared" si="546"/>
        <v>15:08:21.000</v>
      </c>
      <c r="U1380" t="str">
        <f t="shared" si="534"/>
        <v>A68FCB</v>
      </c>
      <c r="V1380">
        <v>0</v>
      </c>
      <c r="W1380">
        <v>0</v>
      </c>
      <c r="X1380">
        <v>2</v>
      </c>
      <c r="Y1380">
        <v>0</v>
      </c>
      <c r="AA1380">
        <v>1</v>
      </c>
      <c r="AB1380">
        <v>8</v>
      </c>
      <c r="AC1380">
        <v>3</v>
      </c>
      <c r="AD1380">
        <v>0</v>
      </c>
      <c r="AE1380">
        <v>9</v>
      </c>
      <c r="AF1380" t="s">
        <v>138</v>
      </c>
      <c r="AG1380">
        <v>0</v>
      </c>
      <c r="AH1380">
        <v>3</v>
      </c>
      <c r="AI1380">
        <v>2</v>
      </c>
      <c r="AJ1380">
        <v>0</v>
      </c>
      <c r="AK1380" t="s">
        <v>523</v>
      </c>
      <c r="AL1380">
        <v>39.012042999999998</v>
      </c>
      <c r="AM1380" t="s">
        <v>524</v>
      </c>
      <c r="AN1380">
        <v>-121.055474</v>
      </c>
      <c r="AO1380">
        <v>25</v>
      </c>
      <c r="AP1380">
        <v>3800</v>
      </c>
      <c r="AQ1380" t="s">
        <v>131</v>
      </c>
      <c r="AR1380">
        <v>5</v>
      </c>
      <c r="AS1380">
        <v>78</v>
      </c>
      <c r="AT1380">
        <v>832</v>
      </c>
      <c r="BB1380" t="str">
        <f t="shared" si="535"/>
        <v>1200</v>
      </c>
      <c r="BC1380">
        <v>1</v>
      </c>
      <c r="BD1380" t="str">
        <f t="shared" si="536"/>
        <v xml:space="preserve">N52156  </v>
      </c>
      <c r="BE1380">
        <v>1</v>
      </c>
      <c r="BG1380">
        <v>0</v>
      </c>
      <c r="BH1380">
        <v>0</v>
      </c>
      <c r="BI1380">
        <v>0</v>
      </c>
      <c r="BJ1380">
        <v>3725</v>
      </c>
      <c r="BK1380">
        <v>-75</v>
      </c>
      <c r="BL1380" t="s">
        <v>188</v>
      </c>
      <c r="BM1380">
        <v>1</v>
      </c>
      <c r="BN1380">
        <v>1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 t="shared" si="547"/>
        <v>15:08:21.664</v>
      </c>
      <c r="CF1380">
        <v>664204867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4</v>
      </c>
      <c r="CY1380">
        <v>7</v>
      </c>
      <c r="CZ1380" t="s">
        <v>133</v>
      </c>
      <c r="DA1380">
        <v>275</v>
      </c>
      <c r="DB1380">
        <v>0</v>
      </c>
      <c r="DC1380" t="s">
        <v>134</v>
      </c>
      <c r="DD1380" t="s">
        <v>135</v>
      </c>
      <c r="DG1380">
        <v>3320259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"05/01/2025 15:08:21.921"</f>
        <v>05/01/2025 15:08:21.921</v>
      </c>
      <c r="C1381" t="str">
        <f t="shared" si="532"/>
        <v>FFDFD3C0</v>
      </c>
      <c r="D1381" t="s">
        <v>136</v>
      </c>
      <c r="E1381" t="str">
        <f>"20"</f>
        <v>20</v>
      </c>
      <c r="H1381">
        <v>400</v>
      </c>
      <c r="I1381" t="s">
        <v>137</v>
      </c>
      <c r="J1381" t="s">
        <v>138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R1381" t="s">
        <v>127</v>
      </c>
      <c r="S1381" t="str">
        <f t="shared" si="546"/>
        <v>15:08:21.000</v>
      </c>
      <c r="T1381" t="str">
        <f t="shared" si="546"/>
        <v>15:08:21.000</v>
      </c>
      <c r="U1381" t="str">
        <f t="shared" si="534"/>
        <v>A68FCB</v>
      </c>
      <c r="V1381">
        <v>0</v>
      </c>
      <c r="W1381">
        <v>0</v>
      </c>
      <c r="X1381">
        <v>2</v>
      </c>
      <c r="Y1381">
        <v>0</v>
      </c>
      <c r="AA1381">
        <v>1</v>
      </c>
      <c r="AB1381">
        <v>8</v>
      </c>
      <c r="AC1381">
        <v>3</v>
      </c>
      <c r="AD1381">
        <v>0</v>
      </c>
      <c r="AE1381">
        <v>9</v>
      </c>
      <c r="AF1381" t="s">
        <v>138</v>
      </c>
      <c r="AG1381">
        <v>0</v>
      </c>
      <c r="AH1381">
        <v>3</v>
      </c>
      <c r="AI1381">
        <v>2</v>
      </c>
      <c r="AJ1381">
        <v>0</v>
      </c>
      <c r="AK1381" t="s">
        <v>523</v>
      </c>
      <c r="AL1381">
        <v>39.012042999999998</v>
      </c>
      <c r="AM1381" t="s">
        <v>524</v>
      </c>
      <c r="AN1381">
        <v>-121.055474</v>
      </c>
      <c r="AO1381">
        <v>25</v>
      </c>
      <c r="AP1381">
        <v>3800</v>
      </c>
      <c r="AQ1381" t="s">
        <v>131</v>
      </c>
      <c r="AR1381">
        <v>5</v>
      </c>
      <c r="AS1381">
        <v>78</v>
      </c>
      <c r="AT1381">
        <v>832</v>
      </c>
      <c r="BB1381" t="str">
        <f t="shared" si="535"/>
        <v>1200</v>
      </c>
      <c r="BC1381">
        <v>1</v>
      </c>
      <c r="BD1381" t="str">
        <f t="shared" si="536"/>
        <v xml:space="preserve">N52156  </v>
      </c>
      <c r="BE1381">
        <v>1</v>
      </c>
      <c r="BG1381">
        <v>0</v>
      </c>
      <c r="BH1381">
        <v>0</v>
      </c>
      <c r="BI1381">
        <v>0</v>
      </c>
      <c r="BJ1381">
        <v>3725</v>
      </c>
      <c r="BK1381">
        <v>-75</v>
      </c>
      <c r="BL1381" t="s">
        <v>188</v>
      </c>
      <c r="BM1381">
        <v>1</v>
      </c>
      <c r="BN1381">
        <v>1</v>
      </c>
      <c r="BO1381">
        <v>0</v>
      </c>
      <c r="BP1381">
        <v>0</v>
      </c>
      <c r="BS1381">
        <v>0</v>
      </c>
      <c r="BT1381">
        <v>0</v>
      </c>
      <c r="BU1381">
        <v>0</v>
      </c>
      <c r="CE1381" t="str">
        <f t="shared" si="547"/>
        <v>15:08:21.664</v>
      </c>
      <c r="CF1381">
        <v>664204867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4</v>
      </c>
      <c r="CY1381">
        <v>7</v>
      </c>
      <c r="CZ1381" t="s">
        <v>133</v>
      </c>
      <c r="DA1381">
        <v>275</v>
      </c>
      <c r="DB1381">
        <v>0</v>
      </c>
      <c r="DC1381" t="s">
        <v>134</v>
      </c>
      <c r="DD1381" t="s">
        <v>135</v>
      </c>
      <c r="DG1381">
        <v>3320259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"05/01/2025 15:08:22.964"</f>
        <v>05/01/2025 15:08:22.964</v>
      </c>
      <c r="C1382" t="str">
        <f t="shared" si="532"/>
        <v>FFDFD3C0</v>
      </c>
      <c r="D1382" t="s">
        <v>143</v>
      </c>
      <c r="E1382" t="str">
        <f>"05"</f>
        <v>05</v>
      </c>
      <c r="H1382">
        <v>172</v>
      </c>
      <c r="I1382" t="s">
        <v>141</v>
      </c>
      <c r="J1382" t="s">
        <v>144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R1382" t="s">
        <v>127</v>
      </c>
      <c r="S1382" t="str">
        <f t="shared" ref="S1382:T1387" si="548">"15:08:22.000"</f>
        <v>15:08:22.000</v>
      </c>
      <c r="T1382" t="str">
        <f t="shared" si="548"/>
        <v>15:08:22.000</v>
      </c>
      <c r="U1382" t="str">
        <f t="shared" si="534"/>
        <v>A68FCB</v>
      </c>
      <c r="V1382">
        <v>0</v>
      </c>
      <c r="W1382">
        <v>0</v>
      </c>
      <c r="X1382">
        <v>2</v>
      </c>
      <c r="Y1382">
        <v>0</v>
      </c>
      <c r="AA1382">
        <v>1</v>
      </c>
      <c r="AB1382">
        <v>8</v>
      </c>
      <c r="AC1382">
        <v>3</v>
      </c>
      <c r="AD1382">
        <v>0</v>
      </c>
      <c r="AE1382">
        <v>9</v>
      </c>
      <c r="AF1382" t="s">
        <v>138</v>
      </c>
      <c r="AG1382">
        <v>0</v>
      </c>
      <c r="AH1382">
        <v>3</v>
      </c>
      <c r="AI1382">
        <v>2</v>
      </c>
      <c r="AJ1382">
        <v>0</v>
      </c>
      <c r="AK1382" t="s">
        <v>525</v>
      </c>
      <c r="AL1382">
        <v>39.012408000000001</v>
      </c>
      <c r="AM1382" t="s">
        <v>526</v>
      </c>
      <c r="AN1382">
        <v>-121.055453</v>
      </c>
      <c r="AO1382">
        <v>25</v>
      </c>
      <c r="AP1382">
        <v>3800</v>
      </c>
      <c r="AQ1382" t="s">
        <v>131</v>
      </c>
      <c r="AR1382">
        <v>8</v>
      </c>
      <c r="AS1382">
        <v>77</v>
      </c>
      <c r="AT1382">
        <v>768</v>
      </c>
      <c r="BB1382" t="str">
        <f t="shared" si="535"/>
        <v>1200</v>
      </c>
      <c r="BC1382">
        <v>1</v>
      </c>
      <c r="BD1382" t="str">
        <f t="shared" si="536"/>
        <v xml:space="preserve">N52156  </v>
      </c>
      <c r="BE1382">
        <v>1</v>
      </c>
      <c r="BG1382">
        <v>0</v>
      </c>
      <c r="BH1382">
        <v>0</v>
      </c>
      <c r="BI1382">
        <v>0</v>
      </c>
      <c r="BJ1382">
        <v>3725</v>
      </c>
      <c r="BK1382">
        <v>-75</v>
      </c>
      <c r="BL1382" t="s">
        <v>188</v>
      </c>
      <c r="BM1382">
        <v>1</v>
      </c>
      <c r="BN1382">
        <v>1</v>
      </c>
      <c r="BO1382">
        <v>0</v>
      </c>
      <c r="BP1382">
        <v>0</v>
      </c>
      <c r="BS1382">
        <v>0</v>
      </c>
      <c r="BT1382">
        <v>0</v>
      </c>
      <c r="BU1382">
        <v>0</v>
      </c>
      <c r="CE1382" t="str">
        <f t="shared" ref="CE1382:CE1387" si="549">"15:08:22.760"</f>
        <v>15:08:22.760</v>
      </c>
      <c r="CF1382">
        <v>759705162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4</v>
      </c>
      <c r="CY1382">
        <v>7</v>
      </c>
      <c r="CZ1382" t="s">
        <v>133</v>
      </c>
      <c r="DA1382">
        <v>275</v>
      </c>
      <c r="DB1382">
        <v>0</v>
      </c>
      <c r="DC1382" t="s">
        <v>134</v>
      </c>
      <c r="DD1382" t="s">
        <v>135</v>
      </c>
      <c r="DG1382">
        <v>3320270</v>
      </c>
      <c r="DI1382">
        <v>1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"05/01/2025 15:08:22.973"</f>
        <v>05/01/2025 15:08:22.973</v>
      </c>
      <c r="C1383" t="str">
        <f t="shared" si="532"/>
        <v>FFDFD3C0</v>
      </c>
      <c r="D1383" t="s">
        <v>136</v>
      </c>
      <c r="E1383" t="str">
        <f>"20"</f>
        <v>20</v>
      </c>
      <c r="H1383">
        <v>400</v>
      </c>
      <c r="I1383" t="s">
        <v>137</v>
      </c>
      <c r="J1383" t="s">
        <v>138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R1383" t="s">
        <v>127</v>
      </c>
      <c r="S1383" t="str">
        <f t="shared" si="548"/>
        <v>15:08:22.000</v>
      </c>
      <c r="T1383" t="str">
        <f t="shared" si="548"/>
        <v>15:08:22.000</v>
      </c>
      <c r="U1383" t="str">
        <f t="shared" si="534"/>
        <v>A68FCB</v>
      </c>
      <c r="V1383">
        <v>0</v>
      </c>
      <c r="W1383">
        <v>0</v>
      </c>
      <c r="X1383">
        <v>2</v>
      </c>
      <c r="Y1383">
        <v>0</v>
      </c>
      <c r="AA1383">
        <v>1</v>
      </c>
      <c r="AB1383">
        <v>8</v>
      </c>
      <c r="AC1383">
        <v>3</v>
      </c>
      <c r="AD1383">
        <v>0</v>
      </c>
      <c r="AE1383">
        <v>9</v>
      </c>
      <c r="AF1383" t="s">
        <v>138</v>
      </c>
      <c r="AG1383">
        <v>0</v>
      </c>
      <c r="AH1383">
        <v>3</v>
      </c>
      <c r="AI1383">
        <v>2</v>
      </c>
      <c r="AJ1383">
        <v>0</v>
      </c>
      <c r="AK1383" t="s">
        <v>525</v>
      </c>
      <c r="AL1383">
        <v>39.012408000000001</v>
      </c>
      <c r="AM1383" t="s">
        <v>526</v>
      </c>
      <c r="AN1383">
        <v>-121.055453</v>
      </c>
      <c r="AO1383">
        <v>25</v>
      </c>
      <c r="AP1383">
        <v>3800</v>
      </c>
      <c r="AQ1383" t="s">
        <v>131</v>
      </c>
      <c r="AR1383">
        <v>8</v>
      </c>
      <c r="AS1383">
        <v>77</v>
      </c>
      <c r="AT1383">
        <v>768</v>
      </c>
      <c r="BB1383" t="str">
        <f t="shared" si="535"/>
        <v>1200</v>
      </c>
      <c r="BC1383">
        <v>1</v>
      </c>
      <c r="BD1383" t="str">
        <f t="shared" si="536"/>
        <v xml:space="preserve">N52156  </v>
      </c>
      <c r="BE1383">
        <v>1</v>
      </c>
      <c r="BG1383">
        <v>0</v>
      </c>
      <c r="BH1383">
        <v>0</v>
      </c>
      <c r="BI1383">
        <v>0</v>
      </c>
      <c r="BJ1383">
        <v>3725</v>
      </c>
      <c r="BK1383">
        <v>-75</v>
      </c>
      <c r="BL1383" t="s">
        <v>188</v>
      </c>
      <c r="BM1383">
        <v>1</v>
      </c>
      <c r="BN1383">
        <v>1</v>
      </c>
      <c r="BO1383">
        <v>0</v>
      </c>
      <c r="BP1383">
        <v>0</v>
      </c>
      <c r="BS1383">
        <v>0</v>
      </c>
      <c r="BT1383">
        <v>0</v>
      </c>
      <c r="BU1383">
        <v>0</v>
      </c>
      <c r="CE1383" t="str">
        <f t="shared" si="549"/>
        <v>15:08:22.760</v>
      </c>
      <c r="CF1383">
        <v>759705162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4</v>
      </c>
      <c r="CY1383">
        <v>7</v>
      </c>
      <c r="CZ1383" t="s">
        <v>133</v>
      </c>
      <c r="DA1383">
        <v>275</v>
      </c>
      <c r="DB1383">
        <v>0</v>
      </c>
      <c r="DC1383" t="s">
        <v>134</v>
      </c>
      <c r="DD1383" t="s">
        <v>135</v>
      </c>
      <c r="DG1383">
        <v>3320270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"05/01/2025 15:08:23.006"</f>
        <v>05/01/2025 15:08:23.006</v>
      </c>
      <c r="C1384" t="str">
        <f t="shared" si="532"/>
        <v>FFDFD3C0</v>
      </c>
      <c r="D1384" t="s">
        <v>140</v>
      </c>
      <c r="E1384" t="str">
        <f>"13"</f>
        <v>13</v>
      </c>
      <c r="F1384">
        <v>1019</v>
      </c>
      <c r="G1384" t="s">
        <v>141</v>
      </c>
      <c r="J1384" t="s">
        <v>142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R1384" t="s">
        <v>127</v>
      </c>
      <c r="S1384" t="str">
        <f t="shared" si="548"/>
        <v>15:08:22.000</v>
      </c>
      <c r="T1384" t="str">
        <f t="shared" si="548"/>
        <v>15:08:22.000</v>
      </c>
      <c r="U1384" t="str">
        <f t="shared" si="534"/>
        <v>A68FCB</v>
      </c>
      <c r="V1384">
        <v>0</v>
      </c>
      <c r="W1384">
        <v>0</v>
      </c>
      <c r="X1384">
        <v>2</v>
      </c>
      <c r="Y1384">
        <v>0</v>
      </c>
      <c r="AA1384">
        <v>1</v>
      </c>
      <c r="AB1384">
        <v>8</v>
      </c>
      <c r="AC1384">
        <v>3</v>
      </c>
      <c r="AD1384">
        <v>0</v>
      </c>
      <c r="AE1384">
        <v>9</v>
      </c>
      <c r="AF1384" t="s">
        <v>138</v>
      </c>
      <c r="AG1384">
        <v>0</v>
      </c>
      <c r="AH1384">
        <v>3</v>
      </c>
      <c r="AI1384">
        <v>2</v>
      </c>
      <c r="AJ1384">
        <v>0</v>
      </c>
      <c r="AK1384" t="s">
        <v>525</v>
      </c>
      <c r="AL1384">
        <v>39.012408000000001</v>
      </c>
      <c r="AM1384" t="s">
        <v>526</v>
      </c>
      <c r="AN1384">
        <v>-121.055453</v>
      </c>
      <c r="AO1384">
        <v>25</v>
      </c>
      <c r="AP1384">
        <v>3800</v>
      </c>
      <c r="AQ1384" t="s">
        <v>131</v>
      </c>
      <c r="AR1384">
        <v>8</v>
      </c>
      <c r="AS1384">
        <v>77</v>
      </c>
      <c r="AT1384">
        <v>768</v>
      </c>
      <c r="BB1384" t="str">
        <f t="shared" si="535"/>
        <v>1200</v>
      </c>
      <c r="BC1384">
        <v>1</v>
      </c>
      <c r="BD1384" t="str">
        <f t="shared" si="536"/>
        <v xml:space="preserve">N52156  </v>
      </c>
      <c r="BE1384">
        <v>1</v>
      </c>
      <c r="BG1384">
        <v>0</v>
      </c>
      <c r="BH1384">
        <v>0</v>
      </c>
      <c r="BI1384">
        <v>0</v>
      </c>
      <c r="BJ1384">
        <v>3725</v>
      </c>
      <c r="BK1384">
        <v>-75</v>
      </c>
      <c r="BL1384" t="s">
        <v>188</v>
      </c>
      <c r="BM1384">
        <v>1</v>
      </c>
      <c r="BN1384">
        <v>1</v>
      </c>
      <c r="BO1384">
        <v>0</v>
      </c>
      <c r="BP1384">
        <v>0</v>
      </c>
      <c r="BS1384">
        <v>0</v>
      </c>
      <c r="BT1384">
        <v>0</v>
      </c>
      <c r="BU1384">
        <v>0</v>
      </c>
      <c r="CE1384" t="str">
        <f t="shared" si="549"/>
        <v>15:08:22.760</v>
      </c>
      <c r="CF1384">
        <v>759705162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4</v>
      </c>
      <c r="CY1384">
        <v>7</v>
      </c>
      <c r="CZ1384" t="s">
        <v>133</v>
      </c>
      <c r="DA1384">
        <v>275</v>
      </c>
      <c r="DB1384">
        <v>0</v>
      </c>
      <c r="DC1384" t="s">
        <v>134</v>
      </c>
      <c r="DD1384" t="s">
        <v>135</v>
      </c>
      <c r="DG1384">
        <v>3320270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"05/01/2025 15:08:23.009"</f>
        <v>05/01/2025 15:08:23.009</v>
      </c>
      <c r="C1385" t="str">
        <f t="shared" si="532"/>
        <v>FFDFD3C0</v>
      </c>
      <c r="D1385" t="s">
        <v>145</v>
      </c>
      <c r="E1385" t="str">
        <f>"05"</f>
        <v>05</v>
      </c>
      <c r="H1385">
        <v>47</v>
      </c>
      <c r="I1385" t="s">
        <v>146</v>
      </c>
      <c r="J1385" t="s">
        <v>138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R1385" t="s">
        <v>127</v>
      </c>
      <c r="S1385" t="str">
        <f t="shared" si="548"/>
        <v>15:08:22.000</v>
      </c>
      <c r="T1385" t="str">
        <f t="shared" si="548"/>
        <v>15:08:22.000</v>
      </c>
      <c r="U1385" t="str">
        <f t="shared" si="534"/>
        <v>A68FCB</v>
      </c>
      <c r="V1385">
        <v>0</v>
      </c>
      <c r="W1385">
        <v>0</v>
      </c>
      <c r="X1385">
        <v>2</v>
      </c>
      <c r="Y1385">
        <v>0</v>
      </c>
      <c r="AA1385">
        <v>1</v>
      </c>
      <c r="AB1385">
        <v>8</v>
      </c>
      <c r="AC1385">
        <v>3</v>
      </c>
      <c r="AD1385">
        <v>0</v>
      </c>
      <c r="AE1385">
        <v>9</v>
      </c>
      <c r="AF1385" t="s">
        <v>138</v>
      </c>
      <c r="AG1385">
        <v>0</v>
      </c>
      <c r="AH1385">
        <v>3</v>
      </c>
      <c r="AI1385">
        <v>2</v>
      </c>
      <c r="AJ1385">
        <v>0</v>
      </c>
      <c r="AK1385" t="s">
        <v>525</v>
      </c>
      <c r="AL1385">
        <v>39.012408000000001</v>
      </c>
      <c r="AM1385" t="s">
        <v>526</v>
      </c>
      <c r="AN1385">
        <v>-121.055453</v>
      </c>
      <c r="AO1385">
        <v>25</v>
      </c>
      <c r="AP1385">
        <v>3800</v>
      </c>
      <c r="AQ1385" t="s">
        <v>131</v>
      </c>
      <c r="AR1385">
        <v>8</v>
      </c>
      <c r="AS1385">
        <v>77</v>
      </c>
      <c r="AT1385">
        <v>768</v>
      </c>
      <c r="BB1385" t="str">
        <f t="shared" si="535"/>
        <v>1200</v>
      </c>
      <c r="BC1385">
        <v>1</v>
      </c>
      <c r="BD1385" t="str">
        <f t="shared" si="536"/>
        <v xml:space="preserve">N52156  </v>
      </c>
      <c r="BE1385">
        <v>1</v>
      </c>
      <c r="BG1385">
        <v>0</v>
      </c>
      <c r="BH1385">
        <v>0</v>
      </c>
      <c r="BI1385">
        <v>0</v>
      </c>
      <c r="BJ1385">
        <v>3725</v>
      </c>
      <c r="BK1385">
        <v>-75</v>
      </c>
      <c r="BL1385" t="s">
        <v>188</v>
      </c>
      <c r="BM1385">
        <v>1</v>
      </c>
      <c r="BN1385">
        <v>1</v>
      </c>
      <c r="BO1385">
        <v>0</v>
      </c>
      <c r="BP1385">
        <v>0</v>
      </c>
      <c r="BS1385">
        <v>0</v>
      </c>
      <c r="BT1385">
        <v>0</v>
      </c>
      <c r="BU1385">
        <v>0</v>
      </c>
      <c r="CE1385" t="str">
        <f t="shared" si="549"/>
        <v>15:08:22.760</v>
      </c>
      <c r="CF1385">
        <v>759705162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4</v>
      </c>
      <c r="CY1385">
        <v>7</v>
      </c>
      <c r="CZ1385" t="s">
        <v>133</v>
      </c>
      <c r="DA1385">
        <v>275</v>
      </c>
      <c r="DB1385">
        <v>0</v>
      </c>
      <c r="DC1385" t="s">
        <v>134</v>
      </c>
      <c r="DD1385" t="s">
        <v>135</v>
      </c>
      <c r="DG1385">
        <v>3320270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"05/01/2025 15:08:23.011"</f>
        <v>05/01/2025 15:08:23.011</v>
      </c>
      <c r="C1386" t="str">
        <f t="shared" si="532"/>
        <v>FFDFD3C0</v>
      </c>
      <c r="D1386" t="s">
        <v>124</v>
      </c>
      <c r="E1386" t="str">
        <f>"06"</f>
        <v>06</v>
      </c>
      <c r="F1386">
        <v>2006</v>
      </c>
      <c r="G1386" t="s">
        <v>125</v>
      </c>
      <c r="J1386" t="s">
        <v>126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R1386" t="s">
        <v>127</v>
      </c>
      <c r="S1386" t="str">
        <f t="shared" si="548"/>
        <v>15:08:22.000</v>
      </c>
      <c r="T1386" t="str">
        <f t="shared" si="548"/>
        <v>15:08:22.000</v>
      </c>
      <c r="U1386" t="str">
        <f t="shared" si="534"/>
        <v>A68FCB</v>
      </c>
      <c r="V1386">
        <v>0</v>
      </c>
      <c r="W1386">
        <v>0</v>
      </c>
      <c r="X1386">
        <v>2</v>
      </c>
      <c r="Y1386">
        <v>0</v>
      </c>
      <c r="AA1386">
        <v>1</v>
      </c>
      <c r="AB1386">
        <v>8</v>
      </c>
      <c r="AC1386">
        <v>3</v>
      </c>
      <c r="AD1386">
        <v>0</v>
      </c>
      <c r="AE1386">
        <v>9</v>
      </c>
      <c r="AF1386" t="s">
        <v>138</v>
      </c>
      <c r="AG1386">
        <v>0</v>
      </c>
      <c r="AH1386">
        <v>3</v>
      </c>
      <c r="AI1386">
        <v>2</v>
      </c>
      <c r="AJ1386">
        <v>0</v>
      </c>
      <c r="AK1386" t="s">
        <v>525</v>
      </c>
      <c r="AL1386">
        <v>39.012408000000001</v>
      </c>
      <c r="AM1386" t="s">
        <v>526</v>
      </c>
      <c r="AN1386">
        <v>-121.055453</v>
      </c>
      <c r="AO1386">
        <v>25</v>
      </c>
      <c r="AP1386">
        <v>3800</v>
      </c>
      <c r="AQ1386" t="s">
        <v>131</v>
      </c>
      <c r="AR1386">
        <v>8</v>
      </c>
      <c r="AS1386">
        <v>77</v>
      </c>
      <c r="AT1386">
        <v>768</v>
      </c>
      <c r="BB1386" t="str">
        <f t="shared" si="535"/>
        <v>1200</v>
      </c>
      <c r="BC1386">
        <v>1</v>
      </c>
      <c r="BD1386" t="str">
        <f t="shared" si="536"/>
        <v xml:space="preserve">N52156  </v>
      </c>
      <c r="BE1386">
        <v>1</v>
      </c>
      <c r="BG1386">
        <v>0</v>
      </c>
      <c r="BH1386">
        <v>0</v>
      </c>
      <c r="BI1386">
        <v>0</v>
      </c>
      <c r="BJ1386">
        <v>3725</v>
      </c>
      <c r="BK1386">
        <v>-75</v>
      </c>
      <c r="BL1386" t="s">
        <v>188</v>
      </c>
      <c r="BM1386">
        <v>1</v>
      </c>
      <c r="BN1386">
        <v>1</v>
      </c>
      <c r="BO1386">
        <v>0</v>
      </c>
      <c r="BP1386">
        <v>0</v>
      </c>
      <c r="BS1386">
        <v>0</v>
      </c>
      <c r="BT1386">
        <v>0</v>
      </c>
      <c r="BU1386">
        <v>0</v>
      </c>
      <c r="CE1386" t="str">
        <f t="shared" si="549"/>
        <v>15:08:22.760</v>
      </c>
      <c r="CF1386">
        <v>759705162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4</v>
      </c>
      <c r="CY1386">
        <v>7</v>
      </c>
      <c r="CZ1386" t="s">
        <v>133</v>
      </c>
      <c r="DA1386">
        <v>275</v>
      </c>
      <c r="DB1386">
        <v>0</v>
      </c>
      <c r="DC1386" t="s">
        <v>134</v>
      </c>
      <c r="DD1386" t="s">
        <v>135</v>
      </c>
      <c r="DG1386">
        <v>3320270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"05/01/2025 15:08:23.013"</f>
        <v>05/01/2025 15:08:23.013</v>
      </c>
      <c r="C1387" t="str">
        <f t="shared" si="532"/>
        <v>FFDFD3C0</v>
      </c>
      <c r="D1387" t="s">
        <v>145</v>
      </c>
      <c r="E1387" t="str">
        <f>"09"</f>
        <v>09</v>
      </c>
      <c r="H1387">
        <v>51</v>
      </c>
      <c r="I1387" t="s">
        <v>147</v>
      </c>
      <c r="J1387" t="s">
        <v>138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R1387" t="s">
        <v>127</v>
      </c>
      <c r="S1387" t="str">
        <f t="shared" si="548"/>
        <v>15:08:22.000</v>
      </c>
      <c r="T1387" t="str">
        <f t="shared" si="548"/>
        <v>15:08:22.000</v>
      </c>
      <c r="U1387" t="str">
        <f t="shared" si="534"/>
        <v>A68FCB</v>
      </c>
      <c r="V1387">
        <v>0</v>
      </c>
      <c r="W1387">
        <v>0</v>
      </c>
      <c r="X1387">
        <v>2</v>
      </c>
      <c r="Y1387">
        <v>0</v>
      </c>
      <c r="AA1387">
        <v>1</v>
      </c>
      <c r="AB1387">
        <v>8</v>
      </c>
      <c r="AC1387">
        <v>3</v>
      </c>
      <c r="AD1387">
        <v>0</v>
      </c>
      <c r="AE1387">
        <v>9</v>
      </c>
      <c r="AF1387" t="s">
        <v>138</v>
      </c>
      <c r="AG1387">
        <v>0</v>
      </c>
      <c r="AH1387">
        <v>3</v>
      </c>
      <c r="AI1387">
        <v>2</v>
      </c>
      <c r="AJ1387">
        <v>0</v>
      </c>
      <c r="AK1387" t="s">
        <v>525</v>
      </c>
      <c r="AL1387">
        <v>39.012408000000001</v>
      </c>
      <c r="AM1387" t="s">
        <v>526</v>
      </c>
      <c r="AN1387">
        <v>-121.055453</v>
      </c>
      <c r="AO1387">
        <v>25</v>
      </c>
      <c r="AP1387">
        <v>3800</v>
      </c>
      <c r="AQ1387" t="s">
        <v>131</v>
      </c>
      <c r="AR1387">
        <v>8</v>
      </c>
      <c r="AS1387">
        <v>77</v>
      </c>
      <c r="AT1387">
        <v>768</v>
      </c>
      <c r="BB1387" t="str">
        <f t="shared" si="535"/>
        <v>1200</v>
      </c>
      <c r="BC1387">
        <v>1</v>
      </c>
      <c r="BD1387" t="str">
        <f t="shared" si="536"/>
        <v xml:space="preserve">N52156  </v>
      </c>
      <c r="BE1387">
        <v>1</v>
      </c>
      <c r="BG1387">
        <v>0</v>
      </c>
      <c r="BH1387">
        <v>0</v>
      </c>
      <c r="BI1387">
        <v>0</v>
      </c>
      <c r="BJ1387">
        <v>3725</v>
      </c>
      <c r="BK1387">
        <v>-75</v>
      </c>
      <c r="BL1387" t="s">
        <v>188</v>
      </c>
      <c r="BM1387">
        <v>1</v>
      </c>
      <c r="BN1387">
        <v>1</v>
      </c>
      <c r="BO1387">
        <v>0</v>
      </c>
      <c r="BP1387">
        <v>0</v>
      </c>
      <c r="BS1387">
        <v>0</v>
      </c>
      <c r="BT1387">
        <v>0</v>
      </c>
      <c r="BU1387">
        <v>0</v>
      </c>
      <c r="CE1387" t="str">
        <f t="shared" si="549"/>
        <v>15:08:22.760</v>
      </c>
      <c r="CF1387">
        <v>759705162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4</v>
      </c>
      <c r="CY1387">
        <v>7</v>
      </c>
      <c r="CZ1387" t="s">
        <v>133</v>
      </c>
      <c r="DA1387">
        <v>275</v>
      </c>
      <c r="DB1387">
        <v>0</v>
      </c>
      <c r="DC1387" t="s">
        <v>134</v>
      </c>
      <c r="DD1387" t="s">
        <v>135</v>
      </c>
      <c r="DG1387">
        <v>3320270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"05/01/2025 15:08:23.457"</f>
        <v>05/01/2025 15:08:23.457</v>
      </c>
      <c r="C1388" t="str">
        <f t="shared" si="532"/>
        <v>FFDFD3C0</v>
      </c>
      <c r="D1388" t="s">
        <v>140</v>
      </c>
      <c r="E1388" t="str">
        <f>"13"</f>
        <v>13</v>
      </c>
      <c r="F1388">
        <v>1019</v>
      </c>
      <c r="G1388" t="s">
        <v>141</v>
      </c>
      <c r="J1388" t="s">
        <v>142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R1388" t="s">
        <v>127</v>
      </c>
      <c r="S1388" t="str">
        <f t="shared" ref="S1388:T1393" si="550">"15:08:23.000"</f>
        <v>15:08:23.000</v>
      </c>
      <c r="T1388" t="str">
        <f t="shared" si="550"/>
        <v>15:08:23.000</v>
      </c>
      <c r="U1388" t="str">
        <f t="shared" si="534"/>
        <v>A68FCB</v>
      </c>
      <c r="V1388">
        <v>0</v>
      </c>
      <c r="W1388">
        <v>0</v>
      </c>
      <c r="X1388">
        <v>2</v>
      </c>
      <c r="Y1388">
        <v>0</v>
      </c>
      <c r="AA1388">
        <v>1</v>
      </c>
      <c r="AB1388">
        <v>8</v>
      </c>
      <c r="AC1388">
        <v>3</v>
      </c>
      <c r="AD1388">
        <v>0</v>
      </c>
      <c r="AE1388">
        <v>9</v>
      </c>
      <c r="AF1388" t="s">
        <v>138</v>
      </c>
      <c r="AG1388">
        <v>0</v>
      </c>
      <c r="AH1388">
        <v>3</v>
      </c>
      <c r="AI1388">
        <v>2</v>
      </c>
      <c r="AJ1388">
        <v>0</v>
      </c>
      <c r="AK1388" t="s">
        <v>527</v>
      </c>
      <c r="AL1388">
        <v>39.012773000000003</v>
      </c>
      <c r="AM1388" t="s">
        <v>528</v>
      </c>
      <c r="AN1388">
        <v>-121.05538799999999</v>
      </c>
      <c r="AO1388">
        <v>25</v>
      </c>
      <c r="AP1388">
        <v>3800</v>
      </c>
      <c r="AQ1388" t="s">
        <v>131</v>
      </c>
      <c r="AR1388">
        <v>9</v>
      </c>
      <c r="AS1388">
        <v>77</v>
      </c>
      <c r="AT1388">
        <v>768</v>
      </c>
      <c r="BB1388" t="str">
        <f t="shared" si="535"/>
        <v>1200</v>
      </c>
      <c r="BC1388">
        <v>1</v>
      </c>
      <c r="BD1388" t="str">
        <f t="shared" si="536"/>
        <v xml:space="preserve">N52156  </v>
      </c>
      <c r="BE1388">
        <v>1</v>
      </c>
      <c r="BG1388">
        <v>0</v>
      </c>
      <c r="BH1388">
        <v>0</v>
      </c>
      <c r="BI1388">
        <v>0</v>
      </c>
      <c r="BJ1388">
        <v>3775</v>
      </c>
      <c r="BK1388">
        <v>-25</v>
      </c>
      <c r="BL1388" t="s">
        <v>188</v>
      </c>
      <c r="BM1388">
        <v>1</v>
      </c>
      <c r="BN1388">
        <v>1</v>
      </c>
      <c r="BO1388">
        <v>0</v>
      </c>
      <c r="BP1388">
        <v>0</v>
      </c>
      <c r="BS1388">
        <v>0</v>
      </c>
      <c r="BT1388">
        <v>0</v>
      </c>
      <c r="BU1388">
        <v>0</v>
      </c>
      <c r="CE1388" t="str">
        <f t="shared" ref="CE1388:CE1393" si="551">"15:08:23.234"</f>
        <v>15:08:23.234</v>
      </c>
      <c r="CF1388">
        <v>233954154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4</v>
      </c>
      <c r="CY1388">
        <v>7</v>
      </c>
      <c r="CZ1388" t="s">
        <v>133</v>
      </c>
      <c r="DA1388">
        <v>275</v>
      </c>
      <c r="DB1388">
        <v>0</v>
      </c>
      <c r="DC1388" t="s">
        <v>134</v>
      </c>
      <c r="DD1388" t="s">
        <v>135</v>
      </c>
      <c r="DG1388">
        <v>3320274</v>
      </c>
      <c r="DI1388">
        <v>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"05/01/2025 15:08:23.461"</f>
        <v>05/01/2025 15:08:23.461</v>
      </c>
      <c r="C1389" t="str">
        <f t="shared" si="532"/>
        <v>FFDFD3C0</v>
      </c>
      <c r="D1389" t="s">
        <v>124</v>
      </c>
      <c r="E1389" t="str">
        <f>"06"</f>
        <v>06</v>
      </c>
      <c r="F1389">
        <v>2006</v>
      </c>
      <c r="G1389" t="s">
        <v>125</v>
      </c>
      <c r="J1389" t="s">
        <v>126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R1389" t="s">
        <v>127</v>
      </c>
      <c r="S1389" t="str">
        <f t="shared" si="550"/>
        <v>15:08:23.000</v>
      </c>
      <c r="T1389" t="str">
        <f t="shared" si="550"/>
        <v>15:08:23.000</v>
      </c>
      <c r="U1389" t="str">
        <f t="shared" si="534"/>
        <v>A68FCB</v>
      </c>
      <c r="V1389">
        <v>0</v>
      </c>
      <c r="W1389">
        <v>0</v>
      </c>
      <c r="X1389">
        <v>2</v>
      </c>
      <c r="Y1389">
        <v>0</v>
      </c>
      <c r="AA1389">
        <v>1</v>
      </c>
      <c r="AB1389">
        <v>8</v>
      </c>
      <c r="AC1389">
        <v>3</v>
      </c>
      <c r="AD1389">
        <v>0</v>
      </c>
      <c r="AE1389">
        <v>9</v>
      </c>
      <c r="AF1389" t="s">
        <v>138</v>
      </c>
      <c r="AG1389">
        <v>0</v>
      </c>
      <c r="AH1389">
        <v>3</v>
      </c>
      <c r="AI1389">
        <v>2</v>
      </c>
      <c r="AJ1389">
        <v>0</v>
      </c>
      <c r="AK1389" t="s">
        <v>527</v>
      </c>
      <c r="AL1389">
        <v>39.012773000000003</v>
      </c>
      <c r="AM1389" t="s">
        <v>528</v>
      </c>
      <c r="AN1389">
        <v>-121.05538799999999</v>
      </c>
      <c r="AO1389">
        <v>25</v>
      </c>
      <c r="AP1389">
        <v>3800</v>
      </c>
      <c r="AQ1389" t="s">
        <v>131</v>
      </c>
      <c r="AR1389">
        <v>9</v>
      </c>
      <c r="AS1389">
        <v>77</v>
      </c>
      <c r="AT1389">
        <v>768</v>
      </c>
      <c r="BB1389" t="str">
        <f t="shared" si="535"/>
        <v>1200</v>
      </c>
      <c r="BC1389">
        <v>1</v>
      </c>
      <c r="BD1389" t="str">
        <f t="shared" si="536"/>
        <v xml:space="preserve">N52156  </v>
      </c>
      <c r="BE1389">
        <v>1</v>
      </c>
      <c r="BG1389">
        <v>0</v>
      </c>
      <c r="BH1389">
        <v>0</v>
      </c>
      <c r="BI1389">
        <v>0</v>
      </c>
      <c r="BJ1389">
        <v>3775</v>
      </c>
      <c r="BK1389">
        <v>-25</v>
      </c>
      <c r="BL1389" t="s">
        <v>188</v>
      </c>
      <c r="BM1389">
        <v>1</v>
      </c>
      <c r="BN1389">
        <v>1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 t="shared" si="551"/>
        <v>15:08:23.234</v>
      </c>
      <c r="CF1389">
        <v>233954154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4</v>
      </c>
      <c r="CY1389">
        <v>7</v>
      </c>
      <c r="CZ1389" t="s">
        <v>133</v>
      </c>
      <c r="DA1389">
        <v>275</v>
      </c>
      <c r="DB1389">
        <v>0</v>
      </c>
      <c r="DC1389" t="s">
        <v>134</v>
      </c>
      <c r="DD1389" t="s">
        <v>135</v>
      </c>
      <c r="DG1389">
        <v>3320274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"05/01/2025 15:08:23.460"</f>
        <v>05/01/2025 15:08:23.460</v>
      </c>
      <c r="C1390" t="str">
        <f t="shared" si="532"/>
        <v>FFDFD3C0</v>
      </c>
      <c r="D1390" t="s">
        <v>145</v>
      </c>
      <c r="E1390" t="str">
        <f>"05"</f>
        <v>05</v>
      </c>
      <c r="H1390">
        <v>47</v>
      </c>
      <c r="I1390" t="s">
        <v>146</v>
      </c>
      <c r="J1390" t="s">
        <v>138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R1390" t="s">
        <v>127</v>
      </c>
      <c r="S1390" t="str">
        <f t="shared" si="550"/>
        <v>15:08:23.000</v>
      </c>
      <c r="T1390" t="str">
        <f t="shared" si="550"/>
        <v>15:08:23.000</v>
      </c>
      <c r="U1390" t="str">
        <f t="shared" si="534"/>
        <v>A68FCB</v>
      </c>
      <c r="V1390">
        <v>0</v>
      </c>
      <c r="W1390">
        <v>0</v>
      </c>
      <c r="X1390">
        <v>2</v>
      </c>
      <c r="Y1390">
        <v>0</v>
      </c>
      <c r="AA1390">
        <v>1</v>
      </c>
      <c r="AB1390">
        <v>8</v>
      </c>
      <c r="AC1390">
        <v>3</v>
      </c>
      <c r="AD1390">
        <v>0</v>
      </c>
      <c r="AE1390">
        <v>9</v>
      </c>
      <c r="AF1390" t="s">
        <v>138</v>
      </c>
      <c r="AG1390">
        <v>0</v>
      </c>
      <c r="AH1390">
        <v>3</v>
      </c>
      <c r="AI1390">
        <v>2</v>
      </c>
      <c r="AJ1390">
        <v>0</v>
      </c>
      <c r="AK1390" t="s">
        <v>527</v>
      </c>
      <c r="AL1390">
        <v>39.012773000000003</v>
      </c>
      <c r="AM1390" t="s">
        <v>528</v>
      </c>
      <c r="AN1390">
        <v>-121.05538799999999</v>
      </c>
      <c r="AO1390">
        <v>25</v>
      </c>
      <c r="AP1390">
        <v>3800</v>
      </c>
      <c r="AQ1390" t="s">
        <v>131</v>
      </c>
      <c r="AR1390">
        <v>9</v>
      </c>
      <c r="AS1390">
        <v>77</v>
      </c>
      <c r="AT1390">
        <v>768</v>
      </c>
      <c r="BB1390" t="str">
        <f t="shared" si="535"/>
        <v>1200</v>
      </c>
      <c r="BC1390">
        <v>1</v>
      </c>
      <c r="BD1390" t="str">
        <f t="shared" si="536"/>
        <v xml:space="preserve">N52156  </v>
      </c>
      <c r="BE1390">
        <v>1</v>
      </c>
      <c r="BG1390">
        <v>0</v>
      </c>
      <c r="BH1390">
        <v>0</v>
      </c>
      <c r="BI1390">
        <v>0</v>
      </c>
      <c r="BJ1390">
        <v>3775</v>
      </c>
      <c r="BK1390">
        <v>-25</v>
      </c>
      <c r="BL1390" t="s">
        <v>188</v>
      </c>
      <c r="BM1390">
        <v>1</v>
      </c>
      <c r="BN1390">
        <v>1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 t="shared" si="551"/>
        <v>15:08:23.234</v>
      </c>
      <c r="CF1390">
        <v>233954154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4</v>
      </c>
      <c r="CY1390">
        <v>7</v>
      </c>
      <c r="CZ1390" t="s">
        <v>133</v>
      </c>
      <c r="DA1390">
        <v>275</v>
      </c>
      <c r="DB1390">
        <v>0</v>
      </c>
      <c r="DC1390" t="s">
        <v>134</v>
      </c>
      <c r="DD1390" t="s">
        <v>135</v>
      </c>
      <c r="DG1390">
        <v>3320274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"05/01/2025 15:08:23.464"</f>
        <v>05/01/2025 15:08:23.464</v>
      </c>
      <c r="C1391" t="str">
        <f t="shared" si="532"/>
        <v>FFDFD3C0</v>
      </c>
      <c r="D1391" t="s">
        <v>145</v>
      </c>
      <c r="E1391" t="str">
        <f>"09"</f>
        <v>09</v>
      </c>
      <c r="H1391">
        <v>51</v>
      </c>
      <c r="I1391" t="s">
        <v>147</v>
      </c>
      <c r="J1391" t="s">
        <v>138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R1391" t="s">
        <v>127</v>
      </c>
      <c r="S1391" t="str">
        <f t="shared" si="550"/>
        <v>15:08:23.000</v>
      </c>
      <c r="T1391" t="str">
        <f t="shared" si="550"/>
        <v>15:08:23.000</v>
      </c>
      <c r="U1391" t="str">
        <f t="shared" si="534"/>
        <v>A68FCB</v>
      </c>
      <c r="V1391">
        <v>0</v>
      </c>
      <c r="W1391">
        <v>0</v>
      </c>
      <c r="X1391">
        <v>2</v>
      </c>
      <c r="Y1391">
        <v>0</v>
      </c>
      <c r="AA1391">
        <v>1</v>
      </c>
      <c r="AB1391">
        <v>8</v>
      </c>
      <c r="AC1391">
        <v>3</v>
      </c>
      <c r="AD1391">
        <v>0</v>
      </c>
      <c r="AE1391">
        <v>9</v>
      </c>
      <c r="AF1391" t="s">
        <v>138</v>
      </c>
      <c r="AG1391">
        <v>0</v>
      </c>
      <c r="AH1391">
        <v>3</v>
      </c>
      <c r="AI1391">
        <v>2</v>
      </c>
      <c r="AJ1391">
        <v>0</v>
      </c>
      <c r="AK1391" t="s">
        <v>527</v>
      </c>
      <c r="AL1391">
        <v>39.012773000000003</v>
      </c>
      <c r="AM1391" t="s">
        <v>528</v>
      </c>
      <c r="AN1391">
        <v>-121.05538799999999</v>
      </c>
      <c r="AO1391">
        <v>25</v>
      </c>
      <c r="AP1391">
        <v>3800</v>
      </c>
      <c r="AQ1391" t="s">
        <v>131</v>
      </c>
      <c r="AR1391">
        <v>9</v>
      </c>
      <c r="AS1391">
        <v>77</v>
      </c>
      <c r="AT1391">
        <v>768</v>
      </c>
      <c r="BB1391" t="str">
        <f t="shared" si="535"/>
        <v>1200</v>
      </c>
      <c r="BC1391">
        <v>1</v>
      </c>
      <c r="BD1391" t="str">
        <f t="shared" si="536"/>
        <v xml:space="preserve">N52156  </v>
      </c>
      <c r="BE1391">
        <v>1</v>
      </c>
      <c r="BG1391">
        <v>0</v>
      </c>
      <c r="BH1391">
        <v>0</v>
      </c>
      <c r="BI1391">
        <v>0</v>
      </c>
      <c r="BJ1391">
        <v>3775</v>
      </c>
      <c r="BK1391">
        <v>-25</v>
      </c>
      <c r="BL1391" t="s">
        <v>188</v>
      </c>
      <c r="BM1391">
        <v>1</v>
      </c>
      <c r="BN1391">
        <v>1</v>
      </c>
      <c r="BO1391">
        <v>0</v>
      </c>
      <c r="BP1391">
        <v>0</v>
      </c>
      <c r="BS1391">
        <v>0</v>
      </c>
      <c r="BT1391">
        <v>0</v>
      </c>
      <c r="BU1391">
        <v>0</v>
      </c>
      <c r="CE1391" t="str">
        <f t="shared" si="551"/>
        <v>15:08:23.234</v>
      </c>
      <c r="CF1391">
        <v>233954154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4</v>
      </c>
      <c r="CY1391">
        <v>7</v>
      </c>
      <c r="CZ1391" t="s">
        <v>133</v>
      </c>
      <c r="DA1391">
        <v>275</v>
      </c>
      <c r="DB1391">
        <v>0</v>
      </c>
      <c r="DC1391" t="s">
        <v>134</v>
      </c>
      <c r="DD1391" t="s">
        <v>135</v>
      </c>
      <c r="DG1391">
        <v>3320274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"05/01/2025 15:08:23.465"</f>
        <v>05/01/2025 15:08:23.465</v>
      </c>
      <c r="C1392" t="str">
        <f t="shared" si="532"/>
        <v>FFDFD3C0</v>
      </c>
      <c r="D1392" t="s">
        <v>143</v>
      </c>
      <c r="E1392" t="str">
        <f>"05"</f>
        <v>05</v>
      </c>
      <c r="H1392">
        <v>172</v>
      </c>
      <c r="I1392" t="s">
        <v>141</v>
      </c>
      <c r="J1392" t="s">
        <v>144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R1392" t="s">
        <v>127</v>
      </c>
      <c r="S1392" t="str">
        <f t="shared" si="550"/>
        <v>15:08:23.000</v>
      </c>
      <c r="T1392" t="str">
        <f t="shared" si="550"/>
        <v>15:08:23.000</v>
      </c>
      <c r="U1392" t="str">
        <f t="shared" si="534"/>
        <v>A68FCB</v>
      </c>
      <c r="V1392">
        <v>0</v>
      </c>
      <c r="W1392">
        <v>0</v>
      </c>
      <c r="X1392">
        <v>2</v>
      </c>
      <c r="Y1392">
        <v>0</v>
      </c>
      <c r="AA1392">
        <v>1</v>
      </c>
      <c r="AB1392">
        <v>8</v>
      </c>
      <c r="AC1392">
        <v>3</v>
      </c>
      <c r="AD1392">
        <v>0</v>
      </c>
      <c r="AE1392">
        <v>9</v>
      </c>
      <c r="AF1392" t="s">
        <v>138</v>
      </c>
      <c r="AG1392">
        <v>0</v>
      </c>
      <c r="AH1392">
        <v>3</v>
      </c>
      <c r="AI1392">
        <v>2</v>
      </c>
      <c r="AJ1392">
        <v>0</v>
      </c>
      <c r="AK1392" t="s">
        <v>527</v>
      </c>
      <c r="AL1392">
        <v>39.012773000000003</v>
      </c>
      <c r="AM1392" t="s">
        <v>528</v>
      </c>
      <c r="AN1392">
        <v>-121.05538799999999</v>
      </c>
      <c r="AO1392">
        <v>25</v>
      </c>
      <c r="AP1392">
        <v>3800</v>
      </c>
      <c r="AQ1392" t="s">
        <v>131</v>
      </c>
      <c r="AR1392">
        <v>9</v>
      </c>
      <c r="AS1392">
        <v>77</v>
      </c>
      <c r="AT1392">
        <v>768</v>
      </c>
      <c r="BB1392" t="str">
        <f t="shared" si="535"/>
        <v>1200</v>
      </c>
      <c r="BC1392">
        <v>1</v>
      </c>
      <c r="BD1392" t="str">
        <f t="shared" si="536"/>
        <v xml:space="preserve">N52156  </v>
      </c>
      <c r="BE1392">
        <v>1</v>
      </c>
      <c r="BG1392">
        <v>0</v>
      </c>
      <c r="BH1392">
        <v>0</v>
      </c>
      <c r="BI1392">
        <v>0</v>
      </c>
      <c r="BJ1392">
        <v>3775</v>
      </c>
      <c r="BK1392">
        <v>-25</v>
      </c>
      <c r="BL1392" t="s">
        <v>188</v>
      </c>
      <c r="BM1392">
        <v>1</v>
      </c>
      <c r="BN1392">
        <v>1</v>
      </c>
      <c r="BO1392">
        <v>0</v>
      </c>
      <c r="BP1392">
        <v>0</v>
      </c>
      <c r="BS1392">
        <v>0</v>
      </c>
      <c r="BT1392">
        <v>0</v>
      </c>
      <c r="BU1392">
        <v>0</v>
      </c>
      <c r="CE1392" t="str">
        <f t="shared" si="551"/>
        <v>15:08:23.234</v>
      </c>
      <c r="CF1392">
        <v>233954154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4</v>
      </c>
      <c r="CY1392">
        <v>7</v>
      </c>
      <c r="CZ1392" t="s">
        <v>133</v>
      </c>
      <c r="DA1392">
        <v>275</v>
      </c>
      <c r="DB1392">
        <v>0</v>
      </c>
      <c r="DC1392" t="s">
        <v>134</v>
      </c>
      <c r="DD1392" t="s">
        <v>135</v>
      </c>
      <c r="DG1392">
        <v>3320274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"05/01/2025 15:08:23.474"</f>
        <v>05/01/2025 15:08:23.474</v>
      </c>
      <c r="C1393" t="str">
        <f t="shared" si="532"/>
        <v>FFDFD3C0</v>
      </c>
      <c r="D1393" t="s">
        <v>136</v>
      </c>
      <c r="E1393" t="str">
        <f>"20"</f>
        <v>20</v>
      </c>
      <c r="H1393">
        <v>400</v>
      </c>
      <c r="I1393" t="s">
        <v>137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R1393" t="s">
        <v>127</v>
      </c>
      <c r="S1393" t="str">
        <f t="shared" si="550"/>
        <v>15:08:23.000</v>
      </c>
      <c r="T1393" t="str">
        <f t="shared" si="550"/>
        <v>15:08:23.000</v>
      </c>
      <c r="U1393" t="str">
        <f t="shared" si="534"/>
        <v>A68FCB</v>
      </c>
      <c r="V1393">
        <v>0</v>
      </c>
      <c r="W1393">
        <v>0</v>
      </c>
      <c r="X1393">
        <v>2</v>
      </c>
      <c r="Y1393">
        <v>0</v>
      </c>
      <c r="AA1393">
        <v>1</v>
      </c>
      <c r="AB1393">
        <v>8</v>
      </c>
      <c r="AC1393">
        <v>3</v>
      </c>
      <c r="AD1393">
        <v>0</v>
      </c>
      <c r="AE1393">
        <v>9</v>
      </c>
      <c r="AF1393" t="s">
        <v>138</v>
      </c>
      <c r="AG1393">
        <v>0</v>
      </c>
      <c r="AH1393">
        <v>3</v>
      </c>
      <c r="AI1393">
        <v>2</v>
      </c>
      <c r="AJ1393">
        <v>0</v>
      </c>
      <c r="AK1393" t="s">
        <v>527</v>
      </c>
      <c r="AL1393">
        <v>39.012773000000003</v>
      </c>
      <c r="AM1393" t="s">
        <v>528</v>
      </c>
      <c r="AN1393">
        <v>-121.05538799999999</v>
      </c>
      <c r="AO1393">
        <v>25</v>
      </c>
      <c r="AP1393">
        <v>3800</v>
      </c>
      <c r="AQ1393" t="s">
        <v>131</v>
      </c>
      <c r="AR1393">
        <v>9</v>
      </c>
      <c r="AS1393">
        <v>77</v>
      </c>
      <c r="AT1393">
        <v>768</v>
      </c>
      <c r="BB1393" t="str">
        <f t="shared" si="535"/>
        <v>1200</v>
      </c>
      <c r="BC1393">
        <v>1</v>
      </c>
      <c r="BD1393" t="str">
        <f t="shared" si="536"/>
        <v xml:space="preserve">N52156  </v>
      </c>
      <c r="BE1393">
        <v>1</v>
      </c>
      <c r="BG1393">
        <v>0</v>
      </c>
      <c r="BH1393">
        <v>0</v>
      </c>
      <c r="BI1393">
        <v>0</v>
      </c>
      <c r="BJ1393">
        <v>3775</v>
      </c>
      <c r="BK1393">
        <v>-25</v>
      </c>
      <c r="BL1393" t="s">
        <v>188</v>
      </c>
      <c r="BM1393">
        <v>1</v>
      </c>
      <c r="BN1393">
        <v>1</v>
      </c>
      <c r="BO1393">
        <v>0</v>
      </c>
      <c r="BP1393">
        <v>0</v>
      </c>
      <c r="BS1393">
        <v>0</v>
      </c>
      <c r="BT1393">
        <v>0</v>
      </c>
      <c r="BU1393">
        <v>0</v>
      </c>
      <c r="CE1393" t="str">
        <f t="shared" si="551"/>
        <v>15:08:23.234</v>
      </c>
      <c r="CF1393">
        <v>233954154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4</v>
      </c>
      <c r="CY1393">
        <v>7</v>
      </c>
      <c r="CZ1393" t="s">
        <v>133</v>
      </c>
      <c r="DA1393">
        <v>275</v>
      </c>
      <c r="DB1393">
        <v>0</v>
      </c>
      <c r="DC1393" t="s">
        <v>134</v>
      </c>
      <c r="DD1393" t="s">
        <v>135</v>
      </c>
      <c r="DG1393">
        <v>3320274</v>
      </c>
      <c r="DI1393">
        <v>1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"05/01/2025 15:08:25.161"</f>
        <v>05/01/2025 15:08:25.161</v>
      </c>
      <c r="C1394" t="str">
        <f t="shared" si="532"/>
        <v>FFDFD3C0</v>
      </c>
      <c r="D1394" t="s">
        <v>140</v>
      </c>
      <c r="E1394" t="str">
        <f>"13"</f>
        <v>13</v>
      </c>
      <c r="F1394">
        <v>1019</v>
      </c>
      <c r="G1394" t="s">
        <v>141</v>
      </c>
      <c r="J1394" t="s">
        <v>142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R1394" t="s">
        <v>127</v>
      </c>
      <c r="S1394" t="str">
        <f t="shared" ref="S1394:T1399" si="552">"15:08:24.000"</f>
        <v>15:08:24.000</v>
      </c>
      <c r="T1394" t="str">
        <f t="shared" si="552"/>
        <v>15:08:24.000</v>
      </c>
      <c r="U1394" t="str">
        <f t="shared" si="534"/>
        <v>A68FCB</v>
      </c>
      <c r="V1394">
        <v>0</v>
      </c>
      <c r="W1394">
        <v>0</v>
      </c>
      <c r="X1394">
        <v>2</v>
      </c>
      <c r="Y1394">
        <v>0</v>
      </c>
      <c r="AA1394">
        <v>1</v>
      </c>
      <c r="AB1394">
        <v>8</v>
      </c>
      <c r="AC1394">
        <v>3</v>
      </c>
      <c r="AD1394">
        <v>0</v>
      </c>
      <c r="AE1394">
        <v>9</v>
      </c>
      <c r="AF1394" t="s">
        <v>138</v>
      </c>
      <c r="AG1394">
        <v>0</v>
      </c>
      <c r="AH1394">
        <v>3</v>
      </c>
      <c r="AI1394">
        <v>2</v>
      </c>
      <c r="AJ1394">
        <v>0</v>
      </c>
      <c r="AK1394" t="s">
        <v>529</v>
      </c>
      <c r="AL1394">
        <v>39.013137999999998</v>
      </c>
      <c r="AM1394" t="s">
        <v>530</v>
      </c>
      <c r="AN1394">
        <v>-121.055346</v>
      </c>
      <c r="AO1394">
        <v>25</v>
      </c>
      <c r="AP1394">
        <v>3800</v>
      </c>
      <c r="AQ1394" t="s">
        <v>131</v>
      </c>
      <c r="AR1394">
        <v>12</v>
      </c>
      <c r="AS1394">
        <v>76</v>
      </c>
      <c r="AT1394">
        <v>640</v>
      </c>
      <c r="BB1394" t="str">
        <f t="shared" si="535"/>
        <v>1200</v>
      </c>
      <c r="BC1394">
        <v>1</v>
      </c>
      <c r="BD1394" t="str">
        <f t="shared" si="536"/>
        <v xml:space="preserve">N52156  </v>
      </c>
      <c r="BE1394">
        <v>1</v>
      </c>
      <c r="BG1394">
        <v>0</v>
      </c>
      <c r="BH1394">
        <v>0</v>
      </c>
      <c r="BI1394">
        <v>0</v>
      </c>
      <c r="BJ1394">
        <v>3775</v>
      </c>
      <c r="BK1394">
        <v>-25</v>
      </c>
      <c r="BL1394" t="s">
        <v>188</v>
      </c>
      <c r="BM1394">
        <v>1</v>
      </c>
      <c r="BN1394">
        <v>1</v>
      </c>
      <c r="BO1394">
        <v>0</v>
      </c>
      <c r="BP1394">
        <v>0</v>
      </c>
      <c r="BS1394">
        <v>0</v>
      </c>
      <c r="BT1394">
        <v>0</v>
      </c>
      <c r="BU1394">
        <v>0</v>
      </c>
      <c r="CE1394" t="str">
        <f t="shared" ref="CE1394:CE1399" si="553">"15:08:24.938"</f>
        <v>15:08:24.938</v>
      </c>
      <c r="CF1394">
        <v>937705939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4</v>
      </c>
      <c r="CY1394">
        <v>7</v>
      </c>
      <c r="CZ1394" t="s">
        <v>133</v>
      </c>
      <c r="DA1394">
        <v>275</v>
      </c>
      <c r="DB1394">
        <v>0</v>
      </c>
      <c r="DC1394" t="s">
        <v>134</v>
      </c>
      <c r="DD1394" t="s">
        <v>135</v>
      </c>
      <c r="DG1394">
        <v>3320287</v>
      </c>
      <c r="DI1394">
        <v>1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"05/01/2025 15:08:25.163"</f>
        <v>05/01/2025 15:08:25.163</v>
      </c>
      <c r="C1395" t="str">
        <f t="shared" si="532"/>
        <v>FFDFD3C0</v>
      </c>
      <c r="D1395" t="s">
        <v>145</v>
      </c>
      <c r="E1395" t="str">
        <f>"05"</f>
        <v>05</v>
      </c>
      <c r="H1395">
        <v>47</v>
      </c>
      <c r="I1395" t="s">
        <v>146</v>
      </c>
      <c r="J1395" t="s">
        <v>138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R1395" t="s">
        <v>127</v>
      </c>
      <c r="S1395" t="str">
        <f t="shared" si="552"/>
        <v>15:08:24.000</v>
      </c>
      <c r="T1395" t="str">
        <f t="shared" si="552"/>
        <v>15:08:24.000</v>
      </c>
      <c r="U1395" t="str">
        <f t="shared" si="534"/>
        <v>A68FCB</v>
      </c>
      <c r="V1395">
        <v>0</v>
      </c>
      <c r="W1395">
        <v>0</v>
      </c>
      <c r="X1395">
        <v>2</v>
      </c>
      <c r="Y1395">
        <v>0</v>
      </c>
      <c r="AA1395">
        <v>1</v>
      </c>
      <c r="AB1395">
        <v>8</v>
      </c>
      <c r="AC1395">
        <v>3</v>
      </c>
      <c r="AD1395">
        <v>0</v>
      </c>
      <c r="AE1395">
        <v>9</v>
      </c>
      <c r="AF1395" t="s">
        <v>138</v>
      </c>
      <c r="AG1395">
        <v>0</v>
      </c>
      <c r="AH1395">
        <v>3</v>
      </c>
      <c r="AI1395">
        <v>2</v>
      </c>
      <c r="AJ1395">
        <v>0</v>
      </c>
      <c r="AK1395" t="s">
        <v>529</v>
      </c>
      <c r="AL1395">
        <v>39.013137999999998</v>
      </c>
      <c r="AM1395" t="s">
        <v>530</v>
      </c>
      <c r="AN1395">
        <v>-121.055346</v>
      </c>
      <c r="AO1395">
        <v>25</v>
      </c>
      <c r="AP1395">
        <v>3800</v>
      </c>
      <c r="AQ1395" t="s">
        <v>131</v>
      </c>
      <c r="AR1395">
        <v>12</v>
      </c>
      <c r="AS1395">
        <v>76</v>
      </c>
      <c r="AT1395">
        <v>640</v>
      </c>
      <c r="BB1395" t="str">
        <f t="shared" si="535"/>
        <v>1200</v>
      </c>
      <c r="BC1395">
        <v>1</v>
      </c>
      <c r="BD1395" t="str">
        <f t="shared" si="536"/>
        <v xml:space="preserve">N52156  </v>
      </c>
      <c r="BE1395">
        <v>1</v>
      </c>
      <c r="BG1395">
        <v>0</v>
      </c>
      <c r="BH1395">
        <v>0</v>
      </c>
      <c r="BI1395">
        <v>0</v>
      </c>
      <c r="BJ1395">
        <v>3775</v>
      </c>
      <c r="BK1395">
        <v>-25</v>
      </c>
      <c r="BL1395" t="s">
        <v>188</v>
      </c>
      <c r="BM1395">
        <v>1</v>
      </c>
      <c r="BN1395">
        <v>1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 t="shared" si="553"/>
        <v>15:08:24.938</v>
      </c>
      <c r="CF1395">
        <v>937705939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4</v>
      </c>
      <c r="CY1395">
        <v>7</v>
      </c>
      <c r="CZ1395" t="s">
        <v>133</v>
      </c>
      <c r="DA1395">
        <v>275</v>
      </c>
      <c r="DB1395">
        <v>0</v>
      </c>
      <c r="DC1395" t="s">
        <v>134</v>
      </c>
      <c r="DD1395" t="s">
        <v>135</v>
      </c>
      <c r="DG1395">
        <v>3320287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"05/01/2025 15:08:25.164"</f>
        <v>05/01/2025 15:08:25.164</v>
      </c>
      <c r="C1396" t="str">
        <f t="shared" si="532"/>
        <v>FFDFD3C0</v>
      </c>
      <c r="D1396" t="s">
        <v>124</v>
      </c>
      <c r="E1396" t="str">
        <f>"06"</f>
        <v>06</v>
      </c>
      <c r="F1396">
        <v>2006</v>
      </c>
      <c r="G1396" t="s">
        <v>125</v>
      </c>
      <c r="J1396" t="s">
        <v>126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R1396" t="s">
        <v>127</v>
      </c>
      <c r="S1396" t="str">
        <f t="shared" si="552"/>
        <v>15:08:24.000</v>
      </c>
      <c r="T1396" t="str">
        <f t="shared" si="552"/>
        <v>15:08:24.000</v>
      </c>
      <c r="U1396" t="str">
        <f t="shared" si="534"/>
        <v>A68FCB</v>
      </c>
      <c r="V1396">
        <v>0</v>
      </c>
      <c r="W1396">
        <v>0</v>
      </c>
      <c r="X1396">
        <v>2</v>
      </c>
      <c r="Y1396">
        <v>0</v>
      </c>
      <c r="AA1396">
        <v>1</v>
      </c>
      <c r="AB1396">
        <v>8</v>
      </c>
      <c r="AC1396">
        <v>3</v>
      </c>
      <c r="AD1396">
        <v>0</v>
      </c>
      <c r="AE1396">
        <v>9</v>
      </c>
      <c r="AF1396" t="s">
        <v>138</v>
      </c>
      <c r="AG1396">
        <v>0</v>
      </c>
      <c r="AH1396">
        <v>3</v>
      </c>
      <c r="AI1396">
        <v>2</v>
      </c>
      <c r="AJ1396">
        <v>0</v>
      </c>
      <c r="AK1396" t="s">
        <v>529</v>
      </c>
      <c r="AL1396">
        <v>39.013137999999998</v>
      </c>
      <c r="AM1396" t="s">
        <v>530</v>
      </c>
      <c r="AN1396">
        <v>-121.055346</v>
      </c>
      <c r="AO1396">
        <v>25</v>
      </c>
      <c r="AP1396">
        <v>3800</v>
      </c>
      <c r="AQ1396" t="s">
        <v>131</v>
      </c>
      <c r="AR1396">
        <v>12</v>
      </c>
      <c r="AS1396">
        <v>76</v>
      </c>
      <c r="AT1396">
        <v>640</v>
      </c>
      <c r="BB1396" t="str">
        <f t="shared" si="535"/>
        <v>1200</v>
      </c>
      <c r="BC1396">
        <v>1</v>
      </c>
      <c r="BD1396" t="str">
        <f t="shared" si="536"/>
        <v xml:space="preserve">N52156  </v>
      </c>
      <c r="BE1396">
        <v>1</v>
      </c>
      <c r="BG1396">
        <v>0</v>
      </c>
      <c r="BH1396">
        <v>0</v>
      </c>
      <c r="BI1396">
        <v>0</v>
      </c>
      <c r="BJ1396">
        <v>3775</v>
      </c>
      <c r="BK1396">
        <v>-25</v>
      </c>
      <c r="BL1396" t="s">
        <v>188</v>
      </c>
      <c r="BM1396">
        <v>1</v>
      </c>
      <c r="BN1396">
        <v>1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 t="shared" si="553"/>
        <v>15:08:24.938</v>
      </c>
      <c r="CF1396">
        <v>937705939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4</v>
      </c>
      <c r="CY1396">
        <v>7</v>
      </c>
      <c r="CZ1396" t="s">
        <v>133</v>
      </c>
      <c r="DA1396">
        <v>275</v>
      </c>
      <c r="DB1396">
        <v>0</v>
      </c>
      <c r="DC1396" t="s">
        <v>134</v>
      </c>
      <c r="DD1396" t="s">
        <v>135</v>
      </c>
      <c r="DG1396">
        <v>3320287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"05/01/2025 15:08:25.167"</f>
        <v>05/01/2025 15:08:25.167</v>
      </c>
      <c r="C1397" t="str">
        <f t="shared" si="532"/>
        <v>FFDFD3C0</v>
      </c>
      <c r="D1397" t="s">
        <v>145</v>
      </c>
      <c r="E1397" t="str">
        <f>"09"</f>
        <v>09</v>
      </c>
      <c r="H1397">
        <v>51</v>
      </c>
      <c r="I1397" t="s">
        <v>147</v>
      </c>
      <c r="J1397" t="s">
        <v>138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R1397" t="s">
        <v>127</v>
      </c>
      <c r="S1397" t="str">
        <f t="shared" si="552"/>
        <v>15:08:24.000</v>
      </c>
      <c r="T1397" t="str">
        <f t="shared" si="552"/>
        <v>15:08:24.000</v>
      </c>
      <c r="U1397" t="str">
        <f t="shared" si="534"/>
        <v>A68FCB</v>
      </c>
      <c r="V1397">
        <v>0</v>
      </c>
      <c r="W1397">
        <v>0</v>
      </c>
      <c r="X1397">
        <v>2</v>
      </c>
      <c r="Y1397">
        <v>0</v>
      </c>
      <c r="AA1397">
        <v>1</v>
      </c>
      <c r="AB1397">
        <v>8</v>
      </c>
      <c r="AC1397">
        <v>3</v>
      </c>
      <c r="AD1397">
        <v>0</v>
      </c>
      <c r="AE1397">
        <v>9</v>
      </c>
      <c r="AF1397" t="s">
        <v>138</v>
      </c>
      <c r="AG1397">
        <v>0</v>
      </c>
      <c r="AH1397">
        <v>3</v>
      </c>
      <c r="AI1397">
        <v>2</v>
      </c>
      <c r="AJ1397">
        <v>0</v>
      </c>
      <c r="AK1397" t="s">
        <v>529</v>
      </c>
      <c r="AL1397">
        <v>39.013137999999998</v>
      </c>
      <c r="AM1397" t="s">
        <v>530</v>
      </c>
      <c r="AN1397">
        <v>-121.055346</v>
      </c>
      <c r="AO1397">
        <v>25</v>
      </c>
      <c r="AP1397">
        <v>3800</v>
      </c>
      <c r="AQ1397" t="s">
        <v>131</v>
      </c>
      <c r="AR1397">
        <v>12</v>
      </c>
      <c r="AS1397">
        <v>76</v>
      </c>
      <c r="AT1397">
        <v>640</v>
      </c>
      <c r="BB1397" t="str">
        <f t="shared" si="535"/>
        <v>1200</v>
      </c>
      <c r="BC1397">
        <v>1</v>
      </c>
      <c r="BD1397" t="str">
        <f t="shared" si="536"/>
        <v xml:space="preserve">N52156  </v>
      </c>
      <c r="BE1397">
        <v>1</v>
      </c>
      <c r="BG1397">
        <v>0</v>
      </c>
      <c r="BH1397">
        <v>0</v>
      </c>
      <c r="BI1397">
        <v>0</v>
      </c>
      <c r="BJ1397">
        <v>3775</v>
      </c>
      <c r="BK1397">
        <v>-25</v>
      </c>
      <c r="BL1397" t="s">
        <v>188</v>
      </c>
      <c r="BM1397">
        <v>1</v>
      </c>
      <c r="BN1397">
        <v>1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 t="shared" si="553"/>
        <v>15:08:24.938</v>
      </c>
      <c r="CF1397">
        <v>937705939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4</v>
      </c>
      <c r="CY1397">
        <v>7</v>
      </c>
      <c r="CZ1397" t="s">
        <v>133</v>
      </c>
      <c r="DA1397">
        <v>275</v>
      </c>
      <c r="DB1397">
        <v>0</v>
      </c>
      <c r="DC1397" t="s">
        <v>134</v>
      </c>
      <c r="DD1397" t="s">
        <v>135</v>
      </c>
      <c r="DG1397">
        <v>3320287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"05/01/2025 15:08:25.168"</f>
        <v>05/01/2025 15:08:25.168</v>
      </c>
      <c r="C1398" t="str">
        <f t="shared" si="532"/>
        <v>FFDFD3C0</v>
      </c>
      <c r="D1398" t="s">
        <v>143</v>
      </c>
      <c r="E1398" t="str">
        <f>"05"</f>
        <v>05</v>
      </c>
      <c r="H1398">
        <v>172</v>
      </c>
      <c r="I1398" t="s">
        <v>141</v>
      </c>
      <c r="J1398" t="s">
        <v>144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R1398" t="s">
        <v>127</v>
      </c>
      <c r="S1398" t="str">
        <f t="shared" si="552"/>
        <v>15:08:24.000</v>
      </c>
      <c r="T1398" t="str">
        <f t="shared" si="552"/>
        <v>15:08:24.000</v>
      </c>
      <c r="U1398" t="str">
        <f t="shared" si="534"/>
        <v>A68FCB</v>
      </c>
      <c r="V1398">
        <v>0</v>
      </c>
      <c r="W1398">
        <v>0</v>
      </c>
      <c r="X1398">
        <v>2</v>
      </c>
      <c r="Y1398">
        <v>0</v>
      </c>
      <c r="AA1398">
        <v>1</v>
      </c>
      <c r="AB1398">
        <v>8</v>
      </c>
      <c r="AC1398">
        <v>3</v>
      </c>
      <c r="AD1398">
        <v>0</v>
      </c>
      <c r="AE1398">
        <v>9</v>
      </c>
      <c r="AF1398" t="s">
        <v>138</v>
      </c>
      <c r="AG1398">
        <v>0</v>
      </c>
      <c r="AH1398">
        <v>3</v>
      </c>
      <c r="AI1398">
        <v>2</v>
      </c>
      <c r="AJ1398">
        <v>0</v>
      </c>
      <c r="AK1398" t="s">
        <v>529</v>
      </c>
      <c r="AL1398">
        <v>39.013137999999998</v>
      </c>
      <c r="AM1398" t="s">
        <v>530</v>
      </c>
      <c r="AN1398">
        <v>-121.055346</v>
      </c>
      <c r="AO1398">
        <v>25</v>
      </c>
      <c r="AP1398">
        <v>3800</v>
      </c>
      <c r="AQ1398" t="s">
        <v>131</v>
      </c>
      <c r="AR1398">
        <v>12</v>
      </c>
      <c r="AS1398">
        <v>76</v>
      </c>
      <c r="AT1398">
        <v>640</v>
      </c>
      <c r="BB1398" t="str">
        <f t="shared" si="535"/>
        <v>1200</v>
      </c>
      <c r="BC1398">
        <v>1</v>
      </c>
      <c r="BD1398" t="str">
        <f t="shared" si="536"/>
        <v xml:space="preserve">N52156  </v>
      </c>
      <c r="BE1398">
        <v>1</v>
      </c>
      <c r="BG1398">
        <v>0</v>
      </c>
      <c r="BH1398">
        <v>0</v>
      </c>
      <c r="BI1398">
        <v>0</v>
      </c>
      <c r="BJ1398">
        <v>3775</v>
      </c>
      <c r="BK1398">
        <v>-25</v>
      </c>
      <c r="BL1398" t="s">
        <v>188</v>
      </c>
      <c r="BM1398">
        <v>1</v>
      </c>
      <c r="BN1398">
        <v>1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 t="shared" si="553"/>
        <v>15:08:24.938</v>
      </c>
      <c r="CF1398">
        <v>937705939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4</v>
      </c>
      <c r="CY1398">
        <v>7</v>
      </c>
      <c r="CZ1398" t="s">
        <v>133</v>
      </c>
      <c r="DA1398">
        <v>275</v>
      </c>
      <c r="DB1398">
        <v>0</v>
      </c>
      <c r="DC1398" t="s">
        <v>134</v>
      </c>
      <c r="DD1398" t="s">
        <v>135</v>
      </c>
      <c r="DG1398">
        <v>3320287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"05/01/2025 15:08:25.177"</f>
        <v>05/01/2025 15:08:25.177</v>
      </c>
      <c r="C1399" t="str">
        <f t="shared" si="532"/>
        <v>FFDFD3C0</v>
      </c>
      <c r="D1399" t="s">
        <v>136</v>
      </c>
      <c r="E1399" t="str">
        <f>"20"</f>
        <v>20</v>
      </c>
      <c r="H1399">
        <v>400</v>
      </c>
      <c r="I1399" t="s">
        <v>137</v>
      </c>
      <c r="J1399" t="s">
        <v>138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R1399" t="s">
        <v>127</v>
      </c>
      <c r="S1399" t="str">
        <f t="shared" si="552"/>
        <v>15:08:24.000</v>
      </c>
      <c r="T1399" t="str">
        <f t="shared" si="552"/>
        <v>15:08:24.000</v>
      </c>
      <c r="U1399" t="str">
        <f t="shared" si="534"/>
        <v>A68FCB</v>
      </c>
      <c r="V1399">
        <v>0</v>
      </c>
      <c r="W1399">
        <v>0</v>
      </c>
      <c r="X1399">
        <v>2</v>
      </c>
      <c r="Y1399">
        <v>0</v>
      </c>
      <c r="AA1399">
        <v>1</v>
      </c>
      <c r="AB1399">
        <v>8</v>
      </c>
      <c r="AC1399">
        <v>3</v>
      </c>
      <c r="AD1399">
        <v>0</v>
      </c>
      <c r="AE1399">
        <v>9</v>
      </c>
      <c r="AF1399" t="s">
        <v>138</v>
      </c>
      <c r="AG1399">
        <v>0</v>
      </c>
      <c r="AH1399">
        <v>3</v>
      </c>
      <c r="AI1399">
        <v>2</v>
      </c>
      <c r="AJ1399">
        <v>0</v>
      </c>
      <c r="AK1399" t="s">
        <v>529</v>
      </c>
      <c r="AL1399">
        <v>39.013137999999998</v>
      </c>
      <c r="AM1399" t="s">
        <v>530</v>
      </c>
      <c r="AN1399">
        <v>-121.055346</v>
      </c>
      <c r="AO1399">
        <v>25</v>
      </c>
      <c r="AP1399">
        <v>3800</v>
      </c>
      <c r="AQ1399" t="s">
        <v>131</v>
      </c>
      <c r="AR1399">
        <v>12</v>
      </c>
      <c r="AS1399">
        <v>76</v>
      </c>
      <c r="AT1399">
        <v>640</v>
      </c>
      <c r="BB1399" t="str">
        <f t="shared" si="535"/>
        <v>1200</v>
      </c>
      <c r="BC1399">
        <v>1</v>
      </c>
      <c r="BD1399" t="str">
        <f t="shared" si="536"/>
        <v xml:space="preserve">N52156  </v>
      </c>
      <c r="BE1399">
        <v>1</v>
      </c>
      <c r="BG1399">
        <v>0</v>
      </c>
      <c r="BH1399">
        <v>0</v>
      </c>
      <c r="BI1399">
        <v>0</v>
      </c>
      <c r="BJ1399">
        <v>3775</v>
      </c>
      <c r="BK1399">
        <v>-25</v>
      </c>
      <c r="BL1399" t="s">
        <v>188</v>
      </c>
      <c r="BM1399">
        <v>1</v>
      </c>
      <c r="BN1399">
        <v>1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 t="shared" si="553"/>
        <v>15:08:24.938</v>
      </c>
      <c r="CF1399">
        <v>937705939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4</v>
      </c>
      <c r="CY1399">
        <v>7</v>
      </c>
      <c r="CZ1399" t="s">
        <v>133</v>
      </c>
      <c r="DA1399">
        <v>275</v>
      </c>
      <c r="DB1399">
        <v>0</v>
      </c>
      <c r="DC1399" t="s">
        <v>134</v>
      </c>
      <c r="DD1399" t="s">
        <v>135</v>
      </c>
      <c r="DG1399">
        <v>3320287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"05/01/2025 15:08:25.616"</f>
        <v>05/01/2025 15:08:25.616</v>
      </c>
      <c r="C1400" t="str">
        <f t="shared" si="532"/>
        <v>FFDFD3C0</v>
      </c>
      <c r="D1400" t="s">
        <v>124</v>
      </c>
      <c r="E1400" t="str">
        <f>"06"</f>
        <v>06</v>
      </c>
      <c r="F1400">
        <v>2006</v>
      </c>
      <c r="G1400" t="s">
        <v>125</v>
      </c>
      <c r="J1400" t="s">
        <v>126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R1400" t="s">
        <v>127</v>
      </c>
      <c r="S1400" t="str">
        <f t="shared" ref="S1400:T1405" si="554">"15:08:25.000"</f>
        <v>15:08:25.000</v>
      </c>
      <c r="T1400" t="str">
        <f t="shared" si="554"/>
        <v>15:08:25.000</v>
      </c>
      <c r="U1400" t="str">
        <f t="shared" si="534"/>
        <v>A68FCB</v>
      </c>
      <c r="V1400">
        <v>0</v>
      </c>
      <c r="W1400">
        <v>0</v>
      </c>
      <c r="X1400">
        <v>2</v>
      </c>
      <c r="Y1400">
        <v>0</v>
      </c>
      <c r="AA1400">
        <v>1</v>
      </c>
      <c r="AB1400">
        <v>8</v>
      </c>
      <c r="AC1400">
        <v>3</v>
      </c>
      <c r="AD1400">
        <v>0</v>
      </c>
      <c r="AE1400">
        <v>9</v>
      </c>
      <c r="AF1400" t="s">
        <v>138</v>
      </c>
      <c r="AG1400">
        <v>0</v>
      </c>
      <c r="AH1400">
        <v>3</v>
      </c>
      <c r="AI1400">
        <v>2</v>
      </c>
      <c r="AJ1400">
        <v>0</v>
      </c>
      <c r="AK1400" t="s">
        <v>531</v>
      </c>
      <c r="AL1400">
        <v>39.013460000000002</v>
      </c>
      <c r="AM1400" t="s">
        <v>532</v>
      </c>
      <c r="AN1400">
        <v>-121.05526</v>
      </c>
      <c r="AO1400">
        <v>25</v>
      </c>
      <c r="AP1400">
        <v>3800</v>
      </c>
      <c r="AQ1400" t="s">
        <v>131</v>
      </c>
      <c r="AR1400">
        <v>13</v>
      </c>
      <c r="AS1400">
        <v>76</v>
      </c>
      <c r="AT1400">
        <v>576</v>
      </c>
      <c r="BB1400" t="str">
        <f t="shared" si="535"/>
        <v>1200</v>
      </c>
      <c r="BC1400">
        <v>1</v>
      </c>
      <c r="BD1400" t="str">
        <f t="shared" si="536"/>
        <v xml:space="preserve">N52156  </v>
      </c>
      <c r="BE1400">
        <v>1</v>
      </c>
      <c r="BG1400">
        <v>0</v>
      </c>
      <c r="BH1400">
        <v>0</v>
      </c>
      <c r="BI1400">
        <v>0</v>
      </c>
      <c r="BJ1400">
        <v>3800</v>
      </c>
      <c r="BK1400">
        <v>0</v>
      </c>
      <c r="BL1400" t="s">
        <v>188</v>
      </c>
      <c r="BM1400">
        <v>1</v>
      </c>
      <c r="BN1400">
        <v>1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 t="shared" ref="CE1400:CE1405" si="555">"15:08:25.414"</f>
        <v>15:08:25.414</v>
      </c>
      <c r="CF1400">
        <v>413768742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4</v>
      </c>
      <c r="CY1400">
        <v>7</v>
      </c>
      <c r="CZ1400" t="s">
        <v>133</v>
      </c>
      <c r="DA1400">
        <v>276</v>
      </c>
      <c r="DB1400">
        <v>0</v>
      </c>
      <c r="DC1400" t="s">
        <v>402</v>
      </c>
      <c r="DD1400" t="s">
        <v>403</v>
      </c>
      <c r="DG1400">
        <v>1625630</v>
      </c>
      <c r="DI1400">
        <v>1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"05/01/2025 15:08:25.618"</f>
        <v>05/01/2025 15:08:25.618</v>
      </c>
      <c r="C1401" t="str">
        <f t="shared" si="532"/>
        <v>FFDFD3C0</v>
      </c>
      <c r="D1401" t="s">
        <v>145</v>
      </c>
      <c r="E1401" t="str">
        <f>"09"</f>
        <v>09</v>
      </c>
      <c r="H1401">
        <v>51</v>
      </c>
      <c r="I1401" t="s">
        <v>147</v>
      </c>
      <c r="J1401" t="s">
        <v>138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R1401" t="s">
        <v>127</v>
      </c>
      <c r="S1401" t="str">
        <f t="shared" si="554"/>
        <v>15:08:25.000</v>
      </c>
      <c r="T1401" t="str">
        <f t="shared" si="554"/>
        <v>15:08:25.000</v>
      </c>
      <c r="U1401" t="str">
        <f t="shared" si="534"/>
        <v>A68FCB</v>
      </c>
      <c r="V1401">
        <v>0</v>
      </c>
      <c r="W1401">
        <v>0</v>
      </c>
      <c r="X1401">
        <v>2</v>
      </c>
      <c r="Y1401">
        <v>0</v>
      </c>
      <c r="AA1401">
        <v>1</v>
      </c>
      <c r="AB1401">
        <v>8</v>
      </c>
      <c r="AC1401">
        <v>3</v>
      </c>
      <c r="AD1401">
        <v>0</v>
      </c>
      <c r="AE1401">
        <v>9</v>
      </c>
      <c r="AF1401" t="s">
        <v>138</v>
      </c>
      <c r="AG1401">
        <v>0</v>
      </c>
      <c r="AH1401">
        <v>3</v>
      </c>
      <c r="AI1401">
        <v>2</v>
      </c>
      <c r="AJ1401">
        <v>0</v>
      </c>
      <c r="AK1401" t="s">
        <v>531</v>
      </c>
      <c r="AL1401">
        <v>39.013460000000002</v>
      </c>
      <c r="AM1401" t="s">
        <v>532</v>
      </c>
      <c r="AN1401">
        <v>-121.05526</v>
      </c>
      <c r="AO1401">
        <v>25</v>
      </c>
      <c r="AP1401">
        <v>3800</v>
      </c>
      <c r="AQ1401" t="s">
        <v>131</v>
      </c>
      <c r="AR1401">
        <v>13</v>
      </c>
      <c r="AS1401">
        <v>76</v>
      </c>
      <c r="AT1401">
        <v>576</v>
      </c>
      <c r="BB1401" t="str">
        <f t="shared" si="535"/>
        <v>1200</v>
      </c>
      <c r="BC1401">
        <v>1</v>
      </c>
      <c r="BD1401" t="str">
        <f t="shared" si="536"/>
        <v xml:space="preserve">N52156  </v>
      </c>
      <c r="BE1401">
        <v>1</v>
      </c>
      <c r="BG1401">
        <v>0</v>
      </c>
      <c r="BH1401">
        <v>0</v>
      </c>
      <c r="BI1401">
        <v>0</v>
      </c>
      <c r="BJ1401">
        <v>3800</v>
      </c>
      <c r="BK1401">
        <v>0</v>
      </c>
      <c r="BL1401" t="s">
        <v>188</v>
      </c>
      <c r="BM1401">
        <v>1</v>
      </c>
      <c r="BN1401">
        <v>1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 t="shared" si="555"/>
        <v>15:08:25.414</v>
      </c>
      <c r="CF1401">
        <v>413768742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4</v>
      </c>
      <c r="CY1401">
        <v>7</v>
      </c>
      <c r="CZ1401" t="s">
        <v>133</v>
      </c>
      <c r="DA1401">
        <v>276</v>
      </c>
      <c r="DB1401">
        <v>0</v>
      </c>
      <c r="DC1401" t="s">
        <v>402</v>
      </c>
      <c r="DD1401" t="s">
        <v>403</v>
      </c>
      <c r="DG1401">
        <v>1625630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"05/01/2025 15:08:25.619"</f>
        <v>05/01/2025 15:08:25.619</v>
      </c>
      <c r="C1402" t="str">
        <f t="shared" si="532"/>
        <v>FFDFD3C0</v>
      </c>
      <c r="D1402" t="s">
        <v>143</v>
      </c>
      <c r="E1402" t="str">
        <f>"05"</f>
        <v>05</v>
      </c>
      <c r="H1402">
        <v>172</v>
      </c>
      <c r="I1402" t="s">
        <v>141</v>
      </c>
      <c r="J1402" t="s">
        <v>144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R1402" t="s">
        <v>127</v>
      </c>
      <c r="S1402" t="str">
        <f t="shared" si="554"/>
        <v>15:08:25.000</v>
      </c>
      <c r="T1402" t="str">
        <f t="shared" si="554"/>
        <v>15:08:25.000</v>
      </c>
      <c r="U1402" t="str">
        <f t="shared" si="534"/>
        <v>A68FCB</v>
      </c>
      <c r="V1402">
        <v>0</v>
      </c>
      <c r="W1402">
        <v>0</v>
      </c>
      <c r="X1402">
        <v>2</v>
      </c>
      <c r="Y1402">
        <v>0</v>
      </c>
      <c r="AA1402">
        <v>1</v>
      </c>
      <c r="AB1402">
        <v>8</v>
      </c>
      <c r="AC1402">
        <v>3</v>
      </c>
      <c r="AD1402">
        <v>0</v>
      </c>
      <c r="AE1402">
        <v>9</v>
      </c>
      <c r="AF1402" t="s">
        <v>138</v>
      </c>
      <c r="AG1402">
        <v>0</v>
      </c>
      <c r="AH1402">
        <v>3</v>
      </c>
      <c r="AI1402">
        <v>2</v>
      </c>
      <c r="AJ1402">
        <v>0</v>
      </c>
      <c r="AK1402" t="s">
        <v>531</v>
      </c>
      <c r="AL1402">
        <v>39.013460000000002</v>
      </c>
      <c r="AM1402" t="s">
        <v>532</v>
      </c>
      <c r="AN1402">
        <v>-121.05526</v>
      </c>
      <c r="AO1402">
        <v>25</v>
      </c>
      <c r="AP1402">
        <v>3800</v>
      </c>
      <c r="AQ1402" t="s">
        <v>131</v>
      </c>
      <c r="AR1402">
        <v>13</v>
      </c>
      <c r="AS1402">
        <v>76</v>
      </c>
      <c r="AT1402">
        <v>576</v>
      </c>
      <c r="BB1402" t="str">
        <f t="shared" si="535"/>
        <v>1200</v>
      </c>
      <c r="BC1402">
        <v>1</v>
      </c>
      <c r="BD1402" t="str">
        <f t="shared" si="536"/>
        <v xml:space="preserve">N52156  </v>
      </c>
      <c r="BE1402">
        <v>1</v>
      </c>
      <c r="BG1402">
        <v>0</v>
      </c>
      <c r="BH1402">
        <v>0</v>
      </c>
      <c r="BI1402">
        <v>0</v>
      </c>
      <c r="BJ1402">
        <v>3800</v>
      </c>
      <c r="BK1402">
        <v>0</v>
      </c>
      <c r="BL1402" t="s">
        <v>188</v>
      </c>
      <c r="BM1402">
        <v>1</v>
      </c>
      <c r="BN1402">
        <v>1</v>
      </c>
      <c r="BO1402">
        <v>0</v>
      </c>
      <c r="BP1402">
        <v>0</v>
      </c>
      <c r="BS1402">
        <v>0</v>
      </c>
      <c r="BT1402">
        <v>0</v>
      </c>
      <c r="BU1402">
        <v>0</v>
      </c>
      <c r="CE1402" t="str">
        <f t="shared" si="555"/>
        <v>15:08:25.414</v>
      </c>
      <c r="CF1402">
        <v>413768742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4</v>
      </c>
      <c r="CY1402">
        <v>7</v>
      </c>
      <c r="CZ1402" t="s">
        <v>133</v>
      </c>
      <c r="DA1402">
        <v>276</v>
      </c>
      <c r="DB1402">
        <v>0</v>
      </c>
      <c r="DC1402" t="s">
        <v>402</v>
      </c>
      <c r="DD1402" t="s">
        <v>403</v>
      </c>
      <c r="DG1402">
        <v>1625630</v>
      </c>
      <c r="DI1402">
        <v>1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"05/01/2025 15:08:25.628"</f>
        <v>05/01/2025 15:08:25.628</v>
      </c>
      <c r="C1403" t="str">
        <f t="shared" si="532"/>
        <v>FFDFD3C0</v>
      </c>
      <c r="D1403" t="s">
        <v>136</v>
      </c>
      <c r="E1403" t="str">
        <f>"20"</f>
        <v>20</v>
      </c>
      <c r="H1403">
        <v>400</v>
      </c>
      <c r="I1403" t="s">
        <v>137</v>
      </c>
      <c r="J1403" t="s">
        <v>138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R1403" t="s">
        <v>127</v>
      </c>
      <c r="S1403" t="str">
        <f t="shared" si="554"/>
        <v>15:08:25.000</v>
      </c>
      <c r="T1403" t="str">
        <f t="shared" si="554"/>
        <v>15:08:25.000</v>
      </c>
      <c r="U1403" t="str">
        <f t="shared" si="534"/>
        <v>A68FCB</v>
      </c>
      <c r="V1403">
        <v>0</v>
      </c>
      <c r="W1403">
        <v>0</v>
      </c>
      <c r="X1403">
        <v>2</v>
      </c>
      <c r="Y1403">
        <v>0</v>
      </c>
      <c r="AA1403">
        <v>1</v>
      </c>
      <c r="AB1403">
        <v>8</v>
      </c>
      <c r="AC1403">
        <v>3</v>
      </c>
      <c r="AD1403">
        <v>0</v>
      </c>
      <c r="AE1403">
        <v>9</v>
      </c>
      <c r="AF1403" t="s">
        <v>138</v>
      </c>
      <c r="AG1403">
        <v>0</v>
      </c>
      <c r="AH1403">
        <v>3</v>
      </c>
      <c r="AI1403">
        <v>2</v>
      </c>
      <c r="AJ1403">
        <v>0</v>
      </c>
      <c r="AK1403" t="s">
        <v>531</v>
      </c>
      <c r="AL1403">
        <v>39.013460000000002</v>
      </c>
      <c r="AM1403" t="s">
        <v>532</v>
      </c>
      <c r="AN1403">
        <v>-121.05526</v>
      </c>
      <c r="AO1403">
        <v>25</v>
      </c>
      <c r="AP1403">
        <v>3800</v>
      </c>
      <c r="AQ1403" t="s">
        <v>131</v>
      </c>
      <c r="AR1403">
        <v>13</v>
      </c>
      <c r="AS1403">
        <v>76</v>
      </c>
      <c r="AT1403">
        <v>576</v>
      </c>
      <c r="BB1403" t="str">
        <f t="shared" si="535"/>
        <v>1200</v>
      </c>
      <c r="BC1403">
        <v>1</v>
      </c>
      <c r="BD1403" t="str">
        <f t="shared" si="536"/>
        <v xml:space="preserve">N52156  </v>
      </c>
      <c r="BE1403">
        <v>1</v>
      </c>
      <c r="BG1403">
        <v>0</v>
      </c>
      <c r="BH1403">
        <v>0</v>
      </c>
      <c r="BI1403">
        <v>0</v>
      </c>
      <c r="BJ1403">
        <v>3800</v>
      </c>
      <c r="BK1403">
        <v>0</v>
      </c>
      <c r="BL1403" t="s">
        <v>188</v>
      </c>
      <c r="BM1403">
        <v>1</v>
      </c>
      <c r="BN1403">
        <v>1</v>
      </c>
      <c r="BO1403">
        <v>0</v>
      </c>
      <c r="BP1403">
        <v>0</v>
      </c>
      <c r="BS1403">
        <v>0</v>
      </c>
      <c r="BT1403">
        <v>0</v>
      </c>
      <c r="BU1403">
        <v>0</v>
      </c>
      <c r="CE1403" t="str">
        <f t="shared" si="555"/>
        <v>15:08:25.414</v>
      </c>
      <c r="CF1403">
        <v>413768742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4</v>
      </c>
      <c r="CY1403">
        <v>7</v>
      </c>
      <c r="CZ1403" t="s">
        <v>133</v>
      </c>
      <c r="DA1403">
        <v>276</v>
      </c>
      <c r="DB1403">
        <v>0</v>
      </c>
      <c r="DC1403" t="s">
        <v>402</v>
      </c>
      <c r="DD1403" t="s">
        <v>403</v>
      </c>
      <c r="DG1403">
        <v>1625630</v>
      </c>
      <c r="DI1403">
        <v>1</v>
      </c>
      <c r="DJ1403">
        <v>0</v>
      </c>
      <c r="DK1403">
        <v>1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"05/01/2025 15:08:25.664"</f>
        <v>05/01/2025 15:08:25.664</v>
      </c>
      <c r="C1404" t="str">
        <f t="shared" si="532"/>
        <v>FFDFD3C0</v>
      </c>
      <c r="D1404" t="s">
        <v>145</v>
      </c>
      <c r="E1404" t="str">
        <f>"05"</f>
        <v>05</v>
      </c>
      <c r="H1404">
        <v>47</v>
      </c>
      <c r="I1404" t="s">
        <v>146</v>
      </c>
      <c r="J1404" t="s">
        <v>138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R1404" t="s">
        <v>127</v>
      </c>
      <c r="S1404" t="str">
        <f t="shared" si="554"/>
        <v>15:08:25.000</v>
      </c>
      <c r="T1404" t="str">
        <f t="shared" si="554"/>
        <v>15:08:25.000</v>
      </c>
      <c r="U1404" t="str">
        <f t="shared" si="534"/>
        <v>A68FCB</v>
      </c>
      <c r="V1404">
        <v>0</v>
      </c>
      <c r="W1404">
        <v>0</v>
      </c>
      <c r="X1404">
        <v>2</v>
      </c>
      <c r="Y1404">
        <v>0</v>
      </c>
      <c r="AA1404">
        <v>1</v>
      </c>
      <c r="AB1404">
        <v>8</v>
      </c>
      <c r="AC1404">
        <v>3</v>
      </c>
      <c r="AD1404">
        <v>0</v>
      </c>
      <c r="AE1404">
        <v>9</v>
      </c>
      <c r="AF1404" t="s">
        <v>138</v>
      </c>
      <c r="AG1404">
        <v>0</v>
      </c>
      <c r="AH1404">
        <v>3</v>
      </c>
      <c r="AI1404">
        <v>2</v>
      </c>
      <c r="AJ1404">
        <v>0</v>
      </c>
      <c r="AK1404" t="s">
        <v>531</v>
      </c>
      <c r="AL1404">
        <v>39.013460000000002</v>
      </c>
      <c r="AM1404" t="s">
        <v>532</v>
      </c>
      <c r="AN1404">
        <v>-121.05526</v>
      </c>
      <c r="AO1404">
        <v>25</v>
      </c>
      <c r="AP1404">
        <v>3800</v>
      </c>
      <c r="AQ1404" t="s">
        <v>131</v>
      </c>
      <c r="AR1404">
        <v>13</v>
      </c>
      <c r="AS1404">
        <v>76</v>
      </c>
      <c r="AT1404">
        <v>576</v>
      </c>
      <c r="BB1404" t="str">
        <f t="shared" si="535"/>
        <v>1200</v>
      </c>
      <c r="BC1404">
        <v>1</v>
      </c>
      <c r="BD1404" t="str">
        <f t="shared" si="536"/>
        <v xml:space="preserve">N52156  </v>
      </c>
      <c r="BE1404">
        <v>1</v>
      </c>
      <c r="BG1404">
        <v>0</v>
      </c>
      <c r="BH1404">
        <v>0</v>
      </c>
      <c r="BI1404">
        <v>0</v>
      </c>
      <c r="BJ1404">
        <v>3800</v>
      </c>
      <c r="BK1404">
        <v>0</v>
      </c>
      <c r="BL1404" t="s">
        <v>188</v>
      </c>
      <c r="BM1404">
        <v>1</v>
      </c>
      <c r="BN1404">
        <v>1</v>
      </c>
      <c r="BO1404">
        <v>0</v>
      </c>
      <c r="BP1404">
        <v>0</v>
      </c>
      <c r="BS1404">
        <v>0</v>
      </c>
      <c r="BT1404">
        <v>0</v>
      </c>
      <c r="BU1404">
        <v>0</v>
      </c>
      <c r="CE1404" t="str">
        <f t="shared" si="555"/>
        <v>15:08:25.414</v>
      </c>
      <c r="CF1404">
        <v>413768742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4</v>
      </c>
      <c r="CY1404">
        <v>7</v>
      </c>
      <c r="CZ1404" t="s">
        <v>133</v>
      </c>
      <c r="DA1404">
        <v>276</v>
      </c>
      <c r="DB1404">
        <v>0</v>
      </c>
      <c r="DC1404" t="s">
        <v>402</v>
      </c>
      <c r="DD1404" t="s">
        <v>403</v>
      </c>
      <c r="DG1404">
        <v>1625630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"05/01/2025 15:08:25.661"</f>
        <v>05/01/2025 15:08:25.661</v>
      </c>
      <c r="C1405" t="str">
        <f t="shared" si="532"/>
        <v>FFDFD3C0</v>
      </c>
      <c r="D1405" t="s">
        <v>140</v>
      </c>
      <c r="E1405" t="str">
        <f>"13"</f>
        <v>13</v>
      </c>
      <c r="F1405">
        <v>1019</v>
      </c>
      <c r="G1405" t="s">
        <v>141</v>
      </c>
      <c r="J1405" t="s">
        <v>142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R1405" t="s">
        <v>127</v>
      </c>
      <c r="S1405" t="str">
        <f t="shared" si="554"/>
        <v>15:08:25.000</v>
      </c>
      <c r="T1405" t="str">
        <f t="shared" si="554"/>
        <v>15:08:25.000</v>
      </c>
      <c r="U1405" t="str">
        <f t="shared" si="534"/>
        <v>A68FCB</v>
      </c>
      <c r="V1405">
        <v>0</v>
      </c>
      <c r="W1405">
        <v>0</v>
      </c>
      <c r="X1405">
        <v>2</v>
      </c>
      <c r="Y1405">
        <v>0</v>
      </c>
      <c r="AA1405">
        <v>1</v>
      </c>
      <c r="AB1405">
        <v>8</v>
      </c>
      <c r="AC1405">
        <v>3</v>
      </c>
      <c r="AD1405">
        <v>0</v>
      </c>
      <c r="AE1405">
        <v>9</v>
      </c>
      <c r="AF1405" t="s">
        <v>138</v>
      </c>
      <c r="AG1405">
        <v>0</v>
      </c>
      <c r="AH1405">
        <v>3</v>
      </c>
      <c r="AI1405">
        <v>2</v>
      </c>
      <c r="AJ1405">
        <v>0</v>
      </c>
      <c r="AK1405" t="s">
        <v>531</v>
      </c>
      <c r="AL1405">
        <v>39.013460000000002</v>
      </c>
      <c r="AM1405" t="s">
        <v>532</v>
      </c>
      <c r="AN1405">
        <v>-121.05526</v>
      </c>
      <c r="AO1405">
        <v>25</v>
      </c>
      <c r="AP1405">
        <v>3800</v>
      </c>
      <c r="AQ1405" t="s">
        <v>131</v>
      </c>
      <c r="AR1405">
        <v>13</v>
      </c>
      <c r="AS1405">
        <v>76</v>
      </c>
      <c r="AT1405">
        <v>576</v>
      </c>
      <c r="BB1405" t="str">
        <f t="shared" si="535"/>
        <v>1200</v>
      </c>
      <c r="BC1405">
        <v>1</v>
      </c>
      <c r="BD1405" t="str">
        <f t="shared" si="536"/>
        <v xml:space="preserve">N52156  </v>
      </c>
      <c r="BE1405">
        <v>1</v>
      </c>
      <c r="BG1405">
        <v>0</v>
      </c>
      <c r="BH1405">
        <v>0</v>
      </c>
      <c r="BI1405">
        <v>0</v>
      </c>
      <c r="BJ1405">
        <v>3800</v>
      </c>
      <c r="BK1405">
        <v>0</v>
      </c>
      <c r="BL1405" t="s">
        <v>188</v>
      </c>
      <c r="BM1405">
        <v>1</v>
      </c>
      <c r="BN1405">
        <v>1</v>
      </c>
      <c r="BO1405">
        <v>0</v>
      </c>
      <c r="BP1405">
        <v>0</v>
      </c>
      <c r="BS1405">
        <v>0</v>
      </c>
      <c r="BT1405">
        <v>0</v>
      </c>
      <c r="BU1405">
        <v>0</v>
      </c>
      <c r="CE1405" t="str">
        <f t="shared" si="555"/>
        <v>15:08:25.414</v>
      </c>
      <c r="CF1405">
        <v>413768742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4</v>
      </c>
      <c r="CY1405">
        <v>7</v>
      </c>
      <c r="CZ1405" t="s">
        <v>133</v>
      </c>
      <c r="DA1405">
        <v>276</v>
      </c>
      <c r="DB1405">
        <v>0</v>
      </c>
      <c r="DC1405" t="s">
        <v>402</v>
      </c>
      <c r="DD1405" t="s">
        <v>403</v>
      </c>
      <c r="DG1405">
        <v>1625630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"05/01/2025 15:08:27.164"</f>
        <v>05/01/2025 15:08:27.164</v>
      </c>
      <c r="C1406" t="str">
        <f t="shared" si="532"/>
        <v>FFDFD3C0</v>
      </c>
      <c r="D1406" t="s">
        <v>140</v>
      </c>
      <c r="E1406" t="str">
        <f>"13"</f>
        <v>13</v>
      </c>
      <c r="F1406">
        <v>1019</v>
      </c>
      <c r="G1406" t="s">
        <v>141</v>
      </c>
      <c r="J1406" t="s">
        <v>142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R1406" t="s">
        <v>127</v>
      </c>
      <c r="S1406" t="str">
        <f t="shared" ref="S1406:T1411" si="556">"15:08:26.000"</f>
        <v>15:08:26.000</v>
      </c>
      <c r="T1406" t="str">
        <f t="shared" si="556"/>
        <v>15:08:26.000</v>
      </c>
      <c r="U1406" t="str">
        <f t="shared" si="534"/>
        <v>A68FCB</v>
      </c>
      <c r="V1406">
        <v>0</v>
      </c>
      <c r="W1406">
        <v>0</v>
      </c>
      <c r="X1406">
        <v>2</v>
      </c>
      <c r="Y1406">
        <v>0</v>
      </c>
      <c r="AA1406">
        <v>1</v>
      </c>
      <c r="AB1406">
        <v>8</v>
      </c>
      <c r="AC1406">
        <v>3</v>
      </c>
      <c r="AD1406">
        <v>0</v>
      </c>
      <c r="AE1406">
        <v>9</v>
      </c>
      <c r="AF1406" t="s">
        <v>138</v>
      </c>
      <c r="AG1406">
        <v>0</v>
      </c>
      <c r="AH1406">
        <v>3</v>
      </c>
      <c r="AI1406">
        <v>2</v>
      </c>
      <c r="AJ1406">
        <v>0</v>
      </c>
      <c r="AK1406" t="s">
        <v>533</v>
      </c>
      <c r="AL1406">
        <v>39.013824</v>
      </c>
      <c r="AM1406" t="s">
        <v>534</v>
      </c>
      <c r="AN1406">
        <v>-121.05517399999999</v>
      </c>
      <c r="AO1406">
        <v>25</v>
      </c>
      <c r="AP1406">
        <v>3800</v>
      </c>
      <c r="AQ1406" t="s">
        <v>131</v>
      </c>
      <c r="AR1406">
        <v>17</v>
      </c>
      <c r="AS1406">
        <v>75</v>
      </c>
      <c r="AT1406">
        <v>448</v>
      </c>
      <c r="BB1406" t="str">
        <f t="shared" si="535"/>
        <v>1200</v>
      </c>
      <c r="BC1406">
        <v>1</v>
      </c>
      <c r="BD1406" t="str">
        <f t="shared" si="536"/>
        <v xml:space="preserve">N52156  </v>
      </c>
      <c r="BE1406">
        <v>1</v>
      </c>
      <c r="BG1406">
        <v>0</v>
      </c>
      <c r="BH1406">
        <v>0</v>
      </c>
      <c r="BI1406">
        <v>0</v>
      </c>
      <c r="BJ1406">
        <v>3800</v>
      </c>
      <c r="BK1406">
        <v>0</v>
      </c>
      <c r="BL1406" t="s">
        <v>188</v>
      </c>
      <c r="BM1406">
        <v>1</v>
      </c>
      <c r="BN1406">
        <v>1</v>
      </c>
      <c r="BO1406">
        <v>0</v>
      </c>
      <c r="BP1406">
        <v>0</v>
      </c>
      <c r="BS1406">
        <v>0</v>
      </c>
      <c r="BT1406">
        <v>0</v>
      </c>
      <c r="BU1406">
        <v>0</v>
      </c>
      <c r="CE1406" t="str">
        <f t="shared" ref="CE1406:CE1411" si="557">"15:08:26.925"</f>
        <v>15:08:26.925</v>
      </c>
      <c r="CF1406">
        <v>925456013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4</v>
      </c>
      <c r="CY1406">
        <v>7</v>
      </c>
      <c r="CZ1406" t="s">
        <v>133</v>
      </c>
      <c r="DA1406">
        <v>275</v>
      </c>
      <c r="DB1406">
        <v>0</v>
      </c>
      <c r="DC1406" t="s">
        <v>134</v>
      </c>
      <c r="DD1406" t="s">
        <v>135</v>
      </c>
      <c r="DG1406">
        <v>3320304</v>
      </c>
      <c r="DI1406">
        <v>1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"05/01/2025 15:08:27.166"</f>
        <v>05/01/2025 15:08:27.166</v>
      </c>
      <c r="C1407" t="str">
        <f t="shared" si="532"/>
        <v>FFDFD3C0</v>
      </c>
      <c r="D1407" t="s">
        <v>145</v>
      </c>
      <c r="E1407" t="str">
        <f>"05"</f>
        <v>05</v>
      </c>
      <c r="H1407">
        <v>47</v>
      </c>
      <c r="I1407" t="s">
        <v>146</v>
      </c>
      <c r="J1407" t="s">
        <v>138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R1407" t="s">
        <v>127</v>
      </c>
      <c r="S1407" t="str">
        <f t="shared" si="556"/>
        <v>15:08:26.000</v>
      </c>
      <c r="T1407" t="str">
        <f t="shared" si="556"/>
        <v>15:08:26.000</v>
      </c>
      <c r="U1407" t="str">
        <f t="shared" si="534"/>
        <v>A68FCB</v>
      </c>
      <c r="V1407">
        <v>0</v>
      </c>
      <c r="W1407">
        <v>0</v>
      </c>
      <c r="X1407">
        <v>2</v>
      </c>
      <c r="Y1407">
        <v>0</v>
      </c>
      <c r="AA1407">
        <v>1</v>
      </c>
      <c r="AB1407">
        <v>8</v>
      </c>
      <c r="AC1407">
        <v>3</v>
      </c>
      <c r="AD1407">
        <v>0</v>
      </c>
      <c r="AE1407">
        <v>9</v>
      </c>
      <c r="AF1407" t="s">
        <v>138</v>
      </c>
      <c r="AG1407">
        <v>0</v>
      </c>
      <c r="AH1407">
        <v>3</v>
      </c>
      <c r="AI1407">
        <v>2</v>
      </c>
      <c r="AJ1407">
        <v>0</v>
      </c>
      <c r="AK1407" t="s">
        <v>533</v>
      </c>
      <c r="AL1407">
        <v>39.013824</v>
      </c>
      <c r="AM1407" t="s">
        <v>534</v>
      </c>
      <c r="AN1407">
        <v>-121.05517399999999</v>
      </c>
      <c r="AO1407">
        <v>25</v>
      </c>
      <c r="AP1407">
        <v>3800</v>
      </c>
      <c r="AQ1407" t="s">
        <v>131</v>
      </c>
      <c r="AR1407">
        <v>17</v>
      </c>
      <c r="AS1407">
        <v>75</v>
      </c>
      <c r="AT1407">
        <v>448</v>
      </c>
      <c r="BB1407" t="str">
        <f t="shared" si="535"/>
        <v>1200</v>
      </c>
      <c r="BC1407">
        <v>1</v>
      </c>
      <c r="BD1407" t="str">
        <f t="shared" si="536"/>
        <v xml:space="preserve">N52156  </v>
      </c>
      <c r="BE1407">
        <v>1</v>
      </c>
      <c r="BG1407">
        <v>0</v>
      </c>
      <c r="BH1407">
        <v>0</v>
      </c>
      <c r="BI1407">
        <v>0</v>
      </c>
      <c r="BJ1407">
        <v>3800</v>
      </c>
      <c r="BK1407">
        <v>0</v>
      </c>
      <c r="BL1407" t="s">
        <v>188</v>
      </c>
      <c r="BM1407">
        <v>1</v>
      </c>
      <c r="BN1407">
        <v>1</v>
      </c>
      <c r="BO1407">
        <v>0</v>
      </c>
      <c r="BP1407">
        <v>0</v>
      </c>
      <c r="BS1407">
        <v>0</v>
      </c>
      <c r="BT1407">
        <v>0</v>
      </c>
      <c r="BU1407">
        <v>0</v>
      </c>
      <c r="CE1407" t="str">
        <f t="shared" si="557"/>
        <v>15:08:26.925</v>
      </c>
      <c r="CF1407">
        <v>925456013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4</v>
      </c>
      <c r="CY1407">
        <v>7</v>
      </c>
      <c r="CZ1407" t="s">
        <v>133</v>
      </c>
      <c r="DA1407">
        <v>275</v>
      </c>
      <c r="DB1407">
        <v>0</v>
      </c>
      <c r="DC1407" t="s">
        <v>134</v>
      </c>
      <c r="DD1407" t="s">
        <v>135</v>
      </c>
      <c r="DG1407">
        <v>3320304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"05/01/2025 15:08:27.168"</f>
        <v>05/01/2025 15:08:27.168</v>
      </c>
      <c r="C1408" t="str">
        <f t="shared" si="532"/>
        <v>FFDFD3C0</v>
      </c>
      <c r="D1408" t="s">
        <v>124</v>
      </c>
      <c r="E1408" t="str">
        <f>"06"</f>
        <v>06</v>
      </c>
      <c r="F1408">
        <v>2006</v>
      </c>
      <c r="G1408" t="s">
        <v>125</v>
      </c>
      <c r="J1408" t="s">
        <v>126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R1408" t="s">
        <v>127</v>
      </c>
      <c r="S1408" t="str">
        <f t="shared" si="556"/>
        <v>15:08:26.000</v>
      </c>
      <c r="T1408" t="str">
        <f t="shared" si="556"/>
        <v>15:08:26.000</v>
      </c>
      <c r="U1408" t="str">
        <f t="shared" si="534"/>
        <v>A68FCB</v>
      </c>
      <c r="V1408">
        <v>0</v>
      </c>
      <c r="W1408">
        <v>0</v>
      </c>
      <c r="X1408">
        <v>2</v>
      </c>
      <c r="Y1408">
        <v>0</v>
      </c>
      <c r="AA1408">
        <v>1</v>
      </c>
      <c r="AB1408">
        <v>8</v>
      </c>
      <c r="AC1408">
        <v>3</v>
      </c>
      <c r="AD1408">
        <v>0</v>
      </c>
      <c r="AE1408">
        <v>9</v>
      </c>
      <c r="AF1408" t="s">
        <v>138</v>
      </c>
      <c r="AG1408">
        <v>0</v>
      </c>
      <c r="AH1408">
        <v>3</v>
      </c>
      <c r="AI1408">
        <v>2</v>
      </c>
      <c r="AJ1408">
        <v>0</v>
      </c>
      <c r="AK1408" t="s">
        <v>533</v>
      </c>
      <c r="AL1408">
        <v>39.013824</v>
      </c>
      <c r="AM1408" t="s">
        <v>534</v>
      </c>
      <c r="AN1408">
        <v>-121.05517399999999</v>
      </c>
      <c r="AO1408">
        <v>25</v>
      </c>
      <c r="AP1408">
        <v>3800</v>
      </c>
      <c r="AQ1408" t="s">
        <v>131</v>
      </c>
      <c r="AR1408">
        <v>17</v>
      </c>
      <c r="AS1408">
        <v>75</v>
      </c>
      <c r="AT1408">
        <v>448</v>
      </c>
      <c r="BB1408" t="str">
        <f t="shared" si="535"/>
        <v>1200</v>
      </c>
      <c r="BC1408">
        <v>1</v>
      </c>
      <c r="BD1408" t="str">
        <f t="shared" si="536"/>
        <v xml:space="preserve">N52156  </v>
      </c>
      <c r="BE1408">
        <v>1</v>
      </c>
      <c r="BG1408">
        <v>0</v>
      </c>
      <c r="BH1408">
        <v>0</v>
      </c>
      <c r="BI1408">
        <v>0</v>
      </c>
      <c r="BJ1408">
        <v>3800</v>
      </c>
      <c r="BK1408">
        <v>0</v>
      </c>
      <c r="BL1408" t="s">
        <v>188</v>
      </c>
      <c r="BM1408">
        <v>1</v>
      </c>
      <c r="BN1408">
        <v>1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 t="shared" si="557"/>
        <v>15:08:26.925</v>
      </c>
      <c r="CF1408">
        <v>925456013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4</v>
      </c>
      <c r="CY1408">
        <v>7</v>
      </c>
      <c r="CZ1408" t="s">
        <v>133</v>
      </c>
      <c r="DA1408">
        <v>275</v>
      </c>
      <c r="DB1408">
        <v>0</v>
      </c>
      <c r="DC1408" t="s">
        <v>134</v>
      </c>
      <c r="DD1408" t="s">
        <v>135</v>
      </c>
      <c r="DG1408">
        <v>3320304</v>
      </c>
      <c r="DI1408">
        <v>1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"05/01/2025 15:08:27.172"</f>
        <v>05/01/2025 15:08:27.172</v>
      </c>
      <c r="C1409" t="str">
        <f t="shared" si="532"/>
        <v>FFDFD3C0</v>
      </c>
      <c r="D1409" t="s">
        <v>143</v>
      </c>
      <c r="E1409" t="str">
        <f>"05"</f>
        <v>05</v>
      </c>
      <c r="H1409">
        <v>172</v>
      </c>
      <c r="I1409" t="s">
        <v>141</v>
      </c>
      <c r="J1409" t="s">
        <v>144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R1409" t="s">
        <v>127</v>
      </c>
      <c r="S1409" t="str">
        <f t="shared" si="556"/>
        <v>15:08:26.000</v>
      </c>
      <c r="T1409" t="str">
        <f t="shared" si="556"/>
        <v>15:08:26.000</v>
      </c>
      <c r="U1409" t="str">
        <f t="shared" si="534"/>
        <v>A68FCB</v>
      </c>
      <c r="V1409">
        <v>0</v>
      </c>
      <c r="W1409">
        <v>0</v>
      </c>
      <c r="X1409">
        <v>2</v>
      </c>
      <c r="Y1409">
        <v>0</v>
      </c>
      <c r="AA1409">
        <v>1</v>
      </c>
      <c r="AB1409">
        <v>8</v>
      </c>
      <c r="AC1409">
        <v>3</v>
      </c>
      <c r="AD1409">
        <v>0</v>
      </c>
      <c r="AE1409">
        <v>9</v>
      </c>
      <c r="AF1409" t="s">
        <v>138</v>
      </c>
      <c r="AG1409">
        <v>0</v>
      </c>
      <c r="AH1409">
        <v>3</v>
      </c>
      <c r="AI1409">
        <v>2</v>
      </c>
      <c r="AJ1409">
        <v>0</v>
      </c>
      <c r="AK1409" t="s">
        <v>533</v>
      </c>
      <c r="AL1409">
        <v>39.013824</v>
      </c>
      <c r="AM1409" t="s">
        <v>534</v>
      </c>
      <c r="AN1409">
        <v>-121.05517399999999</v>
      </c>
      <c r="AO1409">
        <v>25</v>
      </c>
      <c r="AP1409">
        <v>3800</v>
      </c>
      <c r="AQ1409" t="s">
        <v>131</v>
      </c>
      <c r="AR1409">
        <v>17</v>
      </c>
      <c r="AS1409">
        <v>75</v>
      </c>
      <c r="AT1409">
        <v>448</v>
      </c>
      <c r="BB1409" t="str">
        <f t="shared" si="535"/>
        <v>1200</v>
      </c>
      <c r="BC1409">
        <v>1</v>
      </c>
      <c r="BD1409" t="str">
        <f t="shared" si="536"/>
        <v xml:space="preserve">N52156  </v>
      </c>
      <c r="BE1409">
        <v>1</v>
      </c>
      <c r="BG1409">
        <v>0</v>
      </c>
      <c r="BH1409">
        <v>0</v>
      </c>
      <c r="BI1409">
        <v>0</v>
      </c>
      <c r="BJ1409">
        <v>3800</v>
      </c>
      <c r="BK1409">
        <v>0</v>
      </c>
      <c r="BL1409" t="s">
        <v>188</v>
      </c>
      <c r="BM1409">
        <v>1</v>
      </c>
      <c r="BN1409">
        <v>1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 t="shared" si="557"/>
        <v>15:08:26.925</v>
      </c>
      <c r="CF1409">
        <v>925456013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4</v>
      </c>
      <c r="CY1409">
        <v>7</v>
      </c>
      <c r="CZ1409" t="s">
        <v>133</v>
      </c>
      <c r="DA1409">
        <v>275</v>
      </c>
      <c r="DB1409">
        <v>0</v>
      </c>
      <c r="DC1409" t="s">
        <v>134</v>
      </c>
      <c r="DD1409" t="s">
        <v>135</v>
      </c>
      <c r="DG1409">
        <v>3320304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"05/01/2025 15:08:27.170"</f>
        <v>05/01/2025 15:08:27.170</v>
      </c>
      <c r="C1410" t="str">
        <f t="shared" ref="C1410:C1473" si="558">"FFDFD3C0"</f>
        <v>FFDFD3C0</v>
      </c>
      <c r="D1410" t="s">
        <v>145</v>
      </c>
      <c r="E1410" t="str">
        <f>"09"</f>
        <v>09</v>
      </c>
      <c r="H1410">
        <v>51</v>
      </c>
      <c r="I1410" t="s">
        <v>147</v>
      </c>
      <c r="J1410" t="s">
        <v>138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R1410" t="s">
        <v>127</v>
      </c>
      <c r="S1410" t="str">
        <f t="shared" si="556"/>
        <v>15:08:26.000</v>
      </c>
      <c r="T1410" t="str">
        <f t="shared" si="556"/>
        <v>15:08:26.000</v>
      </c>
      <c r="U1410" t="str">
        <f t="shared" ref="U1410:U1473" si="559">"A68FCB"</f>
        <v>A68FCB</v>
      </c>
      <c r="V1410">
        <v>0</v>
      </c>
      <c r="W1410">
        <v>0</v>
      </c>
      <c r="X1410">
        <v>2</v>
      </c>
      <c r="Y1410">
        <v>0</v>
      </c>
      <c r="AA1410">
        <v>1</v>
      </c>
      <c r="AB1410">
        <v>8</v>
      </c>
      <c r="AC1410">
        <v>3</v>
      </c>
      <c r="AD1410">
        <v>0</v>
      </c>
      <c r="AE1410">
        <v>9</v>
      </c>
      <c r="AF1410" t="s">
        <v>138</v>
      </c>
      <c r="AG1410">
        <v>0</v>
      </c>
      <c r="AH1410">
        <v>3</v>
      </c>
      <c r="AI1410">
        <v>2</v>
      </c>
      <c r="AJ1410">
        <v>0</v>
      </c>
      <c r="AK1410" t="s">
        <v>533</v>
      </c>
      <c r="AL1410">
        <v>39.013824</v>
      </c>
      <c r="AM1410" t="s">
        <v>534</v>
      </c>
      <c r="AN1410">
        <v>-121.05517399999999</v>
      </c>
      <c r="AO1410">
        <v>25</v>
      </c>
      <c r="AP1410">
        <v>3800</v>
      </c>
      <c r="AQ1410" t="s">
        <v>131</v>
      </c>
      <c r="AR1410">
        <v>17</v>
      </c>
      <c r="AS1410">
        <v>75</v>
      </c>
      <c r="AT1410">
        <v>448</v>
      </c>
      <c r="BB1410" t="str">
        <f t="shared" ref="BB1410:BB1473" si="560">"1200"</f>
        <v>1200</v>
      </c>
      <c r="BC1410">
        <v>1</v>
      </c>
      <c r="BD1410" t="str">
        <f t="shared" ref="BD1410:BD1473" si="561">"N52156  "</f>
        <v xml:space="preserve">N52156  </v>
      </c>
      <c r="BE1410">
        <v>1</v>
      </c>
      <c r="BG1410">
        <v>0</v>
      </c>
      <c r="BH1410">
        <v>0</v>
      </c>
      <c r="BI1410">
        <v>0</v>
      </c>
      <c r="BJ1410">
        <v>3800</v>
      </c>
      <c r="BK1410">
        <v>0</v>
      </c>
      <c r="BL1410" t="s">
        <v>188</v>
      </c>
      <c r="BM1410">
        <v>1</v>
      </c>
      <c r="BN1410">
        <v>1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 t="shared" si="557"/>
        <v>15:08:26.925</v>
      </c>
      <c r="CF1410">
        <v>925456013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4</v>
      </c>
      <c r="CY1410">
        <v>7</v>
      </c>
      <c r="CZ1410" t="s">
        <v>133</v>
      </c>
      <c r="DA1410">
        <v>275</v>
      </c>
      <c r="DB1410">
        <v>0</v>
      </c>
      <c r="DC1410" t="s">
        <v>134</v>
      </c>
      <c r="DD1410" t="s">
        <v>135</v>
      </c>
      <c r="DG1410">
        <v>3320304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"05/01/2025 15:08:27.180"</f>
        <v>05/01/2025 15:08:27.180</v>
      </c>
      <c r="C1411" t="str">
        <f t="shared" si="558"/>
        <v>FFDFD3C0</v>
      </c>
      <c r="D1411" t="s">
        <v>136</v>
      </c>
      <c r="E1411" t="str">
        <f>"20"</f>
        <v>20</v>
      </c>
      <c r="H1411">
        <v>400</v>
      </c>
      <c r="I1411" t="s">
        <v>137</v>
      </c>
      <c r="J1411" t="s">
        <v>138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R1411" t="s">
        <v>127</v>
      </c>
      <c r="S1411" t="str">
        <f t="shared" si="556"/>
        <v>15:08:26.000</v>
      </c>
      <c r="T1411" t="str">
        <f t="shared" si="556"/>
        <v>15:08:26.000</v>
      </c>
      <c r="U1411" t="str">
        <f t="shared" si="559"/>
        <v>A68FCB</v>
      </c>
      <c r="V1411">
        <v>0</v>
      </c>
      <c r="W1411">
        <v>0</v>
      </c>
      <c r="X1411">
        <v>2</v>
      </c>
      <c r="Y1411">
        <v>0</v>
      </c>
      <c r="AA1411">
        <v>1</v>
      </c>
      <c r="AB1411">
        <v>8</v>
      </c>
      <c r="AC1411">
        <v>3</v>
      </c>
      <c r="AD1411">
        <v>0</v>
      </c>
      <c r="AE1411">
        <v>9</v>
      </c>
      <c r="AF1411" t="s">
        <v>138</v>
      </c>
      <c r="AG1411">
        <v>0</v>
      </c>
      <c r="AH1411">
        <v>3</v>
      </c>
      <c r="AI1411">
        <v>2</v>
      </c>
      <c r="AJ1411">
        <v>0</v>
      </c>
      <c r="AK1411" t="s">
        <v>533</v>
      </c>
      <c r="AL1411">
        <v>39.013824</v>
      </c>
      <c r="AM1411" t="s">
        <v>534</v>
      </c>
      <c r="AN1411">
        <v>-121.05517399999999</v>
      </c>
      <c r="AO1411">
        <v>25</v>
      </c>
      <c r="AP1411">
        <v>3800</v>
      </c>
      <c r="AQ1411" t="s">
        <v>131</v>
      </c>
      <c r="AR1411">
        <v>17</v>
      </c>
      <c r="AS1411">
        <v>75</v>
      </c>
      <c r="AT1411">
        <v>448</v>
      </c>
      <c r="BB1411" t="str">
        <f t="shared" si="560"/>
        <v>1200</v>
      </c>
      <c r="BC1411">
        <v>1</v>
      </c>
      <c r="BD1411" t="str">
        <f t="shared" si="561"/>
        <v xml:space="preserve">N52156  </v>
      </c>
      <c r="BE1411">
        <v>1</v>
      </c>
      <c r="BG1411">
        <v>0</v>
      </c>
      <c r="BH1411">
        <v>0</v>
      </c>
      <c r="BI1411">
        <v>0</v>
      </c>
      <c r="BJ1411">
        <v>3800</v>
      </c>
      <c r="BK1411">
        <v>0</v>
      </c>
      <c r="BL1411" t="s">
        <v>188</v>
      </c>
      <c r="BM1411">
        <v>1</v>
      </c>
      <c r="BN1411">
        <v>1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 t="shared" si="557"/>
        <v>15:08:26.925</v>
      </c>
      <c r="CF1411">
        <v>925456013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4</v>
      </c>
      <c r="CY1411">
        <v>7</v>
      </c>
      <c r="CZ1411" t="s">
        <v>133</v>
      </c>
      <c r="DA1411">
        <v>275</v>
      </c>
      <c r="DB1411">
        <v>0</v>
      </c>
      <c r="DC1411" t="s">
        <v>134</v>
      </c>
      <c r="DD1411" t="s">
        <v>135</v>
      </c>
      <c r="DG1411">
        <v>3320304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"05/01/2025 15:08:27.415"</f>
        <v>05/01/2025 15:08:27.415</v>
      </c>
      <c r="C1412" t="str">
        <f t="shared" si="558"/>
        <v>FFDFD3C0</v>
      </c>
      <c r="D1412" t="s">
        <v>140</v>
      </c>
      <c r="E1412" t="str">
        <f>"13"</f>
        <v>13</v>
      </c>
      <c r="F1412">
        <v>1019</v>
      </c>
      <c r="G1412" t="s">
        <v>141</v>
      </c>
      <c r="J1412" t="s">
        <v>142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R1412" t="s">
        <v>127</v>
      </c>
      <c r="S1412" t="str">
        <f t="shared" ref="S1412:T1417" si="562">"15:08:27.000"</f>
        <v>15:08:27.000</v>
      </c>
      <c r="T1412" t="str">
        <f t="shared" si="562"/>
        <v>15:08:27.000</v>
      </c>
      <c r="U1412" t="str">
        <f t="shared" si="559"/>
        <v>A68FCB</v>
      </c>
      <c r="V1412">
        <v>0</v>
      </c>
      <c r="W1412">
        <v>0</v>
      </c>
      <c r="X1412">
        <v>2</v>
      </c>
      <c r="Y1412">
        <v>0</v>
      </c>
      <c r="AA1412">
        <v>1</v>
      </c>
      <c r="AB1412">
        <v>8</v>
      </c>
      <c r="AC1412">
        <v>3</v>
      </c>
      <c r="AD1412">
        <v>0</v>
      </c>
      <c r="AE1412">
        <v>9</v>
      </c>
      <c r="AF1412" t="s">
        <v>138</v>
      </c>
      <c r="AG1412">
        <v>0</v>
      </c>
      <c r="AH1412">
        <v>3</v>
      </c>
      <c r="AI1412">
        <v>2</v>
      </c>
      <c r="AJ1412">
        <v>0</v>
      </c>
      <c r="AK1412" t="s">
        <v>535</v>
      </c>
      <c r="AL1412">
        <v>39.014167999999998</v>
      </c>
      <c r="AM1412" t="s">
        <v>536</v>
      </c>
      <c r="AN1412">
        <v>-121.05506699999999</v>
      </c>
      <c r="AO1412">
        <v>25</v>
      </c>
      <c r="AP1412">
        <v>3800</v>
      </c>
      <c r="AQ1412" t="s">
        <v>131</v>
      </c>
      <c r="AR1412">
        <v>17</v>
      </c>
      <c r="AS1412">
        <v>75</v>
      </c>
      <c r="AT1412">
        <v>384</v>
      </c>
      <c r="BB1412" t="str">
        <f t="shared" si="560"/>
        <v>1200</v>
      </c>
      <c r="BC1412">
        <v>1</v>
      </c>
      <c r="BD1412" t="str">
        <f t="shared" si="561"/>
        <v xml:space="preserve">N52156  </v>
      </c>
      <c r="BE1412">
        <v>1</v>
      </c>
      <c r="BG1412">
        <v>0</v>
      </c>
      <c r="BH1412">
        <v>0</v>
      </c>
      <c r="BI1412">
        <v>0</v>
      </c>
      <c r="BJ1412">
        <v>3800</v>
      </c>
      <c r="BK1412">
        <v>0</v>
      </c>
      <c r="BL1412" t="s">
        <v>188</v>
      </c>
      <c r="BM1412">
        <v>1</v>
      </c>
      <c r="BN1412">
        <v>1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 t="shared" ref="CE1412:CE1417" si="563">"15:08:27.204"</f>
        <v>15:08:27.204</v>
      </c>
      <c r="CF1412">
        <v>203704225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4</v>
      </c>
      <c r="CY1412">
        <v>7</v>
      </c>
      <c r="CZ1412" t="s">
        <v>133</v>
      </c>
      <c r="DA1412">
        <v>275</v>
      </c>
      <c r="DB1412">
        <v>0</v>
      </c>
      <c r="DC1412" t="s">
        <v>134</v>
      </c>
      <c r="DD1412" t="s">
        <v>135</v>
      </c>
      <c r="DG1412">
        <v>3320308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"05/01/2025 15:08:27.417"</f>
        <v>05/01/2025 15:08:27.417</v>
      </c>
      <c r="C1413" t="str">
        <f t="shared" si="558"/>
        <v>FFDFD3C0</v>
      </c>
      <c r="D1413" t="s">
        <v>145</v>
      </c>
      <c r="E1413" t="str">
        <f>"05"</f>
        <v>05</v>
      </c>
      <c r="H1413">
        <v>47</v>
      </c>
      <c r="I1413" t="s">
        <v>146</v>
      </c>
      <c r="J1413" t="s">
        <v>138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R1413" t="s">
        <v>127</v>
      </c>
      <c r="S1413" t="str">
        <f t="shared" si="562"/>
        <v>15:08:27.000</v>
      </c>
      <c r="T1413" t="str">
        <f t="shared" si="562"/>
        <v>15:08:27.000</v>
      </c>
      <c r="U1413" t="str">
        <f t="shared" si="559"/>
        <v>A68FCB</v>
      </c>
      <c r="V1413">
        <v>0</v>
      </c>
      <c r="W1413">
        <v>0</v>
      </c>
      <c r="X1413">
        <v>2</v>
      </c>
      <c r="Y1413">
        <v>0</v>
      </c>
      <c r="AA1413">
        <v>1</v>
      </c>
      <c r="AB1413">
        <v>8</v>
      </c>
      <c r="AC1413">
        <v>3</v>
      </c>
      <c r="AD1413">
        <v>0</v>
      </c>
      <c r="AE1413">
        <v>9</v>
      </c>
      <c r="AF1413" t="s">
        <v>138</v>
      </c>
      <c r="AG1413">
        <v>0</v>
      </c>
      <c r="AH1413">
        <v>3</v>
      </c>
      <c r="AI1413">
        <v>2</v>
      </c>
      <c r="AJ1413">
        <v>0</v>
      </c>
      <c r="AK1413" t="s">
        <v>535</v>
      </c>
      <c r="AL1413">
        <v>39.014167999999998</v>
      </c>
      <c r="AM1413" t="s">
        <v>536</v>
      </c>
      <c r="AN1413">
        <v>-121.05506699999999</v>
      </c>
      <c r="AO1413">
        <v>25</v>
      </c>
      <c r="AP1413">
        <v>3800</v>
      </c>
      <c r="AQ1413" t="s">
        <v>131</v>
      </c>
      <c r="AR1413">
        <v>17</v>
      </c>
      <c r="AS1413">
        <v>75</v>
      </c>
      <c r="AT1413">
        <v>384</v>
      </c>
      <c r="BB1413" t="str">
        <f t="shared" si="560"/>
        <v>1200</v>
      </c>
      <c r="BC1413">
        <v>1</v>
      </c>
      <c r="BD1413" t="str">
        <f t="shared" si="561"/>
        <v xml:space="preserve">N52156  </v>
      </c>
      <c r="BE1413">
        <v>1</v>
      </c>
      <c r="BG1413">
        <v>0</v>
      </c>
      <c r="BH1413">
        <v>0</v>
      </c>
      <c r="BI1413">
        <v>0</v>
      </c>
      <c r="BJ1413">
        <v>3800</v>
      </c>
      <c r="BK1413">
        <v>0</v>
      </c>
      <c r="BL1413" t="s">
        <v>188</v>
      </c>
      <c r="BM1413">
        <v>1</v>
      </c>
      <c r="BN1413">
        <v>1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 t="shared" si="563"/>
        <v>15:08:27.204</v>
      </c>
      <c r="CF1413">
        <v>203704225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4</v>
      </c>
      <c r="CY1413">
        <v>7</v>
      </c>
      <c r="CZ1413" t="s">
        <v>133</v>
      </c>
      <c r="DA1413">
        <v>275</v>
      </c>
      <c r="DB1413">
        <v>0</v>
      </c>
      <c r="DC1413" t="s">
        <v>134</v>
      </c>
      <c r="DD1413" t="s">
        <v>135</v>
      </c>
      <c r="DG1413">
        <v>3320308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"05/01/2025 15:08:27.418"</f>
        <v>05/01/2025 15:08:27.418</v>
      </c>
      <c r="C1414" t="str">
        <f t="shared" si="558"/>
        <v>FFDFD3C0</v>
      </c>
      <c r="D1414" t="s">
        <v>124</v>
      </c>
      <c r="E1414" t="str">
        <f>"06"</f>
        <v>06</v>
      </c>
      <c r="F1414">
        <v>2006</v>
      </c>
      <c r="G1414" t="s">
        <v>125</v>
      </c>
      <c r="J1414" t="s">
        <v>126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R1414" t="s">
        <v>127</v>
      </c>
      <c r="S1414" t="str">
        <f t="shared" si="562"/>
        <v>15:08:27.000</v>
      </c>
      <c r="T1414" t="str">
        <f t="shared" si="562"/>
        <v>15:08:27.000</v>
      </c>
      <c r="U1414" t="str">
        <f t="shared" si="559"/>
        <v>A68FCB</v>
      </c>
      <c r="V1414">
        <v>0</v>
      </c>
      <c r="W1414">
        <v>0</v>
      </c>
      <c r="X1414">
        <v>2</v>
      </c>
      <c r="Y1414">
        <v>0</v>
      </c>
      <c r="AA1414">
        <v>1</v>
      </c>
      <c r="AB1414">
        <v>8</v>
      </c>
      <c r="AC1414">
        <v>3</v>
      </c>
      <c r="AD1414">
        <v>0</v>
      </c>
      <c r="AE1414">
        <v>9</v>
      </c>
      <c r="AF1414" t="s">
        <v>138</v>
      </c>
      <c r="AG1414">
        <v>0</v>
      </c>
      <c r="AH1414">
        <v>3</v>
      </c>
      <c r="AI1414">
        <v>2</v>
      </c>
      <c r="AJ1414">
        <v>0</v>
      </c>
      <c r="AK1414" t="s">
        <v>535</v>
      </c>
      <c r="AL1414">
        <v>39.014167999999998</v>
      </c>
      <c r="AM1414" t="s">
        <v>536</v>
      </c>
      <c r="AN1414">
        <v>-121.05506699999999</v>
      </c>
      <c r="AO1414">
        <v>25</v>
      </c>
      <c r="AP1414">
        <v>3800</v>
      </c>
      <c r="AQ1414" t="s">
        <v>131</v>
      </c>
      <c r="AR1414">
        <v>17</v>
      </c>
      <c r="AS1414">
        <v>75</v>
      </c>
      <c r="AT1414">
        <v>384</v>
      </c>
      <c r="BB1414" t="str">
        <f t="shared" si="560"/>
        <v>1200</v>
      </c>
      <c r="BC1414">
        <v>1</v>
      </c>
      <c r="BD1414" t="str">
        <f t="shared" si="561"/>
        <v xml:space="preserve">N52156  </v>
      </c>
      <c r="BE1414">
        <v>1</v>
      </c>
      <c r="BG1414">
        <v>0</v>
      </c>
      <c r="BH1414">
        <v>0</v>
      </c>
      <c r="BI1414">
        <v>0</v>
      </c>
      <c r="BJ1414">
        <v>3800</v>
      </c>
      <c r="BK1414">
        <v>0</v>
      </c>
      <c r="BL1414" t="s">
        <v>188</v>
      </c>
      <c r="BM1414">
        <v>1</v>
      </c>
      <c r="BN1414">
        <v>1</v>
      </c>
      <c r="BO1414">
        <v>0</v>
      </c>
      <c r="BP1414">
        <v>0</v>
      </c>
      <c r="BS1414">
        <v>0</v>
      </c>
      <c r="BT1414">
        <v>0</v>
      </c>
      <c r="BU1414">
        <v>0</v>
      </c>
      <c r="CE1414" t="str">
        <f t="shared" si="563"/>
        <v>15:08:27.204</v>
      </c>
      <c r="CF1414">
        <v>203704225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4</v>
      </c>
      <c r="CY1414">
        <v>7</v>
      </c>
      <c r="CZ1414" t="s">
        <v>133</v>
      </c>
      <c r="DA1414">
        <v>275</v>
      </c>
      <c r="DB1414">
        <v>0</v>
      </c>
      <c r="DC1414" t="s">
        <v>134</v>
      </c>
      <c r="DD1414" t="s">
        <v>135</v>
      </c>
      <c r="DG1414">
        <v>3320308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"05/01/2025 15:08:27.420"</f>
        <v>05/01/2025 15:08:27.420</v>
      </c>
      <c r="C1415" t="str">
        <f t="shared" si="558"/>
        <v>FFDFD3C0</v>
      </c>
      <c r="D1415" t="s">
        <v>145</v>
      </c>
      <c r="E1415" t="str">
        <f>"09"</f>
        <v>09</v>
      </c>
      <c r="H1415">
        <v>51</v>
      </c>
      <c r="I1415" t="s">
        <v>147</v>
      </c>
      <c r="J1415" t="s">
        <v>138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R1415" t="s">
        <v>127</v>
      </c>
      <c r="S1415" t="str">
        <f t="shared" si="562"/>
        <v>15:08:27.000</v>
      </c>
      <c r="T1415" t="str">
        <f t="shared" si="562"/>
        <v>15:08:27.000</v>
      </c>
      <c r="U1415" t="str">
        <f t="shared" si="559"/>
        <v>A68FCB</v>
      </c>
      <c r="V1415">
        <v>0</v>
      </c>
      <c r="W1415">
        <v>0</v>
      </c>
      <c r="X1415">
        <v>2</v>
      </c>
      <c r="Y1415">
        <v>0</v>
      </c>
      <c r="AA1415">
        <v>1</v>
      </c>
      <c r="AB1415">
        <v>8</v>
      </c>
      <c r="AC1415">
        <v>3</v>
      </c>
      <c r="AD1415">
        <v>0</v>
      </c>
      <c r="AE1415">
        <v>9</v>
      </c>
      <c r="AF1415" t="s">
        <v>138</v>
      </c>
      <c r="AG1415">
        <v>0</v>
      </c>
      <c r="AH1415">
        <v>3</v>
      </c>
      <c r="AI1415">
        <v>2</v>
      </c>
      <c r="AJ1415">
        <v>0</v>
      </c>
      <c r="AK1415" t="s">
        <v>535</v>
      </c>
      <c r="AL1415">
        <v>39.014167999999998</v>
      </c>
      <c r="AM1415" t="s">
        <v>536</v>
      </c>
      <c r="AN1415">
        <v>-121.05506699999999</v>
      </c>
      <c r="AO1415">
        <v>25</v>
      </c>
      <c r="AP1415">
        <v>3800</v>
      </c>
      <c r="AQ1415" t="s">
        <v>131</v>
      </c>
      <c r="AR1415">
        <v>17</v>
      </c>
      <c r="AS1415">
        <v>75</v>
      </c>
      <c r="AT1415">
        <v>384</v>
      </c>
      <c r="BB1415" t="str">
        <f t="shared" si="560"/>
        <v>1200</v>
      </c>
      <c r="BC1415">
        <v>1</v>
      </c>
      <c r="BD1415" t="str">
        <f t="shared" si="561"/>
        <v xml:space="preserve">N52156  </v>
      </c>
      <c r="BE1415">
        <v>1</v>
      </c>
      <c r="BG1415">
        <v>0</v>
      </c>
      <c r="BH1415">
        <v>0</v>
      </c>
      <c r="BI1415">
        <v>0</v>
      </c>
      <c r="BJ1415">
        <v>3800</v>
      </c>
      <c r="BK1415">
        <v>0</v>
      </c>
      <c r="BL1415" t="s">
        <v>188</v>
      </c>
      <c r="BM1415">
        <v>1</v>
      </c>
      <c r="BN1415">
        <v>1</v>
      </c>
      <c r="BO1415">
        <v>0</v>
      </c>
      <c r="BP1415">
        <v>0</v>
      </c>
      <c r="BS1415">
        <v>0</v>
      </c>
      <c r="BT1415">
        <v>0</v>
      </c>
      <c r="BU1415">
        <v>0</v>
      </c>
      <c r="CE1415" t="str">
        <f t="shared" si="563"/>
        <v>15:08:27.204</v>
      </c>
      <c r="CF1415">
        <v>203704225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4</v>
      </c>
      <c r="CY1415">
        <v>7</v>
      </c>
      <c r="CZ1415" t="s">
        <v>133</v>
      </c>
      <c r="DA1415">
        <v>275</v>
      </c>
      <c r="DB1415">
        <v>0</v>
      </c>
      <c r="DC1415" t="s">
        <v>134</v>
      </c>
      <c r="DD1415" t="s">
        <v>135</v>
      </c>
      <c r="DG1415">
        <v>3320308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"05/01/2025 15:08:27.423"</f>
        <v>05/01/2025 15:08:27.423</v>
      </c>
      <c r="C1416" t="str">
        <f t="shared" si="558"/>
        <v>FFDFD3C0</v>
      </c>
      <c r="D1416" t="s">
        <v>143</v>
      </c>
      <c r="E1416" t="str">
        <f>"05"</f>
        <v>05</v>
      </c>
      <c r="H1416">
        <v>172</v>
      </c>
      <c r="I1416" t="s">
        <v>141</v>
      </c>
      <c r="J1416" t="s">
        <v>144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R1416" t="s">
        <v>127</v>
      </c>
      <c r="S1416" t="str">
        <f t="shared" si="562"/>
        <v>15:08:27.000</v>
      </c>
      <c r="T1416" t="str">
        <f t="shared" si="562"/>
        <v>15:08:27.000</v>
      </c>
      <c r="U1416" t="str">
        <f t="shared" si="559"/>
        <v>A68FCB</v>
      </c>
      <c r="V1416">
        <v>0</v>
      </c>
      <c r="W1416">
        <v>0</v>
      </c>
      <c r="X1416">
        <v>2</v>
      </c>
      <c r="Y1416">
        <v>0</v>
      </c>
      <c r="AA1416">
        <v>1</v>
      </c>
      <c r="AB1416">
        <v>8</v>
      </c>
      <c r="AC1416">
        <v>3</v>
      </c>
      <c r="AD1416">
        <v>0</v>
      </c>
      <c r="AE1416">
        <v>9</v>
      </c>
      <c r="AF1416" t="s">
        <v>138</v>
      </c>
      <c r="AG1416">
        <v>0</v>
      </c>
      <c r="AH1416">
        <v>3</v>
      </c>
      <c r="AI1416">
        <v>2</v>
      </c>
      <c r="AJ1416">
        <v>0</v>
      </c>
      <c r="AK1416" t="s">
        <v>535</v>
      </c>
      <c r="AL1416">
        <v>39.014167999999998</v>
      </c>
      <c r="AM1416" t="s">
        <v>536</v>
      </c>
      <c r="AN1416">
        <v>-121.05506699999999</v>
      </c>
      <c r="AO1416">
        <v>25</v>
      </c>
      <c r="AP1416">
        <v>3800</v>
      </c>
      <c r="AQ1416" t="s">
        <v>131</v>
      </c>
      <c r="AR1416">
        <v>17</v>
      </c>
      <c r="AS1416">
        <v>75</v>
      </c>
      <c r="AT1416">
        <v>384</v>
      </c>
      <c r="BB1416" t="str">
        <f t="shared" si="560"/>
        <v>1200</v>
      </c>
      <c r="BC1416">
        <v>1</v>
      </c>
      <c r="BD1416" t="str">
        <f t="shared" si="561"/>
        <v xml:space="preserve">N52156  </v>
      </c>
      <c r="BE1416">
        <v>1</v>
      </c>
      <c r="BG1416">
        <v>0</v>
      </c>
      <c r="BH1416">
        <v>0</v>
      </c>
      <c r="BI1416">
        <v>0</v>
      </c>
      <c r="BJ1416">
        <v>3800</v>
      </c>
      <c r="BK1416">
        <v>0</v>
      </c>
      <c r="BL1416" t="s">
        <v>188</v>
      </c>
      <c r="BM1416">
        <v>1</v>
      </c>
      <c r="BN1416">
        <v>1</v>
      </c>
      <c r="BO1416">
        <v>0</v>
      </c>
      <c r="BP1416">
        <v>0</v>
      </c>
      <c r="BS1416">
        <v>0</v>
      </c>
      <c r="BT1416">
        <v>0</v>
      </c>
      <c r="BU1416">
        <v>0</v>
      </c>
      <c r="CE1416" t="str">
        <f t="shared" si="563"/>
        <v>15:08:27.204</v>
      </c>
      <c r="CF1416">
        <v>203704225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4</v>
      </c>
      <c r="CY1416">
        <v>7</v>
      </c>
      <c r="CZ1416" t="s">
        <v>133</v>
      </c>
      <c r="DA1416">
        <v>275</v>
      </c>
      <c r="DB1416">
        <v>0</v>
      </c>
      <c r="DC1416" t="s">
        <v>134</v>
      </c>
      <c r="DD1416" t="s">
        <v>135</v>
      </c>
      <c r="DG1416">
        <v>3320308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"05/01/2025 15:08:27.431"</f>
        <v>05/01/2025 15:08:27.431</v>
      </c>
      <c r="C1417" t="str">
        <f t="shared" si="558"/>
        <v>FFDFD3C0</v>
      </c>
      <c r="D1417" t="s">
        <v>136</v>
      </c>
      <c r="E1417" t="str">
        <f>"20"</f>
        <v>20</v>
      </c>
      <c r="H1417">
        <v>400</v>
      </c>
      <c r="I1417" t="s">
        <v>137</v>
      </c>
      <c r="J1417" t="s">
        <v>138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R1417" t="s">
        <v>127</v>
      </c>
      <c r="S1417" t="str">
        <f t="shared" si="562"/>
        <v>15:08:27.000</v>
      </c>
      <c r="T1417" t="str">
        <f t="shared" si="562"/>
        <v>15:08:27.000</v>
      </c>
      <c r="U1417" t="str">
        <f t="shared" si="559"/>
        <v>A68FCB</v>
      </c>
      <c r="V1417">
        <v>0</v>
      </c>
      <c r="W1417">
        <v>0</v>
      </c>
      <c r="X1417">
        <v>2</v>
      </c>
      <c r="Y1417">
        <v>0</v>
      </c>
      <c r="AA1417">
        <v>1</v>
      </c>
      <c r="AB1417">
        <v>8</v>
      </c>
      <c r="AC1417">
        <v>3</v>
      </c>
      <c r="AD1417">
        <v>0</v>
      </c>
      <c r="AE1417">
        <v>9</v>
      </c>
      <c r="AF1417" t="s">
        <v>138</v>
      </c>
      <c r="AG1417">
        <v>0</v>
      </c>
      <c r="AH1417">
        <v>3</v>
      </c>
      <c r="AI1417">
        <v>2</v>
      </c>
      <c r="AJ1417">
        <v>0</v>
      </c>
      <c r="AK1417" t="s">
        <v>535</v>
      </c>
      <c r="AL1417">
        <v>39.014167999999998</v>
      </c>
      <c r="AM1417" t="s">
        <v>536</v>
      </c>
      <c r="AN1417">
        <v>-121.05506699999999</v>
      </c>
      <c r="AO1417">
        <v>25</v>
      </c>
      <c r="AP1417">
        <v>3800</v>
      </c>
      <c r="AQ1417" t="s">
        <v>131</v>
      </c>
      <c r="AR1417">
        <v>17</v>
      </c>
      <c r="AS1417">
        <v>75</v>
      </c>
      <c r="AT1417">
        <v>384</v>
      </c>
      <c r="BB1417" t="str">
        <f t="shared" si="560"/>
        <v>1200</v>
      </c>
      <c r="BC1417">
        <v>1</v>
      </c>
      <c r="BD1417" t="str">
        <f t="shared" si="561"/>
        <v xml:space="preserve">N52156  </v>
      </c>
      <c r="BE1417">
        <v>1</v>
      </c>
      <c r="BG1417">
        <v>0</v>
      </c>
      <c r="BH1417">
        <v>0</v>
      </c>
      <c r="BI1417">
        <v>0</v>
      </c>
      <c r="BJ1417">
        <v>3800</v>
      </c>
      <c r="BK1417">
        <v>0</v>
      </c>
      <c r="BL1417" t="s">
        <v>188</v>
      </c>
      <c r="BM1417">
        <v>1</v>
      </c>
      <c r="BN1417">
        <v>1</v>
      </c>
      <c r="BO1417">
        <v>0</v>
      </c>
      <c r="BP1417">
        <v>0</v>
      </c>
      <c r="BS1417">
        <v>0</v>
      </c>
      <c r="BT1417">
        <v>0</v>
      </c>
      <c r="BU1417">
        <v>0</v>
      </c>
      <c r="CE1417" t="str">
        <f t="shared" si="563"/>
        <v>15:08:27.204</v>
      </c>
      <c r="CF1417">
        <v>203704225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4</v>
      </c>
      <c r="CY1417">
        <v>7</v>
      </c>
      <c r="CZ1417" t="s">
        <v>133</v>
      </c>
      <c r="DA1417">
        <v>275</v>
      </c>
      <c r="DB1417">
        <v>0</v>
      </c>
      <c r="DC1417" t="s">
        <v>134</v>
      </c>
      <c r="DD1417" t="s">
        <v>135</v>
      </c>
      <c r="DG1417">
        <v>3320308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"05/01/2025 15:08:28.921"</f>
        <v>05/01/2025 15:08:28.921</v>
      </c>
      <c r="C1418" t="str">
        <f t="shared" si="558"/>
        <v>FFDFD3C0</v>
      </c>
      <c r="D1418" t="s">
        <v>124</v>
      </c>
      <c r="E1418" t="str">
        <f>"06"</f>
        <v>06</v>
      </c>
      <c r="F1418">
        <v>2006</v>
      </c>
      <c r="G1418" t="s">
        <v>125</v>
      </c>
      <c r="J1418" t="s">
        <v>126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R1418" t="s">
        <v>127</v>
      </c>
      <c r="S1418" t="str">
        <f t="shared" ref="S1418:T1423" si="564">"15:08:28.000"</f>
        <v>15:08:28.000</v>
      </c>
      <c r="T1418" t="str">
        <f t="shared" si="564"/>
        <v>15:08:28.000</v>
      </c>
      <c r="U1418" t="str">
        <f t="shared" si="559"/>
        <v>A68FCB</v>
      </c>
      <c r="V1418">
        <v>0</v>
      </c>
      <c r="W1418">
        <v>0</v>
      </c>
      <c r="X1418">
        <v>2</v>
      </c>
      <c r="Y1418">
        <v>0</v>
      </c>
      <c r="AA1418">
        <v>1</v>
      </c>
      <c r="AB1418">
        <v>8</v>
      </c>
      <c r="AC1418">
        <v>3</v>
      </c>
      <c r="AD1418">
        <v>0</v>
      </c>
      <c r="AE1418">
        <v>9</v>
      </c>
      <c r="AF1418" t="s">
        <v>138</v>
      </c>
      <c r="AG1418">
        <v>0</v>
      </c>
      <c r="AH1418">
        <v>3</v>
      </c>
      <c r="AI1418">
        <v>2</v>
      </c>
      <c r="AJ1418">
        <v>0</v>
      </c>
      <c r="AK1418" t="s">
        <v>537</v>
      </c>
      <c r="AL1418">
        <v>39.014510999999999</v>
      </c>
      <c r="AM1418" t="s">
        <v>505</v>
      </c>
      <c r="AN1418">
        <v>-121.054959</v>
      </c>
      <c r="AO1418">
        <v>25</v>
      </c>
      <c r="AP1418">
        <v>3800</v>
      </c>
      <c r="AQ1418" t="s">
        <v>131</v>
      </c>
      <c r="AR1418">
        <v>21</v>
      </c>
      <c r="AS1418">
        <v>74</v>
      </c>
      <c r="AT1418">
        <v>320</v>
      </c>
      <c r="BB1418" t="str">
        <f t="shared" si="560"/>
        <v>1200</v>
      </c>
      <c r="BC1418">
        <v>1</v>
      </c>
      <c r="BD1418" t="str">
        <f t="shared" si="561"/>
        <v xml:space="preserve">N52156  </v>
      </c>
      <c r="BE1418">
        <v>1</v>
      </c>
      <c r="BG1418">
        <v>0</v>
      </c>
      <c r="BH1418">
        <v>0</v>
      </c>
      <c r="BI1418">
        <v>0</v>
      </c>
      <c r="BJ1418">
        <v>3825</v>
      </c>
      <c r="BK1418">
        <v>25</v>
      </c>
      <c r="BL1418" t="s">
        <v>188</v>
      </c>
      <c r="BM1418">
        <v>1</v>
      </c>
      <c r="BN1418">
        <v>1</v>
      </c>
      <c r="BO1418">
        <v>0</v>
      </c>
      <c r="BP1418">
        <v>0</v>
      </c>
      <c r="BS1418">
        <v>0</v>
      </c>
      <c r="BT1418">
        <v>0</v>
      </c>
      <c r="BU1418">
        <v>0</v>
      </c>
      <c r="CE1418" t="str">
        <f t="shared" ref="CE1418:CE1423" si="565">"15:08:28.724"</f>
        <v>15:08:28.724</v>
      </c>
      <c r="CF1418">
        <v>723705596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4</v>
      </c>
      <c r="CY1418">
        <v>7</v>
      </c>
      <c r="CZ1418" t="s">
        <v>133</v>
      </c>
      <c r="DA1418">
        <v>275</v>
      </c>
      <c r="DB1418">
        <v>0</v>
      </c>
      <c r="DC1418" t="s">
        <v>134</v>
      </c>
      <c r="DD1418" t="s">
        <v>135</v>
      </c>
      <c r="DG1418">
        <v>3320321</v>
      </c>
      <c r="DI1418">
        <v>1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"05/01/2025 15:08:28.923"</f>
        <v>05/01/2025 15:08:28.923</v>
      </c>
      <c r="C1419" t="str">
        <f t="shared" si="558"/>
        <v>FFDFD3C0</v>
      </c>
      <c r="D1419" t="s">
        <v>145</v>
      </c>
      <c r="E1419" t="str">
        <f>"09"</f>
        <v>09</v>
      </c>
      <c r="H1419">
        <v>51</v>
      </c>
      <c r="I1419" t="s">
        <v>147</v>
      </c>
      <c r="J1419" t="s">
        <v>138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R1419" t="s">
        <v>127</v>
      </c>
      <c r="S1419" t="str">
        <f t="shared" si="564"/>
        <v>15:08:28.000</v>
      </c>
      <c r="T1419" t="str">
        <f t="shared" si="564"/>
        <v>15:08:28.000</v>
      </c>
      <c r="U1419" t="str">
        <f t="shared" si="559"/>
        <v>A68FCB</v>
      </c>
      <c r="V1419">
        <v>0</v>
      </c>
      <c r="W1419">
        <v>0</v>
      </c>
      <c r="X1419">
        <v>2</v>
      </c>
      <c r="Y1419">
        <v>0</v>
      </c>
      <c r="AA1419">
        <v>1</v>
      </c>
      <c r="AB1419">
        <v>8</v>
      </c>
      <c r="AC1419">
        <v>3</v>
      </c>
      <c r="AD1419">
        <v>0</v>
      </c>
      <c r="AE1419">
        <v>9</v>
      </c>
      <c r="AF1419" t="s">
        <v>138</v>
      </c>
      <c r="AG1419">
        <v>0</v>
      </c>
      <c r="AH1419">
        <v>3</v>
      </c>
      <c r="AI1419">
        <v>2</v>
      </c>
      <c r="AJ1419">
        <v>0</v>
      </c>
      <c r="AK1419" t="s">
        <v>537</v>
      </c>
      <c r="AL1419">
        <v>39.014510999999999</v>
      </c>
      <c r="AM1419" t="s">
        <v>505</v>
      </c>
      <c r="AN1419">
        <v>-121.054959</v>
      </c>
      <c r="AO1419">
        <v>25</v>
      </c>
      <c r="AP1419">
        <v>3800</v>
      </c>
      <c r="AQ1419" t="s">
        <v>131</v>
      </c>
      <c r="AR1419">
        <v>21</v>
      </c>
      <c r="AS1419">
        <v>74</v>
      </c>
      <c r="AT1419">
        <v>320</v>
      </c>
      <c r="BB1419" t="str">
        <f t="shared" si="560"/>
        <v>1200</v>
      </c>
      <c r="BC1419">
        <v>1</v>
      </c>
      <c r="BD1419" t="str">
        <f t="shared" si="561"/>
        <v xml:space="preserve">N52156  </v>
      </c>
      <c r="BE1419">
        <v>1</v>
      </c>
      <c r="BG1419">
        <v>0</v>
      </c>
      <c r="BH1419">
        <v>0</v>
      </c>
      <c r="BI1419">
        <v>0</v>
      </c>
      <c r="BJ1419">
        <v>3825</v>
      </c>
      <c r="BK1419">
        <v>25</v>
      </c>
      <c r="BL1419" t="s">
        <v>188</v>
      </c>
      <c r="BM1419">
        <v>1</v>
      </c>
      <c r="BN1419">
        <v>1</v>
      </c>
      <c r="BO1419">
        <v>0</v>
      </c>
      <c r="BP1419">
        <v>0</v>
      </c>
      <c r="BS1419">
        <v>0</v>
      </c>
      <c r="BT1419">
        <v>0</v>
      </c>
      <c r="BU1419">
        <v>0</v>
      </c>
      <c r="CE1419" t="str">
        <f t="shared" si="565"/>
        <v>15:08:28.724</v>
      </c>
      <c r="CF1419">
        <v>723705596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4</v>
      </c>
      <c r="CY1419">
        <v>7</v>
      </c>
      <c r="CZ1419" t="s">
        <v>133</v>
      </c>
      <c r="DA1419">
        <v>275</v>
      </c>
      <c r="DB1419">
        <v>0</v>
      </c>
      <c r="DC1419" t="s">
        <v>134</v>
      </c>
      <c r="DD1419" t="s">
        <v>135</v>
      </c>
      <c r="DG1419">
        <v>3320321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"05/01/2025 15:08:28.925"</f>
        <v>05/01/2025 15:08:28.925</v>
      </c>
      <c r="C1420" t="str">
        <f t="shared" si="558"/>
        <v>FFDFD3C0</v>
      </c>
      <c r="D1420" t="s">
        <v>143</v>
      </c>
      <c r="E1420" t="str">
        <f>"05"</f>
        <v>05</v>
      </c>
      <c r="H1420">
        <v>172</v>
      </c>
      <c r="I1420" t="s">
        <v>141</v>
      </c>
      <c r="J1420" t="s">
        <v>144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R1420" t="s">
        <v>127</v>
      </c>
      <c r="S1420" t="str">
        <f t="shared" si="564"/>
        <v>15:08:28.000</v>
      </c>
      <c r="T1420" t="str">
        <f t="shared" si="564"/>
        <v>15:08:28.000</v>
      </c>
      <c r="U1420" t="str">
        <f t="shared" si="559"/>
        <v>A68FCB</v>
      </c>
      <c r="V1420">
        <v>0</v>
      </c>
      <c r="W1420">
        <v>0</v>
      </c>
      <c r="X1420">
        <v>2</v>
      </c>
      <c r="Y1420">
        <v>0</v>
      </c>
      <c r="AA1420">
        <v>1</v>
      </c>
      <c r="AB1420">
        <v>8</v>
      </c>
      <c r="AC1420">
        <v>3</v>
      </c>
      <c r="AD1420">
        <v>0</v>
      </c>
      <c r="AE1420">
        <v>9</v>
      </c>
      <c r="AF1420" t="s">
        <v>138</v>
      </c>
      <c r="AG1420">
        <v>0</v>
      </c>
      <c r="AH1420">
        <v>3</v>
      </c>
      <c r="AI1420">
        <v>2</v>
      </c>
      <c r="AJ1420">
        <v>0</v>
      </c>
      <c r="AK1420" t="s">
        <v>537</v>
      </c>
      <c r="AL1420">
        <v>39.014510999999999</v>
      </c>
      <c r="AM1420" t="s">
        <v>505</v>
      </c>
      <c r="AN1420">
        <v>-121.054959</v>
      </c>
      <c r="AO1420">
        <v>25</v>
      </c>
      <c r="AP1420">
        <v>3800</v>
      </c>
      <c r="AQ1420" t="s">
        <v>131</v>
      </c>
      <c r="AR1420">
        <v>21</v>
      </c>
      <c r="AS1420">
        <v>74</v>
      </c>
      <c r="AT1420">
        <v>320</v>
      </c>
      <c r="BB1420" t="str">
        <f t="shared" si="560"/>
        <v>1200</v>
      </c>
      <c r="BC1420">
        <v>1</v>
      </c>
      <c r="BD1420" t="str">
        <f t="shared" si="561"/>
        <v xml:space="preserve">N52156  </v>
      </c>
      <c r="BE1420">
        <v>1</v>
      </c>
      <c r="BG1420">
        <v>0</v>
      </c>
      <c r="BH1420">
        <v>0</v>
      </c>
      <c r="BI1420">
        <v>0</v>
      </c>
      <c r="BJ1420">
        <v>3825</v>
      </c>
      <c r="BK1420">
        <v>25</v>
      </c>
      <c r="BL1420" t="s">
        <v>188</v>
      </c>
      <c r="BM1420">
        <v>1</v>
      </c>
      <c r="BN1420">
        <v>1</v>
      </c>
      <c r="BO1420">
        <v>0</v>
      </c>
      <c r="BP1420">
        <v>0</v>
      </c>
      <c r="BS1420">
        <v>0</v>
      </c>
      <c r="BT1420">
        <v>0</v>
      </c>
      <c r="BU1420">
        <v>0</v>
      </c>
      <c r="CE1420" t="str">
        <f t="shared" si="565"/>
        <v>15:08:28.724</v>
      </c>
      <c r="CF1420">
        <v>723705596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4</v>
      </c>
      <c r="CY1420">
        <v>7</v>
      </c>
      <c r="CZ1420" t="s">
        <v>133</v>
      </c>
      <c r="DA1420">
        <v>275</v>
      </c>
      <c r="DB1420">
        <v>0</v>
      </c>
      <c r="DC1420" t="s">
        <v>134</v>
      </c>
      <c r="DD1420" t="s">
        <v>135</v>
      </c>
      <c r="DG1420">
        <v>3320321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"05/01/2025 15:08:28.933"</f>
        <v>05/01/2025 15:08:28.933</v>
      </c>
      <c r="C1421" t="str">
        <f t="shared" si="558"/>
        <v>FFDFD3C0</v>
      </c>
      <c r="D1421" t="s">
        <v>136</v>
      </c>
      <c r="E1421" t="str">
        <f>"20"</f>
        <v>20</v>
      </c>
      <c r="H1421">
        <v>400</v>
      </c>
      <c r="I1421" t="s">
        <v>137</v>
      </c>
      <c r="J1421" t="s">
        <v>138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R1421" t="s">
        <v>127</v>
      </c>
      <c r="S1421" t="str">
        <f t="shared" si="564"/>
        <v>15:08:28.000</v>
      </c>
      <c r="T1421" t="str">
        <f t="shared" si="564"/>
        <v>15:08:28.000</v>
      </c>
      <c r="U1421" t="str">
        <f t="shared" si="559"/>
        <v>A68FCB</v>
      </c>
      <c r="V1421">
        <v>0</v>
      </c>
      <c r="W1421">
        <v>0</v>
      </c>
      <c r="X1421">
        <v>2</v>
      </c>
      <c r="Y1421">
        <v>0</v>
      </c>
      <c r="AA1421">
        <v>1</v>
      </c>
      <c r="AB1421">
        <v>8</v>
      </c>
      <c r="AC1421">
        <v>3</v>
      </c>
      <c r="AD1421">
        <v>0</v>
      </c>
      <c r="AE1421">
        <v>9</v>
      </c>
      <c r="AF1421" t="s">
        <v>138</v>
      </c>
      <c r="AG1421">
        <v>0</v>
      </c>
      <c r="AH1421">
        <v>3</v>
      </c>
      <c r="AI1421">
        <v>2</v>
      </c>
      <c r="AJ1421">
        <v>0</v>
      </c>
      <c r="AK1421" t="s">
        <v>537</v>
      </c>
      <c r="AL1421">
        <v>39.014510999999999</v>
      </c>
      <c r="AM1421" t="s">
        <v>505</v>
      </c>
      <c r="AN1421">
        <v>-121.054959</v>
      </c>
      <c r="AO1421">
        <v>25</v>
      </c>
      <c r="AP1421">
        <v>3800</v>
      </c>
      <c r="AQ1421" t="s">
        <v>131</v>
      </c>
      <c r="AR1421">
        <v>21</v>
      </c>
      <c r="AS1421">
        <v>74</v>
      </c>
      <c r="AT1421">
        <v>320</v>
      </c>
      <c r="BB1421" t="str">
        <f t="shared" si="560"/>
        <v>1200</v>
      </c>
      <c r="BC1421">
        <v>1</v>
      </c>
      <c r="BD1421" t="str">
        <f t="shared" si="561"/>
        <v xml:space="preserve">N52156  </v>
      </c>
      <c r="BE1421">
        <v>1</v>
      </c>
      <c r="BG1421">
        <v>0</v>
      </c>
      <c r="BH1421">
        <v>0</v>
      </c>
      <c r="BI1421">
        <v>0</v>
      </c>
      <c r="BJ1421">
        <v>3825</v>
      </c>
      <c r="BK1421">
        <v>25</v>
      </c>
      <c r="BL1421" t="s">
        <v>188</v>
      </c>
      <c r="BM1421">
        <v>1</v>
      </c>
      <c r="BN1421">
        <v>1</v>
      </c>
      <c r="BO1421">
        <v>0</v>
      </c>
      <c r="BP1421">
        <v>0</v>
      </c>
      <c r="BS1421">
        <v>0</v>
      </c>
      <c r="BT1421">
        <v>0</v>
      </c>
      <c r="BU1421">
        <v>0</v>
      </c>
      <c r="CE1421" t="str">
        <f t="shared" si="565"/>
        <v>15:08:28.724</v>
      </c>
      <c r="CF1421">
        <v>723705596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4</v>
      </c>
      <c r="CY1421">
        <v>7</v>
      </c>
      <c r="CZ1421" t="s">
        <v>133</v>
      </c>
      <c r="DA1421">
        <v>275</v>
      </c>
      <c r="DB1421">
        <v>0</v>
      </c>
      <c r="DC1421" t="s">
        <v>134</v>
      </c>
      <c r="DD1421" t="s">
        <v>135</v>
      </c>
      <c r="DG1421">
        <v>3320321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"05/01/2025 15:08:28.967"</f>
        <v>05/01/2025 15:08:28.967</v>
      </c>
      <c r="C1422" t="str">
        <f t="shared" si="558"/>
        <v>FFDFD3C0</v>
      </c>
      <c r="D1422" t="s">
        <v>140</v>
      </c>
      <c r="E1422" t="str">
        <f>"13"</f>
        <v>13</v>
      </c>
      <c r="F1422">
        <v>1019</v>
      </c>
      <c r="G1422" t="s">
        <v>141</v>
      </c>
      <c r="J1422" t="s">
        <v>142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R1422" t="s">
        <v>127</v>
      </c>
      <c r="S1422" t="str">
        <f t="shared" si="564"/>
        <v>15:08:28.000</v>
      </c>
      <c r="T1422" t="str">
        <f t="shared" si="564"/>
        <v>15:08:28.000</v>
      </c>
      <c r="U1422" t="str">
        <f t="shared" si="559"/>
        <v>A68FCB</v>
      </c>
      <c r="V1422">
        <v>0</v>
      </c>
      <c r="W1422">
        <v>0</v>
      </c>
      <c r="X1422">
        <v>2</v>
      </c>
      <c r="Y1422">
        <v>0</v>
      </c>
      <c r="AA1422">
        <v>1</v>
      </c>
      <c r="AB1422">
        <v>8</v>
      </c>
      <c r="AC1422">
        <v>3</v>
      </c>
      <c r="AD1422">
        <v>0</v>
      </c>
      <c r="AE1422">
        <v>9</v>
      </c>
      <c r="AF1422" t="s">
        <v>138</v>
      </c>
      <c r="AG1422">
        <v>0</v>
      </c>
      <c r="AH1422">
        <v>3</v>
      </c>
      <c r="AI1422">
        <v>2</v>
      </c>
      <c r="AJ1422">
        <v>0</v>
      </c>
      <c r="AK1422" t="s">
        <v>537</v>
      </c>
      <c r="AL1422">
        <v>39.014510999999999</v>
      </c>
      <c r="AM1422" t="s">
        <v>505</v>
      </c>
      <c r="AN1422">
        <v>-121.054959</v>
      </c>
      <c r="AO1422">
        <v>25</v>
      </c>
      <c r="AP1422">
        <v>3800</v>
      </c>
      <c r="AQ1422" t="s">
        <v>131</v>
      </c>
      <c r="AR1422">
        <v>21</v>
      </c>
      <c r="AS1422">
        <v>74</v>
      </c>
      <c r="AT1422">
        <v>320</v>
      </c>
      <c r="BB1422" t="str">
        <f t="shared" si="560"/>
        <v>1200</v>
      </c>
      <c r="BC1422">
        <v>1</v>
      </c>
      <c r="BD1422" t="str">
        <f t="shared" si="561"/>
        <v xml:space="preserve">N52156  </v>
      </c>
      <c r="BE1422">
        <v>1</v>
      </c>
      <c r="BG1422">
        <v>0</v>
      </c>
      <c r="BH1422">
        <v>0</v>
      </c>
      <c r="BI1422">
        <v>0</v>
      </c>
      <c r="BJ1422">
        <v>3825</v>
      </c>
      <c r="BK1422">
        <v>25</v>
      </c>
      <c r="BL1422" t="s">
        <v>188</v>
      </c>
      <c r="BM1422">
        <v>1</v>
      </c>
      <c r="BN1422">
        <v>1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 t="shared" si="565"/>
        <v>15:08:28.724</v>
      </c>
      <c r="CF1422">
        <v>723705596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4</v>
      </c>
      <c r="CY1422">
        <v>7</v>
      </c>
      <c r="CZ1422" t="s">
        <v>133</v>
      </c>
      <c r="DA1422">
        <v>275</v>
      </c>
      <c r="DB1422">
        <v>0</v>
      </c>
      <c r="DC1422" t="s">
        <v>134</v>
      </c>
      <c r="DD1422" t="s">
        <v>135</v>
      </c>
      <c r="DG1422">
        <v>3320321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"05/01/2025 15:08:28.969"</f>
        <v>05/01/2025 15:08:28.969</v>
      </c>
      <c r="C1423" t="str">
        <f t="shared" si="558"/>
        <v>FFDFD3C0</v>
      </c>
      <c r="D1423" t="s">
        <v>145</v>
      </c>
      <c r="E1423" t="str">
        <f>"05"</f>
        <v>05</v>
      </c>
      <c r="H1423">
        <v>47</v>
      </c>
      <c r="I1423" t="s">
        <v>146</v>
      </c>
      <c r="J1423" t="s">
        <v>138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R1423" t="s">
        <v>127</v>
      </c>
      <c r="S1423" t="str">
        <f t="shared" si="564"/>
        <v>15:08:28.000</v>
      </c>
      <c r="T1423" t="str">
        <f t="shared" si="564"/>
        <v>15:08:28.000</v>
      </c>
      <c r="U1423" t="str">
        <f t="shared" si="559"/>
        <v>A68FCB</v>
      </c>
      <c r="V1423">
        <v>0</v>
      </c>
      <c r="W1423">
        <v>0</v>
      </c>
      <c r="X1423">
        <v>2</v>
      </c>
      <c r="Y1423">
        <v>0</v>
      </c>
      <c r="AA1423">
        <v>1</v>
      </c>
      <c r="AB1423">
        <v>8</v>
      </c>
      <c r="AC1423">
        <v>3</v>
      </c>
      <c r="AD1423">
        <v>0</v>
      </c>
      <c r="AE1423">
        <v>9</v>
      </c>
      <c r="AF1423" t="s">
        <v>138</v>
      </c>
      <c r="AG1423">
        <v>0</v>
      </c>
      <c r="AH1423">
        <v>3</v>
      </c>
      <c r="AI1423">
        <v>2</v>
      </c>
      <c r="AJ1423">
        <v>0</v>
      </c>
      <c r="AK1423" t="s">
        <v>537</v>
      </c>
      <c r="AL1423">
        <v>39.014510999999999</v>
      </c>
      <c r="AM1423" t="s">
        <v>505</v>
      </c>
      <c r="AN1423">
        <v>-121.054959</v>
      </c>
      <c r="AO1423">
        <v>25</v>
      </c>
      <c r="AP1423">
        <v>3800</v>
      </c>
      <c r="AQ1423" t="s">
        <v>131</v>
      </c>
      <c r="AR1423">
        <v>21</v>
      </c>
      <c r="AS1423">
        <v>74</v>
      </c>
      <c r="AT1423">
        <v>320</v>
      </c>
      <c r="BB1423" t="str">
        <f t="shared" si="560"/>
        <v>1200</v>
      </c>
      <c r="BC1423">
        <v>1</v>
      </c>
      <c r="BD1423" t="str">
        <f t="shared" si="561"/>
        <v xml:space="preserve">N52156  </v>
      </c>
      <c r="BE1423">
        <v>1</v>
      </c>
      <c r="BG1423">
        <v>0</v>
      </c>
      <c r="BH1423">
        <v>0</v>
      </c>
      <c r="BI1423">
        <v>0</v>
      </c>
      <c r="BJ1423">
        <v>3825</v>
      </c>
      <c r="BK1423">
        <v>25</v>
      </c>
      <c r="BL1423" t="s">
        <v>188</v>
      </c>
      <c r="BM1423">
        <v>1</v>
      </c>
      <c r="BN1423">
        <v>1</v>
      </c>
      <c r="BO1423">
        <v>0</v>
      </c>
      <c r="BP1423">
        <v>0</v>
      </c>
      <c r="BS1423">
        <v>0</v>
      </c>
      <c r="BT1423">
        <v>0</v>
      </c>
      <c r="BU1423">
        <v>0</v>
      </c>
      <c r="CE1423" t="str">
        <f t="shared" si="565"/>
        <v>15:08:28.724</v>
      </c>
      <c r="CF1423">
        <v>723705596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4</v>
      </c>
      <c r="CY1423">
        <v>7</v>
      </c>
      <c r="CZ1423" t="s">
        <v>133</v>
      </c>
      <c r="DA1423">
        <v>275</v>
      </c>
      <c r="DB1423">
        <v>0</v>
      </c>
      <c r="DC1423" t="s">
        <v>134</v>
      </c>
      <c r="DD1423" t="s">
        <v>135</v>
      </c>
      <c r="DG1423">
        <v>3320321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"05/01/2025 15:08:29.418"</f>
        <v>05/01/2025 15:08:29.418</v>
      </c>
      <c r="C1424" t="str">
        <f t="shared" si="558"/>
        <v>FFDFD3C0</v>
      </c>
      <c r="D1424" t="s">
        <v>140</v>
      </c>
      <c r="E1424" t="str">
        <f>"13"</f>
        <v>13</v>
      </c>
      <c r="F1424">
        <v>1019</v>
      </c>
      <c r="G1424" t="s">
        <v>141</v>
      </c>
      <c r="J1424" t="s">
        <v>142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R1424" t="s">
        <v>127</v>
      </c>
      <c r="S1424" t="str">
        <f t="shared" ref="S1424:T1429" si="566">"15:08:29.000"</f>
        <v>15:08:29.000</v>
      </c>
      <c r="T1424" t="str">
        <f t="shared" si="566"/>
        <v>15:08:29.000</v>
      </c>
      <c r="U1424" t="str">
        <f t="shared" si="559"/>
        <v>A68FCB</v>
      </c>
      <c r="V1424">
        <v>0</v>
      </c>
      <c r="W1424">
        <v>0</v>
      </c>
      <c r="X1424">
        <v>2</v>
      </c>
      <c r="Y1424">
        <v>0</v>
      </c>
      <c r="AA1424">
        <v>1</v>
      </c>
      <c r="AB1424">
        <v>8</v>
      </c>
      <c r="AC1424">
        <v>3</v>
      </c>
      <c r="AD1424">
        <v>0</v>
      </c>
      <c r="AE1424">
        <v>9</v>
      </c>
      <c r="AF1424" t="s">
        <v>138</v>
      </c>
      <c r="AG1424">
        <v>0</v>
      </c>
      <c r="AH1424">
        <v>3</v>
      </c>
      <c r="AI1424">
        <v>2</v>
      </c>
      <c r="AJ1424">
        <v>0</v>
      </c>
      <c r="AK1424" t="s">
        <v>538</v>
      </c>
      <c r="AL1424">
        <v>39.014854</v>
      </c>
      <c r="AM1424" t="s">
        <v>539</v>
      </c>
      <c r="AN1424">
        <v>-121.054852</v>
      </c>
      <c r="AO1424">
        <v>25</v>
      </c>
      <c r="AP1424">
        <v>3800</v>
      </c>
      <c r="AQ1424" t="s">
        <v>131</v>
      </c>
      <c r="AR1424">
        <v>21</v>
      </c>
      <c r="AS1424">
        <v>74</v>
      </c>
      <c r="AT1424">
        <v>256</v>
      </c>
      <c r="BB1424" t="str">
        <f t="shared" si="560"/>
        <v>1200</v>
      </c>
      <c r="BC1424">
        <v>1</v>
      </c>
      <c r="BD1424" t="str">
        <f t="shared" si="561"/>
        <v xml:space="preserve">N52156  </v>
      </c>
      <c r="BE1424">
        <v>1</v>
      </c>
      <c r="BG1424">
        <v>0</v>
      </c>
      <c r="BH1424">
        <v>0</v>
      </c>
      <c r="BI1424">
        <v>0</v>
      </c>
      <c r="BJ1424">
        <v>3825</v>
      </c>
      <c r="BK1424">
        <v>25</v>
      </c>
      <c r="BL1424" t="s">
        <v>188</v>
      </c>
      <c r="BM1424">
        <v>1</v>
      </c>
      <c r="BN1424">
        <v>1</v>
      </c>
      <c r="BO1424">
        <v>0</v>
      </c>
      <c r="BP1424">
        <v>0</v>
      </c>
      <c r="BS1424">
        <v>0</v>
      </c>
      <c r="BT1424">
        <v>0</v>
      </c>
      <c r="BU1424">
        <v>0</v>
      </c>
      <c r="CE1424" t="str">
        <f t="shared" ref="CE1424:CE1429" si="567">"15:08:29.204"</f>
        <v>15:08:29.204</v>
      </c>
      <c r="CF1424">
        <v>204454312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5</v>
      </c>
      <c r="CY1424">
        <v>7</v>
      </c>
      <c r="CZ1424" t="s">
        <v>133</v>
      </c>
      <c r="DA1424">
        <v>275</v>
      </c>
      <c r="DB1424">
        <v>0</v>
      </c>
      <c r="DC1424" t="s">
        <v>134</v>
      </c>
      <c r="DD1424" t="s">
        <v>135</v>
      </c>
      <c r="DG1424">
        <v>3320327</v>
      </c>
      <c r="DI1424">
        <v>1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"05/01/2025 15:08:29.420"</f>
        <v>05/01/2025 15:08:29.420</v>
      </c>
      <c r="C1425" t="str">
        <f t="shared" si="558"/>
        <v>FFDFD3C0</v>
      </c>
      <c r="D1425" t="s">
        <v>145</v>
      </c>
      <c r="E1425" t="str">
        <f>"05"</f>
        <v>05</v>
      </c>
      <c r="H1425">
        <v>47</v>
      </c>
      <c r="I1425" t="s">
        <v>146</v>
      </c>
      <c r="J1425" t="s">
        <v>138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R1425" t="s">
        <v>127</v>
      </c>
      <c r="S1425" t="str">
        <f t="shared" si="566"/>
        <v>15:08:29.000</v>
      </c>
      <c r="T1425" t="str">
        <f t="shared" si="566"/>
        <v>15:08:29.000</v>
      </c>
      <c r="U1425" t="str">
        <f t="shared" si="559"/>
        <v>A68FCB</v>
      </c>
      <c r="V1425">
        <v>0</v>
      </c>
      <c r="W1425">
        <v>0</v>
      </c>
      <c r="X1425">
        <v>2</v>
      </c>
      <c r="Y1425">
        <v>0</v>
      </c>
      <c r="AA1425">
        <v>1</v>
      </c>
      <c r="AB1425">
        <v>8</v>
      </c>
      <c r="AC1425">
        <v>3</v>
      </c>
      <c r="AD1425">
        <v>0</v>
      </c>
      <c r="AE1425">
        <v>9</v>
      </c>
      <c r="AF1425" t="s">
        <v>138</v>
      </c>
      <c r="AG1425">
        <v>0</v>
      </c>
      <c r="AH1425">
        <v>3</v>
      </c>
      <c r="AI1425">
        <v>2</v>
      </c>
      <c r="AJ1425">
        <v>0</v>
      </c>
      <c r="AK1425" t="s">
        <v>538</v>
      </c>
      <c r="AL1425">
        <v>39.014854</v>
      </c>
      <c r="AM1425" t="s">
        <v>539</v>
      </c>
      <c r="AN1425">
        <v>-121.054852</v>
      </c>
      <c r="AO1425">
        <v>25</v>
      </c>
      <c r="AP1425">
        <v>3800</v>
      </c>
      <c r="AQ1425" t="s">
        <v>131</v>
      </c>
      <c r="AR1425">
        <v>21</v>
      </c>
      <c r="AS1425">
        <v>74</v>
      </c>
      <c r="AT1425">
        <v>256</v>
      </c>
      <c r="BB1425" t="str">
        <f t="shared" si="560"/>
        <v>1200</v>
      </c>
      <c r="BC1425">
        <v>1</v>
      </c>
      <c r="BD1425" t="str">
        <f t="shared" si="561"/>
        <v xml:space="preserve">N52156  </v>
      </c>
      <c r="BE1425">
        <v>1</v>
      </c>
      <c r="BG1425">
        <v>0</v>
      </c>
      <c r="BH1425">
        <v>0</v>
      </c>
      <c r="BI1425">
        <v>0</v>
      </c>
      <c r="BJ1425">
        <v>3825</v>
      </c>
      <c r="BK1425">
        <v>25</v>
      </c>
      <c r="BL1425" t="s">
        <v>188</v>
      </c>
      <c r="BM1425">
        <v>1</v>
      </c>
      <c r="BN1425">
        <v>1</v>
      </c>
      <c r="BO1425">
        <v>0</v>
      </c>
      <c r="BP1425">
        <v>0</v>
      </c>
      <c r="BS1425">
        <v>0</v>
      </c>
      <c r="BT1425">
        <v>0</v>
      </c>
      <c r="BU1425">
        <v>0</v>
      </c>
      <c r="CE1425" t="str">
        <f t="shared" si="567"/>
        <v>15:08:29.204</v>
      </c>
      <c r="CF1425">
        <v>204454312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5</v>
      </c>
      <c r="CY1425">
        <v>7</v>
      </c>
      <c r="CZ1425" t="s">
        <v>133</v>
      </c>
      <c r="DA1425">
        <v>275</v>
      </c>
      <c r="DB1425">
        <v>0</v>
      </c>
      <c r="DC1425" t="s">
        <v>134</v>
      </c>
      <c r="DD1425" t="s">
        <v>135</v>
      </c>
      <c r="DG1425">
        <v>3320327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"05/01/2025 15:08:29.421"</f>
        <v>05/01/2025 15:08:29.421</v>
      </c>
      <c r="C1426" t="str">
        <f t="shared" si="558"/>
        <v>FFDFD3C0</v>
      </c>
      <c r="D1426" t="s">
        <v>124</v>
      </c>
      <c r="E1426" t="str">
        <f>"06"</f>
        <v>06</v>
      </c>
      <c r="F1426">
        <v>2006</v>
      </c>
      <c r="G1426" t="s">
        <v>125</v>
      </c>
      <c r="J1426" t="s">
        <v>126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R1426" t="s">
        <v>127</v>
      </c>
      <c r="S1426" t="str">
        <f t="shared" si="566"/>
        <v>15:08:29.000</v>
      </c>
      <c r="T1426" t="str">
        <f t="shared" si="566"/>
        <v>15:08:29.000</v>
      </c>
      <c r="U1426" t="str">
        <f t="shared" si="559"/>
        <v>A68FCB</v>
      </c>
      <c r="V1426">
        <v>0</v>
      </c>
      <c r="W1426">
        <v>0</v>
      </c>
      <c r="X1426">
        <v>2</v>
      </c>
      <c r="Y1426">
        <v>0</v>
      </c>
      <c r="AA1426">
        <v>1</v>
      </c>
      <c r="AB1426">
        <v>8</v>
      </c>
      <c r="AC1426">
        <v>3</v>
      </c>
      <c r="AD1426">
        <v>0</v>
      </c>
      <c r="AE1426">
        <v>9</v>
      </c>
      <c r="AF1426" t="s">
        <v>138</v>
      </c>
      <c r="AG1426">
        <v>0</v>
      </c>
      <c r="AH1426">
        <v>3</v>
      </c>
      <c r="AI1426">
        <v>2</v>
      </c>
      <c r="AJ1426">
        <v>0</v>
      </c>
      <c r="AK1426" t="s">
        <v>538</v>
      </c>
      <c r="AL1426">
        <v>39.014854</v>
      </c>
      <c r="AM1426" t="s">
        <v>539</v>
      </c>
      <c r="AN1426">
        <v>-121.054852</v>
      </c>
      <c r="AO1426">
        <v>25</v>
      </c>
      <c r="AP1426">
        <v>3800</v>
      </c>
      <c r="AQ1426" t="s">
        <v>131</v>
      </c>
      <c r="AR1426">
        <v>21</v>
      </c>
      <c r="AS1426">
        <v>74</v>
      </c>
      <c r="AT1426">
        <v>256</v>
      </c>
      <c r="BB1426" t="str">
        <f t="shared" si="560"/>
        <v>1200</v>
      </c>
      <c r="BC1426">
        <v>1</v>
      </c>
      <c r="BD1426" t="str">
        <f t="shared" si="561"/>
        <v xml:space="preserve">N52156  </v>
      </c>
      <c r="BE1426">
        <v>1</v>
      </c>
      <c r="BG1426">
        <v>0</v>
      </c>
      <c r="BH1426">
        <v>0</v>
      </c>
      <c r="BI1426">
        <v>0</v>
      </c>
      <c r="BJ1426">
        <v>3825</v>
      </c>
      <c r="BK1426">
        <v>25</v>
      </c>
      <c r="BL1426" t="s">
        <v>188</v>
      </c>
      <c r="BM1426">
        <v>1</v>
      </c>
      <c r="BN1426">
        <v>1</v>
      </c>
      <c r="BO1426">
        <v>0</v>
      </c>
      <c r="BP1426">
        <v>0</v>
      </c>
      <c r="BS1426">
        <v>0</v>
      </c>
      <c r="BT1426">
        <v>0</v>
      </c>
      <c r="BU1426">
        <v>0</v>
      </c>
      <c r="CE1426" t="str">
        <f t="shared" si="567"/>
        <v>15:08:29.204</v>
      </c>
      <c r="CF1426">
        <v>204454312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5</v>
      </c>
      <c r="CY1426">
        <v>7</v>
      </c>
      <c r="CZ1426" t="s">
        <v>133</v>
      </c>
      <c r="DA1426">
        <v>275</v>
      </c>
      <c r="DB1426">
        <v>0</v>
      </c>
      <c r="DC1426" t="s">
        <v>134</v>
      </c>
      <c r="DD1426" t="s">
        <v>135</v>
      </c>
      <c r="DG1426">
        <v>3320327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"05/01/2025 15:08:29.424"</f>
        <v>05/01/2025 15:08:29.424</v>
      </c>
      <c r="C1427" t="str">
        <f t="shared" si="558"/>
        <v>FFDFD3C0</v>
      </c>
      <c r="D1427" t="s">
        <v>145</v>
      </c>
      <c r="E1427" t="str">
        <f>"09"</f>
        <v>09</v>
      </c>
      <c r="H1427">
        <v>51</v>
      </c>
      <c r="I1427" t="s">
        <v>147</v>
      </c>
      <c r="J1427" t="s">
        <v>138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R1427" t="s">
        <v>127</v>
      </c>
      <c r="S1427" t="str">
        <f t="shared" si="566"/>
        <v>15:08:29.000</v>
      </c>
      <c r="T1427" t="str">
        <f t="shared" si="566"/>
        <v>15:08:29.000</v>
      </c>
      <c r="U1427" t="str">
        <f t="shared" si="559"/>
        <v>A68FCB</v>
      </c>
      <c r="V1427">
        <v>0</v>
      </c>
      <c r="W1427">
        <v>0</v>
      </c>
      <c r="X1427">
        <v>2</v>
      </c>
      <c r="Y1427">
        <v>0</v>
      </c>
      <c r="AA1427">
        <v>1</v>
      </c>
      <c r="AB1427">
        <v>8</v>
      </c>
      <c r="AC1427">
        <v>3</v>
      </c>
      <c r="AD1427">
        <v>0</v>
      </c>
      <c r="AE1427">
        <v>9</v>
      </c>
      <c r="AF1427" t="s">
        <v>138</v>
      </c>
      <c r="AG1427">
        <v>0</v>
      </c>
      <c r="AH1427">
        <v>3</v>
      </c>
      <c r="AI1427">
        <v>2</v>
      </c>
      <c r="AJ1427">
        <v>0</v>
      </c>
      <c r="AK1427" t="s">
        <v>538</v>
      </c>
      <c r="AL1427">
        <v>39.014854</v>
      </c>
      <c r="AM1427" t="s">
        <v>539</v>
      </c>
      <c r="AN1427">
        <v>-121.054852</v>
      </c>
      <c r="AO1427">
        <v>25</v>
      </c>
      <c r="AP1427">
        <v>3800</v>
      </c>
      <c r="AQ1427" t="s">
        <v>131</v>
      </c>
      <c r="AR1427">
        <v>21</v>
      </c>
      <c r="AS1427">
        <v>74</v>
      </c>
      <c r="AT1427">
        <v>256</v>
      </c>
      <c r="BB1427" t="str">
        <f t="shared" si="560"/>
        <v>1200</v>
      </c>
      <c r="BC1427">
        <v>1</v>
      </c>
      <c r="BD1427" t="str">
        <f t="shared" si="561"/>
        <v xml:space="preserve">N52156  </v>
      </c>
      <c r="BE1427">
        <v>1</v>
      </c>
      <c r="BG1427">
        <v>0</v>
      </c>
      <c r="BH1427">
        <v>0</v>
      </c>
      <c r="BI1427">
        <v>0</v>
      </c>
      <c r="BJ1427">
        <v>3825</v>
      </c>
      <c r="BK1427">
        <v>25</v>
      </c>
      <c r="BL1427" t="s">
        <v>188</v>
      </c>
      <c r="BM1427">
        <v>1</v>
      </c>
      <c r="BN1427">
        <v>1</v>
      </c>
      <c r="BO1427">
        <v>0</v>
      </c>
      <c r="BP1427">
        <v>0</v>
      </c>
      <c r="BS1427">
        <v>0</v>
      </c>
      <c r="BT1427">
        <v>0</v>
      </c>
      <c r="BU1427">
        <v>0</v>
      </c>
      <c r="CE1427" t="str">
        <f t="shared" si="567"/>
        <v>15:08:29.204</v>
      </c>
      <c r="CF1427">
        <v>204454312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5</v>
      </c>
      <c r="CY1427">
        <v>7</v>
      </c>
      <c r="CZ1427" t="s">
        <v>133</v>
      </c>
      <c r="DA1427">
        <v>275</v>
      </c>
      <c r="DB1427">
        <v>0</v>
      </c>
      <c r="DC1427" t="s">
        <v>134</v>
      </c>
      <c r="DD1427" t="s">
        <v>135</v>
      </c>
      <c r="DG1427">
        <v>3320327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"05/01/2025 15:08:29.425"</f>
        <v>05/01/2025 15:08:29.425</v>
      </c>
      <c r="C1428" t="str">
        <f t="shared" si="558"/>
        <v>FFDFD3C0</v>
      </c>
      <c r="D1428" t="s">
        <v>143</v>
      </c>
      <c r="E1428" t="str">
        <f>"05"</f>
        <v>05</v>
      </c>
      <c r="H1428">
        <v>172</v>
      </c>
      <c r="I1428" t="s">
        <v>141</v>
      </c>
      <c r="J1428" t="s">
        <v>144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R1428" t="s">
        <v>127</v>
      </c>
      <c r="S1428" t="str">
        <f t="shared" si="566"/>
        <v>15:08:29.000</v>
      </c>
      <c r="T1428" t="str">
        <f t="shared" si="566"/>
        <v>15:08:29.000</v>
      </c>
      <c r="U1428" t="str">
        <f t="shared" si="559"/>
        <v>A68FCB</v>
      </c>
      <c r="V1428">
        <v>0</v>
      </c>
      <c r="W1428">
        <v>0</v>
      </c>
      <c r="X1428">
        <v>2</v>
      </c>
      <c r="Y1428">
        <v>0</v>
      </c>
      <c r="AA1428">
        <v>1</v>
      </c>
      <c r="AB1428">
        <v>8</v>
      </c>
      <c r="AC1428">
        <v>3</v>
      </c>
      <c r="AD1428">
        <v>0</v>
      </c>
      <c r="AE1428">
        <v>9</v>
      </c>
      <c r="AF1428" t="s">
        <v>138</v>
      </c>
      <c r="AG1428">
        <v>0</v>
      </c>
      <c r="AH1428">
        <v>3</v>
      </c>
      <c r="AI1428">
        <v>2</v>
      </c>
      <c r="AJ1428">
        <v>0</v>
      </c>
      <c r="AK1428" t="s">
        <v>538</v>
      </c>
      <c r="AL1428">
        <v>39.014854</v>
      </c>
      <c r="AM1428" t="s">
        <v>539</v>
      </c>
      <c r="AN1428">
        <v>-121.054852</v>
      </c>
      <c r="AO1428">
        <v>25</v>
      </c>
      <c r="AP1428">
        <v>3800</v>
      </c>
      <c r="AQ1428" t="s">
        <v>131</v>
      </c>
      <c r="AR1428">
        <v>21</v>
      </c>
      <c r="AS1428">
        <v>74</v>
      </c>
      <c r="AT1428">
        <v>256</v>
      </c>
      <c r="BB1428" t="str">
        <f t="shared" si="560"/>
        <v>1200</v>
      </c>
      <c r="BC1428">
        <v>1</v>
      </c>
      <c r="BD1428" t="str">
        <f t="shared" si="561"/>
        <v xml:space="preserve">N52156  </v>
      </c>
      <c r="BE1428">
        <v>1</v>
      </c>
      <c r="BG1428">
        <v>0</v>
      </c>
      <c r="BH1428">
        <v>0</v>
      </c>
      <c r="BI1428">
        <v>0</v>
      </c>
      <c r="BJ1428">
        <v>3825</v>
      </c>
      <c r="BK1428">
        <v>25</v>
      </c>
      <c r="BL1428" t="s">
        <v>188</v>
      </c>
      <c r="BM1428">
        <v>1</v>
      </c>
      <c r="BN1428">
        <v>1</v>
      </c>
      <c r="BO1428">
        <v>0</v>
      </c>
      <c r="BP1428">
        <v>0</v>
      </c>
      <c r="BS1428">
        <v>0</v>
      </c>
      <c r="BT1428">
        <v>0</v>
      </c>
      <c r="BU1428">
        <v>0</v>
      </c>
      <c r="CE1428" t="str">
        <f t="shared" si="567"/>
        <v>15:08:29.204</v>
      </c>
      <c r="CF1428">
        <v>204454312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5</v>
      </c>
      <c r="CY1428">
        <v>7</v>
      </c>
      <c r="CZ1428" t="s">
        <v>133</v>
      </c>
      <c r="DA1428">
        <v>275</v>
      </c>
      <c r="DB1428">
        <v>0</v>
      </c>
      <c r="DC1428" t="s">
        <v>134</v>
      </c>
      <c r="DD1428" t="s">
        <v>135</v>
      </c>
      <c r="DG1428">
        <v>3320327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"05/01/2025 15:08:29.434"</f>
        <v>05/01/2025 15:08:29.434</v>
      </c>
      <c r="C1429" t="str">
        <f t="shared" si="558"/>
        <v>FFDFD3C0</v>
      </c>
      <c r="D1429" t="s">
        <v>136</v>
      </c>
      <c r="E1429" t="str">
        <f>"20"</f>
        <v>20</v>
      </c>
      <c r="H1429">
        <v>400</v>
      </c>
      <c r="I1429" t="s">
        <v>137</v>
      </c>
      <c r="J1429" t="s">
        <v>138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R1429" t="s">
        <v>127</v>
      </c>
      <c r="S1429" t="str">
        <f t="shared" si="566"/>
        <v>15:08:29.000</v>
      </c>
      <c r="T1429" t="str">
        <f t="shared" si="566"/>
        <v>15:08:29.000</v>
      </c>
      <c r="U1429" t="str">
        <f t="shared" si="559"/>
        <v>A68FCB</v>
      </c>
      <c r="V1429">
        <v>0</v>
      </c>
      <c r="W1429">
        <v>0</v>
      </c>
      <c r="X1429">
        <v>2</v>
      </c>
      <c r="Y1429">
        <v>0</v>
      </c>
      <c r="AA1429">
        <v>1</v>
      </c>
      <c r="AB1429">
        <v>8</v>
      </c>
      <c r="AC1429">
        <v>3</v>
      </c>
      <c r="AD1429">
        <v>0</v>
      </c>
      <c r="AE1429">
        <v>9</v>
      </c>
      <c r="AF1429" t="s">
        <v>138</v>
      </c>
      <c r="AG1429">
        <v>0</v>
      </c>
      <c r="AH1429">
        <v>3</v>
      </c>
      <c r="AI1429">
        <v>2</v>
      </c>
      <c r="AJ1429">
        <v>0</v>
      </c>
      <c r="AK1429" t="s">
        <v>538</v>
      </c>
      <c r="AL1429">
        <v>39.014854</v>
      </c>
      <c r="AM1429" t="s">
        <v>539</v>
      </c>
      <c r="AN1429">
        <v>-121.054852</v>
      </c>
      <c r="AO1429">
        <v>25</v>
      </c>
      <c r="AP1429">
        <v>3800</v>
      </c>
      <c r="AQ1429" t="s">
        <v>131</v>
      </c>
      <c r="AR1429">
        <v>21</v>
      </c>
      <c r="AS1429">
        <v>74</v>
      </c>
      <c r="AT1429">
        <v>256</v>
      </c>
      <c r="BB1429" t="str">
        <f t="shared" si="560"/>
        <v>1200</v>
      </c>
      <c r="BC1429">
        <v>1</v>
      </c>
      <c r="BD1429" t="str">
        <f t="shared" si="561"/>
        <v xml:space="preserve">N52156  </v>
      </c>
      <c r="BE1429">
        <v>1</v>
      </c>
      <c r="BG1429">
        <v>0</v>
      </c>
      <c r="BH1429">
        <v>0</v>
      </c>
      <c r="BI1429">
        <v>0</v>
      </c>
      <c r="BJ1429">
        <v>3825</v>
      </c>
      <c r="BK1429">
        <v>25</v>
      </c>
      <c r="BL1429" t="s">
        <v>188</v>
      </c>
      <c r="BM1429">
        <v>1</v>
      </c>
      <c r="BN1429">
        <v>1</v>
      </c>
      <c r="BO1429">
        <v>0</v>
      </c>
      <c r="BP1429">
        <v>0</v>
      </c>
      <c r="BS1429">
        <v>0</v>
      </c>
      <c r="BT1429">
        <v>0</v>
      </c>
      <c r="BU1429">
        <v>0</v>
      </c>
      <c r="CE1429" t="str">
        <f t="shared" si="567"/>
        <v>15:08:29.204</v>
      </c>
      <c r="CF1429">
        <v>204454312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133</v>
      </c>
      <c r="DA1429">
        <v>275</v>
      </c>
      <c r="DB1429">
        <v>0</v>
      </c>
      <c r="DC1429" t="s">
        <v>134</v>
      </c>
      <c r="DD1429" t="s">
        <v>135</v>
      </c>
      <c r="DG1429">
        <v>3320327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"05/01/2025 15:08:30.771"</f>
        <v>05/01/2025 15:08:30.771</v>
      </c>
      <c r="C1430" t="str">
        <f t="shared" si="558"/>
        <v>FFDFD3C0</v>
      </c>
      <c r="D1430" t="s">
        <v>140</v>
      </c>
      <c r="E1430" t="str">
        <f>"13"</f>
        <v>13</v>
      </c>
      <c r="F1430">
        <v>1019</v>
      </c>
      <c r="G1430" t="s">
        <v>141</v>
      </c>
      <c r="J1430" t="s">
        <v>142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R1430" t="s">
        <v>127</v>
      </c>
      <c r="S1430" t="str">
        <f t="shared" ref="S1430:T1435" si="568">"15:08:30.000"</f>
        <v>15:08:30.000</v>
      </c>
      <c r="T1430" t="str">
        <f t="shared" si="568"/>
        <v>15:08:30.000</v>
      </c>
      <c r="U1430" t="str">
        <f t="shared" si="559"/>
        <v>A68FCB</v>
      </c>
      <c r="V1430">
        <v>0</v>
      </c>
      <c r="W1430">
        <v>0</v>
      </c>
      <c r="X1430">
        <v>2</v>
      </c>
      <c r="Y1430">
        <v>0</v>
      </c>
      <c r="AA1430">
        <v>1</v>
      </c>
      <c r="AB1430">
        <v>8</v>
      </c>
      <c r="AC1430">
        <v>3</v>
      </c>
      <c r="AD1430">
        <v>0</v>
      </c>
      <c r="AE1430">
        <v>9</v>
      </c>
      <c r="AF1430" t="s">
        <v>138</v>
      </c>
      <c r="AG1430">
        <v>0</v>
      </c>
      <c r="AH1430">
        <v>3</v>
      </c>
      <c r="AI1430">
        <v>2</v>
      </c>
      <c r="AJ1430">
        <v>0</v>
      </c>
      <c r="AK1430" t="s">
        <v>540</v>
      </c>
      <c r="AL1430">
        <v>39.015219000000002</v>
      </c>
      <c r="AM1430" t="s">
        <v>499</v>
      </c>
      <c r="AN1430">
        <v>-121.054723</v>
      </c>
      <c r="AO1430">
        <v>25</v>
      </c>
      <c r="AP1430">
        <v>3800</v>
      </c>
      <c r="AQ1430" t="s">
        <v>131</v>
      </c>
      <c r="AR1430">
        <v>24</v>
      </c>
      <c r="AS1430">
        <v>73</v>
      </c>
      <c r="AT1430">
        <v>192</v>
      </c>
      <c r="BB1430" t="str">
        <f t="shared" si="560"/>
        <v>1200</v>
      </c>
      <c r="BC1430">
        <v>1</v>
      </c>
      <c r="BD1430" t="str">
        <f t="shared" si="561"/>
        <v xml:space="preserve">N52156  </v>
      </c>
      <c r="BE1430">
        <v>1</v>
      </c>
      <c r="BG1430">
        <v>0</v>
      </c>
      <c r="BH1430">
        <v>0</v>
      </c>
      <c r="BI1430">
        <v>0</v>
      </c>
      <c r="BJ1430">
        <v>3825</v>
      </c>
      <c r="BK1430">
        <v>25</v>
      </c>
      <c r="BL1430" t="s">
        <v>188</v>
      </c>
      <c r="BM1430">
        <v>1</v>
      </c>
      <c r="BN1430">
        <v>1</v>
      </c>
      <c r="BO1430">
        <v>0</v>
      </c>
      <c r="BP1430">
        <v>0</v>
      </c>
      <c r="BS1430">
        <v>0</v>
      </c>
      <c r="BT1430">
        <v>0</v>
      </c>
      <c r="BU1430">
        <v>0</v>
      </c>
      <c r="CE1430" t="str">
        <f t="shared" ref="CE1430:CE1435" si="569">"15:08:30.533"</f>
        <v>15:08:30.533</v>
      </c>
      <c r="CF1430">
        <v>532705448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5</v>
      </c>
      <c r="CY1430">
        <v>7</v>
      </c>
      <c r="CZ1430" t="s">
        <v>133</v>
      </c>
      <c r="DA1430">
        <v>275</v>
      </c>
      <c r="DB1430">
        <v>0</v>
      </c>
      <c r="DC1430" t="s">
        <v>134</v>
      </c>
      <c r="DD1430" t="s">
        <v>135</v>
      </c>
      <c r="DG1430">
        <v>3320338</v>
      </c>
      <c r="DI1430">
        <v>1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"05/01/2025 15:08:30.773"</f>
        <v>05/01/2025 15:08:30.773</v>
      </c>
      <c r="C1431" t="str">
        <f t="shared" si="558"/>
        <v>FFDFD3C0</v>
      </c>
      <c r="D1431" t="s">
        <v>145</v>
      </c>
      <c r="E1431" t="str">
        <f>"05"</f>
        <v>05</v>
      </c>
      <c r="H1431">
        <v>47</v>
      </c>
      <c r="I1431" t="s">
        <v>146</v>
      </c>
      <c r="J1431" t="s">
        <v>138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R1431" t="s">
        <v>127</v>
      </c>
      <c r="S1431" t="str">
        <f t="shared" si="568"/>
        <v>15:08:30.000</v>
      </c>
      <c r="T1431" t="str">
        <f t="shared" si="568"/>
        <v>15:08:30.000</v>
      </c>
      <c r="U1431" t="str">
        <f t="shared" si="559"/>
        <v>A68FCB</v>
      </c>
      <c r="V1431">
        <v>0</v>
      </c>
      <c r="W1431">
        <v>0</v>
      </c>
      <c r="X1431">
        <v>2</v>
      </c>
      <c r="Y1431">
        <v>0</v>
      </c>
      <c r="AA1431">
        <v>1</v>
      </c>
      <c r="AB1431">
        <v>8</v>
      </c>
      <c r="AC1431">
        <v>3</v>
      </c>
      <c r="AD1431">
        <v>0</v>
      </c>
      <c r="AE1431">
        <v>9</v>
      </c>
      <c r="AF1431" t="s">
        <v>138</v>
      </c>
      <c r="AG1431">
        <v>0</v>
      </c>
      <c r="AH1431">
        <v>3</v>
      </c>
      <c r="AI1431">
        <v>2</v>
      </c>
      <c r="AJ1431">
        <v>0</v>
      </c>
      <c r="AK1431" t="s">
        <v>540</v>
      </c>
      <c r="AL1431">
        <v>39.015219000000002</v>
      </c>
      <c r="AM1431" t="s">
        <v>499</v>
      </c>
      <c r="AN1431">
        <v>-121.054723</v>
      </c>
      <c r="AO1431">
        <v>25</v>
      </c>
      <c r="AP1431">
        <v>3800</v>
      </c>
      <c r="AQ1431" t="s">
        <v>131</v>
      </c>
      <c r="AR1431">
        <v>24</v>
      </c>
      <c r="AS1431">
        <v>73</v>
      </c>
      <c r="AT1431">
        <v>192</v>
      </c>
      <c r="BB1431" t="str">
        <f t="shared" si="560"/>
        <v>1200</v>
      </c>
      <c r="BC1431">
        <v>1</v>
      </c>
      <c r="BD1431" t="str">
        <f t="shared" si="561"/>
        <v xml:space="preserve">N52156  </v>
      </c>
      <c r="BE1431">
        <v>1</v>
      </c>
      <c r="BG1431">
        <v>0</v>
      </c>
      <c r="BH1431">
        <v>0</v>
      </c>
      <c r="BI1431">
        <v>0</v>
      </c>
      <c r="BJ1431">
        <v>3825</v>
      </c>
      <c r="BK1431">
        <v>25</v>
      </c>
      <c r="BL1431" t="s">
        <v>188</v>
      </c>
      <c r="BM1431">
        <v>1</v>
      </c>
      <c r="BN1431">
        <v>1</v>
      </c>
      <c r="BO1431">
        <v>0</v>
      </c>
      <c r="BP1431">
        <v>0</v>
      </c>
      <c r="BS1431">
        <v>0</v>
      </c>
      <c r="BT1431">
        <v>0</v>
      </c>
      <c r="BU1431">
        <v>0</v>
      </c>
      <c r="CE1431" t="str">
        <f t="shared" si="569"/>
        <v>15:08:30.533</v>
      </c>
      <c r="CF1431">
        <v>532705448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5</v>
      </c>
      <c r="CY1431">
        <v>7</v>
      </c>
      <c r="CZ1431" t="s">
        <v>133</v>
      </c>
      <c r="DA1431">
        <v>275</v>
      </c>
      <c r="DB1431">
        <v>0</v>
      </c>
      <c r="DC1431" t="s">
        <v>134</v>
      </c>
      <c r="DD1431" t="s">
        <v>135</v>
      </c>
      <c r="DG1431">
        <v>3320338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"05/01/2025 15:08:30.774"</f>
        <v>05/01/2025 15:08:30.774</v>
      </c>
      <c r="C1432" t="str">
        <f t="shared" si="558"/>
        <v>FFDFD3C0</v>
      </c>
      <c r="D1432" t="s">
        <v>124</v>
      </c>
      <c r="E1432" t="str">
        <f>"06"</f>
        <v>06</v>
      </c>
      <c r="F1432">
        <v>2006</v>
      </c>
      <c r="G1432" t="s">
        <v>125</v>
      </c>
      <c r="J1432" t="s">
        <v>126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R1432" t="s">
        <v>127</v>
      </c>
      <c r="S1432" t="str">
        <f t="shared" si="568"/>
        <v>15:08:30.000</v>
      </c>
      <c r="T1432" t="str">
        <f t="shared" si="568"/>
        <v>15:08:30.000</v>
      </c>
      <c r="U1432" t="str">
        <f t="shared" si="559"/>
        <v>A68FCB</v>
      </c>
      <c r="V1432">
        <v>0</v>
      </c>
      <c r="W1432">
        <v>0</v>
      </c>
      <c r="X1432">
        <v>2</v>
      </c>
      <c r="Y1432">
        <v>0</v>
      </c>
      <c r="AA1432">
        <v>1</v>
      </c>
      <c r="AB1432">
        <v>8</v>
      </c>
      <c r="AC1432">
        <v>3</v>
      </c>
      <c r="AD1432">
        <v>0</v>
      </c>
      <c r="AE1432">
        <v>9</v>
      </c>
      <c r="AF1432" t="s">
        <v>138</v>
      </c>
      <c r="AG1432">
        <v>0</v>
      </c>
      <c r="AH1432">
        <v>3</v>
      </c>
      <c r="AI1432">
        <v>2</v>
      </c>
      <c r="AJ1432">
        <v>0</v>
      </c>
      <c r="AK1432" t="s">
        <v>540</v>
      </c>
      <c r="AL1432">
        <v>39.015219000000002</v>
      </c>
      <c r="AM1432" t="s">
        <v>499</v>
      </c>
      <c r="AN1432">
        <v>-121.054723</v>
      </c>
      <c r="AO1432">
        <v>25</v>
      </c>
      <c r="AP1432">
        <v>3800</v>
      </c>
      <c r="AQ1432" t="s">
        <v>131</v>
      </c>
      <c r="AR1432">
        <v>24</v>
      </c>
      <c r="AS1432">
        <v>73</v>
      </c>
      <c r="AT1432">
        <v>192</v>
      </c>
      <c r="BB1432" t="str">
        <f t="shared" si="560"/>
        <v>1200</v>
      </c>
      <c r="BC1432">
        <v>1</v>
      </c>
      <c r="BD1432" t="str">
        <f t="shared" si="561"/>
        <v xml:space="preserve">N52156  </v>
      </c>
      <c r="BE1432">
        <v>1</v>
      </c>
      <c r="BG1432">
        <v>0</v>
      </c>
      <c r="BH1432">
        <v>0</v>
      </c>
      <c r="BI1432">
        <v>0</v>
      </c>
      <c r="BJ1432">
        <v>3825</v>
      </c>
      <c r="BK1432">
        <v>25</v>
      </c>
      <c r="BL1432" t="s">
        <v>188</v>
      </c>
      <c r="BM1432">
        <v>1</v>
      </c>
      <c r="BN1432">
        <v>1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 t="shared" si="569"/>
        <v>15:08:30.533</v>
      </c>
      <c r="CF1432">
        <v>532705448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5</v>
      </c>
      <c r="CY1432">
        <v>7</v>
      </c>
      <c r="CZ1432" t="s">
        <v>133</v>
      </c>
      <c r="DA1432">
        <v>275</v>
      </c>
      <c r="DB1432">
        <v>0</v>
      </c>
      <c r="DC1432" t="s">
        <v>134</v>
      </c>
      <c r="DD1432" t="s">
        <v>135</v>
      </c>
      <c r="DG1432">
        <v>3320338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"05/01/2025 15:08:30.778"</f>
        <v>05/01/2025 15:08:30.778</v>
      </c>
      <c r="C1433" t="str">
        <f t="shared" si="558"/>
        <v>FFDFD3C0</v>
      </c>
      <c r="D1433" t="s">
        <v>143</v>
      </c>
      <c r="E1433" t="str">
        <f>"05"</f>
        <v>05</v>
      </c>
      <c r="H1433">
        <v>172</v>
      </c>
      <c r="I1433" t="s">
        <v>141</v>
      </c>
      <c r="J1433" t="s">
        <v>144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R1433" t="s">
        <v>127</v>
      </c>
      <c r="S1433" t="str">
        <f t="shared" si="568"/>
        <v>15:08:30.000</v>
      </c>
      <c r="T1433" t="str">
        <f t="shared" si="568"/>
        <v>15:08:30.000</v>
      </c>
      <c r="U1433" t="str">
        <f t="shared" si="559"/>
        <v>A68FCB</v>
      </c>
      <c r="V1433">
        <v>0</v>
      </c>
      <c r="W1433">
        <v>0</v>
      </c>
      <c r="X1433">
        <v>2</v>
      </c>
      <c r="Y1433">
        <v>0</v>
      </c>
      <c r="AA1433">
        <v>1</v>
      </c>
      <c r="AB1433">
        <v>8</v>
      </c>
      <c r="AC1433">
        <v>3</v>
      </c>
      <c r="AD1433">
        <v>0</v>
      </c>
      <c r="AE1433">
        <v>9</v>
      </c>
      <c r="AF1433" t="s">
        <v>138</v>
      </c>
      <c r="AG1433">
        <v>0</v>
      </c>
      <c r="AH1433">
        <v>3</v>
      </c>
      <c r="AI1433">
        <v>2</v>
      </c>
      <c r="AJ1433">
        <v>0</v>
      </c>
      <c r="AK1433" t="s">
        <v>540</v>
      </c>
      <c r="AL1433">
        <v>39.015219000000002</v>
      </c>
      <c r="AM1433" t="s">
        <v>499</v>
      </c>
      <c r="AN1433">
        <v>-121.054723</v>
      </c>
      <c r="AO1433">
        <v>25</v>
      </c>
      <c r="AP1433">
        <v>3800</v>
      </c>
      <c r="AQ1433" t="s">
        <v>131</v>
      </c>
      <c r="AR1433">
        <v>24</v>
      </c>
      <c r="AS1433">
        <v>73</v>
      </c>
      <c r="AT1433">
        <v>192</v>
      </c>
      <c r="BB1433" t="str">
        <f t="shared" si="560"/>
        <v>1200</v>
      </c>
      <c r="BC1433">
        <v>1</v>
      </c>
      <c r="BD1433" t="str">
        <f t="shared" si="561"/>
        <v xml:space="preserve">N52156  </v>
      </c>
      <c r="BE1433">
        <v>1</v>
      </c>
      <c r="BG1433">
        <v>0</v>
      </c>
      <c r="BH1433">
        <v>0</v>
      </c>
      <c r="BI1433">
        <v>0</v>
      </c>
      <c r="BJ1433">
        <v>3825</v>
      </c>
      <c r="BK1433">
        <v>25</v>
      </c>
      <c r="BL1433" t="s">
        <v>188</v>
      </c>
      <c r="BM1433">
        <v>1</v>
      </c>
      <c r="BN1433">
        <v>1</v>
      </c>
      <c r="BO1433">
        <v>0</v>
      </c>
      <c r="BP1433">
        <v>0</v>
      </c>
      <c r="BS1433">
        <v>0</v>
      </c>
      <c r="BT1433">
        <v>0</v>
      </c>
      <c r="BU1433">
        <v>0</v>
      </c>
      <c r="CE1433" t="str">
        <f t="shared" si="569"/>
        <v>15:08:30.533</v>
      </c>
      <c r="CF1433">
        <v>532705448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5</v>
      </c>
      <c r="CY1433">
        <v>7</v>
      </c>
      <c r="CZ1433" t="s">
        <v>133</v>
      </c>
      <c r="DA1433">
        <v>275</v>
      </c>
      <c r="DB1433">
        <v>0</v>
      </c>
      <c r="DC1433" t="s">
        <v>134</v>
      </c>
      <c r="DD1433" t="s">
        <v>135</v>
      </c>
      <c r="DG1433">
        <v>3320338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"05/01/2025 15:08:30.777"</f>
        <v>05/01/2025 15:08:30.777</v>
      </c>
      <c r="C1434" t="str">
        <f t="shared" si="558"/>
        <v>FFDFD3C0</v>
      </c>
      <c r="D1434" t="s">
        <v>145</v>
      </c>
      <c r="E1434" t="str">
        <f>"09"</f>
        <v>09</v>
      </c>
      <c r="H1434">
        <v>51</v>
      </c>
      <c r="I1434" t="s">
        <v>147</v>
      </c>
      <c r="J1434" t="s">
        <v>138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R1434" t="s">
        <v>127</v>
      </c>
      <c r="S1434" t="str">
        <f t="shared" si="568"/>
        <v>15:08:30.000</v>
      </c>
      <c r="T1434" t="str">
        <f t="shared" si="568"/>
        <v>15:08:30.000</v>
      </c>
      <c r="U1434" t="str">
        <f t="shared" si="559"/>
        <v>A68FCB</v>
      </c>
      <c r="V1434">
        <v>0</v>
      </c>
      <c r="W1434">
        <v>0</v>
      </c>
      <c r="X1434">
        <v>2</v>
      </c>
      <c r="Y1434">
        <v>0</v>
      </c>
      <c r="AA1434">
        <v>1</v>
      </c>
      <c r="AB1434">
        <v>8</v>
      </c>
      <c r="AC1434">
        <v>3</v>
      </c>
      <c r="AD1434">
        <v>0</v>
      </c>
      <c r="AE1434">
        <v>9</v>
      </c>
      <c r="AF1434" t="s">
        <v>138</v>
      </c>
      <c r="AG1434">
        <v>0</v>
      </c>
      <c r="AH1434">
        <v>3</v>
      </c>
      <c r="AI1434">
        <v>2</v>
      </c>
      <c r="AJ1434">
        <v>0</v>
      </c>
      <c r="AK1434" t="s">
        <v>540</v>
      </c>
      <c r="AL1434">
        <v>39.015219000000002</v>
      </c>
      <c r="AM1434" t="s">
        <v>499</v>
      </c>
      <c r="AN1434">
        <v>-121.054723</v>
      </c>
      <c r="AO1434">
        <v>25</v>
      </c>
      <c r="AP1434">
        <v>3800</v>
      </c>
      <c r="AQ1434" t="s">
        <v>131</v>
      </c>
      <c r="AR1434">
        <v>24</v>
      </c>
      <c r="AS1434">
        <v>73</v>
      </c>
      <c r="AT1434">
        <v>192</v>
      </c>
      <c r="BB1434" t="str">
        <f t="shared" si="560"/>
        <v>1200</v>
      </c>
      <c r="BC1434">
        <v>1</v>
      </c>
      <c r="BD1434" t="str">
        <f t="shared" si="561"/>
        <v xml:space="preserve">N52156  </v>
      </c>
      <c r="BE1434">
        <v>1</v>
      </c>
      <c r="BG1434">
        <v>0</v>
      </c>
      <c r="BH1434">
        <v>0</v>
      </c>
      <c r="BI1434">
        <v>0</v>
      </c>
      <c r="BJ1434">
        <v>3825</v>
      </c>
      <c r="BK1434">
        <v>25</v>
      </c>
      <c r="BL1434" t="s">
        <v>188</v>
      </c>
      <c r="BM1434">
        <v>1</v>
      </c>
      <c r="BN1434">
        <v>1</v>
      </c>
      <c r="BO1434">
        <v>0</v>
      </c>
      <c r="BP1434">
        <v>0</v>
      </c>
      <c r="BS1434">
        <v>0</v>
      </c>
      <c r="BT1434">
        <v>0</v>
      </c>
      <c r="BU1434">
        <v>0</v>
      </c>
      <c r="CE1434" t="str">
        <f t="shared" si="569"/>
        <v>15:08:30.533</v>
      </c>
      <c r="CF1434">
        <v>532705448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5</v>
      </c>
      <c r="CY1434">
        <v>7</v>
      </c>
      <c r="CZ1434" t="s">
        <v>133</v>
      </c>
      <c r="DA1434">
        <v>275</v>
      </c>
      <c r="DB1434">
        <v>0</v>
      </c>
      <c r="DC1434" t="s">
        <v>134</v>
      </c>
      <c r="DD1434" t="s">
        <v>135</v>
      </c>
      <c r="DG1434">
        <v>3320338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"05/01/2025 15:08:30.786"</f>
        <v>05/01/2025 15:08:30.786</v>
      </c>
      <c r="C1435" t="str">
        <f t="shared" si="558"/>
        <v>FFDFD3C0</v>
      </c>
      <c r="D1435" t="s">
        <v>136</v>
      </c>
      <c r="E1435" t="str">
        <f>"20"</f>
        <v>20</v>
      </c>
      <c r="H1435">
        <v>400</v>
      </c>
      <c r="I1435" t="s">
        <v>137</v>
      </c>
      <c r="J1435" t="s">
        <v>138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R1435" t="s">
        <v>127</v>
      </c>
      <c r="S1435" t="str">
        <f t="shared" si="568"/>
        <v>15:08:30.000</v>
      </c>
      <c r="T1435" t="str">
        <f t="shared" si="568"/>
        <v>15:08:30.000</v>
      </c>
      <c r="U1435" t="str">
        <f t="shared" si="559"/>
        <v>A68FCB</v>
      </c>
      <c r="V1435">
        <v>0</v>
      </c>
      <c r="W1435">
        <v>0</v>
      </c>
      <c r="X1435">
        <v>2</v>
      </c>
      <c r="Y1435">
        <v>0</v>
      </c>
      <c r="AA1435">
        <v>1</v>
      </c>
      <c r="AB1435">
        <v>8</v>
      </c>
      <c r="AC1435">
        <v>3</v>
      </c>
      <c r="AD1435">
        <v>0</v>
      </c>
      <c r="AE1435">
        <v>9</v>
      </c>
      <c r="AF1435" t="s">
        <v>138</v>
      </c>
      <c r="AG1435">
        <v>0</v>
      </c>
      <c r="AH1435">
        <v>3</v>
      </c>
      <c r="AI1435">
        <v>2</v>
      </c>
      <c r="AJ1435">
        <v>0</v>
      </c>
      <c r="AK1435" t="s">
        <v>540</v>
      </c>
      <c r="AL1435">
        <v>39.015219000000002</v>
      </c>
      <c r="AM1435" t="s">
        <v>499</v>
      </c>
      <c r="AN1435">
        <v>-121.054723</v>
      </c>
      <c r="AO1435">
        <v>25</v>
      </c>
      <c r="AP1435">
        <v>3800</v>
      </c>
      <c r="AQ1435" t="s">
        <v>131</v>
      </c>
      <c r="AR1435">
        <v>24</v>
      </c>
      <c r="AS1435">
        <v>73</v>
      </c>
      <c r="AT1435">
        <v>192</v>
      </c>
      <c r="BB1435" t="str">
        <f t="shared" si="560"/>
        <v>1200</v>
      </c>
      <c r="BC1435">
        <v>1</v>
      </c>
      <c r="BD1435" t="str">
        <f t="shared" si="561"/>
        <v xml:space="preserve">N52156  </v>
      </c>
      <c r="BE1435">
        <v>1</v>
      </c>
      <c r="BG1435">
        <v>0</v>
      </c>
      <c r="BH1435">
        <v>0</v>
      </c>
      <c r="BI1435">
        <v>0</v>
      </c>
      <c r="BJ1435">
        <v>3825</v>
      </c>
      <c r="BK1435">
        <v>25</v>
      </c>
      <c r="BL1435" t="s">
        <v>188</v>
      </c>
      <c r="BM1435">
        <v>1</v>
      </c>
      <c r="BN1435">
        <v>1</v>
      </c>
      <c r="BO1435">
        <v>0</v>
      </c>
      <c r="BP1435">
        <v>0</v>
      </c>
      <c r="BS1435">
        <v>0</v>
      </c>
      <c r="BT1435">
        <v>0</v>
      </c>
      <c r="BU1435">
        <v>0</v>
      </c>
      <c r="CE1435" t="str">
        <f t="shared" si="569"/>
        <v>15:08:30.533</v>
      </c>
      <c r="CF1435">
        <v>532705448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5</v>
      </c>
      <c r="CY1435">
        <v>7</v>
      </c>
      <c r="CZ1435" t="s">
        <v>133</v>
      </c>
      <c r="DA1435">
        <v>275</v>
      </c>
      <c r="DB1435">
        <v>0</v>
      </c>
      <c r="DC1435" t="s">
        <v>134</v>
      </c>
      <c r="DD1435" t="s">
        <v>135</v>
      </c>
      <c r="DG1435">
        <v>3320338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"05/01/2025 15:08:32.023"</f>
        <v>05/01/2025 15:08:32.023</v>
      </c>
      <c r="C1436" t="str">
        <f t="shared" si="558"/>
        <v>FFDFD3C0</v>
      </c>
      <c r="D1436" t="s">
        <v>140</v>
      </c>
      <c r="E1436" t="str">
        <f>"13"</f>
        <v>13</v>
      </c>
      <c r="F1436">
        <v>1019</v>
      </c>
      <c r="G1436" t="s">
        <v>141</v>
      </c>
      <c r="J1436" t="s">
        <v>142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R1436" t="s">
        <v>127</v>
      </c>
      <c r="S1436" t="str">
        <f t="shared" ref="S1436:T1441" si="570">"15:08:31.000"</f>
        <v>15:08:31.000</v>
      </c>
      <c r="T1436" t="str">
        <f t="shared" si="570"/>
        <v>15:08:31.000</v>
      </c>
      <c r="U1436" t="str">
        <f t="shared" si="559"/>
        <v>A68FCB</v>
      </c>
      <c r="V1436">
        <v>0</v>
      </c>
      <c r="W1436">
        <v>0</v>
      </c>
      <c r="X1436">
        <v>2</v>
      </c>
      <c r="Y1436">
        <v>0</v>
      </c>
      <c r="AA1436">
        <v>1</v>
      </c>
      <c r="AB1436">
        <v>8</v>
      </c>
      <c r="AC1436">
        <v>3</v>
      </c>
      <c r="AD1436">
        <v>0</v>
      </c>
      <c r="AE1436">
        <v>9</v>
      </c>
      <c r="AF1436" t="s">
        <v>138</v>
      </c>
      <c r="AG1436">
        <v>0</v>
      </c>
      <c r="AH1436">
        <v>3</v>
      </c>
      <c r="AI1436">
        <v>2</v>
      </c>
      <c r="AJ1436">
        <v>0</v>
      </c>
      <c r="AK1436" t="s">
        <v>541</v>
      </c>
      <c r="AL1436">
        <v>39.015563</v>
      </c>
      <c r="AM1436" t="s">
        <v>542</v>
      </c>
      <c r="AN1436">
        <v>-121.054573</v>
      </c>
      <c r="AO1436">
        <v>25</v>
      </c>
      <c r="AP1436">
        <v>3800</v>
      </c>
      <c r="AQ1436" t="s">
        <v>131</v>
      </c>
      <c r="AR1436">
        <v>25</v>
      </c>
      <c r="AS1436">
        <v>73</v>
      </c>
      <c r="AT1436">
        <v>192</v>
      </c>
      <c r="BB1436" t="str">
        <f t="shared" si="560"/>
        <v>1200</v>
      </c>
      <c r="BC1436">
        <v>1</v>
      </c>
      <c r="BD1436" t="str">
        <f t="shared" si="561"/>
        <v xml:space="preserve">N52156  </v>
      </c>
      <c r="BE1436">
        <v>1</v>
      </c>
      <c r="BG1436">
        <v>0</v>
      </c>
      <c r="BH1436">
        <v>0</v>
      </c>
      <c r="BI1436">
        <v>0</v>
      </c>
      <c r="BJ1436">
        <v>3850</v>
      </c>
      <c r="BK1436">
        <v>50</v>
      </c>
      <c r="BL1436" t="s">
        <v>188</v>
      </c>
      <c r="BM1436">
        <v>1</v>
      </c>
      <c r="BN1436">
        <v>1</v>
      </c>
      <c r="BO1436">
        <v>0</v>
      </c>
      <c r="BP1436">
        <v>0</v>
      </c>
      <c r="BS1436">
        <v>0</v>
      </c>
      <c r="BT1436">
        <v>0</v>
      </c>
      <c r="BU1436">
        <v>0</v>
      </c>
      <c r="CE1436" t="str">
        <f t="shared" ref="CE1436:CE1441" si="571">"15:08:31.817"</f>
        <v>15:08:31.817</v>
      </c>
      <c r="CF1436">
        <v>816706257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133</v>
      </c>
      <c r="DA1436">
        <v>275</v>
      </c>
      <c r="DB1436">
        <v>0</v>
      </c>
      <c r="DC1436" t="s">
        <v>134</v>
      </c>
      <c r="DD1436" t="s">
        <v>135</v>
      </c>
      <c r="DG1436">
        <v>3320346</v>
      </c>
      <c r="DI1436">
        <v>1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"05/01/2025 15:08:32.025"</f>
        <v>05/01/2025 15:08:32.025</v>
      </c>
      <c r="C1437" t="str">
        <f t="shared" si="558"/>
        <v>FFDFD3C0</v>
      </c>
      <c r="D1437" t="s">
        <v>145</v>
      </c>
      <c r="E1437" t="str">
        <f>"05"</f>
        <v>05</v>
      </c>
      <c r="H1437">
        <v>47</v>
      </c>
      <c r="I1437" t="s">
        <v>146</v>
      </c>
      <c r="J1437" t="s">
        <v>138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R1437" t="s">
        <v>127</v>
      </c>
      <c r="S1437" t="str">
        <f t="shared" si="570"/>
        <v>15:08:31.000</v>
      </c>
      <c r="T1437" t="str">
        <f t="shared" si="570"/>
        <v>15:08:31.000</v>
      </c>
      <c r="U1437" t="str">
        <f t="shared" si="559"/>
        <v>A68FCB</v>
      </c>
      <c r="V1437">
        <v>0</v>
      </c>
      <c r="W1437">
        <v>0</v>
      </c>
      <c r="X1437">
        <v>2</v>
      </c>
      <c r="Y1437">
        <v>0</v>
      </c>
      <c r="AA1437">
        <v>1</v>
      </c>
      <c r="AB1437">
        <v>8</v>
      </c>
      <c r="AC1437">
        <v>3</v>
      </c>
      <c r="AD1437">
        <v>0</v>
      </c>
      <c r="AE1437">
        <v>9</v>
      </c>
      <c r="AF1437" t="s">
        <v>138</v>
      </c>
      <c r="AG1437">
        <v>0</v>
      </c>
      <c r="AH1437">
        <v>3</v>
      </c>
      <c r="AI1437">
        <v>2</v>
      </c>
      <c r="AJ1437">
        <v>0</v>
      </c>
      <c r="AK1437" t="s">
        <v>541</v>
      </c>
      <c r="AL1437">
        <v>39.015563</v>
      </c>
      <c r="AM1437" t="s">
        <v>542</v>
      </c>
      <c r="AN1437">
        <v>-121.054573</v>
      </c>
      <c r="AO1437">
        <v>25</v>
      </c>
      <c r="AP1437">
        <v>3800</v>
      </c>
      <c r="AQ1437" t="s">
        <v>131</v>
      </c>
      <c r="AR1437">
        <v>25</v>
      </c>
      <c r="AS1437">
        <v>73</v>
      </c>
      <c r="AT1437">
        <v>192</v>
      </c>
      <c r="BB1437" t="str">
        <f t="shared" si="560"/>
        <v>1200</v>
      </c>
      <c r="BC1437">
        <v>1</v>
      </c>
      <c r="BD1437" t="str">
        <f t="shared" si="561"/>
        <v xml:space="preserve">N52156  </v>
      </c>
      <c r="BE1437">
        <v>1</v>
      </c>
      <c r="BG1437">
        <v>0</v>
      </c>
      <c r="BH1437">
        <v>0</v>
      </c>
      <c r="BI1437">
        <v>0</v>
      </c>
      <c r="BJ1437">
        <v>3850</v>
      </c>
      <c r="BK1437">
        <v>50</v>
      </c>
      <c r="BL1437" t="s">
        <v>188</v>
      </c>
      <c r="BM1437">
        <v>1</v>
      </c>
      <c r="BN1437">
        <v>1</v>
      </c>
      <c r="BO1437">
        <v>0</v>
      </c>
      <c r="BP1437">
        <v>0</v>
      </c>
      <c r="BS1437">
        <v>0</v>
      </c>
      <c r="BT1437">
        <v>0</v>
      </c>
      <c r="BU1437">
        <v>0</v>
      </c>
      <c r="CE1437" t="str">
        <f t="shared" si="571"/>
        <v>15:08:31.817</v>
      </c>
      <c r="CF1437">
        <v>816706257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5</v>
      </c>
      <c r="CY1437">
        <v>7</v>
      </c>
      <c r="CZ1437" t="s">
        <v>133</v>
      </c>
      <c r="DA1437">
        <v>275</v>
      </c>
      <c r="DB1437">
        <v>0</v>
      </c>
      <c r="DC1437" t="s">
        <v>134</v>
      </c>
      <c r="DD1437" t="s">
        <v>135</v>
      </c>
      <c r="DG1437">
        <v>3320346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"05/01/2025 15:08:32.026"</f>
        <v>05/01/2025 15:08:32.026</v>
      </c>
      <c r="C1438" t="str">
        <f t="shared" si="558"/>
        <v>FFDFD3C0</v>
      </c>
      <c r="D1438" t="s">
        <v>124</v>
      </c>
      <c r="E1438" t="str">
        <f>"06"</f>
        <v>06</v>
      </c>
      <c r="F1438">
        <v>2006</v>
      </c>
      <c r="G1438" t="s">
        <v>125</v>
      </c>
      <c r="J1438" t="s">
        <v>126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R1438" t="s">
        <v>127</v>
      </c>
      <c r="S1438" t="str">
        <f t="shared" si="570"/>
        <v>15:08:31.000</v>
      </c>
      <c r="T1438" t="str">
        <f t="shared" si="570"/>
        <v>15:08:31.000</v>
      </c>
      <c r="U1438" t="str">
        <f t="shared" si="559"/>
        <v>A68FCB</v>
      </c>
      <c r="V1438">
        <v>0</v>
      </c>
      <c r="W1438">
        <v>0</v>
      </c>
      <c r="X1438">
        <v>2</v>
      </c>
      <c r="Y1438">
        <v>0</v>
      </c>
      <c r="AA1438">
        <v>1</v>
      </c>
      <c r="AB1438">
        <v>8</v>
      </c>
      <c r="AC1438">
        <v>3</v>
      </c>
      <c r="AD1438">
        <v>0</v>
      </c>
      <c r="AE1438">
        <v>9</v>
      </c>
      <c r="AF1438" t="s">
        <v>138</v>
      </c>
      <c r="AG1438">
        <v>0</v>
      </c>
      <c r="AH1438">
        <v>3</v>
      </c>
      <c r="AI1438">
        <v>2</v>
      </c>
      <c r="AJ1438">
        <v>0</v>
      </c>
      <c r="AK1438" t="s">
        <v>541</v>
      </c>
      <c r="AL1438">
        <v>39.015563</v>
      </c>
      <c r="AM1438" t="s">
        <v>542</v>
      </c>
      <c r="AN1438">
        <v>-121.054573</v>
      </c>
      <c r="AO1438">
        <v>25</v>
      </c>
      <c r="AP1438">
        <v>3800</v>
      </c>
      <c r="AQ1438" t="s">
        <v>131</v>
      </c>
      <c r="AR1438">
        <v>25</v>
      </c>
      <c r="AS1438">
        <v>73</v>
      </c>
      <c r="AT1438">
        <v>192</v>
      </c>
      <c r="BB1438" t="str">
        <f t="shared" si="560"/>
        <v>1200</v>
      </c>
      <c r="BC1438">
        <v>1</v>
      </c>
      <c r="BD1438" t="str">
        <f t="shared" si="561"/>
        <v xml:space="preserve">N52156  </v>
      </c>
      <c r="BE1438">
        <v>1</v>
      </c>
      <c r="BG1438">
        <v>0</v>
      </c>
      <c r="BH1438">
        <v>0</v>
      </c>
      <c r="BI1438">
        <v>0</v>
      </c>
      <c r="BJ1438">
        <v>3850</v>
      </c>
      <c r="BK1438">
        <v>50</v>
      </c>
      <c r="BL1438" t="s">
        <v>188</v>
      </c>
      <c r="BM1438">
        <v>1</v>
      </c>
      <c r="BN1438">
        <v>1</v>
      </c>
      <c r="BO1438">
        <v>0</v>
      </c>
      <c r="BP1438">
        <v>0</v>
      </c>
      <c r="BS1438">
        <v>0</v>
      </c>
      <c r="BT1438">
        <v>0</v>
      </c>
      <c r="BU1438">
        <v>0</v>
      </c>
      <c r="CE1438" t="str">
        <f t="shared" si="571"/>
        <v>15:08:31.817</v>
      </c>
      <c r="CF1438">
        <v>816706257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133</v>
      </c>
      <c r="DA1438">
        <v>275</v>
      </c>
      <c r="DB1438">
        <v>0</v>
      </c>
      <c r="DC1438" t="s">
        <v>134</v>
      </c>
      <c r="DD1438" t="s">
        <v>135</v>
      </c>
      <c r="DG1438">
        <v>3320346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"05/01/2025 15:08:32.030"</f>
        <v>05/01/2025 15:08:32.030</v>
      </c>
      <c r="C1439" t="str">
        <f t="shared" si="558"/>
        <v>FFDFD3C0</v>
      </c>
      <c r="D1439" t="s">
        <v>143</v>
      </c>
      <c r="E1439" t="str">
        <f>"05"</f>
        <v>05</v>
      </c>
      <c r="H1439">
        <v>172</v>
      </c>
      <c r="I1439" t="s">
        <v>141</v>
      </c>
      <c r="J1439" t="s">
        <v>144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R1439" t="s">
        <v>127</v>
      </c>
      <c r="S1439" t="str">
        <f t="shared" si="570"/>
        <v>15:08:31.000</v>
      </c>
      <c r="T1439" t="str">
        <f t="shared" si="570"/>
        <v>15:08:31.000</v>
      </c>
      <c r="U1439" t="str">
        <f t="shared" si="559"/>
        <v>A68FCB</v>
      </c>
      <c r="V1439">
        <v>0</v>
      </c>
      <c r="W1439">
        <v>0</v>
      </c>
      <c r="X1439">
        <v>2</v>
      </c>
      <c r="Y1439">
        <v>0</v>
      </c>
      <c r="AA1439">
        <v>1</v>
      </c>
      <c r="AB1439">
        <v>8</v>
      </c>
      <c r="AC1439">
        <v>3</v>
      </c>
      <c r="AD1439">
        <v>0</v>
      </c>
      <c r="AE1439">
        <v>9</v>
      </c>
      <c r="AF1439" t="s">
        <v>138</v>
      </c>
      <c r="AG1439">
        <v>0</v>
      </c>
      <c r="AH1439">
        <v>3</v>
      </c>
      <c r="AI1439">
        <v>2</v>
      </c>
      <c r="AJ1439">
        <v>0</v>
      </c>
      <c r="AK1439" t="s">
        <v>541</v>
      </c>
      <c r="AL1439">
        <v>39.015563</v>
      </c>
      <c r="AM1439" t="s">
        <v>542</v>
      </c>
      <c r="AN1439">
        <v>-121.054573</v>
      </c>
      <c r="AO1439">
        <v>25</v>
      </c>
      <c r="AP1439">
        <v>3800</v>
      </c>
      <c r="AQ1439" t="s">
        <v>131</v>
      </c>
      <c r="AR1439">
        <v>25</v>
      </c>
      <c r="AS1439">
        <v>73</v>
      </c>
      <c r="AT1439">
        <v>192</v>
      </c>
      <c r="BB1439" t="str">
        <f t="shared" si="560"/>
        <v>1200</v>
      </c>
      <c r="BC1439">
        <v>1</v>
      </c>
      <c r="BD1439" t="str">
        <f t="shared" si="561"/>
        <v xml:space="preserve">N52156  </v>
      </c>
      <c r="BE1439">
        <v>1</v>
      </c>
      <c r="BG1439">
        <v>0</v>
      </c>
      <c r="BH1439">
        <v>0</v>
      </c>
      <c r="BI1439">
        <v>0</v>
      </c>
      <c r="BJ1439">
        <v>3850</v>
      </c>
      <c r="BK1439">
        <v>50</v>
      </c>
      <c r="BL1439" t="s">
        <v>188</v>
      </c>
      <c r="BM1439">
        <v>1</v>
      </c>
      <c r="BN1439">
        <v>1</v>
      </c>
      <c r="BO1439">
        <v>0</v>
      </c>
      <c r="BP1439">
        <v>0</v>
      </c>
      <c r="BS1439">
        <v>0</v>
      </c>
      <c r="BT1439">
        <v>0</v>
      </c>
      <c r="BU1439">
        <v>0</v>
      </c>
      <c r="CE1439" t="str">
        <f t="shared" si="571"/>
        <v>15:08:31.817</v>
      </c>
      <c r="CF1439">
        <v>816706257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133</v>
      </c>
      <c r="DA1439">
        <v>275</v>
      </c>
      <c r="DB1439">
        <v>0</v>
      </c>
      <c r="DC1439" t="s">
        <v>134</v>
      </c>
      <c r="DD1439" t="s">
        <v>135</v>
      </c>
      <c r="DG1439">
        <v>3320346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"05/01/2025 15:08:32.030"</f>
        <v>05/01/2025 15:08:32.030</v>
      </c>
      <c r="C1440" t="str">
        <f t="shared" si="558"/>
        <v>FFDFD3C0</v>
      </c>
      <c r="D1440" t="s">
        <v>145</v>
      </c>
      <c r="E1440" t="str">
        <f>"09"</f>
        <v>09</v>
      </c>
      <c r="H1440">
        <v>51</v>
      </c>
      <c r="I1440" t="s">
        <v>147</v>
      </c>
      <c r="J1440" t="s">
        <v>138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R1440" t="s">
        <v>127</v>
      </c>
      <c r="S1440" t="str">
        <f t="shared" si="570"/>
        <v>15:08:31.000</v>
      </c>
      <c r="T1440" t="str">
        <f t="shared" si="570"/>
        <v>15:08:31.000</v>
      </c>
      <c r="U1440" t="str">
        <f t="shared" si="559"/>
        <v>A68FCB</v>
      </c>
      <c r="V1440">
        <v>0</v>
      </c>
      <c r="W1440">
        <v>0</v>
      </c>
      <c r="X1440">
        <v>2</v>
      </c>
      <c r="Y1440">
        <v>0</v>
      </c>
      <c r="AA1440">
        <v>1</v>
      </c>
      <c r="AB1440">
        <v>8</v>
      </c>
      <c r="AC1440">
        <v>3</v>
      </c>
      <c r="AD1440">
        <v>0</v>
      </c>
      <c r="AE1440">
        <v>9</v>
      </c>
      <c r="AF1440" t="s">
        <v>138</v>
      </c>
      <c r="AG1440">
        <v>0</v>
      </c>
      <c r="AH1440">
        <v>3</v>
      </c>
      <c r="AI1440">
        <v>2</v>
      </c>
      <c r="AJ1440">
        <v>0</v>
      </c>
      <c r="AK1440" t="s">
        <v>541</v>
      </c>
      <c r="AL1440">
        <v>39.015563</v>
      </c>
      <c r="AM1440" t="s">
        <v>542</v>
      </c>
      <c r="AN1440">
        <v>-121.054573</v>
      </c>
      <c r="AO1440">
        <v>25</v>
      </c>
      <c r="AP1440">
        <v>3800</v>
      </c>
      <c r="AQ1440" t="s">
        <v>131</v>
      </c>
      <c r="AR1440">
        <v>25</v>
      </c>
      <c r="AS1440">
        <v>73</v>
      </c>
      <c r="AT1440">
        <v>192</v>
      </c>
      <c r="BB1440" t="str">
        <f t="shared" si="560"/>
        <v>1200</v>
      </c>
      <c r="BC1440">
        <v>1</v>
      </c>
      <c r="BD1440" t="str">
        <f t="shared" si="561"/>
        <v xml:space="preserve">N52156  </v>
      </c>
      <c r="BE1440">
        <v>1</v>
      </c>
      <c r="BG1440">
        <v>0</v>
      </c>
      <c r="BH1440">
        <v>0</v>
      </c>
      <c r="BI1440">
        <v>0</v>
      </c>
      <c r="BJ1440">
        <v>3850</v>
      </c>
      <c r="BK1440">
        <v>50</v>
      </c>
      <c r="BL1440" t="s">
        <v>188</v>
      </c>
      <c r="BM1440">
        <v>1</v>
      </c>
      <c r="BN1440">
        <v>1</v>
      </c>
      <c r="BO1440">
        <v>0</v>
      </c>
      <c r="BP1440">
        <v>0</v>
      </c>
      <c r="BS1440">
        <v>0</v>
      </c>
      <c r="BT1440">
        <v>0</v>
      </c>
      <c r="BU1440">
        <v>0</v>
      </c>
      <c r="CE1440" t="str">
        <f t="shared" si="571"/>
        <v>15:08:31.817</v>
      </c>
      <c r="CF1440">
        <v>816706257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133</v>
      </c>
      <c r="DA1440">
        <v>275</v>
      </c>
      <c r="DB1440">
        <v>0</v>
      </c>
      <c r="DC1440" t="s">
        <v>134</v>
      </c>
      <c r="DD1440" t="s">
        <v>135</v>
      </c>
      <c r="DG1440">
        <v>3320346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"05/01/2025 15:08:32.038"</f>
        <v>05/01/2025 15:08:32.038</v>
      </c>
      <c r="C1441" t="str">
        <f t="shared" si="558"/>
        <v>FFDFD3C0</v>
      </c>
      <c r="D1441" t="s">
        <v>136</v>
      </c>
      <c r="E1441" t="str">
        <f>"20"</f>
        <v>20</v>
      </c>
      <c r="H1441">
        <v>400</v>
      </c>
      <c r="I1441" t="s">
        <v>137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R1441" t="s">
        <v>127</v>
      </c>
      <c r="S1441" t="str">
        <f t="shared" si="570"/>
        <v>15:08:31.000</v>
      </c>
      <c r="T1441" t="str">
        <f t="shared" si="570"/>
        <v>15:08:31.000</v>
      </c>
      <c r="U1441" t="str">
        <f t="shared" si="559"/>
        <v>A68FCB</v>
      </c>
      <c r="V1441">
        <v>0</v>
      </c>
      <c r="W1441">
        <v>0</v>
      </c>
      <c r="X1441">
        <v>2</v>
      </c>
      <c r="Y1441">
        <v>0</v>
      </c>
      <c r="AA1441">
        <v>1</v>
      </c>
      <c r="AB1441">
        <v>8</v>
      </c>
      <c r="AC1441">
        <v>3</v>
      </c>
      <c r="AD1441">
        <v>0</v>
      </c>
      <c r="AE1441">
        <v>9</v>
      </c>
      <c r="AF1441" t="s">
        <v>138</v>
      </c>
      <c r="AG1441">
        <v>0</v>
      </c>
      <c r="AH1441">
        <v>3</v>
      </c>
      <c r="AI1441">
        <v>2</v>
      </c>
      <c r="AJ1441">
        <v>0</v>
      </c>
      <c r="AK1441" t="s">
        <v>541</v>
      </c>
      <c r="AL1441">
        <v>39.015563</v>
      </c>
      <c r="AM1441" t="s">
        <v>542</v>
      </c>
      <c r="AN1441">
        <v>-121.054573</v>
      </c>
      <c r="AO1441">
        <v>25</v>
      </c>
      <c r="AP1441">
        <v>3800</v>
      </c>
      <c r="AQ1441" t="s">
        <v>131</v>
      </c>
      <c r="AR1441">
        <v>25</v>
      </c>
      <c r="AS1441">
        <v>73</v>
      </c>
      <c r="AT1441">
        <v>192</v>
      </c>
      <c r="BB1441" t="str">
        <f t="shared" si="560"/>
        <v>1200</v>
      </c>
      <c r="BC1441">
        <v>1</v>
      </c>
      <c r="BD1441" t="str">
        <f t="shared" si="561"/>
        <v xml:space="preserve">N52156  </v>
      </c>
      <c r="BE1441">
        <v>1</v>
      </c>
      <c r="BG1441">
        <v>0</v>
      </c>
      <c r="BH1441">
        <v>0</v>
      </c>
      <c r="BI1441">
        <v>0</v>
      </c>
      <c r="BJ1441">
        <v>3850</v>
      </c>
      <c r="BK1441">
        <v>50</v>
      </c>
      <c r="BL1441" t="s">
        <v>188</v>
      </c>
      <c r="BM1441">
        <v>1</v>
      </c>
      <c r="BN1441">
        <v>1</v>
      </c>
      <c r="BO1441">
        <v>0</v>
      </c>
      <c r="BP1441">
        <v>0</v>
      </c>
      <c r="BS1441">
        <v>0</v>
      </c>
      <c r="BT1441">
        <v>0</v>
      </c>
      <c r="BU1441">
        <v>0</v>
      </c>
      <c r="CE1441" t="str">
        <f t="shared" si="571"/>
        <v>15:08:31.817</v>
      </c>
      <c r="CF1441">
        <v>816706257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133</v>
      </c>
      <c r="DA1441">
        <v>275</v>
      </c>
      <c r="DB1441">
        <v>0</v>
      </c>
      <c r="DC1441" t="s">
        <v>134</v>
      </c>
      <c r="DD1441" t="s">
        <v>135</v>
      </c>
      <c r="DG1441">
        <v>3320346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"05/01/2025 15:08:32.773"</f>
        <v>05/01/2025 15:08:32.773</v>
      </c>
      <c r="C1442" t="str">
        <f t="shared" si="558"/>
        <v>FFDFD3C0</v>
      </c>
      <c r="D1442" t="s">
        <v>140</v>
      </c>
      <c r="E1442" t="str">
        <f>"13"</f>
        <v>13</v>
      </c>
      <c r="F1442">
        <v>1019</v>
      </c>
      <c r="G1442" t="s">
        <v>141</v>
      </c>
      <c r="J1442" t="s">
        <v>142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R1442" t="s">
        <v>127</v>
      </c>
      <c r="S1442" t="str">
        <f t="shared" ref="S1442:T1447" si="572">"15:08:32.000"</f>
        <v>15:08:32.000</v>
      </c>
      <c r="T1442" t="str">
        <f t="shared" si="572"/>
        <v>15:08:32.000</v>
      </c>
      <c r="U1442" t="str">
        <f t="shared" si="559"/>
        <v>A68FCB</v>
      </c>
      <c r="V1442">
        <v>0</v>
      </c>
      <c r="W1442">
        <v>0</v>
      </c>
      <c r="X1442">
        <v>2</v>
      </c>
      <c r="Y1442">
        <v>0</v>
      </c>
      <c r="AA1442">
        <v>1</v>
      </c>
      <c r="AB1442">
        <v>8</v>
      </c>
      <c r="AC1442">
        <v>3</v>
      </c>
      <c r="AD1442">
        <v>0</v>
      </c>
      <c r="AE1442">
        <v>9</v>
      </c>
      <c r="AF1442" t="s">
        <v>138</v>
      </c>
      <c r="AG1442">
        <v>0</v>
      </c>
      <c r="AH1442">
        <v>3</v>
      </c>
      <c r="AI1442">
        <v>2</v>
      </c>
      <c r="AJ1442">
        <v>0</v>
      </c>
      <c r="AK1442" t="s">
        <v>543</v>
      </c>
      <c r="AL1442">
        <v>39.015906000000001</v>
      </c>
      <c r="AM1442" t="s">
        <v>544</v>
      </c>
      <c r="AN1442">
        <v>-121.054423</v>
      </c>
      <c r="AO1442">
        <v>25</v>
      </c>
      <c r="AP1442">
        <v>3800</v>
      </c>
      <c r="AQ1442" t="s">
        <v>131</v>
      </c>
      <c r="AR1442">
        <v>26</v>
      </c>
      <c r="AS1442">
        <v>73</v>
      </c>
      <c r="AT1442">
        <v>192</v>
      </c>
      <c r="BB1442" t="str">
        <f t="shared" si="560"/>
        <v>1200</v>
      </c>
      <c r="BC1442">
        <v>1</v>
      </c>
      <c r="BD1442" t="str">
        <f t="shared" si="561"/>
        <v xml:space="preserve">N52156  </v>
      </c>
      <c r="BE1442">
        <v>1</v>
      </c>
      <c r="BG1442">
        <v>0</v>
      </c>
      <c r="BH1442">
        <v>0</v>
      </c>
      <c r="BI1442">
        <v>0</v>
      </c>
      <c r="BJ1442">
        <v>3850</v>
      </c>
      <c r="BK1442">
        <v>50</v>
      </c>
      <c r="BL1442" t="s">
        <v>188</v>
      </c>
      <c r="BM1442">
        <v>1</v>
      </c>
      <c r="BN1442">
        <v>1</v>
      </c>
      <c r="BO1442">
        <v>0</v>
      </c>
      <c r="BP1442">
        <v>0</v>
      </c>
      <c r="BS1442">
        <v>0</v>
      </c>
      <c r="BT1442">
        <v>0</v>
      </c>
      <c r="BU1442">
        <v>0</v>
      </c>
      <c r="CE1442" t="str">
        <f t="shared" ref="CE1442:CE1447" si="573">"15:08:32.553"</f>
        <v>15:08:32.553</v>
      </c>
      <c r="CF1442">
        <v>552955626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133</v>
      </c>
      <c r="DA1442">
        <v>275</v>
      </c>
      <c r="DB1442">
        <v>0</v>
      </c>
      <c r="DC1442" t="s">
        <v>134</v>
      </c>
      <c r="DD1442" t="s">
        <v>135</v>
      </c>
      <c r="DG1442">
        <v>3320353</v>
      </c>
      <c r="DI1442">
        <v>1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"05/01/2025 15:08:32.776"</f>
        <v>05/01/2025 15:08:32.776</v>
      </c>
      <c r="C1443" t="str">
        <f t="shared" si="558"/>
        <v>FFDFD3C0</v>
      </c>
      <c r="D1443" t="s">
        <v>145</v>
      </c>
      <c r="E1443" t="str">
        <f>"05"</f>
        <v>05</v>
      </c>
      <c r="H1443">
        <v>47</v>
      </c>
      <c r="I1443" t="s">
        <v>146</v>
      </c>
      <c r="J1443" t="s">
        <v>138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R1443" t="s">
        <v>127</v>
      </c>
      <c r="S1443" t="str">
        <f t="shared" si="572"/>
        <v>15:08:32.000</v>
      </c>
      <c r="T1443" t="str">
        <f t="shared" si="572"/>
        <v>15:08:32.000</v>
      </c>
      <c r="U1443" t="str">
        <f t="shared" si="559"/>
        <v>A68FCB</v>
      </c>
      <c r="V1443">
        <v>0</v>
      </c>
      <c r="W1443">
        <v>0</v>
      </c>
      <c r="X1443">
        <v>2</v>
      </c>
      <c r="Y1443">
        <v>0</v>
      </c>
      <c r="AA1443">
        <v>1</v>
      </c>
      <c r="AB1443">
        <v>8</v>
      </c>
      <c r="AC1443">
        <v>3</v>
      </c>
      <c r="AD1443">
        <v>0</v>
      </c>
      <c r="AE1443">
        <v>9</v>
      </c>
      <c r="AF1443" t="s">
        <v>138</v>
      </c>
      <c r="AG1443">
        <v>0</v>
      </c>
      <c r="AH1443">
        <v>3</v>
      </c>
      <c r="AI1443">
        <v>2</v>
      </c>
      <c r="AJ1443">
        <v>0</v>
      </c>
      <c r="AK1443" t="s">
        <v>543</v>
      </c>
      <c r="AL1443">
        <v>39.015906000000001</v>
      </c>
      <c r="AM1443" t="s">
        <v>544</v>
      </c>
      <c r="AN1443">
        <v>-121.054423</v>
      </c>
      <c r="AO1443">
        <v>25</v>
      </c>
      <c r="AP1443">
        <v>3800</v>
      </c>
      <c r="AQ1443" t="s">
        <v>131</v>
      </c>
      <c r="AR1443">
        <v>26</v>
      </c>
      <c r="AS1443">
        <v>73</v>
      </c>
      <c r="AT1443">
        <v>192</v>
      </c>
      <c r="BB1443" t="str">
        <f t="shared" si="560"/>
        <v>1200</v>
      </c>
      <c r="BC1443">
        <v>1</v>
      </c>
      <c r="BD1443" t="str">
        <f t="shared" si="561"/>
        <v xml:space="preserve">N52156  </v>
      </c>
      <c r="BE1443">
        <v>1</v>
      </c>
      <c r="BG1443">
        <v>0</v>
      </c>
      <c r="BH1443">
        <v>0</v>
      </c>
      <c r="BI1443">
        <v>0</v>
      </c>
      <c r="BJ1443">
        <v>3850</v>
      </c>
      <c r="BK1443">
        <v>50</v>
      </c>
      <c r="BL1443" t="s">
        <v>188</v>
      </c>
      <c r="BM1443">
        <v>1</v>
      </c>
      <c r="BN1443">
        <v>1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 t="shared" si="573"/>
        <v>15:08:32.553</v>
      </c>
      <c r="CF1443">
        <v>552955626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133</v>
      </c>
      <c r="DA1443">
        <v>275</v>
      </c>
      <c r="DB1443">
        <v>0</v>
      </c>
      <c r="DC1443" t="s">
        <v>134</v>
      </c>
      <c r="DD1443" t="s">
        <v>135</v>
      </c>
      <c r="DG1443">
        <v>3320353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"05/01/2025 15:08:32.777"</f>
        <v>05/01/2025 15:08:32.777</v>
      </c>
      <c r="C1444" t="str">
        <f t="shared" si="558"/>
        <v>FFDFD3C0</v>
      </c>
      <c r="D1444" t="s">
        <v>124</v>
      </c>
      <c r="E1444" t="str">
        <f>"06"</f>
        <v>06</v>
      </c>
      <c r="F1444">
        <v>2006</v>
      </c>
      <c r="G1444" t="s">
        <v>125</v>
      </c>
      <c r="J1444" t="s">
        <v>126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R1444" t="s">
        <v>127</v>
      </c>
      <c r="S1444" t="str">
        <f t="shared" si="572"/>
        <v>15:08:32.000</v>
      </c>
      <c r="T1444" t="str">
        <f t="shared" si="572"/>
        <v>15:08:32.000</v>
      </c>
      <c r="U1444" t="str">
        <f t="shared" si="559"/>
        <v>A68FCB</v>
      </c>
      <c r="V1444">
        <v>0</v>
      </c>
      <c r="W1444">
        <v>0</v>
      </c>
      <c r="X1444">
        <v>2</v>
      </c>
      <c r="Y1444">
        <v>0</v>
      </c>
      <c r="AA1444">
        <v>1</v>
      </c>
      <c r="AB1444">
        <v>8</v>
      </c>
      <c r="AC1444">
        <v>3</v>
      </c>
      <c r="AD1444">
        <v>0</v>
      </c>
      <c r="AE1444">
        <v>9</v>
      </c>
      <c r="AF1444" t="s">
        <v>138</v>
      </c>
      <c r="AG1444">
        <v>0</v>
      </c>
      <c r="AH1444">
        <v>3</v>
      </c>
      <c r="AI1444">
        <v>2</v>
      </c>
      <c r="AJ1444">
        <v>0</v>
      </c>
      <c r="AK1444" t="s">
        <v>543</v>
      </c>
      <c r="AL1444">
        <v>39.015906000000001</v>
      </c>
      <c r="AM1444" t="s">
        <v>544</v>
      </c>
      <c r="AN1444">
        <v>-121.054423</v>
      </c>
      <c r="AO1444">
        <v>25</v>
      </c>
      <c r="AP1444">
        <v>3800</v>
      </c>
      <c r="AQ1444" t="s">
        <v>131</v>
      </c>
      <c r="AR1444">
        <v>26</v>
      </c>
      <c r="AS1444">
        <v>73</v>
      </c>
      <c r="AT1444">
        <v>192</v>
      </c>
      <c r="BB1444" t="str">
        <f t="shared" si="560"/>
        <v>1200</v>
      </c>
      <c r="BC1444">
        <v>1</v>
      </c>
      <c r="BD1444" t="str">
        <f t="shared" si="561"/>
        <v xml:space="preserve">N52156  </v>
      </c>
      <c r="BE1444">
        <v>1</v>
      </c>
      <c r="BG1444">
        <v>0</v>
      </c>
      <c r="BH1444">
        <v>0</v>
      </c>
      <c r="BI1444">
        <v>0</v>
      </c>
      <c r="BJ1444">
        <v>3850</v>
      </c>
      <c r="BK1444">
        <v>50</v>
      </c>
      <c r="BL1444" t="s">
        <v>188</v>
      </c>
      <c r="BM1444">
        <v>1</v>
      </c>
      <c r="BN1444">
        <v>1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 t="shared" si="573"/>
        <v>15:08:32.553</v>
      </c>
      <c r="CF1444">
        <v>552955626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133</v>
      </c>
      <c r="DA1444">
        <v>275</v>
      </c>
      <c r="DB1444">
        <v>0</v>
      </c>
      <c r="DC1444" t="s">
        <v>134</v>
      </c>
      <c r="DD1444" t="s">
        <v>135</v>
      </c>
      <c r="DG1444">
        <v>3320353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"05/01/2025 15:08:32.780"</f>
        <v>05/01/2025 15:08:32.780</v>
      </c>
      <c r="C1445" t="str">
        <f t="shared" si="558"/>
        <v>FFDFD3C0</v>
      </c>
      <c r="D1445" t="s">
        <v>145</v>
      </c>
      <c r="E1445" t="str">
        <f>"09"</f>
        <v>09</v>
      </c>
      <c r="H1445">
        <v>51</v>
      </c>
      <c r="I1445" t="s">
        <v>147</v>
      </c>
      <c r="J1445" t="s">
        <v>138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R1445" t="s">
        <v>127</v>
      </c>
      <c r="S1445" t="str">
        <f t="shared" si="572"/>
        <v>15:08:32.000</v>
      </c>
      <c r="T1445" t="str">
        <f t="shared" si="572"/>
        <v>15:08:32.000</v>
      </c>
      <c r="U1445" t="str">
        <f t="shared" si="559"/>
        <v>A68FCB</v>
      </c>
      <c r="V1445">
        <v>0</v>
      </c>
      <c r="W1445">
        <v>0</v>
      </c>
      <c r="X1445">
        <v>2</v>
      </c>
      <c r="Y1445">
        <v>0</v>
      </c>
      <c r="AA1445">
        <v>1</v>
      </c>
      <c r="AB1445">
        <v>8</v>
      </c>
      <c r="AC1445">
        <v>3</v>
      </c>
      <c r="AD1445">
        <v>0</v>
      </c>
      <c r="AE1445">
        <v>9</v>
      </c>
      <c r="AF1445" t="s">
        <v>138</v>
      </c>
      <c r="AG1445">
        <v>0</v>
      </c>
      <c r="AH1445">
        <v>3</v>
      </c>
      <c r="AI1445">
        <v>2</v>
      </c>
      <c r="AJ1445">
        <v>0</v>
      </c>
      <c r="AK1445" t="s">
        <v>543</v>
      </c>
      <c r="AL1445">
        <v>39.015906000000001</v>
      </c>
      <c r="AM1445" t="s">
        <v>544</v>
      </c>
      <c r="AN1445">
        <v>-121.054423</v>
      </c>
      <c r="AO1445">
        <v>25</v>
      </c>
      <c r="AP1445">
        <v>3800</v>
      </c>
      <c r="AQ1445" t="s">
        <v>131</v>
      </c>
      <c r="AR1445">
        <v>26</v>
      </c>
      <c r="AS1445">
        <v>73</v>
      </c>
      <c r="AT1445">
        <v>192</v>
      </c>
      <c r="BB1445" t="str">
        <f t="shared" si="560"/>
        <v>1200</v>
      </c>
      <c r="BC1445">
        <v>1</v>
      </c>
      <c r="BD1445" t="str">
        <f t="shared" si="561"/>
        <v xml:space="preserve">N52156  </v>
      </c>
      <c r="BE1445">
        <v>1</v>
      </c>
      <c r="BG1445">
        <v>0</v>
      </c>
      <c r="BH1445">
        <v>0</v>
      </c>
      <c r="BI1445">
        <v>0</v>
      </c>
      <c r="BJ1445">
        <v>3850</v>
      </c>
      <c r="BK1445">
        <v>50</v>
      </c>
      <c r="BL1445" t="s">
        <v>188</v>
      </c>
      <c r="BM1445">
        <v>1</v>
      </c>
      <c r="BN1445">
        <v>1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 t="shared" si="573"/>
        <v>15:08:32.553</v>
      </c>
      <c r="CF1445">
        <v>552955626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133</v>
      </c>
      <c r="DA1445">
        <v>275</v>
      </c>
      <c r="DB1445">
        <v>0</v>
      </c>
      <c r="DC1445" t="s">
        <v>134</v>
      </c>
      <c r="DD1445" t="s">
        <v>135</v>
      </c>
      <c r="DG1445">
        <v>3320353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"05/01/2025 15:08:32.781"</f>
        <v>05/01/2025 15:08:32.781</v>
      </c>
      <c r="C1446" t="str">
        <f t="shared" si="558"/>
        <v>FFDFD3C0</v>
      </c>
      <c r="D1446" t="s">
        <v>143</v>
      </c>
      <c r="E1446" t="str">
        <f>"05"</f>
        <v>05</v>
      </c>
      <c r="H1446">
        <v>172</v>
      </c>
      <c r="I1446" t="s">
        <v>141</v>
      </c>
      <c r="J1446" t="s">
        <v>144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R1446" t="s">
        <v>127</v>
      </c>
      <c r="S1446" t="str">
        <f t="shared" si="572"/>
        <v>15:08:32.000</v>
      </c>
      <c r="T1446" t="str">
        <f t="shared" si="572"/>
        <v>15:08:32.000</v>
      </c>
      <c r="U1446" t="str">
        <f t="shared" si="559"/>
        <v>A68FCB</v>
      </c>
      <c r="V1446">
        <v>0</v>
      </c>
      <c r="W1446">
        <v>0</v>
      </c>
      <c r="X1446">
        <v>2</v>
      </c>
      <c r="Y1446">
        <v>0</v>
      </c>
      <c r="AA1446">
        <v>1</v>
      </c>
      <c r="AB1446">
        <v>8</v>
      </c>
      <c r="AC1446">
        <v>3</v>
      </c>
      <c r="AD1446">
        <v>0</v>
      </c>
      <c r="AE1446">
        <v>9</v>
      </c>
      <c r="AF1446" t="s">
        <v>138</v>
      </c>
      <c r="AG1446">
        <v>0</v>
      </c>
      <c r="AH1446">
        <v>3</v>
      </c>
      <c r="AI1446">
        <v>2</v>
      </c>
      <c r="AJ1446">
        <v>0</v>
      </c>
      <c r="AK1446" t="s">
        <v>543</v>
      </c>
      <c r="AL1446">
        <v>39.015906000000001</v>
      </c>
      <c r="AM1446" t="s">
        <v>544</v>
      </c>
      <c r="AN1446">
        <v>-121.054423</v>
      </c>
      <c r="AO1446">
        <v>25</v>
      </c>
      <c r="AP1446">
        <v>3800</v>
      </c>
      <c r="AQ1446" t="s">
        <v>131</v>
      </c>
      <c r="AR1446">
        <v>26</v>
      </c>
      <c r="AS1446">
        <v>73</v>
      </c>
      <c r="AT1446">
        <v>192</v>
      </c>
      <c r="BB1446" t="str">
        <f t="shared" si="560"/>
        <v>1200</v>
      </c>
      <c r="BC1446">
        <v>1</v>
      </c>
      <c r="BD1446" t="str">
        <f t="shared" si="561"/>
        <v xml:space="preserve">N52156  </v>
      </c>
      <c r="BE1446">
        <v>1</v>
      </c>
      <c r="BG1446">
        <v>0</v>
      </c>
      <c r="BH1446">
        <v>0</v>
      </c>
      <c r="BI1446">
        <v>0</v>
      </c>
      <c r="BJ1446">
        <v>3850</v>
      </c>
      <c r="BK1446">
        <v>50</v>
      </c>
      <c r="BL1446" t="s">
        <v>188</v>
      </c>
      <c r="BM1446">
        <v>1</v>
      </c>
      <c r="BN1446">
        <v>1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 t="shared" si="573"/>
        <v>15:08:32.553</v>
      </c>
      <c r="CF1446">
        <v>552955626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133</v>
      </c>
      <c r="DA1446">
        <v>275</v>
      </c>
      <c r="DB1446">
        <v>0</v>
      </c>
      <c r="DC1446" t="s">
        <v>134</v>
      </c>
      <c r="DD1446" t="s">
        <v>135</v>
      </c>
      <c r="DG1446">
        <v>3320353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"05/01/2025 15:08:32.790"</f>
        <v>05/01/2025 15:08:32.790</v>
      </c>
      <c r="C1447" t="str">
        <f t="shared" si="558"/>
        <v>FFDFD3C0</v>
      </c>
      <c r="D1447" t="s">
        <v>136</v>
      </c>
      <c r="E1447" t="str">
        <f>"20"</f>
        <v>20</v>
      </c>
      <c r="H1447">
        <v>400</v>
      </c>
      <c r="I1447" t="s">
        <v>137</v>
      </c>
      <c r="J1447" t="s">
        <v>138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R1447" t="s">
        <v>127</v>
      </c>
      <c r="S1447" t="str">
        <f t="shared" si="572"/>
        <v>15:08:32.000</v>
      </c>
      <c r="T1447" t="str">
        <f t="shared" si="572"/>
        <v>15:08:32.000</v>
      </c>
      <c r="U1447" t="str">
        <f t="shared" si="559"/>
        <v>A68FCB</v>
      </c>
      <c r="V1447">
        <v>0</v>
      </c>
      <c r="W1447">
        <v>0</v>
      </c>
      <c r="X1447">
        <v>2</v>
      </c>
      <c r="Y1447">
        <v>0</v>
      </c>
      <c r="AA1447">
        <v>1</v>
      </c>
      <c r="AB1447">
        <v>8</v>
      </c>
      <c r="AC1447">
        <v>3</v>
      </c>
      <c r="AD1447">
        <v>0</v>
      </c>
      <c r="AE1447">
        <v>9</v>
      </c>
      <c r="AF1447" t="s">
        <v>138</v>
      </c>
      <c r="AG1447">
        <v>0</v>
      </c>
      <c r="AH1447">
        <v>3</v>
      </c>
      <c r="AI1447">
        <v>2</v>
      </c>
      <c r="AJ1447">
        <v>0</v>
      </c>
      <c r="AK1447" t="s">
        <v>543</v>
      </c>
      <c r="AL1447">
        <v>39.015906000000001</v>
      </c>
      <c r="AM1447" t="s">
        <v>544</v>
      </c>
      <c r="AN1447">
        <v>-121.054423</v>
      </c>
      <c r="AO1447">
        <v>25</v>
      </c>
      <c r="AP1447">
        <v>3800</v>
      </c>
      <c r="AQ1447" t="s">
        <v>131</v>
      </c>
      <c r="AR1447">
        <v>26</v>
      </c>
      <c r="AS1447">
        <v>73</v>
      </c>
      <c r="AT1447">
        <v>192</v>
      </c>
      <c r="BB1447" t="str">
        <f t="shared" si="560"/>
        <v>1200</v>
      </c>
      <c r="BC1447">
        <v>1</v>
      </c>
      <c r="BD1447" t="str">
        <f t="shared" si="561"/>
        <v xml:space="preserve">N52156  </v>
      </c>
      <c r="BE1447">
        <v>1</v>
      </c>
      <c r="BG1447">
        <v>0</v>
      </c>
      <c r="BH1447">
        <v>0</v>
      </c>
      <c r="BI1447">
        <v>0</v>
      </c>
      <c r="BJ1447">
        <v>3850</v>
      </c>
      <c r="BK1447">
        <v>50</v>
      </c>
      <c r="BL1447" t="s">
        <v>188</v>
      </c>
      <c r="BM1447">
        <v>1</v>
      </c>
      <c r="BN1447">
        <v>1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 t="shared" si="573"/>
        <v>15:08:32.553</v>
      </c>
      <c r="CF1447">
        <v>552955626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133</v>
      </c>
      <c r="DA1447">
        <v>275</v>
      </c>
      <c r="DB1447">
        <v>0</v>
      </c>
      <c r="DC1447" t="s">
        <v>134</v>
      </c>
      <c r="DD1447" t="s">
        <v>135</v>
      </c>
      <c r="DG1447">
        <v>3320353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"05/01/2025 15:08:33.474"</f>
        <v>05/01/2025 15:08:33.474</v>
      </c>
      <c r="C1448" t="str">
        <f t="shared" si="558"/>
        <v>FFDFD3C0</v>
      </c>
      <c r="D1448" t="s">
        <v>140</v>
      </c>
      <c r="E1448" t="str">
        <f>"13"</f>
        <v>13</v>
      </c>
      <c r="F1448">
        <v>1019</v>
      </c>
      <c r="G1448" t="s">
        <v>141</v>
      </c>
      <c r="J1448" t="s">
        <v>142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R1448" t="s">
        <v>127</v>
      </c>
      <c r="S1448" t="str">
        <f t="shared" ref="S1448:T1453" si="574">"15:08:33.000"</f>
        <v>15:08:33.000</v>
      </c>
      <c r="T1448" t="str">
        <f t="shared" si="574"/>
        <v>15:08:33.000</v>
      </c>
      <c r="U1448" t="str">
        <f t="shared" si="559"/>
        <v>A68FCB</v>
      </c>
      <c r="V1448">
        <v>0</v>
      </c>
      <c r="W1448">
        <v>0</v>
      </c>
      <c r="X1448">
        <v>2</v>
      </c>
      <c r="Y1448">
        <v>0</v>
      </c>
      <c r="AA1448">
        <v>1</v>
      </c>
      <c r="AB1448">
        <v>8</v>
      </c>
      <c r="AC1448">
        <v>3</v>
      </c>
      <c r="AD1448">
        <v>0</v>
      </c>
      <c r="AE1448">
        <v>9</v>
      </c>
      <c r="AF1448" t="s">
        <v>138</v>
      </c>
      <c r="AG1448">
        <v>0</v>
      </c>
      <c r="AH1448">
        <v>3</v>
      </c>
      <c r="AI1448">
        <v>2</v>
      </c>
      <c r="AJ1448">
        <v>0</v>
      </c>
      <c r="AK1448" t="s">
        <v>545</v>
      </c>
      <c r="AL1448">
        <v>39.016227999999998</v>
      </c>
      <c r="AM1448" t="s">
        <v>546</v>
      </c>
      <c r="AN1448">
        <v>-121.05425099999999</v>
      </c>
      <c r="AO1448">
        <v>25</v>
      </c>
      <c r="AP1448">
        <v>3800</v>
      </c>
      <c r="AQ1448" t="s">
        <v>131</v>
      </c>
      <c r="AR1448">
        <v>27</v>
      </c>
      <c r="AS1448">
        <v>73</v>
      </c>
      <c r="AT1448">
        <v>192</v>
      </c>
      <c r="BB1448" t="str">
        <f t="shared" si="560"/>
        <v>1200</v>
      </c>
      <c r="BC1448">
        <v>1</v>
      </c>
      <c r="BD1448" t="str">
        <f t="shared" si="561"/>
        <v xml:space="preserve">N52156  </v>
      </c>
      <c r="BE1448">
        <v>1</v>
      </c>
      <c r="BG1448">
        <v>0</v>
      </c>
      <c r="BH1448">
        <v>0</v>
      </c>
      <c r="BI1448">
        <v>0</v>
      </c>
      <c r="BJ1448">
        <v>3850</v>
      </c>
      <c r="BK1448">
        <v>50</v>
      </c>
      <c r="BL1448" t="s">
        <v>188</v>
      </c>
      <c r="BM1448">
        <v>1</v>
      </c>
      <c r="BN1448">
        <v>1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 t="shared" ref="CE1448:CE1453" si="575">"15:08:33.241"</f>
        <v>15:08:33.241</v>
      </c>
      <c r="CF1448">
        <v>240704896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133</v>
      </c>
      <c r="DA1448">
        <v>275</v>
      </c>
      <c r="DB1448">
        <v>0</v>
      </c>
      <c r="DC1448" t="s">
        <v>134</v>
      </c>
      <c r="DD1448" t="s">
        <v>135</v>
      </c>
      <c r="DG1448">
        <v>3320361</v>
      </c>
      <c r="DI1448">
        <v>1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"05/01/2025 15:08:33.477"</f>
        <v>05/01/2025 15:08:33.477</v>
      </c>
      <c r="C1449" t="str">
        <f t="shared" si="558"/>
        <v>FFDFD3C0</v>
      </c>
      <c r="D1449" t="s">
        <v>145</v>
      </c>
      <c r="E1449" t="str">
        <f>"05"</f>
        <v>05</v>
      </c>
      <c r="H1449">
        <v>47</v>
      </c>
      <c r="I1449" t="s">
        <v>146</v>
      </c>
      <c r="J1449" t="s">
        <v>138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R1449" t="s">
        <v>127</v>
      </c>
      <c r="S1449" t="str">
        <f t="shared" si="574"/>
        <v>15:08:33.000</v>
      </c>
      <c r="T1449" t="str">
        <f t="shared" si="574"/>
        <v>15:08:33.000</v>
      </c>
      <c r="U1449" t="str">
        <f t="shared" si="559"/>
        <v>A68FCB</v>
      </c>
      <c r="V1449">
        <v>0</v>
      </c>
      <c r="W1449">
        <v>0</v>
      </c>
      <c r="X1449">
        <v>2</v>
      </c>
      <c r="Y1449">
        <v>0</v>
      </c>
      <c r="AA1449">
        <v>1</v>
      </c>
      <c r="AB1449">
        <v>8</v>
      </c>
      <c r="AC1449">
        <v>3</v>
      </c>
      <c r="AD1449">
        <v>0</v>
      </c>
      <c r="AE1449">
        <v>9</v>
      </c>
      <c r="AF1449" t="s">
        <v>138</v>
      </c>
      <c r="AG1449">
        <v>0</v>
      </c>
      <c r="AH1449">
        <v>3</v>
      </c>
      <c r="AI1449">
        <v>2</v>
      </c>
      <c r="AJ1449">
        <v>0</v>
      </c>
      <c r="AK1449" t="s">
        <v>545</v>
      </c>
      <c r="AL1449">
        <v>39.016227999999998</v>
      </c>
      <c r="AM1449" t="s">
        <v>546</v>
      </c>
      <c r="AN1449">
        <v>-121.05425099999999</v>
      </c>
      <c r="AO1449">
        <v>25</v>
      </c>
      <c r="AP1449">
        <v>3800</v>
      </c>
      <c r="AQ1449" t="s">
        <v>131</v>
      </c>
      <c r="AR1449">
        <v>27</v>
      </c>
      <c r="AS1449">
        <v>73</v>
      </c>
      <c r="AT1449">
        <v>192</v>
      </c>
      <c r="BB1449" t="str">
        <f t="shared" si="560"/>
        <v>1200</v>
      </c>
      <c r="BC1449">
        <v>1</v>
      </c>
      <c r="BD1449" t="str">
        <f t="shared" si="561"/>
        <v xml:space="preserve">N52156  </v>
      </c>
      <c r="BE1449">
        <v>1</v>
      </c>
      <c r="BG1449">
        <v>0</v>
      </c>
      <c r="BH1449">
        <v>0</v>
      </c>
      <c r="BI1449">
        <v>0</v>
      </c>
      <c r="BJ1449">
        <v>3850</v>
      </c>
      <c r="BK1449">
        <v>50</v>
      </c>
      <c r="BL1449" t="s">
        <v>188</v>
      </c>
      <c r="BM1449">
        <v>1</v>
      </c>
      <c r="BN1449">
        <v>1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 t="shared" si="575"/>
        <v>15:08:33.241</v>
      </c>
      <c r="CF1449">
        <v>240704896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133</v>
      </c>
      <c r="DA1449">
        <v>275</v>
      </c>
      <c r="DB1449">
        <v>0</v>
      </c>
      <c r="DC1449" t="s">
        <v>134</v>
      </c>
      <c r="DD1449" t="s">
        <v>135</v>
      </c>
      <c r="DG1449">
        <v>3320361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"05/01/2025 15:08:33.478"</f>
        <v>05/01/2025 15:08:33.478</v>
      </c>
      <c r="C1450" t="str">
        <f t="shared" si="558"/>
        <v>FFDFD3C0</v>
      </c>
      <c r="D1450" t="s">
        <v>124</v>
      </c>
      <c r="E1450" t="str">
        <f>"06"</f>
        <v>06</v>
      </c>
      <c r="F1450">
        <v>2006</v>
      </c>
      <c r="G1450" t="s">
        <v>125</v>
      </c>
      <c r="J1450" t="s">
        <v>126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R1450" t="s">
        <v>127</v>
      </c>
      <c r="S1450" t="str">
        <f t="shared" si="574"/>
        <v>15:08:33.000</v>
      </c>
      <c r="T1450" t="str">
        <f t="shared" si="574"/>
        <v>15:08:33.000</v>
      </c>
      <c r="U1450" t="str">
        <f t="shared" si="559"/>
        <v>A68FCB</v>
      </c>
      <c r="V1450">
        <v>0</v>
      </c>
      <c r="W1450">
        <v>0</v>
      </c>
      <c r="X1450">
        <v>2</v>
      </c>
      <c r="Y1450">
        <v>0</v>
      </c>
      <c r="AA1450">
        <v>1</v>
      </c>
      <c r="AB1450">
        <v>8</v>
      </c>
      <c r="AC1450">
        <v>3</v>
      </c>
      <c r="AD1450">
        <v>0</v>
      </c>
      <c r="AE1450">
        <v>9</v>
      </c>
      <c r="AF1450" t="s">
        <v>138</v>
      </c>
      <c r="AG1450">
        <v>0</v>
      </c>
      <c r="AH1450">
        <v>3</v>
      </c>
      <c r="AI1450">
        <v>2</v>
      </c>
      <c r="AJ1450">
        <v>0</v>
      </c>
      <c r="AK1450" t="s">
        <v>545</v>
      </c>
      <c r="AL1450">
        <v>39.016227999999998</v>
      </c>
      <c r="AM1450" t="s">
        <v>546</v>
      </c>
      <c r="AN1450">
        <v>-121.05425099999999</v>
      </c>
      <c r="AO1450">
        <v>25</v>
      </c>
      <c r="AP1450">
        <v>3800</v>
      </c>
      <c r="AQ1450" t="s">
        <v>131</v>
      </c>
      <c r="AR1450">
        <v>27</v>
      </c>
      <c r="AS1450">
        <v>73</v>
      </c>
      <c r="AT1450">
        <v>192</v>
      </c>
      <c r="BB1450" t="str">
        <f t="shared" si="560"/>
        <v>1200</v>
      </c>
      <c r="BC1450">
        <v>1</v>
      </c>
      <c r="BD1450" t="str">
        <f t="shared" si="561"/>
        <v xml:space="preserve">N52156  </v>
      </c>
      <c r="BE1450">
        <v>1</v>
      </c>
      <c r="BG1450">
        <v>0</v>
      </c>
      <c r="BH1450">
        <v>0</v>
      </c>
      <c r="BI1450">
        <v>0</v>
      </c>
      <c r="BJ1450">
        <v>3850</v>
      </c>
      <c r="BK1450">
        <v>50</v>
      </c>
      <c r="BL1450" t="s">
        <v>188</v>
      </c>
      <c r="BM1450">
        <v>1</v>
      </c>
      <c r="BN1450">
        <v>1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 t="shared" si="575"/>
        <v>15:08:33.241</v>
      </c>
      <c r="CF1450">
        <v>240704896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133</v>
      </c>
      <c r="DA1450">
        <v>275</v>
      </c>
      <c r="DB1450">
        <v>0</v>
      </c>
      <c r="DC1450" t="s">
        <v>134</v>
      </c>
      <c r="DD1450" t="s">
        <v>135</v>
      </c>
      <c r="DG1450">
        <v>3320361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"05/01/2025 15:08:33.482"</f>
        <v>05/01/2025 15:08:33.482</v>
      </c>
      <c r="C1451" t="str">
        <f t="shared" si="558"/>
        <v>FFDFD3C0</v>
      </c>
      <c r="D1451" t="s">
        <v>143</v>
      </c>
      <c r="E1451" t="str">
        <f>"05"</f>
        <v>05</v>
      </c>
      <c r="H1451">
        <v>172</v>
      </c>
      <c r="I1451" t="s">
        <v>141</v>
      </c>
      <c r="J1451" t="s">
        <v>144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R1451" t="s">
        <v>127</v>
      </c>
      <c r="S1451" t="str">
        <f t="shared" si="574"/>
        <v>15:08:33.000</v>
      </c>
      <c r="T1451" t="str">
        <f t="shared" si="574"/>
        <v>15:08:33.000</v>
      </c>
      <c r="U1451" t="str">
        <f t="shared" si="559"/>
        <v>A68FCB</v>
      </c>
      <c r="V1451">
        <v>0</v>
      </c>
      <c r="W1451">
        <v>0</v>
      </c>
      <c r="X1451">
        <v>2</v>
      </c>
      <c r="Y1451">
        <v>0</v>
      </c>
      <c r="AA1451">
        <v>1</v>
      </c>
      <c r="AB1451">
        <v>8</v>
      </c>
      <c r="AC1451">
        <v>3</v>
      </c>
      <c r="AD1451">
        <v>0</v>
      </c>
      <c r="AE1451">
        <v>9</v>
      </c>
      <c r="AF1451" t="s">
        <v>138</v>
      </c>
      <c r="AG1451">
        <v>0</v>
      </c>
      <c r="AH1451">
        <v>3</v>
      </c>
      <c r="AI1451">
        <v>2</v>
      </c>
      <c r="AJ1451">
        <v>0</v>
      </c>
      <c r="AK1451" t="s">
        <v>545</v>
      </c>
      <c r="AL1451">
        <v>39.016227999999998</v>
      </c>
      <c r="AM1451" t="s">
        <v>546</v>
      </c>
      <c r="AN1451">
        <v>-121.05425099999999</v>
      </c>
      <c r="AO1451">
        <v>25</v>
      </c>
      <c r="AP1451">
        <v>3800</v>
      </c>
      <c r="AQ1451" t="s">
        <v>131</v>
      </c>
      <c r="AR1451">
        <v>27</v>
      </c>
      <c r="AS1451">
        <v>73</v>
      </c>
      <c r="AT1451">
        <v>192</v>
      </c>
      <c r="BB1451" t="str">
        <f t="shared" si="560"/>
        <v>1200</v>
      </c>
      <c r="BC1451">
        <v>1</v>
      </c>
      <c r="BD1451" t="str">
        <f t="shared" si="561"/>
        <v xml:space="preserve">N52156  </v>
      </c>
      <c r="BE1451">
        <v>1</v>
      </c>
      <c r="BG1451">
        <v>0</v>
      </c>
      <c r="BH1451">
        <v>0</v>
      </c>
      <c r="BI1451">
        <v>0</v>
      </c>
      <c r="BJ1451">
        <v>3850</v>
      </c>
      <c r="BK1451">
        <v>50</v>
      </c>
      <c r="BL1451" t="s">
        <v>188</v>
      </c>
      <c r="BM1451">
        <v>1</v>
      </c>
      <c r="BN1451">
        <v>1</v>
      </c>
      <c r="BO1451">
        <v>0</v>
      </c>
      <c r="BP1451">
        <v>0</v>
      </c>
      <c r="BS1451">
        <v>0</v>
      </c>
      <c r="BT1451">
        <v>0</v>
      </c>
      <c r="BU1451">
        <v>0</v>
      </c>
      <c r="CE1451" t="str">
        <f t="shared" si="575"/>
        <v>15:08:33.241</v>
      </c>
      <c r="CF1451">
        <v>240704896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133</v>
      </c>
      <c r="DA1451">
        <v>275</v>
      </c>
      <c r="DB1451">
        <v>0</v>
      </c>
      <c r="DC1451" t="s">
        <v>134</v>
      </c>
      <c r="DD1451" t="s">
        <v>135</v>
      </c>
      <c r="DG1451">
        <v>3320361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"05/01/2025 15:08:33.481"</f>
        <v>05/01/2025 15:08:33.481</v>
      </c>
      <c r="C1452" t="str">
        <f t="shared" si="558"/>
        <v>FFDFD3C0</v>
      </c>
      <c r="D1452" t="s">
        <v>145</v>
      </c>
      <c r="E1452" t="str">
        <f>"09"</f>
        <v>09</v>
      </c>
      <c r="H1452">
        <v>51</v>
      </c>
      <c r="I1452" t="s">
        <v>147</v>
      </c>
      <c r="J1452" t="s">
        <v>138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R1452" t="s">
        <v>127</v>
      </c>
      <c r="S1452" t="str">
        <f t="shared" si="574"/>
        <v>15:08:33.000</v>
      </c>
      <c r="T1452" t="str">
        <f t="shared" si="574"/>
        <v>15:08:33.000</v>
      </c>
      <c r="U1452" t="str">
        <f t="shared" si="559"/>
        <v>A68FCB</v>
      </c>
      <c r="V1452">
        <v>0</v>
      </c>
      <c r="W1452">
        <v>0</v>
      </c>
      <c r="X1452">
        <v>2</v>
      </c>
      <c r="Y1452">
        <v>0</v>
      </c>
      <c r="AA1452">
        <v>1</v>
      </c>
      <c r="AB1452">
        <v>8</v>
      </c>
      <c r="AC1452">
        <v>3</v>
      </c>
      <c r="AD1452">
        <v>0</v>
      </c>
      <c r="AE1452">
        <v>9</v>
      </c>
      <c r="AF1452" t="s">
        <v>138</v>
      </c>
      <c r="AG1452">
        <v>0</v>
      </c>
      <c r="AH1452">
        <v>3</v>
      </c>
      <c r="AI1452">
        <v>2</v>
      </c>
      <c r="AJ1452">
        <v>0</v>
      </c>
      <c r="AK1452" t="s">
        <v>545</v>
      </c>
      <c r="AL1452">
        <v>39.016227999999998</v>
      </c>
      <c r="AM1452" t="s">
        <v>546</v>
      </c>
      <c r="AN1452">
        <v>-121.05425099999999</v>
      </c>
      <c r="AO1452">
        <v>25</v>
      </c>
      <c r="AP1452">
        <v>3800</v>
      </c>
      <c r="AQ1452" t="s">
        <v>131</v>
      </c>
      <c r="AR1452">
        <v>27</v>
      </c>
      <c r="AS1452">
        <v>73</v>
      </c>
      <c r="AT1452">
        <v>192</v>
      </c>
      <c r="BB1452" t="str">
        <f t="shared" si="560"/>
        <v>1200</v>
      </c>
      <c r="BC1452">
        <v>1</v>
      </c>
      <c r="BD1452" t="str">
        <f t="shared" si="561"/>
        <v xml:space="preserve">N52156  </v>
      </c>
      <c r="BE1452">
        <v>1</v>
      </c>
      <c r="BG1452">
        <v>0</v>
      </c>
      <c r="BH1452">
        <v>0</v>
      </c>
      <c r="BI1452">
        <v>0</v>
      </c>
      <c r="BJ1452">
        <v>3850</v>
      </c>
      <c r="BK1452">
        <v>50</v>
      </c>
      <c r="BL1452" t="s">
        <v>188</v>
      </c>
      <c r="BM1452">
        <v>1</v>
      </c>
      <c r="BN1452">
        <v>1</v>
      </c>
      <c r="BO1452">
        <v>0</v>
      </c>
      <c r="BP1452">
        <v>0</v>
      </c>
      <c r="BS1452">
        <v>0</v>
      </c>
      <c r="BT1452">
        <v>0</v>
      </c>
      <c r="BU1452">
        <v>0</v>
      </c>
      <c r="CE1452" t="str">
        <f t="shared" si="575"/>
        <v>15:08:33.241</v>
      </c>
      <c r="CF1452">
        <v>240704896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5</v>
      </c>
      <c r="CY1452">
        <v>7</v>
      </c>
      <c r="CZ1452" t="s">
        <v>133</v>
      </c>
      <c r="DA1452">
        <v>275</v>
      </c>
      <c r="DB1452">
        <v>0</v>
      </c>
      <c r="DC1452" t="s">
        <v>134</v>
      </c>
      <c r="DD1452" t="s">
        <v>135</v>
      </c>
      <c r="DG1452">
        <v>3320361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"05/01/2025 15:08:33.490"</f>
        <v>05/01/2025 15:08:33.490</v>
      </c>
      <c r="C1453" t="str">
        <f t="shared" si="558"/>
        <v>FFDFD3C0</v>
      </c>
      <c r="D1453" t="s">
        <v>136</v>
      </c>
      <c r="E1453" t="str">
        <f>"20"</f>
        <v>20</v>
      </c>
      <c r="H1453">
        <v>400</v>
      </c>
      <c r="I1453" t="s">
        <v>137</v>
      </c>
      <c r="J1453" t="s">
        <v>138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R1453" t="s">
        <v>127</v>
      </c>
      <c r="S1453" t="str">
        <f t="shared" si="574"/>
        <v>15:08:33.000</v>
      </c>
      <c r="T1453" t="str">
        <f t="shared" si="574"/>
        <v>15:08:33.000</v>
      </c>
      <c r="U1453" t="str">
        <f t="shared" si="559"/>
        <v>A68FCB</v>
      </c>
      <c r="V1453">
        <v>0</v>
      </c>
      <c r="W1453">
        <v>0</v>
      </c>
      <c r="X1453">
        <v>2</v>
      </c>
      <c r="Y1453">
        <v>0</v>
      </c>
      <c r="AA1453">
        <v>1</v>
      </c>
      <c r="AB1453">
        <v>8</v>
      </c>
      <c r="AC1453">
        <v>3</v>
      </c>
      <c r="AD1453">
        <v>0</v>
      </c>
      <c r="AE1453">
        <v>9</v>
      </c>
      <c r="AF1453" t="s">
        <v>138</v>
      </c>
      <c r="AG1453">
        <v>0</v>
      </c>
      <c r="AH1453">
        <v>3</v>
      </c>
      <c r="AI1453">
        <v>2</v>
      </c>
      <c r="AJ1453">
        <v>0</v>
      </c>
      <c r="AK1453" t="s">
        <v>545</v>
      </c>
      <c r="AL1453">
        <v>39.016227999999998</v>
      </c>
      <c r="AM1453" t="s">
        <v>546</v>
      </c>
      <c r="AN1453">
        <v>-121.05425099999999</v>
      </c>
      <c r="AO1453">
        <v>25</v>
      </c>
      <c r="AP1453">
        <v>3800</v>
      </c>
      <c r="AQ1453" t="s">
        <v>131</v>
      </c>
      <c r="AR1453">
        <v>27</v>
      </c>
      <c r="AS1453">
        <v>73</v>
      </c>
      <c r="AT1453">
        <v>192</v>
      </c>
      <c r="BB1453" t="str">
        <f t="shared" si="560"/>
        <v>1200</v>
      </c>
      <c r="BC1453">
        <v>1</v>
      </c>
      <c r="BD1453" t="str">
        <f t="shared" si="561"/>
        <v xml:space="preserve">N52156  </v>
      </c>
      <c r="BE1453">
        <v>1</v>
      </c>
      <c r="BG1453">
        <v>0</v>
      </c>
      <c r="BH1453">
        <v>0</v>
      </c>
      <c r="BI1453">
        <v>0</v>
      </c>
      <c r="BJ1453">
        <v>3850</v>
      </c>
      <c r="BK1453">
        <v>50</v>
      </c>
      <c r="BL1453" t="s">
        <v>188</v>
      </c>
      <c r="BM1453">
        <v>1</v>
      </c>
      <c r="BN1453">
        <v>1</v>
      </c>
      <c r="BO1453">
        <v>0</v>
      </c>
      <c r="BP1453">
        <v>0</v>
      </c>
      <c r="BS1453">
        <v>0</v>
      </c>
      <c r="BT1453">
        <v>0</v>
      </c>
      <c r="BU1453">
        <v>0</v>
      </c>
      <c r="CE1453" t="str">
        <f t="shared" si="575"/>
        <v>15:08:33.241</v>
      </c>
      <c r="CF1453">
        <v>240704896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133</v>
      </c>
      <c r="DA1453">
        <v>275</v>
      </c>
      <c r="DB1453">
        <v>0</v>
      </c>
      <c r="DC1453" t="s">
        <v>134</v>
      </c>
      <c r="DD1453" t="s">
        <v>135</v>
      </c>
      <c r="DG1453">
        <v>3320361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"05/01/2025 15:08:35.030"</f>
        <v>05/01/2025 15:08:35.030</v>
      </c>
      <c r="C1454" t="str">
        <f t="shared" si="558"/>
        <v>FFDFD3C0</v>
      </c>
      <c r="D1454" t="s">
        <v>145</v>
      </c>
      <c r="E1454" t="str">
        <f>"05"</f>
        <v>05</v>
      </c>
      <c r="H1454">
        <v>47</v>
      </c>
      <c r="I1454" t="s">
        <v>146</v>
      </c>
      <c r="J1454" t="s">
        <v>138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R1454" t="s">
        <v>127</v>
      </c>
      <c r="S1454" t="str">
        <f t="shared" ref="S1454:T1459" si="576">"15:08:34.000"</f>
        <v>15:08:34.000</v>
      </c>
      <c r="T1454" t="str">
        <f t="shared" si="576"/>
        <v>15:08:34.000</v>
      </c>
      <c r="U1454" t="str">
        <f t="shared" si="559"/>
        <v>A68FCB</v>
      </c>
      <c r="V1454">
        <v>0</v>
      </c>
      <c r="W1454">
        <v>0</v>
      </c>
      <c r="X1454">
        <v>2</v>
      </c>
      <c r="Y1454">
        <v>0</v>
      </c>
      <c r="AA1454">
        <v>1</v>
      </c>
      <c r="AB1454">
        <v>8</v>
      </c>
      <c r="AC1454">
        <v>3</v>
      </c>
      <c r="AD1454">
        <v>0</v>
      </c>
      <c r="AE1454">
        <v>9</v>
      </c>
      <c r="AF1454" t="s">
        <v>138</v>
      </c>
      <c r="AG1454">
        <v>0</v>
      </c>
      <c r="AH1454">
        <v>3</v>
      </c>
      <c r="AI1454">
        <v>2</v>
      </c>
      <c r="AJ1454">
        <v>0</v>
      </c>
      <c r="AK1454" t="s">
        <v>547</v>
      </c>
      <c r="AL1454">
        <v>39.016570999999999</v>
      </c>
      <c r="AM1454" t="s">
        <v>485</v>
      </c>
      <c r="AN1454">
        <v>-121.054101</v>
      </c>
      <c r="AO1454">
        <v>25</v>
      </c>
      <c r="AP1454">
        <v>3900</v>
      </c>
      <c r="AQ1454" t="s">
        <v>131</v>
      </c>
      <c r="AR1454">
        <v>27</v>
      </c>
      <c r="AS1454">
        <v>73</v>
      </c>
      <c r="AT1454">
        <v>256</v>
      </c>
      <c r="BB1454" t="str">
        <f t="shared" si="560"/>
        <v>1200</v>
      </c>
      <c r="BC1454">
        <v>1</v>
      </c>
      <c r="BD1454" t="str">
        <f t="shared" si="561"/>
        <v xml:space="preserve">N52156  </v>
      </c>
      <c r="BE1454">
        <v>1</v>
      </c>
      <c r="BG1454">
        <v>0</v>
      </c>
      <c r="BH1454">
        <v>0</v>
      </c>
      <c r="BI1454">
        <v>0</v>
      </c>
      <c r="BJ1454">
        <v>3850</v>
      </c>
      <c r="BK1454">
        <v>-50</v>
      </c>
      <c r="BL1454" t="s">
        <v>188</v>
      </c>
      <c r="BM1454">
        <v>1</v>
      </c>
      <c r="BN1454">
        <v>1</v>
      </c>
      <c r="BO1454">
        <v>0</v>
      </c>
      <c r="BP1454">
        <v>0</v>
      </c>
      <c r="BS1454">
        <v>0</v>
      </c>
      <c r="BT1454">
        <v>0</v>
      </c>
      <c r="BU1454">
        <v>0</v>
      </c>
      <c r="CE1454" t="str">
        <f t="shared" ref="CE1454:CE1459" si="577">"15:08:34.785"</f>
        <v>15:08:34.785</v>
      </c>
      <c r="CF1454">
        <v>784706334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133</v>
      </c>
      <c r="DA1454">
        <v>275</v>
      </c>
      <c r="DB1454">
        <v>0</v>
      </c>
      <c r="DC1454" t="s">
        <v>134</v>
      </c>
      <c r="DD1454" t="s">
        <v>135</v>
      </c>
      <c r="DG1454">
        <v>3320374</v>
      </c>
      <c r="DI1454">
        <v>1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"05/01/2025 15:08:35.027"</f>
        <v>05/01/2025 15:08:35.027</v>
      </c>
      <c r="C1455" t="str">
        <f t="shared" si="558"/>
        <v>FFDFD3C0</v>
      </c>
      <c r="D1455" t="s">
        <v>140</v>
      </c>
      <c r="E1455" t="str">
        <f>"13"</f>
        <v>13</v>
      </c>
      <c r="F1455">
        <v>1019</v>
      </c>
      <c r="G1455" t="s">
        <v>141</v>
      </c>
      <c r="J1455" t="s">
        <v>142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R1455" t="s">
        <v>127</v>
      </c>
      <c r="S1455" t="str">
        <f t="shared" si="576"/>
        <v>15:08:34.000</v>
      </c>
      <c r="T1455" t="str">
        <f t="shared" si="576"/>
        <v>15:08:34.000</v>
      </c>
      <c r="U1455" t="str">
        <f t="shared" si="559"/>
        <v>A68FCB</v>
      </c>
      <c r="V1455">
        <v>0</v>
      </c>
      <c r="W1455">
        <v>0</v>
      </c>
      <c r="X1455">
        <v>2</v>
      </c>
      <c r="Y1455">
        <v>0</v>
      </c>
      <c r="AA1455">
        <v>1</v>
      </c>
      <c r="AB1455">
        <v>8</v>
      </c>
      <c r="AC1455">
        <v>3</v>
      </c>
      <c r="AD1455">
        <v>0</v>
      </c>
      <c r="AE1455">
        <v>9</v>
      </c>
      <c r="AF1455" t="s">
        <v>138</v>
      </c>
      <c r="AG1455">
        <v>0</v>
      </c>
      <c r="AH1455">
        <v>3</v>
      </c>
      <c r="AI1455">
        <v>2</v>
      </c>
      <c r="AJ1455">
        <v>0</v>
      </c>
      <c r="AK1455" t="s">
        <v>547</v>
      </c>
      <c r="AL1455">
        <v>39.016570999999999</v>
      </c>
      <c r="AM1455" t="s">
        <v>485</v>
      </c>
      <c r="AN1455">
        <v>-121.054101</v>
      </c>
      <c r="AO1455">
        <v>25</v>
      </c>
      <c r="AP1455">
        <v>3900</v>
      </c>
      <c r="AQ1455" t="s">
        <v>131</v>
      </c>
      <c r="AR1455">
        <v>27</v>
      </c>
      <c r="AS1455">
        <v>73</v>
      </c>
      <c r="AT1455">
        <v>256</v>
      </c>
      <c r="BB1455" t="str">
        <f t="shared" si="560"/>
        <v>1200</v>
      </c>
      <c r="BC1455">
        <v>1</v>
      </c>
      <c r="BD1455" t="str">
        <f t="shared" si="561"/>
        <v xml:space="preserve">N52156  </v>
      </c>
      <c r="BE1455">
        <v>1</v>
      </c>
      <c r="BG1455">
        <v>0</v>
      </c>
      <c r="BH1455">
        <v>0</v>
      </c>
      <c r="BI1455">
        <v>0</v>
      </c>
      <c r="BJ1455">
        <v>3850</v>
      </c>
      <c r="BK1455">
        <v>-50</v>
      </c>
      <c r="BL1455" t="s">
        <v>188</v>
      </c>
      <c r="BM1455">
        <v>1</v>
      </c>
      <c r="BN1455">
        <v>1</v>
      </c>
      <c r="BO1455">
        <v>0</v>
      </c>
      <c r="BP1455">
        <v>0</v>
      </c>
      <c r="BS1455">
        <v>0</v>
      </c>
      <c r="BT1455">
        <v>0</v>
      </c>
      <c r="BU1455">
        <v>0</v>
      </c>
      <c r="CE1455" t="str">
        <f t="shared" si="577"/>
        <v>15:08:34.785</v>
      </c>
      <c r="CF1455">
        <v>784706334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133</v>
      </c>
      <c r="DA1455">
        <v>275</v>
      </c>
      <c r="DB1455">
        <v>0</v>
      </c>
      <c r="DC1455" t="s">
        <v>134</v>
      </c>
      <c r="DD1455" t="s">
        <v>135</v>
      </c>
      <c r="DG1455">
        <v>3320374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"05/01/2025 15:08:35.031"</f>
        <v>05/01/2025 15:08:35.031</v>
      </c>
      <c r="C1456" t="str">
        <f t="shared" si="558"/>
        <v>FFDFD3C0</v>
      </c>
      <c r="D1456" t="s">
        <v>124</v>
      </c>
      <c r="E1456" t="str">
        <f>"06"</f>
        <v>06</v>
      </c>
      <c r="F1456">
        <v>2006</v>
      </c>
      <c r="G1456" t="s">
        <v>125</v>
      </c>
      <c r="J1456" t="s">
        <v>126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R1456" t="s">
        <v>127</v>
      </c>
      <c r="S1456" t="str">
        <f t="shared" si="576"/>
        <v>15:08:34.000</v>
      </c>
      <c r="T1456" t="str">
        <f t="shared" si="576"/>
        <v>15:08:34.000</v>
      </c>
      <c r="U1456" t="str">
        <f t="shared" si="559"/>
        <v>A68FCB</v>
      </c>
      <c r="V1456">
        <v>0</v>
      </c>
      <c r="W1456">
        <v>0</v>
      </c>
      <c r="X1456">
        <v>2</v>
      </c>
      <c r="Y1456">
        <v>0</v>
      </c>
      <c r="AA1456">
        <v>1</v>
      </c>
      <c r="AB1456">
        <v>8</v>
      </c>
      <c r="AC1456">
        <v>3</v>
      </c>
      <c r="AD1456">
        <v>0</v>
      </c>
      <c r="AE1456">
        <v>9</v>
      </c>
      <c r="AF1456" t="s">
        <v>138</v>
      </c>
      <c r="AG1456">
        <v>0</v>
      </c>
      <c r="AH1456">
        <v>3</v>
      </c>
      <c r="AI1456">
        <v>2</v>
      </c>
      <c r="AJ1456">
        <v>0</v>
      </c>
      <c r="AK1456" t="s">
        <v>547</v>
      </c>
      <c r="AL1456">
        <v>39.016570999999999</v>
      </c>
      <c r="AM1456" t="s">
        <v>485</v>
      </c>
      <c r="AN1456">
        <v>-121.054101</v>
      </c>
      <c r="AO1456">
        <v>25</v>
      </c>
      <c r="AP1456">
        <v>3900</v>
      </c>
      <c r="AQ1456" t="s">
        <v>131</v>
      </c>
      <c r="AR1456">
        <v>27</v>
      </c>
      <c r="AS1456">
        <v>73</v>
      </c>
      <c r="AT1456">
        <v>256</v>
      </c>
      <c r="BB1456" t="str">
        <f t="shared" si="560"/>
        <v>1200</v>
      </c>
      <c r="BC1456">
        <v>1</v>
      </c>
      <c r="BD1456" t="str">
        <f t="shared" si="561"/>
        <v xml:space="preserve">N52156  </v>
      </c>
      <c r="BE1456">
        <v>1</v>
      </c>
      <c r="BG1456">
        <v>0</v>
      </c>
      <c r="BH1456">
        <v>0</v>
      </c>
      <c r="BI1456">
        <v>0</v>
      </c>
      <c r="BJ1456">
        <v>3850</v>
      </c>
      <c r="BK1456">
        <v>-50</v>
      </c>
      <c r="BL1456" t="s">
        <v>188</v>
      </c>
      <c r="BM1456">
        <v>1</v>
      </c>
      <c r="BN1456">
        <v>1</v>
      </c>
      <c r="BO1456">
        <v>0</v>
      </c>
      <c r="BP1456">
        <v>0</v>
      </c>
      <c r="BS1456">
        <v>0</v>
      </c>
      <c r="BT1456">
        <v>0</v>
      </c>
      <c r="BU1456">
        <v>0</v>
      </c>
      <c r="CE1456" t="str">
        <f t="shared" si="577"/>
        <v>15:08:34.785</v>
      </c>
      <c r="CF1456">
        <v>784706334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133</v>
      </c>
      <c r="DA1456">
        <v>275</v>
      </c>
      <c r="DB1456">
        <v>0</v>
      </c>
      <c r="DC1456" t="s">
        <v>134</v>
      </c>
      <c r="DD1456" t="s">
        <v>135</v>
      </c>
      <c r="DG1456">
        <v>3320374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"05/01/2025 15:08:35.034"</f>
        <v>05/01/2025 15:08:35.034</v>
      </c>
      <c r="C1457" t="str">
        <f t="shared" si="558"/>
        <v>FFDFD3C0</v>
      </c>
      <c r="D1457" t="s">
        <v>145</v>
      </c>
      <c r="E1457" t="str">
        <f>"09"</f>
        <v>09</v>
      </c>
      <c r="H1457">
        <v>51</v>
      </c>
      <c r="I1457" t="s">
        <v>147</v>
      </c>
      <c r="J1457" t="s">
        <v>138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R1457" t="s">
        <v>127</v>
      </c>
      <c r="S1457" t="str">
        <f t="shared" si="576"/>
        <v>15:08:34.000</v>
      </c>
      <c r="T1457" t="str">
        <f t="shared" si="576"/>
        <v>15:08:34.000</v>
      </c>
      <c r="U1457" t="str">
        <f t="shared" si="559"/>
        <v>A68FCB</v>
      </c>
      <c r="V1457">
        <v>0</v>
      </c>
      <c r="W1457">
        <v>0</v>
      </c>
      <c r="X1457">
        <v>2</v>
      </c>
      <c r="Y1457">
        <v>0</v>
      </c>
      <c r="AA1457">
        <v>1</v>
      </c>
      <c r="AB1457">
        <v>8</v>
      </c>
      <c r="AC1457">
        <v>3</v>
      </c>
      <c r="AD1457">
        <v>0</v>
      </c>
      <c r="AE1457">
        <v>9</v>
      </c>
      <c r="AF1457" t="s">
        <v>138</v>
      </c>
      <c r="AG1457">
        <v>0</v>
      </c>
      <c r="AH1457">
        <v>3</v>
      </c>
      <c r="AI1457">
        <v>2</v>
      </c>
      <c r="AJ1457">
        <v>0</v>
      </c>
      <c r="AK1457" t="s">
        <v>547</v>
      </c>
      <c r="AL1457">
        <v>39.016570999999999</v>
      </c>
      <c r="AM1457" t="s">
        <v>485</v>
      </c>
      <c r="AN1457">
        <v>-121.054101</v>
      </c>
      <c r="AO1457">
        <v>25</v>
      </c>
      <c r="AP1457">
        <v>3900</v>
      </c>
      <c r="AQ1457" t="s">
        <v>131</v>
      </c>
      <c r="AR1457">
        <v>27</v>
      </c>
      <c r="AS1457">
        <v>73</v>
      </c>
      <c r="AT1457">
        <v>256</v>
      </c>
      <c r="BB1457" t="str">
        <f t="shared" si="560"/>
        <v>1200</v>
      </c>
      <c r="BC1457">
        <v>1</v>
      </c>
      <c r="BD1457" t="str">
        <f t="shared" si="561"/>
        <v xml:space="preserve">N52156  </v>
      </c>
      <c r="BE1457">
        <v>1</v>
      </c>
      <c r="BG1457">
        <v>0</v>
      </c>
      <c r="BH1457">
        <v>0</v>
      </c>
      <c r="BI1457">
        <v>0</v>
      </c>
      <c r="BJ1457">
        <v>3850</v>
      </c>
      <c r="BK1457">
        <v>-50</v>
      </c>
      <c r="BL1457" t="s">
        <v>188</v>
      </c>
      <c r="BM1457">
        <v>1</v>
      </c>
      <c r="BN1457">
        <v>1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 t="shared" si="577"/>
        <v>15:08:34.785</v>
      </c>
      <c r="CF1457">
        <v>784706334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133</v>
      </c>
      <c r="DA1457">
        <v>275</v>
      </c>
      <c r="DB1457">
        <v>0</v>
      </c>
      <c r="DC1457" t="s">
        <v>134</v>
      </c>
      <c r="DD1457" t="s">
        <v>135</v>
      </c>
      <c r="DG1457">
        <v>3320374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"05/01/2025 15:08:35.035"</f>
        <v>05/01/2025 15:08:35.035</v>
      </c>
      <c r="C1458" t="str">
        <f t="shared" si="558"/>
        <v>FFDFD3C0</v>
      </c>
      <c r="D1458" t="s">
        <v>143</v>
      </c>
      <c r="E1458" t="str">
        <f>"05"</f>
        <v>05</v>
      </c>
      <c r="H1458">
        <v>172</v>
      </c>
      <c r="I1458" t="s">
        <v>141</v>
      </c>
      <c r="J1458" t="s">
        <v>144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R1458" t="s">
        <v>127</v>
      </c>
      <c r="S1458" t="str">
        <f t="shared" si="576"/>
        <v>15:08:34.000</v>
      </c>
      <c r="T1458" t="str">
        <f t="shared" si="576"/>
        <v>15:08:34.000</v>
      </c>
      <c r="U1458" t="str">
        <f t="shared" si="559"/>
        <v>A68FCB</v>
      </c>
      <c r="V1458">
        <v>0</v>
      </c>
      <c r="W1458">
        <v>0</v>
      </c>
      <c r="X1458">
        <v>2</v>
      </c>
      <c r="Y1458">
        <v>0</v>
      </c>
      <c r="AA1458">
        <v>1</v>
      </c>
      <c r="AB1458">
        <v>8</v>
      </c>
      <c r="AC1458">
        <v>3</v>
      </c>
      <c r="AD1458">
        <v>0</v>
      </c>
      <c r="AE1458">
        <v>9</v>
      </c>
      <c r="AF1458" t="s">
        <v>138</v>
      </c>
      <c r="AG1458">
        <v>0</v>
      </c>
      <c r="AH1458">
        <v>3</v>
      </c>
      <c r="AI1458">
        <v>2</v>
      </c>
      <c r="AJ1458">
        <v>0</v>
      </c>
      <c r="AK1458" t="s">
        <v>547</v>
      </c>
      <c r="AL1458">
        <v>39.016570999999999</v>
      </c>
      <c r="AM1458" t="s">
        <v>485</v>
      </c>
      <c r="AN1458">
        <v>-121.054101</v>
      </c>
      <c r="AO1458">
        <v>25</v>
      </c>
      <c r="AP1458">
        <v>3900</v>
      </c>
      <c r="AQ1458" t="s">
        <v>131</v>
      </c>
      <c r="AR1458">
        <v>27</v>
      </c>
      <c r="AS1458">
        <v>73</v>
      </c>
      <c r="AT1458">
        <v>256</v>
      </c>
      <c r="BB1458" t="str">
        <f t="shared" si="560"/>
        <v>1200</v>
      </c>
      <c r="BC1458">
        <v>1</v>
      </c>
      <c r="BD1458" t="str">
        <f t="shared" si="561"/>
        <v xml:space="preserve">N52156  </v>
      </c>
      <c r="BE1458">
        <v>1</v>
      </c>
      <c r="BG1458">
        <v>0</v>
      </c>
      <c r="BH1458">
        <v>0</v>
      </c>
      <c r="BI1458">
        <v>0</v>
      </c>
      <c r="BJ1458">
        <v>3850</v>
      </c>
      <c r="BK1458">
        <v>-50</v>
      </c>
      <c r="BL1458" t="s">
        <v>188</v>
      </c>
      <c r="BM1458">
        <v>1</v>
      </c>
      <c r="BN1458">
        <v>1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 t="shared" si="577"/>
        <v>15:08:34.785</v>
      </c>
      <c r="CF1458">
        <v>784706334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133</v>
      </c>
      <c r="DA1458">
        <v>275</v>
      </c>
      <c r="DB1458">
        <v>0</v>
      </c>
      <c r="DC1458" t="s">
        <v>134</v>
      </c>
      <c r="DD1458" t="s">
        <v>135</v>
      </c>
      <c r="DG1458">
        <v>3320374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"05/01/2025 15:08:35.043"</f>
        <v>05/01/2025 15:08:35.043</v>
      </c>
      <c r="C1459" t="str">
        <f t="shared" si="558"/>
        <v>FFDFD3C0</v>
      </c>
      <c r="D1459" t="s">
        <v>136</v>
      </c>
      <c r="E1459" t="str">
        <f>"20"</f>
        <v>20</v>
      </c>
      <c r="H1459">
        <v>400</v>
      </c>
      <c r="I1459" t="s">
        <v>137</v>
      </c>
      <c r="J1459" t="s">
        <v>138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R1459" t="s">
        <v>127</v>
      </c>
      <c r="S1459" t="str">
        <f t="shared" si="576"/>
        <v>15:08:34.000</v>
      </c>
      <c r="T1459" t="str">
        <f t="shared" si="576"/>
        <v>15:08:34.000</v>
      </c>
      <c r="U1459" t="str">
        <f t="shared" si="559"/>
        <v>A68FCB</v>
      </c>
      <c r="V1459">
        <v>0</v>
      </c>
      <c r="W1459">
        <v>0</v>
      </c>
      <c r="X1459">
        <v>2</v>
      </c>
      <c r="Y1459">
        <v>0</v>
      </c>
      <c r="AA1459">
        <v>1</v>
      </c>
      <c r="AB1459">
        <v>8</v>
      </c>
      <c r="AC1459">
        <v>3</v>
      </c>
      <c r="AD1459">
        <v>0</v>
      </c>
      <c r="AE1459">
        <v>9</v>
      </c>
      <c r="AF1459" t="s">
        <v>138</v>
      </c>
      <c r="AG1459">
        <v>0</v>
      </c>
      <c r="AH1459">
        <v>3</v>
      </c>
      <c r="AI1459">
        <v>2</v>
      </c>
      <c r="AJ1459">
        <v>0</v>
      </c>
      <c r="AK1459" t="s">
        <v>547</v>
      </c>
      <c r="AL1459">
        <v>39.016570999999999</v>
      </c>
      <c r="AM1459" t="s">
        <v>485</v>
      </c>
      <c r="AN1459">
        <v>-121.054101</v>
      </c>
      <c r="AO1459">
        <v>25</v>
      </c>
      <c r="AP1459">
        <v>3900</v>
      </c>
      <c r="AQ1459" t="s">
        <v>131</v>
      </c>
      <c r="AR1459">
        <v>27</v>
      </c>
      <c r="AS1459">
        <v>73</v>
      </c>
      <c r="AT1459">
        <v>256</v>
      </c>
      <c r="BB1459" t="str">
        <f t="shared" si="560"/>
        <v>1200</v>
      </c>
      <c r="BC1459">
        <v>1</v>
      </c>
      <c r="BD1459" t="str">
        <f t="shared" si="561"/>
        <v xml:space="preserve">N52156  </v>
      </c>
      <c r="BE1459">
        <v>1</v>
      </c>
      <c r="BG1459">
        <v>0</v>
      </c>
      <c r="BH1459">
        <v>0</v>
      </c>
      <c r="BI1459">
        <v>0</v>
      </c>
      <c r="BJ1459">
        <v>3850</v>
      </c>
      <c r="BK1459">
        <v>-50</v>
      </c>
      <c r="BL1459" t="s">
        <v>188</v>
      </c>
      <c r="BM1459">
        <v>1</v>
      </c>
      <c r="BN1459">
        <v>1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 t="shared" si="577"/>
        <v>15:08:34.785</v>
      </c>
      <c r="CF1459">
        <v>784706334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133</v>
      </c>
      <c r="DA1459">
        <v>275</v>
      </c>
      <c r="DB1459">
        <v>0</v>
      </c>
      <c r="DC1459" t="s">
        <v>134</v>
      </c>
      <c r="DD1459" t="s">
        <v>135</v>
      </c>
      <c r="DG1459">
        <v>3320374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"05/01/2025 15:08:35.528"</f>
        <v>05/01/2025 15:08:35.528</v>
      </c>
      <c r="C1460" t="str">
        <f t="shared" si="558"/>
        <v>FFDFD3C0</v>
      </c>
      <c r="D1460" t="s">
        <v>140</v>
      </c>
      <c r="E1460" t="str">
        <f>"13"</f>
        <v>13</v>
      </c>
      <c r="F1460">
        <v>1019</v>
      </c>
      <c r="G1460" t="s">
        <v>141</v>
      </c>
      <c r="J1460" t="s">
        <v>142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R1460" t="s">
        <v>127</v>
      </c>
      <c r="S1460" t="str">
        <f t="shared" ref="S1460:T1465" si="578">"15:08:35.000"</f>
        <v>15:08:35.000</v>
      </c>
      <c r="T1460" t="str">
        <f t="shared" si="578"/>
        <v>15:08:35.000</v>
      </c>
      <c r="U1460" t="str">
        <f t="shared" si="559"/>
        <v>A68FCB</v>
      </c>
      <c r="V1460">
        <v>0</v>
      </c>
      <c r="W1460">
        <v>0</v>
      </c>
      <c r="X1460">
        <v>2</v>
      </c>
      <c r="Y1460">
        <v>0</v>
      </c>
      <c r="AA1460">
        <v>1</v>
      </c>
      <c r="AB1460">
        <v>8</v>
      </c>
      <c r="AC1460">
        <v>3</v>
      </c>
      <c r="AD1460">
        <v>0</v>
      </c>
      <c r="AE1460">
        <v>9</v>
      </c>
      <c r="AF1460" t="s">
        <v>138</v>
      </c>
      <c r="AG1460">
        <v>0</v>
      </c>
      <c r="AH1460">
        <v>3</v>
      </c>
      <c r="AI1460">
        <v>2</v>
      </c>
      <c r="AJ1460">
        <v>0</v>
      </c>
      <c r="AK1460" t="s">
        <v>548</v>
      </c>
      <c r="AL1460">
        <v>39.016914</v>
      </c>
      <c r="AM1460" t="s">
        <v>549</v>
      </c>
      <c r="AN1460">
        <v>-121.053929</v>
      </c>
      <c r="AO1460">
        <v>25</v>
      </c>
      <c r="AP1460">
        <v>3900</v>
      </c>
      <c r="AQ1460" t="s">
        <v>131</v>
      </c>
      <c r="AR1460">
        <v>27</v>
      </c>
      <c r="AS1460">
        <v>73</v>
      </c>
      <c r="AT1460">
        <v>256</v>
      </c>
      <c r="BB1460" t="str">
        <f t="shared" si="560"/>
        <v>1200</v>
      </c>
      <c r="BC1460">
        <v>1</v>
      </c>
      <c r="BD1460" t="str">
        <f t="shared" si="561"/>
        <v xml:space="preserve">N52156  </v>
      </c>
      <c r="BE1460">
        <v>1</v>
      </c>
      <c r="BG1460">
        <v>0</v>
      </c>
      <c r="BH1460">
        <v>0</v>
      </c>
      <c r="BI1460">
        <v>0</v>
      </c>
      <c r="BJ1460">
        <v>3850</v>
      </c>
      <c r="BK1460">
        <v>-50</v>
      </c>
      <c r="BL1460" t="s">
        <v>188</v>
      </c>
      <c r="BM1460">
        <v>1</v>
      </c>
      <c r="BN1460">
        <v>1</v>
      </c>
      <c r="BO1460">
        <v>0</v>
      </c>
      <c r="BP1460">
        <v>0</v>
      </c>
      <c r="BS1460">
        <v>0</v>
      </c>
      <c r="BT1460">
        <v>0</v>
      </c>
      <c r="BU1460">
        <v>0</v>
      </c>
      <c r="CE1460" t="str">
        <f t="shared" ref="CE1460:CE1465" si="579">"15:08:35.276"</f>
        <v>15:08:35.276</v>
      </c>
      <c r="CF1460">
        <v>275955101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5</v>
      </c>
      <c r="CY1460">
        <v>7</v>
      </c>
      <c r="CZ1460" t="s">
        <v>133</v>
      </c>
      <c r="DA1460">
        <v>275</v>
      </c>
      <c r="DB1460">
        <v>0</v>
      </c>
      <c r="DC1460" t="s">
        <v>134</v>
      </c>
      <c r="DD1460" t="s">
        <v>135</v>
      </c>
      <c r="DG1460">
        <v>3320380</v>
      </c>
      <c r="DI1460">
        <v>1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"05/01/2025 15:08:35.531"</f>
        <v>05/01/2025 15:08:35.531</v>
      </c>
      <c r="C1461" t="str">
        <f t="shared" si="558"/>
        <v>FFDFD3C0</v>
      </c>
      <c r="D1461" t="s">
        <v>145</v>
      </c>
      <c r="E1461" t="str">
        <f>"05"</f>
        <v>05</v>
      </c>
      <c r="H1461">
        <v>47</v>
      </c>
      <c r="I1461" t="s">
        <v>146</v>
      </c>
      <c r="J1461" t="s">
        <v>138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R1461" t="s">
        <v>127</v>
      </c>
      <c r="S1461" t="str">
        <f t="shared" si="578"/>
        <v>15:08:35.000</v>
      </c>
      <c r="T1461" t="str">
        <f t="shared" si="578"/>
        <v>15:08:35.000</v>
      </c>
      <c r="U1461" t="str">
        <f t="shared" si="559"/>
        <v>A68FCB</v>
      </c>
      <c r="V1461">
        <v>0</v>
      </c>
      <c r="W1461">
        <v>0</v>
      </c>
      <c r="X1461">
        <v>2</v>
      </c>
      <c r="Y1461">
        <v>0</v>
      </c>
      <c r="AA1461">
        <v>1</v>
      </c>
      <c r="AB1461">
        <v>8</v>
      </c>
      <c r="AC1461">
        <v>3</v>
      </c>
      <c r="AD1461">
        <v>0</v>
      </c>
      <c r="AE1461">
        <v>9</v>
      </c>
      <c r="AF1461" t="s">
        <v>138</v>
      </c>
      <c r="AG1461">
        <v>0</v>
      </c>
      <c r="AH1461">
        <v>3</v>
      </c>
      <c r="AI1461">
        <v>2</v>
      </c>
      <c r="AJ1461">
        <v>0</v>
      </c>
      <c r="AK1461" t="s">
        <v>548</v>
      </c>
      <c r="AL1461">
        <v>39.016914</v>
      </c>
      <c r="AM1461" t="s">
        <v>549</v>
      </c>
      <c r="AN1461">
        <v>-121.053929</v>
      </c>
      <c r="AO1461">
        <v>25</v>
      </c>
      <c r="AP1461">
        <v>3900</v>
      </c>
      <c r="AQ1461" t="s">
        <v>131</v>
      </c>
      <c r="AR1461">
        <v>27</v>
      </c>
      <c r="AS1461">
        <v>73</v>
      </c>
      <c r="AT1461">
        <v>256</v>
      </c>
      <c r="BB1461" t="str">
        <f t="shared" si="560"/>
        <v>1200</v>
      </c>
      <c r="BC1461">
        <v>1</v>
      </c>
      <c r="BD1461" t="str">
        <f t="shared" si="561"/>
        <v xml:space="preserve">N52156  </v>
      </c>
      <c r="BE1461">
        <v>1</v>
      </c>
      <c r="BG1461">
        <v>0</v>
      </c>
      <c r="BH1461">
        <v>0</v>
      </c>
      <c r="BI1461">
        <v>0</v>
      </c>
      <c r="BJ1461">
        <v>3850</v>
      </c>
      <c r="BK1461">
        <v>-50</v>
      </c>
      <c r="BL1461" t="s">
        <v>188</v>
      </c>
      <c r="BM1461">
        <v>1</v>
      </c>
      <c r="BN1461">
        <v>1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 t="shared" si="579"/>
        <v>15:08:35.276</v>
      </c>
      <c r="CF1461">
        <v>275955101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133</v>
      </c>
      <c r="DA1461">
        <v>275</v>
      </c>
      <c r="DB1461">
        <v>0</v>
      </c>
      <c r="DC1461" t="s">
        <v>134</v>
      </c>
      <c r="DD1461" t="s">
        <v>135</v>
      </c>
      <c r="DG1461">
        <v>3320380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"05/01/2025 15:08:35.536"</f>
        <v>05/01/2025 15:08:35.536</v>
      </c>
      <c r="C1462" t="str">
        <f t="shared" si="558"/>
        <v>FFDFD3C0</v>
      </c>
      <c r="D1462" t="s">
        <v>143</v>
      </c>
      <c r="E1462" t="str">
        <f>"05"</f>
        <v>05</v>
      </c>
      <c r="H1462">
        <v>172</v>
      </c>
      <c r="I1462" t="s">
        <v>141</v>
      </c>
      <c r="J1462" t="s">
        <v>144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R1462" t="s">
        <v>127</v>
      </c>
      <c r="S1462" t="str">
        <f t="shared" si="578"/>
        <v>15:08:35.000</v>
      </c>
      <c r="T1462" t="str">
        <f t="shared" si="578"/>
        <v>15:08:35.000</v>
      </c>
      <c r="U1462" t="str">
        <f t="shared" si="559"/>
        <v>A68FCB</v>
      </c>
      <c r="V1462">
        <v>0</v>
      </c>
      <c r="W1462">
        <v>0</v>
      </c>
      <c r="X1462">
        <v>2</v>
      </c>
      <c r="Y1462">
        <v>0</v>
      </c>
      <c r="AA1462">
        <v>1</v>
      </c>
      <c r="AB1462">
        <v>8</v>
      </c>
      <c r="AC1462">
        <v>3</v>
      </c>
      <c r="AD1462">
        <v>0</v>
      </c>
      <c r="AE1462">
        <v>9</v>
      </c>
      <c r="AF1462" t="s">
        <v>138</v>
      </c>
      <c r="AG1462">
        <v>0</v>
      </c>
      <c r="AH1462">
        <v>3</v>
      </c>
      <c r="AI1462">
        <v>2</v>
      </c>
      <c r="AJ1462">
        <v>0</v>
      </c>
      <c r="AK1462" t="s">
        <v>548</v>
      </c>
      <c r="AL1462">
        <v>39.016914</v>
      </c>
      <c r="AM1462" t="s">
        <v>549</v>
      </c>
      <c r="AN1462">
        <v>-121.053929</v>
      </c>
      <c r="AO1462">
        <v>25</v>
      </c>
      <c r="AP1462">
        <v>3900</v>
      </c>
      <c r="AQ1462" t="s">
        <v>131</v>
      </c>
      <c r="AR1462">
        <v>27</v>
      </c>
      <c r="AS1462">
        <v>73</v>
      </c>
      <c r="AT1462">
        <v>256</v>
      </c>
      <c r="BB1462" t="str">
        <f t="shared" si="560"/>
        <v>1200</v>
      </c>
      <c r="BC1462">
        <v>1</v>
      </c>
      <c r="BD1462" t="str">
        <f t="shared" si="561"/>
        <v xml:space="preserve">N52156  </v>
      </c>
      <c r="BE1462">
        <v>1</v>
      </c>
      <c r="BG1462">
        <v>0</v>
      </c>
      <c r="BH1462">
        <v>0</v>
      </c>
      <c r="BI1462">
        <v>0</v>
      </c>
      <c r="BJ1462">
        <v>3850</v>
      </c>
      <c r="BK1462">
        <v>-50</v>
      </c>
      <c r="BL1462" t="s">
        <v>188</v>
      </c>
      <c r="BM1462">
        <v>1</v>
      </c>
      <c r="BN1462">
        <v>1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 t="shared" si="579"/>
        <v>15:08:35.276</v>
      </c>
      <c r="CF1462">
        <v>275955101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5</v>
      </c>
      <c r="CY1462">
        <v>7</v>
      </c>
      <c r="CZ1462" t="s">
        <v>133</v>
      </c>
      <c r="DA1462">
        <v>275</v>
      </c>
      <c r="DB1462">
        <v>0</v>
      </c>
      <c r="DC1462" t="s">
        <v>134</v>
      </c>
      <c r="DD1462" t="s">
        <v>135</v>
      </c>
      <c r="DG1462">
        <v>3320380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"05/01/2025 15:08:35.532"</f>
        <v>05/01/2025 15:08:35.532</v>
      </c>
      <c r="C1463" t="str">
        <f t="shared" si="558"/>
        <v>FFDFD3C0</v>
      </c>
      <c r="D1463" t="s">
        <v>124</v>
      </c>
      <c r="E1463" t="str">
        <f>"06"</f>
        <v>06</v>
      </c>
      <c r="F1463">
        <v>2006</v>
      </c>
      <c r="G1463" t="s">
        <v>125</v>
      </c>
      <c r="J1463" t="s">
        <v>126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R1463" t="s">
        <v>127</v>
      </c>
      <c r="S1463" t="str">
        <f t="shared" si="578"/>
        <v>15:08:35.000</v>
      </c>
      <c r="T1463" t="str">
        <f t="shared" si="578"/>
        <v>15:08:35.000</v>
      </c>
      <c r="U1463" t="str">
        <f t="shared" si="559"/>
        <v>A68FCB</v>
      </c>
      <c r="V1463">
        <v>0</v>
      </c>
      <c r="W1463">
        <v>0</v>
      </c>
      <c r="X1463">
        <v>2</v>
      </c>
      <c r="Y1463">
        <v>0</v>
      </c>
      <c r="AA1463">
        <v>1</v>
      </c>
      <c r="AB1463">
        <v>8</v>
      </c>
      <c r="AC1463">
        <v>3</v>
      </c>
      <c r="AD1463">
        <v>0</v>
      </c>
      <c r="AE1463">
        <v>9</v>
      </c>
      <c r="AF1463" t="s">
        <v>138</v>
      </c>
      <c r="AG1463">
        <v>0</v>
      </c>
      <c r="AH1463">
        <v>3</v>
      </c>
      <c r="AI1463">
        <v>2</v>
      </c>
      <c r="AJ1463">
        <v>0</v>
      </c>
      <c r="AK1463" t="s">
        <v>548</v>
      </c>
      <c r="AL1463">
        <v>39.016914</v>
      </c>
      <c r="AM1463" t="s">
        <v>549</v>
      </c>
      <c r="AN1463">
        <v>-121.053929</v>
      </c>
      <c r="AO1463">
        <v>25</v>
      </c>
      <c r="AP1463">
        <v>3900</v>
      </c>
      <c r="AQ1463" t="s">
        <v>131</v>
      </c>
      <c r="AR1463">
        <v>27</v>
      </c>
      <c r="AS1463">
        <v>73</v>
      </c>
      <c r="AT1463">
        <v>256</v>
      </c>
      <c r="BB1463" t="str">
        <f t="shared" si="560"/>
        <v>1200</v>
      </c>
      <c r="BC1463">
        <v>1</v>
      </c>
      <c r="BD1463" t="str">
        <f t="shared" si="561"/>
        <v xml:space="preserve">N52156  </v>
      </c>
      <c r="BE1463">
        <v>1</v>
      </c>
      <c r="BG1463">
        <v>0</v>
      </c>
      <c r="BH1463">
        <v>0</v>
      </c>
      <c r="BI1463">
        <v>0</v>
      </c>
      <c r="BJ1463">
        <v>3850</v>
      </c>
      <c r="BK1463">
        <v>-50</v>
      </c>
      <c r="BL1463" t="s">
        <v>188</v>
      </c>
      <c r="BM1463">
        <v>1</v>
      </c>
      <c r="BN1463">
        <v>1</v>
      </c>
      <c r="BO1463">
        <v>0</v>
      </c>
      <c r="BP1463">
        <v>0</v>
      </c>
      <c r="BS1463">
        <v>0</v>
      </c>
      <c r="BT1463">
        <v>0</v>
      </c>
      <c r="BU1463">
        <v>0</v>
      </c>
      <c r="CE1463" t="str">
        <f t="shared" si="579"/>
        <v>15:08:35.276</v>
      </c>
      <c r="CF1463">
        <v>275955101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5</v>
      </c>
      <c r="CY1463">
        <v>7</v>
      </c>
      <c r="CZ1463" t="s">
        <v>133</v>
      </c>
      <c r="DA1463">
        <v>275</v>
      </c>
      <c r="DB1463">
        <v>0</v>
      </c>
      <c r="DC1463" t="s">
        <v>134</v>
      </c>
      <c r="DD1463" t="s">
        <v>135</v>
      </c>
      <c r="DG1463">
        <v>3320380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"05/01/2025 15:08:35.535"</f>
        <v>05/01/2025 15:08:35.535</v>
      </c>
      <c r="C1464" t="str">
        <f t="shared" si="558"/>
        <v>FFDFD3C0</v>
      </c>
      <c r="D1464" t="s">
        <v>145</v>
      </c>
      <c r="E1464" t="str">
        <f>"09"</f>
        <v>09</v>
      </c>
      <c r="H1464">
        <v>51</v>
      </c>
      <c r="I1464" t="s">
        <v>147</v>
      </c>
      <c r="J1464" t="s">
        <v>138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R1464" t="s">
        <v>127</v>
      </c>
      <c r="S1464" t="str">
        <f t="shared" si="578"/>
        <v>15:08:35.000</v>
      </c>
      <c r="T1464" t="str">
        <f t="shared" si="578"/>
        <v>15:08:35.000</v>
      </c>
      <c r="U1464" t="str">
        <f t="shared" si="559"/>
        <v>A68FCB</v>
      </c>
      <c r="V1464">
        <v>0</v>
      </c>
      <c r="W1464">
        <v>0</v>
      </c>
      <c r="X1464">
        <v>2</v>
      </c>
      <c r="Y1464">
        <v>0</v>
      </c>
      <c r="AA1464">
        <v>1</v>
      </c>
      <c r="AB1464">
        <v>8</v>
      </c>
      <c r="AC1464">
        <v>3</v>
      </c>
      <c r="AD1464">
        <v>0</v>
      </c>
      <c r="AE1464">
        <v>9</v>
      </c>
      <c r="AF1464" t="s">
        <v>138</v>
      </c>
      <c r="AG1464">
        <v>0</v>
      </c>
      <c r="AH1464">
        <v>3</v>
      </c>
      <c r="AI1464">
        <v>2</v>
      </c>
      <c r="AJ1464">
        <v>0</v>
      </c>
      <c r="AK1464" t="s">
        <v>548</v>
      </c>
      <c r="AL1464">
        <v>39.016914</v>
      </c>
      <c r="AM1464" t="s">
        <v>549</v>
      </c>
      <c r="AN1464">
        <v>-121.053929</v>
      </c>
      <c r="AO1464">
        <v>25</v>
      </c>
      <c r="AP1464">
        <v>3900</v>
      </c>
      <c r="AQ1464" t="s">
        <v>131</v>
      </c>
      <c r="AR1464">
        <v>27</v>
      </c>
      <c r="AS1464">
        <v>73</v>
      </c>
      <c r="AT1464">
        <v>256</v>
      </c>
      <c r="BB1464" t="str">
        <f t="shared" si="560"/>
        <v>1200</v>
      </c>
      <c r="BC1464">
        <v>1</v>
      </c>
      <c r="BD1464" t="str">
        <f t="shared" si="561"/>
        <v xml:space="preserve">N52156  </v>
      </c>
      <c r="BE1464">
        <v>1</v>
      </c>
      <c r="BG1464">
        <v>0</v>
      </c>
      <c r="BH1464">
        <v>0</v>
      </c>
      <c r="BI1464">
        <v>0</v>
      </c>
      <c r="BJ1464">
        <v>3850</v>
      </c>
      <c r="BK1464">
        <v>-50</v>
      </c>
      <c r="BL1464" t="s">
        <v>188</v>
      </c>
      <c r="BM1464">
        <v>1</v>
      </c>
      <c r="BN1464">
        <v>1</v>
      </c>
      <c r="BO1464">
        <v>0</v>
      </c>
      <c r="BP1464">
        <v>0</v>
      </c>
      <c r="BS1464">
        <v>0</v>
      </c>
      <c r="BT1464">
        <v>0</v>
      </c>
      <c r="BU1464">
        <v>0</v>
      </c>
      <c r="CE1464" t="str">
        <f t="shared" si="579"/>
        <v>15:08:35.276</v>
      </c>
      <c r="CF1464">
        <v>275955101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5</v>
      </c>
      <c r="CY1464">
        <v>7</v>
      </c>
      <c r="CZ1464" t="s">
        <v>133</v>
      </c>
      <c r="DA1464">
        <v>275</v>
      </c>
      <c r="DB1464">
        <v>0</v>
      </c>
      <c r="DC1464" t="s">
        <v>134</v>
      </c>
      <c r="DD1464" t="s">
        <v>135</v>
      </c>
      <c r="DG1464">
        <v>3320380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"05/01/2025 15:08:35.544"</f>
        <v>05/01/2025 15:08:35.544</v>
      </c>
      <c r="C1465" t="str">
        <f t="shared" si="558"/>
        <v>FFDFD3C0</v>
      </c>
      <c r="D1465" t="s">
        <v>136</v>
      </c>
      <c r="E1465" t="str">
        <f>"20"</f>
        <v>20</v>
      </c>
      <c r="H1465">
        <v>400</v>
      </c>
      <c r="I1465" t="s">
        <v>137</v>
      </c>
      <c r="J1465" t="s">
        <v>138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R1465" t="s">
        <v>127</v>
      </c>
      <c r="S1465" t="str">
        <f t="shared" si="578"/>
        <v>15:08:35.000</v>
      </c>
      <c r="T1465" t="str">
        <f t="shared" si="578"/>
        <v>15:08:35.000</v>
      </c>
      <c r="U1465" t="str">
        <f t="shared" si="559"/>
        <v>A68FCB</v>
      </c>
      <c r="V1465">
        <v>0</v>
      </c>
      <c r="W1465">
        <v>0</v>
      </c>
      <c r="X1465">
        <v>2</v>
      </c>
      <c r="Y1465">
        <v>0</v>
      </c>
      <c r="AA1465">
        <v>1</v>
      </c>
      <c r="AB1465">
        <v>8</v>
      </c>
      <c r="AC1465">
        <v>3</v>
      </c>
      <c r="AD1465">
        <v>0</v>
      </c>
      <c r="AE1465">
        <v>9</v>
      </c>
      <c r="AF1465" t="s">
        <v>138</v>
      </c>
      <c r="AG1465">
        <v>0</v>
      </c>
      <c r="AH1465">
        <v>3</v>
      </c>
      <c r="AI1465">
        <v>2</v>
      </c>
      <c r="AJ1465">
        <v>0</v>
      </c>
      <c r="AK1465" t="s">
        <v>548</v>
      </c>
      <c r="AL1465">
        <v>39.016914</v>
      </c>
      <c r="AM1465" t="s">
        <v>549</v>
      </c>
      <c r="AN1465">
        <v>-121.053929</v>
      </c>
      <c r="AO1465">
        <v>25</v>
      </c>
      <c r="AP1465">
        <v>3900</v>
      </c>
      <c r="AQ1465" t="s">
        <v>131</v>
      </c>
      <c r="AR1465">
        <v>27</v>
      </c>
      <c r="AS1465">
        <v>73</v>
      </c>
      <c r="AT1465">
        <v>256</v>
      </c>
      <c r="BB1465" t="str">
        <f t="shared" si="560"/>
        <v>1200</v>
      </c>
      <c r="BC1465">
        <v>1</v>
      </c>
      <c r="BD1465" t="str">
        <f t="shared" si="561"/>
        <v xml:space="preserve">N52156  </v>
      </c>
      <c r="BE1465">
        <v>1</v>
      </c>
      <c r="BG1465">
        <v>0</v>
      </c>
      <c r="BH1465">
        <v>0</v>
      </c>
      <c r="BI1465">
        <v>0</v>
      </c>
      <c r="BJ1465">
        <v>3850</v>
      </c>
      <c r="BK1465">
        <v>-50</v>
      </c>
      <c r="BL1465" t="s">
        <v>188</v>
      </c>
      <c r="BM1465">
        <v>1</v>
      </c>
      <c r="BN1465">
        <v>1</v>
      </c>
      <c r="BO1465">
        <v>0</v>
      </c>
      <c r="BP1465">
        <v>0</v>
      </c>
      <c r="BS1465">
        <v>0</v>
      </c>
      <c r="BT1465">
        <v>0</v>
      </c>
      <c r="BU1465">
        <v>0</v>
      </c>
      <c r="CE1465" t="str">
        <f t="shared" si="579"/>
        <v>15:08:35.276</v>
      </c>
      <c r="CF1465">
        <v>275955101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133</v>
      </c>
      <c r="DA1465">
        <v>275</v>
      </c>
      <c r="DB1465">
        <v>0</v>
      </c>
      <c r="DC1465" t="s">
        <v>134</v>
      </c>
      <c r="DD1465" t="s">
        <v>135</v>
      </c>
      <c r="DG1465">
        <v>3320380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"05/01/2025 15:08:36.479"</f>
        <v>05/01/2025 15:08:36.479</v>
      </c>
      <c r="C1466" t="str">
        <f t="shared" si="558"/>
        <v>FFDFD3C0</v>
      </c>
      <c r="D1466" t="s">
        <v>140</v>
      </c>
      <c r="E1466" t="str">
        <f>"13"</f>
        <v>13</v>
      </c>
      <c r="F1466">
        <v>1019</v>
      </c>
      <c r="G1466" t="s">
        <v>141</v>
      </c>
      <c r="J1466" t="s">
        <v>142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R1466" t="s">
        <v>127</v>
      </c>
      <c r="S1466" t="str">
        <f t="shared" ref="S1466:T1471" si="580">"15:08:36.000"</f>
        <v>15:08:36.000</v>
      </c>
      <c r="T1466" t="str">
        <f t="shared" si="580"/>
        <v>15:08:36.000</v>
      </c>
      <c r="U1466" t="str">
        <f t="shared" si="559"/>
        <v>A68FCB</v>
      </c>
      <c r="V1466">
        <v>0</v>
      </c>
      <c r="W1466">
        <v>0</v>
      </c>
      <c r="X1466">
        <v>2</v>
      </c>
      <c r="Y1466">
        <v>0</v>
      </c>
      <c r="AA1466">
        <v>1</v>
      </c>
      <c r="AB1466">
        <v>8</v>
      </c>
      <c r="AC1466">
        <v>3</v>
      </c>
      <c r="AD1466">
        <v>0</v>
      </c>
      <c r="AE1466">
        <v>9</v>
      </c>
      <c r="AF1466" t="s">
        <v>138</v>
      </c>
      <c r="AG1466">
        <v>0</v>
      </c>
      <c r="AH1466">
        <v>3</v>
      </c>
      <c r="AI1466">
        <v>2</v>
      </c>
      <c r="AJ1466">
        <v>0</v>
      </c>
      <c r="AK1466" t="s">
        <v>550</v>
      </c>
      <c r="AL1466">
        <v>39.017257999999998</v>
      </c>
      <c r="AM1466" t="s">
        <v>551</v>
      </c>
      <c r="AN1466">
        <v>-121.05377900000001</v>
      </c>
      <c r="AO1466">
        <v>25</v>
      </c>
      <c r="AP1466">
        <v>3900</v>
      </c>
      <c r="AQ1466" t="s">
        <v>131</v>
      </c>
      <c r="AR1466">
        <v>27</v>
      </c>
      <c r="AS1466">
        <v>72</v>
      </c>
      <c r="AT1466">
        <v>320</v>
      </c>
      <c r="BB1466" t="str">
        <f t="shared" si="560"/>
        <v>1200</v>
      </c>
      <c r="BC1466">
        <v>1</v>
      </c>
      <c r="BD1466" t="str">
        <f t="shared" si="561"/>
        <v xml:space="preserve">N52156  </v>
      </c>
      <c r="BE1466">
        <v>1</v>
      </c>
      <c r="BG1466">
        <v>0</v>
      </c>
      <c r="BH1466">
        <v>0</v>
      </c>
      <c r="BI1466">
        <v>0</v>
      </c>
      <c r="BJ1466">
        <v>3875</v>
      </c>
      <c r="BK1466">
        <v>-25</v>
      </c>
      <c r="BL1466" t="s">
        <v>188</v>
      </c>
      <c r="BM1466">
        <v>1</v>
      </c>
      <c r="BN1466">
        <v>1</v>
      </c>
      <c r="BO1466">
        <v>0</v>
      </c>
      <c r="BP1466">
        <v>0</v>
      </c>
      <c r="BS1466">
        <v>0</v>
      </c>
      <c r="BT1466">
        <v>0</v>
      </c>
      <c r="BU1466">
        <v>0</v>
      </c>
      <c r="CE1466" t="str">
        <f t="shared" ref="CE1466:CE1471" si="581">"15:08:36.228"</f>
        <v>15:08:36.228</v>
      </c>
      <c r="CF1466">
        <v>227955040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5</v>
      </c>
      <c r="CY1466">
        <v>7</v>
      </c>
      <c r="CZ1466" t="s">
        <v>133</v>
      </c>
      <c r="DA1466">
        <v>275</v>
      </c>
      <c r="DB1466">
        <v>0</v>
      </c>
      <c r="DC1466" t="s">
        <v>134</v>
      </c>
      <c r="DD1466" t="s">
        <v>135</v>
      </c>
      <c r="DG1466">
        <v>3320387</v>
      </c>
      <c r="DI1466">
        <v>1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"05/01/2025 15:08:36.483"</f>
        <v>05/01/2025 15:08:36.483</v>
      </c>
      <c r="C1467" t="str">
        <f t="shared" si="558"/>
        <v>FFDFD3C0</v>
      </c>
      <c r="D1467" t="s">
        <v>145</v>
      </c>
      <c r="E1467" t="str">
        <f>"05"</f>
        <v>05</v>
      </c>
      <c r="H1467">
        <v>47</v>
      </c>
      <c r="I1467" t="s">
        <v>146</v>
      </c>
      <c r="J1467" t="s">
        <v>138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R1467" t="s">
        <v>127</v>
      </c>
      <c r="S1467" t="str">
        <f t="shared" si="580"/>
        <v>15:08:36.000</v>
      </c>
      <c r="T1467" t="str">
        <f t="shared" si="580"/>
        <v>15:08:36.000</v>
      </c>
      <c r="U1467" t="str">
        <f t="shared" si="559"/>
        <v>A68FCB</v>
      </c>
      <c r="V1467">
        <v>0</v>
      </c>
      <c r="W1467">
        <v>0</v>
      </c>
      <c r="X1467">
        <v>2</v>
      </c>
      <c r="Y1467">
        <v>0</v>
      </c>
      <c r="AA1467">
        <v>1</v>
      </c>
      <c r="AB1467">
        <v>8</v>
      </c>
      <c r="AC1467">
        <v>3</v>
      </c>
      <c r="AD1467">
        <v>0</v>
      </c>
      <c r="AE1467">
        <v>9</v>
      </c>
      <c r="AF1467" t="s">
        <v>138</v>
      </c>
      <c r="AG1467">
        <v>0</v>
      </c>
      <c r="AH1467">
        <v>3</v>
      </c>
      <c r="AI1467">
        <v>2</v>
      </c>
      <c r="AJ1467">
        <v>0</v>
      </c>
      <c r="AK1467" t="s">
        <v>550</v>
      </c>
      <c r="AL1467">
        <v>39.017257999999998</v>
      </c>
      <c r="AM1467" t="s">
        <v>551</v>
      </c>
      <c r="AN1467">
        <v>-121.05377900000001</v>
      </c>
      <c r="AO1467">
        <v>25</v>
      </c>
      <c r="AP1467">
        <v>3900</v>
      </c>
      <c r="AQ1467" t="s">
        <v>131</v>
      </c>
      <c r="AR1467">
        <v>27</v>
      </c>
      <c r="AS1467">
        <v>72</v>
      </c>
      <c r="AT1467">
        <v>320</v>
      </c>
      <c r="BB1467" t="str">
        <f t="shared" si="560"/>
        <v>1200</v>
      </c>
      <c r="BC1467">
        <v>1</v>
      </c>
      <c r="BD1467" t="str">
        <f t="shared" si="561"/>
        <v xml:space="preserve">N52156  </v>
      </c>
      <c r="BE1467">
        <v>1</v>
      </c>
      <c r="BG1467">
        <v>0</v>
      </c>
      <c r="BH1467">
        <v>0</v>
      </c>
      <c r="BI1467">
        <v>0</v>
      </c>
      <c r="BJ1467">
        <v>3875</v>
      </c>
      <c r="BK1467">
        <v>-25</v>
      </c>
      <c r="BL1467" t="s">
        <v>188</v>
      </c>
      <c r="BM1467">
        <v>1</v>
      </c>
      <c r="BN1467">
        <v>1</v>
      </c>
      <c r="BO1467">
        <v>0</v>
      </c>
      <c r="BP1467">
        <v>0</v>
      </c>
      <c r="BS1467">
        <v>0</v>
      </c>
      <c r="BT1467">
        <v>0</v>
      </c>
      <c r="BU1467">
        <v>0</v>
      </c>
      <c r="CE1467" t="str">
        <f t="shared" si="581"/>
        <v>15:08:36.228</v>
      </c>
      <c r="CF1467">
        <v>227955040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5</v>
      </c>
      <c r="CY1467">
        <v>7</v>
      </c>
      <c r="CZ1467" t="s">
        <v>133</v>
      </c>
      <c r="DA1467">
        <v>275</v>
      </c>
      <c r="DB1467">
        <v>0</v>
      </c>
      <c r="DC1467" t="s">
        <v>134</v>
      </c>
      <c r="DD1467" t="s">
        <v>135</v>
      </c>
      <c r="DG1467">
        <v>3320387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"05/01/2025 15:08:36.484"</f>
        <v>05/01/2025 15:08:36.484</v>
      </c>
      <c r="C1468" t="str">
        <f t="shared" si="558"/>
        <v>FFDFD3C0</v>
      </c>
      <c r="D1468" t="s">
        <v>124</v>
      </c>
      <c r="E1468" t="str">
        <f>"06"</f>
        <v>06</v>
      </c>
      <c r="F1468">
        <v>2006</v>
      </c>
      <c r="G1468" t="s">
        <v>125</v>
      </c>
      <c r="J1468" t="s">
        <v>126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R1468" t="s">
        <v>127</v>
      </c>
      <c r="S1468" t="str">
        <f t="shared" si="580"/>
        <v>15:08:36.000</v>
      </c>
      <c r="T1468" t="str">
        <f t="shared" si="580"/>
        <v>15:08:36.000</v>
      </c>
      <c r="U1468" t="str">
        <f t="shared" si="559"/>
        <v>A68FCB</v>
      </c>
      <c r="V1468">
        <v>0</v>
      </c>
      <c r="W1468">
        <v>0</v>
      </c>
      <c r="X1468">
        <v>2</v>
      </c>
      <c r="Y1468">
        <v>0</v>
      </c>
      <c r="AA1468">
        <v>1</v>
      </c>
      <c r="AB1468">
        <v>8</v>
      </c>
      <c r="AC1468">
        <v>3</v>
      </c>
      <c r="AD1468">
        <v>0</v>
      </c>
      <c r="AE1468">
        <v>9</v>
      </c>
      <c r="AF1468" t="s">
        <v>138</v>
      </c>
      <c r="AG1468">
        <v>0</v>
      </c>
      <c r="AH1468">
        <v>3</v>
      </c>
      <c r="AI1468">
        <v>2</v>
      </c>
      <c r="AJ1468">
        <v>0</v>
      </c>
      <c r="AK1468" t="s">
        <v>550</v>
      </c>
      <c r="AL1468">
        <v>39.017257999999998</v>
      </c>
      <c r="AM1468" t="s">
        <v>551</v>
      </c>
      <c r="AN1468">
        <v>-121.05377900000001</v>
      </c>
      <c r="AO1468">
        <v>25</v>
      </c>
      <c r="AP1468">
        <v>3900</v>
      </c>
      <c r="AQ1468" t="s">
        <v>131</v>
      </c>
      <c r="AR1468">
        <v>27</v>
      </c>
      <c r="AS1468">
        <v>72</v>
      </c>
      <c r="AT1468">
        <v>320</v>
      </c>
      <c r="BB1468" t="str">
        <f t="shared" si="560"/>
        <v>1200</v>
      </c>
      <c r="BC1468">
        <v>1</v>
      </c>
      <c r="BD1468" t="str">
        <f t="shared" si="561"/>
        <v xml:space="preserve">N52156  </v>
      </c>
      <c r="BE1468">
        <v>1</v>
      </c>
      <c r="BG1468">
        <v>0</v>
      </c>
      <c r="BH1468">
        <v>0</v>
      </c>
      <c r="BI1468">
        <v>0</v>
      </c>
      <c r="BJ1468">
        <v>3875</v>
      </c>
      <c r="BK1468">
        <v>-25</v>
      </c>
      <c r="BL1468" t="s">
        <v>188</v>
      </c>
      <c r="BM1468">
        <v>1</v>
      </c>
      <c r="BN1468">
        <v>1</v>
      </c>
      <c r="BO1468">
        <v>0</v>
      </c>
      <c r="BP1468">
        <v>0</v>
      </c>
      <c r="BS1468">
        <v>0</v>
      </c>
      <c r="BT1468">
        <v>0</v>
      </c>
      <c r="BU1468">
        <v>0</v>
      </c>
      <c r="CE1468" t="str">
        <f t="shared" si="581"/>
        <v>15:08:36.228</v>
      </c>
      <c r="CF1468">
        <v>227955040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5</v>
      </c>
      <c r="CY1468">
        <v>7</v>
      </c>
      <c r="CZ1468" t="s">
        <v>133</v>
      </c>
      <c r="DA1468">
        <v>275</v>
      </c>
      <c r="DB1468">
        <v>0</v>
      </c>
      <c r="DC1468" t="s">
        <v>134</v>
      </c>
      <c r="DD1468" t="s">
        <v>135</v>
      </c>
      <c r="DG1468">
        <v>3320387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"05/01/2025 15:08:36.486"</f>
        <v>05/01/2025 15:08:36.486</v>
      </c>
      <c r="C1469" t="str">
        <f t="shared" si="558"/>
        <v>FFDFD3C0</v>
      </c>
      <c r="D1469" t="s">
        <v>145</v>
      </c>
      <c r="E1469" t="str">
        <f>"09"</f>
        <v>09</v>
      </c>
      <c r="H1469">
        <v>51</v>
      </c>
      <c r="I1469" t="s">
        <v>147</v>
      </c>
      <c r="J1469" t="s">
        <v>138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R1469" t="s">
        <v>127</v>
      </c>
      <c r="S1469" t="str">
        <f t="shared" si="580"/>
        <v>15:08:36.000</v>
      </c>
      <c r="T1469" t="str">
        <f t="shared" si="580"/>
        <v>15:08:36.000</v>
      </c>
      <c r="U1469" t="str">
        <f t="shared" si="559"/>
        <v>A68FCB</v>
      </c>
      <c r="V1469">
        <v>0</v>
      </c>
      <c r="W1469">
        <v>0</v>
      </c>
      <c r="X1469">
        <v>2</v>
      </c>
      <c r="Y1469">
        <v>0</v>
      </c>
      <c r="AA1469">
        <v>1</v>
      </c>
      <c r="AB1469">
        <v>8</v>
      </c>
      <c r="AC1469">
        <v>3</v>
      </c>
      <c r="AD1469">
        <v>0</v>
      </c>
      <c r="AE1469">
        <v>9</v>
      </c>
      <c r="AF1469" t="s">
        <v>138</v>
      </c>
      <c r="AG1469">
        <v>0</v>
      </c>
      <c r="AH1469">
        <v>3</v>
      </c>
      <c r="AI1469">
        <v>2</v>
      </c>
      <c r="AJ1469">
        <v>0</v>
      </c>
      <c r="AK1469" t="s">
        <v>550</v>
      </c>
      <c r="AL1469">
        <v>39.017257999999998</v>
      </c>
      <c r="AM1469" t="s">
        <v>551</v>
      </c>
      <c r="AN1469">
        <v>-121.05377900000001</v>
      </c>
      <c r="AO1469">
        <v>25</v>
      </c>
      <c r="AP1469">
        <v>3900</v>
      </c>
      <c r="AQ1469" t="s">
        <v>131</v>
      </c>
      <c r="AR1469">
        <v>27</v>
      </c>
      <c r="AS1469">
        <v>72</v>
      </c>
      <c r="AT1469">
        <v>320</v>
      </c>
      <c r="BB1469" t="str">
        <f t="shared" si="560"/>
        <v>1200</v>
      </c>
      <c r="BC1469">
        <v>1</v>
      </c>
      <c r="BD1469" t="str">
        <f t="shared" si="561"/>
        <v xml:space="preserve">N52156  </v>
      </c>
      <c r="BE1469">
        <v>1</v>
      </c>
      <c r="BG1469">
        <v>0</v>
      </c>
      <c r="BH1469">
        <v>0</v>
      </c>
      <c r="BI1469">
        <v>0</v>
      </c>
      <c r="BJ1469">
        <v>3875</v>
      </c>
      <c r="BK1469">
        <v>-25</v>
      </c>
      <c r="BL1469" t="s">
        <v>188</v>
      </c>
      <c r="BM1469">
        <v>1</v>
      </c>
      <c r="BN1469">
        <v>1</v>
      </c>
      <c r="BO1469">
        <v>0</v>
      </c>
      <c r="BP1469">
        <v>0</v>
      </c>
      <c r="BS1469">
        <v>0</v>
      </c>
      <c r="BT1469">
        <v>0</v>
      </c>
      <c r="BU1469">
        <v>0</v>
      </c>
      <c r="CE1469" t="str">
        <f t="shared" si="581"/>
        <v>15:08:36.228</v>
      </c>
      <c r="CF1469">
        <v>227955040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5</v>
      </c>
      <c r="CY1469">
        <v>7</v>
      </c>
      <c r="CZ1469" t="s">
        <v>133</v>
      </c>
      <c r="DA1469">
        <v>275</v>
      </c>
      <c r="DB1469">
        <v>0</v>
      </c>
      <c r="DC1469" t="s">
        <v>134</v>
      </c>
      <c r="DD1469" t="s">
        <v>135</v>
      </c>
      <c r="DG1469">
        <v>3320387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"05/01/2025 15:08:36.488"</f>
        <v>05/01/2025 15:08:36.488</v>
      </c>
      <c r="C1470" t="str">
        <f t="shared" si="558"/>
        <v>FFDFD3C0</v>
      </c>
      <c r="D1470" t="s">
        <v>143</v>
      </c>
      <c r="E1470" t="str">
        <f>"05"</f>
        <v>05</v>
      </c>
      <c r="H1470">
        <v>172</v>
      </c>
      <c r="I1470" t="s">
        <v>141</v>
      </c>
      <c r="J1470" t="s">
        <v>144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R1470" t="s">
        <v>127</v>
      </c>
      <c r="S1470" t="str">
        <f t="shared" si="580"/>
        <v>15:08:36.000</v>
      </c>
      <c r="T1470" t="str">
        <f t="shared" si="580"/>
        <v>15:08:36.000</v>
      </c>
      <c r="U1470" t="str">
        <f t="shared" si="559"/>
        <v>A68FCB</v>
      </c>
      <c r="V1470">
        <v>0</v>
      </c>
      <c r="W1470">
        <v>0</v>
      </c>
      <c r="X1470">
        <v>2</v>
      </c>
      <c r="Y1470">
        <v>0</v>
      </c>
      <c r="AA1470">
        <v>1</v>
      </c>
      <c r="AB1470">
        <v>8</v>
      </c>
      <c r="AC1470">
        <v>3</v>
      </c>
      <c r="AD1470">
        <v>0</v>
      </c>
      <c r="AE1470">
        <v>9</v>
      </c>
      <c r="AF1470" t="s">
        <v>138</v>
      </c>
      <c r="AG1470">
        <v>0</v>
      </c>
      <c r="AH1470">
        <v>3</v>
      </c>
      <c r="AI1470">
        <v>2</v>
      </c>
      <c r="AJ1470">
        <v>0</v>
      </c>
      <c r="AK1470" t="s">
        <v>550</v>
      </c>
      <c r="AL1470">
        <v>39.017257999999998</v>
      </c>
      <c r="AM1470" t="s">
        <v>551</v>
      </c>
      <c r="AN1470">
        <v>-121.05377900000001</v>
      </c>
      <c r="AO1470">
        <v>25</v>
      </c>
      <c r="AP1470">
        <v>3900</v>
      </c>
      <c r="AQ1470" t="s">
        <v>131</v>
      </c>
      <c r="AR1470">
        <v>27</v>
      </c>
      <c r="AS1470">
        <v>72</v>
      </c>
      <c r="AT1470">
        <v>320</v>
      </c>
      <c r="BB1470" t="str">
        <f t="shared" si="560"/>
        <v>1200</v>
      </c>
      <c r="BC1470">
        <v>1</v>
      </c>
      <c r="BD1470" t="str">
        <f t="shared" si="561"/>
        <v xml:space="preserve">N52156  </v>
      </c>
      <c r="BE1470">
        <v>1</v>
      </c>
      <c r="BG1470">
        <v>0</v>
      </c>
      <c r="BH1470">
        <v>0</v>
      </c>
      <c r="BI1470">
        <v>0</v>
      </c>
      <c r="BJ1470">
        <v>3875</v>
      </c>
      <c r="BK1470">
        <v>-25</v>
      </c>
      <c r="BL1470" t="s">
        <v>188</v>
      </c>
      <c r="BM1470">
        <v>1</v>
      </c>
      <c r="BN1470">
        <v>1</v>
      </c>
      <c r="BO1470">
        <v>0</v>
      </c>
      <c r="BP1470">
        <v>0</v>
      </c>
      <c r="BS1470">
        <v>0</v>
      </c>
      <c r="BT1470">
        <v>0</v>
      </c>
      <c r="BU1470">
        <v>0</v>
      </c>
      <c r="CE1470" t="str">
        <f t="shared" si="581"/>
        <v>15:08:36.228</v>
      </c>
      <c r="CF1470">
        <v>227955040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133</v>
      </c>
      <c r="DA1470">
        <v>275</v>
      </c>
      <c r="DB1470">
        <v>0</v>
      </c>
      <c r="DC1470" t="s">
        <v>134</v>
      </c>
      <c r="DD1470" t="s">
        <v>135</v>
      </c>
      <c r="DG1470">
        <v>3320387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"05/01/2025 15:08:36.496"</f>
        <v>05/01/2025 15:08:36.496</v>
      </c>
      <c r="C1471" t="str">
        <f t="shared" si="558"/>
        <v>FFDFD3C0</v>
      </c>
      <c r="D1471" t="s">
        <v>136</v>
      </c>
      <c r="E1471" t="str">
        <f>"20"</f>
        <v>20</v>
      </c>
      <c r="H1471">
        <v>400</v>
      </c>
      <c r="I1471" t="s">
        <v>137</v>
      </c>
      <c r="J1471" t="s">
        <v>138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R1471" t="s">
        <v>127</v>
      </c>
      <c r="S1471" t="str">
        <f t="shared" si="580"/>
        <v>15:08:36.000</v>
      </c>
      <c r="T1471" t="str">
        <f t="shared" si="580"/>
        <v>15:08:36.000</v>
      </c>
      <c r="U1471" t="str">
        <f t="shared" si="559"/>
        <v>A68FCB</v>
      </c>
      <c r="V1471">
        <v>0</v>
      </c>
      <c r="W1471">
        <v>0</v>
      </c>
      <c r="X1471">
        <v>2</v>
      </c>
      <c r="Y1471">
        <v>0</v>
      </c>
      <c r="AA1471">
        <v>1</v>
      </c>
      <c r="AB1471">
        <v>8</v>
      </c>
      <c r="AC1471">
        <v>3</v>
      </c>
      <c r="AD1471">
        <v>0</v>
      </c>
      <c r="AE1471">
        <v>9</v>
      </c>
      <c r="AF1471" t="s">
        <v>138</v>
      </c>
      <c r="AG1471">
        <v>0</v>
      </c>
      <c r="AH1471">
        <v>3</v>
      </c>
      <c r="AI1471">
        <v>2</v>
      </c>
      <c r="AJ1471">
        <v>0</v>
      </c>
      <c r="AK1471" t="s">
        <v>550</v>
      </c>
      <c r="AL1471">
        <v>39.017257999999998</v>
      </c>
      <c r="AM1471" t="s">
        <v>551</v>
      </c>
      <c r="AN1471">
        <v>-121.05377900000001</v>
      </c>
      <c r="AO1471">
        <v>25</v>
      </c>
      <c r="AP1471">
        <v>3900</v>
      </c>
      <c r="AQ1471" t="s">
        <v>131</v>
      </c>
      <c r="AR1471">
        <v>27</v>
      </c>
      <c r="AS1471">
        <v>72</v>
      </c>
      <c r="AT1471">
        <v>320</v>
      </c>
      <c r="BB1471" t="str">
        <f t="shared" si="560"/>
        <v>1200</v>
      </c>
      <c r="BC1471">
        <v>1</v>
      </c>
      <c r="BD1471" t="str">
        <f t="shared" si="561"/>
        <v xml:space="preserve">N52156  </v>
      </c>
      <c r="BE1471">
        <v>1</v>
      </c>
      <c r="BG1471">
        <v>0</v>
      </c>
      <c r="BH1471">
        <v>0</v>
      </c>
      <c r="BI1471">
        <v>0</v>
      </c>
      <c r="BJ1471">
        <v>3875</v>
      </c>
      <c r="BK1471">
        <v>-25</v>
      </c>
      <c r="BL1471" t="s">
        <v>188</v>
      </c>
      <c r="BM1471">
        <v>1</v>
      </c>
      <c r="BN1471">
        <v>1</v>
      </c>
      <c r="BO1471">
        <v>0</v>
      </c>
      <c r="BP1471">
        <v>0</v>
      </c>
      <c r="BS1471">
        <v>0</v>
      </c>
      <c r="BT1471">
        <v>0</v>
      </c>
      <c r="BU1471">
        <v>0</v>
      </c>
      <c r="CE1471" t="str">
        <f t="shared" si="581"/>
        <v>15:08:36.228</v>
      </c>
      <c r="CF1471">
        <v>227955040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133</v>
      </c>
      <c r="DA1471">
        <v>275</v>
      </c>
      <c r="DB1471">
        <v>0</v>
      </c>
      <c r="DC1471" t="s">
        <v>134</v>
      </c>
      <c r="DD1471" t="s">
        <v>135</v>
      </c>
      <c r="DG1471">
        <v>3320387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"05/01/2025 15:08:37.949"</f>
        <v>05/01/2025 15:08:37.949</v>
      </c>
      <c r="C1472" t="str">
        <f t="shared" si="558"/>
        <v>FFDFD3C0</v>
      </c>
      <c r="D1472" t="s">
        <v>136</v>
      </c>
      <c r="E1472" t="str">
        <f>"20"</f>
        <v>20</v>
      </c>
      <c r="H1472">
        <v>400</v>
      </c>
      <c r="I1472" t="s">
        <v>137</v>
      </c>
      <c r="J1472" t="s">
        <v>138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R1472" t="s">
        <v>127</v>
      </c>
      <c r="S1472" t="str">
        <f t="shared" ref="S1472:T1477" si="582">"15:08:37.000"</f>
        <v>15:08:37.000</v>
      </c>
      <c r="T1472" t="str">
        <f t="shared" si="582"/>
        <v>15:08:37.000</v>
      </c>
      <c r="U1472" t="str">
        <f t="shared" si="559"/>
        <v>A68FCB</v>
      </c>
      <c r="V1472">
        <v>0</v>
      </c>
      <c r="W1472">
        <v>0</v>
      </c>
      <c r="X1472">
        <v>2</v>
      </c>
      <c r="Y1472">
        <v>0</v>
      </c>
      <c r="AA1472">
        <v>1</v>
      </c>
      <c r="AB1472">
        <v>8</v>
      </c>
      <c r="AC1472">
        <v>3</v>
      </c>
      <c r="AD1472">
        <v>0</v>
      </c>
      <c r="AE1472">
        <v>9</v>
      </c>
      <c r="AF1472" t="s">
        <v>138</v>
      </c>
      <c r="AG1472">
        <v>0</v>
      </c>
      <c r="AH1472">
        <v>3</v>
      </c>
      <c r="AI1472">
        <v>2</v>
      </c>
      <c r="AJ1472">
        <v>0</v>
      </c>
      <c r="AK1472" t="s">
        <v>552</v>
      </c>
      <c r="AL1472">
        <v>39.017600999999999</v>
      </c>
      <c r="AM1472" t="s">
        <v>475</v>
      </c>
      <c r="AN1472">
        <v>-121.053607</v>
      </c>
      <c r="AO1472">
        <v>25</v>
      </c>
      <c r="AP1472">
        <v>3900</v>
      </c>
      <c r="AQ1472" t="s">
        <v>131</v>
      </c>
      <c r="AR1472">
        <v>28</v>
      </c>
      <c r="AS1472">
        <v>71</v>
      </c>
      <c r="AT1472">
        <v>384</v>
      </c>
      <c r="BB1472" t="str">
        <f t="shared" si="560"/>
        <v>1200</v>
      </c>
      <c r="BC1472">
        <v>1</v>
      </c>
      <c r="BD1472" t="str">
        <f t="shared" si="561"/>
        <v xml:space="preserve">N52156  </v>
      </c>
      <c r="BE1472">
        <v>1</v>
      </c>
      <c r="BG1472">
        <v>0</v>
      </c>
      <c r="BH1472">
        <v>0</v>
      </c>
      <c r="BI1472">
        <v>0</v>
      </c>
      <c r="BJ1472">
        <v>3875</v>
      </c>
      <c r="BK1472">
        <v>-25</v>
      </c>
      <c r="BL1472" t="s">
        <v>188</v>
      </c>
      <c r="BM1472">
        <v>1</v>
      </c>
      <c r="BN1472">
        <v>1</v>
      </c>
      <c r="BO1472">
        <v>0</v>
      </c>
      <c r="BP1472">
        <v>0</v>
      </c>
      <c r="BS1472">
        <v>0</v>
      </c>
      <c r="BT1472">
        <v>0</v>
      </c>
      <c r="BU1472">
        <v>0</v>
      </c>
      <c r="CE1472" t="str">
        <f t="shared" ref="CE1472:CE1477" si="583">"15:08:37.723"</f>
        <v>15:08:37.723</v>
      </c>
      <c r="CF1472">
        <v>723206622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133</v>
      </c>
      <c r="DA1472">
        <v>275</v>
      </c>
      <c r="DB1472">
        <v>0</v>
      </c>
      <c r="DC1472" t="s">
        <v>134</v>
      </c>
      <c r="DD1472" t="s">
        <v>135</v>
      </c>
      <c r="DG1472">
        <v>3320401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"05/01/2025 15:08:37.982"</f>
        <v>05/01/2025 15:08:37.982</v>
      </c>
      <c r="C1473" t="str">
        <f t="shared" si="558"/>
        <v>FFDFD3C0</v>
      </c>
      <c r="D1473" t="s">
        <v>140</v>
      </c>
      <c r="E1473" t="str">
        <f>"13"</f>
        <v>13</v>
      </c>
      <c r="F1473">
        <v>1019</v>
      </c>
      <c r="G1473" t="s">
        <v>141</v>
      </c>
      <c r="J1473" t="s">
        <v>142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R1473" t="s">
        <v>127</v>
      </c>
      <c r="S1473" t="str">
        <f t="shared" si="582"/>
        <v>15:08:37.000</v>
      </c>
      <c r="T1473" t="str">
        <f t="shared" si="582"/>
        <v>15:08:37.000</v>
      </c>
      <c r="U1473" t="str">
        <f t="shared" si="559"/>
        <v>A68FCB</v>
      </c>
      <c r="V1473">
        <v>0</v>
      </c>
      <c r="W1473">
        <v>0</v>
      </c>
      <c r="X1473">
        <v>2</v>
      </c>
      <c r="Y1473">
        <v>0</v>
      </c>
      <c r="AA1473">
        <v>1</v>
      </c>
      <c r="AB1473">
        <v>8</v>
      </c>
      <c r="AC1473">
        <v>3</v>
      </c>
      <c r="AD1473">
        <v>0</v>
      </c>
      <c r="AE1473">
        <v>9</v>
      </c>
      <c r="AF1473" t="s">
        <v>138</v>
      </c>
      <c r="AG1473">
        <v>0</v>
      </c>
      <c r="AH1473">
        <v>3</v>
      </c>
      <c r="AI1473">
        <v>2</v>
      </c>
      <c r="AJ1473">
        <v>0</v>
      </c>
      <c r="AK1473" t="s">
        <v>552</v>
      </c>
      <c r="AL1473">
        <v>39.017600999999999</v>
      </c>
      <c r="AM1473" t="s">
        <v>475</v>
      </c>
      <c r="AN1473">
        <v>-121.053607</v>
      </c>
      <c r="AO1473">
        <v>25</v>
      </c>
      <c r="AP1473">
        <v>3900</v>
      </c>
      <c r="AQ1473" t="s">
        <v>131</v>
      </c>
      <c r="AR1473">
        <v>28</v>
      </c>
      <c r="AS1473">
        <v>71</v>
      </c>
      <c r="AT1473">
        <v>384</v>
      </c>
      <c r="BB1473" t="str">
        <f t="shared" si="560"/>
        <v>1200</v>
      </c>
      <c r="BC1473">
        <v>1</v>
      </c>
      <c r="BD1473" t="str">
        <f t="shared" si="561"/>
        <v xml:space="preserve">N52156  </v>
      </c>
      <c r="BE1473">
        <v>1</v>
      </c>
      <c r="BG1473">
        <v>0</v>
      </c>
      <c r="BH1473">
        <v>0</v>
      </c>
      <c r="BI1473">
        <v>0</v>
      </c>
      <c r="BJ1473">
        <v>3875</v>
      </c>
      <c r="BK1473">
        <v>-25</v>
      </c>
      <c r="BL1473" t="s">
        <v>188</v>
      </c>
      <c r="BM1473">
        <v>1</v>
      </c>
      <c r="BN1473">
        <v>1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 t="shared" si="583"/>
        <v>15:08:37.723</v>
      </c>
      <c r="CF1473">
        <v>723206622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133</v>
      </c>
      <c r="DA1473">
        <v>275</v>
      </c>
      <c r="DB1473">
        <v>0</v>
      </c>
      <c r="DC1473" t="s">
        <v>134</v>
      </c>
      <c r="DD1473" t="s">
        <v>135</v>
      </c>
      <c r="DG1473">
        <v>3320401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"05/01/2025 15:08:37.989"</f>
        <v>05/01/2025 15:08:37.989</v>
      </c>
      <c r="C1474" t="str">
        <f t="shared" ref="C1474:C1537" si="584">"FFDFD3C0"</f>
        <v>FFDFD3C0</v>
      </c>
      <c r="D1474" t="s">
        <v>145</v>
      </c>
      <c r="E1474" t="str">
        <f>"09"</f>
        <v>09</v>
      </c>
      <c r="H1474">
        <v>51</v>
      </c>
      <c r="I1474" t="s">
        <v>147</v>
      </c>
      <c r="J1474" t="s">
        <v>138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R1474" t="s">
        <v>127</v>
      </c>
      <c r="S1474" t="str">
        <f t="shared" si="582"/>
        <v>15:08:37.000</v>
      </c>
      <c r="T1474" t="str">
        <f t="shared" si="582"/>
        <v>15:08:37.000</v>
      </c>
      <c r="U1474" t="str">
        <f t="shared" ref="U1474:U1537" si="585">"A68FCB"</f>
        <v>A68FCB</v>
      </c>
      <c r="V1474">
        <v>0</v>
      </c>
      <c r="W1474">
        <v>0</v>
      </c>
      <c r="X1474">
        <v>2</v>
      </c>
      <c r="Y1474">
        <v>0</v>
      </c>
      <c r="AA1474">
        <v>1</v>
      </c>
      <c r="AB1474">
        <v>8</v>
      </c>
      <c r="AC1474">
        <v>3</v>
      </c>
      <c r="AD1474">
        <v>0</v>
      </c>
      <c r="AE1474">
        <v>9</v>
      </c>
      <c r="AF1474" t="s">
        <v>138</v>
      </c>
      <c r="AG1474">
        <v>0</v>
      </c>
      <c r="AH1474">
        <v>3</v>
      </c>
      <c r="AI1474">
        <v>2</v>
      </c>
      <c r="AJ1474">
        <v>0</v>
      </c>
      <c r="AK1474" t="s">
        <v>552</v>
      </c>
      <c r="AL1474">
        <v>39.017600999999999</v>
      </c>
      <c r="AM1474" t="s">
        <v>475</v>
      </c>
      <c r="AN1474">
        <v>-121.053607</v>
      </c>
      <c r="AO1474">
        <v>25</v>
      </c>
      <c r="AP1474">
        <v>3900</v>
      </c>
      <c r="AQ1474" t="s">
        <v>131</v>
      </c>
      <c r="AR1474">
        <v>28</v>
      </c>
      <c r="AS1474">
        <v>71</v>
      </c>
      <c r="AT1474">
        <v>384</v>
      </c>
      <c r="BB1474" t="str">
        <f t="shared" ref="BB1474:BB1537" si="586">"1200"</f>
        <v>1200</v>
      </c>
      <c r="BC1474">
        <v>1</v>
      </c>
      <c r="BD1474" t="str">
        <f t="shared" ref="BD1474:BD1537" si="587">"N52156  "</f>
        <v xml:space="preserve">N52156  </v>
      </c>
      <c r="BE1474">
        <v>1</v>
      </c>
      <c r="BG1474">
        <v>0</v>
      </c>
      <c r="BH1474">
        <v>0</v>
      </c>
      <c r="BI1474">
        <v>0</v>
      </c>
      <c r="BJ1474">
        <v>3875</v>
      </c>
      <c r="BK1474">
        <v>-25</v>
      </c>
      <c r="BL1474" t="s">
        <v>188</v>
      </c>
      <c r="BM1474">
        <v>1</v>
      </c>
      <c r="BN1474">
        <v>1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 t="shared" si="583"/>
        <v>15:08:37.723</v>
      </c>
      <c r="CF1474">
        <v>723206622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133</v>
      </c>
      <c r="DA1474">
        <v>275</v>
      </c>
      <c r="DB1474">
        <v>0</v>
      </c>
      <c r="DC1474" t="s">
        <v>134</v>
      </c>
      <c r="DD1474" t="s">
        <v>135</v>
      </c>
      <c r="DG1474">
        <v>3320401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"05/01/2025 15:08:37.987"</f>
        <v>05/01/2025 15:08:37.987</v>
      </c>
      <c r="C1475" t="str">
        <f t="shared" si="584"/>
        <v>FFDFD3C0</v>
      </c>
      <c r="D1475" t="s">
        <v>124</v>
      </c>
      <c r="E1475" t="str">
        <f>"06"</f>
        <v>06</v>
      </c>
      <c r="F1475">
        <v>2006</v>
      </c>
      <c r="G1475" t="s">
        <v>125</v>
      </c>
      <c r="J1475" t="s">
        <v>126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R1475" t="s">
        <v>127</v>
      </c>
      <c r="S1475" t="str">
        <f t="shared" si="582"/>
        <v>15:08:37.000</v>
      </c>
      <c r="T1475" t="str">
        <f t="shared" si="582"/>
        <v>15:08:37.000</v>
      </c>
      <c r="U1475" t="str">
        <f t="shared" si="585"/>
        <v>A68FCB</v>
      </c>
      <c r="V1475">
        <v>0</v>
      </c>
      <c r="W1475">
        <v>0</v>
      </c>
      <c r="X1475">
        <v>2</v>
      </c>
      <c r="Y1475">
        <v>0</v>
      </c>
      <c r="AA1475">
        <v>1</v>
      </c>
      <c r="AB1475">
        <v>8</v>
      </c>
      <c r="AC1475">
        <v>3</v>
      </c>
      <c r="AD1475">
        <v>0</v>
      </c>
      <c r="AE1475">
        <v>9</v>
      </c>
      <c r="AF1475" t="s">
        <v>138</v>
      </c>
      <c r="AG1475">
        <v>0</v>
      </c>
      <c r="AH1475">
        <v>3</v>
      </c>
      <c r="AI1475">
        <v>2</v>
      </c>
      <c r="AJ1475">
        <v>0</v>
      </c>
      <c r="AK1475" t="s">
        <v>552</v>
      </c>
      <c r="AL1475">
        <v>39.017600999999999</v>
      </c>
      <c r="AM1475" t="s">
        <v>475</v>
      </c>
      <c r="AN1475">
        <v>-121.053607</v>
      </c>
      <c r="AO1475">
        <v>25</v>
      </c>
      <c r="AP1475">
        <v>3900</v>
      </c>
      <c r="AQ1475" t="s">
        <v>131</v>
      </c>
      <c r="AR1475">
        <v>28</v>
      </c>
      <c r="AS1475">
        <v>71</v>
      </c>
      <c r="AT1475">
        <v>384</v>
      </c>
      <c r="BB1475" t="str">
        <f t="shared" si="586"/>
        <v>1200</v>
      </c>
      <c r="BC1475">
        <v>1</v>
      </c>
      <c r="BD1475" t="str">
        <f t="shared" si="587"/>
        <v xml:space="preserve">N52156  </v>
      </c>
      <c r="BE1475">
        <v>1</v>
      </c>
      <c r="BG1475">
        <v>0</v>
      </c>
      <c r="BH1475">
        <v>0</v>
      </c>
      <c r="BI1475">
        <v>0</v>
      </c>
      <c r="BJ1475">
        <v>3875</v>
      </c>
      <c r="BK1475">
        <v>-25</v>
      </c>
      <c r="BL1475" t="s">
        <v>188</v>
      </c>
      <c r="BM1475">
        <v>1</v>
      </c>
      <c r="BN1475">
        <v>1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 t="shared" si="583"/>
        <v>15:08:37.723</v>
      </c>
      <c r="CF1475">
        <v>723206622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133</v>
      </c>
      <c r="DA1475">
        <v>275</v>
      </c>
      <c r="DB1475">
        <v>0</v>
      </c>
      <c r="DC1475" t="s">
        <v>134</v>
      </c>
      <c r="DD1475" t="s">
        <v>135</v>
      </c>
      <c r="DG1475">
        <v>3320401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"05/01/2025 15:08:37.985"</f>
        <v>05/01/2025 15:08:37.985</v>
      </c>
      <c r="C1476" t="str">
        <f t="shared" si="584"/>
        <v>FFDFD3C0</v>
      </c>
      <c r="D1476" t="s">
        <v>145</v>
      </c>
      <c r="E1476" t="str">
        <f>"05"</f>
        <v>05</v>
      </c>
      <c r="H1476">
        <v>47</v>
      </c>
      <c r="I1476" t="s">
        <v>146</v>
      </c>
      <c r="J1476" t="s">
        <v>138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R1476" t="s">
        <v>127</v>
      </c>
      <c r="S1476" t="str">
        <f t="shared" si="582"/>
        <v>15:08:37.000</v>
      </c>
      <c r="T1476" t="str">
        <f t="shared" si="582"/>
        <v>15:08:37.000</v>
      </c>
      <c r="U1476" t="str">
        <f t="shared" si="585"/>
        <v>A68FCB</v>
      </c>
      <c r="V1476">
        <v>0</v>
      </c>
      <c r="W1476">
        <v>0</v>
      </c>
      <c r="X1476">
        <v>2</v>
      </c>
      <c r="Y1476">
        <v>0</v>
      </c>
      <c r="AA1476">
        <v>1</v>
      </c>
      <c r="AB1476">
        <v>8</v>
      </c>
      <c r="AC1476">
        <v>3</v>
      </c>
      <c r="AD1476">
        <v>0</v>
      </c>
      <c r="AE1476">
        <v>9</v>
      </c>
      <c r="AF1476" t="s">
        <v>138</v>
      </c>
      <c r="AG1476">
        <v>0</v>
      </c>
      <c r="AH1476">
        <v>3</v>
      </c>
      <c r="AI1476">
        <v>2</v>
      </c>
      <c r="AJ1476">
        <v>0</v>
      </c>
      <c r="AK1476" t="s">
        <v>552</v>
      </c>
      <c r="AL1476">
        <v>39.017600999999999</v>
      </c>
      <c r="AM1476" t="s">
        <v>475</v>
      </c>
      <c r="AN1476">
        <v>-121.053607</v>
      </c>
      <c r="AO1476">
        <v>25</v>
      </c>
      <c r="AP1476">
        <v>3900</v>
      </c>
      <c r="AQ1476" t="s">
        <v>131</v>
      </c>
      <c r="AR1476">
        <v>28</v>
      </c>
      <c r="AS1476">
        <v>71</v>
      </c>
      <c r="AT1476">
        <v>384</v>
      </c>
      <c r="BB1476" t="str">
        <f t="shared" si="586"/>
        <v>1200</v>
      </c>
      <c r="BC1476">
        <v>1</v>
      </c>
      <c r="BD1476" t="str">
        <f t="shared" si="587"/>
        <v xml:space="preserve">N52156  </v>
      </c>
      <c r="BE1476">
        <v>1</v>
      </c>
      <c r="BG1476">
        <v>0</v>
      </c>
      <c r="BH1476">
        <v>0</v>
      </c>
      <c r="BI1476">
        <v>0</v>
      </c>
      <c r="BJ1476">
        <v>3875</v>
      </c>
      <c r="BK1476">
        <v>-25</v>
      </c>
      <c r="BL1476" t="s">
        <v>188</v>
      </c>
      <c r="BM1476">
        <v>1</v>
      </c>
      <c r="BN1476">
        <v>1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 t="shared" si="583"/>
        <v>15:08:37.723</v>
      </c>
      <c r="CF1476">
        <v>723206622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133</v>
      </c>
      <c r="DA1476">
        <v>275</v>
      </c>
      <c r="DB1476">
        <v>0</v>
      </c>
      <c r="DC1476" t="s">
        <v>134</v>
      </c>
      <c r="DD1476" t="s">
        <v>135</v>
      </c>
      <c r="DG1476">
        <v>3320401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"05/01/2025 15:08:37.990"</f>
        <v>05/01/2025 15:08:37.990</v>
      </c>
      <c r="C1477" t="str">
        <f t="shared" si="584"/>
        <v>FFDFD3C0</v>
      </c>
      <c r="D1477" t="s">
        <v>143</v>
      </c>
      <c r="E1477" t="str">
        <f>"05"</f>
        <v>05</v>
      </c>
      <c r="H1477">
        <v>172</v>
      </c>
      <c r="I1477" t="s">
        <v>141</v>
      </c>
      <c r="J1477" t="s">
        <v>144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R1477" t="s">
        <v>127</v>
      </c>
      <c r="S1477" t="str">
        <f t="shared" si="582"/>
        <v>15:08:37.000</v>
      </c>
      <c r="T1477" t="str">
        <f t="shared" si="582"/>
        <v>15:08:37.000</v>
      </c>
      <c r="U1477" t="str">
        <f t="shared" si="585"/>
        <v>A68FCB</v>
      </c>
      <c r="V1477">
        <v>0</v>
      </c>
      <c r="W1477">
        <v>0</v>
      </c>
      <c r="X1477">
        <v>2</v>
      </c>
      <c r="Y1477">
        <v>0</v>
      </c>
      <c r="AA1477">
        <v>1</v>
      </c>
      <c r="AB1477">
        <v>8</v>
      </c>
      <c r="AC1477">
        <v>3</v>
      </c>
      <c r="AD1477">
        <v>0</v>
      </c>
      <c r="AE1477">
        <v>9</v>
      </c>
      <c r="AF1477" t="s">
        <v>138</v>
      </c>
      <c r="AG1477">
        <v>0</v>
      </c>
      <c r="AH1477">
        <v>3</v>
      </c>
      <c r="AI1477">
        <v>2</v>
      </c>
      <c r="AJ1477">
        <v>0</v>
      </c>
      <c r="AK1477" t="s">
        <v>552</v>
      </c>
      <c r="AL1477">
        <v>39.017600999999999</v>
      </c>
      <c r="AM1477" t="s">
        <v>475</v>
      </c>
      <c r="AN1477">
        <v>-121.053607</v>
      </c>
      <c r="AO1477">
        <v>25</v>
      </c>
      <c r="AP1477">
        <v>3900</v>
      </c>
      <c r="AQ1477" t="s">
        <v>131</v>
      </c>
      <c r="AR1477">
        <v>28</v>
      </c>
      <c r="AS1477">
        <v>71</v>
      </c>
      <c r="AT1477">
        <v>384</v>
      </c>
      <c r="BB1477" t="str">
        <f t="shared" si="586"/>
        <v>1200</v>
      </c>
      <c r="BC1477">
        <v>1</v>
      </c>
      <c r="BD1477" t="str">
        <f t="shared" si="587"/>
        <v xml:space="preserve">N52156  </v>
      </c>
      <c r="BE1477">
        <v>1</v>
      </c>
      <c r="BG1477">
        <v>0</v>
      </c>
      <c r="BH1477">
        <v>0</v>
      </c>
      <c r="BI1477">
        <v>0</v>
      </c>
      <c r="BJ1477">
        <v>3875</v>
      </c>
      <c r="BK1477">
        <v>-25</v>
      </c>
      <c r="BL1477" t="s">
        <v>188</v>
      </c>
      <c r="BM1477">
        <v>1</v>
      </c>
      <c r="BN1477">
        <v>1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 t="shared" si="583"/>
        <v>15:08:37.723</v>
      </c>
      <c r="CF1477">
        <v>723206622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5</v>
      </c>
      <c r="CY1477">
        <v>7</v>
      </c>
      <c r="CZ1477" t="s">
        <v>133</v>
      </c>
      <c r="DA1477">
        <v>275</v>
      </c>
      <c r="DB1477">
        <v>0</v>
      </c>
      <c r="DC1477" t="s">
        <v>134</v>
      </c>
      <c r="DD1477" t="s">
        <v>135</v>
      </c>
      <c r="DG1477">
        <v>3320401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"05/01/2025 15:08:39.089"</f>
        <v>05/01/2025 15:08:39.089</v>
      </c>
      <c r="C1478" t="str">
        <f t="shared" si="584"/>
        <v>FFDFD3C0</v>
      </c>
      <c r="D1478" t="s">
        <v>124</v>
      </c>
      <c r="E1478" t="str">
        <f>"06"</f>
        <v>06</v>
      </c>
      <c r="F1478">
        <v>2006</v>
      </c>
      <c r="G1478" t="s">
        <v>125</v>
      </c>
      <c r="J1478" t="s">
        <v>126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R1478" t="s">
        <v>127</v>
      </c>
      <c r="S1478" t="str">
        <f t="shared" ref="S1478:T1483" si="588">"15:08:38.000"</f>
        <v>15:08:38.000</v>
      </c>
      <c r="T1478" t="str">
        <f t="shared" si="588"/>
        <v>15:08:38.000</v>
      </c>
      <c r="U1478" t="str">
        <f t="shared" si="585"/>
        <v>A68FCB</v>
      </c>
      <c r="V1478">
        <v>0</v>
      </c>
      <c r="W1478">
        <v>0</v>
      </c>
      <c r="X1478">
        <v>2</v>
      </c>
      <c r="Y1478">
        <v>0</v>
      </c>
      <c r="AA1478">
        <v>1</v>
      </c>
      <c r="AB1478">
        <v>8</v>
      </c>
      <c r="AC1478">
        <v>3</v>
      </c>
      <c r="AD1478">
        <v>0</v>
      </c>
      <c r="AE1478">
        <v>9</v>
      </c>
      <c r="AF1478" t="s">
        <v>138</v>
      </c>
      <c r="AG1478">
        <v>0</v>
      </c>
      <c r="AH1478">
        <v>3</v>
      </c>
      <c r="AI1478">
        <v>2</v>
      </c>
      <c r="AJ1478">
        <v>0</v>
      </c>
      <c r="AK1478" t="s">
        <v>553</v>
      </c>
      <c r="AL1478">
        <v>39.017923000000003</v>
      </c>
      <c r="AM1478" t="s">
        <v>554</v>
      </c>
      <c r="AN1478">
        <v>-121.053414</v>
      </c>
      <c r="AO1478">
        <v>25</v>
      </c>
      <c r="AP1478">
        <v>3900</v>
      </c>
      <c r="AQ1478" t="s">
        <v>131</v>
      </c>
      <c r="AR1478">
        <v>29</v>
      </c>
      <c r="AS1478">
        <v>70</v>
      </c>
      <c r="AT1478">
        <v>448</v>
      </c>
      <c r="BB1478" t="str">
        <f t="shared" si="586"/>
        <v>1200</v>
      </c>
      <c r="BC1478">
        <v>1</v>
      </c>
      <c r="BD1478" t="str">
        <f t="shared" si="587"/>
        <v xml:space="preserve">N52156  </v>
      </c>
      <c r="BE1478">
        <v>1</v>
      </c>
      <c r="BG1478">
        <v>0</v>
      </c>
      <c r="BH1478">
        <v>0</v>
      </c>
      <c r="BI1478">
        <v>0</v>
      </c>
      <c r="BJ1478">
        <v>3875</v>
      </c>
      <c r="BK1478">
        <v>-25</v>
      </c>
      <c r="BL1478" t="s">
        <v>188</v>
      </c>
      <c r="BM1478">
        <v>1</v>
      </c>
      <c r="BN1478">
        <v>1</v>
      </c>
      <c r="BO1478">
        <v>0</v>
      </c>
      <c r="BP1478">
        <v>0</v>
      </c>
      <c r="BS1478">
        <v>0</v>
      </c>
      <c r="BT1478">
        <v>0</v>
      </c>
      <c r="BU1478">
        <v>0</v>
      </c>
      <c r="CE1478" t="str">
        <f t="shared" ref="CE1478:CE1483" si="589">"15:08:38.883"</f>
        <v>15:08:38.883</v>
      </c>
      <c r="CF1478">
        <v>882957065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5</v>
      </c>
      <c r="CY1478">
        <v>7</v>
      </c>
      <c r="CZ1478" t="s">
        <v>133</v>
      </c>
      <c r="DA1478">
        <v>275</v>
      </c>
      <c r="DB1478">
        <v>0</v>
      </c>
      <c r="DC1478" t="s">
        <v>134</v>
      </c>
      <c r="DD1478" t="s">
        <v>135</v>
      </c>
      <c r="DG1478">
        <v>3320410</v>
      </c>
      <c r="DI1478">
        <v>1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"05/01/2025 15:08:39.088"</f>
        <v>05/01/2025 15:08:39.088</v>
      </c>
      <c r="C1479" t="str">
        <f t="shared" si="584"/>
        <v>FFDFD3C0</v>
      </c>
      <c r="D1479" t="s">
        <v>145</v>
      </c>
      <c r="E1479" t="str">
        <f>"05"</f>
        <v>05</v>
      </c>
      <c r="H1479">
        <v>47</v>
      </c>
      <c r="I1479" t="s">
        <v>146</v>
      </c>
      <c r="J1479" t="s">
        <v>138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R1479" t="s">
        <v>127</v>
      </c>
      <c r="S1479" t="str">
        <f t="shared" si="588"/>
        <v>15:08:38.000</v>
      </c>
      <c r="T1479" t="str">
        <f t="shared" si="588"/>
        <v>15:08:38.000</v>
      </c>
      <c r="U1479" t="str">
        <f t="shared" si="585"/>
        <v>A68FCB</v>
      </c>
      <c r="V1479">
        <v>0</v>
      </c>
      <c r="W1479">
        <v>0</v>
      </c>
      <c r="X1479">
        <v>2</v>
      </c>
      <c r="Y1479">
        <v>0</v>
      </c>
      <c r="AA1479">
        <v>1</v>
      </c>
      <c r="AB1479">
        <v>8</v>
      </c>
      <c r="AC1479">
        <v>3</v>
      </c>
      <c r="AD1479">
        <v>0</v>
      </c>
      <c r="AE1479">
        <v>9</v>
      </c>
      <c r="AF1479" t="s">
        <v>138</v>
      </c>
      <c r="AG1479">
        <v>0</v>
      </c>
      <c r="AH1479">
        <v>3</v>
      </c>
      <c r="AI1479">
        <v>2</v>
      </c>
      <c r="AJ1479">
        <v>0</v>
      </c>
      <c r="AK1479" t="s">
        <v>553</v>
      </c>
      <c r="AL1479">
        <v>39.017923000000003</v>
      </c>
      <c r="AM1479" t="s">
        <v>554</v>
      </c>
      <c r="AN1479">
        <v>-121.053414</v>
      </c>
      <c r="AO1479">
        <v>25</v>
      </c>
      <c r="AP1479">
        <v>3900</v>
      </c>
      <c r="AQ1479" t="s">
        <v>131</v>
      </c>
      <c r="AR1479">
        <v>29</v>
      </c>
      <c r="AS1479">
        <v>70</v>
      </c>
      <c r="AT1479">
        <v>448</v>
      </c>
      <c r="BB1479" t="str">
        <f t="shared" si="586"/>
        <v>1200</v>
      </c>
      <c r="BC1479">
        <v>1</v>
      </c>
      <c r="BD1479" t="str">
        <f t="shared" si="587"/>
        <v xml:space="preserve">N52156  </v>
      </c>
      <c r="BE1479">
        <v>1</v>
      </c>
      <c r="BG1479">
        <v>0</v>
      </c>
      <c r="BH1479">
        <v>0</v>
      </c>
      <c r="BI1479">
        <v>0</v>
      </c>
      <c r="BJ1479">
        <v>3875</v>
      </c>
      <c r="BK1479">
        <v>-25</v>
      </c>
      <c r="BL1479" t="s">
        <v>188</v>
      </c>
      <c r="BM1479">
        <v>1</v>
      </c>
      <c r="BN1479">
        <v>1</v>
      </c>
      <c r="BO1479">
        <v>0</v>
      </c>
      <c r="BP1479">
        <v>0</v>
      </c>
      <c r="BS1479">
        <v>0</v>
      </c>
      <c r="BT1479">
        <v>0</v>
      </c>
      <c r="BU1479">
        <v>0</v>
      </c>
      <c r="CE1479" t="str">
        <f t="shared" si="589"/>
        <v>15:08:38.883</v>
      </c>
      <c r="CF1479">
        <v>882957065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5</v>
      </c>
      <c r="CY1479">
        <v>7</v>
      </c>
      <c r="CZ1479" t="s">
        <v>133</v>
      </c>
      <c r="DA1479">
        <v>275</v>
      </c>
      <c r="DB1479">
        <v>0</v>
      </c>
      <c r="DC1479" t="s">
        <v>134</v>
      </c>
      <c r="DD1479" t="s">
        <v>135</v>
      </c>
      <c r="DG1479">
        <v>3320410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"05/01/2025 15:08:39.091"</f>
        <v>05/01/2025 15:08:39.091</v>
      </c>
      <c r="C1480" t="str">
        <f t="shared" si="584"/>
        <v>FFDFD3C0</v>
      </c>
      <c r="D1480" t="s">
        <v>145</v>
      </c>
      <c r="E1480" t="str">
        <f>"09"</f>
        <v>09</v>
      </c>
      <c r="H1480">
        <v>51</v>
      </c>
      <c r="I1480" t="s">
        <v>147</v>
      </c>
      <c r="J1480" t="s">
        <v>138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R1480" t="s">
        <v>127</v>
      </c>
      <c r="S1480" t="str">
        <f t="shared" si="588"/>
        <v>15:08:38.000</v>
      </c>
      <c r="T1480" t="str">
        <f t="shared" si="588"/>
        <v>15:08:38.000</v>
      </c>
      <c r="U1480" t="str">
        <f t="shared" si="585"/>
        <v>A68FCB</v>
      </c>
      <c r="V1480">
        <v>0</v>
      </c>
      <c r="W1480">
        <v>0</v>
      </c>
      <c r="X1480">
        <v>2</v>
      </c>
      <c r="Y1480">
        <v>0</v>
      </c>
      <c r="AA1480">
        <v>1</v>
      </c>
      <c r="AB1480">
        <v>8</v>
      </c>
      <c r="AC1480">
        <v>3</v>
      </c>
      <c r="AD1480">
        <v>0</v>
      </c>
      <c r="AE1480">
        <v>9</v>
      </c>
      <c r="AF1480" t="s">
        <v>138</v>
      </c>
      <c r="AG1480">
        <v>0</v>
      </c>
      <c r="AH1480">
        <v>3</v>
      </c>
      <c r="AI1480">
        <v>2</v>
      </c>
      <c r="AJ1480">
        <v>0</v>
      </c>
      <c r="AK1480" t="s">
        <v>553</v>
      </c>
      <c r="AL1480">
        <v>39.017923000000003</v>
      </c>
      <c r="AM1480" t="s">
        <v>554</v>
      </c>
      <c r="AN1480">
        <v>-121.053414</v>
      </c>
      <c r="AO1480">
        <v>25</v>
      </c>
      <c r="AP1480">
        <v>3900</v>
      </c>
      <c r="AQ1480" t="s">
        <v>131</v>
      </c>
      <c r="AR1480">
        <v>29</v>
      </c>
      <c r="AS1480">
        <v>70</v>
      </c>
      <c r="AT1480">
        <v>448</v>
      </c>
      <c r="BB1480" t="str">
        <f t="shared" si="586"/>
        <v>1200</v>
      </c>
      <c r="BC1480">
        <v>1</v>
      </c>
      <c r="BD1480" t="str">
        <f t="shared" si="587"/>
        <v xml:space="preserve">N52156  </v>
      </c>
      <c r="BE1480">
        <v>1</v>
      </c>
      <c r="BG1480">
        <v>0</v>
      </c>
      <c r="BH1480">
        <v>0</v>
      </c>
      <c r="BI1480">
        <v>0</v>
      </c>
      <c r="BJ1480">
        <v>3875</v>
      </c>
      <c r="BK1480">
        <v>-25</v>
      </c>
      <c r="BL1480" t="s">
        <v>188</v>
      </c>
      <c r="BM1480">
        <v>1</v>
      </c>
      <c r="BN1480">
        <v>1</v>
      </c>
      <c r="BO1480">
        <v>0</v>
      </c>
      <c r="BP1480">
        <v>0</v>
      </c>
      <c r="BS1480">
        <v>0</v>
      </c>
      <c r="BT1480">
        <v>0</v>
      </c>
      <c r="BU1480">
        <v>0</v>
      </c>
      <c r="CE1480" t="str">
        <f t="shared" si="589"/>
        <v>15:08:38.883</v>
      </c>
      <c r="CF1480">
        <v>882957065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5</v>
      </c>
      <c r="CY1480">
        <v>7</v>
      </c>
      <c r="CZ1480" t="s">
        <v>133</v>
      </c>
      <c r="DA1480">
        <v>275</v>
      </c>
      <c r="DB1480">
        <v>0</v>
      </c>
      <c r="DC1480" t="s">
        <v>134</v>
      </c>
      <c r="DD1480" t="s">
        <v>135</v>
      </c>
      <c r="DG1480">
        <v>3320410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"05/01/2025 15:08:39.092"</f>
        <v>05/01/2025 15:08:39.092</v>
      </c>
      <c r="C1481" t="str">
        <f t="shared" si="584"/>
        <v>FFDFD3C0</v>
      </c>
      <c r="D1481" t="s">
        <v>143</v>
      </c>
      <c r="E1481" t="str">
        <f>"05"</f>
        <v>05</v>
      </c>
      <c r="H1481">
        <v>172</v>
      </c>
      <c r="I1481" t="s">
        <v>141</v>
      </c>
      <c r="J1481" t="s">
        <v>144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R1481" t="s">
        <v>127</v>
      </c>
      <c r="S1481" t="str">
        <f t="shared" si="588"/>
        <v>15:08:38.000</v>
      </c>
      <c r="T1481" t="str">
        <f t="shared" si="588"/>
        <v>15:08:38.000</v>
      </c>
      <c r="U1481" t="str">
        <f t="shared" si="585"/>
        <v>A68FCB</v>
      </c>
      <c r="V1481">
        <v>0</v>
      </c>
      <c r="W1481">
        <v>0</v>
      </c>
      <c r="X1481">
        <v>2</v>
      </c>
      <c r="Y1481">
        <v>0</v>
      </c>
      <c r="AA1481">
        <v>1</v>
      </c>
      <c r="AB1481">
        <v>8</v>
      </c>
      <c r="AC1481">
        <v>3</v>
      </c>
      <c r="AD1481">
        <v>0</v>
      </c>
      <c r="AE1481">
        <v>9</v>
      </c>
      <c r="AF1481" t="s">
        <v>138</v>
      </c>
      <c r="AG1481">
        <v>0</v>
      </c>
      <c r="AH1481">
        <v>3</v>
      </c>
      <c r="AI1481">
        <v>2</v>
      </c>
      <c r="AJ1481">
        <v>0</v>
      </c>
      <c r="AK1481" t="s">
        <v>553</v>
      </c>
      <c r="AL1481">
        <v>39.017923000000003</v>
      </c>
      <c r="AM1481" t="s">
        <v>554</v>
      </c>
      <c r="AN1481">
        <v>-121.053414</v>
      </c>
      <c r="AO1481">
        <v>25</v>
      </c>
      <c r="AP1481">
        <v>3900</v>
      </c>
      <c r="AQ1481" t="s">
        <v>131</v>
      </c>
      <c r="AR1481">
        <v>29</v>
      </c>
      <c r="AS1481">
        <v>70</v>
      </c>
      <c r="AT1481">
        <v>448</v>
      </c>
      <c r="BB1481" t="str">
        <f t="shared" si="586"/>
        <v>1200</v>
      </c>
      <c r="BC1481">
        <v>1</v>
      </c>
      <c r="BD1481" t="str">
        <f t="shared" si="587"/>
        <v xml:space="preserve">N52156  </v>
      </c>
      <c r="BE1481">
        <v>1</v>
      </c>
      <c r="BG1481">
        <v>0</v>
      </c>
      <c r="BH1481">
        <v>0</v>
      </c>
      <c r="BI1481">
        <v>0</v>
      </c>
      <c r="BJ1481">
        <v>3875</v>
      </c>
      <c r="BK1481">
        <v>-25</v>
      </c>
      <c r="BL1481" t="s">
        <v>188</v>
      </c>
      <c r="BM1481">
        <v>1</v>
      </c>
      <c r="BN1481">
        <v>1</v>
      </c>
      <c r="BO1481">
        <v>0</v>
      </c>
      <c r="BP1481">
        <v>0</v>
      </c>
      <c r="BS1481">
        <v>0</v>
      </c>
      <c r="BT1481">
        <v>0</v>
      </c>
      <c r="BU1481">
        <v>0</v>
      </c>
      <c r="CE1481" t="str">
        <f t="shared" si="589"/>
        <v>15:08:38.883</v>
      </c>
      <c r="CF1481">
        <v>882957065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5</v>
      </c>
      <c r="CY1481">
        <v>7</v>
      </c>
      <c r="CZ1481" t="s">
        <v>133</v>
      </c>
      <c r="DA1481">
        <v>275</v>
      </c>
      <c r="DB1481">
        <v>0</v>
      </c>
      <c r="DC1481" t="s">
        <v>134</v>
      </c>
      <c r="DD1481" t="s">
        <v>135</v>
      </c>
      <c r="DG1481">
        <v>3320410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"05/01/2025 15:08:39.101"</f>
        <v>05/01/2025 15:08:39.101</v>
      </c>
      <c r="C1482" t="str">
        <f t="shared" si="584"/>
        <v>FFDFD3C0</v>
      </c>
      <c r="D1482" t="s">
        <v>136</v>
      </c>
      <c r="E1482" t="str">
        <f>"20"</f>
        <v>20</v>
      </c>
      <c r="H1482">
        <v>400</v>
      </c>
      <c r="I1482" t="s">
        <v>137</v>
      </c>
      <c r="J1482" t="s">
        <v>138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R1482" t="s">
        <v>127</v>
      </c>
      <c r="S1482" t="str">
        <f t="shared" si="588"/>
        <v>15:08:38.000</v>
      </c>
      <c r="T1482" t="str">
        <f t="shared" si="588"/>
        <v>15:08:38.000</v>
      </c>
      <c r="U1482" t="str">
        <f t="shared" si="585"/>
        <v>A68FCB</v>
      </c>
      <c r="V1482">
        <v>0</v>
      </c>
      <c r="W1482">
        <v>0</v>
      </c>
      <c r="X1482">
        <v>2</v>
      </c>
      <c r="Y1482">
        <v>0</v>
      </c>
      <c r="AA1482">
        <v>1</v>
      </c>
      <c r="AB1482">
        <v>8</v>
      </c>
      <c r="AC1482">
        <v>3</v>
      </c>
      <c r="AD1482">
        <v>0</v>
      </c>
      <c r="AE1482">
        <v>9</v>
      </c>
      <c r="AF1482" t="s">
        <v>138</v>
      </c>
      <c r="AG1482">
        <v>0</v>
      </c>
      <c r="AH1482">
        <v>3</v>
      </c>
      <c r="AI1482">
        <v>2</v>
      </c>
      <c r="AJ1482">
        <v>0</v>
      </c>
      <c r="AK1482" t="s">
        <v>553</v>
      </c>
      <c r="AL1482">
        <v>39.017923000000003</v>
      </c>
      <c r="AM1482" t="s">
        <v>554</v>
      </c>
      <c r="AN1482">
        <v>-121.053414</v>
      </c>
      <c r="AO1482">
        <v>25</v>
      </c>
      <c r="AP1482">
        <v>3900</v>
      </c>
      <c r="AQ1482" t="s">
        <v>131</v>
      </c>
      <c r="AR1482">
        <v>29</v>
      </c>
      <c r="AS1482">
        <v>70</v>
      </c>
      <c r="AT1482">
        <v>448</v>
      </c>
      <c r="BB1482" t="str">
        <f t="shared" si="586"/>
        <v>1200</v>
      </c>
      <c r="BC1482">
        <v>1</v>
      </c>
      <c r="BD1482" t="str">
        <f t="shared" si="587"/>
        <v xml:space="preserve">N52156  </v>
      </c>
      <c r="BE1482">
        <v>1</v>
      </c>
      <c r="BG1482">
        <v>0</v>
      </c>
      <c r="BH1482">
        <v>0</v>
      </c>
      <c r="BI1482">
        <v>0</v>
      </c>
      <c r="BJ1482">
        <v>3875</v>
      </c>
      <c r="BK1482">
        <v>-25</v>
      </c>
      <c r="BL1482" t="s">
        <v>188</v>
      </c>
      <c r="BM1482">
        <v>1</v>
      </c>
      <c r="BN1482">
        <v>1</v>
      </c>
      <c r="BO1482">
        <v>0</v>
      </c>
      <c r="BP1482">
        <v>0</v>
      </c>
      <c r="BS1482">
        <v>0</v>
      </c>
      <c r="BT1482">
        <v>0</v>
      </c>
      <c r="BU1482">
        <v>0</v>
      </c>
      <c r="CE1482" t="str">
        <f t="shared" si="589"/>
        <v>15:08:38.883</v>
      </c>
      <c r="CF1482">
        <v>882957065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5</v>
      </c>
      <c r="CY1482">
        <v>7</v>
      </c>
      <c r="CZ1482" t="s">
        <v>133</v>
      </c>
      <c r="DA1482">
        <v>275</v>
      </c>
      <c r="DB1482">
        <v>0</v>
      </c>
      <c r="DC1482" t="s">
        <v>134</v>
      </c>
      <c r="DD1482" t="s">
        <v>135</v>
      </c>
      <c r="DG1482">
        <v>3320410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"05/01/2025 15:08:39.134"</f>
        <v>05/01/2025 15:08:39.134</v>
      </c>
      <c r="C1483" t="str">
        <f t="shared" si="584"/>
        <v>FFDFD3C0</v>
      </c>
      <c r="D1483" t="s">
        <v>140</v>
      </c>
      <c r="E1483" t="str">
        <f>"13"</f>
        <v>13</v>
      </c>
      <c r="F1483">
        <v>1019</v>
      </c>
      <c r="G1483" t="s">
        <v>141</v>
      </c>
      <c r="J1483" t="s">
        <v>142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R1483" t="s">
        <v>127</v>
      </c>
      <c r="S1483" t="str">
        <f t="shared" si="588"/>
        <v>15:08:38.000</v>
      </c>
      <c r="T1483" t="str">
        <f t="shared" si="588"/>
        <v>15:08:38.000</v>
      </c>
      <c r="U1483" t="str">
        <f t="shared" si="585"/>
        <v>A68FCB</v>
      </c>
      <c r="V1483">
        <v>0</v>
      </c>
      <c r="W1483">
        <v>0</v>
      </c>
      <c r="X1483">
        <v>2</v>
      </c>
      <c r="Y1483">
        <v>0</v>
      </c>
      <c r="AA1483">
        <v>1</v>
      </c>
      <c r="AB1483">
        <v>8</v>
      </c>
      <c r="AC1483">
        <v>3</v>
      </c>
      <c r="AD1483">
        <v>0</v>
      </c>
      <c r="AE1483">
        <v>9</v>
      </c>
      <c r="AF1483" t="s">
        <v>138</v>
      </c>
      <c r="AG1483">
        <v>0</v>
      </c>
      <c r="AH1483">
        <v>3</v>
      </c>
      <c r="AI1483">
        <v>2</v>
      </c>
      <c r="AJ1483">
        <v>0</v>
      </c>
      <c r="AK1483" t="s">
        <v>553</v>
      </c>
      <c r="AL1483">
        <v>39.017923000000003</v>
      </c>
      <c r="AM1483" t="s">
        <v>554</v>
      </c>
      <c r="AN1483">
        <v>-121.053414</v>
      </c>
      <c r="AO1483">
        <v>25</v>
      </c>
      <c r="AP1483">
        <v>3900</v>
      </c>
      <c r="AQ1483" t="s">
        <v>131</v>
      </c>
      <c r="AR1483">
        <v>29</v>
      </c>
      <c r="AS1483">
        <v>70</v>
      </c>
      <c r="AT1483">
        <v>448</v>
      </c>
      <c r="BB1483" t="str">
        <f t="shared" si="586"/>
        <v>1200</v>
      </c>
      <c r="BC1483">
        <v>1</v>
      </c>
      <c r="BD1483" t="str">
        <f t="shared" si="587"/>
        <v xml:space="preserve">N52156  </v>
      </c>
      <c r="BE1483">
        <v>1</v>
      </c>
      <c r="BG1483">
        <v>0</v>
      </c>
      <c r="BH1483">
        <v>0</v>
      </c>
      <c r="BI1483">
        <v>0</v>
      </c>
      <c r="BJ1483">
        <v>3875</v>
      </c>
      <c r="BK1483">
        <v>-25</v>
      </c>
      <c r="BL1483" t="s">
        <v>188</v>
      </c>
      <c r="BM1483">
        <v>1</v>
      </c>
      <c r="BN1483">
        <v>1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 t="shared" si="589"/>
        <v>15:08:38.883</v>
      </c>
      <c r="CF1483">
        <v>882957065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133</v>
      </c>
      <c r="DA1483">
        <v>275</v>
      </c>
      <c r="DB1483">
        <v>0</v>
      </c>
      <c r="DC1483" t="s">
        <v>134</v>
      </c>
      <c r="DD1483" t="s">
        <v>135</v>
      </c>
      <c r="DG1483">
        <v>3320410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"05/01/2025 15:08:39.785"</f>
        <v>05/01/2025 15:08:39.785</v>
      </c>
      <c r="C1484" t="str">
        <f t="shared" si="584"/>
        <v>FFDFD3C0</v>
      </c>
      <c r="D1484" t="s">
        <v>140</v>
      </c>
      <c r="E1484" t="str">
        <f>"13"</f>
        <v>13</v>
      </c>
      <c r="F1484">
        <v>1019</v>
      </c>
      <c r="G1484" t="s">
        <v>141</v>
      </c>
      <c r="J1484" t="s">
        <v>142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R1484" t="s">
        <v>127</v>
      </c>
      <c r="S1484" t="str">
        <f t="shared" ref="S1484:T1489" si="590">"15:08:39.000"</f>
        <v>15:08:39.000</v>
      </c>
      <c r="T1484" t="str">
        <f t="shared" si="590"/>
        <v>15:08:39.000</v>
      </c>
      <c r="U1484" t="str">
        <f t="shared" si="585"/>
        <v>A68FCB</v>
      </c>
      <c r="V1484">
        <v>0</v>
      </c>
      <c r="W1484">
        <v>0</v>
      </c>
      <c r="X1484">
        <v>2</v>
      </c>
      <c r="Y1484">
        <v>0</v>
      </c>
      <c r="AA1484">
        <v>1</v>
      </c>
      <c r="AB1484">
        <v>8</v>
      </c>
      <c r="AC1484">
        <v>3</v>
      </c>
      <c r="AD1484">
        <v>0</v>
      </c>
      <c r="AE1484">
        <v>9</v>
      </c>
      <c r="AF1484" t="s">
        <v>138</v>
      </c>
      <c r="AG1484">
        <v>0</v>
      </c>
      <c r="AH1484">
        <v>3</v>
      </c>
      <c r="AI1484">
        <v>2</v>
      </c>
      <c r="AJ1484">
        <v>0</v>
      </c>
      <c r="AK1484" t="s">
        <v>555</v>
      </c>
      <c r="AL1484">
        <v>39.018265999999997</v>
      </c>
      <c r="AM1484" t="s">
        <v>556</v>
      </c>
      <c r="AN1484">
        <v>-121.05324299999999</v>
      </c>
      <c r="AO1484">
        <v>25</v>
      </c>
      <c r="AP1484">
        <v>3900</v>
      </c>
      <c r="AQ1484" t="s">
        <v>131</v>
      </c>
      <c r="AR1484">
        <v>29</v>
      </c>
      <c r="AS1484">
        <v>70</v>
      </c>
      <c r="AT1484">
        <v>512</v>
      </c>
      <c r="BB1484" t="str">
        <f t="shared" si="586"/>
        <v>1200</v>
      </c>
      <c r="BC1484">
        <v>1</v>
      </c>
      <c r="BD1484" t="str">
        <f t="shared" si="587"/>
        <v xml:space="preserve">N52156  </v>
      </c>
      <c r="BE1484">
        <v>1</v>
      </c>
      <c r="BG1484">
        <v>0</v>
      </c>
      <c r="BH1484">
        <v>0</v>
      </c>
      <c r="BI1484">
        <v>0</v>
      </c>
      <c r="BJ1484">
        <v>3875</v>
      </c>
      <c r="BK1484">
        <v>-25</v>
      </c>
      <c r="BL1484" t="s">
        <v>188</v>
      </c>
      <c r="BM1484">
        <v>1</v>
      </c>
      <c r="BN1484">
        <v>1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 t="shared" ref="CE1484:CE1489" si="591">"15:08:39.582"</f>
        <v>15:08:39.582</v>
      </c>
      <c r="CF1484">
        <v>582456379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133</v>
      </c>
      <c r="DA1484">
        <v>275</v>
      </c>
      <c r="DB1484">
        <v>0</v>
      </c>
      <c r="DC1484" t="s">
        <v>134</v>
      </c>
      <c r="DD1484" t="s">
        <v>135</v>
      </c>
      <c r="DG1484">
        <v>3320416</v>
      </c>
      <c r="DI1484">
        <v>1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"05/01/2025 15:08:39.789"</f>
        <v>05/01/2025 15:08:39.789</v>
      </c>
      <c r="C1485" t="str">
        <f t="shared" si="584"/>
        <v>FFDFD3C0</v>
      </c>
      <c r="D1485" t="s">
        <v>145</v>
      </c>
      <c r="E1485" t="str">
        <f>"05"</f>
        <v>05</v>
      </c>
      <c r="H1485">
        <v>47</v>
      </c>
      <c r="I1485" t="s">
        <v>146</v>
      </c>
      <c r="J1485" t="s">
        <v>138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R1485" t="s">
        <v>127</v>
      </c>
      <c r="S1485" t="str">
        <f t="shared" si="590"/>
        <v>15:08:39.000</v>
      </c>
      <c r="T1485" t="str">
        <f t="shared" si="590"/>
        <v>15:08:39.000</v>
      </c>
      <c r="U1485" t="str">
        <f t="shared" si="585"/>
        <v>A68FCB</v>
      </c>
      <c r="V1485">
        <v>0</v>
      </c>
      <c r="W1485">
        <v>0</v>
      </c>
      <c r="X1485">
        <v>2</v>
      </c>
      <c r="Y1485">
        <v>0</v>
      </c>
      <c r="AA1485">
        <v>1</v>
      </c>
      <c r="AB1485">
        <v>8</v>
      </c>
      <c r="AC1485">
        <v>3</v>
      </c>
      <c r="AD1485">
        <v>0</v>
      </c>
      <c r="AE1485">
        <v>9</v>
      </c>
      <c r="AF1485" t="s">
        <v>138</v>
      </c>
      <c r="AG1485">
        <v>0</v>
      </c>
      <c r="AH1485">
        <v>3</v>
      </c>
      <c r="AI1485">
        <v>2</v>
      </c>
      <c r="AJ1485">
        <v>0</v>
      </c>
      <c r="AK1485" t="s">
        <v>555</v>
      </c>
      <c r="AL1485">
        <v>39.018265999999997</v>
      </c>
      <c r="AM1485" t="s">
        <v>556</v>
      </c>
      <c r="AN1485">
        <v>-121.05324299999999</v>
      </c>
      <c r="AO1485">
        <v>25</v>
      </c>
      <c r="AP1485">
        <v>3900</v>
      </c>
      <c r="AQ1485" t="s">
        <v>131</v>
      </c>
      <c r="AR1485">
        <v>29</v>
      </c>
      <c r="AS1485">
        <v>70</v>
      </c>
      <c r="AT1485">
        <v>512</v>
      </c>
      <c r="BB1485" t="str">
        <f t="shared" si="586"/>
        <v>1200</v>
      </c>
      <c r="BC1485">
        <v>1</v>
      </c>
      <c r="BD1485" t="str">
        <f t="shared" si="587"/>
        <v xml:space="preserve">N52156  </v>
      </c>
      <c r="BE1485">
        <v>1</v>
      </c>
      <c r="BG1485">
        <v>0</v>
      </c>
      <c r="BH1485">
        <v>0</v>
      </c>
      <c r="BI1485">
        <v>0</v>
      </c>
      <c r="BJ1485">
        <v>3875</v>
      </c>
      <c r="BK1485">
        <v>-25</v>
      </c>
      <c r="BL1485" t="s">
        <v>188</v>
      </c>
      <c r="BM1485">
        <v>1</v>
      </c>
      <c r="BN1485">
        <v>1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 t="shared" si="591"/>
        <v>15:08:39.582</v>
      </c>
      <c r="CF1485">
        <v>582456379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133</v>
      </c>
      <c r="DA1485">
        <v>275</v>
      </c>
      <c r="DB1485">
        <v>0</v>
      </c>
      <c r="DC1485" t="s">
        <v>134</v>
      </c>
      <c r="DD1485" t="s">
        <v>135</v>
      </c>
      <c r="DG1485">
        <v>3320416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"05/01/2025 15:08:39.790"</f>
        <v>05/01/2025 15:08:39.790</v>
      </c>
      <c r="C1486" t="str">
        <f t="shared" si="584"/>
        <v>FFDFD3C0</v>
      </c>
      <c r="D1486" t="s">
        <v>124</v>
      </c>
      <c r="E1486" t="str">
        <f>"06"</f>
        <v>06</v>
      </c>
      <c r="F1486">
        <v>2006</v>
      </c>
      <c r="G1486" t="s">
        <v>125</v>
      </c>
      <c r="J1486" t="s">
        <v>126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R1486" t="s">
        <v>127</v>
      </c>
      <c r="S1486" t="str">
        <f t="shared" si="590"/>
        <v>15:08:39.000</v>
      </c>
      <c r="T1486" t="str">
        <f t="shared" si="590"/>
        <v>15:08:39.000</v>
      </c>
      <c r="U1486" t="str">
        <f t="shared" si="585"/>
        <v>A68FCB</v>
      </c>
      <c r="V1486">
        <v>0</v>
      </c>
      <c r="W1486">
        <v>0</v>
      </c>
      <c r="X1486">
        <v>2</v>
      </c>
      <c r="Y1486">
        <v>0</v>
      </c>
      <c r="AA1486">
        <v>1</v>
      </c>
      <c r="AB1486">
        <v>8</v>
      </c>
      <c r="AC1486">
        <v>3</v>
      </c>
      <c r="AD1486">
        <v>0</v>
      </c>
      <c r="AE1486">
        <v>9</v>
      </c>
      <c r="AF1486" t="s">
        <v>138</v>
      </c>
      <c r="AG1486">
        <v>0</v>
      </c>
      <c r="AH1486">
        <v>3</v>
      </c>
      <c r="AI1486">
        <v>2</v>
      </c>
      <c r="AJ1486">
        <v>0</v>
      </c>
      <c r="AK1486" t="s">
        <v>555</v>
      </c>
      <c r="AL1486">
        <v>39.018265999999997</v>
      </c>
      <c r="AM1486" t="s">
        <v>556</v>
      </c>
      <c r="AN1486">
        <v>-121.05324299999999</v>
      </c>
      <c r="AO1486">
        <v>25</v>
      </c>
      <c r="AP1486">
        <v>3900</v>
      </c>
      <c r="AQ1486" t="s">
        <v>131</v>
      </c>
      <c r="AR1486">
        <v>29</v>
      </c>
      <c r="AS1486">
        <v>70</v>
      </c>
      <c r="AT1486">
        <v>512</v>
      </c>
      <c r="BB1486" t="str">
        <f t="shared" si="586"/>
        <v>1200</v>
      </c>
      <c r="BC1486">
        <v>1</v>
      </c>
      <c r="BD1486" t="str">
        <f t="shared" si="587"/>
        <v xml:space="preserve">N52156  </v>
      </c>
      <c r="BE1486">
        <v>1</v>
      </c>
      <c r="BG1486">
        <v>0</v>
      </c>
      <c r="BH1486">
        <v>0</v>
      </c>
      <c r="BI1486">
        <v>0</v>
      </c>
      <c r="BJ1486">
        <v>3875</v>
      </c>
      <c r="BK1486">
        <v>-25</v>
      </c>
      <c r="BL1486" t="s">
        <v>188</v>
      </c>
      <c r="BM1486">
        <v>1</v>
      </c>
      <c r="BN1486">
        <v>1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 t="shared" si="591"/>
        <v>15:08:39.582</v>
      </c>
      <c r="CF1486">
        <v>582456379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5</v>
      </c>
      <c r="CY1486">
        <v>7</v>
      </c>
      <c r="CZ1486" t="s">
        <v>133</v>
      </c>
      <c r="DA1486">
        <v>275</v>
      </c>
      <c r="DB1486">
        <v>0</v>
      </c>
      <c r="DC1486" t="s">
        <v>134</v>
      </c>
      <c r="DD1486" t="s">
        <v>135</v>
      </c>
      <c r="DG1486">
        <v>3320416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"05/01/2025 15:08:39.793"</f>
        <v>05/01/2025 15:08:39.793</v>
      </c>
      <c r="C1487" t="str">
        <f t="shared" si="584"/>
        <v>FFDFD3C0</v>
      </c>
      <c r="D1487" t="s">
        <v>145</v>
      </c>
      <c r="E1487" t="str">
        <f>"09"</f>
        <v>09</v>
      </c>
      <c r="H1487">
        <v>51</v>
      </c>
      <c r="I1487" t="s">
        <v>147</v>
      </c>
      <c r="J1487" t="s">
        <v>138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R1487" t="s">
        <v>127</v>
      </c>
      <c r="S1487" t="str">
        <f t="shared" si="590"/>
        <v>15:08:39.000</v>
      </c>
      <c r="T1487" t="str">
        <f t="shared" si="590"/>
        <v>15:08:39.000</v>
      </c>
      <c r="U1487" t="str">
        <f t="shared" si="585"/>
        <v>A68FCB</v>
      </c>
      <c r="V1487">
        <v>0</v>
      </c>
      <c r="W1487">
        <v>0</v>
      </c>
      <c r="X1487">
        <v>2</v>
      </c>
      <c r="Y1487">
        <v>0</v>
      </c>
      <c r="AA1487">
        <v>1</v>
      </c>
      <c r="AB1487">
        <v>8</v>
      </c>
      <c r="AC1487">
        <v>3</v>
      </c>
      <c r="AD1487">
        <v>0</v>
      </c>
      <c r="AE1487">
        <v>9</v>
      </c>
      <c r="AF1487" t="s">
        <v>138</v>
      </c>
      <c r="AG1487">
        <v>0</v>
      </c>
      <c r="AH1487">
        <v>3</v>
      </c>
      <c r="AI1487">
        <v>2</v>
      </c>
      <c r="AJ1487">
        <v>0</v>
      </c>
      <c r="AK1487" t="s">
        <v>555</v>
      </c>
      <c r="AL1487">
        <v>39.018265999999997</v>
      </c>
      <c r="AM1487" t="s">
        <v>556</v>
      </c>
      <c r="AN1487">
        <v>-121.05324299999999</v>
      </c>
      <c r="AO1487">
        <v>25</v>
      </c>
      <c r="AP1487">
        <v>3900</v>
      </c>
      <c r="AQ1487" t="s">
        <v>131</v>
      </c>
      <c r="AR1487">
        <v>29</v>
      </c>
      <c r="AS1487">
        <v>70</v>
      </c>
      <c r="AT1487">
        <v>512</v>
      </c>
      <c r="BB1487" t="str">
        <f t="shared" si="586"/>
        <v>1200</v>
      </c>
      <c r="BC1487">
        <v>1</v>
      </c>
      <c r="BD1487" t="str">
        <f t="shared" si="587"/>
        <v xml:space="preserve">N52156  </v>
      </c>
      <c r="BE1487">
        <v>1</v>
      </c>
      <c r="BG1487">
        <v>0</v>
      </c>
      <c r="BH1487">
        <v>0</v>
      </c>
      <c r="BI1487">
        <v>0</v>
      </c>
      <c r="BJ1487">
        <v>3875</v>
      </c>
      <c r="BK1487">
        <v>-25</v>
      </c>
      <c r="BL1487" t="s">
        <v>188</v>
      </c>
      <c r="BM1487">
        <v>1</v>
      </c>
      <c r="BN1487">
        <v>1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 t="shared" si="591"/>
        <v>15:08:39.582</v>
      </c>
      <c r="CF1487">
        <v>582456379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5</v>
      </c>
      <c r="CY1487">
        <v>7</v>
      </c>
      <c r="CZ1487" t="s">
        <v>133</v>
      </c>
      <c r="DA1487">
        <v>275</v>
      </c>
      <c r="DB1487">
        <v>0</v>
      </c>
      <c r="DC1487" t="s">
        <v>134</v>
      </c>
      <c r="DD1487" t="s">
        <v>135</v>
      </c>
      <c r="DG1487">
        <v>3320416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"05/01/2025 15:08:39.793"</f>
        <v>05/01/2025 15:08:39.793</v>
      </c>
      <c r="C1488" t="str">
        <f t="shared" si="584"/>
        <v>FFDFD3C0</v>
      </c>
      <c r="D1488" t="s">
        <v>143</v>
      </c>
      <c r="E1488" t="str">
        <f>"05"</f>
        <v>05</v>
      </c>
      <c r="H1488">
        <v>172</v>
      </c>
      <c r="I1488" t="s">
        <v>141</v>
      </c>
      <c r="J1488" t="s">
        <v>144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R1488" t="s">
        <v>127</v>
      </c>
      <c r="S1488" t="str">
        <f t="shared" si="590"/>
        <v>15:08:39.000</v>
      </c>
      <c r="T1488" t="str">
        <f t="shared" si="590"/>
        <v>15:08:39.000</v>
      </c>
      <c r="U1488" t="str">
        <f t="shared" si="585"/>
        <v>A68FCB</v>
      </c>
      <c r="V1488">
        <v>0</v>
      </c>
      <c r="W1488">
        <v>0</v>
      </c>
      <c r="X1488">
        <v>2</v>
      </c>
      <c r="Y1488">
        <v>0</v>
      </c>
      <c r="AA1488">
        <v>1</v>
      </c>
      <c r="AB1488">
        <v>8</v>
      </c>
      <c r="AC1488">
        <v>3</v>
      </c>
      <c r="AD1488">
        <v>0</v>
      </c>
      <c r="AE1488">
        <v>9</v>
      </c>
      <c r="AF1488" t="s">
        <v>138</v>
      </c>
      <c r="AG1488">
        <v>0</v>
      </c>
      <c r="AH1488">
        <v>3</v>
      </c>
      <c r="AI1488">
        <v>2</v>
      </c>
      <c r="AJ1488">
        <v>0</v>
      </c>
      <c r="AK1488" t="s">
        <v>555</v>
      </c>
      <c r="AL1488">
        <v>39.018265999999997</v>
      </c>
      <c r="AM1488" t="s">
        <v>556</v>
      </c>
      <c r="AN1488">
        <v>-121.05324299999999</v>
      </c>
      <c r="AO1488">
        <v>25</v>
      </c>
      <c r="AP1488">
        <v>3900</v>
      </c>
      <c r="AQ1488" t="s">
        <v>131</v>
      </c>
      <c r="AR1488">
        <v>29</v>
      </c>
      <c r="AS1488">
        <v>70</v>
      </c>
      <c r="AT1488">
        <v>512</v>
      </c>
      <c r="BB1488" t="str">
        <f t="shared" si="586"/>
        <v>1200</v>
      </c>
      <c r="BC1488">
        <v>1</v>
      </c>
      <c r="BD1488" t="str">
        <f t="shared" si="587"/>
        <v xml:space="preserve">N52156  </v>
      </c>
      <c r="BE1488">
        <v>1</v>
      </c>
      <c r="BG1488">
        <v>0</v>
      </c>
      <c r="BH1488">
        <v>0</v>
      </c>
      <c r="BI1488">
        <v>0</v>
      </c>
      <c r="BJ1488">
        <v>3875</v>
      </c>
      <c r="BK1488">
        <v>-25</v>
      </c>
      <c r="BL1488" t="s">
        <v>188</v>
      </c>
      <c r="BM1488">
        <v>1</v>
      </c>
      <c r="BN1488">
        <v>1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 t="shared" si="591"/>
        <v>15:08:39.582</v>
      </c>
      <c r="CF1488">
        <v>582456379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133</v>
      </c>
      <c r="DA1488">
        <v>275</v>
      </c>
      <c r="DB1488">
        <v>0</v>
      </c>
      <c r="DC1488" t="s">
        <v>134</v>
      </c>
      <c r="DD1488" t="s">
        <v>135</v>
      </c>
      <c r="DG1488">
        <v>3320416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"05/01/2025 15:08:39.801"</f>
        <v>05/01/2025 15:08:39.801</v>
      </c>
      <c r="C1489" t="str">
        <f t="shared" si="584"/>
        <v>FFDFD3C0</v>
      </c>
      <c r="D1489" t="s">
        <v>136</v>
      </c>
      <c r="E1489" t="str">
        <f>"20"</f>
        <v>20</v>
      </c>
      <c r="H1489">
        <v>400</v>
      </c>
      <c r="I1489" t="s">
        <v>137</v>
      </c>
      <c r="J1489" t="s">
        <v>138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R1489" t="s">
        <v>127</v>
      </c>
      <c r="S1489" t="str">
        <f t="shared" si="590"/>
        <v>15:08:39.000</v>
      </c>
      <c r="T1489" t="str">
        <f t="shared" si="590"/>
        <v>15:08:39.000</v>
      </c>
      <c r="U1489" t="str">
        <f t="shared" si="585"/>
        <v>A68FCB</v>
      </c>
      <c r="V1489">
        <v>0</v>
      </c>
      <c r="W1489">
        <v>0</v>
      </c>
      <c r="X1489">
        <v>2</v>
      </c>
      <c r="Y1489">
        <v>0</v>
      </c>
      <c r="AA1489">
        <v>1</v>
      </c>
      <c r="AB1489">
        <v>8</v>
      </c>
      <c r="AC1489">
        <v>3</v>
      </c>
      <c r="AD1489">
        <v>0</v>
      </c>
      <c r="AE1489">
        <v>9</v>
      </c>
      <c r="AF1489" t="s">
        <v>138</v>
      </c>
      <c r="AG1489">
        <v>0</v>
      </c>
      <c r="AH1489">
        <v>3</v>
      </c>
      <c r="AI1489">
        <v>2</v>
      </c>
      <c r="AJ1489">
        <v>0</v>
      </c>
      <c r="AK1489" t="s">
        <v>555</v>
      </c>
      <c r="AL1489">
        <v>39.018265999999997</v>
      </c>
      <c r="AM1489" t="s">
        <v>556</v>
      </c>
      <c r="AN1489">
        <v>-121.05324299999999</v>
      </c>
      <c r="AO1489">
        <v>25</v>
      </c>
      <c r="AP1489">
        <v>3900</v>
      </c>
      <c r="AQ1489" t="s">
        <v>131</v>
      </c>
      <c r="AR1489">
        <v>29</v>
      </c>
      <c r="AS1489">
        <v>70</v>
      </c>
      <c r="AT1489">
        <v>512</v>
      </c>
      <c r="BB1489" t="str">
        <f t="shared" si="586"/>
        <v>1200</v>
      </c>
      <c r="BC1489">
        <v>1</v>
      </c>
      <c r="BD1489" t="str">
        <f t="shared" si="587"/>
        <v xml:space="preserve">N52156  </v>
      </c>
      <c r="BE1489">
        <v>1</v>
      </c>
      <c r="BG1489">
        <v>0</v>
      </c>
      <c r="BH1489">
        <v>0</v>
      </c>
      <c r="BI1489">
        <v>0</v>
      </c>
      <c r="BJ1489">
        <v>3875</v>
      </c>
      <c r="BK1489">
        <v>-25</v>
      </c>
      <c r="BL1489" t="s">
        <v>188</v>
      </c>
      <c r="BM1489">
        <v>1</v>
      </c>
      <c r="BN1489">
        <v>1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 t="shared" si="591"/>
        <v>15:08:39.582</v>
      </c>
      <c r="CF1489">
        <v>582456379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5</v>
      </c>
      <c r="CY1489">
        <v>7</v>
      </c>
      <c r="CZ1489" t="s">
        <v>133</v>
      </c>
      <c r="DA1489">
        <v>275</v>
      </c>
      <c r="DB1489">
        <v>0</v>
      </c>
      <c r="DC1489" t="s">
        <v>134</v>
      </c>
      <c r="DD1489" t="s">
        <v>135</v>
      </c>
      <c r="DG1489">
        <v>3320416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"05/01/2025 15:08:41.191"</f>
        <v>05/01/2025 15:08:41.191</v>
      </c>
      <c r="C1490" t="str">
        <f t="shared" si="584"/>
        <v>FFDFD3C0</v>
      </c>
      <c r="D1490" t="s">
        <v>145</v>
      </c>
      <c r="E1490" t="str">
        <f>"05"</f>
        <v>05</v>
      </c>
      <c r="H1490">
        <v>47</v>
      </c>
      <c r="I1490" t="s">
        <v>146</v>
      </c>
      <c r="J1490" t="s">
        <v>138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R1490" t="s">
        <v>127</v>
      </c>
      <c r="S1490" t="str">
        <f t="shared" ref="S1490:T1495" si="592">"15:08:40.000"</f>
        <v>15:08:40.000</v>
      </c>
      <c r="T1490" t="str">
        <f t="shared" si="592"/>
        <v>15:08:40.000</v>
      </c>
      <c r="U1490" t="str">
        <f t="shared" si="585"/>
        <v>A68FCB</v>
      </c>
      <c r="V1490">
        <v>0</v>
      </c>
      <c r="W1490">
        <v>0</v>
      </c>
      <c r="X1490">
        <v>2</v>
      </c>
      <c r="Y1490">
        <v>0</v>
      </c>
      <c r="AA1490">
        <v>1</v>
      </c>
      <c r="AB1490">
        <v>8</v>
      </c>
      <c r="AC1490">
        <v>3</v>
      </c>
      <c r="AD1490">
        <v>0</v>
      </c>
      <c r="AE1490">
        <v>9</v>
      </c>
      <c r="AF1490" t="s">
        <v>138</v>
      </c>
      <c r="AG1490">
        <v>0</v>
      </c>
      <c r="AH1490">
        <v>3</v>
      </c>
      <c r="AI1490">
        <v>2</v>
      </c>
      <c r="AJ1490">
        <v>0</v>
      </c>
      <c r="AK1490" t="s">
        <v>557</v>
      </c>
      <c r="AL1490">
        <v>39.018610000000002</v>
      </c>
      <c r="AM1490" t="s">
        <v>265</v>
      </c>
      <c r="AN1490">
        <v>-121.053071</v>
      </c>
      <c r="AO1490">
        <v>25</v>
      </c>
      <c r="AP1490">
        <v>3900</v>
      </c>
      <c r="AQ1490" t="s">
        <v>131</v>
      </c>
      <c r="AR1490">
        <v>30</v>
      </c>
      <c r="AS1490">
        <v>69</v>
      </c>
      <c r="AT1490">
        <v>512</v>
      </c>
      <c r="BB1490" t="str">
        <f t="shared" si="586"/>
        <v>1200</v>
      </c>
      <c r="BC1490">
        <v>1</v>
      </c>
      <c r="BD1490" t="str">
        <f t="shared" si="587"/>
        <v xml:space="preserve">N52156  </v>
      </c>
      <c r="BE1490">
        <v>1</v>
      </c>
      <c r="BG1490">
        <v>0</v>
      </c>
      <c r="BH1490">
        <v>0</v>
      </c>
      <c r="BI1490">
        <v>0</v>
      </c>
      <c r="BJ1490">
        <v>3875</v>
      </c>
      <c r="BK1490">
        <v>-25</v>
      </c>
      <c r="BL1490" t="s">
        <v>188</v>
      </c>
      <c r="BM1490">
        <v>1</v>
      </c>
      <c r="BN1490">
        <v>1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 t="shared" ref="CE1490:CE1495" si="593">"15:08:40.950"</f>
        <v>15:08:40.950</v>
      </c>
      <c r="CF1490">
        <v>949957385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5</v>
      </c>
      <c r="CY1490">
        <v>7</v>
      </c>
      <c r="CZ1490" t="s">
        <v>133</v>
      </c>
      <c r="DA1490">
        <v>275</v>
      </c>
      <c r="DB1490">
        <v>0</v>
      </c>
      <c r="DC1490" t="s">
        <v>134</v>
      </c>
      <c r="DD1490" t="s">
        <v>135</v>
      </c>
      <c r="DG1490">
        <v>3320429</v>
      </c>
      <c r="DI1490">
        <v>1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"05/01/2025 15:08:41.188"</f>
        <v>05/01/2025 15:08:41.188</v>
      </c>
      <c r="C1491" t="str">
        <f t="shared" si="584"/>
        <v>FFDFD3C0</v>
      </c>
      <c r="D1491" t="s">
        <v>140</v>
      </c>
      <c r="E1491" t="str">
        <f>"13"</f>
        <v>13</v>
      </c>
      <c r="F1491">
        <v>1019</v>
      </c>
      <c r="G1491" t="s">
        <v>141</v>
      </c>
      <c r="J1491" t="s">
        <v>142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R1491" t="s">
        <v>127</v>
      </c>
      <c r="S1491" t="str">
        <f t="shared" si="592"/>
        <v>15:08:40.000</v>
      </c>
      <c r="T1491" t="str">
        <f t="shared" si="592"/>
        <v>15:08:40.000</v>
      </c>
      <c r="U1491" t="str">
        <f t="shared" si="585"/>
        <v>A68FCB</v>
      </c>
      <c r="V1491">
        <v>0</v>
      </c>
      <c r="W1491">
        <v>0</v>
      </c>
      <c r="X1491">
        <v>2</v>
      </c>
      <c r="Y1491">
        <v>0</v>
      </c>
      <c r="AA1491">
        <v>1</v>
      </c>
      <c r="AB1491">
        <v>8</v>
      </c>
      <c r="AC1491">
        <v>3</v>
      </c>
      <c r="AD1491">
        <v>0</v>
      </c>
      <c r="AE1491">
        <v>9</v>
      </c>
      <c r="AF1491" t="s">
        <v>138</v>
      </c>
      <c r="AG1491">
        <v>0</v>
      </c>
      <c r="AH1491">
        <v>3</v>
      </c>
      <c r="AI1491">
        <v>2</v>
      </c>
      <c r="AJ1491">
        <v>0</v>
      </c>
      <c r="AK1491" t="s">
        <v>557</v>
      </c>
      <c r="AL1491">
        <v>39.018610000000002</v>
      </c>
      <c r="AM1491" t="s">
        <v>265</v>
      </c>
      <c r="AN1491">
        <v>-121.053071</v>
      </c>
      <c r="AO1491">
        <v>25</v>
      </c>
      <c r="AP1491">
        <v>3900</v>
      </c>
      <c r="AQ1491" t="s">
        <v>131</v>
      </c>
      <c r="AR1491">
        <v>30</v>
      </c>
      <c r="AS1491">
        <v>69</v>
      </c>
      <c r="AT1491">
        <v>512</v>
      </c>
      <c r="BB1491" t="str">
        <f t="shared" si="586"/>
        <v>1200</v>
      </c>
      <c r="BC1491">
        <v>1</v>
      </c>
      <c r="BD1491" t="str">
        <f t="shared" si="587"/>
        <v xml:space="preserve">N52156  </v>
      </c>
      <c r="BE1491">
        <v>1</v>
      </c>
      <c r="BG1491">
        <v>0</v>
      </c>
      <c r="BH1491">
        <v>0</v>
      </c>
      <c r="BI1491">
        <v>0</v>
      </c>
      <c r="BJ1491">
        <v>3875</v>
      </c>
      <c r="BK1491">
        <v>-25</v>
      </c>
      <c r="BL1491" t="s">
        <v>188</v>
      </c>
      <c r="BM1491">
        <v>1</v>
      </c>
      <c r="BN1491">
        <v>1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 t="shared" si="593"/>
        <v>15:08:40.950</v>
      </c>
      <c r="CF1491">
        <v>949957385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5</v>
      </c>
      <c r="CY1491">
        <v>7</v>
      </c>
      <c r="CZ1491" t="s">
        <v>133</v>
      </c>
      <c r="DA1491">
        <v>275</v>
      </c>
      <c r="DB1491">
        <v>0</v>
      </c>
      <c r="DC1491" t="s">
        <v>134</v>
      </c>
      <c r="DD1491" t="s">
        <v>135</v>
      </c>
      <c r="DG1491">
        <v>3320429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"05/01/2025 15:08:41.192"</f>
        <v>05/01/2025 15:08:41.192</v>
      </c>
      <c r="C1492" t="str">
        <f t="shared" si="584"/>
        <v>FFDFD3C0</v>
      </c>
      <c r="D1492" t="s">
        <v>124</v>
      </c>
      <c r="E1492" t="str">
        <f>"06"</f>
        <v>06</v>
      </c>
      <c r="F1492">
        <v>2006</v>
      </c>
      <c r="G1492" t="s">
        <v>125</v>
      </c>
      <c r="J1492" t="s">
        <v>126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R1492" t="s">
        <v>127</v>
      </c>
      <c r="S1492" t="str">
        <f t="shared" si="592"/>
        <v>15:08:40.000</v>
      </c>
      <c r="T1492" t="str">
        <f t="shared" si="592"/>
        <v>15:08:40.000</v>
      </c>
      <c r="U1492" t="str">
        <f t="shared" si="585"/>
        <v>A68FCB</v>
      </c>
      <c r="V1492">
        <v>0</v>
      </c>
      <c r="W1492">
        <v>0</v>
      </c>
      <c r="X1492">
        <v>2</v>
      </c>
      <c r="Y1492">
        <v>0</v>
      </c>
      <c r="AA1492">
        <v>1</v>
      </c>
      <c r="AB1492">
        <v>8</v>
      </c>
      <c r="AC1492">
        <v>3</v>
      </c>
      <c r="AD1492">
        <v>0</v>
      </c>
      <c r="AE1492">
        <v>9</v>
      </c>
      <c r="AF1492" t="s">
        <v>138</v>
      </c>
      <c r="AG1492">
        <v>0</v>
      </c>
      <c r="AH1492">
        <v>3</v>
      </c>
      <c r="AI1492">
        <v>2</v>
      </c>
      <c r="AJ1492">
        <v>0</v>
      </c>
      <c r="AK1492" t="s">
        <v>557</v>
      </c>
      <c r="AL1492">
        <v>39.018610000000002</v>
      </c>
      <c r="AM1492" t="s">
        <v>265</v>
      </c>
      <c r="AN1492">
        <v>-121.053071</v>
      </c>
      <c r="AO1492">
        <v>25</v>
      </c>
      <c r="AP1492">
        <v>3900</v>
      </c>
      <c r="AQ1492" t="s">
        <v>131</v>
      </c>
      <c r="AR1492">
        <v>30</v>
      </c>
      <c r="AS1492">
        <v>69</v>
      </c>
      <c r="AT1492">
        <v>512</v>
      </c>
      <c r="BB1492" t="str">
        <f t="shared" si="586"/>
        <v>1200</v>
      </c>
      <c r="BC1492">
        <v>1</v>
      </c>
      <c r="BD1492" t="str">
        <f t="shared" si="587"/>
        <v xml:space="preserve">N52156  </v>
      </c>
      <c r="BE1492">
        <v>1</v>
      </c>
      <c r="BG1492">
        <v>0</v>
      </c>
      <c r="BH1492">
        <v>0</v>
      </c>
      <c r="BI1492">
        <v>0</v>
      </c>
      <c r="BJ1492">
        <v>3875</v>
      </c>
      <c r="BK1492">
        <v>-25</v>
      </c>
      <c r="BL1492" t="s">
        <v>188</v>
      </c>
      <c r="BM1492">
        <v>1</v>
      </c>
      <c r="BN1492">
        <v>1</v>
      </c>
      <c r="BO1492">
        <v>0</v>
      </c>
      <c r="BP1492">
        <v>0</v>
      </c>
      <c r="BS1492">
        <v>0</v>
      </c>
      <c r="BT1492">
        <v>0</v>
      </c>
      <c r="BU1492">
        <v>0</v>
      </c>
      <c r="CE1492" t="str">
        <f t="shared" si="593"/>
        <v>15:08:40.950</v>
      </c>
      <c r="CF1492">
        <v>949957385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5</v>
      </c>
      <c r="CY1492">
        <v>7</v>
      </c>
      <c r="CZ1492" t="s">
        <v>133</v>
      </c>
      <c r="DA1492">
        <v>275</v>
      </c>
      <c r="DB1492">
        <v>0</v>
      </c>
      <c r="DC1492" t="s">
        <v>134</v>
      </c>
      <c r="DD1492" t="s">
        <v>135</v>
      </c>
      <c r="DG1492">
        <v>3320429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"05/01/2025 15:08:41.195"</f>
        <v>05/01/2025 15:08:41.195</v>
      </c>
      <c r="C1493" t="str">
        <f t="shared" si="584"/>
        <v>FFDFD3C0</v>
      </c>
      <c r="D1493" t="s">
        <v>145</v>
      </c>
      <c r="E1493" t="str">
        <f>"09"</f>
        <v>09</v>
      </c>
      <c r="H1493">
        <v>51</v>
      </c>
      <c r="I1493" t="s">
        <v>147</v>
      </c>
      <c r="J1493" t="s">
        <v>138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R1493" t="s">
        <v>127</v>
      </c>
      <c r="S1493" t="str">
        <f t="shared" si="592"/>
        <v>15:08:40.000</v>
      </c>
      <c r="T1493" t="str">
        <f t="shared" si="592"/>
        <v>15:08:40.000</v>
      </c>
      <c r="U1493" t="str">
        <f t="shared" si="585"/>
        <v>A68FCB</v>
      </c>
      <c r="V1493">
        <v>0</v>
      </c>
      <c r="W1493">
        <v>0</v>
      </c>
      <c r="X1493">
        <v>2</v>
      </c>
      <c r="Y1493">
        <v>0</v>
      </c>
      <c r="AA1493">
        <v>1</v>
      </c>
      <c r="AB1493">
        <v>8</v>
      </c>
      <c r="AC1493">
        <v>3</v>
      </c>
      <c r="AD1493">
        <v>0</v>
      </c>
      <c r="AE1493">
        <v>9</v>
      </c>
      <c r="AF1493" t="s">
        <v>138</v>
      </c>
      <c r="AG1493">
        <v>0</v>
      </c>
      <c r="AH1493">
        <v>3</v>
      </c>
      <c r="AI1493">
        <v>2</v>
      </c>
      <c r="AJ1493">
        <v>0</v>
      </c>
      <c r="AK1493" t="s">
        <v>557</v>
      </c>
      <c r="AL1493">
        <v>39.018610000000002</v>
      </c>
      <c r="AM1493" t="s">
        <v>265</v>
      </c>
      <c r="AN1493">
        <v>-121.053071</v>
      </c>
      <c r="AO1493">
        <v>25</v>
      </c>
      <c r="AP1493">
        <v>3900</v>
      </c>
      <c r="AQ1493" t="s">
        <v>131</v>
      </c>
      <c r="AR1493">
        <v>30</v>
      </c>
      <c r="AS1493">
        <v>69</v>
      </c>
      <c r="AT1493">
        <v>512</v>
      </c>
      <c r="BB1493" t="str">
        <f t="shared" si="586"/>
        <v>1200</v>
      </c>
      <c r="BC1493">
        <v>1</v>
      </c>
      <c r="BD1493" t="str">
        <f t="shared" si="587"/>
        <v xml:space="preserve">N52156  </v>
      </c>
      <c r="BE1493">
        <v>1</v>
      </c>
      <c r="BG1493">
        <v>0</v>
      </c>
      <c r="BH1493">
        <v>0</v>
      </c>
      <c r="BI1493">
        <v>0</v>
      </c>
      <c r="BJ1493">
        <v>3875</v>
      </c>
      <c r="BK1493">
        <v>-25</v>
      </c>
      <c r="BL1493" t="s">
        <v>188</v>
      </c>
      <c r="BM1493">
        <v>1</v>
      </c>
      <c r="BN1493">
        <v>1</v>
      </c>
      <c r="BO1493">
        <v>0</v>
      </c>
      <c r="BP1493">
        <v>0</v>
      </c>
      <c r="BS1493">
        <v>0</v>
      </c>
      <c r="BT1493">
        <v>0</v>
      </c>
      <c r="BU1493">
        <v>0</v>
      </c>
      <c r="CE1493" t="str">
        <f t="shared" si="593"/>
        <v>15:08:40.950</v>
      </c>
      <c r="CF1493">
        <v>949957385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5</v>
      </c>
      <c r="CY1493">
        <v>7</v>
      </c>
      <c r="CZ1493" t="s">
        <v>133</v>
      </c>
      <c r="DA1493">
        <v>275</v>
      </c>
      <c r="DB1493">
        <v>0</v>
      </c>
      <c r="DC1493" t="s">
        <v>134</v>
      </c>
      <c r="DD1493" t="s">
        <v>135</v>
      </c>
      <c r="DG1493">
        <v>3320429</v>
      </c>
      <c r="DI1493">
        <v>1</v>
      </c>
      <c r="DJ1493">
        <v>0</v>
      </c>
      <c r="DK1493">
        <v>1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"05/01/2025 15:08:41.196"</f>
        <v>05/01/2025 15:08:41.196</v>
      </c>
      <c r="C1494" t="str">
        <f t="shared" si="584"/>
        <v>FFDFD3C0</v>
      </c>
      <c r="D1494" t="s">
        <v>143</v>
      </c>
      <c r="E1494" t="str">
        <f>"05"</f>
        <v>05</v>
      </c>
      <c r="H1494">
        <v>172</v>
      </c>
      <c r="I1494" t="s">
        <v>141</v>
      </c>
      <c r="J1494" t="s">
        <v>144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R1494" t="s">
        <v>127</v>
      </c>
      <c r="S1494" t="str">
        <f t="shared" si="592"/>
        <v>15:08:40.000</v>
      </c>
      <c r="T1494" t="str">
        <f t="shared" si="592"/>
        <v>15:08:40.000</v>
      </c>
      <c r="U1494" t="str">
        <f t="shared" si="585"/>
        <v>A68FCB</v>
      </c>
      <c r="V1494">
        <v>0</v>
      </c>
      <c r="W1494">
        <v>0</v>
      </c>
      <c r="X1494">
        <v>2</v>
      </c>
      <c r="Y1494">
        <v>0</v>
      </c>
      <c r="AA1494">
        <v>1</v>
      </c>
      <c r="AB1494">
        <v>8</v>
      </c>
      <c r="AC1494">
        <v>3</v>
      </c>
      <c r="AD1494">
        <v>0</v>
      </c>
      <c r="AE1494">
        <v>9</v>
      </c>
      <c r="AF1494" t="s">
        <v>138</v>
      </c>
      <c r="AG1494">
        <v>0</v>
      </c>
      <c r="AH1494">
        <v>3</v>
      </c>
      <c r="AI1494">
        <v>2</v>
      </c>
      <c r="AJ1494">
        <v>0</v>
      </c>
      <c r="AK1494" t="s">
        <v>557</v>
      </c>
      <c r="AL1494">
        <v>39.018610000000002</v>
      </c>
      <c r="AM1494" t="s">
        <v>265</v>
      </c>
      <c r="AN1494">
        <v>-121.053071</v>
      </c>
      <c r="AO1494">
        <v>25</v>
      </c>
      <c r="AP1494">
        <v>3900</v>
      </c>
      <c r="AQ1494" t="s">
        <v>131</v>
      </c>
      <c r="AR1494">
        <v>30</v>
      </c>
      <c r="AS1494">
        <v>69</v>
      </c>
      <c r="AT1494">
        <v>512</v>
      </c>
      <c r="BB1494" t="str">
        <f t="shared" si="586"/>
        <v>1200</v>
      </c>
      <c r="BC1494">
        <v>1</v>
      </c>
      <c r="BD1494" t="str">
        <f t="shared" si="587"/>
        <v xml:space="preserve">N52156  </v>
      </c>
      <c r="BE1494">
        <v>1</v>
      </c>
      <c r="BG1494">
        <v>0</v>
      </c>
      <c r="BH1494">
        <v>0</v>
      </c>
      <c r="BI1494">
        <v>0</v>
      </c>
      <c r="BJ1494">
        <v>3875</v>
      </c>
      <c r="BK1494">
        <v>-25</v>
      </c>
      <c r="BL1494" t="s">
        <v>188</v>
      </c>
      <c r="BM1494">
        <v>1</v>
      </c>
      <c r="BN1494">
        <v>1</v>
      </c>
      <c r="BO1494">
        <v>0</v>
      </c>
      <c r="BP1494">
        <v>0</v>
      </c>
      <c r="BS1494">
        <v>0</v>
      </c>
      <c r="BT1494">
        <v>0</v>
      </c>
      <c r="BU1494">
        <v>0</v>
      </c>
      <c r="CE1494" t="str">
        <f t="shared" si="593"/>
        <v>15:08:40.950</v>
      </c>
      <c r="CF1494">
        <v>949957385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5</v>
      </c>
      <c r="CY1494">
        <v>7</v>
      </c>
      <c r="CZ1494" t="s">
        <v>133</v>
      </c>
      <c r="DA1494">
        <v>275</v>
      </c>
      <c r="DB1494">
        <v>0</v>
      </c>
      <c r="DC1494" t="s">
        <v>134</v>
      </c>
      <c r="DD1494" t="s">
        <v>135</v>
      </c>
      <c r="DG1494">
        <v>3320429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"05/01/2025 15:08:41.204"</f>
        <v>05/01/2025 15:08:41.204</v>
      </c>
      <c r="C1495" t="str">
        <f t="shared" si="584"/>
        <v>FFDFD3C0</v>
      </c>
      <c r="D1495" t="s">
        <v>136</v>
      </c>
      <c r="E1495" t="str">
        <f>"20"</f>
        <v>20</v>
      </c>
      <c r="H1495">
        <v>400</v>
      </c>
      <c r="I1495" t="s">
        <v>137</v>
      </c>
      <c r="J1495" t="s">
        <v>138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R1495" t="s">
        <v>127</v>
      </c>
      <c r="S1495" t="str">
        <f t="shared" si="592"/>
        <v>15:08:40.000</v>
      </c>
      <c r="T1495" t="str">
        <f t="shared" si="592"/>
        <v>15:08:40.000</v>
      </c>
      <c r="U1495" t="str">
        <f t="shared" si="585"/>
        <v>A68FCB</v>
      </c>
      <c r="V1495">
        <v>0</v>
      </c>
      <c r="W1495">
        <v>0</v>
      </c>
      <c r="X1495">
        <v>2</v>
      </c>
      <c r="Y1495">
        <v>0</v>
      </c>
      <c r="AA1495">
        <v>1</v>
      </c>
      <c r="AB1495">
        <v>8</v>
      </c>
      <c r="AC1495">
        <v>3</v>
      </c>
      <c r="AD1495">
        <v>0</v>
      </c>
      <c r="AE1495">
        <v>9</v>
      </c>
      <c r="AF1495" t="s">
        <v>138</v>
      </c>
      <c r="AG1495">
        <v>0</v>
      </c>
      <c r="AH1495">
        <v>3</v>
      </c>
      <c r="AI1495">
        <v>2</v>
      </c>
      <c r="AJ1495">
        <v>0</v>
      </c>
      <c r="AK1495" t="s">
        <v>557</v>
      </c>
      <c r="AL1495">
        <v>39.018610000000002</v>
      </c>
      <c r="AM1495" t="s">
        <v>265</v>
      </c>
      <c r="AN1495">
        <v>-121.053071</v>
      </c>
      <c r="AO1495">
        <v>25</v>
      </c>
      <c r="AP1495">
        <v>3900</v>
      </c>
      <c r="AQ1495" t="s">
        <v>131</v>
      </c>
      <c r="AR1495">
        <v>30</v>
      </c>
      <c r="AS1495">
        <v>69</v>
      </c>
      <c r="AT1495">
        <v>512</v>
      </c>
      <c r="BB1495" t="str">
        <f t="shared" si="586"/>
        <v>1200</v>
      </c>
      <c r="BC1495">
        <v>1</v>
      </c>
      <c r="BD1495" t="str">
        <f t="shared" si="587"/>
        <v xml:space="preserve">N52156  </v>
      </c>
      <c r="BE1495">
        <v>1</v>
      </c>
      <c r="BG1495">
        <v>0</v>
      </c>
      <c r="BH1495">
        <v>0</v>
      </c>
      <c r="BI1495">
        <v>0</v>
      </c>
      <c r="BJ1495">
        <v>3875</v>
      </c>
      <c r="BK1495">
        <v>-25</v>
      </c>
      <c r="BL1495" t="s">
        <v>188</v>
      </c>
      <c r="BM1495">
        <v>1</v>
      </c>
      <c r="BN1495">
        <v>1</v>
      </c>
      <c r="BO1495">
        <v>0</v>
      </c>
      <c r="BP1495">
        <v>0</v>
      </c>
      <c r="BS1495">
        <v>0</v>
      </c>
      <c r="BT1495">
        <v>0</v>
      </c>
      <c r="BU1495">
        <v>0</v>
      </c>
      <c r="CE1495" t="str">
        <f t="shared" si="593"/>
        <v>15:08:40.950</v>
      </c>
      <c r="CF1495">
        <v>949957385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5</v>
      </c>
      <c r="CY1495">
        <v>7</v>
      </c>
      <c r="CZ1495" t="s">
        <v>133</v>
      </c>
      <c r="DA1495">
        <v>275</v>
      </c>
      <c r="DB1495">
        <v>0</v>
      </c>
      <c r="DC1495" t="s">
        <v>134</v>
      </c>
      <c r="DD1495" t="s">
        <v>135</v>
      </c>
      <c r="DG1495">
        <v>3320429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"05/01/2025 15:08:41.855"</f>
        <v>05/01/2025 15:08:41.855</v>
      </c>
      <c r="C1496" t="str">
        <f t="shared" si="584"/>
        <v>FFDFD3C0</v>
      </c>
      <c r="D1496" t="s">
        <v>136</v>
      </c>
      <c r="E1496" t="str">
        <f>"20"</f>
        <v>20</v>
      </c>
      <c r="H1496">
        <v>400</v>
      </c>
      <c r="I1496" t="s">
        <v>137</v>
      </c>
      <c r="J1496" t="s">
        <v>138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R1496" t="s">
        <v>127</v>
      </c>
      <c r="S1496" t="str">
        <f t="shared" ref="S1496:T1501" si="594">"15:08:41.000"</f>
        <v>15:08:41.000</v>
      </c>
      <c r="T1496" t="str">
        <f t="shared" si="594"/>
        <v>15:08:41.000</v>
      </c>
      <c r="U1496" t="str">
        <f t="shared" si="585"/>
        <v>A68FCB</v>
      </c>
      <c r="V1496">
        <v>0</v>
      </c>
      <c r="W1496">
        <v>0</v>
      </c>
      <c r="X1496">
        <v>2</v>
      </c>
      <c r="Y1496">
        <v>0</v>
      </c>
      <c r="AA1496">
        <v>1</v>
      </c>
      <c r="AB1496">
        <v>8</v>
      </c>
      <c r="AC1496">
        <v>3</v>
      </c>
      <c r="AD1496">
        <v>0</v>
      </c>
      <c r="AE1496">
        <v>9</v>
      </c>
      <c r="AF1496" t="s">
        <v>138</v>
      </c>
      <c r="AG1496">
        <v>0</v>
      </c>
      <c r="AH1496">
        <v>3</v>
      </c>
      <c r="AI1496">
        <v>2</v>
      </c>
      <c r="AJ1496">
        <v>0</v>
      </c>
      <c r="AK1496" t="s">
        <v>558</v>
      </c>
      <c r="AL1496">
        <v>39.018909999999998</v>
      </c>
      <c r="AM1496" t="s">
        <v>559</v>
      </c>
      <c r="AN1496">
        <v>-121.052899</v>
      </c>
      <c r="AO1496">
        <v>25</v>
      </c>
      <c r="AP1496">
        <v>3900</v>
      </c>
      <c r="AQ1496" t="s">
        <v>131</v>
      </c>
      <c r="AR1496">
        <v>30</v>
      </c>
      <c r="AS1496">
        <v>68</v>
      </c>
      <c r="AT1496">
        <v>576</v>
      </c>
      <c r="BB1496" t="str">
        <f t="shared" si="586"/>
        <v>1200</v>
      </c>
      <c r="BC1496">
        <v>1</v>
      </c>
      <c r="BD1496" t="str">
        <f t="shared" si="587"/>
        <v xml:space="preserve">N52156  </v>
      </c>
      <c r="BE1496">
        <v>1</v>
      </c>
      <c r="BG1496">
        <v>0</v>
      </c>
      <c r="BH1496">
        <v>0</v>
      </c>
      <c r="BI1496">
        <v>0</v>
      </c>
      <c r="BJ1496">
        <v>3900</v>
      </c>
      <c r="BK1496">
        <v>0</v>
      </c>
      <c r="BL1496" t="s">
        <v>188</v>
      </c>
      <c r="BM1496">
        <v>1</v>
      </c>
      <c r="BN1496">
        <v>1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 t="shared" ref="CE1496:CE1501" si="595">"15:08:41.653"</f>
        <v>15:08:41.653</v>
      </c>
      <c r="CF1496">
        <v>653456688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5</v>
      </c>
      <c r="CY1496">
        <v>7</v>
      </c>
      <c r="CZ1496" t="s">
        <v>133</v>
      </c>
      <c r="DA1496">
        <v>275</v>
      </c>
      <c r="DB1496">
        <v>0</v>
      </c>
      <c r="DC1496" t="s">
        <v>134</v>
      </c>
      <c r="DD1496" t="s">
        <v>135</v>
      </c>
      <c r="DG1496">
        <v>3320437</v>
      </c>
      <c r="DI1496">
        <v>1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"05/01/2025 15:08:41.892"</f>
        <v>05/01/2025 15:08:41.892</v>
      </c>
      <c r="C1497" t="str">
        <f t="shared" si="584"/>
        <v>FFDFD3C0</v>
      </c>
      <c r="D1497" t="s">
        <v>145</v>
      </c>
      <c r="E1497" t="str">
        <f>"05"</f>
        <v>05</v>
      </c>
      <c r="H1497">
        <v>47</v>
      </c>
      <c r="I1497" t="s">
        <v>146</v>
      </c>
      <c r="J1497" t="s">
        <v>138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R1497" t="s">
        <v>127</v>
      </c>
      <c r="S1497" t="str">
        <f t="shared" si="594"/>
        <v>15:08:41.000</v>
      </c>
      <c r="T1497" t="str">
        <f t="shared" si="594"/>
        <v>15:08:41.000</v>
      </c>
      <c r="U1497" t="str">
        <f t="shared" si="585"/>
        <v>A68FCB</v>
      </c>
      <c r="V1497">
        <v>0</v>
      </c>
      <c r="W1497">
        <v>0</v>
      </c>
      <c r="X1497">
        <v>2</v>
      </c>
      <c r="Y1497">
        <v>0</v>
      </c>
      <c r="AA1497">
        <v>1</v>
      </c>
      <c r="AB1497">
        <v>8</v>
      </c>
      <c r="AC1497">
        <v>3</v>
      </c>
      <c r="AD1497">
        <v>0</v>
      </c>
      <c r="AE1497">
        <v>9</v>
      </c>
      <c r="AF1497" t="s">
        <v>138</v>
      </c>
      <c r="AG1497">
        <v>0</v>
      </c>
      <c r="AH1497">
        <v>3</v>
      </c>
      <c r="AI1497">
        <v>2</v>
      </c>
      <c r="AJ1497">
        <v>0</v>
      </c>
      <c r="AK1497" t="s">
        <v>558</v>
      </c>
      <c r="AL1497">
        <v>39.018909999999998</v>
      </c>
      <c r="AM1497" t="s">
        <v>559</v>
      </c>
      <c r="AN1497">
        <v>-121.052899</v>
      </c>
      <c r="AO1497">
        <v>25</v>
      </c>
      <c r="AP1497">
        <v>3900</v>
      </c>
      <c r="AQ1497" t="s">
        <v>131</v>
      </c>
      <c r="AR1497">
        <v>30</v>
      </c>
      <c r="AS1497">
        <v>68</v>
      </c>
      <c r="AT1497">
        <v>576</v>
      </c>
      <c r="BB1497" t="str">
        <f t="shared" si="586"/>
        <v>1200</v>
      </c>
      <c r="BC1497">
        <v>1</v>
      </c>
      <c r="BD1497" t="str">
        <f t="shared" si="587"/>
        <v xml:space="preserve">N52156  </v>
      </c>
      <c r="BE1497">
        <v>1</v>
      </c>
      <c r="BG1497">
        <v>0</v>
      </c>
      <c r="BH1497">
        <v>0</v>
      </c>
      <c r="BI1497">
        <v>0</v>
      </c>
      <c r="BJ1497">
        <v>3900</v>
      </c>
      <c r="BK1497">
        <v>0</v>
      </c>
      <c r="BL1497" t="s">
        <v>188</v>
      </c>
      <c r="BM1497">
        <v>1</v>
      </c>
      <c r="BN1497">
        <v>1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 t="shared" si="595"/>
        <v>15:08:41.653</v>
      </c>
      <c r="CF1497">
        <v>653456688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5</v>
      </c>
      <c r="CY1497">
        <v>7</v>
      </c>
      <c r="CZ1497" t="s">
        <v>133</v>
      </c>
      <c r="DA1497">
        <v>275</v>
      </c>
      <c r="DB1497">
        <v>0</v>
      </c>
      <c r="DC1497" t="s">
        <v>134</v>
      </c>
      <c r="DD1497" t="s">
        <v>135</v>
      </c>
      <c r="DG1497">
        <v>3320437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"05/01/2025 15:08:41.888"</f>
        <v>05/01/2025 15:08:41.888</v>
      </c>
      <c r="C1498" t="str">
        <f t="shared" si="584"/>
        <v>FFDFD3C0</v>
      </c>
      <c r="D1498" t="s">
        <v>140</v>
      </c>
      <c r="E1498" t="str">
        <f>"13"</f>
        <v>13</v>
      </c>
      <c r="F1498">
        <v>1019</v>
      </c>
      <c r="G1498" t="s">
        <v>141</v>
      </c>
      <c r="J1498" t="s">
        <v>142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R1498" t="s">
        <v>127</v>
      </c>
      <c r="S1498" t="str">
        <f t="shared" si="594"/>
        <v>15:08:41.000</v>
      </c>
      <c r="T1498" t="str">
        <f t="shared" si="594"/>
        <v>15:08:41.000</v>
      </c>
      <c r="U1498" t="str">
        <f t="shared" si="585"/>
        <v>A68FCB</v>
      </c>
      <c r="V1498">
        <v>0</v>
      </c>
      <c r="W1498">
        <v>0</v>
      </c>
      <c r="X1498">
        <v>2</v>
      </c>
      <c r="Y1498">
        <v>0</v>
      </c>
      <c r="AA1498">
        <v>1</v>
      </c>
      <c r="AB1498">
        <v>8</v>
      </c>
      <c r="AC1498">
        <v>3</v>
      </c>
      <c r="AD1498">
        <v>0</v>
      </c>
      <c r="AE1498">
        <v>9</v>
      </c>
      <c r="AF1498" t="s">
        <v>138</v>
      </c>
      <c r="AG1498">
        <v>0</v>
      </c>
      <c r="AH1498">
        <v>3</v>
      </c>
      <c r="AI1498">
        <v>2</v>
      </c>
      <c r="AJ1498">
        <v>0</v>
      </c>
      <c r="AK1498" t="s">
        <v>558</v>
      </c>
      <c r="AL1498">
        <v>39.018909999999998</v>
      </c>
      <c r="AM1498" t="s">
        <v>559</v>
      </c>
      <c r="AN1498">
        <v>-121.052899</v>
      </c>
      <c r="AO1498">
        <v>25</v>
      </c>
      <c r="AP1498">
        <v>3900</v>
      </c>
      <c r="AQ1498" t="s">
        <v>131</v>
      </c>
      <c r="AR1498">
        <v>30</v>
      </c>
      <c r="AS1498">
        <v>68</v>
      </c>
      <c r="AT1498">
        <v>576</v>
      </c>
      <c r="BB1498" t="str">
        <f t="shared" si="586"/>
        <v>1200</v>
      </c>
      <c r="BC1498">
        <v>1</v>
      </c>
      <c r="BD1498" t="str">
        <f t="shared" si="587"/>
        <v xml:space="preserve">N52156  </v>
      </c>
      <c r="BE1498">
        <v>1</v>
      </c>
      <c r="BG1498">
        <v>0</v>
      </c>
      <c r="BH1498">
        <v>0</v>
      </c>
      <c r="BI1498">
        <v>0</v>
      </c>
      <c r="BJ1498">
        <v>3900</v>
      </c>
      <c r="BK1498">
        <v>0</v>
      </c>
      <c r="BL1498" t="s">
        <v>188</v>
      </c>
      <c r="BM1498">
        <v>1</v>
      </c>
      <c r="BN1498">
        <v>1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 t="shared" si="595"/>
        <v>15:08:41.653</v>
      </c>
      <c r="CF1498">
        <v>653456688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133</v>
      </c>
      <c r="DA1498">
        <v>275</v>
      </c>
      <c r="DB1498">
        <v>0</v>
      </c>
      <c r="DC1498" t="s">
        <v>134</v>
      </c>
      <c r="DD1498" t="s">
        <v>135</v>
      </c>
      <c r="DG1498">
        <v>3320437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"05/01/2025 15:08:41.894"</f>
        <v>05/01/2025 15:08:41.894</v>
      </c>
      <c r="C1499" t="str">
        <f t="shared" si="584"/>
        <v>FFDFD3C0</v>
      </c>
      <c r="D1499" t="s">
        <v>124</v>
      </c>
      <c r="E1499" t="str">
        <f>"06"</f>
        <v>06</v>
      </c>
      <c r="F1499">
        <v>2006</v>
      </c>
      <c r="G1499" t="s">
        <v>125</v>
      </c>
      <c r="J1499" t="s">
        <v>126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R1499" t="s">
        <v>127</v>
      </c>
      <c r="S1499" t="str">
        <f t="shared" si="594"/>
        <v>15:08:41.000</v>
      </c>
      <c r="T1499" t="str">
        <f t="shared" si="594"/>
        <v>15:08:41.000</v>
      </c>
      <c r="U1499" t="str">
        <f t="shared" si="585"/>
        <v>A68FCB</v>
      </c>
      <c r="V1499">
        <v>0</v>
      </c>
      <c r="W1499">
        <v>0</v>
      </c>
      <c r="X1499">
        <v>2</v>
      </c>
      <c r="Y1499">
        <v>0</v>
      </c>
      <c r="AA1499">
        <v>1</v>
      </c>
      <c r="AB1499">
        <v>8</v>
      </c>
      <c r="AC1499">
        <v>3</v>
      </c>
      <c r="AD1499">
        <v>0</v>
      </c>
      <c r="AE1499">
        <v>9</v>
      </c>
      <c r="AF1499" t="s">
        <v>138</v>
      </c>
      <c r="AG1499">
        <v>0</v>
      </c>
      <c r="AH1499">
        <v>3</v>
      </c>
      <c r="AI1499">
        <v>2</v>
      </c>
      <c r="AJ1499">
        <v>0</v>
      </c>
      <c r="AK1499" t="s">
        <v>558</v>
      </c>
      <c r="AL1499">
        <v>39.018909999999998</v>
      </c>
      <c r="AM1499" t="s">
        <v>559</v>
      </c>
      <c r="AN1499">
        <v>-121.052899</v>
      </c>
      <c r="AO1499">
        <v>25</v>
      </c>
      <c r="AP1499">
        <v>3900</v>
      </c>
      <c r="AQ1499" t="s">
        <v>131</v>
      </c>
      <c r="AR1499">
        <v>30</v>
      </c>
      <c r="AS1499">
        <v>68</v>
      </c>
      <c r="AT1499">
        <v>576</v>
      </c>
      <c r="BB1499" t="str">
        <f t="shared" si="586"/>
        <v>1200</v>
      </c>
      <c r="BC1499">
        <v>1</v>
      </c>
      <c r="BD1499" t="str">
        <f t="shared" si="587"/>
        <v xml:space="preserve">N52156  </v>
      </c>
      <c r="BE1499">
        <v>1</v>
      </c>
      <c r="BG1499">
        <v>0</v>
      </c>
      <c r="BH1499">
        <v>0</v>
      </c>
      <c r="BI1499">
        <v>0</v>
      </c>
      <c r="BJ1499">
        <v>3900</v>
      </c>
      <c r="BK1499">
        <v>0</v>
      </c>
      <c r="BL1499" t="s">
        <v>188</v>
      </c>
      <c r="BM1499">
        <v>1</v>
      </c>
      <c r="BN1499">
        <v>1</v>
      </c>
      <c r="BO1499">
        <v>0</v>
      </c>
      <c r="BP1499">
        <v>0</v>
      </c>
      <c r="BS1499">
        <v>0</v>
      </c>
      <c r="BT1499">
        <v>0</v>
      </c>
      <c r="BU1499">
        <v>0</v>
      </c>
      <c r="CE1499" t="str">
        <f t="shared" si="595"/>
        <v>15:08:41.653</v>
      </c>
      <c r="CF1499">
        <v>653456688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133</v>
      </c>
      <c r="DA1499">
        <v>275</v>
      </c>
      <c r="DB1499">
        <v>0</v>
      </c>
      <c r="DC1499" t="s">
        <v>134</v>
      </c>
      <c r="DD1499" t="s">
        <v>135</v>
      </c>
      <c r="DG1499">
        <v>3320437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"05/01/2025 15:08:41.896"</f>
        <v>05/01/2025 15:08:41.896</v>
      </c>
      <c r="C1500" t="str">
        <f t="shared" si="584"/>
        <v>FFDFD3C0</v>
      </c>
      <c r="D1500" t="s">
        <v>145</v>
      </c>
      <c r="E1500" t="str">
        <f>"09"</f>
        <v>09</v>
      </c>
      <c r="H1500">
        <v>51</v>
      </c>
      <c r="I1500" t="s">
        <v>147</v>
      </c>
      <c r="J1500" t="s">
        <v>138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R1500" t="s">
        <v>127</v>
      </c>
      <c r="S1500" t="str">
        <f t="shared" si="594"/>
        <v>15:08:41.000</v>
      </c>
      <c r="T1500" t="str">
        <f t="shared" si="594"/>
        <v>15:08:41.000</v>
      </c>
      <c r="U1500" t="str">
        <f t="shared" si="585"/>
        <v>A68FCB</v>
      </c>
      <c r="V1500">
        <v>0</v>
      </c>
      <c r="W1500">
        <v>0</v>
      </c>
      <c r="X1500">
        <v>2</v>
      </c>
      <c r="Y1500">
        <v>0</v>
      </c>
      <c r="AA1500">
        <v>1</v>
      </c>
      <c r="AB1500">
        <v>8</v>
      </c>
      <c r="AC1500">
        <v>3</v>
      </c>
      <c r="AD1500">
        <v>0</v>
      </c>
      <c r="AE1500">
        <v>9</v>
      </c>
      <c r="AF1500" t="s">
        <v>138</v>
      </c>
      <c r="AG1500">
        <v>0</v>
      </c>
      <c r="AH1500">
        <v>3</v>
      </c>
      <c r="AI1500">
        <v>2</v>
      </c>
      <c r="AJ1500">
        <v>0</v>
      </c>
      <c r="AK1500" t="s">
        <v>558</v>
      </c>
      <c r="AL1500">
        <v>39.018909999999998</v>
      </c>
      <c r="AM1500" t="s">
        <v>559</v>
      </c>
      <c r="AN1500">
        <v>-121.052899</v>
      </c>
      <c r="AO1500">
        <v>25</v>
      </c>
      <c r="AP1500">
        <v>3900</v>
      </c>
      <c r="AQ1500" t="s">
        <v>131</v>
      </c>
      <c r="AR1500">
        <v>30</v>
      </c>
      <c r="AS1500">
        <v>68</v>
      </c>
      <c r="AT1500">
        <v>576</v>
      </c>
      <c r="BB1500" t="str">
        <f t="shared" si="586"/>
        <v>1200</v>
      </c>
      <c r="BC1500">
        <v>1</v>
      </c>
      <c r="BD1500" t="str">
        <f t="shared" si="587"/>
        <v xml:space="preserve">N52156  </v>
      </c>
      <c r="BE1500">
        <v>1</v>
      </c>
      <c r="BG1500">
        <v>0</v>
      </c>
      <c r="BH1500">
        <v>0</v>
      </c>
      <c r="BI1500">
        <v>0</v>
      </c>
      <c r="BJ1500">
        <v>3900</v>
      </c>
      <c r="BK1500">
        <v>0</v>
      </c>
      <c r="BL1500" t="s">
        <v>188</v>
      </c>
      <c r="BM1500">
        <v>1</v>
      </c>
      <c r="BN1500">
        <v>1</v>
      </c>
      <c r="BO1500">
        <v>0</v>
      </c>
      <c r="BP1500">
        <v>0</v>
      </c>
      <c r="BS1500">
        <v>0</v>
      </c>
      <c r="BT1500">
        <v>0</v>
      </c>
      <c r="BU1500">
        <v>0</v>
      </c>
      <c r="CE1500" t="str">
        <f t="shared" si="595"/>
        <v>15:08:41.653</v>
      </c>
      <c r="CF1500">
        <v>653456688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5</v>
      </c>
      <c r="CY1500">
        <v>7</v>
      </c>
      <c r="CZ1500" t="s">
        <v>133</v>
      </c>
      <c r="DA1500">
        <v>275</v>
      </c>
      <c r="DB1500">
        <v>0</v>
      </c>
      <c r="DC1500" t="s">
        <v>134</v>
      </c>
      <c r="DD1500" t="s">
        <v>135</v>
      </c>
      <c r="DG1500">
        <v>3320437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"05/01/2025 15:08:41.897"</f>
        <v>05/01/2025 15:08:41.897</v>
      </c>
      <c r="C1501" t="str">
        <f t="shared" si="584"/>
        <v>FFDFD3C0</v>
      </c>
      <c r="D1501" t="s">
        <v>143</v>
      </c>
      <c r="E1501" t="str">
        <f>"05"</f>
        <v>05</v>
      </c>
      <c r="H1501">
        <v>172</v>
      </c>
      <c r="I1501" t="s">
        <v>141</v>
      </c>
      <c r="J1501" t="s">
        <v>144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R1501" t="s">
        <v>127</v>
      </c>
      <c r="S1501" t="str">
        <f t="shared" si="594"/>
        <v>15:08:41.000</v>
      </c>
      <c r="T1501" t="str">
        <f t="shared" si="594"/>
        <v>15:08:41.000</v>
      </c>
      <c r="U1501" t="str">
        <f t="shared" si="585"/>
        <v>A68FCB</v>
      </c>
      <c r="V1501">
        <v>0</v>
      </c>
      <c r="W1501">
        <v>0</v>
      </c>
      <c r="X1501">
        <v>2</v>
      </c>
      <c r="Y1501">
        <v>0</v>
      </c>
      <c r="AA1501">
        <v>1</v>
      </c>
      <c r="AB1501">
        <v>8</v>
      </c>
      <c r="AC1501">
        <v>3</v>
      </c>
      <c r="AD1501">
        <v>0</v>
      </c>
      <c r="AE1501">
        <v>9</v>
      </c>
      <c r="AF1501" t="s">
        <v>138</v>
      </c>
      <c r="AG1501">
        <v>0</v>
      </c>
      <c r="AH1501">
        <v>3</v>
      </c>
      <c r="AI1501">
        <v>2</v>
      </c>
      <c r="AJ1501">
        <v>0</v>
      </c>
      <c r="AK1501" t="s">
        <v>558</v>
      </c>
      <c r="AL1501">
        <v>39.018909999999998</v>
      </c>
      <c r="AM1501" t="s">
        <v>559</v>
      </c>
      <c r="AN1501">
        <v>-121.052899</v>
      </c>
      <c r="AO1501">
        <v>25</v>
      </c>
      <c r="AP1501">
        <v>3900</v>
      </c>
      <c r="AQ1501" t="s">
        <v>131</v>
      </c>
      <c r="AR1501">
        <v>30</v>
      </c>
      <c r="AS1501">
        <v>68</v>
      </c>
      <c r="AT1501">
        <v>576</v>
      </c>
      <c r="BB1501" t="str">
        <f t="shared" si="586"/>
        <v>1200</v>
      </c>
      <c r="BC1501">
        <v>1</v>
      </c>
      <c r="BD1501" t="str">
        <f t="shared" si="587"/>
        <v xml:space="preserve">N52156  </v>
      </c>
      <c r="BE1501">
        <v>1</v>
      </c>
      <c r="BG1501">
        <v>0</v>
      </c>
      <c r="BH1501">
        <v>0</v>
      </c>
      <c r="BI1501">
        <v>0</v>
      </c>
      <c r="BJ1501">
        <v>3900</v>
      </c>
      <c r="BK1501">
        <v>0</v>
      </c>
      <c r="BL1501" t="s">
        <v>188</v>
      </c>
      <c r="BM1501">
        <v>1</v>
      </c>
      <c r="BN1501">
        <v>1</v>
      </c>
      <c r="BO1501">
        <v>0</v>
      </c>
      <c r="BP1501">
        <v>0</v>
      </c>
      <c r="BS1501">
        <v>0</v>
      </c>
      <c r="BT1501">
        <v>0</v>
      </c>
      <c r="BU1501">
        <v>0</v>
      </c>
      <c r="CE1501" t="str">
        <f t="shared" si="595"/>
        <v>15:08:41.653</v>
      </c>
      <c r="CF1501">
        <v>653456688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5</v>
      </c>
      <c r="CY1501">
        <v>7</v>
      </c>
      <c r="CZ1501" t="s">
        <v>133</v>
      </c>
      <c r="DA1501">
        <v>275</v>
      </c>
      <c r="DB1501">
        <v>0</v>
      </c>
      <c r="DC1501" t="s">
        <v>134</v>
      </c>
      <c r="DD1501" t="s">
        <v>135</v>
      </c>
      <c r="DG1501">
        <v>3320437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"05/01/2025 15:08:42.445"</f>
        <v>05/01/2025 15:08:42.445</v>
      </c>
      <c r="C1502" t="str">
        <f t="shared" si="584"/>
        <v>FFDFD3C0</v>
      </c>
      <c r="D1502" t="s">
        <v>124</v>
      </c>
      <c r="E1502" t="str">
        <f>"06"</f>
        <v>06</v>
      </c>
      <c r="F1502">
        <v>2006</v>
      </c>
      <c r="G1502" t="s">
        <v>125</v>
      </c>
      <c r="J1502" t="s">
        <v>126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R1502" t="s">
        <v>127</v>
      </c>
      <c r="S1502" t="str">
        <f t="shared" ref="S1502:T1507" si="596">"15:08:42.000"</f>
        <v>15:08:42.000</v>
      </c>
      <c r="T1502" t="str">
        <f t="shared" si="596"/>
        <v>15:08:42.000</v>
      </c>
      <c r="U1502" t="str">
        <f t="shared" si="585"/>
        <v>A68FCB</v>
      </c>
      <c r="V1502">
        <v>0</v>
      </c>
      <c r="W1502">
        <v>0</v>
      </c>
      <c r="X1502">
        <v>2</v>
      </c>
      <c r="Y1502">
        <v>0</v>
      </c>
      <c r="AA1502">
        <v>1</v>
      </c>
      <c r="AB1502">
        <v>8</v>
      </c>
      <c r="AC1502">
        <v>3</v>
      </c>
      <c r="AD1502">
        <v>0</v>
      </c>
      <c r="AE1502">
        <v>9</v>
      </c>
      <c r="AF1502" t="s">
        <v>138</v>
      </c>
      <c r="AG1502">
        <v>0</v>
      </c>
      <c r="AH1502">
        <v>3</v>
      </c>
      <c r="AI1502">
        <v>2</v>
      </c>
      <c r="AJ1502">
        <v>0</v>
      </c>
      <c r="AK1502" t="s">
        <v>560</v>
      </c>
      <c r="AL1502">
        <v>39.019232000000002</v>
      </c>
      <c r="AM1502" t="s">
        <v>561</v>
      </c>
      <c r="AN1502">
        <v>-121.052706</v>
      </c>
      <c r="AO1502">
        <v>25</v>
      </c>
      <c r="AP1502">
        <v>3900</v>
      </c>
      <c r="AQ1502" t="s">
        <v>131</v>
      </c>
      <c r="AR1502">
        <v>30</v>
      </c>
      <c r="AS1502">
        <v>68</v>
      </c>
      <c r="AT1502">
        <v>576</v>
      </c>
      <c r="BB1502" t="str">
        <f t="shared" si="586"/>
        <v>1200</v>
      </c>
      <c r="BC1502">
        <v>1</v>
      </c>
      <c r="BD1502" t="str">
        <f t="shared" si="587"/>
        <v xml:space="preserve">N52156  </v>
      </c>
      <c r="BE1502">
        <v>1</v>
      </c>
      <c r="BG1502">
        <v>0</v>
      </c>
      <c r="BH1502">
        <v>0</v>
      </c>
      <c r="BI1502">
        <v>0</v>
      </c>
      <c r="BJ1502">
        <v>3925</v>
      </c>
      <c r="BK1502">
        <v>25</v>
      </c>
      <c r="BL1502" t="s">
        <v>188</v>
      </c>
      <c r="BM1502">
        <v>1</v>
      </c>
      <c r="BN1502">
        <v>1</v>
      </c>
      <c r="BO1502">
        <v>0</v>
      </c>
      <c r="BP1502">
        <v>0</v>
      </c>
      <c r="BS1502">
        <v>0</v>
      </c>
      <c r="BT1502">
        <v>0</v>
      </c>
      <c r="BU1502">
        <v>0</v>
      </c>
      <c r="CE1502" t="str">
        <f t="shared" ref="CE1502:CE1507" si="597">"15:08:42.228"</f>
        <v>15:08:42.228</v>
      </c>
      <c r="CF1502">
        <v>228455695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5</v>
      </c>
      <c r="CY1502">
        <v>7</v>
      </c>
      <c r="CZ1502" t="s">
        <v>133</v>
      </c>
      <c r="DA1502">
        <v>275</v>
      </c>
      <c r="DB1502">
        <v>0</v>
      </c>
      <c r="DC1502" t="s">
        <v>134</v>
      </c>
      <c r="DD1502" t="s">
        <v>135</v>
      </c>
      <c r="DG1502">
        <v>3320444</v>
      </c>
      <c r="DI1502">
        <v>1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"05/01/2025 15:08:42.443"</f>
        <v>05/01/2025 15:08:42.443</v>
      </c>
      <c r="C1503" t="str">
        <f t="shared" si="584"/>
        <v>FFDFD3C0</v>
      </c>
      <c r="D1503" t="s">
        <v>145</v>
      </c>
      <c r="E1503" t="str">
        <f>"05"</f>
        <v>05</v>
      </c>
      <c r="H1503">
        <v>47</v>
      </c>
      <c r="I1503" t="s">
        <v>146</v>
      </c>
      <c r="J1503" t="s">
        <v>138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R1503" t="s">
        <v>127</v>
      </c>
      <c r="S1503" t="str">
        <f t="shared" si="596"/>
        <v>15:08:42.000</v>
      </c>
      <c r="T1503" t="str">
        <f t="shared" si="596"/>
        <v>15:08:42.000</v>
      </c>
      <c r="U1503" t="str">
        <f t="shared" si="585"/>
        <v>A68FCB</v>
      </c>
      <c r="V1503">
        <v>0</v>
      </c>
      <c r="W1503">
        <v>0</v>
      </c>
      <c r="X1503">
        <v>2</v>
      </c>
      <c r="Y1503">
        <v>0</v>
      </c>
      <c r="AA1503">
        <v>1</v>
      </c>
      <c r="AB1503">
        <v>8</v>
      </c>
      <c r="AC1503">
        <v>3</v>
      </c>
      <c r="AD1503">
        <v>0</v>
      </c>
      <c r="AE1503">
        <v>9</v>
      </c>
      <c r="AF1503" t="s">
        <v>138</v>
      </c>
      <c r="AG1503">
        <v>0</v>
      </c>
      <c r="AH1503">
        <v>3</v>
      </c>
      <c r="AI1503">
        <v>2</v>
      </c>
      <c r="AJ1503">
        <v>0</v>
      </c>
      <c r="AK1503" t="s">
        <v>560</v>
      </c>
      <c r="AL1503">
        <v>39.019232000000002</v>
      </c>
      <c r="AM1503" t="s">
        <v>561</v>
      </c>
      <c r="AN1503">
        <v>-121.052706</v>
      </c>
      <c r="AO1503">
        <v>25</v>
      </c>
      <c r="AP1503">
        <v>3900</v>
      </c>
      <c r="AQ1503" t="s">
        <v>131</v>
      </c>
      <c r="AR1503">
        <v>30</v>
      </c>
      <c r="AS1503">
        <v>68</v>
      </c>
      <c r="AT1503">
        <v>576</v>
      </c>
      <c r="BB1503" t="str">
        <f t="shared" si="586"/>
        <v>1200</v>
      </c>
      <c r="BC1503">
        <v>1</v>
      </c>
      <c r="BD1503" t="str">
        <f t="shared" si="587"/>
        <v xml:space="preserve">N52156  </v>
      </c>
      <c r="BE1503">
        <v>1</v>
      </c>
      <c r="BG1503">
        <v>0</v>
      </c>
      <c r="BH1503">
        <v>0</v>
      </c>
      <c r="BI1503">
        <v>0</v>
      </c>
      <c r="BJ1503">
        <v>3925</v>
      </c>
      <c r="BK1503">
        <v>25</v>
      </c>
      <c r="BL1503" t="s">
        <v>188</v>
      </c>
      <c r="BM1503">
        <v>1</v>
      </c>
      <c r="BN1503">
        <v>1</v>
      </c>
      <c r="BO1503">
        <v>0</v>
      </c>
      <c r="BP1503">
        <v>0</v>
      </c>
      <c r="BS1503">
        <v>0</v>
      </c>
      <c r="BT1503">
        <v>0</v>
      </c>
      <c r="BU1503">
        <v>0</v>
      </c>
      <c r="CE1503" t="str">
        <f t="shared" si="597"/>
        <v>15:08:42.228</v>
      </c>
      <c r="CF1503">
        <v>228455695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5</v>
      </c>
      <c r="CY1503">
        <v>7</v>
      </c>
      <c r="CZ1503" t="s">
        <v>133</v>
      </c>
      <c r="DA1503">
        <v>275</v>
      </c>
      <c r="DB1503">
        <v>0</v>
      </c>
      <c r="DC1503" t="s">
        <v>134</v>
      </c>
      <c r="DD1503" t="s">
        <v>135</v>
      </c>
      <c r="DG1503">
        <v>3320444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"05/01/2025 15:08:42.447"</f>
        <v>05/01/2025 15:08:42.447</v>
      </c>
      <c r="C1504" t="str">
        <f t="shared" si="584"/>
        <v>FFDFD3C0</v>
      </c>
      <c r="D1504" t="s">
        <v>145</v>
      </c>
      <c r="E1504" t="str">
        <f>"09"</f>
        <v>09</v>
      </c>
      <c r="H1504">
        <v>51</v>
      </c>
      <c r="I1504" t="s">
        <v>147</v>
      </c>
      <c r="J1504" t="s">
        <v>138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R1504" t="s">
        <v>127</v>
      </c>
      <c r="S1504" t="str">
        <f t="shared" si="596"/>
        <v>15:08:42.000</v>
      </c>
      <c r="T1504" t="str">
        <f t="shared" si="596"/>
        <v>15:08:42.000</v>
      </c>
      <c r="U1504" t="str">
        <f t="shared" si="585"/>
        <v>A68FCB</v>
      </c>
      <c r="V1504">
        <v>0</v>
      </c>
      <c r="W1504">
        <v>0</v>
      </c>
      <c r="X1504">
        <v>2</v>
      </c>
      <c r="Y1504">
        <v>0</v>
      </c>
      <c r="AA1504">
        <v>1</v>
      </c>
      <c r="AB1504">
        <v>8</v>
      </c>
      <c r="AC1504">
        <v>3</v>
      </c>
      <c r="AD1504">
        <v>0</v>
      </c>
      <c r="AE1504">
        <v>9</v>
      </c>
      <c r="AF1504" t="s">
        <v>138</v>
      </c>
      <c r="AG1504">
        <v>0</v>
      </c>
      <c r="AH1504">
        <v>3</v>
      </c>
      <c r="AI1504">
        <v>2</v>
      </c>
      <c r="AJ1504">
        <v>0</v>
      </c>
      <c r="AK1504" t="s">
        <v>560</v>
      </c>
      <c r="AL1504">
        <v>39.019232000000002</v>
      </c>
      <c r="AM1504" t="s">
        <v>561</v>
      </c>
      <c r="AN1504">
        <v>-121.052706</v>
      </c>
      <c r="AO1504">
        <v>25</v>
      </c>
      <c r="AP1504">
        <v>3900</v>
      </c>
      <c r="AQ1504" t="s">
        <v>131</v>
      </c>
      <c r="AR1504">
        <v>30</v>
      </c>
      <c r="AS1504">
        <v>68</v>
      </c>
      <c r="AT1504">
        <v>576</v>
      </c>
      <c r="BB1504" t="str">
        <f t="shared" si="586"/>
        <v>1200</v>
      </c>
      <c r="BC1504">
        <v>1</v>
      </c>
      <c r="BD1504" t="str">
        <f t="shared" si="587"/>
        <v xml:space="preserve">N52156  </v>
      </c>
      <c r="BE1504">
        <v>1</v>
      </c>
      <c r="BG1504">
        <v>0</v>
      </c>
      <c r="BH1504">
        <v>0</v>
      </c>
      <c r="BI1504">
        <v>0</v>
      </c>
      <c r="BJ1504">
        <v>3925</v>
      </c>
      <c r="BK1504">
        <v>25</v>
      </c>
      <c r="BL1504" t="s">
        <v>188</v>
      </c>
      <c r="BM1504">
        <v>1</v>
      </c>
      <c r="BN1504">
        <v>1</v>
      </c>
      <c r="BO1504">
        <v>0</v>
      </c>
      <c r="BP1504">
        <v>0</v>
      </c>
      <c r="BS1504">
        <v>0</v>
      </c>
      <c r="BT1504">
        <v>0</v>
      </c>
      <c r="BU1504">
        <v>0</v>
      </c>
      <c r="CE1504" t="str">
        <f t="shared" si="597"/>
        <v>15:08:42.228</v>
      </c>
      <c r="CF1504">
        <v>228455695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5</v>
      </c>
      <c r="CY1504">
        <v>7</v>
      </c>
      <c r="CZ1504" t="s">
        <v>133</v>
      </c>
      <c r="DA1504">
        <v>275</v>
      </c>
      <c r="DB1504">
        <v>0</v>
      </c>
      <c r="DC1504" t="s">
        <v>134</v>
      </c>
      <c r="DD1504" t="s">
        <v>135</v>
      </c>
      <c r="DG1504">
        <v>3320444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"05/01/2025 15:08:42.448"</f>
        <v>05/01/2025 15:08:42.448</v>
      </c>
      <c r="C1505" t="str">
        <f t="shared" si="584"/>
        <v>FFDFD3C0</v>
      </c>
      <c r="D1505" t="s">
        <v>143</v>
      </c>
      <c r="E1505" t="str">
        <f>"05"</f>
        <v>05</v>
      </c>
      <c r="H1505">
        <v>172</v>
      </c>
      <c r="I1505" t="s">
        <v>141</v>
      </c>
      <c r="J1505" t="s">
        <v>144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R1505" t="s">
        <v>127</v>
      </c>
      <c r="S1505" t="str">
        <f t="shared" si="596"/>
        <v>15:08:42.000</v>
      </c>
      <c r="T1505" t="str">
        <f t="shared" si="596"/>
        <v>15:08:42.000</v>
      </c>
      <c r="U1505" t="str">
        <f t="shared" si="585"/>
        <v>A68FCB</v>
      </c>
      <c r="V1505">
        <v>0</v>
      </c>
      <c r="W1505">
        <v>0</v>
      </c>
      <c r="X1505">
        <v>2</v>
      </c>
      <c r="Y1505">
        <v>0</v>
      </c>
      <c r="AA1505">
        <v>1</v>
      </c>
      <c r="AB1505">
        <v>8</v>
      </c>
      <c r="AC1505">
        <v>3</v>
      </c>
      <c r="AD1505">
        <v>0</v>
      </c>
      <c r="AE1505">
        <v>9</v>
      </c>
      <c r="AF1505" t="s">
        <v>138</v>
      </c>
      <c r="AG1505">
        <v>0</v>
      </c>
      <c r="AH1505">
        <v>3</v>
      </c>
      <c r="AI1505">
        <v>2</v>
      </c>
      <c r="AJ1505">
        <v>0</v>
      </c>
      <c r="AK1505" t="s">
        <v>560</v>
      </c>
      <c r="AL1505">
        <v>39.019232000000002</v>
      </c>
      <c r="AM1505" t="s">
        <v>561</v>
      </c>
      <c r="AN1505">
        <v>-121.052706</v>
      </c>
      <c r="AO1505">
        <v>25</v>
      </c>
      <c r="AP1505">
        <v>3900</v>
      </c>
      <c r="AQ1505" t="s">
        <v>131</v>
      </c>
      <c r="AR1505">
        <v>30</v>
      </c>
      <c r="AS1505">
        <v>68</v>
      </c>
      <c r="AT1505">
        <v>576</v>
      </c>
      <c r="BB1505" t="str">
        <f t="shared" si="586"/>
        <v>1200</v>
      </c>
      <c r="BC1505">
        <v>1</v>
      </c>
      <c r="BD1505" t="str">
        <f t="shared" si="587"/>
        <v xml:space="preserve">N52156  </v>
      </c>
      <c r="BE1505">
        <v>1</v>
      </c>
      <c r="BG1505">
        <v>0</v>
      </c>
      <c r="BH1505">
        <v>0</v>
      </c>
      <c r="BI1505">
        <v>0</v>
      </c>
      <c r="BJ1505">
        <v>3925</v>
      </c>
      <c r="BK1505">
        <v>25</v>
      </c>
      <c r="BL1505" t="s">
        <v>188</v>
      </c>
      <c r="BM1505">
        <v>1</v>
      </c>
      <c r="BN1505">
        <v>1</v>
      </c>
      <c r="BO1505">
        <v>0</v>
      </c>
      <c r="BP1505">
        <v>0</v>
      </c>
      <c r="BS1505">
        <v>0</v>
      </c>
      <c r="BT1505">
        <v>0</v>
      </c>
      <c r="BU1505">
        <v>0</v>
      </c>
      <c r="CE1505" t="str">
        <f t="shared" si="597"/>
        <v>15:08:42.228</v>
      </c>
      <c r="CF1505">
        <v>228455695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5</v>
      </c>
      <c r="CY1505">
        <v>7</v>
      </c>
      <c r="CZ1505" t="s">
        <v>133</v>
      </c>
      <c r="DA1505">
        <v>275</v>
      </c>
      <c r="DB1505">
        <v>0</v>
      </c>
      <c r="DC1505" t="s">
        <v>134</v>
      </c>
      <c r="DD1505" t="s">
        <v>135</v>
      </c>
      <c r="DG1505">
        <v>3320444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"05/01/2025 15:08:42.456"</f>
        <v>05/01/2025 15:08:42.456</v>
      </c>
      <c r="C1506" t="str">
        <f t="shared" si="584"/>
        <v>FFDFD3C0</v>
      </c>
      <c r="D1506" t="s">
        <v>136</v>
      </c>
      <c r="E1506" t="str">
        <f>"20"</f>
        <v>20</v>
      </c>
      <c r="H1506">
        <v>400</v>
      </c>
      <c r="I1506" t="s">
        <v>137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R1506" t="s">
        <v>127</v>
      </c>
      <c r="S1506" t="str">
        <f t="shared" si="596"/>
        <v>15:08:42.000</v>
      </c>
      <c r="T1506" t="str">
        <f t="shared" si="596"/>
        <v>15:08:42.000</v>
      </c>
      <c r="U1506" t="str">
        <f t="shared" si="585"/>
        <v>A68FCB</v>
      </c>
      <c r="V1506">
        <v>0</v>
      </c>
      <c r="W1506">
        <v>0</v>
      </c>
      <c r="X1506">
        <v>2</v>
      </c>
      <c r="Y1506">
        <v>0</v>
      </c>
      <c r="AA1506">
        <v>1</v>
      </c>
      <c r="AB1506">
        <v>8</v>
      </c>
      <c r="AC1506">
        <v>3</v>
      </c>
      <c r="AD1506">
        <v>0</v>
      </c>
      <c r="AE1506">
        <v>9</v>
      </c>
      <c r="AF1506" t="s">
        <v>138</v>
      </c>
      <c r="AG1506">
        <v>0</v>
      </c>
      <c r="AH1506">
        <v>3</v>
      </c>
      <c r="AI1506">
        <v>2</v>
      </c>
      <c r="AJ1506">
        <v>0</v>
      </c>
      <c r="AK1506" t="s">
        <v>560</v>
      </c>
      <c r="AL1506">
        <v>39.019232000000002</v>
      </c>
      <c r="AM1506" t="s">
        <v>561</v>
      </c>
      <c r="AN1506">
        <v>-121.052706</v>
      </c>
      <c r="AO1506">
        <v>25</v>
      </c>
      <c r="AP1506">
        <v>3900</v>
      </c>
      <c r="AQ1506" t="s">
        <v>131</v>
      </c>
      <c r="AR1506">
        <v>30</v>
      </c>
      <c r="AS1506">
        <v>68</v>
      </c>
      <c r="AT1506">
        <v>576</v>
      </c>
      <c r="BB1506" t="str">
        <f t="shared" si="586"/>
        <v>1200</v>
      </c>
      <c r="BC1506">
        <v>1</v>
      </c>
      <c r="BD1506" t="str">
        <f t="shared" si="587"/>
        <v xml:space="preserve">N52156  </v>
      </c>
      <c r="BE1506">
        <v>1</v>
      </c>
      <c r="BG1506">
        <v>0</v>
      </c>
      <c r="BH1506">
        <v>0</v>
      </c>
      <c r="BI1506">
        <v>0</v>
      </c>
      <c r="BJ1506">
        <v>3925</v>
      </c>
      <c r="BK1506">
        <v>25</v>
      </c>
      <c r="BL1506" t="s">
        <v>188</v>
      </c>
      <c r="BM1506">
        <v>1</v>
      </c>
      <c r="BN1506">
        <v>1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 t="shared" si="597"/>
        <v>15:08:42.228</v>
      </c>
      <c r="CF1506">
        <v>228455695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133</v>
      </c>
      <c r="DA1506">
        <v>275</v>
      </c>
      <c r="DB1506">
        <v>0</v>
      </c>
      <c r="DC1506" t="s">
        <v>134</v>
      </c>
      <c r="DD1506" t="s">
        <v>135</v>
      </c>
      <c r="DG1506">
        <v>3320444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"05/01/2025 15:08:42.489"</f>
        <v>05/01/2025 15:08:42.489</v>
      </c>
      <c r="C1507" t="str">
        <f t="shared" si="584"/>
        <v>FFDFD3C0</v>
      </c>
      <c r="D1507" t="s">
        <v>140</v>
      </c>
      <c r="E1507" t="str">
        <f>"13"</f>
        <v>13</v>
      </c>
      <c r="F1507">
        <v>1019</v>
      </c>
      <c r="G1507" t="s">
        <v>141</v>
      </c>
      <c r="J1507" t="s">
        <v>142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R1507" t="s">
        <v>127</v>
      </c>
      <c r="S1507" t="str">
        <f t="shared" si="596"/>
        <v>15:08:42.000</v>
      </c>
      <c r="T1507" t="str">
        <f t="shared" si="596"/>
        <v>15:08:42.000</v>
      </c>
      <c r="U1507" t="str">
        <f t="shared" si="585"/>
        <v>A68FCB</v>
      </c>
      <c r="V1507">
        <v>0</v>
      </c>
      <c r="W1507">
        <v>0</v>
      </c>
      <c r="X1507">
        <v>2</v>
      </c>
      <c r="Y1507">
        <v>0</v>
      </c>
      <c r="AA1507">
        <v>1</v>
      </c>
      <c r="AB1507">
        <v>8</v>
      </c>
      <c r="AC1507">
        <v>3</v>
      </c>
      <c r="AD1507">
        <v>0</v>
      </c>
      <c r="AE1507">
        <v>9</v>
      </c>
      <c r="AF1507" t="s">
        <v>138</v>
      </c>
      <c r="AG1507">
        <v>0</v>
      </c>
      <c r="AH1507">
        <v>3</v>
      </c>
      <c r="AI1507">
        <v>2</v>
      </c>
      <c r="AJ1507">
        <v>0</v>
      </c>
      <c r="AK1507" t="s">
        <v>560</v>
      </c>
      <c r="AL1507">
        <v>39.019232000000002</v>
      </c>
      <c r="AM1507" t="s">
        <v>561</v>
      </c>
      <c r="AN1507">
        <v>-121.052706</v>
      </c>
      <c r="AO1507">
        <v>25</v>
      </c>
      <c r="AP1507">
        <v>3900</v>
      </c>
      <c r="AQ1507" t="s">
        <v>131</v>
      </c>
      <c r="AR1507">
        <v>30</v>
      </c>
      <c r="AS1507">
        <v>68</v>
      </c>
      <c r="AT1507">
        <v>576</v>
      </c>
      <c r="BB1507" t="str">
        <f t="shared" si="586"/>
        <v>1200</v>
      </c>
      <c r="BC1507">
        <v>1</v>
      </c>
      <c r="BD1507" t="str">
        <f t="shared" si="587"/>
        <v xml:space="preserve">N52156  </v>
      </c>
      <c r="BE1507">
        <v>1</v>
      </c>
      <c r="BG1507">
        <v>0</v>
      </c>
      <c r="BH1507">
        <v>0</v>
      </c>
      <c r="BI1507">
        <v>0</v>
      </c>
      <c r="BJ1507">
        <v>3925</v>
      </c>
      <c r="BK1507">
        <v>25</v>
      </c>
      <c r="BL1507" t="s">
        <v>188</v>
      </c>
      <c r="BM1507">
        <v>1</v>
      </c>
      <c r="BN1507">
        <v>1</v>
      </c>
      <c r="BO1507">
        <v>0</v>
      </c>
      <c r="BP1507">
        <v>0</v>
      </c>
      <c r="BS1507">
        <v>0</v>
      </c>
      <c r="BT1507">
        <v>0</v>
      </c>
      <c r="BU1507">
        <v>0</v>
      </c>
      <c r="CE1507" t="str">
        <f t="shared" si="597"/>
        <v>15:08:42.228</v>
      </c>
      <c r="CF1507">
        <v>228455695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133</v>
      </c>
      <c r="DA1507">
        <v>275</v>
      </c>
      <c r="DB1507">
        <v>0</v>
      </c>
      <c r="DC1507" t="s">
        <v>134</v>
      </c>
      <c r="DD1507" t="s">
        <v>135</v>
      </c>
      <c r="DG1507">
        <v>3320444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"05/01/2025 15:08:43.591"</f>
        <v>05/01/2025 15:08:43.591</v>
      </c>
      <c r="C1508" t="str">
        <f t="shared" si="584"/>
        <v>FFDFD3C0</v>
      </c>
      <c r="D1508" t="s">
        <v>140</v>
      </c>
      <c r="E1508" t="str">
        <f>"13"</f>
        <v>13</v>
      </c>
      <c r="F1508">
        <v>1019</v>
      </c>
      <c r="G1508" t="s">
        <v>141</v>
      </c>
      <c r="J1508" t="s">
        <v>142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R1508" t="s">
        <v>127</v>
      </c>
      <c r="S1508" t="str">
        <f t="shared" ref="S1508:T1513" si="598">"15:08:43.000"</f>
        <v>15:08:43.000</v>
      </c>
      <c r="T1508" t="str">
        <f t="shared" si="598"/>
        <v>15:08:43.000</v>
      </c>
      <c r="U1508" t="str">
        <f t="shared" si="585"/>
        <v>A68FCB</v>
      </c>
      <c r="V1508">
        <v>0</v>
      </c>
      <c r="W1508">
        <v>0</v>
      </c>
      <c r="X1508">
        <v>2</v>
      </c>
      <c r="Y1508">
        <v>0</v>
      </c>
      <c r="AA1508">
        <v>1</v>
      </c>
      <c r="AB1508">
        <v>8</v>
      </c>
      <c r="AC1508">
        <v>3</v>
      </c>
      <c r="AD1508">
        <v>0</v>
      </c>
      <c r="AE1508">
        <v>9</v>
      </c>
      <c r="AF1508" t="s">
        <v>138</v>
      </c>
      <c r="AG1508">
        <v>0</v>
      </c>
      <c r="AH1508">
        <v>3</v>
      </c>
      <c r="AI1508">
        <v>2</v>
      </c>
      <c r="AJ1508">
        <v>0</v>
      </c>
      <c r="AK1508" t="s">
        <v>562</v>
      </c>
      <c r="AL1508">
        <v>39.019553999999999</v>
      </c>
      <c r="AM1508" t="s">
        <v>447</v>
      </c>
      <c r="AN1508">
        <v>-121.05253500000001</v>
      </c>
      <c r="AO1508">
        <v>25</v>
      </c>
      <c r="AP1508">
        <v>3900</v>
      </c>
      <c r="AQ1508" t="s">
        <v>131</v>
      </c>
      <c r="AR1508">
        <v>31</v>
      </c>
      <c r="AS1508">
        <v>67</v>
      </c>
      <c r="AT1508">
        <v>512</v>
      </c>
      <c r="BB1508" t="str">
        <f t="shared" si="586"/>
        <v>1200</v>
      </c>
      <c r="BC1508">
        <v>1</v>
      </c>
      <c r="BD1508" t="str">
        <f t="shared" si="587"/>
        <v xml:space="preserve">N52156  </v>
      </c>
      <c r="BE1508">
        <v>1</v>
      </c>
      <c r="BG1508">
        <v>0</v>
      </c>
      <c r="BH1508">
        <v>0</v>
      </c>
      <c r="BI1508">
        <v>0</v>
      </c>
      <c r="BJ1508">
        <v>3925</v>
      </c>
      <c r="BK1508">
        <v>25</v>
      </c>
      <c r="BL1508" t="s">
        <v>188</v>
      </c>
      <c r="BM1508">
        <v>1</v>
      </c>
      <c r="BN1508">
        <v>1</v>
      </c>
      <c r="BO1508">
        <v>0</v>
      </c>
      <c r="BP1508">
        <v>0</v>
      </c>
      <c r="BS1508">
        <v>0</v>
      </c>
      <c r="BT1508">
        <v>0</v>
      </c>
      <c r="BU1508">
        <v>0</v>
      </c>
      <c r="CE1508" t="str">
        <f t="shared" ref="CE1508:CE1513" si="599">"15:08:43.336"</f>
        <v>15:08:43.336</v>
      </c>
      <c r="CF1508">
        <v>336206015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133</v>
      </c>
      <c r="DA1508">
        <v>275</v>
      </c>
      <c r="DB1508">
        <v>0</v>
      </c>
      <c r="DC1508" t="s">
        <v>134</v>
      </c>
      <c r="DD1508" t="s">
        <v>135</v>
      </c>
      <c r="DG1508">
        <v>3320454</v>
      </c>
      <c r="DI1508">
        <v>1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"05/01/2025 15:08:43.597"</f>
        <v>05/01/2025 15:08:43.597</v>
      </c>
      <c r="C1509" t="str">
        <f t="shared" si="584"/>
        <v>FFDFD3C0</v>
      </c>
      <c r="D1509" t="s">
        <v>124</v>
      </c>
      <c r="E1509" t="str">
        <f>"06"</f>
        <v>06</v>
      </c>
      <c r="F1509">
        <v>2006</v>
      </c>
      <c r="G1509" t="s">
        <v>125</v>
      </c>
      <c r="J1509" t="s">
        <v>126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R1509" t="s">
        <v>127</v>
      </c>
      <c r="S1509" t="str">
        <f t="shared" si="598"/>
        <v>15:08:43.000</v>
      </c>
      <c r="T1509" t="str">
        <f t="shared" si="598"/>
        <v>15:08:43.000</v>
      </c>
      <c r="U1509" t="str">
        <f t="shared" si="585"/>
        <v>A68FCB</v>
      </c>
      <c r="V1509">
        <v>0</v>
      </c>
      <c r="W1509">
        <v>0</v>
      </c>
      <c r="X1509">
        <v>2</v>
      </c>
      <c r="Y1509">
        <v>0</v>
      </c>
      <c r="AA1509">
        <v>1</v>
      </c>
      <c r="AB1509">
        <v>8</v>
      </c>
      <c r="AC1509">
        <v>3</v>
      </c>
      <c r="AD1509">
        <v>0</v>
      </c>
      <c r="AE1509">
        <v>9</v>
      </c>
      <c r="AF1509" t="s">
        <v>138</v>
      </c>
      <c r="AG1509">
        <v>0</v>
      </c>
      <c r="AH1509">
        <v>3</v>
      </c>
      <c r="AI1509">
        <v>2</v>
      </c>
      <c r="AJ1509">
        <v>0</v>
      </c>
      <c r="AK1509" t="s">
        <v>562</v>
      </c>
      <c r="AL1509">
        <v>39.019553999999999</v>
      </c>
      <c r="AM1509" t="s">
        <v>447</v>
      </c>
      <c r="AN1509">
        <v>-121.05253500000001</v>
      </c>
      <c r="AO1509">
        <v>25</v>
      </c>
      <c r="AP1509">
        <v>3900</v>
      </c>
      <c r="AQ1509" t="s">
        <v>131</v>
      </c>
      <c r="AR1509">
        <v>31</v>
      </c>
      <c r="AS1509">
        <v>67</v>
      </c>
      <c r="AT1509">
        <v>512</v>
      </c>
      <c r="BB1509" t="str">
        <f t="shared" si="586"/>
        <v>1200</v>
      </c>
      <c r="BC1509">
        <v>1</v>
      </c>
      <c r="BD1509" t="str">
        <f t="shared" si="587"/>
        <v xml:space="preserve">N52156  </v>
      </c>
      <c r="BE1509">
        <v>1</v>
      </c>
      <c r="BG1509">
        <v>0</v>
      </c>
      <c r="BH1509">
        <v>0</v>
      </c>
      <c r="BI1509">
        <v>0</v>
      </c>
      <c r="BJ1509">
        <v>3925</v>
      </c>
      <c r="BK1509">
        <v>25</v>
      </c>
      <c r="BL1509" t="s">
        <v>188</v>
      </c>
      <c r="BM1509">
        <v>1</v>
      </c>
      <c r="BN1509">
        <v>1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 t="shared" si="599"/>
        <v>15:08:43.336</v>
      </c>
      <c r="CF1509">
        <v>336206015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133</v>
      </c>
      <c r="DA1509">
        <v>275</v>
      </c>
      <c r="DB1509">
        <v>0</v>
      </c>
      <c r="DC1509" t="s">
        <v>134</v>
      </c>
      <c r="DD1509" t="s">
        <v>135</v>
      </c>
      <c r="DG1509">
        <v>3320454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"05/01/2025 15:08:43.595"</f>
        <v>05/01/2025 15:08:43.595</v>
      </c>
      <c r="C1510" t="str">
        <f t="shared" si="584"/>
        <v>FFDFD3C0</v>
      </c>
      <c r="D1510" t="s">
        <v>145</v>
      </c>
      <c r="E1510" t="str">
        <f>"05"</f>
        <v>05</v>
      </c>
      <c r="H1510">
        <v>47</v>
      </c>
      <c r="I1510" t="s">
        <v>146</v>
      </c>
      <c r="J1510" t="s">
        <v>138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R1510" t="s">
        <v>127</v>
      </c>
      <c r="S1510" t="str">
        <f t="shared" si="598"/>
        <v>15:08:43.000</v>
      </c>
      <c r="T1510" t="str">
        <f t="shared" si="598"/>
        <v>15:08:43.000</v>
      </c>
      <c r="U1510" t="str">
        <f t="shared" si="585"/>
        <v>A68FCB</v>
      </c>
      <c r="V1510">
        <v>0</v>
      </c>
      <c r="W1510">
        <v>0</v>
      </c>
      <c r="X1510">
        <v>2</v>
      </c>
      <c r="Y1510">
        <v>0</v>
      </c>
      <c r="AA1510">
        <v>1</v>
      </c>
      <c r="AB1510">
        <v>8</v>
      </c>
      <c r="AC1510">
        <v>3</v>
      </c>
      <c r="AD1510">
        <v>0</v>
      </c>
      <c r="AE1510">
        <v>9</v>
      </c>
      <c r="AF1510" t="s">
        <v>138</v>
      </c>
      <c r="AG1510">
        <v>0</v>
      </c>
      <c r="AH1510">
        <v>3</v>
      </c>
      <c r="AI1510">
        <v>2</v>
      </c>
      <c r="AJ1510">
        <v>0</v>
      </c>
      <c r="AK1510" t="s">
        <v>562</v>
      </c>
      <c r="AL1510">
        <v>39.019553999999999</v>
      </c>
      <c r="AM1510" t="s">
        <v>447</v>
      </c>
      <c r="AN1510">
        <v>-121.05253500000001</v>
      </c>
      <c r="AO1510">
        <v>25</v>
      </c>
      <c r="AP1510">
        <v>3900</v>
      </c>
      <c r="AQ1510" t="s">
        <v>131</v>
      </c>
      <c r="AR1510">
        <v>31</v>
      </c>
      <c r="AS1510">
        <v>67</v>
      </c>
      <c r="AT1510">
        <v>512</v>
      </c>
      <c r="BB1510" t="str">
        <f t="shared" si="586"/>
        <v>1200</v>
      </c>
      <c r="BC1510">
        <v>1</v>
      </c>
      <c r="BD1510" t="str">
        <f t="shared" si="587"/>
        <v xml:space="preserve">N52156  </v>
      </c>
      <c r="BE1510">
        <v>1</v>
      </c>
      <c r="BG1510">
        <v>0</v>
      </c>
      <c r="BH1510">
        <v>0</v>
      </c>
      <c r="BI1510">
        <v>0</v>
      </c>
      <c r="BJ1510">
        <v>3925</v>
      </c>
      <c r="BK1510">
        <v>25</v>
      </c>
      <c r="BL1510" t="s">
        <v>188</v>
      </c>
      <c r="BM1510">
        <v>1</v>
      </c>
      <c r="BN1510">
        <v>1</v>
      </c>
      <c r="BO1510">
        <v>0</v>
      </c>
      <c r="BP1510">
        <v>0</v>
      </c>
      <c r="BS1510">
        <v>0</v>
      </c>
      <c r="BT1510">
        <v>0</v>
      </c>
      <c r="BU1510">
        <v>0</v>
      </c>
      <c r="CE1510" t="str">
        <f t="shared" si="599"/>
        <v>15:08:43.336</v>
      </c>
      <c r="CF1510">
        <v>336206015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133</v>
      </c>
      <c r="DA1510">
        <v>275</v>
      </c>
      <c r="DB1510">
        <v>0</v>
      </c>
      <c r="DC1510" t="s">
        <v>134</v>
      </c>
      <c r="DD1510" t="s">
        <v>135</v>
      </c>
      <c r="DG1510">
        <v>3320454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"05/01/2025 15:08:43.599"</f>
        <v>05/01/2025 15:08:43.599</v>
      </c>
      <c r="C1511" t="str">
        <f t="shared" si="584"/>
        <v>FFDFD3C0</v>
      </c>
      <c r="D1511" t="s">
        <v>145</v>
      </c>
      <c r="E1511" t="str">
        <f>"09"</f>
        <v>09</v>
      </c>
      <c r="H1511">
        <v>51</v>
      </c>
      <c r="I1511" t="s">
        <v>147</v>
      </c>
      <c r="J1511" t="s">
        <v>138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R1511" t="s">
        <v>127</v>
      </c>
      <c r="S1511" t="str">
        <f t="shared" si="598"/>
        <v>15:08:43.000</v>
      </c>
      <c r="T1511" t="str">
        <f t="shared" si="598"/>
        <v>15:08:43.000</v>
      </c>
      <c r="U1511" t="str">
        <f t="shared" si="585"/>
        <v>A68FCB</v>
      </c>
      <c r="V1511">
        <v>0</v>
      </c>
      <c r="W1511">
        <v>0</v>
      </c>
      <c r="X1511">
        <v>2</v>
      </c>
      <c r="Y1511">
        <v>0</v>
      </c>
      <c r="AA1511">
        <v>1</v>
      </c>
      <c r="AB1511">
        <v>8</v>
      </c>
      <c r="AC1511">
        <v>3</v>
      </c>
      <c r="AD1511">
        <v>0</v>
      </c>
      <c r="AE1511">
        <v>9</v>
      </c>
      <c r="AF1511" t="s">
        <v>138</v>
      </c>
      <c r="AG1511">
        <v>0</v>
      </c>
      <c r="AH1511">
        <v>3</v>
      </c>
      <c r="AI1511">
        <v>2</v>
      </c>
      <c r="AJ1511">
        <v>0</v>
      </c>
      <c r="AK1511" t="s">
        <v>562</v>
      </c>
      <c r="AL1511">
        <v>39.019553999999999</v>
      </c>
      <c r="AM1511" t="s">
        <v>447</v>
      </c>
      <c r="AN1511">
        <v>-121.05253500000001</v>
      </c>
      <c r="AO1511">
        <v>25</v>
      </c>
      <c r="AP1511">
        <v>3900</v>
      </c>
      <c r="AQ1511" t="s">
        <v>131</v>
      </c>
      <c r="AR1511">
        <v>31</v>
      </c>
      <c r="AS1511">
        <v>67</v>
      </c>
      <c r="AT1511">
        <v>512</v>
      </c>
      <c r="BB1511" t="str">
        <f t="shared" si="586"/>
        <v>1200</v>
      </c>
      <c r="BC1511">
        <v>1</v>
      </c>
      <c r="BD1511" t="str">
        <f t="shared" si="587"/>
        <v xml:space="preserve">N52156  </v>
      </c>
      <c r="BE1511">
        <v>1</v>
      </c>
      <c r="BG1511">
        <v>0</v>
      </c>
      <c r="BH1511">
        <v>0</v>
      </c>
      <c r="BI1511">
        <v>0</v>
      </c>
      <c r="BJ1511">
        <v>3925</v>
      </c>
      <c r="BK1511">
        <v>25</v>
      </c>
      <c r="BL1511" t="s">
        <v>188</v>
      </c>
      <c r="BM1511">
        <v>1</v>
      </c>
      <c r="BN1511">
        <v>1</v>
      </c>
      <c r="BO1511">
        <v>0</v>
      </c>
      <c r="BP1511">
        <v>0</v>
      </c>
      <c r="BS1511">
        <v>0</v>
      </c>
      <c r="BT1511">
        <v>0</v>
      </c>
      <c r="BU1511">
        <v>0</v>
      </c>
      <c r="CE1511" t="str">
        <f t="shared" si="599"/>
        <v>15:08:43.336</v>
      </c>
      <c r="CF1511">
        <v>336206015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5</v>
      </c>
      <c r="CY1511">
        <v>7</v>
      </c>
      <c r="CZ1511" t="s">
        <v>133</v>
      </c>
      <c r="DA1511">
        <v>275</v>
      </c>
      <c r="DB1511">
        <v>0</v>
      </c>
      <c r="DC1511" t="s">
        <v>134</v>
      </c>
      <c r="DD1511" t="s">
        <v>135</v>
      </c>
      <c r="DG1511">
        <v>3320454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"05/01/2025 15:08:43.600"</f>
        <v>05/01/2025 15:08:43.600</v>
      </c>
      <c r="C1512" t="str">
        <f t="shared" si="584"/>
        <v>FFDFD3C0</v>
      </c>
      <c r="D1512" t="s">
        <v>143</v>
      </c>
      <c r="E1512" t="str">
        <f>"05"</f>
        <v>05</v>
      </c>
      <c r="H1512">
        <v>172</v>
      </c>
      <c r="I1512" t="s">
        <v>141</v>
      </c>
      <c r="J1512" t="s">
        <v>144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R1512" t="s">
        <v>127</v>
      </c>
      <c r="S1512" t="str">
        <f t="shared" si="598"/>
        <v>15:08:43.000</v>
      </c>
      <c r="T1512" t="str">
        <f t="shared" si="598"/>
        <v>15:08:43.000</v>
      </c>
      <c r="U1512" t="str">
        <f t="shared" si="585"/>
        <v>A68FCB</v>
      </c>
      <c r="V1512">
        <v>0</v>
      </c>
      <c r="W1512">
        <v>0</v>
      </c>
      <c r="X1512">
        <v>2</v>
      </c>
      <c r="Y1512">
        <v>0</v>
      </c>
      <c r="AA1512">
        <v>1</v>
      </c>
      <c r="AB1512">
        <v>8</v>
      </c>
      <c r="AC1512">
        <v>3</v>
      </c>
      <c r="AD1512">
        <v>0</v>
      </c>
      <c r="AE1512">
        <v>9</v>
      </c>
      <c r="AF1512" t="s">
        <v>138</v>
      </c>
      <c r="AG1512">
        <v>0</v>
      </c>
      <c r="AH1512">
        <v>3</v>
      </c>
      <c r="AI1512">
        <v>2</v>
      </c>
      <c r="AJ1512">
        <v>0</v>
      </c>
      <c r="AK1512" t="s">
        <v>562</v>
      </c>
      <c r="AL1512">
        <v>39.019553999999999</v>
      </c>
      <c r="AM1512" t="s">
        <v>447</v>
      </c>
      <c r="AN1512">
        <v>-121.05253500000001</v>
      </c>
      <c r="AO1512">
        <v>25</v>
      </c>
      <c r="AP1512">
        <v>3900</v>
      </c>
      <c r="AQ1512" t="s">
        <v>131</v>
      </c>
      <c r="AR1512">
        <v>31</v>
      </c>
      <c r="AS1512">
        <v>67</v>
      </c>
      <c r="AT1512">
        <v>512</v>
      </c>
      <c r="BB1512" t="str">
        <f t="shared" si="586"/>
        <v>1200</v>
      </c>
      <c r="BC1512">
        <v>1</v>
      </c>
      <c r="BD1512" t="str">
        <f t="shared" si="587"/>
        <v xml:space="preserve">N52156  </v>
      </c>
      <c r="BE1512">
        <v>1</v>
      </c>
      <c r="BG1512">
        <v>0</v>
      </c>
      <c r="BH1512">
        <v>0</v>
      </c>
      <c r="BI1512">
        <v>0</v>
      </c>
      <c r="BJ1512">
        <v>3925</v>
      </c>
      <c r="BK1512">
        <v>25</v>
      </c>
      <c r="BL1512" t="s">
        <v>188</v>
      </c>
      <c r="BM1512">
        <v>1</v>
      </c>
      <c r="BN1512">
        <v>1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 t="shared" si="599"/>
        <v>15:08:43.336</v>
      </c>
      <c r="CF1512">
        <v>336206015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133</v>
      </c>
      <c r="DA1512">
        <v>275</v>
      </c>
      <c r="DB1512">
        <v>0</v>
      </c>
      <c r="DC1512" t="s">
        <v>134</v>
      </c>
      <c r="DD1512" t="s">
        <v>135</v>
      </c>
      <c r="DG1512">
        <v>3320454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"05/01/2025 15:08:43.608"</f>
        <v>05/01/2025 15:08:43.608</v>
      </c>
      <c r="C1513" t="str">
        <f t="shared" si="584"/>
        <v>FFDFD3C0</v>
      </c>
      <c r="D1513" t="s">
        <v>136</v>
      </c>
      <c r="E1513" t="str">
        <f>"20"</f>
        <v>20</v>
      </c>
      <c r="H1513">
        <v>400</v>
      </c>
      <c r="I1513" t="s">
        <v>137</v>
      </c>
      <c r="J1513" t="s">
        <v>138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R1513" t="s">
        <v>127</v>
      </c>
      <c r="S1513" t="str">
        <f t="shared" si="598"/>
        <v>15:08:43.000</v>
      </c>
      <c r="T1513" t="str">
        <f t="shared" si="598"/>
        <v>15:08:43.000</v>
      </c>
      <c r="U1513" t="str">
        <f t="shared" si="585"/>
        <v>A68FCB</v>
      </c>
      <c r="V1513">
        <v>0</v>
      </c>
      <c r="W1513">
        <v>0</v>
      </c>
      <c r="X1513">
        <v>2</v>
      </c>
      <c r="Y1513">
        <v>0</v>
      </c>
      <c r="AA1513">
        <v>1</v>
      </c>
      <c r="AB1513">
        <v>8</v>
      </c>
      <c r="AC1513">
        <v>3</v>
      </c>
      <c r="AD1513">
        <v>0</v>
      </c>
      <c r="AE1513">
        <v>9</v>
      </c>
      <c r="AF1513" t="s">
        <v>138</v>
      </c>
      <c r="AG1513">
        <v>0</v>
      </c>
      <c r="AH1513">
        <v>3</v>
      </c>
      <c r="AI1513">
        <v>2</v>
      </c>
      <c r="AJ1513">
        <v>0</v>
      </c>
      <c r="AK1513" t="s">
        <v>562</v>
      </c>
      <c r="AL1513">
        <v>39.019553999999999</v>
      </c>
      <c r="AM1513" t="s">
        <v>447</v>
      </c>
      <c r="AN1513">
        <v>-121.05253500000001</v>
      </c>
      <c r="AO1513">
        <v>25</v>
      </c>
      <c r="AP1513">
        <v>3900</v>
      </c>
      <c r="AQ1513" t="s">
        <v>131</v>
      </c>
      <c r="AR1513">
        <v>31</v>
      </c>
      <c r="AS1513">
        <v>67</v>
      </c>
      <c r="AT1513">
        <v>512</v>
      </c>
      <c r="BB1513" t="str">
        <f t="shared" si="586"/>
        <v>1200</v>
      </c>
      <c r="BC1513">
        <v>1</v>
      </c>
      <c r="BD1513" t="str">
        <f t="shared" si="587"/>
        <v xml:space="preserve">N52156  </v>
      </c>
      <c r="BE1513">
        <v>1</v>
      </c>
      <c r="BG1513">
        <v>0</v>
      </c>
      <c r="BH1513">
        <v>0</v>
      </c>
      <c r="BI1513">
        <v>0</v>
      </c>
      <c r="BJ1513">
        <v>3925</v>
      </c>
      <c r="BK1513">
        <v>25</v>
      </c>
      <c r="BL1513" t="s">
        <v>188</v>
      </c>
      <c r="BM1513">
        <v>1</v>
      </c>
      <c r="BN1513">
        <v>1</v>
      </c>
      <c r="BO1513">
        <v>0</v>
      </c>
      <c r="BP1513">
        <v>0</v>
      </c>
      <c r="BS1513">
        <v>0</v>
      </c>
      <c r="BT1513">
        <v>0</v>
      </c>
      <c r="BU1513">
        <v>0</v>
      </c>
      <c r="CE1513" t="str">
        <f t="shared" si="599"/>
        <v>15:08:43.336</v>
      </c>
      <c r="CF1513">
        <v>336206015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133</v>
      </c>
      <c r="DA1513">
        <v>275</v>
      </c>
      <c r="DB1513">
        <v>0</v>
      </c>
      <c r="DC1513" t="s">
        <v>134</v>
      </c>
      <c r="DD1513" t="s">
        <v>135</v>
      </c>
      <c r="DG1513">
        <v>3320454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"05/01/2025 15:08:44.743"</f>
        <v>05/01/2025 15:08:44.743</v>
      </c>
      <c r="C1514" t="str">
        <f t="shared" si="584"/>
        <v>FFDFD3C0</v>
      </c>
      <c r="D1514" t="s">
        <v>140</v>
      </c>
      <c r="E1514" t="str">
        <f>"13"</f>
        <v>13</v>
      </c>
      <c r="F1514">
        <v>1019</v>
      </c>
      <c r="G1514" t="s">
        <v>141</v>
      </c>
      <c r="J1514" t="s">
        <v>142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R1514" t="s">
        <v>127</v>
      </c>
      <c r="S1514" t="str">
        <f t="shared" ref="S1514:T1519" si="600">"15:08:44.000"</f>
        <v>15:08:44.000</v>
      </c>
      <c r="T1514" t="str">
        <f t="shared" si="600"/>
        <v>15:08:44.000</v>
      </c>
      <c r="U1514" t="str">
        <f t="shared" si="585"/>
        <v>A68FCB</v>
      </c>
      <c r="V1514">
        <v>0</v>
      </c>
      <c r="W1514">
        <v>0</v>
      </c>
      <c r="X1514">
        <v>2</v>
      </c>
      <c r="Y1514">
        <v>0</v>
      </c>
      <c r="AA1514">
        <v>1</v>
      </c>
      <c r="AB1514">
        <v>8</v>
      </c>
      <c r="AC1514">
        <v>3</v>
      </c>
      <c r="AD1514">
        <v>0</v>
      </c>
      <c r="AE1514">
        <v>9</v>
      </c>
      <c r="AF1514" t="s">
        <v>138</v>
      </c>
      <c r="AG1514">
        <v>0</v>
      </c>
      <c r="AH1514">
        <v>3</v>
      </c>
      <c r="AI1514">
        <v>2</v>
      </c>
      <c r="AJ1514">
        <v>0</v>
      </c>
      <c r="AK1514" t="s">
        <v>563</v>
      </c>
      <c r="AL1514">
        <v>39.019854000000002</v>
      </c>
      <c r="AM1514" t="s">
        <v>408</v>
      </c>
      <c r="AN1514">
        <v>-121.052299</v>
      </c>
      <c r="AO1514">
        <v>25</v>
      </c>
      <c r="AP1514">
        <v>3900</v>
      </c>
      <c r="AQ1514" t="s">
        <v>131</v>
      </c>
      <c r="AR1514">
        <v>32</v>
      </c>
      <c r="AS1514">
        <v>66</v>
      </c>
      <c r="AT1514">
        <v>512</v>
      </c>
      <c r="BB1514" t="str">
        <f t="shared" si="586"/>
        <v>1200</v>
      </c>
      <c r="BC1514">
        <v>1</v>
      </c>
      <c r="BD1514" t="str">
        <f t="shared" si="587"/>
        <v xml:space="preserve">N52156  </v>
      </c>
      <c r="BE1514">
        <v>1</v>
      </c>
      <c r="BG1514">
        <v>0</v>
      </c>
      <c r="BH1514">
        <v>0</v>
      </c>
      <c r="BI1514">
        <v>0</v>
      </c>
      <c r="BJ1514">
        <v>3925</v>
      </c>
      <c r="BK1514">
        <v>25</v>
      </c>
      <c r="BL1514" t="s">
        <v>188</v>
      </c>
      <c r="BM1514">
        <v>1</v>
      </c>
      <c r="BN1514">
        <v>1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 t="shared" ref="CE1514:CE1519" si="601">"15:08:44.518"</f>
        <v>15:08:44.518</v>
      </c>
      <c r="CF1514">
        <v>518456550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5</v>
      </c>
      <c r="CY1514">
        <v>7</v>
      </c>
      <c r="CZ1514" t="s">
        <v>133</v>
      </c>
      <c r="DA1514">
        <v>275</v>
      </c>
      <c r="DB1514">
        <v>0</v>
      </c>
      <c r="DC1514" t="s">
        <v>134</v>
      </c>
      <c r="DD1514" t="s">
        <v>135</v>
      </c>
      <c r="DG1514">
        <v>3320463</v>
      </c>
      <c r="DI1514">
        <v>1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"05/01/2025 15:08:44.747"</f>
        <v>05/01/2025 15:08:44.747</v>
      </c>
      <c r="C1515" t="str">
        <f t="shared" si="584"/>
        <v>FFDFD3C0</v>
      </c>
      <c r="D1515" t="s">
        <v>145</v>
      </c>
      <c r="E1515" t="str">
        <f>"05"</f>
        <v>05</v>
      </c>
      <c r="H1515">
        <v>47</v>
      </c>
      <c r="I1515" t="s">
        <v>146</v>
      </c>
      <c r="J1515" t="s">
        <v>138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R1515" t="s">
        <v>127</v>
      </c>
      <c r="S1515" t="str">
        <f t="shared" si="600"/>
        <v>15:08:44.000</v>
      </c>
      <c r="T1515" t="str">
        <f t="shared" si="600"/>
        <v>15:08:44.000</v>
      </c>
      <c r="U1515" t="str">
        <f t="shared" si="585"/>
        <v>A68FCB</v>
      </c>
      <c r="V1515">
        <v>0</v>
      </c>
      <c r="W1515">
        <v>0</v>
      </c>
      <c r="X1515">
        <v>2</v>
      </c>
      <c r="Y1515">
        <v>0</v>
      </c>
      <c r="AA1515">
        <v>1</v>
      </c>
      <c r="AB1515">
        <v>8</v>
      </c>
      <c r="AC1515">
        <v>3</v>
      </c>
      <c r="AD1515">
        <v>0</v>
      </c>
      <c r="AE1515">
        <v>9</v>
      </c>
      <c r="AF1515" t="s">
        <v>138</v>
      </c>
      <c r="AG1515">
        <v>0</v>
      </c>
      <c r="AH1515">
        <v>3</v>
      </c>
      <c r="AI1515">
        <v>2</v>
      </c>
      <c r="AJ1515">
        <v>0</v>
      </c>
      <c r="AK1515" t="s">
        <v>563</v>
      </c>
      <c r="AL1515">
        <v>39.019854000000002</v>
      </c>
      <c r="AM1515" t="s">
        <v>408</v>
      </c>
      <c r="AN1515">
        <v>-121.052299</v>
      </c>
      <c r="AO1515">
        <v>25</v>
      </c>
      <c r="AP1515">
        <v>3900</v>
      </c>
      <c r="AQ1515" t="s">
        <v>131</v>
      </c>
      <c r="AR1515">
        <v>32</v>
      </c>
      <c r="AS1515">
        <v>66</v>
      </c>
      <c r="AT1515">
        <v>512</v>
      </c>
      <c r="BB1515" t="str">
        <f t="shared" si="586"/>
        <v>1200</v>
      </c>
      <c r="BC1515">
        <v>1</v>
      </c>
      <c r="BD1515" t="str">
        <f t="shared" si="587"/>
        <v xml:space="preserve">N52156  </v>
      </c>
      <c r="BE1515">
        <v>1</v>
      </c>
      <c r="BG1515">
        <v>0</v>
      </c>
      <c r="BH1515">
        <v>0</v>
      </c>
      <c r="BI1515">
        <v>0</v>
      </c>
      <c r="BJ1515">
        <v>3925</v>
      </c>
      <c r="BK1515">
        <v>25</v>
      </c>
      <c r="BL1515" t="s">
        <v>188</v>
      </c>
      <c r="BM1515">
        <v>1</v>
      </c>
      <c r="BN1515">
        <v>1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 t="shared" si="601"/>
        <v>15:08:44.518</v>
      </c>
      <c r="CF1515">
        <v>518456550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5</v>
      </c>
      <c r="CY1515">
        <v>7</v>
      </c>
      <c r="CZ1515" t="s">
        <v>133</v>
      </c>
      <c r="DA1515">
        <v>275</v>
      </c>
      <c r="DB1515">
        <v>0</v>
      </c>
      <c r="DC1515" t="s">
        <v>134</v>
      </c>
      <c r="DD1515" t="s">
        <v>135</v>
      </c>
      <c r="DG1515">
        <v>3320463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"05/01/2025 15:08:44.748"</f>
        <v>05/01/2025 15:08:44.748</v>
      </c>
      <c r="C1516" t="str">
        <f t="shared" si="584"/>
        <v>FFDFD3C0</v>
      </c>
      <c r="D1516" t="s">
        <v>124</v>
      </c>
      <c r="E1516" t="str">
        <f>"06"</f>
        <v>06</v>
      </c>
      <c r="F1516">
        <v>2006</v>
      </c>
      <c r="G1516" t="s">
        <v>125</v>
      </c>
      <c r="J1516" t="s">
        <v>126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R1516" t="s">
        <v>127</v>
      </c>
      <c r="S1516" t="str">
        <f t="shared" si="600"/>
        <v>15:08:44.000</v>
      </c>
      <c r="T1516" t="str">
        <f t="shared" si="600"/>
        <v>15:08:44.000</v>
      </c>
      <c r="U1516" t="str">
        <f t="shared" si="585"/>
        <v>A68FCB</v>
      </c>
      <c r="V1516">
        <v>0</v>
      </c>
      <c r="W1516">
        <v>0</v>
      </c>
      <c r="X1516">
        <v>2</v>
      </c>
      <c r="Y1516">
        <v>0</v>
      </c>
      <c r="AA1516">
        <v>1</v>
      </c>
      <c r="AB1516">
        <v>8</v>
      </c>
      <c r="AC1516">
        <v>3</v>
      </c>
      <c r="AD1516">
        <v>0</v>
      </c>
      <c r="AE1516">
        <v>9</v>
      </c>
      <c r="AF1516" t="s">
        <v>138</v>
      </c>
      <c r="AG1516">
        <v>0</v>
      </c>
      <c r="AH1516">
        <v>3</v>
      </c>
      <c r="AI1516">
        <v>2</v>
      </c>
      <c r="AJ1516">
        <v>0</v>
      </c>
      <c r="AK1516" t="s">
        <v>563</v>
      </c>
      <c r="AL1516">
        <v>39.019854000000002</v>
      </c>
      <c r="AM1516" t="s">
        <v>408</v>
      </c>
      <c r="AN1516">
        <v>-121.052299</v>
      </c>
      <c r="AO1516">
        <v>25</v>
      </c>
      <c r="AP1516">
        <v>3900</v>
      </c>
      <c r="AQ1516" t="s">
        <v>131</v>
      </c>
      <c r="AR1516">
        <v>32</v>
      </c>
      <c r="AS1516">
        <v>66</v>
      </c>
      <c r="AT1516">
        <v>512</v>
      </c>
      <c r="BB1516" t="str">
        <f t="shared" si="586"/>
        <v>1200</v>
      </c>
      <c r="BC1516">
        <v>1</v>
      </c>
      <c r="BD1516" t="str">
        <f t="shared" si="587"/>
        <v xml:space="preserve">N52156  </v>
      </c>
      <c r="BE1516">
        <v>1</v>
      </c>
      <c r="BG1516">
        <v>0</v>
      </c>
      <c r="BH1516">
        <v>0</v>
      </c>
      <c r="BI1516">
        <v>0</v>
      </c>
      <c r="BJ1516">
        <v>3925</v>
      </c>
      <c r="BK1516">
        <v>25</v>
      </c>
      <c r="BL1516" t="s">
        <v>188</v>
      </c>
      <c r="BM1516">
        <v>1</v>
      </c>
      <c r="BN1516">
        <v>1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 t="shared" si="601"/>
        <v>15:08:44.518</v>
      </c>
      <c r="CF1516">
        <v>518456550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133</v>
      </c>
      <c r="DA1516">
        <v>275</v>
      </c>
      <c r="DB1516">
        <v>0</v>
      </c>
      <c r="DC1516" t="s">
        <v>134</v>
      </c>
      <c r="DD1516" t="s">
        <v>135</v>
      </c>
      <c r="DG1516">
        <v>3320463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"05/01/2025 15:08:44.752"</f>
        <v>05/01/2025 15:08:44.752</v>
      </c>
      <c r="C1517" t="str">
        <f t="shared" si="584"/>
        <v>FFDFD3C0</v>
      </c>
      <c r="D1517" t="s">
        <v>143</v>
      </c>
      <c r="E1517" t="str">
        <f>"05"</f>
        <v>05</v>
      </c>
      <c r="H1517">
        <v>172</v>
      </c>
      <c r="I1517" t="s">
        <v>141</v>
      </c>
      <c r="J1517" t="s">
        <v>144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R1517" t="s">
        <v>127</v>
      </c>
      <c r="S1517" t="str">
        <f t="shared" si="600"/>
        <v>15:08:44.000</v>
      </c>
      <c r="T1517" t="str">
        <f t="shared" si="600"/>
        <v>15:08:44.000</v>
      </c>
      <c r="U1517" t="str">
        <f t="shared" si="585"/>
        <v>A68FCB</v>
      </c>
      <c r="V1517">
        <v>0</v>
      </c>
      <c r="W1517">
        <v>0</v>
      </c>
      <c r="X1517">
        <v>2</v>
      </c>
      <c r="Y1517">
        <v>0</v>
      </c>
      <c r="AA1517">
        <v>1</v>
      </c>
      <c r="AB1517">
        <v>8</v>
      </c>
      <c r="AC1517">
        <v>3</v>
      </c>
      <c r="AD1517">
        <v>0</v>
      </c>
      <c r="AE1517">
        <v>9</v>
      </c>
      <c r="AF1517" t="s">
        <v>138</v>
      </c>
      <c r="AG1517">
        <v>0</v>
      </c>
      <c r="AH1517">
        <v>3</v>
      </c>
      <c r="AI1517">
        <v>2</v>
      </c>
      <c r="AJ1517">
        <v>0</v>
      </c>
      <c r="AK1517" t="s">
        <v>563</v>
      </c>
      <c r="AL1517">
        <v>39.019854000000002</v>
      </c>
      <c r="AM1517" t="s">
        <v>408</v>
      </c>
      <c r="AN1517">
        <v>-121.052299</v>
      </c>
      <c r="AO1517">
        <v>25</v>
      </c>
      <c r="AP1517">
        <v>3900</v>
      </c>
      <c r="AQ1517" t="s">
        <v>131</v>
      </c>
      <c r="AR1517">
        <v>32</v>
      </c>
      <c r="AS1517">
        <v>66</v>
      </c>
      <c r="AT1517">
        <v>512</v>
      </c>
      <c r="BB1517" t="str">
        <f t="shared" si="586"/>
        <v>1200</v>
      </c>
      <c r="BC1517">
        <v>1</v>
      </c>
      <c r="BD1517" t="str">
        <f t="shared" si="587"/>
        <v xml:space="preserve">N52156  </v>
      </c>
      <c r="BE1517">
        <v>1</v>
      </c>
      <c r="BG1517">
        <v>0</v>
      </c>
      <c r="BH1517">
        <v>0</v>
      </c>
      <c r="BI1517">
        <v>0</v>
      </c>
      <c r="BJ1517">
        <v>3925</v>
      </c>
      <c r="BK1517">
        <v>25</v>
      </c>
      <c r="BL1517" t="s">
        <v>188</v>
      </c>
      <c r="BM1517">
        <v>1</v>
      </c>
      <c r="BN1517">
        <v>1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 t="shared" si="601"/>
        <v>15:08:44.518</v>
      </c>
      <c r="CF1517">
        <v>518456550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5</v>
      </c>
      <c r="CY1517">
        <v>7</v>
      </c>
      <c r="CZ1517" t="s">
        <v>133</v>
      </c>
      <c r="DA1517">
        <v>275</v>
      </c>
      <c r="DB1517">
        <v>0</v>
      </c>
      <c r="DC1517" t="s">
        <v>134</v>
      </c>
      <c r="DD1517" t="s">
        <v>135</v>
      </c>
      <c r="DG1517">
        <v>3320463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"05/01/2025 15:08:44.750"</f>
        <v>05/01/2025 15:08:44.750</v>
      </c>
      <c r="C1518" t="str">
        <f t="shared" si="584"/>
        <v>FFDFD3C0</v>
      </c>
      <c r="D1518" t="s">
        <v>145</v>
      </c>
      <c r="E1518" t="str">
        <f>"09"</f>
        <v>09</v>
      </c>
      <c r="H1518">
        <v>51</v>
      </c>
      <c r="I1518" t="s">
        <v>147</v>
      </c>
      <c r="J1518" t="s">
        <v>138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R1518" t="s">
        <v>127</v>
      </c>
      <c r="S1518" t="str">
        <f t="shared" si="600"/>
        <v>15:08:44.000</v>
      </c>
      <c r="T1518" t="str">
        <f t="shared" si="600"/>
        <v>15:08:44.000</v>
      </c>
      <c r="U1518" t="str">
        <f t="shared" si="585"/>
        <v>A68FCB</v>
      </c>
      <c r="V1518">
        <v>0</v>
      </c>
      <c r="W1518">
        <v>0</v>
      </c>
      <c r="X1518">
        <v>2</v>
      </c>
      <c r="Y1518">
        <v>0</v>
      </c>
      <c r="AA1518">
        <v>1</v>
      </c>
      <c r="AB1518">
        <v>8</v>
      </c>
      <c r="AC1518">
        <v>3</v>
      </c>
      <c r="AD1518">
        <v>0</v>
      </c>
      <c r="AE1518">
        <v>9</v>
      </c>
      <c r="AF1518" t="s">
        <v>138</v>
      </c>
      <c r="AG1518">
        <v>0</v>
      </c>
      <c r="AH1518">
        <v>3</v>
      </c>
      <c r="AI1518">
        <v>2</v>
      </c>
      <c r="AJ1518">
        <v>0</v>
      </c>
      <c r="AK1518" t="s">
        <v>563</v>
      </c>
      <c r="AL1518">
        <v>39.019854000000002</v>
      </c>
      <c r="AM1518" t="s">
        <v>408</v>
      </c>
      <c r="AN1518">
        <v>-121.052299</v>
      </c>
      <c r="AO1518">
        <v>25</v>
      </c>
      <c r="AP1518">
        <v>3900</v>
      </c>
      <c r="AQ1518" t="s">
        <v>131</v>
      </c>
      <c r="AR1518">
        <v>32</v>
      </c>
      <c r="AS1518">
        <v>66</v>
      </c>
      <c r="AT1518">
        <v>512</v>
      </c>
      <c r="BB1518" t="str">
        <f t="shared" si="586"/>
        <v>1200</v>
      </c>
      <c r="BC1518">
        <v>1</v>
      </c>
      <c r="BD1518" t="str">
        <f t="shared" si="587"/>
        <v xml:space="preserve">N52156  </v>
      </c>
      <c r="BE1518">
        <v>1</v>
      </c>
      <c r="BG1518">
        <v>0</v>
      </c>
      <c r="BH1518">
        <v>0</v>
      </c>
      <c r="BI1518">
        <v>0</v>
      </c>
      <c r="BJ1518">
        <v>3925</v>
      </c>
      <c r="BK1518">
        <v>25</v>
      </c>
      <c r="BL1518" t="s">
        <v>188</v>
      </c>
      <c r="BM1518">
        <v>1</v>
      </c>
      <c r="BN1518">
        <v>1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 t="shared" si="601"/>
        <v>15:08:44.518</v>
      </c>
      <c r="CF1518">
        <v>518456550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5</v>
      </c>
      <c r="CY1518">
        <v>7</v>
      </c>
      <c r="CZ1518" t="s">
        <v>133</v>
      </c>
      <c r="DA1518">
        <v>275</v>
      </c>
      <c r="DB1518">
        <v>0</v>
      </c>
      <c r="DC1518" t="s">
        <v>134</v>
      </c>
      <c r="DD1518" t="s">
        <v>135</v>
      </c>
      <c r="DG1518">
        <v>3320463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"05/01/2025 15:08:44.760"</f>
        <v>05/01/2025 15:08:44.760</v>
      </c>
      <c r="C1519" t="str">
        <f t="shared" si="584"/>
        <v>FFDFD3C0</v>
      </c>
      <c r="D1519" t="s">
        <v>136</v>
      </c>
      <c r="E1519" t="str">
        <f>"20"</f>
        <v>20</v>
      </c>
      <c r="H1519">
        <v>400</v>
      </c>
      <c r="I1519" t="s">
        <v>137</v>
      </c>
      <c r="J1519" t="s">
        <v>138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R1519" t="s">
        <v>127</v>
      </c>
      <c r="S1519" t="str">
        <f t="shared" si="600"/>
        <v>15:08:44.000</v>
      </c>
      <c r="T1519" t="str">
        <f t="shared" si="600"/>
        <v>15:08:44.000</v>
      </c>
      <c r="U1519" t="str">
        <f t="shared" si="585"/>
        <v>A68FCB</v>
      </c>
      <c r="V1519">
        <v>0</v>
      </c>
      <c r="W1519">
        <v>0</v>
      </c>
      <c r="X1519">
        <v>2</v>
      </c>
      <c r="Y1519">
        <v>0</v>
      </c>
      <c r="AA1519">
        <v>1</v>
      </c>
      <c r="AB1519">
        <v>8</v>
      </c>
      <c r="AC1519">
        <v>3</v>
      </c>
      <c r="AD1519">
        <v>0</v>
      </c>
      <c r="AE1519">
        <v>9</v>
      </c>
      <c r="AF1519" t="s">
        <v>138</v>
      </c>
      <c r="AG1519">
        <v>0</v>
      </c>
      <c r="AH1519">
        <v>3</v>
      </c>
      <c r="AI1519">
        <v>2</v>
      </c>
      <c r="AJ1519">
        <v>0</v>
      </c>
      <c r="AK1519" t="s">
        <v>563</v>
      </c>
      <c r="AL1519">
        <v>39.019854000000002</v>
      </c>
      <c r="AM1519" t="s">
        <v>408</v>
      </c>
      <c r="AN1519">
        <v>-121.052299</v>
      </c>
      <c r="AO1519">
        <v>25</v>
      </c>
      <c r="AP1519">
        <v>3900</v>
      </c>
      <c r="AQ1519" t="s">
        <v>131</v>
      </c>
      <c r="AR1519">
        <v>32</v>
      </c>
      <c r="AS1519">
        <v>66</v>
      </c>
      <c r="AT1519">
        <v>512</v>
      </c>
      <c r="BB1519" t="str">
        <f t="shared" si="586"/>
        <v>1200</v>
      </c>
      <c r="BC1519">
        <v>1</v>
      </c>
      <c r="BD1519" t="str">
        <f t="shared" si="587"/>
        <v xml:space="preserve">N52156  </v>
      </c>
      <c r="BE1519">
        <v>1</v>
      </c>
      <c r="BG1519">
        <v>0</v>
      </c>
      <c r="BH1519">
        <v>0</v>
      </c>
      <c r="BI1519">
        <v>0</v>
      </c>
      <c r="BJ1519">
        <v>3925</v>
      </c>
      <c r="BK1519">
        <v>25</v>
      </c>
      <c r="BL1519" t="s">
        <v>188</v>
      </c>
      <c r="BM1519">
        <v>1</v>
      </c>
      <c r="BN1519">
        <v>1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 t="shared" si="601"/>
        <v>15:08:44.518</v>
      </c>
      <c r="CF1519">
        <v>518456550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5</v>
      </c>
      <c r="CY1519">
        <v>7</v>
      </c>
      <c r="CZ1519" t="s">
        <v>133</v>
      </c>
      <c r="DA1519">
        <v>275</v>
      </c>
      <c r="DB1519">
        <v>0</v>
      </c>
      <c r="DC1519" t="s">
        <v>134</v>
      </c>
      <c r="DD1519" t="s">
        <v>135</v>
      </c>
      <c r="DG1519">
        <v>3320463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"05/01/2025 15:08:45.845"</f>
        <v>05/01/2025 15:08:45.845</v>
      </c>
      <c r="C1520" t="str">
        <f t="shared" si="584"/>
        <v>FFDFD3C0</v>
      </c>
      <c r="D1520" t="s">
        <v>140</v>
      </c>
      <c r="E1520" t="str">
        <f>"13"</f>
        <v>13</v>
      </c>
      <c r="F1520">
        <v>1019</v>
      </c>
      <c r="G1520" t="s">
        <v>141</v>
      </c>
      <c r="J1520" t="s">
        <v>142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R1520" t="s">
        <v>127</v>
      </c>
      <c r="S1520" t="str">
        <f t="shared" ref="S1520:T1525" si="602">"15:08:45.000"</f>
        <v>15:08:45.000</v>
      </c>
      <c r="T1520" t="str">
        <f t="shared" si="602"/>
        <v>15:08:45.000</v>
      </c>
      <c r="U1520" t="str">
        <f t="shared" si="585"/>
        <v>A68FCB</v>
      </c>
      <c r="V1520">
        <v>0</v>
      </c>
      <c r="W1520">
        <v>0</v>
      </c>
      <c r="X1520">
        <v>2</v>
      </c>
      <c r="Y1520">
        <v>0</v>
      </c>
      <c r="AA1520">
        <v>1</v>
      </c>
      <c r="AB1520">
        <v>8</v>
      </c>
      <c r="AC1520">
        <v>3</v>
      </c>
      <c r="AD1520">
        <v>0</v>
      </c>
      <c r="AE1520">
        <v>9</v>
      </c>
      <c r="AF1520" t="s">
        <v>138</v>
      </c>
      <c r="AG1520">
        <v>0</v>
      </c>
      <c r="AH1520">
        <v>3</v>
      </c>
      <c r="AI1520">
        <v>2</v>
      </c>
      <c r="AJ1520">
        <v>0</v>
      </c>
      <c r="AK1520" t="s">
        <v>564</v>
      </c>
      <c r="AL1520">
        <v>39.020153999999998</v>
      </c>
      <c r="AM1520" t="s">
        <v>401</v>
      </c>
      <c r="AN1520">
        <v>-121.052105</v>
      </c>
      <c r="AO1520">
        <v>25</v>
      </c>
      <c r="AP1520">
        <v>3900</v>
      </c>
      <c r="AQ1520" t="s">
        <v>131</v>
      </c>
      <c r="AR1520">
        <v>33</v>
      </c>
      <c r="AS1520">
        <v>65</v>
      </c>
      <c r="AT1520">
        <v>448</v>
      </c>
      <c r="BB1520" t="str">
        <f t="shared" si="586"/>
        <v>1200</v>
      </c>
      <c r="BC1520">
        <v>1</v>
      </c>
      <c r="BD1520" t="str">
        <f t="shared" si="587"/>
        <v xml:space="preserve">N52156  </v>
      </c>
      <c r="BE1520">
        <v>1</v>
      </c>
      <c r="BG1520">
        <v>0</v>
      </c>
      <c r="BH1520">
        <v>0</v>
      </c>
      <c r="BI1520">
        <v>0</v>
      </c>
      <c r="BJ1520">
        <v>3925</v>
      </c>
      <c r="BK1520">
        <v>25</v>
      </c>
      <c r="BL1520" t="s">
        <v>188</v>
      </c>
      <c r="BM1520">
        <v>1</v>
      </c>
      <c r="BN1520">
        <v>1</v>
      </c>
      <c r="BO1520">
        <v>0</v>
      </c>
      <c r="BP1520">
        <v>0</v>
      </c>
      <c r="BS1520">
        <v>0</v>
      </c>
      <c r="BT1520">
        <v>0</v>
      </c>
      <c r="BU1520">
        <v>0</v>
      </c>
      <c r="CE1520" t="str">
        <f t="shared" ref="CE1520:CE1525" si="603">"15:08:45.631"</f>
        <v>15:08:45.631</v>
      </c>
      <c r="CF1520">
        <v>631207153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5</v>
      </c>
      <c r="CY1520">
        <v>7</v>
      </c>
      <c r="CZ1520" t="s">
        <v>133</v>
      </c>
      <c r="DA1520">
        <v>275</v>
      </c>
      <c r="DB1520">
        <v>0</v>
      </c>
      <c r="DC1520" t="s">
        <v>134</v>
      </c>
      <c r="DD1520" t="s">
        <v>135</v>
      </c>
      <c r="DG1520">
        <v>3320473</v>
      </c>
      <c r="DI1520">
        <v>1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"05/01/2025 15:08:45.849"</f>
        <v>05/01/2025 15:08:45.849</v>
      </c>
      <c r="C1521" t="str">
        <f t="shared" si="584"/>
        <v>FFDFD3C0</v>
      </c>
      <c r="D1521" t="s">
        <v>145</v>
      </c>
      <c r="E1521" t="str">
        <f>"05"</f>
        <v>05</v>
      </c>
      <c r="H1521">
        <v>47</v>
      </c>
      <c r="I1521" t="s">
        <v>146</v>
      </c>
      <c r="J1521" t="s">
        <v>138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R1521" t="s">
        <v>127</v>
      </c>
      <c r="S1521" t="str">
        <f t="shared" si="602"/>
        <v>15:08:45.000</v>
      </c>
      <c r="T1521" t="str">
        <f t="shared" si="602"/>
        <v>15:08:45.000</v>
      </c>
      <c r="U1521" t="str">
        <f t="shared" si="585"/>
        <v>A68FCB</v>
      </c>
      <c r="V1521">
        <v>0</v>
      </c>
      <c r="W1521">
        <v>0</v>
      </c>
      <c r="X1521">
        <v>2</v>
      </c>
      <c r="Y1521">
        <v>0</v>
      </c>
      <c r="AA1521">
        <v>1</v>
      </c>
      <c r="AB1521">
        <v>8</v>
      </c>
      <c r="AC1521">
        <v>3</v>
      </c>
      <c r="AD1521">
        <v>0</v>
      </c>
      <c r="AE1521">
        <v>9</v>
      </c>
      <c r="AF1521" t="s">
        <v>138</v>
      </c>
      <c r="AG1521">
        <v>0</v>
      </c>
      <c r="AH1521">
        <v>3</v>
      </c>
      <c r="AI1521">
        <v>2</v>
      </c>
      <c r="AJ1521">
        <v>0</v>
      </c>
      <c r="AK1521" t="s">
        <v>564</v>
      </c>
      <c r="AL1521">
        <v>39.020153999999998</v>
      </c>
      <c r="AM1521" t="s">
        <v>401</v>
      </c>
      <c r="AN1521">
        <v>-121.052105</v>
      </c>
      <c r="AO1521">
        <v>25</v>
      </c>
      <c r="AP1521">
        <v>3900</v>
      </c>
      <c r="AQ1521" t="s">
        <v>131</v>
      </c>
      <c r="AR1521">
        <v>33</v>
      </c>
      <c r="AS1521">
        <v>65</v>
      </c>
      <c r="AT1521">
        <v>448</v>
      </c>
      <c r="BB1521" t="str">
        <f t="shared" si="586"/>
        <v>1200</v>
      </c>
      <c r="BC1521">
        <v>1</v>
      </c>
      <c r="BD1521" t="str">
        <f t="shared" si="587"/>
        <v xml:space="preserve">N52156  </v>
      </c>
      <c r="BE1521">
        <v>1</v>
      </c>
      <c r="BG1521">
        <v>0</v>
      </c>
      <c r="BH1521">
        <v>0</v>
      </c>
      <c r="BI1521">
        <v>0</v>
      </c>
      <c r="BJ1521">
        <v>3925</v>
      </c>
      <c r="BK1521">
        <v>25</v>
      </c>
      <c r="BL1521" t="s">
        <v>188</v>
      </c>
      <c r="BM1521">
        <v>1</v>
      </c>
      <c r="BN1521">
        <v>1</v>
      </c>
      <c r="BO1521">
        <v>0</v>
      </c>
      <c r="BP1521">
        <v>0</v>
      </c>
      <c r="BS1521">
        <v>0</v>
      </c>
      <c r="BT1521">
        <v>0</v>
      </c>
      <c r="BU1521">
        <v>0</v>
      </c>
      <c r="CE1521" t="str">
        <f t="shared" si="603"/>
        <v>15:08:45.631</v>
      </c>
      <c r="CF1521">
        <v>631207153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5</v>
      </c>
      <c r="CY1521">
        <v>7</v>
      </c>
      <c r="CZ1521" t="s">
        <v>133</v>
      </c>
      <c r="DA1521">
        <v>275</v>
      </c>
      <c r="DB1521">
        <v>0</v>
      </c>
      <c r="DC1521" t="s">
        <v>134</v>
      </c>
      <c r="DD1521" t="s">
        <v>135</v>
      </c>
      <c r="DG1521">
        <v>3320473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"05/01/2025 15:08:45.851"</f>
        <v>05/01/2025 15:08:45.851</v>
      </c>
      <c r="C1522" t="str">
        <f t="shared" si="584"/>
        <v>FFDFD3C0</v>
      </c>
      <c r="D1522" t="s">
        <v>124</v>
      </c>
      <c r="E1522" t="str">
        <f>"06"</f>
        <v>06</v>
      </c>
      <c r="F1522">
        <v>2006</v>
      </c>
      <c r="G1522" t="s">
        <v>125</v>
      </c>
      <c r="J1522" t="s">
        <v>126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R1522" t="s">
        <v>127</v>
      </c>
      <c r="S1522" t="str">
        <f t="shared" si="602"/>
        <v>15:08:45.000</v>
      </c>
      <c r="T1522" t="str">
        <f t="shared" si="602"/>
        <v>15:08:45.000</v>
      </c>
      <c r="U1522" t="str">
        <f t="shared" si="585"/>
        <v>A68FCB</v>
      </c>
      <c r="V1522">
        <v>0</v>
      </c>
      <c r="W1522">
        <v>0</v>
      </c>
      <c r="X1522">
        <v>2</v>
      </c>
      <c r="Y1522">
        <v>0</v>
      </c>
      <c r="AA1522">
        <v>1</v>
      </c>
      <c r="AB1522">
        <v>8</v>
      </c>
      <c r="AC1522">
        <v>3</v>
      </c>
      <c r="AD1522">
        <v>0</v>
      </c>
      <c r="AE1522">
        <v>9</v>
      </c>
      <c r="AF1522" t="s">
        <v>138</v>
      </c>
      <c r="AG1522">
        <v>0</v>
      </c>
      <c r="AH1522">
        <v>3</v>
      </c>
      <c r="AI1522">
        <v>2</v>
      </c>
      <c r="AJ1522">
        <v>0</v>
      </c>
      <c r="AK1522" t="s">
        <v>564</v>
      </c>
      <c r="AL1522">
        <v>39.020153999999998</v>
      </c>
      <c r="AM1522" t="s">
        <v>401</v>
      </c>
      <c r="AN1522">
        <v>-121.052105</v>
      </c>
      <c r="AO1522">
        <v>25</v>
      </c>
      <c r="AP1522">
        <v>3900</v>
      </c>
      <c r="AQ1522" t="s">
        <v>131</v>
      </c>
      <c r="AR1522">
        <v>33</v>
      </c>
      <c r="AS1522">
        <v>65</v>
      </c>
      <c r="AT1522">
        <v>448</v>
      </c>
      <c r="BB1522" t="str">
        <f t="shared" si="586"/>
        <v>1200</v>
      </c>
      <c r="BC1522">
        <v>1</v>
      </c>
      <c r="BD1522" t="str">
        <f t="shared" si="587"/>
        <v xml:space="preserve">N52156  </v>
      </c>
      <c r="BE1522">
        <v>1</v>
      </c>
      <c r="BG1522">
        <v>0</v>
      </c>
      <c r="BH1522">
        <v>0</v>
      </c>
      <c r="BI1522">
        <v>0</v>
      </c>
      <c r="BJ1522">
        <v>3925</v>
      </c>
      <c r="BK1522">
        <v>25</v>
      </c>
      <c r="BL1522" t="s">
        <v>188</v>
      </c>
      <c r="BM1522">
        <v>1</v>
      </c>
      <c r="BN1522">
        <v>1</v>
      </c>
      <c r="BO1522">
        <v>0</v>
      </c>
      <c r="BP1522">
        <v>0</v>
      </c>
      <c r="BS1522">
        <v>0</v>
      </c>
      <c r="BT1522">
        <v>0</v>
      </c>
      <c r="BU1522">
        <v>0</v>
      </c>
      <c r="CE1522" t="str">
        <f t="shared" si="603"/>
        <v>15:08:45.631</v>
      </c>
      <c r="CF1522">
        <v>631207153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5</v>
      </c>
      <c r="CY1522">
        <v>7</v>
      </c>
      <c r="CZ1522" t="s">
        <v>133</v>
      </c>
      <c r="DA1522">
        <v>275</v>
      </c>
      <c r="DB1522">
        <v>0</v>
      </c>
      <c r="DC1522" t="s">
        <v>134</v>
      </c>
      <c r="DD1522" t="s">
        <v>135</v>
      </c>
      <c r="DG1522">
        <v>3320473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"05/01/2025 15:08:45.853"</f>
        <v>05/01/2025 15:08:45.853</v>
      </c>
      <c r="C1523" t="str">
        <f t="shared" si="584"/>
        <v>FFDFD3C0</v>
      </c>
      <c r="D1523" t="s">
        <v>145</v>
      </c>
      <c r="E1523" t="str">
        <f>"09"</f>
        <v>09</v>
      </c>
      <c r="H1523">
        <v>51</v>
      </c>
      <c r="I1523" t="s">
        <v>147</v>
      </c>
      <c r="J1523" t="s">
        <v>138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R1523" t="s">
        <v>127</v>
      </c>
      <c r="S1523" t="str">
        <f t="shared" si="602"/>
        <v>15:08:45.000</v>
      </c>
      <c r="T1523" t="str">
        <f t="shared" si="602"/>
        <v>15:08:45.000</v>
      </c>
      <c r="U1523" t="str">
        <f t="shared" si="585"/>
        <v>A68FCB</v>
      </c>
      <c r="V1523">
        <v>0</v>
      </c>
      <c r="W1523">
        <v>0</v>
      </c>
      <c r="X1523">
        <v>2</v>
      </c>
      <c r="Y1523">
        <v>0</v>
      </c>
      <c r="AA1523">
        <v>1</v>
      </c>
      <c r="AB1523">
        <v>8</v>
      </c>
      <c r="AC1523">
        <v>3</v>
      </c>
      <c r="AD1523">
        <v>0</v>
      </c>
      <c r="AE1523">
        <v>9</v>
      </c>
      <c r="AF1523" t="s">
        <v>138</v>
      </c>
      <c r="AG1523">
        <v>0</v>
      </c>
      <c r="AH1523">
        <v>3</v>
      </c>
      <c r="AI1523">
        <v>2</v>
      </c>
      <c r="AJ1523">
        <v>0</v>
      </c>
      <c r="AK1523" t="s">
        <v>564</v>
      </c>
      <c r="AL1523">
        <v>39.020153999999998</v>
      </c>
      <c r="AM1523" t="s">
        <v>401</v>
      </c>
      <c r="AN1523">
        <v>-121.052105</v>
      </c>
      <c r="AO1523">
        <v>25</v>
      </c>
      <c r="AP1523">
        <v>3900</v>
      </c>
      <c r="AQ1523" t="s">
        <v>131</v>
      </c>
      <c r="AR1523">
        <v>33</v>
      </c>
      <c r="AS1523">
        <v>65</v>
      </c>
      <c r="AT1523">
        <v>448</v>
      </c>
      <c r="BB1523" t="str">
        <f t="shared" si="586"/>
        <v>1200</v>
      </c>
      <c r="BC1523">
        <v>1</v>
      </c>
      <c r="BD1523" t="str">
        <f t="shared" si="587"/>
        <v xml:space="preserve">N52156  </v>
      </c>
      <c r="BE1523">
        <v>1</v>
      </c>
      <c r="BG1523">
        <v>0</v>
      </c>
      <c r="BH1523">
        <v>0</v>
      </c>
      <c r="BI1523">
        <v>0</v>
      </c>
      <c r="BJ1523">
        <v>3925</v>
      </c>
      <c r="BK1523">
        <v>25</v>
      </c>
      <c r="BL1523" t="s">
        <v>188</v>
      </c>
      <c r="BM1523">
        <v>1</v>
      </c>
      <c r="BN1523">
        <v>1</v>
      </c>
      <c r="BO1523">
        <v>0</v>
      </c>
      <c r="BP1523">
        <v>0</v>
      </c>
      <c r="BS1523">
        <v>0</v>
      </c>
      <c r="BT1523">
        <v>0</v>
      </c>
      <c r="BU1523">
        <v>0</v>
      </c>
      <c r="CE1523" t="str">
        <f t="shared" si="603"/>
        <v>15:08:45.631</v>
      </c>
      <c r="CF1523">
        <v>631207153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5</v>
      </c>
      <c r="CY1523">
        <v>7</v>
      </c>
      <c r="CZ1523" t="s">
        <v>133</v>
      </c>
      <c r="DA1523">
        <v>275</v>
      </c>
      <c r="DB1523">
        <v>0</v>
      </c>
      <c r="DC1523" t="s">
        <v>134</v>
      </c>
      <c r="DD1523" t="s">
        <v>135</v>
      </c>
      <c r="DG1523">
        <v>3320473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"05/01/2025 15:08:45.854"</f>
        <v>05/01/2025 15:08:45.854</v>
      </c>
      <c r="C1524" t="str">
        <f t="shared" si="584"/>
        <v>FFDFD3C0</v>
      </c>
      <c r="D1524" t="s">
        <v>143</v>
      </c>
      <c r="E1524" t="str">
        <f>"05"</f>
        <v>05</v>
      </c>
      <c r="H1524">
        <v>172</v>
      </c>
      <c r="I1524" t="s">
        <v>141</v>
      </c>
      <c r="J1524" t="s">
        <v>144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R1524" t="s">
        <v>127</v>
      </c>
      <c r="S1524" t="str">
        <f t="shared" si="602"/>
        <v>15:08:45.000</v>
      </c>
      <c r="T1524" t="str">
        <f t="shared" si="602"/>
        <v>15:08:45.000</v>
      </c>
      <c r="U1524" t="str">
        <f t="shared" si="585"/>
        <v>A68FCB</v>
      </c>
      <c r="V1524">
        <v>0</v>
      </c>
      <c r="W1524">
        <v>0</v>
      </c>
      <c r="X1524">
        <v>2</v>
      </c>
      <c r="Y1524">
        <v>0</v>
      </c>
      <c r="AA1524">
        <v>1</v>
      </c>
      <c r="AB1524">
        <v>8</v>
      </c>
      <c r="AC1524">
        <v>3</v>
      </c>
      <c r="AD1524">
        <v>0</v>
      </c>
      <c r="AE1524">
        <v>9</v>
      </c>
      <c r="AF1524" t="s">
        <v>138</v>
      </c>
      <c r="AG1524">
        <v>0</v>
      </c>
      <c r="AH1524">
        <v>3</v>
      </c>
      <c r="AI1524">
        <v>2</v>
      </c>
      <c r="AJ1524">
        <v>0</v>
      </c>
      <c r="AK1524" t="s">
        <v>564</v>
      </c>
      <c r="AL1524">
        <v>39.020153999999998</v>
      </c>
      <c r="AM1524" t="s">
        <v>401</v>
      </c>
      <c r="AN1524">
        <v>-121.052105</v>
      </c>
      <c r="AO1524">
        <v>25</v>
      </c>
      <c r="AP1524">
        <v>3900</v>
      </c>
      <c r="AQ1524" t="s">
        <v>131</v>
      </c>
      <c r="AR1524">
        <v>33</v>
      </c>
      <c r="AS1524">
        <v>65</v>
      </c>
      <c r="AT1524">
        <v>448</v>
      </c>
      <c r="BB1524" t="str">
        <f t="shared" si="586"/>
        <v>1200</v>
      </c>
      <c r="BC1524">
        <v>1</v>
      </c>
      <c r="BD1524" t="str">
        <f t="shared" si="587"/>
        <v xml:space="preserve">N52156  </v>
      </c>
      <c r="BE1524">
        <v>1</v>
      </c>
      <c r="BG1524">
        <v>0</v>
      </c>
      <c r="BH1524">
        <v>0</v>
      </c>
      <c r="BI1524">
        <v>0</v>
      </c>
      <c r="BJ1524">
        <v>3925</v>
      </c>
      <c r="BK1524">
        <v>25</v>
      </c>
      <c r="BL1524" t="s">
        <v>188</v>
      </c>
      <c r="BM1524">
        <v>1</v>
      </c>
      <c r="BN1524">
        <v>1</v>
      </c>
      <c r="BO1524">
        <v>0</v>
      </c>
      <c r="BP1524">
        <v>0</v>
      </c>
      <c r="BS1524">
        <v>0</v>
      </c>
      <c r="BT1524">
        <v>0</v>
      </c>
      <c r="BU1524">
        <v>0</v>
      </c>
      <c r="CE1524" t="str">
        <f t="shared" si="603"/>
        <v>15:08:45.631</v>
      </c>
      <c r="CF1524">
        <v>631207153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5</v>
      </c>
      <c r="CY1524">
        <v>7</v>
      </c>
      <c r="CZ1524" t="s">
        <v>133</v>
      </c>
      <c r="DA1524">
        <v>275</v>
      </c>
      <c r="DB1524">
        <v>0</v>
      </c>
      <c r="DC1524" t="s">
        <v>134</v>
      </c>
      <c r="DD1524" t="s">
        <v>135</v>
      </c>
      <c r="DG1524">
        <v>3320473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"05/01/2025 15:08:45.862"</f>
        <v>05/01/2025 15:08:45.862</v>
      </c>
      <c r="C1525" t="str">
        <f t="shared" si="584"/>
        <v>FFDFD3C0</v>
      </c>
      <c r="D1525" t="s">
        <v>136</v>
      </c>
      <c r="E1525" t="str">
        <f>"20"</f>
        <v>20</v>
      </c>
      <c r="H1525">
        <v>400</v>
      </c>
      <c r="I1525" t="s">
        <v>137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R1525" t="s">
        <v>127</v>
      </c>
      <c r="S1525" t="str">
        <f t="shared" si="602"/>
        <v>15:08:45.000</v>
      </c>
      <c r="T1525" t="str">
        <f t="shared" si="602"/>
        <v>15:08:45.000</v>
      </c>
      <c r="U1525" t="str">
        <f t="shared" si="585"/>
        <v>A68FCB</v>
      </c>
      <c r="V1525">
        <v>0</v>
      </c>
      <c r="W1525">
        <v>0</v>
      </c>
      <c r="X1525">
        <v>2</v>
      </c>
      <c r="Y1525">
        <v>0</v>
      </c>
      <c r="AA1525">
        <v>1</v>
      </c>
      <c r="AB1525">
        <v>8</v>
      </c>
      <c r="AC1525">
        <v>3</v>
      </c>
      <c r="AD1525">
        <v>0</v>
      </c>
      <c r="AE1525">
        <v>9</v>
      </c>
      <c r="AF1525" t="s">
        <v>138</v>
      </c>
      <c r="AG1525">
        <v>0</v>
      </c>
      <c r="AH1525">
        <v>3</v>
      </c>
      <c r="AI1525">
        <v>2</v>
      </c>
      <c r="AJ1525">
        <v>0</v>
      </c>
      <c r="AK1525" t="s">
        <v>564</v>
      </c>
      <c r="AL1525">
        <v>39.020153999999998</v>
      </c>
      <c r="AM1525" t="s">
        <v>401</v>
      </c>
      <c r="AN1525">
        <v>-121.052105</v>
      </c>
      <c r="AO1525">
        <v>25</v>
      </c>
      <c r="AP1525">
        <v>3900</v>
      </c>
      <c r="AQ1525" t="s">
        <v>131</v>
      </c>
      <c r="AR1525">
        <v>33</v>
      </c>
      <c r="AS1525">
        <v>65</v>
      </c>
      <c r="AT1525">
        <v>448</v>
      </c>
      <c r="BB1525" t="str">
        <f t="shared" si="586"/>
        <v>1200</v>
      </c>
      <c r="BC1525">
        <v>1</v>
      </c>
      <c r="BD1525" t="str">
        <f t="shared" si="587"/>
        <v xml:space="preserve">N52156  </v>
      </c>
      <c r="BE1525">
        <v>1</v>
      </c>
      <c r="BG1525">
        <v>0</v>
      </c>
      <c r="BH1525">
        <v>0</v>
      </c>
      <c r="BI1525">
        <v>0</v>
      </c>
      <c r="BJ1525">
        <v>3925</v>
      </c>
      <c r="BK1525">
        <v>25</v>
      </c>
      <c r="BL1525" t="s">
        <v>188</v>
      </c>
      <c r="BM1525">
        <v>1</v>
      </c>
      <c r="BN1525">
        <v>1</v>
      </c>
      <c r="BO1525">
        <v>0</v>
      </c>
      <c r="BP1525">
        <v>0</v>
      </c>
      <c r="BS1525">
        <v>0</v>
      </c>
      <c r="BT1525">
        <v>0</v>
      </c>
      <c r="BU1525">
        <v>0</v>
      </c>
      <c r="CE1525" t="str">
        <f t="shared" si="603"/>
        <v>15:08:45.631</v>
      </c>
      <c r="CF1525">
        <v>631207153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5</v>
      </c>
      <c r="CY1525">
        <v>7</v>
      </c>
      <c r="CZ1525" t="s">
        <v>133</v>
      </c>
      <c r="DA1525">
        <v>275</v>
      </c>
      <c r="DB1525">
        <v>0</v>
      </c>
      <c r="DC1525" t="s">
        <v>134</v>
      </c>
      <c r="DD1525" t="s">
        <v>135</v>
      </c>
      <c r="DG1525">
        <v>3320473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"05/01/2025 15:08:47.047"</f>
        <v>05/01/2025 15:08:47.047</v>
      </c>
      <c r="C1526" t="str">
        <f t="shared" si="584"/>
        <v>FFDFD3C0</v>
      </c>
      <c r="D1526" t="s">
        <v>140</v>
      </c>
      <c r="E1526" t="str">
        <f>"13"</f>
        <v>13</v>
      </c>
      <c r="F1526">
        <v>1019</v>
      </c>
      <c r="G1526" t="s">
        <v>141</v>
      </c>
      <c r="J1526" t="s">
        <v>142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R1526" t="s">
        <v>127</v>
      </c>
      <c r="S1526" t="str">
        <f t="shared" ref="S1526:T1531" si="604">"15:08:46.000"</f>
        <v>15:08:46.000</v>
      </c>
      <c r="T1526" t="str">
        <f t="shared" si="604"/>
        <v>15:08:46.000</v>
      </c>
      <c r="U1526" t="str">
        <f t="shared" si="585"/>
        <v>A68FCB</v>
      </c>
      <c r="V1526">
        <v>0</v>
      </c>
      <c r="W1526">
        <v>0</v>
      </c>
      <c r="X1526">
        <v>2</v>
      </c>
      <c r="Y1526">
        <v>0</v>
      </c>
      <c r="AA1526">
        <v>1</v>
      </c>
      <c r="AB1526">
        <v>8</v>
      </c>
      <c r="AC1526">
        <v>3</v>
      </c>
      <c r="AD1526">
        <v>0</v>
      </c>
      <c r="AE1526">
        <v>9</v>
      </c>
      <c r="AF1526" t="s">
        <v>138</v>
      </c>
      <c r="AG1526">
        <v>0</v>
      </c>
      <c r="AH1526">
        <v>3</v>
      </c>
      <c r="AI1526">
        <v>2</v>
      </c>
      <c r="AJ1526">
        <v>0</v>
      </c>
      <c r="AK1526" t="s">
        <v>565</v>
      </c>
      <c r="AL1526">
        <v>39.020476000000002</v>
      </c>
      <c r="AM1526" t="s">
        <v>395</v>
      </c>
      <c r="AN1526">
        <v>-121.051912</v>
      </c>
      <c r="AO1526">
        <v>25</v>
      </c>
      <c r="AP1526">
        <v>3900</v>
      </c>
      <c r="AQ1526" t="s">
        <v>131</v>
      </c>
      <c r="AR1526">
        <v>33</v>
      </c>
      <c r="AS1526">
        <v>65</v>
      </c>
      <c r="AT1526">
        <v>448</v>
      </c>
      <c r="BB1526" t="str">
        <f t="shared" si="586"/>
        <v>1200</v>
      </c>
      <c r="BC1526">
        <v>1</v>
      </c>
      <c r="BD1526" t="str">
        <f t="shared" si="587"/>
        <v xml:space="preserve">N52156  </v>
      </c>
      <c r="BE1526">
        <v>1</v>
      </c>
      <c r="BG1526">
        <v>0</v>
      </c>
      <c r="BH1526">
        <v>0</v>
      </c>
      <c r="BI1526">
        <v>0</v>
      </c>
      <c r="BJ1526">
        <v>3925</v>
      </c>
      <c r="BK1526">
        <v>25</v>
      </c>
      <c r="BL1526" t="s">
        <v>188</v>
      </c>
      <c r="BM1526">
        <v>1</v>
      </c>
      <c r="BN1526">
        <v>1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 t="shared" ref="CE1526:CE1531" si="605">"15:08:46.821"</f>
        <v>15:08:46.821</v>
      </c>
      <c r="CF1526">
        <v>820707735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5</v>
      </c>
      <c r="CY1526">
        <v>7</v>
      </c>
      <c r="CZ1526" t="s">
        <v>133</v>
      </c>
      <c r="DA1526">
        <v>275</v>
      </c>
      <c r="DB1526">
        <v>0</v>
      </c>
      <c r="DC1526" t="s">
        <v>134</v>
      </c>
      <c r="DD1526" t="s">
        <v>135</v>
      </c>
      <c r="DG1526">
        <v>3320483</v>
      </c>
      <c r="DI1526">
        <v>1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"05/01/2025 15:08:47.051"</f>
        <v>05/01/2025 15:08:47.051</v>
      </c>
      <c r="C1527" t="str">
        <f t="shared" si="584"/>
        <v>FFDFD3C0</v>
      </c>
      <c r="D1527" t="s">
        <v>145</v>
      </c>
      <c r="E1527" t="str">
        <f>"05"</f>
        <v>05</v>
      </c>
      <c r="H1527">
        <v>47</v>
      </c>
      <c r="I1527" t="s">
        <v>146</v>
      </c>
      <c r="J1527" t="s">
        <v>138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R1527" t="s">
        <v>127</v>
      </c>
      <c r="S1527" t="str">
        <f t="shared" si="604"/>
        <v>15:08:46.000</v>
      </c>
      <c r="T1527" t="str">
        <f t="shared" si="604"/>
        <v>15:08:46.000</v>
      </c>
      <c r="U1527" t="str">
        <f t="shared" si="585"/>
        <v>A68FCB</v>
      </c>
      <c r="V1527">
        <v>0</v>
      </c>
      <c r="W1527">
        <v>0</v>
      </c>
      <c r="X1527">
        <v>2</v>
      </c>
      <c r="Y1527">
        <v>0</v>
      </c>
      <c r="AA1527">
        <v>1</v>
      </c>
      <c r="AB1527">
        <v>8</v>
      </c>
      <c r="AC1527">
        <v>3</v>
      </c>
      <c r="AD1527">
        <v>0</v>
      </c>
      <c r="AE1527">
        <v>9</v>
      </c>
      <c r="AF1527" t="s">
        <v>138</v>
      </c>
      <c r="AG1527">
        <v>0</v>
      </c>
      <c r="AH1527">
        <v>3</v>
      </c>
      <c r="AI1527">
        <v>2</v>
      </c>
      <c r="AJ1527">
        <v>0</v>
      </c>
      <c r="AK1527" t="s">
        <v>565</v>
      </c>
      <c r="AL1527">
        <v>39.020476000000002</v>
      </c>
      <c r="AM1527" t="s">
        <v>395</v>
      </c>
      <c r="AN1527">
        <v>-121.051912</v>
      </c>
      <c r="AO1527">
        <v>25</v>
      </c>
      <c r="AP1527">
        <v>3900</v>
      </c>
      <c r="AQ1527" t="s">
        <v>131</v>
      </c>
      <c r="AR1527">
        <v>33</v>
      </c>
      <c r="AS1527">
        <v>65</v>
      </c>
      <c r="AT1527">
        <v>448</v>
      </c>
      <c r="BB1527" t="str">
        <f t="shared" si="586"/>
        <v>1200</v>
      </c>
      <c r="BC1527">
        <v>1</v>
      </c>
      <c r="BD1527" t="str">
        <f t="shared" si="587"/>
        <v xml:space="preserve">N52156  </v>
      </c>
      <c r="BE1527">
        <v>1</v>
      </c>
      <c r="BG1527">
        <v>0</v>
      </c>
      <c r="BH1527">
        <v>0</v>
      </c>
      <c r="BI1527">
        <v>0</v>
      </c>
      <c r="BJ1527">
        <v>3925</v>
      </c>
      <c r="BK1527">
        <v>25</v>
      </c>
      <c r="BL1527" t="s">
        <v>188</v>
      </c>
      <c r="BM1527">
        <v>1</v>
      </c>
      <c r="BN1527">
        <v>1</v>
      </c>
      <c r="BO1527">
        <v>0</v>
      </c>
      <c r="BP1527">
        <v>0</v>
      </c>
      <c r="BS1527">
        <v>0</v>
      </c>
      <c r="BT1527">
        <v>0</v>
      </c>
      <c r="BU1527">
        <v>0</v>
      </c>
      <c r="CE1527" t="str">
        <f t="shared" si="605"/>
        <v>15:08:46.821</v>
      </c>
      <c r="CF1527">
        <v>820707735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5</v>
      </c>
      <c r="CY1527">
        <v>7</v>
      </c>
      <c r="CZ1527" t="s">
        <v>133</v>
      </c>
      <c r="DA1527">
        <v>275</v>
      </c>
      <c r="DB1527">
        <v>0</v>
      </c>
      <c r="DC1527" t="s">
        <v>134</v>
      </c>
      <c r="DD1527" t="s">
        <v>135</v>
      </c>
      <c r="DG1527">
        <v>3320483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"05/01/2025 15:08:47.053"</f>
        <v>05/01/2025 15:08:47.053</v>
      </c>
      <c r="C1528" t="str">
        <f t="shared" si="584"/>
        <v>FFDFD3C0</v>
      </c>
      <c r="D1528" t="s">
        <v>124</v>
      </c>
      <c r="E1528" t="str">
        <f>"06"</f>
        <v>06</v>
      </c>
      <c r="F1528">
        <v>2006</v>
      </c>
      <c r="G1528" t="s">
        <v>125</v>
      </c>
      <c r="J1528" t="s">
        <v>126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R1528" t="s">
        <v>127</v>
      </c>
      <c r="S1528" t="str">
        <f t="shared" si="604"/>
        <v>15:08:46.000</v>
      </c>
      <c r="T1528" t="str">
        <f t="shared" si="604"/>
        <v>15:08:46.000</v>
      </c>
      <c r="U1528" t="str">
        <f t="shared" si="585"/>
        <v>A68FCB</v>
      </c>
      <c r="V1528">
        <v>0</v>
      </c>
      <c r="W1528">
        <v>0</v>
      </c>
      <c r="X1528">
        <v>2</v>
      </c>
      <c r="Y1528">
        <v>0</v>
      </c>
      <c r="AA1528">
        <v>1</v>
      </c>
      <c r="AB1528">
        <v>8</v>
      </c>
      <c r="AC1528">
        <v>3</v>
      </c>
      <c r="AD1528">
        <v>0</v>
      </c>
      <c r="AE1528">
        <v>9</v>
      </c>
      <c r="AF1528" t="s">
        <v>138</v>
      </c>
      <c r="AG1528">
        <v>0</v>
      </c>
      <c r="AH1528">
        <v>3</v>
      </c>
      <c r="AI1528">
        <v>2</v>
      </c>
      <c r="AJ1528">
        <v>0</v>
      </c>
      <c r="AK1528" t="s">
        <v>565</v>
      </c>
      <c r="AL1528">
        <v>39.020476000000002</v>
      </c>
      <c r="AM1528" t="s">
        <v>395</v>
      </c>
      <c r="AN1528">
        <v>-121.051912</v>
      </c>
      <c r="AO1528">
        <v>25</v>
      </c>
      <c r="AP1528">
        <v>3900</v>
      </c>
      <c r="AQ1528" t="s">
        <v>131</v>
      </c>
      <c r="AR1528">
        <v>33</v>
      </c>
      <c r="AS1528">
        <v>65</v>
      </c>
      <c r="AT1528">
        <v>448</v>
      </c>
      <c r="BB1528" t="str">
        <f t="shared" si="586"/>
        <v>1200</v>
      </c>
      <c r="BC1528">
        <v>1</v>
      </c>
      <c r="BD1528" t="str">
        <f t="shared" si="587"/>
        <v xml:space="preserve">N52156  </v>
      </c>
      <c r="BE1528">
        <v>1</v>
      </c>
      <c r="BG1528">
        <v>0</v>
      </c>
      <c r="BH1528">
        <v>0</v>
      </c>
      <c r="BI1528">
        <v>0</v>
      </c>
      <c r="BJ1528">
        <v>3925</v>
      </c>
      <c r="BK1528">
        <v>25</v>
      </c>
      <c r="BL1528" t="s">
        <v>188</v>
      </c>
      <c r="BM1528">
        <v>1</v>
      </c>
      <c r="BN1528">
        <v>1</v>
      </c>
      <c r="BO1528">
        <v>0</v>
      </c>
      <c r="BP1528">
        <v>0</v>
      </c>
      <c r="BS1528">
        <v>0</v>
      </c>
      <c r="BT1528">
        <v>0</v>
      </c>
      <c r="BU1528">
        <v>0</v>
      </c>
      <c r="CE1528" t="str">
        <f t="shared" si="605"/>
        <v>15:08:46.821</v>
      </c>
      <c r="CF1528">
        <v>820707735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5</v>
      </c>
      <c r="CY1528">
        <v>7</v>
      </c>
      <c r="CZ1528" t="s">
        <v>133</v>
      </c>
      <c r="DA1528">
        <v>275</v>
      </c>
      <c r="DB1528">
        <v>0</v>
      </c>
      <c r="DC1528" t="s">
        <v>134</v>
      </c>
      <c r="DD1528" t="s">
        <v>135</v>
      </c>
      <c r="DG1528">
        <v>3320483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"05/01/2025 15:08:47.055"</f>
        <v>05/01/2025 15:08:47.055</v>
      </c>
      <c r="C1529" t="str">
        <f t="shared" si="584"/>
        <v>FFDFD3C0</v>
      </c>
      <c r="D1529" t="s">
        <v>145</v>
      </c>
      <c r="E1529" t="str">
        <f>"09"</f>
        <v>09</v>
      </c>
      <c r="H1529">
        <v>51</v>
      </c>
      <c r="I1529" t="s">
        <v>147</v>
      </c>
      <c r="J1529" t="s">
        <v>138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R1529" t="s">
        <v>127</v>
      </c>
      <c r="S1529" t="str">
        <f t="shared" si="604"/>
        <v>15:08:46.000</v>
      </c>
      <c r="T1529" t="str">
        <f t="shared" si="604"/>
        <v>15:08:46.000</v>
      </c>
      <c r="U1529" t="str">
        <f t="shared" si="585"/>
        <v>A68FCB</v>
      </c>
      <c r="V1529">
        <v>0</v>
      </c>
      <c r="W1529">
        <v>0</v>
      </c>
      <c r="X1529">
        <v>2</v>
      </c>
      <c r="Y1529">
        <v>0</v>
      </c>
      <c r="AA1529">
        <v>1</v>
      </c>
      <c r="AB1529">
        <v>8</v>
      </c>
      <c r="AC1529">
        <v>3</v>
      </c>
      <c r="AD1529">
        <v>0</v>
      </c>
      <c r="AE1529">
        <v>9</v>
      </c>
      <c r="AF1529" t="s">
        <v>138</v>
      </c>
      <c r="AG1529">
        <v>0</v>
      </c>
      <c r="AH1529">
        <v>3</v>
      </c>
      <c r="AI1529">
        <v>2</v>
      </c>
      <c r="AJ1529">
        <v>0</v>
      </c>
      <c r="AK1529" t="s">
        <v>565</v>
      </c>
      <c r="AL1529">
        <v>39.020476000000002</v>
      </c>
      <c r="AM1529" t="s">
        <v>395</v>
      </c>
      <c r="AN1529">
        <v>-121.051912</v>
      </c>
      <c r="AO1529">
        <v>25</v>
      </c>
      <c r="AP1529">
        <v>3900</v>
      </c>
      <c r="AQ1529" t="s">
        <v>131</v>
      </c>
      <c r="AR1529">
        <v>33</v>
      </c>
      <c r="AS1529">
        <v>65</v>
      </c>
      <c r="AT1529">
        <v>448</v>
      </c>
      <c r="BB1529" t="str">
        <f t="shared" si="586"/>
        <v>1200</v>
      </c>
      <c r="BC1529">
        <v>1</v>
      </c>
      <c r="BD1529" t="str">
        <f t="shared" si="587"/>
        <v xml:space="preserve">N52156  </v>
      </c>
      <c r="BE1529">
        <v>1</v>
      </c>
      <c r="BG1529">
        <v>0</v>
      </c>
      <c r="BH1529">
        <v>0</v>
      </c>
      <c r="BI1529">
        <v>0</v>
      </c>
      <c r="BJ1529">
        <v>3925</v>
      </c>
      <c r="BK1529">
        <v>25</v>
      </c>
      <c r="BL1529" t="s">
        <v>188</v>
      </c>
      <c r="BM1529">
        <v>1</v>
      </c>
      <c r="BN1529">
        <v>1</v>
      </c>
      <c r="BO1529">
        <v>0</v>
      </c>
      <c r="BP1529">
        <v>0</v>
      </c>
      <c r="BS1529">
        <v>0</v>
      </c>
      <c r="BT1529">
        <v>0</v>
      </c>
      <c r="BU1529">
        <v>0</v>
      </c>
      <c r="CE1529" t="str">
        <f t="shared" si="605"/>
        <v>15:08:46.821</v>
      </c>
      <c r="CF1529">
        <v>820707735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133</v>
      </c>
      <c r="DA1529">
        <v>275</v>
      </c>
      <c r="DB1529">
        <v>0</v>
      </c>
      <c r="DC1529" t="s">
        <v>134</v>
      </c>
      <c r="DD1529" t="s">
        <v>135</v>
      </c>
      <c r="DG1529">
        <v>3320483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"05/01/2025 15:08:47.056"</f>
        <v>05/01/2025 15:08:47.056</v>
      </c>
      <c r="C1530" t="str">
        <f t="shared" si="584"/>
        <v>FFDFD3C0</v>
      </c>
      <c r="D1530" t="s">
        <v>143</v>
      </c>
      <c r="E1530" t="str">
        <f>"05"</f>
        <v>05</v>
      </c>
      <c r="H1530">
        <v>172</v>
      </c>
      <c r="I1530" t="s">
        <v>141</v>
      </c>
      <c r="J1530" t="s">
        <v>144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R1530" t="s">
        <v>127</v>
      </c>
      <c r="S1530" t="str">
        <f t="shared" si="604"/>
        <v>15:08:46.000</v>
      </c>
      <c r="T1530" t="str">
        <f t="shared" si="604"/>
        <v>15:08:46.000</v>
      </c>
      <c r="U1530" t="str">
        <f t="shared" si="585"/>
        <v>A68FCB</v>
      </c>
      <c r="V1530">
        <v>0</v>
      </c>
      <c r="W1530">
        <v>0</v>
      </c>
      <c r="X1530">
        <v>2</v>
      </c>
      <c r="Y1530">
        <v>0</v>
      </c>
      <c r="AA1530">
        <v>1</v>
      </c>
      <c r="AB1530">
        <v>8</v>
      </c>
      <c r="AC1530">
        <v>3</v>
      </c>
      <c r="AD1530">
        <v>0</v>
      </c>
      <c r="AE1530">
        <v>9</v>
      </c>
      <c r="AF1530" t="s">
        <v>138</v>
      </c>
      <c r="AG1530">
        <v>0</v>
      </c>
      <c r="AH1530">
        <v>3</v>
      </c>
      <c r="AI1530">
        <v>2</v>
      </c>
      <c r="AJ1530">
        <v>0</v>
      </c>
      <c r="AK1530" t="s">
        <v>565</v>
      </c>
      <c r="AL1530">
        <v>39.020476000000002</v>
      </c>
      <c r="AM1530" t="s">
        <v>395</v>
      </c>
      <c r="AN1530">
        <v>-121.051912</v>
      </c>
      <c r="AO1530">
        <v>25</v>
      </c>
      <c r="AP1530">
        <v>3900</v>
      </c>
      <c r="AQ1530" t="s">
        <v>131</v>
      </c>
      <c r="AR1530">
        <v>33</v>
      </c>
      <c r="AS1530">
        <v>65</v>
      </c>
      <c r="AT1530">
        <v>448</v>
      </c>
      <c r="BB1530" t="str">
        <f t="shared" si="586"/>
        <v>1200</v>
      </c>
      <c r="BC1530">
        <v>1</v>
      </c>
      <c r="BD1530" t="str">
        <f t="shared" si="587"/>
        <v xml:space="preserve">N52156  </v>
      </c>
      <c r="BE1530">
        <v>1</v>
      </c>
      <c r="BG1530">
        <v>0</v>
      </c>
      <c r="BH1530">
        <v>0</v>
      </c>
      <c r="BI1530">
        <v>0</v>
      </c>
      <c r="BJ1530">
        <v>3925</v>
      </c>
      <c r="BK1530">
        <v>25</v>
      </c>
      <c r="BL1530" t="s">
        <v>188</v>
      </c>
      <c r="BM1530">
        <v>1</v>
      </c>
      <c r="BN1530">
        <v>1</v>
      </c>
      <c r="BO1530">
        <v>0</v>
      </c>
      <c r="BP1530">
        <v>0</v>
      </c>
      <c r="BS1530">
        <v>0</v>
      </c>
      <c r="BT1530">
        <v>0</v>
      </c>
      <c r="BU1530">
        <v>0</v>
      </c>
      <c r="CE1530" t="str">
        <f t="shared" si="605"/>
        <v>15:08:46.821</v>
      </c>
      <c r="CF1530">
        <v>820707735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133</v>
      </c>
      <c r="DA1530">
        <v>275</v>
      </c>
      <c r="DB1530">
        <v>0</v>
      </c>
      <c r="DC1530" t="s">
        <v>134</v>
      </c>
      <c r="DD1530" t="s">
        <v>135</v>
      </c>
      <c r="DG1530">
        <v>3320483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"05/01/2025 15:08:47.064"</f>
        <v>05/01/2025 15:08:47.064</v>
      </c>
      <c r="C1531" t="str">
        <f t="shared" si="584"/>
        <v>FFDFD3C0</v>
      </c>
      <c r="D1531" t="s">
        <v>136</v>
      </c>
      <c r="E1531" t="str">
        <f>"20"</f>
        <v>20</v>
      </c>
      <c r="H1531">
        <v>400</v>
      </c>
      <c r="I1531" t="s">
        <v>137</v>
      </c>
      <c r="J1531" t="s">
        <v>138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R1531" t="s">
        <v>127</v>
      </c>
      <c r="S1531" t="str">
        <f t="shared" si="604"/>
        <v>15:08:46.000</v>
      </c>
      <c r="T1531" t="str">
        <f t="shared" si="604"/>
        <v>15:08:46.000</v>
      </c>
      <c r="U1531" t="str">
        <f t="shared" si="585"/>
        <v>A68FCB</v>
      </c>
      <c r="V1531">
        <v>0</v>
      </c>
      <c r="W1531">
        <v>0</v>
      </c>
      <c r="X1531">
        <v>2</v>
      </c>
      <c r="Y1531">
        <v>0</v>
      </c>
      <c r="AA1531">
        <v>1</v>
      </c>
      <c r="AB1531">
        <v>8</v>
      </c>
      <c r="AC1531">
        <v>3</v>
      </c>
      <c r="AD1531">
        <v>0</v>
      </c>
      <c r="AE1531">
        <v>9</v>
      </c>
      <c r="AF1531" t="s">
        <v>138</v>
      </c>
      <c r="AG1531">
        <v>0</v>
      </c>
      <c r="AH1531">
        <v>3</v>
      </c>
      <c r="AI1531">
        <v>2</v>
      </c>
      <c r="AJ1531">
        <v>0</v>
      </c>
      <c r="AK1531" t="s">
        <v>565</v>
      </c>
      <c r="AL1531">
        <v>39.020476000000002</v>
      </c>
      <c r="AM1531" t="s">
        <v>395</v>
      </c>
      <c r="AN1531">
        <v>-121.051912</v>
      </c>
      <c r="AO1531">
        <v>25</v>
      </c>
      <c r="AP1531">
        <v>3900</v>
      </c>
      <c r="AQ1531" t="s">
        <v>131</v>
      </c>
      <c r="AR1531">
        <v>33</v>
      </c>
      <c r="AS1531">
        <v>65</v>
      </c>
      <c r="AT1531">
        <v>448</v>
      </c>
      <c r="BB1531" t="str">
        <f t="shared" si="586"/>
        <v>1200</v>
      </c>
      <c r="BC1531">
        <v>1</v>
      </c>
      <c r="BD1531" t="str">
        <f t="shared" si="587"/>
        <v xml:space="preserve">N52156  </v>
      </c>
      <c r="BE1531">
        <v>1</v>
      </c>
      <c r="BG1531">
        <v>0</v>
      </c>
      <c r="BH1531">
        <v>0</v>
      </c>
      <c r="BI1531">
        <v>0</v>
      </c>
      <c r="BJ1531">
        <v>3925</v>
      </c>
      <c r="BK1531">
        <v>25</v>
      </c>
      <c r="BL1531" t="s">
        <v>188</v>
      </c>
      <c r="BM1531">
        <v>1</v>
      </c>
      <c r="BN1531">
        <v>1</v>
      </c>
      <c r="BO1531">
        <v>0</v>
      </c>
      <c r="BP1531">
        <v>0</v>
      </c>
      <c r="BS1531">
        <v>0</v>
      </c>
      <c r="BT1531">
        <v>0</v>
      </c>
      <c r="BU1531">
        <v>0</v>
      </c>
      <c r="CE1531" t="str">
        <f t="shared" si="605"/>
        <v>15:08:46.821</v>
      </c>
      <c r="CF1531">
        <v>820707735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5</v>
      </c>
      <c r="CY1531">
        <v>7</v>
      </c>
      <c r="CZ1531" t="s">
        <v>133</v>
      </c>
      <c r="DA1531">
        <v>275</v>
      </c>
      <c r="DB1531">
        <v>0</v>
      </c>
      <c r="DC1531" t="s">
        <v>134</v>
      </c>
      <c r="DD1531" t="s">
        <v>135</v>
      </c>
      <c r="DG1531">
        <v>3320483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"05/01/2025 15:08:47.598"</f>
        <v>05/01/2025 15:08:47.598</v>
      </c>
      <c r="C1532" t="str">
        <f t="shared" si="584"/>
        <v>FFDFD3C0</v>
      </c>
      <c r="D1532" t="s">
        <v>140</v>
      </c>
      <c r="E1532" t="str">
        <f>"13"</f>
        <v>13</v>
      </c>
      <c r="F1532">
        <v>1019</v>
      </c>
      <c r="G1532" t="s">
        <v>141</v>
      </c>
      <c r="J1532" t="s">
        <v>142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R1532" t="s">
        <v>127</v>
      </c>
      <c r="S1532" t="str">
        <f t="shared" ref="S1532:T1537" si="606">"15:08:47.000"</f>
        <v>15:08:47.000</v>
      </c>
      <c r="T1532" t="str">
        <f t="shared" si="606"/>
        <v>15:08:47.000</v>
      </c>
      <c r="U1532" t="str">
        <f t="shared" si="585"/>
        <v>A68FCB</v>
      </c>
      <c r="V1532">
        <v>0</v>
      </c>
      <c r="W1532">
        <v>0</v>
      </c>
      <c r="X1532">
        <v>2</v>
      </c>
      <c r="Y1532">
        <v>0</v>
      </c>
      <c r="AA1532">
        <v>1</v>
      </c>
      <c r="AB1532">
        <v>8</v>
      </c>
      <c r="AC1532">
        <v>3</v>
      </c>
      <c r="AD1532">
        <v>0</v>
      </c>
      <c r="AE1532">
        <v>9</v>
      </c>
      <c r="AF1532" t="s">
        <v>138</v>
      </c>
      <c r="AG1532">
        <v>0</v>
      </c>
      <c r="AH1532">
        <v>3</v>
      </c>
      <c r="AI1532">
        <v>2</v>
      </c>
      <c r="AJ1532">
        <v>0</v>
      </c>
      <c r="AK1532" t="s">
        <v>566</v>
      </c>
      <c r="AL1532">
        <v>39.020777000000002</v>
      </c>
      <c r="AM1532" t="s">
        <v>391</v>
      </c>
      <c r="AN1532">
        <v>-121.05171900000001</v>
      </c>
      <c r="AO1532">
        <v>25</v>
      </c>
      <c r="AP1532">
        <v>3900</v>
      </c>
      <c r="AQ1532" t="s">
        <v>131</v>
      </c>
      <c r="AR1532">
        <v>33</v>
      </c>
      <c r="AS1532">
        <v>65</v>
      </c>
      <c r="AT1532">
        <v>384</v>
      </c>
      <c r="BB1532" t="str">
        <f t="shared" si="586"/>
        <v>1200</v>
      </c>
      <c r="BC1532">
        <v>1</v>
      </c>
      <c r="BD1532" t="str">
        <f t="shared" si="587"/>
        <v xml:space="preserve">N52156  </v>
      </c>
      <c r="BE1532">
        <v>1</v>
      </c>
      <c r="BG1532">
        <v>0</v>
      </c>
      <c r="BH1532">
        <v>0</v>
      </c>
      <c r="BI1532">
        <v>0</v>
      </c>
      <c r="BJ1532">
        <v>3950</v>
      </c>
      <c r="BK1532">
        <v>50</v>
      </c>
      <c r="BL1532" t="s">
        <v>188</v>
      </c>
      <c r="BM1532">
        <v>1</v>
      </c>
      <c r="BN1532">
        <v>1</v>
      </c>
      <c r="BO1532">
        <v>0</v>
      </c>
      <c r="BP1532">
        <v>0</v>
      </c>
      <c r="BS1532">
        <v>0</v>
      </c>
      <c r="BT1532">
        <v>0</v>
      </c>
      <c r="BU1532">
        <v>0</v>
      </c>
      <c r="CE1532" t="str">
        <f t="shared" ref="CE1532:CE1537" si="607">"15:08:47.338"</f>
        <v>15:08:47.338</v>
      </c>
      <c r="CF1532">
        <v>337706530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133</v>
      </c>
      <c r="DA1532">
        <v>275</v>
      </c>
      <c r="DB1532">
        <v>0</v>
      </c>
      <c r="DC1532" t="s">
        <v>134</v>
      </c>
      <c r="DD1532" t="s">
        <v>135</v>
      </c>
      <c r="DG1532">
        <v>3320489</v>
      </c>
      <c r="DI1532">
        <v>1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"05/01/2025 15:08:47.603"</f>
        <v>05/01/2025 15:08:47.603</v>
      </c>
      <c r="C1533" t="str">
        <f t="shared" si="584"/>
        <v>FFDFD3C0</v>
      </c>
      <c r="D1533" t="s">
        <v>145</v>
      </c>
      <c r="E1533" t="str">
        <f>"05"</f>
        <v>05</v>
      </c>
      <c r="H1533">
        <v>47</v>
      </c>
      <c r="I1533" t="s">
        <v>146</v>
      </c>
      <c r="J1533" t="s">
        <v>138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R1533" t="s">
        <v>127</v>
      </c>
      <c r="S1533" t="str">
        <f t="shared" si="606"/>
        <v>15:08:47.000</v>
      </c>
      <c r="T1533" t="str">
        <f t="shared" si="606"/>
        <v>15:08:47.000</v>
      </c>
      <c r="U1533" t="str">
        <f t="shared" si="585"/>
        <v>A68FCB</v>
      </c>
      <c r="V1533">
        <v>0</v>
      </c>
      <c r="W1533">
        <v>0</v>
      </c>
      <c r="X1533">
        <v>2</v>
      </c>
      <c r="Y1533">
        <v>0</v>
      </c>
      <c r="AA1533">
        <v>1</v>
      </c>
      <c r="AB1533">
        <v>8</v>
      </c>
      <c r="AC1533">
        <v>3</v>
      </c>
      <c r="AD1533">
        <v>0</v>
      </c>
      <c r="AE1533">
        <v>9</v>
      </c>
      <c r="AF1533" t="s">
        <v>138</v>
      </c>
      <c r="AG1533">
        <v>0</v>
      </c>
      <c r="AH1533">
        <v>3</v>
      </c>
      <c r="AI1533">
        <v>2</v>
      </c>
      <c r="AJ1533">
        <v>0</v>
      </c>
      <c r="AK1533" t="s">
        <v>566</v>
      </c>
      <c r="AL1533">
        <v>39.020777000000002</v>
      </c>
      <c r="AM1533" t="s">
        <v>391</v>
      </c>
      <c r="AN1533">
        <v>-121.05171900000001</v>
      </c>
      <c r="AO1533">
        <v>25</v>
      </c>
      <c r="AP1533">
        <v>3900</v>
      </c>
      <c r="AQ1533" t="s">
        <v>131</v>
      </c>
      <c r="AR1533">
        <v>33</v>
      </c>
      <c r="AS1533">
        <v>65</v>
      </c>
      <c r="AT1533">
        <v>384</v>
      </c>
      <c r="BB1533" t="str">
        <f t="shared" si="586"/>
        <v>1200</v>
      </c>
      <c r="BC1533">
        <v>1</v>
      </c>
      <c r="BD1533" t="str">
        <f t="shared" si="587"/>
        <v xml:space="preserve">N52156  </v>
      </c>
      <c r="BE1533">
        <v>1</v>
      </c>
      <c r="BG1533">
        <v>0</v>
      </c>
      <c r="BH1533">
        <v>0</v>
      </c>
      <c r="BI1533">
        <v>0</v>
      </c>
      <c r="BJ1533">
        <v>3950</v>
      </c>
      <c r="BK1533">
        <v>50</v>
      </c>
      <c r="BL1533" t="s">
        <v>188</v>
      </c>
      <c r="BM1533">
        <v>1</v>
      </c>
      <c r="BN1533">
        <v>1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 t="shared" si="607"/>
        <v>15:08:47.338</v>
      </c>
      <c r="CF1533">
        <v>337706530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133</v>
      </c>
      <c r="DA1533">
        <v>275</v>
      </c>
      <c r="DB1533">
        <v>0</v>
      </c>
      <c r="DC1533" t="s">
        <v>134</v>
      </c>
      <c r="DD1533" t="s">
        <v>135</v>
      </c>
      <c r="DG1533">
        <v>3320489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"05/01/2025 15:08:47.606"</f>
        <v>05/01/2025 15:08:47.606</v>
      </c>
      <c r="C1534" t="str">
        <f t="shared" si="584"/>
        <v>FFDFD3C0</v>
      </c>
      <c r="D1534" t="s">
        <v>145</v>
      </c>
      <c r="E1534" t="str">
        <f>"09"</f>
        <v>09</v>
      </c>
      <c r="H1534">
        <v>51</v>
      </c>
      <c r="I1534" t="s">
        <v>147</v>
      </c>
      <c r="J1534" t="s">
        <v>138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R1534" t="s">
        <v>127</v>
      </c>
      <c r="S1534" t="str">
        <f t="shared" si="606"/>
        <v>15:08:47.000</v>
      </c>
      <c r="T1534" t="str">
        <f t="shared" si="606"/>
        <v>15:08:47.000</v>
      </c>
      <c r="U1534" t="str">
        <f t="shared" si="585"/>
        <v>A68FCB</v>
      </c>
      <c r="V1534">
        <v>0</v>
      </c>
      <c r="W1534">
        <v>0</v>
      </c>
      <c r="X1534">
        <v>2</v>
      </c>
      <c r="Y1534">
        <v>0</v>
      </c>
      <c r="AA1534">
        <v>1</v>
      </c>
      <c r="AB1534">
        <v>8</v>
      </c>
      <c r="AC1534">
        <v>3</v>
      </c>
      <c r="AD1534">
        <v>0</v>
      </c>
      <c r="AE1534">
        <v>9</v>
      </c>
      <c r="AF1534" t="s">
        <v>138</v>
      </c>
      <c r="AG1534">
        <v>0</v>
      </c>
      <c r="AH1534">
        <v>3</v>
      </c>
      <c r="AI1534">
        <v>2</v>
      </c>
      <c r="AJ1534">
        <v>0</v>
      </c>
      <c r="AK1534" t="s">
        <v>566</v>
      </c>
      <c r="AL1534">
        <v>39.020777000000002</v>
      </c>
      <c r="AM1534" t="s">
        <v>391</v>
      </c>
      <c r="AN1534">
        <v>-121.05171900000001</v>
      </c>
      <c r="AO1534">
        <v>25</v>
      </c>
      <c r="AP1534">
        <v>3900</v>
      </c>
      <c r="AQ1534" t="s">
        <v>131</v>
      </c>
      <c r="AR1534">
        <v>33</v>
      </c>
      <c r="AS1534">
        <v>65</v>
      </c>
      <c r="AT1534">
        <v>384</v>
      </c>
      <c r="BB1534" t="str">
        <f t="shared" si="586"/>
        <v>1200</v>
      </c>
      <c r="BC1534">
        <v>1</v>
      </c>
      <c r="BD1534" t="str">
        <f t="shared" si="587"/>
        <v xml:space="preserve">N52156  </v>
      </c>
      <c r="BE1534">
        <v>1</v>
      </c>
      <c r="BG1534">
        <v>0</v>
      </c>
      <c r="BH1534">
        <v>0</v>
      </c>
      <c r="BI1534">
        <v>0</v>
      </c>
      <c r="BJ1534">
        <v>3950</v>
      </c>
      <c r="BK1534">
        <v>50</v>
      </c>
      <c r="BL1534" t="s">
        <v>188</v>
      </c>
      <c r="BM1534">
        <v>1</v>
      </c>
      <c r="BN1534">
        <v>1</v>
      </c>
      <c r="BO1534">
        <v>0</v>
      </c>
      <c r="BP1534">
        <v>0</v>
      </c>
      <c r="BS1534">
        <v>0</v>
      </c>
      <c r="BT1534">
        <v>0</v>
      </c>
      <c r="BU1534">
        <v>0</v>
      </c>
      <c r="CE1534" t="str">
        <f t="shared" si="607"/>
        <v>15:08:47.338</v>
      </c>
      <c r="CF1534">
        <v>337706530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133</v>
      </c>
      <c r="DA1534">
        <v>275</v>
      </c>
      <c r="DB1534">
        <v>0</v>
      </c>
      <c r="DC1534" t="s">
        <v>134</v>
      </c>
      <c r="DD1534" t="s">
        <v>135</v>
      </c>
      <c r="DG1534">
        <v>3320489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"05/01/2025 15:08:47.604"</f>
        <v>05/01/2025 15:08:47.604</v>
      </c>
      <c r="C1535" t="str">
        <f t="shared" si="584"/>
        <v>FFDFD3C0</v>
      </c>
      <c r="D1535" t="s">
        <v>124</v>
      </c>
      <c r="E1535" t="str">
        <f>"06"</f>
        <v>06</v>
      </c>
      <c r="F1535">
        <v>2006</v>
      </c>
      <c r="G1535" t="s">
        <v>125</v>
      </c>
      <c r="J1535" t="s">
        <v>126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R1535" t="s">
        <v>127</v>
      </c>
      <c r="S1535" t="str">
        <f t="shared" si="606"/>
        <v>15:08:47.000</v>
      </c>
      <c r="T1535" t="str">
        <f t="shared" si="606"/>
        <v>15:08:47.000</v>
      </c>
      <c r="U1535" t="str">
        <f t="shared" si="585"/>
        <v>A68FCB</v>
      </c>
      <c r="V1535">
        <v>0</v>
      </c>
      <c r="W1535">
        <v>0</v>
      </c>
      <c r="X1535">
        <v>2</v>
      </c>
      <c r="Y1535">
        <v>0</v>
      </c>
      <c r="AA1535">
        <v>1</v>
      </c>
      <c r="AB1535">
        <v>8</v>
      </c>
      <c r="AC1535">
        <v>3</v>
      </c>
      <c r="AD1535">
        <v>0</v>
      </c>
      <c r="AE1535">
        <v>9</v>
      </c>
      <c r="AF1535" t="s">
        <v>138</v>
      </c>
      <c r="AG1535">
        <v>0</v>
      </c>
      <c r="AH1535">
        <v>3</v>
      </c>
      <c r="AI1535">
        <v>2</v>
      </c>
      <c r="AJ1535">
        <v>0</v>
      </c>
      <c r="AK1535" t="s">
        <v>566</v>
      </c>
      <c r="AL1535">
        <v>39.020777000000002</v>
      </c>
      <c r="AM1535" t="s">
        <v>391</v>
      </c>
      <c r="AN1535">
        <v>-121.05171900000001</v>
      </c>
      <c r="AO1535">
        <v>25</v>
      </c>
      <c r="AP1535">
        <v>3900</v>
      </c>
      <c r="AQ1535" t="s">
        <v>131</v>
      </c>
      <c r="AR1535">
        <v>33</v>
      </c>
      <c r="AS1535">
        <v>65</v>
      </c>
      <c r="AT1535">
        <v>384</v>
      </c>
      <c r="BB1535" t="str">
        <f t="shared" si="586"/>
        <v>1200</v>
      </c>
      <c r="BC1535">
        <v>1</v>
      </c>
      <c r="BD1535" t="str">
        <f t="shared" si="587"/>
        <v xml:space="preserve">N52156  </v>
      </c>
      <c r="BE1535">
        <v>1</v>
      </c>
      <c r="BG1535">
        <v>0</v>
      </c>
      <c r="BH1535">
        <v>0</v>
      </c>
      <c r="BI1535">
        <v>0</v>
      </c>
      <c r="BJ1535">
        <v>3950</v>
      </c>
      <c r="BK1535">
        <v>50</v>
      </c>
      <c r="BL1535" t="s">
        <v>188</v>
      </c>
      <c r="BM1535">
        <v>1</v>
      </c>
      <c r="BN1535">
        <v>1</v>
      </c>
      <c r="BO1535">
        <v>0</v>
      </c>
      <c r="BP1535">
        <v>0</v>
      </c>
      <c r="BS1535">
        <v>0</v>
      </c>
      <c r="BT1535">
        <v>0</v>
      </c>
      <c r="BU1535">
        <v>0</v>
      </c>
      <c r="CE1535" t="str">
        <f t="shared" si="607"/>
        <v>15:08:47.338</v>
      </c>
      <c r="CF1535">
        <v>337706530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5</v>
      </c>
      <c r="CY1535">
        <v>7</v>
      </c>
      <c r="CZ1535" t="s">
        <v>133</v>
      </c>
      <c r="DA1535">
        <v>275</v>
      </c>
      <c r="DB1535">
        <v>0</v>
      </c>
      <c r="DC1535" t="s">
        <v>134</v>
      </c>
      <c r="DD1535" t="s">
        <v>135</v>
      </c>
      <c r="DG1535">
        <v>3320489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"05/01/2025 15:08:47.608"</f>
        <v>05/01/2025 15:08:47.608</v>
      </c>
      <c r="C1536" t="str">
        <f t="shared" si="584"/>
        <v>FFDFD3C0</v>
      </c>
      <c r="D1536" t="s">
        <v>143</v>
      </c>
      <c r="E1536" t="str">
        <f>"05"</f>
        <v>05</v>
      </c>
      <c r="H1536">
        <v>172</v>
      </c>
      <c r="I1536" t="s">
        <v>141</v>
      </c>
      <c r="J1536" t="s">
        <v>144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R1536" t="s">
        <v>127</v>
      </c>
      <c r="S1536" t="str">
        <f t="shared" si="606"/>
        <v>15:08:47.000</v>
      </c>
      <c r="T1536" t="str">
        <f t="shared" si="606"/>
        <v>15:08:47.000</v>
      </c>
      <c r="U1536" t="str">
        <f t="shared" si="585"/>
        <v>A68FCB</v>
      </c>
      <c r="V1536">
        <v>0</v>
      </c>
      <c r="W1536">
        <v>0</v>
      </c>
      <c r="X1536">
        <v>2</v>
      </c>
      <c r="Y1536">
        <v>0</v>
      </c>
      <c r="AA1536">
        <v>1</v>
      </c>
      <c r="AB1536">
        <v>8</v>
      </c>
      <c r="AC1536">
        <v>3</v>
      </c>
      <c r="AD1536">
        <v>0</v>
      </c>
      <c r="AE1536">
        <v>9</v>
      </c>
      <c r="AF1536" t="s">
        <v>138</v>
      </c>
      <c r="AG1536">
        <v>0</v>
      </c>
      <c r="AH1536">
        <v>3</v>
      </c>
      <c r="AI1536">
        <v>2</v>
      </c>
      <c r="AJ1536">
        <v>0</v>
      </c>
      <c r="AK1536" t="s">
        <v>566</v>
      </c>
      <c r="AL1536">
        <v>39.020777000000002</v>
      </c>
      <c r="AM1536" t="s">
        <v>391</v>
      </c>
      <c r="AN1536">
        <v>-121.05171900000001</v>
      </c>
      <c r="AO1536">
        <v>25</v>
      </c>
      <c r="AP1536">
        <v>3900</v>
      </c>
      <c r="AQ1536" t="s">
        <v>131</v>
      </c>
      <c r="AR1536">
        <v>33</v>
      </c>
      <c r="AS1536">
        <v>65</v>
      </c>
      <c r="AT1536">
        <v>384</v>
      </c>
      <c r="BB1536" t="str">
        <f t="shared" si="586"/>
        <v>1200</v>
      </c>
      <c r="BC1536">
        <v>1</v>
      </c>
      <c r="BD1536" t="str">
        <f t="shared" si="587"/>
        <v xml:space="preserve">N52156  </v>
      </c>
      <c r="BE1536">
        <v>1</v>
      </c>
      <c r="BG1536">
        <v>0</v>
      </c>
      <c r="BH1536">
        <v>0</v>
      </c>
      <c r="BI1536">
        <v>0</v>
      </c>
      <c r="BJ1536">
        <v>3950</v>
      </c>
      <c r="BK1536">
        <v>50</v>
      </c>
      <c r="BL1536" t="s">
        <v>188</v>
      </c>
      <c r="BM1536">
        <v>1</v>
      </c>
      <c r="BN1536">
        <v>1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 t="shared" si="607"/>
        <v>15:08:47.338</v>
      </c>
      <c r="CF1536">
        <v>337706530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5</v>
      </c>
      <c r="CY1536">
        <v>7</v>
      </c>
      <c r="CZ1536" t="s">
        <v>133</v>
      </c>
      <c r="DA1536">
        <v>275</v>
      </c>
      <c r="DB1536">
        <v>0</v>
      </c>
      <c r="DC1536" t="s">
        <v>134</v>
      </c>
      <c r="DD1536" t="s">
        <v>135</v>
      </c>
      <c r="DG1536">
        <v>3320489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"05/01/2025 15:08:47.615"</f>
        <v>05/01/2025 15:08:47.615</v>
      </c>
      <c r="C1537" t="str">
        <f t="shared" si="584"/>
        <v>FFDFD3C0</v>
      </c>
      <c r="D1537" t="s">
        <v>136</v>
      </c>
      <c r="E1537" t="str">
        <f>"20"</f>
        <v>20</v>
      </c>
      <c r="H1537">
        <v>400</v>
      </c>
      <c r="I1537" t="s">
        <v>137</v>
      </c>
      <c r="J1537" t="s">
        <v>138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R1537" t="s">
        <v>127</v>
      </c>
      <c r="S1537" t="str">
        <f t="shared" si="606"/>
        <v>15:08:47.000</v>
      </c>
      <c r="T1537" t="str">
        <f t="shared" si="606"/>
        <v>15:08:47.000</v>
      </c>
      <c r="U1537" t="str">
        <f t="shared" si="585"/>
        <v>A68FCB</v>
      </c>
      <c r="V1537">
        <v>0</v>
      </c>
      <c r="W1537">
        <v>0</v>
      </c>
      <c r="X1537">
        <v>2</v>
      </c>
      <c r="Y1537">
        <v>0</v>
      </c>
      <c r="AA1537">
        <v>1</v>
      </c>
      <c r="AB1537">
        <v>8</v>
      </c>
      <c r="AC1537">
        <v>3</v>
      </c>
      <c r="AD1537">
        <v>0</v>
      </c>
      <c r="AE1537">
        <v>9</v>
      </c>
      <c r="AF1537" t="s">
        <v>138</v>
      </c>
      <c r="AG1537">
        <v>0</v>
      </c>
      <c r="AH1537">
        <v>3</v>
      </c>
      <c r="AI1537">
        <v>2</v>
      </c>
      <c r="AJ1537">
        <v>0</v>
      </c>
      <c r="AK1537" t="s">
        <v>566</v>
      </c>
      <c r="AL1537">
        <v>39.020777000000002</v>
      </c>
      <c r="AM1537" t="s">
        <v>391</v>
      </c>
      <c r="AN1537">
        <v>-121.05171900000001</v>
      </c>
      <c r="AO1537">
        <v>25</v>
      </c>
      <c r="AP1537">
        <v>3900</v>
      </c>
      <c r="AQ1537" t="s">
        <v>131</v>
      </c>
      <c r="AR1537">
        <v>33</v>
      </c>
      <c r="AS1537">
        <v>65</v>
      </c>
      <c r="AT1537">
        <v>384</v>
      </c>
      <c r="BB1537" t="str">
        <f t="shared" si="586"/>
        <v>1200</v>
      </c>
      <c r="BC1537">
        <v>1</v>
      </c>
      <c r="BD1537" t="str">
        <f t="shared" si="587"/>
        <v xml:space="preserve">N52156  </v>
      </c>
      <c r="BE1537">
        <v>1</v>
      </c>
      <c r="BG1537">
        <v>0</v>
      </c>
      <c r="BH1537">
        <v>0</v>
      </c>
      <c r="BI1537">
        <v>0</v>
      </c>
      <c r="BJ1537">
        <v>3950</v>
      </c>
      <c r="BK1537">
        <v>50</v>
      </c>
      <c r="BL1537" t="s">
        <v>188</v>
      </c>
      <c r="BM1537">
        <v>1</v>
      </c>
      <c r="BN1537">
        <v>1</v>
      </c>
      <c r="BO1537">
        <v>0</v>
      </c>
      <c r="BP1537">
        <v>0</v>
      </c>
      <c r="BS1537">
        <v>0</v>
      </c>
      <c r="BT1537">
        <v>0</v>
      </c>
      <c r="BU1537">
        <v>0</v>
      </c>
      <c r="CE1537" t="str">
        <f t="shared" si="607"/>
        <v>15:08:47.338</v>
      </c>
      <c r="CF1537">
        <v>337706530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5</v>
      </c>
      <c r="CY1537">
        <v>7</v>
      </c>
      <c r="CZ1537" t="s">
        <v>133</v>
      </c>
      <c r="DA1537">
        <v>275</v>
      </c>
      <c r="DB1537">
        <v>0</v>
      </c>
      <c r="DC1537" t="s">
        <v>134</v>
      </c>
      <c r="DD1537" t="s">
        <v>135</v>
      </c>
      <c r="DG1537">
        <v>3320489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"05/01/2025 15:08:49.150"</f>
        <v>05/01/2025 15:08:49.150</v>
      </c>
      <c r="C1538" t="str">
        <f t="shared" ref="C1538:C1601" si="608">"FFDFD3C0"</f>
        <v>FFDFD3C0</v>
      </c>
      <c r="D1538" t="s">
        <v>140</v>
      </c>
      <c r="E1538" t="str">
        <f>"13"</f>
        <v>13</v>
      </c>
      <c r="F1538">
        <v>1019</v>
      </c>
      <c r="G1538" t="s">
        <v>141</v>
      </c>
      <c r="J1538" t="s">
        <v>142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R1538" t="s">
        <v>127</v>
      </c>
      <c r="S1538" t="str">
        <f t="shared" ref="S1538:T1543" si="609">"15:08:48.000"</f>
        <v>15:08:48.000</v>
      </c>
      <c r="T1538" t="str">
        <f t="shared" si="609"/>
        <v>15:08:48.000</v>
      </c>
      <c r="U1538" t="str">
        <f t="shared" ref="U1538:U1601" si="610">"A68FCB"</f>
        <v>A68FCB</v>
      </c>
      <c r="V1538">
        <v>0</v>
      </c>
      <c r="W1538">
        <v>0</v>
      </c>
      <c r="X1538">
        <v>2</v>
      </c>
      <c r="Y1538">
        <v>0</v>
      </c>
      <c r="AA1538">
        <v>1</v>
      </c>
      <c r="AB1538">
        <v>8</v>
      </c>
      <c r="AC1538">
        <v>3</v>
      </c>
      <c r="AD1538">
        <v>0</v>
      </c>
      <c r="AE1538">
        <v>9</v>
      </c>
      <c r="AF1538" t="s">
        <v>138</v>
      </c>
      <c r="AG1538">
        <v>0</v>
      </c>
      <c r="AH1538">
        <v>3</v>
      </c>
      <c r="AI1538">
        <v>2</v>
      </c>
      <c r="AJ1538">
        <v>0</v>
      </c>
      <c r="AK1538" t="s">
        <v>567</v>
      </c>
      <c r="AL1538">
        <v>39.021076999999998</v>
      </c>
      <c r="AM1538" t="s">
        <v>386</v>
      </c>
      <c r="AN1538">
        <v>-121.051548</v>
      </c>
      <c r="AO1538">
        <v>25</v>
      </c>
      <c r="AP1538">
        <v>3900</v>
      </c>
      <c r="AQ1538" t="s">
        <v>131</v>
      </c>
      <c r="AR1538">
        <v>34</v>
      </c>
      <c r="AS1538">
        <v>65</v>
      </c>
      <c r="AT1538">
        <v>320</v>
      </c>
      <c r="BB1538" t="str">
        <f t="shared" ref="BB1538:BB1601" si="611">"1200"</f>
        <v>1200</v>
      </c>
      <c r="BC1538">
        <v>1</v>
      </c>
      <c r="BD1538" t="str">
        <f t="shared" ref="BD1538:BD1601" si="612">"N52156  "</f>
        <v xml:space="preserve">N52156  </v>
      </c>
      <c r="BE1538">
        <v>1</v>
      </c>
      <c r="BG1538">
        <v>0</v>
      </c>
      <c r="BH1538">
        <v>0</v>
      </c>
      <c r="BI1538">
        <v>0</v>
      </c>
      <c r="BJ1538">
        <v>3950</v>
      </c>
      <c r="BK1538">
        <v>50</v>
      </c>
      <c r="BL1538" t="s">
        <v>188</v>
      </c>
      <c r="BM1538">
        <v>1</v>
      </c>
      <c r="BN1538">
        <v>1</v>
      </c>
      <c r="BO1538">
        <v>0</v>
      </c>
      <c r="BP1538">
        <v>0</v>
      </c>
      <c r="BS1538">
        <v>0</v>
      </c>
      <c r="BT1538">
        <v>0</v>
      </c>
      <c r="BU1538">
        <v>0</v>
      </c>
      <c r="CE1538" t="str">
        <f t="shared" ref="CE1538:CE1543" si="613">"15:08:48.934"</f>
        <v>15:08:48.934</v>
      </c>
      <c r="CF1538">
        <v>934208150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5</v>
      </c>
      <c r="CY1538">
        <v>7</v>
      </c>
      <c r="CZ1538" t="s">
        <v>133</v>
      </c>
      <c r="DA1538">
        <v>275</v>
      </c>
      <c r="DB1538">
        <v>0</v>
      </c>
      <c r="DC1538" t="s">
        <v>134</v>
      </c>
      <c r="DD1538" t="s">
        <v>135</v>
      </c>
      <c r="DG1538">
        <v>3320502</v>
      </c>
      <c r="DI1538">
        <v>1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"05/01/2025 15:08:49.157"</f>
        <v>05/01/2025 15:08:49.157</v>
      </c>
      <c r="C1539" t="str">
        <f t="shared" si="608"/>
        <v>FFDFD3C0</v>
      </c>
      <c r="D1539" t="s">
        <v>124</v>
      </c>
      <c r="E1539" t="str">
        <f>"06"</f>
        <v>06</v>
      </c>
      <c r="F1539">
        <v>2006</v>
      </c>
      <c r="G1539" t="s">
        <v>125</v>
      </c>
      <c r="J1539" t="s">
        <v>126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R1539" t="s">
        <v>127</v>
      </c>
      <c r="S1539" t="str">
        <f t="shared" si="609"/>
        <v>15:08:48.000</v>
      </c>
      <c r="T1539" t="str">
        <f t="shared" si="609"/>
        <v>15:08:48.000</v>
      </c>
      <c r="U1539" t="str">
        <f t="shared" si="610"/>
        <v>A68FCB</v>
      </c>
      <c r="V1539">
        <v>0</v>
      </c>
      <c r="W1539">
        <v>0</v>
      </c>
      <c r="X1539">
        <v>2</v>
      </c>
      <c r="Y1539">
        <v>0</v>
      </c>
      <c r="AA1539">
        <v>1</v>
      </c>
      <c r="AB1539">
        <v>8</v>
      </c>
      <c r="AC1539">
        <v>3</v>
      </c>
      <c r="AD1539">
        <v>0</v>
      </c>
      <c r="AE1539">
        <v>9</v>
      </c>
      <c r="AF1539" t="s">
        <v>138</v>
      </c>
      <c r="AG1539">
        <v>0</v>
      </c>
      <c r="AH1539">
        <v>3</v>
      </c>
      <c r="AI1539">
        <v>2</v>
      </c>
      <c r="AJ1539">
        <v>0</v>
      </c>
      <c r="AK1539" t="s">
        <v>567</v>
      </c>
      <c r="AL1539">
        <v>39.021076999999998</v>
      </c>
      <c r="AM1539" t="s">
        <v>386</v>
      </c>
      <c r="AN1539">
        <v>-121.051548</v>
      </c>
      <c r="AO1539">
        <v>25</v>
      </c>
      <c r="AP1539">
        <v>3900</v>
      </c>
      <c r="AQ1539" t="s">
        <v>131</v>
      </c>
      <c r="AR1539">
        <v>34</v>
      </c>
      <c r="AS1539">
        <v>65</v>
      </c>
      <c r="AT1539">
        <v>320</v>
      </c>
      <c r="BB1539" t="str">
        <f t="shared" si="611"/>
        <v>1200</v>
      </c>
      <c r="BC1539">
        <v>1</v>
      </c>
      <c r="BD1539" t="str">
        <f t="shared" si="612"/>
        <v xml:space="preserve">N52156  </v>
      </c>
      <c r="BE1539">
        <v>1</v>
      </c>
      <c r="BG1539">
        <v>0</v>
      </c>
      <c r="BH1539">
        <v>0</v>
      </c>
      <c r="BI1539">
        <v>0</v>
      </c>
      <c r="BJ1539">
        <v>3950</v>
      </c>
      <c r="BK1539">
        <v>50</v>
      </c>
      <c r="BL1539" t="s">
        <v>188</v>
      </c>
      <c r="BM1539">
        <v>1</v>
      </c>
      <c r="BN1539">
        <v>1</v>
      </c>
      <c r="BO1539">
        <v>0</v>
      </c>
      <c r="BP1539">
        <v>0</v>
      </c>
      <c r="BS1539">
        <v>0</v>
      </c>
      <c r="BT1539">
        <v>0</v>
      </c>
      <c r="BU1539">
        <v>0</v>
      </c>
      <c r="CE1539" t="str">
        <f t="shared" si="613"/>
        <v>15:08:48.934</v>
      </c>
      <c r="CF1539">
        <v>934208150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5</v>
      </c>
      <c r="CY1539">
        <v>7</v>
      </c>
      <c r="CZ1539" t="s">
        <v>133</v>
      </c>
      <c r="DA1539">
        <v>275</v>
      </c>
      <c r="DB1539">
        <v>0</v>
      </c>
      <c r="DC1539" t="s">
        <v>134</v>
      </c>
      <c r="DD1539" t="s">
        <v>135</v>
      </c>
      <c r="DG1539">
        <v>3320502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"05/01/2025 15:08:49.159"</f>
        <v>05/01/2025 15:08:49.159</v>
      </c>
      <c r="C1540" t="str">
        <f t="shared" si="608"/>
        <v>FFDFD3C0</v>
      </c>
      <c r="D1540" t="s">
        <v>145</v>
      </c>
      <c r="E1540" t="str">
        <f>"09"</f>
        <v>09</v>
      </c>
      <c r="H1540">
        <v>51</v>
      </c>
      <c r="I1540" t="s">
        <v>147</v>
      </c>
      <c r="J1540" t="s">
        <v>138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R1540" t="s">
        <v>127</v>
      </c>
      <c r="S1540" t="str">
        <f t="shared" si="609"/>
        <v>15:08:48.000</v>
      </c>
      <c r="T1540" t="str">
        <f t="shared" si="609"/>
        <v>15:08:48.000</v>
      </c>
      <c r="U1540" t="str">
        <f t="shared" si="610"/>
        <v>A68FCB</v>
      </c>
      <c r="V1540">
        <v>0</v>
      </c>
      <c r="W1540">
        <v>0</v>
      </c>
      <c r="X1540">
        <v>2</v>
      </c>
      <c r="Y1540">
        <v>0</v>
      </c>
      <c r="AA1540">
        <v>1</v>
      </c>
      <c r="AB1540">
        <v>8</v>
      </c>
      <c r="AC1540">
        <v>3</v>
      </c>
      <c r="AD1540">
        <v>0</v>
      </c>
      <c r="AE1540">
        <v>9</v>
      </c>
      <c r="AF1540" t="s">
        <v>138</v>
      </c>
      <c r="AG1540">
        <v>0</v>
      </c>
      <c r="AH1540">
        <v>3</v>
      </c>
      <c r="AI1540">
        <v>2</v>
      </c>
      <c r="AJ1540">
        <v>0</v>
      </c>
      <c r="AK1540" t="s">
        <v>567</v>
      </c>
      <c r="AL1540">
        <v>39.021076999999998</v>
      </c>
      <c r="AM1540" t="s">
        <v>386</v>
      </c>
      <c r="AN1540">
        <v>-121.051548</v>
      </c>
      <c r="AO1540">
        <v>25</v>
      </c>
      <c r="AP1540">
        <v>3900</v>
      </c>
      <c r="AQ1540" t="s">
        <v>131</v>
      </c>
      <c r="AR1540">
        <v>34</v>
      </c>
      <c r="AS1540">
        <v>65</v>
      </c>
      <c r="AT1540">
        <v>320</v>
      </c>
      <c r="BB1540" t="str">
        <f t="shared" si="611"/>
        <v>1200</v>
      </c>
      <c r="BC1540">
        <v>1</v>
      </c>
      <c r="BD1540" t="str">
        <f t="shared" si="612"/>
        <v xml:space="preserve">N52156  </v>
      </c>
      <c r="BE1540">
        <v>1</v>
      </c>
      <c r="BG1540">
        <v>0</v>
      </c>
      <c r="BH1540">
        <v>0</v>
      </c>
      <c r="BI1540">
        <v>0</v>
      </c>
      <c r="BJ1540">
        <v>3950</v>
      </c>
      <c r="BK1540">
        <v>50</v>
      </c>
      <c r="BL1540" t="s">
        <v>188</v>
      </c>
      <c r="BM1540">
        <v>1</v>
      </c>
      <c r="BN1540">
        <v>1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 t="shared" si="613"/>
        <v>15:08:48.934</v>
      </c>
      <c r="CF1540">
        <v>934208150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133</v>
      </c>
      <c r="DA1540">
        <v>275</v>
      </c>
      <c r="DB1540">
        <v>0</v>
      </c>
      <c r="DC1540" t="s">
        <v>134</v>
      </c>
      <c r="DD1540" t="s">
        <v>135</v>
      </c>
      <c r="DG1540">
        <v>3320502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"05/01/2025 15:08:49.155"</f>
        <v>05/01/2025 15:08:49.155</v>
      </c>
      <c r="C1541" t="str">
        <f t="shared" si="608"/>
        <v>FFDFD3C0</v>
      </c>
      <c r="D1541" t="s">
        <v>145</v>
      </c>
      <c r="E1541" t="str">
        <f>"05"</f>
        <v>05</v>
      </c>
      <c r="H1541">
        <v>47</v>
      </c>
      <c r="I1541" t="s">
        <v>146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R1541" t="s">
        <v>127</v>
      </c>
      <c r="S1541" t="str">
        <f t="shared" si="609"/>
        <v>15:08:48.000</v>
      </c>
      <c r="T1541" t="str">
        <f t="shared" si="609"/>
        <v>15:08:48.000</v>
      </c>
      <c r="U1541" t="str">
        <f t="shared" si="610"/>
        <v>A68FCB</v>
      </c>
      <c r="V1541">
        <v>0</v>
      </c>
      <c r="W1541">
        <v>0</v>
      </c>
      <c r="X1541">
        <v>2</v>
      </c>
      <c r="Y1541">
        <v>0</v>
      </c>
      <c r="AA1541">
        <v>1</v>
      </c>
      <c r="AB1541">
        <v>8</v>
      </c>
      <c r="AC1541">
        <v>3</v>
      </c>
      <c r="AD1541">
        <v>0</v>
      </c>
      <c r="AE1541">
        <v>9</v>
      </c>
      <c r="AF1541" t="s">
        <v>138</v>
      </c>
      <c r="AG1541">
        <v>0</v>
      </c>
      <c r="AH1541">
        <v>3</v>
      </c>
      <c r="AI1541">
        <v>2</v>
      </c>
      <c r="AJ1541">
        <v>0</v>
      </c>
      <c r="AK1541" t="s">
        <v>567</v>
      </c>
      <c r="AL1541">
        <v>39.021076999999998</v>
      </c>
      <c r="AM1541" t="s">
        <v>386</v>
      </c>
      <c r="AN1541">
        <v>-121.051548</v>
      </c>
      <c r="AO1541">
        <v>25</v>
      </c>
      <c r="AP1541">
        <v>3900</v>
      </c>
      <c r="AQ1541" t="s">
        <v>131</v>
      </c>
      <c r="AR1541">
        <v>34</v>
      </c>
      <c r="AS1541">
        <v>65</v>
      </c>
      <c r="AT1541">
        <v>320</v>
      </c>
      <c r="BB1541" t="str">
        <f t="shared" si="611"/>
        <v>1200</v>
      </c>
      <c r="BC1541">
        <v>1</v>
      </c>
      <c r="BD1541" t="str">
        <f t="shared" si="612"/>
        <v xml:space="preserve">N52156  </v>
      </c>
      <c r="BE1541">
        <v>1</v>
      </c>
      <c r="BG1541">
        <v>0</v>
      </c>
      <c r="BH1541">
        <v>0</v>
      </c>
      <c r="BI1541">
        <v>0</v>
      </c>
      <c r="BJ1541">
        <v>3950</v>
      </c>
      <c r="BK1541">
        <v>50</v>
      </c>
      <c r="BL1541" t="s">
        <v>188</v>
      </c>
      <c r="BM1541">
        <v>1</v>
      </c>
      <c r="BN1541">
        <v>1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 t="shared" si="613"/>
        <v>15:08:48.934</v>
      </c>
      <c r="CF1541">
        <v>934208150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5</v>
      </c>
      <c r="CY1541">
        <v>7</v>
      </c>
      <c r="CZ1541" t="s">
        <v>133</v>
      </c>
      <c r="DA1541">
        <v>275</v>
      </c>
      <c r="DB1541">
        <v>0</v>
      </c>
      <c r="DC1541" t="s">
        <v>134</v>
      </c>
      <c r="DD1541" t="s">
        <v>135</v>
      </c>
      <c r="DG1541">
        <v>3320502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"05/01/2025 15:08:49.161"</f>
        <v>05/01/2025 15:08:49.161</v>
      </c>
      <c r="C1542" t="str">
        <f t="shared" si="608"/>
        <v>FFDFD3C0</v>
      </c>
      <c r="D1542" t="s">
        <v>143</v>
      </c>
      <c r="E1542" t="str">
        <f>"05"</f>
        <v>05</v>
      </c>
      <c r="H1542">
        <v>172</v>
      </c>
      <c r="I1542" t="s">
        <v>141</v>
      </c>
      <c r="J1542" t="s">
        <v>144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R1542" t="s">
        <v>127</v>
      </c>
      <c r="S1542" t="str">
        <f t="shared" si="609"/>
        <v>15:08:48.000</v>
      </c>
      <c r="T1542" t="str">
        <f t="shared" si="609"/>
        <v>15:08:48.000</v>
      </c>
      <c r="U1542" t="str">
        <f t="shared" si="610"/>
        <v>A68FCB</v>
      </c>
      <c r="V1542">
        <v>0</v>
      </c>
      <c r="W1542">
        <v>0</v>
      </c>
      <c r="X1542">
        <v>2</v>
      </c>
      <c r="Y1542">
        <v>0</v>
      </c>
      <c r="AA1542">
        <v>1</v>
      </c>
      <c r="AB1542">
        <v>8</v>
      </c>
      <c r="AC1542">
        <v>3</v>
      </c>
      <c r="AD1542">
        <v>0</v>
      </c>
      <c r="AE1542">
        <v>9</v>
      </c>
      <c r="AF1542" t="s">
        <v>138</v>
      </c>
      <c r="AG1542">
        <v>0</v>
      </c>
      <c r="AH1542">
        <v>3</v>
      </c>
      <c r="AI1542">
        <v>2</v>
      </c>
      <c r="AJ1542">
        <v>0</v>
      </c>
      <c r="AK1542" t="s">
        <v>567</v>
      </c>
      <c r="AL1542">
        <v>39.021076999999998</v>
      </c>
      <c r="AM1542" t="s">
        <v>386</v>
      </c>
      <c r="AN1542">
        <v>-121.051548</v>
      </c>
      <c r="AO1542">
        <v>25</v>
      </c>
      <c r="AP1542">
        <v>3900</v>
      </c>
      <c r="AQ1542" t="s">
        <v>131</v>
      </c>
      <c r="AR1542">
        <v>34</v>
      </c>
      <c r="AS1542">
        <v>65</v>
      </c>
      <c r="AT1542">
        <v>320</v>
      </c>
      <c r="BB1542" t="str">
        <f t="shared" si="611"/>
        <v>1200</v>
      </c>
      <c r="BC1542">
        <v>1</v>
      </c>
      <c r="BD1542" t="str">
        <f t="shared" si="612"/>
        <v xml:space="preserve">N52156  </v>
      </c>
      <c r="BE1542">
        <v>1</v>
      </c>
      <c r="BG1542">
        <v>0</v>
      </c>
      <c r="BH1542">
        <v>0</v>
      </c>
      <c r="BI1542">
        <v>0</v>
      </c>
      <c r="BJ1542">
        <v>3950</v>
      </c>
      <c r="BK1542">
        <v>50</v>
      </c>
      <c r="BL1542" t="s">
        <v>188</v>
      </c>
      <c r="BM1542">
        <v>1</v>
      </c>
      <c r="BN1542">
        <v>1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 t="shared" si="613"/>
        <v>15:08:48.934</v>
      </c>
      <c r="CF1542">
        <v>934208150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5</v>
      </c>
      <c r="CY1542">
        <v>7</v>
      </c>
      <c r="CZ1542" t="s">
        <v>133</v>
      </c>
      <c r="DA1542">
        <v>275</v>
      </c>
      <c r="DB1542">
        <v>0</v>
      </c>
      <c r="DC1542" t="s">
        <v>134</v>
      </c>
      <c r="DD1542" t="s">
        <v>135</v>
      </c>
      <c r="DG1542">
        <v>3320502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"05/01/2025 15:08:49.167"</f>
        <v>05/01/2025 15:08:49.167</v>
      </c>
      <c r="C1543" t="str">
        <f t="shared" si="608"/>
        <v>FFDFD3C0</v>
      </c>
      <c r="D1543" t="s">
        <v>136</v>
      </c>
      <c r="E1543" t="str">
        <f>"20"</f>
        <v>20</v>
      </c>
      <c r="H1543">
        <v>400</v>
      </c>
      <c r="I1543" t="s">
        <v>137</v>
      </c>
      <c r="J1543" t="s">
        <v>138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R1543" t="s">
        <v>127</v>
      </c>
      <c r="S1543" t="str">
        <f t="shared" si="609"/>
        <v>15:08:48.000</v>
      </c>
      <c r="T1543" t="str">
        <f t="shared" si="609"/>
        <v>15:08:48.000</v>
      </c>
      <c r="U1543" t="str">
        <f t="shared" si="610"/>
        <v>A68FCB</v>
      </c>
      <c r="V1543">
        <v>0</v>
      </c>
      <c r="W1543">
        <v>0</v>
      </c>
      <c r="X1543">
        <v>2</v>
      </c>
      <c r="Y1543">
        <v>0</v>
      </c>
      <c r="AA1543">
        <v>1</v>
      </c>
      <c r="AB1543">
        <v>8</v>
      </c>
      <c r="AC1543">
        <v>3</v>
      </c>
      <c r="AD1543">
        <v>0</v>
      </c>
      <c r="AE1543">
        <v>9</v>
      </c>
      <c r="AF1543" t="s">
        <v>138</v>
      </c>
      <c r="AG1543">
        <v>0</v>
      </c>
      <c r="AH1543">
        <v>3</v>
      </c>
      <c r="AI1543">
        <v>2</v>
      </c>
      <c r="AJ1543">
        <v>0</v>
      </c>
      <c r="AK1543" t="s">
        <v>567</v>
      </c>
      <c r="AL1543">
        <v>39.021076999999998</v>
      </c>
      <c r="AM1543" t="s">
        <v>386</v>
      </c>
      <c r="AN1543">
        <v>-121.051548</v>
      </c>
      <c r="AO1543">
        <v>25</v>
      </c>
      <c r="AP1543">
        <v>3900</v>
      </c>
      <c r="AQ1543" t="s">
        <v>131</v>
      </c>
      <c r="AR1543">
        <v>34</v>
      </c>
      <c r="AS1543">
        <v>65</v>
      </c>
      <c r="AT1543">
        <v>320</v>
      </c>
      <c r="BB1543" t="str">
        <f t="shared" si="611"/>
        <v>1200</v>
      </c>
      <c r="BC1543">
        <v>1</v>
      </c>
      <c r="BD1543" t="str">
        <f t="shared" si="612"/>
        <v xml:space="preserve">N52156  </v>
      </c>
      <c r="BE1543">
        <v>1</v>
      </c>
      <c r="BG1543">
        <v>0</v>
      </c>
      <c r="BH1543">
        <v>0</v>
      </c>
      <c r="BI1543">
        <v>0</v>
      </c>
      <c r="BJ1543">
        <v>3950</v>
      </c>
      <c r="BK1543">
        <v>50</v>
      </c>
      <c r="BL1543" t="s">
        <v>188</v>
      </c>
      <c r="BM1543">
        <v>1</v>
      </c>
      <c r="BN1543">
        <v>1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 t="shared" si="613"/>
        <v>15:08:48.934</v>
      </c>
      <c r="CF1543">
        <v>934208150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5</v>
      </c>
      <c r="CY1543">
        <v>7</v>
      </c>
      <c r="CZ1543" t="s">
        <v>133</v>
      </c>
      <c r="DA1543">
        <v>275</v>
      </c>
      <c r="DB1543">
        <v>0</v>
      </c>
      <c r="DC1543" t="s">
        <v>134</v>
      </c>
      <c r="DD1543" t="s">
        <v>135</v>
      </c>
      <c r="DG1543">
        <v>3320502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"05/01/2025 15:08:50.062"</f>
        <v>05/01/2025 15:08:50.062</v>
      </c>
      <c r="C1544" t="str">
        <f t="shared" si="608"/>
        <v>FFDFD3C0</v>
      </c>
      <c r="D1544" t="s">
        <v>143</v>
      </c>
      <c r="E1544" t="str">
        <f>"05"</f>
        <v>05</v>
      </c>
      <c r="H1544">
        <v>172</v>
      </c>
      <c r="I1544" t="s">
        <v>141</v>
      </c>
      <c r="J1544" t="s">
        <v>144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R1544" t="s">
        <v>127</v>
      </c>
      <c r="S1544" t="str">
        <f t="shared" ref="S1544:T1549" si="614">"15:08:49.000"</f>
        <v>15:08:49.000</v>
      </c>
      <c r="T1544" t="str">
        <f t="shared" si="614"/>
        <v>15:08:49.000</v>
      </c>
      <c r="U1544" t="str">
        <f t="shared" si="610"/>
        <v>A68FCB</v>
      </c>
      <c r="V1544">
        <v>0</v>
      </c>
      <c r="W1544">
        <v>0</v>
      </c>
      <c r="X1544">
        <v>2</v>
      </c>
      <c r="Y1544">
        <v>0</v>
      </c>
      <c r="AA1544">
        <v>1</v>
      </c>
      <c r="AB1544">
        <v>8</v>
      </c>
      <c r="AC1544">
        <v>3</v>
      </c>
      <c r="AD1544">
        <v>0</v>
      </c>
      <c r="AE1544">
        <v>9</v>
      </c>
      <c r="AF1544" t="s">
        <v>138</v>
      </c>
      <c r="AG1544">
        <v>0</v>
      </c>
      <c r="AH1544">
        <v>3</v>
      </c>
      <c r="AI1544">
        <v>2</v>
      </c>
      <c r="AJ1544">
        <v>0</v>
      </c>
      <c r="AK1544" t="s">
        <v>568</v>
      </c>
      <c r="AL1544">
        <v>39.021377999999999</v>
      </c>
      <c r="AM1544" t="s">
        <v>273</v>
      </c>
      <c r="AN1544">
        <v>-121.051333</v>
      </c>
      <c r="AO1544">
        <v>25</v>
      </c>
      <c r="AP1544">
        <v>3900</v>
      </c>
      <c r="AQ1544" t="s">
        <v>131</v>
      </c>
      <c r="AR1544">
        <v>34</v>
      </c>
      <c r="AS1544">
        <v>65</v>
      </c>
      <c r="AT1544">
        <v>256</v>
      </c>
      <c r="BB1544" t="str">
        <f t="shared" si="611"/>
        <v>1200</v>
      </c>
      <c r="BC1544">
        <v>1</v>
      </c>
      <c r="BD1544" t="str">
        <f t="shared" si="612"/>
        <v xml:space="preserve">N52156  </v>
      </c>
      <c r="BE1544">
        <v>1</v>
      </c>
      <c r="BG1544">
        <v>0</v>
      </c>
      <c r="BH1544">
        <v>0</v>
      </c>
      <c r="BI1544">
        <v>0</v>
      </c>
      <c r="BJ1544">
        <v>3975</v>
      </c>
      <c r="BK1544">
        <v>75</v>
      </c>
      <c r="BL1544" t="s">
        <v>188</v>
      </c>
      <c r="BM1544">
        <v>1</v>
      </c>
      <c r="BN1544">
        <v>1</v>
      </c>
      <c r="BO1544">
        <v>0</v>
      </c>
      <c r="BP1544">
        <v>0</v>
      </c>
      <c r="BS1544">
        <v>0</v>
      </c>
      <c r="BT1544">
        <v>0</v>
      </c>
      <c r="BU1544">
        <v>0</v>
      </c>
      <c r="CE1544" t="str">
        <f t="shared" ref="CE1544:CE1549" si="615">"15:08:49.856"</f>
        <v>15:08:49.856</v>
      </c>
      <c r="CF1544">
        <v>855958007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133</v>
      </c>
      <c r="DA1544">
        <v>275</v>
      </c>
      <c r="DB1544">
        <v>0</v>
      </c>
      <c r="DC1544" t="s">
        <v>134</v>
      </c>
      <c r="DD1544" t="s">
        <v>135</v>
      </c>
      <c r="DG1544">
        <v>3320510</v>
      </c>
      <c r="DI1544">
        <v>1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"05/01/2025 15:08:50.069"</f>
        <v>05/01/2025 15:08:50.069</v>
      </c>
      <c r="C1545" t="str">
        <f t="shared" si="608"/>
        <v>FFDFD3C0</v>
      </c>
      <c r="D1545" t="s">
        <v>136</v>
      </c>
      <c r="E1545" t="str">
        <f>"20"</f>
        <v>20</v>
      </c>
      <c r="H1545">
        <v>400</v>
      </c>
      <c r="I1545" t="s">
        <v>137</v>
      </c>
      <c r="J1545" t="s">
        <v>138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R1545" t="s">
        <v>127</v>
      </c>
      <c r="S1545" t="str">
        <f t="shared" si="614"/>
        <v>15:08:49.000</v>
      </c>
      <c r="T1545" t="str">
        <f t="shared" si="614"/>
        <v>15:08:49.000</v>
      </c>
      <c r="U1545" t="str">
        <f t="shared" si="610"/>
        <v>A68FCB</v>
      </c>
      <c r="V1545">
        <v>0</v>
      </c>
      <c r="W1545">
        <v>0</v>
      </c>
      <c r="X1545">
        <v>2</v>
      </c>
      <c r="Y1545">
        <v>0</v>
      </c>
      <c r="AA1545">
        <v>1</v>
      </c>
      <c r="AB1545">
        <v>8</v>
      </c>
      <c r="AC1545">
        <v>3</v>
      </c>
      <c r="AD1545">
        <v>0</v>
      </c>
      <c r="AE1545">
        <v>9</v>
      </c>
      <c r="AF1545" t="s">
        <v>138</v>
      </c>
      <c r="AG1545">
        <v>0</v>
      </c>
      <c r="AH1545">
        <v>3</v>
      </c>
      <c r="AI1545">
        <v>2</v>
      </c>
      <c r="AJ1545">
        <v>0</v>
      </c>
      <c r="AK1545" t="s">
        <v>568</v>
      </c>
      <c r="AL1545">
        <v>39.021377999999999</v>
      </c>
      <c r="AM1545" t="s">
        <v>273</v>
      </c>
      <c r="AN1545">
        <v>-121.051333</v>
      </c>
      <c r="AO1545">
        <v>25</v>
      </c>
      <c r="AP1545">
        <v>3900</v>
      </c>
      <c r="AQ1545" t="s">
        <v>131</v>
      </c>
      <c r="AR1545">
        <v>34</v>
      </c>
      <c r="AS1545">
        <v>65</v>
      </c>
      <c r="AT1545">
        <v>256</v>
      </c>
      <c r="BB1545" t="str">
        <f t="shared" si="611"/>
        <v>1200</v>
      </c>
      <c r="BC1545">
        <v>1</v>
      </c>
      <c r="BD1545" t="str">
        <f t="shared" si="612"/>
        <v xml:space="preserve">N52156  </v>
      </c>
      <c r="BE1545">
        <v>1</v>
      </c>
      <c r="BG1545">
        <v>0</v>
      </c>
      <c r="BH1545">
        <v>0</v>
      </c>
      <c r="BI1545">
        <v>0</v>
      </c>
      <c r="BJ1545">
        <v>3975</v>
      </c>
      <c r="BK1545">
        <v>75</v>
      </c>
      <c r="BL1545" t="s">
        <v>188</v>
      </c>
      <c r="BM1545">
        <v>1</v>
      </c>
      <c r="BN1545">
        <v>1</v>
      </c>
      <c r="BO1545">
        <v>0</v>
      </c>
      <c r="BP1545">
        <v>0</v>
      </c>
      <c r="BS1545">
        <v>0</v>
      </c>
      <c r="BT1545">
        <v>0</v>
      </c>
      <c r="BU1545">
        <v>0</v>
      </c>
      <c r="CE1545" t="str">
        <f t="shared" si="615"/>
        <v>15:08:49.856</v>
      </c>
      <c r="CF1545">
        <v>855958007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5</v>
      </c>
      <c r="CY1545">
        <v>7</v>
      </c>
      <c r="CZ1545" t="s">
        <v>133</v>
      </c>
      <c r="DA1545">
        <v>275</v>
      </c>
      <c r="DB1545">
        <v>0</v>
      </c>
      <c r="DC1545" t="s">
        <v>134</v>
      </c>
      <c r="DD1545" t="s">
        <v>135</v>
      </c>
      <c r="DG1545">
        <v>3320510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"05/01/2025 15:08:50.101"</f>
        <v>05/01/2025 15:08:50.101</v>
      </c>
      <c r="C1546" t="str">
        <f t="shared" si="608"/>
        <v>FFDFD3C0</v>
      </c>
      <c r="D1546" t="s">
        <v>140</v>
      </c>
      <c r="E1546" t="str">
        <f>"13"</f>
        <v>13</v>
      </c>
      <c r="F1546">
        <v>1019</v>
      </c>
      <c r="G1546" t="s">
        <v>141</v>
      </c>
      <c r="J1546" t="s">
        <v>142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R1546" t="s">
        <v>127</v>
      </c>
      <c r="S1546" t="str">
        <f t="shared" si="614"/>
        <v>15:08:49.000</v>
      </c>
      <c r="T1546" t="str">
        <f t="shared" si="614"/>
        <v>15:08:49.000</v>
      </c>
      <c r="U1546" t="str">
        <f t="shared" si="610"/>
        <v>A68FCB</v>
      </c>
      <c r="V1546">
        <v>0</v>
      </c>
      <c r="W1546">
        <v>0</v>
      </c>
      <c r="X1546">
        <v>2</v>
      </c>
      <c r="Y1546">
        <v>0</v>
      </c>
      <c r="AA1546">
        <v>1</v>
      </c>
      <c r="AB1546">
        <v>8</v>
      </c>
      <c r="AC1546">
        <v>3</v>
      </c>
      <c r="AD1546">
        <v>0</v>
      </c>
      <c r="AE1546">
        <v>9</v>
      </c>
      <c r="AF1546" t="s">
        <v>138</v>
      </c>
      <c r="AG1546">
        <v>0</v>
      </c>
      <c r="AH1546">
        <v>3</v>
      </c>
      <c r="AI1546">
        <v>2</v>
      </c>
      <c r="AJ1546">
        <v>0</v>
      </c>
      <c r="AK1546" t="s">
        <v>568</v>
      </c>
      <c r="AL1546">
        <v>39.021377999999999</v>
      </c>
      <c r="AM1546" t="s">
        <v>273</v>
      </c>
      <c r="AN1546">
        <v>-121.051333</v>
      </c>
      <c r="AO1546">
        <v>25</v>
      </c>
      <c r="AP1546">
        <v>3900</v>
      </c>
      <c r="AQ1546" t="s">
        <v>131</v>
      </c>
      <c r="AR1546">
        <v>34</v>
      </c>
      <c r="AS1546">
        <v>65</v>
      </c>
      <c r="AT1546">
        <v>256</v>
      </c>
      <c r="BB1546" t="str">
        <f t="shared" si="611"/>
        <v>1200</v>
      </c>
      <c r="BC1546">
        <v>1</v>
      </c>
      <c r="BD1546" t="str">
        <f t="shared" si="612"/>
        <v xml:space="preserve">N52156  </v>
      </c>
      <c r="BE1546">
        <v>1</v>
      </c>
      <c r="BG1546">
        <v>0</v>
      </c>
      <c r="BH1546">
        <v>0</v>
      </c>
      <c r="BI1546">
        <v>0</v>
      </c>
      <c r="BJ1546">
        <v>3975</v>
      </c>
      <c r="BK1546">
        <v>75</v>
      </c>
      <c r="BL1546" t="s">
        <v>188</v>
      </c>
      <c r="BM1546">
        <v>1</v>
      </c>
      <c r="BN1546">
        <v>1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 t="shared" si="615"/>
        <v>15:08:49.856</v>
      </c>
      <c r="CF1546">
        <v>855958007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133</v>
      </c>
      <c r="DA1546">
        <v>275</v>
      </c>
      <c r="DB1546">
        <v>0</v>
      </c>
      <c r="DC1546" t="s">
        <v>134</v>
      </c>
      <c r="DD1546" t="s">
        <v>135</v>
      </c>
      <c r="DG1546">
        <v>3320510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"05/01/2025 15:08:50.107"</f>
        <v>05/01/2025 15:08:50.107</v>
      </c>
      <c r="C1547" t="str">
        <f t="shared" si="608"/>
        <v>FFDFD3C0</v>
      </c>
      <c r="D1547" t="s">
        <v>145</v>
      </c>
      <c r="E1547" t="str">
        <f>"05"</f>
        <v>05</v>
      </c>
      <c r="H1547">
        <v>47</v>
      </c>
      <c r="I1547" t="s">
        <v>146</v>
      </c>
      <c r="J1547" t="s">
        <v>138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R1547" t="s">
        <v>127</v>
      </c>
      <c r="S1547" t="str">
        <f t="shared" si="614"/>
        <v>15:08:49.000</v>
      </c>
      <c r="T1547" t="str">
        <f t="shared" si="614"/>
        <v>15:08:49.000</v>
      </c>
      <c r="U1547" t="str">
        <f t="shared" si="610"/>
        <v>A68FCB</v>
      </c>
      <c r="V1547">
        <v>0</v>
      </c>
      <c r="W1547">
        <v>0</v>
      </c>
      <c r="X1547">
        <v>2</v>
      </c>
      <c r="Y1547">
        <v>0</v>
      </c>
      <c r="AA1547">
        <v>1</v>
      </c>
      <c r="AB1547">
        <v>8</v>
      </c>
      <c r="AC1547">
        <v>3</v>
      </c>
      <c r="AD1547">
        <v>0</v>
      </c>
      <c r="AE1547">
        <v>9</v>
      </c>
      <c r="AF1547" t="s">
        <v>138</v>
      </c>
      <c r="AG1547">
        <v>0</v>
      </c>
      <c r="AH1547">
        <v>3</v>
      </c>
      <c r="AI1547">
        <v>2</v>
      </c>
      <c r="AJ1547">
        <v>0</v>
      </c>
      <c r="AK1547" t="s">
        <v>568</v>
      </c>
      <c r="AL1547">
        <v>39.021377999999999</v>
      </c>
      <c r="AM1547" t="s">
        <v>273</v>
      </c>
      <c r="AN1547">
        <v>-121.051333</v>
      </c>
      <c r="AO1547">
        <v>25</v>
      </c>
      <c r="AP1547">
        <v>3900</v>
      </c>
      <c r="AQ1547" t="s">
        <v>131</v>
      </c>
      <c r="AR1547">
        <v>34</v>
      </c>
      <c r="AS1547">
        <v>65</v>
      </c>
      <c r="AT1547">
        <v>256</v>
      </c>
      <c r="BB1547" t="str">
        <f t="shared" si="611"/>
        <v>1200</v>
      </c>
      <c r="BC1547">
        <v>1</v>
      </c>
      <c r="BD1547" t="str">
        <f t="shared" si="612"/>
        <v xml:space="preserve">N52156  </v>
      </c>
      <c r="BE1547">
        <v>1</v>
      </c>
      <c r="BG1547">
        <v>0</v>
      </c>
      <c r="BH1547">
        <v>0</v>
      </c>
      <c r="BI1547">
        <v>0</v>
      </c>
      <c r="BJ1547">
        <v>3975</v>
      </c>
      <c r="BK1547">
        <v>75</v>
      </c>
      <c r="BL1547" t="s">
        <v>188</v>
      </c>
      <c r="BM1547">
        <v>1</v>
      </c>
      <c r="BN1547">
        <v>1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 t="shared" si="615"/>
        <v>15:08:49.856</v>
      </c>
      <c r="CF1547">
        <v>855958007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5</v>
      </c>
      <c r="CY1547">
        <v>7</v>
      </c>
      <c r="CZ1547" t="s">
        <v>133</v>
      </c>
      <c r="DA1547">
        <v>275</v>
      </c>
      <c r="DB1547">
        <v>0</v>
      </c>
      <c r="DC1547" t="s">
        <v>134</v>
      </c>
      <c r="DD1547" t="s">
        <v>135</v>
      </c>
      <c r="DG1547">
        <v>3320510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"05/01/2025 15:08:50.109"</f>
        <v>05/01/2025 15:08:50.109</v>
      </c>
      <c r="C1548" t="str">
        <f t="shared" si="608"/>
        <v>FFDFD3C0</v>
      </c>
      <c r="D1548" t="s">
        <v>124</v>
      </c>
      <c r="E1548" t="str">
        <f>"06"</f>
        <v>06</v>
      </c>
      <c r="F1548">
        <v>2006</v>
      </c>
      <c r="G1548" t="s">
        <v>125</v>
      </c>
      <c r="J1548" t="s">
        <v>126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R1548" t="s">
        <v>127</v>
      </c>
      <c r="S1548" t="str">
        <f t="shared" si="614"/>
        <v>15:08:49.000</v>
      </c>
      <c r="T1548" t="str">
        <f t="shared" si="614"/>
        <v>15:08:49.000</v>
      </c>
      <c r="U1548" t="str">
        <f t="shared" si="610"/>
        <v>A68FCB</v>
      </c>
      <c r="V1548">
        <v>0</v>
      </c>
      <c r="W1548">
        <v>0</v>
      </c>
      <c r="X1548">
        <v>2</v>
      </c>
      <c r="Y1548">
        <v>0</v>
      </c>
      <c r="AA1548">
        <v>1</v>
      </c>
      <c r="AB1548">
        <v>8</v>
      </c>
      <c r="AC1548">
        <v>3</v>
      </c>
      <c r="AD1548">
        <v>0</v>
      </c>
      <c r="AE1548">
        <v>9</v>
      </c>
      <c r="AF1548" t="s">
        <v>138</v>
      </c>
      <c r="AG1548">
        <v>0</v>
      </c>
      <c r="AH1548">
        <v>3</v>
      </c>
      <c r="AI1548">
        <v>2</v>
      </c>
      <c r="AJ1548">
        <v>0</v>
      </c>
      <c r="AK1548" t="s">
        <v>568</v>
      </c>
      <c r="AL1548">
        <v>39.021377999999999</v>
      </c>
      <c r="AM1548" t="s">
        <v>273</v>
      </c>
      <c r="AN1548">
        <v>-121.051333</v>
      </c>
      <c r="AO1548">
        <v>25</v>
      </c>
      <c r="AP1548">
        <v>3900</v>
      </c>
      <c r="AQ1548" t="s">
        <v>131</v>
      </c>
      <c r="AR1548">
        <v>34</v>
      </c>
      <c r="AS1548">
        <v>65</v>
      </c>
      <c r="AT1548">
        <v>256</v>
      </c>
      <c r="BB1548" t="str">
        <f t="shared" si="611"/>
        <v>1200</v>
      </c>
      <c r="BC1548">
        <v>1</v>
      </c>
      <c r="BD1548" t="str">
        <f t="shared" si="612"/>
        <v xml:space="preserve">N52156  </v>
      </c>
      <c r="BE1548">
        <v>1</v>
      </c>
      <c r="BG1548">
        <v>0</v>
      </c>
      <c r="BH1548">
        <v>0</v>
      </c>
      <c r="BI1548">
        <v>0</v>
      </c>
      <c r="BJ1548">
        <v>3975</v>
      </c>
      <c r="BK1548">
        <v>75</v>
      </c>
      <c r="BL1548" t="s">
        <v>188</v>
      </c>
      <c r="BM1548">
        <v>1</v>
      </c>
      <c r="BN1548">
        <v>1</v>
      </c>
      <c r="BO1548">
        <v>0</v>
      </c>
      <c r="BP1548">
        <v>0</v>
      </c>
      <c r="BS1548">
        <v>0</v>
      </c>
      <c r="BT1548">
        <v>0</v>
      </c>
      <c r="BU1548">
        <v>0</v>
      </c>
      <c r="CE1548" t="str">
        <f t="shared" si="615"/>
        <v>15:08:49.856</v>
      </c>
      <c r="CF1548">
        <v>855958007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133</v>
      </c>
      <c r="DA1548">
        <v>275</v>
      </c>
      <c r="DB1548">
        <v>0</v>
      </c>
      <c r="DC1548" t="s">
        <v>134</v>
      </c>
      <c r="DD1548" t="s">
        <v>135</v>
      </c>
      <c r="DG1548">
        <v>3320510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"05/01/2025 15:08:50.110"</f>
        <v>05/01/2025 15:08:50.110</v>
      </c>
      <c r="C1549" t="str">
        <f t="shared" si="608"/>
        <v>FFDFD3C0</v>
      </c>
      <c r="D1549" t="s">
        <v>145</v>
      </c>
      <c r="E1549" t="str">
        <f>"09"</f>
        <v>09</v>
      </c>
      <c r="H1549">
        <v>51</v>
      </c>
      <c r="I1549" t="s">
        <v>147</v>
      </c>
      <c r="J1549" t="s">
        <v>138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R1549" t="s">
        <v>127</v>
      </c>
      <c r="S1549" t="str">
        <f t="shared" si="614"/>
        <v>15:08:49.000</v>
      </c>
      <c r="T1549" t="str">
        <f t="shared" si="614"/>
        <v>15:08:49.000</v>
      </c>
      <c r="U1549" t="str">
        <f t="shared" si="610"/>
        <v>A68FCB</v>
      </c>
      <c r="V1549">
        <v>0</v>
      </c>
      <c r="W1549">
        <v>0</v>
      </c>
      <c r="X1549">
        <v>2</v>
      </c>
      <c r="Y1549">
        <v>0</v>
      </c>
      <c r="AA1549">
        <v>1</v>
      </c>
      <c r="AB1549">
        <v>8</v>
      </c>
      <c r="AC1549">
        <v>3</v>
      </c>
      <c r="AD1549">
        <v>0</v>
      </c>
      <c r="AE1549">
        <v>9</v>
      </c>
      <c r="AF1549" t="s">
        <v>138</v>
      </c>
      <c r="AG1549">
        <v>0</v>
      </c>
      <c r="AH1549">
        <v>3</v>
      </c>
      <c r="AI1549">
        <v>2</v>
      </c>
      <c r="AJ1549">
        <v>0</v>
      </c>
      <c r="AK1549" t="s">
        <v>568</v>
      </c>
      <c r="AL1549">
        <v>39.021377999999999</v>
      </c>
      <c r="AM1549" t="s">
        <v>273</v>
      </c>
      <c r="AN1549">
        <v>-121.051333</v>
      </c>
      <c r="AO1549">
        <v>25</v>
      </c>
      <c r="AP1549">
        <v>3900</v>
      </c>
      <c r="AQ1549" t="s">
        <v>131</v>
      </c>
      <c r="AR1549">
        <v>34</v>
      </c>
      <c r="AS1549">
        <v>65</v>
      </c>
      <c r="AT1549">
        <v>256</v>
      </c>
      <c r="BB1549" t="str">
        <f t="shared" si="611"/>
        <v>1200</v>
      </c>
      <c r="BC1549">
        <v>1</v>
      </c>
      <c r="BD1549" t="str">
        <f t="shared" si="612"/>
        <v xml:space="preserve">N52156  </v>
      </c>
      <c r="BE1549">
        <v>1</v>
      </c>
      <c r="BG1549">
        <v>0</v>
      </c>
      <c r="BH1549">
        <v>0</v>
      </c>
      <c r="BI1549">
        <v>0</v>
      </c>
      <c r="BJ1549">
        <v>3975</v>
      </c>
      <c r="BK1549">
        <v>75</v>
      </c>
      <c r="BL1549" t="s">
        <v>188</v>
      </c>
      <c r="BM1549">
        <v>1</v>
      </c>
      <c r="BN1549">
        <v>1</v>
      </c>
      <c r="BO1549">
        <v>0</v>
      </c>
      <c r="BP1549">
        <v>0</v>
      </c>
      <c r="BS1549">
        <v>0</v>
      </c>
      <c r="BT1549">
        <v>0</v>
      </c>
      <c r="BU1549">
        <v>0</v>
      </c>
      <c r="CE1549" t="str">
        <f t="shared" si="615"/>
        <v>15:08:49.856</v>
      </c>
      <c r="CF1549">
        <v>855958007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5</v>
      </c>
      <c r="CY1549">
        <v>7</v>
      </c>
      <c r="CZ1549" t="s">
        <v>133</v>
      </c>
      <c r="DA1549">
        <v>275</v>
      </c>
      <c r="DB1549">
        <v>0</v>
      </c>
      <c r="DC1549" t="s">
        <v>134</v>
      </c>
      <c r="DD1549" t="s">
        <v>135</v>
      </c>
      <c r="DG1549">
        <v>3320510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"05/01/2025 15:08:51.102"</f>
        <v>05/01/2025 15:08:51.102</v>
      </c>
      <c r="C1550" t="str">
        <f t="shared" si="608"/>
        <v>FFDFD3C0</v>
      </c>
      <c r="D1550" t="s">
        <v>140</v>
      </c>
      <c r="E1550" t="str">
        <f>"13"</f>
        <v>13</v>
      </c>
      <c r="F1550">
        <v>1019</v>
      </c>
      <c r="G1550" t="s">
        <v>141</v>
      </c>
      <c r="J1550" t="s">
        <v>142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R1550" t="s">
        <v>127</v>
      </c>
      <c r="S1550" t="str">
        <f t="shared" ref="S1550:T1555" si="616">"15:08:50.000"</f>
        <v>15:08:50.000</v>
      </c>
      <c r="T1550" t="str">
        <f t="shared" si="616"/>
        <v>15:08:50.000</v>
      </c>
      <c r="U1550" t="str">
        <f t="shared" si="610"/>
        <v>A68FCB</v>
      </c>
      <c r="V1550">
        <v>0</v>
      </c>
      <c r="W1550">
        <v>0</v>
      </c>
      <c r="X1550">
        <v>2</v>
      </c>
      <c r="Y1550">
        <v>0</v>
      </c>
      <c r="AA1550">
        <v>1</v>
      </c>
      <c r="AB1550">
        <v>8</v>
      </c>
      <c r="AC1550">
        <v>3</v>
      </c>
      <c r="AD1550">
        <v>0</v>
      </c>
      <c r="AE1550">
        <v>9</v>
      </c>
      <c r="AF1550" t="s">
        <v>138</v>
      </c>
      <c r="AG1550">
        <v>0</v>
      </c>
      <c r="AH1550">
        <v>3</v>
      </c>
      <c r="AI1550">
        <v>2</v>
      </c>
      <c r="AJ1550">
        <v>0</v>
      </c>
      <c r="AK1550" t="s">
        <v>569</v>
      </c>
      <c r="AL1550">
        <v>39.021698999999998</v>
      </c>
      <c r="AM1550" t="s">
        <v>374</v>
      </c>
      <c r="AN1550">
        <v>-121.051118</v>
      </c>
      <c r="AO1550">
        <v>25</v>
      </c>
      <c r="AP1550">
        <v>4000</v>
      </c>
      <c r="AQ1550" t="s">
        <v>131</v>
      </c>
      <c r="AR1550">
        <v>35</v>
      </c>
      <c r="AS1550">
        <v>65</v>
      </c>
      <c r="AT1550">
        <v>192</v>
      </c>
      <c r="BB1550" t="str">
        <f t="shared" si="611"/>
        <v>1200</v>
      </c>
      <c r="BC1550">
        <v>1</v>
      </c>
      <c r="BD1550" t="str">
        <f t="shared" si="612"/>
        <v xml:space="preserve">N52156  </v>
      </c>
      <c r="BE1550">
        <v>1</v>
      </c>
      <c r="BG1550">
        <v>0</v>
      </c>
      <c r="BH1550">
        <v>0</v>
      </c>
      <c r="BI1550">
        <v>0</v>
      </c>
      <c r="BJ1550">
        <v>3975</v>
      </c>
      <c r="BK1550">
        <v>-25</v>
      </c>
      <c r="BL1550" t="s">
        <v>188</v>
      </c>
      <c r="BM1550">
        <v>1</v>
      </c>
      <c r="BN1550">
        <v>1</v>
      </c>
      <c r="BO1550">
        <v>0</v>
      </c>
      <c r="BP1550">
        <v>0</v>
      </c>
      <c r="BS1550">
        <v>0</v>
      </c>
      <c r="BT1550">
        <v>0</v>
      </c>
      <c r="BU1550">
        <v>0</v>
      </c>
      <c r="CE1550" t="str">
        <f t="shared" ref="CE1550:CE1555" si="617">"15:08:50.860"</f>
        <v>15:08:50.860</v>
      </c>
      <c r="CF1550">
        <v>859708099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5</v>
      </c>
      <c r="CY1550">
        <v>7</v>
      </c>
      <c r="CZ1550" t="s">
        <v>133</v>
      </c>
      <c r="DA1550">
        <v>275</v>
      </c>
      <c r="DB1550">
        <v>0</v>
      </c>
      <c r="DC1550" t="s">
        <v>134</v>
      </c>
      <c r="DD1550" t="s">
        <v>135</v>
      </c>
      <c r="DG1550">
        <v>3320517</v>
      </c>
      <c r="DI1550">
        <v>1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"05/01/2025 15:08:51.109"</f>
        <v>05/01/2025 15:08:51.109</v>
      </c>
      <c r="C1551" t="str">
        <f t="shared" si="608"/>
        <v>FFDFD3C0</v>
      </c>
      <c r="D1551" t="s">
        <v>145</v>
      </c>
      <c r="E1551" t="str">
        <f>"05"</f>
        <v>05</v>
      </c>
      <c r="H1551">
        <v>47</v>
      </c>
      <c r="I1551" t="s">
        <v>146</v>
      </c>
      <c r="J1551" t="s">
        <v>138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R1551" t="s">
        <v>127</v>
      </c>
      <c r="S1551" t="str">
        <f t="shared" si="616"/>
        <v>15:08:50.000</v>
      </c>
      <c r="T1551" t="str">
        <f t="shared" si="616"/>
        <v>15:08:50.000</v>
      </c>
      <c r="U1551" t="str">
        <f t="shared" si="610"/>
        <v>A68FCB</v>
      </c>
      <c r="V1551">
        <v>0</v>
      </c>
      <c r="W1551">
        <v>0</v>
      </c>
      <c r="X1551">
        <v>2</v>
      </c>
      <c r="Y1551">
        <v>0</v>
      </c>
      <c r="AA1551">
        <v>1</v>
      </c>
      <c r="AB1551">
        <v>8</v>
      </c>
      <c r="AC1551">
        <v>3</v>
      </c>
      <c r="AD1551">
        <v>0</v>
      </c>
      <c r="AE1551">
        <v>9</v>
      </c>
      <c r="AF1551" t="s">
        <v>138</v>
      </c>
      <c r="AG1551">
        <v>0</v>
      </c>
      <c r="AH1551">
        <v>3</v>
      </c>
      <c r="AI1551">
        <v>2</v>
      </c>
      <c r="AJ1551">
        <v>0</v>
      </c>
      <c r="AK1551" t="s">
        <v>569</v>
      </c>
      <c r="AL1551">
        <v>39.021698999999998</v>
      </c>
      <c r="AM1551" t="s">
        <v>374</v>
      </c>
      <c r="AN1551">
        <v>-121.051118</v>
      </c>
      <c r="AO1551">
        <v>25</v>
      </c>
      <c r="AP1551">
        <v>4000</v>
      </c>
      <c r="AQ1551" t="s">
        <v>131</v>
      </c>
      <c r="AR1551">
        <v>35</v>
      </c>
      <c r="AS1551">
        <v>65</v>
      </c>
      <c r="AT1551">
        <v>192</v>
      </c>
      <c r="BB1551" t="str">
        <f t="shared" si="611"/>
        <v>1200</v>
      </c>
      <c r="BC1551">
        <v>1</v>
      </c>
      <c r="BD1551" t="str">
        <f t="shared" si="612"/>
        <v xml:space="preserve">N52156  </v>
      </c>
      <c r="BE1551">
        <v>1</v>
      </c>
      <c r="BG1551">
        <v>0</v>
      </c>
      <c r="BH1551">
        <v>0</v>
      </c>
      <c r="BI1551">
        <v>0</v>
      </c>
      <c r="BJ1551">
        <v>3975</v>
      </c>
      <c r="BK1551">
        <v>-25</v>
      </c>
      <c r="BL1551" t="s">
        <v>188</v>
      </c>
      <c r="BM1551">
        <v>1</v>
      </c>
      <c r="BN1551">
        <v>1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 t="shared" si="617"/>
        <v>15:08:50.860</v>
      </c>
      <c r="CF1551">
        <v>859708099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5</v>
      </c>
      <c r="CY1551">
        <v>7</v>
      </c>
      <c r="CZ1551" t="s">
        <v>133</v>
      </c>
      <c r="DA1551">
        <v>275</v>
      </c>
      <c r="DB1551">
        <v>0</v>
      </c>
      <c r="DC1551" t="s">
        <v>134</v>
      </c>
      <c r="DD1551" t="s">
        <v>135</v>
      </c>
      <c r="DG1551">
        <v>3320517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"05/01/2025 15:08:51.112"</f>
        <v>05/01/2025 15:08:51.112</v>
      </c>
      <c r="C1552" t="str">
        <f t="shared" si="608"/>
        <v>FFDFD3C0</v>
      </c>
      <c r="D1552" t="s">
        <v>145</v>
      </c>
      <c r="E1552" t="str">
        <f>"09"</f>
        <v>09</v>
      </c>
      <c r="H1552">
        <v>51</v>
      </c>
      <c r="I1552" t="s">
        <v>147</v>
      </c>
      <c r="J1552" t="s">
        <v>138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R1552" t="s">
        <v>127</v>
      </c>
      <c r="S1552" t="str">
        <f t="shared" si="616"/>
        <v>15:08:50.000</v>
      </c>
      <c r="T1552" t="str">
        <f t="shared" si="616"/>
        <v>15:08:50.000</v>
      </c>
      <c r="U1552" t="str">
        <f t="shared" si="610"/>
        <v>A68FCB</v>
      </c>
      <c r="V1552">
        <v>0</v>
      </c>
      <c r="W1552">
        <v>0</v>
      </c>
      <c r="X1552">
        <v>2</v>
      </c>
      <c r="Y1552">
        <v>0</v>
      </c>
      <c r="AA1552">
        <v>1</v>
      </c>
      <c r="AB1552">
        <v>8</v>
      </c>
      <c r="AC1552">
        <v>3</v>
      </c>
      <c r="AD1552">
        <v>0</v>
      </c>
      <c r="AE1552">
        <v>9</v>
      </c>
      <c r="AF1552" t="s">
        <v>138</v>
      </c>
      <c r="AG1552">
        <v>0</v>
      </c>
      <c r="AH1552">
        <v>3</v>
      </c>
      <c r="AI1552">
        <v>2</v>
      </c>
      <c r="AJ1552">
        <v>0</v>
      </c>
      <c r="AK1552" t="s">
        <v>569</v>
      </c>
      <c r="AL1552">
        <v>39.021698999999998</v>
      </c>
      <c r="AM1552" t="s">
        <v>374</v>
      </c>
      <c r="AN1552">
        <v>-121.051118</v>
      </c>
      <c r="AO1552">
        <v>25</v>
      </c>
      <c r="AP1552">
        <v>4000</v>
      </c>
      <c r="AQ1552" t="s">
        <v>131</v>
      </c>
      <c r="AR1552">
        <v>35</v>
      </c>
      <c r="AS1552">
        <v>65</v>
      </c>
      <c r="AT1552">
        <v>192</v>
      </c>
      <c r="BB1552" t="str">
        <f t="shared" si="611"/>
        <v>1200</v>
      </c>
      <c r="BC1552">
        <v>1</v>
      </c>
      <c r="BD1552" t="str">
        <f t="shared" si="612"/>
        <v xml:space="preserve">N52156  </v>
      </c>
      <c r="BE1552">
        <v>1</v>
      </c>
      <c r="BG1552">
        <v>0</v>
      </c>
      <c r="BH1552">
        <v>0</v>
      </c>
      <c r="BI1552">
        <v>0</v>
      </c>
      <c r="BJ1552">
        <v>3975</v>
      </c>
      <c r="BK1552">
        <v>-25</v>
      </c>
      <c r="BL1552" t="s">
        <v>188</v>
      </c>
      <c r="BM1552">
        <v>1</v>
      </c>
      <c r="BN1552">
        <v>1</v>
      </c>
      <c r="BO1552">
        <v>0</v>
      </c>
      <c r="BP1552">
        <v>0</v>
      </c>
      <c r="BS1552">
        <v>0</v>
      </c>
      <c r="BT1552">
        <v>0</v>
      </c>
      <c r="BU1552">
        <v>0</v>
      </c>
      <c r="CE1552" t="str">
        <f t="shared" si="617"/>
        <v>15:08:50.860</v>
      </c>
      <c r="CF1552">
        <v>859708099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5</v>
      </c>
      <c r="CY1552">
        <v>7</v>
      </c>
      <c r="CZ1552" t="s">
        <v>133</v>
      </c>
      <c r="DA1552">
        <v>275</v>
      </c>
      <c r="DB1552">
        <v>0</v>
      </c>
      <c r="DC1552" t="s">
        <v>134</v>
      </c>
      <c r="DD1552" t="s">
        <v>135</v>
      </c>
      <c r="DG1552">
        <v>3320517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"05/01/2025 15:08:51.110"</f>
        <v>05/01/2025 15:08:51.110</v>
      </c>
      <c r="C1553" t="str">
        <f t="shared" si="608"/>
        <v>FFDFD3C0</v>
      </c>
      <c r="D1553" t="s">
        <v>124</v>
      </c>
      <c r="E1553" t="str">
        <f>"06"</f>
        <v>06</v>
      </c>
      <c r="F1553">
        <v>2006</v>
      </c>
      <c r="G1553" t="s">
        <v>125</v>
      </c>
      <c r="J1553" t="s">
        <v>126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R1553" t="s">
        <v>127</v>
      </c>
      <c r="S1553" t="str">
        <f t="shared" si="616"/>
        <v>15:08:50.000</v>
      </c>
      <c r="T1553" t="str">
        <f t="shared" si="616"/>
        <v>15:08:50.000</v>
      </c>
      <c r="U1553" t="str">
        <f t="shared" si="610"/>
        <v>A68FCB</v>
      </c>
      <c r="V1553">
        <v>0</v>
      </c>
      <c r="W1553">
        <v>0</v>
      </c>
      <c r="X1553">
        <v>2</v>
      </c>
      <c r="Y1553">
        <v>0</v>
      </c>
      <c r="AA1553">
        <v>1</v>
      </c>
      <c r="AB1553">
        <v>8</v>
      </c>
      <c r="AC1553">
        <v>3</v>
      </c>
      <c r="AD1553">
        <v>0</v>
      </c>
      <c r="AE1553">
        <v>9</v>
      </c>
      <c r="AF1553" t="s">
        <v>138</v>
      </c>
      <c r="AG1553">
        <v>0</v>
      </c>
      <c r="AH1553">
        <v>3</v>
      </c>
      <c r="AI1553">
        <v>2</v>
      </c>
      <c r="AJ1553">
        <v>0</v>
      </c>
      <c r="AK1553" t="s">
        <v>569</v>
      </c>
      <c r="AL1553">
        <v>39.021698999999998</v>
      </c>
      <c r="AM1553" t="s">
        <v>374</v>
      </c>
      <c r="AN1553">
        <v>-121.051118</v>
      </c>
      <c r="AO1553">
        <v>25</v>
      </c>
      <c r="AP1553">
        <v>4000</v>
      </c>
      <c r="AQ1553" t="s">
        <v>131</v>
      </c>
      <c r="AR1553">
        <v>35</v>
      </c>
      <c r="AS1553">
        <v>65</v>
      </c>
      <c r="AT1553">
        <v>192</v>
      </c>
      <c r="BB1553" t="str">
        <f t="shared" si="611"/>
        <v>1200</v>
      </c>
      <c r="BC1553">
        <v>1</v>
      </c>
      <c r="BD1553" t="str">
        <f t="shared" si="612"/>
        <v xml:space="preserve">N52156  </v>
      </c>
      <c r="BE1553">
        <v>1</v>
      </c>
      <c r="BG1553">
        <v>0</v>
      </c>
      <c r="BH1553">
        <v>0</v>
      </c>
      <c r="BI1553">
        <v>0</v>
      </c>
      <c r="BJ1553">
        <v>3975</v>
      </c>
      <c r="BK1553">
        <v>-25</v>
      </c>
      <c r="BL1553" t="s">
        <v>188</v>
      </c>
      <c r="BM1553">
        <v>1</v>
      </c>
      <c r="BN1553">
        <v>1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 t="shared" si="617"/>
        <v>15:08:50.860</v>
      </c>
      <c r="CF1553">
        <v>859708099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5</v>
      </c>
      <c r="CY1553">
        <v>7</v>
      </c>
      <c r="CZ1553" t="s">
        <v>133</v>
      </c>
      <c r="DA1553">
        <v>275</v>
      </c>
      <c r="DB1553">
        <v>0</v>
      </c>
      <c r="DC1553" t="s">
        <v>134</v>
      </c>
      <c r="DD1553" t="s">
        <v>135</v>
      </c>
      <c r="DG1553">
        <v>3320517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"05/01/2025 15:08:51.114"</f>
        <v>05/01/2025 15:08:51.114</v>
      </c>
      <c r="C1554" t="str">
        <f t="shared" si="608"/>
        <v>FFDFD3C0</v>
      </c>
      <c r="D1554" t="s">
        <v>143</v>
      </c>
      <c r="E1554" t="str">
        <f>"05"</f>
        <v>05</v>
      </c>
      <c r="H1554">
        <v>172</v>
      </c>
      <c r="I1554" t="s">
        <v>141</v>
      </c>
      <c r="J1554" t="s">
        <v>144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R1554" t="s">
        <v>127</v>
      </c>
      <c r="S1554" t="str">
        <f t="shared" si="616"/>
        <v>15:08:50.000</v>
      </c>
      <c r="T1554" t="str">
        <f t="shared" si="616"/>
        <v>15:08:50.000</v>
      </c>
      <c r="U1554" t="str">
        <f t="shared" si="610"/>
        <v>A68FCB</v>
      </c>
      <c r="V1554">
        <v>0</v>
      </c>
      <c r="W1554">
        <v>0</v>
      </c>
      <c r="X1554">
        <v>2</v>
      </c>
      <c r="Y1554">
        <v>0</v>
      </c>
      <c r="AA1554">
        <v>1</v>
      </c>
      <c r="AB1554">
        <v>8</v>
      </c>
      <c r="AC1554">
        <v>3</v>
      </c>
      <c r="AD1554">
        <v>0</v>
      </c>
      <c r="AE1554">
        <v>9</v>
      </c>
      <c r="AF1554" t="s">
        <v>138</v>
      </c>
      <c r="AG1554">
        <v>0</v>
      </c>
      <c r="AH1554">
        <v>3</v>
      </c>
      <c r="AI1554">
        <v>2</v>
      </c>
      <c r="AJ1554">
        <v>0</v>
      </c>
      <c r="AK1554" t="s">
        <v>569</v>
      </c>
      <c r="AL1554">
        <v>39.021698999999998</v>
      </c>
      <c r="AM1554" t="s">
        <v>374</v>
      </c>
      <c r="AN1554">
        <v>-121.051118</v>
      </c>
      <c r="AO1554">
        <v>25</v>
      </c>
      <c r="AP1554">
        <v>4000</v>
      </c>
      <c r="AQ1554" t="s">
        <v>131</v>
      </c>
      <c r="AR1554">
        <v>35</v>
      </c>
      <c r="AS1554">
        <v>65</v>
      </c>
      <c r="AT1554">
        <v>192</v>
      </c>
      <c r="BB1554" t="str">
        <f t="shared" si="611"/>
        <v>1200</v>
      </c>
      <c r="BC1554">
        <v>1</v>
      </c>
      <c r="BD1554" t="str">
        <f t="shared" si="612"/>
        <v xml:space="preserve">N52156  </v>
      </c>
      <c r="BE1554">
        <v>1</v>
      </c>
      <c r="BG1554">
        <v>0</v>
      </c>
      <c r="BH1554">
        <v>0</v>
      </c>
      <c r="BI1554">
        <v>0</v>
      </c>
      <c r="BJ1554">
        <v>3975</v>
      </c>
      <c r="BK1554">
        <v>-25</v>
      </c>
      <c r="BL1554" t="s">
        <v>188</v>
      </c>
      <c r="BM1554">
        <v>1</v>
      </c>
      <c r="BN1554">
        <v>1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 t="shared" si="617"/>
        <v>15:08:50.860</v>
      </c>
      <c r="CF1554">
        <v>859708099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5</v>
      </c>
      <c r="CY1554">
        <v>7</v>
      </c>
      <c r="CZ1554" t="s">
        <v>133</v>
      </c>
      <c r="DA1554">
        <v>275</v>
      </c>
      <c r="DB1554">
        <v>0</v>
      </c>
      <c r="DC1554" t="s">
        <v>134</v>
      </c>
      <c r="DD1554" t="s">
        <v>135</v>
      </c>
      <c r="DG1554">
        <v>3320517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"05/01/2025 15:08:51.120"</f>
        <v>05/01/2025 15:08:51.120</v>
      </c>
      <c r="C1555" t="str">
        <f t="shared" si="608"/>
        <v>FFDFD3C0</v>
      </c>
      <c r="D1555" t="s">
        <v>136</v>
      </c>
      <c r="E1555" t="str">
        <f>"20"</f>
        <v>20</v>
      </c>
      <c r="H1555">
        <v>400</v>
      </c>
      <c r="I1555" t="s">
        <v>137</v>
      </c>
      <c r="J1555" t="s">
        <v>138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R1555" t="s">
        <v>127</v>
      </c>
      <c r="S1555" t="str">
        <f t="shared" si="616"/>
        <v>15:08:50.000</v>
      </c>
      <c r="T1555" t="str">
        <f t="shared" si="616"/>
        <v>15:08:50.000</v>
      </c>
      <c r="U1555" t="str">
        <f t="shared" si="610"/>
        <v>A68FCB</v>
      </c>
      <c r="V1555">
        <v>0</v>
      </c>
      <c r="W1555">
        <v>0</v>
      </c>
      <c r="X1555">
        <v>2</v>
      </c>
      <c r="Y1555">
        <v>0</v>
      </c>
      <c r="AA1555">
        <v>1</v>
      </c>
      <c r="AB1555">
        <v>8</v>
      </c>
      <c r="AC1555">
        <v>3</v>
      </c>
      <c r="AD1555">
        <v>0</v>
      </c>
      <c r="AE1555">
        <v>9</v>
      </c>
      <c r="AF1555" t="s">
        <v>138</v>
      </c>
      <c r="AG1555">
        <v>0</v>
      </c>
      <c r="AH1555">
        <v>3</v>
      </c>
      <c r="AI1555">
        <v>2</v>
      </c>
      <c r="AJ1555">
        <v>0</v>
      </c>
      <c r="AK1555" t="s">
        <v>569</v>
      </c>
      <c r="AL1555">
        <v>39.021698999999998</v>
      </c>
      <c r="AM1555" t="s">
        <v>374</v>
      </c>
      <c r="AN1555">
        <v>-121.051118</v>
      </c>
      <c r="AO1555">
        <v>25</v>
      </c>
      <c r="AP1555">
        <v>4000</v>
      </c>
      <c r="AQ1555" t="s">
        <v>131</v>
      </c>
      <c r="AR1555">
        <v>35</v>
      </c>
      <c r="AS1555">
        <v>65</v>
      </c>
      <c r="AT1555">
        <v>192</v>
      </c>
      <c r="BB1555" t="str">
        <f t="shared" si="611"/>
        <v>1200</v>
      </c>
      <c r="BC1555">
        <v>1</v>
      </c>
      <c r="BD1555" t="str">
        <f t="shared" si="612"/>
        <v xml:space="preserve">N52156  </v>
      </c>
      <c r="BE1555">
        <v>1</v>
      </c>
      <c r="BG1555">
        <v>0</v>
      </c>
      <c r="BH1555">
        <v>0</v>
      </c>
      <c r="BI1555">
        <v>0</v>
      </c>
      <c r="BJ1555">
        <v>3975</v>
      </c>
      <c r="BK1555">
        <v>-25</v>
      </c>
      <c r="BL1555" t="s">
        <v>188</v>
      </c>
      <c r="BM1555">
        <v>1</v>
      </c>
      <c r="BN1555">
        <v>1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 t="shared" si="617"/>
        <v>15:08:50.860</v>
      </c>
      <c r="CF1555">
        <v>859708099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5</v>
      </c>
      <c r="CY1555">
        <v>7</v>
      </c>
      <c r="CZ1555" t="s">
        <v>133</v>
      </c>
      <c r="DA1555">
        <v>275</v>
      </c>
      <c r="DB1555">
        <v>0</v>
      </c>
      <c r="DC1555" t="s">
        <v>134</v>
      </c>
      <c r="DD1555" t="s">
        <v>135</v>
      </c>
      <c r="DG1555">
        <v>3320517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"05/01/2025 15:08:51.603"</f>
        <v>05/01/2025 15:08:51.603</v>
      </c>
      <c r="C1556" t="str">
        <f t="shared" si="608"/>
        <v>FFDFD3C0</v>
      </c>
      <c r="D1556" t="s">
        <v>140</v>
      </c>
      <c r="E1556" t="str">
        <f>"13"</f>
        <v>13</v>
      </c>
      <c r="F1556">
        <v>1019</v>
      </c>
      <c r="G1556" t="s">
        <v>141</v>
      </c>
      <c r="J1556" t="s">
        <v>142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R1556" t="s">
        <v>127</v>
      </c>
      <c r="S1556" t="str">
        <f t="shared" ref="S1556:T1561" si="618">"15:08:51.000"</f>
        <v>15:08:51.000</v>
      </c>
      <c r="T1556" t="str">
        <f t="shared" si="618"/>
        <v>15:08:51.000</v>
      </c>
      <c r="U1556" t="str">
        <f t="shared" si="610"/>
        <v>A68FCB</v>
      </c>
      <c r="V1556">
        <v>0</v>
      </c>
      <c r="W1556">
        <v>0</v>
      </c>
      <c r="X1556">
        <v>2</v>
      </c>
      <c r="Y1556">
        <v>0</v>
      </c>
      <c r="AA1556">
        <v>1</v>
      </c>
      <c r="AB1556">
        <v>8</v>
      </c>
      <c r="AC1556">
        <v>3</v>
      </c>
      <c r="AD1556">
        <v>0</v>
      </c>
      <c r="AE1556">
        <v>9</v>
      </c>
      <c r="AF1556" t="s">
        <v>138</v>
      </c>
      <c r="AG1556">
        <v>0</v>
      </c>
      <c r="AH1556">
        <v>3</v>
      </c>
      <c r="AI1556">
        <v>2</v>
      </c>
      <c r="AJ1556">
        <v>0</v>
      </c>
      <c r="AK1556" t="s">
        <v>570</v>
      </c>
      <c r="AL1556">
        <v>39.021999999999998</v>
      </c>
      <c r="AM1556" t="s">
        <v>370</v>
      </c>
      <c r="AN1556">
        <v>-121.05092500000001</v>
      </c>
      <c r="AO1556">
        <v>25</v>
      </c>
      <c r="AP1556">
        <v>4000</v>
      </c>
      <c r="AQ1556" t="s">
        <v>131</v>
      </c>
      <c r="AR1556">
        <v>36</v>
      </c>
      <c r="AS1556">
        <v>65</v>
      </c>
      <c r="AT1556">
        <v>192</v>
      </c>
      <c r="BB1556" t="str">
        <f t="shared" si="611"/>
        <v>1200</v>
      </c>
      <c r="BC1556">
        <v>1</v>
      </c>
      <c r="BD1556" t="str">
        <f t="shared" si="612"/>
        <v xml:space="preserve">N52156  </v>
      </c>
      <c r="BE1556">
        <v>1</v>
      </c>
      <c r="BG1556">
        <v>0</v>
      </c>
      <c r="BH1556">
        <v>0</v>
      </c>
      <c r="BI1556">
        <v>0</v>
      </c>
      <c r="BJ1556">
        <v>3975</v>
      </c>
      <c r="BK1556">
        <v>-25</v>
      </c>
      <c r="BL1556" t="s">
        <v>188</v>
      </c>
      <c r="BM1556">
        <v>1</v>
      </c>
      <c r="BN1556">
        <v>1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 t="shared" ref="CE1556:CE1561" si="619">"15:08:51.386"</f>
        <v>15:08:51.386</v>
      </c>
      <c r="CF1556">
        <v>386206945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5</v>
      </c>
      <c r="CY1556">
        <v>7</v>
      </c>
      <c r="CZ1556" t="s">
        <v>133</v>
      </c>
      <c r="DA1556">
        <v>275</v>
      </c>
      <c r="DB1556">
        <v>0</v>
      </c>
      <c r="DC1556" t="s">
        <v>134</v>
      </c>
      <c r="DD1556" t="s">
        <v>135</v>
      </c>
      <c r="DG1556">
        <v>3320523</v>
      </c>
      <c r="DI1556">
        <v>1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"05/01/2025 15:08:51.610"</f>
        <v>05/01/2025 15:08:51.610</v>
      </c>
      <c r="C1557" t="str">
        <f t="shared" si="608"/>
        <v>FFDFD3C0</v>
      </c>
      <c r="D1557" t="s">
        <v>145</v>
      </c>
      <c r="E1557" t="str">
        <f>"05"</f>
        <v>05</v>
      </c>
      <c r="H1557">
        <v>47</v>
      </c>
      <c r="I1557" t="s">
        <v>146</v>
      </c>
      <c r="J1557" t="s">
        <v>138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R1557" t="s">
        <v>127</v>
      </c>
      <c r="S1557" t="str">
        <f t="shared" si="618"/>
        <v>15:08:51.000</v>
      </c>
      <c r="T1557" t="str">
        <f t="shared" si="618"/>
        <v>15:08:51.000</v>
      </c>
      <c r="U1557" t="str">
        <f t="shared" si="610"/>
        <v>A68FCB</v>
      </c>
      <c r="V1557">
        <v>0</v>
      </c>
      <c r="W1557">
        <v>0</v>
      </c>
      <c r="X1557">
        <v>2</v>
      </c>
      <c r="Y1557">
        <v>0</v>
      </c>
      <c r="AA1557">
        <v>1</v>
      </c>
      <c r="AB1557">
        <v>8</v>
      </c>
      <c r="AC1557">
        <v>3</v>
      </c>
      <c r="AD1557">
        <v>0</v>
      </c>
      <c r="AE1557">
        <v>9</v>
      </c>
      <c r="AF1557" t="s">
        <v>138</v>
      </c>
      <c r="AG1557">
        <v>0</v>
      </c>
      <c r="AH1557">
        <v>3</v>
      </c>
      <c r="AI1557">
        <v>2</v>
      </c>
      <c r="AJ1557">
        <v>0</v>
      </c>
      <c r="AK1557" t="s">
        <v>570</v>
      </c>
      <c r="AL1557">
        <v>39.021999999999998</v>
      </c>
      <c r="AM1557" t="s">
        <v>370</v>
      </c>
      <c r="AN1557">
        <v>-121.05092500000001</v>
      </c>
      <c r="AO1557">
        <v>25</v>
      </c>
      <c r="AP1557">
        <v>4000</v>
      </c>
      <c r="AQ1557" t="s">
        <v>131</v>
      </c>
      <c r="AR1557">
        <v>36</v>
      </c>
      <c r="AS1557">
        <v>65</v>
      </c>
      <c r="AT1557">
        <v>192</v>
      </c>
      <c r="BB1557" t="str">
        <f t="shared" si="611"/>
        <v>1200</v>
      </c>
      <c r="BC1557">
        <v>1</v>
      </c>
      <c r="BD1557" t="str">
        <f t="shared" si="612"/>
        <v xml:space="preserve">N52156  </v>
      </c>
      <c r="BE1557">
        <v>1</v>
      </c>
      <c r="BG1557">
        <v>0</v>
      </c>
      <c r="BH1557">
        <v>0</v>
      </c>
      <c r="BI1557">
        <v>0</v>
      </c>
      <c r="BJ1557">
        <v>3975</v>
      </c>
      <c r="BK1557">
        <v>-25</v>
      </c>
      <c r="BL1557" t="s">
        <v>188</v>
      </c>
      <c r="BM1557">
        <v>1</v>
      </c>
      <c r="BN1557">
        <v>1</v>
      </c>
      <c r="BO1557">
        <v>0</v>
      </c>
      <c r="BP1557">
        <v>0</v>
      </c>
      <c r="BS1557">
        <v>0</v>
      </c>
      <c r="BT1557">
        <v>0</v>
      </c>
      <c r="BU1557">
        <v>0</v>
      </c>
      <c r="CE1557" t="str">
        <f t="shared" si="619"/>
        <v>15:08:51.386</v>
      </c>
      <c r="CF1557">
        <v>386206945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133</v>
      </c>
      <c r="DA1557">
        <v>275</v>
      </c>
      <c r="DB1557">
        <v>0</v>
      </c>
      <c r="DC1557" t="s">
        <v>134</v>
      </c>
      <c r="DD1557" t="s">
        <v>135</v>
      </c>
      <c r="DG1557">
        <v>3320523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"05/01/2025 15:08:51.611"</f>
        <v>05/01/2025 15:08:51.611</v>
      </c>
      <c r="C1558" t="str">
        <f t="shared" si="608"/>
        <v>FFDFD3C0</v>
      </c>
      <c r="D1558" t="s">
        <v>124</v>
      </c>
      <c r="E1558" t="str">
        <f>"06"</f>
        <v>06</v>
      </c>
      <c r="F1558">
        <v>2006</v>
      </c>
      <c r="G1558" t="s">
        <v>125</v>
      </c>
      <c r="J1558" t="s">
        <v>126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R1558" t="s">
        <v>127</v>
      </c>
      <c r="S1558" t="str">
        <f t="shared" si="618"/>
        <v>15:08:51.000</v>
      </c>
      <c r="T1558" t="str">
        <f t="shared" si="618"/>
        <v>15:08:51.000</v>
      </c>
      <c r="U1558" t="str">
        <f t="shared" si="610"/>
        <v>A68FCB</v>
      </c>
      <c r="V1558">
        <v>0</v>
      </c>
      <c r="W1558">
        <v>0</v>
      </c>
      <c r="X1558">
        <v>2</v>
      </c>
      <c r="Y1558">
        <v>0</v>
      </c>
      <c r="AA1558">
        <v>1</v>
      </c>
      <c r="AB1558">
        <v>8</v>
      </c>
      <c r="AC1558">
        <v>3</v>
      </c>
      <c r="AD1558">
        <v>0</v>
      </c>
      <c r="AE1558">
        <v>9</v>
      </c>
      <c r="AF1558" t="s">
        <v>138</v>
      </c>
      <c r="AG1558">
        <v>0</v>
      </c>
      <c r="AH1558">
        <v>3</v>
      </c>
      <c r="AI1558">
        <v>2</v>
      </c>
      <c r="AJ1558">
        <v>0</v>
      </c>
      <c r="AK1558" t="s">
        <v>570</v>
      </c>
      <c r="AL1558">
        <v>39.021999999999998</v>
      </c>
      <c r="AM1558" t="s">
        <v>370</v>
      </c>
      <c r="AN1558">
        <v>-121.05092500000001</v>
      </c>
      <c r="AO1558">
        <v>25</v>
      </c>
      <c r="AP1558">
        <v>4000</v>
      </c>
      <c r="AQ1558" t="s">
        <v>131</v>
      </c>
      <c r="AR1558">
        <v>36</v>
      </c>
      <c r="AS1558">
        <v>65</v>
      </c>
      <c r="AT1558">
        <v>192</v>
      </c>
      <c r="BB1558" t="str">
        <f t="shared" si="611"/>
        <v>1200</v>
      </c>
      <c r="BC1558">
        <v>1</v>
      </c>
      <c r="BD1558" t="str">
        <f t="shared" si="612"/>
        <v xml:space="preserve">N52156  </v>
      </c>
      <c r="BE1558">
        <v>1</v>
      </c>
      <c r="BG1558">
        <v>0</v>
      </c>
      <c r="BH1558">
        <v>0</v>
      </c>
      <c r="BI1558">
        <v>0</v>
      </c>
      <c r="BJ1558">
        <v>3975</v>
      </c>
      <c r="BK1558">
        <v>-25</v>
      </c>
      <c r="BL1558" t="s">
        <v>188</v>
      </c>
      <c r="BM1558">
        <v>1</v>
      </c>
      <c r="BN1558">
        <v>1</v>
      </c>
      <c r="BO1558">
        <v>0</v>
      </c>
      <c r="BP1558">
        <v>0</v>
      </c>
      <c r="BS1558">
        <v>0</v>
      </c>
      <c r="BT1558">
        <v>0</v>
      </c>
      <c r="BU1558">
        <v>0</v>
      </c>
      <c r="CE1558" t="str">
        <f t="shared" si="619"/>
        <v>15:08:51.386</v>
      </c>
      <c r="CF1558">
        <v>386206945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5</v>
      </c>
      <c r="CY1558">
        <v>7</v>
      </c>
      <c r="CZ1558" t="s">
        <v>133</v>
      </c>
      <c r="DA1558">
        <v>275</v>
      </c>
      <c r="DB1558">
        <v>0</v>
      </c>
      <c r="DC1558" t="s">
        <v>134</v>
      </c>
      <c r="DD1558" t="s">
        <v>135</v>
      </c>
      <c r="DG1558">
        <v>3320523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"05/01/2025 15:08:51.612"</f>
        <v>05/01/2025 15:08:51.612</v>
      </c>
      <c r="C1559" t="str">
        <f t="shared" si="608"/>
        <v>FFDFD3C0</v>
      </c>
      <c r="D1559" t="s">
        <v>145</v>
      </c>
      <c r="E1559" t="str">
        <f>"09"</f>
        <v>09</v>
      </c>
      <c r="H1559">
        <v>51</v>
      </c>
      <c r="I1559" t="s">
        <v>147</v>
      </c>
      <c r="J1559" t="s">
        <v>138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R1559" t="s">
        <v>127</v>
      </c>
      <c r="S1559" t="str">
        <f t="shared" si="618"/>
        <v>15:08:51.000</v>
      </c>
      <c r="T1559" t="str">
        <f t="shared" si="618"/>
        <v>15:08:51.000</v>
      </c>
      <c r="U1559" t="str">
        <f t="shared" si="610"/>
        <v>A68FCB</v>
      </c>
      <c r="V1559">
        <v>0</v>
      </c>
      <c r="W1559">
        <v>0</v>
      </c>
      <c r="X1559">
        <v>2</v>
      </c>
      <c r="Y1559">
        <v>0</v>
      </c>
      <c r="AA1559">
        <v>1</v>
      </c>
      <c r="AB1559">
        <v>8</v>
      </c>
      <c r="AC1559">
        <v>3</v>
      </c>
      <c r="AD1559">
        <v>0</v>
      </c>
      <c r="AE1559">
        <v>9</v>
      </c>
      <c r="AF1559" t="s">
        <v>138</v>
      </c>
      <c r="AG1559">
        <v>0</v>
      </c>
      <c r="AH1559">
        <v>3</v>
      </c>
      <c r="AI1559">
        <v>2</v>
      </c>
      <c r="AJ1559">
        <v>0</v>
      </c>
      <c r="AK1559" t="s">
        <v>570</v>
      </c>
      <c r="AL1559">
        <v>39.021999999999998</v>
      </c>
      <c r="AM1559" t="s">
        <v>370</v>
      </c>
      <c r="AN1559">
        <v>-121.05092500000001</v>
      </c>
      <c r="AO1559">
        <v>25</v>
      </c>
      <c r="AP1559">
        <v>4000</v>
      </c>
      <c r="AQ1559" t="s">
        <v>131</v>
      </c>
      <c r="AR1559">
        <v>36</v>
      </c>
      <c r="AS1559">
        <v>65</v>
      </c>
      <c r="AT1559">
        <v>192</v>
      </c>
      <c r="BB1559" t="str">
        <f t="shared" si="611"/>
        <v>1200</v>
      </c>
      <c r="BC1559">
        <v>1</v>
      </c>
      <c r="BD1559" t="str">
        <f t="shared" si="612"/>
        <v xml:space="preserve">N52156  </v>
      </c>
      <c r="BE1559">
        <v>1</v>
      </c>
      <c r="BG1559">
        <v>0</v>
      </c>
      <c r="BH1559">
        <v>0</v>
      </c>
      <c r="BI1559">
        <v>0</v>
      </c>
      <c r="BJ1559">
        <v>3975</v>
      </c>
      <c r="BK1559">
        <v>-25</v>
      </c>
      <c r="BL1559" t="s">
        <v>188</v>
      </c>
      <c r="BM1559">
        <v>1</v>
      </c>
      <c r="BN1559">
        <v>1</v>
      </c>
      <c r="BO1559">
        <v>0</v>
      </c>
      <c r="BP1559">
        <v>0</v>
      </c>
      <c r="BS1559">
        <v>0</v>
      </c>
      <c r="BT1559">
        <v>0</v>
      </c>
      <c r="BU1559">
        <v>0</v>
      </c>
      <c r="CE1559" t="str">
        <f t="shared" si="619"/>
        <v>15:08:51.386</v>
      </c>
      <c r="CF1559">
        <v>386206945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5</v>
      </c>
      <c r="CY1559">
        <v>7</v>
      </c>
      <c r="CZ1559" t="s">
        <v>133</v>
      </c>
      <c r="DA1559">
        <v>275</v>
      </c>
      <c r="DB1559">
        <v>0</v>
      </c>
      <c r="DC1559" t="s">
        <v>134</v>
      </c>
      <c r="DD1559" t="s">
        <v>135</v>
      </c>
      <c r="DG1559">
        <v>3320523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"05/01/2025 15:08:51.615"</f>
        <v>05/01/2025 15:08:51.615</v>
      </c>
      <c r="C1560" t="str">
        <f t="shared" si="608"/>
        <v>FFDFD3C0</v>
      </c>
      <c r="D1560" t="s">
        <v>143</v>
      </c>
      <c r="E1560" t="str">
        <f>"05"</f>
        <v>05</v>
      </c>
      <c r="H1560">
        <v>172</v>
      </c>
      <c r="I1560" t="s">
        <v>141</v>
      </c>
      <c r="J1560" t="s">
        <v>144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R1560" t="s">
        <v>127</v>
      </c>
      <c r="S1560" t="str">
        <f t="shared" si="618"/>
        <v>15:08:51.000</v>
      </c>
      <c r="T1560" t="str">
        <f t="shared" si="618"/>
        <v>15:08:51.000</v>
      </c>
      <c r="U1560" t="str">
        <f t="shared" si="610"/>
        <v>A68FCB</v>
      </c>
      <c r="V1560">
        <v>0</v>
      </c>
      <c r="W1560">
        <v>0</v>
      </c>
      <c r="X1560">
        <v>2</v>
      </c>
      <c r="Y1560">
        <v>0</v>
      </c>
      <c r="AA1560">
        <v>1</v>
      </c>
      <c r="AB1560">
        <v>8</v>
      </c>
      <c r="AC1560">
        <v>3</v>
      </c>
      <c r="AD1560">
        <v>0</v>
      </c>
      <c r="AE1560">
        <v>9</v>
      </c>
      <c r="AF1560" t="s">
        <v>138</v>
      </c>
      <c r="AG1560">
        <v>0</v>
      </c>
      <c r="AH1560">
        <v>3</v>
      </c>
      <c r="AI1560">
        <v>2</v>
      </c>
      <c r="AJ1560">
        <v>0</v>
      </c>
      <c r="AK1560" t="s">
        <v>570</v>
      </c>
      <c r="AL1560">
        <v>39.021999999999998</v>
      </c>
      <c r="AM1560" t="s">
        <v>370</v>
      </c>
      <c r="AN1560">
        <v>-121.05092500000001</v>
      </c>
      <c r="AO1560">
        <v>25</v>
      </c>
      <c r="AP1560">
        <v>4000</v>
      </c>
      <c r="AQ1560" t="s">
        <v>131</v>
      </c>
      <c r="AR1560">
        <v>36</v>
      </c>
      <c r="AS1560">
        <v>65</v>
      </c>
      <c r="AT1560">
        <v>192</v>
      </c>
      <c r="BB1560" t="str">
        <f t="shared" si="611"/>
        <v>1200</v>
      </c>
      <c r="BC1560">
        <v>1</v>
      </c>
      <c r="BD1560" t="str">
        <f t="shared" si="612"/>
        <v xml:space="preserve">N52156  </v>
      </c>
      <c r="BE1560">
        <v>1</v>
      </c>
      <c r="BG1560">
        <v>0</v>
      </c>
      <c r="BH1560">
        <v>0</v>
      </c>
      <c r="BI1560">
        <v>0</v>
      </c>
      <c r="BJ1560">
        <v>3975</v>
      </c>
      <c r="BK1560">
        <v>-25</v>
      </c>
      <c r="BL1560" t="s">
        <v>188</v>
      </c>
      <c r="BM1560">
        <v>1</v>
      </c>
      <c r="BN1560">
        <v>1</v>
      </c>
      <c r="BO1560">
        <v>0</v>
      </c>
      <c r="BP1560">
        <v>0</v>
      </c>
      <c r="BS1560">
        <v>0</v>
      </c>
      <c r="BT1560">
        <v>0</v>
      </c>
      <c r="BU1560">
        <v>0</v>
      </c>
      <c r="CE1560" t="str">
        <f t="shared" si="619"/>
        <v>15:08:51.386</v>
      </c>
      <c r="CF1560">
        <v>386206945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5</v>
      </c>
      <c r="CY1560">
        <v>7</v>
      </c>
      <c r="CZ1560" t="s">
        <v>133</v>
      </c>
      <c r="DA1560">
        <v>275</v>
      </c>
      <c r="DB1560">
        <v>0</v>
      </c>
      <c r="DC1560" t="s">
        <v>134</v>
      </c>
      <c r="DD1560" t="s">
        <v>135</v>
      </c>
      <c r="DG1560">
        <v>3320523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"05/01/2025 15:08:51.621"</f>
        <v>05/01/2025 15:08:51.621</v>
      </c>
      <c r="C1561" t="str">
        <f t="shared" si="608"/>
        <v>FFDFD3C0</v>
      </c>
      <c r="D1561" t="s">
        <v>136</v>
      </c>
      <c r="E1561" t="str">
        <f>"20"</f>
        <v>20</v>
      </c>
      <c r="H1561">
        <v>400</v>
      </c>
      <c r="I1561" t="s">
        <v>137</v>
      </c>
      <c r="J1561" t="s">
        <v>138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R1561" t="s">
        <v>127</v>
      </c>
      <c r="S1561" t="str">
        <f t="shared" si="618"/>
        <v>15:08:51.000</v>
      </c>
      <c r="T1561" t="str">
        <f t="shared" si="618"/>
        <v>15:08:51.000</v>
      </c>
      <c r="U1561" t="str">
        <f t="shared" si="610"/>
        <v>A68FCB</v>
      </c>
      <c r="V1561">
        <v>0</v>
      </c>
      <c r="W1561">
        <v>0</v>
      </c>
      <c r="X1561">
        <v>2</v>
      </c>
      <c r="Y1561">
        <v>0</v>
      </c>
      <c r="AA1561">
        <v>1</v>
      </c>
      <c r="AB1561">
        <v>8</v>
      </c>
      <c r="AC1561">
        <v>3</v>
      </c>
      <c r="AD1561">
        <v>0</v>
      </c>
      <c r="AE1561">
        <v>9</v>
      </c>
      <c r="AF1561" t="s">
        <v>138</v>
      </c>
      <c r="AG1561">
        <v>0</v>
      </c>
      <c r="AH1561">
        <v>3</v>
      </c>
      <c r="AI1561">
        <v>2</v>
      </c>
      <c r="AJ1561">
        <v>0</v>
      </c>
      <c r="AK1561" t="s">
        <v>570</v>
      </c>
      <c r="AL1561">
        <v>39.021999999999998</v>
      </c>
      <c r="AM1561" t="s">
        <v>370</v>
      </c>
      <c r="AN1561">
        <v>-121.05092500000001</v>
      </c>
      <c r="AO1561">
        <v>25</v>
      </c>
      <c r="AP1561">
        <v>4000</v>
      </c>
      <c r="AQ1561" t="s">
        <v>131</v>
      </c>
      <c r="AR1561">
        <v>36</v>
      </c>
      <c r="AS1561">
        <v>65</v>
      </c>
      <c r="AT1561">
        <v>192</v>
      </c>
      <c r="BB1561" t="str">
        <f t="shared" si="611"/>
        <v>1200</v>
      </c>
      <c r="BC1561">
        <v>1</v>
      </c>
      <c r="BD1561" t="str">
        <f t="shared" si="612"/>
        <v xml:space="preserve">N52156  </v>
      </c>
      <c r="BE1561">
        <v>1</v>
      </c>
      <c r="BG1561">
        <v>0</v>
      </c>
      <c r="BH1561">
        <v>0</v>
      </c>
      <c r="BI1561">
        <v>0</v>
      </c>
      <c r="BJ1561">
        <v>3975</v>
      </c>
      <c r="BK1561">
        <v>-25</v>
      </c>
      <c r="BL1561" t="s">
        <v>188</v>
      </c>
      <c r="BM1561">
        <v>1</v>
      </c>
      <c r="BN1561">
        <v>1</v>
      </c>
      <c r="BO1561">
        <v>0</v>
      </c>
      <c r="BP1561">
        <v>0</v>
      </c>
      <c r="BS1561">
        <v>0</v>
      </c>
      <c r="BT1561">
        <v>0</v>
      </c>
      <c r="BU1561">
        <v>0</v>
      </c>
      <c r="CE1561" t="str">
        <f t="shared" si="619"/>
        <v>15:08:51.386</v>
      </c>
      <c r="CF1561">
        <v>386206945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5</v>
      </c>
      <c r="CY1561">
        <v>7</v>
      </c>
      <c r="CZ1561" t="s">
        <v>133</v>
      </c>
      <c r="DA1561">
        <v>275</v>
      </c>
      <c r="DB1561">
        <v>0</v>
      </c>
      <c r="DC1561" t="s">
        <v>134</v>
      </c>
      <c r="DD1561" t="s">
        <v>135</v>
      </c>
      <c r="DG1561">
        <v>3320523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"05/01/2025 15:08:52.812"</f>
        <v>05/01/2025 15:08:52.812</v>
      </c>
      <c r="C1562" t="str">
        <f t="shared" si="608"/>
        <v>FFDFD3C0</v>
      </c>
      <c r="D1562" t="s">
        <v>145</v>
      </c>
      <c r="E1562" t="str">
        <f>"05"</f>
        <v>05</v>
      </c>
      <c r="H1562">
        <v>47</v>
      </c>
      <c r="I1562" t="s">
        <v>146</v>
      </c>
      <c r="J1562" t="s">
        <v>138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R1562" t="s">
        <v>127</v>
      </c>
      <c r="S1562" t="str">
        <f t="shared" ref="S1562:T1567" si="620">"15:08:52.000"</f>
        <v>15:08:52.000</v>
      </c>
      <c r="T1562" t="str">
        <f t="shared" si="620"/>
        <v>15:08:52.000</v>
      </c>
      <c r="U1562" t="str">
        <f t="shared" si="610"/>
        <v>A68FCB</v>
      </c>
      <c r="V1562">
        <v>0</v>
      </c>
      <c r="W1562">
        <v>0</v>
      </c>
      <c r="X1562">
        <v>2</v>
      </c>
      <c r="Y1562">
        <v>0</v>
      </c>
      <c r="AA1562">
        <v>1</v>
      </c>
      <c r="AB1562">
        <v>8</v>
      </c>
      <c r="AC1562">
        <v>3</v>
      </c>
      <c r="AD1562">
        <v>0</v>
      </c>
      <c r="AE1562">
        <v>9</v>
      </c>
      <c r="AF1562" t="s">
        <v>138</v>
      </c>
      <c r="AG1562">
        <v>0</v>
      </c>
      <c r="AH1562">
        <v>3</v>
      </c>
      <c r="AI1562">
        <v>2</v>
      </c>
      <c r="AJ1562">
        <v>0</v>
      </c>
      <c r="AK1562" t="s">
        <v>571</v>
      </c>
      <c r="AL1562">
        <v>39.022300000000001</v>
      </c>
      <c r="AM1562" t="s">
        <v>572</v>
      </c>
      <c r="AN1562">
        <v>-121.05068900000001</v>
      </c>
      <c r="AO1562">
        <v>25</v>
      </c>
      <c r="AP1562">
        <v>4000</v>
      </c>
      <c r="AQ1562" t="s">
        <v>131</v>
      </c>
      <c r="AR1562">
        <v>37</v>
      </c>
      <c r="AS1562">
        <v>65</v>
      </c>
      <c r="AT1562">
        <v>128</v>
      </c>
      <c r="BB1562" t="str">
        <f t="shared" si="611"/>
        <v>1200</v>
      </c>
      <c r="BC1562">
        <v>1</v>
      </c>
      <c r="BD1562" t="str">
        <f t="shared" si="612"/>
        <v xml:space="preserve">N52156  </v>
      </c>
      <c r="BE1562">
        <v>1</v>
      </c>
      <c r="BG1562">
        <v>0</v>
      </c>
      <c r="BH1562">
        <v>0</v>
      </c>
      <c r="BI1562">
        <v>0</v>
      </c>
      <c r="BJ1562">
        <v>3975</v>
      </c>
      <c r="BK1562">
        <v>-25</v>
      </c>
      <c r="BL1562" t="s">
        <v>188</v>
      </c>
      <c r="BM1562">
        <v>1</v>
      </c>
      <c r="BN1562">
        <v>1</v>
      </c>
      <c r="BO1562">
        <v>0</v>
      </c>
      <c r="BP1562">
        <v>0</v>
      </c>
      <c r="BS1562">
        <v>0</v>
      </c>
      <c r="BT1562">
        <v>0</v>
      </c>
      <c r="BU1562">
        <v>0</v>
      </c>
      <c r="CE1562" t="str">
        <f t="shared" ref="CE1562:CE1567" si="621">"15:08:52.597"</f>
        <v>15:08:52.597</v>
      </c>
      <c r="CF1562">
        <v>596957558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5</v>
      </c>
      <c r="CY1562">
        <v>7</v>
      </c>
      <c r="CZ1562" t="s">
        <v>133</v>
      </c>
      <c r="DA1562">
        <v>275</v>
      </c>
      <c r="DB1562">
        <v>0</v>
      </c>
      <c r="DC1562" t="s">
        <v>134</v>
      </c>
      <c r="DD1562" t="s">
        <v>135</v>
      </c>
      <c r="DG1562">
        <v>3320534</v>
      </c>
      <c r="DI1562">
        <v>1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"05/01/2025 15:08:52.813"</f>
        <v>05/01/2025 15:08:52.813</v>
      </c>
      <c r="C1563" t="str">
        <f t="shared" si="608"/>
        <v>FFDFD3C0</v>
      </c>
      <c r="D1563" t="s">
        <v>124</v>
      </c>
      <c r="E1563" t="str">
        <f>"06"</f>
        <v>06</v>
      </c>
      <c r="F1563">
        <v>2006</v>
      </c>
      <c r="G1563" t="s">
        <v>125</v>
      </c>
      <c r="J1563" t="s">
        <v>126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R1563" t="s">
        <v>127</v>
      </c>
      <c r="S1563" t="str">
        <f t="shared" si="620"/>
        <v>15:08:52.000</v>
      </c>
      <c r="T1563" t="str">
        <f t="shared" si="620"/>
        <v>15:08:52.000</v>
      </c>
      <c r="U1563" t="str">
        <f t="shared" si="610"/>
        <v>A68FCB</v>
      </c>
      <c r="V1563">
        <v>0</v>
      </c>
      <c r="W1563">
        <v>0</v>
      </c>
      <c r="X1563">
        <v>2</v>
      </c>
      <c r="Y1563">
        <v>0</v>
      </c>
      <c r="AA1563">
        <v>1</v>
      </c>
      <c r="AB1563">
        <v>8</v>
      </c>
      <c r="AC1563">
        <v>3</v>
      </c>
      <c r="AD1563">
        <v>0</v>
      </c>
      <c r="AE1563">
        <v>9</v>
      </c>
      <c r="AF1563" t="s">
        <v>138</v>
      </c>
      <c r="AG1563">
        <v>0</v>
      </c>
      <c r="AH1563">
        <v>3</v>
      </c>
      <c r="AI1563">
        <v>2</v>
      </c>
      <c r="AJ1563">
        <v>0</v>
      </c>
      <c r="AK1563" t="s">
        <v>571</v>
      </c>
      <c r="AL1563">
        <v>39.022300000000001</v>
      </c>
      <c r="AM1563" t="s">
        <v>572</v>
      </c>
      <c r="AN1563">
        <v>-121.05068900000001</v>
      </c>
      <c r="AO1563">
        <v>25</v>
      </c>
      <c r="AP1563">
        <v>4000</v>
      </c>
      <c r="AQ1563" t="s">
        <v>131</v>
      </c>
      <c r="AR1563">
        <v>37</v>
      </c>
      <c r="AS1563">
        <v>65</v>
      </c>
      <c r="AT1563">
        <v>128</v>
      </c>
      <c r="BB1563" t="str">
        <f t="shared" si="611"/>
        <v>1200</v>
      </c>
      <c r="BC1563">
        <v>1</v>
      </c>
      <c r="BD1563" t="str">
        <f t="shared" si="612"/>
        <v xml:space="preserve">N52156  </v>
      </c>
      <c r="BE1563">
        <v>1</v>
      </c>
      <c r="BG1563">
        <v>0</v>
      </c>
      <c r="BH1563">
        <v>0</v>
      </c>
      <c r="BI1563">
        <v>0</v>
      </c>
      <c r="BJ1563">
        <v>3975</v>
      </c>
      <c r="BK1563">
        <v>-25</v>
      </c>
      <c r="BL1563" t="s">
        <v>188</v>
      </c>
      <c r="BM1563">
        <v>1</v>
      </c>
      <c r="BN1563">
        <v>1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 t="shared" si="621"/>
        <v>15:08:52.597</v>
      </c>
      <c r="CF1563">
        <v>596957558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5</v>
      </c>
      <c r="CY1563">
        <v>7</v>
      </c>
      <c r="CZ1563" t="s">
        <v>133</v>
      </c>
      <c r="DA1563">
        <v>275</v>
      </c>
      <c r="DB1563">
        <v>0</v>
      </c>
      <c r="DC1563" t="s">
        <v>134</v>
      </c>
      <c r="DD1563" t="s">
        <v>135</v>
      </c>
      <c r="DG1563">
        <v>3320534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"05/01/2025 15:08:52.814"</f>
        <v>05/01/2025 15:08:52.814</v>
      </c>
      <c r="C1564" t="str">
        <f t="shared" si="608"/>
        <v>FFDFD3C0</v>
      </c>
      <c r="D1564" t="s">
        <v>145</v>
      </c>
      <c r="E1564" t="str">
        <f>"09"</f>
        <v>09</v>
      </c>
      <c r="H1564">
        <v>51</v>
      </c>
      <c r="I1564" t="s">
        <v>147</v>
      </c>
      <c r="J1564" t="s">
        <v>138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R1564" t="s">
        <v>127</v>
      </c>
      <c r="S1564" t="str">
        <f t="shared" si="620"/>
        <v>15:08:52.000</v>
      </c>
      <c r="T1564" t="str">
        <f t="shared" si="620"/>
        <v>15:08:52.000</v>
      </c>
      <c r="U1564" t="str">
        <f t="shared" si="610"/>
        <v>A68FCB</v>
      </c>
      <c r="V1564">
        <v>0</v>
      </c>
      <c r="W1564">
        <v>0</v>
      </c>
      <c r="X1564">
        <v>2</v>
      </c>
      <c r="Y1564">
        <v>0</v>
      </c>
      <c r="AA1564">
        <v>1</v>
      </c>
      <c r="AB1564">
        <v>8</v>
      </c>
      <c r="AC1564">
        <v>3</v>
      </c>
      <c r="AD1564">
        <v>0</v>
      </c>
      <c r="AE1564">
        <v>9</v>
      </c>
      <c r="AF1564" t="s">
        <v>138</v>
      </c>
      <c r="AG1564">
        <v>0</v>
      </c>
      <c r="AH1564">
        <v>3</v>
      </c>
      <c r="AI1564">
        <v>2</v>
      </c>
      <c r="AJ1564">
        <v>0</v>
      </c>
      <c r="AK1564" t="s">
        <v>571</v>
      </c>
      <c r="AL1564">
        <v>39.022300000000001</v>
      </c>
      <c r="AM1564" t="s">
        <v>572</v>
      </c>
      <c r="AN1564">
        <v>-121.05068900000001</v>
      </c>
      <c r="AO1564">
        <v>25</v>
      </c>
      <c r="AP1564">
        <v>4000</v>
      </c>
      <c r="AQ1564" t="s">
        <v>131</v>
      </c>
      <c r="AR1564">
        <v>37</v>
      </c>
      <c r="AS1564">
        <v>65</v>
      </c>
      <c r="AT1564">
        <v>128</v>
      </c>
      <c r="BB1564" t="str">
        <f t="shared" si="611"/>
        <v>1200</v>
      </c>
      <c r="BC1564">
        <v>1</v>
      </c>
      <c r="BD1564" t="str">
        <f t="shared" si="612"/>
        <v xml:space="preserve">N52156  </v>
      </c>
      <c r="BE1564">
        <v>1</v>
      </c>
      <c r="BG1564">
        <v>0</v>
      </c>
      <c r="BH1564">
        <v>0</v>
      </c>
      <c r="BI1564">
        <v>0</v>
      </c>
      <c r="BJ1564">
        <v>3975</v>
      </c>
      <c r="BK1564">
        <v>-25</v>
      </c>
      <c r="BL1564" t="s">
        <v>188</v>
      </c>
      <c r="BM1564">
        <v>1</v>
      </c>
      <c r="BN1564">
        <v>1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 t="shared" si="621"/>
        <v>15:08:52.597</v>
      </c>
      <c r="CF1564">
        <v>596957558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5</v>
      </c>
      <c r="CY1564">
        <v>7</v>
      </c>
      <c r="CZ1564" t="s">
        <v>133</v>
      </c>
      <c r="DA1564">
        <v>275</v>
      </c>
      <c r="DB1564">
        <v>0</v>
      </c>
      <c r="DC1564" t="s">
        <v>134</v>
      </c>
      <c r="DD1564" t="s">
        <v>135</v>
      </c>
      <c r="DG1564">
        <v>3320534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"05/01/2025 15:08:52.818"</f>
        <v>05/01/2025 15:08:52.818</v>
      </c>
      <c r="C1565" t="str">
        <f t="shared" si="608"/>
        <v>FFDFD3C0</v>
      </c>
      <c r="D1565" t="s">
        <v>143</v>
      </c>
      <c r="E1565" t="str">
        <f>"05"</f>
        <v>05</v>
      </c>
      <c r="H1565">
        <v>172</v>
      </c>
      <c r="I1565" t="s">
        <v>141</v>
      </c>
      <c r="J1565" t="s">
        <v>144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R1565" t="s">
        <v>127</v>
      </c>
      <c r="S1565" t="str">
        <f t="shared" si="620"/>
        <v>15:08:52.000</v>
      </c>
      <c r="T1565" t="str">
        <f t="shared" si="620"/>
        <v>15:08:52.000</v>
      </c>
      <c r="U1565" t="str">
        <f t="shared" si="610"/>
        <v>A68FCB</v>
      </c>
      <c r="V1565">
        <v>0</v>
      </c>
      <c r="W1565">
        <v>0</v>
      </c>
      <c r="X1565">
        <v>2</v>
      </c>
      <c r="Y1565">
        <v>0</v>
      </c>
      <c r="AA1565">
        <v>1</v>
      </c>
      <c r="AB1565">
        <v>8</v>
      </c>
      <c r="AC1565">
        <v>3</v>
      </c>
      <c r="AD1565">
        <v>0</v>
      </c>
      <c r="AE1565">
        <v>9</v>
      </c>
      <c r="AF1565" t="s">
        <v>138</v>
      </c>
      <c r="AG1565">
        <v>0</v>
      </c>
      <c r="AH1565">
        <v>3</v>
      </c>
      <c r="AI1565">
        <v>2</v>
      </c>
      <c r="AJ1565">
        <v>0</v>
      </c>
      <c r="AK1565" t="s">
        <v>571</v>
      </c>
      <c r="AL1565">
        <v>39.022300000000001</v>
      </c>
      <c r="AM1565" t="s">
        <v>572</v>
      </c>
      <c r="AN1565">
        <v>-121.05068900000001</v>
      </c>
      <c r="AO1565">
        <v>25</v>
      </c>
      <c r="AP1565">
        <v>4000</v>
      </c>
      <c r="AQ1565" t="s">
        <v>131</v>
      </c>
      <c r="AR1565">
        <v>37</v>
      </c>
      <c r="AS1565">
        <v>65</v>
      </c>
      <c r="AT1565">
        <v>128</v>
      </c>
      <c r="BB1565" t="str">
        <f t="shared" si="611"/>
        <v>1200</v>
      </c>
      <c r="BC1565">
        <v>1</v>
      </c>
      <c r="BD1565" t="str">
        <f t="shared" si="612"/>
        <v xml:space="preserve">N52156  </v>
      </c>
      <c r="BE1565">
        <v>1</v>
      </c>
      <c r="BG1565">
        <v>0</v>
      </c>
      <c r="BH1565">
        <v>0</v>
      </c>
      <c r="BI1565">
        <v>0</v>
      </c>
      <c r="BJ1565">
        <v>3975</v>
      </c>
      <c r="BK1565">
        <v>-25</v>
      </c>
      <c r="BL1565" t="s">
        <v>188</v>
      </c>
      <c r="BM1565">
        <v>1</v>
      </c>
      <c r="BN1565">
        <v>1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 t="shared" si="621"/>
        <v>15:08:52.597</v>
      </c>
      <c r="CF1565">
        <v>596957558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133</v>
      </c>
      <c r="DA1565">
        <v>275</v>
      </c>
      <c r="DB1565">
        <v>0</v>
      </c>
      <c r="DC1565" t="s">
        <v>134</v>
      </c>
      <c r="DD1565" t="s">
        <v>135</v>
      </c>
      <c r="DG1565">
        <v>3320534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"05/01/2025 15:08:52.824"</f>
        <v>05/01/2025 15:08:52.824</v>
      </c>
      <c r="C1566" t="str">
        <f t="shared" si="608"/>
        <v>FFDFD3C0</v>
      </c>
      <c r="D1566" t="s">
        <v>136</v>
      </c>
      <c r="E1566" t="str">
        <f>"20"</f>
        <v>20</v>
      </c>
      <c r="H1566">
        <v>400</v>
      </c>
      <c r="I1566" t="s">
        <v>137</v>
      </c>
      <c r="J1566" t="s">
        <v>138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R1566" t="s">
        <v>127</v>
      </c>
      <c r="S1566" t="str">
        <f t="shared" si="620"/>
        <v>15:08:52.000</v>
      </c>
      <c r="T1566" t="str">
        <f t="shared" si="620"/>
        <v>15:08:52.000</v>
      </c>
      <c r="U1566" t="str">
        <f t="shared" si="610"/>
        <v>A68FCB</v>
      </c>
      <c r="V1566">
        <v>0</v>
      </c>
      <c r="W1566">
        <v>0</v>
      </c>
      <c r="X1566">
        <v>2</v>
      </c>
      <c r="Y1566">
        <v>0</v>
      </c>
      <c r="AA1566">
        <v>1</v>
      </c>
      <c r="AB1566">
        <v>8</v>
      </c>
      <c r="AC1566">
        <v>3</v>
      </c>
      <c r="AD1566">
        <v>0</v>
      </c>
      <c r="AE1566">
        <v>9</v>
      </c>
      <c r="AF1566" t="s">
        <v>138</v>
      </c>
      <c r="AG1566">
        <v>0</v>
      </c>
      <c r="AH1566">
        <v>3</v>
      </c>
      <c r="AI1566">
        <v>2</v>
      </c>
      <c r="AJ1566">
        <v>0</v>
      </c>
      <c r="AK1566" t="s">
        <v>571</v>
      </c>
      <c r="AL1566">
        <v>39.022300000000001</v>
      </c>
      <c r="AM1566" t="s">
        <v>572</v>
      </c>
      <c r="AN1566">
        <v>-121.05068900000001</v>
      </c>
      <c r="AO1566">
        <v>25</v>
      </c>
      <c r="AP1566">
        <v>4000</v>
      </c>
      <c r="AQ1566" t="s">
        <v>131</v>
      </c>
      <c r="AR1566">
        <v>37</v>
      </c>
      <c r="AS1566">
        <v>65</v>
      </c>
      <c r="AT1566">
        <v>128</v>
      </c>
      <c r="BB1566" t="str">
        <f t="shared" si="611"/>
        <v>1200</v>
      </c>
      <c r="BC1566">
        <v>1</v>
      </c>
      <c r="BD1566" t="str">
        <f t="shared" si="612"/>
        <v xml:space="preserve">N52156  </v>
      </c>
      <c r="BE1566">
        <v>1</v>
      </c>
      <c r="BG1566">
        <v>0</v>
      </c>
      <c r="BH1566">
        <v>0</v>
      </c>
      <c r="BI1566">
        <v>0</v>
      </c>
      <c r="BJ1566">
        <v>3975</v>
      </c>
      <c r="BK1566">
        <v>-25</v>
      </c>
      <c r="BL1566" t="s">
        <v>188</v>
      </c>
      <c r="BM1566">
        <v>1</v>
      </c>
      <c r="BN1566">
        <v>1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 t="shared" si="621"/>
        <v>15:08:52.597</v>
      </c>
      <c r="CF1566">
        <v>596957558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133</v>
      </c>
      <c r="DA1566">
        <v>275</v>
      </c>
      <c r="DB1566">
        <v>0</v>
      </c>
      <c r="DC1566" t="s">
        <v>134</v>
      </c>
      <c r="DD1566" t="s">
        <v>135</v>
      </c>
      <c r="DG1566">
        <v>3320534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"05/01/2025 15:08:52.855"</f>
        <v>05/01/2025 15:08:52.855</v>
      </c>
      <c r="C1567" t="str">
        <f t="shared" si="608"/>
        <v>FFDFD3C0</v>
      </c>
      <c r="D1567" t="s">
        <v>140</v>
      </c>
      <c r="E1567" t="str">
        <f>"13"</f>
        <v>13</v>
      </c>
      <c r="F1567">
        <v>1019</v>
      </c>
      <c r="G1567" t="s">
        <v>141</v>
      </c>
      <c r="J1567" t="s">
        <v>142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R1567" t="s">
        <v>127</v>
      </c>
      <c r="S1567" t="str">
        <f t="shared" si="620"/>
        <v>15:08:52.000</v>
      </c>
      <c r="T1567" t="str">
        <f t="shared" si="620"/>
        <v>15:08:52.000</v>
      </c>
      <c r="U1567" t="str">
        <f t="shared" si="610"/>
        <v>A68FCB</v>
      </c>
      <c r="V1567">
        <v>0</v>
      </c>
      <c r="W1567">
        <v>0</v>
      </c>
      <c r="X1567">
        <v>2</v>
      </c>
      <c r="Y1567">
        <v>0</v>
      </c>
      <c r="AA1567">
        <v>1</v>
      </c>
      <c r="AB1567">
        <v>8</v>
      </c>
      <c r="AC1567">
        <v>3</v>
      </c>
      <c r="AD1567">
        <v>0</v>
      </c>
      <c r="AE1567">
        <v>9</v>
      </c>
      <c r="AF1567" t="s">
        <v>138</v>
      </c>
      <c r="AG1567">
        <v>0</v>
      </c>
      <c r="AH1567">
        <v>3</v>
      </c>
      <c r="AI1567">
        <v>2</v>
      </c>
      <c r="AJ1567">
        <v>0</v>
      </c>
      <c r="AK1567" t="s">
        <v>571</v>
      </c>
      <c r="AL1567">
        <v>39.022300000000001</v>
      </c>
      <c r="AM1567" t="s">
        <v>572</v>
      </c>
      <c r="AN1567">
        <v>-121.05068900000001</v>
      </c>
      <c r="AO1567">
        <v>25</v>
      </c>
      <c r="AP1567">
        <v>4000</v>
      </c>
      <c r="AQ1567" t="s">
        <v>131</v>
      </c>
      <c r="AR1567">
        <v>37</v>
      </c>
      <c r="AS1567">
        <v>65</v>
      </c>
      <c r="AT1567">
        <v>128</v>
      </c>
      <c r="BB1567" t="str">
        <f t="shared" si="611"/>
        <v>1200</v>
      </c>
      <c r="BC1567">
        <v>1</v>
      </c>
      <c r="BD1567" t="str">
        <f t="shared" si="612"/>
        <v xml:space="preserve">N52156  </v>
      </c>
      <c r="BE1567">
        <v>1</v>
      </c>
      <c r="BG1567">
        <v>0</v>
      </c>
      <c r="BH1567">
        <v>0</v>
      </c>
      <c r="BI1567">
        <v>0</v>
      </c>
      <c r="BJ1567">
        <v>3975</v>
      </c>
      <c r="BK1567">
        <v>-25</v>
      </c>
      <c r="BL1567" t="s">
        <v>188</v>
      </c>
      <c r="BM1567">
        <v>1</v>
      </c>
      <c r="BN1567">
        <v>1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 t="shared" si="621"/>
        <v>15:08:52.597</v>
      </c>
      <c r="CF1567">
        <v>596957558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5</v>
      </c>
      <c r="CY1567">
        <v>7</v>
      </c>
      <c r="CZ1567" t="s">
        <v>133</v>
      </c>
      <c r="DA1567">
        <v>275</v>
      </c>
      <c r="DB1567">
        <v>0</v>
      </c>
      <c r="DC1567" t="s">
        <v>134</v>
      </c>
      <c r="DD1567" t="s">
        <v>135</v>
      </c>
      <c r="DG1567">
        <v>3320534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"05/01/2025 15:08:53.563"</f>
        <v>05/01/2025 15:08:53.563</v>
      </c>
      <c r="C1568" t="str">
        <f t="shared" si="608"/>
        <v>FFDFD3C0</v>
      </c>
      <c r="D1568" t="s">
        <v>145</v>
      </c>
      <c r="E1568" t="str">
        <f>"05"</f>
        <v>05</v>
      </c>
      <c r="H1568">
        <v>47</v>
      </c>
      <c r="I1568" t="s">
        <v>146</v>
      </c>
      <c r="J1568" t="s">
        <v>138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R1568" t="s">
        <v>127</v>
      </c>
      <c r="S1568" t="str">
        <f t="shared" ref="S1568:T1573" si="622">"15:08:53.000"</f>
        <v>15:08:53.000</v>
      </c>
      <c r="T1568" t="str">
        <f t="shared" si="622"/>
        <v>15:08:53.000</v>
      </c>
      <c r="U1568" t="str">
        <f t="shared" si="610"/>
        <v>A68FCB</v>
      </c>
      <c r="V1568">
        <v>0</v>
      </c>
      <c r="W1568">
        <v>0</v>
      </c>
      <c r="X1568">
        <v>2</v>
      </c>
      <c r="Y1568">
        <v>0</v>
      </c>
      <c r="AA1568">
        <v>1</v>
      </c>
      <c r="AB1568">
        <v>8</v>
      </c>
      <c r="AC1568">
        <v>3</v>
      </c>
      <c r="AD1568">
        <v>0</v>
      </c>
      <c r="AE1568">
        <v>9</v>
      </c>
      <c r="AF1568" t="s">
        <v>138</v>
      </c>
      <c r="AG1568">
        <v>0</v>
      </c>
      <c r="AH1568">
        <v>3</v>
      </c>
      <c r="AI1568">
        <v>2</v>
      </c>
      <c r="AJ1568">
        <v>0</v>
      </c>
      <c r="AK1568" t="s">
        <v>573</v>
      </c>
      <c r="AL1568">
        <v>39.022601000000002</v>
      </c>
      <c r="AM1568" t="s">
        <v>356</v>
      </c>
      <c r="AN1568">
        <v>-121.05047500000001</v>
      </c>
      <c r="AO1568">
        <v>25</v>
      </c>
      <c r="AP1568">
        <v>4000</v>
      </c>
      <c r="AQ1568" t="s">
        <v>131</v>
      </c>
      <c r="AR1568">
        <v>37</v>
      </c>
      <c r="AS1568">
        <v>65</v>
      </c>
      <c r="AT1568">
        <v>128</v>
      </c>
      <c r="BB1568" t="str">
        <f t="shared" si="611"/>
        <v>1200</v>
      </c>
      <c r="BC1568">
        <v>1</v>
      </c>
      <c r="BD1568" t="str">
        <f t="shared" si="612"/>
        <v xml:space="preserve">N52156  </v>
      </c>
      <c r="BE1568">
        <v>1</v>
      </c>
      <c r="BG1568">
        <v>0</v>
      </c>
      <c r="BH1568">
        <v>0</v>
      </c>
      <c r="BI1568">
        <v>0</v>
      </c>
      <c r="BJ1568">
        <v>3975</v>
      </c>
      <c r="BK1568">
        <v>-25</v>
      </c>
      <c r="BL1568" t="s">
        <v>188</v>
      </c>
      <c r="BM1568">
        <v>1</v>
      </c>
      <c r="BN1568">
        <v>1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 t="shared" ref="CE1568:CE1573" si="623">"15:08:53.329"</f>
        <v>15:08:53.329</v>
      </c>
      <c r="CF1568">
        <v>328706974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133</v>
      </c>
      <c r="DA1568">
        <v>275</v>
      </c>
      <c r="DB1568">
        <v>0</v>
      </c>
      <c r="DC1568" t="s">
        <v>134</v>
      </c>
      <c r="DD1568" t="s">
        <v>135</v>
      </c>
      <c r="DG1568">
        <v>3320540</v>
      </c>
      <c r="DI1568">
        <v>1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"05/01/2025 15:08:53.556"</f>
        <v>05/01/2025 15:08:53.556</v>
      </c>
      <c r="C1569" t="str">
        <f t="shared" si="608"/>
        <v>FFDFD3C0</v>
      </c>
      <c r="D1569" t="s">
        <v>140</v>
      </c>
      <c r="E1569" t="str">
        <f>"13"</f>
        <v>13</v>
      </c>
      <c r="F1569">
        <v>1019</v>
      </c>
      <c r="G1569" t="s">
        <v>141</v>
      </c>
      <c r="J1569" t="s">
        <v>142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R1569" t="s">
        <v>127</v>
      </c>
      <c r="S1569" t="str">
        <f t="shared" si="622"/>
        <v>15:08:53.000</v>
      </c>
      <c r="T1569" t="str">
        <f t="shared" si="622"/>
        <v>15:08:53.000</v>
      </c>
      <c r="U1569" t="str">
        <f t="shared" si="610"/>
        <v>A68FCB</v>
      </c>
      <c r="V1569">
        <v>0</v>
      </c>
      <c r="W1569">
        <v>0</v>
      </c>
      <c r="X1569">
        <v>2</v>
      </c>
      <c r="Y1569">
        <v>0</v>
      </c>
      <c r="AA1569">
        <v>1</v>
      </c>
      <c r="AB1569">
        <v>8</v>
      </c>
      <c r="AC1569">
        <v>3</v>
      </c>
      <c r="AD1569">
        <v>0</v>
      </c>
      <c r="AE1569">
        <v>9</v>
      </c>
      <c r="AF1569" t="s">
        <v>138</v>
      </c>
      <c r="AG1569">
        <v>0</v>
      </c>
      <c r="AH1569">
        <v>3</v>
      </c>
      <c r="AI1569">
        <v>2</v>
      </c>
      <c r="AJ1569">
        <v>0</v>
      </c>
      <c r="AK1569" t="s">
        <v>573</v>
      </c>
      <c r="AL1569">
        <v>39.022601000000002</v>
      </c>
      <c r="AM1569" t="s">
        <v>356</v>
      </c>
      <c r="AN1569">
        <v>-121.05047500000001</v>
      </c>
      <c r="AO1569">
        <v>25</v>
      </c>
      <c r="AP1569">
        <v>4000</v>
      </c>
      <c r="AQ1569" t="s">
        <v>131</v>
      </c>
      <c r="AR1569">
        <v>37</v>
      </c>
      <c r="AS1569">
        <v>65</v>
      </c>
      <c r="AT1569">
        <v>128</v>
      </c>
      <c r="BB1569" t="str">
        <f t="shared" si="611"/>
        <v>1200</v>
      </c>
      <c r="BC1569">
        <v>1</v>
      </c>
      <c r="BD1569" t="str">
        <f t="shared" si="612"/>
        <v xml:space="preserve">N52156  </v>
      </c>
      <c r="BE1569">
        <v>1</v>
      </c>
      <c r="BG1569">
        <v>0</v>
      </c>
      <c r="BH1569">
        <v>0</v>
      </c>
      <c r="BI1569">
        <v>0</v>
      </c>
      <c r="BJ1569">
        <v>3975</v>
      </c>
      <c r="BK1569">
        <v>-25</v>
      </c>
      <c r="BL1569" t="s">
        <v>188</v>
      </c>
      <c r="BM1569">
        <v>1</v>
      </c>
      <c r="BN1569">
        <v>1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 t="shared" si="623"/>
        <v>15:08:53.329</v>
      </c>
      <c r="CF1569">
        <v>328706974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5</v>
      </c>
      <c r="CY1569">
        <v>7</v>
      </c>
      <c r="CZ1569" t="s">
        <v>133</v>
      </c>
      <c r="DA1569">
        <v>275</v>
      </c>
      <c r="DB1569">
        <v>0</v>
      </c>
      <c r="DC1569" t="s">
        <v>134</v>
      </c>
      <c r="DD1569" t="s">
        <v>135</v>
      </c>
      <c r="DG1569">
        <v>3320540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"05/01/2025 15:08:53.565"</f>
        <v>05/01/2025 15:08:53.565</v>
      </c>
      <c r="C1570" t="str">
        <f t="shared" si="608"/>
        <v>FFDFD3C0</v>
      </c>
      <c r="D1570" t="s">
        <v>124</v>
      </c>
      <c r="E1570" t="str">
        <f>"06"</f>
        <v>06</v>
      </c>
      <c r="F1570">
        <v>2006</v>
      </c>
      <c r="G1570" t="s">
        <v>125</v>
      </c>
      <c r="J1570" t="s">
        <v>126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R1570" t="s">
        <v>127</v>
      </c>
      <c r="S1570" t="str">
        <f t="shared" si="622"/>
        <v>15:08:53.000</v>
      </c>
      <c r="T1570" t="str">
        <f t="shared" si="622"/>
        <v>15:08:53.000</v>
      </c>
      <c r="U1570" t="str">
        <f t="shared" si="610"/>
        <v>A68FCB</v>
      </c>
      <c r="V1570">
        <v>0</v>
      </c>
      <c r="W1570">
        <v>0</v>
      </c>
      <c r="X1570">
        <v>2</v>
      </c>
      <c r="Y1570">
        <v>0</v>
      </c>
      <c r="AA1570">
        <v>1</v>
      </c>
      <c r="AB1570">
        <v>8</v>
      </c>
      <c r="AC1570">
        <v>3</v>
      </c>
      <c r="AD1570">
        <v>0</v>
      </c>
      <c r="AE1570">
        <v>9</v>
      </c>
      <c r="AF1570" t="s">
        <v>138</v>
      </c>
      <c r="AG1570">
        <v>0</v>
      </c>
      <c r="AH1570">
        <v>3</v>
      </c>
      <c r="AI1570">
        <v>2</v>
      </c>
      <c r="AJ1570">
        <v>0</v>
      </c>
      <c r="AK1570" t="s">
        <v>573</v>
      </c>
      <c r="AL1570">
        <v>39.022601000000002</v>
      </c>
      <c r="AM1570" t="s">
        <v>356</v>
      </c>
      <c r="AN1570">
        <v>-121.05047500000001</v>
      </c>
      <c r="AO1570">
        <v>25</v>
      </c>
      <c r="AP1570">
        <v>4000</v>
      </c>
      <c r="AQ1570" t="s">
        <v>131</v>
      </c>
      <c r="AR1570">
        <v>37</v>
      </c>
      <c r="AS1570">
        <v>65</v>
      </c>
      <c r="AT1570">
        <v>128</v>
      </c>
      <c r="BB1570" t="str">
        <f t="shared" si="611"/>
        <v>1200</v>
      </c>
      <c r="BC1570">
        <v>1</v>
      </c>
      <c r="BD1570" t="str">
        <f t="shared" si="612"/>
        <v xml:space="preserve">N52156  </v>
      </c>
      <c r="BE1570">
        <v>1</v>
      </c>
      <c r="BG1570">
        <v>0</v>
      </c>
      <c r="BH1570">
        <v>0</v>
      </c>
      <c r="BI1570">
        <v>0</v>
      </c>
      <c r="BJ1570">
        <v>3975</v>
      </c>
      <c r="BK1570">
        <v>-25</v>
      </c>
      <c r="BL1570" t="s">
        <v>188</v>
      </c>
      <c r="BM1570">
        <v>1</v>
      </c>
      <c r="BN1570">
        <v>1</v>
      </c>
      <c r="BO1570">
        <v>0</v>
      </c>
      <c r="BP1570">
        <v>0</v>
      </c>
      <c r="BS1570">
        <v>0</v>
      </c>
      <c r="BT1570">
        <v>0</v>
      </c>
      <c r="BU1570">
        <v>0</v>
      </c>
      <c r="CE1570" t="str">
        <f t="shared" si="623"/>
        <v>15:08:53.329</v>
      </c>
      <c r="CF1570">
        <v>328706974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5</v>
      </c>
      <c r="CY1570">
        <v>7</v>
      </c>
      <c r="CZ1570" t="s">
        <v>133</v>
      </c>
      <c r="DA1570">
        <v>275</v>
      </c>
      <c r="DB1570">
        <v>0</v>
      </c>
      <c r="DC1570" t="s">
        <v>134</v>
      </c>
      <c r="DD1570" t="s">
        <v>135</v>
      </c>
      <c r="DG1570">
        <v>3320540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"05/01/2025 15:08:53.565"</f>
        <v>05/01/2025 15:08:53.565</v>
      </c>
      <c r="C1571" t="str">
        <f t="shared" si="608"/>
        <v>FFDFD3C0</v>
      </c>
      <c r="D1571" t="s">
        <v>145</v>
      </c>
      <c r="E1571" t="str">
        <f>"09"</f>
        <v>09</v>
      </c>
      <c r="H1571">
        <v>51</v>
      </c>
      <c r="I1571" t="s">
        <v>147</v>
      </c>
      <c r="J1571" t="s">
        <v>138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R1571" t="s">
        <v>127</v>
      </c>
      <c r="S1571" t="str">
        <f t="shared" si="622"/>
        <v>15:08:53.000</v>
      </c>
      <c r="T1571" t="str">
        <f t="shared" si="622"/>
        <v>15:08:53.000</v>
      </c>
      <c r="U1571" t="str">
        <f t="shared" si="610"/>
        <v>A68FCB</v>
      </c>
      <c r="V1571">
        <v>0</v>
      </c>
      <c r="W1571">
        <v>0</v>
      </c>
      <c r="X1571">
        <v>2</v>
      </c>
      <c r="Y1571">
        <v>0</v>
      </c>
      <c r="AA1571">
        <v>1</v>
      </c>
      <c r="AB1571">
        <v>8</v>
      </c>
      <c r="AC1571">
        <v>3</v>
      </c>
      <c r="AD1571">
        <v>0</v>
      </c>
      <c r="AE1571">
        <v>9</v>
      </c>
      <c r="AF1571" t="s">
        <v>138</v>
      </c>
      <c r="AG1571">
        <v>0</v>
      </c>
      <c r="AH1571">
        <v>3</v>
      </c>
      <c r="AI1571">
        <v>2</v>
      </c>
      <c r="AJ1571">
        <v>0</v>
      </c>
      <c r="AK1571" t="s">
        <v>573</v>
      </c>
      <c r="AL1571">
        <v>39.022601000000002</v>
      </c>
      <c r="AM1571" t="s">
        <v>356</v>
      </c>
      <c r="AN1571">
        <v>-121.05047500000001</v>
      </c>
      <c r="AO1571">
        <v>25</v>
      </c>
      <c r="AP1571">
        <v>4000</v>
      </c>
      <c r="AQ1571" t="s">
        <v>131</v>
      </c>
      <c r="AR1571">
        <v>37</v>
      </c>
      <c r="AS1571">
        <v>65</v>
      </c>
      <c r="AT1571">
        <v>128</v>
      </c>
      <c r="BB1571" t="str">
        <f t="shared" si="611"/>
        <v>1200</v>
      </c>
      <c r="BC1571">
        <v>1</v>
      </c>
      <c r="BD1571" t="str">
        <f t="shared" si="612"/>
        <v xml:space="preserve">N52156  </v>
      </c>
      <c r="BE1571">
        <v>1</v>
      </c>
      <c r="BG1571">
        <v>0</v>
      </c>
      <c r="BH1571">
        <v>0</v>
      </c>
      <c r="BI1571">
        <v>0</v>
      </c>
      <c r="BJ1571">
        <v>3975</v>
      </c>
      <c r="BK1571">
        <v>-25</v>
      </c>
      <c r="BL1571" t="s">
        <v>188</v>
      </c>
      <c r="BM1571">
        <v>1</v>
      </c>
      <c r="BN1571">
        <v>1</v>
      </c>
      <c r="BO1571">
        <v>0</v>
      </c>
      <c r="BP1571">
        <v>0</v>
      </c>
      <c r="BS1571">
        <v>0</v>
      </c>
      <c r="BT1571">
        <v>0</v>
      </c>
      <c r="BU1571">
        <v>0</v>
      </c>
      <c r="CE1571" t="str">
        <f t="shared" si="623"/>
        <v>15:08:53.329</v>
      </c>
      <c r="CF1571">
        <v>328706974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5</v>
      </c>
      <c r="CY1571">
        <v>7</v>
      </c>
      <c r="CZ1571" t="s">
        <v>133</v>
      </c>
      <c r="DA1571">
        <v>275</v>
      </c>
      <c r="DB1571">
        <v>0</v>
      </c>
      <c r="DC1571" t="s">
        <v>134</v>
      </c>
      <c r="DD1571" t="s">
        <v>135</v>
      </c>
      <c r="DG1571">
        <v>3320540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"05/01/2025 15:08:53.569"</f>
        <v>05/01/2025 15:08:53.569</v>
      </c>
      <c r="C1572" t="str">
        <f t="shared" si="608"/>
        <v>FFDFD3C0</v>
      </c>
      <c r="D1572" t="s">
        <v>143</v>
      </c>
      <c r="E1572" t="str">
        <f>"05"</f>
        <v>05</v>
      </c>
      <c r="H1572">
        <v>172</v>
      </c>
      <c r="I1572" t="s">
        <v>141</v>
      </c>
      <c r="J1572" t="s">
        <v>144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R1572" t="s">
        <v>127</v>
      </c>
      <c r="S1572" t="str">
        <f t="shared" si="622"/>
        <v>15:08:53.000</v>
      </c>
      <c r="T1572" t="str">
        <f t="shared" si="622"/>
        <v>15:08:53.000</v>
      </c>
      <c r="U1572" t="str">
        <f t="shared" si="610"/>
        <v>A68FCB</v>
      </c>
      <c r="V1572">
        <v>0</v>
      </c>
      <c r="W1572">
        <v>0</v>
      </c>
      <c r="X1572">
        <v>2</v>
      </c>
      <c r="Y1572">
        <v>0</v>
      </c>
      <c r="AA1572">
        <v>1</v>
      </c>
      <c r="AB1572">
        <v>8</v>
      </c>
      <c r="AC1572">
        <v>3</v>
      </c>
      <c r="AD1572">
        <v>0</v>
      </c>
      <c r="AE1572">
        <v>9</v>
      </c>
      <c r="AF1572" t="s">
        <v>138</v>
      </c>
      <c r="AG1572">
        <v>0</v>
      </c>
      <c r="AH1572">
        <v>3</v>
      </c>
      <c r="AI1572">
        <v>2</v>
      </c>
      <c r="AJ1572">
        <v>0</v>
      </c>
      <c r="AK1572" t="s">
        <v>573</v>
      </c>
      <c r="AL1572">
        <v>39.022601000000002</v>
      </c>
      <c r="AM1572" t="s">
        <v>356</v>
      </c>
      <c r="AN1572">
        <v>-121.05047500000001</v>
      </c>
      <c r="AO1572">
        <v>25</v>
      </c>
      <c r="AP1572">
        <v>4000</v>
      </c>
      <c r="AQ1572" t="s">
        <v>131</v>
      </c>
      <c r="AR1572">
        <v>37</v>
      </c>
      <c r="AS1572">
        <v>65</v>
      </c>
      <c r="AT1572">
        <v>128</v>
      </c>
      <c r="BB1572" t="str">
        <f t="shared" si="611"/>
        <v>1200</v>
      </c>
      <c r="BC1572">
        <v>1</v>
      </c>
      <c r="BD1572" t="str">
        <f t="shared" si="612"/>
        <v xml:space="preserve">N52156  </v>
      </c>
      <c r="BE1572">
        <v>1</v>
      </c>
      <c r="BG1572">
        <v>0</v>
      </c>
      <c r="BH1572">
        <v>0</v>
      </c>
      <c r="BI1572">
        <v>0</v>
      </c>
      <c r="BJ1572">
        <v>3975</v>
      </c>
      <c r="BK1572">
        <v>-25</v>
      </c>
      <c r="BL1572" t="s">
        <v>188</v>
      </c>
      <c r="BM1572">
        <v>1</v>
      </c>
      <c r="BN1572">
        <v>1</v>
      </c>
      <c r="BO1572">
        <v>0</v>
      </c>
      <c r="BP1572">
        <v>0</v>
      </c>
      <c r="BS1572">
        <v>0</v>
      </c>
      <c r="BT1572">
        <v>0</v>
      </c>
      <c r="BU1572">
        <v>0</v>
      </c>
      <c r="CE1572" t="str">
        <f t="shared" si="623"/>
        <v>15:08:53.329</v>
      </c>
      <c r="CF1572">
        <v>328706974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5</v>
      </c>
      <c r="CY1572">
        <v>7</v>
      </c>
      <c r="CZ1572" t="s">
        <v>133</v>
      </c>
      <c r="DA1572">
        <v>275</v>
      </c>
      <c r="DB1572">
        <v>0</v>
      </c>
      <c r="DC1572" t="s">
        <v>134</v>
      </c>
      <c r="DD1572" t="s">
        <v>135</v>
      </c>
      <c r="DG1572">
        <v>3320540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"05/01/2025 15:08:53.575"</f>
        <v>05/01/2025 15:08:53.575</v>
      </c>
      <c r="C1573" t="str">
        <f t="shared" si="608"/>
        <v>FFDFD3C0</v>
      </c>
      <c r="D1573" t="s">
        <v>136</v>
      </c>
      <c r="E1573" t="str">
        <f>"20"</f>
        <v>20</v>
      </c>
      <c r="H1573">
        <v>400</v>
      </c>
      <c r="I1573" t="s">
        <v>137</v>
      </c>
      <c r="J1573" t="s">
        <v>138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R1573" t="s">
        <v>127</v>
      </c>
      <c r="S1573" t="str">
        <f t="shared" si="622"/>
        <v>15:08:53.000</v>
      </c>
      <c r="T1573" t="str">
        <f t="shared" si="622"/>
        <v>15:08:53.000</v>
      </c>
      <c r="U1573" t="str">
        <f t="shared" si="610"/>
        <v>A68FCB</v>
      </c>
      <c r="V1573">
        <v>0</v>
      </c>
      <c r="W1573">
        <v>0</v>
      </c>
      <c r="X1573">
        <v>2</v>
      </c>
      <c r="Y1573">
        <v>0</v>
      </c>
      <c r="AA1573">
        <v>1</v>
      </c>
      <c r="AB1573">
        <v>8</v>
      </c>
      <c r="AC1573">
        <v>3</v>
      </c>
      <c r="AD1573">
        <v>0</v>
      </c>
      <c r="AE1573">
        <v>9</v>
      </c>
      <c r="AF1573" t="s">
        <v>138</v>
      </c>
      <c r="AG1573">
        <v>0</v>
      </c>
      <c r="AH1573">
        <v>3</v>
      </c>
      <c r="AI1573">
        <v>2</v>
      </c>
      <c r="AJ1573">
        <v>0</v>
      </c>
      <c r="AK1573" t="s">
        <v>573</v>
      </c>
      <c r="AL1573">
        <v>39.022601000000002</v>
      </c>
      <c r="AM1573" t="s">
        <v>356</v>
      </c>
      <c r="AN1573">
        <v>-121.05047500000001</v>
      </c>
      <c r="AO1573">
        <v>25</v>
      </c>
      <c r="AP1573">
        <v>4000</v>
      </c>
      <c r="AQ1573" t="s">
        <v>131</v>
      </c>
      <c r="AR1573">
        <v>37</v>
      </c>
      <c r="AS1573">
        <v>65</v>
      </c>
      <c r="AT1573">
        <v>128</v>
      </c>
      <c r="BB1573" t="str">
        <f t="shared" si="611"/>
        <v>1200</v>
      </c>
      <c r="BC1573">
        <v>1</v>
      </c>
      <c r="BD1573" t="str">
        <f t="shared" si="612"/>
        <v xml:space="preserve">N52156  </v>
      </c>
      <c r="BE1573">
        <v>1</v>
      </c>
      <c r="BG1573">
        <v>0</v>
      </c>
      <c r="BH1573">
        <v>0</v>
      </c>
      <c r="BI1573">
        <v>0</v>
      </c>
      <c r="BJ1573">
        <v>3975</v>
      </c>
      <c r="BK1573">
        <v>-25</v>
      </c>
      <c r="BL1573" t="s">
        <v>188</v>
      </c>
      <c r="BM1573">
        <v>1</v>
      </c>
      <c r="BN1573">
        <v>1</v>
      </c>
      <c r="BO1573">
        <v>0</v>
      </c>
      <c r="BP1573">
        <v>0</v>
      </c>
      <c r="BS1573">
        <v>0</v>
      </c>
      <c r="BT1573">
        <v>0</v>
      </c>
      <c r="BU1573">
        <v>0</v>
      </c>
      <c r="CE1573" t="str">
        <f t="shared" si="623"/>
        <v>15:08:53.329</v>
      </c>
      <c r="CF1573">
        <v>328706974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5</v>
      </c>
      <c r="CY1573">
        <v>7</v>
      </c>
      <c r="CZ1573" t="s">
        <v>133</v>
      </c>
      <c r="DA1573">
        <v>275</v>
      </c>
      <c r="DB1573">
        <v>0</v>
      </c>
      <c r="DC1573" t="s">
        <v>134</v>
      </c>
      <c r="DD1573" t="s">
        <v>135</v>
      </c>
      <c r="DG1573">
        <v>3320540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"05/01/2025 15:08:55.160"</f>
        <v>05/01/2025 15:08:55.160</v>
      </c>
      <c r="C1574" t="str">
        <f t="shared" si="608"/>
        <v>FFDFD3C0</v>
      </c>
      <c r="D1574" t="s">
        <v>140</v>
      </c>
      <c r="E1574" t="str">
        <f>"13"</f>
        <v>13</v>
      </c>
      <c r="F1574">
        <v>1019</v>
      </c>
      <c r="G1574" t="s">
        <v>141</v>
      </c>
      <c r="J1574" t="s">
        <v>142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R1574" t="s">
        <v>127</v>
      </c>
      <c r="S1574" t="str">
        <f t="shared" ref="S1574:T1579" si="624">"15:08:54.000"</f>
        <v>15:08:54.000</v>
      </c>
      <c r="T1574" t="str">
        <f t="shared" si="624"/>
        <v>15:08:54.000</v>
      </c>
      <c r="U1574" t="str">
        <f t="shared" si="610"/>
        <v>A68FCB</v>
      </c>
      <c r="V1574">
        <v>0</v>
      </c>
      <c r="W1574">
        <v>0</v>
      </c>
      <c r="X1574">
        <v>2</v>
      </c>
      <c r="Y1574">
        <v>0</v>
      </c>
      <c r="AA1574">
        <v>1</v>
      </c>
      <c r="AB1574">
        <v>8</v>
      </c>
      <c r="AC1574">
        <v>3</v>
      </c>
      <c r="AD1574">
        <v>0</v>
      </c>
      <c r="AE1574">
        <v>9</v>
      </c>
      <c r="AF1574" t="s">
        <v>138</v>
      </c>
      <c r="AG1574">
        <v>0</v>
      </c>
      <c r="AH1574">
        <v>3</v>
      </c>
      <c r="AI1574">
        <v>2</v>
      </c>
      <c r="AJ1574">
        <v>0</v>
      </c>
      <c r="AK1574" t="s">
        <v>574</v>
      </c>
      <c r="AL1574">
        <v>39.022922999999999</v>
      </c>
      <c r="AM1574" t="s">
        <v>575</v>
      </c>
      <c r="AN1574">
        <v>-121.050239</v>
      </c>
      <c r="AO1574">
        <v>25</v>
      </c>
      <c r="AP1574">
        <v>4000</v>
      </c>
      <c r="AQ1574" t="s">
        <v>131</v>
      </c>
      <c r="AR1574">
        <v>39</v>
      </c>
      <c r="AS1574">
        <v>66</v>
      </c>
      <c r="AT1574">
        <v>64</v>
      </c>
      <c r="BB1574" t="str">
        <f t="shared" si="611"/>
        <v>1200</v>
      </c>
      <c r="BC1574">
        <v>1</v>
      </c>
      <c r="BD1574" t="str">
        <f t="shared" si="612"/>
        <v xml:space="preserve">N52156  </v>
      </c>
      <c r="BE1574">
        <v>1</v>
      </c>
      <c r="BG1574">
        <v>0</v>
      </c>
      <c r="BH1574">
        <v>0</v>
      </c>
      <c r="BI1574">
        <v>0</v>
      </c>
      <c r="BJ1574">
        <v>3975</v>
      </c>
      <c r="BK1574">
        <v>-25</v>
      </c>
      <c r="BL1574" t="s">
        <v>188</v>
      </c>
      <c r="BM1574">
        <v>1</v>
      </c>
      <c r="BN1574">
        <v>1</v>
      </c>
      <c r="BO1574">
        <v>0</v>
      </c>
      <c r="BP1574">
        <v>0</v>
      </c>
      <c r="BS1574">
        <v>0</v>
      </c>
      <c r="BT1574">
        <v>0</v>
      </c>
      <c r="BU1574">
        <v>0</v>
      </c>
      <c r="CE1574" t="str">
        <f t="shared" ref="CE1574:CE1579" si="625">"15:08:54.947"</f>
        <v>15:08:54.947</v>
      </c>
      <c r="CF1574">
        <v>946708874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133</v>
      </c>
      <c r="DA1574">
        <v>275</v>
      </c>
      <c r="DB1574">
        <v>0</v>
      </c>
      <c r="DC1574" t="s">
        <v>134</v>
      </c>
      <c r="DD1574" t="s">
        <v>135</v>
      </c>
      <c r="DG1574">
        <v>3320553</v>
      </c>
      <c r="DI1574">
        <v>1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"05/01/2025 15:08:55.165"</f>
        <v>05/01/2025 15:08:55.165</v>
      </c>
      <c r="C1575" t="str">
        <f t="shared" si="608"/>
        <v>FFDFD3C0</v>
      </c>
      <c r="D1575" t="s">
        <v>145</v>
      </c>
      <c r="E1575" t="str">
        <f>"05"</f>
        <v>05</v>
      </c>
      <c r="H1575">
        <v>47</v>
      </c>
      <c r="I1575" t="s">
        <v>146</v>
      </c>
      <c r="J1575" t="s">
        <v>138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R1575" t="s">
        <v>127</v>
      </c>
      <c r="S1575" t="str">
        <f t="shared" si="624"/>
        <v>15:08:54.000</v>
      </c>
      <c r="T1575" t="str">
        <f t="shared" si="624"/>
        <v>15:08:54.000</v>
      </c>
      <c r="U1575" t="str">
        <f t="shared" si="610"/>
        <v>A68FCB</v>
      </c>
      <c r="V1575">
        <v>0</v>
      </c>
      <c r="W1575">
        <v>0</v>
      </c>
      <c r="X1575">
        <v>2</v>
      </c>
      <c r="Y1575">
        <v>0</v>
      </c>
      <c r="AA1575">
        <v>1</v>
      </c>
      <c r="AB1575">
        <v>8</v>
      </c>
      <c r="AC1575">
        <v>3</v>
      </c>
      <c r="AD1575">
        <v>0</v>
      </c>
      <c r="AE1575">
        <v>9</v>
      </c>
      <c r="AF1575" t="s">
        <v>138</v>
      </c>
      <c r="AG1575">
        <v>0</v>
      </c>
      <c r="AH1575">
        <v>3</v>
      </c>
      <c r="AI1575">
        <v>2</v>
      </c>
      <c r="AJ1575">
        <v>0</v>
      </c>
      <c r="AK1575" t="s">
        <v>574</v>
      </c>
      <c r="AL1575">
        <v>39.022922999999999</v>
      </c>
      <c r="AM1575" t="s">
        <v>575</v>
      </c>
      <c r="AN1575">
        <v>-121.050239</v>
      </c>
      <c r="AO1575">
        <v>25</v>
      </c>
      <c r="AP1575">
        <v>4000</v>
      </c>
      <c r="AQ1575" t="s">
        <v>131</v>
      </c>
      <c r="AR1575">
        <v>39</v>
      </c>
      <c r="AS1575">
        <v>66</v>
      </c>
      <c r="AT1575">
        <v>64</v>
      </c>
      <c r="BB1575" t="str">
        <f t="shared" si="611"/>
        <v>1200</v>
      </c>
      <c r="BC1575">
        <v>1</v>
      </c>
      <c r="BD1575" t="str">
        <f t="shared" si="612"/>
        <v xml:space="preserve">N52156  </v>
      </c>
      <c r="BE1575">
        <v>1</v>
      </c>
      <c r="BG1575">
        <v>0</v>
      </c>
      <c r="BH1575">
        <v>0</v>
      </c>
      <c r="BI1575">
        <v>0</v>
      </c>
      <c r="BJ1575">
        <v>3975</v>
      </c>
      <c r="BK1575">
        <v>-25</v>
      </c>
      <c r="BL1575" t="s">
        <v>188</v>
      </c>
      <c r="BM1575">
        <v>1</v>
      </c>
      <c r="BN1575">
        <v>1</v>
      </c>
      <c r="BO1575">
        <v>0</v>
      </c>
      <c r="BP1575">
        <v>0</v>
      </c>
      <c r="BS1575">
        <v>0</v>
      </c>
      <c r="BT1575">
        <v>0</v>
      </c>
      <c r="BU1575">
        <v>0</v>
      </c>
      <c r="CE1575" t="str">
        <f t="shared" si="625"/>
        <v>15:08:54.947</v>
      </c>
      <c r="CF1575">
        <v>946708874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5</v>
      </c>
      <c r="CY1575">
        <v>7</v>
      </c>
      <c r="CZ1575" t="s">
        <v>133</v>
      </c>
      <c r="DA1575">
        <v>275</v>
      </c>
      <c r="DB1575">
        <v>0</v>
      </c>
      <c r="DC1575" t="s">
        <v>134</v>
      </c>
      <c r="DD1575" t="s">
        <v>135</v>
      </c>
      <c r="DG1575">
        <v>3320553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"05/01/2025 15:08:55.172"</f>
        <v>05/01/2025 15:08:55.172</v>
      </c>
      <c r="C1576" t="str">
        <f t="shared" si="608"/>
        <v>FFDFD3C0</v>
      </c>
      <c r="D1576" t="s">
        <v>143</v>
      </c>
      <c r="E1576" t="str">
        <f>"05"</f>
        <v>05</v>
      </c>
      <c r="H1576">
        <v>172</v>
      </c>
      <c r="I1576" t="s">
        <v>141</v>
      </c>
      <c r="J1576" t="s">
        <v>144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R1576" t="s">
        <v>127</v>
      </c>
      <c r="S1576" t="str">
        <f t="shared" si="624"/>
        <v>15:08:54.000</v>
      </c>
      <c r="T1576" t="str">
        <f t="shared" si="624"/>
        <v>15:08:54.000</v>
      </c>
      <c r="U1576" t="str">
        <f t="shared" si="610"/>
        <v>A68FCB</v>
      </c>
      <c r="V1576">
        <v>0</v>
      </c>
      <c r="W1576">
        <v>0</v>
      </c>
      <c r="X1576">
        <v>2</v>
      </c>
      <c r="Y1576">
        <v>0</v>
      </c>
      <c r="AA1576">
        <v>1</v>
      </c>
      <c r="AB1576">
        <v>8</v>
      </c>
      <c r="AC1576">
        <v>3</v>
      </c>
      <c r="AD1576">
        <v>0</v>
      </c>
      <c r="AE1576">
        <v>9</v>
      </c>
      <c r="AF1576" t="s">
        <v>138</v>
      </c>
      <c r="AG1576">
        <v>0</v>
      </c>
      <c r="AH1576">
        <v>3</v>
      </c>
      <c r="AI1576">
        <v>2</v>
      </c>
      <c r="AJ1576">
        <v>0</v>
      </c>
      <c r="AK1576" t="s">
        <v>574</v>
      </c>
      <c r="AL1576">
        <v>39.022922999999999</v>
      </c>
      <c r="AM1576" t="s">
        <v>575</v>
      </c>
      <c r="AN1576">
        <v>-121.050239</v>
      </c>
      <c r="AO1576">
        <v>25</v>
      </c>
      <c r="AP1576">
        <v>4000</v>
      </c>
      <c r="AQ1576" t="s">
        <v>131</v>
      </c>
      <c r="AR1576">
        <v>39</v>
      </c>
      <c r="AS1576">
        <v>66</v>
      </c>
      <c r="AT1576">
        <v>64</v>
      </c>
      <c r="BB1576" t="str">
        <f t="shared" si="611"/>
        <v>1200</v>
      </c>
      <c r="BC1576">
        <v>1</v>
      </c>
      <c r="BD1576" t="str">
        <f t="shared" si="612"/>
        <v xml:space="preserve">N52156  </v>
      </c>
      <c r="BE1576">
        <v>1</v>
      </c>
      <c r="BG1576">
        <v>0</v>
      </c>
      <c r="BH1576">
        <v>0</v>
      </c>
      <c r="BI1576">
        <v>0</v>
      </c>
      <c r="BJ1576">
        <v>3975</v>
      </c>
      <c r="BK1576">
        <v>-25</v>
      </c>
      <c r="BL1576" t="s">
        <v>188</v>
      </c>
      <c r="BM1576">
        <v>1</v>
      </c>
      <c r="BN1576">
        <v>1</v>
      </c>
      <c r="BO1576">
        <v>0</v>
      </c>
      <c r="BP1576">
        <v>0</v>
      </c>
      <c r="BS1576">
        <v>0</v>
      </c>
      <c r="BT1576">
        <v>0</v>
      </c>
      <c r="BU1576">
        <v>0</v>
      </c>
      <c r="CE1576" t="str">
        <f t="shared" si="625"/>
        <v>15:08:54.947</v>
      </c>
      <c r="CF1576">
        <v>946708874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5</v>
      </c>
      <c r="CY1576">
        <v>7</v>
      </c>
      <c r="CZ1576" t="s">
        <v>133</v>
      </c>
      <c r="DA1576">
        <v>275</v>
      </c>
      <c r="DB1576">
        <v>0</v>
      </c>
      <c r="DC1576" t="s">
        <v>134</v>
      </c>
      <c r="DD1576" t="s">
        <v>135</v>
      </c>
      <c r="DG1576">
        <v>3320553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"05/01/2025 15:08:55.167"</f>
        <v>05/01/2025 15:08:55.167</v>
      </c>
      <c r="C1577" t="str">
        <f t="shared" si="608"/>
        <v>FFDFD3C0</v>
      </c>
      <c r="D1577" t="s">
        <v>124</v>
      </c>
      <c r="E1577" t="str">
        <f>"06"</f>
        <v>06</v>
      </c>
      <c r="F1577">
        <v>2006</v>
      </c>
      <c r="G1577" t="s">
        <v>125</v>
      </c>
      <c r="J1577" t="s">
        <v>126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R1577" t="s">
        <v>127</v>
      </c>
      <c r="S1577" t="str">
        <f t="shared" si="624"/>
        <v>15:08:54.000</v>
      </c>
      <c r="T1577" t="str">
        <f t="shared" si="624"/>
        <v>15:08:54.000</v>
      </c>
      <c r="U1577" t="str">
        <f t="shared" si="610"/>
        <v>A68FCB</v>
      </c>
      <c r="V1577">
        <v>0</v>
      </c>
      <c r="W1577">
        <v>0</v>
      </c>
      <c r="X1577">
        <v>2</v>
      </c>
      <c r="Y1577">
        <v>0</v>
      </c>
      <c r="AA1577">
        <v>1</v>
      </c>
      <c r="AB1577">
        <v>8</v>
      </c>
      <c r="AC1577">
        <v>3</v>
      </c>
      <c r="AD1577">
        <v>0</v>
      </c>
      <c r="AE1577">
        <v>9</v>
      </c>
      <c r="AF1577" t="s">
        <v>138</v>
      </c>
      <c r="AG1577">
        <v>0</v>
      </c>
      <c r="AH1577">
        <v>3</v>
      </c>
      <c r="AI1577">
        <v>2</v>
      </c>
      <c r="AJ1577">
        <v>0</v>
      </c>
      <c r="AK1577" t="s">
        <v>574</v>
      </c>
      <c r="AL1577">
        <v>39.022922999999999</v>
      </c>
      <c r="AM1577" t="s">
        <v>575</v>
      </c>
      <c r="AN1577">
        <v>-121.050239</v>
      </c>
      <c r="AO1577">
        <v>25</v>
      </c>
      <c r="AP1577">
        <v>4000</v>
      </c>
      <c r="AQ1577" t="s">
        <v>131</v>
      </c>
      <c r="AR1577">
        <v>39</v>
      </c>
      <c r="AS1577">
        <v>66</v>
      </c>
      <c r="AT1577">
        <v>64</v>
      </c>
      <c r="BB1577" t="str">
        <f t="shared" si="611"/>
        <v>1200</v>
      </c>
      <c r="BC1577">
        <v>1</v>
      </c>
      <c r="BD1577" t="str">
        <f t="shared" si="612"/>
        <v xml:space="preserve">N52156  </v>
      </c>
      <c r="BE1577">
        <v>1</v>
      </c>
      <c r="BG1577">
        <v>0</v>
      </c>
      <c r="BH1577">
        <v>0</v>
      </c>
      <c r="BI1577">
        <v>0</v>
      </c>
      <c r="BJ1577">
        <v>3975</v>
      </c>
      <c r="BK1577">
        <v>-25</v>
      </c>
      <c r="BL1577" t="s">
        <v>188</v>
      </c>
      <c r="BM1577">
        <v>1</v>
      </c>
      <c r="BN1577">
        <v>1</v>
      </c>
      <c r="BO1577">
        <v>0</v>
      </c>
      <c r="BP1577">
        <v>0</v>
      </c>
      <c r="BS1577">
        <v>0</v>
      </c>
      <c r="BT1577">
        <v>0</v>
      </c>
      <c r="BU1577">
        <v>0</v>
      </c>
      <c r="CE1577" t="str">
        <f t="shared" si="625"/>
        <v>15:08:54.947</v>
      </c>
      <c r="CF1577">
        <v>946708874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133</v>
      </c>
      <c r="DA1577">
        <v>275</v>
      </c>
      <c r="DB1577">
        <v>0</v>
      </c>
      <c r="DC1577" t="s">
        <v>134</v>
      </c>
      <c r="DD1577" t="s">
        <v>135</v>
      </c>
      <c r="DG1577">
        <v>3320553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"05/01/2025 15:08:55.168"</f>
        <v>05/01/2025 15:08:55.168</v>
      </c>
      <c r="C1578" t="str">
        <f t="shared" si="608"/>
        <v>FFDFD3C0</v>
      </c>
      <c r="D1578" t="s">
        <v>145</v>
      </c>
      <c r="E1578" t="str">
        <f>"09"</f>
        <v>09</v>
      </c>
      <c r="H1578">
        <v>51</v>
      </c>
      <c r="I1578" t="s">
        <v>147</v>
      </c>
      <c r="J1578" t="s">
        <v>138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R1578" t="s">
        <v>127</v>
      </c>
      <c r="S1578" t="str">
        <f t="shared" si="624"/>
        <v>15:08:54.000</v>
      </c>
      <c r="T1578" t="str">
        <f t="shared" si="624"/>
        <v>15:08:54.000</v>
      </c>
      <c r="U1578" t="str">
        <f t="shared" si="610"/>
        <v>A68FCB</v>
      </c>
      <c r="V1578">
        <v>0</v>
      </c>
      <c r="W1578">
        <v>0</v>
      </c>
      <c r="X1578">
        <v>2</v>
      </c>
      <c r="Y1578">
        <v>0</v>
      </c>
      <c r="AA1578">
        <v>1</v>
      </c>
      <c r="AB1578">
        <v>8</v>
      </c>
      <c r="AC1578">
        <v>3</v>
      </c>
      <c r="AD1578">
        <v>0</v>
      </c>
      <c r="AE1578">
        <v>9</v>
      </c>
      <c r="AF1578" t="s">
        <v>138</v>
      </c>
      <c r="AG1578">
        <v>0</v>
      </c>
      <c r="AH1578">
        <v>3</v>
      </c>
      <c r="AI1578">
        <v>2</v>
      </c>
      <c r="AJ1578">
        <v>0</v>
      </c>
      <c r="AK1578" t="s">
        <v>574</v>
      </c>
      <c r="AL1578">
        <v>39.022922999999999</v>
      </c>
      <c r="AM1578" t="s">
        <v>575</v>
      </c>
      <c r="AN1578">
        <v>-121.050239</v>
      </c>
      <c r="AO1578">
        <v>25</v>
      </c>
      <c r="AP1578">
        <v>4000</v>
      </c>
      <c r="AQ1578" t="s">
        <v>131</v>
      </c>
      <c r="AR1578">
        <v>39</v>
      </c>
      <c r="AS1578">
        <v>66</v>
      </c>
      <c r="AT1578">
        <v>64</v>
      </c>
      <c r="BB1578" t="str">
        <f t="shared" si="611"/>
        <v>1200</v>
      </c>
      <c r="BC1578">
        <v>1</v>
      </c>
      <c r="BD1578" t="str">
        <f t="shared" si="612"/>
        <v xml:space="preserve">N52156  </v>
      </c>
      <c r="BE1578">
        <v>1</v>
      </c>
      <c r="BG1578">
        <v>0</v>
      </c>
      <c r="BH1578">
        <v>0</v>
      </c>
      <c r="BI1578">
        <v>0</v>
      </c>
      <c r="BJ1578">
        <v>3975</v>
      </c>
      <c r="BK1578">
        <v>-25</v>
      </c>
      <c r="BL1578" t="s">
        <v>188</v>
      </c>
      <c r="BM1578">
        <v>1</v>
      </c>
      <c r="BN1578">
        <v>1</v>
      </c>
      <c r="BO1578">
        <v>0</v>
      </c>
      <c r="BP1578">
        <v>0</v>
      </c>
      <c r="BS1578">
        <v>0</v>
      </c>
      <c r="BT1578">
        <v>0</v>
      </c>
      <c r="BU1578">
        <v>0</v>
      </c>
      <c r="CE1578" t="str">
        <f t="shared" si="625"/>
        <v>15:08:54.947</v>
      </c>
      <c r="CF1578">
        <v>946708874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5</v>
      </c>
      <c r="CY1578">
        <v>7</v>
      </c>
      <c r="CZ1578" t="s">
        <v>133</v>
      </c>
      <c r="DA1578">
        <v>275</v>
      </c>
      <c r="DB1578">
        <v>0</v>
      </c>
      <c r="DC1578" t="s">
        <v>134</v>
      </c>
      <c r="DD1578" t="s">
        <v>135</v>
      </c>
      <c r="DG1578">
        <v>3320553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"05/01/2025 15:08:55.177"</f>
        <v>05/01/2025 15:08:55.177</v>
      </c>
      <c r="C1579" t="str">
        <f t="shared" si="608"/>
        <v>FFDFD3C0</v>
      </c>
      <c r="D1579" t="s">
        <v>136</v>
      </c>
      <c r="E1579" t="str">
        <f>"20"</f>
        <v>20</v>
      </c>
      <c r="H1579">
        <v>400</v>
      </c>
      <c r="I1579" t="s">
        <v>137</v>
      </c>
      <c r="J1579" t="s">
        <v>138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R1579" t="s">
        <v>127</v>
      </c>
      <c r="S1579" t="str">
        <f t="shared" si="624"/>
        <v>15:08:54.000</v>
      </c>
      <c r="T1579" t="str">
        <f t="shared" si="624"/>
        <v>15:08:54.000</v>
      </c>
      <c r="U1579" t="str">
        <f t="shared" si="610"/>
        <v>A68FCB</v>
      </c>
      <c r="V1579">
        <v>0</v>
      </c>
      <c r="W1579">
        <v>0</v>
      </c>
      <c r="X1579">
        <v>2</v>
      </c>
      <c r="Y1579">
        <v>0</v>
      </c>
      <c r="AA1579">
        <v>1</v>
      </c>
      <c r="AB1579">
        <v>8</v>
      </c>
      <c r="AC1579">
        <v>3</v>
      </c>
      <c r="AD1579">
        <v>0</v>
      </c>
      <c r="AE1579">
        <v>9</v>
      </c>
      <c r="AF1579" t="s">
        <v>138</v>
      </c>
      <c r="AG1579">
        <v>0</v>
      </c>
      <c r="AH1579">
        <v>3</v>
      </c>
      <c r="AI1579">
        <v>2</v>
      </c>
      <c r="AJ1579">
        <v>0</v>
      </c>
      <c r="AK1579" t="s">
        <v>574</v>
      </c>
      <c r="AL1579">
        <v>39.022922999999999</v>
      </c>
      <c r="AM1579" t="s">
        <v>575</v>
      </c>
      <c r="AN1579">
        <v>-121.050239</v>
      </c>
      <c r="AO1579">
        <v>25</v>
      </c>
      <c r="AP1579">
        <v>4000</v>
      </c>
      <c r="AQ1579" t="s">
        <v>131</v>
      </c>
      <c r="AR1579">
        <v>39</v>
      </c>
      <c r="AS1579">
        <v>66</v>
      </c>
      <c r="AT1579">
        <v>64</v>
      </c>
      <c r="BB1579" t="str">
        <f t="shared" si="611"/>
        <v>1200</v>
      </c>
      <c r="BC1579">
        <v>1</v>
      </c>
      <c r="BD1579" t="str">
        <f t="shared" si="612"/>
        <v xml:space="preserve">N52156  </v>
      </c>
      <c r="BE1579">
        <v>1</v>
      </c>
      <c r="BG1579">
        <v>0</v>
      </c>
      <c r="BH1579">
        <v>0</v>
      </c>
      <c r="BI1579">
        <v>0</v>
      </c>
      <c r="BJ1579">
        <v>3975</v>
      </c>
      <c r="BK1579">
        <v>-25</v>
      </c>
      <c r="BL1579" t="s">
        <v>188</v>
      </c>
      <c r="BM1579">
        <v>1</v>
      </c>
      <c r="BN1579">
        <v>1</v>
      </c>
      <c r="BO1579">
        <v>0</v>
      </c>
      <c r="BP1579">
        <v>0</v>
      </c>
      <c r="BS1579">
        <v>0</v>
      </c>
      <c r="BT1579">
        <v>0</v>
      </c>
      <c r="BU1579">
        <v>0</v>
      </c>
      <c r="CE1579" t="str">
        <f t="shared" si="625"/>
        <v>15:08:54.947</v>
      </c>
      <c r="CF1579">
        <v>946708874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5</v>
      </c>
      <c r="CY1579">
        <v>7</v>
      </c>
      <c r="CZ1579" t="s">
        <v>133</v>
      </c>
      <c r="DA1579">
        <v>275</v>
      </c>
      <c r="DB1579">
        <v>0</v>
      </c>
      <c r="DC1579" t="s">
        <v>134</v>
      </c>
      <c r="DD1579" t="s">
        <v>135</v>
      </c>
      <c r="DG1579">
        <v>3320553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"05/01/2025 15:08:55.710"</f>
        <v>05/01/2025 15:08:55.710</v>
      </c>
      <c r="C1580" t="str">
        <f t="shared" si="608"/>
        <v>FFDFD3C0</v>
      </c>
      <c r="D1580" t="s">
        <v>140</v>
      </c>
      <c r="E1580" t="str">
        <f>"13"</f>
        <v>13</v>
      </c>
      <c r="F1580">
        <v>1019</v>
      </c>
      <c r="G1580" t="s">
        <v>141</v>
      </c>
      <c r="J1580" t="s">
        <v>142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R1580" t="s">
        <v>127</v>
      </c>
      <c r="S1580" t="str">
        <f t="shared" ref="S1580:T1585" si="626">"15:08:55.000"</f>
        <v>15:08:55.000</v>
      </c>
      <c r="T1580" t="str">
        <f t="shared" si="626"/>
        <v>15:08:55.000</v>
      </c>
      <c r="U1580" t="str">
        <f t="shared" si="610"/>
        <v>A68FCB</v>
      </c>
      <c r="V1580">
        <v>0</v>
      </c>
      <c r="W1580">
        <v>0</v>
      </c>
      <c r="X1580">
        <v>2</v>
      </c>
      <c r="Y1580">
        <v>0</v>
      </c>
      <c r="AA1580">
        <v>1</v>
      </c>
      <c r="AB1580">
        <v>8</v>
      </c>
      <c r="AC1580">
        <v>3</v>
      </c>
      <c r="AD1580">
        <v>0</v>
      </c>
      <c r="AE1580">
        <v>9</v>
      </c>
      <c r="AF1580" t="s">
        <v>138</v>
      </c>
      <c r="AG1580">
        <v>0</v>
      </c>
      <c r="AH1580">
        <v>3</v>
      </c>
      <c r="AI1580">
        <v>2</v>
      </c>
      <c r="AJ1580">
        <v>0</v>
      </c>
      <c r="AK1580" t="s">
        <v>576</v>
      </c>
      <c r="AL1580">
        <v>39.023223000000002</v>
      </c>
      <c r="AM1580" t="s">
        <v>333</v>
      </c>
      <c r="AN1580">
        <v>-121.050003</v>
      </c>
      <c r="AO1580">
        <v>25</v>
      </c>
      <c r="AP1580">
        <v>4000</v>
      </c>
      <c r="AQ1580" t="s">
        <v>131</v>
      </c>
      <c r="AR1580">
        <v>39</v>
      </c>
      <c r="AS1580">
        <v>66</v>
      </c>
      <c r="AT1580">
        <v>0</v>
      </c>
      <c r="BB1580" t="str">
        <f t="shared" si="611"/>
        <v>1200</v>
      </c>
      <c r="BC1580">
        <v>1</v>
      </c>
      <c r="BD1580" t="str">
        <f t="shared" si="612"/>
        <v xml:space="preserve">N52156  </v>
      </c>
      <c r="BE1580">
        <v>1</v>
      </c>
      <c r="BG1580">
        <v>0</v>
      </c>
      <c r="BH1580">
        <v>0</v>
      </c>
      <c r="BI1580">
        <v>0</v>
      </c>
      <c r="BJ1580">
        <v>3975</v>
      </c>
      <c r="BK1580">
        <v>-25</v>
      </c>
      <c r="BL1580" t="s">
        <v>188</v>
      </c>
      <c r="BM1580">
        <v>1</v>
      </c>
      <c r="BN1580">
        <v>1</v>
      </c>
      <c r="BO1580">
        <v>0</v>
      </c>
      <c r="BP1580">
        <v>0</v>
      </c>
      <c r="BS1580">
        <v>0</v>
      </c>
      <c r="BT1580">
        <v>0</v>
      </c>
      <c r="BU1580">
        <v>0</v>
      </c>
      <c r="CE1580" t="str">
        <f t="shared" ref="CE1580:CE1585" si="627">"15:08:55.484"</f>
        <v>15:08:55.484</v>
      </c>
      <c r="CF1580">
        <v>483957796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5</v>
      </c>
      <c r="CY1580">
        <v>7</v>
      </c>
      <c r="CZ1580" t="s">
        <v>133</v>
      </c>
      <c r="DA1580">
        <v>275</v>
      </c>
      <c r="DB1580">
        <v>0</v>
      </c>
      <c r="DC1580" t="s">
        <v>134</v>
      </c>
      <c r="DD1580" t="s">
        <v>135</v>
      </c>
      <c r="DG1580">
        <v>3320561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"05/01/2025 15:08:55.716"</f>
        <v>05/01/2025 15:08:55.716</v>
      </c>
      <c r="C1581" t="str">
        <f t="shared" si="608"/>
        <v>FFDFD3C0</v>
      </c>
      <c r="D1581" t="s">
        <v>145</v>
      </c>
      <c r="E1581" t="str">
        <f>"05"</f>
        <v>05</v>
      </c>
      <c r="H1581">
        <v>47</v>
      </c>
      <c r="I1581" t="s">
        <v>146</v>
      </c>
      <c r="J1581" t="s">
        <v>138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R1581" t="s">
        <v>127</v>
      </c>
      <c r="S1581" t="str">
        <f t="shared" si="626"/>
        <v>15:08:55.000</v>
      </c>
      <c r="T1581" t="str">
        <f t="shared" si="626"/>
        <v>15:08:55.000</v>
      </c>
      <c r="U1581" t="str">
        <f t="shared" si="610"/>
        <v>A68FCB</v>
      </c>
      <c r="V1581">
        <v>0</v>
      </c>
      <c r="W1581">
        <v>0</v>
      </c>
      <c r="X1581">
        <v>2</v>
      </c>
      <c r="Y1581">
        <v>0</v>
      </c>
      <c r="AA1581">
        <v>1</v>
      </c>
      <c r="AB1581">
        <v>8</v>
      </c>
      <c r="AC1581">
        <v>3</v>
      </c>
      <c r="AD1581">
        <v>0</v>
      </c>
      <c r="AE1581">
        <v>9</v>
      </c>
      <c r="AF1581" t="s">
        <v>138</v>
      </c>
      <c r="AG1581">
        <v>0</v>
      </c>
      <c r="AH1581">
        <v>3</v>
      </c>
      <c r="AI1581">
        <v>2</v>
      </c>
      <c r="AJ1581">
        <v>0</v>
      </c>
      <c r="AK1581" t="s">
        <v>576</v>
      </c>
      <c r="AL1581">
        <v>39.023223000000002</v>
      </c>
      <c r="AM1581" t="s">
        <v>333</v>
      </c>
      <c r="AN1581">
        <v>-121.050003</v>
      </c>
      <c r="AO1581">
        <v>25</v>
      </c>
      <c r="AP1581">
        <v>4000</v>
      </c>
      <c r="AQ1581" t="s">
        <v>131</v>
      </c>
      <c r="AR1581">
        <v>39</v>
      </c>
      <c r="AS1581">
        <v>66</v>
      </c>
      <c r="AT1581">
        <v>0</v>
      </c>
      <c r="BB1581" t="str">
        <f t="shared" si="611"/>
        <v>1200</v>
      </c>
      <c r="BC1581">
        <v>1</v>
      </c>
      <c r="BD1581" t="str">
        <f t="shared" si="612"/>
        <v xml:space="preserve">N52156  </v>
      </c>
      <c r="BE1581">
        <v>1</v>
      </c>
      <c r="BG1581">
        <v>0</v>
      </c>
      <c r="BH1581">
        <v>0</v>
      </c>
      <c r="BI1581">
        <v>0</v>
      </c>
      <c r="BJ1581">
        <v>3975</v>
      </c>
      <c r="BK1581">
        <v>-25</v>
      </c>
      <c r="BL1581" t="s">
        <v>188</v>
      </c>
      <c r="BM1581">
        <v>1</v>
      </c>
      <c r="BN1581">
        <v>1</v>
      </c>
      <c r="BO1581">
        <v>0</v>
      </c>
      <c r="BP1581">
        <v>0</v>
      </c>
      <c r="BS1581">
        <v>0</v>
      </c>
      <c r="BT1581">
        <v>0</v>
      </c>
      <c r="BU1581">
        <v>0</v>
      </c>
      <c r="CE1581" t="str">
        <f t="shared" si="627"/>
        <v>15:08:55.484</v>
      </c>
      <c r="CF1581">
        <v>483957796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5</v>
      </c>
      <c r="CY1581">
        <v>7</v>
      </c>
      <c r="CZ1581" t="s">
        <v>133</v>
      </c>
      <c r="DA1581">
        <v>275</v>
      </c>
      <c r="DB1581">
        <v>0</v>
      </c>
      <c r="DC1581" t="s">
        <v>134</v>
      </c>
      <c r="DD1581" t="s">
        <v>135</v>
      </c>
      <c r="DG1581">
        <v>3320561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"05/01/2025 15:08:55.719"</f>
        <v>05/01/2025 15:08:55.719</v>
      </c>
      <c r="C1582" t="str">
        <f t="shared" si="608"/>
        <v>FFDFD3C0</v>
      </c>
      <c r="D1582" t="s">
        <v>145</v>
      </c>
      <c r="E1582" t="str">
        <f>"09"</f>
        <v>09</v>
      </c>
      <c r="H1582">
        <v>51</v>
      </c>
      <c r="I1582" t="s">
        <v>147</v>
      </c>
      <c r="J1582" t="s">
        <v>138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R1582" t="s">
        <v>127</v>
      </c>
      <c r="S1582" t="str">
        <f t="shared" si="626"/>
        <v>15:08:55.000</v>
      </c>
      <c r="T1582" t="str">
        <f t="shared" si="626"/>
        <v>15:08:55.000</v>
      </c>
      <c r="U1582" t="str">
        <f t="shared" si="610"/>
        <v>A68FCB</v>
      </c>
      <c r="V1582">
        <v>0</v>
      </c>
      <c r="W1582">
        <v>0</v>
      </c>
      <c r="X1582">
        <v>2</v>
      </c>
      <c r="Y1582">
        <v>0</v>
      </c>
      <c r="AA1582">
        <v>1</v>
      </c>
      <c r="AB1582">
        <v>8</v>
      </c>
      <c r="AC1582">
        <v>3</v>
      </c>
      <c r="AD1582">
        <v>0</v>
      </c>
      <c r="AE1582">
        <v>9</v>
      </c>
      <c r="AF1582" t="s">
        <v>138</v>
      </c>
      <c r="AG1582">
        <v>0</v>
      </c>
      <c r="AH1582">
        <v>3</v>
      </c>
      <c r="AI1582">
        <v>2</v>
      </c>
      <c r="AJ1582">
        <v>0</v>
      </c>
      <c r="AK1582" t="s">
        <v>576</v>
      </c>
      <c r="AL1582">
        <v>39.023223000000002</v>
      </c>
      <c r="AM1582" t="s">
        <v>333</v>
      </c>
      <c r="AN1582">
        <v>-121.050003</v>
      </c>
      <c r="AO1582">
        <v>25</v>
      </c>
      <c r="AP1582">
        <v>4000</v>
      </c>
      <c r="AQ1582" t="s">
        <v>131</v>
      </c>
      <c r="AR1582">
        <v>39</v>
      </c>
      <c r="AS1582">
        <v>66</v>
      </c>
      <c r="AT1582">
        <v>0</v>
      </c>
      <c r="BB1582" t="str">
        <f t="shared" si="611"/>
        <v>1200</v>
      </c>
      <c r="BC1582">
        <v>1</v>
      </c>
      <c r="BD1582" t="str">
        <f t="shared" si="612"/>
        <v xml:space="preserve">N52156  </v>
      </c>
      <c r="BE1582">
        <v>1</v>
      </c>
      <c r="BG1582">
        <v>0</v>
      </c>
      <c r="BH1582">
        <v>0</v>
      </c>
      <c r="BI1582">
        <v>0</v>
      </c>
      <c r="BJ1582">
        <v>3975</v>
      </c>
      <c r="BK1582">
        <v>-25</v>
      </c>
      <c r="BL1582" t="s">
        <v>188</v>
      </c>
      <c r="BM1582">
        <v>1</v>
      </c>
      <c r="BN1582">
        <v>1</v>
      </c>
      <c r="BO1582">
        <v>0</v>
      </c>
      <c r="BP1582">
        <v>0</v>
      </c>
      <c r="BS1582">
        <v>0</v>
      </c>
      <c r="BT1582">
        <v>0</v>
      </c>
      <c r="BU1582">
        <v>0</v>
      </c>
      <c r="CE1582" t="str">
        <f t="shared" si="627"/>
        <v>15:08:55.484</v>
      </c>
      <c r="CF1582">
        <v>483957796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5</v>
      </c>
      <c r="CY1582">
        <v>7</v>
      </c>
      <c r="CZ1582" t="s">
        <v>133</v>
      </c>
      <c r="DA1582">
        <v>275</v>
      </c>
      <c r="DB1582">
        <v>0</v>
      </c>
      <c r="DC1582" t="s">
        <v>134</v>
      </c>
      <c r="DD1582" t="s">
        <v>135</v>
      </c>
      <c r="DG1582">
        <v>3320561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"05/01/2025 15:08:55.718"</f>
        <v>05/01/2025 15:08:55.718</v>
      </c>
      <c r="C1583" t="str">
        <f t="shared" si="608"/>
        <v>FFDFD3C0</v>
      </c>
      <c r="D1583" t="s">
        <v>124</v>
      </c>
      <c r="E1583" t="str">
        <f>"06"</f>
        <v>06</v>
      </c>
      <c r="F1583">
        <v>2006</v>
      </c>
      <c r="G1583" t="s">
        <v>125</v>
      </c>
      <c r="J1583" t="s">
        <v>126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R1583" t="s">
        <v>127</v>
      </c>
      <c r="S1583" t="str">
        <f t="shared" si="626"/>
        <v>15:08:55.000</v>
      </c>
      <c r="T1583" t="str">
        <f t="shared" si="626"/>
        <v>15:08:55.000</v>
      </c>
      <c r="U1583" t="str">
        <f t="shared" si="610"/>
        <v>A68FCB</v>
      </c>
      <c r="V1583">
        <v>0</v>
      </c>
      <c r="W1583">
        <v>0</v>
      </c>
      <c r="X1583">
        <v>2</v>
      </c>
      <c r="Y1583">
        <v>0</v>
      </c>
      <c r="AA1583">
        <v>1</v>
      </c>
      <c r="AB1583">
        <v>8</v>
      </c>
      <c r="AC1583">
        <v>3</v>
      </c>
      <c r="AD1583">
        <v>0</v>
      </c>
      <c r="AE1583">
        <v>9</v>
      </c>
      <c r="AF1583" t="s">
        <v>138</v>
      </c>
      <c r="AG1583">
        <v>0</v>
      </c>
      <c r="AH1583">
        <v>3</v>
      </c>
      <c r="AI1583">
        <v>2</v>
      </c>
      <c r="AJ1583">
        <v>0</v>
      </c>
      <c r="AK1583" t="s">
        <v>576</v>
      </c>
      <c r="AL1583">
        <v>39.023223000000002</v>
      </c>
      <c r="AM1583" t="s">
        <v>333</v>
      </c>
      <c r="AN1583">
        <v>-121.050003</v>
      </c>
      <c r="AO1583">
        <v>25</v>
      </c>
      <c r="AP1583">
        <v>4000</v>
      </c>
      <c r="AQ1583" t="s">
        <v>131</v>
      </c>
      <c r="AR1583">
        <v>39</v>
      </c>
      <c r="AS1583">
        <v>66</v>
      </c>
      <c r="AT1583">
        <v>0</v>
      </c>
      <c r="BB1583" t="str">
        <f t="shared" si="611"/>
        <v>1200</v>
      </c>
      <c r="BC1583">
        <v>1</v>
      </c>
      <c r="BD1583" t="str">
        <f t="shared" si="612"/>
        <v xml:space="preserve">N52156  </v>
      </c>
      <c r="BE1583">
        <v>1</v>
      </c>
      <c r="BG1583">
        <v>0</v>
      </c>
      <c r="BH1583">
        <v>0</v>
      </c>
      <c r="BI1583">
        <v>0</v>
      </c>
      <c r="BJ1583">
        <v>3975</v>
      </c>
      <c r="BK1583">
        <v>-25</v>
      </c>
      <c r="BL1583" t="s">
        <v>188</v>
      </c>
      <c r="BM1583">
        <v>1</v>
      </c>
      <c r="BN1583">
        <v>1</v>
      </c>
      <c r="BO1583">
        <v>0</v>
      </c>
      <c r="BP1583">
        <v>0</v>
      </c>
      <c r="BS1583">
        <v>0</v>
      </c>
      <c r="BT1583">
        <v>0</v>
      </c>
      <c r="BU1583">
        <v>0</v>
      </c>
      <c r="CE1583" t="str">
        <f t="shared" si="627"/>
        <v>15:08:55.484</v>
      </c>
      <c r="CF1583">
        <v>483957796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5</v>
      </c>
      <c r="CY1583">
        <v>7</v>
      </c>
      <c r="CZ1583" t="s">
        <v>133</v>
      </c>
      <c r="DA1583">
        <v>275</v>
      </c>
      <c r="DB1583">
        <v>0</v>
      </c>
      <c r="DC1583" t="s">
        <v>134</v>
      </c>
      <c r="DD1583" t="s">
        <v>135</v>
      </c>
      <c r="DG1583">
        <v>3320561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"05/01/2025 15:08:55.723"</f>
        <v>05/01/2025 15:08:55.723</v>
      </c>
      <c r="C1584" t="str">
        <f t="shared" si="608"/>
        <v>FFDFD3C0</v>
      </c>
      <c r="D1584" t="s">
        <v>143</v>
      </c>
      <c r="E1584" t="str">
        <f>"05"</f>
        <v>05</v>
      </c>
      <c r="H1584">
        <v>172</v>
      </c>
      <c r="I1584" t="s">
        <v>141</v>
      </c>
      <c r="J1584" t="s">
        <v>144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R1584" t="s">
        <v>127</v>
      </c>
      <c r="S1584" t="str">
        <f t="shared" si="626"/>
        <v>15:08:55.000</v>
      </c>
      <c r="T1584" t="str">
        <f t="shared" si="626"/>
        <v>15:08:55.000</v>
      </c>
      <c r="U1584" t="str">
        <f t="shared" si="610"/>
        <v>A68FCB</v>
      </c>
      <c r="V1584">
        <v>0</v>
      </c>
      <c r="W1584">
        <v>0</v>
      </c>
      <c r="X1584">
        <v>2</v>
      </c>
      <c r="Y1584">
        <v>0</v>
      </c>
      <c r="AA1584">
        <v>1</v>
      </c>
      <c r="AB1584">
        <v>8</v>
      </c>
      <c r="AC1584">
        <v>3</v>
      </c>
      <c r="AD1584">
        <v>0</v>
      </c>
      <c r="AE1584">
        <v>9</v>
      </c>
      <c r="AF1584" t="s">
        <v>138</v>
      </c>
      <c r="AG1584">
        <v>0</v>
      </c>
      <c r="AH1584">
        <v>3</v>
      </c>
      <c r="AI1584">
        <v>2</v>
      </c>
      <c r="AJ1584">
        <v>0</v>
      </c>
      <c r="AK1584" t="s">
        <v>576</v>
      </c>
      <c r="AL1584">
        <v>39.023223000000002</v>
      </c>
      <c r="AM1584" t="s">
        <v>333</v>
      </c>
      <c r="AN1584">
        <v>-121.050003</v>
      </c>
      <c r="AO1584">
        <v>25</v>
      </c>
      <c r="AP1584">
        <v>4000</v>
      </c>
      <c r="AQ1584" t="s">
        <v>131</v>
      </c>
      <c r="AR1584">
        <v>39</v>
      </c>
      <c r="AS1584">
        <v>66</v>
      </c>
      <c r="AT1584">
        <v>0</v>
      </c>
      <c r="BB1584" t="str">
        <f t="shared" si="611"/>
        <v>1200</v>
      </c>
      <c r="BC1584">
        <v>1</v>
      </c>
      <c r="BD1584" t="str">
        <f t="shared" si="612"/>
        <v xml:space="preserve">N52156  </v>
      </c>
      <c r="BE1584">
        <v>1</v>
      </c>
      <c r="BG1584">
        <v>0</v>
      </c>
      <c r="BH1584">
        <v>0</v>
      </c>
      <c r="BI1584">
        <v>0</v>
      </c>
      <c r="BJ1584">
        <v>3975</v>
      </c>
      <c r="BK1584">
        <v>-25</v>
      </c>
      <c r="BL1584" t="s">
        <v>188</v>
      </c>
      <c r="BM1584">
        <v>1</v>
      </c>
      <c r="BN1584">
        <v>1</v>
      </c>
      <c r="BO1584">
        <v>0</v>
      </c>
      <c r="BP1584">
        <v>0</v>
      </c>
      <c r="BS1584">
        <v>0</v>
      </c>
      <c r="BT1584">
        <v>0</v>
      </c>
      <c r="BU1584">
        <v>0</v>
      </c>
      <c r="CE1584" t="str">
        <f t="shared" si="627"/>
        <v>15:08:55.484</v>
      </c>
      <c r="CF1584">
        <v>483957796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133</v>
      </c>
      <c r="DA1584">
        <v>275</v>
      </c>
      <c r="DB1584">
        <v>0</v>
      </c>
      <c r="DC1584" t="s">
        <v>134</v>
      </c>
      <c r="DD1584" t="s">
        <v>135</v>
      </c>
      <c r="DG1584">
        <v>3320561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"05/01/2025 15:08:55.728"</f>
        <v>05/01/2025 15:08:55.728</v>
      </c>
      <c r="C1585" t="str">
        <f t="shared" si="608"/>
        <v>FFDFD3C0</v>
      </c>
      <c r="D1585" t="s">
        <v>136</v>
      </c>
      <c r="E1585" t="str">
        <f>"20"</f>
        <v>20</v>
      </c>
      <c r="H1585">
        <v>400</v>
      </c>
      <c r="I1585" t="s">
        <v>137</v>
      </c>
      <c r="J1585" t="s">
        <v>138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R1585" t="s">
        <v>127</v>
      </c>
      <c r="S1585" t="str">
        <f t="shared" si="626"/>
        <v>15:08:55.000</v>
      </c>
      <c r="T1585" t="str">
        <f t="shared" si="626"/>
        <v>15:08:55.000</v>
      </c>
      <c r="U1585" t="str">
        <f t="shared" si="610"/>
        <v>A68FCB</v>
      </c>
      <c r="V1585">
        <v>0</v>
      </c>
      <c r="W1585">
        <v>0</v>
      </c>
      <c r="X1585">
        <v>2</v>
      </c>
      <c r="Y1585">
        <v>0</v>
      </c>
      <c r="AA1585">
        <v>1</v>
      </c>
      <c r="AB1585">
        <v>8</v>
      </c>
      <c r="AC1585">
        <v>3</v>
      </c>
      <c r="AD1585">
        <v>0</v>
      </c>
      <c r="AE1585">
        <v>9</v>
      </c>
      <c r="AF1585" t="s">
        <v>138</v>
      </c>
      <c r="AG1585">
        <v>0</v>
      </c>
      <c r="AH1585">
        <v>3</v>
      </c>
      <c r="AI1585">
        <v>2</v>
      </c>
      <c r="AJ1585">
        <v>0</v>
      </c>
      <c r="AK1585" t="s">
        <v>576</v>
      </c>
      <c r="AL1585">
        <v>39.023223000000002</v>
      </c>
      <c r="AM1585" t="s">
        <v>333</v>
      </c>
      <c r="AN1585">
        <v>-121.050003</v>
      </c>
      <c r="AO1585">
        <v>25</v>
      </c>
      <c r="AP1585">
        <v>4000</v>
      </c>
      <c r="AQ1585" t="s">
        <v>131</v>
      </c>
      <c r="AR1585">
        <v>39</v>
      </c>
      <c r="AS1585">
        <v>66</v>
      </c>
      <c r="AT1585">
        <v>0</v>
      </c>
      <c r="BB1585" t="str">
        <f t="shared" si="611"/>
        <v>1200</v>
      </c>
      <c r="BC1585">
        <v>1</v>
      </c>
      <c r="BD1585" t="str">
        <f t="shared" si="612"/>
        <v xml:space="preserve">N52156  </v>
      </c>
      <c r="BE1585">
        <v>1</v>
      </c>
      <c r="BG1585">
        <v>0</v>
      </c>
      <c r="BH1585">
        <v>0</v>
      </c>
      <c r="BI1585">
        <v>0</v>
      </c>
      <c r="BJ1585">
        <v>3975</v>
      </c>
      <c r="BK1585">
        <v>-25</v>
      </c>
      <c r="BL1585" t="s">
        <v>188</v>
      </c>
      <c r="BM1585">
        <v>1</v>
      </c>
      <c r="BN1585">
        <v>1</v>
      </c>
      <c r="BO1585">
        <v>0</v>
      </c>
      <c r="BP1585">
        <v>0</v>
      </c>
      <c r="BS1585">
        <v>0</v>
      </c>
      <c r="BT1585">
        <v>0</v>
      </c>
      <c r="BU1585">
        <v>0</v>
      </c>
      <c r="CE1585" t="str">
        <f t="shared" si="627"/>
        <v>15:08:55.484</v>
      </c>
      <c r="CF1585">
        <v>483957796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133</v>
      </c>
      <c r="DA1585">
        <v>275</v>
      </c>
      <c r="DB1585">
        <v>0</v>
      </c>
      <c r="DC1585" t="s">
        <v>134</v>
      </c>
      <c r="DD1585" t="s">
        <v>135</v>
      </c>
      <c r="DG1585">
        <v>3320561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"05/01/2025 15:08:56.511"</f>
        <v>05/01/2025 15:08:56.511</v>
      </c>
      <c r="C1586" t="str">
        <f t="shared" si="608"/>
        <v>FFDFD3C0</v>
      </c>
      <c r="D1586" t="s">
        <v>140</v>
      </c>
      <c r="E1586" t="str">
        <f>"13"</f>
        <v>13</v>
      </c>
      <c r="F1586">
        <v>1019</v>
      </c>
      <c r="G1586" t="s">
        <v>141</v>
      </c>
      <c r="J1586" t="s">
        <v>142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R1586" t="s">
        <v>127</v>
      </c>
      <c r="S1586" t="str">
        <f t="shared" ref="S1586:T1591" si="628">"15:08:56.000"</f>
        <v>15:08:56.000</v>
      </c>
      <c r="T1586" t="str">
        <f t="shared" si="628"/>
        <v>15:08:56.000</v>
      </c>
      <c r="U1586" t="str">
        <f t="shared" si="610"/>
        <v>A68FCB</v>
      </c>
      <c r="V1586">
        <v>0</v>
      </c>
      <c r="W1586">
        <v>0</v>
      </c>
      <c r="X1586">
        <v>2</v>
      </c>
      <c r="Y1586">
        <v>0</v>
      </c>
      <c r="AA1586">
        <v>1</v>
      </c>
      <c r="AB1586">
        <v>8</v>
      </c>
      <c r="AC1586">
        <v>3</v>
      </c>
      <c r="AD1586">
        <v>0</v>
      </c>
      <c r="AE1586">
        <v>9</v>
      </c>
      <c r="AF1586" t="s">
        <v>138</v>
      </c>
      <c r="AG1586">
        <v>0</v>
      </c>
      <c r="AH1586">
        <v>3</v>
      </c>
      <c r="AI1586">
        <v>2</v>
      </c>
      <c r="AJ1586">
        <v>0</v>
      </c>
      <c r="AK1586" t="s">
        <v>577</v>
      </c>
      <c r="AL1586">
        <v>39.023544999999999</v>
      </c>
      <c r="AM1586" t="s">
        <v>318</v>
      </c>
      <c r="AN1586">
        <v>-121.04978800000001</v>
      </c>
      <c r="AO1586">
        <v>25</v>
      </c>
      <c r="AP1586">
        <v>4000</v>
      </c>
      <c r="AQ1586" t="s">
        <v>131</v>
      </c>
      <c r="AR1586">
        <v>39</v>
      </c>
      <c r="AS1586">
        <v>66</v>
      </c>
      <c r="AT1586">
        <v>64</v>
      </c>
      <c r="BB1586" t="str">
        <f t="shared" si="611"/>
        <v>1200</v>
      </c>
      <c r="BC1586">
        <v>1</v>
      </c>
      <c r="BD1586" t="str">
        <f t="shared" si="612"/>
        <v xml:space="preserve">N52156  </v>
      </c>
      <c r="BE1586">
        <v>1</v>
      </c>
      <c r="BG1586">
        <v>0</v>
      </c>
      <c r="BH1586">
        <v>0</v>
      </c>
      <c r="BI1586">
        <v>0</v>
      </c>
      <c r="BJ1586">
        <v>3975</v>
      </c>
      <c r="BK1586">
        <v>-25</v>
      </c>
      <c r="BL1586" t="s">
        <v>188</v>
      </c>
      <c r="BM1586">
        <v>1</v>
      </c>
      <c r="BN1586">
        <v>1</v>
      </c>
      <c r="BO1586">
        <v>0</v>
      </c>
      <c r="BP1586">
        <v>0</v>
      </c>
      <c r="BS1586">
        <v>0</v>
      </c>
      <c r="BT1586">
        <v>0</v>
      </c>
      <c r="BU1586">
        <v>0</v>
      </c>
      <c r="CE1586" t="str">
        <f t="shared" ref="CE1586:CE1591" si="629">"15:08:56.285"</f>
        <v>15:08:56.285</v>
      </c>
      <c r="CF1586">
        <v>284957357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133</v>
      </c>
      <c r="DA1586">
        <v>275</v>
      </c>
      <c r="DB1586">
        <v>0</v>
      </c>
      <c r="DC1586" t="s">
        <v>134</v>
      </c>
      <c r="DD1586" t="s">
        <v>135</v>
      </c>
      <c r="DG1586">
        <v>3320566</v>
      </c>
      <c r="DI1586">
        <v>1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"05/01/2025 15:08:56.517"</f>
        <v>05/01/2025 15:08:56.517</v>
      </c>
      <c r="C1587" t="str">
        <f t="shared" si="608"/>
        <v>FFDFD3C0</v>
      </c>
      <c r="D1587" t="s">
        <v>145</v>
      </c>
      <c r="E1587" t="str">
        <f>"05"</f>
        <v>05</v>
      </c>
      <c r="H1587">
        <v>47</v>
      </c>
      <c r="I1587" t="s">
        <v>146</v>
      </c>
      <c r="J1587" t="s">
        <v>138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R1587" t="s">
        <v>127</v>
      </c>
      <c r="S1587" t="str">
        <f t="shared" si="628"/>
        <v>15:08:56.000</v>
      </c>
      <c r="T1587" t="str">
        <f t="shared" si="628"/>
        <v>15:08:56.000</v>
      </c>
      <c r="U1587" t="str">
        <f t="shared" si="610"/>
        <v>A68FCB</v>
      </c>
      <c r="V1587">
        <v>0</v>
      </c>
      <c r="W1587">
        <v>0</v>
      </c>
      <c r="X1587">
        <v>2</v>
      </c>
      <c r="Y1587">
        <v>0</v>
      </c>
      <c r="AA1587">
        <v>1</v>
      </c>
      <c r="AB1587">
        <v>8</v>
      </c>
      <c r="AC1587">
        <v>3</v>
      </c>
      <c r="AD1587">
        <v>0</v>
      </c>
      <c r="AE1587">
        <v>9</v>
      </c>
      <c r="AF1587" t="s">
        <v>138</v>
      </c>
      <c r="AG1587">
        <v>0</v>
      </c>
      <c r="AH1587">
        <v>3</v>
      </c>
      <c r="AI1587">
        <v>2</v>
      </c>
      <c r="AJ1587">
        <v>0</v>
      </c>
      <c r="AK1587" t="s">
        <v>577</v>
      </c>
      <c r="AL1587">
        <v>39.023544999999999</v>
      </c>
      <c r="AM1587" t="s">
        <v>318</v>
      </c>
      <c r="AN1587">
        <v>-121.04978800000001</v>
      </c>
      <c r="AO1587">
        <v>25</v>
      </c>
      <c r="AP1587">
        <v>4000</v>
      </c>
      <c r="AQ1587" t="s">
        <v>131</v>
      </c>
      <c r="AR1587">
        <v>39</v>
      </c>
      <c r="AS1587">
        <v>66</v>
      </c>
      <c r="AT1587">
        <v>64</v>
      </c>
      <c r="BB1587" t="str">
        <f t="shared" si="611"/>
        <v>1200</v>
      </c>
      <c r="BC1587">
        <v>1</v>
      </c>
      <c r="BD1587" t="str">
        <f t="shared" si="612"/>
        <v xml:space="preserve">N52156  </v>
      </c>
      <c r="BE1587">
        <v>1</v>
      </c>
      <c r="BG1587">
        <v>0</v>
      </c>
      <c r="BH1587">
        <v>0</v>
      </c>
      <c r="BI1587">
        <v>0</v>
      </c>
      <c r="BJ1587">
        <v>3975</v>
      </c>
      <c r="BK1587">
        <v>-25</v>
      </c>
      <c r="BL1587" t="s">
        <v>188</v>
      </c>
      <c r="BM1587">
        <v>1</v>
      </c>
      <c r="BN1587">
        <v>1</v>
      </c>
      <c r="BO1587">
        <v>0</v>
      </c>
      <c r="BP1587">
        <v>0</v>
      </c>
      <c r="BS1587">
        <v>0</v>
      </c>
      <c r="BT1587">
        <v>0</v>
      </c>
      <c r="BU1587">
        <v>0</v>
      </c>
      <c r="CE1587" t="str">
        <f t="shared" si="629"/>
        <v>15:08:56.285</v>
      </c>
      <c r="CF1587">
        <v>284957357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133</v>
      </c>
      <c r="DA1587">
        <v>275</v>
      </c>
      <c r="DB1587">
        <v>0</v>
      </c>
      <c r="DC1587" t="s">
        <v>134</v>
      </c>
      <c r="DD1587" t="s">
        <v>135</v>
      </c>
      <c r="DG1587">
        <v>3320566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"05/01/2025 15:08:56.520"</f>
        <v>05/01/2025 15:08:56.520</v>
      </c>
      <c r="C1588" t="str">
        <f t="shared" si="608"/>
        <v>FFDFD3C0</v>
      </c>
      <c r="D1588" t="s">
        <v>124</v>
      </c>
      <c r="E1588" t="str">
        <f>"06"</f>
        <v>06</v>
      </c>
      <c r="F1588">
        <v>2006</v>
      </c>
      <c r="G1588" t="s">
        <v>125</v>
      </c>
      <c r="J1588" t="s">
        <v>126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R1588" t="s">
        <v>127</v>
      </c>
      <c r="S1588" t="str">
        <f t="shared" si="628"/>
        <v>15:08:56.000</v>
      </c>
      <c r="T1588" t="str">
        <f t="shared" si="628"/>
        <v>15:08:56.000</v>
      </c>
      <c r="U1588" t="str">
        <f t="shared" si="610"/>
        <v>A68FCB</v>
      </c>
      <c r="V1588">
        <v>0</v>
      </c>
      <c r="W1588">
        <v>0</v>
      </c>
      <c r="X1588">
        <v>2</v>
      </c>
      <c r="Y1588">
        <v>0</v>
      </c>
      <c r="AA1588">
        <v>1</v>
      </c>
      <c r="AB1588">
        <v>8</v>
      </c>
      <c r="AC1588">
        <v>3</v>
      </c>
      <c r="AD1588">
        <v>0</v>
      </c>
      <c r="AE1588">
        <v>9</v>
      </c>
      <c r="AF1588" t="s">
        <v>138</v>
      </c>
      <c r="AG1588">
        <v>0</v>
      </c>
      <c r="AH1588">
        <v>3</v>
      </c>
      <c r="AI1588">
        <v>2</v>
      </c>
      <c r="AJ1588">
        <v>0</v>
      </c>
      <c r="AK1588" t="s">
        <v>577</v>
      </c>
      <c r="AL1588">
        <v>39.023544999999999</v>
      </c>
      <c r="AM1588" t="s">
        <v>318</v>
      </c>
      <c r="AN1588">
        <v>-121.04978800000001</v>
      </c>
      <c r="AO1588">
        <v>25</v>
      </c>
      <c r="AP1588">
        <v>4000</v>
      </c>
      <c r="AQ1588" t="s">
        <v>131</v>
      </c>
      <c r="AR1588">
        <v>39</v>
      </c>
      <c r="AS1588">
        <v>66</v>
      </c>
      <c r="AT1588">
        <v>64</v>
      </c>
      <c r="BB1588" t="str">
        <f t="shared" si="611"/>
        <v>1200</v>
      </c>
      <c r="BC1588">
        <v>1</v>
      </c>
      <c r="BD1588" t="str">
        <f t="shared" si="612"/>
        <v xml:space="preserve">N52156  </v>
      </c>
      <c r="BE1588">
        <v>1</v>
      </c>
      <c r="BG1588">
        <v>0</v>
      </c>
      <c r="BH1588">
        <v>0</v>
      </c>
      <c r="BI1588">
        <v>0</v>
      </c>
      <c r="BJ1588">
        <v>3975</v>
      </c>
      <c r="BK1588">
        <v>-25</v>
      </c>
      <c r="BL1588" t="s">
        <v>188</v>
      </c>
      <c r="BM1588">
        <v>1</v>
      </c>
      <c r="BN1588">
        <v>1</v>
      </c>
      <c r="BO1588">
        <v>0</v>
      </c>
      <c r="BP1588">
        <v>0</v>
      </c>
      <c r="BS1588">
        <v>0</v>
      </c>
      <c r="BT1588">
        <v>0</v>
      </c>
      <c r="BU1588">
        <v>0</v>
      </c>
      <c r="CE1588" t="str">
        <f t="shared" si="629"/>
        <v>15:08:56.285</v>
      </c>
      <c r="CF1588">
        <v>284957357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133</v>
      </c>
      <c r="DA1588">
        <v>275</v>
      </c>
      <c r="DB1588">
        <v>0</v>
      </c>
      <c r="DC1588" t="s">
        <v>134</v>
      </c>
      <c r="DD1588" t="s">
        <v>135</v>
      </c>
      <c r="DG1588">
        <v>3320566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"05/01/2025 15:08:56.520"</f>
        <v>05/01/2025 15:08:56.520</v>
      </c>
      <c r="C1589" t="str">
        <f t="shared" si="608"/>
        <v>FFDFD3C0</v>
      </c>
      <c r="D1589" t="s">
        <v>145</v>
      </c>
      <c r="E1589" t="str">
        <f>"09"</f>
        <v>09</v>
      </c>
      <c r="H1589">
        <v>51</v>
      </c>
      <c r="I1589" t="s">
        <v>147</v>
      </c>
      <c r="J1589" t="s">
        <v>138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R1589" t="s">
        <v>127</v>
      </c>
      <c r="S1589" t="str">
        <f t="shared" si="628"/>
        <v>15:08:56.000</v>
      </c>
      <c r="T1589" t="str">
        <f t="shared" si="628"/>
        <v>15:08:56.000</v>
      </c>
      <c r="U1589" t="str">
        <f t="shared" si="610"/>
        <v>A68FCB</v>
      </c>
      <c r="V1589">
        <v>0</v>
      </c>
      <c r="W1589">
        <v>0</v>
      </c>
      <c r="X1589">
        <v>2</v>
      </c>
      <c r="Y1589">
        <v>0</v>
      </c>
      <c r="AA1589">
        <v>1</v>
      </c>
      <c r="AB1589">
        <v>8</v>
      </c>
      <c r="AC1589">
        <v>3</v>
      </c>
      <c r="AD1589">
        <v>0</v>
      </c>
      <c r="AE1589">
        <v>9</v>
      </c>
      <c r="AF1589" t="s">
        <v>138</v>
      </c>
      <c r="AG1589">
        <v>0</v>
      </c>
      <c r="AH1589">
        <v>3</v>
      </c>
      <c r="AI1589">
        <v>2</v>
      </c>
      <c r="AJ1589">
        <v>0</v>
      </c>
      <c r="AK1589" t="s">
        <v>577</v>
      </c>
      <c r="AL1589">
        <v>39.023544999999999</v>
      </c>
      <c r="AM1589" t="s">
        <v>318</v>
      </c>
      <c r="AN1589">
        <v>-121.04978800000001</v>
      </c>
      <c r="AO1589">
        <v>25</v>
      </c>
      <c r="AP1589">
        <v>4000</v>
      </c>
      <c r="AQ1589" t="s">
        <v>131</v>
      </c>
      <c r="AR1589">
        <v>39</v>
      </c>
      <c r="AS1589">
        <v>66</v>
      </c>
      <c r="AT1589">
        <v>64</v>
      </c>
      <c r="BB1589" t="str">
        <f t="shared" si="611"/>
        <v>1200</v>
      </c>
      <c r="BC1589">
        <v>1</v>
      </c>
      <c r="BD1589" t="str">
        <f t="shared" si="612"/>
        <v xml:space="preserve">N52156  </v>
      </c>
      <c r="BE1589">
        <v>1</v>
      </c>
      <c r="BG1589">
        <v>0</v>
      </c>
      <c r="BH1589">
        <v>0</v>
      </c>
      <c r="BI1589">
        <v>0</v>
      </c>
      <c r="BJ1589">
        <v>3975</v>
      </c>
      <c r="BK1589">
        <v>-25</v>
      </c>
      <c r="BL1589" t="s">
        <v>188</v>
      </c>
      <c r="BM1589">
        <v>1</v>
      </c>
      <c r="BN1589">
        <v>1</v>
      </c>
      <c r="BO1589">
        <v>0</v>
      </c>
      <c r="BP1589">
        <v>0</v>
      </c>
      <c r="BS1589">
        <v>0</v>
      </c>
      <c r="BT1589">
        <v>0</v>
      </c>
      <c r="BU1589">
        <v>0</v>
      </c>
      <c r="CE1589" t="str">
        <f t="shared" si="629"/>
        <v>15:08:56.285</v>
      </c>
      <c r="CF1589">
        <v>284957357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133</v>
      </c>
      <c r="DA1589">
        <v>275</v>
      </c>
      <c r="DB1589">
        <v>0</v>
      </c>
      <c r="DC1589" t="s">
        <v>134</v>
      </c>
      <c r="DD1589" t="s">
        <v>135</v>
      </c>
      <c r="DG1589">
        <v>3320566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"05/01/2025 15:08:56.524"</f>
        <v>05/01/2025 15:08:56.524</v>
      </c>
      <c r="C1590" t="str">
        <f t="shared" si="608"/>
        <v>FFDFD3C0</v>
      </c>
      <c r="D1590" t="s">
        <v>143</v>
      </c>
      <c r="E1590" t="str">
        <f>"05"</f>
        <v>05</v>
      </c>
      <c r="H1590">
        <v>172</v>
      </c>
      <c r="I1590" t="s">
        <v>141</v>
      </c>
      <c r="J1590" t="s">
        <v>144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R1590" t="s">
        <v>127</v>
      </c>
      <c r="S1590" t="str">
        <f t="shared" si="628"/>
        <v>15:08:56.000</v>
      </c>
      <c r="T1590" t="str">
        <f t="shared" si="628"/>
        <v>15:08:56.000</v>
      </c>
      <c r="U1590" t="str">
        <f t="shared" si="610"/>
        <v>A68FCB</v>
      </c>
      <c r="V1590">
        <v>0</v>
      </c>
      <c r="W1590">
        <v>0</v>
      </c>
      <c r="X1590">
        <v>2</v>
      </c>
      <c r="Y1590">
        <v>0</v>
      </c>
      <c r="AA1590">
        <v>1</v>
      </c>
      <c r="AB1590">
        <v>8</v>
      </c>
      <c r="AC1590">
        <v>3</v>
      </c>
      <c r="AD1590">
        <v>0</v>
      </c>
      <c r="AE1590">
        <v>9</v>
      </c>
      <c r="AF1590" t="s">
        <v>138</v>
      </c>
      <c r="AG1590">
        <v>0</v>
      </c>
      <c r="AH1590">
        <v>3</v>
      </c>
      <c r="AI1590">
        <v>2</v>
      </c>
      <c r="AJ1590">
        <v>0</v>
      </c>
      <c r="AK1590" t="s">
        <v>577</v>
      </c>
      <c r="AL1590">
        <v>39.023544999999999</v>
      </c>
      <c r="AM1590" t="s">
        <v>318</v>
      </c>
      <c r="AN1590">
        <v>-121.04978800000001</v>
      </c>
      <c r="AO1590">
        <v>25</v>
      </c>
      <c r="AP1590">
        <v>4000</v>
      </c>
      <c r="AQ1590" t="s">
        <v>131</v>
      </c>
      <c r="AR1590">
        <v>39</v>
      </c>
      <c r="AS1590">
        <v>66</v>
      </c>
      <c r="AT1590">
        <v>64</v>
      </c>
      <c r="BB1590" t="str">
        <f t="shared" si="611"/>
        <v>1200</v>
      </c>
      <c r="BC1590">
        <v>1</v>
      </c>
      <c r="BD1590" t="str">
        <f t="shared" si="612"/>
        <v xml:space="preserve">N52156  </v>
      </c>
      <c r="BE1590">
        <v>1</v>
      </c>
      <c r="BG1590">
        <v>0</v>
      </c>
      <c r="BH1590">
        <v>0</v>
      </c>
      <c r="BI1590">
        <v>0</v>
      </c>
      <c r="BJ1590">
        <v>3975</v>
      </c>
      <c r="BK1590">
        <v>-25</v>
      </c>
      <c r="BL1590" t="s">
        <v>188</v>
      </c>
      <c r="BM1590">
        <v>1</v>
      </c>
      <c r="BN1590">
        <v>1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 t="shared" si="629"/>
        <v>15:08:56.285</v>
      </c>
      <c r="CF1590">
        <v>284957357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133</v>
      </c>
      <c r="DA1590">
        <v>275</v>
      </c>
      <c r="DB1590">
        <v>0</v>
      </c>
      <c r="DC1590" t="s">
        <v>134</v>
      </c>
      <c r="DD1590" t="s">
        <v>135</v>
      </c>
      <c r="DG1590">
        <v>3320566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"05/01/2025 15:08:56.529"</f>
        <v>05/01/2025 15:08:56.529</v>
      </c>
      <c r="C1591" t="str">
        <f t="shared" si="608"/>
        <v>FFDFD3C0</v>
      </c>
      <c r="D1591" t="s">
        <v>136</v>
      </c>
      <c r="E1591" t="str">
        <f>"20"</f>
        <v>20</v>
      </c>
      <c r="H1591">
        <v>400</v>
      </c>
      <c r="I1591" t="s">
        <v>137</v>
      </c>
      <c r="J1591" t="s">
        <v>138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R1591" t="s">
        <v>127</v>
      </c>
      <c r="S1591" t="str">
        <f t="shared" si="628"/>
        <v>15:08:56.000</v>
      </c>
      <c r="T1591" t="str">
        <f t="shared" si="628"/>
        <v>15:08:56.000</v>
      </c>
      <c r="U1591" t="str">
        <f t="shared" si="610"/>
        <v>A68FCB</v>
      </c>
      <c r="V1591">
        <v>0</v>
      </c>
      <c r="W1591">
        <v>0</v>
      </c>
      <c r="X1591">
        <v>2</v>
      </c>
      <c r="Y1591">
        <v>0</v>
      </c>
      <c r="AA1591">
        <v>1</v>
      </c>
      <c r="AB1591">
        <v>8</v>
      </c>
      <c r="AC1591">
        <v>3</v>
      </c>
      <c r="AD1591">
        <v>0</v>
      </c>
      <c r="AE1591">
        <v>9</v>
      </c>
      <c r="AF1591" t="s">
        <v>138</v>
      </c>
      <c r="AG1591">
        <v>0</v>
      </c>
      <c r="AH1591">
        <v>3</v>
      </c>
      <c r="AI1591">
        <v>2</v>
      </c>
      <c r="AJ1591">
        <v>0</v>
      </c>
      <c r="AK1591" t="s">
        <v>577</v>
      </c>
      <c r="AL1591">
        <v>39.023544999999999</v>
      </c>
      <c r="AM1591" t="s">
        <v>318</v>
      </c>
      <c r="AN1591">
        <v>-121.04978800000001</v>
      </c>
      <c r="AO1591">
        <v>25</v>
      </c>
      <c r="AP1591">
        <v>4000</v>
      </c>
      <c r="AQ1591" t="s">
        <v>131</v>
      </c>
      <c r="AR1591">
        <v>39</v>
      </c>
      <c r="AS1591">
        <v>66</v>
      </c>
      <c r="AT1591">
        <v>64</v>
      </c>
      <c r="BB1591" t="str">
        <f t="shared" si="611"/>
        <v>1200</v>
      </c>
      <c r="BC1591">
        <v>1</v>
      </c>
      <c r="BD1591" t="str">
        <f t="shared" si="612"/>
        <v xml:space="preserve">N52156  </v>
      </c>
      <c r="BE1591">
        <v>1</v>
      </c>
      <c r="BG1591">
        <v>0</v>
      </c>
      <c r="BH1591">
        <v>0</v>
      </c>
      <c r="BI1591">
        <v>0</v>
      </c>
      <c r="BJ1591">
        <v>3975</v>
      </c>
      <c r="BK1591">
        <v>-25</v>
      </c>
      <c r="BL1591" t="s">
        <v>188</v>
      </c>
      <c r="BM1591">
        <v>1</v>
      </c>
      <c r="BN1591">
        <v>1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 t="shared" si="629"/>
        <v>15:08:56.285</v>
      </c>
      <c r="CF1591">
        <v>284957357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133</v>
      </c>
      <c r="DA1591">
        <v>275</v>
      </c>
      <c r="DB1591">
        <v>0</v>
      </c>
      <c r="DC1591" t="s">
        <v>134</v>
      </c>
      <c r="DD1591" t="s">
        <v>135</v>
      </c>
      <c r="DG1591">
        <v>3320566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"05/01/2025 15:08:58.070"</f>
        <v>05/01/2025 15:08:58.070</v>
      </c>
      <c r="C1592" t="str">
        <f t="shared" si="608"/>
        <v>FFDFD3C0</v>
      </c>
      <c r="D1592" t="s">
        <v>145</v>
      </c>
      <c r="E1592" t="str">
        <f>"05"</f>
        <v>05</v>
      </c>
      <c r="H1592">
        <v>47</v>
      </c>
      <c r="I1592" t="s">
        <v>146</v>
      </c>
      <c r="J1592" t="s">
        <v>138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R1592" t="s">
        <v>127</v>
      </c>
      <c r="S1592" t="str">
        <f t="shared" ref="S1592:T1597" si="630">"15:08:57.000"</f>
        <v>15:08:57.000</v>
      </c>
      <c r="T1592" t="str">
        <f t="shared" si="630"/>
        <v>15:08:57.000</v>
      </c>
      <c r="U1592" t="str">
        <f t="shared" si="610"/>
        <v>A68FCB</v>
      </c>
      <c r="V1592">
        <v>0</v>
      </c>
      <c r="W1592">
        <v>0</v>
      </c>
      <c r="X1592">
        <v>2</v>
      </c>
      <c r="Y1592">
        <v>0</v>
      </c>
      <c r="AA1592">
        <v>1</v>
      </c>
      <c r="AB1592">
        <v>8</v>
      </c>
      <c r="AC1592">
        <v>3</v>
      </c>
      <c r="AD1592">
        <v>0</v>
      </c>
      <c r="AE1592">
        <v>9</v>
      </c>
      <c r="AF1592" t="s">
        <v>138</v>
      </c>
      <c r="AG1592">
        <v>0</v>
      </c>
      <c r="AH1592">
        <v>3</v>
      </c>
      <c r="AI1592">
        <v>2</v>
      </c>
      <c r="AJ1592">
        <v>0</v>
      </c>
      <c r="AK1592" t="s">
        <v>578</v>
      </c>
      <c r="AL1592">
        <v>39.023845000000001</v>
      </c>
      <c r="AM1592" t="s">
        <v>579</v>
      </c>
      <c r="AN1592">
        <v>-121.049573</v>
      </c>
      <c r="AO1592">
        <v>25</v>
      </c>
      <c r="AP1592">
        <v>4000</v>
      </c>
      <c r="AQ1592" t="s">
        <v>131</v>
      </c>
      <c r="AR1592">
        <v>40</v>
      </c>
      <c r="AS1592">
        <v>67</v>
      </c>
      <c r="AT1592">
        <v>64</v>
      </c>
      <c r="BB1592" t="str">
        <f t="shared" si="611"/>
        <v>1200</v>
      </c>
      <c r="BC1592">
        <v>1</v>
      </c>
      <c r="BD1592" t="str">
        <f t="shared" si="612"/>
        <v xml:space="preserve">N52156  </v>
      </c>
      <c r="BE1592">
        <v>1</v>
      </c>
      <c r="BG1592">
        <v>0</v>
      </c>
      <c r="BH1592">
        <v>0</v>
      </c>
      <c r="BI1592">
        <v>0</v>
      </c>
      <c r="BJ1592">
        <v>4000</v>
      </c>
      <c r="BK1592">
        <v>0</v>
      </c>
      <c r="BL1592" t="s">
        <v>188</v>
      </c>
      <c r="BM1592">
        <v>1</v>
      </c>
      <c r="BN1592">
        <v>1</v>
      </c>
      <c r="BO1592">
        <v>0</v>
      </c>
      <c r="BP1592">
        <v>0</v>
      </c>
      <c r="BS1592">
        <v>0</v>
      </c>
      <c r="BT1592">
        <v>0</v>
      </c>
      <c r="BU1592">
        <v>0</v>
      </c>
      <c r="CE1592" t="str">
        <f t="shared" ref="CE1592:CE1597" si="631">"15:08:57.827"</f>
        <v>15:08:57.827</v>
      </c>
      <c r="CF1592">
        <v>827208812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133</v>
      </c>
      <c r="DA1592">
        <v>275</v>
      </c>
      <c r="DB1592">
        <v>0</v>
      </c>
      <c r="DC1592" t="s">
        <v>134</v>
      </c>
      <c r="DD1592" t="s">
        <v>135</v>
      </c>
      <c r="DG1592">
        <v>3320580</v>
      </c>
      <c r="DI1592">
        <v>1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"05/01/2025 15:08:58.072"</f>
        <v>05/01/2025 15:08:58.072</v>
      </c>
      <c r="C1593" t="str">
        <f t="shared" si="608"/>
        <v>FFDFD3C0</v>
      </c>
      <c r="D1593" t="s">
        <v>145</v>
      </c>
      <c r="E1593" t="str">
        <f>"09"</f>
        <v>09</v>
      </c>
      <c r="H1593">
        <v>51</v>
      </c>
      <c r="I1593" t="s">
        <v>147</v>
      </c>
      <c r="J1593" t="s">
        <v>138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R1593" t="s">
        <v>127</v>
      </c>
      <c r="S1593" t="str">
        <f t="shared" si="630"/>
        <v>15:08:57.000</v>
      </c>
      <c r="T1593" t="str">
        <f t="shared" si="630"/>
        <v>15:08:57.000</v>
      </c>
      <c r="U1593" t="str">
        <f t="shared" si="610"/>
        <v>A68FCB</v>
      </c>
      <c r="V1593">
        <v>0</v>
      </c>
      <c r="W1593">
        <v>0</v>
      </c>
      <c r="X1593">
        <v>2</v>
      </c>
      <c r="Y1593">
        <v>0</v>
      </c>
      <c r="AA1593">
        <v>1</v>
      </c>
      <c r="AB1593">
        <v>8</v>
      </c>
      <c r="AC1593">
        <v>3</v>
      </c>
      <c r="AD1593">
        <v>0</v>
      </c>
      <c r="AE1593">
        <v>9</v>
      </c>
      <c r="AF1593" t="s">
        <v>138</v>
      </c>
      <c r="AG1593">
        <v>0</v>
      </c>
      <c r="AH1593">
        <v>3</v>
      </c>
      <c r="AI1593">
        <v>2</v>
      </c>
      <c r="AJ1593">
        <v>0</v>
      </c>
      <c r="AK1593" t="s">
        <v>578</v>
      </c>
      <c r="AL1593">
        <v>39.023845000000001</v>
      </c>
      <c r="AM1593" t="s">
        <v>579</v>
      </c>
      <c r="AN1593">
        <v>-121.049573</v>
      </c>
      <c r="AO1593">
        <v>25</v>
      </c>
      <c r="AP1593">
        <v>4000</v>
      </c>
      <c r="AQ1593" t="s">
        <v>131</v>
      </c>
      <c r="AR1593">
        <v>40</v>
      </c>
      <c r="AS1593">
        <v>67</v>
      </c>
      <c r="AT1593">
        <v>64</v>
      </c>
      <c r="BB1593" t="str">
        <f t="shared" si="611"/>
        <v>1200</v>
      </c>
      <c r="BC1593">
        <v>1</v>
      </c>
      <c r="BD1593" t="str">
        <f t="shared" si="612"/>
        <v xml:space="preserve">N52156  </v>
      </c>
      <c r="BE1593">
        <v>1</v>
      </c>
      <c r="BG1593">
        <v>0</v>
      </c>
      <c r="BH1593">
        <v>0</v>
      </c>
      <c r="BI1593">
        <v>0</v>
      </c>
      <c r="BJ1593">
        <v>4000</v>
      </c>
      <c r="BK1593">
        <v>0</v>
      </c>
      <c r="BL1593" t="s">
        <v>188</v>
      </c>
      <c r="BM1593">
        <v>1</v>
      </c>
      <c r="BN1593">
        <v>1</v>
      </c>
      <c r="BO1593">
        <v>0</v>
      </c>
      <c r="BP1593">
        <v>0</v>
      </c>
      <c r="BS1593">
        <v>0</v>
      </c>
      <c r="BT1593">
        <v>0</v>
      </c>
      <c r="BU1593">
        <v>0</v>
      </c>
      <c r="CE1593" t="str">
        <f t="shared" si="631"/>
        <v>15:08:57.827</v>
      </c>
      <c r="CF1593">
        <v>827208812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5</v>
      </c>
      <c r="CY1593">
        <v>7</v>
      </c>
      <c r="CZ1593" t="s">
        <v>133</v>
      </c>
      <c r="DA1593">
        <v>275</v>
      </c>
      <c r="DB1593">
        <v>0</v>
      </c>
      <c r="DC1593" t="s">
        <v>134</v>
      </c>
      <c r="DD1593" t="s">
        <v>135</v>
      </c>
      <c r="DG1593">
        <v>3320580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"05/01/2025 15:08:58.072"</f>
        <v>05/01/2025 15:08:58.072</v>
      </c>
      <c r="C1594" t="str">
        <f t="shared" si="608"/>
        <v>FFDFD3C0</v>
      </c>
      <c r="D1594" t="s">
        <v>124</v>
      </c>
      <c r="E1594" t="str">
        <f>"06"</f>
        <v>06</v>
      </c>
      <c r="F1594">
        <v>2006</v>
      </c>
      <c r="G1594" t="s">
        <v>125</v>
      </c>
      <c r="J1594" t="s">
        <v>126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R1594" t="s">
        <v>127</v>
      </c>
      <c r="S1594" t="str">
        <f t="shared" si="630"/>
        <v>15:08:57.000</v>
      </c>
      <c r="T1594" t="str">
        <f t="shared" si="630"/>
        <v>15:08:57.000</v>
      </c>
      <c r="U1594" t="str">
        <f t="shared" si="610"/>
        <v>A68FCB</v>
      </c>
      <c r="V1594">
        <v>0</v>
      </c>
      <c r="W1594">
        <v>0</v>
      </c>
      <c r="X1594">
        <v>2</v>
      </c>
      <c r="Y1594">
        <v>0</v>
      </c>
      <c r="AA1594">
        <v>1</v>
      </c>
      <c r="AB1594">
        <v>8</v>
      </c>
      <c r="AC1594">
        <v>3</v>
      </c>
      <c r="AD1594">
        <v>0</v>
      </c>
      <c r="AE1594">
        <v>9</v>
      </c>
      <c r="AF1594" t="s">
        <v>138</v>
      </c>
      <c r="AG1594">
        <v>0</v>
      </c>
      <c r="AH1594">
        <v>3</v>
      </c>
      <c r="AI1594">
        <v>2</v>
      </c>
      <c r="AJ1594">
        <v>0</v>
      </c>
      <c r="AK1594" t="s">
        <v>578</v>
      </c>
      <c r="AL1594">
        <v>39.023845000000001</v>
      </c>
      <c r="AM1594" t="s">
        <v>579</v>
      </c>
      <c r="AN1594">
        <v>-121.049573</v>
      </c>
      <c r="AO1594">
        <v>25</v>
      </c>
      <c r="AP1594">
        <v>4000</v>
      </c>
      <c r="AQ1594" t="s">
        <v>131</v>
      </c>
      <c r="AR1594">
        <v>40</v>
      </c>
      <c r="AS1594">
        <v>67</v>
      </c>
      <c r="AT1594">
        <v>64</v>
      </c>
      <c r="BB1594" t="str">
        <f t="shared" si="611"/>
        <v>1200</v>
      </c>
      <c r="BC1594">
        <v>1</v>
      </c>
      <c r="BD1594" t="str">
        <f t="shared" si="612"/>
        <v xml:space="preserve">N52156  </v>
      </c>
      <c r="BE1594">
        <v>1</v>
      </c>
      <c r="BG1594">
        <v>0</v>
      </c>
      <c r="BH1594">
        <v>0</v>
      </c>
      <c r="BI1594">
        <v>0</v>
      </c>
      <c r="BJ1594">
        <v>4000</v>
      </c>
      <c r="BK1594">
        <v>0</v>
      </c>
      <c r="BL1594" t="s">
        <v>188</v>
      </c>
      <c r="BM1594">
        <v>1</v>
      </c>
      <c r="BN1594">
        <v>1</v>
      </c>
      <c r="BO1594">
        <v>0</v>
      </c>
      <c r="BP1594">
        <v>0</v>
      </c>
      <c r="BS1594">
        <v>0</v>
      </c>
      <c r="BT1594">
        <v>0</v>
      </c>
      <c r="BU1594">
        <v>0</v>
      </c>
      <c r="CE1594" t="str">
        <f t="shared" si="631"/>
        <v>15:08:57.827</v>
      </c>
      <c r="CF1594">
        <v>827208812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5</v>
      </c>
      <c r="CY1594">
        <v>7</v>
      </c>
      <c r="CZ1594" t="s">
        <v>133</v>
      </c>
      <c r="DA1594">
        <v>275</v>
      </c>
      <c r="DB1594">
        <v>0</v>
      </c>
      <c r="DC1594" t="s">
        <v>134</v>
      </c>
      <c r="DD1594" t="s">
        <v>135</v>
      </c>
      <c r="DG1594">
        <v>3320580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"05/01/2025 15:08:58.077"</f>
        <v>05/01/2025 15:08:58.077</v>
      </c>
      <c r="C1595" t="str">
        <f t="shared" si="608"/>
        <v>FFDFD3C0</v>
      </c>
      <c r="D1595" t="s">
        <v>143</v>
      </c>
      <c r="E1595" t="str">
        <f>"05"</f>
        <v>05</v>
      </c>
      <c r="H1595">
        <v>172</v>
      </c>
      <c r="I1595" t="s">
        <v>141</v>
      </c>
      <c r="J1595" t="s">
        <v>144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R1595" t="s">
        <v>127</v>
      </c>
      <c r="S1595" t="str">
        <f t="shared" si="630"/>
        <v>15:08:57.000</v>
      </c>
      <c r="T1595" t="str">
        <f t="shared" si="630"/>
        <v>15:08:57.000</v>
      </c>
      <c r="U1595" t="str">
        <f t="shared" si="610"/>
        <v>A68FCB</v>
      </c>
      <c r="V1595">
        <v>0</v>
      </c>
      <c r="W1595">
        <v>0</v>
      </c>
      <c r="X1595">
        <v>2</v>
      </c>
      <c r="Y1595">
        <v>0</v>
      </c>
      <c r="AA1595">
        <v>1</v>
      </c>
      <c r="AB1595">
        <v>8</v>
      </c>
      <c r="AC1595">
        <v>3</v>
      </c>
      <c r="AD1595">
        <v>0</v>
      </c>
      <c r="AE1595">
        <v>9</v>
      </c>
      <c r="AF1595" t="s">
        <v>138</v>
      </c>
      <c r="AG1595">
        <v>0</v>
      </c>
      <c r="AH1595">
        <v>3</v>
      </c>
      <c r="AI1595">
        <v>2</v>
      </c>
      <c r="AJ1595">
        <v>0</v>
      </c>
      <c r="AK1595" t="s">
        <v>578</v>
      </c>
      <c r="AL1595">
        <v>39.023845000000001</v>
      </c>
      <c r="AM1595" t="s">
        <v>579</v>
      </c>
      <c r="AN1595">
        <v>-121.049573</v>
      </c>
      <c r="AO1595">
        <v>25</v>
      </c>
      <c r="AP1595">
        <v>4000</v>
      </c>
      <c r="AQ1595" t="s">
        <v>131</v>
      </c>
      <c r="AR1595">
        <v>40</v>
      </c>
      <c r="AS1595">
        <v>67</v>
      </c>
      <c r="AT1595">
        <v>64</v>
      </c>
      <c r="BB1595" t="str">
        <f t="shared" si="611"/>
        <v>1200</v>
      </c>
      <c r="BC1595">
        <v>1</v>
      </c>
      <c r="BD1595" t="str">
        <f t="shared" si="612"/>
        <v xml:space="preserve">N52156  </v>
      </c>
      <c r="BE1595">
        <v>1</v>
      </c>
      <c r="BG1595">
        <v>0</v>
      </c>
      <c r="BH1595">
        <v>0</v>
      </c>
      <c r="BI1595">
        <v>0</v>
      </c>
      <c r="BJ1595">
        <v>4000</v>
      </c>
      <c r="BK1595">
        <v>0</v>
      </c>
      <c r="BL1595" t="s">
        <v>188</v>
      </c>
      <c r="BM1595">
        <v>1</v>
      </c>
      <c r="BN1595">
        <v>1</v>
      </c>
      <c r="BO1595">
        <v>0</v>
      </c>
      <c r="BP1595">
        <v>0</v>
      </c>
      <c r="BS1595">
        <v>0</v>
      </c>
      <c r="BT1595">
        <v>0</v>
      </c>
      <c r="BU1595">
        <v>0</v>
      </c>
      <c r="CE1595" t="str">
        <f t="shared" si="631"/>
        <v>15:08:57.827</v>
      </c>
      <c r="CF1595">
        <v>827208812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133</v>
      </c>
      <c r="DA1595">
        <v>275</v>
      </c>
      <c r="DB1595">
        <v>0</v>
      </c>
      <c r="DC1595" t="s">
        <v>134</v>
      </c>
      <c r="DD1595" t="s">
        <v>135</v>
      </c>
      <c r="DG1595">
        <v>3320580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"05/01/2025 15:08:58.082"</f>
        <v>05/01/2025 15:08:58.082</v>
      </c>
      <c r="C1596" t="str">
        <f t="shared" si="608"/>
        <v>FFDFD3C0</v>
      </c>
      <c r="D1596" t="s">
        <v>136</v>
      </c>
      <c r="E1596" t="str">
        <f>"20"</f>
        <v>20</v>
      </c>
      <c r="H1596">
        <v>400</v>
      </c>
      <c r="I1596" t="s">
        <v>137</v>
      </c>
      <c r="J1596" t="s">
        <v>138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R1596" t="s">
        <v>127</v>
      </c>
      <c r="S1596" t="str">
        <f t="shared" si="630"/>
        <v>15:08:57.000</v>
      </c>
      <c r="T1596" t="str">
        <f t="shared" si="630"/>
        <v>15:08:57.000</v>
      </c>
      <c r="U1596" t="str">
        <f t="shared" si="610"/>
        <v>A68FCB</v>
      </c>
      <c r="V1596">
        <v>0</v>
      </c>
      <c r="W1596">
        <v>0</v>
      </c>
      <c r="X1596">
        <v>2</v>
      </c>
      <c r="Y1596">
        <v>0</v>
      </c>
      <c r="AA1596">
        <v>1</v>
      </c>
      <c r="AB1596">
        <v>8</v>
      </c>
      <c r="AC1596">
        <v>3</v>
      </c>
      <c r="AD1596">
        <v>0</v>
      </c>
      <c r="AE1596">
        <v>9</v>
      </c>
      <c r="AF1596" t="s">
        <v>138</v>
      </c>
      <c r="AG1596">
        <v>0</v>
      </c>
      <c r="AH1596">
        <v>3</v>
      </c>
      <c r="AI1596">
        <v>2</v>
      </c>
      <c r="AJ1596">
        <v>0</v>
      </c>
      <c r="AK1596" t="s">
        <v>578</v>
      </c>
      <c r="AL1596">
        <v>39.023845000000001</v>
      </c>
      <c r="AM1596" t="s">
        <v>579</v>
      </c>
      <c r="AN1596">
        <v>-121.049573</v>
      </c>
      <c r="AO1596">
        <v>25</v>
      </c>
      <c r="AP1596">
        <v>4000</v>
      </c>
      <c r="AQ1596" t="s">
        <v>131</v>
      </c>
      <c r="AR1596">
        <v>40</v>
      </c>
      <c r="AS1596">
        <v>67</v>
      </c>
      <c r="AT1596">
        <v>64</v>
      </c>
      <c r="BB1596" t="str">
        <f t="shared" si="611"/>
        <v>1200</v>
      </c>
      <c r="BC1596">
        <v>1</v>
      </c>
      <c r="BD1596" t="str">
        <f t="shared" si="612"/>
        <v xml:space="preserve">N52156  </v>
      </c>
      <c r="BE1596">
        <v>1</v>
      </c>
      <c r="BG1596">
        <v>0</v>
      </c>
      <c r="BH1596">
        <v>0</v>
      </c>
      <c r="BI1596">
        <v>0</v>
      </c>
      <c r="BJ1596">
        <v>4000</v>
      </c>
      <c r="BK1596">
        <v>0</v>
      </c>
      <c r="BL1596" t="s">
        <v>188</v>
      </c>
      <c r="BM1596">
        <v>1</v>
      </c>
      <c r="BN1596">
        <v>1</v>
      </c>
      <c r="BO1596">
        <v>0</v>
      </c>
      <c r="BP1596">
        <v>0</v>
      </c>
      <c r="BS1596">
        <v>0</v>
      </c>
      <c r="BT1596">
        <v>0</v>
      </c>
      <c r="BU1596">
        <v>0</v>
      </c>
      <c r="CE1596" t="str">
        <f t="shared" si="631"/>
        <v>15:08:57.827</v>
      </c>
      <c r="CF1596">
        <v>827208812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133</v>
      </c>
      <c r="DA1596">
        <v>275</v>
      </c>
      <c r="DB1596">
        <v>0</v>
      </c>
      <c r="DC1596" t="s">
        <v>134</v>
      </c>
      <c r="DD1596" t="s">
        <v>135</v>
      </c>
      <c r="DG1596">
        <v>3320580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"05/01/2025 15:08:58.113"</f>
        <v>05/01/2025 15:08:58.113</v>
      </c>
      <c r="C1597" t="str">
        <f t="shared" si="608"/>
        <v>FFDFD3C0</v>
      </c>
      <c r="D1597" t="s">
        <v>140</v>
      </c>
      <c r="E1597" t="str">
        <f>"13"</f>
        <v>13</v>
      </c>
      <c r="F1597">
        <v>1019</v>
      </c>
      <c r="G1597" t="s">
        <v>141</v>
      </c>
      <c r="J1597" t="s">
        <v>142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R1597" t="s">
        <v>127</v>
      </c>
      <c r="S1597" t="str">
        <f t="shared" si="630"/>
        <v>15:08:57.000</v>
      </c>
      <c r="T1597" t="str">
        <f t="shared" si="630"/>
        <v>15:08:57.000</v>
      </c>
      <c r="U1597" t="str">
        <f t="shared" si="610"/>
        <v>A68FCB</v>
      </c>
      <c r="V1597">
        <v>0</v>
      </c>
      <c r="W1597">
        <v>0</v>
      </c>
      <c r="X1597">
        <v>2</v>
      </c>
      <c r="Y1597">
        <v>0</v>
      </c>
      <c r="AA1597">
        <v>1</v>
      </c>
      <c r="AB1597">
        <v>8</v>
      </c>
      <c r="AC1597">
        <v>3</v>
      </c>
      <c r="AD1597">
        <v>0</v>
      </c>
      <c r="AE1597">
        <v>9</v>
      </c>
      <c r="AF1597" t="s">
        <v>138</v>
      </c>
      <c r="AG1597">
        <v>0</v>
      </c>
      <c r="AH1597">
        <v>3</v>
      </c>
      <c r="AI1597">
        <v>2</v>
      </c>
      <c r="AJ1597">
        <v>0</v>
      </c>
      <c r="AK1597" t="s">
        <v>578</v>
      </c>
      <c r="AL1597">
        <v>39.023845000000001</v>
      </c>
      <c r="AM1597" t="s">
        <v>579</v>
      </c>
      <c r="AN1597">
        <v>-121.049573</v>
      </c>
      <c r="AO1597">
        <v>25</v>
      </c>
      <c r="AP1597">
        <v>4000</v>
      </c>
      <c r="AQ1597" t="s">
        <v>131</v>
      </c>
      <c r="AR1597">
        <v>40</v>
      </c>
      <c r="AS1597">
        <v>67</v>
      </c>
      <c r="AT1597">
        <v>64</v>
      </c>
      <c r="BB1597" t="str">
        <f t="shared" si="611"/>
        <v>1200</v>
      </c>
      <c r="BC1597">
        <v>1</v>
      </c>
      <c r="BD1597" t="str">
        <f t="shared" si="612"/>
        <v xml:space="preserve">N52156  </v>
      </c>
      <c r="BE1597">
        <v>1</v>
      </c>
      <c r="BG1597">
        <v>0</v>
      </c>
      <c r="BH1597">
        <v>0</v>
      </c>
      <c r="BI1597">
        <v>0</v>
      </c>
      <c r="BJ1597">
        <v>4000</v>
      </c>
      <c r="BK1597">
        <v>0</v>
      </c>
      <c r="BL1597" t="s">
        <v>188</v>
      </c>
      <c r="BM1597">
        <v>1</v>
      </c>
      <c r="BN1597">
        <v>1</v>
      </c>
      <c r="BO1597">
        <v>0</v>
      </c>
      <c r="BP1597">
        <v>0</v>
      </c>
      <c r="BS1597">
        <v>0</v>
      </c>
      <c r="BT1597">
        <v>0</v>
      </c>
      <c r="BU1597">
        <v>0</v>
      </c>
      <c r="CE1597" t="str">
        <f t="shared" si="631"/>
        <v>15:08:57.827</v>
      </c>
      <c r="CF1597">
        <v>827208812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133</v>
      </c>
      <c r="DA1597">
        <v>275</v>
      </c>
      <c r="DB1597">
        <v>0</v>
      </c>
      <c r="DC1597" t="s">
        <v>134</v>
      </c>
      <c r="DD1597" t="s">
        <v>135</v>
      </c>
      <c r="DG1597">
        <v>3320580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"05/01/2025 15:08:59.074"</f>
        <v>05/01/2025 15:08:59.074</v>
      </c>
      <c r="C1598" t="str">
        <f t="shared" si="608"/>
        <v>FFDFD3C0</v>
      </c>
      <c r="D1598" t="s">
        <v>124</v>
      </c>
      <c r="E1598" t="str">
        <f>"06"</f>
        <v>06</v>
      </c>
      <c r="F1598">
        <v>2006</v>
      </c>
      <c r="G1598" t="s">
        <v>125</v>
      </c>
      <c r="J1598" t="s">
        <v>126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R1598" t="s">
        <v>127</v>
      </c>
      <c r="S1598" t="str">
        <f t="shared" ref="S1598:T1603" si="632">"15:08:58.000"</f>
        <v>15:08:58.000</v>
      </c>
      <c r="T1598" t="str">
        <f t="shared" si="632"/>
        <v>15:08:58.000</v>
      </c>
      <c r="U1598" t="str">
        <f t="shared" si="610"/>
        <v>A68FCB</v>
      </c>
      <c r="V1598">
        <v>0</v>
      </c>
      <c r="W1598">
        <v>0</v>
      </c>
      <c r="X1598">
        <v>2</v>
      </c>
      <c r="Y1598">
        <v>0</v>
      </c>
      <c r="AA1598">
        <v>1</v>
      </c>
      <c r="AB1598">
        <v>8</v>
      </c>
      <c r="AC1598">
        <v>3</v>
      </c>
      <c r="AD1598">
        <v>0</v>
      </c>
      <c r="AE1598">
        <v>9</v>
      </c>
      <c r="AF1598" t="s">
        <v>138</v>
      </c>
      <c r="AG1598">
        <v>0</v>
      </c>
      <c r="AH1598">
        <v>3</v>
      </c>
      <c r="AI1598">
        <v>2</v>
      </c>
      <c r="AJ1598">
        <v>0</v>
      </c>
      <c r="AK1598" t="s">
        <v>580</v>
      </c>
      <c r="AL1598">
        <v>39.024146000000002</v>
      </c>
      <c r="AM1598" t="s">
        <v>581</v>
      </c>
      <c r="AN1598">
        <v>-121.049316</v>
      </c>
      <c r="AO1598">
        <v>25</v>
      </c>
      <c r="AP1598">
        <v>4000</v>
      </c>
      <c r="AQ1598" t="s">
        <v>131</v>
      </c>
      <c r="AR1598">
        <v>40</v>
      </c>
      <c r="AS1598">
        <v>67</v>
      </c>
      <c r="AT1598">
        <v>128</v>
      </c>
      <c r="BB1598" t="str">
        <f t="shared" si="611"/>
        <v>1200</v>
      </c>
      <c r="BC1598">
        <v>1</v>
      </c>
      <c r="BD1598" t="str">
        <f t="shared" si="612"/>
        <v xml:space="preserve">N52156  </v>
      </c>
      <c r="BE1598">
        <v>1</v>
      </c>
      <c r="BG1598">
        <v>0</v>
      </c>
      <c r="BH1598">
        <v>0</v>
      </c>
      <c r="BI1598">
        <v>0</v>
      </c>
      <c r="BJ1598">
        <v>4000</v>
      </c>
      <c r="BK1598">
        <v>0</v>
      </c>
      <c r="BL1598" t="s">
        <v>188</v>
      </c>
      <c r="BM1598">
        <v>1</v>
      </c>
      <c r="BN1598">
        <v>1</v>
      </c>
      <c r="BO1598">
        <v>0</v>
      </c>
      <c r="BP1598">
        <v>0</v>
      </c>
      <c r="BS1598">
        <v>0</v>
      </c>
      <c r="BT1598">
        <v>0</v>
      </c>
      <c r="BU1598">
        <v>0</v>
      </c>
      <c r="CE1598" t="str">
        <f t="shared" ref="CE1598:CE1603" si="633">"15:08:58.835"</f>
        <v>15:08:58.835</v>
      </c>
      <c r="CF1598">
        <v>835458913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133</v>
      </c>
      <c r="DA1598">
        <v>275</v>
      </c>
      <c r="DB1598">
        <v>0</v>
      </c>
      <c r="DC1598" t="s">
        <v>134</v>
      </c>
      <c r="DD1598" t="s">
        <v>135</v>
      </c>
      <c r="DG1598">
        <v>3320591</v>
      </c>
      <c r="DI1598">
        <v>1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"05/01/2025 15:08:59.078"</f>
        <v>05/01/2025 15:08:59.078</v>
      </c>
      <c r="C1599" t="str">
        <f t="shared" si="608"/>
        <v>FFDFD3C0</v>
      </c>
      <c r="D1599" t="s">
        <v>143</v>
      </c>
      <c r="E1599" t="str">
        <f>"05"</f>
        <v>05</v>
      </c>
      <c r="H1599">
        <v>172</v>
      </c>
      <c r="I1599" t="s">
        <v>141</v>
      </c>
      <c r="J1599" t="s">
        <v>144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R1599" t="s">
        <v>127</v>
      </c>
      <c r="S1599" t="str">
        <f t="shared" si="632"/>
        <v>15:08:58.000</v>
      </c>
      <c r="T1599" t="str">
        <f t="shared" si="632"/>
        <v>15:08:58.000</v>
      </c>
      <c r="U1599" t="str">
        <f t="shared" si="610"/>
        <v>A68FCB</v>
      </c>
      <c r="V1599">
        <v>0</v>
      </c>
      <c r="W1599">
        <v>0</v>
      </c>
      <c r="X1599">
        <v>2</v>
      </c>
      <c r="Y1599">
        <v>0</v>
      </c>
      <c r="AA1599">
        <v>1</v>
      </c>
      <c r="AB1599">
        <v>8</v>
      </c>
      <c r="AC1599">
        <v>3</v>
      </c>
      <c r="AD1599">
        <v>0</v>
      </c>
      <c r="AE1599">
        <v>9</v>
      </c>
      <c r="AF1599" t="s">
        <v>138</v>
      </c>
      <c r="AG1599">
        <v>0</v>
      </c>
      <c r="AH1599">
        <v>3</v>
      </c>
      <c r="AI1599">
        <v>2</v>
      </c>
      <c r="AJ1599">
        <v>0</v>
      </c>
      <c r="AK1599" t="s">
        <v>580</v>
      </c>
      <c r="AL1599">
        <v>39.024146000000002</v>
      </c>
      <c r="AM1599" t="s">
        <v>581</v>
      </c>
      <c r="AN1599">
        <v>-121.049316</v>
      </c>
      <c r="AO1599">
        <v>25</v>
      </c>
      <c r="AP1599">
        <v>4000</v>
      </c>
      <c r="AQ1599" t="s">
        <v>131</v>
      </c>
      <c r="AR1599">
        <v>40</v>
      </c>
      <c r="AS1599">
        <v>67</v>
      </c>
      <c r="AT1599">
        <v>128</v>
      </c>
      <c r="BB1599" t="str">
        <f t="shared" si="611"/>
        <v>1200</v>
      </c>
      <c r="BC1599">
        <v>1</v>
      </c>
      <c r="BD1599" t="str">
        <f t="shared" si="612"/>
        <v xml:space="preserve">N52156  </v>
      </c>
      <c r="BE1599">
        <v>1</v>
      </c>
      <c r="BG1599">
        <v>0</v>
      </c>
      <c r="BH1599">
        <v>0</v>
      </c>
      <c r="BI1599">
        <v>0</v>
      </c>
      <c r="BJ1599">
        <v>4000</v>
      </c>
      <c r="BK1599">
        <v>0</v>
      </c>
      <c r="BL1599" t="s">
        <v>188</v>
      </c>
      <c r="BM1599">
        <v>1</v>
      </c>
      <c r="BN1599">
        <v>1</v>
      </c>
      <c r="BO1599">
        <v>0</v>
      </c>
      <c r="BP1599">
        <v>0</v>
      </c>
      <c r="BS1599">
        <v>0</v>
      </c>
      <c r="BT1599">
        <v>0</v>
      </c>
      <c r="BU1599">
        <v>0</v>
      </c>
      <c r="CE1599" t="str">
        <f t="shared" si="633"/>
        <v>15:08:58.835</v>
      </c>
      <c r="CF1599">
        <v>835458913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133</v>
      </c>
      <c r="DA1599">
        <v>275</v>
      </c>
      <c r="DB1599">
        <v>0</v>
      </c>
      <c r="DC1599" t="s">
        <v>134</v>
      </c>
      <c r="DD1599" t="s">
        <v>135</v>
      </c>
      <c r="DG1599">
        <v>3320591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"05/01/2025 15:08:59.065"</f>
        <v>05/01/2025 15:08:59.065</v>
      </c>
      <c r="C1600" t="str">
        <f t="shared" si="608"/>
        <v>FFDFD3C0</v>
      </c>
      <c r="D1600" t="s">
        <v>140</v>
      </c>
      <c r="E1600" t="str">
        <f>"13"</f>
        <v>13</v>
      </c>
      <c r="F1600">
        <v>1019</v>
      </c>
      <c r="G1600" t="s">
        <v>141</v>
      </c>
      <c r="J1600" t="s">
        <v>142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R1600" t="s">
        <v>127</v>
      </c>
      <c r="S1600" t="str">
        <f t="shared" si="632"/>
        <v>15:08:58.000</v>
      </c>
      <c r="T1600" t="str">
        <f t="shared" si="632"/>
        <v>15:08:58.000</v>
      </c>
      <c r="U1600" t="str">
        <f t="shared" si="610"/>
        <v>A68FCB</v>
      </c>
      <c r="V1600">
        <v>0</v>
      </c>
      <c r="W1600">
        <v>0</v>
      </c>
      <c r="X1600">
        <v>2</v>
      </c>
      <c r="Y1600">
        <v>0</v>
      </c>
      <c r="AA1600">
        <v>1</v>
      </c>
      <c r="AB1600">
        <v>8</v>
      </c>
      <c r="AC1600">
        <v>3</v>
      </c>
      <c r="AD1600">
        <v>0</v>
      </c>
      <c r="AE1600">
        <v>9</v>
      </c>
      <c r="AF1600" t="s">
        <v>138</v>
      </c>
      <c r="AG1600">
        <v>0</v>
      </c>
      <c r="AH1600">
        <v>3</v>
      </c>
      <c r="AI1600">
        <v>2</v>
      </c>
      <c r="AJ1600">
        <v>0</v>
      </c>
      <c r="AK1600" t="s">
        <v>580</v>
      </c>
      <c r="AL1600">
        <v>39.024146000000002</v>
      </c>
      <c r="AM1600" t="s">
        <v>581</v>
      </c>
      <c r="AN1600">
        <v>-121.049316</v>
      </c>
      <c r="AO1600">
        <v>25</v>
      </c>
      <c r="AP1600">
        <v>4000</v>
      </c>
      <c r="AQ1600" t="s">
        <v>131</v>
      </c>
      <c r="AR1600">
        <v>40</v>
      </c>
      <c r="AS1600">
        <v>67</v>
      </c>
      <c r="AT1600">
        <v>128</v>
      </c>
      <c r="BB1600" t="str">
        <f t="shared" si="611"/>
        <v>1200</v>
      </c>
      <c r="BC1600">
        <v>1</v>
      </c>
      <c r="BD1600" t="str">
        <f t="shared" si="612"/>
        <v xml:space="preserve">N52156  </v>
      </c>
      <c r="BE1600">
        <v>1</v>
      </c>
      <c r="BG1600">
        <v>0</v>
      </c>
      <c r="BH1600">
        <v>0</v>
      </c>
      <c r="BI1600">
        <v>0</v>
      </c>
      <c r="BJ1600">
        <v>4000</v>
      </c>
      <c r="BK1600">
        <v>0</v>
      </c>
      <c r="BL1600" t="s">
        <v>188</v>
      </c>
      <c r="BM1600">
        <v>1</v>
      </c>
      <c r="BN1600">
        <v>1</v>
      </c>
      <c r="BO1600">
        <v>0</v>
      </c>
      <c r="BP1600">
        <v>0</v>
      </c>
      <c r="BS1600">
        <v>0</v>
      </c>
      <c r="BT1600">
        <v>0</v>
      </c>
      <c r="BU1600">
        <v>0</v>
      </c>
      <c r="CE1600" t="str">
        <f t="shared" si="633"/>
        <v>15:08:58.835</v>
      </c>
      <c r="CF1600">
        <v>835458913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133</v>
      </c>
      <c r="DA1600">
        <v>275</v>
      </c>
      <c r="DB1600">
        <v>0</v>
      </c>
      <c r="DC1600" t="s">
        <v>134</v>
      </c>
      <c r="DD1600" t="s">
        <v>135</v>
      </c>
      <c r="DG1600">
        <v>3320591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"05/01/2025 15:08:59.074"</f>
        <v>05/01/2025 15:08:59.074</v>
      </c>
      <c r="C1601" t="str">
        <f t="shared" si="608"/>
        <v>FFDFD3C0</v>
      </c>
      <c r="D1601" t="s">
        <v>145</v>
      </c>
      <c r="E1601" t="str">
        <f>"09"</f>
        <v>09</v>
      </c>
      <c r="H1601">
        <v>51</v>
      </c>
      <c r="I1601" t="s">
        <v>147</v>
      </c>
      <c r="J1601" t="s">
        <v>138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R1601" t="s">
        <v>127</v>
      </c>
      <c r="S1601" t="str">
        <f t="shared" si="632"/>
        <v>15:08:58.000</v>
      </c>
      <c r="T1601" t="str">
        <f t="shared" si="632"/>
        <v>15:08:58.000</v>
      </c>
      <c r="U1601" t="str">
        <f t="shared" si="610"/>
        <v>A68FCB</v>
      </c>
      <c r="V1601">
        <v>0</v>
      </c>
      <c r="W1601">
        <v>0</v>
      </c>
      <c r="X1601">
        <v>2</v>
      </c>
      <c r="Y1601">
        <v>0</v>
      </c>
      <c r="AA1601">
        <v>1</v>
      </c>
      <c r="AB1601">
        <v>8</v>
      </c>
      <c r="AC1601">
        <v>3</v>
      </c>
      <c r="AD1601">
        <v>0</v>
      </c>
      <c r="AE1601">
        <v>9</v>
      </c>
      <c r="AF1601" t="s">
        <v>138</v>
      </c>
      <c r="AG1601">
        <v>0</v>
      </c>
      <c r="AH1601">
        <v>3</v>
      </c>
      <c r="AI1601">
        <v>2</v>
      </c>
      <c r="AJ1601">
        <v>0</v>
      </c>
      <c r="AK1601" t="s">
        <v>580</v>
      </c>
      <c r="AL1601">
        <v>39.024146000000002</v>
      </c>
      <c r="AM1601" t="s">
        <v>581</v>
      </c>
      <c r="AN1601">
        <v>-121.049316</v>
      </c>
      <c r="AO1601">
        <v>25</v>
      </c>
      <c r="AP1601">
        <v>4000</v>
      </c>
      <c r="AQ1601" t="s">
        <v>131</v>
      </c>
      <c r="AR1601">
        <v>40</v>
      </c>
      <c r="AS1601">
        <v>67</v>
      </c>
      <c r="AT1601">
        <v>128</v>
      </c>
      <c r="BB1601" t="str">
        <f t="shared" si="611"/>
        <v>1200</v>
      </c>
      <c r="BC1601">
        <v>1</v>
      </c>
      <c r="BD1601" t="str">
        <f t="shared" si="612"/>
        <v xml:space="preserve">N52156  </v>
      </c>
      <c r="BE1601">
        <v>1</v>
      </c>
      <c r="BG1601">
        <v>0</v>
      </c>
      <c r="BH1601">
        <v>0</v>
      </c>
      <c r="BI1601">
        <v>0</v>
      </c>
      <c r="BJ1601">
        <v>4000</v>
      </c>
      <c r="BK1601">
        <v>0</v>
      </c>
      <c r="BL1601" t="s">
        <v>188</v>
      </c>
      <c r="BM1601">
        <v>1</v>
      </c>
      <c r="BN1601">
        <v>1</v>
      </c>
      <c r="BO1601">
        <v>0</v>
      </c>
      <c r="BP1601">
        <v>0</v>
      </c>
      <c r="BS1601">
        <v>0</v>
      </c>
      <c r="BT1601">
        <v>0</v>
      </c>
      <c r="BU1601">
        <v>0</v>
      </c>
      <c r="CE1601" t="str">
        <f t="shared" si="633"/>
        <v>15:08:58.835</v>
      </c>
      <c r="CF1601">
        <v>835458913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5</v>
      </c>
      <c r="CY1601">
        <v>7</v>
      </c>
      <c r="CZ1601" t="s">
        <v>133</v>
      </c>
      <c r="DA1601">
        <v>275</v>
      </c>
      <c r="DB1601">
        <v>0</v>
      </c>
      <c r="DC1601" t="s">
        <v>134</v>
      </c>
      <c r="DD1601" t="s">
        <v>135</v>
      </c>
      <c r="DG1601">
        <v>3320591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"05/01/2025 15:08:59.084"</f>
        <v>05/01/2025 15:08:59.084</v>
      </c>
      <c r="C1602" t="str">
        <f t="shared" ref="C1602:C1665" si="634">"FFDFD3C0"</f>
        <v>FFDFD3C0</v>
      </c>
      <c r="D1602" t="s">
        <v>136</v>
      </c>
      <c r="E1602" t="str">
        <f>"20"</f>
        <v>20</v>
      </c>
      <c r="H1602">
        <v>400</v>
      </c>
      <c r="I1602" t="s">
        <v>137</v>
      </c>
      <c r="J1602" t="s">
        <v>138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R1602" t="s">
        <v>127</v>
      </c>
      <c r="S1602" t="str">
        <f t="shared" si="632"/>
        <v>15:08:58.000</v>
      </c>
      <c r="T1602" t="str">
        <f t="shared" si="632"/>
        <v>15:08:58.000</v>
      </c>
      <c r="U1602" t="str">
        <f t="shared" ref="U1602:U1665" si="635">"A68FCB"</f>
        <v>A68FCB</v>
      </c>
      <c r="V1602">
        <v>0</v>
      </c>
      <c r="W1602">
        <v>0</v>
      </c>
      <c r="X1602">
        <v>2</v>
      </c>
      <c r="Y1602">
        <v>0</v>
      </c>
      <c r="AA1602">
        <v>1</v>
      </c>
      <c r="AB1602">
        <v>8</v>
      </c>
      <c r="AC1602">
        <v>3</v>
      </c>
      <c r="AD1602">
        <v>0</v>
      </c>
      <c r="AE1602">
        <v>9</v>
      </c>
      <c r="AF1602" t="s">
        <v>138</v>
      </c>
      <c r="AG1602">
        <v>0</v>
      </c>
      <c r="AH1602">
        <v>3</v>
      </c>
      <c r="AI1602">
        <v>2</v>
      </c>
      <c r="AJ1602">
        <v>0</v>
      </c>
      <c r="AK1602" t="s">
        <v>580</v>
      </c>
      <c r="AL1602">
        <v>39.024146000000002</v>
      </c>
      <c r="AM1602" t="s">
        <v>581</v>
      </c>
      <c r="AN1602">
        <v>-121.049316</v>
      </c>
      <c r="AO1602">
        <v>25</v>
      </c>
      <c r="AP1602">
        <v>4000</v>
      </c>
      <c r="AQ1602" t="s">
        <v>131</v>
      </c>
      <c r="AR1602">
        <v>40</v>
      </c>
      <c r="AS1602">
        <v>67</v>
      </c>
      <c r="AT1602">
        <v>128</v>
      </c>
      <c r="BB1602" t="str">
        <f t="shared" ref="BB1602:BB1665" si="636">"1200"</f>
        <v>1200</v>
      </c>
      <c r="BC1602">
        <v>1</v>
      </c>
      <c r="BD1602" t="str">
        <f t="shared" ref="BD1602:BD1665" si="637">"N52156  "</f>
        <v xml:space="preserve">N52156  </v>
      </c>
      <c r="BE1602">
        <v>1</v>
      </c>
      <c r="BG1602">
        <v>0</v>
      </c>
      <c r="BH1602">
        <v>0</v>
      </c>
      <c r="BI1602">
        <v>0</v>
      </c>
      <c r="BJ1602">
        <v>4000</v>
      </c>
      <c r="BK1602">
        <v>0</v>
      </c>
      <c r="BL1602" t="s">
        <v>188</v>
      </c>
      <c r="BM1602">
        <v>1</v>
      </c>
      <c r="BN1602">
        <v>1</v>
      </c>
      <c r="BO1602">
        <v>0</v>
      </c>
      <c r="BP1602">
        <v>0</v>
      </c>
      <c r="BS1602">
        <v>0</v>
      </c>
      <c r="BT1602">
        <v>0</v>
      </c>
      <c r="BU1602">
        <v>0</v>
      </c>
      <c r="CE1602" t="str">
        <f t="shared" si="633"/>
        <v>15:08:58.835</v>
      </c>
      <c r="CF1602">
        <v>835458913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133</v>
      </c>
      <c r="DA1602">
        <v>275</v>
      </c>
      <c r="DB1602">
        <v>0</v>
      </c>
      <c r="DC1602" t="s">
        <v>134</v>
      </c>
      <c r="DD1602" t="s">
        <v>135</v>
      </c>
      <c r="DG1602">
        <v>3320591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"05/01/2025 15:08:59.072"</f>
        <v>05/01/2025 15:08:59.072</v>
      </c>
      <c r="C1603" t="str">
        <f t="shared" si="634"/>
        <v>FFDFD3C0</v>
      </c>
      <c r="D1603" t="s">
        <v>145</v>
      </c>
      <c r="E1603" t="str">
        <f>"05"</f>
        <v>05</v>
      </c>
      <c r="H1603">
        <v>47</v>
      </c>
      <c r="I1603" t="s">
        <v>146</v>
      </c>
      <c r="J1603" t="s">
        <v>138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R1603" t="s">
        <v>127</v>
      </c>
      <c r="S1603" t="str">
        <f t="shared" si="632"/>
        <v>15:08:58.000</v>
      </c>
      <c r="T1603" t="str">
        <f t="shared" si="632"/>
        <v>15:08:58.000</v>
      </c>
      <c r="U1603" t="str">
        <f t="shared" si="635"/>
        <v>A68FCB</v>
      </c>
      <c r="V1603">
        <v>0</v>
      </c>
      <c r="W1603">
        <v>0</v>
      </c>
      <c r="X1603">
        <v>2</v>
      </c>
      <c r="Y1603">
        <v>0</v>
      </c>
      <c r="AA1603">
        <v>1</v>
      </c>
      <c r="AB1603">
        <v>8</v>
      </c>
      <c r="AC1603">
        <v>3</v>
      </c>
      <c r="AD1603">
        <v>0</v>
      </c>
      <c r="AE1603">
        <v>9</v>
      </c>
      <c r="AF1603" t="s">
        <v>138</v>
      </c>
      <c r="AG1603">
        <v>0</v>
      </c>
      <c r="AH1603">
        <v>3</v>
      </c>
      <c r="AI1603">
        <v>2</v>
      </c>
      <c r="AJ1603">
        <v>0</v>
      </c>
      <c r="AK1603" t="s">
        <v>580</v>
      </c>
      <c r="AL1603">
        <v>39.024146000000002</v>
      </c>
      <c r="AM1603" t="s">
        <v>581</v>
      </c>
      <c r="AN1603">
        <v>-121.049316</v>
      </c>
      <c r="AO1603">
        <v>25</v>
      </c>
      <c r="AP1603">
        <v>4000</v>
      </c>
      <c r="AQ1603" t="s">
        <v>131</v>
      </c>
      <c r="AR1603">
        <v>40</v>
      </c>
      <c r="AS1603">
        <v>67</v>
      </c>
      <c r="AT1603">
        <v>128</v>
      </c>
      <c r="BB1603" t="str">
        <f t="shared" si="636"/>
        <v>1200</v>
      </c>
      <c r="BC1603">
        <v>1</v>
      </c>
      <c r="BD1603" t="str">
        <f t="shared" si="637"/>
        <v xml:space="preserve">N52156  </v>
      </c>
      <c r="BE1603">
        <v>1</v>
      </c>
      <c r="BG1603">
        <v>0</v>
      </c>
      <c r="BH1603">
        <v>0</v>
      </c>
      <c r="BI1603">
        <v>0</v>
      </c>
      <c r="BJ1603">
        <v>4000</v>
      </c>
      <c r="BK1603">
        <v>0</v>
      </c>
      <c r="BL1603" t="s">
        <v>188</v>
      </c>
      <c r="BM1603">
        <v>1</v>
      </c>
      <c r="BN1603">
        <v>1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 t="shared" si="633"/>
        <v>15:08:58.835</v>
      </c>
      <c r="CF1603">
        <v>835458913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133</v>
      </c>
      <c r="DA1603">
        <v>275</v>
      </c>
      <c r="DB1603">
        <v>0</v>
      </c>
      <c r="DC1603" t="s">
        <v>134</v>
      </c>
      <c r="DD1603" t="s">
        <v>135</v>
      </c>
      <c r="DG1603">
        <v>3320591</v>
      </c>
      <c r="DI1603">
        <v>1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"05/01/2025 15:09:00.216"</f>
        <v>05/01/2025 15:09:00.216</v>
      </c>
      <c r="C1604" t="str">
        <f t="shared" si="634"/>
        <v>FFDFD3C0</v>
      </c>
      <c r="D1604" t="s">
        <v>140</v>
      </c>
      <c r="E1604" t="str">
        <f>"13"</f>
        <v>13</v>
      </c>
      <c r="F1604">
        <v>1019</v>
      </c>
      <c r="G1604" t="s">
        <v>141</v>
      </c>
      <c r="J1604" t="s">
        <v>142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R1604" t="s">
        <v>127</v>
      </c>
      <c r="S1604" t="str">
        <f t="shared" ref="S1604:T1609" si="638">"15:08:59.000"</f>
        <v>15:08:59.000</v>
      </c>
      <c r="T1604" t="str">
        <f t="shared" si="638"/>
        <v>15:08:59.000</v>
      </c>
      <c r="U1604" t="str">
        <f t="shared" si="635"/>
        <v>A68FCB</v>
      </c>
      <c r="V1604">
        <v>0</v>
      </c>
      <c r="W1604">
        <v>0</v>
      </c>
      <c r="X1604">
        <v>2</v>
      </c>
      <c r="Y1604">
        <v>0</v>
      </c>
      <c r="AA1604">
        <v>1</v>
      </c>
      <c r="AB1604">
        <v>8</v>
      </c>
      <c r="AC1604">
        <v>3</v>
      </c>
      <c r="AD1604">
        <v>0</v>
      </c>
      <c r="AE1604">
        <v>9</v>
      </c>
      <c r="AF1604" t="s">
        <v>138</v>
      </c>
      <c r="AG1604">
        <v>0</v>
      </c>
      <c r="AH1604">
        <v>3</v>
      </c>
      <c r="AI1604">
        <v>2</v>
      </c>
      <c r="AJ1604">
        <v>0</v>
      </c>
      <c r="AK1604" t="s">
        <v>582</v>
      </c>
      <c r="AL1604">
        <v>39.024467000000001</v>
      </c>
      <c r="AM1604" t="s">
        <v>583</v>
      </c>
      <c r="AN1604">
        <v>-121.04908</v>
      </c>
      <c r="AO1604">
        <v>25</v>
      </c>
      <c r="AP1604">
        <v>4000</v>
      </c>
      <c r="AQ1604" t="s">
        <v>131</v>
      </c>
      <c r="AR1604">
        <v>40</v>
      </c>
      <c r="AS1604">
        <v>67</v>
      </c>
      <c r="AT1604">
        <v>192</v>
      </c>
      <c r="BB1604" t="str">
        <f t="shared" si="636"/>
        <v>1200</v>
      </c>
      <c r="BC1604">
        <v>1</v>
      </c>
      <c r="BD1604" t="str">
        <f t="shared" si="637"/>
        <v xml:space="preserve">N52156  </v>
      </c>
      <c r="BE1604">
        <v>1</v>
      </c>
      <c r="BG1604">
        <v>0</v>
      </c>
      <c r="BH1604">
        <v>0</v>
      </c>
      <c r="BI1604">
        <v>0</v>
      </c>
      <c r="BJ1604">
        <v>4000</v>
      </c>
      <c r="BK1604">
        <v>0</v>
      </c>
      <c r="BL1604" t="s">
        <v>188</v>
      </c>
      <c r="BM1604">
        <v>1</v>
      </c>
      <c r="BN1604">
        <v>1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 t="shared" ref="CE1604:CE1609" si="639">"15:08:59.983"</f>
        <v>15:08:59.983</v>
      </c>
      <c r="CF1604">
        <v>983459373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133</v>
      </c>
      <c r="DA1604">
        <v>275</v>
      </c>
      <c r="DB1604">
        <v>0</v>
      </c>
      <c r="DC1604" t="s">
        <v>134</v>
      </c>
      <c r="DD1604" t="s">
        <v>135</v>
      </c>
      <c r="DG1604">
        <v>3320601</v>
      </c>
      <c r="DI1604">
        <v>1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"05/01/2025 15:09:00.224"</f>
        <v>05/01/2025 15:09:00.224</v>
      </c>
      <c r="C1605" t="str">
        <f t="shared" si="634"/>
        <v>FFDFD3C0</v>
      </c>
      <c r="D1605" t="s">
        <v>145</v>
      </c>
      <c r="E1605" t="str">
        <f>"05"</f>
        <v>05</v>
      </c>
      <c r="H1605">
        <v>47</v>
      </c>
      <c r="I1605" t="s">
        <v>146</v>
      </c>
      <c r="J1605" t="s">
        <v>138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R1605" t="s">
        <v>127</v>
      </c>
      <c r="S1605" t="str">
        <f t="shared" si="638"/>
        <v>15:08:59.000</v>
      </c>
      <c r="T1605" t="str">
        <f t="shared" si="638"/>
        <v>15:08:59.000</v>
      </c>
      <c r="U1605" t="str">
        <f t="shared" si="635"/>
        <v>A68FCB</v>
      </c>
      <c r="V1605">
        <v>0</v>
      </c>
      <c r="W1605">
        <v>0</v>
      </c>
      <c r="X1605">
        <v>2</v>
      </c>
      <c r="Y1605">
        <v>0</v>
      </c>
      <c r="AA1605">
        <v>1</v>
      </c>
      <c r="AB1605">
        <v>8</v>
      </c>
      <c r="AC1605">
        <v>3</v>
      </c>
      <c r="AD1605">
        <v>0</v>
      </c>
      <c r="AE1605">
        <v>9</v>
      </c>
      <c r="AF1605" t="s">
        <v>138</v>
      </c>
      <c r="AG1605">
        <v>0</v>
      </c>
      <c r="AH1605">
        <v>3</v>
      </c>
      <c r="AI1605">
        <v>2</v>
      </c>
      <c r="AJ1605">
        <v>0</v>
      </c>
      <c r="AK1605" t="s">
        <v>582</v>
      </c>
      <c r="AL1605">
        <v>39.024467000000001</v>
      </c>
      <c r="AM1605" t="s">
        <v>583</v>
      </c>
      <c r="AN1605">
        <v>-121.04908</v>
      </c>
      <c r="AO1605">
        <v>25</v>
      </c>
      <c r="AP1605">
        <v>4000</v>
      </c>
      <c r="AQ1605" t="s">
        <v>131</v>
      </c>
      <c r="AR1605">
        <v>40</v>
      </c>
      <c r="AS1605">
        <v>67</v>
      </c>
      <c r="AT1605">
        <v>192</v>
      </c>
      <c r="BB1605" t="str">
        <f t="shared" si="636"/>
        <v>1200</v>
      </c>
      <c r="BC1605">
        <v>1</v>
      </c>
      <c r="BD1605" t="str">
        <f t="shared" si="637"/>
        <v xml:space="preserve">N52156  </v>
      </c>
      <c r="BE1605">
        <v>1</v>
      </c>
      <c r="BG1605">
        <v>0</v>
      </c>
      <c r="BH1605">
        <v>0</v>
      </c>
      <c r="BI1605">
        <v>0</v>
      </c>
      <c r="BJ1605">
        <v>4000</v>
      </c>
      <c r="BK1605">
        <v>0</v>
      </c>
      <c r="BL1605" t="s">
        <v>188</v>
      </c>
      <c r="BM1605">
        <v>1</v>
      </c>
      <c r="BN1605">
        <v>1</v>
      </c>
      <c r="BO1605">
        <v>0</v>
      </c>
      <c r="BP1605">
        <v>0</v>
      </c>
      <c r="BS1605">
        <v>0</v>
      </c>
      <c r="BT1605">
        <v>0</v>
      </c>
      <c r="BU1605">
        <v>0</v>
      </c>
      <c r="CE1605" t="str">
        <f t="shared" si="639"/>
        <v>15:08:59.983</v>
      </c>
      <c r="CF1605">
        <v>983459373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5</v>
      </c>
      <c r="CY1605">
        <v>7</v>
      </c>
      <c r="CZ1605" t="s">
        <v>133</v>
      </c>
      <c r="DA1605">
        <v>275</v>
      </c>
      <c r="DB1605">
        <v>0</v>
      </c>
      <c r="DC1605" t="s">
        <v>134</v>
      </c>
      <c r="DD1605" t="s">
        <v>135</v>
      </c>
      <c r="DG1605">
        <v>3320601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"05/01/2025 15:09:00.226"</f>
        <v>05/01/2025 15:09:00.226</v>
      </c>
      <c r="C1606" t="str">
        <f t="shared" si="634"/>
        <v>FFDFD3C0</v>
      </c>
      <c r="D1606" t="s">
        <v>145</v>
      </c>
      <c r="E1606" t="str">
        <f>"09"</f>
        <v>09</v>
      </c>
      <c r="H1606">
        <v>51</v>
      </c>
      <c r="I1606" t="s">
        <v>147</v>
      </c>
      <c r="J1606" t="s">
        <v>138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R1606" t="s">
        <v>127</v>
      </c>
      <c r="S1606" t="str">
        <f t="shared" si="638"/>
        <v>15:08:59.000</v>
      </c>
      <c r="T1606" t="str">
        <f t="shared" si="638"/>
        <v>15:08:59.000</v>
      </c>
      <c r="U1606" t="str">
        <f t="shared" si="635"/>
        <v>A68FCB</v>
      </c>
      <c r="V1606">
        <v>0</v>
      </c>
      <c r="W1606">
        <v>0</v>
      </c>
      <c r="X1606">
        <v>2</v>
      </c>
      <c r="Y1606">
        <v>0</v>
      </c>
      <c r="AA1606">
        <v>1</v>
      </c>
      <c r="AB1606">
        <v>8</v>
      </c>
      <c r="AC1606">
        <v>3</v>
      </c>
      <c r="AD1606">
        <v>0</v>
      </c>
      <c r="AE1606">
        <v>9</v>
      </c>
      <c r="AF1606" t="s">
        <v>138</v>
      </c>
      <c r="AG1606">
        <v>0</v>
      </c>
      <c r="AH1606">
        <v>3</v>
      </c>
      <c r="AI1606">
        <v>2</v>
      </c>
      <c r="AJ1606">
        <v>0</v>
      </c>
      <c r="AK1606" t="s">
        <v>582</v>
      </c>
      <c r="AL1606">
        <v>39.024467000000001</v>
      </c>
      <c r="AM1606" t="s">
        <v>583</v>
      </c>
      <c r="AN1606">
        <v>-121.04908</v>
      </c>
      <c r="AO1606">
        <v>25</v>
      </c>
      <c r="AP1606">
        <v>4000</v>
      </c>
      <c r="AQ1606" t="s">
        <v>131</v>
      </c>
      <c r="AR1606">
        <v>40</v>
      </c>
      <c r="AS1606">
        <v>67</v>
      </c>
      <c r="AT1606">
        <v>192</v>
      </c>
      <c r="BB1606" t="str">
        <f t="shared" si="636"/>
        <v>1200</v>
      </c>
      <c r="BC1606">
        <v>1</v>
      </c>
      <c r="BD1606" t="str">
        <f t="shared" si="637"/>
        <v xml:space="preserve">N52156  </v>
      </c>
      <c r="BE1606">
        <v>1</v>
      </c>
      <c r="BG1606">
        <v>0</v>
      </c>
      <c r="BH1606">
        <v>0</v>
      </c>
      <c r="BI1606">
        <v>0</v>
      </c>
      <c r="BJ1606">
        <v>4000</v>
      </c>
      <c r="BK1606">
        <v>0</v>
      </c>
      <c r="BL1606" t="s">
        <v>188</v>
      </c>
      <c r="BM1606">
        <v>1</v>
      </c>
      <c r="BN1606">
        <v>1</v>
      </c>
      <c r="BO1606">
        <v>0</v>
      </c>
      <c r="BP1606">
        <v>0</v>
      </c>
      <c r="BS1606">
        <v>0</v>
      </c>
      <c r="BT1606">
        <v>0</v>
      </c>
      <c r="BU1606">
        <v>0</v>
      </c>
      <c r="CE1606" t="str">
        <f t="shared" si="639"/>
        <v>15:08:59.983</v>
      </c>
      <c r="CF1606">
        <v>983459373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5</v>
      </c>
      <c r="CY1606">
        <v>7</v>
      </c>
      <c r="CZ1606" t="s">
        <v>133</v>
      </c>
      <c r="DA1606">
        <v>275</v>
      </c>
      <c r="DB1606">
        <v>0</v>
      </c>
      <c r="DC1606" t="s">
        <v>134</v>
      </c>
      <c r="DD1606" t="s">
        <v>135</v>
      </c>
      <c r="DG1606">
        <v>3320601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"05/01/2025 15:09:00.227"</f>
        <v>05/01/2025 15:09:00.227</v>
      </c>
      <c r="C1607" t="str">
        <f t="shared" si="634"/>
        <v>FFDFD3C0</v>
      </c>
      <c r="D1607" t="s">
        <v>124</v>
      </c>
      <c r="E1607" t="str">
        <f>"06"</f>
        <v>06</v>
      </c>
      <c r="F1607">
        <v>2006</v>
      </c>
      <c r="G1607" t="s">
        <v>125</v>
      </c>
      <c r="J1607" t="s">
        <v>126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R1607" t="s">
        <v>127</v>
      </c>
      <c r="S1607" t="str">
        <f t="shared" si="638"/>
        <v>15:08:59.000</v>
      </c>
      <c r="T1607" t="str">
        <f t="shared" si="638"/>
        <v>15:08:59.000</v>
      </c>
      <c r="U1607" t="str">
        <f t="shared" si="635"/>
        <v>A68FCB</v>
      </c>
      <c r="V1607">
        <v>0</v>
      </c>
      <c r="W1607">
        <v>0</v>
      </c>
      <c r="X1607">
        <v>2</v>
      </c>
      <c r="Y1607">
        <v>0</v>
      </c>
      <c r="AA1607">
        <v>1</v>
      </c>
      <c r="AB1607">
        <v>8</v>
      </c>
      <c r="AC1607">
        <v>3</v>
      </c>
      <c r="AD1607">
        <v>0</v>
      </c>
      <c r="AE1607">
        <v>9</v>
      </c>
      <c r="AF1607" t="s">
        <v>138</v>
      </c>
      <c r="AG1607">
        <v>0</v>
      </c>
      <c r="AH1607">
        <v>3</v>
      </c>
      <c r="AI1607">
        <v>2</v>
      </c>
      <c r="AJ1607">
        <v>0</v>
      </c>
      <c r="AK1607" t="s">
        <v>582</v>
      </c>
      <c r="AL1607">
        <v>39.024467000000001</v>
      </c>
      <c r="AM1607" t="s">
        <v>583</v>
      </c>
      <c r="AN1607">
        <v>-121.04908</v>
      </c>
      <c r="AO1607">
        <v>25</v>
      </c>
      <c r="AP1607">
        <v>4000</v>
      </c>
      <c r="AQ1607" t="s">
        <v>131</v>
      </c>
      <c r="AR1607">
        <v>40</v>
      </c>
      <c r="AS1607">
        <v>67</v>
      </c>
      <c r="AT1607">
        <v>192</v>
      </c>
      <c r="BB1607" t="str">
        <f t="shared" si="636"/>
        <v>1200</v>
      </c>
      <c r="BC1607">
        <v>1</v>
      </c>
      <c r="BD1607" t="str">
        <f t="shared" si="637"/>
        <v xml:space="preserve">N52156  </v>
      </c>
      <c r="BE1607">
        <v>1</v>
      </c>
      <c r="BG1607">
        <v>0</v>
      </c>
      <c r="BH1607">
        <v>0</v>
      </c>
      <c r="BI1607">
        <v>0</v>
      </c>
      <c r="BJ1607">
        <v>4000</v>
      </c>
      <c r="BK1607">
        <v>0</v>
      </c>
      <c r="BL1607" t="s">
        <v>188</v>
      </c>
      <c r="BM1607">
        <v>1</v>
      </c>
      <c r="BN1607">
        <v>1</v>
      </c>
      <c r="BO1607">
        <v>0</v>
      </c>
      <c r="BP1607">
        <v>0</v>
      </c>
      <c r="BS1607">
        <v>0</v>
      </c>
      <c r="BT1607">
        <v>0</v>
      </c>
      <c r="BU1607">
        <v>0</v>
      </c>
      <c r="CE1607" t="str">
        <f t="shared" si="639"/>
        <v>15:08:59.983</v>
      </c>
      <c r="CF1607">
        <v>983459373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133</v>
      </c>
      <c r="DA1607">
        <v>275</v>
      </c>
      <c r="DB1607">
        <v>0</v>
      </c>
      <c r="DC1607" t="s">
        <v>134</v>
      </c>
      <c r="DD1607" t="s">
        <v>135</v>
      </c>
      <c r="DG1607">
        <v>3320601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"05/01/2025 15:09:00.230"</f>
        <v>05/01/2025 15:09:00.230</v>
      </c>
      <c r="C1608" t="str">
        <f t="shared" si="634"/>
        <v>FFDFD3C0</v>
      </c>
      <c r="D1608" t="s">
        <v>143</v>
      </c>
      <c r="E1608" t="str">
        <f>"05"</f>
        <v>05</v>
      </c>
      <c r="H1608">
        <v>172</v>
      </c>
      <c r="I1608" t="s">
        <v>141</v>
      </c>
      <c r="J1608" t="s">
        <v>144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R1608" t="s">
        <v>127</v>
      </c>
      <c r="S1608" t="str">
        <f t="shared" si="638"/>
        <v>15:08:59.000</v>
      </c>
      <c r="T1608" t="str">
        <f t="shared" si="638"/>
        <v>15:08:59.000</v>
      </c>
      <c r="U1608" t="str">
        <f t="shared" si="635"/>
        <v>A68FCB</v>
      </c>
      <c r="V1608">
        <v>0</v>
      </c>
      <c r="W1608">
        <v>0</v>
      </c>
      <c r="X1608">
        <v>2</v>
      </c>
      <c r="Y1608">
        <v>0</v>
      </c>
      <c r="AA1608">
        <v>1</v>
      </c>
      <c r="AB1608">
        <v>8</v>
      </c>
      <c r="AC1608">
        <v>3</v>
      </c>
      <c r="AD1608">
        <v>0</v>
      </c>
      <c r="AE1608">
        <v>9</v>
      </c>
      <c r="AF1608" t="s">
        <v>138</v>
      </c>
      <c r="AG1608">
        <v>0</v>
      </c>
      <c r="AH1608">
        <v>3</v>
      </c>
      <c r="AI1608">
        <v>2</v>
      </c>
      <c r="AJ1608">
        <v>0</v>
      </c>
      <c r="AK1608" t="s">
        <v>582</v>
      </c>
      <c r="AL1608">
        <v>39.024467000000001</v>
      </c>
      <c r="AM1608" t="s">
        <v>583</v>
      </c>
      <c r="AN1608">
        <v>-121.04908</v>
      </c>
      <c r="AO1608">
        <v>25</v>
      </c>
      <c r="AP1608">
        <v>4000</v>
      </c>
      <c r="AQ1608" t="s">
        <v>131</v>
      </c>
      <c r="AR1608">
        <v>40</v>
      </c>
      <c r="AS1608">
        <v>67</v>
      </c>
      <c r="AT1608">
        <v>192</v>
      </c>
      <c r="BB1608" t="str">
        <f t="shared" si="636"/>
        <v>1200</v>
      </c>
      <c r="BC1608">
        <v>1</v>
      </c>
      <c r="BD1608" t="str">
        <f t="shared" si="637"/>
        <v xml:space="preserve">N52156  </v>
      </c>
      <c r="BE1608">
        <v>1</v>
      </c>
      <c r="BG1608">
        <v>0</v>
      </c>
      <c r="BH1608">
        <v>0</v>
      </c>
      <c r="BI1608">
        <v>0</v>
      </c>
      <c r="BJ1608">
        <v>4000</v>
      </c>
      <c r="BK1608">
        <v>0</v>
      </c>
      <c r="BL1608" t="s">
        <v>188</v>
      </c>
      <c r="BM1608">
        <v>1</v>
      </c>
      <c r="BN1608">
        <v>1</v>
      </c>
      <c r="BO1608">
        <v>0</v>
      </c>
      <c r="BP1608">
        <v>0</v>
      </c>
      <c r="BS1608">
        <v>0</v>
      </c>
      <c r="BT1608">
        <v>0</v>
      </c>
      <c r="BU1608">
        <v>0</v>
      </c>
      <c r="CE1608" t="str">
        <f t="shared" si="639"/>
        <v>15:08:59.983</v>
      </c>
      <c r="CF1608">
        <v>983459373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133</v>
      </c>
      <c r="DA1608">
        <v>275</v>
      </c>
      <c r="DB1608">
        <v>0</v>
      </c>
      <c r="DC1608" t="s">
        <v>134</v>
      </c>
      <c r="DD1608" t="s">
        <v>135</v>
      </c>
      <c r="DG1608">
        <v>3320601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"05/01/2025 15:09:00.235"</f>
        <v>05/01/2025 15:09:00.235</v>
      </c>
      <c r="C1609" t="str">
        <f t="shared" si="634"/>
        <v>FFDFD3C0</v>
      </c>
      <c r="D1609" t="s">
        <v>136</v>
      </c>
      <c r="E1609" t="str">
        <f>"20"</f>
        <v>20</v>
      </c>
      <c r="H1609">
        <v>400</v>
      </c>
      <c r="I1609" t="s">
        <v>137</v>
      </c>
      <c r="J1609" t="s">
        <v>138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R1609" t="s">
        <v>127</v>
      </c>
      <c r="S1609" t="str">
        <f t="shared" si="638"/>
        <v>15:08:59.000</v>
      </c>
      <c r="T1609" t="str">
        <f t="shared" si="638"/>
        <v>15:08:59.000</v>
      </c>
      <c r="U1609" t="str">
        <f t="shared" si="635"/>
        <v>A68FCB</v>
      </c>
      <c r="V1609">
        <v>0</v>
      </c>
      <c r="W1609">
        <v>0</v>
      </c>
      <c r="X1609">
        <v>2</v>
      </c>
      <c r="Y1609">
        <v>0</v>
      </c>
      <c r="AA1609">
        <v>1</v>
      </c>
      <c r="AB1609">
        <v>8</v>
      </c>
      <c r="AC1609">
        <v>3</v>
      </c>
      <c r="AD1609">
        <v>0</v>
      </c>
      <c r="AE1609">
        <v>9</v>
      </c>
      <c r="AF1609" t="s">
        <v>138</v>
      </c>
      <c r="AG1609">
        <v>0</v>
      </c>
      <c r="AH1609">
        <v>3</v>
      </c>
      <c r="AI1609">
        <v>2</v>
      </c>
      <c r="AJ1609">
        <v>0</v>
      </c>
      <c r="AK1609" t="s">
        <v>582</v>
      </c>
      <c r="AL1609">
        <v>39.024467000000001</v>
      </c>
      <c r="AM1609" t="s">
        <v>583</v>
      </c>
      <c r="AN1609">
        <v>-121.04908</v>
      </c>
      <c r="AO1609">
        <v>25</v>
      </c>
      <c r="AP1609">
        <v>4000</v>
      </c>
      <c r="AQ1609" t="s">
        <v>131</v>
      </c>
      <c r="AR1609">
        <v>40</v>
      </c>
      <c r="AS1609">
        <v>67</v>
      </c>
      <c r="AT1609">
        <v>192</v>
      </c>
      <c r="BB1609" t="str">
        <f t="shared" si="636"/>
        <v>1200</v>
      </c>
      <c r="BC1609">
        <v>1</v>
      </c>
      <c r="BD1609" t="str">
        <f t="shared" si="637"/>
        <v xml:space="preserve">N52156  </v>
      </c>
      <c r="BE1609">
        <v>1</v>
      </c>
      <c r="BG1609">
        <v>0</v>
      </c>
      <c r="BH1609">
        <v>0</v>
      </c>
      <c r="BI1609">
        <v>0</v>
      </c>
      <c r="BJ1609">
        <v>4000</v>
      </c>
      <c r="BK1609">
        <v>0</v>
      </c>
      <c r="BL1609" t="s">
        <v>188</v>
      </c>
      <c r="BM1609">
        <v>1</v>
      </c>
      <c r="BN1609">
        <v>1</v>
      </c>
      <c r="BO1609">
        <v>0</v>
      </c>
      <c r="BP1609">
        <v>0</v>
      </c>
      <c r="BS1609">
        <v>0</v>
      </c>
      <c r="BT1609">
        <v>0</v>
      </c>
      <c r="BU1609">
        <v>0</v>
      </c>
      <c r="CE1609" t="str">
        <f t="shared" si="639"/>
        <v>15:08:59.983</v>
      </c>
      <c r="CF1609">
        <v>983459373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133</v>
      </c>
      <c r="DA1609">
        <v>275</v>
      </c>
      <c r="DB1609">
        <v>0</v>
      </c>
      <c r="DC1609" t="s">
        <v>134</v>
      </c>
      <c r="DD1609" t="s">
        <v>135</v>
      </c>
      <c r="DG1609">
        <v>3320601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"05/01/2025 15:09:00.617"</f>
        <v>05/01/2025 15:09:00.617</v>
      </c>
      <c r="C1610" t="str">
        <f t="shared" si="634"/>
        <v>FFDFD3C0</v>
      </c>
      <c r="D1610" t="s">
        <v>140</v>
      </c>
      <c r="E1610" t="str">
        <f>"13"</f>
        <v>13</v>
      </c>
      <c r="F1610">
        <v>1019</v>
      </c>
      <c r="G1610" t="s">
        <v>141</v>
      </c>
      <c r="J1610" t="s">
        <v>142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R1610" t="s">
        <v>127</v>
      </c>
      <c r="S1610" t="str">
        <f t="shared" ref="S1610:T1615" si="640">"15:09:00.000"</f>
        <v>15:09:00.000</v>
      </c>
      <c r="T1610" t="str">
        <f t="shared" si="640"/>
        <v>15:09:00.000</v>
      </c>
      <c r="U1610" t="str">
        <f t="shared" si="635"/>
        <v>A68FCB</v>
      </c>
      <c r="V1610">
        <v>0</v>
      </c>
      <c r="W1610">
        <v>0</v>
      </c>
      <c r="X1610">
        <v>2</v>
      </c>
      <c r="Y1610">
        <v>0</v>
      </c>
      <c r="AA1610">
        <v>1</v>
      </c>
      <c r="AB1610">
        <v>8</v>
      </c>
      <c r="AC1610">
        <v>3</v>
      </c>
      <c r="AD1610">
        <v>0</v>
      </c>
      <c r="AE1610">
        <v>9</v>
      </c>
      <c r="AF1610" t="s">
        <v>138</v>
      </c>
      <c r="AG1610">
        <v>0</v>
      </c>
      <c r="AH1610">
        <v>3</v>
      </c>
      <c r="AI1610">
        <v>2</v>
      </c>
      <c r="AJ1610">
        <v>0</v>
      </c>
      <c r="AK1610" t="s">
        <v>584</v>
      </c>
      <c r="AL1610">
        <v>39.024788999999998</v>
      </c>
      <c r="AM1610" t="s">
        <v>585</v>
      </c>
      <c r="AN1610">
        <v>-121.048822</v>
      </c>
      <c r="AO1610">
        <v>25</v>
      </c>
      <c r="AP1610">
        <v>4000</v>
      </c>
      <c r="AQ1610" t="s">
        <v>131</v>
      </c>
      <c r="AR1610">
        <v>40</v>
      </c>
      <c r="AS1610">
        <v>67</v>
      </c>
      <c r="AT1610">
        <v>256</v>
      </c>
      <c r="BB1610" t="str">
        <f t="shared" si="636"/>
        <v>1200</v>
      </c>
      <c r="BC1610">
        <v>1</v>
      </c>
      <c r="BD1610" t="str">
        <f t="shared" si="637"/>
        <v xml:space="preserve">N52156  </v>
      </c>
      <c r="BE1610">
        <v>1</v>
      </c>
      <c r="BG1610">
        <v>0</v>
      </c>
      <c r="BH1610">
        <v>0</v>
      </c>
      <c r="BI1610">
        <v>0</v>
      </c>
      <c r="BJ1610">
        <v>4000</v>
      </c>
      <c r="BK1610">
        <v>0</v>
      </c>
      <c r="BL1610" t="s">
        <v>188</v>
      </c>
      <c r="BM1610">
        <v>1</v>
      </c>
      <c r="BN1610">
        <v>1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 t="shared" ref="CE1610:CE1615" si="641">"15:09:00.399"</f>
        <v>15:09:00.399</v>
      </c>
      <c r="CF1610">
        <v>399207976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133</v>
      </c>
      <c r="DA1610">
        <v>275</v>
      </c>
      <c r="DB1610">
        <v>0</v>
      </c>
      <c r="DC1610" t="s">
        <v>134</v>
      </c>
      <c r="DD1610" t="s">
        <v>135</v>
      </c>
      <c r="DG1610">
        <v>3320606</v>
      </c>
      <c r="DI1610">
        <v>1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"05/01/2025 15:09:00.624"</f>
        <v>05/01/2025 15:09:00.624</v>
      </c>
      <c r="C1611" t="str">
        <f t="shared" si="634"/>
        <v>FFDFD3C0</v>
      </c>
      <c r="D1611" t="s">
        <v>145</v>
      </c>
      <c r="E1611" t="str">
        <f>"05"</f>
        <v>05</v>
      </c>
      <c r="H1611">
        <v>47</v>
      </c>
      <c r="I1611" t="s">
        <v>146</v>
      </c>
      <c r="J1611" t="s">
        <v>138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R1611" t="s">
        <v>127</v>
      </c>
      <c r="S1611" t="str">
        <f t="shared" si="640"/>
        <v>15:09:00.000</v>
      </c>
      <c r="T1611" t="str">
        <f t="shared" si="640"/>
        <v>15:09:00.000</v>
      </c>
      <c r="U1611" t="str">
        <f t="shared" si="635"/>
        <v>A68FCB</v>
      </c>
      <c r="V1611">
        <v>0</v>
      </c>
      <c r="W1611">
        <v>0</v>
      </c>
      <c r="X1611">
        <v>2</v>
      </c>
      <c r="Y1611">
        <v>0</v>
      </c>
      <c r="AA1611">
        <v>1</v>
      </c>
      <c r="AB1611">
        <v>8</v>
      </c>
      <c r="AC1611">
        <v>3</v>
      </c>
      <c r="AD1611">
        <v>0</v>
      </c>
      <c r="AE1611">
        <v>9</v>
      </c>
      <c r="AF1611" t="s">
        <v>138</v>
      </c>
      <c r="AG1611">
        <v>0</v>
      </c>
      <c r="AH1611">
        <v>3</v>
      </c>
      <c r="AI1611">
        <v>2</v>
      </c>
      <c r="AJ1611">
        <v>0</v>
      </c>
      <c r="AK1611" t="s">
        <v>584</v>
      </c>
      <c r="AL1611">
        <v>39.024788999999998</v>
      </c>
      <c r="AM1611" t="s">
        <v>585</v>
      </c>
      <c r="AN1611">
        <v>-121.048822</v>
      </c>
      <c r="AO1611">
        <v>25</v>
      </c>
      <c r="AP1611">
        <v>4000</v>
      </c>
      <c r="AQ1611" t="s">
        <v>131</v>
      </c>
      <c r="AR1611">
        <v>40</v>
      </c>
      <c r="AS1611">
        <v>67</v>
      </c>
      <c r="AT1611">
        <v>256</v>
      </c>
      <c r="BB1611" t="str">
        <f t="shared" si="636"/>
        <v>1200</v>
      </c>
      <c r="BC1611">
        <v>1</v>
      </c>
      <c r="BD1611" t="str">
        <f t="shared" si="637"/>
        <v xml:space="preserve">N52156  </v>
      </c>
      <c r="BE1611">
        <v>1</v>
      </c>
      <c r="BG1611">
        <v>0</v>
      </c>
      <c r="BH1611">
        <v>0</v>
      </c>
      <c r="BI1611">
        <v>0</v>
      </c>
      <c r="BJ1611">
        <v>4000</v>
      </c>
      <c r="BK1611">
        <v>0</v>
      </c>
      <c r="BL1611" t="s">
        <v>188</v>
      </c>
      <c r="BM1611">
        <v>1</v>
      </c>
      <c r="BN1611">
        <v>1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 t="shared" si="641"/>
        <v>15:09:00.399</v>
      </c>
      <c r="CF1611">
        <v>399207976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133</v>
      </c>
      <c r="DA1611">
        <v>275</v>
      </c>
      <c r="DB1611">
        <v>0</v>
      </c>
      <c r="DC1611" t="s">
        <v>134</v>
      </c>
      <c r="DD1611" t="s">
        <v>135</v>
      </c>
      <c r="DG1611">
        <v>3320606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"05/01/2025 15:09:00.627"</f>
        <v>05/01/2025 15:09:00.627</v>
      </c>
      <c r="C1612" t="str">
        <f t="shared" si="634"/>
        <v>FFDFD3C0</v>
      </c>
      <c r="D1612" t="s">
        <v>145</v>
      </c>
      <c r="E1612" t="str">
        <f>"09"</f>
        <v>09</v>
      </c>
      <c r="H1612">
        <v>51</v>
      </c>
      <c r="I1612" t="s">
        <v>147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R1612" t="s">
        <v>127</v>
      </c>
      <c r="S1612" t="str">
        <f t="shared" si="640"/>
        <v>15:09:00.000</v>
      </c>
      <c r="T1612" t="str">
        <f t="shared" si="640"/>
        <v>15:09:00.000</v>
      </c>
      <c r="U1612" t="str">
        <f t="shared" si="635"/>
        <v>A68FCB</v>
      </c>
      <c r="V1612">
        <v>0</v>
      </c>
      <c r="W1612">
        <v>0</v>
      </c>
      <c r="X1612">
        <v>2</v>
      </c>
      <c r="Y1612">
        <v>0</v>
      </c>
      <c r="AA1612">
        <v>1</v>
      </c>
      <c r="AB1612">
        <v>8</v>
      </c>
      <c r="AC1612">
        <v>3</v>
      </c>
      <c r="AD1612">
        <v>0</v>
      </c>
      <c r="AE1612">
        <v>9</v>
      </c>
      <c r="AF1612" t="s">
        <v>138</v>
      </c>
      <c r="AG1612">
        <v>0</v>
      </c>
      <c r="AH1612">
        <v>3</v>
      </c>
      <c r="AI1612">
        <v>2</v>
      </c>
      <c r="AJ1612">
        <v>0</v>
      </c>
      <c r="AK1612" t="s">
        <v>584</v>
      </c>
      <c r="AL1612">
        <v>39.024788999999998</v>
      </c>
      <c r="AM1612" t="s">
        <v>585</v>
      </c>
      <c r="AN1612">
        <v>-121.048822</v>
      </c>
      <c r="AO1612">
        <v>25</v>
      </c>
      <c r="AP1612">
        <v>4000</v>
      </c>
      <c r="AQ1612" t="s">
        <v>131</v>
      </c>
      <c r="AR1612">
        <v>40</v>
      </c>
      <c r="AS1612">
        <v>67</v>
      </c>
      <c r="AT1612">
        <v>256</v>
      </c>
      <c r="BB1612" t="str">
        <f t="shared" si="636"/>
        <v>1200</v>
      </c>
      <c r="BC1612">
        <v>1</v>
      </c>
      <c r="BD1612" t="str">
        <f t="shared" si="637"/>
        <v xml:space="preserve">N52156  </v>
      </c>
      <c r="BE1612">
        <v>1</v>
      </c>
      <c r="BG1612">
        <v>0</v>
      </c>
      <c r="BH1612">
        <v>0</v>
      </c>
      <c r="BI1612">
        <v>0</v>
      </c>
      <c r="BJ1612">
        <v>4000</v>
      </c>
      <c r="BK1612">
        <v>0</v>
      </c>
      <c r="BL1612" t="s">
        <v>188</v>
      </c>
      <c r="BM1612">
        <v>1</v>
      </c>
      <c r="BN1612">
        <v>1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 t="shared" si="641"/>
        <v>15:09:00.399</v>
      </c>
      <c r="CF1612">
        <v>399207976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133</v>
      </c>
      <c r="DA1612">
        <v>275</v>
      </c>
      <c r="DB1612">
        <v>0</v>
      </c>
      <c r="DC1612" t="s">
        <v>134</v>
      </c>
      <c r="DD1612" t="s">
        <v>135</v>
      </c>
      <c r="DG1612">
        <v>3320606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"05/01/2025 15:09:00.627"</f>
        <v>05/01/2025 15:09:00.627</v>
      </c>
      <c r="C1613" t="str">
        <f t="shared" si="634"/>
        <v>FFDFD3C0</v>
      </c>
      <c r="D1613" t="s">
        <v>124</v>
      </c>
      <c r="E1613" t="str">
        <f>"06"</f>
        <v>06</v>
      </c>
      <c r="F1613">
        <v>2006</v>
      </c>
      <c r="G1613" t="s">
        <v>125</v>
      </c>
      <c r="J1613" t="s">
        <v>126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R1613" t="s">
        <v>127</v>
      </c>
      <c r="S1613" t="str">
        <f t="shared" si="640"/>
        <v>15:09:00.000</v>
      </c>
      <c r="T1613" t="str">
        <f t="shared" si="640"/>
        <v>15:09:00.000</v>
      </c>
      <c r="U1613" t="str">
        <f t="shared" si="635"/>
        <v>A68FCB</v>
      </c>
      <c r="V1613">
        <v>0</v>
      </c>
      <c r="W1613">
        <v>0</v>
      </c>
      <c r="X1613">
        <v>2</v>
      </c>
      <c r="Y1613">
        <v>0</v>
      </c>
      <c r="AA1613">
        <v>1</v>
      </c>
      <c r="AB1613">
        <v>8</v>
      </c>
      <c r="AC1613">
        <v>3</v>
      </c>
      <c r="AD1613">
        <v>0</v>
      </c>
      <c r="AE1613">
        <v>9</v>
      </c>
      <c r="AF1613" t="s">
        <v>138</v>
      </c>
      <c r="AG1613">
        <v>0</v>
      </c>
      <c r="AH1613">
        <v>3</v>
      </c>
      <c r="AI1613">
        <v>2</v>
      </c>
      <c r="AJ1613">
        <v>0</v>
      </c>
      <c r="AK1613" t="s">
        <v>584</v>
      </c>
      <c r="AL1613">
        <v>39.024788999999998</v>
      </c>
      <c r="AM1613" t="s">
        <v>585</v>
      </c>
      <c r="AN1613">
        <v>-121.048822</v>
      </c>
      <c r="AO1613">
        <v>25</v>
      </c>
      <c r="AP1613">
        <v>4000</v>
      </c>
      <c r="AQ1613" t="s">
        <v>131</v>
      </c>
      <c r="AR1613">
        <v>40</v>
      </c>
      <c r="AS1613">
        <v>67</v>
      </c>
      <c r="AT1613">
        <v>256</v>
      </c>
      <c r="BB1613" t="str">
        <f t="shared" si="636"/>
        <v>1200</v>
      </c>
      <c r="BC1613">
        <v>1</v>
      </c>
      <c r="BD1613" t="str">
        <f t="shared" si="637"/>
        <v xml:space="preserve">N52156  </v>
      </c>
      <c r="BE1613">
        <v>1</v>
      </c>
      <c r="BG1613">
        <v>0</v>
      </c>
      <c r="BH1613">
        <v>0</v>
      </c>
      <c r="BI1613">
        <v>0</v>
      </c>
      <c r="BJ1613">
        <v>4000</v>
      </c>
      <c r="BK1613">
        <v>0</v>
      </c>
      <c r="BL1613" t="s">
        <v>188</v>
      </c>
      <c r="BM1613">
        <v>1</v>
      </c>
      <c r="BN1613">
        <v>1</v>
      </c>
      <c r="BO1613">
        <v>0</v>
      </c>
      <c r="BP1613">
        <v>0</v>
      </c>
      <c r="BS1613">
        <v>0</v>
      </c>
      <c r="BT1613">
        <v>0</v>
      </c>
      <c r="BU1613">
        <v>0</v>
      </c>
      <c r="CE1613" t="str">
        <f t="shared" si="641"/>
        <v>15:09:00.399</v>
      </c>
      <c r="CF1613">
        <v>399207976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133</v>
      </c>
      <c r="DA1613">
        <v>275</v>
      </c>
      <c r="DB1613">
        <v>0</v>
      </c>
      <c r="DC1613" t="s">
        <v>134</v>
      </c>
      <c r="DD1613" t="s">
        <v>135</v>
      </c>
      <c r="DG1613">
        <v>3320606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"05/01/2025 15:09:00.631"</f>
        <v>05/01/2025 15:09:00.631</v>
      </c>
      <c r="C1614" t="str">
        <f t="shared" si="634"/>
        <v>FFDFD3C0</v>
      </c>
      <c r="D1614" t="s">
        <v>143</v>
      </c>
      <c r="E1614" t="str">
        <f>"05"</f>
        <v>05</v>
      </c>
      <c r="H1614">
        <v>172</v>
      </c>
      <c r="I1614" t="s">
        <v>141</v>
      </c>
      <c r="J1614" t="s">
        <v>144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R1614" t="s">
        <v>127</v>
      </c>
      <c r="S1614" t="str">
        <f t="shared" si="640"/>
        <v>15:09:00.000</v>
      </c>
      <c r="T1614" t="str">
        <f t="shared" si="640"/>
        <v>15:09:00.000</v>
      </c>
      <c r="U1614" t="str">
        <f t="shared" si="635"/>
        <v>A68FCB</v>
      </c>
      <c r="V1614">
        <v>0</v>
      </c>
      <c r="W1614">
        <v>0</v>
      </c>
      <c r="X1614">
        <v>2</v>
      </c>
      <c r="Y1614">
        <v>0</v>
      </c>
      <c r="AA1614">
        <v>1</v>
      </c>
      <c r="AB1614">
        <v>8</v>
      </c>
      <c r="AC1614">
        <v>3</v>
      </c>
      <c r="AD1614">
        <v>0</v>
      </c>
      <c r="AE1614">
        <v>9</v>
      </c>
      <c r="AF1614" t="s">
        <v>138</v>
      </c>
      <c r="AG1614">
        <v>0</v>
      </c>
      <c r="AH1614">
        <v>3</v>
      </c>
      <c r="AI1614">
        <v>2</v>
      </c>
      <c r="AJ1614">
        <v>0</v>
      </c>
      <c r="AK1614" t="s">
        <v>584</v>
      </c>
      <c r="AL1614">
        <v>39.024788999999998</v>
      </c>
      <c r="AM1614" t="s">
        <v>585</v>
      </c>
      <c r="AN1614">
        <v>-121.048822</v>
      </c>
      <c r="AO1614">
        <v>25</v>
      </c>
      <c r="AP1614">
        <v>4000</v>
      </c>
      <c r="AQ1614" t="s">
        <v>131</v>
      </c>
      <c r="AR1614">
        <v>40</v>
      </c>
      <c r="AS1614">
        <v>67</v>
      </c>
      <c r="AT1614">
        <v>256</v>
      </c>
      <c r="BB1614" t="str">
        <f t="shared" si="636"/>
        <v>1200</v>
      </c>
      <c r="BC1614">
        <v>1</v>
      </c>
      <c r="BD1614" t="str">
        <f t="shared" si="637"/>
        <v xml:space="preserve">N52156  </v>
      </c>
      <c r="BE1614">
        <v>1</v>
      </c>
      <c r="BG1614">
        <v>0</v>
      </c>
      <c r="BH1614">
        <v>0</v>
      </c>
      <c r="BI1614">
        <v>0</v>
      </c>
      <c r="BJ1614">
        <v>4000</v>
      </c>
      <c r="BK1614">
        <v>0</v>
      </c>
      <c r="BL1614" t="s">
        <v>188</v>
      </c>
      <c r="BM1614">
        <v>1</v>
      </c>
      <c r="BN1614">
        <v>1</v>
      </c>
      <c r="BO1614">
        <v>0</v>
      </c>
      <c r="BP1614">
        <v>0</v>
      </c>
      <c r="BS1614">
        <v>0</v>
      </c>
      <c r="BT1614">
        <v>0</v>
      </c>
      <c r="BU1614">
        <v>0</v>
      </c>
      <c r="CE1614" t="str">
        <f t="shared" si="641"/>
        <v>15:09:00.399</v>
      </c>
      <c r="CF1614">
        <v>399207976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133</v>
      </c>
      <c r="DA1614">
        <v>275</v>
      </c>
      <c r="DB1614">
        <v>0</v>
      </c>
      <c r="DC1614" t="s">
        <v>134</v>
      </c>
      <c r="DD1614" t="s">
        <v>135</v>
      </c>
      <c r="DG1614">
        <v>3320606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"05/01/2025 15:09:00.636"</f>
        <v>05/01/2025 15:09:00.636</v>
      </c>
      <c r="C1615" t="str">
        <f t="shared" si="634"/>
        <v>FFDFD3C0</v>
      </c>
      <c r="D1615" t="s">
        <v>136</v>
      </c>
      <c r="E1615" t="str">
        <f>"20"</f>
        <v>20</v>
      </c>
      <c r="H1615">
        <v>400</v>
      </c>
      <c r="I1615" t="s">
        <v>137</v>
      </c>
      <c r="J1615" t="s">
        <v>138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R1615" t="s">
        <v>127</v>
      </c>
      <c r="S1615" t="str">
        <f t="shared" si="640"/>
        <v>15:09:00.000</v>
      </c>
      <c r="T1615" t="str">
        <f t="shared" si="640"/>
        <v>15:09:00.000</v>
      </c>
      <c r="U1615" t="str">
        <f t="shared" si="635"/>
        <v>A68FCB</v>
      </c>
      <c r="V1615">
        <v>0</v>
      </c>
      <c r="W1615">
        <v>0</v>
      </c>
      <c r="X1615">
        <v>2</v>
      </c>
      <c r="Y1615">
        <v>0</v>
      </c>
      <c r="AA1615">
        <v>1</v>
      </c>
      <c r="AB1615">
        <v>8</v>
      </c>
      <c r="AC1615">
        <v>3</v>
      </c>
      <c r="AD1615">
        <v>0</v>
      </c>
      <c r="AE1615">
        <v>9</v>
      </c>
      <c r="AF1615" t="s">
        <v>138</v>
      </c>
      <c r="AG1615">
        <v>0</v>
      </c>
      <c r="AH1615">
        <v>3</v>
      </c>
      <c r="AI1615">
        <v>2</v>
      </c>
      <c r="AJ1615">
        <v>0</v>
      </c>
      <c r="AK1615" t="s">
        <v>584</v>
      </c>
      <c r="AL1615">
        <v>39.024788999999998</v>
      </c>
      <c r="AM1615" t="s">
        <v>585</v>
      </c>
      <c r="AN1615">
        <v>-121.048822</v>
      </c>
      <c r="AO1615">
        <v>25</v>
      </c>
      <c r="AP1615">
        <v>4000</v>
      </c>
      <c r="AQ1615" t="s">
        <v>131</v>
      </c>
      <c r="AR1615">
        <v>40</v>
      </c>
      <c r="AS1615">
        <v>67</v>
      </c>
      <c r="AT1615">
        <v>256</v>
      </c>
      <c r="BB1615" t="str">
        <f t="shared" si="636"/>
        <v>1200</v>
      </c>
      <c r="BC1615">
        <v>1</v>
      </c>
      <c r="BD1615" t="str">
        <f t="shared" si="637"/>
        <v xml:space="preserve">N52156  </v>
      </c>
      <c r="BE1615">
        <v>1</v>
      </c>
      <c r="BG1615">
        <v>0</v>
      </c>
      <c r="BH1615">
        <v>0</v>
      </c>
      <c r="BI1615">
        <v>0</v>
      </c>
      <c r="BJ1615">
        <v>4000</v>
      </c>
      <c r="BK1615">
        <v>0</v>
      </c>
      <c r="BL1615" t="s">
        <v>188</v>
      </c>
      <c r="BM1615">
        <v>1</v>
      </c>
      <c r="BN1615">
        <v>1</v>
      </c>
      <c r="BO1615">
        <v>0</v>
      </c>
      <c r="BP1615">
        <v>0</v>
      </c>
      <c r="BS1615">
        <v>0</v>
      </c>
      <c r="BT1615">
        <v>0</v>
      </c>
      <c r="BU1615">
        <v>0</v>
      </c>
      <c r="CE1615" t="str">
        <f t="shared" si="641"/>
        <v>15:09:00.399</v>
      </c>
      <c r="CF1615">
        <v>399207976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133</v>
      </c>
      <c r="DA1615">
        <v>275</v>
      </c>
      <c r="DB1615">
        <v>0</v>
      </c>
      <c r="DC1615" t="s">
        <v>134</v>
      </c>
      <c r="DD1615" t="s">
        <v>135</v>
      </c>
      <c r="DG1615">
        <v>3320606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"05/01/2025 15:09:01.568"</f>
        <v>05/01/2025 15:09:01.568</v>
      </c>
      <c r="C1616" t="str">
        <f t="shared" si="634"/>
        <v>FFDFD3C0</v>
      </c>
      <c r="D1616" t="s">
        <v>140</v>
      </c>
      <c r="E1616" t="str">
        <f>"13"</f>
        <v>13</v>
      </c>
      <c r="F1616">
        <v>1019</v>
      </c>
      <c r="G1616" t="s">
        <v>141</v>
      </c>
      <c r="J1616" t="s">
        <v>142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R1616" t="s">
        <v>127</v>
      </c>
      <c r="S1616" t="str">
        <f t="shared" ref="S1616:T1621" si="642">"15:09:01.000"</f>
        <v>15:09:01.000</v>
      </c>
      <c r="T1616" t="str">
        <f t="shared" si="642"/>
        <v>15:09:01.000</v>
      </c>
      <c r="U1616" t="str">
        <f t="shared" si="635"/>
        <v>A68FCB</v>
      </c>
      <c r="V1616">
        <v>0</v>
      </c>
      <c r="W1616">
        <v>0</v>
      </c>
      <c r="X1616">
        <v>2</v>
      </c>
      <c r="Y1616">
        <v>0</v>
      </c>
      <c r="AA1616">
        <v>1</v>
      </c>
      <c r="AB1616">
        <v>8</v>
      </c>
      <c r="AC1616">
        <v>3</v>
      </c>
      <c r="AD1616">
        <v>0</v>
      </c>
      <c r="AE1616">
        <v>9</v>
      </c>
      <c r="AF1616" t="s">
        <v>138</v>
      </c>
      <c r="AG1616">
        <v>0</v>
      </c>
      <c r="AH1616">
        <v>3</v>
      </c>
      <c r="AI1616">
        <v>2</v>
      </c>
      <c r="AJ1616">
        <v>0</v>
      </c>
      <c r="AK1616" t="s">
        <v>586</v>
      </c>
      <c r="AL1616">
        <v>39.025089999999999</v>
      </c>
      <c r="AM1616" t="s">
        <v>587</v>
      </c>
      <c r="AN1616">
        <v>-121.048586</v>
      </c>
      <c r="AO1616">
        <v>25</v>
      </c>
      <c r="AP1616">
        <v>4000</v>
      </c>
      <c r="AQ1616" t="s">
        <v>131</v>
      </c>
      <c r="AR1616">
        <v>40</v>
      </c>
      <c r="AS1616">
        <v>68</v>
      </c>
      <c r="AT1616">
        <v>320</v>
      </c>
      <c r="BB1616" t="str">
        <f t="shared" si="636"/>
        <v>1200</v>
      </c>
      <c r="BC1616">
        <v>1</v>
      </c>
      <c r="BD1616" t="str">
        <f t="shared" si="637"/>
        <v xml:space="preserve">N52156  </v>
      </c>
      <c r="BE1616">
        <v>1</v>
      </c>
      <c r="BG1616">
        <v>0</v>
      </c>
      <c r="BH1616">
        <v>0</v>
      </c>
      <c r="BI1616">
        <v>0</v>
      </c>
      <c r="BJ1616">
        <v>4000</v>
      </c>
      <c r="BK1616">
        <v>0</v>
      </c>
      <c r="BL1616" t="s">
        <v>188</v>
      </c>
      <c r="BM1616">
        <v>1</v>
      </c>
      <c r="BN1616">
        <v>1</v>
      </c>
      <c r="BO1616">
        <v>0</v>
      </c>
      <c r="BP1616">
        <v>0</v>
      </c>
      <c r="BS1616">
        <v>0</v>
      </c>
      <c r="BT1616">
        <v>0</v>
      </c>
      <c r="BU1616">
        <v>0</v>
      </c>
      <c r="CE1616" t="str">
        <f t="shared" ref="CE1616:CE1621" si="643">"15:09:01.353"</f>
        <v>15:09:01.353</v>
      </c>
      <c r="CF1616">
        <v>352957933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133</v>
      </c>
      <c r="DA1616">
        <v>275</v>
      </c>
      <c r="DB1616">
        <v>0</v>
      </c>
      <c r="DC1616" t="s">
        <v>134</v>
      </c>
      <c r="DD1616" t="s">
        <v>135</v>
      </c>
      <c r="DG1616">
        <v>3320616</v>
      </c>
      <c r="DI1616">
        <v>1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"05/01/2025 15:09:01.578"</f>
        <v>05/01/2025 15:09:01.578</v>
      </c>
      <c r="C1617" t="str">
        <f t="shared" si="634"/>
        <v>FFDFD3C0</v>
      </c>
      <c r="D1617" t="s">
        <v>145</v>
      </c>
      <c r="E1617" t="str">
        <f>"09"</f>
        <v>09</v>
      </c>
      <c r="H1617">
        <v>51</v>
      </c>
      <c r="I1617" t="s">
        <v>147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R1617" t="s">
        <v>127</v>
      </c>
      <c r="S1617" t="str">
        <f t="shared" si="642"/>
        <v>15:09:01.000</v>
      </c>
      <c r="T1617" t="str">
        <f t="shared" si="642"/>
        <v>15:09:01.000</v>
      </c>
      <c r="U1617" t="str">
        <f t="shared" si="635"/>
        <v>A68FCB</v>
      </c>
      <c r="V1617">
        <v>0</v>
      </c>
      <c r="W1617">
        <v>0</v>
      </c>
      <c r="X1617">
        <v>2</v>
      </c>
      <c r="Y1617">
        <v>0</v>
      </c>
      <c r="AA1617">
        <v>1</v>
      </c>
      <c r="AB1617">
        <v>8</v>
      </c>
      <c r="AC1617">
        <v>3</v>
      </c>
      <c r="AD1617">
        <v>0</v>
      </c>
      <c r="AE1617">
        <v>9</v>
      </c>
      <c r="AF1617" t="s">
        <v>138</v>
      </c>
      <c r="AG1617">
        <v>0</v>
      </c>
      <c r="AH1617">
        <v>3</v>
      </c>
      <c r="AI1617">
        <v>2</v>
      </c>
      <c r="AJ1617">
        <v>0</v>
      </c>
      <c r="AK1617" t="s">
        <v>586</v>
      </c>
      <c r="AL1617">
        <v>39.025089999999999</v>
      </c>
      <c r="AM1617" t="s">
        <v>587</v>
      </c>
      <c r="AN1617">
        <v>-121.048586</v>
      </c>
      <c r="AO1617">
        <v>25</v>
      </c>
      <c r="AP1617">
        <v>4000</v>
      </c>
      <c r="AQ1617" t="s">
        <v>131</v>
      </c>
      <c r="AR1617">
        <v>40</v>
      </c>
      <c r="AS1617">
        <v>68</v>
      </c>
      <c r="AT1617">
        <v>320</v>
      </c>
      <c r="BB1617" t="str">
        <f t="shared" si="636"/>
        <v>1200</v>
      </c>
      <c r="BC1617">
        <v>1</v>
      </c>
      <c r="BD1617" t="str">
        <f t="shared" si="637"/>
        <v xml:space="preserve">N52156  </v>
      </c>
      <c r="BE1617">
        <v>1</v>
      </c>
      <c r="BG1617">
        <v>0</v>
      </c>
      <c r="BH1617">
        <v>0</v>
      </c>
      <c r="BI1617">
        <v>0</v>
      </c>
      <c r="BJ1617">
        <v>4000</v>
      </c>
      <c r="BK1617">
        <v>0</v>
      </c>
      <c r="BL1617" t="s">
        <v>188</v>
      </c>
      <c r="BM1617">
        <v>1</v>
      </c>
      <c r="BN1617">
        <v>1</v>
      </c>
      <c r="BO1617">
        <v>0</v>
      </c>
      <c r="BP1617">
        <v>0</v>
      </c>
      <c r="BS1617">
        <v>0</v>
      </c>
      <c r="BT1617">
        <v>0</v>
      </c>
      <c r="BU1617">
        <v>0</v>
      </c>
      <c r="CE1617" t="str">
        <f t="shared" si="643"/>
        <v>15:09:01.353</v>
      </c>
      <c r="CF1617">
        <v>352957933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133</v>
      </c>
      <c r="DA1617">
        <v>275</v>
      </c>
      <c r="DB1617">
        <v>0</v>
      </c>
      <c r="DC1617" t="s">
        <v>134</v>
      </c>
      <c r="DD1617" t="s">
        <v>135</v>
      </c>
      <c r="DG1617">
        <v>3320616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"05/01/2025 15:09:01.576"</f>
        <v>05/01/2025 15:09:01.576</v>
      </c>
      <c r="C1618" t="str">
        <f t="shared" si="634"/>
        <v>FFDFD3C0</v>
      </c>
      <c r="D1618" t="s">
        <v>145</v>
      </c>
      <c r="E1618" t="str">
        <f>"05"</f>
        <v>05</v>
      </c>
      <c r="H1618">
        <v>47</v>
      </c>
      <c r="I1618" t="s">
        <v>146</v>
      </c>
      <c r="J1618" t="s">
        <v>138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R1618" t="s">
        <v>127</v>
      </c>
      <c r="S1618" t="str">
        <f t="shared" si="642"/>
        <v>15:09:01.000</v>
      </c>
      <c r="T1618" t="str">
        <f t="shared" si="642"/>
        <v>15:09:01.000</v>
      </c>
      <c r="U1618" t="str">
        <f t="shared" si="635"/>
        <v>A68FCB</v>
      </c>
      <c r="V1618">
        <v>0</v>
      </c>
      <c r="W1618">
        <v>0</v>
      </c>
      <c r="X1618">
        <v>2</v>
      </c>
      <c r="Y1618">
        <v>0</v>
      </c>
      <c r="AA1618">
        <v>1</v>
      </c>
      <c r="AB1618">
        <v>8</v>
      </c>
      <c r="AC1618">
        <v>3</v>
      </c>
      <c r="AD1618">
        <v>0</v>
      </c>
      <c r="AE1618">
        <v>9</v>
      </c>
      <c r="AF1618" t="s">
        <v>138</v>
      </c>
      <c r="AG1618">
        <v>0</v>
      </c>
      <c r="AH1618">
        <v>3</v>
      </c>
      <c r="AI1618">
        <v>2</v>
      </c>
      <c r="AJ1618">
        <v>0</v>
      </c>
      <c r="AK1618" t="s">
        <v>586</v>
      </c>
      <c r="AL1618">
        <v>39.025089999999999</v>
      </c>
      <c r="AM1618" t="s">
        <v>587</v>
      </c>
      <c r="AN1618">
        <v>-121.048586</v>
      </c>
      <c r="AO1618">
        <v>25</v>
      </c>
      <c r="AP1618">
        <v>4000</v>
      </c>
      <c r="AQ1618" t="s">
        <v>131</v>
      </c>
      <c r="AR1618">
        <v>40</v>
      </c>
      <c r="AS1618">
        <v>68</v>
      </c>
      <c r="AT1618">
        <v>320</v>
      </c>
      <c r="BB1618" t="str">
        <f t="shared" si="636"/>
        <v>1200</v>
      </c>
      <c r="BC1618">
        <v>1</v>
      </c>
      <c r="BD1618" t="str">
        <f t="shared" si="637"/>
        <v xml:space="preserve">N52156  </v>
      </c>
      <c r="BE1618">
        <v>1</v>
      </c>
      <c r="BG1618">
        <v>0</v>
      </c>
      <c r="BH1618">
        <v>0</v>
      </c>
      <c r="BI1618">
        <v>0</v>
      </c>
      <c r="BJ1618">
        <v>4000</v>
      </c>
      <c r="BK1618">
        <v>0</v>
      </c>
      <c r="BL1618" t="s">
        <v>188</v>
      </c>
      <c r="BM1618">
        <v>1</v>
      </c>
      <c r="BN1618">
        <v>1</v>
      </c>
      <c r="BO1618">
        <v>0</v>
      </c>
      <c r="BP1618">
        <v>0</v>
      </c>
      <c r="BS1618">
        <v>0</v>
      </c>
      <c r="BT1618">
        <v>0</v>
      </c>
      <c r="BU1618">
        <v>0</v>
      </c>
      <c r="CE1618" t="str">
        <f t="shared" si="643"/>
        <v>15:09:01.353</v>
      </c>
      <c r="CF1618">
        <v>352957933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133</v>
      </c>
      <c r="DA1618">
        <v>275</v>
      </c>
      <c r="DB1618">
        <v>0</v>
      </c>
      <c r="DC1618" t="s">
        <v>134</v>
      </c>
      <c r="DD1618" t="s">
        <v>135</v>
      </c>
      <c r="DG1618">
        <v>3320616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"05/01/2025 15:09:01.580"</f>
        <v>05/01/2025 15:09:01.580</v>
      </c>
      <c r="C1619" t="str">
        <f t="shared" si="634"/>
        <v>FFDFD3C0</v>
      </c>
      <c r="D1619" t="s">
        <v>124</v>
      </c>
      <c r="E1619" t="str">
        <f>"06"</f>
        <v>06</v>
      </c>
      <c r="F1619">
        <v>2006</v>
      </c>
      <c r="G1619" t="s">
        <v>125</v>
      </c>
      <c r="J1619" t="s">
        <v>126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R1619" t="s">
        <v>127</v>
      </c>
      <c r="S1619" t="str">
        <f t="shared" si="642"/>
        <v>15:09:01.000</v>
      </c>
      <c r="T1619" t="str">
        <f t="shared" si="642"/>
        <v>15:09:01.000</v>
      </c>
      <c r="U1619" t="str">
        <f t="shared" si="635"/>
        <v>A68FCB</v>
      </c>
      <c r="V1619">
        <v>0</v>
      </c>
      <c r="W1619">
        <v>0</v>
      </c>
      <c r="X1619">
        <v>2</v>
      </c>
      <c r="Y1619">
        <v>0</v>
      </c>
      <c r="AA1619">
        <v>1</v>
      </c>
      <c r="AB1619">
        <v>8</v>
      </c>
      <c r="AC1619">
        <v>3</v>
      </c>
      <c r="AD1619">
        <v>0</v>
      </c>
      <c r="AE1619">
        <v>9</v>
      </c>
      <c r="AF1619" t="s">
        <v>138</v>
      </c>
      <c r="AG1619">
        <v>0</v>
      </c>
      <c r="AH1619">
        <v>3</v>
      </c>
      <c r="AI1619">
        <v>2</v>
      </c>
      <c r="AJ1619">
        <v>0</v>
      </c>
      <c r="AK1619" t="s">
        <v>586</v>
      </c>
      <c r="AL1619">
        <v>39.025089999999999</v>
      </c>
      <c r="AM1619" t="s">
        <v>587</v>
      </c>
      <c r="AN1619">
        <v>-121.048586</v>
      </c>
      <c r="AO1619">
        <v>25</v>
      </c>
      <c r="AP1619">
        <v>4000</v>
      </c>
      <c r="AQ1619" t="s">
        <v>131</v>
      </c>
      <c r="AR1619">
        <v>40</v>
      </c>
      <c r="AS1619">
        <v>68</v>
      </c>
      <c r="AT1619">
        <v>320</v>
      </c>
      <c r="BB1619" t="str">
        <f t="shared" si="636"/>
        <v>1200</v>
      </c>
      <c r="BC1619">
        <v>1</v>
      </c>
      <c r="BD1619" t="str">
        <f t="shared" si="637"/>
        <v xml:space="preserve">N52156  </v>
      </c>
      <c r="BE1619">
        <v>1</v>
      </c>
      <c r="BG1619">
        <v>0</v>
      </c>
      <c r="BH1619">
        <v>0</v>
      </c>
      <c r="BI1619">
        <v>0</v>
      </c>
      <c r="BJ1619">
        <v>4000</v>
      </c>
      <c r="BK1619">
        <v>0</v>
      </c>
      <c r="BL1619" t="s">
        <v>188</v>
      </c>
      <c r="BM1619">
        <v>1</v>
      </c>
      <c r="BN1619">
        <v>1</v>
      </c>
      <c r="BO1619">
        <v>0</v>
      </c>
      <c r="BP1619">
        <v>0</v>
      </c>
      <c r="BS1619">
        <v>0</v>
      </c>
      <c r="BT1619">
        <v>0</v>
      </c>
      <c r="BU1619">
        <v>0</v>
      </c>
      <c r="CE1619" t="str">
        <f t="shared" si="643"/>
        <v>15:09:01.353</v>
      </c>
      <c r="CF1619">
        <v>352957933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133</v>
      </c>
      <c r="DA1619">
        <v>275</v>
      </c>
      <c r="DB1619">
        <v>0</v>
      </c>
      <c r="DC1619" t="s">
        <v>134</v>
      </c>
      <c r="DD1619" t="s">
        <v>135</v>
      </c>
      <c r="DG1619">
        <v>3320616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"05/01/2025 15:09:01.583"</f>
        <v>05/01/2025 15:09:01.583</v>
      </c>
      <c r="C1620" t="str">
        <f t="shared" si="634"/>
        <v>FFDFD3C0</v>
      </c>
      <c r="D1620" t="s">
        <v>143</v>
      </c>
      <c r="E1620" t="str">
        <f>"05"</f>
        <v>05</v>
      </c>
      <c r="H1620">
        <v>172</v>
      </c>
      <c r="I1620" t="s">
        <v>141</v>
      </c>
      <c r="J1620" t="s">
        <v>144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R1620" t="s">
        <v>127</v>
      </c>
      <c r="S1620" t="str">
        <f t="shared" si="642"/>
        <v>15:09:01.000</v>
      </c>
      <c r="T1620" t="str">
        <f t="shared" si="642"/>
        <v>15:09:01.000</v>
      </c>
      <c r="U1620" t="str">
        <f t="shared" si="635"/>
        <v>A68FCB</v>
      </c>
      <c r="V1620">
        <v>0</v>
      </c>
      <c r="W1620">
        <v>0</v>
      </c>
      <c r="X1620">
        <v>2</v>
      </c>
      <c r="Y1620">
        <v>0</v>
      </c>
      <c r="AA1620">
        <v>1</v>
      </c>
      <c r="AB1620">
        <v>8</v>
      </c>
      <c r="AC1620">
        <v>3</v>
      </c>
      <c r="AD1620">
        <v>0</v>
      </c>
      <c r="AE1620">
        <v>9</v>
      </c>
      <c r="AF1620" t="s">
        <v>138</v>
      </c>
      <c r="AG1620">
        <v>0</v>
      </c>
      <c r="AH1620">
        <v>3</v>
      </c>
      <c r="AI1620">
        <v>2</v>
      </c>
      <c r="AJ1620">
        <v>0</v>
      </c>
      <c r="AK1620" t="s">
        <v>586</v>
      </c>
      <c r="AL1620">
        <v>39.025089999999999</v>
      </c>
      <c r="AM1620" t="s">
        <v>587</v>
      </c>
      <c r="AN1620">
        <v>-121.048586</v>
      </c>
      <c r="AO1620">
        <v>25</v>
      </c>
      <c r="AP1620">
        <v>4000</v>
      </c>
      <c r="AQ1620" t="s">
        <v>131</v>
      </c>
      <c r="AR1620">
        <v>40</v>
      </c>
      <c r="AS1620">
        <v>68</v>
      </c>
      <c r="AT1620">
        <v>320</v>
      </c>
      <c r="BB1620" t="str">
        <f t="shared" si="636"/>
        <v>1200</v>
      </c>
      <c r="BC1620">
        <v>1</v>
      </c>
      <c r="BD1620" t="str">
        <f t="shared" si="637"/>
        <v xml:space="preserve">N52156  </v>
      </c>
      <c r="BE1620">
        <v>1</v>
      </c>
      <c r="BG1620">
        <v>0</v>
      </c>
      <c r="BH1620">
        <v>0</v>
      </c>
      <c r="BI1620">
        <v>0</v>
      </c>
      <c r="BJ1620">
        <v>4000</v>
      </c>
      <c r="BK1620">
        <v>0</v>
      </c>
      <c r="BL1620" t="s">
        <v>188</v>
      </c>
      <c r="BM1620">
        <v>1</v>
      </c>
      <c r="BN1620">
        <v>1</v>
      </c>
      <c r="BO1620">
        <v>0</v>
      </c>
      <c r="BP1620">
        <v>0</v>
      </c>
      <c r="BS1620">
        <v>0</v>
      </c>
      <c r="BT1620">
        <v>0</v>
      </c>
      <c r="BU1620">
        <v>0</v>
      </c>
      <c r="CE1620" t="str">
        <f t="shared" si="643"/>
        <v>15:09:01.353</v>
      </c>
      <c r="CF1620">
        <v>352957933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133</v>
      </c>
      <c r="DA1620">
        <v>275</v>
      </c>
      <c r="DB1620">
        <v>0</v>
      </c>
      <c r="DC1620" t="s">
        <v>134</v>
      </c>
      <c r="DD1620" t="s">
        <v>135</v>
      </c>
      <c r="DG1620">
        <v>3320616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"05/01/2025 15:09:01.588"</f>
        <v>05/01/2025 15:09:01.588</v>
      </c>
      <c r="C1621" t="str">
        <f t="shared" si="634"/>
        <v>FFDFD3C0</v>
      </c>
      <c r="D1621" t="s">
        <v>136</v>
      </c>
      <c r="E1621" t="str">
        <f>"20"</f>
        <v>20</v>
      </c>
      <c r="H1621">
        <v>400</v>
      </c>
      <c r="I1621" t="s">
        <v>137</v>
      </c>
      <c r="J1621" t="s">
        <v>138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R1621" t="s">
        <v>127</v>
      </c>
      <c r="S1621" t="str">
        <f t="shared" si="642"/>
        <v>15:09:01.000</v>
      </c>
      <c r="T1621" t="str">
        <f t="shared" si="642"/>
        <v>15:09:01.000</v>
      </c>
      <c r="U1621" t="str">
        <f t="shared" si="635"/>
        <v>A68FCB</v>
      </c>
      <c r="V1621">
        <v>0</v>
      </c>
      <c r="W1621">
        <v>0</v>
      </c>
      <c r="X1621">
        <v>2</v>
      </c>
      <c r="Y1621">
        <v>0</v>
      </c>
      <c r="AA1621">
        <v>1</v>
      </c>
      <c r="AB1621">
        <v>8</v>
      </c>
      <c r="AC1621">
        <v>3</v>
      </c>
      <c r="AD1621">
        <v>0</v>
      </c>
      <c r="AE1621">
        <v>9</v>
      </c>
      <c r="AF1621" t="s">
        <v>138</v>
      </c>
      <c r="AG1621">
        <v>0</v>
      </c>
      <c r="AH1621">
        <v>3</v>
      </c>
      <c r="AI1621">
        <v>2</v>
      </c>
      <c r="AJ1621">
        <v>0</v>
      </c>
      <c r="AK1621" t="s">
        <v>586</v>
      </c>
      <c r="AL1621">
        <v>39.025089999999999</v>
      </c>
      <c r="AM1621" t="s">
        <v>587</v>
      </c>
      <c r="AN1621">
        <v>-121.048586</v>
      </c>
      <c r="AO1621">
        <v>25</v>
      </c>
      <c r="AP1621">
        <v>4000</v>
      </c>
      <c r="AQ1621" t="s">
        <v>131</v>
      </c>
      <c r="AR1621">
        <v>40</v>
      </c>
      <c r="AS1621">
        <v>68</v>
      </c>
      <c r="AT1621">
        <v>320</v>
      </c>
      <c r="BB1621" t="str">
        <f t="shared" si="636"/>
        <v>1200</v>
      </c>
      <c r="BC1621">
        <v>1</v>
      </c>
      <c r="BD1621" t="str">
        <f t="shared" si="637"/>
        <v xml:space="preserve">N52156  </v>
      </c>
      <c r="BE1621">
        <v>1</v>
      </c>
      <c r="BG1621">
        <v>0</v>
      </c>
      <c r="BH1621">
        <v>0</v>
      </c>
      <c r="BI1621">
        <v>0</v>
      </c>
      <c r="BJ1621">
        <v>4000</v>
      </c>
      <c r="BK1621">
        <v>0</v>
      </c>
      <c r="BL1621" t="s">
        <v>188</v>
      </c>
      <c r="BM1621">
        <v>1</v>
      </c>
      <c r="BN1621">
        <v>1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 t="shared" si="643"/>
        <v>15:09:01.353</v>
      </c>
      <c r="CF1621">
        <v>352957933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133</v>
      </c>
      <c r="DA1621">
        <v>275</v>
      </c>
      <c r="DB1621">
        <v>0</v>
      </c>
      <c r="DC1621" t="s">
        <v>134</v>
      </c>
      <c r="DD1621" t="s">
        <v>135</v>
      </c>
      <c r="DG1621">
        <v>3320616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"05/01/2025 15:09:03.180"</f>
        <v>05/01/2025 15:09:03.180</v>
      </c>
      <c r="C1622" t="str">
        <f t="shared" si="634"/>
        <v>FFDFD3C0</v>
      </c>
      <c r="D1622" t="s">
        <v>145</v>
      </c>
      <c r="E1622" t="str">
        <f>"09"</f>
        <v>09</v>
      </c>
      <c r="H1622">
        <v>51</v>
      </c>
      <c r="I1622" t="s">
        <v>147</v>
      </c>
      <c r="J1622" t="s">
        <v>138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R1622" t="s">
        <v>127</v>
      </c>
      <c r="S1622" t="str">
        <f t="shared" ref="S1622:T1627" si="644">"15:09:02.000"</f>
        <v>15:09:02.000</v>
      </c>
      <c r="T1622" t="str">
        <f t="shared" si="644"/>
        <v>15:09:02.000</v>
      </c>
      <c r="U1622" t="str">
        <f t="shared" si="635"/>
        <v>A68FCB</v>
      </c>
      <c r="V1622">
        <v>0</v>
      </c>
      <c r="W1622">
        <v>0</v>
      </c>
      <c r="X1622">
        <v>2</v>
      </c>
      <c r="Y1622">
        <v>0</v>
      </c>
      <c r="AA1622">
        <v>1</v>
      </c>
      <c r="AB1622">
        <v>8</v>
      </c>
      <c r="AC1622">
        <v>3</v>
      </c>
      <c r="AD1622">
        <v>0</v>
      </c>
      <c r="AE1622">
        <v>9</v>
      </c>
      <c r="AF1622" t="s">
        <v>138</v>
      </c>
      <c r="AG1622">
        <v>0</v>
      </c>
      <c r="AH1622">
        <v>3</v>
      </c>
      <c r="AI1622">
        <v>2</v>
      </c>
      <c r="AJ1622">
        <v>0</v>
      </c>
      <c r="AK1622" t="s">
        <v>588</v>
      </c>
      <c r="AL1622">
        <v>39.025412000000003</v>
      </c>
      <c r="AM1622" t="s">
        <v>589</v>
      </c>
      <c r="AN1622">
        <v>-121.04835</v>
      </c>
      <c r="AO1622">
        <v>25</v>
      </c>
      <c r="AP1622">
        <v>4000</v>
      </c>
      <c r="AQ1622" t="s">
        <v>131</v>
      </c>
      <c r="AR1622">
        <v>38</v>
      </c>
      <c r="AS1622">
        <v>70</v>
      </c>
      <c r="AT1622">
        <v>256</v>
      </c>
      <c r="BB1622" t="str">
        <f t="shared" si="636"/>
        <v>1200</v>
      </c>
      <c r="BC1622">
        <v>1</v>
      </c>
      <c r="BD1622" t="str">
        <f t="shared" si="637"/>
        <v xml:space="preserve">N52156  </v>
      </c>
      <c r="BE1622">
        <v>1</v>
      </c>
      <c r="BG1622">
        <v>0</v>
      </c>
      <c r="BH1622">
        <v>0</v>
      </c>
      <c r="BI1622">
        <v>0</v>
      </c>
      <c r="BJ1622">
        <v>4000</v>
      </c>
      <c r="BK1622">
        <v>0</v>
      </c>
      <c r="BL1622" t="s">
        <v>188</v>
      </c>
      <c r="BM1622">
        <v>1</v>
      </c>
      <c r="BN1622">
        <v>1</v>
      </c>
      <c r="BO1622">
        <v>0</v>
      </c>
      <c r="BP1622">
        <v>0</v>
      </c>
      <c r="BS1622">
        <v>0</v>
      </c>
      <c r="BT1622">
        <v>0</v>
      </c>
      <c r="BU1622">
        <v>0</v>
      </c>
      <c r="CE1622" t="str">
        <f t="shared" ref="CE1622:CE1627" si="645">"15:09:02.976"</f>
        <v>15:09:02.976</v>
      </c>
      <c r="CF1622">
        <v>975959878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133</v>
      </c>
      <c r="DA1622">
        <v>275</v>
      </c>
      <c r="DB1622">
        <v>0</v>
      </c>
      <c r="DC1622" t="s">
        <v>134</v>
      </c>
      <c r="DD1622" t="s">
        <v>135</v>
      </c>
      <c r="DG1622">
        <v>3320627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"05/01/2025 15:09:03.182"</f>
        <v>05/01/2025 15:09:03.182</v>
      </c>
      <c r="C1623" t="str">
        <f t="shared" si="634"/>
        <v>FFDFD3C0</v>
      </c>
      <c r="D1623" t="s">
        <v>124</v>
      </c>
      <c r="E1623" t="str">
        <f>"06"</f>
        <v>06</v>
      </c>
      <c r="F1623">
        <v>2006</v>
      </c>
      <c r="G1623" t="s">
        <v>125</v>
      </c>
      <c r="J1623" t="s">
        <v>126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R1623" t="s">
        <v>127</v>
      </c>
      <c r="S1623" t="str">
        <f t="shared" si="644"/>
        <v>15:09:02.000</v>
      </c>
      <c r="T1623" t="str">
        <f t="shared" si="644"/>
        <v>15:09:02.000</v>
      </c>
      <c r="U1623" t="str">
        <f t="shared" si="635"/>
        <v>A68FCB</v>
      </c>
      <c r="V1623">
        <v>0</v>
      </c>
      <c r="W1623">
        <v>0</v>
      </c>
      <c r="X1623">
        <v>2</v>
      </c>
      <c r="Y1623">
        <v>0</v>
      </c>
      <c r="AA1623">
        <v>1</v>
      </c>
      <c r="AB1623">
        <v>8</v>
      </c>
      <c r="AC1623">
        <v>3</v>
      </c>
      <c r="AD1623">
        <v>0</v>
      </c>
      <c r="AE1623">
        <v>9</v>
      </c>
      <c r="AF1623" t="s">
        <v>138</v>
      </c>
      <c r="AG1623">
        <v>0</v>
      </c>
      <c r="AH1623">
        <v>3</v>
      </c>
      <c r="AI1623">
        <v>2</v>
      </c>
      <c r="AJ1623">
        <v>0</v>
      </c>
      <c r="AK1623" t="s">
        <v>588</v>
      </c>
      <c r="AL1623">
        <v>39.025412000000003</v>
      </c>
      <c r="AM1623" t="s">
        <v>589</v>
      </c>
      <c r="AN1623">
        <v>-121.04835</v>
      </c>
      <c r="AO1623">
        <v>25</v>
      </c>
      <c r="AP1623">
        <v>4000</v>
      </c>
      <c r="AQ1623" t="s">
        <v>131</v>
      </c>
      <c r="AR1623">
        <v>38</v>
      </c>
      <c r="AS1623">
        <v>70</v>
      </c>
      <c r="AT1623">
        <v>256</v>
      </c>
      <c r="BB1623" t="str">
        <f t="shared" si="636"/>
        <v>1200</v>
      </c>
      <c r="BC1623">
        <v>1</v>
      </c>
      <c r="BD1623" t="str">
        <f t="shared" si="637"/>
        <v xml:space="preserve">N52156  </v>
      </c>
      <c r="BE1623">
        <v>1</v>
      </c>
      <c r="BG1623">
        <v>0</v>
      </c>
      <c r="BH1623">
        <v>0</v>
      </c>
      <c r="BI1623">
        <v>0</v>
      </c>
      <c r="BJ1623">
        <v>4000</v>
      </c>
      <c r="BK1623">
        <v>0</v>
      </c>
      <c r="BL1623" t="s">
        <v>188</v>
      </c>
      <c r="BM1623">
        <v>1</v>
      </c>
      <c r="BN1623">
        <v>1</v>
      </c>
      <c r="BO1623">
        <v>0</v>
      </c>
      <c r="BP1623">
        <v>0</v>
      </c>
      <c r="BS1623">
        <v>0</v>
      </c>
      <c r="BT1623">
        <v>0</v>
      </c>
      <c r="BU1623">
        <v>0</v>
      </c>
      <c r="CE1623" t="str">
        <f t="shared" si="645"/>
        <v>15:09:02.976</v>
      </c>
      <c r="CF1623">
        <v>975959878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133</v>
      </c>
      <c r="DA1623">
        <v>275</v>
      </c>
      <c r="DB1623">
        <v>0</v>
      </c>
      <c r="DC1623" t="s">
        <v>134</v>
      </c>
      <c r="DD1623" t="s">
        <v>135</v>
      </c>
      <c r="DG1623">
        <v>3320627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"05/01/2025 15:09:03.179"</f>
        <v>05/01/2025 15:09:03.179</v>
      </c>
      <c r="C1624" t="str">
        <f t="shared" si="634"/>
        <v>FFDFD3C0</v>
      </c>
      <c r="D1624" t="s">
        <v>145</v>
      </c>
      <c r="E1624" t="str">
        <f>"05"</f>
        <v>05</v>
      </c>
      <c r="H1624">
        <v>47</v>
      </c>
      <c r="I1624" t="s">
        <v>146</v>
      </c>
      <c r="J1624" t="s">
        <v>138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R1624" t="s">
        <v>127</v>
      </c>
      <c r="S1624" t="str">
        <f t="shared" si="644"/>
        <v>15:09:02.000</v>
      </c>
      <c r="T1624" t="str">
        <f t="shared" si="644"/>
        <v>15:09:02.000</v>
      </c>
      <c r="U1624" t="str">
        <f t="shared" si="635"/>
        <v>A68FCB</v>
      </c>
      <c r="V1624">
        <v>0</v>
      </c>
      <c r="W1624">
        <v>0</v>
      </c>
      <c r="X1624">
        <v>2</v>
      </c>
      <c r="Y1624">
        <v>0</v>
      </c>
      <c r="AA1624">
        <v>1</v>
      </c>
      <c r="AB1624">
        <v>8</v>
      </c>
      <c r="AC1624">
        <v>3</v>
      </c>
      <c r="AD1624">
        <v>0</v>
      </c>
      <c r="AE1624">
        <v>9</v>
      </c>
      <c r="AF1624" t="s">
        <v>138</v>
      </c>
      <c r="AG1624">
        <v>0</v>
      </c>
      <c r="AH1624">
        <v>3</v>
      </c>
      <c r="AI1624">
        <v>2</v>
      </c>
      <c r="AJ1624">
        <v>0</v>
      </c>
      <c r="AK1624" t="s">
        <v>588</v>
      </c>
      <c r="AL1624">
        <v>39.025412000000003</v>
      </c>
      <c r="AM1624" t="s">
        <v>589</v>
      </c>
      <c r="AN1624">
        <v>-121.04835</v>
      </c>
      <c r="AO1624">
        <v>25</v>
      </c>
      <c r="AP1624">
        <v>4000</v>
      </c>
      <c r="AQ1624" t="s">
        <v>131</v>
      </c>
      <c r="AR1624">
        <v>38</v>
      </c>
      <c r="AS1624">
        <v>70</v>
      </c>
      <c r="AT1624">
        <v>256</v>
      </c>
      <c r="BB1624" t="str">
        <f t="shared" si="636"/>
        <v>1200</v>
      </c>
      <c r="BC1624">
        <v>1</v>
      </c>
      <c r="BD1624" t="str">
        <f t="shared" si="637"/>
        <v xml:space="preserve">N52156  </v>
      </c>
      <c r="BE1624">
        <v>1</v>
      </c>
      <c r="BG1624">
        <v>0</v>
      </c>
      <c r="BH1624">
        <v>0</v>
      </c>
      <c r="BI1624">
        <v>0</v>
      </c>
      <c r="BJ1624">
        <v>4000</v>
      </c>
      <c r="BK1624">
        <v>0</v>
      </c>
      <c r="BL1624" t="s">
        <v>188</v>
      </c>
      <c r="BM1624">
        <v>1</v>
      </c>
      <c r="BN1624">
        <v>1</v>
      </c>
      <c r="BO1624">
        <v>0</v>
      </c>
      <c r="BP1624">
        <v>0</v>
      </c>
      <c r="BS1624">
        <v>0</v>
      </c>
      <c r="BT1624">
        <v>0</v>
      </c>
      <c r="BU1624">
        <v>0</v>
      </c>
      <c r="CE1624" t="str">
        <f t="shared" si="645"/>
        <v>15:09:02.976</v>
      </c>
      <c r="CF1624">
        <v>975959878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133</v>
      </c>
      <c r="DA1624">
        <v>275</v>
      </c>
      <c r="DB1624">
        <v>0</v>
      </c>
      <c r="DC1624" t="s">
        <v>134</v>
      </c>
      <c r="DD1624" t="s">
        <v>135</v>
      </c>
      <c r="DG1624">
        <v>3320627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"05/01/2025 15:09:03.185"</f>
        <v>05/01/2025 15:09:03.185</v>
      </c>
      <c r="C1625" t="str">
        <f t="shared" si="634"/>
        <v>FFDFD3C0</v>
      </c>
      <c r="D1625" t="s">
        <v>143</v>
      </c>
      <c r="E1625" t="str">
        <f>"05"</f>
        <v>05</v>
      </c>
      <c r="H1625">
        <v>172</v>
      </c>
      <c r="I1625" t="s">
        <v>141</v>
      </c>
      <c r="J1625" t="s">
        <v>144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R1625" t="s">
        <v>127</v>
      </c>
      <c r="S1625" t="str">
        <f t="shared" si="644"/>
        <v>15:09:02.000</v>
      </c>
      <c r="T1625" t="str">
        <f t="shared" si="644"/>
        <v>15:09:02.000</v>
      </c>
      <c r="U1625" t="str">
        <f t="shared" si="635"/>
        <v>A68FCB</v>
      </c>
      <c r="V1625">
        <v>0</v>
      </c>
      <c r="W1625">
        <v>0</v>
      </c>
      <c r="X1625">
        <v>2</v>
      </c>
      <c r="Y1625">
        <v>0</v>
      </c>
      <c r="AA1625">
        <v>1</v>
      </c>
      <c r="AB1625">
        <v>8</v>
      </c>
      <c r="AC1625">
        <v>3</v>
      </c>
      <c r="AD1625">
        <v>0</v>
      </c>
      <c r="AE1625">
        <v>9</v>
      </c>
      <c r="AF1625" t="s">
        <v>138</v>
      </c>
      <c r="AG1625">
        <v>0</v>
      </c>
      <c r="AH1625">
        <v>3</v>
      </c>
      <c r="AI1625">
        <v>2</v>
      </c>
      <c r="AJ1625">
        <v>0</v>
      </c>
      <c r="AK1625" t="s">
        <v>588</v>
      </c>
      <c r="AL1625">
        <v>39.025412000000003</v>
      </c>
      <c r="AM1625" t="s">
        <v>589</v>
      </c>
      <c r="AN1625">
        <v>-121.04835</v>
      </c>
      <c r="AO1625">
        <v>25</v>
      </c>
      <c r="AP1625">
        <v>4000</v>
      </c>
      <c r="AQ1625" t="s">
        <v>131</v>
      </c>
      <c r="AR1625">
        <v>38</v>
      </c>
      <c r="AS1625">
        <v>70</v>
      </c>
      <c r="AT1625">
        <v>256</v>
      </c>
      <c r="BB1625" t="str">
        <f t="shared" si="636"/>
        <v>1200</v>
      </c>
      <c r="BC1625">
        <v>1</v>
      </c>
      <c r="BD1625" t="str">
        <f t="shared" si="637"/>
        <v xml:space="preserve">N52156  </v>
      </c>
      <c r="BE1625">
        <v>1</v>
      </c>
      <c r="BG1625">
        <v>0</v>
      </c>
      <c r="BH1625">
        <v>0</v>
      </c>
      <c r="BI1625">
        <v>0</v>
      </c>
      <c r="BJ1625">
        <v>4000</v>
      </c>
      <c r="BK1625">
        <v>0</v>
      </c>
      <c r="BL1625" t="s">
        <v>188</v>
      </c>
      <c r="BM1625">
        <v>1</v>
      </c>
      <c r="BN1625">
        <v>1</v>
      </c>
      <c r="BO1625">
        <v>0</v>
      </c>
      <c r="BP1625">
        <v>0</v>
      </c>
      <c r="BS1625">
        <v>0</v>
      </c>
      <c r="BT1625">
        <v>0</v>
      </c>
      <c r="BU1625">
        <v>0</v>
      </c>
      <c r="CE1625" t="str">
        <f t="shared" si="645"/>
        <v>15:09:02.976</v>
      </c>
      <c r="CF1625">
        <v>975959878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133</v>
      </c>
      <c r="DA1625">
        <v>275</v>
      </c>
      <c r="DB1625">
        <v>0</v>
      </c>
      <c r="DC1625" t="s">
        <v>134</v>
      </c>
      <c r="DD1625" t="s">
        <v>135</v>
      </c>
      <c r="DG1625">
        <v>3320627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"05/01/2025 15:09:03.190"</f>
        <v>05/01/2025 15:09:03.190</v>
      </c>
      <c r="C1626" t="str">
        <f t="shared" si="634"/>
        <v>FFDFD3C0</v>
      </c>
      <c r="D1626" t="s">
        <v>136</v>
      </c>
      <c r="E1626" t="str">
        <f>"20"</f>
        <v>20</v>
      </c>
      <c r="H1626">
        <v>400</v>
      </c>
      <c r="I1626" t="s">
        <v>137</v>
      </c>
      <c r="J1626" t="s">
        <v>138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R1626" t="s">
        <v>127</v>
      </c>
      <c r="S1626" t="str">
        <f t="shared" si="644"/>
        <v>15:09:02.000</v>
      </c>
      <c r="T1626" t="str">
        <f t="shared" si="644"/>
        <v>15:09:02.000</v>
      </c>
      <c r="U1626" t="str">
        <f t="shared" si="635"/>
        <v>A68FCB</v>
      </c>
      <c r="V1626">
        <v>0</v>
      </c>
      <c r="W1626">
        <v>0</v>
      </c>
      <c r="X1626">
        <v>2</v>
      </c>
      <c r="Y1626">
        <v>0</v>
      </c>
      <c r="AA1626">
        <v>1</v>
      </c>
      <c r="AB1626">
        <v>8</v>
      </c>
      <c r="AC1626">
        <v>3</v>
      </c>
      <c r="AD1626">
        <v>0</v>
      </c>
      <c r="AE1626">
        <v>9</v>
      </c>
      <c r="AF1626" t="s">
        <v>138</v>
      </c>
      <c r="AG1626">
        <v>0</v>
      </c>
      <c r="AH1626">
        <v>3</v>
      </c>
      <c r="AI1626">
        <v>2</v>
      </c>
      <c r="AJ1626">
        <v>0</v>
      </c>
      <c r="AK1626" t="s">
        <v>588</v>
      </c>
      <c r="AL1626">
        <v>39.025412000000003</v>
      </c>
      <c r="AM1626" t="s">
        <v>589</v>
      </c>
      <c r="AN1626">
        <v>-121.04835</v>
      </c>
      <c r="AO1626">
        <v>25</v>
      </c>
      <c r="AP1626">
        <v>4000</v>
      </c>
      <c r="AQ1626" t="s">
        <v>131</v>
      </c>
      <c r="AR1626">
        <v>38</v>
      </c>
      <c r="AS1626">
        <v>70</v>
      </c>
      <c r="AT1626">
        <v>256</v>
      </c>
      <c r="BB1626" t="str">
        <f t="shared" si="636"/>
        <v>1200</v>
      </c>
      <c r="BC1626">
        <v>1</v>
      </c>
      <c r="BD1626" t="str">
        <f t="shared" si="637"/>
        <v xml:space="preserve">N52156  </v>
      </c>
      <c r="BE1626">
        <v>1</v>
      </c>
      <c r="BG1626">
        <v>0</v>
      </c>
      <c r="BH1626">
        <v>0</v>
      </c>
      <c r="BI1626">
        <v>0</v>
      </c>
      <c r="BJ1626">
        <v>4000</v>
      </c>
      <c r="BK1626">
        <v>0</v>
      </c>
      <c r="BL1626" t="s">
        <v>188</v>
      </c>
      <c r="BM1626">
        <v>1</v>
      </c>
      <c r="BN1626">
        <v>1</v>
      </c>
      <c r="BO1626">
        <v>0</v>
      </c>
      <c r="BP1626">
        <v>0</v>
      </c>
      <c r="BS1626">
        <v>0</v>
      </c>
      <c r="BT1626">
        <v>0</v>
      </c>
      <c r="BU1626">
        <v>0</v>
      </c>
      <c r="CE1626" t="str">
        <f t="shared" si="645"/>
        <v>15:09:02.976</v>
      </c>
      <c r="CF1626">
        <v>975959878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133</v>
      </c>
      <c r="DA1626">
        <v>275</v>
      </c>
      <c r="DB1626">
        <v>0</v>
      </c>
      <c r="DC1626" t="s">
        <v>134</v>
      </c>
      <c r="DD1626" t="s">
        <v>135</v>
      </c>
      <c r="DG1626">
        <v>3320627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"05/01/2025 15:09:03.222"</f>
        <v>05/01/2025 15:09:03.222</v>
      </c>
      <c r="C1627" t="str">
        <f t="shared" si="634"/>
        <v>FFDFD3C0</v>
      </c>
      <c r="D1627" t="s">
        <v>140</v>
      </c>
      <c r="E1627" t="str">
        <f>"13"</f>
        <v>13</v>
      </c>
      <c r="F1627">
        <v>1019</v>
      </c>
      <c r="G1627" t="s">
        <v>141</v>
      </c>
      <c r="J1627" t="s">
        <v>142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R1627" t="s">
        <v>127</v>
      </c>
      <c r="S1627" t="str">
        <f t="shared" si="644"/>
        <v>15:09:02.000</v>
      </c>
      <c r="T1627" t="str">
        <f t="shared" si="644"/>
        <v>15:09:02.000</v>
      </c>
      <c r="U1627" t="str">
        <f t="shared" si="635"/>
        <v>A68FCB</v>
      </c>
      <c r="V1627">
        <v>0</v>
      </c>
      <c r="W1627">
        <v>0</v>
      </c>
      <c r="X1627">
        <v>2</v>
      </c>
      <c r="Y1627">
        <v>0</v>
      </c>
      <c r="AA1627">
        <v>1</v>
      </c>
      <c r="AB1627">
        <v>8</v>
      </c>
      <c r="AC1627">
        <v>3</v>
      </c>
      <c r="AD1627">
        <v>0</v>
      </c>
      <c r="AE1627">
        <v>9</v>
      </c>
      <c r="AF1627" t="s">
        <v>138</v>
      </c>
      <c r="AG1627">
        <v>0</v>
      </c>
      <c r="AH1627">
        <v>3</v>
      </c>
      <c r="AI1627">
        <v>2</v>
      </c>
      <c r="AJ1627">
        <v>0</v>
      </c>
      <c r="AK1627" t="s">
        <v>588</v>
      </c>
      <c r="AL1627">
        <v>39.025412000000003</v>
      </c>
      <c r="AM1627" t="s">
        <v>589</v>
      </c>
      <c r="AN1627">
        <v>-121.04835</v>
      </c>
      <c r="AO1627">
        <v>25</v>
      </c>
      <c r="AP1627">
        <v>4000</v>
      </c>
      <c r="AQ1627" t="s">
        <v>131</v>
      </c>
      <c r="AR1627">
        <v>38</v>
      </c>
      <c r="AS1627">
        <v>70</v>
      </c>
      <c r="AT1627">
        <v>256</v>
      </c>
      <c r="BB1627" t="str">
        <f t="shared" si="636"/>
        <v>1200</v>
      </c>
      <c r="BC1627">
        <v>1</v>
      </c>
      <c r="BD1627" t="str">
        <f t="shared" si="637"/>
        <v xml:space="preserve">N52156  </v>
      </c>
      <c r="BE1627">
        <v>1</v>
      </c>
      <c r="BG1627">
        <v>0</v>
      </c>
      <c r="BH1627">
        <v>0</v>
      </c>
      <c r="BI1627">
        <v>0</v>
      </c>
      <c r="BJ1627">
        <v>4000</v>
      </c>
      <c r="BK1627">
        <v>0</v>
      </c>
      <c r="BL1627" t="s">
        <v>188</v>
      </c>
      <c r="BM1627">
        <v>1</v>
      </c>
      <c r="BN1627">
        <v>1</v>
      </c>
      <c r="BO1627">
        <v>0</v>
      </c>
      <c r="BP1627">
        <v>0</v>
      </c>
      <c r="BS1627">
        <v>0</v>
      </c>
      <c r="BT1627">
        <v>0</v>
      </c>
      <c r="BU1627">
        <v>0</v>
      </c>
      <c r="CE1627" t="str">
        <f t="shared" si="645"/>
        <v>15:09:02.976</v>
      </c>
      <c r="CF1627">
        <v>975959878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133</v>
      </c>
      <c r="DA1627">
        <v>275</v>
      </c>
      <c r="DB1627">
        <v>0</v>
      </c>
      <c r="DC1627" t="s">
        <v>134</v>
      </c>
      <c r="DD1627" t="s">
        <v>135</v>
      </c>
      <c r="DG1627">
        <v>3320627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"05/01/2025 15:09:03.941"</f>
        <v>05/01/2025 15:09:03.941</v>
      </c>
      <c r="C1628" t="str">
        <f t="shared" si="634"/>
        <v>FFDFD3C0</v>
      </c>
      <c r="D1628" t="s">
        <v>136</v>
      </c>
      <c r="E1628" t="str">
        <f>"20"</f>
        <v>20</v>
      </c>
      <c r="H1628">
        <v>400</v>
      </c>
      <c r="I1628" t="s">
        <v>137</v>
      </c>
      <c r="J1628" t="s">
        <v>138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R1628" t="s">
        <v>127</v>
      </c>
      <c r="S1628" t="str">
        <f t="shared" ref="S1628:T1633" si="646">"15:09:03.000"</f>
        <v>15:09:03.000</v>
      </c>
      <c r="T1628" t="str">
        <f t="shared" si="646"/>
        <v>15:09:03.000</v>
      </c>
      <c r="U1628" t="str">
        <f t="shared" si="635"/>
        <v>A68FCB</v>
      </c>
      <c r="V1628">
        <v>0</v>
      </c>
      <c r="W1628">
        <v>0</v>
      </c>
      <c r="X1628">
        <v>2</v>
      </c>
      <c r="Y1628">
        <v>0</v>
      </c>
      <c r="AA1628">
        <v>1</v>
      </c>
      <c r="AB1628">
        <v>8</v>
      </c>
      <c r="AC1628">
        <v>3</v>
      </c>
      <c r="AD1628">
        <v>0</v>
      </c>
      <c r="AE1628">
        <v>9</v>
      </c>
      <c r="AF1628" t="s">
        <v>138</v>
      </c>
      <c r="AG1628">
        <v>0</v>
      </c>
      <c r="AH1628">
        <v>3</v>
      </c>
      <c r="AI1628">
        <v>2</v>
      </c>
      <c r="AJ1628">
        <v>0</v>
      </c>
      <c r="AK1628" t="s">
        <v>590</v>
      </c>
      <c r="AL1628">
        <v>39.025733000000002</v>
      </c>
      <c r="AM1628" t="s">
        <v>591</v>
      </c>
      <c r="AN1628">
        <v>-121.048114</v>
      </c>
      <c r="AO1628">
        <v>25</v>
      </c>
      <c r="AP1628">
        <v>4000</v>
      </c>
      <c r="AQ1628" t="s">
        <v>131</v>
      </c>
      <c r="AR1628">
        <v>36</v>
      </c>
      <c r="AS1628">
        <v>72</v>
      </c>
      <c r="AT1628">
        <v>256</v>
      </c>
      <c r="BB1628" t="str">
        <f t="shared" si="636"/>
        <v>1200</v>
      </c>
      <c r="BC1628">
        <v>1</v>
      </c>
      <c r="BD1628" t="str">
        <f t="shared" si="637"/>
        <v xml:space="preserve">N52156  </v>
      </c>
      <c r="BE1628">
        <v>1</v>
      </c>
      <c r="BG1628">
        <v>0</v>
      </c>
      <c r="BH1628">
        <v>0</v>
      </c>
      <c r="BI1628">
        <v>0</v>
      </c>
      <c r="BJ1628">
        <v>4025</v>
      </c>
      <c r="BK1628">
        <v>25</v>
      </c>
      <c r="BL1628" t="s">
        <v>188</v>
      </c>
      <c r="BM1628">
        <v>1</v>
      </c>
      <c r="BN1628">
        <v>1</v>
      </c>
      <c r="BO1628">
        <v>0</v>
      </c>
      <c r="BP1628">
        <v>0</v>
      </c>
      <c r="BS1628">
        <v>0</v>
      </c>
      <c r="BT1628">
        <v>0</v>
      </c>
      <c r="BU1628">
        <v>0</v>
      </c>
      <c r="CE1628" t="str">
        <f t="shared" ref="CE1628:CE1633" si="647">"15:09:03.735"</f>
        <v>15:09:03.735</v>
      </c>
      <c r="CF1628">
        <v>735209343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133</v>
      </c>
      <c r="DA1628">
        <v>275</v>
      </c>
      <c r="DB1628">
        <v>0</v>
      </c>
      <c r="DC1628" t="s">
        <v>134</v>
      </c>
      <c r="DD1628" t="s">
        <v>135</v>
      </c>
      <c r="DG1628">
        <v>3320635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"05/01/2025 15:09:03.973"</f>
        <v>05/01/2025 15:09:03.973</v>
      </c>
      <c r="C1629" t="str">
        <f t="shared" si="634"/>
        <v>FFDFD3C0</v>
      </c>
      <c r="D1629" t="s">
        <v>140</v>
      </c>
      <c r="E1629" t="str">
        <f>"13"</f>
        <v>13</v>
      </c>
      <c r="F1629">
        <v>1019</v>
      </c>
      <c r="G1629" t="s">
        <v>141</v>
      </c>
      <c r="J1629" t="s">
        <v>142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R1629" t="s">
        <v>127</v>
      </c>
      <c r="S1629" t="str">
        <f t="shared" si="646"/>
        <v>15:09:03.000</v>
      </c>
      <c r="T1629" t="str">
        <f t="shared" si="646"/>
        <v>15:09:03.000</v>
      </c>
      <c r="U1629" t="str">
        <f t="shared" si="635"/>
        <v>A68FCB</v>
      </c>
      <c r="V1629">
        <v>0</v>
      </c>
      <c r="W1629">
        <v>0</v>
      </c>
      <c r="X1629">
        <v>2</v>
      </c>
      <c r="Y1629">
        <v>0</v>
      </c>
      <c r="AA1629">
        <v>1</v>
      </c>
      <c r="AB1629">
        <v>8</v>
      </c>
      <c r="AC1629">
        <v>3</v>
      </c>
      <c r="AD1629">
        <v>0</v>
      </c>
      <c r="AE1629">
        <v>9</v>
      </c>
      <c r="AF1629" t="s">
        <v>138</v>
      </c>
      <c r="AG1629">
        <v>0</v>
      </c>
      <c r="AH1629">
        <v>3</v>
      </c>
      <c r="AI1629">
        <v>2</v>
      </c>
      <c r="AJ1629">
        <v>0</v>
      </c>
      <c r="AK1629" t="s">
        <v>590</v>
      </c>
      <c r="AL1629">
        <v>39.025733000000002</v>
      </c>
      <c r="AM1629" t="s">
        <v>591</v>
      </c>
      <c r="AN1629">
        <v>-121.048114</v>
      </c>
      <c r="AO1629">
        <v>25</v>
      </c>
      <c r="AP1629">
        <v>4000</v>
      </c>
      <c r="AQ1629" t="s">
        <v>131</v>
      </c>
      <c r="AR1629">
        <v>36</v>
      </c>
      <c r="AS1629">
        <v>72</v>
      </c>
      <c r="AT1629">
        <v>256</v>
      </c>
      <c r="BB1629" t="str">
        <f t="shared" si="636"/>
        <v>1200</v>
      </c>
      <c r="BC1629">
        <v>1</v>
      </c>
      <c r="BD1629" t="str">
        <f t="shared" si="637"/>
        <v xml:space="preserve">N52156  </v>
      </c>
      <c r="BE1629">
        <v>1</v>
      </c>
      <c r="BG1629">
        <v>0</v>
      </c>
      <c r="BH1629">
        <v>0</v>
      </c>
      <c r="BI1629">
        <v>0</v>
      </c>
      <c r="BJ1629">
        <v>4025</v>
      </c>
      <c r="BK1629">
        <v>25</v>
      </c>
      <c r="BL1629" t="s">
        <v>188</v>
      </c>
      <c r="BM1629">
        <v>1</v>
      </c>
      <c r="BN1629">
        <v>1</v>
      </c>
      <c r="BO1629">
        <v>0</v>
      </c>
      <c r="BP1629">
        <v>0</v>
      </c>
      <c r="BS1629">
        <v>0</v>
      </c>
      <c r="BT1629">
        <v>0</v>
      </c>
      <c r="BU1629">
        <v>0</v>
      </c>
      <c r="CE1629" t="str">
        <f t="shared" si="647"/>
        <v>15:09:03.735</v>
      </c>
      <c r="CF1629">
        <v>735209343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133</v>
      </c>
      <c r="DA1629">
        <v>275</v>
      </c>
      <c r="DB1629">
        <v>0</v>
      </c>
      <c r="DC1629" t="s">
        <v>134</v>
      </c>
      <c r="DD1629" t="s">
        <v>135</v>
      </c>
      <c r="DG1629">
        <v>3320635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"05/01/2025 15:09:03.980"</f>
        <v>05/01/2025 15:09:03.980</v>
      </c>
      <c r="C1630" t="str">
        <f t="shared" si="634"/>
        <v>FFDFD3C0</v>
      </c>
      <c r="D1630" t="s">
        <v>145</v>
      </c>
      <c r="E1630" t="str">
        <f>"05"</f>
        <v>05</v>
      </c>
      <c r="H1630">
        <v>47</v>
      </c>
      <c r="I1630" t="s">
        <v>146</v>
      </c>
      <c r="J1630" t="s">
        <v>138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R1630" t="s">
        <v>127</v>
      </c>
      <c r="S1630" t="str">
        <f t="shared" si="646"/>
        <v>15:09:03.000</v>
      </c>
      <c r="T1630" t="str">
        <f t="shared" si="646"/>
        <v>15:09:03.000</v>
      </c>
      <c r="U1630" t="str">
        <f t="shared" si="635"/>
        <v>A68FCB</v>
      </c>
      <c r="V1630">
        <v>0</v>
      </c>
      <c r="W1630">
        <v>0</v>
      </c>
      <c r="X1630">
        <v>2</v>
      </c>
      <c r="Y1630">
        <v>0</v>
      </c>
      <c r="AA1630">
        <v>1</v>
      </c>
      <c r="AB1630">
        <v>8</v>
      </c>
      <c r="AC1630">
        <v>3</v>
      </c>
      <c r="AD1630">
        <v>0</v>
      </c>
      <c r="AE1630">
        <v>9</v>
      </c>
      <c r="AF1630" t="s">
        <v>138</v>
      </c>
      <c r="AG1630">
        <v>0</v>
      </c>
      <c r="AH1630">
        <v>3</v>
      </c>
      <c r="AI1630">
        <v>2</v>
      </c>
      <c r="AJ1630">
        <v>0</v>
      </c>
      <c r="AK1630" t="s">
        <v>590</v>
      </c>
      <c r="AL1630">
        <v>39.025733000000002</v>
      </c>
      <c r="AM1630" t="s">
        <v>591</v>
      </c>
      <c r="AN1630">
        <v>-121.048114</v>
      </c>
      <c r="AO1630">
        <v>25</v>
      </c>
      <c r="AP1630">
        <v>4000</v>
      </c>
      <c r="AQ1630" t="s">
        <v>131</v>
      </c>
      <c r="AR1630">
        <v>36</v>
      </c>
      <c r="AS1630">
        <v>72</v>
      </c>
      <c r="AT1630">
        <v>256</v>
      </c>
      <c r="BB1630" t="str">
        <f t="shared" si="636"/>
        <v>1200</v>
      </c>
      <c r="BC1630">
        <v>1</v>
      </c>
      <c r="BD1630" t="str">
        <f t="shared" si="637"/>
        <v xml:space="preserve">N52156  </v>
      </c>
      <c r="BE1630">
        <v>1</v>
      </c>
      <c r="BG1630">
        <v>0</v>
      </c>
      <c r="BH1630">
        <v>0</v>
      </c>
      <c r="BI1630">
        <v>0</v>
      </c>
      <c r="BJ1630">
        <v>4025</v>
      </c>
      <c r="BK1630">
        <v>25</v>
      </c>
      <c r="BL1630" t="s">
        <v>188</v>
      </c>
      <c r="BM1630">
        <v>1</v>
      </c>
      <c r="BN1630">
        <v>1</v>
      </c>
      <c r="BO1630">
        <v>0</v>
      </c>
      <c r="BP1630">
        <v>0</v>
      </c>
      <c r="BS1630">
        <v>0</v>
      </c>
      <c r="BT1630">
        <v>0</v>
      </c>
      <c r="BU1630">
        <v>0</v>
      </c>
      <c r="CE1630" t="str">
        <f t="shared" si="647"/>
        <v>15:09:03.735</v>
      </c>
      <c r="CF1630">
        <v>735209343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133</v>
      </c>
      <c r="DA1630">
        <v>275</v>
      </c>
      <c r="DB1630">
        <v>0</v>
      </c>
      <c r="DC1630" t="s">
        <v>134</v>
      </c>
      <c r="DD1630" t="s">
        <v>135</v>
      </c>
      <c r="DG1630">
        <v>3320635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"05/01/2025 15:09:03.982"</f>
        <v>05/01/2025 15:09:03.982</v>
      </c>
      <c r="C1631" t="str">
        <f t="shared" si="634"/>
        <v>FFDFD3C0</v>
      </c>
      <c r="D1631" t="s">
        <v>145</v>
      </c>
      <c r="E1631" t="str">
        <f>"09"</f>
        <v>09</v>
      </c>
      <c r="H1631">
        <v>51</v>
      </c>
      <c r="I1631" t="s">
        <v>147</v>
      </c>
      <c r="J1631" t="s">
        <v>138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R1631" t="s">
        <v>127</v>
      </c>
      <c r="S1631" t="str">
        <f t="shared" si="646"/>
        <v>15:09:03.000</v>
      </c>
      <c r="T1631" t="str">
        <f t="shared" si="646"/>
        <v>15:09:03.000</v>
      </c>
      <c r="U1631" t="str">
        <f t="shared" si="635"/>
        <v>A68FCB</v>
      </c>
      <c r="V1631">
        <v>0</v>
      </c>
      <c r="W1631">
        <v>0</v>
      </c>
      <c r="X1631">
        <v>2</v>
      </c>
      <c r="Y1631">
        <v>0</v>
      </c>
      <c r="AA1631">
        <v>1</v>
      </c>
      <c r="AB1631">
        <v>8</v>
      </c>
      <c r="AC1631">
        <v>3</v>
      </c>
      <c r="AD1631">
        <v>0</v>
      </c>
      <c r="AE1631">
        <v>9</v>
      </c>
      <c r="AF1631" t="s">
        <v>138</v>
      </c>
      <c r="AG1631">
        <v>0</v>
      </c>
      <c r="AH1631">
        <v>3</v>
      </c>
      <c r="AI1631">
        <v>2</v>
      </c>
      <c r="AJ1631">
        <v>0</v>
      </c>
      <c r="AK1631" t="s">
        <v>590</v>
      </c>
      <c r="AL1631">
        <v>39.025733000000002</v>
      </c>
      <c r="AM1631" t="s">
        <v>591</v>
      </c>
      <c r="AN1631">
        <v>-121.048114</v>
      </c>
      <c r="AO1631">
        <v>25</v>
      </c>
      <c r="AP1631">
        <v>4000</v>
      </c>
      <c r="AQ1631" t="s">
        <v>131</v>
      </c>
      <c r="AR1631">
        <v>36</v>
      </c>
      <c r="AS1631">
        <v>72</v>
      </c>
      <c r="AT1631">
        <v>256</v>
      </c>
      <c r="BB1631" t="str">
        <f t="shared" si="636"/>
        <v>1200</v>
      </c>
      <c r="BC1631">
        <v>1</v>
      </c>
      <c r="BD1631" t="str">
        <f t="shared" si="637"/>
        <v xml:space="preserve">N52156  </v>
      </c>
      <c r="BE1631">
        <v>1</v>
      </c>
      <c r="BG1631">
        <v>0</v>
      </c>
      <c r="BH1631">
        <v>0</v>
      </c>
      <c r="BI1631">
        <v>0</v>
      </c>
      <c r="BJ1631">
        <v>4025</v>
      </c>
      <c r="BK1631">
        <v>25</v>
      </c>
      <c r="BL1631" t="s">
        <v>188</v>
      </c>
      <c r="BM1631">
        <v>1</v>
      </c>
      <c r="BN1631">
        <v>1</v>
      </c>
      <c r="BO1631">
        <v>0</v>
      </c>
      <c r="BP1631">
        <v>0</v>
      </c>
      <c r="BS1631">
        <v>0</v>
      </c>
      <c r="BT1631">
        <v>0</v>
      </c>
      <c r="BU1631">
        <v>0</v>
      </c>
      <c r="CE1631" t="str">
        <f t="shared" si="647"/>
        <v>15:09:03.735</v>
      </c>
      <c r="CF1631">
        <v>735209343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133</v>
      </c>
      <c r="DA1631">
        <v>275</v>
      </c>
      <c r="DB1631">
        <v>0</v>
      </c>
      <c r="DC1631" t="s">
        <v>134</v>
      </c>
      <c r="DD1631" t="s">
        <v>135</v>
      </c>
      <c r="DG1631">
        <v>3320635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"05/01/2025 15:09:03.983"</f>
        <v>05/01/2025 15:09:03.983</v>
      </c>
      <c r="C1632" t="str">
        <f t="shared" si="634"/>
        <v>FFDFD3C0</v>
      </c>
      <c r="D1632" t="s">
        <v>124</v>
      </c>
      <c r="E1632" t="str">
        <f>"06"</f>
        <v>06</v>
      </c>
      <c r="F1632">
        <v>2006</v>
      </c>
      <c r="G1632" t="s">
        <v>125</v>
      </c>
      <c r="J1632" t="s">
        <v>126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R1632" t="s">
        <v>127</v>
      </c>
      <c r="S1632" t="str">
        <f t="shared" si="646"/>
        <v>15:09:03.000</v>
      </c>
      <c r="T1632" t="str">
        <f t="shared" si="646"/>
        <v>15:09:03.000</v>
      </c>
      <c r="U1632" t="str">
        <f t="shared" si="635"/>
        <v>A68FCB</v>
      </c>
      <c r="V1632">
        <v>0</v>
      </c>
      <c r="W1632">
        <v>0</v>
      </c>
      <c r="X1632">
        <v>2</v>
      </c>
      <c r="Y1632">
        <v>0</v>
      </c>
      <c r="AA1632">
        <v>1</v>
      </c>
      <c r="AB1632">
        <v>8</v>
      </c>
      <c r="AC1632">
        <v>3</v>
      </c>
      <c r="AD1632">
        <v>0</v>
      </c>
      <c r="AE1632">
        <v>9</v>
      </c>
      <c r="AF1632" t="s">
        <v>138</v>
      </c>
      <c r="AG1632">
        <v>0</v>
      </c>
      <c r="AH1632">
        <v>3</v>
      </c>
      <c r="AI1632">
        <v>2</v>
      </c>
      <c r="AJ1632">
        <v>0</v>
      </c>
      <c r="AK1632" t="s">
        <v>590</v>
      </c>
      <c r="AL1632">
        <v>39.025733000000002</v>
      </c>
      <c r="AM1632" t="s">
        <v>591</v>
      </c>
      <c r="AN1632">
        <v>-121.048114</v>
      </c>
      <c r="AO1632">
        <v>25</v>
      </c>
      <c r="AP1632">
        <v>4000</v>
      </c>
      <c r="AQ1632" t="s">
        <v>131</v>
      </c>
      <c r="AR1632">
        <v>36</v>
      </c>
      <c r="AS1632">
        <v>72</v>
      </c>
      <c r="AT1632">
        <v>256</v>
      </c>
      <c r="BB1632" t="str">
        <f t="shared" si="636"/>
        <v>1200</v>
      </c>
      <c r="BC1632">
        <v>1</v>
      </c>
      <c r="BD1632" t="str">
        <f t="shared" si="637"/>
        <v xml:space="preserve">N52156  </v>
      </c>
      <c r="BE1632">
        <v>1</v>
      </c>
      <c r="BG1632">
        <v>0</v>
      </c>
      <c r="BH1632">
        <v>0</v>
      </c>
      <c r="BI1632">
        <v>0</v>
      </c>
      <c r="BJ1632">
        <v>4025</v>
      </c>
      <c r="BK1632">
        <v>25</v>
      </c>
      <c r="BL1632" t="s">
        <v>188</v>
      </c>
      <c r="BM1632">
        <v>1</v>
      </c>
      <c r="BN1632">
        <v>1</v>
      </c>
      <c r="BO1632">
        <v>0</v>
      </c>
      <c r="BP1632">
        <v>0</v>
      </c>
      <c r="BS1632">
        <v>0</v>
      </c>
      <c r="BT1632">
        <v>0</v>
      </c>
      <c r="BU1632">
        <v>0</v>
      </c>
      <c r="CE1632" t="str">
        <f t="shared" si="647"/>
        <v>15:09:03.735</v>
      </c>
      <c r="CF1632">
        <v>735209343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133</v>
      </c>
      <c r="DA1632">
        <v>275</v>
      </c>
      <c r="DB1632">
        <v>0</v>
      </c>
      <c r="DC1632" t="s">
        <v>134</v>
      </c>
      <c r="DD1632" t="s">
        <v>135</v>
      </c>
      <c r="DG1632">
        <v>3320635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"05/01/2025 15:09:03.986"</f>
        <v>05/01/2025 15:09:03.986</v>
      </c>
      <c r="C1633" t="str">
        <f t="shared" si="634"/>
        <v>FFDFD3C0</v>
      </c>
      <c r="D1633" t="s">
        <v>143</v>
      </c>
      <c r="E1633" t="str">
        <f>"05"</f>
        <v>05</v>
      </c>
      <c r="H1633">
        <v>172</v>
      </c>
      <c r="I1633" t="s">
        <v>141</v>
      </c>
      <c r="J1633" t="s">
        <v>144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R1633" t="s">
        <v>127</v>
      </c>
      <c r="S1633" t="str">
        <f t="shared" si="646"/>
        <v>15:09:03.000</v>
      </c>
      <c r="T1633" t="str">
        <f t="shared" si="646"/>
        <v>15:09:03.000</v>
      </c>
      <c r="U1633" t="str">
        <f t="shared" si="635"/>
        <v>A68FCB</v>
      </c>
      <c r="V1633">
        <v>0</v>
      </c>
      <c r="W1633">
        <v>0</v>
      </c>
      <c r="X1633">
        <v>2</v>
      </c>
      <c r="Y1633">
        <v>0</v>
      </c>
      <c r="AA1633">
        <v>1</v>
      </c>
      <c r="AB1633">
        <v>8</v>
      </c>
      <c r="AC1633">
        <v>3</v>
      </c>
      <c r="AD1633">
        <v>0</v>
      </c>
      <c r="AE1633">
        <v>9</v>
      </c>
      <c r="AF1633" t="s">
        <v>138</v>
      </c>
      <c r="AG1633">
        <v>0</v>
      </c>
      <c r="AH1633">
        <v>3</v>
      </c>
      <c r="AI1633">
        <v>2</v>
      </c>
      <c r="AJ1633">
        <v>0</v>
      </c>
      <c r="AK1633" t="s">
        <v>590</v>
      </c>
      <c r="AL1633">
        <v>39.025733000000002</v>
      </c>
      <c r="AM1633" t="s">
        <v>591</v>
      </c>
      <c r="AN1633">
        <v>-121.048114</v>
      </c>
      <c r="AO1633">
        <v>25</v>
      </c>
      <c r="AP1633">
        <v>4000</v>
      </c>
      <c r="AQ1633" t="s">
        <v>131</v>
      </c>
      <c r="AR1633">
        <v>36</v>
      </c>
      <c r="AS1633">
        <v>72</v>
      </c>
      <c r="AT1633">
        <v>256</v>
      </c>
      <c r="BB1633" t="str">
        <f t="shared" si="636"/>
        <v>1200</v>
      </c>
      <c r="BC1633">
        <v>1</v>
      </c>
      <c r="BD1633" t="str">
        <f t="shared" si="637"/>
        <v xml:space="preserve">N52156  </v>
      </c>
      <c r="BE1633">
        <v>1</v>
      </c>
      <c r="BG1633">
        <v>0</v>
      </c>
      <c r="BH1633">
        <v>0</v>
      </c>
      <c r="BI1633">
        <v>0</v>
      </c>
      <c r="BJ1633">
        <v>4025</v>
      </c>
      <c r="BK1633">
        <v>25</v>
      </c>
      <c r="BL1633" t="s">
        <v>188</v>
      </c>
      <c r="BM1633">
        <v>1</v>
      </c>
      <c r="BN1633">
        <v>1</v>
      </c>
      <c r="BO1633">
        <v>0</v>
      </c>
      <c r="BP1633">
        <v>0</v>
      </c>
      <c r="BS1633">
        <v>0</v>
      </c>
      <c r="BT1633">
        <v>0</v>
      </c>
      <c r="BU1633">
        <v>0</v>
      </c>
      <c r="CE1633" t="str">
        <f t="shared" si="647"/>
        <v>15:09:03.735</v>
      </c>
      <c r="CF1633">
        <v>735209343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5</v>
      </c>
      <c r="CY1633">
        <v>7</v>
      </c>
      <c r="CZ1633" t="s">
        <v>133</v>
      </c>
      <c r="DA1633">
        <v>275</v>
      </c>
      <c r="DB1633">
        <v>0</v>
      </c>
      <c r="DC1633" t="s">
        <v>134</v>
      </c>
      <c r="DD1633" t="s">
        <v>135</v>
      </c>
      <c r="DG1633">
        <v>3320635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"05/01/2025 15:09:05.024"</f>
        <v>05/01/2025 15:09:05.024</v>
      </c>
      <c r="C1634" t="str">
        <f t="shared" si="634"/>
        <v>FFDFD3C0</v>
      </c>
      <c r="D1634" t="s">
        <v>140</v>
      </c>
      <c r="E1634" t="str">
        <f>"13"</f>
        <v>13</v>
      </c>
      <c r="F1634">
        <v>1019</v>
      </c>
      <c r="G1634" t="s">
        <v>141</v>
      </c>
      <c r="J1634" t="s">
        <v>142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R1634" t="s">
        <v>127</v>
      </c>
      <c r="S1634" t="str">
        <f t="shared" ref="S1634:T1639" si="648">"15:09:04.000"</f>
        <v>15:09:04.000</v>
      </c>
      <c r="T1634" t="str">
        <f t="shared" si="648"/>
        <v>15:09:04.000</v>
      </c>
      <c r="U1634" t="str">
        <f t="shared" si="635"/>
        <v>A68FCB</v>
      </c>
      <c r="V1634">
        <v>0</v>
      </c>
      <c r="W1634">
        <v>0</v>
      </c>
      <c r="X1634">
        <v>2</v>
      </c>
      <c r="Y1634">
        <v>0</v>
      </c>
      <c r="AA1634">
        <v>1</v>
      </c>
      <c r="AB1634">
        <v>8</v>
      </c>
      <c r="AC1634">
        <v>3</v>
      </c>
      <c r="AD1634">
        <v>0</v>
      </c>
      <c r="AE1634">
        <v>9</v>
      </c>
      <c r="AF1634" t="s">
        <v>138</v>
      </c>
      <c r="AG1634">
        <v>0</v>
      </c>
      <c r="AH1634">
        <v>3</v>
      </c>
      <c r="AI1634">
        <v>2</v>
      </c>
      <c r="AJ1634">
        <v>0</v>
      </c>
      <c r="AK1634" t="s">
        <v>592</v>
      </c>
      <c r="AL1634">
        <v>39.026054999999999</v>
      </c>
      <c r="AM1634" t="s">
        <v>593</v>
      </c>
      <c r="AN1634">
        <v>-121.0479</v>
      </c>
      <c r="AO1634">
        <v>25</v>
      </c>
      <c r="AP1634">
        <v>4000</v>
      </c>
      <c r="AQ1634" t="s">
        <v>131</v>
      </c>
      <c r="AR1634">
        <v>34</v>
      </c>
      <c r="AS1634">
        <v>73</v>
      </c>
      <c r="AT1634">
        <v>192</v>
      </c>
      <c r="BB1634" t="str">
        <f t="shared" si="636"/>
        <v>1200</v>
      </c>
      <c r="BC1634">
        <v>1</v>
      </c>
      <c r="BD1634" t="str">
        <f t="shared" si="637"/>
        <v xml:space="preserve">N52156  </v>
      </c>
      <c r="BE1634">
        <v>1</v>
      </c>
      <c r="BG1634">
        <v>0</v>
      </c>
      <c r="BH1634">
        <v>0</v>
      </c>
      <c r="BI1634">
        <v>0</v>
      </c>
      <c r="BJ1634">
        <v>4025</v>
      </c>
      <c r="BK1634">
        <v>25</v>
      </c>
      <c r="BL1634" t="s">
        <v>188</v>
      </c>
      <c r="BM1634">
        <v>1</v>
      </c>
      <c r="BN1634">
        <v>1</v>
      </c>
      <c r="BO1634">
        <v>0</v>
      </c>
      <c r="BP1634">
        <v>0</v>
      </c>
      <c r="BS1634">
        <v>0</v>
      </c>
      <c r="BT1634">
        <v>0</v>
      </c>
      <c r="BU1634">
        <v>0</v>
      </c>
      <c r="CE1634" t="str">
        <f t="shared" ref="CE1634:CE1639" si="649">"15:09:04.766"</f>
        <v>15:09:04.766</v>
      </c>
      <c r="CF1634">
        <v>765709512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133</v>
      </c>
      <c r="DA1634">
        <v>275</v>
      </c>
      <c r="DB1634">
        <v>0</v>
      </c>
      <c r="DC1634" t="s">
        <v>134</v>
      </c>
      <c r="DD1634" t="s">
        <v>135</v>
      </c>
      <c r="DG1634">
        <v>3320644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"05/01/2025 15:09:05.032"</f>
        <v>05/01/2025 15:09:05.032</v>
      </c>
      <c r="C1635" t="str">
        <f t="shared" si="634"/>
        <v>FFDFD3C0</v>
      </c>
      <c r="D1635" t="s">
        <v>145</v>
      </c>
      <c r="E1635" t="str">
        <f>"05"</f>
        <v>05</v>
      </c>
      <c r="H1635">
        <v>47</v>
      </c>
      <c r="I1635" t="s">
        <v>146</v>
      </c>
      <c r="J1635" t="s">
        <v>138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R1635" t="s">
        <v>127</v>
      </c>
      <c r="S1635" t="str">
        <f t="shared" si="648"/>
        <v>15:09:04.000</v>
      </c>
      <c r="T1635" t="str">
        <f t="shared" si="648"/>
        <v>15:09:04.000</v>
      </c>
      <c r="U1635" t="str">
        <f t="shared" si="635"/>
        <v>A68FCB</v>
      </c>
      <c r="V1635">
        <v>0</v>
      </c>
      <c r="W1635">
        <v>0</v>
      </c>
      <c r="X1635">
        <v>2</v>
      </c>
      <c r="Y1635">
        <v>0</v>
      </c>
      <c r="AA1635">
        <v>1</v>
      </c>
      <c r="AB1635">
        <v>8</v>
      </c>
      <c r="AC1635">
        <v>3</v>
      </c>
      <c r="AD1635">
        <v>0</v>
      </c>
      <c r="AE1635">
        <v>9</v>
      </c>
      <c r="AF1635" t="s">
        <v>138</v>
      </c>
      <c r="AG1635">
        <v>0</v>
      </c>
      <c r="AH1635">
        <v>3</v>
      </c>
      <c r="AI1635">
        <v>2</v>
      </c>
      <c r="AJ1635">
        <v>0</v>
      </c>
      <c r="AK1635" t="s">
        <v>592</v>
      </c>
      <c r="AL1635">
        <v>39.026054999999999</v>
      </c>
      <c r="AM1635" t="s">
        <v>593</v>
      </c>
      <c r="AN1635">
        <v>-121.0479</v>
      </c>
      <c r="AO1635">
        <v>25</v>
      </c>
      <c r="AP1635">
        <v>4000</v>
      </c>
      <c r="AQ1635" t="s">
        <v>131</v>
      </c>
      <c r="AR1635">
        <v>34</v>
      </c>
      <c r="AS1635">
        <v>73</v>
      </c>
      <c r="AT1635">
        <v>192</v>
      </c>
      <c r="BB1635" t="str">
        <f t="shared" si="636"/>
        <v>1200</v>
      </c>
      <c r="BC1635">
        <v>1</v>
      </c>
      <c r="BD1635" t="str">
        <f t="shared" si="637"/>
        <v xml:space="preserve">N52156  </v>
      </c>
      <c r="BE1635">
        <v>1</v>
      </c>
      <c r="BG1635">
        <v>0</v>
      </c>
      <c r="BH1635">
        <v>0</v>
      </c>
      <c r="BI1635">
        <v>0</v>
      </c>
      <c r="BJ1635">
        <v>4025</v>
      </c>
      <c r="BK1635">
        <v>25</v>
      </c>
      <c r="BL1635" t="s">
        <v>188</v>
      </c>
      <c r="BM1635">
        <v>1</v>
      </c>
      <c r="BN1635">
        <v>1</v>
      </c>
      <c r="BO1635">
        <v>0</v>
      </c>
      <c r="BP1635">
        <v>0</v>
      </c>
      <c r="BS1635">
        <v>0</v>
      </c>
      <c r="BT1635">
        <v>0</v>
      </c>
      <c r="BU1635">
        <v>0</v>
      </c>
      <c r="CE1635" t="str">
        <f t="shared" si="649"/>
        <v>15:09:04.766</v>
      </c>
      <c r="CF1635">
        <v>765709512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133</v>
      </c>
      <c r="DA1635">
        <v>275</v>
      </c>
      <c r="DB1635">
        <v>0</v>
      </c>
      <c r="DC1635" t="s">
        <v>134</v>
      </c>
      <c r="DD1635" t="s">
        <v>135</v>
      </c>
      <c r="DG1635">
        <v>3320644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"05/01/2025 15:09:05.033"</f>
        <v>05/01/2025 15:09:05.033</v>
      </c>
      <c r="C1636" t="str">
        <f t="shared" si="634"/>
        <v>FFDFD3C0</v>
      </c>
      <c r="D1636" t="s">
        <v>145</v>
      </c>
      <c r="E1636" t="str">
        <f>"09"</f>
        <v>09</v>
      </c>
      <c r="H1636">
        <v>51</v>
      </c>
      <c r="I1636" t="s">
        <v>147</v>
      </c>
      <c r="J1636" t="s">
        <v>138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R1636" t="s">
        <v>127</v>
      </c>
      <c r="S1636" t="str">
        <f t="shared" si="648"/>
        <v>15:09:04.000</v>
      </c>
      <c r="T1636" t="str">
        <f t="shared" si="648"/>
        <v>15:09:04.000</v>
      </c>
      <c r="U1636" t="str">
        <f t="shared" si="635"/>
        <v>A68FCB</v>
      </c>
      <c r="V1636">
        <v>0</v>
      </c>
      <c r="W1636">
        <v>0</v>
      </c>
      <c r="X1636">
        <v>2</v>
      </c>
      <c r="Y1636">
        <v>0</v>
      </c>
      <c r="AA1636">
        <v>1</v>
      </c>
      <c r="AB1636">
        <v>8</v>
      </c>
      <c r="AC1636">
        <v>3</v>
      </c>
      <c r="AD1636">
        <v>0</v>
      </c>
      <c r="AE1636">
        <v>9</v>
      </c>
      <c r="AF1636" t="s">
        <v>138</v>
      </c>
      <c r="AG1636">
        <v>0</v>
      </c>
      <c r="AH1636">
        <v>3</v>
      </c>
      <c r="AI1636">
        <v>2</v>
      </c>
      <c r="AJ1636">
        <v>0</v>
      </c>
      <c r="AK1636" t="s">
        <v>592</v>
      </c>
      <c r="AL1636">
        <v>39.026054999999999</v>
      </c>
      <c r="AM1636" t="s">
        <v>593</v>
      </c>
      <c r="AN1636">
        <v>-121.0479</v>
      </c>
      <c r="AO1636">
        <v>25</v>
      </c>
      <c r="AP1636">
        <v>4000</v>
      </c>
      <c r="AQ1636" t="s">
        <v>131</v>
      </c>
      <c r="AR1636">
        <v>34</v>
      </c>
      <c r="AS1636">
        <v>73</v>
      </c>
      <c r="AT1636">
        <v>192</v>
      </c>
      <c r="BB1636" t="str">
        <f t="shared" si="636"/>
        <v>1200</v>
      </c>
      <c r="BC1636">
        <v>1</v>
      </c>
      <c r="BD1636" t="str">
        <f t="shared" si="637"/>
        <v xml:space="preserve">N52156  </v>
      </c>
      <c r="BE1636">
        <v>1</v>
      </c>
      <c r="BG1636">
        <v>0</v>
      </c>
      <c r="BH1636">
        <v>0</v>
      </c>
      <c r="BI1636">
        <v>0</v>
      </c>
      <c r="BJ1636">
        <v>4025</v>
      </c>
      <c r="BK1636">
        <v>25</v>
      </c>
      <c r="BL1636" t="s">
        <v>188</v>
      </c>
      <c r="BM1636">
        <v>1</v>
      </c>
      <c r="BN1636">
        <v>1</v>
      </c>
      <c r="BO1636">
        <v>0</v>
      </c>
      <c r="BP1636">
        <v>0</v>
      </c>
      <c r="BS1636">
        <v>0</v>
      </c>
      <c r="BT1636">
        <v>0</v>
      </c>
      <c r="BU1636">
        <v>0</v>
      </c>
      <c r="CE1636" t="str">
        <f t="shared" si="649"/>
        <v>15:09:04.766</v>
      </c>
      <c r="CF1636">
        <v>765709512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133</v>
      </c>
      <c r="DA1636">
        <v>275</v>
      </c>
      <c r="DB1636">
        <v>0</v>
      </c>
      <c r="DC1636" t="s">
        <v>134</v>
      </c>
      <c r="DD1636" t="s">
        <v>135</v>
      </c>
      <c r="DG1636">
        <v>3320644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"05/01/2025 15:09:05.036"</f>
        <v>05/01/2025 15:09:05.036</v>
      </c>
      <c r="C1637" t="str">
        <f t="shared" si="634"/>
        <v>FFDFD3C0</v>
      </c>
      <c r="D1637" t="s">
        <v>124</v>
      </c>
      <c r="E1637" t="str">
        <f>"06"</f>
        <v>06</v>
      </c>
      <c r="F1637">
        <v>2006</v>
      </c>
      <c r="G1637" t="s">
        <v>125</v>
      </c>
      <c r="J1637" t="s">
        <v>126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R1637" t="s">
        <v>127</v>
      </c>
      <c r="S1637" t="str">
        <f t="shared" si="648"/>
        <v>15:09:04.000</v>
      </c>
      <c r="T1637" t="str">
        <f t="shared" si="648"/>
        <v>15:09:04.000</v>
      </c>
      <c r="U1637" t="str">
        <f t="shared" si="635"/>
        <v>A68FCB</v>
      </c>
      <c r="V1637">
        <v>0</v>
      </c>
      <c r="W1637">
        <v>0</v>
      </c>
      <c r="X1637">
        <v>2</v>
      </c>
      <c r="Y1637">
        <v>0</v>
      </c>
      <c r="AA1637">
        <v>1</v>
      </c>
      <c r="AB1637">
        <v>8</v>
      </c>
      <c r="AC1637">
        <v>3</v>
      </c>
      <c r="AD1637">
        <v>0</v>
      </c>
      <c r="AE1637">
        <v>9</v>
      </c>
      <c r="AF1637" t="s">
        <v>138</v>
      </c>
      <c r="AG1637">
        <v>0</v>
      </c>
      <c r="AH1637">
        <v>3</v>
      </c>
      <c r="AI1637">
        <v>2</v>
      </c>
      <c r="AJ1637">
        <v>0</v>
      </c>
      <c r="AK1637" t="s">
        <v>592</v>
      </c>
      <c r="AL1637">
        <v>39.026054999999999</v>
      </c>
      <c r="AM1637" t="s">
        <v>593</v>
      </c>
      <c r="AN1637">
        <v>-121.0479</v>
      </c>
      <c r="AO1637">
        <v>25</v>
      </c>
      <c r="AP1637">
        <v>4000</v>
      </c>
      <c r="AQ1637" t="s">
        <v>131</v>
      </c>
      <c r="AR1637">
        <v>34</v>
      </c>
      <c r="AS1637">
        <v>73</v>
      </c>
      <c r="AT1637">
        <v>192</v>
      </c>
      <c r="BB1637" t="str">
        <f t="shared" si="636"/>
        <v>1200</v>
      </c>
      <c r="BC1637">
        <v>1</v>
      </c>
      <c r="BD1637" t="str">
        <f t="shared" si="637"/>
        <v xml:space="preserve">N52156  </v>
      </c>
      <c r="BE1637">
        <v>1</v>
      </c>
      <c r="BG1637">
        <v>0</v>
      </c>
      <c r="BH1637">
        <v>0</v>
      </c>
      <c r="BI1637">
        <v>0</v>
      </c>
      <c r="BJ1637">
        <v>4025</v>
      </c>
      <c r="BK1637">
        <v>25</v>
      </c>
      <c r="BL1637" t="s">
        <v>188</v>
      </c>
      <c r="BM1637">
        <v>1</v>
      </c>
      <c r="BN1637">
        <v>1</v>
      </c>
      <c r="BO1637">
        <v>0</v>
      </c>
      <c r="BP1637">
        <v>0</v>
      </c>
      <c r="BS1637">
        <v>0</v>
      </c>
      <c r="BT1637">
        <v>0</v>
      </c>
      <c r="BU1637">
        <v>0</v>
      </c>
      <c r="CE1637" t="str">
        <f t="shared" si="649"/>
        <v>15:09:04.766</v>
      </c>
      <c r="CF1637">
        <v>765709512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133</v>
      </c>
      <c r="DA1637">
        <v>275</v>
      </c>
      <c r="DB1637">
        <v>0</v>
      </c>
      <c r="DC1637" t="s">
        <v>134</v>
      </c>
      <c r="DD1637" t="s">
        <v>135</v>
      </c>
      <c r="DG1637">
        <v>3320644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"05/01/2025 15:09:05.037"</f>
        <v>05/01/2025 15:09:05.037</v>
      </c>
      <c r="C1638" t="str">
        <f t="shared" si="634"/>
        <v>FFDFD3C0</v>
      </c>
      <c r="D1638" t="s">
        <v>143</v>
      </c>
      <c r="E1638" t="str">
        <f>"05"</f>
        <v>05</v>
      </c>
      <c r="H1638">
        <v>172</v>
      </c>
      <c r="I1638" t="s">
        <v>141</v>
      </c>
      <c r="J1638" t="s">
        <v>144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R1638" t="s">
        <v>127</v>
      </c>
      <c r="S1638" t="str">
        <f t="shared" si="648"/>
        <v>15:09:04.000</v>
      </c>
      <c r="T1638" t="str">
        <f t="shared" si="648"/>
        <v>15:09:04.000</v>
      </c>
      <c r="U1638" t="str">
        <f t="shared" si="635"/>
        <v>A68FCB</v>
      </c>
      <c r="V1638">
        <v>0</v>
      </c>
      <c r="W1638">
        <v>0</v>
      </c>
      <c r="X1638">
        <v>2</v>
      </c>
      <c r="Y1638">
        <v>0</v>
      </c>
      <c r="AA1638">
        <v>1</v>
      </c>
      <c r="AB1638">
        <v>8</v>
      </c>
      <c r="AC1638">
        <v>3</v>
      </c>
      <c r="AD1638">
        <v>0</v>
      </c>
      <c r="AE1638">
        <v>9</v>
      </c>
      <c r="AF1638" t="s">
        <v>138</v>
      </c>
      <c r="AG1638">
        <v>0</v>
      </c>
      <c r="AH1638">
        <v>3</v>
      </c>
      <c r="AI1638">
        <v>2</v>
      </c>
      <c r="AJ1638">
        <v>0</v>
      </c>
      <c r="AK1638" t="s">
        <v>592</v>
      </c>
      <c r="AL1638">
        <v>39.026054999999999</v>
      </c>
      <c r="AM1638" t="s">
        <v>593</v>
      </c>
      <c r="AN1638">
        <v>-121.0479</v>
      </c>
      <c r="AO1638">
        <v>25</v>
      </c>
      <c r="AP1638">
        <v>4000</v>
      </c>
      <c r="AQ1638" t="s">
        <v>131</v>
      </c>
      <c r="AR1638">
        <v>34</v>
      </c>
      <c r="AS1638">
        <v>73</v>
      </c>
      <c r="AT1638">
        <v>192</v>
      </c>
      <c r="BB1638" t="str">
        <f t="shared" si="636"/>
        <v>1200</v>
      </c>
      <c r="BC1638">
        <v>1</v>
      </c>
      <c r="BD1638" t="str">
        <f t="shared" si="637"/>
        <v xml:space="preserve">N52156  </v>
      </c>
      <c r="BE1638">
        <v>1</v>
      </c>
      <c r="BG1638">
        <v>0</v>
      </c>
      <c r="BH1638">
        <v>0</v>
      </c>
      <c r="BI1638">
        <v>0</v>
      </c>
      <c r="BJ1638">
        <v>4025</v>
      </c>
      <c r="BK1638">
        <v>25</v>
      </c>
      <c r="BL1638" t="s">
        <v>188</v>
      </c>
      <c r="BM1638">
        <v>1</v>
      </c>
      <c r="BN1638">
        <v>1</v>
      </c>
      <c r="BO1638">
        <v>0</v>
      </c>
      <c r="BP1638">
        <v>0</v>
      </c>
      <c r="BS1638">
        <v>0</v>
      </c>
      <c r="BT1638">
        <v>0</v>
      </c>
      <c r="BU1638">
        <v>0</v>
      </c>
      <c r="CE1638" t="str">
        <f t="shared" si="649"/>
        <v>15:09:04.766</v>
      </c>
      <c r="CF1638">
        <v>765709512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133</v>
      </c>
      <c r="DA1638">
        <v>275</v>
      </c>
      <c r="DB1638">
        <v>0</v>
      </c>
      <c r="DC1638" t="s">
        <v>134</v>
      </c>
      <c r="DD1638" t="s">
        <v>135</v>
      </c>
      <c r="DG1638">
        <v>3320644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"05/01/2025 15:09:05.043"</f>
        <v>05/01/2025 15:09:05.043</v>
      </c>
      <c r="C1639" t="str">
        <f t="shared" si="634"/>
        <v>FFDFD3C0</v>
      </c>
      <c r="D1639" t="s">
        <v>136</v>
      </c>
      <c r="E1639" t="str">
        <f>"20"</f>
        <v>20</v>
      </c>
      <c r="H1639">
        <v>400</v>
      </c>
      <c r="I1639" t="s">
        <v>137</v>
      </c>
      <c r="J1639" t="s">
        <v>138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R1639" t="s">
        <v>127</v>
      </c>
      <c r="S1639" t="str">
        <f t="shared" si="648"/>
        <v>15:09:04.000</v>
      </c>
      <c r="T1639" t="str">
        <f t="shared" si="648"/>
        <v>15:09:04.000</v>
      </c>
      <c r="U1639" t="str">
        <f t="shared" si="635"/>
        <v>A68FCB</v>
      </c>
      <c r="V1639">
        <v>0</v>
      </c>
      <c r="W1639">
        <v>0</v>
      </c>
      <c r="X1639">
        <v>2</v>
      </c>
      <c r="Y1639">
        <v>0</v>
      </c>
      <c r="AA1639">
        <v>1</v>
      </c>
      <c r="AB1639">
        <v>8</v>
      </c>
      <c r="AC1639">
        <v>3</v>
      </c>
      <c r="AD1639">
        <v>0</v>
      </c>
      <c r="AE1639">
        <v>9</v>
      </c>
      <c r="AF1639" t="s">
        <v>138</v>
      </c>
      <c r="AG1639">
        <v>0</v>
      </c>
      <c r="AH1639">
        <v>3</v>
      </c>
      <c r="AI1639">
        <v>2</v>
      </c>
      <c r="AJ1639">
        <v>0</v>
      </c>
      <c r="AK1639" t="s">
        <v>592</v>
      </c>
      <c r="AL1639">
        <v>39.026054999999999</v>
      </c>
      <c r="AM1639" t="s">
        <v>593</v>
      </c>
      <c r="AN1639">
        <v>-121.0479</v>
      </c>
      <c r="AO1639">
        <v>25</v>
      </c>
      <c r="AP1639">
        <v>4000</v>
      </c>
      <c r="AQ1639" t="s">
        <v>131</v>
      </c>
      <c r="AR1639">
        <v>34</v>
      </c>
      <c r="AS1639">
        <v>73</v>
      </c>
      <c r="AT1639">
        <v>192</v>
      </c>
      <c r="BB1639" t="str">
        <f t="shared" si="636"/>
        <v>1200</v>
      </c>
      <c r="BC1639">
        <v>1</v>
      </c>
      <c r="BD1639" t="str">
        <f t="shared" si="637"/>
        <v xml:space="preserve">N52156  </v>
      </c>
      <c r="BE1639">
        <v>1</v>
      </c>
      <c r="BG1639">
        <v>0</v>
      </c>
      <c r="BH1639">
        <v>0</v>
      </c>
      <c r="BI1639">
        <v>0</v>
      </c>
      <c r="BJ1639">
        <v>4025</v>
      </c>
      <c r="BK1639">
        <v>25</v>
      </c>
      <c r="BL1639" t="s">
        <v>188</v>
      </c>
      <c r="BM1639">
        <v>1</v>
      </c>
      <c r="BN1639">
        <v>1</v>
      </c>
      <c r="BO1639">
        <v>0</v>
      </c>
      <c r="BP1639">
        <v>0</v>
      </c>
      <c r="BS1639">
        <v>0</v>
      </c>
      <c r="BT1639">
        <v>0</v>
      </c>
      <c r="BU1639">
        <v>0</v>
      </c>
      <c r="CE1639" t="str">
        <f t="shared" si="649"/>
        <v>15:09:04.766</v>
      </c>
      <c r="CF1639">
        <v>765709512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133</v>
      </c>
      <c r="DA1639">
        <v>275</v>
      </c>
      <c r="DB1639">
        <v>0</v>
      </c>
      <c r="DC1639" t="s">
        <v>134</v>
      </c>
      <c r="DD1639" t="s">
        <v>135</v>
      </c>
      <c r="DG1639">
        <v>3320644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"05/01/2025 15:09:05.539"</f>
        <v>05/01/2025 15:09:05.539</v>
      </c>
      <c r="C1640" t="str">
        <f t="shared" si="634"/>
        <v>FFDFD3C0</v>
      </c>
      <c r="D1640" t="s">
        <v>143</v>
      </c>
      <c r="E1640" t="str">
        <f>"05"</f>
        <v>05</v>
      </c>
      <c r="H1640">
        <v>172</v>
      </c>
      <c r="I1640" t="s">
        <v>141</v>
      </c>
      <c r="J1640" t="s">
        <v>144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R1640" t="s">
        <v>127</v>
      </c>
      <c r="S1640" t="str">
        <f t="shared" ref="S1640:T1645" si="650">"15:09:05.000"</f>
        <v>15:09:05.000</v>
      </c>
      <c r="T1640" t="str">
        <f t="shared" si="650"/>
        <v>15:09:05.000</v>
      </c>
      <c r="U1640" t="str">
        <f t="shared" si="635"/>
        <v>A68FCB</v>
      </c>
      <c r="V1640">
        <v>0</v>
      </c>
      <c r="W1640">
        <v>0</v>
      </c>
      <c r="X1640">
        <v>2</v>
      </c>
      <c r="Y1640">
        <v>0</v>
      </c>
      <c r="AA1640">
        <v>1</v>
      </c>
      <c r="AB1640">
        <v>8</v>
      </c>
      <c r="AC1640">
        <v>3</v>
      </c>
      <c r="AD1640">
        <v>0</v>
      </c>
      <c r="AE1640">
        <v>9</v>
      </c>
      <c r="AF1640" t="s">
        <v>138</v>
      </c>
      <c r="AG1640">
        <v>0</v>
      </c>
      <c r="AH1640">
        <v>3</v>
      </c>
      <c r="AI1640">
        <v>2</v>
      </c>
      <c r="AJ1640">
        <v>0</v>
      </c>
      <c r="AK1640" t="s">
        <v>594</v>
      </c>
      <c r="AL1640">
        <v>39.026398999999998</v>
      </c>
      <c r="AM1640" t="s">
        <v>595</v>
      </c>
      <c r="AN1640">
        <v>-121.047685</v>
      </c>
      <c r="AO1640">
        <v>25</v>
      </c>
      <c r="AP1640">
        <v>4000</v>
      </c>
      <c r="AQ1640" t="s">
        <v>131</v>
      </c>
      <c r="AR1640">
        <v>33</v>
      </c>
      <c r="AS1640">
        <v>75</v>
      </c>
      <c r="AT1640">
        <v>192</v>
      </c>
      <c r="BB1640" t="str">
        <f t="shared" si="636"/>
        <v>1200</v>
      </c>
      <c r="BC1640">
        <v>1</v>
      </c>
      <c r="BD1640" t="str">
        <f t="shared" si="637"/>
        <v xml:space="preserve">N52156  </v>
      </c>
      <c r="BE1640">
        <v>1</v>
      </c>
      <c r="BG1640">
        <v>0</v>
      </c>
      <c r="BH1640">
        <v>0</v>
      </c>
      <c r="BI1640">
        <v>0</v>
      </c>
      <c r="BJ1640">
        <v>4050</v>
      </c>
      <c r="BK1640">
        <v>50</v>
      </c>
      <c r="BL1640" t="s">
        <v>188</v>
      </c>
      <c r="BM1640">
        <v>1</v>
      </c>
      <c r="BN1640">
        <v>1</v>
      </c>
      <c r="BO1640">
        <v>0</v>
      </c>
      <c r="BP1640">
        <v>0</v>
      </c>
      <c r="BS1640">
        <v>0</v>
      </c>
      <c r="BT1640">
        <v>0</v>
      </c>
      <c r="BU1640">
        <v>0</v>
      </c>
      <c r="CE1640" t="str">
        <f t="shared" ref="CE1640:CE1645" si="651">"15:09:05.330"</f>
        <v>15:09:05.330</v>
      </c>
      <c r="CF1640">
        <v>329958458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133</v>
      </c>
      <c r="DA1640">
        <v>275</v>
      </c>
      <c r="DB1640">
        <v>0</v>
      </c>
      <c r="DC1640" t="s">
        <v>134</v>
      </c>
      <c r="DD1640" t="s">
        <v>135</v>
      </c>
      <c r="DG1640">
        <v>3320650</v>
      </c>
      <c r="DI1640">
        <v>1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"05/01/2025 15:09:05.544"</f>
        <v>05/01/2025 15:09:05.544</v>
      </c>
      <c r="C1641" t="str">
        <f t="shared" si="634"/>
        <v>FFDFD3C0</v>
      </c>
      <c r="D1641" t="s">
        <v>136</v>
      </c>
      <c r="E1641" t="str">
        <f>"20"</f>
        <v>20</v>
      </c>
      <c r="H1641">
        <v>400</v>
      </c>
      <c r="I1641" t="s">
        <v>137</v>
      </c>
      <c r="J1641" t="s">
        <v>138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R1641" t="s">
        <v>127</v>
      </c>
      <c r="S1641" t="str">
        <f t="shared" si="650"/>
        <v>15:09:05.000</v>
      </c>
      <c r="T1641" t="str">
        <f t="shared" si="650"/>
        <v>15:09:05.000</v>
      </c>
      <c r="U1641" t="str">
        <f t="shared" si="635"/>
        <v>A68FCB</v>
      </c>
      <c r="V1641">
        <v>0</v>
      </c>
      <c r="W1641">
        <v>0</v>
      </c>
      <c r="X1641">
        <v>2</v>
      </c>
      <c r="Y1641">
        <v>0</v>
      </c>
      <c r="AA1641">
        <v>1</v>
      </c>
      <c r="AB1641">
        <v>8</v>
      </c>
      <c r="AC1641">
        <v>3</v>
      </c>
      <c r="AD1641">
        <v>0</v>
      </c>
      <c r="AE1641">
        <v>9</v>
      </c>
      <c r="AF1641" t="s">
        <v>138</v>
      </c>
      <c r="AG1641">
        <v>0</v>
      </c>
      <c r="AH1641">
        <v>3</v>
      </c>
      <c r="AI1641">
        <v>2</v>
      </c>
      <c r="AJ1641">
        <v>0</v>
      </c>
      <c r="AK1641" t="s">
        <v>594</v>
      </c>
      <c r="AL1641">
        <v>39.026398999999998</v>
      </c>
      <c r="AM1641" t="s">
        <v>595</v>
      </c>
      <c r="AN1641">
        <v>-121.047685</v>
      </c>
      <c r="AO1641">
        <v>25</v>
      </c>
      <c r="AP1641">
        <v>4000</v>
      </c>
      <c r="AQ1641" t="s">
        <v>131</v>
      </c>
      <c r="AR1641">
        <v>33</v>
      </c>
      <c r="AS1641">
        <v>75</v>
      </c>
      <c r="AT1641">
        <v>192</v>
      </c>
      <c r="BB1641" t="str">
        <f t="shared" si="636"/>
        <v>1200</v>
      </c>
      <c r="BC1641">
        <v>1</v>
      </c>
      <c r="BD1641" t="str">
        <f t="shared" si="637"/>
        <v xml:space="preserve">N52156  </v>
      </c>
      <c r="BE1641">
        <v>1</v>
      </c>
      <c r="BG1641">
        <v>0</v>
      </c>
      <c r="BH1641">
        <v>0</v>
      </c>
      <c r="BI1641">
        <v>0</v>
      </c>
      <c r="BJ1641">
        <v>4050</v>
      </c>
      <c r="BK1641">
        <v>50</v>
      </c>
      <c r="BL1641" t="s">
        <v>188</v>
      </c>
      <c r="BM1641">
        <v>1</v>
      </c>
      <c r="BN1641">
        <v>1</v>
      </c>
      <c r="BO1641">
        <v>0</v>
      </c>
      <c r="BP1641">
        <v>0</v>
      </c>
      <c r="BS1641">
        <v>0</v>
      </c>
      <c r="BT1641">
        <v>0</v>
      </c>
      <c r="BU1641">
        <v>0</v>
      </c>
      <c r="CE1641" t="str">
        <f t="shared" si="651"/>
        <v>15:09:05.330</v>
      </c>
      <c r="CF1641">
        <v>329958458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5</v>
      </c>
      <c r="CY1641">
        <v>7</v>
      </c>
      <c r="CZ1641" t="s">
        <v>133</v>
      </c>
      <c r="DA1641">
        <v>275</v>
      </c>
      <c r="DB1641">
        <v>0</v>
      </c>
      <c r="DC1641" t="s">
        <v>134</v>
      </c>
      <c r="DD1641" t="s">
        <v>135</v>
      </c>
      <c r="DG1641">
        <v>3320650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"05/01/2025 15:09:05.575"</f>
        <v>05/01/2025 15:09:05.575</v>
      </c>
      <c r="C1642" t="str">
        <f t="shared" si="634"/>
        <v>FFDFD3C0</v>
      </c>
      <c r="D1642" t="s">
        <v>140</v>
      </c>
      <c r="E1642" t="str">
        <f>"13"</f>
        <v>13</v>
      </c>
      <c r="F1642">
        <v>1019</v>
      </c>
      <c r="G1642" t="s">
        <v>141</v>
      </c>
      <c r="J1642" t="s">
        <v>142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R1642" t="s">
        <v>127</v>
      </c>
      <c r="S1642" t="str">
        <f t="shared" si="650"/>
        <v>15:09:05.000</v>
      </c>
      <c r="T1642" t="str">
        <f t="shared" si="650"/>
        <v>15:09:05.000</v>
      </c>
      <c r="U1642" t="str">
        <f t="shared" si="635"/>
        <v>A68FCB</v>
      </c>
      <c r="V1642">
        <v>0</v>
      </c>
      <c r="W1642">
        <v>0</v>
      </c>
      <c r="X1642">
        <v>2</v>
      </c>
      <c r="Y1642">
        <v>0</v>
      </c>
      <c r="AA1642">
        <v>1</v>
      </c>
      <c r="AB1642">
        <v>8</v>
      </c>
      <c r="AC1642">
        <v>3</v>
      </c>
      <c r="AD1642">
        <v>0</v>
      </c>
      <c r="AE1642">
        <v>9</v>
      </c>
      <c r="AF1642" t="s">
        <v>138</v>
      </c>
      <c r="AG1642">
        <v>0</v>
      </c>
      <c r="AH1642">
        <v>3</v>
      </c>
      <c r="AI1642">
        <v>2</v>
      </c>
      <c r="AJ1642">
        <v>0</v>
      </c>
      <c r="AK1642" t="s">
        <v>594</v>
      </c>
      <c r="AL1642">
        <v>39.026398999999998</v>
      </c>
      <c r="AM1642" t="s">
        <v>595</v>
      </c>
      <c r="AN1642">
        <v>-121.047685</v>
      </c>
      <c r="AO1642">
        <v>25</v>
      </c>
      <c r="AP1642">
        <v>4000</v>
      </c>
      <c r="AQ1642" t="s">
        <v>131</v>
      </c>
      <c r="AR1642">
        <v>33</v>
      </c>
      <c r="AS1642">
        <v>75</v>
      </c>
      <c r="AT1642">
        <v>192</v>
      </c>
      <c r="BB1642" t="str">
        <f t="shared" si="636"/>
        <v>1200</v>
      </c>
      <c r="BC1642">
        <v>1</v>
      </c>
      <c r="BD1642" t="str">
        <f t="shared" si="637"/>
        <v xml:space="preserve">N52156  </v>
      </c>
      <c r="BE1642">
        <v>1</v>
      </c>
      <c r="BG1642">
        <v>0</v>
      </c>
      <c r="BH1642">
        <v>0</v>
      </c>
      <c r="BI1642">
        <v>0</v>
      </c>
      <c r="BJ1642">
        <v>4050</v>
      </c>
      <c r="BK1642">
        <v>50</v>
      </c>
      <c r="BL1642" t="s">
        <v>188</v>
      </c>
      <c r="BM1642">
        <v>1</v>
      </c>
      <c r="BN1642">
        <v>1</v>
      </c>
      <c r="BO1642">
        <v>0</v>
      </c>
      <c r="BP1642">
        <v>0</v>
      </c>
      <c r="BS1642">
        <v>0</v>
      </c>
      <c r="BT1642">
        <v>0</v>
      </c>
      <c r="BU1642">
        <v>0</v>
      </c>
      <c r="CE1642" t="str">
        <f t="shared" si="651"/>
        <v>15:09:05.330</v>
      </c>
      <c r="CF1642">
        <v>329958458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133</v>
      </c>
      <c r="DA1642">
        <v>275</v>
      </c>
      <c r="DB1642">
        <v>0</v>
      </c>
      <c r="DC1642" t="s">
        <v>134</v>
      </c>
      <c r="DD1642" t="s">
        <v>135</v>
      </c>
      <c r="DG1642">
        <v>3320650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"05/01/2025 15:09:05.583"</f>
        <v>05/01/2025 15:09:05.583</v>
      </c>
      <c r="C1643" t="str">
        <f t="shared" si="634"/>
        <v>FFDFD3C0</v>
      </c>
      <c r="D1643" t="s">
        <v>145</v>
      </c>
      <c r="E1643" t="str">
        <f>"05"</f>
        <v>05</v>
      </c>
      <c r="H1643">
        <v>47</v>
      </c>
      <c r="I1643" t="s">
        <v>146</v>
      </c>
      <c r="J1643" t="s">
        <v>138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R1643" t="s">
        <v>127</v>
      </c>
      <c r="S1643" t="str">
        <f t="shared" si="650"/>
        <v>15:09:05.000</v>
      </c>
      <c r="T1643" t="str">
        <f t="shared" si="650"/>
        <v>15:09:05.000</v>
      </c>
      <c r="U1643" t="str">
        <f t="shared" si="635"/>
        <v>A68FCB</v>
      </c>
      <c r="V1643">
        <v>0</v>
      </c>
      <c r="W1643">
        <v>0</v>
      </c>
      <c r="X1643">
        <v>2</v>
      </c>
      <c r="Y1643">
        <v>0</v>
      </c>
      <c r="AA1643">
        <v>1</v>
      </c>
      <c r="AB1643">
        <v>8</v>
      </c>
      <c r="AC1643">
        <v>3</v>
      </c>
      <c r="AD1643">
        <v>0</v>
      </c>
      <c r="AE1643">
        <v>9</v>
      </c>
      <c r="AF1643" t="s">
        <v>138</v>
      </c>
      <c r="AG1643">
        <v>0</v>
      </c>
      <c r="AH1643">
        <v>3</v>
      </c>
      <c r="AI1643">
        <v>2</v>
      </c>
      <c r="AJ1643">
        <v>0</v>
      </c>
      <c r="AK1643" t="s">
        <v>594</v>
      </c>
      <c r="AL1643">
        <v>39.026398999999998</v>
      </c>
      <c r="AM1643" t="s">
        <v>595</v>
      </c>
      <c r="AN1643">
        <v>-121.047685</v>
      </c>
      <c r="AO1643">
        <v>25</v>
      </c>
      <c r="AP1643">
        <v>4000</v>
      </c>
      <c r="AQ1643" t="s">
        <v>131</v>
      </c>
      <c r="AR1643">
        <v>33</v>
      </c>
      <c r="AS1643">
        <v>75</v>
      </c>
      <c r="AT1643">
        <v>192</v>
      </c>
      <c r="BB1643" t="str">
        <f t="shared" si="636"/>
        <v>1200</v>
      </c>
      <c r="BC1643">
        <v>1</v>
      </c>
      <c r="BD1643" t="str">
        <f t="shared" si="637"/>
        <v xml:space="preserve">N52156  </v>
      </c>
      <c r="BE1643">
        <v>1</v>
      </c>
      <c r="BG1643">
        <v>0</v>
      </c>
      <c r="BH1643">
        <v>0</v>
      </c>
      <c r="BI1643">
        <v>0</v>
      </c>
      <c r="BJ1643">
        <v>4050</v>
      </c>
      <c r="BK1643">
        <v>50</v>
      </c>
      <c r="BL1643" t="s">
        <v>188</v>
      </c>
      <c r="BM1643">
        <v>1</v>
      </c>
      <c r="BN1643">
        <v>1</v>
      </c>
      <c r="BO1643">
        <v>0</v>
      </c>
      <c r="BP1643">
        <v>0</v>
      </c>
      <c r="BS1643">
        <v>0</v>
      </c>
      <c r="BT1643">
        <v>0</v>
      </c>
      <c r="BU1643">
        <v>0</v>
      </c>
      <c r="CE1643" t="str">
        <f t="shared" si="651"/>
        <v>15:09:05.330</v>
      </c>
      <c r="CF1643">
        <v>329958458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5</v>
      </c>
      <c r="CY1643">
        <v>7</v>
      </c>
      <c r="CZ1643" t="s">
        <v>133</v>
      </c>
      <c r="DA1643">
        <v>275</v>
      </c>
      <c r="DB1643">
        <v>0</v>
      </c>
      <c r="DC1643" t="s">
        <v>134</v>
      </c>
      <c r="DD1643" t="s">
        <v>135</v>
      </c>
      <c r="DG1643">
        <v>3320650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"05/01/2025 15:09:05.584"</f>
        <v>05/01/2025 15:09:05.584</v>
      </c>
      <c r="C1644" t="str">
        <f t="shared" si="634"/>
        <v>FFDFD3C0</v>
      </c>
      <c r="D1644" t="s">
        <v>145</v>
      </c>
      <c r="E1644" t="str">
        <f>"09"</f>
        <v>09</v>
      </c>
      <c r="H1644">
        <v>51</v>
      </c>
      <c r="I1644" t="s">
        <v>147</v>
      </c>
      <c r="J1644" t="s">
        <v>138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R1644" t="s">
        <v>127</v>
      </c>
      <c r="S1644" t="str">
        <f t="shared" si="650"/>
        <v>15:09:05.000</v>
      </c>
      <c r="T1644" t="str">
        <f t="shared" si="650"/>
        <v>15:09:05.000</v>
      </c>
      <c r="U1644" t="str">
        <f t="shared" si="635"/>
        <v>A68FCB</v>
      </c>
      <c r="V1644">
        <v>0</v>
      </c>
      <c r="W1644">
        <v>0</v>
      </c>
      <c r="X1644">
        <v>2</v>
      </c>
      <c r="Y1644">
        <v>0</v>
      </c>
      <c r="AA1644">
        <v>1</v>
      </c>
      <c r="AB1644">
        <v>8</v>
      </c>
      <c r="AC1644">
        <v>3</v>
      </c>
      <c r="AD1644">
        <v>0</v>
      </c>
      <c r="AE1644">
        <v>9</v>
      </c>
      <c r="AF1644" t="s">
        <v>138</v>
      </c>
      <c r="AG1644">
        <v>0</v>
      </c>
      <c r="AH1644">
        <v>3</v>
      </c>
      <c r="AI1644">
        <v>2</v>
      </c>
      <c r="AJ1644">
        <v>0</v>
      </c>
      <c r="AK1644" t="s">
        <v>594</v>
      </c>
      <c r="AL1644">
        <v>39.026398999999998</v>
      </c>
      <c r="AM1644" t="s">
        <v>595</v>
      </c>
      <c r="AN1644">
        <v>-121.047685</v>
      </c>
      <c r="AO1644">
        <v>25</v>
      </c>
      <c r="AP1644">
        <v>4000</v>
      </c>
      <c r="AQ1644" t="s">
        <v>131</v>
      </c>
      <c r="AR1644">
        <v>33</v>
      </c>
      <c r="AS1644">
        <v>75</v>
      </c>
      <c r="AT1644">
        <v>192</v>
      </c>
      <c r="BB1644" t="str">
        <f t="shared" si="636"/>
        <v>1200</v>
      </c>
      <c r="BC1644">
        <v>1</v>
      </c>
      <c r="BD1644" t="str">
        <f t="shared" si="637"/>
        <v xml:space="preserve">N52156  </v>
      </c>
      <c r="BE1644">
        <v>1</v>
      </c>
      <c r="BG1644">
        <v>0</v>
      </c>
      <c r="BH1644">
        <v>0</v>
      </c>
      <c r="BI1644">
        <v>0</v>
      </c>
      <c r="BJ1644">
        <v>4050</v>
      </c>
      <c r="BK1644">
        <v>50</v>
      </c>
      <c r="BL1644" t="s">
        <v>188</v>
      </c>
      <c r="BM1644">
        <v>1</v>
      </c>
      <c r="BN1644">
        <v>1</v>
      </c>
      <c r="BO1644">
        <v>0</v>
      </c>
      <c r="BP1644">
        <v>0</v>
      </c>
      <c r="BS1644">
        <v>0</v>
      </c>
      <c r="BT1644">
        <v>0</v>
      </c>
      <c r="BU1644">
        <v>0</v>
      </c>
      <c r="CE1644" t="str">
        <f t="shared" si="651"/>
        <v>15:09:05.330</v>
      </c>
      <c r="CF1644">
        <v>329958458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5</v>
      </c>
      <c r="CY1644">
        <v>7</v>
      </c>
      <c r="CZ1644" t="s">
        <v>133</v>
      </c>
      <c r="DA1644">
        <v>275</v>
      </c>
      <c r="DB1644">
        <v>0</v>
      </c>
      <c r="DC1644" t="s">
        <v>134</v>
      </c>
      <c r="DD1644" t="s">
        <v>135</v>
      </c>
      <c r="DG1644">
        <v>3320650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"05/01/2025 15:09:05.586"</f>
        <v>05/01/2025 15:09:05.586</v>
      </c>
      <c r="C1645" t="str">
        <f t="shared" si="634"/>
        <v>FFDFD3C0</v>
      </c>
      <c r="D1645" t="s">
        <v>124</v>
      </c>
      <c r="E1645" t="str">
        <f>"06"</f>
        <v>06</v>
      </c>
      <c r="F1645">
        <v>2006</v>
      </c>
      <c r="G1645" t="s">
        <v>125</v>
      </c>
      <c r="J1645" t="s">
        <v>126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R1645" t="s">
        <v>127</v>
      </c>
      <c r="S1645" t="str">
        <f t="shared" si="650"/>
        <v>15:09:05.000</v>
      </c>
      <c r="T1645" t="str">
        <f t="shared" si="650"/>
        <v>15:09:05.000</v>
      </c>
      <c r="U1645" t="str">
        <f t="shared" si="635"/>
        <v>A68FCB</v>
      </c>
      <c r="V1645">
        <v>0</v>
      </c>
      <c r="W1645">
        <v>0</v>
      </c>
      <c r="X1645">
        <v>2</v>
      </c>
      <c r="Y1645">
        <v>0</v>
      </c>
      <c r="AA1645">
        <v>1</v>
      </c>
      <c r="AB1645">
        <v>8</v>
      </c>
      <c r="AC1645">
        <v>3</v>
      </c>
      <c r="AD1645">
        <v>0</v>
      </c>
      <c r="AE1645">
        <v>9</v>
      </c>
      <c r="AF1645" t="s">
        <v>138</v>
      </c>
      <c r="AG1645">
        <v>0</v>
      </c>
      <c r="AH1645">
        <v>3</v>
      </c>
      <c r="AI1645">
        <v>2</v>
      </c>
      <c r="AJ1645">
        <v>0</v>
      </c>
      <c r="AK1645" t="s">
        <v>594</v>
      </c>
      <c r="AL1645">
        <v>39.026398999999998</v>
      </c>
      <c r="AM1645" t="s">
        <v>595</v>
      </c>
      <c r="AN1645">
        <v>-121.047685</v>
      </c>
      <c r="AO1645">
        <v>25</v>
      </c>
      <c r="AP1645">
        <v>4000</v>
      </c>
      <c r="AQ1645" t="s">
        <v>131</v>
      </c>
      <c r="AR1645">
        <v>33</v>
      </c>
      <c r="AS1645">
        <v>75</v>
      </c>
      <c r="AT1645">
        <v>192</v>
      </c>
      <c r="BB1645" t="str">
        <f t="shared" si="636"/>
        <v>1200</v>
      </c>
      <c r="BC1645">
        <v>1</v>
      </c>
      <c r="BD1645" t="str">
        <f t="shared" si="637"/>
        <v xml:space="preserve">N52156  </v>
      </c>
      <c r="BE1645">
        <v>1</v>
      </c>
      <c r="BG1645">
        <v>0</v>
      </c>
      <c r="BH1645">
        <v>0</v>
      </c>
      <c r="BI1645">
        <v>0</v>
      </c>
      <c r="BJ1645">
        <v>4050</v>
      </c>
      <c r="BK1645">
        <v>50</v>
      </c>
      <c r="BL1645" t="s">
        <v>188</v>
      </c>
      <c r="BM1645">
        <v>1</v>
      </c>
      <c r="BN1645">
        <v>1</v>
      </c>
      <c r="BO1645">
        <v>0</v>
      </c>
      <c r="BP1645">
        <v>0</v>
      </c>
      <c r="BS1645">
        <v>0</v>
      </c>
      <c r="BT1645">
        <v>0</v>
      </c>
      <c r="BU1645">
        <v>0</v>
      </c>
      <c r="CE1645" t="str">
        <f t="shared" si="651"/>
        <v>15:09:05.330</v>
      </c>
      <c r="CF1645">
        <v>329958458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5</v>
      </c>
      <c r="CY1645">
        <v>7</v>
      </c>
      <c r="CZ1645" t="s">
        <v>133</v>
      </c>
      <c r="DA1645">
        <v>275</v>
      </c>
      <c r="DB1645">
        <v>0</v>
      </c>
      <c r="DC1645" t="s">
        <v>134</v>
      </c>
      <c r="DD1645" t="s">
        <v>135</v>
      </c>
      <c r="DG1645">
        <v>3320650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"05/01/2025 15:09:07.185"</f>
        <v>05/01/2025 15:09:07.185</v>
      </c>
      <c r="C1646" t="str">
        <f t="shared" si="634"/>
        <v>FFDFD3C0</v>
      </c>
      <c r="D1646" t="s">
        <v>145</v>
      </c>
      <c r="E1646" t="str">
        <f>"05"</f>
        <v>05</v>
      </c>
      <c r="H1646">
        <v>47</v>
      </c>
      <c r="I1646" t="s">
        <v>146</v>
      </c>
      <c r="J1646" t="s">
        <v>138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R1646" t="s">
        <v>127</v>
      </c>
      <c r="S1646" t="str">
        <f t="shared" ref="S1646:T1651" si="652">"15:09:06.000"</f>
        <v>15:09:06.000</v>
      </c>
      <c r="T1646" t="str">
        <f t="shared" si="652"/>
        <v>15:09:06.000</v>
      </c>
      <c r="U1646" t="str">
        <f t="shared" si="635"/>
        <v>A68FCB</v>
      </c>
      <c r="V1646">
        <v>0</v>
      </c>
      <c r="W1646">
        <v>0</v>
      </c>
      <c r="X1646">
        <v>2</v>
      </c>
      <c r="Y1646">
        <v>0</v>
      </c>
      <c r="AA1646">
        <v>1</v>
      </c>
      <c r="AB1646">
        <v>8</v>
      </c>
      <c r="AC1646">
        <v>3</v>
      </c>
      <c r="AD1646">
        <v>0</v>
      </c>
      <c r="AE1646">
        <v>9</v>
      </c>
      <c r="AF1646" t="s">
        <v>138</v>
      </c>
      <c r="AG1646">
        <v>0</v>
      </c>
      <c r="AH1646">
        <v>3</v>
      </c>
      <c r="AI1646">
        <v>2</v>
      </c>
      <c r="AJ1646">
        <v>0</v>
      </c>
      <c r="AK1646" t="s">
        <v>596</v>
      </c>
      <c r="AL1646">
        <v>39.026741999999999</v>
      </c>
      <c r="AM1646" t="s">
        <v>597</v>
      </c>
      <c r="AN1646">
        <v>-121.047471</v>
      </c>
      <c r="AO1646">
        <v>25</v>
      </c>
      <c r="AP1646">
        <v>4000</v>
      </c>
      <c r="AQ1646" t="s">
        <v>131</v>
      </c>
      <c r="AR1646">
        <v>29</v>
      </c>
      <c r="AS1646">
        <v>77</v>
      </c>
      <c r="AT1646">
        <v>256</v>
      </c>
      <c r="BB1646" t="str">
        <f t="shared" si="636"/>
        <v>1200</v>
      </c>
      <c r="BC1646">
        <v>1</v>
      </c>
      <c r="BD1646" t="str">
        <f t="shared" si="637"/>
        <v xml:space="preserve">N52156  </v>
      </c>
      <c r="BE1646">
        <v>1</v>
      </c>
      <c r="BG1646">
        <v>0</v>
      </c>
      <c r="BH1646">
        <v>0</v>
      </c>
      <c r="BI1646">
        <v>0</v>
      </c>
      <c r="BJ1646">
        <v>4050</v>
      </c>
      <c r="BK1646">
        <v>50</v>
      </c>
      <c r="BL1646" t="s">
        <v>188</v>
      </c>
      <c r="BM1646">
        <v>1</v>
      </c>
      <c r="BN1646">
        <v>1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 t="shared" ref="CE1646:CE1651" si="653">"15:09:06.968"</f>
        <v>15:09:06.968</v>
      </c>
      <c r="CF1646">
        <v>968460200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5</v>
      </c>
      <c r="CY1646">
        <v>7</v>
      </c>
      <c r="CZ1646" t="s">
        <v>133</v>
      </c>
      <c r="DA1646">
        <v>275</v>
      </c>
      <c r="DB1646">
        <v>0</v>
      </c>
      <c r="DC1646" t="s">
        <v>134</v>
      </c>
      <c r="DD1646" t="s">
        <v>135</v>
      </c>
      <c r="DG1646">
        <v>3320661</v>
      </c>
      <c r="DI1646">
        <v>1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"05/01/2025 15:09:07.187"</f>
        <v>05/01/2025 15:09:07.187</v>
      </c>
      <c r="C1647" t="str">
        <f t="shared" si="634"/>
        <v>FFDFD3C0</v>
      </c>
      <c r="D1647" t="s">
        <v>145</v>
      </c>
      <c r="E1647" t="str">
        <f>"09"</f>
        <v>09</v>
      </c>
      <c r="H1647">
        <v>51</v>
      </c>
      <c r="I1647" t="s">
        <v>147</v>
      </c>
      <c r="J1647" t="s">
        <v>138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R1647" t="s">
        <v>127</v>
      </c>
      <c r="S1647" t="str">
        <f t="shared" si="652"/>
        <v>15:09:06.000</v>
      </c>
      <c r="T1647" t="str">
        <f t="shared" si="652"/>
        <v>15:09:06.000</v>
      </c>
      <c r="U1647" t="str">
        <f t="shared" si="635"/>
        <v>A68FCB</v>
      </c>
      <c r="V1647">
        <v>0</v>
      </c>
      <c r="W1647">
        <v>0</v>
      </c>
      <c r="X1647">
        <v>2</v>
      </c>
      <c r="Y1647">
        <v>0</v>
      </c>
      <c r="AA1647">
        <v>1</v>
      </c>
      <c r="AB1647">
        <v>8</v>
      </c>
      <c r="AC1647">
        <v>3</v>
      </c>
      <c r="AD1647">
        <v>0</v>
      </c>
      <c r="AE1647">
        <v>9</v>
      </c>
      <c r="AF1647" t="s">
        <v>138</v>
      </c>
      <c r="AG1647">
        <v>0</v>
      </c>
      <c r="AH1647">
        <v>3</v>
      </c>
      <c r="AI1647">
        <v>2</v>
      </c>
      <c r="AJ1647">
        <v>0</v>
      </c>
      <c r="AK1647" t="s">
        <v>596</v>
      </c>
      <c r="AL1647">
        <v>39.026741999999999</v>
      </c>
      <c r="AM1647" t="s">
        <v>597</v>
      </c>
      <c r="AN1647">
        <v>-121.047471</v>
      </c>
      <c r="AO1647">
        <v>25</v>
      </c>
      <c r="AP1647">
        <v>4000</v>
      </c>
      <c r="AQ1647" t="s">
        <v>131</v>
      </c>
      <c r="AR1647">
        <v>29</v>
      </c>
      <c r="AS1647">
        <v>77</v>
      </c>
      <c r="AT1647">
        <v>256</v>
      </c>
      <c r="BB1647" t="str">
        <f t="shared" si="636"/>
        <v>1200</v>
      </c>
      <c r="BC1647">
        <v>1</v>
      </c>
      <c r="BD1647" t="str">
        <f t="shared" si="637"/>
        <v xml:space="preserve">N52156  </v>
      </c>
      <c r="BE1647">
        <v>1</v>
      </c>
      <c r="BG1647">
        <v>0</v>
      </c>
      <c r="BH1647">
        <v>0</v>
      </c>
      <c r="BI1647">
        <v>0</v>
      </c>
      <c r="BJ1647">
        <v>4050</v>
      </c>
      <c r="BK1647">
        <v>50</v>
      </c>
      <c r="BL1647" t="s">
        <v>188</v>
      </c>
      <c r="BM1647">
        <v>1</v>
      </c>
      <c r="BN1647">
        <v>1</v>
      </c>
      <c r="BO1647">
        <v>0</v>
      </c>
      <c r="BP1647">
        <v>0</v>
      </c>
      <c r="BS1647">
        <v>0</v>
      </c>
      <c r="BT1647">
        <v>0</v>
      </c>
      <c r="BU1647">
        <v>0</v>
      </c>
      <c r="CE1647" t="str">
        <f t="shared" si="653"/>
        <v>15:09:06.968</v>
      </c>
      <c r="CF1647">
        <v>968460200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133</v>
      </c>
      <c r="DA1647">
        <v>275</v>
      </c>
      <c r="DB1647">
        <v>0</v>
      </c>
      <c r="DC1647" t="s">
        <v>134</v>
      </c>
      <c r="DD1647" t="s">
        <v>135</v>
      </c>
      <c r="DG1647">
        <v>3320661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"05/01/2025 15:09:07.188"</f>
        <v>05/01/2025 15:09:07.188</v>
      </c>
      <c r="C1648" t="str">
        <f t="shared" si="634"/>
        <v>FFDFD3C0</v>
      </c>
      <c r="D1648" t="s">
        <v>124</v>
      </c>
      <c r="E1648" t="str">
        <f>"06"</f>
        <v>06</v>
      </c>
      <c r="F1648">
        <v>2006</v>
      </c>
      <c r="G1648" t="s">
        <v>125</v>
      </c>
      <c r="J1648" t="s">
        <v>126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R1648" t="s">
        <v>127</v>
      </c>
      <c r="S1648" t="str">
        <f t="shared" si="652"/>
        <v>15:09:06.000</v>
      </c>
      <c r="T1648" t="str">
        <f t="shared" si="652"/>
        <v>15:09:06.000</v>
      </c>
      <c r="U1648" t="str">
        <f t="shared" si="635"/>
        <v>A68FCB</v>
      </c>
      <c r="V1648">
        <v>0</v>
      </c>
      <c r="W1648">
        <v>0</v>
      </c>
      <c r="X1648">
        <v>2</v>
      </c>
      <c r="Y1648">
        <v>0</v>
      </c>
      <c r="AA1648">
        <v>1</v>
      </c>
      <c r="AB1648">
        <v>8</v>
      </c>
      <c r="AC1648">
        <v>3</v>
      </c>
      <c r="AD1648">
        <v>0</v>
      </c>
      <c r="AE1648">
        <v>9</v>
      </c>
      <c r="AF1648" t="s">
        <v>138</v>
      </c>
      <c r="AG1648">
        <v>0</v>
      </c>
      <c r="AH1648">
        <v>3</v>
      </c>
      <c r="AI1648">
        <v>2</v>
      </c>
      <c r="AJ1648">
        <v>0</v>
      </c>
      <c r="AK1648" t="s">
        <v>596</v>
      </c>
      <c r="AL1648">
        <v>39.026741999999999</v>
      </c>
      <c r="AM1648" t="s">
        <v>597</v>
      </c>
      <c r="AN1648">
        <v>-121.047471</v>
      </c>
      <c r="AO1648">
        <v>25</v>
      </c>
      <c r="AP1648">
        <v>4000</v>
      </c>
      <c r="AQ1648" t="s">
        <v>131</v>
      </c>
      <c r="AR1648">
        <v>29</v>
      </c>
      <c r="AS1648">
        <v>77</v>
      </c>
      <c r="AT1648">
        <v>256</v>
      </c>
      <c r="BB1648" t="str">
        <f t="shared" si="636"/>
        <v>1200</v>
      </c>
      <c r="BC1648">
        <v>1</v>
      </c>
      <c r="BD1648" t="str">
        <f t="shared" si="637"/>
        <v xml:space="preserve">N52156  </v>
      </c>
      <c r="BE1648">
        <v>1</v>
      </c>
      <c r="BG1648">
        <v>0</v>
      </c>
      <c r="BH1648">
        <v>0</v>
      </c>
      <c r="BI1648">
        <v>0</v>
      </c>
      <c r="BJ1648">
        <v>4050</v>
      </c>
      <c r="BK1648">
        <v>50</v>
      </c>
      <c r="BL1648" t="s">
        <v>188</v>
      </c>
      <c r="BM1648">
        <v>1</v>
      </c>
      <c r="BN1648">
        <v>1</v>
      </c>
      <c r="BO1648">
        <v>0</v>
      </c>
      <c r="BP1648">
        <v>0</v>
      </c>
      <c r="BS1648">
        <v>0</v>
      </c>
      <c r="BT1648">
        <v>0</v>
      </c>
      <c r="BU1648">
        <v>0</v>
      </c>
      <c r="CE1648" t="str">
        <f t="shared" si="653"/>
        <v>15:09:06.968</v>
      </c>
      <c r="CF1648">
        <v>968460200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133</v>
      </c>
      <c r="DA1648">
        <v>275</v>
      </c>
      <c r="DB1648">
        <v>0</v>
      </c>
      <c r="DC1648" t="s">
        <v>134</v>
      </c>
      <c r="DD1648" t="s">
        <v>135</v>
      </c>
      <c r="DG1648">
        <v>3320661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"05/01/2025 15:09:07.191"</f>
        <v>05/01/2025 15:09:07.191</v>
      </c>
      <c r="C1649" t="str">
        <f t="shared" si="634"/>
        <v>FFDFD3C0</v>
      </c>
      <c r="D1649" t="s">
        <v>143</v>
      </c>
      <c r="E1649" t="str">
        <f>"05"</f>
        <v>05</v>
      </c>
      <c r="H1649">
        <v>172</v>
      </c>
      <c r="I1649" t="s">
        <v>141</v>
      </c>
      <c r="J1649" t="s">
        <v>144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R1649" t="s">
        <v>127</v>
      </c>
      <c r="S1649" t="str">
        <f t="shared" si="652"/>
        <v>15:09:06.000</v>
      </c>
      <c r="T1649" t="str">
        <f t="shared" si="652"/>
        <v>15:09:06.000</v>
      </c>
      <c r="U1649" t="str">
        <f t="shared" si="635"/>
        <v>A68FCB</v>
      </c>
      <c r="V1649">
        <v>0</v>
      </c>
      <c r="W1649">
        <v>0</v>
      </c>
      <c r="X1649">
        <v>2</v>
      </c>
      <c r="Y1649">
        <v>0</v>
      </c>
      <c r="AA1649">
        <v>1</v>
      </c>
      <c r="AB1649">
        <v>8</v>
      </c>
      <c r="AC1649">
        <v>3</v>
      </c>
      <c r="AD1649">
        <v>0</v>
      </c>
      <c r="AE1649">
        <v>9</v>
      </c>
      <c r="AF1649" t="s">
        <v>138</v>
      </c>
      <c r="AG1649">
        <v>0</v>
      </c>
      <c r="AH1649">
        <v>3</v>
      </c>
      <c r="AI1649">
        <v>2</v>
      </c>
      <c r="AJ1649">
        <v>0</v>
      </c>
      <c r="AK1649" t="s">
        <v>596</v>
      </c>
      <c r="AL1649">
        <v>39.026741999999999</v>
      </c>
      <c r="AM1649" t="s">
        <v>597</v>
      </c>
      <c r="AN1649">
        <v>-121.047471</v>
      </c>
      <c r="AO1649">
        <v>25</v>
      </c>
      <c r="AP1649">
        <v>4000</v>
      </c>
      <c r="AQ1649" t="s">
        <v>131</v>
      </c>
      <c r="AR1649">
        <v>29</v>
      </c>
      <c r="AS1649">
        <v>77</v>
      </c>
      <c r="AT1649">
        <v>256</v>
      </c>
      <c r="BB1649" t="str">
        <f t="shared" si="636"/>
        <v>1200</v>
      </c>
      <c r="BC1649">
        <v>1</v>
      </c>
      <c r="BD1649" t="str">
        <f t="shared" si="637"/>
        <v xml:space="preserve">N52156  </v>
      </c>
      <c r="BE1649">
        <v>1</v>
      </c>
      <c r="BG1649">
        <v>0</v>
      </c>
      <c r="BH1649">
        <v>0</v>
      </c>
      <c r="BI1649">
        <v>0</v>
      </c>
      <c r="BJ1649">
        <v>4050</v>
      </c>
      <c r="BK1649">
        <v>50</v>
      </c>
      <c r="BL1649" t="s">
        <v>188</v>
      </c>
      <c r="BM1649">
        <v>1</v>
      </c>
      <c r="BN1649">
        <v>1</v>
      </c>
      <c r="BO1649">
        <v>0</v>
      </c>
      <c r="BP1649">
        <v>0</v>
      </c>
      <c r="BS1649">
        <v>0</v>
      </c>
      <c r="BT1649">
        <v>0</v>
      </c>
      <c r="BU1649">
        <v>0</v>
      </c>
      <c r="CE1649" t="str">
        <f t="shared" si="653"/>
        <v>15:09:06.968</v>
      </c>
      <c r="CF1649">
        <v>968460200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133</v>
      </c>
      <c r="DA1649">
        <v>275</v>
      </c>
      <c r="DB1649">
        <v>0</v>
      </c>
      <c r="DC1649" t="s">
        <v>134</v>
      </c>
      <c r="DD1649" t="s">
        <v>135</v>
      </c>
      <c r="DG1649">
        <v>3320661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"05/01/2025 15:09:07.197"</f>
        <v>05/01/2025 15:09:07.197</v>
      </c>
      <c r="C1650" t="str">
        <f t="shared" si="634"/>
        <v>FFDFD3C0</v>
      </c>
      <c r="D1650" t="s">
        <v>136</v>
      </c>
      <c r="E1650" t="str">
        <f>"20"</f>
        <v>20</v>
      </c>
      <c r="H1650">
        <v>400</v>
      </c>
      <c r="I1650" t="s">
        <v>137</v>
      </c>
      <c r="J1650" t="s">
        <v>138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R1650" t="s">
        <v>127</v>
      </c>
      <c r="S1650" t="str">
        <f t="shared" si="652"/>
        <v>15:09:06.000</v>
      </c>
      <c r="T1650" t="str">
        <f t="shared" si="652"/>
        <v>15:09:06.000</v>
      </c>
      <c r="U1650" t="str">
        <f t="shared" si="635"/>
        <v>A68FCB</v>
      </c>
      <c r="V1650">
        <v>0</v>
      </c>
      <c r="W1650">
        <v>0</v>
      </c>
      <c r="X1650">
        <v>2</v>
      </c>
      <c r="Y1650">
        <v>0</v>
      </c>
      <c r="AA1650">
        <v>1</v>
      </c>
      <c r="AB1650">
        <v>8</v>
      </c>
      <c r="AC1650">
        <v>3</v>
      </c>
      <c r="AD1650">
        <v>0</v>
      </c>
      <c r="AE1650">
        <v>9</v>
      </c>
      <c r="AF1650" t="s">
        <v>138</v>
      </c>
      <c r="AG1650">
        <v>0</v>
      </c>
      <c r="AH1650">
        <v>3</v>
      </c>
      <c r="AI1650">
        <v>2</v>
      </c>
      <c r="AJ1650">
        <v>0</v>
      </c>
      <c r="AK1650" t="s">
        <v>596</v>
      </c>
      <c r="AL1650">
        <v>39.026741999999999</v>
      </c>
      <c r="AM1650" t="s">
        <v>597</v>
      </c>
      <c r="AN1650">
        <v>-121.047471</v>
      </c>
      <c r="AO1650">
        <v>25</v>
      </c>
      <c r="AP1650">
        <v>4000</v>
      </c>
      <c r="AQ1650" t="s">
        <v>131</v>
      </c>
      <c r="AR1650">
        <v>29</v>
      </c>
      <c r="AS1650">
        <v>77</v>
      </c>
      <c r="AT1650">
        <v>256</v>
      </c>
      <c r="BB1650" t="str">
        <f t="shared" si="636"/>
        <v>1200</v>
      </c>
      <c r="BC1650">
        <v>1</v>
      </c>
      <c r="BD1650" t="str">
        <f t="shared" si="637"/>
        <v xml:space="preserve">N52156  </v>
      </c>
      <c r="BE1650">
        <v>1</v>
      </c>
      <c r="BG1650">
        <v>0</v>
      </c>
      <c r="BH1650">
        <v>0</v>
      </c>
      <c r="BI1650">
        <v>0</v>
      </c>
      <c r="BJ1650">
        <v>4050</v>
      </c>
      <c r="BK1650">
        <v>50</v>
      </c>
      <c r="BL1650" t="s">
        <v>188</v>
      </c>
      <c r="BM1650">
        <v>1</v>
      </c>
      <c r="BN1650">
        <v>1</v>
      </c>
      <c r="BO1650">
        <v>0</v>
      </c>
      <c r="BP1650">
        <v>0</v>
      </c>
      <c r="BS1650">
        <v>0</v>
      </c>
      <c r="BT1650">
        <v>0</v>
      </c>
      <c r="BU1650">
        <v>0</v>
      </c>
      <c r="CE1650" t="str">
        <f t="shared" si="653"/>
        <v>15:09:06.968</v>
      </c>
      <c r="CF1650">
        <v>968460200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5</v>
      </c>
      <c r="CY1650">
        <v>7</v>
      </c>
      <c r="CZ1650" t="s">
        <v>133</v>
      </c>
      <c r="DA1650">
        <v>275</v>
      </c>
      <c r="DB1650">
        <v>0</v>
      </c>
      <c r="DC1650" t="s">
        <v>134</v>
      </c>
      <c r="DD1650" t="s">
        <v>135</v>
      </c>
      <c r="DG1650">
        <v>3320661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"05/01/2025 15:09:07.227"</f>
        <v>05/01/2025 15:09:07.227</v>
      </c>
      <c r="C1651" t="str">
        <f t="shared" si="634"/>
        <v>FFDFD3C0</v>
      </c>
      <c r="D1651" t="s">
        <v>140</v>
      </c>
      <c r="E1651" t="str">
        <f>"13"</f>
        <v>13</v>
      </c>
      <c r="F1651">
        <v>1019</v>
      </c>
      <c r="G1651" t="s">
        <v>141</v>
      </c>
      <c r="J1651" t="s">
        <v>142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R1651" t="s">
        <v>127</v>
      </c>
      <c r="S1651" t="str">
        <f t="shared" si="652"/>
        <v>15:09:06.000</v>
      </c>
      <c r="T1651" t="str">
        <f t="shared" si="652"/>
        <v>15:09:06.000</v>
      </c>
      <c r="U1651" t="str">
        <f t="shared" si="635"/>
        <v>A68FCB</v>
      </c>
      <c r="V1651">
        <v>0</v>
      </c>
      <c r="W1651">
        <v>0</v>
      </c>
      <c r="X1651">
        <v>2</v>
      </c>
      <c r="Y1651">
        <v>0</v>
      </c>
      <c r="AA1651">
        <v>1</v>
      </c>
      <c r="AB1651">
        <v>8</v>
      </c>
      <c r="AC1651">
        <v>3</v>
      </c>
      <c r="AD1651">
        <v>0</v>
      </c>
      <c r="AE1651">
        <v>9</v>
      </c>
      <c r="AF1651" t="s">
        <v>138</v>
      </c>
      <c r="AG1651">
        <v>0</v>
      </c>
      <c r="AH1651">
        <v>3</v>
      </c>
      <c r="AI1651">
        <v>2</v>
      </c>
      <c r="AJ1651">
        <v>0</v>
      </c>
      <c r="AK1651" t="s">
        <v>596</v>
      </c>
      <c r="AL1651">
        <v>39.026741999999999</v>
      </c>
      <c r="AM1651" t="s">
        <v>597</v>
      </c>
      <c r="AN1651">
        <v>-121.047471</v>
      </c>
      <c r="AO1651">
        <v>25</v>
      </c>
      <c r="AP1651">
        <v>4000</v>
      </c>
      <c r="AQ1651" t="s">
        <v>131</v>
      </c>
      <c r="AR1651">
        <v>29</v>
      </c>
      <c r="AS1651">
        <v>77</v>
      </c>
      <c r="AT1651">
        <v>256</v>
      </c>
      <c r="BB1651" t="str">
        <f t="shared" si="636"/>
        <v>1200</v>
      </c>
      <c r="BC1651">
        <v>1</v>
      </c>
      <c r="BD1651" t="str">
        <f t="shared" si="637"/>
        <v xml:space="preserve">N52156  </v>
      </c>
      <c r="BE1651">
        <v>1</v>
      </c>
      <c r="BG1651">
        <v>0</v>
      </c>
      <c r="BH1651">
        <v>0</v>
      </c>
      <c r="BI1651">
        <v>0</v>
      </c>
      <c r="BJ1651">
        <v>4050</v>
      </c>
      <c r="BK1651">
        <v>50</v>
      </c>
      <c r="BL1651" t="s">
        <v>188</v>
      </c>
      <c r="BM1651">
        <v>1</v>
      </c>
      <c r="BN1651">
        <v>1</v>
      </c>
      <c r="BO1651">
        <v>0</v>
      </c>
      <c r="BP1651">
        <v>0</v>
      </c>
      <c r="BS1651">
        <v>0</v>
      </c>
      <c r="BT1651">
        <v>0</v>
      </c>
      <c r="BU1651">
        <v>0</v>
      </c>
      <c r="CE1651" t="str">
        <f t="shared" si="653"/>
        <v>15:09:06.968</v>
      </c>
      <c r="CF1651">
        <v>968460200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133</v>
      </c>
      <c r="DA1651">
        <v>275</v>
      </c>
      <c r="DB1651">
        <v>0</v>
      </c>
      <c r="DC1651" t="s">
        <v>134</v>
      </c>
      <c r="DD1651" t="s">
        <v>135</v>
      </c>
      <c r="DG1651">
        <v>3320661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"05/01/2025 15:09:07.548"</f>
        <v>05/01/2025 15:09:07.548</v>
      </c>
      <c r="C1652" t="str">
        <f t="shared" si="634"/>
        <v>FFDFD3C0</v>
      </c>
      <c r="D1652" t="s">
        <v>136</v>
      </c>
      <c r="E1652" t="str">
        <f>"20"</f>
        <v>20</v>
      </c>
      <c r="H1652">
        <v>400</v>
      </c>
      <c r="I1652" t="s">
        <v>137</v>
      </c>
      <c r="J1652" t="s">
        <v>138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R1652" t="s">
        <v>127</v>
      </c>
      <c r="S1652" t="str">
        <f t="shared" ref="S1652:T1657" si="654">"15:09:07.000"</f>
        <v>15:09:07.000</v>
      </c>
      <c r="T1652" t="str">
        <f t="shared" si="654"/>
        <v>15:09:07.000</v>
      </c>
      <c r="U1652" t="str">
        <f t="shared" si="635"/>
        <v>A68FCB</v>
      </c>
      <c r="V1652">
        <v>0</v>
      </c>
      <c r="W1652">
        <v>0</v>
      </c>
      <c r="X1652">
        <v>2</v>
      </c>
      <c r="Y1652">
        <v>0</v>
      </c>
      <c r="AA1652">
        <v>1</v>
      </c>
      <c r="AB1652">
        <v>8</v>
      </c>
      <c r="AC1652">
        <v>3</v>
      </c>
      <c r="AD1652">
        <v>0</v>
      </c>
      <c r="AE1652">
        <v>9</v>
      </c>
      <c r="AF1652" t="s">
        <v>138</v>
      </c>
      <c r="AG1652">
        <v>0</v>
      </c>
      <c r="AH1652">
        <v>3</v>
      </c>
      <c r="AI1652">
        <v>2</v>
      </c>
      <c r="AJ1652">
        <v>0</v>
      </c>
      <c r="AK1652" t="s">
        <v>598</v>
      </c>
      <c r="AL1652">
        <v>39.027107000000001</v>
      </c>
      <c r="AM1652" t="s">
        <v>599</v>
      </c>
      <c r="AN1652">
        <v>-121.047299</v>
      </c>
      <c r="AO1652">
        <v>25</v>
      </c>
      <c r="AP1652">
        <v>4000</v>
      </c>
      <c r="AQ1652" t="s">
        <v>131</v>
      </c>
      <c r="AR1652">
        <v>28</v>
      </c>
      <c r="AS1652">
        <v>78</v>
      </c>
      <c r="AT1652">
        <v>256</v>
      </c>
      <c r="BB1652" t="str">
        <f t="shared" si="636"/>
        <v>1200</v>
      </c>
      <c r="BC1652">
        <v>1</v>
      </c>
      <c r="BD1652" t="str">
        <f t="shared" si="637"/>
        <v xml:space="preserve">N52156  </v>
      </c>
      <c r="BE1652">
        <v>1</v>
      </c>
      <c r="BG1652">
        <v>0</v>
      </c>
      <c r="BH1652">
        <v>0</v>
      </c>
      <c r="BI1652">
        <v>0</v>
      </c>
      <c r="BJ1652">
        <v>4050</v>
      </c>
      <c r="BK1652">
        <v>50</v>
      </c>
      <c r="BL1652" t="s">
        <v>188</v>
      </c>
      <c r="BM1652">
        <v>1</v>
      </c>
      <c r="BN1652">
        <v>1</v>
      </c>
      <c r="BO1652">
        <v>0</v>
      </c>
      <c r="BP1652">
        <v>0</v>
      </c>
      <c r="BS1652">
        <v>0</v>
      </c>
      <c r="BT1652">
        <v>0</v>
      </c>
      <c r="BU1652">
        <v>0</v>
      </c>
      <c r="CE1652" t="str">
        <f t="shared" ref="CE1652:CE1657" si="655">"15:09:07.337"</f>
        <v>15:09:07.337</v>
      </c>
      <c r="CF1652">
        <v>337208633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133</v>
      </c>
      <c r="DA1652">
        <v>275</v>
      </c>
      <c r="DB1652">
        <v>0</v>
      </c>
      <c r="DC1652" t="s">
        <v>134</v>
      </c>
      <c r="DD1652" t="s">
        <v>135</v>
      </c>
      <c r="DG1652">
        <v>3320667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"05/01/2025 15:09:07.578"</f>
        <v>05/01/2025 15:09:07.578</v>
      </c>
      <c r="C1653" t="str">
        <f t="shared" si="634"/>
        <v>FFDFD3C0</v>
      </c>
      <c r="D1653" t="s">
        <v>140</v>
      </c>
      <c r="E1653" t="str">
        <f>"13"</f>
        <v>13</v>
      </c>
      <c r="F1653">
        <v>1019</v>
      </c>
      <c r="G1653" t="s">
        <v>141</v>
      </c>
      <c r="J1653" t="s">
        <v>142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R1653" t="s">
        <v>127</v>
      </c>
      <c r="S1653" t="str">
        <f t="shared" si="654"/>
        <v>15:09:07.000</v>
      </c>
      <c r="T1653" t="str">
        <f t="shared" si="654"/>
        <v>15:09:07.000</v>
      </c>
      <c r="U1653" t="str">
        <f t="shared" si="635"/>
        <v>A68FCB</v>
      </c>
      <c r="V1653">
        <v>0</v>
      </c>
      <c r="W1653">
        <v>0</v>
      </c>
      <c r="X1653">
        <v>2</v>
      </c>
      <c r="Y1653">
        <v>0</v>
      </c>
      <c r="AA1653">
        <v>1</v>
      </c>
      <c r="AB1653">
        <v>8</v>
      </c>
      <c r="AC1653">
        <v>3</v>
      </c>
      <c r="AD1653">
        <v>0</v>
      </c>
      <c r="AE1653">
        <v>9</v>
      </c>
      <c r="AF1653" t="s">
        <v>138</v>
      </c>
      <c r="AG1653">
        <v>0</v>
      </c>
      <c r="AH1653">
        <v>3</v>
      </c>
      <c r="AI1653">
        <v>2</v>
      </c>
      <c r="AJ1653">
        <v>0</v>
      </c>
      <c r="AK1653" t="s">
        <v>598</v>
      </c>
      <c r="AL1653">
        <v>39.027107000000001</v>
      </c>
      <c r="AM1653" t="s">
        <v>599</v>
      </c>
      <c r="AN1653">
        <v>-121.047299</v>
      </c>
      <c r="AO1653">
        <v>25</v>
      </c>
      <c r="AP1653">
        <v>4000</v>
      </c>
      <c r="AQ1653" t="s">
        <v>131</v>
      </c>
      <c r="AR1653">
        <v>28</v>
      </c>
      <c r="AS1653">
        <v>78</v>
      </c>
      <c r="AT1653">
        <v>256</v>
      </c>
      <c r="BB1653" t="str">
        <f t="shared" si="636"/>
        <v>1200</v>
      </c>
      <c r="BC1653">
        <v>1</v>
      </c>
      <c r="BD1653" t="str">
        <f t="shared" si="637"/>
        <v xml:space="preserve">N52156  </v>
      </c>
      <c r="BE1653">
        <v>1</v>
      </c>
      <c r="BG1653">
        <v>0</v>
      </c>
      <c r="BH1653">
        <v>0</v>
      </c>
      <c r="BI1653">
        <v>0</v>
      </c>
      <c r="BJ1653">
        <v>4050</v>
      </c>
      <c r="BK1653">
        <v>50</v>
      </c>
      <c r="BL1653" t="s">
        <v>188</v>
      </c>
      <c r="BM1653">
        <v>1</v>
      </c>
      <c r="BN1653">
        <v>1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 t="shared" si="655"/>
        <v>15:09:07.337</v>
      </c>
      <c r="CF1653">
        <v>337208633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133</v>
      </c>
      <c r="DA1653">
        <v>275</v>
      </c>
      <c r="DB1653">
        <v>0</v>
      </c>
      <c r="DC1653" t="s">
        <v>134</v>
      </c>
      <c r="DD1653" t="s">
        <v>135</v>
      </c>
      <c r="DG1653">
        <v>3320667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"05/01/2025 15:09:07.585"</f>
        <v>05/01/2025 15:09:07.585</v>
      </c>
      <c r="C1654" t="str">
        <f t="shared" si="634"/>
        <v>FFDFD3C0</v>
      </c>
      <c r="D1654" t="s">
        <v>145</v>
      </c>
      <c r="E1654" t="str">
        <f>"05"</f>
        <v>05</v>
      </c>
      <c r="H1654">
        <v>47</v>
      </c>
      <c r="I1654" t="s">
        <v>146</v>
      </c>
      <c r="J1654" t="s">
        <v>138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R1654" t="s">
        <v>127</v>
      </c>
      <c r="S1654" t="str">
        <f t="shared" si="654"/>
        <v>15:09:07.000</v>
      </c>
      <c r="T1654" t="str">
        <f t="shared" si="654"/>
        <v>15:09:07.000</v>
      </c>
      <c r="U1654" t="str">
        <f t="shared" si="635"/>
        <v>A68FCB</v>
      </c>
      <c r="V1654">
        <v>0</v>
      </c>
      <c r="W1654">
        <v>0</v>
      </c>
      <c r="X1654">
        <v>2</v>
      </c>
      <c r="Y1654">
        <v>0</v>
      </c>
      <c r="AA1654">
        <v>1</v>
      </c>
      <c r="AB1654">
        <v>8</v>
      </c>
      <c r="AC1654">
        <v>3</v>
      </c>
      <c r="AD1654">
        <v>0</v>
      </c>
      <c r="AE1654">
        <v>9</v>
      </c>
      <c r="AF1654" t="s">
        <v>138</v>
      </c>
      <c r="AG1654">
        <v>0</v>
      </c>
      <c r="AH1654">
        <v>3</v>
      </c>
      <c r="AI1654">
        <v>2</v>
      </c>
      <c r="AJ1654">
        <v>0</v>
      </c>
      <c r="AK1654" t="s">
        <v>598</v>
      </c>
      <c r="AL1654">
        <v>39.027107000000001</v>
      </c>
      <c r="AM1654" t="s">
        <v>599</v>
      </c>
      <c r="AN1654">
        <v>-121.047299</v>
      </c>
      <c r="AO1654">
        <v>25</v>
      </c>
      <c r="AP1654">
        <v>4000</v>
      </c>
      <c r="AQ1654" t="s">
        <v>131</v>
      </c>
      <c r="AR1654">
        <v>28</v>
      </c>
      <c r="AS1654">
        <v>78</v>
      </c>
      <c r="AT1654">
        <v>256</v>
      </c>
      <c r="BB1654" t="str">
        <f t="shared" si="636"/>
        <v>1200</v>
      </c>
      <c r="BC1654">
        <v>1</v>
      </c>
      <c r="BD1654" t="str">
        <f t="shared" si="637"/>
        <v xml:space="preserve">N52156  </v>
      </c>
      <c r="BE1654">
        <v>1</v>
      </c>
      <c r="BG1654">
        <v>0</v>
      </c>
      <c r="BH1654">
        <v>0</v>
      </c>
      <c r="BI1654">
        <v>0</v>
      </c>
      <c r="BJ1654">
        <v>4050</v>
      </c>
      <c r="BK1654">
        <v>50</v>
      </c>
      <c r="BL1654" t="s">
        <v>188</v>
      </c>
      <c r="BM1654">
        <v>1</v>
      </c>
      <c r="BN1654">
        <v>1</v>
      </c>
      <c r="BO1654">
        <v>0</v>
      </c>
      <c r="BP1654">
        <v>0</v>
      </c>
      <c r="BS1654">
        <v>0</v>
      </c>
      <c r="BT1654">
        <v>0</v>
      </c>
      <c r="BU1654">
        <v>0</v>
      </c>
      <c r="CE1654" t="str">
        <f t="shared" si="655"/>
        <v>15:09:07.337</v>
      </c>
      <c r="CF1654">
        <v>337208633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133</v>
      </c>
      <c r="DA1654">
        <v>275</v>
      </c>
      <c r="DB1654">
        <v>0</v>
      </c>
      <c r="DC1654" t="s">
        <v>134</v>
      </c>
      <c r="DD1654" t="s">
        <v>135</v>
      </c>
      <c r="DG1654">
        <v>3320667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"05/01/2025 15:09:07.588"</f>
        <v>05/01/2025 15:09:07.588</v>
      </c>
      <c r="C1655" t="str">
        <f t="shared" si="634"/>
        <v>FFDFD3C0</v>
      </c>
      <c r="D1655" t="s">
        <v>145</v>
      </c>
      <c r="E1655" t="str">
        <f>"09"</f>
        <v>09</v>
      </c>
      <c r="H1655">
        <v>51</v>
      </c>
      <c r="I1655" t="s">
        <v>147</v>
      </c>
      <c r="J1655" t="s">
        <v>138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R1655" t="s">
        <v>127</v>
      </c>
      <c r="S1655" t="str">
        <f t="shared" si="654"/>
        <v>15:09:07.000</v>
      </c>
      <c r="T1655" t="str">
        <f t="shared" si="654"/>
        <v>15:09:07.000</v>
      </c>
      <c r="U1655" t="str">
        <f t="shared" si="635"/>
        <v>A68FCB</v>
      </c>
      <c r="V1655">
        <v>0</v>
      </c>
      <c r="W1655">
        <v>0</v>
      </c>
      <c r="X1655">
        <v>2</v>
      </c>
      <c r="Y1655">
        <v>0</v>
      </c>
      <c r="AA1655">
        <v>1</v>
      </c>
      <c r="AB1655">
        <v>8</v>
      </c>
      <c r="AC1655">
        <v>3</v>
      </c>
      <c r="AD1655">
        <v>0</v>
      </c>
      <c r="AE1655">
        <v>9</v>
      </c>
      <c r="AF1655" t="s">
        <v>138</v>
      </c>
      <c r="AG1655">
        <v>0</v>
      </c>
      <c r="AH1655">
        <v>3</v>
      </c>
      <c r="AI1655">
        <v>2</v>
      </c>
      <c r="AJ1655">
        <v>0</v>
      </c>
      <c r="AK1655" t="s">
        <v>598</v>
      </c>
      <c r="AL1655">
        <v>39.027107000000001</v>
      </c>
      <c r="AM1655" t="s">
        <v>599</v>
      </c>
      <c r="AN1655">
        <v>-121.047299</v>
      </c>
      <c r="AO1655">
        <v>25</v>
      </c>
      <c r="AP1655">
        <v>4000</v>
      </c>
      <c r="AQ1655" t="s">
        <v>131</v>
      </c>
      <c r="AR1655">
        <v>28</v>
      </c>
      <c r="AS1655">
        <v>78</v>
      </c>
      <c r="AT1655">
        <v>256</v>
      </c>
      <c r="BB1655" t="str">
        <f t="shared" si="636"/>
        <v>1200</v>
      </c>
      <c r="BC1655">
        <v>1</v>
      </c>
      <c r="BD1655" t="str">
        <f t="shared" si="637"/>
        <v xml:space="preserve">N52156  </v>
      </c>
      <c r="BE1655">
        <v>1</v>
      </c>
      <c r="BG1655">
        <v>0</v>
      </c>
      <c r="BH1655">
        <v>0</v>
      </c>
      <c r="BI1655">
        <v>0</v>
      </c>
      <c r="BJ1655">
        <v>4050</v>
      </c>
      <c r="BK1655">
        <v>50</v>
      </c>
      <c r="BL1655" t="s">
        <v>188</v>
      </c>
      <c r="BM1655">
        <v>1</v>
      </c>
      <c r="BN1655">
        <v>1</v>
      </c>
      <c r="BO1655">
        <v>0</v>
      </c>
      <c r="BP1655">
        <v>0</v>
      </c>
      <c r="BS1655">
        <v>0</v>
      </c>
      <c r="BT1655">
        <v>0</v>
      </c>
      <c r="BU1655">
        <v>0</v>
      </c>
      <c r="CE1655" t="str">
        <f t="shared" si="655"/>
        <v>15:09:07.337</v>
      </c>
      <c r="CF1655">
        <v>337208633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133</v>
      </c>
      <c r="DA1655">
        <v>275</v>
      </c>
      <c r="DB1655">
        <v>0</v>
      </c>
      <c r="DC1655" t="s">
        <v>134</v>
      </c>
      <c r="DD1655" t="s">
        <v>135</v>
      </c>
      <c r="DG1655">
        <v>3320667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"05/01/2025 15:09:07.589"</f>
        <v>05/01/2025 15:09:07.589</v>
      </c>
      <c r="C1656" t="str">
        <f t="shared" si="634"/>
        <v>FFDFD3C0</v>
      </c>
      <c r="D1656" t="s">
        <v>124</v>
      </c>
      <c r="E1656" t="str">
        <f>"06"</f>
        <v>06</v>
      </c>
      <c r="F1656">
        <v>2006</v>
      </c>
      <c r="G1656" t="s">
        <v>125</v>
      </c>
      <c r="J1656" t="s">
        <v>126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R1656" t="s">
        <v>127</v>
      </c>
      <c r="S1656" t="str">
        <f t="shared" si="654"/>
        <v>15:09:07.000</v>
      </c>
      <c r="T1656" t="str">
        <f t="shared" si="654"/>
        <v>15:09:07.000</v>
      </c>
      <c r="U1656" t="str">
        <f t="shared" si="635"/>
        <v>A68FCB</v>
      </c>
      <c r="V1656">
        <v>0</v>
      </c>
      <c r="W1656">
        <v>0</v>
      </c>
      <c r="X1656">
        <v>2</v>
      </c>
      <c r="Y1656">
        <v>0</v>
      </c>
      <c r="AA1656">
        <v>1</v>
      </c>
      <c r="AB1656">
        <v>8</v>
      </c>
      <c r="AC1656">
        <v>3</v>
      </c>
      <c r="AD1656">
        <v>0</v>
      </c>
      <c r="AE1656">
        <v>9</v>
      </c>
      <c r="AF1656" t="s">
        <v>138</v>
      </c>
      <c r="AG1656">
        <v>0</v>
      </c>
      <c r="AH1656">
        <v>3</v>
      </c>
      <c r="AI1656">
        <v>2</v>
      </c>
      <c r="AJ1656">
        <v>0</v>
      </c>
      <c r="AK1656" t="s">
        <v>598</v>
      </c>
      <c r="AL1656">
        <v>39.027107000000001</v>
      </c>
      <c r="AM1656" t="s">
        <v>599</v>
      </c>
      <c r="AN1656">
        <v>-121.047299</v>
      </c>
      <c r="AO1656">
        <v>25</v>
      </c>
      <c r="AP1656">
        <v>4000</v>
      </c>
      <c r="AQ1656" t="s">
        <v>131</v>
      </c>
      <c r="AR1656">
        <v>28</v>
      </c>
      <c r="AS1656">
        <v>78</v>
      </c>
      <c r="AT1656">
        <v>256</v>
      </c>
      <c r="BB1656" t="str">
        <f t="shared" si="636"/>
        <v>1200</v>
      </c>
      <c r="BC1656">
        <v>1</v>
      </c>
      <c r="BD1656" t="str">
        <f t="shared" si="637"/>
        <v xml:space="preserve">N52156  </v>
      </c>
      <c r="BE1656">
        <v>1</v>
      </c>
      <c r="BG1656">
        <v>0</v>
      </c>
      <c r="BH1656">
        <v>0</v>
      </c>
      <c r="BI1656">
        <v>0</v>
      </c>
      <c r="BJ1656">
        <v>4050</v>
      </c>
      <c r="BK1656">
        <v>50</v>
      </c>
      <c r="BL1656" t="s">
        <v>188</v>
      </c>
      <c r="BM1656">
        <v>1</v>
      </c>
      <c r="BN1656">
        <v>1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 t="shared" si="655"/>
        <v>15:09:07.337</v>
      </c>
      <c r="CF1656">
        <v>337208633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133</v>
      </c>
      <c r="DA1656">
        <v>275</v>
      </c>
      <c r="DB1656">
        <v>0</v>
      </c>
      <c r="DC1656" t="s">
        <v>134</v>
      </c>
      <c r="DD1656" t="s">
        <v>135</v>
      </c>
      <c r="DG1656">
        <v>3320667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"05/01/2025 15:09:07.592"</f>
        <v>05/01/2025 15:09:07.592</v>
      </c>
      <c r="C1657" t="str">
        <f t="shared" si="634"/>
        <v>FFDFD3C0</v>
      </c>
      <c r="D1657" t="s">
        <v>143</v>
      </c>
      <c r="E1657" t="str">
        <f>"05"</f>
        <v>05</v>
      </c>
      <c r="H1657">
        <v>172</v>
      </c>
      <c r="I1657" t="s">
        <v>141</v>
      </c>
      <c r="J1657" t="s">
        <v>144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R1657" t="s">
        <v>127</v>
      </c>
      <c r="S1657" t="str">
        <f t="shared" si="654"/>
        <v>15:09:07.000</v>
      </c>
      <c r="T1657" t="str">
        <f t="shared" si="654"/>
        <v>15:09:07.000</v>
      </c>
      <c r="U1657" t="str">
        <f t="shared" si="635"/>
        <v>A68FCB</v>
      </c>
      <c r="V1657">
        <v>0</v>
      </c>
      <c r="W1657">
        <v>0</v>
      </c>
      <c r="X1657">
        <v>2</v>
      </c>
      <c r="Y1657">
        <v>0</v>
      </c>
      <c r="AA1657">
        <v>1</v>
      </c>
      <c r="AB1657">
        <v>8</v>
      </c>
      <c r="AC1657">
        <v>3</v>
      </c>
      <c r="AD1657">
        <v>0</v>
      </c>
      <c r="AE1657">
        <v>9</v>
      </c>
      <c r="AF1657" t="s">
        <v>138</v>
      </c>
      <c r="AG1657">
        <v>0</v>
      </c>
      <c r="AH1657">
        <v>3</v>
      </c>
      <c r="AI1657">
        <v>2</v>
      </c>
      <c r="AJ1657">
        <v>0</v>
      </c>
      <c r="AK1657" t="s">
        <v>598</v>
      </c>
      <c r="AL1657">
        <v>39.027107000000001</v>
      </c>
      <c r="AM1657" t="s">
        <v>599</v>
      </c>
      <c r="AN1657">
        <v>-121.047299</v>
      </c>
      <c r="AO1657">
        <v>25</v>
      </c>
      <c r="AP1657">
        <v>4000</v>
      </c>
      <c r="AQ1657" t="s">
        <v>131</v>
      </c>
      <c r="AR1657">
        <v>28</v>
      </c>
      <c r="AS1657">
        <v>78</v>
      </c>
      <c r="AT1657">
        <v>256</v>
      </c>
      <c r="BB1657" t="str">
        <f t="shared" si="636"/>
        <v>1200</v>
      </c>
      <c r="BC1657">
        <v>1</v>
      </c>
      <c r="BD1657" t="str">
        <f t="shared" si="637"/>
        <v xml:space="preserve">N52156  </v>
      </c>
      <c r="BE1657">
        <v>1</v>
      </c>
      <c r="BG1657">
        <v>0</v>
      </c>
      <c r="BH1657">
        <v>0</v>
      </c>
      <c r="BI1657">
        <v>0</v>
      </c>
      <c r="BJ1657">
        <v>4050</v>
      </c>
      <c r="BK1657">
        <v>50</v>
      </c>
      <c r="BL1657" t="s">
        <v>188</v>
      </c>
      <c r="BM1657">
        <v>1</v>
      </c>
      <c r="BN1657">
        <v>1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 t="shared" si="655"/>
        <v>15:09:07.337</v>
      </c>
      <c r="CF1657">
        <v>337208633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5</v>
      </c>
      <c r="CY1657">
        <v>7</v>
      </c>
      <c r="CZ1657" t="s">
        <v>133</v>
      </c>
      <c r="DA1657">
        <v>275</v>
      </c>
      <c r="DB1657">
        <v>0</v>
      </c>
      <c r="DC1657" t="s">
        <v>134</v>
      </c>
      <c r="DD1657" t="s">
        <v>135</v>
      </c>
      <c r="DG1657">
        <v>3320667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"05/01/2025 15:09:08.588"</f>
        <v>05/01/2025 15:09:08.588</v>
      </c>
      <c r="C1658" t="str">
        <f t="shared" si="634"/>
        <v>FFDFD3C0</v>
      </c>
      <c r="D1658" t="s">
        <v>145</v>
      </c>
      <c r="E1658" t="str">
        <f>"05"</f>
        <v>05</v>
      </c>
      <c r="H1658">
        <v>47</v>
      </c>
      <c r="I1658" t="s">
        <v>146</v>
      </c>
      <c r="J1658" t="s">
        <v>138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R1658" t="s">
        <v>127</v>
      </c>
      <c r="S1658" t="str">
        <f t="shared" ref="S1658:T1663" si="656">"15:09:08.000"</f>
        <v>15:09:08.000</v>
      </c>
      <c r="T1658" t="str">
        <f t="shared" si="656"/>
        <v>15:09:08.000</v>
      </c>
      <c r="U1658" t="str">
        <f t="shared" si="635"/>
        <v>A68FCB</v>
      </c>
      <c r="V1658">
        <v>0</v>
      </c>
      <c r="W1658">
        <v>0</v>
      </c>
      <c r="X1658">
        <v>2</v>
      </c>
      <c r="Y1658">
        <v>0</v>
      </c>
      <c r="AA1658">
        <v>1</v>
      </c>
      <c r="AB1658">
        <v>8</v>
      </c>
      <c r="AC1658">
        <v>3</v>
      </c>
      <c r="AD1658">
        <v>0</v>
      </c>
      <c r="AE1658">
        <v>9</v>
      </c>
      <c r="AF1658" t="s">
        <v>138</v>
      </c>
      <c r="AG1658">
        <v>0</v>
      </c>
      <c r="AH1658">
        <v>3</v>
      </c>
      <c r="AI1658">
        <v>2</v>
      </c>
      <c r="AJ1658">
        <v>0</v>
      </c>
      <c r="AK1658" t="s">
        <v>600</v>
      </c>
      <c r="AL1658">
        <v>39.027472000000003</v>
      </c>
      <c r="AM1658" t="s">
        <v>601</v>
      </c>
      <c r="AN1658">
        <v>-121.047127</v>
      </c>
      <c r="AO1658">
        <v>25</v>
      </c>
      <c r="AP1658">
        <v>4000</v>
      </c>
      <c r="AQ1658" t="s">
        <v>131</v>
      </c>
      <c r="AR1658">
        <v>25</v>
      </c>
      <c r="AS1658">
        <v>81</v>
      </c>
      <c r="AT1658">
        <v>320</v>
      </c>
      <c r="BB1658" t="str">
        <f t="shared" si="636"/>
        <v>1200</v>
      </c>
      <c r="BC1658">
        <v>1</v>
      </c>
      <c r="BD1658" t="str">
        <f t="shared" si="637"/>
        <v xml:space="preserve">N52156  </v>
      </c>
      <c r="BE1658">
        <v>1</v>
      </c>
      <c r="BG1658">
        <v>0</v>
      </c>
      <c r="BH1658">
        <v>0</v>
      </c>
      <c r="BI1658">
        <v>0</v>
      </c>
      <c r="BJ1658">
        <v>4050</v>
      </c>
      <c r="BK1658">
        <v>50</v>
      </c>
      <c r="BL1658" t="s">
        <v>188</v>
      </c>
      <c r="BM1658">
        <v>1</v>
      </c>
      <c r="BN1658">
        <v>1</v>
      </c>
      <c r="BO1658">
        <v>0</v>
      </c>
      <c r="BP1658">
        <v>0</v>
      </c>
      <c r="BS1658">
        <v>0</v>
      </c>
      <c r="BT1658">
        <v>0</v>
      </c>
      <c r="BU1658">
        <v>0</v>
      </c>
      <c r="CE1658" t="str">
        <f t="shared" ref="CE1658:CE1663" si="657">"15:09:08.384"</f>
        <v>15:09:08.384</v>
      </c>
      <c r="CF1658">
        <v>384372546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133</v>
      </c>
      <c r="DA1658">
        <v>273</v>
      </c>
      <c r="DB1658">
        <v>0</v>
      </c>
      <c r="DC1658" t="s">
        <v>292</v>
      </c>
      <c r="DD1658" t="s">
        <v>293</v>
      </c>
      <c r="DG1658">
        <v>4862554</v>
      </c>
      <c r="DI1658">
        <v>1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"05/01/2025 15:09:08.589"</f>
        <v>05/01/2025 15:09:08.589</v>
      </c>
      <c r="C1659" t="str">
        <f t="shared" si="634"/>
        <v>FFDFD3C0</v>
      </c>
      <c r="D1659" t="s">
        <v>145</v>
      </c>
      <c r="E1659" t="str">
        <f>"09"</f>
        <v>09</v>
      </c>
      <c r="H1659">
        <v>51</v>
      </c>
      <c r="I1659" t="s">
        <v>147</v>
      </c>
      <c r="J1659" t="s">
        <v>138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R1659" t="s">
        <v>127</v>
      </c>
      <c r="S1659" t="str">
        <f t="shared" si="656"/>
        <v>15:09:08.000</v>
      </c>
      <c r="T1659" t="str">
        <f t="shared" si="656"/>
        <v>15:09:08.000</v>
      </c>
      <c r="U1659" t="str">
        <f t="shared" si="635"/>
        <v>A68FCB</v>
      </c>
      <c r="V1659">
        <v>0</v>
      </c>
      <c r="W1659">
        <v>0</v>
      </c>
      <c r="X1659">
        <v>2</v>
      </c>
      <c r="Y1659">
        <v>0</v>
      </c>
      <c r="AA1659">
        <v>1</v>
      </c>
      <c r="AB1659">
        <v>8</v>
      </c>
      <c r="AC1659">
        <v>3</v>
      </c>
      <c r="AD1659">
        <v>0</v>
      </c>
      <c r="AE1659">
        <v>9</v>
      </c>
      <c r="AF1659" t="s">
        <v>138</v>
      </c>
      <c r="AG1659">
        <v>0</v>
      </c>
      <c r="AH1659">
        <v>3</v>
      </c>
      <c r="AI1659">
        <v>2</v>
      </c>
      <c r="AJ1659">
        <v>0</v>
      </c>
      <c r="AK1659" t="s">
        <v>600</v>
      </c>
      <c r="AL1659">
        <v>39.027472000000003</v>
      </c>
      <c r="AM1659" t="s">
        <v>601</v>
      </c>
      <c r="AN1659">
        <v>-121.047127</v>
      </c>
      <c r="AO1659">
        <v>25</v>
      </c>
      <c r="AP1659">
        <v>4000</v>
      </c>
      <c r="AQ1659" t="s">
        <v>131</v>
      </c>
      <c r="AR1659">
        <v>25</v>
      </c>
      <c r="AS1659">
        <v>81</v>
      </c>
      <c r="AT1659">
        <v>320</v>
      </c>
      <c r="BB1659" t="str">
        <f t="shared" si="636"/>
        <v>1200</v>
      </c>
      <c r="BC1659">
        <v>1</v>
      </c>
      <c r="BD1659" t="str">
        <f t="shared" si="637"/>
        <v xml:space="preserve">N52156  </v>
      </c>
      <c r="BE1659">
        <v>1</v>
      </c>
      <c r="BG1659">
        <v>0</v>
      </c>
      <c r="BH1659">
        <v>0</v>
      </c>
      <c r="BI1659">
        <v>0</v>
      </c>
      <c r="BJ1659">
        <v>4050</v>
      </c>
      <c r="BK1659">
        <v>50</v>
      </c>
      <c r="BL1659" t="s">
        <v>188</v>
      </c>
      <c r="BM1659">
        <v>1</v>
      </c>
      <c r="BN1659">
        <v>1</v>
      </c>
      <c r="BO1659">
        <v>0</v>
      </c>
      <c r="BP1659">
        <v>0</v>
      </c>
      <c r="BS1659">
        <v>0</v>
      </c>
      <c r="BT1659">
        <v>0</v>
      </c>
      <c r="BU1659">
        <v>0</v>
      </c>
      <c r="CE1659" t="str">
        <f t="shared" si="657"/>
        <v>15:09:08.384</v>
      </c>
      <c r="CF1659">
        <v>384372546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133</v>
      </c>
      <c r="DA1659">
        <v>273</v>
      </c>
      <c r="DB1659">
        <v>0</v>
      </c>
      <c r="DC1659" t="s">
        <v>292</v>
      </c>
      <c r="DD1659" t="s">
        <v>293</v>
      </c>
      <c r="DG1659">
        <v>4862554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"05/01/2025 15:09:08.591"</f>
        <v>05/01/2025 15:09:08.591</v>
      </c>
      <c r="C1660" t="str">
        <f t="shared" si="634"/>
        <v>FFDFD3C0</v>
      </c>
      <c r="D1660" t="s">
        <v>124</v>
      </c>
      <c r="E1660" t="str">
        <f>"06"</f>
        <v>06</v>
      </c>
      <c r="F1660">
        <v>2006</v>
      </c>
      <c r="G1660" t="s">
        <v>125</v>
      </c>
      <c r="J1660" t="s">
        <v>126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R1660" t="s">
        <v>127</v>
      </c>
      <c r="S1660" t="str">
        <f t="shared" si="656"/>
        <v>15:09:08.000</v>
      </c>
      <c r="T1660" t="str">
        <f t="shared" si="656"/>
        <v>15:09:08.000</v>
      </c>
      <c r="U1660" t="str">
        <f t="shared" si="635"/>
        <v>A68FCB</v>
      </c>
      <c r="V1660">
        <v>0</v>
      </c>
      <c r="W1660">
        <v>0</v>
      </c>
      <c r="X1660">
        <v>2</v>
      </c>
      <c r="Y1660">
        <v>0</v>
      </c>
      <c r="AA1660">
        <v>1</v>
      </c>
      <c r="AB1660">
        <v>8</v>
      </c>
      <c r="AC1660">
        <v>3</v>
      </c>
      <c r="AD1660">
        <v>0</v>
      </c>
      <c r="AE1660">
        <v>9</v>
      </c>
      <c r="AF1660" t="s">
        <v>138</v>
      </c>
      <c r="AG1660">
        <v>0</v>
      </c>
      <c r="AH1660">
        <v>3</v>
      </c>
      <c r="AI1660">
        <v>2</v>
      </c>
      <c r="AJ1660">
        <v>0</v>
      </c>
      <c r="AK1660" t="s">
        <v>600</v>
      </c>
      <c r="AL1660">
        <v>39.027472000000003</v>
      </c>
      <c r="AM1660" t="s">
        <v>601</v>
      </c>
      <c r="AN1660">
        <v>-121.047127</v>
      </c>
      <c r="AO1660">
        <v>25</v>
      </c>
      <c r="AP1660">
        <v>4000</v>
      </c>
      <c r="AQ1660" t="s">
        <v>131</v>
      </c>
      <c r="AR1660">
        <v>25</v>
      </c>
      <c r="AS1660">
        <v>81</v>
      </c>
      <c r="AT1660">
        <v>320</v>
      </c>
      <c r="BB1660" t="str">
        <f t="shared" si="636"/>
        <v>1200</v>
      </c>
      <c r="BC1660">
        <v>1</v>
      </c>
      <c r="BD1660" t="str">
        <f t="shared" si="637"/>
        <v xml:space="preserve">N52156  </v>
      </c>
      <c r="BE1660">
        <v>1</v>
      </c>
      <c r="BG1660">
        <v>0</v>
      </c>
      <c r="BH1660">
        <v>0</v>
      </c>
      <c r="BI1660">
        <v>0</v>
      </c>
      <c r="BJ1660">
        <v>4050</v>
      </c>
      <c r="BK1660">
        <v>50</v>
      </c>
      <c r="BL1660" t="s">
        <v>188</v>
      </c>
      <c r="BM1660">
        <v>1</v>
      </c>
      <c r="BN1660">
        <v>1</v>
      </c>
      <c r="BO1660">
        <v>0</v>
      </c>
      <c r="BP1660">
        <v>0</v>
      </c>
      <c r="BS1660">
        <v>0</v>
      </c>
      <c r="BT1660">
        <v>0</v>
      </c>
      <c r="BU1660">
        <v>0</v>
      </c>
      <c r="CE1660" t="str">
        <f t="shared" si="657"/>
        <v>15:09:08.384</v>
      </c>
      <c r="CF1660">
        <v>384372546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133</v>
      </c>
      <c r="DA1660">
        <v>273</v>
      </c>
      <c r="DB1660">
        <v>0</v>
      </c>
      <c r="DC1660" t="s">
        <v>292</v>
      </c>
      <c r="DD1660" t="s">
        <v>293</v>
      </c>
      <c r="DG1660">
        <v>4862554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"05/01/2025 15:09:08.594"</f>
        <v>05/01/2025 15:09:08.594</v>
      </c>
      <c r="C1661" t="str">
        <f t="shared" si="634"/>
        <v>FFDFD3C0</v>
      </c>
      <c r="D1661" t="s">
        <v>143</v>
      </c>
      <c r="E1661" t="str">
        <f>"05"</f>
        <v>05</v>
      </c>
      <c r="H1661">
        <v>172</v>
      </c>
      <c r="I1661" t="s">
        <v>141</v>
      </c>
      <c r="J1661" t="s">
        <v>144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R1661" t="s">
        <v>127</v>
      </c>
      <c r="S1661" t="str">
        <f t="shared" si="656"/>
        <v>15:09:08.000</v>
      </c>
      <c r="T1661" t="str">
        <f t="shared" si="656"/>
        <v>15:09:08.000</v>
      </c>
      <c r="U1661" t="str">
        <f t="shared" si="635"/>
        <v>A68FCB</v>
      </c>
      <c r="V1661">
        <v>0</v>
      </c>
      <c r="W1661">
        <v>0</v>
      </c>
      <c r="X1661">
        <v>2</v>
      </c>
      <c r="Y1661">
        <v>0</v>
      </c>
      <c r="AA1661">
        <v>1</v>
      </c>
      <c r="AB1661">
        <v>8</v>
      </c>
      <c r="AC1661">
        <v>3</v>
      </c>
      <c r="AD1661">
        <v>0</v>
      </c>
      <c r="AE1661">
        <v>9</v>
      </c>
      <c r="AF1661" t="s">
        <v>138</v>
      </c>
      <c r="AG1661">
        <v>0</v>
      </c>
      <c r="AH1661">
        <v>3</v>
      </c>
      <c r="AI1661">
        <v>2</v>
      </c>
      <c r="AJ1661">
        <v>0</v>
      </c>
      <c r="AK1661" t="s">
        <v>600</v>
      </c>
      <c r="AL1661">
        <v>39.027472000000003</v>
      </c>
      <c r="AM1661" t="s">
        <v>601</v>
      </c>
      <c r="AN1661">
        <v>-121.047127</v>
      </c>
      <c r="AO1661">
        <v>25</v>
      </c>
      <c r="AP1661">
        <v>4000</v>
      </c>
      <c r="AQ1661" t="s">
        <v>131</v>
      </c>
      <c r="AR1661">
        <v>25</v>
      </c>
      <c r="AS1661">
        <v>81</v>
      </c>
      <c r="AT1661">
        <v>320</v>
      </c>
      <c r="BB1661" t="str">
        <f t="shared" si="636"/>
        <v>1200</v>
      </c>
      <c r="BC1661">
        <v>1</v>
      </c>
      <c r="BD1661" t="str">
        <f t="shared" si="637"/>
        <v xml:space="preserve">N52156  </v>
      </c>
      <c r="BE1661">
        <v>1</v>
      </c>
      <c r="BG1661">
        <v>0</v>
      </c>
      <c r="BH1661">
        <v>0</v>
      </c>
      <c r="BI1661">
        <v>0</v>
      </c>
      <c r="BJ1661">
        <v>4050</v>
      </c>
      <c r="BK1661">
        <v>50</v>
      </c>
      <c r="BL1661" t="s">
        <v>188</v>
      </c>
      <c r="BM1661">
        <v>1</v>
      </c>
      <c r="BN1661">
        <v>1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 t="shared" si="657"/>
        <v>15:09:08.384</v>
      </c>
      <c r="CF1661">
        <v>384372546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133</v>
      </c>
      <c r="DA1661">
        <v>273</v>
      </c>
      <c r="DB1661">
        <v>0</v>
      </c>
      <c r="DC1661" t="s">
        <v>292</v>
      </c>
      <c r="DD1661" t="s">
        <v>293</v>
      </c>
      <c r="DG1661">
        <v>4862554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"05/01/2025 15:09:08.600"</f>
        <v>05/01/2025 15:09:08.600</v>
      </c>
      <c r="C1662" t="str">
        <f t="shared" si="634"/>
        <v>FFDFD3C0</v>
      </c>
      <c r="D1662" t="s">
        <v>136</v>
      </c>
      <c r="E1662" t="str">
        <f>"20"</f>
        <v>20</v>
      </c>
      <c r="H1662">
        <v>400</v>
      </c>
      <c r="I1662" t="s">
        <v>137</v>
      </c>
      <c r="J1662" t="s">
        <v>138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R1662" t="s">
        <v>127</v>
      </c>
      <c r="S1662" t="str">
        <f t="shared" si="656"/>
        <v>15:09:08.000</v>
      </c>
      <c r="T1662" t="str">
        <f t="shared" si="656"/>
        <v>15:09:08.000</v>
      </c>
      <c r="U1662" t="str">
        <f t="shared" si="635"/>
        <v>A68FCB</v>
      </c>
      <c r="V1662">
        <v>0</v>
      </c>
      <c r="W1662">
        <v>0</v>
      </c>
      <c r="X1662">
        <v>2</v>
      </c>
      <c r="Y1662">
        <v>0</v>
      </c>
      <c r="AA1662">
        <v>1</v>
      </c>
      <c r="AB1662">
        <v>8</v>
      </c>
      <c r="AC1662">
        <v>3</v>
      </c>
      <c r="AD1662">
        <v>0</v>
      </c>
      <c r="AE1662">
        <v>9</v>
      </c>
      <c r="AF1662" t="s">
        <v>138</v>
      </c>
      <c r="AG1662">
        <v>0</v>
      </c>
      <c r="AH1662">
        <v>3</v>
      </c>
      <c r="AI1662">
        <v>2</v>
      </c>
      <c r="AJ1662">
        <v>0</v>
      </c>
      <c r="AK1662" t="s">
        <v>600</v>
      </c>
      <c r="AL1662">
        <v>39.027472000000003</v>
      </c>
      <c r="AM1662" t="s">
        <v>601</v>
      </c>
      <c r="AN1662">
        <v>-121.047127</v>
      </c>
      <c r="AO1662">
        <v>25</v>
      </c>
      <c r="AP1662">
        <v>4000</v>
      </c>
      <c r="AQ1662" t="s">
        <v>131</v>
      </c>
      <c r="AR1662">
        <v>25</v>
      </c>
      <c r="AS1662">
        <v>81</v>
      </c>
      <c r="AT1662">
        <v>320</v>
      </c>
      <c r="BB1662" t="str">
        <f t="shared" si="636"/>
        <v>1200</v>
      </c>
      <c r="BC1662">
        <v>1</v>
      </c>
      <c r="BD1662" t="str">
        <f t="shared" si="637"/>
        <v xml:space="preserve">N52156  </v>
      </c>
      <c r="BE1662">
        <v>1</v>
      </c>
      <c r="BG1662">
        <v>0</v>
      </c>
      <c r="BH1662">
        <v>0</v>
      </c>
      <c r="BI1662">
        <v>0</v>
      </c>
      <c r="BJ1662">
        <v>4050</v>
      </c>
      <c r="BK1662">
        <v>50</v>
      </c>
      <c r="BL1662" t="s">
        <v>188</v>
      </c>
      <c r="BM1662">
        <v>1</v>
      </c>
      <c r="BN1662">
        <v>1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 t="shared" si="657"/>
        <v>15:09:08.384</v>
      </c>
      <c r="CF1662">
        <v>384372546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133</v>
      </c>
      <c r="DA1662">
        <v>273</v>
      </c>
      <c r="DB1662">
        <v>0</v>
      </c>
      <c r="DC1662" t="s">
        <v>292</v>
      </c>
      <c r="DD1662" t="s">
        <v>293</v>
      </c>
      <c r="DG1662">
        <v>4862554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"05/01/2025 15:09:08.630"</f>
        <v>05/01/2025 15:09:08.630</v>
      </c>
      <c r="C1663" t="str">
        <f t="shared" si="634"/>
        <v>FFDFD3C0</v>
      </c>
      <c r="D1663" t="s">
        <v>140</v>
      </c>
      <c r="E1663" t="str">
        <f>"13"</f>
        <v>13</v>
      </c>
      <c r="F1663">
        <v>1019</v>
      </c>
      <c r="G1663" t="s">
        <v>141</v>
      </c>
      <c r="J1663" t="s">
        <v>142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R1663" t="s">
        <v>127</v>
      </c>
      <c r="S1663" t="str">
        <f t="shared" si="656"/>
        <v>15:09:08.000</v>
      </c>
      <c r="T1663" t="str">
        <f t="shared" si="656"/>
        <v>15:09:08.000</v>
      </c>
      <c r="U1663" t="str">
        <f t="shared" si="635"/>
        <v>A68FCB</v>
      </c>
      <c r="V1663">
        <v>0</v>
      </c>
      <c r="W1663">
        <v>0</v>
      </c>
      <c r="X1663">
        <v>2</v>
      </c>
      <c r="Y1663">
        <v>0</v>
      </c>
      <c r="AA1663">
        <v>1</v>
      </c>
      <c r="AB1663">
        <v>8</v>
      </c>
      <c r="AC1663">
        <v>3</v>
      </c>
      <c r="AD1663">
        <v>0</v>
      </c>
      <c r="AE1663">
        <v>9</v>
      </c>
      <c r="AF1663" t="s">
        <v>138</v>
      </c>
      <c r="AG1663">
        <v>0</v>
      </c>
      <c r="AH1663">
        <v>3</v>
      </c>
      <c r="AI1663">
        <v>2</v>
      </c>
      <c r="AJ1663">
        <v>0</v>
      </c>
      <c r="AK1663" t="s">
        <v>600</v>
      </c>
      <c r="AL1663">
        <v>39.027472000000003</v>
      </c>
      <c r="AM1663" t="s">
        <v>601</v>
      </c>
      <c r="AN1663">
        <v>-121.047127</v>
      </c>
      <c r="AO1663">
        <v>25</v>
      </c>
      <c r="AP1663">
        <v>4000</v>
      </c>
      <c r="AQ1663" t="s">
        <v>131</v>
      </c>
      <c r="AR1663">
        <v>25</v>
      </c>
      <c r="AS1663">
        <v>81</v>
      </c>
      <c r="AT1663">
        <v>320</v>
      </c>
      <c r="BB1663" t="str">
        <f t="shared" si="636"/>
        <v>1200</v>
      </c>
      <c r="BC1663">
        <v>1</v>
      </c>
      <c r="BD1663" t="str">
        <f t="shared" si="637"/>
        <v xml:space="preserve">N52156  </v>
      </c>
      <c r="BE1663">
        <v>1</v>
      </c>
      <c r="BG1663">
        <v>0</v>
      </c>
      <c r="BH1663">
        <v>0</v>
      </c>
      <c r="BI1663">
        <v>0</v>
      </c>
      <c r="BJ1663">
        <v>4050</v>
      </c>
      <c r="BK1663">
        <v>50</v>
      </c>
      <c r="BL1663" t="s">
        <v>188</v>
      </c>
      <c r="BM1663">
        <v>1</v>
      </c>
      <c r="BN1663">
        <v>1</v>
      </c>
      <c r="BO1663">
        <v>0</v>
      </c>
      <c r="BP1663">
        <v>0</v>
      </c>
      <c r="BS1663">
        <v>0</v>
      </c>
      <c r="BT1663">
        <v>0</v>
      </c>
      <c r="BU1663">
        <v>0</v>
      </c>
      <c r="CE1663" t="str">
        <f t="shared" si="657"/>
        <v>15:09:08.384</v>
      </c>
      <c r="CF1663">
        <v>384372546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133</v>
      </c>
      <c r="DA1663">
        <v>273</v>
      </c>
      <c r="DB1663">
        <v>0</v>
      </c>
      <c r="DC1663" t="s">
        <v>292</v>
      </c>
      <c r="DD1663" t="s">
        <v>293</v>
      </c>
      <c r="DG1663">
        <v>4862554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"05/01/2025 15:09:09.592"</f>
        <v>05/01/2025 15:09:09.592</v>
      </c>
      <c r="C1664" t="str">
        <f t="shared" si="634"/>
        <v>FFDFD3C0</v>
      </c>
      <c r="D1664" t="s">
        <v>124</v>
      </c>
      <c r="E1664" t="str">
        <f>"06"</f>
        <v>06</v>
      </c>
      <c r="F1664">
        <v>2006</v>
      </c>
      <c r="G1664" t="s">
        <v>125</v>
      </c>
      <c r="J1664" t="s">
        <v>126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R1664" t="s">
        <v>127</v>
      </c>
      <c r="S1664" t="str">
        <f t="shared" ref="S1664:T1669" si="658">"15:09:09.000"</f>
        <v>15:09:09.000</v>
      </c>
      <c r="T1664" t="str">
        <f t="shared" si="658"/>
        <v>15:09:09.000</v>
      </c>
      <c r="U1664" t="str">
        <f t="shared" si="635"/>
        <v>A68FCB</v>
      </c>
      <c r="V1664">
        <v>0</v>
      </c>
      <c r="W1664">
        <v>0</v>
      </c>
      <c r="X1664">
        <v>2</v>
      </c>
      <c r="Y1664">
        <v>0</v>
      </c>
      <c r="AA1664">
        <v>1</v>
      </c>
      <c r="AB1664">
        <v>8</v>
      </c>
      <c r="AC1664">
        <v>3</v>
      </c>
      <c r="AD1664">
        <v>0</v>
      </c>
      <c r="AE1664">
        <v>9</v>
      </c>
      <c r="AF1664" t="s">
        <v>138</v>
      </c>
      <c r="AG1664">
        <v>0</v>
      </c>
      <c r="AH1664">
        <v>3</v>
      </c>
      <c r="AI1664">
        <v>2</v>
      </c>
      <c r="AJ1664">
        <v>0</v>
      </c>
      <c r="AK1664" t="s">
        <v>602</v>
      </c>
      <c r="AL1664">
        <v>39.027858000000002</v>
      </c>
      <c r="AM1664" t="s">
        <v>603</v>
      </c>
      <c r="AN1664">
        <v>-121.046977</v>
      </c>
      <c r="AO1664">
        <v>25</v>
      </c>
      <c r="AP1664">
        <v>4000</v>
      </c>
      <c r="AQ1664" t="s">
        <v>131</v>
      </c>
      <c r="AR1664">
        <v>23</v>
      </c>
      <c r="AS1664">
        <v>81</v>
      </c>
      <c r="AT1664">
        <v>320</v>
      </c>
      <c r="BB1664" t="str">
        <f t="shared" si="636"/>
        <v>1200</v>
      </c>
      <c r="BC1664">
        <v>1</v>
      </c>
      <c r="BD1664" t="str">
        <f t="shared" si="637"/>
        <v xml:space="preserve">N52156  </v>
      </c>
      <c r="BE1664">
        <v>1</v>
      </c>
      <c r="BG1664">
        <v>0</v>
      </c>
      <c r="BH1664">
        <v>0</v>
      </c>
      <c r="BI1664">
        <v>0</v>
      </c>
      <c r="BJ1664">
        <v>4050</v>
      </c>
      <c r="BK1664">
        <v>50</v>
      </c>
      <c r="BL1664" t="s">
        <v>188</v>
      </c>
      <c r="BM1664">
        <v>1</v>
      </c>
      <c r="BN1664">
        <v>1</v>
      </c>
      <c r="BO1664">
        <v>0</v>
      </c>
      <c r="BP1664">
        <v>0</v>
      </c>
      <c r="BS1664">
        <v>0</v>
      </c>
      <c r="BT1664">
        <v>0</v>
      </c>
      <c r="BU1664">
        <v>0</v>
      </c>
      <c r="CE1664" t="str">
        <f t="shared" ref="CE1664:CE1669" si="659">"15:09:09.357"</f>
        <v>15:09:09.357</v>
      </c>
      <c r="CF1664">
        <v>356622408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133</v>
      </c>
      <c r="DA1664">
        <v>273</v>
      </c>
      <c r="DB1664">
        <v>0</v>
      </c>
      <c r="DC1664" t="s">
        <v>292</v>
      </c>
      <c r="DD1664" t="s">
        <v>293</v>
      </c>
      <c r="DG1664">
        <v>4862564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"05/01/2025 15:09:09.589"</f>
        <v>05/01/2025 15:09:09.589</v>
      </c>
      <c r="C1665" t="str">
        <f t="shared" si="634"/>
        <v>FFDFD3C0</v>
      </c>
      <c r="D1665" t="s">
        <v>145</v>
      </c>
      <c r="E1665" t="str">
        <f>"05"</f>
        <v>05</v>
      </c>
      <c r="H1665">
        <v>47</v>
      </c>
      <c r="I1665" t="s">
        <v>146</v>
      </c>
      <c r="J1665" t="s">
        <v>138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R1665" t="s">
        <v>127</v>
      </c>
      <c r="S1665" t="str">
        <f t="shared" si="658"/>
        <v>15:09:09.000</v>
      </c>
      <c r="T1665" t="str">
        <f t="shared" si="658"/>
        <v>15:09:09.000</v>
      </c>
      <c r="U1665" t="str">
        <f t="shared" si="635"/>
        <v>A68FCB</v>
      </c>
      <c r="V1665">
        <v>0</v>
      </c>
      <c r="W1665">
        <v>0</v>
      </c>
      <c r="X1665">
        <v>2</v>
      </c>
      <c r="Y1665">
        <v>0</v>
      </c>
      <c r="AA1665">
        <v>1</v>
      </c>
      <c r="AB1665">
        <v>8</v>
      </c>
      <c r="AC1665">
        <v>3</v>
      </c>
      <c r="AD1665">
        <v>0</v>
      </c>
      <c r="AE1665">
        <v>9</v>
      </c>
      <c r="AF1665" t="s">
        <v>138</v>
      </c>
      <c r="AG1665">
        <v>0</v>
      </c>
      <c r="AH1665">
        <v>3</v>
      </c>
      <c r="AI1665">
        <v>2</v>
      </c>
      <c r="AJ1665">
        <v>0</v>
      </c>
      <c r="AK1665" t="s">
        <v>602</v>
      </c>
      <c r="AL1665">
        <v>39.027858000000002</v>
      </c>
      <c r="AM1665" t="s">
        <v>603</v>
      </c>
      <c r="AN1665">
        <v>-121.046977</v>
      </c>
      <c r="AO1665">
        <v>25</v>
      </c>
      <c r="AP1665">
        <v>4000</v>
      </c>
      <c r="AQ1665" t="s">
        <v>131</v>
      </c>
      <c r="AR1665">
        <v>23</v>
      </c>
      <c r="AS1665">
        <v>81</v>
      </c>
      <c r="AT1665">
        <v>320</v>
      </c>
      <c r="BB1665" t="str">
        <f t="shared" si="636"/>
        <v>1200</v>
      </c>
      <c r="BC1665">
        <v>1</v>
      </c>
      <c r="BD1665" t="str">
        <f t="shared" si="637"/>
        <v xml:space="preserve">N52156  </v>
      </c>
      <c r="BE1665">
        <v>1</v>
      </c>
      <c r="BG1665">
        <v>0</v>
      </c>
      <c r="BH1665">
        <v>0</v>
      </c>
      <c r="BI1665">
        <v>0</v>
      </c>
      <c r="BJ1665">
        <v>4050</v>
      </c>
      <c r="BK1665">
        <v>50</v>
      </c>
      <c r="BL1665" t="s">
        <v>188</v>
      </c>
      <c r="BM1665">
        <v>1</v>
      </c>
      <c r="BN1665">
        <v>1</v>
      </c>
      <c r="BO1665">
        <v>0</v>
      </c>
      <c r="BP1665">
        <v>0</v>
      </c>
      <c r="BS1665">
        <v>0</v>
      </c>
      <c r="BT1665">
        <v>0</v>
      </c>
      <c r="BU1665">
        <v>0</v>
      </c>
      <c r="CE1665" t="str">
        <f t="shared" si="659"/>
        <v>15:09:09.357</v>
      </c>
      <c r="CF1665">
        <v>356622408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133</v>
      </c>
      <c r="DA1665">
        <v>273</v>
      </c>
      <c r="DB1665">
        <v>0</v>
      </c>
      <c r="DC1665" t="s">
        <v>292</v>
      </c>
      <c r="DD1665" t="s">
        <v>293</v>
      </c>
      <c r="DG1665">
        <v>4862564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"05/01/2025 15:09:09.591"</f>
        <v>05/01/2025 15:09:09.591</v>
      </c>
      <c r="C1666" t="str">
        <f t="shared" ref="C1666:C1729" si="660">"FFDFD3C0"</f>
        <v>FFDFD3C0</v>
      </c>
      <c r="D1666" t="s">
        <v>145</v>
      </c>
      <c r="E1666" t="str">
        <f>"09"</f>
        <v>09</v>
      </c>
      <c r="H1666">
        <v>51</v>
      </c>
      <c r="I1666" t="s">
        <v>147</v>
      </c>
      <c r="J1666" t="s">
        <v>138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R1666" t="s">
        <v>127</v>
      </c>
      <c r="S1666" t="str">
        <f t="shared" si="658"/>
        <v>15:09:09.000</v>
      </c>
      <c r="T1666" t="str">
        <f t="shared" si="658"/>
        <v>15:09:09.000</v>
      </c>
      <c r="U1666" t="str">
        <f t="shared" ref="U1666:U1729" si="661">"A68FCB"</f>
        <v>A68FCB</v>
      </c>
      <c r="V1666">
        <v>0</v>
      </c>
      <c r="W1666">
        <v>0</v>
      </c>
      <c r="X1666">
        <v>2</v>
      </c>
      <c r="Y1666">
        <v>0</v>
      </c>
      <c r="AA1666">
        <v>1</v>
      </c>
      <c r="AB1666">
        <v>8</v>
      </c>
      <c r="AC1666">
        <v>3</v>
      </c>
      <c r="AD1666">
        <v>0</v>
      </c>
      <c r="AE1666">
        <v>9</v>
      </c>
      <c r="AF1666" t="s">
        <v>138</v>
      </c>
      <c r="AG1666">
        <v>0</v>
      </c>
      <c r="AH1666">
        <v>3</v>
      </c>
      <c r="AI1666">
        <v>2</v>
      </c>
      <c r="AJ1666">
        <v>0</v>
      </c>
      <c r="AK1666" t="s">
        <v>602</v>
      </c>
      <c r="AL1666">
        <v>39.027858000000002</v>
      </c>
      <c r="AM1666" t="s">
        <v>603</v>
      </c>
      <c r="AN1666">
        <v>-121.046977</v>
      </c>
      <c r="AO1666">
        <v>25</v>
      </c>
      <c r="AP1666">
        <v>4000</v>
      </c>
      <c r="AQ1666" t="s">
        <v>131</v>
      </c>
      <c r="AR1666">
        <v>23</v>
      </c>
      <c r="AS1666">
        <v>81</v>
      </c>
      <c r="AT1666">
        <v>320</v>
      </c>
      <c r="BB1666" t="str">
        <f t="shared" ref="BB1666:BB1729" si="662">"1200"</f>
        <v>1200</v>
      </c>
      <c r="BC1666">
        <v>1</v>
      </c>
      <c r="BD1666" t="str">
        <f t="shared" ref="BD1666:BD1729" si="663">"N52156  "</f>
        <v xml:space="preserve">N52156  </v>
      </c>
      <c r="BE1666">
        <v>1</v>
      </c>
      <c r="BG1666">
        <v>0</v>
      </c>
      <c r="BH1666">
        <v>0</v>
      </c>
      <c r="BI1666">
        <v>0</v>
      </c>
      <c r="BJ1666">
        <v>4050</v>
      </c>
      <c r="BK1666">
        <v>50</v>
      </c>
      <c r="BL1666" t="s">
        <v>188</v>
      </c>
      <c r="BM1666">
        <v>1</v>
      </c>
      <c r="BN1666">
        <v>1</v>
      </c>
      <c r="BO1666">
        <v>0</v>
      </c>
      <c r="BP1666">
        <v>0</v>
      </c>
      <c r="BS1666">
        <v>0</v>
      </c>
      <c r="BT1666">
        <v>0</v>
      </c>
      <c r="BU1666">
        <v>0</v>
      </c>
      <c r="CE1666" t="str">
        <f t="shared" si="659"/>
        <v>15:09:09.357</v>
      </c>
      <c r="CF1666">
        <v>356622408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133</v>
      </c>
      <c r="DA1666">
        <v>273</v>
      </c>
      <c r="DB1666">
        <v>0</v>
      </c>
      <c r="DC1666" t="s">
        <v>292</v>
      </c>
      <c r="DD1666" t="s">
        <v>293</v>
      </c>
      <c r="DG1666">
        <v>4862564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"05/01/2025 15:09:09.596"</f>
        <v>05/01/2025 15:09:09.596</v>
      </c>
      <c r="C1667" t="str">
        <f t="shared" si="660"/>
        <v>FFDFD3C0</v>
      </c>
      <c r="D1667" t="s">
        <v>143</v>
      </c>
      <c r="E1667" t="str">
        <f>"05"</f>
        <v>05</v>
      </c>
      <c r="H1667">
        <v>172</v>
      </c>
      <c r="I1667" t="s">
        <v>141</v>
      </c>
      <c r="J1667" t="s">
        <v>144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R1667" t="s">
        <v>127</v>
      </c>
      <c r="S1667" t="str">
        <f t="shared" si="658"/>
        <v>15:09:09.000</v>
      </c>
      <c r="T1667" t="str">
        <f t="shared" si="658"/>
        <v>15:09:09.000</v>
      </c>
      <c r="U1667" t="str">
        <f t="shared" si="661"/>
        <v>A68FCB</v>
      </c>
      <c r="V1667">
        <v>0</v>
      </c>
      <c r="W1667">
        <v>0</v>
      </c>
      <c r="X1667">
        <v>2</v>
      </c>
      <c r="Y1667">
        <v>0</v>
      </c>
      <c r="AA1667">
        <v>1</v>
      </c>
      <c r="AB1667">
        <v>8</v>
      </c>
      <c r="AC1667">
        <v>3</v>
      </c>
      <c r="AD1667">
        <v>0</v>
      </c>
      <c r="AE1667">
        <v>9</v>
      </c>
      <c r="AF1667" t="s">
        <v>138</v>
      </c>
      <c r="AG1667">
        <v>0</v>
      </c>
      <c r="AH1667">
        <v>3</v>
      </c>
      <c r="AI1667">
        <v>2</v>
      </c>
      <c r="AJ1667">
        <v>0</v>
      </c>
      <c r="AK1667" t="s">
        <v>602</v>
      </c>
      <c r="AL1667">
        <v>39.027858000000002</v>
      </c>
      <c r="AM1667" t="s">
        <v>603</v>
      </c>
      <c r="AN1667">
        <v>-121.046977</v>
      </c>
      <c r="AO1667">
        <v>25</v>
      </c>
      <c r="AP1667">
        <v>4000</v>
      </c>
      <c r="AQ1667" t="s">
        <v>131</v>
      </c>
      <c r="AR1667">
        <v>23</v>
      </c>
      <c r="AS1667">
        <v>81</v>
      </c>
      <c r="AT1667">
        <v>320</v>
      </c>
      <c r="BB1667" t="str">
        <f t="shared" si="662"/>
        <v>1200</v>
      </c>
      <c r="BC1667">
        <v>1</v>
      </c>
      <c r="BD1667" t="str">
        <f t="shared" si="663"/>
        <v xml:space="preserve">N52156  </v>
      </c>
      <c r="BE1667">
        <v>1</v>
      </c>
      <c r="BG1667">
        <v>0</v>
      </c>
      <c r="BH1667">
        <v>0</v>
      </c>
      <c r="BI1667">
        <v>0</v>
      </c>
      <c r="BJ1667">
        <v>4050</v>
      </c>
      <c r="BK1667">
        <v>50</v>
      </c>
      <c r="BL1667" t="s">
        <v>188</v>
      </c>
      <c r="BM1667">
        <v>1</v>
      </c>
      <c r="BN1667">
        <v>1</v>
      </c>
      <c r="BO1667">
        <v>0</v>
      </c>
      <c r="BP1667">
        <v>0</v>
      </c>
      <c r="BS1667">
        <v>0</v>
      </c>
      <c r="BT1667">
        <v>0</v>
      </c>
      <c r="BU1667">
        <v>0</v>
      </c>
      <c r="CE1667" t="str">
        <f t="shared" si="659"/>
        <v>15:09:09.357</v>
      </c>
      <c r="CF1667">
        <v>356622408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133</v>
      </c>
      <c r="DA1667">
        <v>273</v>
      </c>
      <c r="DB1667">
        <v>0</v>
      </c>
      <c r="DC1667" t="s">
        <v>292</v>
      </c>
      <c r="DD1667" t="s">
        <v>293</v>
      </c>
      <c r="DG1667">
        <v>4862564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"05/01/2025 15:09:09.601"</f>
        <v>05/01/2025 15:09:09.601</v>
      </c>
      <c r="C1668" t="str">
        <f t="shared" si="660"/>
        <v>FFDFD3C0</v>
      </c>
      <c r="D1668" t="s">
        <v>136</v>
      </c>
      <c r="E1668" t="str">
        <f>"20"</f>
        <v>20</v>
      </c>
      <c r="H1668">
        <v>400</v>
      </c>
      <c r="I1668" t="s">
        <v>137</v>
      </c>
      <c r="J1668" t="s">
        <v>138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R1668" t="s">
        <v>127</v>
      </c>
      <c r="S1668" t="str">
        <f t="shared" si="658"/>
        <v>15:09:09.000</v>
      </c>
      <c r="T1668" t="str">
        <f t="shared" si="658"/>
        <v>15:09:09.000</v>
      </c>
      <c r="U1668" t="str">
        <f t="shared" si="661"/>
        <v>A68FCB</v>
      </c>
      <c r="V1668">
        <v>0</v>
      </c>
      <c r="W1668">
        <v>0</v>
      </c>
      <c r="X1668">
        <v>2</v>
      </c>
      <c r="Y1668">
        <v>0</v>
      </c>
      <c r="AA1668">
        <v>1</v>
      </c>
      <c r="AB1668">
        <v>8</v>
      </c>
      <c r="AC1668">
        <v>3</v>
      </c>
      <c r="AD1668">
        <v>0</v>
      </c>
      <c r="AE1668">
        <v>9</v>
      </c>
      <c r="AF1668" t="s">
        <v>138</v>
      </c>
      <c r="AG1668">
        <v>0</v>
      </c>
      <c r="AH1668">
        <v>3</v>
      </c>
      <c r="AI1668">
        <v>2</v>
      </c>
      <c r="AJ1668">
        <v>0</v>
      </c>
      <c r="AK1668" t="s">
        <v>602</v>
      </c>
      <c r="AL1668">
        <v>39.027858000000002</v>
      </c>
      <c r="AM1668" t="s">
        <v>603</v>
      </c>
      <c r="AN1668">
        <v>-121.046977</v>
      </c>
      <c r="AO1668">
        <v>25</v>
      </c>
      <c r="AP1668">
        <v>4000</v>
      </c>
      <c r="AQ1668" t="s">
        <v>131</v>
      </c>
      <c r="AR1668">
        <v>23</v>
      </c>
      <c r="AS1668">
        <v>81</v>
      </c>
      <c r="AT1668">
        <v>320</v>
      </c>
      <c r="BB1668" t="str">
        <f t="shared" si="662"/>
        <v>1200</v>
      </c>
      <c r="BC1668">
        <v>1</v>
      </c>
      <c r="BD1668" t="str">
        <f t="shared" si="663"/>
        <v xml:space="preserve">N52156  </v>
      </c>
      <c r="BE1668">
        <v>1</v>
      </c>
      <c r="BG1668">
        <v>0</v>
      </c>
      <c r="BH1668">
        <v>0</v>
      </c>
      <c r="BI1668">
        <v>0</v>
      </c>
      <c r="BJ1668">
        <v>4050</v>
      </c>
      <c r="BK1668">
        <v>50</v>
      </c>
      <c r="BL1668" t="s">
        <v>188</v>
      </c>
      <c r="BM1668">
        <v>1</v>
      </c>
      <c r="BN1668">
        <v>1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 t="shared" si="659"/>
        <v>15:09:09.357</v>
      </c>
      <c r="CF1668">
        <v>356622408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133</v>
      </c>
      <c r="DA1668">
        <v>273</v>
      </c>
      <c r="DB1668">
        <v>0</v>
      </c>
      <c r="DC1668" t="s">
        <v>292</v>
      </c>
      <c r="DD1668" t="s">
        <v>293</v>
      </c>
      <c r="DG1668">
        <v>4862564</v>
      </c>
      <c r="DI1668">
        <v>1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"05/01/2025 15:09:09.631"</f>
        <v>05/01/2025 15:09:09.631</v>
      </c>
      <c r="C1669" t="str">
        <f t="shared" si="660"/>
        <v>FFDFD3C0</v>
      </c>
      <c r="D1669" t="s">
        <v>140</v>
      </c>
      <c r="E1669" t="str">
        <f>"13"</f>
        <v>13</v>
      </c>
      <c r="F1669">
        <v>1019</v>
      </c>
      <c r="G1669" t="s">
        <v>141</v>
      </c>
      <c r="J1669" t="s">
        <v>142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R1669" t="s">
        <v>127</v>
      </c>
      <c r="S1669" t="str">
        <f t="shared" si="658"/>
        <v>15:09:09.000</v>
      </c>
      <c r="T1669" t="str">
        <f t="shared" si="658"/>
        <v>15:09:09.000</v>
      </c>
      <c r="U1669" t="str">
        <f t="shared" si="661"/>
        <v>A68FCB</v>
      </c>
      <c r="V1669">
        <v>0</v>
      </c>
      <c r="W1669">
        <v>0</v>
      </c>
      <c r="X1669">
        <v>2</v>
      </c>
      <c r="Y1669">
        <v>0</v>
      </c>
      <c r="AA1669">
        <v>1</v>
      </c>
      <c r="AB1669">
        <v>8</v>
      </c>
      <c r="AC1669">
        <v>3</v>
      </c>
      <c r="AD1669">
        <v>0</v>
      </c>
      <c r="AE1669">
        <v>9</v>
      </c>
      <c r="AF1669" t="s">
        <v>138</v>
      </c>
      <c r="AG1669">
        <v>0</v>
      </c>
      <c r="AH1669">
        <v>3</v>
      </c>
      <c r="AI1669">
        <v>2</v>
      </c>
      <c r="AJ1669">
        <v>0</v>
      </c>
      <c r="AK1669" t="s">
        <v>602</v>
      </c>
      <c r="AL1669">
        <v>39.027858000000002</v>
      </c>
      <c r="AM1669" t="s">
        <v>603</v>
      </c>
      <c r="AN1669">
        <v>-121.046977</v>
      </c>
      <c r="AO1669">
        <v>25</v>
      </c>
      <c r="AP1669">
        <v>4000</v>
      </c>
      <c r="AQ1669" t="s">
        <v>131</v>
      </c>
      <c r="AR1669">
        <v>23</v>
      </c>
      <c r="AS1669">
        <v>81</v>
      </c>
      <c r="AT1669">
        <v>320</v>
      </c>
      <c r="BB1669" t="str">
        <f t="shared" si="662"/>
        <v>1200</v>
      </c>
      <c r="BC1669">
        <v>1</v>
      </c>
      <c r="BD1669" t="str">
        <f t="shared" si="663"/>
        <v xml:space="preserve">N52156  </v>
      </c>
      <c r="BE1669">
        <v>1</v>
      </c>
      <c r="BG1669">
        <v>0</v>
      </c>
      <c r="BH1669">
        <v>0</v>
      </c>
      <c r="BI1669">
        <v>0</v>
      </c>
      <c r="BJ1669">
        <v>4050</v>
      </c>
      <c r="BK1669">
        <v>50</v>
      </c>
      <c r="BL1669" t="s">
        <v>188</v>
      </c>
      <c r="BM1669">
        <v>1</v>
      </c>
      <c r="BN1669">
        <v>1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 t="shared" si="659"/>
        <v>15:09:09.357</v>
      </c>
      <c r="CF1669">
        <v>356622408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133</v>
      </c>
      <c r="DA1669">
        <v>273</v>
      </c>
      <c r="DB1669">
        <v>0</v>
      </c>
      <c r="DC1669" t="s">
        <v>292</v>
      </c>
      <c r="DD1669" t="s">
        <v>293</v>
      </c>
      <c r="DG1669">
        <v>4862564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"05/01/2025 15:09:10.833"</f>
        <v>05/01/2025 15:09:10.833</v>
      </c>
      <c r="C1670" t="str">
        <f t="shared" si="660"/>
        <v>FFDFD3C0</v>
      </c>
      <c r="D1670" t="s">
        <v>140</v>
      </c>
      <c r="E1670" t="str">
        <f>"13"</f>
        <v>13</v>
      </c>
      <c r="F1670">
        <v>1019</v>
      </c>
      <c r="G1670" t="s">
        <v>141</v>
      </c>
      <c r="J1670" t="s">
        <v>142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R1670" t="s">
        <v>127</v>
      </c>
      <c r="S1670" t="str">
        <f t="shared" ref="S1670:T1675" si="664">"15:09:10.000"</f>
        <v>15:09:10.000</v>
      </c>
      <c r="T1670" t="str">
        <f t="shared" si="664"/>
        <v>15:09:10.000</v>
      </c>
      <c r="U1670" t="str">
        <f t="shared" si="661"/>
        <v>A68FCB</v>
      </c>
      <c r="V1670">
        <v>0</v>
      </c>
      <c r="W1670">
        <v>0</v>
      </c>
      <c r="X1670">
        <v>2</v>
      </c>
      <c r="Y1670">
        <v>0</v>
      </c>
      <c r="AA1670">
        <v>1</v>
      </c>
      <c r="AB1670">
        <v>8</v>
      </c>
      <c r="AC1670">
        <v>3</v>
      </c>
      <c r="AD1670">
        <v>0</v>
      </c>
      <c r="AE1670">
        <v>9</v>
      </c>
      <c r="AF1670" t="s">
        <v>138</v>
      </c>
      <c r="AG1670">
        <v>0</v>
      </c>
      <c r="AH1670">
        <v>3</v>
      </c>
      <c r="AI1670">
        <v>2</v>
      </c>
      <c r="AJ1670">
        <v>0</v>
      </c>
      <c r="AK1670" t="s">
        <v>604</v>
      </c>
      <c r="AL1670">
        <v>39.028244000000001</v>
      </c>
      <c r="AM1670" t="s">
        <v>605</v>
      </c>
      <c r="AN1670">
        <v>-121.046848</v>
      </c>
      <c r="AO1670">
        <v>25</v>
      </c>
      <c r="AP1670">
        <v>4100</v>
      </c>
      <c r="AQ1670" t="s">
        <v>131</v>
      </c>
      <c r="AR1670">
        <v>20</v>
      </c>
      <c r="AS1670">
        <v>82</v>
      </c>
      <c r="AT1670">
        <v>384</v>
      </c>
      <c r="BB1670" t="str">
        <f t="shared" si="662"/>
        <v>1200</v>
      </c>
      <c r="BC1670">
        <v>1</v>
      </c>
      <c r="BD1670" t="str">
        <f t="shared" si="663"/>
        <v xml:space="preserve">N52156  </v>
      </c>
      <c r="BE1670">
        <v>1</v>
      </c>
      <c r="BG1670">
        <v>0</v>
      </c>
      <c r="BH1670">
        <v>0</v>
      </c>
      <c r="BI1670">
        <v>0</v>
      </c>
      <c r="BJ1670">
        <v>4050</v>
      </c>
      <c r="BK1670">
        <v>-50</v>
      </c>
      <c r="BL1670" t="s">
        <v>188</v>
      </c>
      <c r="BM1670">
        <v>1</v>
      </c>
      <c r="BN1670">
        <v>1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 t="shared" ref="CE1670:CE1675" si="665">"15:09:10.612"</f>
        <v>15:09:10.612</v>
      </c>
      <c r="CF1670">
        <v>612209553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133</v>
      </c>
      <c r="DA1670">
        <v>275</v>
      </c>
      <c r="DB1670">
        <v>0</v>
      </c>
      <c r="DC1670" t="s">
        <v>134</v>
      </c>
      <c r="DD1670" t="s">
        <v>135</v>
      </c>
      <c r="DG1670">
        <v>3320695</v>
      </c>
      <c r="DI1670">
        <v>1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"05/01/2025 15:09:10.843"</f>
        <v>05/01/2025 15:09:10.843</v>
      </c>
      <c r="C1671" t="str">
        <f t="shared" si="660"/>
        <v>FFDFD3C0</v>
      </c>
      <c r="D1671" t="s">
        <v>145</v>
      </c>
      <c r="E1671" t="str">
        <f>"09"</f>
        <v>09</v>
      </c>
      <c r="H1671">
        <v>51</v>
      </c>
      <c r="I1671" t="s">
        <v>147</v>
      </c>
      <c r="J1671" t="s">
        <v>138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R1671" t="s">
        <v>127</v>
      </c>
      <c r="S1671" t="str">
        <f t="shared" si="664"/>
        <v>15:09:10.000</v>
      </c>
      <c r="T1671" t="str">
        <f t="shared" si="664"/>
        <v>15:09:10.000</v>
      </c>
      <c r="U1671" t="str">
        <f t="shared" si="661"/>
        <v>A68FCB</v>
      </c>
      <c r="V1671">
        <v>0</v>
      </c>
      <c r="W1671">
        <v>0</v>
      </c>
      <c r="X1671">
        <v>2</v>
      </c>
      <c r="Y1671">
        <v>0</v>
      </c>
      <c r="AA1671">
        <v>1</v>
      </c>
      <c r="AB1671">
        <v>8</v>
      </c>
      <c r="AC1671">
        <v>3</v>
      </c>
      <c r="AD1671">
        <v>0</v>
      </c>
      <c r="AE1671">
        <v>9</v>
      </c>
      <c r="AF1671" t="s">
        <v>138</v>
      </c>
      <c r="AG1671">
        <v>0</v>
      </c>
      <c r="AH1671">
        <v>3</v>
      </c>
      <c r="AI1671">
        <v>2</v>
      </c>
      <c r="AJ1671">
        <v>0</v>
      </c>
      <c r="AK1671" t="s">
        <v>604</v>
      </c>
      <c r="AL1671">
        <v>39.028244000000001</v>
      </c>
      <c r="AM1671" t="s">
        <v>605</v>
      </c>
      <c r="AN1671">
        <v>-121.046848</v>
      </c>
      <c r="AO1671">
        <v>25</v>
      </c>
      <c r="AP1671">
        <v>4100</v>
      </c>
      <c r="AQ1671" t="s">
        <v>131</v>
      </c>
      <c r="AR1671">
        <v>20</v>
      </c>
      <c r="AS1671">
        <v>82</v>
      </c>
      <c r="AT1671">
        <v>384</v>
      </c>
      <c r="BB1671" t="str">
        <f t="shared" si="662"/>
        <v>1200</v>
      </c>
      <c r="BC1671">
        <v>1</v>
      </c>
      <c r="BD1671" t="str">
        <f t="shared" si="663"/>
        <v xml:space="preserve">N52156  </v>
      </c>
      <c r="BE1671">
        <v>1</v>
      </c>
      <c r="BG1671">
        <v>0</v>
      </c>
      <c r="BH1671">
        <v>0</v>
      </c>
      <c r="BI1671">
        <v>0</v>
      </c>
      <c r="BJ1671">
        <v>4050</v>
      </c>
      <c r="BK1671">
        <v>-50</v>
      </c>
      <c r="BL1671" t="s">
        <v>188</v>
      </c>
      <c r="BM1671">
        <v>1</v>
      </c>
      <c r="BN1671">
        <v>1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 t="shared" si="665"/>
        <v>15:09:10.612</v>
      </c>
      <c r="CF1671">
        <v>612209553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133</v>
      </c>
      <c r="DA1671">
        <v>275</v>
      </c>
      <c r="DB1671">
        <v>0</v>
      </c>
      <c r="DC1671" t="s">
        <v>134</v>
      </c>
      <c r="DD1671" t="s">
        <v>135</v>
      </c>
      <c r="DG1671">
        <v>3320695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"05/01/2025 15:09:10.841"</f>
        <v>05/01/2025 15:09:10.841</v>
      </c>
      <c r="C1672" t="str">
        <f t="shared" si="660"/>
        <v>FFDFD3C0</v>
      </c>
      <c r="D1672" t="s">
        <v>145</v>
      </c>
      <c r="E1672" t="str">
        <f>"05"</f>
        <v>05</v>
      </c>
      <c r="H1672">
        <v>47</v>
      </c>
      <c r="I1672" t="s">
        <v>146</v>
      </c>
      <c r="J1672" t="s">
        <v>138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R1672" t="s">
        <v>127</v>
      </c>
      <c r="S1672" t="str">
        <f t="shared" si="664"/>
        <v>15:09:10.000</v>
      </c>
      <c r="T1672" t="str">
        <f t="shared" si="664"/>
        <v>15:09:10.000</v>
      </c>
      <c r="U1672" t="str">
        <f t="shared" si="661"/>
        <v>A68FCB</v>
      </c>
      <c r="V1672">
        <v>0</v>
      </c>
      <c r="W1672">
        <v>0</v>
      </c>
      <c r="X1672">
        <v>2</v>
      </c>
      <c r="Y1672">
        <v>0</v>
      </c>
      <c r="AA1672">
        <v>1</v>
      </c>
      <c r="AB1672">
        <v>8</v>
      </c>
      <c r="AC1672">
        <v>3</v>
      </c>
      <c r="AD1672">
        <v>0</v>
      </c>
      <c r="AE1672">
        <v>9</v>
      </c>
      <c r="AF1672" t="s">
        <v>138</v>
      </c>
      <c r="AG1672">
        <v>0</v>
      </c>
      <c r="AH1672">
        <v>3</v>
      </c>
      <c r="AI1672">
        <v>2</v>
      </c>
      <c r="AJ1672">
        <v>0</v>
      </c>
      <c r="AK1672" t="s">
        <v>604</v>
      </c>
      <c r="AL1672">
        <v>39.028244000000001</v>
      </c>
      <c r="AM1672" t="s">
        <v>605</v>
      </c>
      <c r="AN1672">
        <v>-121.046848</v>
      </c>
      <c r="AO1672">
        <v>25</v>
      </c>
      <c r="AP1672">
        <v>4100</v>
      </c>
      <c r="AQ1672" t="s">
        <v>131</v>
      </c>
      <c r="AR1672">
        <v>20</v>
      </c>
      <c r="AS1672">
        <v>82</v>
      </c>
      <c r="AT1672">
        <v>384</v>
      </c>
      <c r="BB1672" t="str">
        <f t="shared" si="662"/>
        <v>1200</v>
      </c>
      <c r="BC1672">
        <v>1</v>
      </c>
      <c r="BD1672" t="str">
        <f t="shared" si="663"/>
        <v xml:space="preserve">N52156  </v>
      </c>
      <c r="BE1672">
        <v>1</v>
      </c>
      <c r="BG1672">
        <v>0</v>
      </c>
      <c r="BH1672">
        <v>0</v>
      </c>
      <c r="BI1672">
        <v>0</v>
      </c>
      <c r="BJ1672">
        <v>4050</v>
      </c>
      <c r="BK1672">
        <v>-50</v>
      </c>
      <c r="BL1672" t="s">
        <v>188</v>
      </c>
      <c r="BM1672">
        <v>1</v>
      </c>
      <c r="BN1672">
        <v>1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 t="shared" si="665"/>
        <v>15:09:10.612</v>
      </c>
      <c r="CF1672">
        <v>612209553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133</v>
      </c>
      <c r="DA1672">
        <v>275</v>
      </c>
      <c r="DB1672">
        <v>0</v>
      </c>
      <c r="DC1672" t="s">
        <v>134</v>
      </c>
      <c r="DD1672" t="s">
        <v>135</v>
      </c>
      <c r="DG1672">
        <v>3320695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"05/01/2025 15:09:10.844"</f>
        <v>05/01/2025 15:09:10.844</v>
      </c>
      <c r="C1673" t="str">
        <f t="shared" si="660"/>
        <v>FFDFD3C0</v>
      </c>
      <c r="D1673" t="s">
        <v>124</v>
      </c>
      <c r="E1673" t="str">
        <f>"06"</f>
        <v>06</v>
      </c>
      <c r="F1673">
        <v>2006</v>
      </c>
      <c r="G1673" t="s">
        <v>125</v>
      </c>
      <c r="J1673" t="s">
        <v>126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R1673" t="s">
        <v>127</v>
      </c>
      <c r="S1673" t="str">
        <f t="shared" si="664"/>
        <v>15:09:10.000</v>
      </c>
      <c r="T1673" t="str">
        <f t="shared" si="664"/>
        <v>15:09:10.000</v>
      </c>
      <c r="U1673" t="str">
        <f t="shared" si="661"/>
        <v>A68FCB</v>
      </c>
      <c r="V1673">
        <v>0</v>
      </c>
      <c r="W1673">
        <v>0</v>
      </c>
      <c r="X1673">
        <v>2</v>
      </c>
      <c r="Y1673">
        <v>0</v>
      </c>
      <c r="AA1673">
        <v>1</v>
      </c>
      <c r="AB1673">
        <v>8</v>
      </c>
      <c r="AC1673">
        <v>3</v>
      </c>
      <c r="AD1673">
        <v>0</v>
      </c>
      <c r="AE1673">
        <v>9</v>
      </c>
      <c r="AF1673" t="s">
        <v>138</v>
      </c>
      <c r="AG1673">
        <v>0</v>
      </c>
      <c r="AH1673">
        <v>3</v>
      </c>
      <c r="AI1673">
        <v>2</v>
      </c>
      <c r="AJ1673">
        <v>0</v>
      </c>
      <c r="AK1673" t="s">
        <v>604</v>
      </c>
      <c r="AL1673">
        <v>39.028244000000001</v>
      </c>
      <c r="AM1673" t="s">
        <v>605</v>
      </c>
      <c r="AN1673">
        <v>-121.046848</v>
      </c>
      <c r="AO1673">
        <v>25</v>
      </c>
      <c r="AP1673">
        <v>4100</v>
      </c>
      <c r="AQ1673" t="s">
        <v>131</v>
      </c>
      <c r="AR1673">
        <v>20</v>
      </c>
      <c r="AS1673">
        <v>82</v>
      </c>
      <c r="AT1673">
        <v>384</v>
      </c>
      <c r="BB1673" t="str">
        <f t="shared" si="662"/>
        <v>1200</v>
      </c>
      <c r="BC1673">
        <v>1</v>
      </c>
      <c r="BD1673" t="str">
        <f t="shared" si="663"/>
        <v xml:space="preserve">N52156  </v>
      </c>
      <c r="BE1673">
        <v>1</v>
      </c>
      <c r="BG1673">
        <v>0</v>
      </c>
      <c r="BH1673">
        <v>0</v>
      </c>
      <c r="BI1673">
        <v>0</v>
      </c>
      <c r="BJ1673">
        <v>4050</v>
      </c>
      <c r="BK1673">
        <v>-50</v>
      </c>
      <c r="BL1673" t="s">
        <v>188</v>
      </c>
      <c r="BM1673">
        <v>1</v>
      </c>
      <c r="BN1673">
        <v>1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 t="shared" si="665"/>
        <v>15:09:10.612</v>
      </c>
      <c r="CF1673">
        <v>612209553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5</v>
      </c>
      <c r="CY1673">
        <v>7</v>
      </c>
      <c r="CZ1673" t="s">
        <v>133</v>
      </c>
      <c r="DA1673">
        <v>275</v>
      </c>
      <c r="DB1673">
        <v>0</v>
      </c>
      <c r="DC1673" t="s">
        <v>134</v>
      </c>
      <c r="DD1673" t="s">
        <v>135</v>
      </c>
      <c r="DG1673">
        <v>3320695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"05/01/2025 15:09:10.853"</f>
        <v>05/01/2025 15:09:10.853</v>
      </c>
      <c r="C1674" t="str">
        <f t="shared" si="660"/>
        <v>FFDFD3C0</v>
      </c>
      <c r="D1674" t="s">
        <v>136</v>
      </c>
      <c r="E1674" t="str">
        <f>"20"</f>
        <v>20</v>
      </c>
      <c r="H1674">
        <v>400</v>
      </c>
      <c r="I1674" t="s">
        <v>137</v>
      </c>
      <c r="J1674" t="s">
        <v>138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R1674" t="s">
        <v>127</v>
      </c>
      <c r="S1674" t="str">
        <f t="shared" si="664"/>
        <v>15:09:10.000</v>
      </c>
      <c r="T1674" t="str">
        <f t="shared" si="664"/>
        <v>15:09:10.000</v>
      </c>
      <c r="U1674" t="str">
        <f t="shared" si="661"/>
        <v>A68FCB</v>
      </c>
      <c r="V1674">
        <v>0</v>
      </c>
      <c r="W1674">
        <v>0</v>
      </c>
      <c r="X1674">
        <v>2</v>
      </c>
      <c r="Y1674">
        <v>0</v>
      </c>
      <c r="AA1674">
        <v>1</v>
      </c>
      <c r="AB1674">
        <v>8</v>
      </c>
      <c r="AC1674">
        <v>3</v>
      </c>
      <c r="AD1674">
        <v>0</v>
      </c>
      <c r="AE1674">
        <v>9</v>
      </c>
      <c r="AF1674" t="s">
        <v>138</v>
      </c>
      <c r="AG1674">
        <v>0</v>
      </c>
      <c r="AH1674">
        <v>3</v>
      </c>
      <c r="AI1674">
        <v>2</v>
      </c>
      <c r="AJ1674">
        <v>0</v>
      </c>
      <c r="AK1674" t="s">
        <v>604</v>
      </c>
      <c r="AL1674">
        <v>39.028244000000001</v>
      </c>
      <c r="AM1674" t="s">
        <v>605</v>
      </c>
      <c r="AN1674">
        <v>-121.046848</v>
      </c>
      <c r="AO1674">
        <v>25</v>
      </c>
      <c r="AP1674">
        <v>4100</v>
      </c>
      <c r="AQ1674" t="s">
        <v>131</v>
      </c>
      <c r="AR1674">
        <v>20</v>
      </c>
      <c r="AS1674">
        <v>82</v>
      </c>
      <c r="AT1674">
        <v>384</v>
      </c>
      <c r="BB1674" t="str">
        <f t="shared" si="662"/>
        <v>1200</v>
      </c>
      <c r="BC1674">
        <v>1</v>
      </c>
      <c r="BD1674" t="str">
        <f t="shared" si="663"/>
        <v xml:space="preserve">N52156  </v>
      </c>
      <c r="BE1674">
        <v>1</v>
      </c>
      <c r="BG1674">
        <v>0</v>
      </c>
      <c r="BH1674">
        <v>0</v>
      </c>
      <c r="BI1674">
        <v>0</v>
      </c>
      <c r="BJ1674">
        <v>4050</v>
      </c>
      <c r="BK1674">
        <v>-50</v>
      </c>
      <c r="BL1674" t="s">
        <v>188</v>
      </c>
      <c r="BM1674">
        <v>1</v>
      </c>
      <c r="BN1674">
        <v>1</v>
      </c>
      <c r="BO1674">
        <v>0</v>
      </c>
      <c r="BP1674">
        <v>0</v>
      </c>
      <c r="BS1674">
        <v>0</v>
      </c>
      <c r="BT1674">
        <v>0</v>
      </c>
      <c r="BU1674">
        <v>0</v>
      </c>
      <c r="CE1674" t="str">
        <f t="shared" si="665"/>
        <v>15:09:10.612</v>
      </c>
      <c r="CF1674">
        <v>612209553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133</v>
      </c>
      <c r="DA1674">
        <v>275</v>
      </c>
      <c r="DB1674">
        <v>0</v>
      </c>
      <c r="DC1674" t="s">
        <v>134</v>
      </c>
      <c r="DD1674" t="s">
        <v>135</v>
      </c>
      <c r="DG1674">
        <v>3320695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"05/01/2025 15:09:10.848"</f>
        <v>05/01/2025 15:09:10.848</v>
      </c>
      <c r="C1675" t="str">
        <f t="shared" si="660"/>
        <v>FFDFD3C0</v>
      </c>
      <c r="D1675" t="s">
        <v>143</v>
      </c>
      <c r="E1675" t="str">
        <f>"05"</f>
        <v>05</v>
      </c>
      <c r="H1675">
        <v>172</v>
      </c>
      <c r="I1675" t="s">
        <v>141</v>
      </c>
      <c r="J1675" t="s">
        <v>144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R1675" t="s">
        <v>127</v>
      </c>
      <c r="S1675" t="str">
        <f t="shared" si="664"/>
        <v>15:09:10.000</v>
      </c>
      <c r="T1675" t="str">
        <f t="shared" si="664"/>
        <v>15:09:10.000</v>
      </c>
      <c r="U1675" t="str">
        <f t="shared" si="661"/>
        <v>A68FCB</v>
      </c>
      <c r="V1675">
        <v>0</v>
      </c>
      <c r="W1675">
        <v>0</v>
      </c>
      <c r="X1675">
        <v>2</v>
      </c>
      <c r="Y1675">
        <v>0</v>
      </c>
      <c r="AA1675">
        <v>1</v>
      </c>
      <c r="AB1675">
        <v>8</v>
      </c>
      <c r="AC1675">
        <v>3</v>
      </c>
      <c r="AD1675">
        <v>0</v>
      </c>
      <c r="AE1675">
        <v>9</v>
      </c>
      <c r="AF1675" t="s">
        <v>138</v>
      </c>
      <c r="AG1675">
        <v>0</v>
      </c>
      <c r="AH1675">
        <v>3</v>
      </c>
      <c r="AI1675">
        <v>2</v>
      </c>
      <c r="AJ1675">
        <v>0</v>
      </c>
      <c r="AK1675" t="s">
        <v>604</v>
      </c>
      <c r="AL1675">
        <v>39.028244000000001</v>
      </c>
      <c r="AM1675" t="s">
        <v>605</v>
      </c>
      <c r="AN1675">
        <v>-121.046848</v>
      </c>
      <c r="AO1675">
        <v>25</v>
      </c>
      <c r="AP1675">
        <v>4100</v>
      </c>
      <c r="AQ1675" t="s">
        <v>131</v>
      </c>
      <c r="AR1675">
        <v>20</v>
      </c>
      <c r="AS1675">
        <v>82</v>
      </c>
      <c r="AT1675">
        <v>384</v>
      </c>
      <c r="BB1675" t="str">
        <f t="shared" si="662"/>
        <v>1200</v>
      </c>
      <c r="BC1675">
        <v>1</v>
      </c>
      <c r="BD1675" t="str">
        <f t="shared" si="663"/>
        <v xml:space="preserve">N52156  </v>
      </c>
      <c r="BE1675">
        <v>1</v>
      </c>
      <c r="BG1675">
        <v>0</v>
      </c>
      <c r="BH1675">
        <v>0</v>
      </c>
      <c r="BI1675">
        <v>0</v>
      </c>
      <c r="BJ1675">
        <v>4050</v>
      </c>
      <c r="BK1675">
        <v>-50</v>
      </c>
      <c r="BL1675" t="s">
        <v>188</v>
      </c>
      <c r="BM1675">
        <v>1</v>
      </c>
      <c r="BN1675">
        <v>1</v>
      </c>
      <c r="BO1675">
        <v>0</v>
      </c>
      <c r="BP1675">
        <v>0</v>
      </c>
      <c r="BS1675">
        <v>0</v>
      </c>
      <c r="BT1675">
        <v>0</v>
      </c>
      <c r="BU1675">
        <v>0</v>
      </c>
      <c r="CE1675" t="str">
        <f t="shared" si="665"/>
        <v>15:09:10.612</v>
      </c>
      <c r="CF1675">
        <v>612209553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5</v>
      </c>
      <c r="CY1675">
        <v>7</v>
      </c>
      <c r="CZ1675" t="s">
        <v>133</v>
      </c>
      <c r="DA1675">
        <v>275</v>
      </c>
      <c r="DB1675">
        <v>0</v>
      </c>
      <c r="DC1675" t="s">
        <v>134</v>
      </c>
      <c r="DD1675" t="s">
        <v>135</v>
      </c>
      <c r="DG1675">
        <v>3320695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"05/01/2025 15:09:11.835"</f>
        <v>05/01/2025 15:09:11.835</v>
      </c>
      <c r="C1676" t="str">
        <f t="shared" si="660"/>
        <v>FFDFD3C0</v>
      </c>
      <c r="D1676" t="s">
        <v>140</v>
      </c>
      <c r="E1676" t="str">
        <f>"13"</f>
        <v>13</v>
      </c>
      <c r="F1676">
        <v>1019</v>
      </c>
      <c r="G1676" t="s">
        <v>141</v>
      </c>
      <c r="J1676" t="s">
        <v>142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R1676" t="s">
        <v>127</v>
      </c>
      <c r="S1676" t="str">
        <f t="shared" ref="S1676:T1681" si="666">"15:09:11.000"</f>
        <v>15:09:11.000</v>
      </c>
      <c r="T1676" t="str">
        <f t="shared" si="666"/>
        <v>15:09:11.000</v>
      </c>
      <c r="U1676" t="str">
        <f t="shared" si="661"/>
        <v>A68FCB</v>
      </c>
      <c r="V1676">
        <v>0</v>
      </c>
      <c r="W1676">
        <v>0</v>
      </c>
      <c r="X1676">
        <v>2</v>
      </c>
      <c r="Y1676">
        <v>0</v>
      </c>
      <c r="AA1676">
        <v>1</v>
      </c>
      <c r="AB1676">
        <v>8</v>
      </c>
      <c r="AC1676">
        <v>3</v>
      </c>
      <c r="AD1676">
        <v>0</v>
      </c>
      <c r="AE1676">
        <v>9</v>
      </c>
      <c r="AF1676" t="s">
        <v>138</v>
      </c>
      <c r="AG1676">
        <v>0</v>
      </c>
      <c r="AH1676">
        <v>3</v>
      </c>
      <c r="AI1676">
        <v>2</v>
      </c>
      <c r="AJ1676">
        <v>0</v>
      </c>
      <c r="AK1676" t="s">
        <v>606</v>
      </c>
      <c r="AL1676">
        <v>39.028609000000003</v>
      </c>
      <c r="AM1676" t="s">
        <v>607</v>
      </c>
      <c r="AN1676">
        <v>-121.04671999999999</v>
      </c>
      <c r="AO1676">
        <v>25</v>
      </c>
      <c r="AP1676">
        <v>4100</v>
      </c>
      <c r="AQ1676" t="s">
        <v>131</v>
      </c>
      <c r="AR1676">
        <v>18</v>
      </c>
      <c r="AS1676">
        <v>83</v>
      </c>
      <c r="AT1676">
        <v>384</v>
      </c>
      <c r="BB1676" t="str">
        <f t="shared" si="662"/>
        <v>1200</v>
      </c>
      <c r="BC1676">
        <v>1</v>
      </c>
      <c r="BD1676" t="str">
        <f t="shared" si="663"/>
        <v xml:space="preserve">N52156  </v>
      </c>
      <c r="BE1676">
        <v>1</v>
      </c>
      <c r="BG1676">
        <v>0</v>
      </c>
      <c r="BH1676">
        <v>0</v>
      </c>
      <c r="BI1676">
        <v>0</v>
      </c>
      <c r="BJ1676">
        <v>4075</v>
      </c>
      <c r="BK1676">
        <v>-25</v>
      </c>
      <c r="BL1676" t="s">
        <v>188</v>
      </c>
      <c r="BM1676">
        <v>1</v>
      </c>
      <c r="BN1676">
        <v>1</v>
      </c>
      <c r="BO1676">
        <v>0</v>
      </c>
      <c r="BP1676">
        <v>0</v>
      </c>
      <c r="BS1676">
        <v>0</v>
      </c>
      <c r="BT1676">
        <v>0</v>
      </c>
      <c r="BU1676">
        <v>0</v>
      </c>
      <c r="CE1676" t="str">
        <f t="shared" ref="CE1676:CE1681" si="667">"15:09:11.588"</f>
        <v>15:09:11.588</v>
      </c>
      <c r="CF1676">
        <v>587873103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5</v>
      </c>
      <c r="CY1676">
        <v>7</v>
      </c>
      <c r="CZ1676" t="s">
        <v>133</v>
      </c>
      <c r="DA1676">
        <v>273</v>
      </c>
      <c r="DB1676">
        <v>0</v>
      </c>
      <c r="DC1676" t="s">
        <v>292</v>
      </c>
      <c r="DD1676" t="s">
        <v>293</v>
      </c>
      <c r="DG1676">
        <v>4862587</v>
      </c>
      <c r="DI1676">
        <v>1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"05/01/2025 15:09:11.843"</f>
        <v>05/01/2025 15:09:11.843</v>
      </c>
      <c r="C1677" t="str">
        <f t="shared" si="660"/>
        <v>FFDFD3C0</v>
      </c>
      <c r="D1677" t="s">
        <v>145</v>
      </c>
      <c r="E1677" t="str">
        <f>"05"</f>
        <v>05</v>
      </c>
      <c r="H1677">
        <v>47</v>
      </c>
      <c r="I1677" t="s">
        <v>146</v>
      </c>
      <c r="J1677" t="s">
        <v>138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R1677" t="s">
        <v>127</v>
      </c>
      <c r="S1677" t="str">
        <f t="shared" si="666"/>
        <v>15:09:11.000</v>
      </c>
      <c r="T1677" t="str">
        <f t="shared" si="666"/>
        <v>15:09:11.000</v>
      </c>
      <c r="U1677" t="str">
        <f t="shared" si="661"/>
        <v>A68FCB</v>
      </c>
      <c r="V1677">
        <v>0</v>
      </c>
      <c r="W1677">
        <v>0</v>
      </c>
      <c r="X1677">
        <v>2</v>
      </c>
      <c r="Y1677">
        <v>0</v>
      </c>
      <c r="AA1677">
        <v>1</v>
      </c>
      <c r="AB1677">
        <v>8</v>
      </c>
      <c r="AC1677">
        <v>3</v>
      </c>
      <c r="AD1677">
        <v>0</v>
      </c>
      <c r="AE1677">
        <v>9</v>
      </c>
      <c r="AF1677" t="s">
        <v>138</v>
      </c>
      <c r="AG1677">
        <v>0</v>
      </c>
      <c r="AH1677">
        <v>3</v>
      </c>
      <c r="AI1677">
        <v>2</v>
      </c>
      <c r="AJ1677">
        <v>0</v>
      </c>
      <c r="AK1677" t="s">
        <v>606</v>
      </c>
      <c r="AL1677">
        <v>39.028609000000003</v>
      </c>
      <c r="AM1677" t="s">
        <v>607</v>
      </c>
      <c r="AN1677">
        <v>-121.04671999999999</v>
      </c>
      <c r="AO1677">
        <v>25</v>
      </c>
      <c r="AP1677">
        <v>4100</v>
      </c>
      <c r="AQ1677" t="s">
        <v>131</v>
      </c>
      <c r="AR1677">
        <v>18</v>
      </c>
      <c r="AS1677">
        <v>83</v>
      </c>
      <c r="AT1677">
        <v>384</v>
      </c>
      <c r="BB1677" t="str">
        <f t="shared" si="662"/>
        <v>1200</v>
      </c>
      <c r="BC1677">
        <v>1</v>
      </c>
      <c r="BD1677" t="str">
        <f t="shared" si="663"/>
        <v xml:space="preserve">N52156  </v>
      </c>
      <c r="BE1677">
        <v>1</v>
      </c>
      <c r="BG1677">
        <v>0</v>
      </c>
      <c r="BH1677">
        <v>0</v>
      </c>
      <c r="BI1677">
        <v>0</v>
      </c>
      <c r="BJ1677">
        <v>4075</v>
      </c>
      <c r="BK1677">
        <v>-25</v>
      </c>
      <c r="BL1677" t="s">
        <v>188</v>
      </c>
      <c r="BM1677">
        <v>1</v>
      </c>
      <c r="BN1677">
        <v>1</v>
      </c>
      <c r="BO1677">
        <v>0</v>
      </c>
      <c r="BP1677">
        <v>0</v>
      </c>
      <c r="BS1677">
        <v>0</v>
      </c>
      <c r="BT1677">
        <v>0</v>
      </c>
      <c r="BU1677">
        <v>0</v>
      </c>
      <c r="CE1677" t="str">
        <f t="shared" si="667"/>
        <v>15:09:11.588</v>
      </c>
      <c r="CF1677">
        <v>587873103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5</v>
      </c>
      <c r="CY1677">
        <v>7</v>
      </c>
      <c r="CZ1677" t="s">
        <v>133</v>
      </c>
      <c r="DA1677">
        <v>273</v>
      </c>
      <c r="DB1677">
        <v>0</v>
      </c>
      <c r="DC1677" t="s">
        <v>292</v>
      </c>
      <c r="DD1677" t="s">
        <v>293</v>
      </c>
      <c r="DG1677">
        <v>4862587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"05/01/2025 15:09:11.845"</f>
        <v>05/01/2025 15:09:11.845</v>
      </c>
      <c r="C1678" t="str">
        <f t="shared" si="660"/>
        <v>FFDFD3C0</v>
      </c>
      <c r="D1678" t="s">
        <v>145</v>
      </c>
      <c r="E1678" t="str">
        <f>"09"</f>
        <v>09</v>
      </c>
      <c r="H1678">
        <v>51</v>
      </c>
      <c r="I1678" t="s">
        <v>147</v>
      </c>
      <c r="J1678" t="s">
        <v>138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R1678" t="s">
        <v>127</v>
      </c>
      <c r="S1678" t="str">
        <f t="shared" si="666"/>
        <v>15:09:11.000</v>
      </c>
      <c r="T1678" t="str">
        <f t="shared" si="666"/>
        <v>15:09:11.000</v>
      </c>
      <c r="U1678" t="str">
        <f t="shared" si="661"/>
        <v>A68FCB</v>
      </c>
      <c r="V1678">
        <v>0</v>
      </c>
      <c r="W1678">
        <v>0</v>
      </c>
      <c r="X1678">
        <v>2</v>
      </c>
      <c r="Y1678">
        <v>0</v>
      </c>
      <c r="AA1678">
        <v>1</v>
      </c>
      <c r="AB1678">
        <v>8</v>
      </c>
      <c r="AC1678">
        <v>3</v>
      </c>
      <c r="AD1678">
        <v>0</v>
      </c>
      <c r="AE1678">
        <v>9</v>
      </c>
      <c r="AF1678" t="s">
        <v>138</v>
      </c>
      <c r="AG1678">
        <v>0</v>
      </c>
      <c r="AH1678">
        <v>3</v>
      </c>
      <c r="AI1678">
        <v>2</v>
      </c>
      <c r="AJ1678">
        <v>0</v>
      </c>
      <c r="AK1678" t="s">
        <v>606</v>
      </c>
      <c r="AL1678">
        <v>39.028609000000003</v>
      </c>
      <c r="AM1678" t="s">
        <v>607</v>
      </c>
      <c r="AN1678">
        <v>-121.04671999999999</v>
      </c>
      <c r="AO1678">
        <v>25</v>
      </c>
      <c r="AP1678">
        <v>4100</v>
      </c>
      <c r="AQ1678" t="s">
        <v>131</v>
      </c>
      <c r="AR1678">
        <v>18</v>
      </c>
      <c r="AS1678">
        <v>83</v>
      </c>
      <c r="AT1678">
        <v>384</v>
      </c>
      <c r="BB1678" t="str">
        <f t="shared" si="662"/>
        <v>1200</v>
      </c>
      <c r="BC1678">
        <v>1</v>
      </c>
      <c r="BD1678" t="str">
        <f t="shared" si="663"/>
        <v xml:space="preserve">N52156  </v>
      </c>
      <c r="BE1678">
        <v>1</v>
      </c>
      <c r="BG1678">
        <v>0</v>
      </c>
      <c r="BH1678">
        <v>0</v>
      </c>
      <c r="BI1678">
        <v>0</v>
      </c>
      <c r="BJ1678">
        <v>4075</v>
      </c>
      <c r="BK1678">
        <v>-25</v>
      </c>
      <c r="BL1678" t="s">
        <v>188</v>
      </c>
      <c r="BM1678">
        <v>1</v>
      </c>
      <c r="BN1678">
        <v>1</v>
      </c>
      <c r="BO1678">
        <v>0</v>
      </c>
      <c r="BP1678">
        <v>0</v>
      </c>
      <c r="BS1678">
        <v>0</v>
      </c>
      <c r="BT1678">
        <v>0</v>
      </c>
      <c r="BU1678">
        <v>0</v>
      </c>
      <c r="CE1678" t="str">
        <f t="shared" si="667"/>
        <v>15:09:11.588</v>
      </c>
      <c r="CF1678">
        <v>587873103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5</v>
      </c>
      <c r="CY1678">
        <v>7</v>
      </c>
      <c r="CZ1678" t="s">
        <v>133</v>
      </c>
      <c r="DA1678">
        <v>273</v>
      </c>
      <c r="DB1678">
        <v>0</v>
      </c>
      <c r="DC1678" t="s">
        <v>292</v>
      </c>
      <c r="DD1678" t="s">
        <v>293</v>
      </c>
      <c r="DG1678">
        <v>4862587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"05/01/2025 15:09:11.846"</f>
        <v>05/01/2025 15:09:11.846</v>
      </c>
      <c r="C1679" t="str">
        <f t="shared" si="660"/>
        <v>FFDFD3C0</v>
      </c>
      <c r="D1679" t="s">
        <v>124</v>
      </c>
      <c r="E1679" t="str">
        <f>"06"</f>
        <v>06</v>
      </c>
      <c r="F1679">
        <v>2006</v>
      </c>
      <c r="G1679" t="s">
        <v>125</v>
      </c>
      <c r="J1679" t="s">
        <v>126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R1679" t="s">
        <v>127</v>
      </c>
      <c r="S1679" t="str">
        <f t="shared" si="666"/>
        <v>15:09:11.000</v>
      </c>
      <c r="T1679" t="str">
        <f t="shared" si="666"/>
        <v>15:09:11.000</v>
      </c>
      <c r="U1679" t="str">
        <f t="shared" si="661"/>
        <v>A68FCB</v>
      </c>
      <c r="V1679">
        <v>0</v>
      </c>
      <c r="W1679">
        <v>0</v>
      </c>
      <c r="X1679">
        <v>2</v>
      </c>
      <c r="Y1679">
        <v>0</v>
      </c>
      <c r="AA1679">
        <v>1</v>
      </c>
      <c r="AB1679">
        <v>8</v>
      </c>
      <c r="AC1679">
        <v>3</v>
      </c>
      <c r="AD1679">
        <v>0</v>
      </c>
      <c r="AE1679">
        <v>9</v>
      </c>
      <c r="AF1679" t="s">
        <v>138</v>
      </c>
      <c r="AG1679">
        <v>0</v>
      </c>
      <c r="AH1679">
        <v>3</v>
      </c>
      <c r="AI1679">
        <v>2</v>
      </c>
      <c r="AJ1679">
        <v>0</v>
      </c>
      <c r="AK1679" t="s">
        <v>606</v>
      </c>
      <c r="AL1679">
        <v>39.028609000000003</v>
      </c>
      <c r="AM1679" t="s">
        <v>607</v>
      </c>
      <c r="AN1679">
        <v>-121.04671999999999</v>
      </c>
      <c r="AO1679">
        <v>25</v>
      </c>
      <c r="AP1679">
        <v>4100</v>
      </c>
      <c r="AQ1679" t="s">
        <v>131</v>
      </c>
      <c r="AR1679">
        <v>18</v>
      </c>
      <c r="AS1679">
        <v>83</v>
      </c>
      <c r="AT1679">
        <v>384</v>
      </c>
      <c r="BB1679" t="str">
        <f t="shared" si="662"/>
        <v>1200</v>
      </c>
      <c r="BC1679">
        <v>1</v>
      </c>
      <c r="BD1679" t="str">
        <f t="shared" si="663"/>
        <v xml:space="preserve">N52156  </v>
      </c>
      <c r="BE1679">
        <v>1</v>
      </c>
      <c r="BG1679">
        <v>0</v>
      </c>
      <c r="BH1679">
        <v>0</v>
      </c>
      <c r="BI1679">
        <v>0</v>
      </c>
      <c r="BJ1679">
        <v>4075</v>
      </c>
      <c r="BK1679">
        <v>-25</v>
      </c>
      <c r="BL1679" t="s">
        <v>188</v>
      </c>
      <c r="BM1679">
        <v>1</v>
      </c>
      <c r="BN1679">
        <v>1</v>
      </c>
      <c r="BO1679">
        <v>0</v>
      </c>
      <c r="BP1679">
        <v>0</v>
      </c>
      <c r="BS1679">
        <v>0</v>
      </c>
      <c r="BT1679">
        <v>0</v>
      </c>
      <c r="BU1679">
        <v>0</v>
      </c>
      <c r="CE1679" t="str">
        <f t="shared" si="667"/>
        <v>15:09:11.588</v>
      </c>
      <c r="CF1679">
        <v>587873103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5</v>
      </c>
      <c r="CY1679">
        <v>7</v>
      </c>
      <c r="CZ1679" t="s">
        <v>133</v>
      </c>
      <c r="DA1679">
        <v>273</v>
      </c>
      <c r="DB1679">
        <v>0</v>
      </c>
      <c r="DC1679" t="s">
        <v>292</v>
      </c>
      <c r="DD1679" t="s">
        <v>293</v>
      </c>
      <c r="DG1679">
        <v>4862587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"05/01/2025 15:09:11.850"</f>
        <v>05/01/2025 15:09:11.850</v>
      </c>
      <c r="C1680" t="str">
        <f t="shared" si="660"/>
        <v>FFDFD3C0</v>
      </c>
      <c r="D1680" t="s">
        <v>143</v>
      </c>
      <c r="E1680" t="str">
        <f>"05"</f>
        <v>05</v>
      </c>
      <c r="H1680">
        <v>172</v>
      </c>
      <c r="I1680" t="s">
        <v>141</v>
      </c>
      <c r="J1680" t="s">
        <v>144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R1680" t="s">
        <v>127</v>
      </c>
      <c r="S1680" t="str">
        <f t="shared" si="666"/>
        <v>15:09:11.000</v>
      </c>
      <c r="T1680" t="str">
        <f t="shared" si="666"/>
        <v>15:09:11.000</v>
      </c>
      <c r="U1680" t="str">
        <f t="shared" si="661"/>
        <v>A68FCB</v>
      </c>
      <c r="V1680">
        <v>0</v>
      </c>
      <c r="W1680">
        <v>0</v>
      </c>
      <c r="X1680">
        <v>2</v>
      </c>
      <c r="Y1680">
        <v>0</v>
      </c>
      <c r="AA1680">
        <v>1</v>
      </c>
      <c r="AB1680">
        <v>8</v>
      </c>
      <c r="AC1680">
        <v>3</v>
      </c>
      <c r="AD1680">
        <v>0</v>
      </c>
      <c r="AE1680">
        <v>9</v>
      </c>
      <c r="AF1680" t="s">
        <v>138</v>
      </c>
      <c r="AG1680">
        <v>0</v>
      </c>
      <c r="AH1680">
        <v>3</v>
      </c>
      <c r="AI1680">
        <v>2</v>
      </c>
      <c r="AJ1680">
        <v>0</v>
      </c>
      <c r="AK1680" t="s">
        <v>606</v>
      </c>
      <c r="AL1680">
        <v>39.028609000000003</v>
      </c>
      <c r="AM1680" t="s">
        <v>607</v>
      </c>
      <c r="AN1680">
        <v>-121.04671999999999</v>
      </c>
      <c r="AO1680">
        <v>25</v>
      </c>
      <c r="AP1680">
        <v>4100</v>
      </c>
      <c r="AQ1680" t="s">
        <v>131</v>
      </c>
      <c r="AR1680">
        <v>18</v>
      </c>
      <c r="AS1680">
        <v>83</v>
      </c>
      <c r="AT1680">
        <v>384</v>
      </c>
      <c r="BB1680" t="str">
        <f t="shared" si="662"/>
        <v>1200</v>
      </c>
      <c r="BC1680">
        <v>1</v>
      </c>
      <c r="BD1680" t="str">
        <f t="shared" si="663"/>
        <v xml:space="preserve">N52156  </v>
      </c>
      <c r="BE1680">
        <v>1</v>
      </c>
      <c r="BG1680">
        <v>0</v>
      </c>
      <c r="BH1680">
        <v>0</v>
      </c>
      <c r="BI1680">
        <v>0</v>
      </c>
      <c r="BJ1680">
        <v>4075</v>
      </c>
      <c r="BK1680">
        <v>-25</v>
      </c>
      <c r="BL1680" t="s">
        <v>188</v>
      </c>
      <c r="BM1680">
        <v>1</v>
      </c>
      <c r="BN1680">
        <v>1</v>
      </c>
      <c r="BO1680">
        <v>0</v>
      </c>
      <c r="BP1680">
        <v>0</v>
      </c>
      <c r="BS1680">
        <v>0</v>
      </c>
      <c r="BT1680">
        <v>0</v>
      </c>
      <c r="BU1680">
        <v>0</v>
      </c>
      <c r="CE1680" t="str">
        <f t="shared" si="667"/>
        <v>15:09:11.588</v>
      </c>
      <c r="CF1680">
        <v>587873103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5</v>
      </c>
      <c r="CY1680">
        <v>7</v>
      </c>
      <c r="CZ1680" t="s">
        <v>133</v>
      </c>
      <c r="DA1680">
        <v>273</v>
      </c>
      <c r="DB1680">
        <v>0</v>
      </c>
      <c r="DC1680" t="s">
        <v>292</v>
      </c>
      <c r="DD1680" t="s">
        <v>293</v>
      </c>
      <c r="DG1680">
        <v>4862587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"05/01/2025 15:09:11.855"</f>
        <v>05/01/2025 15:09:11.855</v>
      </c>
      <c r="C1681" t="str">
        <f t="shared" si="660"/>
        <v>FFDFD3C0</v>
      </c>
      <c r="D1681" t="s">
        <v>136</v>
      </c>
      <c r="E1681" t="str">
        <f>"20"</f>
        <v>20</v>
      </c>
      <c r="H1681">
        <v>400</v>
      </c>
      <c r="I1681" t="s">
        <v>137</v>
      </c>
      <c r="J1681" t="s">
        <v>138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R1681" t="s">
        <v>127</v>
      </c>
      <c r="S1681" t="str">
        <f t="shared" si="666"/>
        <v>15:09:11.000</v>
      </c>
      <c r="T1681" t="str">
        <f t="shared" si="666"/>
        <v>15:09:11.000</v>
      </c>
      <c r="U1681" t="str">
        <f t="shared" si="661"/>
        <v>A68FCB</v>
      </c>
      <c r="V1681">
        <v>0</v>
      </c>
      <c r="W1681">
        <v>0</v>
      </c>
      <c r="X1681">
        <v>2</v>
      </c>
      <c r="Y1681">
        <v>0</v>
      </c>
      <c r="AA1681">
        <v>1</v>
      </c>
      <c r="AB1681">
        <v>8</v>
      </c>
      <c r="AC1681">
        <v>3</v>
      </c>
      <c r="AD1681">
        <v>0</v>
      </c>
      <c r="AE1681">
        <v>9</v>
      </c>
      <c r="AF1681" t="s">
        <v>138</v>
      </c>
      <c r="AG1681">
        <v>0</v>
      </c>
      <c r="AH1681">
        <v>3</v>
      </c>
      <c r="AI1681">
        <v>2</v>
      </c>
      <c r="AJ1681">
        <v>0</v>
      </c>
      <c r="AK1681" t="s">
        <v>606</v>
      </c>
      <c r="AL1681">
        <v>39.028609000000003</v>
      </c>
      <c r="AM1681" t="s">
        <v>607</v>
      </c>
      <c r="AN1681">
        <v>-121.04671999999999</v>
      </c>
      <c r="AO1681">
        <v>25</v>
      </c>
      <c r="AP1681">
        <v>4100</v>
      </c>
      <c r="AQ1681" t="s">
        <v>131</v>
      </c>
      <c r="AR1681">
        <v>18</v>
      </c>
      <c r="AS1681">
        <v>83</v>
      </c>
      <c r="AT1681">
        <v>384</v>
      </c>
      <c r="BB1681" t="str">
        <f t="shared" si="662"/>
        <v>1200</v>
      </c>
      <c r="BC1681">
        <v>1</v>
      </c>
      <c r="BD1681" t="str">
        <f t="shared" si="663"/>
        <v xml:space="preserve">N52156  </v>
      </c>
      <c r="BE1681">
        <v>1</v>
      </c>
      <c r="BG1681">
        <v>0</v>
      </c>
      <c r="BH1681">
        <v>0</v>
      </c>
      <c r="BI1681">
        <v>0</v>
      </c>
      <c r="BJ1681">
        <v>4075</v>
      </c>
      <c r="BK1681">
        <v>-25</v>
      </c>
      <c r="BL1681" t="s">
        <v>188</v>
      </c>
      <c r="BM1681">
        <v>1</v>
      </c>
      <c r="BN1681">
        <v>1</v>
      </c>
      <c r="BO1681">
        <v>0</v>
      </c>
      <c r="BP1681">
        <v>0</v>
      </c>
      <c r="BS1681">
        <v>0</v>
      </c>
      <c r="BT1681">
        <v>0</v>
      </c>
      <c r="BU1681">
        <v>0</v>
      </c>
      <c r="CE1681" t="str">
        <f t="shared" si="667"/>
        <v>15:09:11.588</v>
      </c>
      <c r="CF1681">
        <v>587873103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5</v>
      </c>
      <c r="CY1681">
        <v>7</v>
      </c>
      <c r="CZ1681" t="s">
        <v>133</v>
      </c>
      <c r="DA1681">
        <v>273</v>
      </c>
      <c r="DB1681">
        <v>0</v>
      </c>
      <c r="DC1681" t="s">
        <v>292</v>
      </c>
      <c r="DD1681" t="s">
        <v>293</v>
      </c>
      <c r="DG1681">
        <v>4862587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"05/01/2025 15:09:12.486"</f>
        <v>05/01/2025 15:09:12.486</v>
      </c>
      <c r="C1682" t="str">
        <f t="shared" si="660"/>
        <v>FFDFD3C0</v>
      </c>
      <c r="D1682" t="s">
        <v>140</v>
      </c>
      <c r="E1682" t="str">
        <f>"13"</f>
        <v>13</v>
      </c>
      <c r="F1682">
        <v>1019</v>
      </c>
      <c r="G1682" t="s">
        <v>141</v>
      </c>
      <c r="J1682" t="s">
        <v>142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R1682" t="s">
        <v>127</v>
      </c>
      <c r="S1682" t="str">
        <f t="shared" ref="S1682:T1687" si="668">"15:09:12.000"</f>
        <v>15:09:12.000</v>
      </c>
      <c r="T1682" t="str">
        <f t="shared" si="668"/>
        <v>15:09:12.000</v>
      </c>
      <c r="U1682" t="str">
        <f t="shared" si="661"/>
        <v>A68FCB</v>
      </c>
      <c r="V1682">
        <v>0</v>
      </c>
      <c r="W1682">
        <v>0</v>
      </c>
      <c r="X1682">
        <v>2</v>
      </c>
      <c r="Y1682">
        <v>0</v>
      </c>
      <c r="AA1682">
        <v>1</v>
      </c>
      <c r="AB1682">
        <v>8</v>
      </c>
      <c r="AC1682">
        <v>3</v>
      </c>
      <c r="AD1682">
        <v>0</v>
      </c>
      <c r="AE1682">
        <v>9</v>
      </c>
      <c r="AF1682" t="s">
        <v>138</v>
      </c>
      <c r="AG1682">
        <v>0</v>
      </c>
      <c r="AH1682">
        <v>3</v>
      </c>
      <c r="AI1682">
        <v>2</v>
      </c>
      <c r="AJ1682">
        <v>0</v>
      </c>
      <c r="AK1682" t="s">
        <v>608</v>
      </c>
      <c r="AL1682">
        <v>39.028973999999998</v>
      </c>
      <c r="AM1682" t="s">
        <v>609</v>
      </c>
      <c r="AN1682">
        <v>-121.04659100000001</v>
      </c>
      <c r="AO1682">
        <v>25</v>
      </c>
      <c r="AP1682">
        <v>4100</v>
      </c>
      <c r="AQ1682" t="s">
        <v>131</v>
      </c>
      <c r="AR1682">
        <v>17</v>
      </c>
      <c r="AS1682">
        <v>83</v>
      </c>
      <c r="AT1682">
        <v>384</v>
      </c>
      <c r="BB1682" t="str">
        <f t="shared" si="662"/>
        <v>1200</v>
      </c>
      <c r="BC1682">
        <v>1</v>
      </c>
      <c r="BD1682" t="str">
        <f t="shared" si="663"/>
        <v xml:space="preserve">N52156  </v>
      </c>
      <c r="BE1682">
        <v>1</v>
      </c>
      <c r="BG1682">
        <v>0</v>
      </c>
      <c r="BH1682">
        <v>0</v>
      </c>
      <c r="BI1682">
        <v>0</v>
      </c>
      <c r="BJ1682">
        <v>4075</v>
      </c>
      <c r="BK1682">
        <v>-25</v>
      </c>
      <c r="BL1682" t="s">
        <v>188</v>
      </c>
      <c r="BM1682">
        <v>1</v>
      </c>
      <c r="BN1682">
        <v>1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 t="shared" ref="CE1682:CE1687" si="669">"15:09:12.252"</f>
        <v>15:09:12.252</v>
      </c>
      <c r="CF1682">
        <v>252208995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5</v>
      </c>
      <c r="CY1682">
        <v>7</v>
      </c>
      <c r="CZ1682" t="s">
        <v>133</v>
      </c>
      <c r="DA1682">
        <v>275</v>
      </c>
      <c r="DB1682">
        <v>0</v>
      </c>
      <c r="DC1682" t="s">
        <v>134</v>
      </c>
      <c r="DD1682" t="s">
        <v>135</v>
      </c>
      <c r="DG1682">
        <v>3320709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"05/01/2025 15:09:12.498"</f>
        <v>05/01/2025 15:09:12.498</v>
      </c>
      <c r="C1683" t="str">
        <f t="shared" si="660"/>
        <v>FFDFD3C0</v>
      </c>
      <c r="D1683" t="s">
        <v>124</v>
      </c>
      <c r="E1683" t="str">
        <f>"06"</f>
        <v>06</v>
      </c>
      <c r="F1683">
        <v>2006</v>
      </c>
      <c r="G1683" t="s">
        <v>125</v>
      </c>
      <c r="J1683" t="s">
        <v>126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R1683" t="s">
        <v>127</v>
      </c>
      <c r="S1683" t="str">
        <f t="shared" si="668"/>
        <v>15:09:12.000</v>
      </c>
      <c r="T1683" t="str">
        <f t="shared" si="668"/>
        <v>15:09:12.000</v>
      </c>
      <c r="U1683" t="str">
        <f t="shared" si="661"/>
        <v>A68FCB</v>
      </c>
      <c r="V1683">
        <v>0</v>
      </c>
      <c r="W1683">
        <v>0</v>
      </c>
      <c r="X1683">
        <v>2</v>
      </c>
      <c r="Y1683">
        <v>0</v>
      </c>
      <c r="AA1683">
        <v>1</v>
      </c>
      <c r="AB1683">
        <v>8</v>
      </c>
      <c r="AC1683">
        <v>3</v>
      </c>
      <c r="AD1683">
        <v>0</v>
      </c>
      <c r="AE1683">
        <v>9</v>
      </c>
      <c r="AF1683" t="s">
        <v>138</v>
      </c>
      <c r="AG1683">
        <v>0</v>
      </c>
      <c r="AH1683">
        <v>3</v>
      </c>
      <c r="AI1683">
        <v>2</v>
      </c>
      <c r="AJ1683">
        <v>0</v>
      </c>
      <c r="AK1683" t="s">
        <v>608</v>
      </c>
      <c r="AL1683">
        <v>39.028973999999998</v>
      </c>
      <c r="AM1683" t="s">
        <v>609</v>
      </c>
      <c r="AN1683">
        <v>-121.04659100000001</v>
      </c>
      <c r="AO1683">
        <v>25</v>
      </c>
      <c r="AP1683">
        <v>4100</v>
      </c>
      <c r="AQ1683" t="s">
        <v>131</v>
      </c>
      <c r="AR1683">
        <v>17</v>
      </c>
      <c r="AS1683">
        <v>83</v>
      </c>
      <c r="AT1683">
        <v>384</v>
      </c>
      <c r="BB1683" t="str">
        <f t="shared" si="662"/>
        <v>1200</v>
      </c>
      <c r="BC1683">
        <v>1</v>
      </c>
      <c r="BD1683" t="str">
        <f t="shared" si="663"/>
        <v xml:space="preserve">N52156  </v>
      </c>
      <c r="BE1683">
        <v>1</v>
      </c>
      <c r="BG1683">
        <v>0</v>
      </c>
      <c r="BH1683">
        <v>0</v>
      </c>
      <c r="BI1683">
        <v>0</v>
      </c>
      <c r="BJ1683">
        <v>4075</v>
      </c>
      <c r="BK1683">
        <v>-25</v>
      </c>
      <c r="BL1683" t="s">
        <v>188</v>
      </c>
      <c r="BM1683">
        <v>1</v>
      </c>
      <c r="BN1683">
        <v>1</v>
      </c>
      <c r="BO1683">
        <v>0</v>
      </c>
      <c r="BP1683">
        <v>0</v>
      </c>
      <c r="BS1683">
        <v>0</v>
      </c>
      <c r="BT1683">
        <v>0</v>
      </c>
      <c r="BU1683">
        <v>0</v>
      </c>
      <c r="CE1683" t="str">
        <f t="shared" si="669"/>
        <v>15:09:12.252</v>
      </c>
      <c r="CF1683">
        <v>252208995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5</v>
      </c>
      <c r="CY1683">
        <v>7</v>
      </c>
      <c r="CZ1683" t="s">
        <v>133</v>
      </c>
      <c r="DA1683">
        <v>275</v>
      </c>
      <c r="DB1683">
        <v>0</v>
      </c>
      <c r="DC1683" t="s">
        <v>134</v>
      </c>
      <c r="DD1683" t="s">
        <v>135</v>
      </c>
      <c r="DG1683">
        <v>3320709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"05/01/2025 15:09:12.493"</f>
        <v>05/01/2025 15:09:12.493</v>
      </c>
      <c r="C1684" t="str">
        <f t="shared" si="660"/>
        <v>FFDFD3C0</v>
      </c>
      <c r="D1684" t="s">
        <v>145</v>
      </c>
      <c r="E1684" t="str">
        <f>"05"</f>
        <v>05</v>
      </c>
      <c r="H1684">
        <v>47</v>
      </c>
      <c r="I1684" t="s">
        <v>146</v>
      </c>
      <c r="J1684" t="s">
        <v>138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R1684" t="s">
        <v>127</v>
      </c>
      <c r="S1684" t="str">
        <f t="shared" si="668"/>
        <v>15:09:12.000</v>
      </c>
      <c r="T1684" t="str">
        <f t="shared" si="668"/>
        <v>15:09:12.000</v>
      </c>
      <c r="U1684" t="str">
        <f t="shared" si="661"/>
        <v>A68FCB</v>
      </c>
      <c r="V1684">
        <v>0</v>
      </c>
      <c r="W1684">
        <v>0</v>
      </c>
      <c r="X1684">
        <v>2</v>
      </c>
      <c r="Y1684">
        <v>0</v>
      </c>
      <c r="AA1684">
        <v>1</v>
      </c>
      <c r="AB1684">
        <v>8</v>
      </c>
      <c r="AC1684">
        <v>3</v>
      </c>
      <c r="AD1684">
        <v>0</v>
      </c>
      <c r="AE1684">
        <v>9</v>
      </c>
      <c r="AF1684" t="s">
        <v>138</v>
      </c>
      <c r="AG1684">
        <v>0</v>
      </c>
      <c r="AH1684">
        <v>3</v>
      </c>
      <c r="AI1684">
        <v>2</v>
      </c>
      <c r="AJ1684">
        <v>0</v>
      </c>
      <c r="AK1684" t="s">
        <v>608</v>
      </c>
      <c r="AL1684">
        <v>39.028973999999998</v>
      </c>
      <c r="AM1684" t="s">
        <v>609</v>
      </c>
      <c r="AN1684">
        <v>-121.04659100000001</v>
      </c>
      <c r="AO1684">
        <v>25</v>
      </c>
      <c r="AP1684">
        <v>4100</v>
      </c>
      <c r="AQ1684" t="s">
        <v>131</v>
      </c>
      <c r="AR1684">
        <v>17</v>
      </c>
      <c r="AS1684">
        <v>83</v>
      </c>
      <c r="AT1684">
        <v>384</v>
      </c>
      <c r="BB1684" t="str">
        <f t="shared" si="662"/>
        <v>1200</v>
      </c>
      <c r="BC1684">
        <v>1</v>
      </c>
      <c r="BD1684" t="str">
        <f t="shared" si="663"/>
        <v xml:space="preserve">N52156  </v>
      </c>
      <c r="BE1684">
        <v>1</v>
      </c>
      <c r="BG1684">
        <v>0</v>
      </c>
      <c r="BH1684">
        <v>0</v>
      </c>
      <c r="BI1684">
        <v>0</v>
      </c>
      <c r="BJ1684">
        <v>4075</v>
      </c>
      <c r="BK1684">
        <v>-25</v>
      </c>
      <c r="BL1684" t="s">
        <v>188</v>
      </c>
      <c r="BM1684">
        <v>1</v>
      </c>
      <c r="BN1684">
        <v>1</v>
      </c>
      <c r="BO1684">
        <v>0</v>
      </c>
      <c r="BP1684">
        <v>0</v>
      </c>
      <c r="BS1684">
        <v>0</v>
      </c>
      <c r="BT1684">
        <v>0</v>
      </c>
      <c r="BU1684">
        <v>0</v>
      </c>
      <c r="CE1684" t="str">
        <f t="shared" si="669"/>
        <v>15:09:12.252</v>
      </c>
      <c r="CF1684">
        <v>252208995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5</v>
      </c>
      <c r="CY1684">
        <v>7</v>
      </c>
      <c r="CZ1684" t="s">
        <v>133</v>
      </c>
      <c r="DA1684">
        <v>275</v>
      </c>
      <c r="DB1684">
        <v>0</v>
      </c>
      <c r="DC1684" t="s">
        <v>134</v>
      </c>
      <c r="DD1684" t="s">
        <v>135</v>
      </c>
      <c r="DG1684">
        <v>3320709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"05/01/2025 15:09:12.496"</f>
        <v>05/01/2025 15:09:12.496</v>
      </c>
      <c r="C1685" t="str">
        <f t="shared" si="660"/>
        <v>FFDFD3C0</v>
      </c>
      <c r="D1685" t="s">
        <v>145</v>
      </c>
      <c r="E1685" t="str">
        <f>"09"</f>
        <v>09</v>
      </c>
      <c r="H1685">
        <v>51</v>
      </c>
      <c r="I1685" t="s">
        <v>147</v>
      </c>
      <c r="J1685" t="s">
        <v>138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R1685" t="s">
        <v>127</v>
      </c>
      <c r="S1685" t="str">
        <f t="shared" si="668"/>
        <v>15:09:12.000</v>
      </c>
      <c r="T1685" t="str">
        <f t="shared" si="668"/>
        <v>15:09:12.000</v>
      </c>
      <c r="U1685" t="str">
        <f t="shared" si="661"/>
        <v>A68FCB</v>
      </c>
      <c r="V1685">
        <v>0</v>
      </c>
      <c r="W1685">
        <v>0</v>
      </c>
      <c r="X1685">
        <v>2</v>
      </c>
      <c r="Y1685">
        <v>0</v>
      </c>
      <c r="AA1685">
        <v>1</v>
      </c>
      <c r="AB1685">
        <v>8</v>
      </c>
      <c r="AC1685">
        <v>3</v>
      </c>
      <c r="AD1685">
        <v>0</v>
      </c>
      <c r="AE1685">
        <v>9</v>
      </c>
      <c r="AF1685" t="s">
        <v>138</v>
      </c>
      <c r="AG1685">
        <v>0</v>
      </c>
      <c r="AH1685">
        <v>3</v>
      </c>
      <c r="AI1685">
        <v>2</v>
      </c>
      <c r="AJ1685">
        <v>0</v>
      </c>
      <c r="AK1685" t="s">
        <v>608</v>
      </c>
      <c r="AL1685">
        <v>39.028973999999998</v>
      </c>
      <c r="AM1685" t="s">
        <v>609</v>
      </c>
      <c r="AN1685">
        <v>-121.04659100000001</v>
      </c>
      <c r="AO1685">
        <v>25</v>
      </c>
      <c r="AP1685">
        <v>4100</v>
      </c>
      <c r="AQ1685" t="s">
        <v>131</v>
      </c>
      <c r="AR1685">
        <v>17</v>
      </c>
      <c r="AS1685">
        <v>83</v>
      </c>
      <c r="AT1685">
        <v>384</v>
      </c>
      <c r="BB1685" t="str">
        <f t="shared" si="662"/>
        <v>1200</v>
      </c>
      <c r="BC1685">
        <v>1</v>
      </c>
      <c r="BD1685" t="str">
        <f t="shared" si="663"/>
        <v xml:space="preserve">N52156  </v>
      </c>
      <c r="BE1685">
        <v>1</v>
      </c>
      <c r="BG1685">
        <v>0</v>
      </c>
      <c r="BH1685">
        <v>0</v>
      </c>
      <c r="BI1685">
        <v>0</v>
      </c>
      <c r="BJ1685">
        <v>4075</v>
      </c>
      <c r="BK1685">
        <v>-25</v>
      </c>
      <c r="BL1685" t="s">
        <v>188</v>
      </c>
      <c r="BM1685">
        <v>1</v>
      </c>
      <c r="BN1685">
        <v>1</v>
      </c>
      <c r="BO1685">
        <v>0</v>
      </c>
      <c r="BP1685">
        <v>0</v>
      </c>
      <c r="BS1685">
        <v>0</v>
      </c>
      <c r="BT1685">
        <v>0</v>
      </c>
      <c r="BU1685">
        <v>0</v>
      </c>
      <c r="CE1685" t="str">
        <f t="shared" si="669"/>
        <v>15:09:12.252</v>
      </c>
      <c r="CF1685">
        <v>252208995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5</v>
      </c>
      <c r="CY1685">
        <v>7</v>
      </c>
      <c r="CZ1685" t="s">
        <v>133</v>
      </c>
      <c r="DA1685">
        <v>275</v>
      </c>
      <c r="DB1685">
        <v>0</v>
      </c>
      <c r="DC1685" t="s">
        <v>134</v>
      </c>
      <c r="DD1685" t="s">
        <v>135</v>
      </c>
      <c r="DG1685">
        <v>3320709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"05/01/2025 15:09:12.501"</f>
        <v>05/01/2025 15:09:12.501</v>
      </c>
      <c r="C1686" t="str">
        <f t="shared" si="660"/>
        <v>FFDFD3C0</v>
      </c>
      <c r="D1686" t="s">
        <v>143</v>
      </c>
      <c r="E1686" t="str">
        <f>"05"</f>
        <v>05</v>
      </c>
      <c r="H1686">
        <v>172</v>
      </c>
      <c r="I1686" t="s">
        <v>141</v>
      </c>
      <c r="J1686" t="s">
        <v>144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R1686" t="s">
        <v>127</v>
      </c>
      <c r="S1686" t="str">
        <f t="shared" si="668"/>
        <v>15:09:12.000</v>
      </c>
      <c r="T1686" t="str">
        <f t="shared" si="668"/>
        <v>15:09:12.000</v>
      </c>
      <c r="U1686" t="str">
        <f t="shared" si="661"/>
        <v>A68FCB</v>
      </c>
      <c r="V1686">
        <v>0</v>
      </c>
      <c r="W1686">
        <v>0</v>
      </c>
      <c r="X1686">
        <v>2</v>
      </c>
      <c r="Y1686">
        <v>0</v>
      </c>
      <c r="AA1686">
        <v>1</v>
      </c>
      <c r="AB1686">
        <v>8</v>
      </c>
      <c r="AC1686">
        <v>3</v>
      </c>
      <c r="AD1686">
        <v>0</v>
      </c>
      <c r="AE1686">
        <v>9</v>
      </c>
      <c r="AF1686" t="s">
        <v>138</v>
      </c>
      <c r="AG1686">
        <v>0</v>
      </c>
      <c r="AH1686">
        <v>3</v>
      </c>
      <c r="AI1686">
        <v>2</v>
      </c>
      <c r="AJ1686">
        <v>0</v>
      </c>
      <c r="AK1686" t="s">
        <v>608</v>
      </c>
      <c r="AL1686">
        <v>39.028973999999998</v>
      </c>
      <c r="AM1686" t="s">
        <v>609</v>
      </c>
      <c r="AN1686">
        <v>-121.04659100000001</v>
      </c>
      <c r="AO1686">
        <v>25</v>
      </c>
      <c r="AP1686">
        <v>4100</v>
      </c>
      <c r="AQ1686" t="s">
        <v>131</v>
      </c>
      <c r="AR1686">
        <v>17</v>
      </c>
      <c r="AS1686">
        <v>83</v>
      </c>
      <c r="AT1686">
        <v>384</v>
      </c>
      <c r="BB1686" t="str">
        <f t="shared" si="662"/>
        <v>1200</v>
      </c>
      <c r="BC1686">
        <v>1</v>
      </c>
      <c r="BD1686" t="str">
        <f t="shared" si="663"/>
        <v xml:space="preserve">N52156  </v>
      </c>
      <c r="BE1686">
        <v>1</v>
      </c>
      <c r="BG1686">
        <v>0</v>
      </c>
      <c r="BH1686">
        <v>0</v>
      </c>
      <c r="BI1686">
        <v>0</v>
      </c>
      <c r="BJ1686">
        <v>4075</v>
      </c>
      <c r="BK1686">
        <v>-25</v>
      </c>
      <c r="BL1686" t="s">
        <v>188</v>
      </c>
      <c r="BM1686">
        <v>1</v>
      </c>
      <c r="BN1686">
        <v>1</v>
      </c>
      <c r="BO1686">
        <v>0</v>
      </c>
      <c r="BP1686">
        <v>0</v>
      </c>
      <c r="BS1686">
        <v>0</v>
      </c>
      <c r="BT1686">
        <v>0</v>
      </c>
      <c r="BU1686">
        <v>0</v>
      </c>
      <c r="CE1686" t="str">
        <f t="shared" si="669"/>
        <v>15:09:12.252</v>
      </c>
      <c r="CF1686">
        <v>252208995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5</v>
      </c>
      <c r="CY1686">
        <v>7</v>
      </c>
      <c r="CZ1686" t="s">
        <v>133</v>
      </c>
      <c r="DA1686">
        <v>275</v>
      </c>
      <c r="DB1686">
        <v>0</v>
      </c>
      <c r="DC1686" t="s">
        <v>134</v>
      </c>
      <c r="DD1686" t="s">
        <v>135</v>
      </c>
      <c r="DG1686">
        <v>3320709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"05/01/2025 15:09:12.506"</f>
        <v>05/01/2025 15:09:12.506</v>
      </c>
      <c r="C1687" t="str">
        <f t="shared" si="660"/>
        <v>FFDFD3C0</v>
      </c>
      <c r="D1687" t="s">
        <v>136</v>
      </c>
      <c r="E1687" t="str">
        <f>"20"</f>
        <v>20</v>
      </c>
      <c r="H1687">
        <v>400</v>
      </c>
      <c r="I1687" t="s">
        <v>137</v>
      </c>
      <c r="J1687" t="s">
        <v>138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R1687" t="s">
        <v>127</v>
      </c>
      <c r="S1687" t="str">
        <f t="shared" si="668"/>
        <v>15:09:12.000</v>
      </c>
      <c r="T1687" t="str">
        <f t="shared" si="668"/>
        <v>15:09:12.000</v>
      </c>
      <c r="U1687" t="str">
        <f t="shared" si="661"/>
        <v>A68FCB</v>
      </c>
      <c r="V1687">
        <v>0</v>
      </c>
      <c r="W1687">
        <v>0</v>
      </c>
      <c r="X1687">
        <v>2</v>
      </c>
      <c r="Y1687">
        <v>0</v>
      </c>
      <c r="AA1687">
        <v>1</v>
      </c>
      <c r="AB1687">
        <v>8</v>
      </c>
      <c r="AC1687">
        <v>3</v>
      </c>
      <c r="AD1687">
        <v>0</v>
      </c>
      <c r="AE1687">
        <v>9</v>
      </c>
      <c r="AF1687" t="s">
        <v>138</v>
      </c>
      <c r="AG1687">
        <v>0</v>
      </c>
      <c r="AH1687">
        <v>3</v>
      </c>
      <c r="AI1687">
        <v>2</v>
      </c>
      <c r="AJ1687">
        <v>0</v>
      </c>
      <c r="AK1687" t="s">
        <v>608</v>
      </c>
      <c r="AL1687">
        <v>39.028973999999998</v>
      </c>
      <c r="AM1687" t="s">
        <v>609</v>
      </c>
      <c r="AN1687">
        <v>-121.04659100000001</v>
      </c>
      <c r="AO1687">
        <v>25</v>
      </c>
      <c r="AP1687">
        <v>4100</v>
      </c>
      <c r="AQ1687" t="s">
        <v>131</v>
      </c>
      <c r="AR1687">
        <v>17</v>
      </c>
      <c r="AS1687">
        <v>83</v>
      </c>
      <c r="AT1687">
        <v>384</v>
      </c>
      <c r="BB1687" t="str">
        <f t="shared" si="662"/>
        <v>1200</v>
      </c>
      <c r="BC1687">
        <v>1</v>
      </c>
      <c r="BD1687" t="str">
        <f t="shared" si="663"/>
        <v xml:space="preserve">N52156  </v>
      </c>
      <c r="BE1687">
        <v>1</v>
      </c>
      <c r="BG1687">
        <v>0</v>
      </c>
      <c r="BH1687">
        <v>0</v>
      </c>
      <c r="BI1687">
        <v>0</v>
      </c>
      <c r="BJ1687">
        <v>4075</v>
      </c>
      <c r="BK1687">
        <v>-25</v>
      </c>
      <c r="BL1687" t="s">
        <v>188</v>
      </c>
      <c r="BM1687">
        <v>1</v>
      </c>
      <c r="BN1687">
        <v>1</v>
      </c>
      <c r="BO1687">
        <v>0</v>
      </c>
      <c r="BP1687">
        <v>0</v>
      </c>
      <c r="BS1687">
        <v>0</v>
      </c>
      <c r="BT1687">
        <v>0</v>
      </c>
      <c r="BU1687">
        <v>0</v>
      </c>
      <c r="CE1687" t="str">
        <f t="shared" si="669"/>
        <v>15:09:12.252</v>
      </c>
      <c r="CF1687">
        <v>252208995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133</v>
      </c>
      <c r="DA1687">
        <v>275</v>
      </c>
      <c r="DB1687">
        <v>0</v>
      </c>
      <c r="DC1687" t="s">
        <v>134</v>
      </c>
      <c r="DD1687" t="s">
        <v>135</v>
      </c>
      <c r="DG1687">
        <v>3320709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"05/01/2025 15:09:13.437"</f>
        <v>05/01/2025 15:09:13.437</v>
      </c>
      <c r="C1688" t="str">
        <f t="shared" si="660"/>
        <v>FFDFD3C0</v>
      </c>
      <c r="D1688" t="s">
        <v>140</v>
      </c>
      <c r="E1688" t="str">
        <f>"13"</f>
        <v>13</v>
      </c>
      <c r="F1688">
        <v>1019</v>
      </c>
      <c r="G1688" t="s">
        <v>141</v>
      </c>
      <c r="J1688" t="s">
        <v>142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R1688" t="s">
        <v>127</v>
      </c>
      <c r="S1688" t="str">
        <f t="shared" ref="S1688:T1693" si="670">"15:09:13.000"</f>
        <v>15:09:13.000</v>
      </c>
      <c r="T1688" t="str">
        <f t="shared" si="670"/>
        <v>15:09:13.000</v>
      </c>
      <c r="U1688" t="str">
        <f t="shared" si="661"/>
        <v>A68FCB</v>
      </c>
      <c r="V1688">
        <v>0</v>
      </c>
      <c r="W1688">
        <v>0</v>
      </c>
      <c r="X1688">
        <v>2</v>
      </c>
      <c r="Y1688">
        <v>0</v>
      </c>
      <c r="AA1688">
        <v>1</v>
      </c>
      <c r="AB1688">
        <v>8</v>
      </c>
      <c r="AC1688">
        <v>3</v>
      </c>
      <c r="AD1688">
        <v>0</v>
      </c>
      <c r="AE1688">
        <v>9</v>
      </c>
      <c r="AF1688" t="s">
        <v>138</v>
      </c>
      <c r="AG1688">
        <v>0</v>
      </c>
      <c r="AH1688">
        <v>3</v>
      </c>
      <c r="AI1688">
        <v>2</v>
      </c>
      <c r="AJ1688">
        <v>0</v>
      </c>
      <c r="AK1688" t="s">
        <v>610</v>
      </c>
      <c r="AL1688">
        <v>39.029359999999997</v>
      </c>
      <c r="AM1688" t="s">
        <v>611</v>
      </c>
      <c r="AN1688">
        <v>-121.046505</v>
      </c>
      <c r="AO1688">
        <v>25</v>
      </c>
      <c r="AP1688">
        <v>4100</v>
      </c>
      <c r="AQ1688" t="s">
        <v>131</v>
      </c>
      <c r="AR1688">
        <v>15</v>
      </c>
      <c r="AS1688">
        <v>83</v>
      </c>
      <c r="AT1688">
        <v>448</v>
      </c>
      <c r="BB1688" t="str">
        <f t="shared" si="662"/>
        <v>1200</v>
      </c>
      <c r="BC1688">
        <v>1</v>
      </c>
      <c r="BD1688" t="str">
        <f t="shared" si="663"/>
        <v xml:space="preserve">N52156  </v>
      </c>
      <c r="BE1688">
        <v>1</v>
      </c>
      <c r="BG1688">
        <v>0</v>
      </c>
      <c r="BH1688">
        <v>0</v>
      </c>
      <c r="BI1688">
        <v>0</v>
      </c>
      <c r="BJ1688">
        <v>4075</v>
      </c>
      <c r="BK1688">
        <v>-25</v>
      </c>
      <c r="BL1688" t="s">
        <v>188</v>
      </c>
      <c r="BM1688">
        <v>1</v>
      </c>
      <c r="BN1688">
        <v>1</v>
      </c>
      <c r="BO1688">
        <v>0</v>
      </c>
      <c r="BP1688">
        <v>0</v>
      </c>
      <c r="BS1688">
        <v>0</v>
      </c>
      <c r="BT1688">
        <v>0</v>
      </c>
      <c r="BU1688">
        <v>0</v>
      </c>
      <c r="CE1688" t="str">
        <f t="shared" ref="CE1688:CE1693" si="671">"15:09:13.230"</f>
        <v>15:09:13.230</v>
      </c>
      <c r="CF1688">
        <v>230208987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133</v>
      </c>
      <c r="DA1688">
        <v>275</v>
      </c>
      <c r="DB1688">
        <v>0</v>
      </c>
      <c r="DC1688" t="s">
        <v>134</v>
      </c>
      <c r="DD1688" t="s">
        <v>135</v>
      </c>
      <c r="DG1688">
        <v>3320719</v>
      </c>
      <c r="DI1688">
        <v>1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"05/01/2025 15:09:13.445"</f>
        <v>05/01/2025 15:09:13.445</v>
      </c>
      <c r="C1689" t="str">
        <f t="shared" si="660"/>
        <v>FFDFD3C0</v>
      </c>
      <c r="D1689" t="s">
        <v>145</v>
      </c>
      <c r="E1689" t="str">
        <f>"05"</f>
        <v>05</v>
      </c>
      <c r="H1689">
        <v>47</v>
      </c>
      <c r="I1689" t="s">
        <v>146</v>
      </c>
      <c r="J1689" t="s">
        <v>138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R1689" t="s">
        <v>127</v>
      </c>
      <c r="S1689" t="str">
        <f t="shared" si="670"/>
        <v>15:09:13.000</v>
      </c>
      <c r="T1689" t="str">
        <f t="shared" si="670"/>
        <v>15:09:13.000</v>
      </c>
      <c r="U1689" t="str">
        <f t="shared" si="661"/>
        <v>A68FCB</v>
      </c>
      <c r="V1689">
        <v>0</v>
      </c>
      <c r="W1689">
        <v>0</v>
      </c>
      <c r="X1689">
        <v>2</v>
      </c>
      <c r="Y1689">
        <v>0</v>
      </c>
      <c r="AA1689">
        <v>1</v>
      </c>
      <c r="AB1689">
        <v>8</v>
      </c>
      <c r="AC1689">
        <v>3</v>
      </c>
      <c r="AD1689">
        <v>0</v>
      </c>
      <c r="AE1689">
        <v>9</v>
      </c>
      <c r="AF1689" t="s">
        <v>138</v>
      </c>
      <c r="AG1689">
        <v>0</v>
      </c>
      <c r="AH1689">
        <v>3</v>
      </c>
      <c r="AI1689">
        <v>2</v>
      </c>
      <c r="AJ1689">
        <v>0</v>
      </c>
      <c r="AK1689" t="s">
        <v>610</v>
      </c>
      <c r="AL1689">
        <v>39.029359999999997</v>
      </c>
      <c r="AM1689" t="s">
        <v>611</v>
      </c>
      <c r="AN1689">
        <v>-121.046505</v>
      </c>
      <c r="AO1689">
        <v>25</v>
      </c>
      <c r="AP1689">
        <v>4100</v>
      </c>
      <c r="AQ1689" t="s">
        <v>131</v>
      </c>
      <c r="AR1689">
        <v>15</v>
      </c>
      <c r="AS1689">
        <v>83</v>
      </c>
      <c r="AT1689">
        <v>448</v>
      </c>
      <c r="BB1689" t="str">
        <f t="shared" si="662"/>
        <v>1200</v>
      </c>
      <c r="BC1689">
        <v>1</v>
      </c>
      <c r="BD1689" t="str">
        <f t="shared" si="663"/>
        <v xml:space="preserve">N52156  </v>
      </c>
      <c r="BE1689">
        <v>1</v>
      </c>
      <c r="BG1689">
        <v>0</v>
      </c>
      <c r="BH1689">
        <v>0</v>
      </c>
      <c r="BI1689">
        <v>0</v>
      </c>
      <c r="BJ1689">
        <v>4075</v>
      </c>
      <c r="BK1689">
        <v>-25</v>
      </c>
      <c r="BL1689" t="s">
        <v>188</v>
      </c>
      <c r="BM1689">
        <v>1</v>
      </c>
      <c r="BN1689">
        <v>1</v>
      </c>
      <c r="BO1689">
        <v>0</v>
      </c>
      <c r="BP1689">
        <v>0</v>
      </c>
      <c r="BS1689">
        <v>0</v>
      </c>
      <c r="BT1689">
        <v>0</v>
      </c>
      <c r="BU1689">
        <v>0</v>
      </c>
      <c r="CE1689" t="str">
        <f t="shared" si="671"/>
        <v>15:09:13.230</v>
      </c>
      <c r="CF1689">
        <v>230208987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133</v>
      </c>
      <c r="DA1689">
        <v>275</v>
      </c>
      <c r="DB1689">
        <v>0</v>
      </c>
      <c r="DC1689" t="s">
        <v>134</v>
      </c>
      <c r="DD1689" t="s">
        <v>135</v>
      </c>
      <c r="DG1689">
        <v>3320719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"05/01/2025 15:09:13.448"</f>
        <v>05/01/2025 15:09:13.448</v>
      </c>
      <c r="C1690" t="str">
        <f t="shared" si="660"/>
        <v>FFDFD3C0</v>
      </c>
      <c r="D1690" t="s">
        <v>145</v>
      </c>
      <c r="E1690" t="str">
        <f>"09"</f>
        <v>09</v>
      </c>
      <c r="H1690">
        <v>51</v>
      </c>
      <c r="I1690" t="s">
        <v>147</v>
      </c>
      <c r="J1690" t="s">
        <v>138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R1690" t="s">
        <v>127</v>
      </c>
      <c r="S1690" t="str">
        <f t="shared" si="670"/>
        <v>15:09:13.000</v>
      </c>
      <c r="T1690" t="str">
        <f t="shared" si="670"/>
        <v>15:09:13.000</v>
      </c>
      <c r="U1690" t="str">
        <f t="shared" si="661"/>
        <v>A68FCB</v>
      </c>
      <c r="V1690">
        <v>0</v>
      </c>
      <c r="W1690">
        <v>0</v>
      </c>
      <c r="X1690">
        <v>2</v>
      </c>
      <c r="Y1690">
        <v>0</v>
      </c>
      <c r="AA1690">
        <v>1</v>
      </c>
      <c r="AB1690">
        <v>8</v>
      </c>
      <c r="AC1690">
        <v>3</v>
      </c>
      <c r="AD1690">
        <v>0</v>
      </c>
      <c r="AE1690">
        <v>9</v>
      </c>
      <c r="AF1690" t="s">
        <v>138</v>
      </c>
      <c r="AG1690">
        <v>0</v>
      </c>
      <c r="AH1690">
        <v>3</v>
      </c>
      <c r="AI1690">
        <v>2</v>
      </c>
      <c r="AJ1690">
        <v>0</v>
      </c>
      <c r="AK1690" t="s">
        <v>610</v>
      </c>
      <c r="AL1690">
        <v>39.029359999999997</v>
      </c>
      <c r="AM1690" t="s">
        <v>611</v>
      </c>
      <c r="AN1690">
        <v>-121.046505</v>
      </c>
      <c r="AO1690">
        <v>25</v>
      </c>
      <c r="AP1690">
        <v>4100</v>
      </c>
      <c r="AQ1690" t="s">
        <v>131</v>
      </c>
      <c r="AR1690">
        <v>15</v>
      </c>
      <c r="AS1690">
        <v>83</v>
      </c>
      <c r="AT1690">
        <v>448</v>
      </c>
      <c r="BB1690" t="str">
        <f t="shared" si="662"/>
        <v>1200</v>
      </c>
      <c r="BC1690">
        <v>1</v>
      </c>
      <c r="BD1690" t="str">
        <f t="shared" si="663"/>
        <v xml:space="preserve">N52156  </v>
      </c>
      <c r="BE1690">
        <v>1</v>
      </c>
      <c r="BG1690">
        <v>0</v>
      </c>
      <c r="BH1690">
        <v>0</v>
      </c>
      <c r="BI1690">
        <v>0</v>
      </c>
      <c r="BJ1690">
        <v>4075</v>
      </c>
      <c r="BK1690">
        <v>-25</v>
      </c>
      <c r="BL1690" t="s">
        <v>188</v>
      </c>
      <c r="BM1690">
        <v>1</v>
      </c>
      <c r="BN1690">
        <v>1</v>
      </c>
      <c r="BO1690">
        <v>0</v>
      </c>
      <c r="BP1690">
        <v>0</v>
      </c>
      <c r="BS1690">
        <v>0</v>
      </c>
      <c r="BT1690">
        <v>0</v>
      </c>
      <c r="BU1690">
        <v>0</v>
      </c>
      <c r="CE1690" t="str">
        <f t="shared" si="671"/>
        <v>15:09:13.230</v>
      </c>
      <c r="CF1690">
        <v>230208987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5</v>
      </c>
      <c r="CY1690">
        <v>7</v>
      </c>
      <c r="CZ1690" t="s">
        <v>133</v>
      </c>
      <c r="DA1690">
        <v>275</v>
      </c>
      <c r="DB1690">
        <v>0</v>
      </c>
      <c r="DC1690" t="s">
        <v>134</v>
      </c>
      <c r="DD1690" t="s">
        <v>135</v>
      </c>
      <c r="DG1690">
        <v>3320719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"05/01/2025 15:09:13.449"</f>
        <v>05/01/2025 15:09:13.449</v>
      </c>
      <c r="C1691" t="str">
        <f t="shared" si="660"/>
        <v>FFDFD3C0</v>
      </c>
      <c r="D1691" t="s">
        <v>124</v>
      </c>
      <c r="E1691" t="str">
        <f>"06"</f>
        <v>06</v>
      </c>
      <c r="F1691">
        <v>2006</v>
      </c>
      <c r="G1691" t="s">
        <v>125</v>
      </c>
      <c r="J1691" t="s">
        <v>126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R1691" t="s">
        <v>127</v>
      </c>
      <c r="S1691" t="str">
        <f t="shared" si="670"/>
        <v>15:09:13.000</v>
      </c>
      <c r="T1691" t="str">
        <f t="shared" si="670"/>
        <v>15:09:13.000</v>
      </c>
      <c r="U1691" t="str">
        <f t="shared" si="661"/>
        <v>A68FCB</v>
      </c>
      <c r="V1691">
        <v>0</v>
      </c>
      <c r="W1691">
        <v>0</v>
      </c>
      <c r="X1691">
        <v>2</v>
      </c>
      <c r="Y1691">
        <v>0</v>
      </c>
      <c r="AA1691">
        <v>1</v>
      </c>
      <c r="AB1691">
        <v>8</v>
      </c>
      <c r="AC1691">
        <v>3</v>
      </c>
      <c r="AD1691">
        <v>0</v>
      </c>
      <c r="AE1691">
        <v>9</v>
      </c>
      <c r="AF1691" t="s">
        <v>138</v>
      </c>
      <c r="AG1691">
        <v>0</v>
      </c>
      <c r="AH1691">
        <v>3</v>
      </c>
      <c r="AI1691">
        <v>2</v>
      </c>
      <c r="AJ1691">
        <v>0</v>
      </c>
      <c r="AK1691" t="s">
        <v>610</v>
      </c>
      <c r="AL1691">
        <v>39.029359999999997</v>
      </c>
      <c r="AM1691" t="s">
        <v>611</v>
      </c>
      <c r="AN1691">
        <v>-121.046505</v>
      </c>
      <c r="AO1691">
        <v>25</v>
      </c>
      <c r="AP1691">
        <v>4100</v>
      </c>
      <c r="AQ1691" t="s">
        <v>131</v>
      </c>
      <c r="AR1691">
        <v>15</v>
      </c>
      <c r="AS1691">
        <v>83</v>
      </c>
      <c r="AT1691">
        <v>448</v>
      </c>
      <c r="BB1691" t="str">
        <f t="shared" si="662"/>
        <v>1200</v>
      </c>
      <c r="BC1691">
        <v>1</v>
      </c>
      <c r="BD1691" t="str">
        <f t="shared" si="663"/>
        <v xml:space="preserve">N52156  </v>
      </c>
      <c r="BE1691">
        <v>1</v>
      </c>
      <c r="BG1691">
        <v>0</v>
      </c>
      <c r="BH1691">
        <v>0</v>
      </c>
      <c r="BI1691">
        <v>0</v>
      </c>
      <c r="BJ1691">
        <v>4075</v>
      </c>
      <c r="BK1691">
        <v>-25</v>
      </c>
      <c r="BL1691" t="s">
        <v>188</v>
      </c>
      <c r="BM1691">
        <v>1</v>
      </c>
      <c r="BN1691">
        <v>1</v>
      </c>
      <c r="BO1691">
        <v>0</v>
      </c>
      <c r="BP1691">
        <v>0</v>
      </c>
      <c r="BS1691">
        <v>0</v>
      </c>
      <c r="BT1691">
        <v>0</v>
      </c>
      <c r="BU1691">
        <v>0</v>
      </c>
      <c r="CE1691" t="str">
        <f t="shared" si="671"/>
        <v>15:09:13.230</v>
      </c>
      <c r="CF1691">
        <v>230208987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133</v>
      </c>
      <c r="DA1691">
        <v>275</v>
      </c>
      <c r="DB1691">
        <v>0</v>
      </c>
      <c r="DC1691" t="s">
        <v>134</v>
      </c>
      <c r="DD1691" t="s">
        <v>135</v>
      </c>
      <c r="DG1691">
        <v>3320719</v>
      </c>
      <c r="DI1691">
        <v>1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"05/01/2025 15:09:13.453"</f>
        <v>05/01/2025 15:09:13.453</v>
      </c>
      <c r="C1692" t="str">
        <f t="shared" si="660"/>
        <v>FFDFD3C0</v>
      </c>
      <c r="D1692" t="s">
        <v>143</v>
      </c>
      <c r="E1692" t="str">
        <f>"05"</f>
        <v>05</v>
      </c>
      <c r="H1692">
        <v>172</v>
      </c>
      <c r="I1692" t="s">
        <v>141</v>
      </c>
      <c r="J1692" t="s">
        <v>144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R1692" t="s">
        <v>127</v>
      </c>
      <c r="S1692" t="str">
        <f t="shared" si="670"/>
        <v>15:09:13.000</v>
      </c>
      <c r="T1692" t="str">
        <f t="shared" si="670"/>
        <v>15:09:13.000</v>
      </c>
      <c r="U1692" t="str">
        <f t="shared" si="661"/>
        <v>A68FCB</v>
      </c>
      <c r="V1692">
        <v>0</v>
      </c>
      <c r="W1692">
        <v>0</v>
      </c>
      <c r="X1692">
        <v>2</v>
      </c>
      <c r="Y1692">
        <v>0</v>
      </c>
      <c r="AA1692">
        <v>1</v>
      </c>
      <c r="AB1692">
        <v>8</v>
      </c>
      <c r="AC1692">
        <v>3</v>
      </c>
      <c r="AD1692">
        <v>0</v>
      </c>
      <c r="AE1692">
        <v>9</v>
      </c>
      <c r="AF1692" t="s">
        <v>138</v>
      </c>
      <c r="AG1692">
        <v>0</v>
      </c>
      <c r="AH1692">
        <v>3</v>
      </c>
      <c r="AI1692">
        <v>2</v>
      </c>
      <c r="AJ1692">
        <v>0</v>
      </c>
      <c r="AK1692" t="s">
        <v>610</v>
      </c>
      <c r="AL1692">
        <v>39.029359999999997</v>
      </c>
      <c r="AM1692" t="s">
        <v>611</v>
      </c>
      <c r="AN1692">
        <v>-121.046505</v>
      </c>
      <c r="AO1692">
        <v>25</v>
      </c>
      <c r="AP1692">
        <v>4100</v>
      </c>
      <c r="AQ1692" t="s">
        <v>131</v>
      </c>
      <c r="AR1692">
        <v>15</v>
      </c>
      <c r="AS1692">
        <v>83</v>
      </c>
      <c r="AT1692">
        <v>448</v>
      </c>
      <c r="BB1692" t="str">
        <f t="shared" si="662"/>
        <v>1200</v>
      </c>
      <c r="BC1692">
        <v>1</v>
      </c>
      <c r="BD1692" t="str">
        <f t="shared" si="663"/>
        <v xml:space="preserve">N52156  </v>
      </c>
      <c r="BE1692">
        <v>1</v>
      </c>
      <c r="BG1692">
        <v>0</v>
      </c>
      <c r="BH1692">
        <v>0</v>
      </c>
      <c r="BI1692">
        <v>0</v>
      </c>
      <c r="BJ1692">
        <v>4075</v>
      </c>
      <c r="BK1692">
        <v>-25</v>
      </c>
      <c r="BL1692" t="s">
        <v>188</v>
      </c>
      <c r="BM1692">
        <v>1</v>
      </c>
      <c r="BN1692">
        <v>1</v>
      </c>
      <c r="BO1692">
        <v>0</v>
      </c>
      <c r="BP1692">
        <v>0</v>
      </c>
      <c r="BS1692">
        <v>0</v>
      </c>
      <c r="BT1692">
        <v>0</v>
      </c>
      <c r="BU1692">
        <v>0</v>
      </c>
      <c r="CE1692" t="str">
        <f t="shared" si="671"/>
        <v>15:09:13.230</v>
      </c>
      <c r="CF1692">
        <v>230208987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5</v>
      </c>
      <c r="CY1692">
        <v>7</v>
      </c>
      <c r="CZ1692" t="s">
        <v>133</v>
      </c>
      <c r="DA1692">
        <v>275</v>
      </c>
      <c r="DB1692">
        <v>0</v>
      </c>
      <c r="DC1692" t="s">
        <v>134</v>
      </c>
      <c r="DD1692" t="s">
        <v>135</v>
      </c>
      <c r="DG1692">
        <v>3320719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"05/01/2025 15:09:13.458"</f>
        <v>05/01/2025 15:09:13.458</v>
      </c>
      <c r="C1693" t="str">
        <f t="shared" si="660"/>
        <v>FFDFD3C0</v>
      </c>
      <c r="D1693" t="s">
        <v>136</v>
      </c>
      <c r="E1693" t="str">
        <f>"20"</f>
        <v>20</v>
      </c>
      <c r="H1693">
        <v>400</v>
      </c>
      <c r="I1693" t="s">
        <v>137</v>
      </c>
      <c r="J1693" t="s">
        <v>138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R1693" t="s">
        <v>127</v>
      </c>
      <c r="S1693" t="str">
        <f t="shared" si="670"/>
        <v>15:09:13.000</v>
      </c>
      <c r="T1693" t="str">
        <f t="shared" si="670"/>
        <v>15:09:13.000</v>
      </c>
      <c r="U1693" t="str">
        <f t="shared" si="661"/>
        <v>A68FCB</v>
      </c>
      <c r="V1693">
        <v>0</v>
      </c>
      <c r="W1693">
        <v>0</v>
      </c>
      <c r="X1693">
        <v>2</v>
      </c>
      <c r="Y1693">
        <v>0</v>
      </c>
      <c r="AA1693">
        <v>1</v>
      </c>
      <c r="AB1693">
        <v>8</v>
      </c>
      <c r="AC1693">
        <v>3</v>
      </c>
      <c r="AD1693">
        <v>0</v>
      </c>
      <c r="AE1693">
        <v>9</v>
      </c>
      <c r="AF1693" t="s">
        <v>138</v>
      </c>
      <c r="AG1693">
        <v>0</v>
      </c>
      <c r="AH1693">
        <v>3</v>
      </c>
      <c r="AI1693">
        <v>2</v>
      </c>
      <c r="AJ1693">
        <v>0</v>
      </c>
      <c r="AK1693" t="s">
        <v>610</v>
      </c>
      <c r="AL1693">
        <v>39.029359999999997</v>
      </c>
      <c r="AM1693" t="s">
        <v>611</v>
      </c>
      <c r="AN1693">
        <v>-121.046505</v>
      </c>
      <c r="AO1693">
        <v>25</v>
      </c>
      <c r="AP1693">
        <v>4100</v>
      </c>
      <c r="AQ1693" t="s">
        <v>131</v>
      </c>
      <c r="AR1693">
        <v>15</v>
      </c>
      <c r="AS1693">
        <v>83</v>
      </c>
      <c r="AT1693">
        <v>448</v>
      </c>
      <c r="BB1693" t="str">
        <f t="shared" si="662"/>
        <v>1200</v>
      </c>
      <c r="BC1693">
        <v>1</v>
      </c>
      <c r="BD1693" t="str">
        <f t="shared" si="663"/>
        <v xml:space="preserve">N52156  </v>
      </c>
      <c r="BE1693">
        <v>1</v>
      </c>
      <c r="BG1693">
        <v>0</v>
      </c>
      <c r="BH1693">
        <v>0</v>
      </c>
      <c r="BI1693">
        <v>0</v>
      </c>
      <c r="BJ1693">
        <v>4075</v>
      </c>
      <c r="BK1693">
        <v>-25</v>
      </c>
      <c r="BL1693" t="s">
        <v>188</v>
      </c>
      <c r="BM1693">
        <v>1</v>
      </c>
      <c r="BN1693">
        <v>1</v>
      </c>
      <c r="BO1693">
        <v>0</v>
      </c>
      <c r="BP1693">
        <v>0</v>
      </c>
      <c r="BS1693">
        <v>0</v>
      </c>
      <c r="BT1693">
        <v>0</v>
      </c>
      <c r="BU1693">
        <v>0</v>
      </c>
      <c r="CE1693" t="str">
        <f t="shared" si="671"/>
        <v>15:09:13.230</v>
      </c>
      <c r="CF1693">
        <v>230208987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5</v>
      </c>
      <c r="CY1693">
        <v>7</v>
      </c>
      <c r="CZ1693" t="s">
        <v>133</v>
      </c>
      <c r="DA1693">
        <v>275</v>
      </c>
      <c r="DB1693">
        <v>0</v>
      </c>
      <c r="DC1693" t="s">
        <v>134</v>
      </c>
      <c r="DD1693" t="s">
        <v>135</v>
      </c>
      <c r="DG1693">
        <v>3320719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"05/01/2025 15:09:14.510"</f>
        <v>05/01/2025 15:09:14.510</v>
      </c>
      <c r="C1694" t="str">
        <f t="shared" si="660"/>
        <v>FFDFD3C0</v>
      </c>
      <c r="D1694" t="s">
        <v>136</v>
      </c>
      <c r="E1694" t="str">
        <f>"20"</f>
        <v>20</v>
      </c>
      <c r="H1694">
        <v>400</v>
      </c>
      <c r="I1694" t="s">
        <v>137</v>
      </c>
      <c r="J1694" t="s">
        <v>138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R1694" t="s">
        <v>127</v>
      </c>
      <c r="S1694" t="str">
        <f t="shared" ref="S1694:T1699" si="672">"15:09:14.000"</f>
        <v>15:09:14.000</v>
      </c>
      <c r="T1694" t="str">
        <f t="shared" si="672"/>
        <v>15:09:14.000</v>
      </c>
      <c r="U1694" t="str">
        <f t="shared" si="661"/>
        <v>A68FCB</v>
      </c>
      <c r="V1694">
        <v>0</v>
      </c>
      <c r="W1694">
        <v>0</v>
      </c>
      <c r="X1694">
        <v>2</v>
      </c>
      <c r="Y1694">
        <v>0</v>
      </c>
      <c r="AA1694">
        <v>1</v>
      </c>
      <c r="AB1694">
        <v>8</v>
      </c>
      <c r="AC1694">
        <v>3</v>
      </c>
      <c r="AD1694">
        <v>0</v>
      </c>
      <c r="AE1694">
        <v>9</v>
      </c>
      <c r="AF1694" t="s">
        <v>138</v>
      </c>
      <c r="AG1694">
        <v>0</v>
      </c>
      <c r="AH1694">
        <v>3</v>
      </c>
      <c r="AI1694">
        <v>2</v>
      </c>
      <c r="AJ1694">
        <v>0</v>
      </c>
      <c r="AK1694" t="s">
        <v>612</v>
      </c>
      <c r="AL1694">
        <v>39.029767999999997</v>
      </c>
      <c r="AM1694" t="s">
        <v>613</v>
      </c>
      <c r="AN1694">
        <v>-121.046419</v>
      </c>
      <c r="AO1694">
        <v>25</v>
      </c>
      <c r="AP1694">
        <v>4100</v>
      </c>
      <c r="AQ1694" t="s">
        <v>131</v>
      </c>
      <c r="AR1694">
        <v>14</v>
      </c>
      <c r="AS1694">
        <v>83</v>
      </c>
      <c r="AT1694">
        <v>512</v>
      </c>
      <c r="BB1694" t="str">
        <f t="shared" si="662"/>
        <v>1200</v>
      </c>
      <c r="BC1694">
        <v>1</v>
      </c>
      <c r="BD1694" t="str">
        <f t="shared" si="663"/>
        <v xml:space="preserve">N52156  </v>
      </c>
      <c r="BE1694">
        <v>1</v>
      </c>
      <c r="BG1694">
        <v>0</v>
      </c>
      <c r="BH1694">
        <v>0</v>
      </c>
      <c r="BI1694">
        <v>0</v>
      </c>
      <c r="BJ1694">
        <v>4100</v>
      </c>
      <c r="BK1694">
        <v>0</v>
      </c>
      <c r="BL1694" t="s">
        <v>188</v>
      </c>
      <c r="BM1694">
        <v>1</v>
      </c>
      <c r="BN1694">
        <v>1</v>
      </c>
      <c r="BO1694">
        <v>0</v>
      </c>
      <c r="BP1694">
        <v>0</v>
      </c>
      <c r="BS1694">
        <v>0</v>
      </c>
      <c r="BT1694">
        <v>0</v>
      </c>
      <c r="BU1694">
        <v>0</v>
      </c>
      <c r="CE1694" t="str">
        <f t="shared" ref="CE1694:CE1699" si="673">"15:09:14.304"</f>
        <v>15:09:14.304</v>
      </c>
      <c r="CF1694">
        <v>303959214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4</v>
      </c>
      <c r="CY1694">
        <v>7</v>
      </c>
      <c r="CZ1694" t="s">
        <v>133</v>
      </c>
      <c r="DA1694">
        <v>275</v>
      </c>
      <c r="DB1694">
        <v>0</v>
      </c>
      <c r="DC1694" t="s">
        <v>134</v>
      </c>
      <c r="DD1694" t="s">
        <v>135</v>
      </c>
      <c r="DG1694">
        <v>3320726</v>
      </c>
      <c r="DI1694">
        <v>1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"05/01/2025 15:09:14.539"</f>
        <v>05/01/2025 15:09:14.539</v>
      </c>
      <c r="C1695" t="str">
        <f t="shared" si="660"/>
        <v>FFDFD3C0</v>
      </c>
      <c r="D1695" t="s">
        <v>140</v>
      </c>
      <c r="E1695" t="str">
        <f>"13"</f>
        <v>13</v>
      </c>
      <c r="F1695">
        <v>1019</v>
      </c>
      <c r="G1695" t="s">
        <v>141</v>
      </c>
      <c r="J1695" t="s">
        <v>142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R1695" t="s">
        <v>127</v>
      </c>
      <c r="S1695" t="str">
        <f t="shared" si="672"/>
        <v>15:09:14.000</v>
      </c>
      <c r="T1695" t="str">
        <f t="shared" si="672"/>
        <v>15:09:14.000</v>
      </c>
      <c r="U1695" t="str">
        <f t="shared" si="661"/>
        <v>A68FCB</v>
      </c>
      <c r="V1695">
        <v>0</v>
      </c>
      <c r="W1695">
        <v>0</v>
      </c>
      <c r="X1695">
        <v>2</v>
      </c>
      <c r="Y1695">
        <v>0</v>
      </c>
      <c r="AA1695">
        <v>1</v>
      </c>
      <c r="AB1695">
        <v>8</v>
      </c>
      <c r="AC1695">
        <v>3</v>
      </c>
      <c r="AD1695">
        <v>0</v>
      </c>
      <c r="AE1695">
        <v>9</v>
      </c>
      <c r="AF1695" t="s">
        <v>138</v>
      </c>
      <c r="AG1695">
        <v>0</v>
      </c>
      <c r="AH1695">
        <v>3</v>
      </c>
      <c r="AI1695">
        <v>2</v>
      </c>
      <c r="AJ1695">
        <v>0</v>
      </c>
      <c r="AK1695" t="s">
        <v>612</v>
      </c>
      <c r="AL1695">
        <v>39.029767999999997</v>
      </c>
      <c r="AM1695" t="s">
        <v>613</v>
      </c>
      <c r="AN1695">
        <v>-121.046419</v>
      </c>
      <c r="AO1695">
        <v>25</v>
      </c>
      <c r="AP1695">
        <v>4100</v>
      </c>
      <c r="AQ1695" t="s">
        <v>131</v>
      </c>
      <c r="AR1695">
        <v>14</v>
      </c>
      <c r="AS1695">
        <v>83</v>
      </c>
      <c r="AT1695">
        <v>512</v>
      </c>
      <c r="BB1695" t="str">
        <f t="shared" si="662"/>
        <v>1200</v>
      </c>
      <c r="BC1695">
        <v>1</v>
      </c>
      <c r="BD1695" t="str">
        <f t="shared" si="663"/>
        <v xml:space="preserve">N52156  </v>
      </c>
      <c r="BE1695">
        <v>1</v>
      </c>
      <c r="BG1695">
        <v>0</v>
      </c>
      <c r="BH1695">
        <v>0</v>
      </c>
      <c r="BI1695">
        <v>0</v>
      </c>
      <c r="BJ1695">
        <v>4100</v>
      </c>
      <c r="BK1695">
        <v>0</v>
      </c>
      <c r="BL1695" t="s">
        <v>188</v>
      </c>
      <c r="BM1695">
        <v>1</v>
      </c>
      <c r="BN1695">
        <v>1</v>
      </c>
      <c r="BO1695">
        <v>0</v>
      </c>
      <c r="BP1695">
        <v>0</v>
      </c>
      <c r="BS1695">
        <v>0</v>
      </c>
      <c r="BT1695">
        <v>0</v>
      </c>
      <c r="BU1695">
        <v>0</v>
      </c>
      <c r="CE1695" t="str">
        <f t="shared" si="673"/>
        <v>15:09:14.304</v>
      </c>
      <c r="CF1695">
        <v>303959214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4</v>
      </c>
      <c r="CY1695">
        <v>7</v>
      </c>
      <c r="CZ1695" t="s">
        <v>133</v>
      </c>
      <c r="DA1695">
        <v>275</v>
      </c>
      <c r="DB1695">
        <v>0</v>
      </c>
      <c r="DC1695" t="s">
        <v>134</v>
      </c>
      <c r="DD1695" t="s">
        <v>135</v>
      </c>
      <c r="DG1695">
        <v>3320726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"05/01/2025 15:09:14.547"</f>
        <v>05/01/2025 15:09:14.547</v>
      </c>
      <c r="C1696" t="str">
        <f t="shared" si="660"/>
        <v>FFDFD3C0</v>
      </c>
      <c r="D1696" t="s">
        <v>145</v>
      </c>
      <c r="E1696" t="str">
        <f>"05"</f>
        <v>05</v>
      </c>
      <c r="H1696">
        <v>47</v>
      </c>
      <c r="I1696" t="s">
        <v>146</v>
      </c>
      <c r="J1696" t="s">
        <v>138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R1696" t="s">
        <v>127</v>
      </c>
      <c r="S1696" t="str">
        <f t="shared" si="672"/>
        <v>15:09:14.000</v>
      </c>
      <c r="T1696" t="str">
        <f t="shared" si="672"/>
        <v>15:09:14.000</v>
      </c>
      <c r="U1696" t="str">
        <f t="shared" si="661"/>
        <v>A68FCB</v>
      </c>
      <c r="V1696">
        <v>0</v>
      </c>
      <c r="W1696">
        <v>0</v>
      </c>
      <c r="X1696">
        <v>2</v>
      </c>
      <c r="Y1696">
        <v>0</v>
      </c>
      <c r="AA1696">
        <v>1</v>
      </c>
      <c r="AB1696">
        <v>8</v>
      </c>
      <c r="AC1696">
        <v>3</v>
      </c>
      <c r="AD1696">
        <v>0</v>
      </c>
      <c r="AE1696">
        <v>9</v>
      </c>
      <c r="AF1696" t="s">
        <v>138</v>
      </c>
      <c r="AG1696">
        <v>0</v>
      </c>
      <c r="AH1696">
        <v>3</v>
      </c>
      <c r="AI1696">
        <v>2</v>
      </c>
      <c r="AJ1696">
        <v>0</v>
      </c>
      <c r="AK1696" t="s">
        <v>612</v>
      </c>
      <c r="AL1696">
        <v>39.029767999999997</v>
      </c>
      <c r="AM1696" t="s">
        <v>613</v>
      </c>
      <c r="AN1696">
        <v>-121.046419</v>
      </c>
      <c r="AO1696">
        <v>25</v>
      </c>
      <c r="AP1696">
        <v>4100</v>
      </c>
      <c r="AQ1696" t="s">
        <v>131</v>
      </c>
      <c r="AR1696">
        <v>14</v>
      </c>
      <c r="AS1696">
        <v>83</v>
      </c>
      <c r="AT1696">
        <v>512</v>
      </c>
      <c r="BB1696" t="str">
        <f t="shared" si="662"/>
        <v>1200</v>
      </c>
      <c r="BC1696">
        <v>1</v>
      </c>
      <c r="BD1696" t="str">
        <f t="shared" si="663"/>
        <v xml:space="preserve">N52156  </v>
      </c>
      <c r="BE1696">
        <v>1</v>
      </c>
      <c r="BG1696">
        <v>0</v>
      </c>
      <c r="BH1696">
        <v>0</v>
      </c>
      <c r="BI1696">
        <v>0</v>
      </c>
      <c r="BJ1696">
        <v>4100</v>
      </c>
      <c r="BK1696">
        <v>0</v>
      </c>
      <c r="BL1696" t="s">
        <v>188</v>
      </c>
      <c r="BM1696">
        <v>1</v>
      </c>
      <c r="BN1696">
        <v>1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 t="shared" si="673"/>
        <v>15:09:14.304</v>
      </c>
      <c r="CF1696">
        <v>303959214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4</v>
      </c>
      <c r="CY1696">
        <v>7</v>
      </c>
      <c r="CZ1696" t="s">
        <v>133</v>
      </c>
      <c r="DA1696">
        <v>275</v>
      </c>
      <c r="DB1696">
        <v>0</v>
      </c>
      <c r="DC1696" t="s">
        <v>134</v>
      </c>
      <c r="DD1696" t="s">
        <v>135</v>
      </c>
      <c r="DG1696">
        <v>3320726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"05/01/2025 15:09:14.551"</f>
        <v>05/01/2025 15:09:14.551</v>
      </c>
      <c r="C1697" t="str">
        <f t="shared" si="660"/>
        <v>FFDFD3C0</v>
      </c>
      <c r="D1697" t="s">
        <v>124</v>
      </c>
      <c r="E1697" t="str">
        <f>"06"</f>
        <v>06</v>
      </c>
      <c r="F1697">
        <v>2006</v>
      </c>
      <c r="G1697" t="s">
        <v>125</v>
      </c>
      <c r="J1697" t="s">
        <v>126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R1697" t="s">
        <v>127</v>
      </c>
      <c r="S1697" t="str">
        <f t="shared" si="672"/>
        <v>15:09:14.000</v>
      </c>
      <c r="T1697" t="str">
        <f t="shared" si="672"/>
        <v>15:09:14.000</v>
      </c>
      <c r="U1697" t="str">
        <f t="shared" si="661"/>
        <v>A68FCB</v>
      </c>
      <c r="V1697">
        <v>0</v>
      </c>
      <c r="W1697">
        <v>0</v>
      </c>
      <c r="X1697">
        <v>2</v>
      </c>
      <c r="Y1697">
        <v>0</v>
      </c>
      <c r="AA1697">
        <v>1</v>
      </c>
      <c r="AB1697">
        <v>8</v>
      </c>
      <c r="AC1697">
        <v>3</v>
      </c>
      <c r="AD1697">
        <v>0</v>
      </c>
      <c r="AE1697">
        <v>9</v>
      </c>
      <c r="AF1697" t="s">
        <v>138</v>
      </c>
      <c r="AG1697">
        <v>0</v>
      </c>
      <c r="AH1697">
        <v>3</v>
      </c>
      <c r="AI1697">
        <v>2</v>
      </c>
      <c r="AJ1697">
        <v>0</v>
      </c>
      <c r="AK1697" t="s">
        <v>612</v>
      </c>
      <c r="AL1697">
        <v>39.029767999999997</v>
      </c>
      <c r="AM1697" t="s">
        <v>613</v>
      </c>
      <c r="AN1697">
        <v>-121.046419</v>
      </c>
      <c r="AO1697">
        <v>25</v>
      </c>
      <c r="AP1697">
        <v>4100</v>
      </c>
      <c r="AQ1697" t="s">
        <v>131</v>
      </c>
      <c r="AR1697">
        <v>14</v>
      </c>
      <c r="AS1697">
        <v>83</v>
      </c>
      <c r="AT1697">
        <v>512</v>
      </c>
      <c r="BB1697" t="str">
        <f t="shared" si="662"/>
        <v>1200</v>
      </c>
      <c r="BC1697">
        <v>1</v>
      </c>
      <c r="BD1697" t="str">
        <f t="shared" si="663"/>
        <v xml:space="preserve">N52156  </v>
      </c>
      <c r="BE1697">
        <v>1</v>
      </c>
      <c r="BG1697">
        <v>0</v>
      </c>
      <c r="BH1697">
        <v>0</v>
      </c>
      <c r="BI1697">
        <v>0</v>
      </c>
      <c r="BJ1697">
        <v>4100</v>
      </c>
      <c r="BK1697">
        <v>0</v>
      </c>
      <c r="BL1697" t="s">
        <v>188</v>
      </c>
      <c r="BM1697">
        <v>1</v>
      </c>
      <c r="BN1697">
        <v>1</v>
      </c>
      <c r="BO1697">
        <v>0</v>
      </c>
      <c r="BP1697">
        <v>0</v>
      </c>
      <c r="BS1697">
        <v>0</v>
      </c>
      <c r="BT1697">
        <v>0</v>
      </c>
      <c r="BU1697">
        <v>0</v>
      </c>
      <c r="CE1697" t="str">
        <f t="shared" si="673"/>
        <v>15:09:14.304</v>
      </c>
      <c r="CF1697">
        <v>303959214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4</v>
      </c>
      <c r="CY1697">
        <v>7</v>
      </c>
      <c r="CZ1697" t="s">
        <v>133</v>
      </c>
      <c r="DA1697">
        <v>275</v>
      </c>
      <c r="DB1697">
        <v>0</v>
      </c>
      <c r="DC1697" t="s">
        <v>134</v>
      </c>
      <c r="DD1697" t="s">
        <v>135</v>
      </c>
      <c r="DG1697">
        <v>3320726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"05/01/2025 15:09:14.550"</f>
        <v>05/01/2025 15:09:14.550</v>
      </c>
      <c r="C1698" t="str">
        <f t="shared" si="660"/>
        <v>FFDFD3C0</v>
      </c>
      <c r="D1698" t="s">
        <v>145</v>
      </c>
      <c r="E1698" t="str">
        <f>"09"</f>
        <v>09</v>
      </c>
      <c r="H1698">
        <v>51</v>
      </c>
      <c r="I1698" t="s">
        <v>147</v>
      </c>
      <c r="J1698" t="s">
        <v>138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R1698" t="s">
        <v>127</v>
      </c>
      <c r="S1698" t="str">
        <f t="shared" si="672"/>
        <v>15:09:14.000</v>
      </c>
      <c r="T1698" t="str">
        <f t="shared" si="672"/>
        <v>15:09:14.000</v>
      </c>
      <c r="U1698" t="str">
        <f t="shared" si="661"/>
        <v>A68FCB</v>
      </c>
      <c r="V1698">
        <v>0</v>
      </c>
      <c r="W1698">
        <v>0</v>
      </c>
      <c r="X1698">
        <v>2</v>
      </c>
      <c r="Y1698">
        <v>0</v>
      </c>
      <c r="AA1698">
        <v>1</v>
      </c>
      <c r="AB1698">
        <v>8</v>
      </c>
      <c r="AC1698">
        <v>3</v>
      </c>
      <c r="AD1698">
        <v>0</v>
      </c>
      <c r="AE1698">
        <v>9</v>
      </c>
      <c r="AF1698" t="s">
        <v>138</v>
      </c>
      <c r="AG1698">
        <v>0</v>
      </c>
      <c r="AH1698">
        <v>3</v>
      </c>
      <c r="AI1698">
        <v>2</v>
      </c>
      <c r="AJ1698">
        <v>0</v>
      </c>
      <c r="AK1698" t="s">
        <v>612</v>
      </c>
      <c r="AL1698">
        <v>39.029767999999997</v>
      </c>
      <c r="AM1698" t="s">
        <v>613</v>
      </c>
      <c r="AN1698">
        <v>-121.046419</v>
      </c>
      <c r="AO1698">
        <v>25</v>
      </c>
      <c r="AP1698">
        <v>4100</v>
      </c>
      <c r="AQ1698" t="s">
        <v>131</v>
      </c>
      <c r="AR1698">
        <v>14</v>
      </c>
      <c r="AS1698">
        <v>83</v>
      </c>
      <c r="AT1698">
        <v>512</v>
      </c>
      <c r="BB1698" t="str">
        <f t="shared" si="662"/>
        <v>1200</v>
      </c>
      <c r="BC1698">
        <v>1</v>
      </c>
      <c r="BD1698" t="str">
        <f t="shared" si="663"/>
        <v xml:space="preserve">N52156  </v>
      </c>
      <c r="BE1698">
        <v>1</v>
      </c>
      <c r="BG1698">
        <v>0</v>
      </c>
      <c r="BH1698">
        <v>0</v>
      </c>
      <c r="BI1698">
        <v>0</v>
      </c>
      <c r="BJ1698">
        <v>4100</v>
      </c>
      <c r="BK1698">
        <v>0</v>
      </c>
      <c r="BL1698" t="s">
        <v>188</v>
      </c>
      <c r="BM1698">
        <v>1</v>
      </c>
      <c r="BN1698">
        <v>1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 t="shared" si="673"/>
        <v>15:09:14.304</v>
      </c>
      <c r="CF1698">
        <v>303959214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4</v>
      </c>
      <c r="CY1698">
        <v>7</v>
      </c>
      <c r="CZ1698" t="s">
        <v>133</v>
      </c>
      <c r="DA1698">
        <v>275</v>
      </c>
      <c r="DB1698">
        <v>0</v>
      </c>
      <c r="DC1698" t="s">
        <v>134</v>
      </c>
      <c r="DD1698" t="s">
        <v>135</v>
      </c>
      <c r="DG1698">
        <v>3320726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"05/01/2025 15:09:14.555"</f>
        <v>05/01/2025 15:09:14.555</v>
      </c>
      <c r="C1699" t="str">
        <f t="shared" si="660"/>
        <v>FFDFD3C0</v>
      </c>
      <c r="D1699" t="s">
        <v>143</v>
      </c>
      <c r="E1699" t="str">
        <f>"05"</f>
        <v>05</v>
      </c>
      <c r="H1699">
        <v>172</v>
      </c>
      <c r="I1699" t="s">
        <v>141</v>
      </c>
      <c r="J1699" t="s">
        <v>144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R1699" t="s">
        <v>127</v>
      </c>
      <c r="S1699" t="str">
        <f t="shared" si="672"/>
        <v>15:09:14.000</v>
      </c>
      <c r="T1699" t="str">
        <f t="shared" si="672"/>
        <v>15:09:14.000</v>
      </c>
      <c r="U1699" t="str">
        <f t="shared" si="661"/>
        <v>A68FCB</v>
      </c>
      <c r="V1699">
        <v>0</v>
      </c>
      <c r="W1699">
        <v>0</v>
      </c>
      <c r="X1699">
        <v>2</v>
      </c>
      <c r="Y1699">
        <v>0</v>
      </c>
      <c r="AA1699">
        <v>1</v>
      </c>
      <c r="AB1699">
        <v>8</v>
      </c>
      <c r="AC1699">
        <v>3</v>
      </c>
      <c r="AD1699">
        <v>0</v>
      </c>
      <c r="AE1699">
        <v>9</v>
      </c>
      <c r="AF1699" t="s">
        <v>138</v>
      </c>
      <c r="AG1699">
        <v>0</v>
      </c>
      <c r="AH1699">
        <v>3</v>
      </c>
      <c r="AI1699">
        <v>2</v>
      </c>
      <c r="AJ1699">
        <v>0</v>
      </c>
      <c r="AK1699" t="s">
        <v>612</v>
      </c>
      <c r="AL1699">
        <v>39.029767999999997</v>
      </c>
      <c r="AM1699" t="s">
        <v>613</v>
      </c>
      <c r="AN1699">
        <v>-121.046419</v>
      </c>
      <c r="AO1699">
        <v>25</v>
      </c>
      <c r="AP1699">
        <v>4100</v>
      </c>
      <c r="AQ1699" t="s">
        <v>131</v>
      </c>
      <c r="AR1699">
        <v>14</v>
      </c>
      <c r="AS1699">
        <v>83</v>
      </c>
      <c r="AT1699">
        <v>512</v>
      </c>
      <c r="BB1699" t="str">
        <f t="shared" si="662"/>
        <v>1200</v>
      </c>
      <c r="BC1699">
        <v>1</v>
      </c>
      <c r="BD1699" t="str">
        <f t="shared" si="663"/>
        <v xml:space="preserve">N52156  </v>
      </c>
      <c r="BE1699">
        <v>1</v>
      </c>
      <c r="BG1699">
        <v>0</v>
      </c>
      <c r="BH1699">
        <v>0</v>
      </c>
      <c r="BI1699">
        <v>0</v>
      </c>
      <c r="BJ1699">
        <v>4100</v>
      </c>
      <c r="BK1699">
        <v>0</v>
      </c>
      <c r="BL1699" t="s">
        <v>188</v>
      </c>
      <c r="BM1699">
        <v>1</v>
      </c>
      <c r="BN1699">
        <v>1</v>
      </c>
      <c r="BO1699">
        <v>0</v>
      </c>
      <c r="BP1699">
        <v>0</v>
      </c>
      <c r="BS1699">
        <v>0</v>
      </c>
      <c r="BT1699">
        <v>0</v>
      </c>
      <c r="BU1699">
        <v>0</v>
      </c>
      <c r="CE1699" t="str">
        <f t="shared" si="673"/>
        <v>15:09:14.304</v>
      </c>
      <c r="CF1699">
        <v>303959214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4</v>
      </c>
      <c r="CY1699">
        <v>7</v>
      </c>
      <c r="CZ1699" t="s">
        <v>133</v>
      </c>
      <c r="DA1699">
        <v>275</v>
      </c>
      <c r="DB1699">
        <v>0</v>
      </c>
      <c r="DC1699" t="s">
        <v>134</v>
      </c>
      <c r="DD1699" t="s">
        <v>135</v>
      </c>
      <c r="DG1699">
        <v>3320726</v>
      </c>
      <c r="DI1699">
        <v>1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"05/01/2025 15:09:16.091"</f>
        <v>05/01/2025 15:09:16.091</v>
      </c>
      <c r="C1700" t="str">
        <f t="shared" si="660"/>
        <v>FFDFD3C0</v>
      </c>
      <c r="D1700" t="s">
        <v>140</v>
      </c>
      <c r="E1700" t="str">
        <f>"13"</f>
        <v>13</v>
      </c>
      <c r="F1700">
        <v>1019</v>
      </c>
      <c r="G1700" t="s">
        <v>141</v>
      </c>
      <c r="J1700" t="s">
        <v>142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R1700" t="s">
        <v>127</v>
      </c>
      <c r="S1700" t="str">
        <f t="shared" ref="S1700:T1705" si="674">"15:09:15.000"</f>
        <v>15:09:15.000</v>
      </c>
      <c r="T1700" t="str">
        <f t="shared" si="674"/>
        <v>15:09:15.000</v>
      </c>
      <c r="U1700" t="str">
        <f t="shared" si="661"/>
        <v>A68FCB</v>
      </c>
      <c r="V1700">
        <v>0</v>
      </c>
      <c r="W1700">
        <v>0</v>
      </c>
      <c r="X1700">
        <v>2</v>
      </c>
      <c r="Y1700">
        <v>0</v>
      </c>
      <c r="AA1700">
        <v>1</v>
      </c>
      <c r="AB1700">
        <v>8</v>
      </c>
      <c r="AC1700">
        <v>3</v>
      </c>
      <c r="AD1700">
        <v>0</v>
      </c>
      <c r="AE1700">
        <v>9</v>
      </c>
      <c r="AF1700" t="s">
        <v>138</v>
      </c>
      <c r="AG1700">
        <v>0</v>
      </c>
      <c r="AH1700">
        <v>3</v>
      </c>
      <c r="AI1700">
        <v>2</v>
      </c>
      <c r="AJ1700">
        <v>0</v>
      </c>
      <c r="AK1700" t="s">
        <v>614</v>
      </c>
      <c r="AL1700">
        <v>39.030154000000003</v>
      </c>
      <c r="AM1700" t="s">
        <v>615</v>
      </c>
      <c r="AN1700">
        <v>-121.046333</v>
      </c>
      <c r="AO1700">
        <v>25</v>
      </c>
      <c r="AP1700">
        <v>4100</v>
      </c>
      <c r="AQ1700" t="s">
        <v>131</v>
      </c>
      <c r="AR1700">
        <v>13</v>
      </c>
      <c r="AS1700">
        <v>83</v>
      </c>
      <c r="AT1700">
        <v>640</v>
      </c>
      <c r="BB1700" t="str">
        <f t="shared" si="662"/>
        <v>1200</v>
      </c>
      <c r="BC1700">
        <v>1</v>
      </c>
      <c r="BD1700" t="str">
        <f t="shared" si="663"/>
        <v xml:space="preserve">N52156  </v>
      </c>
      <c r="BE1700">
        <v>1</v>
      </c>
      <c r="BG1700">
        <v>0</v>
      </c>
      <c r="BH1700">
        <v>0</v>
      </c>
      <c r="BI1700">
        <v>0</v>
      </c>
      <c r="BJ1700">
        <v>4100</v>
      </c>
      <c r="BK1700">
        <v>0</v>
      </c>
      <c r="BL1700" t="s">
        <v>188</v>
      </c>
      <c r="BM1700">
        <v>1</v>
      </c>
      <c r="BN1700">
        <v>1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 t="shared" ref="CE1700:CE1705" si="675">"15:09:15.884"</f>
        <v>15:09:15.884</v>
      </c>
      <c r="CF1700">
        <v>884123499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5</v>
      </c>
      <c r="CY1700">
        <v>7</v>
      </c>
      <c r="CZ1700" t="s">
        <v>133</v>
      </c>
      <c r="DA1700">
        <v>273</v>
      </c>
      <c r="DB1700">
        <v>0</v>
      </c>
      <c r="DC1700" t="s">
        <v>292</v>
      </c>
      <c r="DD1700" t="s">
        <v>293</v>
      </c>
      <c r="DG1700">
        <v>4862631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"05/01/2025 15:09:16.100"</f>
        <v>05/01/2025 15:09:16.100</v>
      </c>
      <c r="C1701" t="str">
        <f t="shared" si="660"/>
        <v>FFDFD3C0</v>
      </c>
      <c r="D1701" t="s">
        <v>145</v>
      </c>
      <c r="E1701" t="str">
        <f>"05"</f>
        <v>05</v>
      </c>
      <c r="H1701">
        <v>47</v>
      </c>
      <c r="I1701" t="s">
        <v>146</v>
      </c>
      <c r="J1701" t="s">
        <v>138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R1701" t="s">
        <v>127</v>
      </c>
      <c r="S1701" t="str">
        <f t="shared" si="674"/>
        <v>15:09:15.000</v>
      </c>
      <c r="T1701" t="str">
        <f t="shared" si="674"/>
        <v>15:09:15.000</v>
      </c>
      <c r="U1701" t="str">
        <f t="shared" si="661"/>
        <v>A68FCB</v>
      </c>
      <c r="V1701">
        <v>0</v>
      </c>
      <c r="W1701">
        <v>0</v>
      </c>
      <c r="X1701">
        <v>2</v>
      </c>
      <c r="Y1701">
        <v>0</v>
      </c>
      <c r="AA1701">
        <v>1</v>
      </c>
      <c r="AB1701">
        <v>8</v>
      </c>
      <c r="AC1701">
        <v>3</v>
      </c>
      <c r="AD1701">
        <v>0</v>
      </c>
      <c r="AE1701">
        <v>9</v>
      </c>
      <c r="AF1701" t="s">
        <v>138</v>
      </c>
      <c r="AG1701">
        <v>0</v>
      </c>
      <c r="AH1701">
        <v>3</v>
      </c>
      <c r="AI1701">
        <v>2</v>
      </c>
      <c r="AJ1701">
        <v>0</v>
      </c>
      <c r="AK1701" t="s">
        <v>614</v>
      </c>
      <c r="AL1701">
        <v>39.030154000000003</v>
      </c>
      <c r="AM1701" t="s">
        <v>615</v>
      </c>
      <c r="AN1701">
        <v>-121.046333</v>
      </c>
      <c r="AO1701">
        <v>25</v>
      </c>
      <c r="AP1701">
        <v>4100</v>
      </c>
      <c r="AQ1701" t="s">
        <v>131</v>
      </c>
      <c r="AR1701">
        <v>13</v>
      </c>
      <c r="AS1701">
        <v>83</v>
      </c>
      <c r="AT1701">
        <v>640</v>
      </c>
      <c r="BB1701" t="str">
        <f t="shared" si="662"/>
        <v>1200</v>
      </c>
      <c r="BC1701">
        <v>1</v>
      </c>
      <c r="BD1701" t="str">
        <f t="shared" si="663"/>
        <v xml:space="preserve">N52156  </v>
      </c>
      <c r="BE1701">
        <v>1</v>
      </c>
      <c r="BG1701">
        <v>0</v>
      </c>
      <c r="BH1701">
        <v>0</v>
      </c>
      <c r="BI1701">
        <v>0</v>
      </c>
      <c r="BJ1701">
        <v>4100</v>
      </c>
      <c r="BK1701">
        <v>0</v>
      </c>
      <c r="BL1701" t="s">
        <v>188</v>
      </c>
      <c r="BM1701">
        <v>1</v>
      </c>
      <c r="BN1701">
        <v>1</v>
      </c>
      <c r="BO1701">
        <v>0</v>
      </c>
      <c r="BP1701">
        <v>0</v>
      </c>
      <c r="BS1701">
        <v>0</v>
      </c>
      <c r="BT1701">
        <v>0</v>
      </c>
      <c r="BU1701">
        <v>0</v>
      </c>
      <c r="CE1701" t="str">
        <f t="shared" si="675"/>
        <v>15:09:15.884</v>
      </c>
      <c r="CF1701">
        <v>884123499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5</v>
      </c>
      <c r="CY1701">
        <v>7</v>
      </c>
      <c r="CZ1701" t="s">
        <v>133</v>
      </c>
      <c r="DA1701">
        <v>273</v>
      </c>
      <c r="DB1701">
        <v>0</v>
      </c>
      <c r="DC1701" t="s">
        <v>292</v>
      </c>
      <c r="DD1701" t="s">
        <v>293</v>
      </c>
      <c r="DG1701">
        <v>4862631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"05/01/2025 15:09:16.103"</f>
        <v>05/01/2025 15:09:16.103</v>
      </c>
      <c r="C1702" t="str">
        <f t="shared" si="660"/>
        <v>FFDFD3C0</v>
      </c>
      <c r="D1702" t="s">
        <v>145</v>
      </c>
      <c r="E1702" t="str">
        <f>"09"</f>
        <v>09</v>
      </c>
      <c r="H1702">
        <v>51</v>
      </c>
      <c r="I1702" t="s">
        <v>147</v>
      </c>
      <c r="J1702" t="s">
        <v>138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R1702" t="s">
        <v>127</v>
      </c>
      <c r="S1702" t="str">
        <f t="shared" si="674"/>
        <v>15:09:15.000</v>
      </c>
      <c r="T1702" t="str">
        <f t="shared" si="674"/>
        <v>15:09:15.000</v>
      </c>
      <c r="U1702" t="str">
        <f t="shared" si="661"/>
        <v>A68FCB</v>
      </c>
      <c r="V1702">
        <v>0</v>
      </c>
      <c r="W1702">
        <v>0</v>
      </c>
      <c r="X1702">
        <v>2</v>
      </c>
      <c r="Y1702">
        <v>0</v>
      </c>
      <c r="AA1702">
        <v>1</v>
      </c>
      <c r="AB1702">
        <v>8</v>
      </c>
      <c r="AC1702">
        <v>3</v>
      </c>
      <c r="AD1702">
        <v>0</v>
      </c>
      <c r="AE1702">
        <v>9</v>
      </c>
      <c r="AF1702" t="s">
        <v>138</v>
      </c>
      <c r="AG1702">
        <v>0</v>
      </c>
      <c r="AH1702">
        <v>3</v>
      </c>
      <c r="AI1702">
        <v>2</v>
      </c>
      <c r="AJ1702">
        <v>0</v>
      </c>
      <c r="AK1702" t="s">
        <v>614</v>
      </c>
      <c r="AL1702">
        <v>39.030154000000003</v>
      </c>
      <c r="AM1702" t="s">
        <v>615</v>
      </c>
      <c r="AN1702">
        <v>-121.046333</v>
      </c>
      <c r="AO1702">
        <v>25</v>
      </c>
      <c r="AP1702">
        <v>4100</v>
      </c>
      <c r="AQ1702" t="s">
        <v>131</v>
      </c>
      <c r="AR1702">
        <v>13</v>
      </c>
      <c r="AS1702">
        <v>83</v>
      </c>
      <c r="AT1702">
        <v>640</v>
      </c>
      <c r="BB1702" t="str">
        <f t="shared" si="662"/>
        <v>1200</v>
      </c>
      <c r="BC1702">
        <v>1</v>
      </c>
      <c r="BD1702" t="str">
        <f t="shared" si="663"/>
        <v xml:space="preserve">N52156  </v>
      </c>
      <c r="BE1702">
        <v>1</v>
      </c>
      <c r="BG1702">
        <v>0</v>
      </c>
      <c r="BH1702">
        <v>0</v>
      </c>
      <c r="BI1702">
        <v>0</v>
      </c>
      <c r="BJ1702">
        <v>4100</v>
      </c>
      <c r="BK1702">
        <v>0</v>
      </c>
      <c r="BL1702" t="s">
        <v>188</v>
      </c>
      <c r="BM1702">
        <v>1</v>
      </c>
      <c r="BN1702">
        <v>1</v>
      </c>
      <c r="BO1702">
        <v>0</v>
      </c>
      <c r="BP1702">
        <v>0</v>
      </c>
      <c r="BS1702">
        <v>0</v>
      </c>
      <c r="BT1702">
        <v>0</v>
      </c>
      <c r="BU1702">
        <v>0</v>
      </c>
      <c r="CE1702" t="str">
        <f t="shared" si="675"/>
        <v>15:09:15.884</v>
      </c>
      <c r="CF1702">
        <v>884123499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5</v>
      </c>
      <c r="CY1702">
        <v>7</v>
      </c>
      <c r="CZ1702" t="s">
        <v>133</v>
      </c>
      <c r="DA1702">
        <v>273</v>
      </c>
      <c r="DB1702">
        <v>0</v>
      </c>
      <c r="DC1702" t="s">
        <v>292</v>
      </c>
      <c r="DD1702" t="s">
        <v>293</v>
      </c>
      <c r="DG1702">
        <v>4862631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"05/01/2025 15:09:16.104"</f>
        <v>05/01/2025 15:09:16.104</v>
      </c>
      <c r="C1703" t="str">
        <f t="shared" si="660"/>
        <v>FFDFD3C0</v>
      </c>
      <c r="D1703" t="s">
        <v>124</v>
      </c>
      <c r="E1703" t="str">
        <f>"06"</f>
        <v>06</v>
      </c>
      <c r="F1703">
        <v>2006</v>
      </c>
      <c r="G1703" t="s">
        <v>125</v>
      </c>
      <c r="J1703" t="s">
        <v>126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R1703" t="s">
        <v>127</v>
      </c>
      <c r="S1703" t="str">
        <f t="shared" si="674"/>
        <v>15:09:15.000</v>
      </c>
      <c r="T1703" t="str">
        <f t="shared" si="674"/>
        <v>15:09:15.000</v>
      </c>
      <c r="U1703" t="str">
        <f t="shared" si="661"/>
        <v>A68FCB</v>
      </c>
      <c r="V1703">
        <v>0</v>
      </c>
      <c r="W1703">
        <v>0</v>
      </c>
      <c r="X1703">
        <v>2</v>
      </c>
      <c r="Y1703">
        <v>0</v>
      </c>
      <c r="AA1703">
        <v>1</v>
      </c>
      <c r="AB1703">
        <v>8</v>
      </c>
      <c r="AC1703">
        <v>3</v>
      </c>
      <c r="AD1703">
        <v>0</v>
      </c>
      <c r="AE1703">
        <v>9</v>
      </c>
      <c r="AF1703" t="s">
        <v>138</v>
      </c>
      <c r="AG1703">
        <v>0</v>
      </c>
      <c r="AH1703">
        <v>3</v>
      </c>
      <c r="AI1703">
        <v>2</v>
      </c>
      <c r="AJ1703">
        <v>0</v>
      </c>
      <c r="AK1703" t="s">
        <v>614</v>
      </c>
      <c r="AL1703">
        <v>39.030154000000003</v>
      </c>
      <c r="AM1703" t="s">
        <v>615</v>
      </c>
      <c r="AN1703">
        <v>-121.046333</v>
      </c>
      <c r="AO1703">
        <v>25</v>
      </c>
      <c r="AP1703">
        <v>4100</v>
      </c>
      <c r="AQ1703" t="s">
        <v>131</v>
      </c>
      <c r="AR1703">
        <v>13</v>
      </c>
      <c r="AS1703">
        <v>83</v>
      </c>
      <c r="AT1703">
        <v>640</v>
      </c>
      <c r="BB1703" t="str">
        <f t="shared" si="662"/>
        <v>1200</v>
      </c>
      <c r="BC1703">
        <v>1</v>
      </c>
      <c r="BD1703" t="str">
        <f t="shared" si="663"/>
        <v xml:space="preserve">N52156  </v>
      </c>
      <c r="BE1703">
        <v>1</v>
      </c>
      <c r="BG1703">
        <v>0</v>
      </c>
      <c r="BH1703">
        <v>0</v>
      </c>
      <c r="BI1703">
        <v>0</v>
      </c>
      <c r="BJ1703">
        <v>4100</v>
      </c>
      <c r="BK1703">
        <v>0</v>
      </c>
      <c r="BL1703" t="s">
        <v>188</v>
      </c>
      <c r="BM1703">
        <v>1</v>
      </c>
      <c r="BN1703">
        <v>1</v>
      </c>
      <c r="BO1703">
        <v>0</v>
      </c>
      <c r="BP1703">
        <v>0</v>
      </c>
      <c r="BS1703">
        <v>0</v>
      </c>
      <c r="BT1703">
        <v>0</v>
      </c>
      <c r="BU1703">
        <v>0</v>
      </c>
      <c r="CE1703" t="str">
        <f t="shared" si="675"/>
        <v>15:09:15.884</v>
      </c>
      <c r="CF1703">
        <v>884123499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5</v>
      </c>
      <c r="CY1703">
        <v>7</v>
      </c>
      <c r="CZ1703" t="s">
        <v>133</v>
      </c>
      <c r="DA1703">
        <v>273</v>
      </c>
      <c r="DB1703">
        <v>0</v>
      </c>
      <c r="DC1703" t="s">
        <v>292</v>
      </c>
      <c r="DD1703" t="s">
        <v>293</v>
      </c>
      <c r="DG1703">
        <v>4862631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"05/01/2025 15:09:16.108"</f>
        <v>05/01/2025 15:09:16.108</v>
      </c>
      <c r="C1704" t="str">
        <f t="shared" si="660"/>
        <v>FFDFD3C0</v>
      </c>
      <c r="D1704" t="s">
        <v>143</v>
      </c>
      <c r="E1704" t="str">
        <f>"05"</f>
        <v>05</v>
      </c>
      <c r="H1704">
        <v>172</v>
      </c>
      <c r="I1704" t="s">
        <v>141</v>
      </c>
      <c r="J1704" t="s">
        <v>144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R1704" t="s">
        <v>127</v>
      </c>
      <c r="S1704" t="str">
        <f t="shared" si="674"/>
        <v>15:09:15.000</v>
      </c>
      <c r="T1704" t="str">
        <f t="shared" si="674"/>
        <v>15:09:15.000</v>
      </c>
      <c r="U1704" t="str">
        <f t="shared" si="661"/>
        <v>A68FCB</v>
      </c>
      <c r="V1704">
        <v>0</v>
      </c>
      <c r="W1704">
        <v>0</v>
      </c>
      <c r="X1704">
        <v>2</v>
      </c>
      <c r="Y1704">
        <v>0</v>
      </c>
      <c r="AA1704">
        <v>1</v>
      </c>
      <c r="AB1704">
        <v>8</v>
      </c>
      <c r="AC1704">
        <v>3</v>
      </c>
      <c r="AD1704">
        <v>0</v>
      </c>
      <c r="AE1704">
        <v>9</v>
      </c>
      <c r="AF1704" t="s">
        <v>138</v>
      </c>
      <c r="AG1704">
        <v>0</v>
      </c>
      <c r="AH1704">
        <v>3</v>
      </c>
      <c r="AI1704">
        <v>2</v>
      </c>
      <c r="AJ1704">
        <v>0</v>
      </c>
      <c r="AK1704" t="s">
        <v>614</v>
      </c>
      <c r="AL1704">
        <v>39.030154000000003</v>
      </c>
      <c r="AM1704" t="s">
        <v>615</v>
      </c>
      <c r="AN1704">
        <v>-121.046333</v>
      </c>
      <c r="AO1704">
        <v>25</v>
      </c>
      <c r="AP1704">
        <v>4100</v>
      </c>
      <c r="AQ1704" t="s">
        <v>131</v>
      </c>
      <c r="AR1704">
        <v>13</v>
      </c>
      <c r="AS1704">
        <v>83</v>
      </c>
      <c r="AT1704">
        <v>640</v>
      </c>
      <c r="BB1704" t="str">
        <f t="shared" si="662"/>
        <v>1200</v>
      </c>
      <c r="BC1704">
        <v>1</v>
      </c>
      <c r="BD1704" t="str">
        <f t="shared" si="663"/>
        <v xml:space="preserve">N52156  </v>
      </c>
      <c r="BE1704">
        <v>1</v>
      </c>
      <c r="BG1704">
        <v>0</v>
      </c>
      <c r="BH1704">
        <v>0</v>
      </c>
      <c r="BI1704">
        <v>0</v>
      </c>
      <c r="BJ1704">
        <v>4100</v>
      </c>
      <c r="BK1704">
        <v>0</v>
      </c>
      <c r="BL1704" t="s">
        <v>188</v>
      </c>
      <c r="BM1704">
        <v>1</v>
      </c>
      <c r="BN1704">
        <v>1</v>
      </c>
      <c r="BO1704">
        <v>0</v>
      </c>
      <c r="BP1704">
        <v>0</v>
      </c>
      <c r="BS1704">
        <v>0</v>
      </c>
      <c r="BT1704">
        <v>0</v>
      </c>
      <c r="BU1704">
        <v>0</v>
      </c>
      <c r="CE1704" t="str">
        <f t="shared" si="675"/>
        <v>15:09:15.884</v>
      </c>
      <c r="CF1704">
        <v>884123499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5</v>
      </c>
      <c r="CY1704">
        <v>7</v>
      </c>
      <c r="CZ1704" t="s">
        <v>133</v>
      </c>
      <c r="DA1704">
        <v>273</v>
      </c>
      <c r="DB1704">
        <v>0</v>
      </c>
      <c r="DC1704" t="s">
        <v>292</v>
      </c>
      <c r="DD1704" t="s">
        <v>293</v>
      </c>
      <c r="DG1704">
        <v>4862631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"05/01/2025 15:09:16.113"</f>
        <v>05/01/2025 15:09:16.113</v>
      </c>
      <c r="C1705" t="str">
        <f t="shared" si="660"/>
        <v>FFDFD3C0</v>
      </c>
      <c r="D1705" t="s">
        <v>136</v>
      </c>
      <c r="E1705" t="str">
        <f>"20"</f>
        <v>20</v>
      </c>
      <c r="H1705">
        <v>400</v>
      </c>
      <c r="I1705" t="s">
        <v>137</v>
      </c>
      <c r="J1705" t="s">
        <v>138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R1705" t="s">
        <v>127</v>
      </c>
      <c r="S1705" t="str">
        <f t="shared" si="674"/>
        <v>15:09:15.000</v>
      </c>
      <c r="T1705" t="str">
        <f t="shared" si="674"/>
        <v>15:09:15.000</v>
      </c>
      <c r="U1705" t="str">
        <f t="shared" si="661"/>
        <v>A68FCB</v>
      </c>
      <c r="V1705">
        <v>0</v>
      </c>
      <c r="W1705">
        <v>0</v>
      </c>
      <c r="X1705">
        <v>2</v>
      </c>
      <c r="Y1705">
        <v>0</v>
      </c>
      <c r="AA1705">
        <v>1</v>
      </c>
      <c r="AB1705">
        <v>8</v>
      </c>
      <c r="AC1705">
        <v>3</v>
      </c>
      <c r="AD1705">
        <v>0</v>
      </c>
      <c r="AE1705">
        <v>9</v>
      </c>
      <c r="AF1705" t="s">
        <v>138</v>
      </c>
      <c r="AG1705">
        <v>0</v>
      </c>
      <c r="AH1705">
        <v>3</v>
      </c>
      <c r="AI1705">
        <v>2</v>
      </c>
      <c r="AJ1705">
        <v>0</v>
      </c>
      <c r="AK1705" t="s">
        <v>614</v>
      </c>
      <c r="AL1705">
        <v>39.030154000000003</v>
      </c>
      <c r="AM1705" t="s">
        <v>615</v>
      </c>
      <c r="AN1705">
        <v>-121.046333</v>
      </c>
      <c r="AO1705">
        <v>25</v>
      </c>
      <c r="AP1705">
        <v>4100</v>
      </c>
      <c r="AQ1705" t="s">
        <v>131</v>
      </c>
      <c r="AR1705">
        <v>13</v>
      </c>
      <c r="AS1705">
        <v>83</v>
      </c>
      <c r="AT1705">
        <v>640</v>
      </c>
      <c r="BB1705" t="str">
        <f t="shared" si="662"/>
        <v>1200</v>
      </c>
      <c r="BC1705">
        <v>1</v>
      </c>
      <c r="BD1705" t="str">
        <f t="shared" si="663"/>
        <v xml:space="preserve">N52156  </v>
      </c>
      <c r="BE1705">
        <v>1</v>
      </c>
      <c r="BG1705">
        <v>0</v>
      </c>
      <c r="BH1705">
        <v>0</v>
      </c>
      <c r="BI1705">
        <v>0</v>
      </c>
      <c r="BJ1705">
        <v>4100</v>
      </c>
      <c r="BK1705">
        <v>0</v>
      </c>
      <c r="BL1705" t="s">
        <v>188</v>
      </c>
      <c r="BM1705">
        <v>1</v>
      </c>
      <c r="BN1705">
        <v>1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 t="shared" si="675"/>
        <v>15:09:15.884</v>
      </c>
      <c r="CF1705">
        <v>884123499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133</v>
      </c>
      <c r="DA1705">
        <v>273</v>
      </c>
      <c r="DB1705">
        <v>0</v>
      </c>
      <c r="DC1705" t="s">
        <v>292</v>
      </c>
      <c r="DD1705" t="s">
        <v>293</v>
      </c>
      <c r="DG1705">
        <v>4862631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"05/01/2025 15:09:16.992"</f>
        <v>05/01/2025 15:09:16.992</v>
      </c>
      <c r="C1706" t="str">
        <f t="shared" si="660"/>
        <v>FFDFD3C0</v>
      </c>
      <c r="D1706" t="s">
        <v>140</v>
      </c>
      <c r="E1706" t="str">
        <f>"13"</f>
        <v>13</v>
      </c>
      <c r="F1706">
        <v>1019</v>
      </c>
      <c r="G1706" t="s">
        <v>141</v>
      </c>
      <c r="J1706" t="s">
        <v>142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R1706" t="s">
        <v>127</v>
      </c>
      <c r="S1706" t="str">
        <f t="shared" ref="S1706:T1711" si="676">"15:09:16.000"</f>
        <v>15:09:16.000</v>
      </c>
      <c r="T1706" t="str">
        <f t="shared" si="676"/>
        <v>15:09:16.000</v>
      </c>
      <c r="U1706" t="str">
        <f t="shared" si="661"/>
        <v>A68FCB</v>
      </c>
      <c r="V1706">
        <v>0</v>
      </c>
      <c r="W1706">
        <v>0</v>
      </c>
      <c r="X1706">
        <v>2</v>
      </c>
      <c r="Y1706">
        <v>0</v>
      </c>
      <c r="AA1706">
        <v>1</v>
      </c>
      <c r="AB1706">
        <v>8</v>
      </c>
      <c r="AC1706">
        <v>3</v>
      </c>
      <c r="AD1706">
        <v>0</v>
      </c>
      <c r="AE1706">
        <v>9</v>
      </c>
      <c r="AF1706" t="s">
        <v>138</v>
      </c>
      <c r="AG1706">
        <v>0</v>
      </c>
      <c r="AH1706">
        <v>3</v>
      </c>
      <c r="AI1706">
        <v>2</v>
      </c>
      <c r="AJ1706">
        <v>0</v>
      </c>
      <c r="AK1706" t="s">
        <v>616</v>
      </c>
      <c r="AL1706">
        <v>39.030540000000002</v>
      </c>
      <c r="AM1706" t="s">
        <v>617</v>
      </c>
      <c r="AN1706">
        <v>-121.04624699999999</v>
      </c>
      <c r="AO1706">
        <v>25</v>
      </c>
      <c r="AP1706">
        <v>4100</v>
      </c>
      <c r="AQ1706" t="s">
        <v>131</v>
      </c>
      <c r="AR1706">
        <v>13</v>
      </c>
      <c r="AS1706">
        <v>83</v>
      </c>
      <c r="AT1706">
        <v>640</v>
      </c>
      <c r="BB1706" t="str">
        <f t="shared" si="662"/>
        <v>1200</v>
      </c>
      <c r="BC1706">
        <v>1</v>
      </c>
      <c r="BD1706" t="str">
        <f t="shared" si="663"/>
        <v xml:space="preserve">N52156  </v>
      </c>
      <c r="BE1706">
        <v>1</v>
      </c>
      <c r="BG1706">
        <v>0</v>
      </c>
      <c r="BH1706">
        <v>0</v>
      </c>
      <c r="BI1706">
        <v>0</v>
      </c>
      <c r="BJ1706">
        <v>4125</v>
      </c>
      <c r="BK1706">
        <v>25</v>
      </c>
      <c r="BL1706" t="s">
        <v>188</v>
      </c>
      <c r="BM1706">
        <v>1</v>
      </c>
      <c r="BN1706">
        <v>1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 t="shared" ref="CE1706:CE1711" si="677">"15:09:16.767"</f>
        <v>15:09:16.767</v>
      </c>
      <c r="CF1706">
        <v>766710524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133</v>
      </c>
      <c r="DA1706">
        <v>275</v>
      </c>
      <c r="DB1706">
        <v>0</v>
      </c>
      <c r="DC1706" t="s">
        <v>134</v>
      </c>
      <c r="DD1706" t="s">
        <v>135</v>
      </c>
      <c r="DG1706">
        <v>3320747</v>
      </c>
      <c r="DI1706">
        <v>1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"05/01/2025 15:09:17.001"</f>
        <v>05/01/2025 15:09:17.001</v>
      </c>
      <c r="C1707" t="str">
        <f t="shared" si="660"/>
        <v>FFDFD3C0</v>
      </c>
      <c r="D1707" t="s">
        <v>145</v>
      </c>
      <c r="E1707" t="str">
        <f>"05"</f>
        <v>05</v>
      </c>
      <c r="H1707">
        <v>47</v>
      </c>
      <c r="I1707" t="s">
        <v>146</v>
      </c>
      <c r="J1707" t="s">
        <v>138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R1707" t="s">
        <v>127</v>
      </c>
      <c r="S1707" t="str">
        <f t="shared" si="676"/>
        <v>15:09:16.000</v>
      </c>
      <c r="T1707" t="str">
        <f t="shared" si="676"/>
        <v>15:09:16.000</v>
      </c>
      <c r="U1707" t="str">
        <f t="shared" si="661"/>
        <v>A68FCB</v>
      </c>
      <c r="V1707">
        <v>0</v>
      </c>
      <c r="W1707">
        <v>0</v>
      </c>
      <c r="X1707">
        <v>2</v>
      </c>
      <c r="Y1707">
        <v>0</v>
      </c>
      <c r="AA1707">
        <v>1</v>
      </c>
      <c r="AB1707">
        <v>8</v>
      </c>
      <c r="AC1707">
        <v>3</v>
      </c>
      <c r="AD1707">
        <v>0</v>
      </c>
      <c r="AE1707">
        <v>9</v>
      </c>
      <c r="AF1707" t="s">
        <v>138</v>
      </c>
      <c r="AG1707">
        <v>0</v>
      </c>
      <c r="AH1707">
        <v>3</v>
      </c>
      <c r="AI1707">
        <v>2</v>
      </c>
      <c r="AJ1707">
        <v>0</v>
      </c>
      <c r="AK1707" t="s">
        <v>616</v>
      </c>
      <c r="AL1707">
        <v>39.030540000000002</v>
      </c>
      <c r="AM1707" t="s">
        <v>617</v>
      </c>
      <c r="AN1707">
        <v>-121.04624699999999</v>
      </c>
      <c r="AO1707">
        <v>25</v>
      </c>
      <c r="AP1707">
        <v>4100</v>
      </c>
      <c r="AQ1707" t="s">
        <v>131</v>
      </c>
      <c r="AR1707">
        <v>13</v>
      </c>
      <c r="AS1707">
        <v>83</v>
      </c>
      <c r="AT1707">
        <v>640</v>
      </c>
      <c r="BB1707" t="str">
        <f t="shared" si="662"/>
        <v>1200</v>
      </c>
      <c r="BC1707">
        <v>1</v>
      </c>
      <c r="BD1707" t="str">
        <f t="shared" si="663"/>
        <v xml:space="preserve">N52156  </v>
      </c>
      <c r="BE1707">
        <v>1</v>
      </c>
      <c r="BG1707">
        <v>0</v>
      </c>
      <c r="BH1707">
        <v>0</v>
      </c>
      <c r="BI1707">
        <v>0</v>
      </c>
      <c r="BJ1707">
        <v>4125</v>
      </c>
      <c r="BK1707">
        <v>25</v>
      </c>
      <c r="BL1707" t="s">
        <v>188</v>
      </c>
      <c r="BM1707">
        <v>1</v>
      </c>
      <c r="BN1707">
        <v>1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 t="shared" si="677"/>
        <v>15:09:16.767</v>
      </c>
      <c r="CF1707">
        <v>766710524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133</v>
      </c>
      <c r="DA1707">
        <v>275</v>
      </c>
      <c r="DB1707">
        <v>0</v>
      </c>
      <c r="DC1707" t="s">
        <v>134</v>
      </c>
      <c r="DD1707" t="s">
        <v>135</v>
      </c>
      <c r="DG1707">
        <v>3320747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"05/01/2025 15:09:17.004"</f>
        <v>05/01/2025 15:09:17.004</v>
      </c>
      <c r="C1708" t="str">
        <f t="shared" si="660"/>
        <v>FFDFD3C0</v>
      </c>
      <c r="D1708" t="s">
        <v>145</v>
      </c>
      <c r="E1708" t="str">
        <f>"09"</f>
        <v>09</v>
      </c>
      <c r="H1708">
        <v>51</v>
      </c>
      <c r="I1708" t="s">
        <v>147</v>
      </c>
      <c r="J1708" t="s">
        <v>138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R1708" t="s">
        <v>127</v>
      </c>
      <c r="S1708" t="str">
        <f t="shared" si="676"/>
        <v>15:09:16.000</v>
      </c>
      <c r="T1708" t="str">
        <f t="shared" si="676"/>
        <v>15:09:16.000</v>
      </c>
      <c r="U1708" t="str">
        <f t="shared" si="661"/>
        <v>A68FCB</v>
      </c>
      <c r="V1708">
        <v>0</v>
      </c>
      <c r="W1708">
        <v>0</v>
      </c>
      <c r="X1708">
        <v>2</v>
      </c>
      <c r="Y1708">
        <v>0</v>
      </c>
      <c r="AA1708">
        <v>1</v>
      </c>
      <c r="AB1708">
        <v>8</v>
      </c>
      <c r="AC1708">
        <v>3</v>
      </c>
      <c r="AD1708">
        <v>0</v>
      </c>
      <c r="AE1708">
        <v>9</v>
      </c>
      <c r="AF1708" t="s">
        <v>138</v>
      </c>
      <c r="AG1708">
        <v>0</v>
      </c>
      <c r="AH1708">
        <v>3</v>
      </c>
      <c r="AI1708">
        <v>2</v>
      </c>
      <c r="AJ1708">
        <v>0</v>
      </c>
      <c r="AK1708" t="s">
        <v>616</v>
      </c>
      <c r="AL1708">
        <v>39.030540000000002</v>
      </c>
      <c r="AM1708" t="s">
        <v>617</v>
      </c>
      <c r="AN1708">
        <v>-121.04624699999999</v>
      </c>
      <c r="AO1708">
        <v>25</v>
      </c>
      <c r="AP1708">
        <v>4100</v>
      </c>
      <c r="AQ1708" t="s">
        <v>131</v>
      </c>
      <c r="AR1708">
        <v>13</v>
      </c>
      <c r="AS1708">
        <v>83</v>
      </c>
      <c r="AT1708">
        <v>640</v>
      </c>
      <c r="BB1708" t="str">
        <f t="shared" si="662"/>
        <v>1200</v>
      </c>
      <c r="BC1708">
        <v>1</v>
      </c>
      <c r="BD1708" t="str">
        <f t="shared" si="663"/>
        <v xml:space="preserve">N52156  </v>
      </c>
      <c r="BE1708">
        <v>1</v>
      </c>
      <c r="BG1708">
        <v>0</v>
      </c>
      <c r="BH1708">
        <v>0</v>
      </c>
      <c r="BI1708">
        <v>0</v>
      </c>
      <c r="BJ1708">
        <v>4125</v>
      </c>
      <c r="BK1708">
        <v>25</v>
      </c>
      <c r="BL1708" t="s">
        <v>188</v>
      </c>
      <c r="BM1708">
        <v>1</v>
      </c>
      <c r="BN1708">
        <v>1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 t="shared" si="677"/>
        <v>15:09:16.767</v>
      </c>
      <c r="CF1708">
        <v>766710524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133</v>
      </c>
      <c r="DA1708">
        <v>275</v>
      </c>
      <c r="DB1708">
        <v>0</v>
      </c>
      <c r="DC1708" t="s">
        <v>134</v>
      </c>
      <c r="DD1708" t="s">
        <v>135</v>
      </c>
      <c r="DG1708">
        <v>3320747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"05/01/2025 15:09:17.005"</f>
        <v>05/01/2025 15:09:17.005</v>
      </c>
      <c r="C1709" t="str">
        <f t="shared" si="660"/>
        <v>FFDFD3C0</v>
      </c>
      <c r="D1709" t="s">
        <v>124</v>
      </c>
      <c r="E1709" t="str">
        <f>"06"</f>
        <v>06</v>
      </c>
      <c r="F1709">
        <v>2006</v>
      </c>
      <c r="G1709" t="s">
        <v>125</v>
      </c>
      <c r="J1709" t="s">
        <v>126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R1709" t="s">
        <v>127</v>
      </c>
      <c r="S1709" t="str">
        <f t="shared" si="676"/>
        <v>15:09:16.000</v>
      </c>
      <c r="T1709" t="str">
        <f t="shared" si="676"/>
        <v>15:09:16.000</v>
      </c>
      <c r="U1709" t="str">
        <f t="shared" si="661"/>
        <v>A68FCB</v>
      </c>
      <c r="V1709">
        <v>0</v>
      </c>
      <c r="W1709">
        <v>0</v>
      </c>
      <c r="X1709">
        <v>2</v>
      </c>
      <c r="Y1709">
        <v>0</v>
      </c>
      <c r="AA1709">
        <v>1</v>
      </c>
      <c r="AB1709">
        <v>8</v>
      </c>
      <c r="AC1709">
        <v>3</v>
      </c>
      <c r="AD1709">
        <v>0</v>
      </c>
      <c r="AE1709">
        <v>9</v>
      </c>
      <c r="AF1709" t="s">
        <v>138</v>
      </c>
      <c r="AG1709">
        <v>0</v>
      </c>
      <c r="AH1709">
        <v>3</v>
      </c>
      <c r="AI1709">
        <v>2</v>
      </c>
      <c r="AJ1709">
        <v>0</v>
      </c>
      <c r="AK1709" t="s">
        <v>616</v>
      </c>
      <c r="AL1709">
        <v>39.030540000000002</v>
      </c>
      <c r="AM1709" t="s">
        <v>617</v>
      </c>
      <c r="AN1709">
        <v>-121.04624699999999</v>
      </c>
      <c r="AO1709">
        <v>25</v>
      </c>
      <c r="AP1709">
        <v>4100</v>
      </c>
      <c r="AQ1709" t="s">
        <v>131</v>
      </c>
      <c r="AR1709">
        <v>13</v>
      </c>
      <c r="AS1709">
        <v>83</v>
      </c>
      <c r="AT1709">
        <v>640</v>
      </c>
      <c r="BB1709" t="str">
        <f t="shared" si="662"/>
        <v>1200</v>
      </c>
      <c r="BC1709">
        <v>1</v>
      </c>
      <c r="BD1709" t="str">
        <f t="shared" si="663"/>
        <v xml:space="preserve">N52156  </v>
      </c>
      <c r="BE1709">
        <v>1</v>
      </c>
      <c r="BG1709">
        <v>0</v>
      </c>
      <c r="BH1709">
        <v>0</v>
      </c>
      <c r="BI1709">
        <v>0</v>
      </c>
      <c r="BJ1709">
        <v>4125</v>
      </c>
      <c r="BK1709">
        <v>25</v>
      </c>
      <c r="BL1709" t="s">
        <v>188</v>
      </c>
      <c r="BM1709">
        <v>1</v>
      </c>
      <c r="BN1709">
        <v>1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 t="shared" si="677"/>
        <v>15:09:16.767</v>
      </c>
      <c r="CF1709">
        <v>766710524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133</v>
      </c>
      <c r="DA1709">
        <v>275</v>
      </c>
      <c r="DB1709">
        <v>0</v>
      </c>
      <c r="DC1709" t="s">
        <v>134</v>
      </c>
      <c r="DD1709" t="s">
        <v>135</v>
      </c>
      <c r="DG1709">
        <v>3320747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"05/01/2025 15:09:17.010"</f>
        <v>05/01/2025 15:09:17.010</v>
      </c>
      <c r="C1710" t="str">
        <f t="shared" si="660"/>
        <v>FFDFD3C0</v>
      </c>
      <c r="D1710" t="s">
        <v>143</v>
      </c>
      <c r="E1710" t="str">
        <f>"05"</f>
        <v>05</v>
      </c>
      <c r="H1710">
        <v>172</v>
      </c>
      <c r="I1710" t="s">
        <v>141</v>
      </c>
      <c r="J1710" t="s">
        <v>144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R1710" t="s">
        <v>127</v>
      </c>
      <c r="S1710" t="str">
        <f t="shared" si="676"/>
        <v>15:09:16.000</v>
      </c>
      <c r="T1710" t="str">
        <f t="shared" si="676"/>
        <v>15:09:16.000</v>
      </c>
      <c r="U1710" t="str">
        <f t="shared" si="661"/>
        <v>A68FCB</v>
      </c>
      <c r="V1710">
        <v>0</v>
      </c>
      <c r="W1710">
        <v>0</v>
      </c>
      <c r="X1710">
        <v>2</v>
      </c>
      <c r="Y1710">
        <v>0</v>
      </c>
      <c r="AA1710">
        <v>1</v>
      </c>
      <c r="AB1710">
        <v>8</v>
      </c>
      <c r="AC1710">
        <v>3</v>
      </c>
      <c r="AD1710">
        <v>0</v>
      </c>
      <c r="AE1710">
        <v>9</v>
      </c>
      <c r="AF1710" t="s">
        <v>138</v>
      </c>
      <c r="AG1710">
        <v>0</v>
      </c>
      <c r="AH1710">
        <v>3</v>
      </c>
      <c r="AI1710">
        <v>2</v>
      </c>
      <c r="AJ1710">
        <v>0</v>
      </c>
      <c r="AK1710" t="s">
        <v>616</v>
      </c>
      <c r="AL1710">
        <v>39.030540000000002</v>
      </c>
      <c r="AM1710" t="s">
        <v>617</v>
      </c>
      <c r="AN1710">
        <v>-121.04624699999999</v>
      </c>
      <c r="AO1710">
        <v>25</v>
      </c>
      <c r="AP1710">
        <v>4100</v>
      </c>
      <c r="AQ1710" t="s">
        <v>131</v>
      </c>
      <c r="AR1710">
        <v>13</v>
      </c>
      <c r="AS1710">
        <v>83</v>
      </c>
      <c r="AT1710">
        <v>640</v>
      </c>
      <c r="BB1710" t="str">
        <f t="shared" si="662"/>
        <v>1200</v>
      </c>
      <c r="BC1710">
        <v>1</v>
      </c>
      <c r="BD1710" t="str">
        <f t="shared" si="663"/>
        <v xml:space="preserve">N52156  </v>
      </c>
      <c r="BE1710">
        <v>1</v>
      </c>
      <c r="BG1710">
        <v>0</v>
      </c>
      <c r="BH1710">
        <v>0</v>
      </c>
      <c r="BI1710">
        <v>0</v>
      </c>
      <c r="BJ1710">
        <v>4125</v>
      </c>
      <c r="BK1710">
        <v>25</v>
      </c>
      <c r="BL1710" t="s">
        <v>188</v>
      </c>
      <c r="BM1710">
        <v>1</v>
      </c>
      <c r="BN1710">
        <v>1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 t="shared" si="677"/>
        <v>15:09:16.767</v>
      </c>
      <c r="CF1710">
        <v>766710524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133</v>
      </c>
      <c r="DA1710">
        <v>275</v>
      </c>
      <c r="DB1710">
        <v>0</v>
      </c>
      <c r="DC1710" t="s">
        <v>134</v>
      </c>
      <c r="DD1710" t="s">
        <v>135</v>
      </c>
      <c r="DG1710">
        <v>3320747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"05/01/2025 15:09:17.014"</f>
        <v>05/01/2025 15:09:17.014</v>
      </c>
      <c r="C1711" t="str">
        <f t="shared" si="660"/>
        <v>FFDFD3C0</v>
      </c>
      <c r="D1711" t="s">
        <v>136</v>
      </c>
      <c r="E1711" t="str">
        <f>"20"</f>
        <v>20</v>
      </c>
      <c r="H1711">
        <v>400</v>
      </c>
      <c r="I1711" t="s">
        <v>137</v>
      </c>
      <c r="J1711" t="s">
        <v>138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R1711" t="s">
        <v>127</v>
      </c>
      <c r="S1711" t="str">
        <f t="shared" si="676"/>
        <v>15:09:16.000</v>
      </c>
      <c r="T1711" t="str">
        <f t="shared" si="676"/>
        <v>15:09:16.000</v>
      </c>
      <c r="U1711" t="str">
        <f t="shared" si="661"/>
        <v>A68FCB</v>
      </c>
      <c r="V1711">
        <v>0</v>
      </c>
      <c r="W1711">
        <v>0</v>
      </c>
      <c r="X1711">
        <v>2</v>
      </c>
      <c r="Y1711">
        <v>0</v>
      </c>
      <c r="AA1711">
        <v>1</v>
      </c>
      <c r="AB1711">
        <v>8</v>
      </c>
      <c r="AC1711">
        <v>3</v>
      </c>
      <c r="AD1711">
        <v>0</v>
      </c>
      <c r="AE1711">
        <v>9</v>
      </c>
      <c r="AF1711" t="s">
        <v>138</v>
      </c>
      <c r="AG1711">
        <v>0</v>
      </c>
      <c r="AH1711">
        <v>3</v>
      </c>
      <c r="AI1711">
        <v>2</v>
      </c>
      <c r="AJ1711">
        <v>0</v>
      </c>
      <c r="AK1711" t="s">
        <v>616</v>
      </c>
      <c r="AL1711">
        <v>39.030540000000002</v>
      </c>
      <c r="AM1711" t="s">
        <v>617</v>
      </c>
      <c r="AN1711">
        <v>-121.04624699999999</v>
      </c>
      <c r="AO1711">
        <v>25</v>
      </c>
      <c r="AP1711">
        <v>4100</v>
      </c>
      <c r="AQ1711" t="s">
        <v>131</v>
      </c>
      <c r="AR1711">
        <v>13</v>
      </c>
      <c r="AS1711">
        <v>83</v>
      </c>
      <c r="AT1711">
        <v>640</v>
      </c>
      <c r="BB1711" t="str">
        <f t="shared" si="662"/>
        <v>1200</v>
      </c>
      <c r="BC1711">
        <v>1</v>
      </c>
      <c r="BD1711" t="str">
        <f t="shared" si="663"/>
        <v xml:space="preserve">N52156  </v>
      </c>
      <c r="BE1711">
        <v>1</v>
      </c>
      <c r="BG1711">
        <v>0</v>
      </c>
      <c r="BH1711">
        <v>0</v>
      </c>
      <c r="BI1711">
        <v>0</v>
      </c>
      <c r="BJ1711">
        <v>4125</v>
      </c>
      <c r="BK1711">
        <v>25</v>
      </c>
      <c r="BL1711" t="s">
        <v>188</v>
      </c>
      <c r="BM1711">
        <v>1</v>
      </c>
      <c r="BN1711">
        <v>1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 t="shared" si="677"/>
        <v>15:09:16.767</v>
      </c>
      <c r="CF1711">
        <v>766710524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5</v>
      </c>
      <c r="CY1711">
        <v>7</v>
      </c>
      <c r="CZ1711" t="s">
        <v>133</v>
      </c>
      <c r="DA1711">
        <v>275</v>
      </c>
      <c r="DB1711">
        <v>0</v>
      </c>
      <c r="DC1711" t="s">
        <v>134</v>
      </c>
      <c r="DD1711" t="s">
        <v>135</v>
      </c>
      <c r="DG1711">
        <v>3320747</v>
      </c>
      <c r="DI1711">
        <v>1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"05/01/2025 15:09:17.553"</f>
        <v>05/01/2025 15:09:17.553</v>
      </c>
      <c r="C1712" t="str">
        <f t="shared" si="660"/>
        <v>FFDFD3C0</v>
      </c>
      <c r="D1712" t="s">
        <v>145</v>
      </c>
      <c r="E1712" t="str">
        <f>"05"</f>
        <v>05</v>
      </c>
      <c r="H1712">
        <v>47</v>
      </c>
      <c r="I1712" t="s">
        <v>146</v>
      </c>
      <c r="J1712" t="s">
        <v>138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R1712" t="s">
        <v>127</v>
      </c>
      <c r="S1712" t="str">
        <f t="shared" ref="S1712:T1717" si="678">"15:09:17.000"</f>
        <v>15:09:17.000</v>
      </c>
      <c r="T1712" t="str">
        <f t="shared" si="678"/>
        <v>15:09:17.000</v>
      </c>
      <c r="U1712" t="str">
        <f t="shared" si="661"/>
        <v>A68FCB</v>
      </c>
      <c r="V1712">
        <v>0</v>
      </c>
      <c r="W1712">
        <v>0</v>
      </c>
      <c r="X1712">
        <v>2</v>
      </c>
      <c r="Y1712">
        <v>0</v>
      </c>
      <c r="AA1712">
        <v>1</v>
      </c>
      <c r="AB1712">
        <v>8</v>
      </c>
      <c r="AC1712">
        <v>3</v>
      </c>
      <c r="AD1712">
        <v>0</v>
      </c>
      <c r="AE1712">
        <v>9</v>
      </c>
      <c r="AF1712" t="s">
        <v>138</v>
      </c>
      <c r="AG1712">
        <v>0</v>
      </c>
      <c r="AH1712">
        <v>3</v>
      </c>
      <c r="AI1712">
        <v>2</v>
      </c>
      <c r="AJ1712">
        <v>0</v>
      </c>
      <c r="AK1712" t="s">
        <v>618</v>
      </c>
      <c r="AL1712">
        <v>39.030948000000002</v>
      </c>
      <c r="AM1712" t="s">
        <v>619</v>
      </c>
      <c r="AN1712">
        <v>-121.046162</v>
      </c>
      <c r="AO1712">
        <v>25</v>
      </c>
      <c r="AP1712">
        <v>4100</v>
      </c>
      <c r="AQ1712" t="s">
        <v>131</v>
      </c>
      <c r="AR1712">
        <v>13</v>
      </c>
      <c r="AS1712">
        <v>83</v>
      </c>
      <c r="AT1712">
        <v>576</v>
      </c>
      <c r="BB1712" t="str">
        <f t="shared" si="662"/>
        <v>1200</v>
      </c>
      <c r="BC1712">
        <v>1</v>
      </c>
      <c r="BD1712" t="str">
        <f t="shared" si="663"/>
        <v xml:space="preserve">N52156  </v>
      </c>
      <c r="BE1712">
        <v>1</v>
      </c>
      <c r="BG1712">
        <v>0</v>
      </c>
      <c r="BH1712">
        <v>0</v>
      </c>
      <c r="BI1712">
        <v>0</v>
      </c>
      <c r="BJ1712">
        <v>4125</v>
      </c>
      <c r="BK1712">
        <v>25</v>
      </c>
      <c r="BL1712" t="s">
        <v>188</v>
      </c>
      <c r="BM1712">
        <v>1</v>
      </c>
      <c r="BN1712">
        <v>1</v>
      </c>
      <c r="BO1712">
        <v>0</v>
      </c>
      <c r="BP1712">
        <v>0</v>
      </c>
      <c r="BS1712">
        <v>0</v>
      </c>
      <c r="BT1712">
        <v>0</v>
      </c>
      <c r="BU1712">
        <v>0</v>
      </c>
      <c r="CE1712" t="str">
        <f t="shared" ref="CE1712:CE1717" si="679">"15:09:17.349"</f>
        <v>15:09:17.349</v>
      </c>
      <c r="CF1712">
        <v>348872033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133</v>
      </c>
      <c r="DA1712">
        <v>273</v>
      </c>
      <c r="DB1712">
        <v>0</v>
      </c>
      <c r="DC1712" t="s">
        <v>292</v>
      </c>
      <c r="DD1712" t="s">
        <v>293</v>
      </c>
      <c r="DG1712">
        <v>4862644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"05/01/2025 15:09:17.556"</f>
        <v>05/01/2025 15:09:17.556</v>
      </c>
      <c r="C1713" t="str">
        <f t="shared" si="660"/>
        <v>FFDFD3C0</v>
      </c>
      <c r="D1713" t="s">
        <v>124</v>
      </c>
      <c r="E1713" t="str">
        <f>"06"</f>
        <v>06</v>
      </c>
      <c r="F1713">
        <v>2006</v>
      </c>
      <c r="G1713" t="s">
        <v>125</v>
      </c>
      <c r="J1713" t="s">
        <v>126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R1713" t="s">
        <v>127</v>
      </c>
      <c r="S1713" t="str">
        <f t="shared" si="678"/>
        <v>15:09:17.000</v>
      </c>
      <c r="T1713" t="str">
        <f t="shared" si="678"/>
        <v>15:09:17.000</v>
      </c>
      <c r="U1713" t="str">
        <f t="shared" si="661"/>
        <v>A68FCB</v>
      </c>
      <c r="V1713">
        <v>0</v>
      </c>
      <c r="W1713">
        <v>0</v>
      </c>
      <c r="X1713">
        <v>2</v>
      </c>
      <c r="Y1713">
        <v>0</v>
      </c>
      <c r="AA1713">
        <v>1</v>
      </c>
      <c r="AB1713">
        <v>8</v>
      </c>
      <c r="AC1713">
        <v>3</v>
      </c>
      <c r="AD1713">
        <v>0</v>
      </c>
      <c r="AE1713">
        <v>9</v>
      </c>
      <c r="AF1713" t="s">
        <v>138</v>
      </c>
      <c r="AG1713">
        <v>0</v>
      </c>
      <c r="AH1713">
        <v>3</v>
      </c>
      <c r="AI1713">
        <v>2</v>
      </c>
      <c r="AJ1713">
        <v>0</v>
      </c>
      <c r="AK1713" t="s">
        <v>618</v>
      </c>
      <c r="AL1713">
        <v>39.030948000000002</v>
      </c>
      <c r="AM1713" t="s">
        <v>619</v>
      </c>
      <c r="AN1713">
        <v>-121.046162</v>
      </c>
      <c r="AO1713">
        <v>25</v>
      </c>
      <c r="AP1713">
        <v>4100</v>
      </c>
      <c r="AQ1713" t="s">
        <v>131</v>
      </c>
      <c r="AR1713">
        <v>13</v>
      </c>
      <c r="AS1713">
        <v>83</v>
      </c>
      <c r="AT1713">
        <v>576</v>
      </c>
      <c r="BB1713" t="str">
        <f t="shared" si="662"/>
        <v>1200</v>
      </c>
      <c r="BC1713">
        <v>1</v>
      </c>
      <c r="BD1713" t="str">
        <f t="shared" si="663"/>
        <v xml:space="preserve">N52156  </v>
      </c>
      <c r="BE1713">
        <v>1</v>
      </c>
      <c r="BG1713">
        <v>0</v>
      </c>
      <c r="BH1713">
        <v>0</v>
      </c>
      <c r="BI1713">
        <v>0</v>
      </c>
      <c r="BJ1713">
        <v>4125</v>
      </c>
      <c r="BK1713">
        <v>25</v>
      </c>
      <c r="BL1713" t="s">
        <v>188</v>
      </c>
      <c r="BM1713">
        <v>1</v>
      </c>
      <c r="BN1713">
        <v>1</v>
      </c>
      <c r="BO1713">
        <v>0</v>
      </c>
      <c r="BP1713">
        <v>0</v>
      </c>
      <c r="BS1713">
        <v>0</v>
      </c>
      <c r="BT1713">
        <v>0</v>
      </c>
      <c r="BU1713">
        <v>0</v>
      </c>
      <c r="CE1713" t="str">
        <f t="shared" si="679"/>
        <v>15:09:17.349</v>
      </c>
      <c r="CF1713">
        <v>348872033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5</v>
      </c>
      <c r="CY1713">
        <v>7</v>
      </c>
      <c r="CZ1713" t="s">
        <v>133</v>
      </c>
      <c r="DA1713">
        <v>273</v>
      </c>
      <c r="DB1713">
        <v>0</v>
      </c>
      <c r="DC1713" t="s">
        <v>292</v>
      </c>
      <c r="DD1713" t="s">
        <v>293</v>
      </c>
      <c r="DG1713">
        <v>4862644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"05/01/2025 15:09:17.555"</f>
        <v>05/01/2025 15:09:17.555</v>
      </c>
      <c r="C1714" t="str">
        <f t="shared" si="660"/>
        <v>FFDFD3C0</v>
      </c>
      <c r="D1714" t="s">
        <v>145</v>
      </c>
      <c r="E1714" t="str">
        <f>"09"</f>
        <v>09</v>
      </c>
      <c r="H1714">
        <v>51</v>
      </c>
      <c r="I1714" t="s">
        <v>147</v>
      </c>
      <c r="J1714" t="s">
        <v>138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R1714" t="s">
        <v>127</v>
      </c>
      <c r="S1714" t="str">
        <f t="shared" si="678"/>
        <v>15:09:17.000</v>
      </c>
      <c r="T1714" t="str">
        <f t="shared" si="678"/>
        <v>15:09:17.000</v>
      </c>
      <c r="U1714" t="str">
        <f t="shared" si="661"/>
        <v>A68FCB</v>
      </c>
      <c r="V1714">
        <v>0</v>
      </c>
      <c r="W1714">
        <v>0</v>
      </c>
      <c r="X1714">
        <v>2</v>
      </c>
      <c r="Y1714">
        <v>0</v>
      </c>
      <c r="AA1714">
        <v>1</v>
      </c>
      <c r="AB1714">
        <v>8</v>
      </c>
      <c r="AC1714">
        <v>3</v>
      </c>
      <c r="AD1714">
        <v>0</v>
      </c>
      <c r="AE1714">
        <v>9</v>
      </c>
      <c r="AF1714" t="s">
        <v>138</v>
      </c>
      <c r="AG1714">
        <v>0</v>
      </c>
      <c r="AH1714">
        <v>3</v>
      </c>
      <c r="AI1714">
        <v>2</v>
      </c>
      <c r="AJ1714">
        <v>0</v>
      </c>
      <c r="AK1714" t="s">
        <v>618</v>
      </c>
      <c r="AL1714">
        <v>39.030948000000002</v>
      </c>
      <c r="AM1714" t="s">
        <v>619</v>
      </c>
      <c r="AN1714">
        <v>-121.046162</v>
      </c>
      <c r="AO1714">
        <v>25</v>
      </c>
      <c r="AP1714">
        <v>4100</v>
      </c>
      <c r="AQ1714" t="s">
        <v>131</v>
      </c>
      <c r="AR1714">
        <v>13</v>
      </c>
      <c r="AS1714">
        <v>83</v>
      </c>
      <c r="AT1714">
        <v>576</v>
      </c>
      <c r="BB1714" t="str">
        <f t="shared" si="662"/>
        <v>1200</v>
      </c>
      <c r="BC1714">
        <v>1</v>
      </c>
      <c r="BD1714" t="str">
        <f t="shared" si="663"/>
        <v xml:space="preserve">N52156  </v>
      </c>
      <c r="BE1714">
        <v>1</v>
      </c>
      <c r="BG1714">
        <v>0</v>
      </c>
      <c r="BH1714">
        <v>0</v>
      </c>
      <c r="BI1714">
        <v>0</v>
      </c>
      <c r="BJ1714">
        <v>4125</v>
      </c>
      <c r="BK1714">
        <v>25</v>
      </c>
      <c r="BL1714" t="s">
        <v>188</v>
      </c>
      <c r="BM1714">
        <v>1</v>
      </c>
      <c r="BN1714">
        <v>1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 t="shared" si="679"/>
        <v>15:09:17.349</v>
      </c>
      <c r="CF1714">
        <v>348872033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133</v>
      </c>
      <c r="DA1714">
        <v>273</v>
      </c>
      <c r="DB1714">
        <v>0</v>
      </c>
      <c r="DC1714" t="s">
        <v>292</v>
      </c>
      <c r="DD1714" t="s">
        <v>293</v>
      </c>
      <c r="DG1714">
        <v>4862644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"05/01/2025 15:09:17.561"</f>
        <v>05/01/2025 15:09:17.561</v>
      </c>
      <c r="C1715" t="str">
        <f t="shared" si="660"/>
        <v>FFDFD3C0</v>
      </c>
      <c r="D1715" t="s">
        <v>143</v>
      </c>
      <c r="E1715" t="str">
        <f>"05"</f>
        <v>05</v>
      </c>
      <c r="H1715">
        <v>172</v>
      </c>
      <c r="I1715" t="s">
        <v>141</v>
      </c>
      <c r="J1715" t="s">
        <v>144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R1715" t="s">
        <v>127</v>
      </c>
      <c r="S1715" t="str">
        <f t="shared" si="678"/>
        <v>15:09:17.000</v>
      </c>
      <c r="T1715" t="str">
        <f t="shared" si="678"/>
        <v>15:09:17.000</v>
      </c>
      <c r="U1715" t="str">
        <f t="shared" si="661"/>
        <v>A68FCB</v>
      </c>
      <c r="V1715">
        <v>0</v>
      </c>
      <c r="W1715">
        <v>0</v>
      </c>
      <c r="X1715">
        <v>2</v>
      </c>
      <c r="Y1715">
        <v>0</v>
      </c>
      <c r="AA1715">
        <v>1</v>
      </c>
      <c r="AB1715">
        <v>8</v>
      </c>
      <c r="AC1715">
        <v>3</v>
      </c>
      <c r="AD1715">
        <v>0</v>
      </c>
      <c r="AE1715">
        <v>9</v>
      </c>
      <c r="AF1715" t="s">
        <v>138</v>
      </c>
      <c r="AG1715">
        <v>0</v>
      </c>
      <c r="AH1715">
        <v>3</v>
      </c>
      <c r="AI1715">
        <v>2</v>
      </c>
      <c r="AJ1715">
        <v>0</v>
      </c>
      <c r="AK1715" t="s">
        <v>618</v>
      </c>
      <c r="AL1715">
        <v>39.030948000000002</v>
      </c>
      <c r="AM1715" t="s">
        <v>619</v>
      </c>
      <c r="AN1715">
        <v>-121.046162</v>
      </c>
      <c r="AO1715">
        <v>25</v>
      </c>
      <c r="AP1715">
        <v>4100</v>
      </c>
      <c r="AQ1715" t="s">
        <v>131</v>
      </c>
      <c r="AR1715">
        <v>13</v>
      </c>
      <c r="AS1715">
        <v>83</v>
      </c>
      <c r="AT1715">
        <v>576</v>
      </c>
      <c r="BB1715" t="str">
        <f t="shared" si="662"/>
        <v>1200</v>
      </c>
      <c r="BC1715">
        <v>1</v>
      </c>
      <c r="BD1715" t="str">
        <f t="shared" si="663"/>
        <v xml:space="preserve">N52156  </v>
      </c>
      <c r="BE1715">
        <v>1</v>
      </c>
      <c r="BG1715">
        <v>0</v>
      </c>
      <c r="BH1715">
        <v>0</v>
      </c>
      <c r="BI1715">
        <v>0</v>
      </c>
      <c r="BJ1715">
        <v>4125</v>
      </c>
      <c r="BK1715">
        <v>25</v>
      </c>
      <c r="BL1715" t="s">
        <v>188</v>
      </c>
      <c r="BM1715">
        <v>1</v>
      </c>
      <c r="BN1715">
        <v>1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 t="shared" si="679"/>
        <v>15:09:17.349</v>
      </c>
      <c r="CF1715">
        <v>348872033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5</v>
      </c>
      <c r="CY1715">
        <v>7</v>
      </c>
      <c r="CZ1715" t="s">
        <v>133</v>
      </c>
      <c r="DA1715">
        <v>273</v>
      </c>
      <c r="DB1715">
        <v>0</v>
      </c>
      <c r="DC1715" t="s">
        <v>292</v>
      </c>
      <c r="DD1715" t="s">
        <v>293</v>
      </c>
      <c r="DG1715">
        <v>4862644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"05/01/2025 15:09:17.565"</f>
        <v>05/01/2025 15:09:17.565</v>
      </c>
      <c r="C1716" t="str">
        <f t="shared" si="660"/>
        <v>FFDFD3C0</v>
      </c>
      <c r="D1716" t="s">
        <v>136</v>
      </c>
      <c r="E1716" t="str">
        <f>"20"</f>
        <v>20</v>
      </c>
      <c r="H1716">
        <v>400</v>
      </c>
      <c r="I1716" t="s">
        <v>137</v>
      </c>
      <c r="J1716" t="s">
        <v>138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R1716" t="s">
        <v>127</v>
      </c>
      <c r="S1716" t="str">
        <f t="shared" si="678"/>
        <v>15:09:17.000</v>
      </c>
      <c r="T1716" t="str">
        <f t="shared" si="678"/>
        <v>15:09:17.000</v>
      </c>
      <c r="U1716" t="str">
        <f t="shared" si="661"/>
        <v>A68FCB</v>
      </c>
      <c r="V1716">
        <v>0</v>
      </c>
      <c r="W1716">
        <v>0</v>
      </c>
      <c r="X1716">
        <v>2</v>
      </c>
      <c r="Y1716">
        <v>0</v>
      </c>
      <c r="AA1716">
        <v>1</v>
      </c>
      <c r="AB1716">
        <v>8</v>
      </c>
      <c r="AC1716">
        <v>3</v>
      </c>
      <c r="AD1716">
        <v>0</v>
      </c>
      <c r="AE1716">
        <v>9</v>
      </c>
      <c r="AF1716" t="s">
        <v>138</v>
      </c>
      <c r="AG1716">
        <v>0</v>
      </c>
      <c r="AH1716">
        <v>3</v>
      </c>
      <c r="AI1716">
        <v>2</v>
      </c>
      <c r="AJ1716">
        <v>0</v>
      </c>
      <c r="AK1716" t="s">
        <v>618</v>
      </c>
      <c r="AL1716">
        <v>39.030948000000002</v>
      </c>
      <c r="AM1716" t="s">
        <v>619</v>
      </c>
      <c r="AN1716">
        <v>-121.046162</v>
      </c>
      <c r="AO1716">
        <v>25</v>
      </c>
      <c r="AP1716">
        <v>4100</v>
      </c>
      <c r="AQ1716" t="s">
        <v>131</v>
      </c>
      <c r="AR1716">
        <v>13</v>
      </c>
      <c r="AS1716">
        <v>83</v>
      </c>
      <c r="AT1716">
        <v>576</v>
      </c>
      <c r="BB1716" t="str">
        <f t="shared" si="662"/>
        <v>1200</v>
      </c>
      <c r="BC1716">
        <v>1</v>
      </c>
      <c r="BD1716" t="str">
        <f t="shared" si="663"/>
        <v xml:space="preserve">N52156  </v>
      </c>
      <c r="BE1716">
        <v>1</v>
      </c>
      <c r="BG1716">
        <v>0</v>
      </c>
      <c r="BH1716">
        <v>0</v>
      </c>
      <c r="BI1716">
        <v>0</v>
      </c>
      <c r="BJ1716">
        <v>4125</v>
      </c>
      <c r="BK1716">
        <v>25</v>
      </c>
      <c r="BL1716" t="s">
        <v>188</v>
      </c>
      <c r="BM1716">
        <v>1</v>
      </c>
      <c r="BN1716">
        <v>1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 t="shared" si="679"/>
        <v>15:09:17.349</v>
      </c>
      <c r="CF1716">
        <v>348872033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133</v>
      </c>
      <c r="DA1716">
        <v>273</v>
      </c>
      <c r="DB1716">
        <v>0</v>
      </c>
      <c r="DC1716" t="s">
        <v>292</v>
      </c>
      <c r="DD1716" t="s">
        <v>293</v>
      </c>
      <c r="DG1716">
        <v>4862644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"05/01/2025 15:09:17.594"</f>
        <v>05/01/2025 15:09:17.594</v>
      </c>
      <c r="C1717" t="str">
        <f t="shared" si="660"/>
        <v>FFDFD3C0</v>
      </c>
      <c r="D1717" t="s">
        <v>140</v>
      </c>
      <c r="E1717" t="str">
        <f>"13"</f>
        <v>13</v>
      </c>
      <c r="F1717">
        <v>1019</v>
      </c>
      <c r="G1717" t="s">
        <v>141</v>
      </c>
      <c r="J1717" t="s">
        <v>142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R1717" t="s">
        <v>127</v>
      </c>
      <c r="S1717" t="str">
        <f t="shared" si="678"/>
        <v>15:09:17.000</v>
      </c>
      <c r="T1717" t="str">
        <f t="shared" si="678"/>
        <v>15:09:17.000</v>
      </c>
      <c r="U1717" t="str">
        <f t="shared" si="661"/>
        <v>A68FCB</v>
      </c>
      <c r="V1717">
        <v>0</v>
      </c>
      <c r="W1717">
        <v>0</v>
      </c>
      <c r="X1717">
        <v>2</v>
      </c>
      <c r="Y1717">
        <v>0</v>
      </c>
      <c r="AA1717">
        <v>1</v>
      </c>
      <c r="AB1717">
        <v>8</v>
      </c>
      <c r="AC1717">
        <v>3</v>
      </c>
      <c r="AD1717">
        <v>0</v>
      </c>
      <c r="AE1717">
        <v>9</v>
      </c>
      <c r="AF1717" t="s">
        <v>138</v>
      </c>
      <c r="AG1717">
        <v>0</v>
      </c>
      <c r="AH1717">
        <v>3</v>
      </c>
      <c r="AI1717">
        <v>2</v>
      </c>
      <c r="AJ1717">
        <v>0</v>
      </c>
      <c r="AK1717" t="s">
        <v>618</v>
      </c>
      <c r="AL1717">
        <v>39.030948000000002</v>
      </c>
      <c r="AM1717" t="s">
        <v>619</v>
      </c>
      <c r="AN1717">
        <v>-121.046162</v>
      </c>
      <c r="AO1717">
        <v>25</v>
      </c>
      <c r="AP1717">
        <v>4100</v>
      </c>
      <c r="AQ1717" t="s">
        <v>131</v>
      </c>
      <c r="AR1717">
        <v>13</v>
      </c>
      <c r="AS1717">
        <v>83</v>
      </c>
      <c r="AT1717">
        <v>576</v>
      </c>
      <c r="BB1717" t="str">
        <f t="shared" si="662"/>
        <v>1200</v>
      </c>
      <c r="BC1717">
        <v>1</v>
      </c>
      <c r="BD1717" t="str">
        <f t="shared" si="663"/>
        <v xml:space="preserve">N52156  </v>
      </c>
      <c r="BE1717">
        <v>1</v>
      </c>
      <c r="BG1717">
        <v>0</v>
      </c>
      <c r="BH1717">
        <v>0</v>
      </c>
      <c r="BI1717">
        <v>0</v>
      </c>
      <c r="BJ1717">
        <v>4125</v>
      </c>
      <c r="BK1717">
        <v>25</v>
      </c>
      <c r="BL1717" t="s">
        <v>188</v>
      </c>
      <c r="BM1717">
        <v>1</v>
      </c>
      <c r="BN1717">
        <v>1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 t="shared" si="679"/>
        <v>15:09:17.349</v>
      </c>
      <c r="CF1717">
        <v>348872033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133</v>
      </c>
      <c r="DA1717">
        <v>273</v>
      </c>
      <c r="DB1717">
        <v>0</v>
      </c>
      <c r="DC1717" t="s">
        <v>292</v>
      </c>
      <c r="DD1717" t="s">
        <v>293</v>
      </c>
      <c r="DG1717">
        <v>4862644</v>
      </c>
      <c r="DI1717">
        <v>1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"05/01/2025 15:09:19.046"</f>
        <v>05/01/2025 15:09:19.046</v>
      </c>
      <c r="C1718" t="str">
        <f t="shared" si="660"/>
        <v>FFDFD3C0</v>
      </c>
      <c r="D1718" t="s">
        <v>140</v>
      </c>
      <c r="E1718" t="str">
        <f>"13"</f>
        <v>13</v>
      </c>
      <c r="F1718">
        <v>1019</v>
      </c>
      <c r="G1718" t="s">
        <v>141</v>
      </c>
      <c r="J1718" t="s">
        <v>142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R1718" t="s">
        <v>127</v>
      </c>
      <c r="S1718" t="str">
        <f t="shared" ref="S1718:T1723" si="680">"15:09:18.000"</f>
        <v>15:09:18.000</v>
      </c>
      <c r="T1718" t="str">
        <f t="shared" si="680"/>
        <v>15:09:18.000</v>
      </c>
      <c r="U1718" t="str">
        <f t="shared" si="661"/>
        <v>A68FCB</v>
      </c>
      <c r="V1718">
        <v>0</v>
      </c>
      <c r="W1718">
        <v>0</v>
      </c>
      <c r="X1718">
        <v>2</v>
      </c>
      <c r="Y1718">
        <v>0</v>
      </c>
      <c r="AA1718">
        <v>1</v>
      </c>
      <c r="AB1718">
        <v>8</v>
      </c>
      <c r="AC1718">
        <v>3</v>
      </c>
      <c r="AD1718">
        <v>0</v>
      </c>
      <c r="AE1718">
        <v>9</v>
      </c>
      <c r="AF1718" t="s">
        <v>138</v>
      </c>
      <c r="AG1718">
        <v>0</v>
      </c>
      <c r="AH1718">
        <v>3</v>
      </c>
      <c r="AI1718">
        <v>2</v>
      </c>
      <c r="AJ1718">
        <v>0</v>
      </c>
      <c r="AK1718" t="s">
        <v>620</v>
      </c>
      <c r="AL1718">
        <v>39.031334000000001</v>
      </c>
      <c r="AM1718" t="s">
        <v>621</v>
      </c>
      <c r="AN1718">
        <v>-121.046076</v>
      </c>
      <c r="AO1718">
        <v>25</v>
      </c>
      <c r="AP1718">
        <v>4100</v>
      </c>
      <c r="AQ1718" t="s">
        <v>131</v>
      </c>
      <c r="AR1718">
        <v>13</v>
      </c>
      <c r="AS1718">
        <v>82</v>
      </c>
      <c r="AT1718">
        <v>512</v>
      </c>
      <c r="BB1718" t="str">
        <f t="shared" si="662"/>
        <v>1200</v>
      </c>
      <c r="BC1718">
        <v>1</v>
      </c>
      <c r="BD1718" t="str">
        <f t="shared" si="663"/>
        <v xml:space="preserve">N52156  </v>
      </c>
      <c r="BE1718">
        <v>1</v>
      </c>
      <c r="BG1718">
        <v>0</v>
      </c>
      <c r="BH1718">
        <v>0</v>
      </c>
      <c r="BI1718">
        <v>0</v>
      </c>
      <c r="BJ1718">
        <v>4125</v>
      </c>
      <c r="BK1718">
        <v>25</v>
      </c>
      <c r="BL1718" t="s">
        <v>188</v>
      </c>
      <c r="BM1718">
        <v>1</v>
      </c>
      <c r="BN1718">
        <v>1</v>
      </c>
      <c r="BO1718">
        <v>0</v>
      </c>
      <c r="BP1718">
        <v>0</v>
      </c>
      <c r="BS1718">
        <v>0</v>
      </c>
      <c r="BT1718">
        <v>0</v>
      </c>
      <c r="BU1718">
        <v>0</v>
      </c>
      <c r="CE1718" t="str">
        <f t="shared" ref="CE1718:CE1723" si="681">"15:09:18.841"</f>
        <v>15:09:18.841</v>
      </c>
      <c r="CF1718">
        <v>840623148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5</v>
      </c>
      <c r="CY1718">
        <v>7</v>
      </c>
      <c r="CZ1718" t="s">
        <v>133</v>
      </c>
      <c r="DA1718">
        <v>273</v>
      </c>
      <c r="DB1718">
        <v>0</v>
      </c>
      <c r="DC1718" t="s">
        <v>292</v>
      </c>
      <c r="DD1718" t="s">
        <v>293</v>
      </c>
      <c r="DG1718">
        <v>4862659</v>
      </c>
      <c r="DI1718">
        <v>1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"05/01/2025 15:09:19.055"</f>
        <v>05/01/2025 15:09:19.055</v>
      </c>
      <c r="C1719" t="str">
        <f t="shared" si="660"/>
        <v>FFDFD3C0</v>
      </c>
      <c r="D1719" t="s">
        <v>145</v>
      </c>
      <c r="E1719" t="str">
        <f>"05"</f>
        <v>05</v>
      </c>
      <c r="H1719">
        <v>47</v>
      </c>
      <c r="I1719" t="s">
        <v>146</v>
      </c>
      <c r="J1719" t="s">
        <v>138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R1719" t="s">
        <v>127</v>
      </c>
      <c r="S1719" t="str">
        <f t="shared" si="680"/>
        <v>15:09:18.000</v>
      </c>
      <c r="T1719" t="str">
        <f t="shared" si="680"/>
        <v>15:09:18.000</v>
      </c>
      <c r="U1719" t="str">
        <f t="shared" si="661"/>
        <v>A68FCB</v>
      </c>
      <c r="V1719">
        <v>0</v>
      </c>
      <c r="W1719">
        <v>0</v>
      </c>
      <c r="X1719">
        <v>2</v>
      </c>
      <c r="Y1719">
        <v>0</v>
      </c>
      <c r="AA1719">
        <v>1</v>
      </c>
      <c r="AB1719">
        <v>8</v>
      </c>
      <c r="AC1719">
        <v>3</v>
      </c>
      <c r="AD1719">
        <v>0</v>
      </c>
      <c r="AE1719">
        <v>9</v>
      </c>
      <c r="AF1719" t="s">
        <v>138</v>
      </c>
      <c r="AG1719">
        <v>0</v>
      </c>
      <c r="AH1719">
        <v>3</v>
      </c>
      <c r="AI1719">
        <v>2</v>
      </c>
      <c r="AJ1719">
        <v>0</v>
      </c>
      <c r="AK1719" t="s">
        <v>620</v>
      </c>
      <c r="AL1719">
        <v>39.031334000000001</v>
      </c>
      <c r="AM1719" t="s">
        <v>621</v>
      </c>
      <c r="AN1719">
        <v>-121.046076</v>
      </c>
      <c r="AO1719">
        <v>25</v>
      </c>
      <c r="AP1719">
        <v>4100</v>
      </c>
      <c r="AQ1719" t="s">
        <v>131</v>
      </c>
      <c r="AR1719">
        <v>13</v>
      </c>
      <c r="AS1719">
        <v>82</v>
      </c>
      <c r="AT1719">
        <v>512</v>
      </c>
      <c r="BB1719" t="str">
        <f t="shared" si="662"/>
        <v>1200</v>
      </c>
      <c r="BC1719">
        <v>1</v>
      </c>
      <c r="BD1719" t="str">
        <f t="shared" si="663"/>
        <v xml:space="preserve">N52156  </v>
      </c>
      <c r="BE1719">
        <v>1</v>
      </c>
      <c r="BG1719">
        <v>0</v>
      </c>
      <c r="BH1719">
        <v>0</v>
      </c>
      <c r="BI1719">
        <v>0</v>
      </c>
      <c r="BJ1719">
        <v>4125</v>
      </c>
      <c r="BK1719">
        <v>25</v>
      </c>
      <c r="BL1719" t="s">
        <v>188</v>
      </c>
      <c r="BM1719">
        <v>1</v>
      </c>
      <c r="BN1719">
        <v>1</v>
      </c>
      <c r="BO1719">
        <v>0</v>
      </c>
      <c r="BP1719">
        <v>0</v>
      </c>
      <c r="BS1719">
        <v>0</v>
      </c>
      <c r="BT1719">
        <v>0</v>
      </c>
      <c r="BU1719">
        <v>0</v>
      </c>
      <c r="CE1719" t="str">
        <f t="shared" si="681"/>
        <v>15:09:18.841</v>
      </c>
      <c r="CF1719">
        <v>840623148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5</v>
      </c>
      <c r="CY1719">
        <v>7</v>
      </c>
      <c r="CZ1719" t="s">
        <v>133</v>
      </c>
      <c r="DA1719">
        <v>273</v>
      </c>
      <c r="DB1719">
        <v>0</v>
      </c>
      <c r="DC1719" t="s">
        <v>292</v>
      </c>
      <c r="DD1719" t="s">
        <v>293</v>
      </c>
      <c r="DG1719">
        <v>4862659</v>
      </c>
      <c r="DI1719">
        <v>1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"05/01/2025 15:09:19.058"</f>
        <v>05/01/2025 15:09:19.058</v>
      </c>
      <c r="C1720" t="str">
        <f t="shared" si="660"/>
        <v>FFDFD3C0</v>
      </c>
      <c r="D1720" t="s">
        <v>124</v>
      </c>
      <c r="E1720" t="str">
        <f>"06"</f>
        <v>06</v>
      </c>
      <c r="F1720">
        <v>2006</v>
      </c>
      <c r="G1720" t="s">
        <v>125</v>
      </c>
      <c r="J1720" t="s">
        <v>126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R1720" t="s">
        <v>127</v>
      </c>
      <c r="S1720" t="str">
        <f t="shared" si="680"/>
        <v>15:09:18.000</v>
      </c>
      <c r="T1720" t="str">
        <f t="shared" si="680"/>
        <v>15:09:18.000</v>
      </c>
      <c r="U1720" t="str">
        <f t="shared" si="661"/>
        <v>A68FCB</v>
      </c>
      <c r="V1720">
        <v>0</v>
      </c>
      <c r="W1720">
        <v>0</v>
      </c>
      <c r="X1720">
        <v>2</v>
      </c>
      <c r="Y1720">
        <v>0</v>
      </c>
      <c r="AA1720">
        <v>1</v>
      </c>
      <c r="AB1720">
        <v>8</v>
      </c>
      <c r="AC1720">
        <v>3</v>
      </c>
      <c r="AD1720">
        <v>0</v>
      </c>
      <c r="AE1720">
        <v>9</v>
      </c>
      <c r="AF1720" t="s">
        <v>138</v>
      </c>
      <c r="AG1720">
        <v>0</v>
      </c>
      <c r="AH1720">
        <v>3</v>
      </c>
      <c r="AI1720">
        <v>2</v>
      </c>
      <c r="AJ1720">
        <v>0</v>
      </c>
      <c r="AK1720" t="s">
        <v>620</v>
      </c>
      <c r="AL1720">
        <v>39.031334000000001</v>
      </c>
      <c r="AM1720" t="s">
        <v>621</v>
      </c>
      <c r="AN1720">
        <v>-121.046076</v>
      </c>
      <c r="AO1720">
        <v>25</v>
      </c>
      <c r="AP1720">
        <v>4100</v>
      </c>
      <c r="AQ1720" t="s">
        <v>131</v>
      </c>
      <c r="AR1720">
        <v>13</v>
      </c>
      <c r="AS1720">
        <v>82</v>
      </c>
      <c r="AT1720">
        <v>512</v>
      </c>
      <c r="BB1720" t="str">
        <f t="shared" si="662"/>
        <v>1200</v>
      </c>
      <c r="BC1720">
        <v>1</v>
      </c>
      <c r="BD1720" t="str">
        <f t="shared" si="663"/>
        <v xml:space="preserve">N52156  </v>
      </c>
      <c r="BE1720">
        <v>1</v>
      </c>
      <c r="BG1720">
        <v>0</v>
      </c>
      <c r="BH1720">
        <v>0</v>
      </c>
      <c r="BI1720">
        <v>0</v>
      </c>
      <c r="BJ1720">
        <v>4125</v>
      </c>
      <c r="BK1720">
        <v>25</v>
      </c>
      <c r="BL1720" t="s">
        <v>188</v>
      </c>
      <c r="BM1720">
        <v>1</v>
      </c>
      <c r="BN1720">
        <v>1</v>
      </c>
      <c r="BO1720">
        <v>0</v>
      </c>
      <c r="BP1720">
        <v>0</v>
      </c>
      <c r="BS1720">
        <v>0</v>
      </c>
      <c r="BT1720">
        <v>0</v>
      </c>
      <c r="BU1720">
        <v>0</v>
      </c>
      <c r="CE1720" t="str">
        <f t="shared" si="681"/>
        <v>15:09:18.841</v>
      </c>
      <c r="CF1720">
        <v>840623148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5</v>
      </c>
      <c r="CY1720">
        <v>7</v>
      </c>
      <c r="CZ1720" t="s">
        <v>133</v>
      </c>
      <c r="DA1720">
        <v>273</v>
      </c>
      <c r="DB1720">
        <v>0</v>
      </c>
      <c r="DC1720" t="s">
        <v>292</v>
      </c>
      <c r="DD1720" t="s">
        <v>293</v>
      </c>
      <c r="DG1720">
        <v>4862659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"05/01/2025 15:09:19.058"</f>
        <v>05/01/2025 15:09:19.058</v>
      </c>
      <c r="C1721" t="str">
        <f t="shared" si="660"/>
        <v>FFDFD3C0</v>
      </c>
      <c r="D1721" t="s">
        <v>145</v>
      </c>
      <c r="E1721" t="str">
        <f>"09"</f>
        <v>09</v>
      </c>
      <c r="H1721">
        <v>51</v>
      </c>
      <c r="I1721" t="s">
        <v>147</v>
      </c>
      <c r="J1721" t="s">
        <v>138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R1721" t="s">
        <v>127</v>
      </c>
      <c r="S1721" t="str">
        <f t="shared" si="680"/>
        <v>15:09:18.000</v>
      </c>
      <c r="T1721" t="str">
        <f t="shared" si="680"/>
        <v>15:09:18.000</v>
      </c>
      <c r="U1721" t="str">
        <f t="shared" si="661"/>
        <v>A68FCB</v>
      </c>
      <c r="V1721">
        <v>0</v>
      </c>
      <c r="W1721">
        <v>0</v>
      </c>
      <c r="X1721">
        <v>2</v>
      </c>
      <c r="Y1721">
        <v>0</v>
      </c>
      <c r="AA1721">
        <v>1</v>
      </c>
      <c r="AB1721">
        <v>8</v>
      </c>
      <c r="AC1721">
        <v>3</v>
      </c>
      <c r="AD1721">
        <v>0</v>
      </c>
      <c r="AE1721">
        <v>9</v>
      </c>
      <c r="AF1721" t="s">
        <v>138</v>
      </c>
      <c r="AG1721">
        <v>0</v>
      </c>
      <c r="AH1721">
        <v>3</v>
      </c>
      <c r="AI1721">
        <v>2</v>
      </c>
      <c r="AJ1721">
        <v>0</v>
      </c>
      <c r="AK1721" t="s">
        <v>620</v>
      </c>
      <c r="AL1721">
        <v>39.031334000000001</v>
      </c>
      <c r="AM1721" t="s">
        <v>621</v>
      </c>
      <c r="AN1721">
        <v>-121.046076</v>
      </c>
      <c r="AO1721">
        <v>25</v>
      </c>
      <c r="AP1721">
        <v>4100</v>
      </c>
      <c r="AQ1721" t="s">
        <v>131</v>
      </c>
      <c r="AR1721">
        <v>13</v>
      </c>
      <c r="AS1721">
        <v>82</v>
      </c>
      <c r="AT1721">
        <v>512</v>
      </c>
      <c r="BB1721" t="str">
        <f t="shared" si="662"/>
        <v>1200</v>
      </c>
      <c r="BC1721">
        <v>1</v>
      </c>
      <c r="BD1721" t="str">
        <f t="shared" si="663"/>
        <v xml:space="preserve">N52156  </v>
      </c>
      <c r="BE1721">
        <v>1</v>
      </c>
      <c r="BG1721">
        <v>0</v>
      </c>
      <c r="BH1721">
        <v>0</v>
      </c>
      <c r="BI1721">
        <v>0</v>
      </c>
      <c r="BJ1721">
        <v>4125</v>
      </c>
      <c r="BK1721">
        <v>25</v>
      </c>
      <c r="BL1721" t="s">
        <v>188</v>
      </c>
      <c r="BM1721">
        <v>1</v>
      </c>
      <c r="BN1721">
        <v>1</v>
      </c>
      <c r="BO1721">
        <v>0</v>
      </c>
      <c r="BP1721">
        <v>0</v>
      </c>
      <c r="BS1721">
        <v>0</v>
      </c>
      <c r="BT1721">
        <v>0</v>
      </c>
      <c r="BU1721">
        <v>0</v>
      </c>
      <c r="CE1721" t="str">
        <f t="shared" si="681"/>
        <v>15:09:18.841</v>
      </c>
      <c r="CF1721">
        <v>840623148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5</v>
      </c>
      <c r="CY1721">
        <v>7</v>
      </c>
      <c r="CZ1721" t="s">
        <v>133</v>
      </c>
      <c r="DA1721">
        <v>273</v>
      </c>
      <c r="DB1721">
        <v>0</v>
      </c>
      <c r="DC1721" t="s">
        <v>292</v>
      </c>
      <c r="DD1721" t="s">
        <v>293</v>
      </c>
      <c r="DG1721">
        <v>4862659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"05/01/2025 15:09:19.063"</f>
        <v>05/01/2025 15:09:19.063</v>
      </c>
      <c r="C1722" t="str">
        <f t="shared" si="660"/>
        <v>FFDFD3C0</v>
      </c>
      <c r="D1722" t="s">
        <v>143</v>
      </c>
      <c r="E1722" t="str">
        <f>"05"</f>
        <v>05</v>
      </c>
      <c r="H1722">
        <v>172</v>
      </c>
      <c r="I1722" t="s">
        <v>141</v>
      </c>
      <c r="J1722" t="s">
        <v>144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R1722" t="s">
        <v>127</v>
      </c>
      <c r="S1722" t="str">
        <f t="shared" si="680"/>
        <v>15:09:18.000</v>
      </c>
      <c r="T1722" t="str">
        <f t="shared" si="680"/>
        <v>15:09:18.000</v>
      </c>
      <c r="U1722" t="str">
        <f t="shared" si="661"/>
        <v>A68FCB</v>
      </c>
      <c r="V1722">
        <v>0</v>
      </c>
      <c r="W1722">
        <v>0</v>
      </c>
      <c r="X1722">
        <v>2</v>
      </c>
      <c r="Y1722">
        <v>0</v>
      </c>
      <c r="AA1722">
        <v>1</v>
      </c>
      <c r="AB1722">
        <v>8</v>
      </c>
      <c r="AC1722">
        <v>3</v>
      </c>
      <c r="AD1722">
        <v>0</v>
      </c>
      <c r="AE1722">
        <v>9</v>
      </c>
      <c r="AF1722" t="s">
        <v>138</v>
      </c>
      <c r="AG1722">
        <v>0</v>
      </c>
      <c r="AH1722">
        <v>3</v>
      </c>
      <c r="AI1722">
        <v>2</v>
      </c>
      <c r="AJ1722">
        <v>0</v>
      </c>
      <c r="AK1722" t="s">
        <v>620</v>
      </c>
      <c r="AL1722">
        <v>39.031334000000001</v>
      </c>
      <c r="AM1722" t="s">
        <v>621</v>
      </c>
      <c r="AN1722">
        <v>-121.046076</v>
      </c>
      <c r="AO1722">
        <v>25</v>
      </c>
      <c r="AP1722">
        <v>4100</v>
      </c>
      <c r="AQ1722" t="s">
        <v>131</v>
      </c>
      <c r="AR1722">
        <v>13</v>
      </c>
      <c r="AS1722">
        <v>82</v>
      </c>
      <c r="AT1722">
        <v>512</v>
      </c>
      <c r="BB1722" t="str">
        <f t="shared" si="662"/>
        <v>1200</v>
      </c>
      <c r="BC1722">
        <v>1</v>
      </c>
      <c r="BD1722" t="str">
        <f t="shared" si="663"/>
        <v xml:space="preserve">N52156  </v>
      </c>
      <c r="BE1722">
        <v>1</v>
      </c>
      <c r="BG1722">
        <v>0</v>
      </c>
      <c r="BH1722">
        <v>0</v>
      </c>
      <c r="BI1722">
        <v>0</v>
      </c>
      <c r="BJ1722">
        <v>4125</v>
      </c>
      <c r="BK1722">
        <v>25</v>
      </c>
      <c r="BL1722" t="s">
        <v>188</v>
      </c>
      <c r="BM1722">
        <v>1</v>
      </c>
      <c r="BN1722">
        <v>1</v>
      </c>
      <c r="BO1722">
        <v>0</v>
      </c>
      <c r="BP1722">
        <v>0</v>
      </c>
      <c r="BS1722">
        <v>0</v>
      </c>
      <c r="BT1722">
        <v>0</v>
      </c>
      <c r="BU1722">
        <v>0</v>
      </c>
      <c r="CE1722" t="str">
        <f t="shared" si="681"/>
        <v>15:09:18.841</v>
      </c>
      <c r="CF1722">
        <v>840623148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5</v>
      </c>
      <c r="CY1722">
        <v>7</v>
      </c>
      <c r="CZ1722" t="s">
        <v>133</v>
      </c>
      <c r="DA1722">
        <v>273</v>
      </c>
      <c r="DB1722">
        <v>0</v>
      </c>
      <c r="DC1722" t="s">
        <v>292</v>
      </c>
      <c r="DD1722" t="s">
        <v>293</v>
      </c>
      <c r="DG1722">
        <v>4862659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"05/01/2025 15:09:19.068"</f>
        <v>05/01/2025 15:09:19.068</v>
      </c>
      <c r="C1723" t="str">
        <f t="shared" si="660"/>
        <v>FFDFD3C0</v>
      </c>
      <c r="D1723" t="s">
        <v>136</v>
      </c>
      <c r="E1723" t="str">
        <f>"20"</f>
        <v>20</v>
      </c>
      <c r="H1723">
        <v>400</v>
      </c>
      <c r="I1723" t="s">
        <v>137</v>
      </c>
      <c r="J1723" t="s">
        <v>138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R1723" t="s">
        <v>127</v>
      </c>
      <c r="S1723" t="str">
        <f t="shared" si="680"/>
        <v>15:09:18.000</v>
      </c>
      <c r="T1723" t="str">
        <f t="shared" si="680"/>
        <v>15:09:18.000</v>
      </c>
      <c r="U1723" t="str">
        <f t="shared" si="661"/>
        <v>A68FCB</v>
      </c>
      <c r="V1723">
        <v>0</v>
      </c>
      <c r="W1723">
        <v>0</v>
      </c>
      <c r="X1723">
        <v>2</v>
      </c>
      <c r="Y1723">
        <v>0</v>
      </c>
      <c r="AA1723">
        <v>1</v>
      </c>
      <c r="AB1723">
        <v>8</v>
      </c>
      <c r="AC1723">
        <v>3</v>
      </c>
      <c r="AD1723">
        <v>0</v>
      </c>
      <c r="AE1723">
        <v>9</v>
      </c>
      <c r="AF1723" t="s">
        <v>138</v>
      </c>
      <c r="AG1723">
        <v>0</v>
      </c>
      <c r="AH1723">
        <v>3</v>
      </c>
      <c r="AI1723">
        <v>2</v>
      </c>
      <c r="AJ1723">
        <v>0</v>
      </c>
      <c r="AK1723" t="s">
        <v>620</v>
      </c>
      <c r="AL1723">
        <v>39.031334000000001</v>
      </c>
      <c r="AM1723" t="s">
        <v>621</v>
      </c>
      <c r="AN1723">
        <v>-121.046076</v>
      </c>
      <c r="AO1723">
        <v>25</v>
      </c>
      <c r="AP1723">
        <v>4100</v>
      </c>
      <c r="AQ1723" t="s">
        <v>131</v>
      </c>
      <c r="AR1723">
        <v>13</v>
      </c>
      <c r="AS1723">
        <v>82</v>
      </c>
      <c r="AT1723">
        <v>512</v>
      </c>
      <c r="BB1723" t="str">
        <f t="shared" si="662"/>
        <v>1200</v>
      </c>
      <c r="BC1723">
        <v>1</v>
      </c>
      <c r="BD1723" t="str">
        <f t="shared" si="663"/>
        <v xml:space="preserve">N52156  </v>
      </c>
      <c r="BE1723">
        <v>1</v>
      </c>
      <c r="BG1723">
        <v>0</v>
      </c>
      <c r="BH1723">
        <v>0</v>
      </c>
      <c r="BI1723">
        <v>0</v>
      </c>
      <c r="BJ1723">
        <v>4125</v>
      </c>
      <c r="BK1723">
        <v>25</v>
      </c>
      <c r="BL1723" t="s">
        <v>188</v>
      </c>
      <c r="BM1723">
        <v>1</v>
      </c>
      <c r="BN1723">
        <v>1</v>
      </c>
      <c r="BO1723">
        <v>0</v>
      </c>
      <c r="BP1723">
        <v>0</v>
      </c>
      <c r="BS1723">
        <v>0</v>
      </c>
      <c r="BT1723">
        <v>0</v>
      </c>
      <c r="BU1723">
        <v>0</v>
      </c>
      <c r="CE1723" t="str">
        <f t="shared" si="681"/>
        <v>15:09:18.841</v>
      </c>
      <c r="CF1723">
        <v>840623148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5</v>
      </c>
      <c r="CY1723">
        <v>7</v>
      </c>
      <c r="CZ1723" t="s">
        <v>133</v>
      </c>
      <c r="DA1723">
        <v>273</v>
      </c>
      <c r="DB1723">
        <v>0</v>
      </c>
      <c r="DC1723" t="s">
        <v>292</v>
      </c>
      <c r="DD1723" t="s">
        <v>293</v>
      </c>
      <c r="DG1723">
        <v>4862659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"05/01/2025 15:09:19.446"</f>
        <v>05/01/2025 15:09:19.446</v>
      </c>
      <c r="C1724" t="str">
        <f t="shared" si="660"/>
        <v>FFDFD3C0</v>
      </c>
      <c r="D1724" t="s">
        <v>140</v>
      </c>
      <c r="E1724" t="str">
        <f>"13"</f>
        <v>13</v>
      </c>
      <c r="F1724">
        <v>1019</v>
      </c>
      <c r="G1724" t="s">
        <v>141</v>
      </c>
      <c r="J1724" t="s">
        <v>142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R1724" t="s">
        <v>127</v>
      </c>
      <c r="S1724" t="str">
        <f t="shared" ref="S1724:T1729" si="682">"15:09:19.000"</f>
        <v>15:09:19.000</v>
      </c>
      <c r="T1724" t="str">
        <f t="shared" si="682"/>
        <v>15:09:19.000</v>
      </c>
      <c r="U1724" t="str">
        <f t="shared" si="661"/>
        <v>A68FCB</v>
      </c>
      <c r="V1724">
        <v>0</v>
      </c>
      <c r="W1724">
        <v>0</v>
      </c>
      <c r="X1724">
        <v>2</v>
      </c>
      <c r="Y1724">
        <v>0</v>
      </c>
      <c r="AA1724">
        <v>1</v>
      </c>
      <c r="AB1724">
        <v>8</v>
      </c>
      <c r="AC1724">
        <v>3</v>
      </c>
      <c r="AD1724">
        <v>0</v>
      </c>
      <c r="AE1724">
        <v>9</v>
      </c>
      <c r="AF1724" t="s">
        <v>138</v>
      </c>
      <c r="AG1724">
        <v>0</v>
      </c>
      <c r="AH1724">
        <v>3</v>
      </c>
      <c r="AI1724">
        <v>2</v>
      </c>
      <c r="AJ1724">
        <v>0</v>
      </c>
      <c r="AK1724" t="s">
        <v>622</v>
      </c>
      <c r="AL1724">
        <v>39.031699000000003</v>
      </c>
      <c r="AM1724" t="s">
        <v>623</v>
      </c>
      <c r="AN1724">
        <v>-121.04599</v>
      </c>
      <c r="AO1724">
        <v>25</v>
      </c>
      <c r="AP1724">
        <v>4100</v>
      </c>
      <c r="AQ1724" t="s">
        <v>131</v>
      </c>
      <c r="AR1724">
        <v>13</v>
      </c>
      <c r="AS1724">
        <v>82</v>
      </c>
      <c r="AT1724">
        <v>512</v>
      </c>
      <c r="BB1724" t="str">
        <f t="shared" si="662"/>
        <v>1200</v>
      </c>
      <c r="BC1724">
        <v>1</v>
      </c>
      <c r="BD1724" t="str">
        <f t="shared" si="663"/>
        <v xml:space="preserve">N52156  </v>
      </c>
      <c r="BE1724">
        <v>1</v>
      </c>
      <c r="BG1724">
        <v>0</v>
      </c>
      <c r="BH1724">
        <v>0</v>
      </c>
      <c r="BI1724">
        <v>0</v>
      </c>
      <c r="BJ1724">
        <v>4150</v>
      </c>
      <c r="BK1724">
        <v>50</v>
      </c>
      <c r="BL1724" t="s">
        <v>188</v>
      </c>
      <c r="BM1724">
        <v>1</v>
      </c>
      <c r="BN1724">
        <v>1</v>
      </c>
      <c r="BO1724">
        <v>0</v>
      </c>
      <c r="BP1724">
        <v>0</v>
      </c>
      <c r="BS1724">
        <v>0</v>
      </c>
      <c r="BT1724">
        <v>0</v>
      </c>
      <c r="BU1724">
        <v>0</v>
      </c>
      <c r="CE1724" t="str">
        <f t="shared" ref="CE1724:CE1729" si="683">"15:09:19.225"</f>
        <v>15:09:19.225</v>
      </c>
      <c r="CF1724">
        <v>224621561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5</v>
      </c>
      <c r="CY1724">
        <v>7</v>
      </c>
      <c r="CZ1724" t="s">
        <v>133</v>
      </c>
      <c r="DA1724">
        <v>273</v>
      </c>
      <c r="DB1724">
        <v>0</v>
      </c>
      <c r="DC1724" t="s">
        <v>292</v>
      </c>
      <c r="DD1724" t="s">
        <v>293</v>
      </c>
      <c r="DG1724">
        <v>4862663</v>
      </c>
      <c r="DI1724">
        <v>1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"05/01/2025 15:09:19.456"</f>
        <v>05/01/2025 15:09:19.456</v>
      </c>
      <c r="C1725" t="str">
        <f t="shared" si="660"/>
        <v>FFDFD3C0</v>
      </c>
      <c r="D1725" t="s">
        <v>145</v>
      </c>
      <c r="E1725" t="str">
        <f>"05"</f>
        <v>05</v>
      </c>
      <c r="H1725">
        <v>47</v>
      </c>
      <c r="I1725" t="s">
        <v>146</v>
      </c>
      <c r="J1725" t="s">
        <v>138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R1725" t="s">
        <v>127</v>
      </c>
      <c r="S1725" t="str">
        <f t="shared" si="682"/>
        <v>15:09:19.000</v>
      </c>
      <c r="T1725" t="str">
        <f t="shared" si="682"/>
        <v>15:09:19.000</v>
      </c>
      <c r="U1725" t="str">
        <f t="shared" si="661"/>
        <v>A68FCB</v>
      </c>
      <c r="V1725">
        <v>0</v>
      </c>
      <c r="W1725">
        <v>0</v>
      </c>
      <c r="X1725">
        <v>2</v>
      </c>
      <c r="Y1725">
        <v>0</v>
      </c>
      <c r="AA1725">
        <v>1</v>
      </c>
      <c r="AB1725">
        <v>8</v>
      </c>
      <c r="AC1725">
        <v>3</v>
      </c>
      <c r="AD1725">
        <v>0</v>
      </c>
      <c r="AE1725">
        <v>9</v>
      </c>
      <c r="AF1725" t="s">
        <v>138</v>
      </c>
      <c r="AG1725">
        <v>0</v>
      </c>
      <c r="AH1725">
        <v>3</v>
      </c>
      <c r="AI1725">
        <v>2</v>
      </c>
      <c r="AJ1725">
        <v>0</v>
      </c>
      <c r="AK1725" t="s">
        <v>622</v>
      </c>
      <c r="AL1725">
        <v>39.031699000000003</v>
      </c>
      <c r="AM1725" t="s">
        <v>623</v>
      </c>
      <c r="AN1725">
        <v>-121.04599</v>
      </c>
      <c r="AO1725">
        <v>25</v>
      </c>
      <c r="AP1725">
        <v>4100</v>
      </c>
      <c r="AQ1725" t="s">
        <v>131</v>
      </c>
      <c r="AR1725">
        <v>13</v>
      </c>
      <c r="AS1725">
        <v>82</v>
      </c>
      <c r="AT1725">
        <v>512</v>
      </c>
      <c r="BB1725" t="str">
        <f t="shared" si="662"/>
        <v>1200</v>
      </c>
      <c r="BC1725">
        <v>1</v>
      </c>
      <c r="BD1725" t="str">
        <f t="shared" si="663"/>
        <v xml:space="preserve">N52156  </v>
      </c>
      <c r="BE1725">
        <v>1</v>
      </c>
      <c r="BG1725">
        <v>0</v>
      </c>
      <c r="BH1725">
        <v>0</v>
      </c>
      <c r="BI1725">
        <v>0</v>
      </c>
      <c r="BJ1725">
        <v>4150</v>
      </c>
      <c r="BK1725">
        <v>50</v>
      </c>
      <c r="BL1725" t="s">
        <v>188</v>
      </c>
      <c r="BM1725">
        <v>1</v>
      </c>
      <c r="BN1725">
        <v>1</v>
      </c>
      <c r="BO1725">
        <v>0</v>
      </c>
      <c r="BP1725">
        <v>0</v>
      </c>
      <c r="BS1725">
        <v>0</v>
      </c>
      <c r="BT1725">
        <v>0</v>
      </c>
      <c r="BU1725">
        <v>0</v>
      </c>
      <c r="CE1725" t="str">
        <f t="shared" si="683"/>
        <v>15:09:19.225</v>
      </c>
      <c r="CF1725">
        <v>224621561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133</v>
      </c>
      <c r="DA1725">
        <v>273</v>
      </c>
      <c r="DB1725">
        <v>0</v>
      </c>
      <c r="DC1725" t="s">
        <v>292</v>
      </c>
      <c r="DD1725" t="s">
        <v>293</v>
      </c>
      <c r="DG1725">
        <v>4862663</v>
      </c>
      <c r="DI1725">
        <v>1</v>
      </c>
      <c r="DJ1725">
        <v>0</v>
      </c>
      <c r="DK1725">
        <v>1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"05/01/2025 15:09:19.459"</f>
        <v>05/01/2025 15:09:19.459</v>
      </c>
      <c r="C1726" t="str">
        <f t="shared" si="660"/>
        <v>FFDFD3C0</v>
      </c>
      <c r="D1726" t="s">
        <v>124</v>
      </c>
      <c r="E1726" t="str">
        <f>"06"</f>
        <v>06</v>
      </c>
      <c r="F1726">
        <v>2006</v>
      </c>
      <c r="G1726" t="s">
        <v>125</v>
      </c>
      <c r="J1726" t="s">
        <v>126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R1726" t="s">
        <v>127</v>
      </c>
      <c r="S1726" t="str">
        <f t="shared" si="682"/>
        <v>15:09:19.000</v>
      </c>
      <c r="T1726" t="str">
        <f t="shared" si="682"/>
        <v>15:09:19.000</v>
      </c>
      <c r="U1726" t="str">
        <f t="shared" si="661"/>
        <v>A68FCB</v>
      </c>
      <c r="V1726">
        <v>0</v>
      </c>
      <c r="W1726">
        <v>0</v>
      </c>
      <c r="X1726">
        <v>2</v>
      </c>
      <c r="Y1726">
        <v>0</v>
      </c>
      <c r="AA1726">
        <v>1</v>
      </c>
      <c r="AB1726">
        <v>8</v>
      </c>
      <c r="AC1726">
        <v>3</v>
      </c>
      <c r="AD1726">
        <v>0</v>
      </c>
      <c r="AE1726">
        <v>9</v>
      </c>
      <c r="AF1726" t="s">
        <v>138</v>
      </c>
      <c r="AG1726">
        <v>0</v>
      </c>
      <c r="AH1726">
        <v>3</v>
      </c>
      <c r="AI1726">
        <v>2</v>
      </c>
      <c r="AJ1726">
        <v>0</v>
      </c>
      <c r="AK1726" t="s">
        <v>622</v>
      </c>
      <c r="AL1726">
        <v>39.031699000000003</v>
      </c>
      <c r="AM1726" t="s">
        <v>623</v>
      </c>
      <c r="AN1726">
        <v>-121.04599</v>
      </c>
      <c r="AO1726">
        <v>25</v>
      </c>
      <c r="AP1726">
        <v>4100</v>
      </c>
      <c r="AQ1726" t="s">
        <v>131</v>
      </c>
      <c r="AR1726">
        <v>13</v>
      </c>
      <c r="AS1726">
        <v>82</v>
      </c>
      <c r="AT1726">
        <v>512</v>
      </c>
      <c r="BB1726" t="str">
        <f t="shared" si="662"/>
        <v>1200</v>
      </c>
      <c r="BC1726">
        <v>1</v>
      </c>
      <c r="BD1726" t="str">
        <f t="shared" si="663"/>
        <v xml:space="preserve">N52156  </v>
      </c>
      <c r="BE1726">
        <v>1</v>
      </c>
      <c r="BG1726">
        <v>0</v>
      </c>
      <c r="BH1726">
        <v>0</v>
      </c>
      <c r="BI1726">
        <v>0</v>
      </c>
      <c r="BJ1726">
        <v>4150</v>
      </c>
      <c r="BK1726">
        <v>50</v>
      </c>
      <c r="BL1726" t="s">
        <v>188</v>
      </c>
      <c r="BM1726">
        <v>1</v>
      </c>
      <c r="BN1726">
        <v>1</v>
      </c>
      <c r="BO1726">
        <v>0</v>
      </c>
      <c r="BP1726">
        <v>0</v>
      </c>
      <c r="BS1726">
        <v>0</v>
      </c>
      <c r="BT1726">
        <v>0</v>
      </c>
      <c r="BU1726">
        <v>0</v>
      </c>
      <c r="CE1726" t="str">
        <f t="shared" si="683"/>
        <v>15:09:19.225</v>
      </c>
      <c r="CF1726">
        <v>224621561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5</v>
      </c>
      <c r="CY1726">
        <v>7</v>
      </c>
      <c r="CZ1726" t="s">
        <v>133</v>
      </c>
      <c r="DA1726">
        <v>273</v>
      </c>
      <c r="DB1726">
        <v>0</v>
      </c>
      <c r="DC1726" t="s">
        <v>292</v>
      </c>
      <c r="DD1726" t="s">
        <v>293</v>
      </c>
      <c r="DG1726">
        <v>4862663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"05/01/2025 15:09:19.464"</f>
        <v>05/01/2025 15:09:19.464</v>
      </c>
      <c r="C1727" t="str">
        <f t="shared" si="660"/>
        <v>FFDFD3C0</v>
      </c>
      <c r="D1727" t="s">
        <v>143</v>
      </c>
      <c r="E1727" t="str">
        <f>"05"</f>
        <v>05</v>
      </c>
      <c r="H1727">
        <v>172</v>
      </c>
      <c r="I1727" t="s">
        <v>141</v>
      </c>
      <c r="J1727" t="s">
        <v>144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R1727" t="s">
        <v>127</v>
      </c>
      <c r="S1727" t="str">
        <f t="shared" si="682"/>
        <v>15:09:19.000</v>
      </c>
      <c r="T1727" t="str">
        <f t="shared" si="682"/>
        <v>15:09:19.000</v>
      </c>
      <c r="U1727" t="str">
        <f t="shared" si="661"/>
        <v>A68FCB</v>
      </c>
      <c r="V1727">
        <v>0</v>
      </c>
      <c r="W1727">
        <v>0</v>
      </c>
      <c r="X1727">
        <v>2</v>
      </c>
      <c r="Y1727">
        <v>0</v>
      </c>
      <c r="AA1727">
        <v>1</v>
      </c>
      <c r="AB1727">
        <v>8</v>
      </c>
      <c r="AC1727">
        <v>3</v>
      </c>
      <c r="AD1727">
        <v>0</v>
      </c>
      <c r="AE1727">
        <v>9</v>
      </c>
      <c r="AF1727" t="s">
        <v>138</v>
      </c>
      <c r="AG1727">
        <v>0</v>
      </c>
      <c r="AH1727">
        <v>3</v>
      </c>
      <c r="AI1727">
        <v>2</v>
      </c>
      <c r="AJ1727">
        <v>0</v>
      </c>
      <c r="AK1727" t="s">
        <v>622</v>
      </c>
      <c r="AL1727">
        <v>39.031699000000003</v>
      </c>
      <c r="AM1727" t="s">
        <v>623</v>
      </c>
      <c r="AN1727">
        <v>-121.04599</v>
      </c>
      <c r="AO1727">
        <v>25</v>
      </c>
      <c r="AP1727">
        <v>4100</v>
      </c>
      <c r="AQ1727" t="s">
        <v>131</v>
      </c>
      <c r="AR1727">
        <v>13</v>
      </c>
      <c r="AS1727">
        <v>82</v>
      </c>
      <c r="AT1727">
        <v>512</v>
      </c>
      <c r="BB1727" t="str">
        <f t="shared" si="662"/>
        <v>1200</v>
      </c>
      <c r="BC1727">
        <v>1</v>
      </c>
      <c r="BD1727" t="str">
        <f t="shared" si="663"/>
        <v xml:space="preserve">N52156  </v>
      </c>
      <c r="BE1727">
        <v>1</v>
      </c>
      <c r="BG1727">
        <v>0</v>
      </c>
      <c r="BH1727">
        <v>0</v>
      </c>
      <c r="BI1727">
        <v>0</v>
      </c>
      <c r="BJ1727">
        <v>4150</v>
      </c>
      <c r="BK1727">
        <v>50</v>
      </c>
      <c r="BL1727" t="s">
        <v>188</v>
      </c>
      <c r="BM1727">
        <v>1</v>
      </c>
      <c r="BN1727">
        <v>1</v>
      </c>
      <c r="BO1727">
        <v>0</v>
      </c>
      <c r="BP1727">
        <v>0</v>
      </c>
      <c r="BS1727">
        <v>0</v>
      </c>
      <c r="BT1727">
        <v>0</v>
      </c>
      <c r="BU1727">
        <v>0</v>
      </c>
      <c r="CE1727" t="str">
        <f t="shared" si="683"/>
        <v>15:09:19.225</v>
      </c>
      <c r="CF1727">
        <v>224621561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133</v>
      </c>
      <c r="DA1727">
        <v>273</v>
      </c>
      <c r="DB1727">
        <v>0</v>
      </c>
      <c r="DC1727" t="s">
        <v>292</v>
      </c>
      <c r="DD1727" t="s">
        <v>293</v>
      </c>
      <c r="DG1727">
        <v>4862663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"05/01/2025 15:09:19.458"</f>
        <v>05/01/2025 15:09:19.458</v>
      </c>
      <c r="C1728" t="str">
        <f t="shared" si="660"/>
        <v>FFDFD3C0</v>
      </c>
      <c r="D1728" t="s">
        <v>145</v>
      </c>
      <c r="E1728" t="str">
        <f>"09"</f>
        <v>09</v>
      </c>
      <c r="H1728">
        <v>51</v>
      </c>
      <c r="I1728" t="s">
        <v>147</v>
      </c>
      <c r="J1728" t="s">
        <v>138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R1728" t="s">
        <v>127</v>
      </c>
      <c r="S1728" t="str">
        <f t="shared" si="682"/>
        <v>15:09:19.000</v>
      </c>
      <c r="T1728" t="str">
        <f t="shared" si="682"/>
        <v>15:09:19.000</v>
      </c>
      <c r="U1728" t="str">
        <f t="shared" si="661"/>
        <v>A68FCB</v>
      </c>
      <c r="V1728">
        <v>0</v>
      </c>
      <c r="W1728">
        <v>0</v>
      </c>
      <c r="X1728">
        <v>2</v>
      </c>
      <c r="Y1728">
        <v>0</v>
      </c>
      <c r="AA1728">
        <v>1</v>
      </c>
      <c r="AB1728">
        <v>8</v>
      </c>
      <c r="AC1728">
        <v>3</v>
      </c>
      <c r="AD1728">
        <v>0</v>
      </c>
      <c r="AE1728">
        <v>9</v>
      </c>
      <c r="AF1728" t="s">
        <v>138</v>
      </c>
      <c r="AG1728">
        <v>0</v>
      </c>
      <c r="AH1728">
        <v>3</v>
      </c>
      <c r="AI1728">
        <v>2</v>
      </c>
      <c r="AJ1728">
        <v>0</v>
      </c>
      <c r="AK1728" t="s">
        <v>622</v>
      </c>
      <c r="AL1728">
        <v>39.031699000000003</v>
      </c>
      <c r="AM1728" t="s">
        <v>623</v>
      </c>
      <c r="AN1728">
        <v>-121.04599</v>
      </c>
      <c r="AO1728">
        <v>25</v>
      </c>
      <c r="AP1728">
        <v>4100</v>
      </c>
      <c r="AQ1728" t="s">
        <v>131</v>
      </c>
      <c r="AR1728">
        <v>13</v>
      </c>
      <c r="AS1728">
        <v>82</v>
      </c>
      <c r="AT1728">
        <v>512</v>
      </c>
      <c r="BB1728" t="str">
        <f t="shared" si="662"/>
        <v>1200</v>
      </c>
      <c r="BC1728">
        <v>1</v>
      </c>
      <c r="BD1728" t="str">
        <f t="shared" si="663"/>
        <v xml:space="preserve">N52156  </v>
      </c>
      <c r="BE1728">
        <v>1</v>
      </c>
      <c r="BG1728">
        <v>0</v>
      </c>
      <c r="BH1728">
        <v>0</v>
      </c>
      <c r="BI1728">
        <v>0</v>
      </c>
      <c r="BJ1728">
        <v>4150</v>
      </c>
      <c r="BK1728">
        <v>50</v>
      </c>
      <c r="BL1728" t="s">
        <v>188</v>
      </c>
      <c r="BM1728">
        <v>1</v>
      </c>
      <c r="BN1728">
        <v>1</v>
      </c>
      <c r="BO1728">
        <v>0</v>
      </c>
      <c r="BP1728">
        <v>0</v>
      </c>
      <c r="BS1728">
        <v>0</v>
      </c>
      <c r="BT1728">
        <v>0</v>
      </c>
      <c r="BU1728">
        <v>0</v>
      </c>
      <c r="CE1728" t="str">
        <f t="shared" si="683"/>
        <v>15:09:19.225</v>
      </c>
      <c r="CF1728">
        <v>224621561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5</v>
      </c>
      <c r="CY1728">
        <v>7</v>
      </c>
      <c r="CZ1728" t="s">
        <v>133</v>
      </c>
      <c r="DA1728">
        <v>273</v>
      </c>
      <c r="DB1728">
        <v>0</v>
      </c>
      <c r="DC1728" t="s">
        <v>292</v>
      </c>
      <c r="DD1728" t="s">
        <v>293</v>
      </c>
      <c r="DG1728">
        <v>4862663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"05/01/2025 15:09:19.468"</f>
        <v>05/01/2025 15:09:19.468</v>
      </c>
      <c r="C1729" t="str">
        <f t="shared" si="660"/>
        <v>FFDFD3C0</v>
      </c>
      <c r="D1729" t="s">
        <v>136</v>
      </c>
      <c r="E1729" t="str">
        <f>"20"</f>
        <v>20</v>
      </c>
      <c r="H1729">
        <v>400</v>
      </c>
      <c r="I1729" t="s">
        <v>137</v>
      </c>
      <c r="J1729" t="s">
        <v>138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R1729" t="s">
        <v>127</v>
      </c>
      <c r="S1729" t="str">
        <f t="shared" si="682"/>
        <v>15:09:19.000</v>
      </c>
      <c r="T1729" t="str">
        <f t="shared" si="682"/>
        <v>15:09:19.000</v>
      </c>
      <c r="U1729" t="str">
        <f t="shared" si="661"/>
        <v>A68FCB</v>
      </c>
      <c r="V1729">
        <v>0</v>
      </c>
      <c r="W1729">
        <v>0</v>
      </c>
      <c r="X1729">
        <v>2</v>
      </c>
      <c r="Y1729">
        <v>0</v>
      </c>
      <c r="AA1729">
        <v>1</v>
      </c>
      <c r="AB1729">
        <v>8</v>
      </c>
      <c r="AC1729">
        <v>3</v>
      </c>
      <c r="AD1729">
        <v>0</v>
      </c>
      <c r="AE1729">
        <v>9</v>
      </c>
      <c r="AF1729" t="s">
        <v>138</v>
      </c>
      <c r="AG1729">
        <v>0</v>
      </c>
      <c r="AH1729">
        <v>3</v>
      </c>
      <c r="AI1729">
        <v>2</v>
      </c>
      <c r="AJ1729">
        <v>0</v>
      </c>
      <c r="AK1729" t="s">
        <v>622</v>
      </c>
      <c r="AL1729">
        <v>39.031699000000003</v>
      </c>
      <c r="AM1729" t="s">
        <v>623</v>
      </c>
      <c r="AN1729">
        <v>-121.04599</v>
      </c>
      <c r="AO1729">
        <v>25</v>
      </c>
      <c r="AP1729">
        <v>4100</v>
      </c>
      <c r="AQ1729" t="s">
        <v>131</v>
      </c>
      <c r="AR1729">
        <v>13</v>
      </c>
      <c r="AS1729">
        <v>82</v>
      </c>
      <c r="AT1729">
        <v>512</v>
      </c>
      <c r="BB1729" t="str">
        <f t="shared" si="662"/>
        <v>1200</v>
      </c>
      <c r="BC1729">
        <v>1</v>
      </c>
      <c r="BD1729" t="str">
        <f t="shared" si="663"/>
        <v xml:space="preserve">N52156  </v>
      </c>
      <c r="BE1729">
        <v>1</v>
      </c>
      <c r="BG1729">
        <v>0</v>
      </c>
      <c r="BH1729">
        <v>0</v>
      </c>
      <c r="BI1729">
        <v>0</v>
      </c>
      <c r="BJ1729">
        <v>4150</v>
      </c>
      <c r="BK1729">
        <v>50</v>
      </c>
      <c r="BL1729" t="s">
        <v>188</v>
      </c>
      <c r="BM1729">
        <v>1</v>
      </c>
      <c r="BN1729">
        <v>1</v>
      </c>
      <c r="BO1729">
        <v>0</v>
      </c>
      <c r="BP1729">
        <v>0</v>
      </c>
      <c r="BS1729">
        <v>0</v>
      </c>
      <c r="BT1729">
        <v>0</v>
      </c>
      <c r="BU1729">
        <v>0</v>
      </c>
      <c r="CE1729" t="str">
        <f t="shared" si="683"/>
        <v>15:09:19.225</v>
      </c>
      <c r="CF1729">
        <v>224621561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5</v>
      </c>
      <c r="CY1729">
        <v>7</v>
      </c>
      <c r="CZ1729" t="s">
        <v>133</v>
      </c>
      <c r="DA1729">
        <v>273</v>
      </c>
      <c r="DB1729">
        <v>0</v>
      </c>
      <c r="DC1729" t="s">
        <v>292</v>
      </c>
      <c r="DD1729" t="s">
        <v>293</v>
      </c>
      <c r="DG1729">
        <v>4862663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"05/01/2025 15:09:20.749"</f>
        <v>05/01/2025 15:09:20.749</v>
      </c>
      <c r="C1730" t="str">
        <f t="shared" ref="C1730:C1793" si="684">"FFDFD3C0"</f>
        <v>FFDFD3C0</v>
      </c>
      <c r="D1730" t="s">
        <v>140</v>
      </c>
      <c r="E1730" t="str">
        <f>"13"</f>
        <v>13</v>
      </c>
      <c r="F1730">
        <v>1019</v>
      </c>
      <c r="G1730" t="s">
        <v>141</v>
      </c>
      <c r="J1730" t="s">
        <v>142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R1730" t="s">
        <v>127</v>
      </c>
      <c r="S1730" t="str">
        <f t="shared" ref="S1730:T1735" si="685">"15:09:20.000"</f>
        <v>15:09:20.000</v>
      </c>
      <c r="T1730" t="str">
        <f t="shared" si="685"/>
        <v>15:09:20.000</v>
      </c>
      <c r="U1730" t="str">
        <f t="shared" ref="U1730:U1793" si="686">"A68FCB"</f>
        <v>A68FCB</v>
      </c>
      <c r="V1730">
        <v>0</v>
      </c>
      <c r="W1730">
        <v>0</v>
      </c>
      <c r="X1730">
        <v>2</v>
      </c>
      <c r="Y1730">
        <v>0</v>
      </c>
      <c r="AA1730">
        <v>1</v>
      </c>
      <c r="AB1730">
        <v>8</v>
      </c>
      <c r="AC1730">
        <v>3</v>
      </c>
      <c r="AD1730">
        <v>0</v>
      </c>
      <c r="AE1730">
        <v>9</v>
      </c>
      <c r="AF1730" t="s">
        <v>138</v>
      </c>
      <c r="AG1730">
        <v>0</v>
      </c>
      <c r="AH1730">
        <v>3</v>
      </c>
      <c r="AI1730">
        <v>2</v>
      </c>
      <c r="AJ1730">
        <v>0</v>
      </c>
      <c r="AK1730" t="s">
        <v>624</v>
      </c>
      <c r="AL1730">
        <v>39.032105999999999</v>
      </c>
      <c r="AM1730" t="s">
        <v>625</v>
      </c>
      <c r="AN1730">
        <v>-121.04590399999999</v>
      </c>
      <c r="AO1730">
        <v>25</v>
      </c>
      <c r="AP1730">
        <v>4100</v>
      </c>
      <c r="AQ1730" t="s">
        <v>131</v>
      </c>
      <c r="AR1730">
        <v>14</v>
      </c>
      <c r="AS1730">
        <v>81</v>
      </c>
      <c r="AT1730">
        <v>448</v>
      </c>
      <c r="BB1730" t="str">
        <f t="shared" ref="BB1730:BB1793" si="687">"1200"</f>
        <v>1200</v>
      </c>
      <c r="BC1730">
        <v>1</v>
      </c>
      <c r="BD1730" t="str">
        <f t="shared" ref="BD1730:BD1793" si="688">"N52156  "</f>
        <v xml:space="preserve">N52156  </v>
      </c>
      <c r="BE1730">
        <v>1</v>
      </c>
      <c r="BG1730">
        <v>0</v>
      </c>
      <c r="BH1730">
        <v>0</v>
      </c>
      <c r="BI1730">
        <v>0</v>
      </c>
      <c r="BJ1730">
        <v>4150</v>
      </c>
      <c r="BK1730">
        <v>50</v>
      </c>
      <c r="BL1730" t="s">
        <v>188</v>
      </c>
      <c r="BM1730">
        <v>1</v>
      </c>
      <c r="BN1730">
        <v>1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 t="shared" ref="CE1730:CE1735" si="689">"15:09:20.526"</f>
        <v>15:09:20.526</v>
      </c>
      <c r="CF1730">
        <v>525622471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5</v>
      </c>
      <c r="CY1730">
        <v>7</v>
      </c>
      <c r="CZ1730" t="s">
        <v>133</v>
      </c>
      <c r="DA1730">
        <v>273</v>
      </c>
      <c r="DB1730">
        <v>0</v>
      </c>
      <c r="DC1730" t="s">
        <v>292</v>
      </c>
      <c r="DD1730" t="s">
        <v>293</v>
      </c>
      <c r="DG1730">
        <v>4862676</v>
      </c>
      <c r="DI1730">
        <v>1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"05/01/2025 15:09:20.758"</f>
        <v>05/01/2025 15:09:20.758</v>
      </c>
      <c r="C1731" t="str">
        <f t="shared" si="684"/>
        <v>FFDFD3C0</v>
      </c>
      <c r="D1731" t="s">
        <v>145</v>
      </c>
      <c r="E1731" t="str">
        <f>"05"</f>
        <v>05</v>
      </c>
      <c r="H1731">
        <v>47</v>
      </c>
      <c r="I1731" t="s">
        <v>146</v>
      </c>
      <c r="J1731" t="s">
        <v>138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R1731" t="s">
        <v>127</v>
      </c>
      <c r="S1731" t="str">
        <f t="shared" si="685"/>
        <v>15:09:20.000</v>
      </c>
      <c r="T1731" t="str">
        <f t="shared" si="685"/>
        <v>15:09:20.000</v>
      </c>
      <c r="U1731" t="str">
        <f t="shared" si="686"/>
        <v>A68FCB</v>
      </c>
      <c r="V1731">
        <v>0</v>
      </c>
      <c r="W1731">
        <v>0</v>
      </c>
      <c r="X1731">
        <v>2</v>
      </c>
      <c r="Y1731">
        <v>0</v>
      </c>
      <c r="AA1731">
        <v>1</v>
      </c>
      <c r="AB1731">
        <v>8</v>
      </c>
      <c r="AC1731">
        <v>3</v>
      </c>
      <c r="AD1731">
        <v>0</v>
      </c>
      <c r="AE1731">
        <v>9</v>
      </c>
      <c r="AF1731" t="s">
        <v>138</v>
      </c>
      <c r="AG1731">
        <v>0</v>
      </c>
      <c r="AH1731">
        <v>3</v>
      </c>
      <c r="AI1731">
        <v>2</v>
      </c>
      <c r="AJ1731">
        <v>0</v>
      </c>
      <c r="AK1731" t="s">
        <v>624</v>
      </c>
      <c r="AL1731">
        <v>39.032105999999999</v>
      </c>
      <c r="AM1731" t="s">
        <v>625</v>
      </c>
      <c r="AN1731">
        <v>-121.04590399999999</v>
      </c>
      <c r="AO1731">
        <v>25</v>
      </c>
      <c r="AP1731">
        <v>4100</v>
      </c>
      <c r="AQ1731" t="s">
        <v>131</v>
      </c>
      <c r="AR1731">
        <v>14</v>
      </c>
      <c r="AS1731">
        <v>81</v>
      </c>
      <c r="AT1731">
        <v>448</v>
      </c>
      <c r="BB1731" t="str">
        <f t="shared" si="687"/>
        <v>1200</v>
      </c>
      <c r="BC1731">
        <v>1</v>
      </c>
      <c r="BD1731" t="str">
        <f t="shared" si="688"/>
        <v xml:space="preserve">N52156  </v>
      </c>
      <c r="BE1731">
        <v>1</v>
      </c>
      <c r="BG1731">
        <v>0</v>
      </c>
      <c r="BH1731">
        <v>0</v>
      </c>
      <c r="BI1731">
        <v>0</v>
      </c>
      <c r="BJ1731">
        <v>4150</v>
      </c>
      <c r="BK1731">
        <v>50</v>
      </c>
      <c r="BL1731" t="s">
        <v>188</v>
      </c>
      <c r="BM1731">
        <v>1</v>
      </c>
      <c r="BN1731">
        <v>1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 t="shared" si="689"/>
        <v>15:09:20.526</v>
      </c>
      <c r="CF1731">
        <v>525622471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5</v>
      </c>
      <c r="CY1731">
        <v>7</v>
      </c>
      <c r="CZ1731" t="s">
        <v>133</v>
      </c>
      <c r="DA1731">
        <v>273</v>
      </c>
      <c r="DB1731">
        <v>0</v>
      </c>
      <c r="DC1731" t="s">
        <v>292</v>
      </c>
      <c r="DD1731" t="s">
        <v>293</v>
      </c>
      <c r="DG1731">
        <v>4862676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"05/01/2025 15:09:20.761"</f>
        <v>05/01/2025 15:09:20.761</v>
      </c>
      <c r="C1732" t="str">
        <f t="shared" si="684"/>
        <v>FFDFD3C0</v>
      </c>
      <c r="D1732" t="s">
        <v>145</v>
      </c>
      <c r="E1732" t="str">
        <f>"09"</f>
        <v>09</v>
      </c>
      <c r="H1732">
        <v>51</v>
      </c>
      <c r="I1732" t="s">
        <v>147</v>
      </c>
      <c r="J1732" t="s">
        <v>138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R1732" t="s">
        <v>127</v>
      </c>
      <c r="S1732" t="str">
        <f t="shared" si="685"/>
        <v>15:09:20.000</v>
      </c>
      <c r="T1732" t="str">
        <f t="shared" si="685"/>
        <v>15:09:20.000</v>
      </c>
      <c r="U1732" t="str">
        <f t="shared" si="686"/>
        <v>A68FCB</v>
      </c>
      <c r="V1732">
        <v>0</v>
      </c>
      <c r="W1732">
        <v>0</v>
      </c>
      <c r="X1732">
        <v>2</v>
      </c>
      <c r="Y1732">
        <v>0</v>
      </c>
      <c r="AA1732">
        <v>1</v>
      </c>
      <c r="AB1732">
        <v>8</v>
      </c>
      <c r="AC1732">
        <v>3</v>
      </c>
      <c r="AD1732">
        <v>0</v>
      </c>
      <c r="AE1732">
        <v>9</v>
      </c>
      <c r="AF1732" t="s">
        <v>138</v>
      </c>
      <c r="AG1732">
        <v>0</v>
      </c>
      <c r="AH1732">
        <v>3</v>
      </c>
      <c r="AI1732">
        <v>2</v>
      </c>
      <c r="AJ1732">
        <v>0</v>
      </c>
      <c r="AK1732" t="s">
        <v>624</v>
      </c>
      <c r="AL1732">
        <v>39.032105999999999</v>
      </c>
      <c r="AM1732" t="s">
        <v>625</v>
      </c>
      <c r="AN1732">
        <v>-121.04590399999999</v>
      </c>
      <c r="AO1732">
        <v>25</v>
      </c>
      <c r="AP1732">
        <v>4100</v>
      </c>
      <c r="AQ1732" t="s">
        <v>131</v>
      </c>
      <c r="AR1732">
        <v>14</v>
      </c>
      <c r="AS1732">
        <v>81</v>
      </c>
      <c r="AT1732">
        <v>448</v>
      </c>
      <c r="BB1732" t="str">
        <f t="shared" si="687"/>
        <v>1200</v>
      </c>
      <c r="BC1732">
        <v>1</v>
      </c>
      <c r="BD1732" t="str">
        <f t="shared" si="688"/>
        <v xml:space="preserve">N52156  </v>
      </c>
      <c r="BE1732">
        <v>1</v>
      </c>
      <c r="BG1732">
        <v>0</v>
      </c>
      <c r="BH1732">
        <v>0</v>
      </c>
      <c r="BI1732">
        <v>0</v>
      </c>
      <c r="BJ1732">
        <v>4150</v>
      </c>
      <c r="BK1732">
        <v>50</v>
      </c>
      <c r="BL1732" t="s">
        <v>188</v>
      </c>
      <c r="BM1732">
        <v>1</v>
      </c>
      <c r="BN1732">
        <v>1</v>
      </c>
      <c r="BO1732">
        <v>0</v>
      </c>
      <c r="BP1732">
        <v>0</v>
      </c>
      <c r="BS1732">
        <v>0</v>
      </c>
      <c r="BT1732">
        <v>0</v>
      </c>
      <c r="BU1732">
        <v>0</v>
      </c>
      <c r="CE1732" t="str">
        <f t="shared" si="689"/>
        <v>15:09:20.526</v>
      </c>
      <c r="CF1732">
        <v>525622471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5</v>
      </c>
      <c r="CY1732">
        <v>7</v>
      </c>
      <c r="CZ1732" t="s">
        <v>133</v>
      </c>
      <c r="DA1732">
        <v>273</v>
      </c>
      <c r="DB1732">
        <v>0</v>
      </c>
      <c r="DC1732" t="s">
        <v>292</v>
      </c>
      <c r="DD1732" t="s">
        <v>293</v>
      </c>
      <c r="DG1732">
        <v>4862676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"05/01/2025 15:09:20.761"</f>
        <v>05/01/2025 15:09:20.761</v>
      </c>
      <c r="C1733" t="str">
        <f t="shared" si="684"/>
        <v>FFDFD3C0</v>
      </c>
      <c r="D1733" t="s">
        <v>124</v>
      </c>
      <c r="E1733" t="str">
        <f>"06"</f>
        <v>06</v>
      </c>
      <c r="F1733">
        <v>2006</v>
      </c>
      <c r="G1733" t="s">
        <v>125</v>
      </c>
      <c r="J1733" t="s">
        <v>126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R1733" t="s">
        <v>127</v>
      </c>
      <c r="S1733" t="str">
        <f t="shared" si="685"/>
        <v>15:09:20.000</v>
      </c>
      <c r="T1733" t="str">
        <f t="shared" si="685"/>
        <v>15:09:20.000</v>
      </c>
      <c r="U1733" t="str">
        <f t="shared" si="686"/>
        <v>A68FCB</v>
      </c>
      <c r="V1733">
        <v>0</v>
      </c>
      <c r="W1733">
        <v>0</v>
      </c>
      <c r="X1733">
        <v>2</v>
      </c>
      <c r="Y1733">
        <v>0</v>
      </c>
      <c r="AA1733">
        <v>1</v>
      </c>
      <c r="AB1733">
        <v>8</v>
      </c>
      <c r="AC1733">
        <v>3</v>
      </c>
      <c r="AD1733">
        <v>0</v>
      </c>
      <c r="AE1733">
        <v>9</v>
      </c>
      <c r="AF1733" t="s">
        <v>138</v>
      </c>
      <c r="AG1733">
        <v>0</v>
      </c>
      <c r="AH1733">
        <v>3</v>
      </c>
      <c r="AI1733">
        <v>2</v>
      </c>
      <c r="AJ1733">
        <v>0</v>
      </c>
      <c r="AK1733" t="s">
        <v>624</v>
      </c>
      <c r="AL1733">
        <v>39.032105999999999</v>
      </c>
      <c r="AM1733" t="s">
        <v>625</v>
      </c>
      <c r="AN1733">
        <v>-121.04590399999999</v>
      </c>
      <c r="AO1733">
        <v>25</v>
      </c>
      <c r="AP1733">
        <v>4100</v>
      </c>
      <c r="AQ1733" t="s">
        <v>131</v>
      </c>
      <c r="AR1733">
        <v>14</v>
      </c>
      <c r="AS1733">
        <v>81</v>
      </c>
      <c r="AT1733">
        <v>448</v>
      </c>
      <c r="BB1733" t="str">
        <f t="shared" si="687"/>
        <v>1200</v>
      </c>
      <c r="BC1733">
        <v>1</v>
      </c>
      <c r="BD1733" t="str">
        <f t="shared" si="688"/>
        <v xml:space="preserve">N52156  </v>
      </c>
      <c r="BE1733">
        <v>1</v>
      </c>
      <c r="BG1733">
        <v>0</v>
      </c>
      <c r="BH1733">
        <v>0</v>
      </c>
      <c r="BI1733">
        <v>0</v>
      </c>
      <c r="BJ1733">
        <v>4150</v>
      </c>
      <c r="BK1733">
        <v>50</v>
      </c>
      <c r="BL1733" t="s">
        <v>188</v>
      </c>
      <c r="BM1733">
        <v>1</v>
      </c>
      <c r="BN1733">
        <v>1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 t="shared" si="689"/>
        <v>15:09:20.526</v>
      </c>
      <c r="CF1733">
        <v>525622471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5</v>
      </c>
      <c r="CY1733">
        <v>7</v>
      </c>
      <c r="CZ1733" t="s">
        <v>133</v>
      </c>
      <c r="DA1733">
        <v>273</v>
      </c>
      <c r="DB1733">
        <v>0</v>
      </c>
      <c r="DC1733" t="s">
        <v>292</v>
      </c>
      <c r="DD1733" t="s">
        <v>293</v>
      </c>
      <c r="DG1733">
        <v>4862676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"05/01/2025 15:09:20.766"</f>
        <v>05/01/2025 15:09:20.766</v>
      </c>
      <c r="C1734" t="str">
        <f t="shared" si="684"/>
        <v>FFDFD3C0</v>
      </c>
      <c r="D1734" t="s">
        <v>143</v>
      </c>
      <c r="E1734" t="str">
        <f>"05"</f>
        <v>05</v>
      </c>
      <c r="H1734">
        <v>172</v>
      </c>
      <c r="I1734" t="s">
        <v>141</v>
      </c>
      <c r="J1734" t="s">
        <v>144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R1734" t="s">
        <v>127</v>
      </c>
      <c r="S1734" t="str">
        <f t="shared" si="685"/>
        <v>15:09:20.000</v>
      </c>
      <c r="T1734" t="str">
        <f t="shared" si="685"/>
        <v>15:09:20.000</v>
      </c>
      <c r="U1734" t="str">
        <f t="shared" si="686"/>
        <v>A68FCB</v>
      </c>
      <c r="V1734">
        <v>0</v>
      </c>
      <c r="W1734">
        <v>0</v>
      </c>
      <c r="X1734">
        <v>2</v>
      </c>
      <c r="Y1734">
        <v>0</v>
      </c>
      <c r="AA1734">
        <v>1</v>
      </c>
      <c r="AB1734">
        <v>8</v>
      </c>
      <c r="AC1734">
        <v>3</v>
      </c>
      <c r="AD1734">
        <v>0</v>
      </c>
      <c r="AE1734">
        <v>9</v>
      </c>
      <c r="AF1734" t="s">
        <v>138</v>
      </c>
      <c r="AG1734">
        <v>0</v>
      </c>
      <c r="AH1734">
        <v>3</v>
      </c>
      <c r="AI1734">
        <v>2</v>
      </c>
      <c r="AJ1734">
        <v>0</v>
      </c>
      <c r="AK1734" t="s">
        <v>624</v>
      </c>
      <c r="AL1734">
        <v>39.032105999999999</v>
      </c>
      <c r="AM1734" t="s">
        <v>625</v>
      </c>
      <c r="AN1734">
        <v>-121.04590399999999</v>
      </c>
      <c r="AO1734">
        <v>25</v>
      </c>
      <c r="AP1734">
        <v>4100</v>
      </c>
      <c r="AQ1734" t="s">
        <v>131</v>
      </c>
      <c r="AR1734">
        <v>14</v>
      </c>
      <c r="AS1734">
        <v>81</v>
      </c>
      <c r="AT1734">
        <v>448</v>
      </c>
      <c r="BB1734" t="str">
        <f t="shared" si="687"/>
        <v>1200</v>
      </c>
      <c r="BC1734">
        <v>1</v>
      </c>
      <c r="BD1734" t="str">
        <f t="shared" si="688"/>
        <v xml:space="preserve">N52156  </v>
      </c>
      <c r="BE1734">
        <v>1</v>
      </c>
      <c r="BG1734">
        <v>0</v>
      </c>
      <c r="BH1734">
        <v>0</v>
      </c>
      <c r="BI1734">
        <v>0</v>
      </c>
      <c r="BJ1734">
        <v>4150</v>
      </c>
      <c r="BK1734">
        <v>50</v>
      </c>
      <c r="BL1734" t="s">
        <v>188</v>
      </c>
      <c r="BM1734">
        <v>1</v>
      </c>
      <c r="BN1734">
        <v>1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 t="shared" si="689"/>
        <v>15:09:20.526</v>
      </c>
      <c r="CF1734">
        <v>525622471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5</v>
      </c>
      <c r="CY1734">
        <v>7</v>
      </c>
      <c r="CZ1734" t="s">
        <v>133</v>
      </c>
      <c r="DA1734">
        <v>273</v>
      </c>
      <c r="DB1734">
        <v>0</v>
      </c>
      <c r="DC1734" t="s">
        <v>292</v>
      </c>
      <c r="DD1734" t="s">
        <v>293</v>
      </c>
      <c r="DG1734">
        <v>4862676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"05/01/2025 15:09:20.771"</f>
        <v>05/01/2025 15:09:20.771</v>
      </c>
      <c r="C1735" t="str">
        <f t="shared" si="684"/>
        <v>FFDFD3C0</v>
      </c>
      <c r="D1735" t="s">
        <v>136</v>
      </c>
      <c r="E1735" t="str">
        <f>"20"</f>
        <v>20</v>
      </c>
      <c r="H1735">
        <v>400</v>
      </c>
      <c r="I1735" t="s">
        <v>137</v>
      </c>
      <c r="J1735" t="s">
        <v>138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R1735" t="s">
        <v>127</v>
      </c>
      <c r="S1735" t="str">
        <f t="shared" si="685"/>
        <v>15:09:20.000</v>
      </c>
      <c r="T1735" t="str">
        <f t="shared" si="685"/>
        <v>15:09:20.000</v>
      </c>
      <c r="U1735" t="str">
        <f t="shared" si="686"/>
        <v>A68FCB</v>
      </c>
      <c r="V1735">
        <v>0</v>
      </c>
      <c r="W1735">
        <v>0</v>
      </c>
      <c r="X1735">
        <v>2</v>
      </c>
      <c r="Y1735">
        <v>0</v>
      </c>
      <c r="AA1735">
        <v>1</v>
      </c>
      <c r="AB1735">
        <v>8</v>
      </c>
      <c r="AC1735">
        <v>3</v>
      </c>
      <c r="AD1735">
        <v>0</v>
      </c>
      <c r="AE1735">
        <v>9</v>
      </c>
      <c r="AF1735" t="s">
        <v>138</v>
      </c>
      <c r="AG1735">
        <v>0</v>
      </c>
      <c r="AH1735">
        <v>3</v>
      </c>
      <c r="AI1735">
        <v>2</v>
      </c>
      <c r="AJ1735">
        <v>0</v>
      </c>
      <c r="AK1735" t="s">
        <v>624</v>
      </c>
      <c r="AL1735">
        <v>39.032105999999999</v>
      </c>
      <c r="AM1735" t="s">
        <v>625</v>
      </c>
      <c r="AN1735">
        <v>-121.04590399999999</v>
      </c>
      <c r="AO1735">
        <v>25</v>
      </c>
      <c r="AP1735">
        <v>4100</v>
      </c>
      <c r="AQ1735" t="s">
        <v>131</v>
      </c>
      <c r="AR1735">
        <v>14</v>
      </c>
      <c r="AS1735">
        <v>81</v>
      </c>
      <c r="AT1735">
        <v>448</v>
      </c>
      <c r="BB1735" t="str">
        <f t="shared" si="687"/>
        <v>1200</v>
      </c>
      <c r="BC1735">
        <v>1</v>
      </c>
      <c r="BD1735" t="str">
        <f t="shared" si="688"/>
        <v xml:space="preserve">N52156  </v>
      </c>
      <c r="BE1735">
        <v>1</v>
      </c>
      <c r="BG1735">
        <v>0</v>
      </c>
      <c r="BH1735">
        <v>0</v>
      </c>
      <c r="BI1735">
        <v>0</v>
      </c>
      <c r="BJ1735">
        <v>4150</v>
      </c>
      <c r="BK1735">
        <v>50</v>
      </c>
      <c r="BL1735" t="s">
        <v>188</v>
      </c>
      <c r="BM1735">
        <v>1</v>
      </c>
      <c r="BN1735">
        <v>1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 t="shared" si="689"/>
        <v>15:09:20.526</v>
      </c>
      <c r="CF1735">
        <v>525622471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133</v>
      </c>
      <c r="DA1735">
        <v>273</v>
      </c>
      <c r="DB1735">
        <v>0</v>
      </c>
      <c r="DC1735" t="s">
        <v>292</v>
      </c>
      <c r="DD1735" t="s">
        <v>293</v>
      </c>
      <c r="DG1735">
        <v>4862676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"05/01/2025 15:09:21.918"</f>
        <v>05/01/2025 15:09:21.918</v>
      </c>
      <c r="C1736" t="str">
        <f t="shared" si="684"/>
        <v>FFDFD3C0</v>
      </c>
      <c r="D1736" t="s">
        <v>143</v>
      </c>
      <c r="E1736" t="str">
        <f>"05"</f>
        <v>05</v>
      </c>
      <c r="H1736">
        <v>172</v>
      </c>
      <c r="I1736" t="s">
        <v>141</v>
      </c>
      <c r="J1736" t="s">
        <v>144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R1736" t="s">
        <v>127</v>
      </c>
      <c r="S1736" t="str">
        <f t="shared" ref="S1736:T1741" si="690">"15:09:21.000"</f>
        <v>15:09:21.000</v>
      </c>
      <c r="T1736" t="str">
        <f t="shared" si="690"/>
        <v>15:09:21.000</v>
      </c>
      <c r="U1736" t="str">
        <f t="shared" si="686"/>
        <v>A68FCB</v>
      </c>
      <c r="V1736">
        <v>0</v>
      </c>
      <c r="W1736">
        <v>0</v>
      </c>
      <c r="X1736">
        <v>2</v>
      </c>
      <c r="Y1736">
        <v>0</v>
      </c>
      <c r="AA1736">
        <v>1</v>
      </c>
      <c r="AB1736">
        <v>8</v>
      </c>
      <c r="AC1736">
        <v>3</v>
      </c>
      <c r="AD1736">
        <v>0</v>
      </c>
      <c r="AE1736">
        <v>9</v>
      </c>
      <c r="AF1736" t="s">
        <v>138</v>
      </c>
      <c r="AG1736">
        <v>0</v>
      </c>
      <c r="AH1736">
        <v>3</v>
      </c>
      <c r="AI1736">
        <v>2</v>
      </c>
      <c r="AJ1736">
        <v>0</v>
      </c>
      <c r="AK1736" t="s">
        <v>626</v>
      </c>
      <c r="AL1736">
        <v>39.032471000000001</v>
      </c>
      <c r="AM1736" t="s">
        <v>627</v>
      </c>
      <c r="AN1736">
        <v>-121.04584</v>
      </c>
      <c r="AO1736">
        <v>25</v>
      </c>
      <c r="AP1736">
        <v>4100</v>
      </c>
      <c r="AQ1736" t="s">
        <v>131</v>
      </c>
      <c r="AR1736">
        <v>14</v>
      </c>
      <c r="AS1736">
        <v>81</v>
      </c>
      <c r="AT1736">
        <v>448</v>
      </c>
      <c r="BB1736" t="str">
        <f t="shared" si="687"/>
        <v>1200</v>
      </c>
      <c r="BC1736">
        <v>1</v>
      </c>
      <c r="BD1736" t="str">
        <f t="shared" si="688"/>
        <v xml:space="preserve">N52156  </v>
      </c>
      <c r="BE1736">
        <v>1</v>
      </c>
      <c r="BG1736">
        <v>0</v>
      </c>
      <c r="BH1736">
        <v>0</v>
      </c>
      <c r="BI1736">
        <v>0</v>
      </c>
      <c r="BJ1736">
        <v>4175</v>
      </c>
      <c r="BK1736">
        <v>75</v>
      </c>
      <c r="BL1736" t="s">
        <v>188</v>
      </c>
      <c r="BM1736">
        <v>1</v>
      </c>
      <c r="BN1736">
        <v>1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 t="shared" ref="CE1736:CE1741" si="691">"15:09:21.711"</f>
        <v>15:09:21.711</v>
      </c>
      <c r="CF1736">
        <v>711372855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5</v>
      </c>
      <c r="CY1736">
        <v>7</v>
      </c>
      <c r="CZ1736" t="s">
        <v>133</v>
      </c>
      <c r="DA1736">
        <v>273</v>
      </c>
      <c r="DB1736">
        <v>0</v>
      </c>
      <c r="DC1736" t="s">
        <v>292</v>
      </c>
      <c r="DD1736" t="s">
        <v>293</v>
      </c>
      <c r="DG1736">
        <v>4862685</v>
      </c>
      <c r="DI1736">
        <v>1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"05/01/2025 15:09:21.923"</f>
        <v>05/01/2025 15:09:21.923</v>
      </c>
      <c r="C1737" t="str">
        <f t="shared" si="684"/>
        <v>FFDFD3C0</v>
      </c>
      <c r="D1737" t="s">
        <v>136</v>
      </c>
      <c r="E1737" t="str">
        <f>"20"</f>
        <v>20</v>
      </c>
      <c r="H1737">
        <v>400</v>
      </c>
      <c r="I1737" t="s">
        <v>137</v>
      </c>
      <c r="J1737" t="s">
        <v>138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R1737" t="s">
        <v>127</v>
      </c>
      <c r="S1737" t="str">
        <f t="shared" si="690"/>
        <v>15:09:21.000</v>
      </c>
      <c r="T1737" t="str">
        <f t="shared" si="690"/>
        <v>15:09:21.000</v>
      </c>
      <c r="U1737" t="str">
        <f t="shared" si="686"/>
        <v>A68FCB</v>
      </c>
      <c r="V1737">
        <v>0</v>
      </c>
      <c r="W1737">
        <v>0</v>
      </c>
      <c r="X1737">
        <v>2</v>
      </c>
      <c r="Y1737">
        <v>0</v>
      </c>
      <c r="AA1737">
        <v>1</v>
      </c>
      <c r="AB1737">
        <v>8</v>
      </c>
      <c r="AC1737">
        <v>3</v>
      </c>
      <c r="AD1737">
        <v>0</v>
      </c>
      <c r="AE1737">
        <v>9</v>
      </c>
      <c r="AF1737" t="s">
        <v>138</v>
      </c>
      <c r="AG1737">
        <v>0</v>
      </c>
      <c r="AH1737">
        <v>3</v>
      </c>
      <c r="AI1737">
        <v>2</v>
      </c>
      <c r="AJ1737">
        <v>0</v>
      </c>
      <c r="AK1737" t="s">
        <v>626</v>
      </c>
      <c r="AL1737">
        <v>39.032471000000001</v>
      </c>
      <c r="AM1737" t="s">
        <v>627</v>
      </c>
      <c r="AN1737">
        <v>-121.04584</v>
      </c>
      <c r="AO1737">
        <v>25</v>
      </c>
      <c r="AP1737">
        <v>4100</v>
      </c>
      <c r="AQ1737" t="s">
        <v>131</v>
      </c>
      <c r="AR1737">
        <v>14</v>
      </c>
      <c r="AS1737">
        <v>81</v>
      </c>
      <c r="AT1737">
        <v>448</v>
      </c>
      <c r="BB1737" t="str">
        <f t="shared" si="687"/>
        <v>1200</v>
      </c>
      <c r="BC1737">
        <v>1</v>
      </c>
      <c r="BD1737" t="str">
        <f t="shared" si="688"/>
        <v xml:space="preserve">N52156  </v>
      </c>
      <c r="BE1737">
        <v>1</v>
      </c>
      <c r="BG1737">
        <v>0</v>
      </c>
      <c r="BH1737">
        <v>0</v>
      </c>
      <c r="BI1737">
        <v>0</v>
      </c>
      <c r="BJ1737">
        <v>4175</v>
      </c>
      <c r="BK1737">
        <v>75</v>
      </c>
      <c r="BL1737" t="s">
        <v>188</v>
      </c>
      <c r="BM1737">
        <v>1</v>
      </c>
      <c r="BN1737">
        <v>1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 t="shared" si="691"/>
        <v>15:09:21.711</v>
      </c>
      <c r="CF1737">
        <v>711372855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5</v>
      </c>
      <c r="CY1737">
        <v>7</v>
      </c>
      <c r="CZ1737" t="s">
        <v>133</v>
      </c>
      <c r="DA1737">
        <v>273</v>
      </c>
      <c r="DB1737">
        <v>0</v>
      </c>
      <c r="DC1737" t="s">
        <v>292</v>
      </c>
      <c r="DD1737" t="s">
        <v>293</v>
      </c>
      <c r="DG1737">
        <v>4862685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"05/01/2025 15:09:21.951"</f>
        <v>05/01/2025 15:09:21.951</v>
      </c>
      <c r="C1738" t="str">
        <f t="shared" si="684"/>
        <v>FFDFD3C0</v>
      </c>
      <c r="D1738" t="s">
        <v>140</v>
      </c>
      <c r="E1738" t="str">
        <f>"13"</f>
        <v>13</v>
      </c>
      <c r="F1738">
        <v>1019</v>
      </c>
      <c r="G1738" t="s">
        <v>141</v>
      </c>
      <c r="J1738" t="s">
        <v>142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R1738" t="s">
        <v>127</v>
      </c>
      <c r="S1738" t="str">
        <f t="shared" si="690"/>
        <v>15:09:21.000</v>
      </c>
      <c r="T1738" t="str">
        <f t="shared" si="690"/>
        <v>15:09:21.000</v>
      </c>
      <c r="U1738" t="str">
        <f t="shared" si="686"/>
        <v>A68FCB</v>
      </c>
      <c r="V1738">
        <v>0</v>
      </c>
      <c r="W1738">
        <v>0</v>
      </c>
      <c r="X1738">
        <v>2</v>
      </c>
      <c r="Y1738">
        <v>0</v>
      </c>
      <c r="AA1738">
        <v>1</v>
      </c>
      <c r="AB1738">
        <v>8</v>
      </c>
      <c r="AC1738">
        <v>3</v>
      </c>
      <c r="AD1738">
        <v>0</v>
      </c>
      <c r="AE1738">
        <v>9</v>
      </c>
      <c r="AF1738" t="s">
        <v>138</v>
      </c>
      <c r="AG1738">
        <v>0</v>
      </c>
      <c r="AH1738">
        <v>3</v>
      </c>
      <c r="AI1738">
        <v>2</v>
      </c>
      <c r="AJ1738">
        <v>0</v>
      </c>
      <c r="AK1738" t="s">
        <v>626</v>
      </c>
      <c r="AL1738">
        <v>39.032471000000001</v>
      </c>
      <c r="AM1738" t="s">
        <v>627</v>
      </c>
      <c r="AN1738">
        <v>-121.04584</v>
      </c>
      <c r="AO1738">
        <v>25</v>
      </c>
      <c r="AP1738">
        <v>4100</v>
      </c>
      <c r="AQ1738" t="s">
        <v>131</v>
      </c>
      <c r="AR1738">
        <v>14</v>
      </c>
      <c r="AS1738">
        <v>81</v>
      </c>
      <c r="AT1738">
        <v>448</v>
      </c>
      <c r="BB1738" t="str">
        <f t="shared" si="687"/>
        <v>1200</v>
      </c>
      <c r="BC1738">
        <v>1</v>
      </c>
      <c r="BD1738" t="str">
        <f t="shared" si="688"/>
        <v xml:space="preserve">N52156  </v>
      </c>
      <c r="BE1738">
        <v>1</v>
      </c>
      <c r="BG1738">
        <v>0</v>
      </c>
      <c r="BH1738">
        <v>0</v>
      </c>
      <c r="BI1738">
        <v>0</v>
      </c>
      <c r="BJ1738">
        <v>4175</v>
      </c>
      <c r="BK1738">
        <v>75</v>
      </c>
      <c r="BL1738" t="s">
        <v>188</v>
      </c>
      <c r="BM1738">
        <v>1</v>
      </c>
      <c r="BN1738">
        <v>1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 t="shared" si="691"/>
        <v>15:09:21.711</v>
      </c>
      <c r="CF1738">
        <v>711372855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5</v>
      </c>
      <c r="CY1738">
        <v>7</v>
      </c>
      <c r="CZ1738" t="s">
        <v>133</v>
      </c>
      <c r="DA1738">
        <v>273</v>
      </c>
      <c r="DB1738">
        <v>0</v>
      </c>
      <c r="DC1738" t="s">
        <v>292</v>
      </c>
      <c r="DD1738" t="s">
        <v>293</v>
      </c>
      <c r="DG1738">
        <v>4862685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"05/01/2025 15:09:21.960"</f>
        <v>05/01/2025 15:09:21.960</v>
      </c>
      <c r="C1739" t="str">
        <f t="shared" si="684"/>
        <v>FFDFD3C0</v>
      </c>
      <c r="D1739" t="s">
        <v>145</v>
      </c>
      <c r="E1739" t="str">
        <f>"05"</f>
        <v>05</v>
      </c>
      <c r="H1739">
        <v>47</v>
      </c>
      <c r="I1739" t="s">
        <v>146</v>
      </c>
      <c r="J1739" t="s">
        <v>138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R1739" t="s">
        <v>127</v>
      </c>
      <c r="S1739" t="str">
        <f t="shared" si="690"/>
        <v>15:09:21.000</v>
      </c>
      <c r="T1739" t="str">
        <f t="shared" si="690"/>
        <v>15:09:21.000</v>
      </c>
      <c r="U1739" t="str">
        <f t="shared" si="686"/>
        <v>A68FCB</v>
      </c>
      <c r="V1739">
        <v>0</v>
      </c>
      <c r="W1739">
        <v>0</v>
      </c>
      <c r="X1739">
        <v>2</v>
      </c>
      <c r="Y1739">
        <v>0</v>
      </c>
      <c r="AA1739">
        <v>1</v>
      </c>
      <c r="AB1739">
        <v>8</v>
      </c>
      <c r="AC1739">
        <v>3</v>
      </c>
      <c r="AD1739">
        <v>0</v>
      </c>
      <c r="AE1739">
        <v>9</v>
      </c>
      <c r="AF1739" t="s">
        <v>138</v>
      </c>
      <c r="AG1739">
        <v>0</v>
      </c>
      <c r="AH1739">
        <v>3</v>
      </c>
      <c r="AI1739">
        <v>2</v>
      </c>
      <c r="AJ1739">
        <v>0</v>
      </c>
      <c r="AK1739" t="s">
        <v>626</v>
      </c>
      <c r="AL1739">
        <v>39.032471000000001</v>
      </c>
      <c r="AM1739" t="s">
        <v>627</v>
      </c>
      <c r="AN1739">
        <v>-121.04584</v>
      </c>
      <c r="AO1739">
        <v>25</v>
      </c>
      <c r="AP1739">
        <v>4100</v>
      </c>
      <c r="AQ1739" t="s">
        <v>131</v>
      </c>
      <c r="AR1739">
        <v>14</v>
      </c>
      <c r="AS1739">
        <v>81</v>
      </c>
      <c r="AT1739">
        <v>448</v>
      </c>
      <c r="BB1739" t="str">
        <f t="shared" si="687"/>
        <v>1200</v>
      </c>
      <c r="BC1739">
        <v>1</v>
      </c>
      <c r="BD1739" t="str">
        <f t="shared" si="688"/>
        <v xml:space="preserve">N52156  </v>
      </c>
      <c r="BE1739">
        <v>1</v>
      </c>
      <c r="BG1739">
        <v>0</v>
      </c>
      <c r="BH1739">
        <v>0</v>
      </c>
      <c r="BI1739">
        <v>0</v>
      </c>
      <c r="BJ1739">
        <v>4175</v>
      </c>
      <c r="BK1739">
        <v>75</v>
      </c>
      <c r="BL1739" t="s">
        <v>188</v>
      </c>
      <c r="BM1739">
        <v>1</v>
      </c>
      <c r="BN1739">
        <v>1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 t="shared" si="691"/>
        <v>15:09:21.711</v>
      </c>
      <c r="CF1739">
        <v>711372855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133</v>
      </c>
      <c r="DA1739">
        <v>273</v>
      </c>
      <c r="DB1739">
        <v>0</v>
      </c>
      <c r="DC1739" t="s">
        <v>292</v>
      </c>
      <c r="DD1739" t="s">
        <v>293</v>
      </c>
      <c r="DG1739">
        <v>4862685</v>
      </c>
      <c r="DI1739">
        <v>1</v>
      </c>
      <c r="DJ1739">
        <v>0</v>
      </c>
      <c r="DK1739">
        <v>1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"05/01/2025 15:09:21.963"</f>
        <v>05/01/2025 15:09:21.963</v>
      </c>
      <c r="C1740" t="str">
        <f t="shared" si="684"/>
        <v>FFDFD3C0</v>
      </c>
      <c r="D1740" t="s">
        <v>124</v>
      </c>
      <c r="E1740" t="str">
        <f>"06"</f>
        <v>06</v>
      </c>
      <c r="F1740">
        <v>2006</v>
      </c>
      <c r="G1740" t="s">
        <v>125</v>
      </c>
      <c r="J1740" t="s">
        <v>126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R1740" t="s">
        <v>127</v>
      </c>
      <c r="S1740" t="str">
        <f t="shared" si="690"/>
        <v>15:09:21.000</v>
      </c>
      <c r="T1740" t="str">
        <f t="shared" si="690"/>
        <v>15:09:21.000</v>
      </c>
      <c r="U1740" t="str">
        <f t="shared" si="686"/>
        <v>A68FCB</v>
      </c>
      <c r="V1740">
        <v>0</v>
      </c>
      <c r="W1740">
        <v>0</v>
      </c>
      <c r="X1740">
        <v>2</v>
      </c>
      <c r="Y1740">
        <v>0</v>
      </c>
      <c r="AA1740">
        <v>1</v>
      </c>
      <c r="AB1740">
        <v>8</v>
      </c>
      <c r="AC1740">
        <v>3</v>
      </c>
      <c r="AD1740">
        <v>0</v>
      </c>
      <c r="AE1740">
        <v>9</v>
      </c>
      <c r="AF1740" t="s">
        <v>138</v>
      </c>
      <c r="AG1740">
        <v>0</v>
      </c>
      <c r="AH1740">
        <v>3</v>
      </c>
      <c r="AI1740">
        <v>2</v>
      </c>
      <c r="AJ1740">
        <v>0</v>
      </c>
      <c r="AK1740" t="s">
        <v>626</v>
      </c>
      <c r="AL1740">
        <v>39.032471000000001</v>
      </c>
      <c r="AM1740" t="s">
        <v>627</v>
      </c>
      <c r="AN1740">
        <v>-121.04584</v>
      </c>
      <c r="AO1740">
        <v>25</v>
      </c>
      <c r="AP1740">
        <v>4100</v>
      </c>
      <c r="AQ1740" t="s">
        <v>131</v>
      </c>
      <c r="AR1740">
        <v>14</v>
      </c>
      <c r="AS1740">
        <v>81</v>
      </c>
      <c r="AT1740">
        <v>448</v>
      </c>
      <c r="BB1740" t="str">
        <f t="shared" si="687"/>
        <v>1200</v>
      </c>
      <c r="BC1740">
        <v>1</v>
      </c>
      <c r="BD1740" t="str">
        <f t="shared" si="688"/>
        <v xml:space="preserve">N52156  </v>
      </c>
      <c r="BE1740">
        <v>1</v>
      </c>
      <c r="BG1740">
        <v>0</v>
      </c>
      <c r="BH1740">
        <v>0</v>
      </c>
      <c r="BI1740">
        <v>0</v>
      </c>
      <c r="BJ1740">
        <v>4175</v>
      </c>
      <c r="BK1740">
        <v>75</v>
      </c>
      <c r="BL1740" t="s">
        <v>188</v>
      </c>
      <c r="BM1740">
        <v>1</v>
      </c>
      <c r="BN1740">
        <v>1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 t="shared" si="691"/>
        <v>15:09:21.711</v>
      </c>
      <c r="CF1740">
        <v>711372855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133</v>
      </c>
      <c r="DA1740">
        <v>273</v>
      </c>
      <c r="DB1740">
        <v>0</v>
      </c>
      <c r="DC1740" t="s">
        <v>292</v>
      </c>
      <c r="DD1740" t="s">
        <v>293</v>
      </c>
      <c r="DG1740">
        <v>4862685</v>
      </c>
      <c r="DI1740">
        <v>1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"05/01/2025 15:09:21.963"</f>
        <v>05/01/2025 15:09:21.963</v>
      </c>
      <c r="C1741" t="str">
        <f t="shared" si="684"/>
        <v>FFDFD3C0</v>
      </c>
      <c r="D1741" t="s">
        <v>145</v>
      </c>
      <c r="E1741" t="str">
        <f>"09"</f>
        <v>09</v>
      </c>
      <c r="H1741">
        <v>51</v>
      </c>
      <c r="I1741" t="s">
        <v>147</v>
      </c>
      <c r="J1741" t="s">
        <v>138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R1741" t="s">
        <v>127</v>
      </c>
      <c r="S1741" t="str">
        <f t="shared" si="690"/>
        <v>15:09:21.000</v>
      </c>
      <c r="T1741" t="str">
        <f t="shared" si="690"/>
        <v>15:09:21.000</v>
      </c>
      <c r="U1741" t="str">
        <f t="shared" si="686"/>
        <v>A68FCB</v>
      </c>
      <c r="V1741">
        <v>0</v>
      </c>
      <c r="W1741">
        <v>0</v>
      </c>
      <c r="X1741">
        <v>2</v>
      </c>
      <c r="Y1741">
        <v>0</v>
      </c>
      <c r="AA1741">
        <v>1</v>
      </c>
      <c r="AB1741">
        <v>8</v>
      </c>
      <c r="AC1741">
        <v>3</v>
      </c>
      <c r="AD1741">
        <v>0</v>
      </c>
      <c r="AE1741">
        <v>9</v>
      </c>
      <c r="AF1741" t="s">
        <v>138</v>
      </c>
      <c r="AG1741">
        <v>0</v>
      </c>
      <c r="AH1741">
        <v>3</v>
      </c>
      <c r="AI1741">
        <v>2</v>
      </c>
      <c r="AJ1741">
        <v>0</v>
      </c>
      <c r="AK1741" t="s">
        <v>626</v>
      </c>
      <c r="AL1741">
        <v>39.032471000000001</v>
      </c>
      <c r="AM1741" t="s">
        <v>627</v>
      </c>
      <c r="AN1741">
        <v>-121.04584</v>
      </c>
      <c r="AO1741">
        <v>25</v>
      </c>
      <c r="AP1741">
        <v>4100</v>
      </c>
      <c r="AQ1741" t="s">
        <v>131</v>
      </c>
      <c r="AR1741">
        <v>14</v>
      </c>
      <c r="AS1741">
        <v>81</v>
      </c>
      <c r="AT1741">
        <v>448</v>
      </c>
      <c r="BB1741" t="str">
        <f t="shared" si="687"/>
        <v>1200</v>
      </c>
      <c r="BC1741">
        <v>1</v>
      </c>
      <c r="BD1741" t="str">
        <f t="shared" si="688"/>
        <v xml:space="preserve">N52156  </v>
      </c>
      <c r="BE1741">
        <v>1</v>
      </c>
      <c r="BG1741">
        <v>0</v>
      </c>
      <c r="BH1741">
        <v>0</v>
      </c>
      <c r="BI1741">
        <v>0</v>
      </c>
      <c r="BJ1741">
        <v>4175</v>
      </c>
      <c r="BK1741">
        <v>75</v>
      </c>
      <c r="BL1741" t="s">
        <v>188</v>
      </c>
      <c r="BM1741">
        <v>1</v>
      </c>
      <c r="BN1741">
        <v>1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 t="shared" si="691"/>
        <v>15:09:21.711</v>
      </c>
      <c r="CF1741">
        <v>711372855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5</v>
      </c>
      <c r="CY1741">
        <v>7</v>
      </c>
      <c r="CZ1741" t="s">
        <v>133</v>
      </c>
      <c r="DA1741">
        <v>273</v>
      </c>
      <c r="DB1741">
        <v>0</v>
      </c>
      <c r="DC1741" t="s">
        <v>292</v>
      </c>
      <c r="DD1741" t="s">
        <v>293</v>
      </c>
      <c r="DG1741">
        <v>4862685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"05/01/2025 15:09:23.015"</f>
        <v>05/01/2025 15:09:23.015</v>
      </c>
      <c r="C1742" t="str">
        <f t="shared" si="684"/>
        <v>FFDFD3C0</v>
      </c>
      <c r="D1742" t="s">
        <v>124</v>
      </c>
      <c r="E1742" t="str">
        <f>"06"</f>
        <v>06</v>
      </c>
      <c r="F1742">
        <v>2006</v>
      </c>
      <c r="G1742" t="s">
        <v>125</v>
      </c>
      <c r="J1742" t="s">
        <v>126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R1742" t="s">
        <v>127</v>
      </c>
      <c r="S1742" t="str">
        <f t="shared" ref="S1742:T1747" si="692">"15:09:22.000"</f>
        <v>15:09:22.000</v>
      </c>
      <c r="T1742" t="str">
        <f t="shared" si="692"/>
        <v>15:09:22.000</v>
      </c>
      <c r="U1742" t="str">
        <f t="shared" si="686"/>
        <v>A68FCB</v>
      </c>
      <c r="V1742">
        <v>0</v>
      </c>
      <c r="W1742">
        <v>0</v>
      </c>
      <c r="X1742">
        <v>2</v>
      </c>
      <c r="Y1742">
        <v>0</v>
      </c>
      <c r="AA1742">
        <v>1</v>
      </c>
      <c r="AB1742">
        <v>8</v>
      </c>
      <c r="AC1742">
        <v>3</v>
      </c>
      <c r="AD1742">
        <v>0</v>
      </c>
      <c r="AE1742">
        <v>9</v>
      </c>
      <c r="AF1742" t="s">
        <v>138</v>
      </c>
      <c r="AG1742">
        <v>0</v>
      </c>
      <c r="AH1742">
        <v>3</v>
      </c>
      <c r="AI1742">
        <v>2</v>
      </c>
      <c r="AJ1742">
        <v>0</v>
      </c>
      <c r="AK1742" t="s">
        <v>628</v>
      </c>
      <c r="AL1742">
        <v>39.032857</v>
      </c>
      <c r="AM1742" t="s">
        <v>629</v>
      </c>
      <c r="AN1742">
        <v>-121.045754</v>
      </c>
      <c r="AO1742">
        <v>25</v>
      </c>
      <c r="AP1742">
        <v>4200</v>
      </c>
      <c r="AQ1742" t="s">
        <v>131</v>
      </c>
      <c r="AR1742">
        <v>14</v>
      </c>
      <c r="AS1742">
        <v>82</v>
      </c>
      <c r="AT1742">
        <v>384</v>
      </c>
      <c r="BB1742" t="str">
        <f t="shared" si="687"/>
        <v>1200</v>
      </c>
      <c r="BC1742">
        <v>1</v>
      </c>
      <c r="BD1742" t="str">
        <f t="shared" si="688"/>
        <v xml:space="preserve">N52156  </v>
      </c>
      <c r="BE1742">
        <v>1</v>
      </c>
      <c r="BG1742">
        <v>0</v>
      </c>
      <c r="BH1742">
        <v>0</v>
      </c>
      <c r="BI1742">
        <v>0</v>
      </c>
      <c r="BJ1742">
        <v>4175</v>
      </c>
      <c r="BK1742">
        <v>-25</v>
      </c>
      <c r="BL1742" t="s">
        <v>188</v>
      </c>
      <c r="BM1742">
        <v>1</v>
      </c>
      <c r="BN1742">
        <v>1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 t="shared" ref="CE1742:CE1747" si="693">"15:09:22.821"</f>
        <v>15:09:22.821</v>
      </c>
      <c r="CF1742">
        <v>820961230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4</v>
      </c>
      <c r="CY1742">
        <v>7</v>
      </c>
      <c r="CZ1742" t="s">
        <v>133</v>
      </c>
      <c r="DA1742">
        <v>275</v>
      </c>
      <c r="DB1742">
        <v>0</v>
      </c>
      <c r="DC1742" t="s">
        <v>134</v>
      </c>
      <c r="DD1742" t="s">
        <v>135</v>
      </c>
      <c r="DG1742">
        <v>3320802</v>
      </c>
      <c r="DI1742">
        <v>1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"05/01/2025 15:09:23.015"</f>
        <v>05/01/2025 15:09:23.015</v>
      </c>
      <c r="C1743" t="str">
        <f t="shared" si="684"/>
        <v>FFDFD3C0</v>
      </c>
      <c r="D1743" t="s">
        <v>145</v>
      </c>
      <c r="E1743" t="str">
        <f>"09"</f>
        <v>09</v>
      </c>
      <c r="H1743">
        <v>51</v>
      </c>
      <c r="I1743" t="s">
        <v>147</v>
      </c>
      <c r="J1743" t="s">
        <v>138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R1743" t="s">
        <v>127</v>
      </c>
      <c r="S1743" t="str">
        <f t="shared" si="692"/>
        <v>15:09:22.000</v>
      </c>
      <c r="T1743" t="str">
        <f t="shared" si="692"/>
        <v>15:09:22.000</v>
      </c>
      <c r="U1743" t="str">
        <f t="shared" si="686"/>
        <v>A68FCB</v>
      </c>
      <c r="V1743">
        <v>0</v>
      </c>
      <c r="W1743">
        <v>0</v>
      </c>
      <c r="X1743">
        <v>2</v>
      </c>
      <c r="Y1743">
        <v>0</v>
      </c>
      <c r="AA1743">
        <v>1</v>
      </c>
      <c r="AB1743">
        <v>8</v>
      </c>
      <c r="AC1743">
        <v>3</v>
      </c>
      <c r="AD1743">
        <v>0</v>
      </c>
      <c r="AE1743">
        <v>9</v>
      </c>
      <c r="AF1743" t="s">
        <v>138</v>
      </c>
      <c r="AG1743">
        <v>0</v>
      </c>
      <c r="AH1743">
        <v>3</v>
      </c>
      <c r="AI1743">
        <v>2</v>
      </c>
      <c r="AJ1743">
        <v>0</v>
      </c>
      <c r="AK1743" t="s">
        <v>628</v>
      </c>
      <c r="AL1743">
        <v>39.032857</v>
      </c>
      <c r="AM1743" t="s">
        <v>629</v>
      </c>
      <c r="AN1743">
        <v>-121.045754</v>
      </c>
      <c r="AO1743">
        <v>25</v>
      </c>
      <c r="AP1743">
        <v>4200</v>
      </c>
      <c r="AQ1743" t="s">
        <v>131</v>
      </c>
      <c r="AR1743">
        <v>14</v>
      </c>
      <c r="AS1743">
        <v>82</v>
      </c>
      <c r="AT1743">
        <v>384</v>
      </c>
      <c r="BB1743" t="str">
        <f t="shared" si="687"/>
        <v>1200</v>
      </c>
      <c r="BC1743">
        <v>1</v>
      </c>
      <c r="BD1743" t="str">
        <f t="shared" si="688"/>
        <v xml:space="preserve">N52156  </v>
      </c>
      <c r="BE1743">
        <v>1</v>
      </c>
      <c r="BG1743">
        <v>0</v>
      </c>
      <c r="BH1743">
        <v>0</v>
      </c>
      <c r="BI1743">
        <v>0</v>
      </c>
      <c r="BJ1743">
        <v>4175</v>
      </c>
      <c r="BK1743">
        <v>-25</v>
      </c>
      <c r="BL1743" t="s">
        <v>188</v>
      </c>
      <c r="BM1743">
        <v>1</v>
      </c>
      <c r="BN1743">
        <v>1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 t="shared" si="693"/>
        <v>15:09:22.821</v>
      </c>
      <c r="CF1743">
        <v>820961230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4</v>
      </c>
      <c r="CY1743">
        <v>7</v>
      </c>
      <c r="CZ1743" t="s">
        <v>133</v>
      </c>
      <c r="DA1743">
        <v>275</v>
      </c>
      <c r="DB1743">
        <v>0</v>
      </c>
      <c r="DC1743" t="s">
        <v>134</v>
      </c>
      <c r="DD1743" t="s">
        <v>135</v>
      </c>
      <c r="DG1743">
        <v>3320802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"05/01/2025 15:09:23.020"</f>
        <v>05/01/2025 15:09:23.020</v>
      </c>
      <c r="C1744" t="str">
        <f t="shared" si="684"/>
        <v>FFDFD3C0</v>
      </c>
      <c r="D1744" t="s">
        <v>143</v>
      </c>
      <c r="E1744" t="str">
        <f>"05"</f>
        <v>05</v>
      </c>
      <c r="H1744">
        <v>172</v>
      </c>
      <c r="I1744" t="s">
        <v>141</v>
      </c>
      <c r="J1744" t="s">
        <v>144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R1744" t="s">
        <v>127</v>
      </c>
      <c r="S1744" t="str">
        <f t="shared" si="692"/>
        <v>15:09:22.000</v>
      </c>
      <c r="T1744" t="str">
        <f t="shared" si="692"/>
        <v>15:09:22.000</v>
      </c>
      <c r="U1744" t="str">
        <f t="shared" si="686"/>
        <v>A68FCB</v>
      </c>
      <c r="V1744">
        <v>0</v>
      </c>
      <c r="W1744">
        <v>0</v>
      </c>
      <c r="X1744">
        <v>2</v>
      </c>
      <c r="Y1744">
        <v>0</v>
      </c>
      <c r="AA1744">
        <v>1</v>
      </c>
      <c r="AB1744">
        <v>8</v>
      </c>
      <c r="AC1744">
        <v>3</v>
      </c>
      <c r="AD1744">
        <v>0</v>
      </c>
      <c r="AE1744">
        <v>9</v>
      </c>
      <c r="AF1744" t="s">
        <v>138</v>
      </c>
      <c r="AG1744">
        <v>0</v>
      </c>
      <c r="AH1744">
        <v>3</v>
      </c>
      <c r="AI1744">
        <v>2</v>
      </c>
      <c r="AJ1744">
        <v>0</v>
      </c>
      <c r="AK1744" t="s">
        <v>628</v>
      </c>
      <c r="AL1744">
        <v>39.032857</v>
      </c>
      <c r="AM1744" t="s">
        <v>629</v>
      </c>
      <c r="AN1744">
        <v>-121.045754</v>
      </c>
      <c r="AO1744">
        <v>25</v>
      </c>
      <c r="AP1744">
        <v>4200</v>
      </c>
      <c r="AQ1744" t="s">
        <v>131</v>
      </c>
      <c r="AR1744">
        <v>14</v>
      </c>
      <c r="AS1744">
        <v>82</v>
      </c>
      <c r="AT1744">
        <v>384</v>
      </c>
      <c r="BB1744" t="str">
        <f t="shared" si="687"/>
        <v>1200</v>
      </c>
      <c r="BC1744">
        <v>1</v>
      </c>
      <c r="BD1744" t="str">
        <f t="shared" si="688"/>
        <v xml:space="preserve">N52156  </v>
      </c>
      <c r="BE1744">
        <v>1</v>
      </c>
      <c r="BG1744">
        <v>0</v>
      </c>
      <c r="BH1744">
        <v>0</v>
      </c>
      <c r="BI1744">
        <v>0</v>
      </c>
      <c r="BJ1744">
        <v>4175</v>
      </c>
      <c r="BK1744">
        <v>-25</v>
      </c>
      <c r="BL1744" t="s">
        <v>188</v>
      </c>
      <c r="BM1744">
        <v>1</v>
      </c>
      <c r="BN1744">
        <v>1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 t="shared" si="693"/>
        <v>15:09:22.821</v>
      </c>
      <c r="CF1744">
        <v>820961230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4</v>
      </c>
      <c r="CY1744">
        <v>7</v>
      </c>
      <c r="CZ1744" t="s">
        <v>133</v>
      </c>
      <c r="DA1744">
        <v>275</v>
      </c>
      <c r="DB1744">
        <v>0</v>
      </c>
      <c r="DC1744" t="s">
        <v>134</v>
      </c>
      <c r="DD1744" t="s">
        <v>135</v>
      </c>
      <c r="DG1744">
        <v>3320802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"05/01/2025 15:09:23.025"</f>
        <v>05/01/2025 15:09:23.025</v>
      </c>
      <c r="C1745" t="str">
        <f t="shared" si="684"/>
        <v>FFDFD3C0</v>
      </c>
      <c r="D1745" t="s">
        <v>136</v>
      </c>
      <c r="E1745" t="str">
        <f>"20"</f>
        <v>20</v>
      </c>
      <c r="H1745">
        <v>400</v>
      </c>
      <c r="I1745" t="s">
        <v>137</v>
      </c>
      <c r="J1745" t="s">
        <v>138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R1745" t="s">
        <v>127</v>
      </c>
      <c r="S1745" t="str">
        <f t="shared" si="692"/>
        <v>15:09:22.000</v>
      </c>
      <c r="T1745" t="str">
        <f t="shared" si="692"/>
        <v>15:09:22.000</v>
      </c>
      <c r="U1745" t="str">
        <f t="shared" si="686"/>
        <v>A68FCB</v>
      </c>
      <c r="V1745">
        <v>0</v>
      </c>
      <c r="W1745">
        <v>0</v>
      </c>
      <c r="X1745">
        <v>2</v>
      </c>
      <c r="Y1745">
        <v>0</v>
      </c>
      <c r="AA1745">
        <v>1</v>
      </c>
      <c r="AB1745">
        <v>8</v>
      </c>
      <c r="AC1745">
        <v>3</v>
      </c>
      <c r="AD1745">
        <v>0</v>
      </c>
      <c r="AE1745">
        <v>9</v>
      </c>
      <c r="AF1745" t="s">
        <v>138</v>
      </c>
      <c r="AG1745">
        <v>0</v>
      </c>
      <c r="AH1745">
        <v>3</v>
      </c>
      <c r="AI1745">
        <v>2</v>
      </c>
      <c r="AJ1745">
        <v>0</v>
      </c>
      <c r="AK1745" t="s">
        <v>628</v>
      </c>
      <c r="AL1745">
        <v>39.032857</v>
      </c>
      <c r="AM1745" t="s">
        <v>629</v>
      </c>
      <c r="AN1745">
        <v>-121.045754</v>
      </c>
      <c r="AO1745">
        <v>25</v>
      </c>
      <c r="AP1745">
        <v>4200</v>
      </c>
      <c r="AQ1745" t="s">
        <v>131</v>
      </c>
      <c r="AR1745">
        <v>14</v>
      </c>
      <c r="AS1745">
        <v>82</v>
      </c>
      <c r="AT1745">
        <v>384</v>
      </c>
      <c r="BB1745" t="str">
        <f t="shared" si="687"/>
        <v>1200</v>
      </c>
      <c r="BC1745">
        <v>1</v>
      </c>
      <c r="BD1745" t="str">
        <f t="shared" si="688"/>
        <v xml:space="preserve">N52156  </v>
      </c>
      <c r="BE1745">
        <v>1</v>
      </c>
      <c r="BG1745">
        <v>0</v>
      </c>
      <c r="BH1745">
        <v>0</v>
      </c>
      <c r="BI1745">
        <v>0</v>
      </c>
      <c r="BJ1745">
        <v>4175</v>
      </c>
      <c r="BK1745">
        <v>-25</v>
      </c>
      <c r="BL1745" t="s">
        <v>188</v>
      </c>
      <c r="BM1745">
        <v>1</v>
      </c>
      <c r="BN1745">
        <v>1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 t="shared" si="693"/>
        <v>15:09:22.821</v>
      </c>
      <c r="CF1745">
        <v>820961230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4</v>
      </c>
      <c r="CY1745">
        <v>7</v>
      </c>
      <c r="CZ1745" t="s">
        <v>133</v>
      </c>
      <c r="DA1745">
        <v>275</v>
      </c>
      <c r="DB1745">
        <v>0</v>
      </c>
      <c r="DC1745" t="s">
        <v>134</v>
      </c>
      <c r="DD1745" t="s">
        <v>135</v>
      </c>
      <c r="DG1745">
        <v>3320802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"05/01/2025 15:09:23.053"</f>
        <v>05/01/2025 15:09:23.053</v>
      </c>
      <c r="C1746" t="str">
        <f t="shared" si="684"/>
        <v>FFDFD3C0</v>
      </c>
      <c r="D1746" t="s">
        <v>140</v>
      </c>
      <c r="E1746" t="str">
        <f>"13"</f>
        <v>13</v>
      </c>
      <c r="F1746">
        <v>1019</v>
      </c>
      <c r="G1746" t="s">
        <v>141</v>
      </c>
      <c r="J1746" t="s">
        <v>142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R1746" t="s">
        <v>127</v>
      </c>
      <c r="S1746" t="str">
        <f t="shared" si="692"/>
        <v>15:09:22.000</v>
      </c>
      <c r="T1746" t="str">
        <f t="shared" si="692"/>
        <v>15:09:22.000</v>
      </c>
      <c r="U1746" t="str">
        <f t="shared" si="686"/>
        <v>A68FCB</v>
      </c>
      <c r="V1746">
        <v>0</v>
      </c>
      <c r="W1746">
        <v>0</v>
      </c>
      <c r="X1746">
        <v>2</v>
      </c>
      <c r="Y1746">
        <v>0</v>
      </c>
      <c r="AA1746">
        <v>1</v>
      </c>
      <c r="AB1746">
        <v>8</v>
      </c>
      <c r="AC1746">
        <v>3</v>
      </c>
      <c r="AD1746">
        <v>0</v>
      </c>
      <c r="AE1746">
        <v>9</v>
      </c>
      <c r="AF1746" t="s">
        <v>138</v>
      </c>
      <c r="AG1746">
        <v>0</v>
      </c>
      <c r="AH1746">
        <v>3</v>
      </c>
      <c r="AI1746">
        <v>2</v>
      </c>
      <c r="AJ1746">
        <v>0</v>
      </c>
      <c r="AK1746" t="s">
        <v>628</v>
      </c>
      <c r="AL1746">
        <v>39.032857</v>
      </c>
      <c r="AM1746" t="s">
        <v>629</v>
      </c>
      <c r="AN1746">
        <v>-121.045754</v>
      </c>
      <c r="AO1746">
        <v>25</v>
      </c>
      <c r="AP1746">
        <v>4200</v>
      </c>
      <c r="AQ1746" t="s">
        <v>131</v>
      </c>
      <c r="AR1746">
        <v>14</v>
      </c>
      <c r="AS1746">
        <v>82</v>
      </c>
      <c r="AT1746">
        <v>384</v>
      </c>
      <c r="BB1746" t="str">
        <f t="shared" si="687"/>
        <v>1200</v>
      </c>
      <c r="BC1746">
        <v>1</v>
      </c>
      <c r="BD1746" t="str">
        <f t="shared" si="688"/>
        <v xml:space="preserve">N52156  </v>
      </c>
      <c r="BE1746">
        <v>1</v>
      </c>
      <c r="BG1746">
        <v>0</v>
      </c>
      <c r="BH1746">
        <v>0</v>
      </c>
      <c r="BI1746">
        <v>0</v>
      </c>
      <c r="BJ1746">
        <v>4175</v>
      </c>
      <c r="BK1746">
        <v>-25</v>
      </c>
      <c r="BL1746" t="s">
        <v>188</v>
      </c>
      <c r="BM1746">
        <v>1</v>
      </c>
      <c r="BN1746">
        <v>1</v>
      </c>
      <c r="BO1746">
        <v>0</v>
      </c>
      <c r="BP1746">
        <v>0</v>
      </c>
      <c r="BS1746">
        <v>0</v>
      </c>
      <c r="BT1746">
        <v>0</v>
      </c>
      <c r="BU1746">
        <v>0</v>
      </c>
      <c r="CE1746" t="str">
        <f t="shared" si="693"/>
        <v>15:09:22.821</v>
      </c>
      <c r="CF1746">
        <v>820961230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4</v>
      </c>
      <c r="CY1746">
        <v>7</v>
      </c>
      <c r="CZ1746" t="s">
        <v>133</v>
      </c>
      <c r="DA1746">
        <v>275</v>
      </c>
      <c r="DB1746">
        <v>0</v>
      </c>
      <c r="DC1746" t="s">
        <v>134</v>
      </c>
      <c r="DD1746" t="s">
        <v>135</v>
      </c>
      <c r="DG1746">
        <v>3320802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"05/01/2025 15:09:23.062"</f>
        <v>05/01/2025 15:09:23.062</v>
      </c>
      <c r="C1747" t="str">
        <f t="shared" si="684"/>
        <v>FFDFD3C0</v>
      </c>
      <c r="D1747" t="s">
        <v>145</v>
      </c>
      <c r="E1747" t="str">
        <f>"05"</f>
        <v>05</v>
      </c>
      <c r="H1747">
        <v>47</v>
      </c>
      <c r="I1747" t="s">
        <v>146</v>
      </c>
      <c r="J1747" t="s">
        <v>138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R1747" t="s">
        <v>127</v>
      </c>
      <c r="S1747" t="str">
        <f t="shared" si="692"/>
        <v>15:09:22.000</v>
      </c>
      <c r="T1747" t="str">
        <f t="shared" si="692"/>
        <v>15:09:22.000</v>
      </c>
      <c r="U1747" t="str">
        <f t="shared" si="686"/>
        <v>A68FCB</v>
      </c>
      <c r="V1747">
        <v>0</v>
      </c>
      <c r="W1747">
        <v>0</v>
      </c>
      <c r="X1747">
        <v>2</v>
      </c>
      <c r="Y1747">
        <v>0</v>
      </c>
      <c r="AA1747">
        <v>1</v>
      </c>
      <c r="AB1747">
        <v>8</v>
      </c>
      <c r="AC1747">
        <v>3</v>
      </c>
      <c r="AD1747">
        <v>0</v>
      </c>
      <c r="AE1747">
        <v>9</v>
      </c>
      <c r="AF1747" t="s">
        <v>138</v>
      </c>
      <c r="AG1747">
        <v>0</v>
      </c>
      <c r="AH1747">
        <v>3</v>
      </c>
      <c r="AI1747">
        <v>2</v>
      </c>
      <c r="AJ1747">
        <v>0</v>
      </c>
      <c r="AK1747" t="s">
        <v>628</v>
      </c>
      <c r="AL1747">
        <v>39.032857</v>
      </c>
      <c r="AM1747" t="s">
        <v>629</v>
      </c>
      <c r="AN1747">
        <v>-121.045754</v>
      </c>
      <c r="AO1747">
        <v>25</v>
      </c>
      <c r="AP1747">
        <v>4200</v>
      </c>
      <c r="AQ1747" t="s">
        <v>131</v>
      </c>
      <c r="AR1747">
        <v>14</v>
      </c>
      <c r="AS1747">
        <v>82</v>
      </c>
      <c r="AT1747">
        <v>384</v>
      </c>
      <c r="BB1747" t="str">
        <f t="shared" si="687"/>
        <v>1200</v>
      </c>
      <c r="BC1747">
        <v>1</v>
      </c>
      <c r="BD1747" t="str">
        <f t="shared" si="688"/>
        <v xml:space="preserve">N52156  </v>
      </c>
      <c r="BE1747">
        <v>1</v>
      </c>
      <c r="BG1747">
        <v>0</v>
      </c>
      <c r="BH1747">
        <v>0</v>
      </c>
      <c r="BI1747">
        <v>0</v>
      </c>
      <c r="BJ1747">
        <v>4175</v>
      </c>
      <c r="BK1747">
        <v>-25</v>
      </c>
      <c r="BL1747" t="s">
        <v>188</v>
      </c>
      <c r="BM1747">
        <v>1</v>
      </c>
      <c r="BN1747">
        <v>1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 t="shared" si="693"/>
        <v>15:09:22.821</v>
      </c>
      <c r="CF1747">
        <v>820961230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4</v>
      </c>
      <c r="CY1747">
        <v>7</v>
      </c>
      <c r="CZ1747" t="s">
        <v>133</v>
      </c>
      <c r="DA1747">
        <v>275</v>
      </c>
      <c r="DB1747">
        <v>0</v>
      </c>
      <c r="DC1747" t="s">
        <v>134</v>
      </c>
      <c r="DD1747" t="s">
        <v>135</v>
      </c>
      <c r="DG1747">
        <v>3320802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"05/01/2025 15:09:23.805"</f>
        <v>05/01/2025 15:09:23.805</v>
      </c>
      <c r="C1748" t="str">
        <f t="shared" si="684"/>
        <v>FFDFD3C0</v>
      </c>
      <c r="D1748" t="s">
        <v>140</v>
      </c>
      <c r="E1748" t="str">
        <f>"13"</f>
        <v>13</v>
      </c>
      <c r="F1748">
        <v>1019</v>
      </c>
      <c r="G1748" t="s">
        <v>141</v>
      </c>
      <c r="J1748" t="s">
        <v>142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R1748" t="s">
        <v>127</v>
      </c>
      <c r="S1748" t="str">
        <f t="shared" ref="S1748:T1753" si="694">"15:09:23.000"</f>
        <v>15:09:23.000</v>
      </c>
      <c r="T1748" t="str">
        <f t="shared" si="694"/>
        <v>15:09:23.000</v>
      </c>
      <c r="U1748" t="str">
        <f t="shared" si="686"/>
        <v>A68FCB</v>
      </c>
      <c r="V1748">
        <v>0</v>
      </c>
      <c r="W1748">
        <v>0</v>
      </c>
      <c r="X1748">
        <v>2</v>
      </c>
      <c r="Y1748">
        <v>0</v>
      </c>
      <c r="AA1748">
        <v>1</v>
      </c>
      <c r="AB1748">
        <v>8</v>
      </c>
      <c r="AC1748">
        <v>3</v>
      </c>
      <c r="AD1748">
        <v>0</v>
      </c>
      <c r="AE1748">
        <v>9</v>
      </c>
      <c r="AF1748" t="s">
        <v>138</v>
      </c>
      <c r="AG1748">
        <v>0</v>
      </c>
      <c r="AH1748">
        <v>3</v>
      </c>
      <c r="AI1748">
        <v>2</v>
      </c>
      <c r="AJ1748">
        <v>0</v>
      </c>
      <c r="AK1748" t="s">
        <v>630</v>
      </c>
      <c r="AL1748">
        <v>39.033222000000002</v>
      </c>
      <c r="AM1748" t="s">
        <v>631</v>
      </c>
      <c r="AN1748">
        <v>-121.045647</v>
      </c>
      <c r="AO1748">
        <v>25</v>
      </c>
      <c r="AP1748">
        <v>4200</v>
      </c>
      <c r="AQ1748" t="s">
        <v>131</v>
      </c>
      <c r="AR1748">
        <v>14</v>
      </c>
      <c r="AS1748">
        <v>82</v>
      </c>
      <c r="AT1748">
        <v>448</v>
      </c>
      <c r="BB1748" t="str">
        <f t="shared" si="687"/>
        <v>1200</v>
      </c>
      <c r="BC1748">
        <v>1</v>
      </c>
      <c r="BD1748" t="str">
        <f t="shared" si="688"/>
        <v xml:space="preserve">N52156  </v>
      </c>
      <c r="BE1748">
        <v>1</v>
      </c>
      <c r="BG1748">
        <v>0</v>
      </c>
      <c r="BH1748">
        <v>0</v>
      </c>
      <c r="BI1748">
        <v>0</v>
      </c>
      <c r="BJ1748">
        <v>4175</v>
      </c>
      <c r="BK1748">
        <v>-25</v>
      </c>
      <c r="BL1748" t="s">
        <v>188</v>
      </c>
      <c r="BM1748">
        <v>1</v>
      </c>
      <c r="BN1748">
        <v>1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 t="shared" ref="CE1748:CE1753" si="695">"15:09:23.609"</f>
        <v>15:09:23.609</v>
      </c>
      <c r="CF1748">
        <v>608710776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4</v>
      </c>
      <c r="CY1748">
        <v>7</v>
      </c>
      <c r="CZ1748" t="s">
        <v>133</v>
      </c>
      <c r="DA1748">
        <v>275</v>
      </c>
      <c r="DB1748">
        <v>0</v>
      </c>
      <c r="DC1748" t="s">
        <v>134</v>
      </c>
      <c r="DD1748" t="s">
        <v>135</v>
      </c>
      <c r="DG1748">
        <v>3320812</v>
      </c>
      <c r="DI1748">
        <v>1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"05/01/2025 15:09:23.813"</f>
        <v>05/01/2025 15:09:23.813</v>
      </c>
      <c r="C1749" t="str">
        <f t="shared" si="684"/>
        <v>FFDFD3C0</v>
      </c>
      <c r="D1749" t="s">
        <v>145</v>
      </c>
      <c r="E1749" t="str">
        <f>"05"</f>
        <v>05</v>
      </c>
      <c r="H1749">
        <v>47</v>
      </c>
      <c r="I1749" t="s">
        <v>146</v>
      </c>
      <c r="J1749" t="s">
        <v>138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R1749" t="s">
        <v>127</v>
      </c>
      <c r="S1749" t="str">
        <f t="shared" si="694"/>
        <v>15:09:23.000</v>
      </c>
      <c r="T1749" t="str">
        <f t="shared" si="694"/>
        <v>15:09:23.000</v>
      </c>
      <c r="U1749" t="str">
        <f t="shared" si="686"/>
        <v>A68FCB</v>
      </c>
      <c r="V1749">
        <v>0</v>
      </c>
      <c r="W1749">
        <v>0</v>
      </c>
      <c r="X1749">
        <v>2</v>
      </c>
      <c r="Y1749">
        <v>0</v>
      </c>
      <c r="AA1749">
        <v>1</v>
      </c>
      <c r="AB1749">
        <v>8</v>
      </c>
      <c r="AC1749">
        <v>3</v>
      </c>
      <c r="AD1749">
        <v>0</v>
      </c>
      <c r="AE1749">
        <v>9</v>
      </c>
      <c r="AF1749" t="s">
        <v>138</v>
      </c>
      <c r="AG1749">
        <v>0</v>
      </c>
      <c r="AH1749">
        <v>3</v>
      </c>
      <c r="AI1749">
        <v>2</v>
      </c>
      <c r="AJ1749">
        <v>0</v>
      </c>
      <c r="AK1749" t="s">
        <v>630</v>
      </c>
      <c r="AL1749">
        <v>39.033222000000002</v>
      </c>
      <c r="AM1749" t="s">
        <v>631</v>
      </c>
      <c r="AN1749">
        <v>-121.045647</v>
      </c>
      <c r="AO1749">
        <v>25</v>
      </c>
      <c r="AP1749">
        <v>4200</v>
      </c>
      <c r="AQ1749" t="s">
        <v>131</v>
      </c>
      <c r="AR1749">
        <v>14</v>
      </c>
      <c r="AS1749">
        <v>82</v>
      </c>
      <c r="AT1749">
        <v>448</v>
      </c>
      <c r="BB1749" t="str">
        <f t="shared" si="687"/>
        <v>1200</v>
      </c>
      <c r="BC1749">
        <v>1</v>
      </c>
      <c r="BD1749" t="str">
        <f t="shared" si="688"/>
        <v xml:space="preserve">N52156  </v>
      </c>
      <c r="BE1749">
        <v>1</v>
      </c>
      <c r="BG1749">
        <v>0</v>
      </c>
      <c r="BH1749">
        <v>0</v>
      </c>
      <c r="BI1749">
        <v>0</v>
      </c>
      <c r="BJ1749">
        <v>4175</v>
      </c>
      <c r="BK1749">
        <v>-25</v>
      </c>
      <c r="BL1749" t="s">
        <v>188</v>
      </c>
      <c r="BM1749">
        <v>1</v>
      </c>
      <c r="BN1749">
        <v>1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 t="shared" si="695"/>
        <v>15:09:23.609</v>
      </c>
      <c r="CF1749">
        <v>608710776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4</v>
      </c>
      <c r="CY1749">
        <v>7</v>
      </c>
      <c r="CZ1749" t="s">
        <v>133</v>
      </c>
      <c r="DA1749">
        <v>275</v>
      </c>
      <c r="DB1749">
        <v>0</v>
      </c>
      <c r="DC1749" t="s">
        <v>134</v>
      </c>
      <c r="DD1749" t="s">
        <v>135</v>
      </c>
      <c r="DG1749">
        <v>3320812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"05/01/2025 15:09:23.816"</f>
        <v>05/01/2025 15:09:23.816</v>
      </c>
      <c r="C1750" t="str">
        <f t="shared" si="684"/>
        <v>FFDFD3C0</v>
      </c>
      <c r="D1750" t="s">
        <v>124</v>
      </c>
      <c r="E1750" t="str">
        <f>"06"</f>
        <v>06</v>
      </c>
      <c r="F1750">
        <v>2006</v>
      </c>
      <c r="G1750" t="s">
        <v>125</v>
      </c>
      <c r="J1750" t="s">
        <v>126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R1750" t="s">
        <v>127</v>
      </c>
      <c r="S1750" t="str">
        <f t="shared" si="694"/>
        <v>15:09:23.000</v>
      </c>
      <c r="T1750" t="str">
        <f t="shared" si="694"/>
        <v>15:09:23.000</v>
      </c>
      <c r="U1750" t="str">
        <f t="shared" si="686"/>
        <v>A68FCB</v>
      </c>
      <c r="V1750">
        <v>0</v>
      </c>
      <c r="W1750">
        <v>0</v>
      </c>
      <c r="X1750">
        <v>2</v>
      </c>
      <c r="Y1750">
        <v>0</v>
      </c>
      <c r="AA1750">
        <v>1</v>
      </c>
      <c r="AB1750">
        <v>8</v>
      </c>
      <c r="AC1750">
        <v>3</v>
      </c>
      <c r="AD1750">
        <v>0</v>
      </c>
      <c r="AE1750">
        <v>9</v>
      </c>
      <c r="AF1750" t="s">
        <v>138</v>
      </c>
      <c r="AG1750">
        <v>0</v>
      </c>
      <c r="AH1750">
        <v>3</v>
      </c>
      <c r="AI1750">
        <v>2</v>
      </c>
      <c r="AJ1750">
        <v>0</v>
      </c>
      <c r="AK1750" t="s">
        <v>630</v>
      </c>
      <c r="AL1750">
        <v>39.033222000000002</v>
      </c>
      <c r="AM1750" t="s">
        <v>631</v>
      </c>
      <c r="AN1750">
        <v>-121.045647</v>
      </c>
      <c r="AO1750">
        <v>25</v>
      </c>
      <c r="AP1750">
        <v>4200</v>
      </c>
      <c r="AQ1750" t="s">
        <v>131</v>
      </c>
      <c r="AR1750">
        <v>14</v>
      </c>
      <c r="AS1750">
        <v>82</v>
      </c>
      <c r="AT1750">
        <v>448</v>
      </c>
      <c r="BB1750" t="str">
        <f t="shared" si="687"/>
        <v>1200</v>
      </c>
      <c r="BC1750">
        <v>1</v>
      </c>
      <c r="BD1750" t="str">
        <f t="shared" si="688"/>
        <v xml:space="preserve">N52156  </v>
      </c>
      <c r="BE1750">
        <v>1</v>
      </c>
      <c r="BG1750">
        <v>0</v>
      </c>
      <c r="BH1750">
        <v>0</v>
      </c>
      <c r="BI1750">
        <v>0</v>
      </c>
      <c r="BJ1750">
        <v>4175</v>
      </c>
      <c r="BK1750">
        <v>-25</v>
      </c>
      <c r="BL1750" t="s">
        <v>188</v>
      </c>
      <c r="BM1750">
        <v>1</v>
      </c>
      <c r="BN1750">
        <v>1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 t="shared" si="695"/>
        <v>15:09:23.609</v>
      </c>
      <c r="CF1750">
        <v>608710776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4</v>
      </c>
      <c r="CY1750">
        <v>7</v>
      </c>
      <c r="CZ1750" t="s">
        <v>133</v>
      </c>
      <c r="DA1750">
        <v>275</v>
      </c>
      <c r="DB1750">
        <v>0</v>
      </c>
      <c r="DC1750" t="s">
        <v>134</v>
      </c>
      <c r="DD1750" t="s">
        <v>135</v>
      </c>
      <c r="DG1750">
        <v>3320812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"05/01/2025 15:09:23.816"</f>
        <v>05/01/2025 15:09:23.816</v>
      </c>
      <c r="C1751" t="str">
        <f t="shared" si="684"/>
        <v>FFDFD3C0</v>
      </c>
      <c r="D1751" t="s">
        <v>145</v>
      </c>
      <c r="E1751" t="str">
        <f>"09"</f>
        <v>09</v>
      </c>
      <c r="H1751">
        <v>51</v>
      </c>
      <c r="I1751" t="s">
        <v>147</v>
      </c>
      <c r="J1751" t="s">
        <v>138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R1751" t="s">
        <v>127</v>
      </c>
      <c r="S1751" t="str">
        <f t="shared" si="694"/>
        <v>15:09:23.000</v>
      </c>
      <c r="T1751" t="str">
        <f t="shared" si="694"/>
        <v>15:09:23.000</v>
      </c>
      <c r="U1751" t="str">
        <f t="shared" si="686"/>
        <v>A68FCB</v>
      </c>
      <c r="V1751">
        <v>0</v>
      </c>
      <c r="W1751">
        <v>0</v>
      </c>
      <c r="X1751">
        <v>2</v>
      </c>
      <c r="Y1751">
        <v>0</v>
      </c>
      <c r="AA1751">
        <v>1</v>
      </c>
      <c r="AB1751">
        <v>8</v>
      </c>
      <c r="AC1751">
        <v>3</v>
      </c>
      <c r="AD1751">
        <v>0</v>
      </c>
      <c r="AE1751">
        <v>9</v>
      </c>
      <c r="AF1751" t="s">
        <v>138</v>
      </c>
      <c r="AG1751">
        <v>0</v>
      </c>
      <c r="AH1751">
        <v>3</v>
      </c>
      <c r="AI1751">
        <v>2</v>
      </c>
      <c r="AJ1751">
        <v>0</v>
      </c>
      <c r="AK1751" t="s">
        <v>630</v>
      </c>
      <c r="AL1751">
        <v>39.033222000000002</v>
      </c>
      <c r="AM1751" t="s">
        <v>631</v>
      </c>
      <c r="AN1751">
        <v>-121.045647</v>
      </c>
      <c r="AO1751">
        <v>25</v>
      </c>
      <c r="AP1751">
        <v>4200</v>
      </c>
      <c r="AQ1751" t="s">
        <v>131</v>
      </c>
      <c r="AR1751">
        <v>14</v>
      </c>
      <c r="AS1751">
        <v>82</v>
      </c>
      <c r="AT1751">
        <v>448</v>
      </c>
      <c r="BB1751" t="str">
        <f t="shared" si="687"/>
        <v>1200</v>
      </c>
      <c r="BC1751">
        <v>1</v>
      </c>
      <c r="BD1751" t="str">
        <f t="shared" si="688"/>
        <v xml:space="preserve">N52156  </v>
      </c>
      <c r="BE1751">
        <v>1</v>
      </c>
      <c r="BG1751">
        <v>0</v>
      </c>
      <c r="BH1751">
        <v>0</v>
      </c>
      <c r="BI1751">
        <v>0</v>
      </c>
      <c r="BJ1751">
        <v>4175</v>
      </c>
      <c r="BK1751">
        <v>-25</v>
      </c>
      <c r="BL1751" t="s">
        <v>188</v>
      </c>
      <c r="BM1751">
        <v>1</v>
      </c>
      <c r="BN1751">
        <v>1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 t="shared" si="695"/>
        <v>15:09:23.609</v>
      </c>
      <c r="CF1751">
        <v>608710776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4</v>
      </c>
      <c r="CY1751">
        <v>7</v>
      </c>
      <c r="CZ1751" t="s">
        <v>133</v>
      </c>
      <c r="DA1751">
        <v>275</v>
      </c>
      <c r="DB1751">
        <v>0</v>
      </c>
      <c r="DC1751" t="s">
        <v>134</v>
      </c>
      <c r="DD1751" t="s">
        <v>135</v>
      </c>
      <c r="DG1751">
        <v>3320812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"05/01/2025 15:09:23.821"</f>
        <v>05/01/2025 15:09:23.821</v>
      </c>
      <c r="C1752" t="str">
        <f t="shared" si="684"/>
        <v>FFDFD3C0</v>
      </c>
      <c r="D1752" t="s">
        <v>143</v>
      </c>
      <c r="E1752" t="str">
        <f>"05"</f>
        <v>05</v>
      </c>
      <c r="H1752">
        <v>172</v>
      </c>
      <c r="I1752" t="s">
        <v>141</v>
      </c>
      <c r="J1752" t="s">
        <v>144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R1752" t="s">
        <v>127</v>
      </c>
      <c r="S1752" t="str">
        <f t="shared" si="694"/>
        <v>15:09:23.000</v>
      </c>
      <c r="T1752" t="str">
        <f t="shared" si="694"/>
        <v>15:09:23.000</v>
      </c>
      <c r="U1752" t="str">
        <f t="shared" si="686"/>
        <v>A68FCB</v>
      </c>
      <c r="V1752">
        <v>0</v>
      </c>
      <c r="W1752">
        <v>0</v>
      </c>
      <c r="X1752">
        <v>2</v>
      </c>
      <c r="Y1752">
        <v>0</v>
      </c>
      <c r="AA1752">
        <v>1</v>
      </c>
      <c r="AB1752">
        <v>8</v>
      </c>
      <c r="AC1752">
        <v>3</v>
      </c>
      <c r="AD1752">
        <v>0</v>
      </c>
      <c r="AE1752">
        <v>9</v>
      </c>
      <c r="AF1752" t="s">
        <v>138</v>
      </c>
      <c r="AG1752">
        <v>0</v>
      </c>
      <c r="AH1752">
        <v>3</v>
      </c>
      <c r="AI1752">
        <v>2</v>
      </c>
      <c r="AJ1752">
        <v>0</v>
      </c>
      <c r="AK1752" t="s">
        <v>630</v>
      </c>
      <c r="AL1752">
        <v>39.033222000000002</v>
      </c>
      <c r="AM1752" t="s">
        <v>631</v>
      </c>
      <c r="AN1752">
        <v>-121.045647</v>
      </c>
      <c r="AO1752">
        <v>25</v>
      </c>
      <c r="AP1752">
        <v>4200</v>
      </c>
      <c r="AQ1752" t="s">
        <v>131</v>
      </c>
      <c r="AR1752">
        <v>14</v>
      </c>
      <c r="AS1752">
        <v>82</v>
      </c>
      <c r="AT1752">
        <v>448</v>
      </c>
      <c r="BB1752" t="str">
        <f t="shared" si="687"/>
        <v>1200</v>
      </c>
      <c r="BC1752">
        <v>1</v>
      </c>
      <c r="BD1752" t="str">
        <f t="shared" si="688"/>
        <v xml:space="preserve">N52156  </v>
      </c>
      <c r="BE1752">
        <v>1</v>
      </c>
      <c r="BG1752">
        <v>0</v>
      </c>
      <c r="BH1752">
        <v>0</v>
      </c>
      <c r="BI1752">
        <v>0</v>
      </c>
      <c r="BJ1752">
        <v>4175</v>
      </c>
      <c r="BK1752">
        <v>-25</v>
      </c>
      <c r="BL1752" t="s">
        <v>188</v>
      </c>
      <c r="BM1752">
        <v>1</v>
      </c>
      <c r="BN1752">
        <v>1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 t="shared" si="695"/>
        <v>15:09:23.609</v>
      </c>
      <c r="CF1752">
        <v>608710776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4</v>
      </c>
      <c r="CY1752">
        <v>7</v>
      </c>
      <c r="CZ1752" t="s">
        <v>133</v>
      </c>
      <c r="DA1752">
        <v>275</v>
      </c>
      <c r="DB1752">
        <v>0</v>
      </c>
      <c r="DC1752" t="s">
        <v>134</v>
      </c>
      <c r="DD1752" t="s">
        <v>135</v>
      </c>
      <c r="DG1752">
        <v>3320812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"05/01/2025 15:09:23.826"</f>
        <v>05/01/2025 15:09:23.826</v>
      </c>
      <c r="C1753" t="str">
        <f t="shared" si="684"/>
        <v>FFDFD3C0</v>
      </c>
      <c r="D1753" t="s">
        <v>136</v>
      </c>
      <c r="E1753" t="str">
        <f>"20"</f>
        <v>20</v>
      </c>
      <c r="H1753">
        <v>400</v>
      </c>
      <c r="I1753" t="s">
        <v>137</v>
      </c>
      <c r="J1753" t="s">
        <v>138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R1753" t="s">
        <v>127</v>
      </c>
      <c r="S1753" t="str">
        <f t="shared" si="694"/>
        <v>15:09:23.000</v>
      </c>
      <c r="T1753" t="str">
        <f t="shared" si="694"/>
        <v>15:09:23.000</v>
      </c>
      <c r="U1753" t="str">
        <f t="shared" si="686"/>
        <v>A68FCB</v>
      </c>
      <c r="V1753">
        <v>0</v>
      </c>
      <c r="W1753">
        <v>0</v>
      </c>
      <c r="X1753">
        <v>2</v>
      </c>
      <c r="Y1753">
        <v>0</v>
      </c>
      <c r="AA1753">
        <v>1</v>
      </c>
      <c r="AB1753">
        <v>8</v>
      </c>
      <c r="AC1753">
        <v>3</v>
      </c>
      <c r="AD1753">
        <v>0</v>
      </c>
      <c r="AE1753">
        <v>9</v>
      </c>
      <c r="AF1753" t="s">
        <v>138</v>
      </c>
      <c r="AG1753">
        <v>0</v>
      </c>
      <c r="AH1753">
        <v>3</v>
      </c>
      <c r="AI1753">
        <v>2</v>
      </c>
      <c r="AJ1753">
        <v>0</v>
      </c>
      <c r="AK1753" t="s">
        <v>630</v>
      </c>
      <c r="AL1753">
        <v>39.033222000000002</v>
      </c>
      <c r="AM1753" t="s">
        <v>631</v>
      </c>
      <c r="AN1753">
        <v>-121.045647</v>
      </c>
      <c r="AO1753">
        <v>25</v>
      </c>
      <c r="AP1753">
        <v>4200</v>
      </c>
      <c r="AQ1753" t="s">
        <v>131</v>
      </c>
      <c r="AR1753">
        <v>14</v>
      </c>
      <c r="AS1753">
        <v>82</v>
      </c>
      <c r="AT1753">
        <v>448</v>
      </c>
      <c r="BB1753" t="str">
        <f t="shared" si="687"/>
        <v>1200</v>
      </c>
      <c r="BC1753">
        <v>1</v>
      </c>
      <c r="BD1753" t="str">
        <f t="shared" si="688"/>
        <v xml:space="preserve">N52156  </v>
      </c>
      <c r="BE1753">
        <v>1</v>
      </c>
      <c r="BG1753">
        <v>0</v>
      </c>
      <c r="BH1753">
        <v>0</v>
      </c>
      <c r="BI1753">
        <v>0</v>
      </c>
      <c r="BJ1753">
        <v>4175</v>
      </c>
      <c r="BK1753">
        <v>-25</v>
      </c>
      <c r="BL1753" t="s">
        <v>188</v>
      </c>
      <c r="BM1753">
        <v>1</v>
      </c>
      <c r="BN1753">
        <v>1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 t="shared" si="695"/>
        <v>15:09:23.609</v>
      </c>
      <c r="CF1753">
        <v>608710776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4</v>
      </c>
      <c r="CY1753">
        <v>7</v>
      </c>
      <c r="CZ1753" t="s">
        <v>133</v>
      </c>
      <c r="DA1753">
        <v>275</v>
      </c>
      <c r="DB1753">
        <v>0</v>
      </c>
      <c r="DC1753" t="s">
        <v>134</v>
      </c>
      <c r="DD1753" t="s">
        <v>135</v>
      </c>
      <c r="DG1753">
        <v>3320812</v>
      </c>
      <c r="DI1753">
        <v>1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"05/01/2025 15:09:24.556"</f>
        <v>05/01/2025 15:09:24.556</v>
      </c>
      <c r="C1754" t="str">
        <f t="shared" si="684"/>
        <v>FFDFD3C0</v>
      </c>
      <c r="D1754" t="s">
        <v>140</v>
      </c>
      <c r="E1754" t="str">
        <f>"13"</f>
        <v>13</v>
      </c>
      <c r="F1754">
        <v>1019</v>
      </c>
      <c r="G1754" t="s">
        <v>141</v>
      </c>
      <c r="J1754" t="s">
        <v>142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R1754" t="s">
        <v>127</v>
      </c>
      <c r="S1754" t="str">
        <f t="shared" ref="S1754:T1759" si="696">"15:09:24.000"</f>
        <v>15:09:24.000</v>
      </c>
      <c r="T1754" t="str">
        <f t="shared" si="696"/>
        <v>15:09:24.000</v>
      </c>
      <c r="U1754" t="str">
        <f t="shared" si="686"/>
        <v>A68FCB</v>
      </c>
      <c r="V1754">
        <v>0</v>
      </c>
      <c r="W1754">
        <v>0</v>
      </c>
      <c r="X1754">
        <v>2</v>
      </c>
      <c r="Y1754">
        <v>0</v>
      </c>
      <c r="AA1754">
        <v>1</v>
      </c>
      <c r="AB1754">
        <v>8</v>
      </c>
      <c r="AC1754">
        <v>3</v>
      </c>
      <c r="AD1754">
        <v>0</v>
      </c>
      <c r="AE1754">
        <v>9</v>
      </c>
      <c r="AF1754" t="s">
        <v>138</v>
      </c>
      <c r="AG1754">
        <v>0</v>
      </c>
      <c r="AH1754">
        <v>3</v>
      </c>
      <c r="AI1754">
        <v>2</v>
      </c>
      <c r="AJ1754">
        <v>0</v>
      </c>
      <c r="AK1754" t="s">
        <v>632</v>
      </c>
      <c r="AL1754">
        <v>39.033608000000001</v>
      </c>
      <c r="AM1754" t="s">
        <v>633</v>
      </c>
      <c r="AN1754">
        <v>-121.045582</v>
      </c>
      <c r="AO1754">
        <v>25</v>
      </c>
      <c r="AP1754">
        <v>4200</v>
      </c>
      <c r="AQ1754" t="s">
        <v>131</v>
      </c>
      <c r="AR1754">
        <v>12</v>
      </c>
      <c r="AS1754">
        <v>79</v>
      </c>
      <c r="AT1754">
        <v>448</v>
      </c>
      <c r="BB1754" t="str">
        <f t="shared" si="687"/>
        <v>1200</v>
      </c>
      <c r="BC1754">
        <v>1</v>
      </c>
      <c r="BD1754" t="str">
        <f t="shared" si="688"/>
        <v xml:space="preserve">N52156  </v>
      </c>
      <c r="BE1754">
        <v>1</v>
      </c>
      <c r="BG1754">
        <v>0</v>
      </c>
      <c r="BH1754">
        <v>0</v>
      </c>
      <c r="BI1754">
        <v>0</v>
      </c>
      <c r="BJ1754">
        <v>4200</v>
      </c>
      <c r="BK1754">
        <v>0</v>
      </c>
      <c r="BL1754" t="s">
        <v>188</v>
      </c>
      <c r="BM1754">
        <v>1</v>
      </c>
      <c r="BN1754">
        <v>1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 t="shared" ref="CE1754:CE1759" si="697">"15:09:24.327"</f>
        <v>15:09:24.327</v>
      </c>
      <c r="CF1754">
        <v>327371678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5</v>
      </c>
      <c r="CY1754">
        <v>7</v>
      </c>
      <c r="CZ1754" t="s">
        <v>133</v>
      </c>
      <c r="DA1754">
        <v>273</v>
      </c>
      <c r="DB1754">
        <v>0</v>
      </c>
      <c r="DC1754" t="s">
        <v>292</v>
      </c>
      <c r="DD1754" t="s">
        <v>293</v>
      </c>
      <c r="DG1754">
        <v>4862714</v>
      </c>
      <c r="DI1754">
        <v>1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"05/01/2025 15:09:24.568"</f>
        <v>05/01/2025 15:09:24.568</v>
      </c>
      <c r="C1755" t="str">
        <f t="shared" si="684"/>
        <v>FFDFD3C0</v>
      </c>
      <c r="D1755" t="s">
        <v>124</v>
      </c>
      <c r="E1755" t="str">
        <f>"06"</f>
        <v>06</v>
      </c>
      <c r="F1755">
        <v>2006</v>
      </c>
      <c r="G1755" t="s">
        <v>125</v>
      </c>
      <c r="J1755" t="s">
        <v>126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R1755" t="s">
        <v>127</v>
      </c>
      <c r="S1755" t="str">
        <f t="shared" si="696"/>
        <v>15:09:24.000</v>
      </c>
      <c r="T1755" t="str">
        <f t="shared" si="696"/>
        <v>15:09:24.000</v>
      </c>
      <c r="U1755" t="str">
        <f t="shared" si="686"/>
        <v>A68FCB</v>
      </c>
      <c r="V1755">
        <v>0</v>
      </c>
      <c r="W1755">
        <v>0</v>
      </c>
      <c r="X1755">
        <v>2</v>
      </c>
      <c r="Y1755">
        <v>0</v>
      </c>
      <c r="AA1755">
        <v>1</v>
      </c>
      <c r="AB1755">
        <v>8</v>
      </c>
      <c r="AC1755">
        <v>3</v>
      </c>
      <c r="AD1755">
        <v>0</v>
      </c>
      <c r="AE1755">
        <v>9</v>
      </c>
      <c r="AF1755" t="s">
        <v>138</v>
      </c>
      <c r="AG1755">
        <v>0</v>
      </c>
      <c r="AH1755">
        <v>3</v>
      </c>
      <c r="AI1755">
        <v>2</v>
      </c>
      <c r="AJ1755">
        <v>0</v>
      </c>
      <c r="AK1755" t="s">
        <v>632</v>
      </c>
      <c r="AL1755">
        <v>39.033608000000001</v>
      </c>
      <c r="AM1755" t="s">
        <v>633</v>
      </c>
      <c r="AN1755">
        <v>-121.045582</v>
      </c>
      <c r="AO1755">
        <v>25</v>
      </c>
      <c r="AP1755">
        <v>4200</v>
      </c>
      <c r="AQ1755" t="s">
        <v>131</v>
      </c>
      <c r="AR1755">
        <v>12</v>
      </c>
      <c r="AS1755">
        <v>79</v>
      </c>
      <c r="AT1755">
        <v>448</v>
      </c>
      <c r="BB1755" t="str">
        <f t="shared" si="687"/>
        <v>1200</v>
      </c>
      <c r="BC1755">
        <v>1</v>
      </c>
      <c r="BD1755" t="str">
        <f t="shared" si="688"/>
        <v xml:space="preserve">N52156  </v>
      </c>
      <c r="BE1755">
        <v>1</v>
      </c>
      <c r="BG1755">
        <v>0</v>
      </c>
      <c r="BH1755">
        <v>0</v>
      </c>
      <c r="BI1755">
        <v>0</v>
      </c>
      <c r="BJ1755">
        <v>4200</v>
      </c>
      <c r="BK1755">
        <v>0</v>
      </c>
      <c r="BL1755" t="s">
        <v>188</v>
      </c>
      <c r="BM1755">
        <v>1</v>
      </c>
      <c r="BN1755">
        <v>1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 t="shared" si="697"/>
        <v>15:09:24.327</v>
      </c>
      <c r="CF1755">
        <v>327371678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133</v>
      </c>
      <c r="DA1755">
        <v>273</v>
      </c>
      <c r="DB1755">
        <v>0</v>
      </c>
      <c r="DC1755" t="s">
        <v>292</v>
      </c>
      <c r="DD1755" t="s">
        <v>293</v>
      </c>
      <c r="DG1755">
        <v>4862714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"05/01/2025 15:09:24.568"</f>
        <v>05/01/2025 15:09:24.568</v>
      </c>
      <c r="C1756" t="str">
        <f t="shared" si="684"/>
        <v>FFDFD3C0</v>
      </c>
      <c r="D1756" t="s">
        <v>145</v>
      </c>
      <c r="E1756" t="str">
        <f>"09"</f>
        <v>09</v>
      </c>
      <c r="H1756">
        <v>51</v>
      </c>
      <c r="I1756" t="s">
        <v>147</v>
      </c>
      <c r="J1756" t="s">
        <v>138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R1756" t="s">
        <v>127</v>
      </c>
      <c r="S1756" t="str">
        <f t="shared" si="696"/>
        <v>15:09:24.000</v>
      </c>
      <c r="T1756" t="str">
        <f t="shared" si="696"/>
        <v>15:09:24.000</v>
      </c>
      <c r="U1756" t="str">
        <f t="shared" si="686"/>
        <v>A68FCB</v>
      </c>
      <c r="V1756">
        <v>0</v>
      </c>
      <c r="W1756">
        <v>0</v>
      </c>
      <c r="X1756">
        <v>2</v>
      </c>
      <c r="Y1756">
        <v>0</v>
      </c>
      <c r="AA1756">
        <v>1</v>
      </c>
      <c r="AB1756">
        <v>8</v>
      </c>
      <c r="AC1756">
        <v>3</v>
      </c>
      <c r="AD1756">
        <v>0</v>
      </c>
      <c r="AE1756">
        <v>9</v>
      </c>
      <c r="AF1756" t="s">
        <v>138</v>
      </c>
      <c r="AG1756">
        <v>0</v>
      </c>
      <c r="AH1756">
        <v>3</v>
      </c>
      <c r="AI1756">
        <v>2</v>
      </c>
      <c r="AJ1756">
        <v>0</v>
      </c>
      <c r="AK1756" t="s">
        <v>632</v>
      </c>
      <c r="AL1756">
        <v>39.033608000000001</v>
      </c>
      <c r="AM1756" t="s">
        <v>633</v>
      </c>
      <c r="AN1756">
        <v>-121.045582</v>
      </c>
      <c r="AO1756">
        <v>25</v>
      </c>
      <c r="AP1756">
        <v>4200</v>
      </c>
      <c r="AQ1756" t="s">
        <v>131</v>
      </c>
      <c r="AR1756">
        <v>12</v>
      </c>
      <c r="AS1756">
        <v>79</v>
      </c>
      <c r="AT1756">
        <v>448</v>
      </c>
      <c r="BB1756" t="str">
        <f t="shared" si="687"/>
        <v>1200</v>
      </c>
      <c r="BC1756">
        <v>1</v>
      </c>
      <c r="BD1756" t="str">
        <f t="shared" si="688"/>
        <v xml:space="preserve">N52156  </v>
      </c>
      <c r="BE1756">
        <v>1</v>
      </c>
      <c r="BG1756">
        <v>0</v>
      </c>
      <c r="BH1756">
        <v>0</v>
      </c>
      <c r="BI1756">
        <v>0</v>
      </c>
      <c r="BJ1756">
        <v>4200</v>
      </c>
      <c r="BK1756">
        <v>0</v>
      </c>
      <c r="BL1756" t="s">
        <v>188</v>
      </c>
      <c r="BM1756">
        <v>1</v>
      </c>
      <c r="BN1756">
        <v>1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 t="shared" si="697"/>
        <v>15:09:24.327</v>
      </c>
      <c r="CF1756">
        <v>327371678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133</v>
      </c>
      <c r="DA1756">
        <v>273</v>
      </c>
      <c r="DB1756">
        <v>0</v>
      </c>
      <c r="DC1756" t="s">
        <v>292</v>
      </c>
      <c r="DD1756" t="s">
        <v>293</v>
      </c>
      <c r="DG1756">
        <v>4862714</v>
      </c>
      <c r="DI1756">
        <v>1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"05/01/2025 15:09:24.565"</f>
        <v>05/01/2025 15:09:24.565</v>
      </c>
      <c r="C1757" t="str">
        <f t="shared" si="684"/>
        <v>FFDFD3C0</v>
      </c>
      <c r="D1757" t="s">
        <v>145</v>
      </c>
      <c r="E1757" t="str">
        <f>"05"</f>
        <v>05</v>
      </c>
      <c r="H1757">
        <v>47</v>
      </c>
      <c r="I1757" t="s">
        <v>146</v>
      </c>
      <c r="J1757" t="s">
        <v>138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R1757" t="s">
        <v>127</v>
      </c>
      <c r="S1757" t="str">
        <f t="shared" si="696"/>
        <v>15:09:24.000</v>
      </c>
      <c r="T1757" t="str">
        <f t="shared" si="696"/>
        <v>15:09:24.000</v>
      </c>
      <c r="U1757" t="str">
        <f t="shared" si="686"/>
        <v>A68FCB</v>
      </c>
      <c r="V1757">
        <v>0</v>
      </c>
      <c r="W1757">
        <v>0</v>
      </c>
      <c r="X1757">
        <v>2</v>
      </c>
      <c r="Y1757">
        <v>0</v>
      </c>
      <c r="AA1757">
        <v>1</v>
      </c>
      <c r="AB1757">
        <v>8</v>
      </c>
      <c r="AC1757">
        <v>3</v>
      </c>
      <c r="AD1757">
        <v>0</v>
      </c>
      <c r="AE1757">
        <v>9</v>
      </c>
      <c r="AF1757" t="s">
        <v>138</v>
      </c>
      <c r="AG1757">
        <v>0</v>
      </c>
      <c r="AH1757">
        <v>3</v>
      </c>
      <c r="AI1757">
        <v>2</v>
      </c>
      <c r="AJ1757">
        <v>0</v>
      </c>
      <c r="AK1757" t="s">
        <v>632</v>
      </c>
      <c r="AL1757">
        <v>39.033608000000001</v>
      </c>
      <c r="AM1757" t="s">
        <v>633</v>
      </c>
      <c r="AN1757">
        <v>-121.045582</v>
      </c>
      <c r="AO1757">
        <v>25</v>
      </c>
      <c r="AP1757">
        <v>4200</v>
      </c>
      <c r="AQ1757" t="s">
        <v>131</v>
      </c>
      <c r="AR1757">
        <v>12</v>
      </c>
      <c r="AS1757">
        <v>79</v>
      </c>
      <c r="AT1757">
        <v>448</v>
      </c>
      <c r="BB1757" t="str">
        <f t="shared" si="687"/>
        <v>1200</v>
      </c>
      <c r="BC1757">
        <v>1</v>
      </c>
      <c r="BD1757" t="str">
        <f t="shared" si="688"/>
        <v xml:space="preserve">N52156  </v>
      </c>
      <c r="BE1757">
        <v>1</v>
      </c>
      <c r="BG1757">
        <v>0</v>
      </c>
      <c r="BH1757">
        <v>0</v>
      </c>
      <c r="BI1757">
        <v>0</v>
      </c>
      <c r="BJ1757">
        <v>4200</v>
      </c>
      <c r="BK1757">
        <v>0</v>
      </c>
      <c r="BL1757" t="s">
        <v>188</v>
      </c>
      <c r="BM1757">
        <v>1</v>
      </c>
      <c r="BN1757">
        <v>1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 t="shared" si="697"/>
        <v>15:09:24.327</v>
      </c>
      <c r="CF1757">
        <v>327371678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133</v>
      </c>
      <c r="DA1757">
        <v>273</v>
      </c>
      <c r="DB1757">
        <v>0</v>
      </c>
      <c r="DC1757" t="s">
        <v>292</v>
      </c>
      <c r="DD1757" t="s">
        <v>293</v>
      </c>
      <c r="DG1757">
        <v>4862714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"05/01/2025 15:09:24.572"</f>
        <v>05/01/2025 15:09:24.572</v>
      </c>
      <c r="C1758" t="str">
        <f t="shared" si="684"/>
        <v>FFDFD3C0</v>
      </c>
      <c r="D1758" t="s">
        <v>143</v>
      </c>
      <c r="E1758" t="str">
        <f>"05"</f>
        <v>05</v>
      </c>
      <c r="H1758">
        <v>172</v>
      </c>
      <c r="I1758" t="s">
        <v>141</v>
      </c>
      <c r="J1758" t="s">
        <v>144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R1758" t="s">
        <v>127</v>
      </c>
      <c r="S1758" t="str">
        <f t="shared" si="696"/>
        <v>15:09:24.000</v>
      </c>
      <c r="T1758" t="str">
        <f t="shared" si="696"/>
        <v>15:09:24.000</v>
      </c>
      <c r="U1758" t="str">
        <f t="shared" si="686"/>
        <v>A68FCB</v>
      </c>
      <c r="V1758">
        <v>0</v>
      </c>
      <c r="W1758">
        <v>0</v>
      </c>
      <c r="X1758">
        <v>2</v>
      </c>
      <c r="Y1758">
        <v>0</v>
      </c>
      <c r="AA1758">
        <v>1</v>
      </c>
      <c r="AB1758">
        <v>8</v>
      </c>
      <c r="AC1758">
        <v>3</v>
      </c>
      <c r="AD1758">
        <v>0</v>
      </c>
      <c r="AE1758">
        <v>9</v>
      </c>
      <c r="AF1758" t="s">
        <v>138</v>
      </c>
      <c r="AG1758">
        <v>0</v>
      </c>
      <c r="AH1758">
        <v>3</v>
      </c>
      <c r="AI1758">
        <v>2</v>
      </c>
      <c r="AJ1758">
        <v>0</v>
      </c>
      <c r="AK1758" t="s">
        <v>632</v>
      </c>
      <c r="AL1758">
        <v>39.033608000000001</v>
      </c>
      <c r="AM1758" t="s">
        <v>633</v>
      </c>
      <c r="AN1758">
        <v>-121.045582</v>
      </c>
      <c r="AO1758">
        <v>25</v>
      </c>
      <c r="AP1758">
        <v>4200</v>
      </c>
      <c r="AQ1758" t="s">
        <v>131</v>
      </c>
      <c r="AR1758">
        <v>12</v>
      </c>
      <c r="AS1758">
        <v>79</v>
      </c>
      <c r="AT1758">
        <v>448</v>
      </c>
      <c r="BB1758" t="str">
        <f t="shared" si="687"/>
        <v>1200</v>
      </c>
      <c r="BC1758">
        <v>1</v>
      </c>
      <c r="BD1758" t="str">
        <f t="shared" si="688"/>
        <v xml:space="preserve">N52156  </v>
      </c>
      <c r="BE1758">
        <v>1</v>
      </c>
      <c r="BG1758">
        <v>0</v>
      </c>
      <c r="BH1758">
        <v>0</v>
      </c>
      <c r="BI1758">
        <v>0</v>
      </c>
      <c r="BJ1758">
        <v>4200</v>
      </c>
      <c r="BK1758">
        <v>0</v>
      </c>
      <c r="BL1758" t="s">
        <v>188</v>
      </c>
      <c r="BM1758">
        <v>1</v>
      </c>
      <c r="BN1758">
        <v>1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 t="shared" si="697"/>
        <v>15:09:24.327</v>
      </c>
      <c r="CF1758">
        <v>327371678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133</v>
      </c>
      <c r="DA1758">
        <v>273</v>
      </c>
      <c r="DB1758">
        <v>0</v>
      </c>
      <c r="DC1758" t="s">
        <v>292</v>
      </c>
      <c r="DD1758" t="s">
        <v>293</v>
      </c>
      <c r="DG1758">
        <v>4862714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"05/01/2025 15:09:24.578"</f>
        <v>05/01/2025 15:09:24.578</v>
      </c>
      <c r="C1759" t="str">
        <f t="shared" si="684"/>
        <v>FFDFD3C0</v>
      </c>
      <c r="D1759" t="s">
        <v>136</v>
      </c>
      <c r="E1759" t="str">
        <f>"20"</f>
        <v>20</v>
      </c>
      <c r="H1759">
        <v>400</v>
      </c>
      <c r="I1759" t="s">
        <v>137</v>
      </c>
      <c r="J1759" t="s">
        <v>138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R1759" t="s">
        <v>127</v>
      </c>
      <c r="S1759" t="str">
        <f t="shared" si="696"/>
        <v>15:09:24.000</v>
      </c>
      <c r="T1759" t="str">
        <f t="shared" si="696"/>
        <v>15:09:24.000</v>
      </c>
      <c r="U1759" t="str">
        <f t="shared" si="686"/>
        <v>A68FCB</v>
      </c>
      <c r="V1759">
        <v>0</v>
      </c>
      <c r="W1759">
        <v>0</v>
      </c>
      <c r="X1759">
        <v>2</v>
      </c>
      <c r="Y1759">
        <v>0</v>
      </c>
      <c r="AA1759">
        <v>1</v>
      </c>
      <c r="AB1759">
        <v>8</v>
      </c>
      <c r="AC1759">
        <v>3</v>
      </c>
      <c r="AD1759">
        <v>0</v>
      </c>
      <c r="AE1759">
        <v>9</v>
      </c>
      <c r="AF1759" t="s">
        <v>138</v>
      </c>
      <c r="AG1759">
        <v>0</v>
      </c>
      <c r="AH1759">
        <v>3</v>
      </c>
      <c r="AI1759">
        <v>2</v>
      </c>
      <c r="AJ1759">
        <v>0</v>
      </c>
      <c r="AK1759" t="s">
        <v>632</v>
      </c>
      <c r="AL1759">
        <v>39.033608000000001</v>
      </c>
      <c r="AM1759" t="s">
        <v>633</v>
      </c>
      <c r="AN1759">
        <v>-121.045582</v>
      </c>
      <c r="AO1759">
        <v>25</v>
      </c>
      <c r="AP1759">
        <v>4200</v>
      </c>
      <c r="AQ1759" t="s">
        <v>131</v>
      </c>
      <c r="AR1759">
        <v>12</v>
      </c>
      <c r="AS1759">
        <v>79</v>
      </c>
      <c r="AT1759">
        <v>448</v>
      </c>
      <c r="BB1759" t="str">
        <f t="shared" si="687"/>
        <v>1200</v>
      </c>
      <c r="BC1759">
        <v>1</v>
      </c>
      <c r="BD1759" t="str">
        <f t="shared" si="688"/>
        <v xml:space="preserve">N52156  </v>
      </c>
      <c r="BE1759">
        <v>1</v>
      </c>
      <c r="BG1759">
        <v>0</v>
      </c>
      <c r="BH1759">
        <v>0</v>
      </c>
      <c r="BI1759">
        <v>0</v>
      </c>
      <c r="BJ1759">
        <v>4200</v>
      </c>
      <c r="BK1759">
        <v>0</v>
      </c>
      <c r="BL1759" t="s">
        <v>188</v>
      </c>
      <c r="BM1759">
        <v>1</v>
      </c>
      <c r="BN1759">
        <v>1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 t="shared" si="697"/>
        <v>15:09:24.327</v>
      </c>
      <c r="CF1759">
        <v>327371678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133</v>
      </c>
      <c r="DA1759">
        <v>273</v>
      </c>
      <c r="DB1759">
        <v>0</v>
      </c>
      <c r="DC1759" t="s">
        <v>292</v>
      </c>
      <c r="DD1759" t="s">
        <v>293</v>
      </c>
      <c r="DG1759">
        <v>4862714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"05/01/2025 15:09:25.517"</f>
        <v>05/01/2025 15:09:25.517</v>
      </c>
      <c r="C1760" t="str">
        <f t="shared" si="684"/>
        <v>FFDFD3C0</v>
      </c>
      <c r="D1760" t="s">
        <v>145</v>
      </c>
      <c r="E1760" t="str">
        <f>"05"</f>
        <v>05</v>
      </c>
      <c r="H1760">
        <v>47</v>
      </c>
      <c r="I1760" t="s">
        <v>146</v>
      </c>
      <c r="J1760" t="s">
        <v>138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R1760" t="s">
        <v>127</v>
      </c>
      <c r="S1760" t="str">
        <f t="shared" ref="S1760:T1765" si="698">"15:09:25.000"</f>
        <v>15:09:25.000</v>
      </c>
      <c r="T1760" t="str">
        <f t="shared" si="698"/>
        <v>15:09:25.000</v>
      </c>
      <c r="U1760" t="str">
        <f t="shared" si="686"/>
        <v>A68FCB</v>
      </c>
      <c r="V1760">
        <v>0</v>
      </c>
      <c r="W1760">
        <v>0</v>
      </c>
      <c r="X1760">
        <v>2</v>
      </c>
      <c r="Y1760">
        <v>0</v>
      </c>
      <c r="AA1760">
        <v>1</v>
      </c>
      <c r="AB1760">
        <v>8</v>
      </c>
      <c r="AC1760">
        <v>3</v>
      </c>
      <c r="AD1760">
        <v>0</v>
      </c>
      <c r="AE1760">
        <v>9</v>
      </c>
      <c r="AF1760" t="s">
        <v>138</v>
      </c>
      <c r="AG1760">
        <v>0</v>
      </c>
      <c r="AH1760">
        <v>3</v>
      </c>
      <c r="AI1760">
        <v>2</v>
      </c>
      <c r="AJ1760">
        <v>0</v>
      </c>
      <c r="AK1760" t="s">
        <v>634</v>
      </c>
      <c r="AL1760">
        <v>39.033994999999997</v>
      </c>
      <c r="AM1760" t="s">
        <v>635</v>
      </c>
      <c r="AN1760">
        <v>-121.045496</v>
      </c>
      <c r="AO1760">
        <v>25</v>
      </c>
      <c r="AP1760">
        <v>4200</v>
      </c>
      <c r="AQ1760" t="s">
        <v>131</v>
      </c>
      <c r="AR1760">
        <v>14</v>
      </c>
      <c r="AS1760">
        <v>81</v>
      </c>
      <c r="AT1760">
        <v>448</v>
      </c>
      <c r="BB1760" t="str">
        <f t="shared" si="687"/>
        <v>1200</v>
      </c>
      <c r="BC1760">
        <v>1</v>
      </c>
      <c r="BD1760" t="str">
        <f t="shared" si="688"/>
        <v xml:space="preserve">N52156  </v>
      </c>
      <c r="BE1760">
        <v>1</v>
      </c>
      <c r="BG1760">
        <v>0</v>
      </c>
      <c r="BH1760">
        <v>0</v>
      </c>
      <c r="BI1760">
        <v>0</v>
      </c>
      <c r="BJ1760">
        <v>4200</v>
      </c>
      <c r="BK1760">
        <v>0</v>
      </c>
      <c r="BL1760" t="s">
        <v>188</v>
      </c>
      <c r="BM1760">
        <v>1</v>
      </c>
      <c r="BN1760">
        <v>1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 t="shared" ref="CE1760:CE1765" si="699">"15:09:25.317"</f>
        <v>15:09:25.317</v>
      </c>
      <c r="CF1760">
        <v>317121597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5</v>
      </c>
      <c r="CY1760">
        <v>7</v>
      </c>
      <c r="CZ1760" t="s">
        <v>133</v>
      </c>
      <c r="DA1760">
        <v>273</v>
      </c>
      <c r="DB1760">
        <v>0</v>
      </c>
      <c r="DC1760" t="s">
        <v>292</v>
      </c>
      <c r="DD1760" t="s">
        <v>293</v>
      </c>
      <c r="DG1760">
        <v>4862724</v>
      </c>
      <c r="DI1760">
        <v>1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"05/01/2025 15:09:25.524"</f>
        <v>05/01/2025 15:09:25.524</v>
      </c>
      <c r="C1761" t="str">
        <f t="shared" si="684"/>
        <v>FFDFD3C0</v>
      </c>
      <c r="D1761" t="s">
        <v>143</v>
      </c>
      <c r="E1761" t="str">
        <f>"05"</f>
        <v>05</v>
      </c>
      <c r="H1761">
        <v>172</v>
      </c>
      <c r="I1761" t="s">
        <v>141</v>
      </c>
      <c r="J1761" t="s">
        <v>144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R1761" t="s">
        <v>127</v>
      </c>
      <c r="S1761" t="str">
        <f t="shared" si="698"/>
        <v>15:09:25.000</v>
      </c>
      <c r="T1761" t="str">
        <f t="shared" si="698"/>
        <v>15:09:25.000</v>
      </c>
      <c r="U1761" t="str">
        <f t="shared" si="686"/>
        <v>A68FCB</v>
      </c>
      <c r="V1761">
        <v>0</v>
      </c>
      <c r="W1761">
        <v>0</v>
      </c>
      <c r="X1761">
        <v>2</v>
      </c>
      <c r="Y1761">
        <v>0</v>
      </c>
      <c r="AA1761">
        <v>1</v>
      </c>
      <c r="AB1761">
        <v>8</v>
      </c>
      <c r="AC1761">
        <v>3</v>
      </c>
      <c r="AD1761">
        <v>0</v>
      </c>
      <c r="AE1761">
        <v>9</v>
      </c>
      <c r="AF1761" t="s">
        <v>138</v>
      </c>
      <c r="AG1761">
        <v>0</v>
      </c>
      <c r="AH1761">
        <v>3</v>
      </c>
      <c r="AI1761">
        <v>2</v>
      </c>
      <c r="AJ1761">
        <v>0</v>
      </c>
      <c r="AK1761" t="s">
        <v>634</v>
      </c>
      <c r="AL1761">
        <v>39.033994999999997</v>
      </c>
      <c r="AM1761" t="s">
        <v>635</v>
      </c>
      <c r="AN1761">
        <v>-121.045496</v>
      </c>
      <c r="AO1761">
        <v>25</v>
      </c>
      <c r="AP1761">
        <v>4200</v>
      </c>
      <c r="AQ1761" t="s">
        <v>131</v>
      </c>
      <c r="AR1761">
        <v>14</v>
      </c>
      <c r="AS1761">
        <v>81</v>
      </c>
      <c r="AT1761">
        <v>448</v>
      </c>
      <c r="BB1761" t="str">
        <f t="shared" si="687"/>
        <v>1200</v>
      </c>
      <c r="BC1761">
        <v>1</v>
      </c>
      <c r="BD1761" t="str">
        <f t="shared" si="688"/>
        <v xml:space="preserve">N52156  </v>
      </c>
      <c r="BE1761">
        <v>1</v>
      </c>
      <c r="BG1761">
        <v>0</v>
      </c>
      <c r="BH1761">
        <v>0</v>
      </c>
      <c r="BI1761">
        <v>0</v>
      </c>
      <c r="BJ1761">
        <v>4200</v>
      </c>
      <c r="BK1761">
        <v>0</v>
      </c>
      <c r="BL1761" t="s">
        <v>188</v>
      </c>
      <c r="BM1761">
        <v>1</v>
      </c>
      <c r="BN1761">
        <v>1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 t="shared" si="699"/>
        <v>15:09:25.317</v>
      </c>
      <c r="CF1761">
        <v>317121597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133</v>
      </c>
      <c r="DA1761">
        <v>273</v>
      </c>
      <c r="DB1761">
        <v>0</v>
      </c>
      <c r="DC1761" t="s">
        <v>292</v>
      </c>
      <c r="DD1761" t="s">
        <v>293</v>
      </c>
      <c r="DG1761">
        <v>4862724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"05/01/2025 15:09:25.519"</f>
        <v>05/01/2025 15:09:25.519</v>
      </c>
      <c r="C1762" t="str">
        <f t="shared" si="684"/>
        <v>FFDFD3C0</v>
      </c>
      <c r="D1762" t="s">
        <v>124</v>
      </c>
      <c r="E1762" t="str">
        <f>"06"</f>
        <v>06</v>
      </c>
      <c r="F1762">
        <v>2006</v>
      </c>
      <c r="G1762" t="s">
        <v>125</v>
      </c>
      <c r="J1762" t="s">
        <v>126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R1762" t="s">
        <v>127</v>
      </c>
      <c r="S1762" t="str">
        <f t="shared" si="698"/>
        <v>15:09:25.000</v>
      </c>
      <c r="T1762" t="str">
        <f t="shared" si="698"/>
        <v>15:09:25.000</v>
      </c>
      <c r="U1762" t="str">
        <f t="shared" si="686"/>
        <v>A68FCB</v>
      </c>
      <c r="V1762">
        <v>0</v>
      </c>
      <c r="W1762">
        <v>0</v>
      </c>
      <c r="X1762">
        <v>2</v>
      </c>
      <c r="Y1762">
        <v>0</v>
      </c>
      <c r="AA1762">
        <v>1</v>
      </c>
      <c r="AB1762">
        <v>8</v>
      </c>
      <c r="AC1762">
        <v>3</v>
      </c>
      <c r="AD1762">
        <v>0</v>
      </c>
      <c r="AE1762">
        <v>9</v>
      </c>
      <c r="AF1762" t="s">
        <v>138</v>
      </c>
      <c r="AG1762">
        <v>0</v>
      </c>
      <c r="AH1762">
        <v>3</v>
      </c>
      <c r="AI1762">
        <v>2</v>
      </c>
      <c r="AJ1762">
        <v>0</v>
      </c>
      <c r="AK1762" t="s">
        <v>634</v>
      </c>
      <c r="AL1762">
        <v>39.033994999999997</v>
      </c>
      <c r="AM1762" t="s">
        <v>635</v>
      </c>
      <c r="AN1762">
        <v>-121.045496</v>
      </c>
      <c r="AO1762">
        <v>25</v>
      </c>
      <c r="AP1762">
        <v>4200</v>
      </c>
      <c r="AQ1762" t="s">
        <v>131</v>
      </c>
      <c r="AR1762">
        <v>14</v>
      </c>
      <c r="AS1762">
        <v>81</v>
      </c>
      <c r="AT1762">
        <v>448</v>
      </c>
      <c r="BB1762" t="str">
        <f t="shared" si="687"/>
        <v>1200</v>
      </c>
      <c r="BC1762">
        <v>1</v>
      </c>
      <c r="BD1762" t="str">
        <f t="shared" si="688"/>
        <v xml:space="preserve">N52156  </v>
      </c>
      <c r="BE1762">
        <v>1</v>
      </c>
      <c r="BG1762">
        <v>0</v>
      </c>
      <c r="BH1762">
        <v>0</v>
      </c>
      <c r="BI1762">
        <v>0</v>
      </c>
      <c r="BJ1762">
        <v>4200</v>
      </c>
      <c r="BK1762">
        <v>0</v>
      </c>
      <c r="BL1762" t="s">
        <v>188</v>
      </c>
      <c r="BM1762">
        <v>1</v>
      </c>
      <c r="BN1762">
        <v>1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 t="shared" si="699"/>
        <v>15:09:25.317</v>
      </c>
      <c r="CF1762">
        <v>317121597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133</v>
      </c>
      <c r="DA1762">
        <v>273</v>
      </c>
      <c r="DB1762">
        <v>0</v>
      </c>
      <c r="DC1762" t="s">
        <v>292</v>
      </c>
      <c r="DD1762" t="s">
        <v>293</v>
      </c>
      <c r="DG1762">
        <v>4862724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"05/01/2025 15:09:25.520"</f>
        <v>05/01/2025 15:09:25.520</v>
      </c>
      <c r="C1763" t="str">
        <f t="shared" si="684"/>
        <v>FFDFD3C0</v>
      </c>
      <c r="D1763" t="s">
        <v>145</v>
      </c>
      <c r="E1763" t="str">
        <f>"09"</f>
        <v>09</v>
      </c>
      <c r="H1763">
        <v>51</v>
      </c>
      <c r="I1763" t="s">
        <v>147</v>
      </c>
      <c r="J1763" t="s">
        <v>138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R1763" t="s">
        <v>127</v>
      </c>
      <c r="S1763" t="str">
        <f t="shared" si="698"/>
        <v>15:09:25.000</v>
      </c>
      <c r="T1763" t="str">
        <f t="shared" si="698"/>
        <v>15:09:25.000</v>
      </c>
      <c r="U1763" t="str">
        <f t="shared" si="686"/>
        <v>A68FCB</v>
      </c>
      <c r="V1763">
        <v>0</v>
      </c>
      <c r="W1763">
        <v>0</v>
      </c>
      <c r="X1763">
        <v>2</v>
      </c>
      <c r="Y1763">
        <v>0</v>
      </c>
      <c r="AA1763">
        <v>1</v>
      </c>
      <c r="AB1763">
        <v>8</v>
      </c>
      <c r="AC1763">
        <v>3</v>
      </c>
      <c r="AD1763">
        <v>0</v>
      </c>
      <c r="AE1763">
        <v>9</v>
      </c>
      <c r="AF1763" t="s">
        <v>138</v>
      </c>
      <c r="AG1763">
        <v>0</v>
      </c>
      <c r="AH1763">
        <v>3</v>
      </c>
      <c r="AI1763">
        <v>2</v>
      </c>
      <c r="AJ1763">
        <v>0</v>
      </c>
      <c r="AK1763" t="s">
        <v>634</v>
      </c>
      <c r="AL1763">
        <v>39.033994999999997</v>
      </c>
      <c r="AM1763" t="s">
        <v>635</v>
      </c>
      <c r="AN1763">
        <v>-121.045496</v>
      </c>
      <c r="AO1763">
        <v>25</v>
      </c>
      <c r="AP1763">
        <v>4200</v>
      </c>
      <c r="AQ1763" t="s">
        <v>131</v>
      </c>
      <c r="AR1763">
        <v>14</v>
      </c>
      <c r="AS1763">
        <v>81</v>
      </c>
      <c r="AT1763">
        <v>448</v>
      </c>
      <c r="BB1763" t="str">
        <f t="shared" si="687"/>
        <v>1200</v>
      </c>
      <c r="BC1763">
        <v>1</v>
      </c>
      <c r="BD1763" t="str">
        <f t="shared" si="688"/>
        <v xml:space="preserve">N52156  </v>
      </c>
      <c r="BE1763">
        <v>1</v>
      </c>
      <c r="BG1763">
        <v>0</v>
      </c>
      <c r="BH1763">
        <v>0</v>
      </c>
      <c r="BI1763">
        <v>0</v>
      </c>
      <c r="BJ1763">
        <v>4200</v>
      </c>
      <c r="BK1763">
        <v>0</v>
      </c>
      <c r="BL1763" t="s">
        <v>188</v>
      </c>
      <c r="BM1763">
        <v>1</v>
      </c>
      <c r="BN1763">
        <v>1</v>
      </c>
      <c r="BO1763">
        <v>0</v>
      </c>
      <c r="BP1763">
        <v>0</v>
      </c>
      <c r="BS1763">
        <v>0</v>
      </c>
      <c r="BT1763">
        <v>0</v>
      </c>
      <c r="BU1763">
        <v>0</v>
      </c>
      <c r="CE1763" t="str">
        <f t="shared" si="699"/>
        <v>15:09:25.317</v>
      </c>
      <c r="CF1763">
        <v>317121597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133</v>
      </c>
      <c r="DA1763">
        <v>273</v>
      </c>
      <c r="DB1763">
        <v>0</v>
      </c>
      <c r="DC1763" t="s">
        <v>292</v>
      </c>
      <c r="DD1763" t="s">
        <v>293</v>
      </c>
      <c r="DG1763">
        <v>4862724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"05/01/2025 15:09:25.529"</f>
        <v>05/01/2025 15:09:25.529</v>
      </c>
      <c r="C1764" t="str">
        <f t="shared" si="684"/>
        <v>FFDFD3C0</v>
      </c>
      <c r="D1764" t="s">
        <v>136</v>
      </c>
      <c r="E1764" t="str">
        <f>"20"</f>
        <v>20</v>
      </c>
      <c r="H1764">
        <v>400</v>
      </c>
      <c r="I1764" t="s">
        <v>137</v>
      </c>
      <c r="J1764" t="s">
        <v>138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R1764" t="s">
        <v>127</v>
      </c>
      <c r="S1764" t="str">
        <f t="shared" si="698"/>
        <v>15:09:25.000</v>
      </c>
      <c r="T1764" t="str">
        <f t="shared" si="698"/>
        <v>15:09:25.000</v>
      </c>
      <c r="U1764" t="str">
        <f t="shared" si="686"/>
        <v>A68FCB</v>
      </c>
      <c r="V1764">
        <v>0</v>
      </c>
      <c r="W1764">
        <v>0</v>
      </c>
      <c r="X1764">
        <v>2</v>
      </c>
      <c r="Y1764">
        <v>0</v>
      </c>
      <c r="AA1764">
        <v>1</v>
      </c>
      <c r="AB1764">
        <v>8</v>
      </c>
      <c r="AC1764">
        <v>3</v>
      </c>
      <c r="AD1764">
        <v>0</v>
      </c>
      <c r="AE1764">
        <v>9</v>
      </c>
      <c r="AF1764" t="s">
        <v>138</v>
      </c>
      <c r="AG1764">
        <v>0</v>
      </c>
      <c r="AH1764">
        <v>3</v>
      </c>
      <c r="AI1764">
        <v>2</v>
      </c>
      <c r="AJ1764">
        <v>0</v>
      </c>
      <c r="AK1764" t="s">
        <v>634</v>
      </c>
      <c r="AL1764">
        <v>39.033994999999997</v>
      </c>
      <c r="AM1764" t="s">
        <v>635</v>
      </c>
      <c r="AN1764">
        <v>-121.045496</v>
      </c>
      <c r="AO1764">
        <v>25</v>
      </c>
      <c r="AP1764">
        <v>4200</v>
      </c>
      <c r="AQ1764" t="s">
        <v>131</v>
      </c>
      <c r="AR1764">
        <v>14</v>
      </c>
      <c r="AS1764">
        <v>81</v>
      </c>
      <c r="AT1764">
        <v>448</v>
      </c>
      <c r="BB1764" t="str">
        <f t="shared" si="687"/>
        <v>1200</v>
      </c>
      <c r="BC1764">
        <v>1</v>
      </c>
      <c r="BD1764" t="str">
        <f t="shared" si="688"/>
        <v xml:space="preserve">N52156  </v>
      </c>
      <c r="BE1764">
        <v>1</v>
      </c>
      <c r="BG1764">
        <v>0</v>
      </c>
      <c r="BH1764">
        <v>0</v>
      </c>
      <c r="BI1764">
        <v>0</v>
      </c>
      <c r="BJ1764">
        <v>4200</v>
      </c>
      <c r="BK1764">
        <v>0</v>
      </c>
      <c r="BL1764" t="s">
        <v>188</v>
      </c>
      <c r="BM1764">
        <v>1</v>
      </c>
      <c r="BN1764">
        <v>1</v>
      </c>
      <c r="BO1764">
        <v>0</v>
      </c>
      <c r="BP1764">
        <v>0</v>
      </c>
      <c r="BS1764">
        <v>0</v>
      </c>
      <c r="BT1764">
        <v>0</v>
      </c>
      <c r="BU1764">
        <v>0</v>
      </c>
      <c r="CE1764" t="str">
        <f t="shared" si="699"/>
        <v>15:09:25.317</v>
      </c>
      <c r="CF1764">
        <v>317121597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133</v>
      </c>
      <c r="DA1764">
        <v>273</v>
      </c>
      <c r="DB1764">
        <v>0</v>
      </c>
      <c r="DC1764" t="s">
        <v>292</v>
      </c>
      <c r="DD1764" t="s">
        <v>293</v>
      </c>
      <c r="DG1764">
        <v>4862724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"05/01/2025 15:09:25.557"</f>
        <v>05/01/2025 15:09:25.557</v>
      </c>
      <c r="C1765" t="str">
        <f t="shared" si="684"/>
        <v>FFDFD3C0</v>
      </c>
      <c r="D1765" t="s">
        <v>140</v>
      </c>
      <c r="E1765" t="str">
        <f>"13"</f>
        <v>13</v>
      </c>
      <c r="F1765">
        <v>1019</v>
      </c>
      <c r="G1765" t="s">
        <v>141</v>
      </c>
      <c r="J1765" t="s">
        <v>142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R1765" t="s">
        <v>127</v>
      </c>
      <c r="S1765" t="str">
        <f t="shared" si="698"/>
        <v>15:09:25.000</v>
      </c>
      <c r="T1765" t="str">
        <f t="shared" si="698"/>
        <v>15:09:25.000</v>
      </c>
      <c r="U1765" t="str">
        <f t="shared" si="686"/>
        <v>A68FCB</v>
      </c>
      <c r="V1765">
        <v>0</v>
      </c>
      <c r="W1765">
        <v>0</v>
      </c>
      <c r="X1765">
        <v>2</v>
      </c>
      <c r="Y1765">
        <v>0</v>
      </c>
      <c r="AA1765">
        <v>1</v>
      </c>
      <c r="AB1765">
        <v>8</v>
      </c>
      <c r="AC1765">
        <v>3</v>
      </c>
      <c r="AD1765">
        <v>0</v>
      </c>
      <c r="AE1765">
        <v>9</v>
      </c>
      <c r="AF1765" t="s">
        <v>138</v>
      </c>
      <c r="AG1765">
        <v>0</v>
      </c>
      <c r="AH1765">
        <v>3</v>
      </c>
      <c r="AI1765">
        <v>2</v>
      </c>
      <c r="AJ1765">
        <v>0</v>
      </c>
      <c r="AK1765" t="s">
        <v>634</v>
      </c>
      <c r="AL1765">
        <v>39.033994999999997</v>
      </c>
      <c r="AM1765" t="s">
        <v>635</v>
      </c>
      <c r="AN1765">
        <v>-121.045496</v>
      </c>
      <c r="AO1765">
        <v>25</v>
      </c>
      <c r="AP1765">
        <v>4200</v>
      </c>
      <c r="AQ1765" t="s">
        <v>131</v>
      </c>
      <c r="AR1765">
        <v>14</v>
      </c>
      <c r="AS1765">
        <v>81</v>
      </c>
      <c r="AT1765">
        <v>448</v>
      </c>
      <c r="BB1765" t="str">
        <f t="shared" si="687"/>
        <v>1200</v>
      </c>
      <c r="BC1765">
        <v>1</v>
      </c>
      <c r="BD1765" t="str">
        <f t="shared" si="688"/>
        <v xml:space="preserve">N52156  </v>
      </c>
      <c r="BE1765">
        <v>1</v>
      </c>
      <c r="BG1765">
        <v>0</v>
      </c>
      <c r="BH1765">
        <v>0</v>
      </c>
      <c r="BI1765">
        <v>0</v>
      </c>
      <c r="BJ1765">
        <v>4200</v>
      </c>
      <c r="BK1765">
        <v>0</v>
      </c>
      <c r="BL1765" t="s">
        <v>188</v>
      </c>
      <c r="BM1765">
        <v>1</v>
      </c>
      <c r="BN1765">
        <v>1</v>
      </c>
      <c r="BO1765">
        <v>0</v>
      </c>
      <c r="BP1765">
        <v>0</v>
      </c>
      <c r="BS1765">
        <v>0</v>
      </c>
      <c r="BT1765">
        <v>0</v>
      </c>
      <c r="BU1765">
        <v>0</v>
      </c>
      <c r="CE1765" t="str">
        <f t="shared" si="699"/>
        <v>15:09:25.317</v>
      </c>
      <c r="CF1765">
        <v>317121597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133</v>
      </c>
      <c r="DA1765">
        <v>273</v>
      </c>
      <c r="DB1765">
        <v>0</v>
      </c>
      <c r="DC1765" t="s">
        <v>292</v>
      </c>
      <c r="DD1765" t="s">
        <v>293</v>
      </c>
      <c r="DG1765">
        <v>4862724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"05/01/2025 15:09:26.459"</f>
        <v>05/01/2025 15:09:26.459</v>
      </c>
      <c r="C1766" t="str">
        <f t="shared" si="684"/>
        <v>FFDFD3C0</v>
      </c>
      <c r="D1766" t="s">
        <v>140</v>
      </c>
      <c r="E1766" t="str">
        <f>"13"</f>
        <v>13</v>
      </c>
      <c r="F1766">
        <v>1019</v>
      </c>
      <c r="G1766" t="s">
        <v>141</v>
      </c>
      <c r="J1766" t="s">
        <v>142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R1766" t="s">
        <v>127</v>
      </c>
      <c r="S1766" t="str">
        <f t="shared" ref="S1766:T1771" si="700">"15:09:26.000"</f>
        <v>15:09:26.000</v>
      </c>
      <c r="T1766" t="str">
        <f t="shared" si="700"/>
        <v>15:09:26.000</v>
      </c>
      <c r="U1766" t="str">
        <f t="shared" si="686"/>
        <v>A68FCB</v>
      </c>
      <c r="V1766">
        <v>0</v>
      </c>
      <c r="W1766">
        <v>0</v>
      </c>
      <c r="X1766">
        <v>2</v>
      </c>
      <c r="Y1766">
        <v>0</v>
      </c>
      <c r="AA1766">
        <v>1</v>
      </c>
      <c r="AB1766">
        <v>8</v>
      </c>
      <c r="AC1766">
        <v>3</v>
      </c>
      <c r="AD1766">
        <v>0</v>
      </c>
      <c r="AE1766">
        <v>9</v>
      </c>
      <c r="AF1766" t="s">
        <v>138</v>
      </c>
      <c r="AG1766">
        <v>0</v>
      </c>
      <c r="AH1766">
        <v>3</v>
      </c>
      <c r="AI1766">
        <v>2</v>
      </c>
      <c r="AJ1766">
        <v>0</v>
      </c>
      <c r="AK1766" t="s">
        <v>636</v>
      </c>
      <c r="AL1766">
        <v>39.034359000000002</v>
      </c>
      <c r="AM1766" t="s">
        <v>637</v>
      </c>
      <c r="AN1766">
        <v>-121.045389</v>
      </c>
      <c r="AO1766">
        <v>25</v>
      </c>
      <c r="AP1766">
        <v>4200</v>
      </c>
      <c r="AQ1766" t="s">
        <v>131</v>
      </c>
      <c r="AR1766">
        <v>15</v>
      </c>
      <c r="AS1766">
        <v>80</v>
      </c>
      <c r="AT1766">
        <v>448</v>
      </c>
      <c r="BB1766" t="str">
        <f t="shared" si="687"/>
        <v>1200</v>
      </c>
      <c r="BC1766">
        <v>1</v>
      </c>
      <c r="BD1766" t="str">
        <f t="shared" si="688"/>
        <v xml:space="preserve">N52156  </v>
      </c>
      <c r="BE1766">
        <v>1</v>
      </c>
      <c r="BG1766">
        <v>0</v>
      </c>
      <c r="BH1766">
        <v>0</v>
      </c>
      <c r="BI1766">
        <v>0</v>
      </c>
      <c r="BJ1766">
        <v>4200</v>
      </c>
      <c r="BK1766">
        <v>0</v>
      </c>
      <c r="BL1766" t="s">
        <v>188</v>
      </c>
      <c r="BM1766">
        <v>1</v>
      </c>
      <c r="BN1766">
        <v>1</v>
      </c>
      <c r="BO1766">
        <v>0</v>
      </c>
      <c r="BP1766">
        <v>0</v>
      </c>
      <c r="BS1766">
        <v>0</v>
      </c>
      <c r="BT1766">
        <v>0</v>
      </c>
      <c r="BU1766">
        <v>0</v>
      </c>
      <c r="CE1766" t="str">
        <f t="shared" ref="CE1766:CE1771" si="701">"15:09:26.244"</f>
        <v>15:09:26.244</v>
      </c>
      <c r="CF1766">
        <v>244210015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133</v>
      </c>
      <c r="DA1766">
        <v>275</v>
      </c>
      <c r="DB1766">
        <v>0</v>
      </c>
      <c r="DC1766" t="s">
        <v>134</v>
      </c>
      <c r="DD1766" t="s">
        <v>135</v>
      </c>
      <c r="DG1766">
        <v>3320836</v>
      </c>
      <c r="DI1766">
        <v>1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"05/01/2025 15:09:26.468"</f>
        <v>05/01/2025 15:09:26.468</v>
      </c>
      <c r="C1767" t="str">
        <f t="shared" si="684"/>
        <v>FFDFD3C0</v>
      </c>
      <c r="D1767" t="s">
        <v>145</v>
      </c>
      <c r="E1767" t="str">
        <f>"05"</f>
        <v>05</v>
      </c>
      <c r="H1767">
        <v>47</v>
      </c>
      <c r="I1767" t="s">
        <v>146</v>
      </c>
      <c r="J1767" t="s">
        <v>138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R1767" t="s">
        <v>127</v>
      </c>
      <c r="S1767" t="str">
        <f t="shared" si="700"/>
        <v>15:09:26.000</v>
      </c>
      <c r="T1767" t="str">
        <f t="shared" si="700"/>
        <v>15:09:26.000</v>
      </c>
      <c r="U1767" t="str">
        <f t="shared" si="686"/>
        <v>A68FCB</v>
      </c>
      <c r="V1767">
        <v>0</v>
      </c>
      <c r="W1767">
        <v>0</v>
      </c>
      <c r="X1767">
        <v>2</v>
      </c>
      <c r="Y1767">
        <v>0</v>
      </c>
      <c r="AA1767">
        <v>1</v>
      </c>
      <c r="AB1767">
        <v>8</v>
      </c>
      <c r="AC1767">
        <v>3</v>
      </c>
      <c r="AD1767">
        <v>0</v>
      </c>
      <c r="AE1767">
        <v>9</v>
      </c>
      <c r="AF1767" t="s">
        <v>138</v>
      </c>
      <c r="AG1767">
        <v>0</v>
      </c>
      <c r="AH1767">
        <v>3</v>
      </c>
      <c r="AI1767">
        <v>2</v>
      </c>
      <c r="AJ1767">
        <v>0</v>
      </c>
      <c r="AK1767" t="s">
        <v>636</v>
      </c>
      <c r="AL1767">
        <v>39.034359000000002</v>
      </c>
      <c r="AM1767" t="s">
        <v>637</v>
      </c>
      <c r="AN1767">
        <v>-121.045389</v>
      </c>
      <c r="AO1767">
        <v>25</v>
      </c>
      <c r="AP1767">
        <v>4200</v>
      </c>
      <c r="AQ1767" t="s">
        <v>131</v>
      </c>
      <c r="AR1767">
        <v>15</v>
      </c>
      <c r="AS1767">
        <v>80</v>
      </c>
      <c r="AT1767">
        <v>448</v>
      </c>
      <c r="BB1767" t="str">
        <f t="shared" si="687"/>
        <v>1200</v>
      </c>
      <c r="BC1767">
        <v>1</v>
      </c>
      <c r="BD1767" t="str">
        <f t="shared" si="688"/>
        <v xml:space="preserve">N52156  </v>
      </c>
      <c r="BE1767">
        <v>1</v>
      </c>
      <c r="BG1767">
        <v>0</v>
      </c>
      <c r="BH1767">
        <v>0</v>
      </c>
      <c r="BI1767">
        <v>0</v>
      </c>
      <c r="BJ1767">
        <v>4200</v>
      </c>
      <c r="BK1767">
        <v>0</v>
      </c>
      <c r="BL1767" t="s">
        <v>188</v>
      </c>
      <c r="BM1767">
        <v>1</v>
      </c>
      <c r="BN1767">
        <v>1</v>
      </c>
      <c r="BO1767">
        <v>0</v>
      </c>
      <c r="BP1767">
        <v>0</v>
      </c>
      <c r="BS1767">
        <v>0</v>
      </c>
      <c r="BT1767">
        <v>0</v>
      </c>
      <c r="BU1767">
        <v>0</v>
      </c>
      <c r="CE1767" t="str">
        <f t="shared" si="701"/>
        <v>15:09:26.244</v>
      </c>
      <c r="CF1767">
        <v>244210015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133</v>
      </c>
      <c r="DA1767">
        <v>275</v>
      </c>
      <c r="DB1767">
        <v>0</v>
      </c>
      <c r="DC1767" t="s">
        <v>134</v>
      </c>
      <c r="DD1767" t="s">
        <v>135</v>
      </c>
      <c r="DG1767">
        <v>3320836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"05/01/2025 15:09:26.471"</f>
        <v>05/01/2025 15:09:26.471</v>
      </c>
      <c r="C1768" t="str">
        <f t="shared" si="684"/>
        <v>FFDFD3C0</v>
      </c>
      <c r="D1768" t="s">
        <v>124</v>
      </c>
      <c r="E1768" t="str">
        <f>"06"</f>
        <v>06</v>
      </c>
      <c r="F1768">
        <v>2006</v>
      </c>
      <c r="G1768" t="s">
        <v>125</v>
      </c>
      <c r="J1768" t="s">
        <v>126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R1768" t="s">
        <v>127</v>
      </c>
      <c r="S1768" t="str">
        <f t="shared" si="700"/>
        <v>15:09:26.000</v>
      </c>
      <c r="T1768" t="str">
        <f t="shared" si="700"/>
        <v>15:09:26.000</v>
      </c>
      <c r="U1768" t="str">
        <f t="shared" si="686"/>
        <v>A68FCB</v>
      </c>
      <c r="V1768">
        <v>0</v>
      </c>
      <c r="W1768">
        <v>0</v>
      </c>
      <c r="X1768">
        <v>2</v>
      </c>
      <c r="Y1768">
        <v>0</v>
      </c>
      <c r="AA1768">
        <v>1</v>
      </c>
      <c r="AB1768">
        <v>8</v>
      </c>
      <c r="AC1768">
        <v>3</v>
      </c>
      <c r="AD1768">
        <v>0</v>
      </c>
      <c r="AE1768">
        <v>9</v>
      </c>
      <c r="AF1768" t="s">
        <v>138</v>
      </c>
      <c r="AG1768">
        <v>0</v>
      </c>
      <c r="AH1768">
        <v>3</v>
      </c>
      <c r="AI1768">
        <v>2</v>
      </c>
      <c r="AJ1768">
        <v>0</v>
      </c>
      <c r="AK1768" t="s">
        <v>636</v>
      </c>
      <c r="AL1768">
        <v>39.034359000000002</v>
      </c>
      <c r="AM1768" t="s">
        <v>637</v>
      </c>
      <c r="AN1768">
        <v>-121.045389</v>
      </c>
      <c r="AO1768">
        <v>25</v>
      </c>
      <c r="AP1768">
        <v>4200</v>
      </c>
      <c r="AQ1768" t="s">
        <v>131</v>
      </c>
      <c r="AR1768">
        <v>15</v>
      </c>
      <c r="AS1768">
        <v>80</v>
      </c>
      <c r="AT1768">
        <v>448</v>
      </c>
      <c r="BB1768" t="str">
        <f t="shared" si="687"/>
        <v>1200</v>
      </c>
      <c r="BC1768">
        <v>1</v>
      </c>
      <c r="BD1768" t="str">
        <f t="shared" si="688"/>
        <v xml:space="preserve">N52156  </v>
      </c>
      <c r="BE1768">
        <v>1</v>
      </c>
      <c r="BG1768">
        <v>0</v>
      </c>
      <c r="BH1768">
        <v>0</v>
      </c>
      <c r="BI1768">
        <v>0</v>
      </c>
      <c r="BJ1768">
        <v>4200</v>
      </c>
      <c r="BK1768">
        <v>0</v>
      </c>
      <c r="BL1768" t="s">
        <v>188</v>
      </c>
      <c r="BM1768">
        <v>1</v>
      </c>
      <c r="BN1768">
        <v>1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 t="shared" si="701"/>
        <v>15:09:26.244</v>
      </c>
      <c r="CF1768">
        <v>244210015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133</v>
      </c>
      <c r="DA1768">
        <v>275</v>
      </c>
      <c r="DB1768">
        <v>0</v>
      </c>
      <c r="DC1768" t="s">
        <v>134</v>
      </c>
      <c r="DD1768" t="s">
        <v>135</v>
      </c>
      <c r="DG1768">
        <v>3320836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"05/01/2025 15:09:26.471"</f>
        <v>05/01/2025 15:09:26.471</v>
      </c>
      <c r="C1769" t="str">
        <f t="shared" si="684"/>
        <v>FFDFD3C0</v>
      </c>
      <c r="D1769" t="s">
        <v>145</v>
      </c>
      <c r="E1769" t="str">
        <f>"09"</f>
        <v>09</v>
      </c>
      <c r="H1769">
        <v>51</v>
      </c>
      <c r="I1769" t="s">
        <v>147</v>
      </c>
      <c r="J1769" t="s">
        <v>138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R1769" t="s">
        <v>127</v>
      </c>
      <c r="S1769" t="str">
        <f t="shared" si="700"/>
        <v>15:09:26.000</v>
      </c>
      <c r="T1769" t="str">
        <f t="shared" si="700"/>
        <v>15:09:26.000</v>
      </c>
      <c r="U1769" t="str">
        <f t="shared" si="686"/>
        <v>A68FCB</v>
      </c>
      <c r="V1769">
        <v>0</v>
      </c>
      <c r="W1769">
        <v>0</v>
      </c>
      <c r="X1769">
        <v>2</v>
      </c>
      <c r="Y1769">
        <v>0</v>
      </c>
      <c r="AA1769">
        <v>1</v>
      </c>
      <c r="AB1769">
        <v>8</v>
      </c>
      <c r="AC1769">
        <v>3</v>
      </c>
      <c r="AD1769">
        <v>0</v>
      </c>
      <c r="AE1769">
        <v>9</v>
      </c>
      <c r="AF1769" t="s">
        <v>138</v>
      </c>
      <c r="AG1769">
        <v>0</v>
      </c>
      <c r="AH1769">
        <v>3</v>
      </c>
      <c r="AI1769">
        <v>2</v>
      </c>
      <c r="AJ1769">
        <v>0</v>
      </c>
      <c r="AK1769" t="s">
        <v>636</v>
      </c>
      <c r="AL1769">
        <v>39.034359000000002</v>
      </c>
      <c r="AM1769" t="s">
        <v>637</v>
      </c>
      <c r="AN1769">
        <v>-121.045389</v>
      </c>
      <c r="AO1769">
        <v>25</v>
      </c>
      <c r="AP1769">
        <v>4200</v>
      </c>
      <c r="AQ1769" t="s">
        <v>131</v>
      </c>
      <c r="AR1769">
        <v>15</v>
      </c>
      <c r="AS1769">
        <v>80</v>
      </c>
      <c r="AT1769">
        <v>448</v>
      </c>
      <c r="BB1769" t="str">
        <f t="shared" si="687"/>
        <v>1200</v>
      </c>
      <c r="BC1769">
        <v>1</v>
      </c>
      <c r="BD1769" t="str">
        <f t="shared" si="688"/>
        <v xml:space="preserve">N52156  </v>
      </c>
      <c r="BE1769">
        <v>1</v>
      </c>
      <c r="BG1769">
        <v>0</v>
      </c>
      <c r="BH1769">
        <v>0</v>
      </c>
      <c r="BI1769">
        <v>0</v>
      </c>
      <c r="BJ1769">
        <v>4200</v>
      </c>
      <c r="BK1769">
        <v>0</v>
      </c>
      <c r="BL1769" t="s">
        <v>188</v>
      </c>
      <c r="BM1769">
        <v>1</v>
      </c>
      <c r="BN1769">
        <v>1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 t="shared" si="701"/>
        <v>15:09:26.244</v>
      </c>
      <c r="CF1769">
        <v>244210015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5</v>
      </c>
      <c r="CY1769">
        <v>7</v>
      </c>
      <c r="CZ1769" t="s">
        <v>133</v>
      </c>
      <c r="DA1769">
        <v>275</v>
      </c>
      <c r="DB1769">
        <v>0</v>
      </c>
      <c r="DC1769" t="s">
        <v>134</v>
      </c>
      <c r="DD1769" t="s">
        <v>135</v>
      </c>
      <c r="DG1769">
        <v>3320836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"05/01/2025 15:09:26.476"</f>
        <v>05/01/2025 15:09:26.476</v>
      </c>
      <c r="C1770" t="str">
        <f t="shared" si="684"/>
        <v>FFDFD3C0</v>
      </c>
      <c r="D1770" t="s">
        <v>143</v>
      </c>
      <c r="E1770" t="str">
        <f>"05"</f>
        <v>05</v>
      </c>
      <c r="H1770">
        <v>172</v>
      </c>
      <c r="I1770" t="s">
        <v>141</v>
      </c>
      <c r="J1770" t="s">
        <v>144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R1770" t="s">
        <v>127</v>
      </c>
      <c r="S1770" t="str">
        <f t="shared" si="700"/>
        <v>15:09:26.000</v>
      </c>
      <c r="T1770" t="str">
        <f t="shared" si="700"/>
        <v>15:09:26.000</v>
      </c>
      <c r="U1770" t="str">
        <f t="shared" si="686"/>
        <v>A68FCB</v>
      </c>
      <c r="V1770">
        <v>0</v>
      </c>
      <c r="W1770">
        <v>0</v>
      </c>
      <c r="X1770">
        <v>2</v>
      </c>
      <c r="Y1770">
        <v>0</v>
      </c>
      <c r="AA1770">
        <v>1</v>
      </c>
      <c r="AB1770">
        <v>8</v>
      </c>
      <c r="AC1770">
        <v>3</v>
      </c>
      <c r="AD1770">
        <v>0</v>
      </c>
      <c r="AE1770">
        <v>9</v>
      </c>
      <c r="AF1770" t="s">
        <v>138</v>
      </c>
      <c r="AG1770">
        <v>0</v>
      </c>
      <c r="AH1770">
        <v>3</v>
      </c>
      <c r="AI1770">
        <v>2</v>
      </c>
      <c r="AJ1770">
        <v>0</v>
      </c>
      <c r="AK1770" t="s">
        <v>636</v>
      </c>
      <c r="AL1770">
        <v>39.034359000000002</v>
      </c>
      <c r="AM1770" t="s">
        <v>637</v>
      </c>
      <c r="AN1770">
        <v>-121.045389</v>
      </c>
      <c r="AO1770">
        <v>25</v>
      </c>
      <c r="AP1770">
        <v>4200</v>
      </c>
      <c r="AQ1770" t="s">
        <v>131</v>
      </c>
      <c r="AR1770">
        <v>15</v>
      </c>
      <c r="AS1770">
        <v>80</v>
      </c>
      <c r="AT1770">
        <v>448</v>
      </c>
      <c r="BB1770" t="str">
        <f t="shared" si="687"/>
        <v>1200</v>
      </c>
      <c r="BC1770">
        <v>1</v>
      </c>
      <c r="BD1770" t="str">
        <f t="shared" si="688"/>
        <v xml:space="preserve">N52156  </v>
      </c>
      <c r="BE1770">
        <v>1</v>
      </c>
      <c r="BG1770">
        <v>0</v>
      </c>
      <c r="BH1770">
        <v>0</v>
      </c>
      <c r="BI1770">
        <v>0</v>
      </c>
      <c r="BJ1770">
        <v>4200</v>
      </c>
      <c r="BK1770">
        <v>0</v>
      </c>
      <c r="BL1770" t="s">
        <v>188</v>
      </c>
      <c r="BM1770">
        <v>1</v>
      </c>
      <c r="BN1770">
        <v>1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 t="shared" si="701"/>
        <v>15:09:26.244</v>
      </c>
      <c r="CF1770">
        <v>244210015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5</v>
      </c>
      <c r="CY1770">
        <v>7</v>
      </c>
      <c r="CZ1770" t="s">
        <v>133</v>
      </c>
      <c r="DA1770">
        <v>275</v>
      </c>
      <c r="DB1770">
        <v>0</v>
      </c>
      <c r="DC1770" t="s">
        <v>134</v>
      </c>
      <c r="DD1770" t="s">
        <v>135</v>
      </c>
      <c r="DG1770">
        <v>3320836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"05/01/2025 15:09:26.481"</f>
        <v>05/01/2025 15:09:26.481</v>
      </c>
      <c r="C1771" t="str">
        <f t="shared" si="684"/>
        <v>FFDFD3C0</v>
      </c>
      <c r="D1771" t="s">
        <v>136</v>
      </c>
      <c r="E1771" t="str">
        <f>"20"</f>
        <v>20</v>
      </c>
      <c r="H1771">
        <v>400</v>
      </c>
      <c r="I1771" t="s">
        <v>137</v>
      </c>
      <c r="J1771" t="s">
        <v>138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R1771" t="s">
        <v>127</v>
      </c>
      <c r="S1771" t="str">
        <f t="shared" si="700"/>
        <v>15:09:26.000</v>
      </c>
      <c r="T1771" t="str">
        <f t="shared" si="700"/>
        <v>15:09:26.000</v>
      </c>
      <c r="U1771" t="str">
        <f t="shared" si="686"/>
        <v>A68FCB</v>
      </c>
      <c r="V1771">
        <v>0</v>
      </c>
      <c r="W1771">
        <v>0</v>
      </c>
      <c r="X1771">
        <v>2</v>
      </c>
      <c r="Y1771">
        <v>0</v>
      </c>
      <c r="AA1771">
        <v>1</v>
      </c>
      <c r="AB1771">
        <v>8</v>
      </c>
      <c r="AC1771">
        <v>3</v>
      </c>
      <c r="AD1771">
        <v>0</v>
      </c>
      <c r="AE1771">
        <v>9</v>
      </c>
      <c r="AF1771" t="s">
        <v>138</v>
      </c>
      <c r="AG1771">
        <v>0</v>
      </c>
      <c r="AH1771">
        <v>3</v>
      </c>
      <c r="AI1771">
        <v>2</v>
      </c>
      <c r="AJ1771">
        <v>0</v>
      </c>
      <c r="AK1771" t="s">
        <v>636</v>
      </c>
      <c r="AL1771">
        <v>39.034359000000002</v>
      </c>
      <c r="AM1771" t="s">
        <v>637</v>
      </c>
      <c r="AN1771">
        <v>-121.045389</v>
      </c>
      <c r="AO1771">
        <v>25</v>
      </c>
      <c r="AP1771">
        <v>4200</v>
      </c>
      <c r="AQ1771" t="s">
        <v>131</v>
      </c>
      <c r="AR1771">
        <v>15</v>
      </c>
      <c r="AS1771">
        <v>80</v>
      </c>
      <c r="AT1771">
        <v>448</v>
      </c>
      <c r="BB1771" t="str">
        <f t="shared" si="687"/>
        <v>1200</v>
      </c>
      <c r="BC1771">
        <v>1</v>
      </c>
      <c r="BD1771" t="str">
        <f t="shared" si="688"/>
        <v xml:space="preserve">N52156  </v>
      </c>
      <c r="BE1771">
        <v>1</v>
      </c>
      <c r="BG1771">
        <v>0</v>
      </c>
      <c r="BH1771">
        <v>0</v>
      </c>
      <c r="BI1771">
        <v>0</v>
      </c>
      <c r="BJ1771">
        <v>4200</v>
      </c>
      <c r="BK1771">
        <v>0</v>
      </c>
      <c r="BL1771" t="s">
        <v>188</v>
      </c>
      <c r="BM1771">
        <v>1</v>
      </c>
      <c r="BN1771">
        <v>1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 t="shared" si="701"/>
        <v>15:09:26.244</v>
      </c>
      <c r="CF1771">
        <v>244210015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133</v>
      </c>
      <c r="DA1771">
        <v>275</v>
      </c>
      <c r="DB1771">
        <v>0</v>
      </c>
      <c r="DC1771" t="s">
        <v>134</v>
      </c>
      <c r="DD1771" t="s">
        <v>135</v>
      </c>
      <c r="DG1771">
        <v>3320836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"05/01/2025 15:09:27.461"</f>
        <v>05/01/2025 15:09:27.461</v>
      </c>
      <c r="C1772" t="str">
        <f t="shared" si="684"/>
        <v>FFDFD3C0</v>
      </c>
      <c r="D1772" t="s">
        <v>140</v>
      </c>
      <c r="E1772" t="str">
        <f>"13"</f>
        <v>13</v>
      </c>
      <c r="F1772">
        <v>1019</v>
      </c>
      <c r="G1772" t="s">
        <v>141</v>
      </c>
      <c r="J1772" t="s">
        <v>142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R1772" t="s">
        <v>127</v>
      </c>
      <c r="S1772" t="str">
        <f t="shared" ref="S1772:T1777" si="702">"15:09:27.000"</f>
        <v>15:09:27.000</v>
      </c>
      <c r="T1772" t="str">
        <f t="shared" si="702"/>
        <v>15:09:27.000</v>
      </c>
      <c r="U1772" t="str">
        <f t="shared" si="686"/>
        <v>A68FCB</v>
      </c>
      <c r="V1772">
        <v>0</v>
      </c>
      <c r="W1772">
        <v>0</v>
      </c>
      <c r="X1772">
        <v>2</v>
      </c>
      <c r="Y1772">
        <v>0</v>
      </c>
      <c r="AA1772">
        <v>1</v>
      </c>
      <c r="AB1772">
        <v>8</v>
      </c>
      <c r="AC1772">
        <v>3</v>
      </c>
      <c r="AD1772">
        <v>0</v>
      </c>
      <c r="AE1772">
        <v>9</v>
      </c>
      <c r="AF1772" t="s">
        <v>138</v>
      </c>
      <c r="AG1772">
        <v>0</v>
      </c>
      <c r="AH1772">
        <v>3</v>
      </c>
      <c r="AI1772">
        <v>2</v>
      </c>
      <c r="AJ1772">
        <v>0</v>
      </c>
      <c r="AK1772" t="s">
        <v>638</v>
      </c>
      <c r="AL1772">
        <v>39.034745999999998</v>
      </c>
      <c r="AM1772" t="s">
        <v>639</v>
      </c>
      <c r="AN1772">
        <v>-121.045303</v>
      </c>
      <c r="AO1772">
        <v>25</v>
      </c>
      <c r="AP1772">
        <v>4200</v>
      </c>
      <c r="AQ1772" t="s">
        <v>131</v>
      </c>
      <c r="AR1772">
        <v>16</v>
      </c>
      <c r="AS1772">
        <v>79</v>
      </c>
      <c r="AT1772">
        <v>512</v>
      </c>
      <c r="BB1772" t="str">
        <f t="shared" si="687"/>
        <v>1200</v>
      </c>
      <c r="BC1772">
        <v>1</v>
      </c>
      <c r="BD1772" t="str">
        <f t="shared" si="688"/>
        <v xml:space="preserve">N52156  </v>
      </c>
      <c r="BE1772">
        <v>1</v>
      </c>
      <c r="BG1772">
        <v>0</v>
      </c>
      <c r="BH1772">
        <v>0</v>
      </c>
      <c r="BI1772">
        <v>0</v>
      </c>
      <c r="BJ1772">
        <v>4225</v>
      </c>
      <c r="BK1772">
        <v>25</v>
      </c>
      <c r="BL1772" t="s">
        <v>188</v>
      </c>
      <c r="BM1772">
        <v>1</v>
      </c>
      <c r="BN1772">
        <v>1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 t="shared" ref="CE1772:CE1777" si="703">"15:09:27.236"</f>
        <v>15:09:27.236</v>
      </c>
      <c r="CF1772">
        <v>236371253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5</v>
      </c>
      <c r="CY1772">
        <v>7</v>
      </c>
      <c r="CZ1772" t="s">
        <v>133</v>
      </c>
      <c r="DA1772">
        <v>273</v>
      </c>
      <c r="DB1772">
        <v>0</v>
      </c>
      <c r="DC1772" t="s">
        <v>292</v>
      </c>
      <c r="DD1772" t="s">
        <v>293</v>
      </c>
      <c r="DG1772">
        <v>4862743</v>
      </c>
      <c r="DI1772">
        <v>1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"05/01/2025 15:09:27.470"</f>
        <v>05/01/2025 15:09:27.470</v>
      </c>
      <c r="C1773" t="str">
        <f t="shared" si="684"/>
        <v>FFDFD3C0</v>
      </c>
      <c r="D1773" t="s">
        <v>145</v>
      </c>
      <c r="E1773" t="str">
        <f>"05"</f>
        <v>05</v>
      </c>
      <c r="H1773">
        <v>47</v>
      </c>
      <c r="I1773" t="s">
        <v>146</v>
      </c>
      <c r="J1773" t="s">
        <v>138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R1773" t="s">
        <v>127</v>
      </c>
      <c r="S1773" t="str">
        <f t="shared" si="702"/>
        <v>15:09:27.000</v>
      </c>
      <c r="T1773" t="str">
        <f t="shared" si="702"/>
        <v>15:09:27.000</v>
      </c>
      <c r="U1773" t="str">
        <f t="shared" si="686"/>
        <v>A68FCB</v>
      </c>
      <c r="V1773">
        <v>0</v>
      </c>
      <c r="W1773">
        <v>0</v>
      </c>
      <c r="X1773">
        <v>2</v>
      </c>
      <c r="Y1773">
        <v>0</v>
      </c>
      <c r="AA1773">
        <v>1</v>
      </c>
      <c r="AB1773">
        <v>8</v>
      </c>
      <c r="AC1773">
        <v>3</v>
      </c>
      <c r="AD1773">
        <v>0</v>
      </c>
      <c r="AE1773">
        <v>9</v>
      </c>
      <c r="AF1773" t="s">
        <v>138</v>
      </c>
      <c r="AG1773">
        <v>0</v>
      </c>
      <c r="AH1773">
        <v>3</v>
      </c>
      <c r="AI1773">
        <v>2</v>
      </c>
      <c r="AJ1773">
        <v>0</v>
      </c>
      <c r="AK1773" t="s">
        <v>638</v>
      </c>
      <c r="AL1773">
        <v>39.034745999999998</v>
      </c>
      <c r="AM1773" t="s">
        <v>639</v>
      </c>
      <c r="AN1773">
        <v>-121.045303</v>
      </c>
      <c r="AO1773">
        <v>25</v>
      </c>
      <c r="AP1773">
        <v>4200</v>
      </c>
      <c r="AQ1773" t="s">
        <v>131</v>
      </c>
      <c r="AR1773">
        <v>16</v>
      </c>
      <c r="AS1773">
        <v>79</v>
      </c>
      <c r="AT1773">
        <v>512</v>
      </c>
      <c r="BB1773" t="str">
        <f t="shared" si="687"/>
        <v>1200</v>
      </c>
      <c r="BC1773">
        <v>1</v>
      </c>
      <c r="BD1773" t="str">
        <f t="shared" si="688"/>
        <v xml:space="preserve">N52156  </v>
      </c>
      <c r="BE1773">
        <v>1</v>
      </c>
      <c r="BG1773">
        <v>0</v>
      </c>
      <c r="BH1773">
        <v>0</v>
      </c>
      <c r="BI1773">
        <v>0</v>
      </c>
      <c r="BJ1773">
        <v>4225</v>
      </c>
      <c r="BK1773">
        <v>25</v>
      </c>
      <c r="BL1773" t="s">
        <v>188</v>
      </c>
      <c r="BM1773">
        <v>1</v>
      </c>
      <c r="BN1773">
        <v>1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 t="shared" si="703"/>
        <v>15:09:27.236</v>
      </c>
      <c r="CF1773">
        <v>236371253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5</v>
      </c>
      <c r="CY1773">
        <v>7</v>
      </c>
      <c r="CZ1773" t="s">
        <v>133</v>
      </c>
      <c r="DA1773">
        <v>273</v>
      </c>
      <c r="DB1773">
        <v>0</v>
      </c>
      <c r="DC1773" t="s">
        <v>292</v>
      </c>
      <c r="DD1773" t="s">
        <v>293</v>
      </c>
      <c r="DG1773">
        <v>4862743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"05/01/2025 15:09:27.472"</f>
        <v>05/01/2025 15:09:27.472</v>
      </c>
      <c r="C1774" t="str">
        <f t="shared" si="684"/>
        <v>FFDFD3C0</v>
      </c>
      <c r="D1774" t="s">
        <v>124</v>
      </c>
      <c r="E1774" t="str">
        <f>"06"</f>
        <v>06</v>
      </c>
      <c r="F1774">
        <v>2006</v>
      </c>
      <c r="G1774" t="s">
        <v>125</v>
      </c>
      <c r="J1774" t="s">
        <v>126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R1774" t="s">
        <v>127</v>
      </c>
      <c r="S1774" t="str">
        <f t="shared" si="702"/>
        <v>15:09:27.000</v>
      </c>
      <c r="T1774" t="str">
        <f t="shared" si="702"/>
        <v>15:09:27.000</v>
      </c>
      <c r="U1774" t="str">
        <f t="shared" si="686"/>
        <v>A68FCB</v>
      </c>
      <c r="V1774">
        <v>0</v>
      </c>
      <c r="W1774">
        <v>0</v>
      </c>
      <c r="X1774">
        <v>2</v>
      </c>
      <c r="Y1774">
        <v>0</v>
      </c>
      <c r="AA1774">
        <v>1</v>
      </c>
      <c r="AB1774">
        <v>8</v>
      </c>
      <c r="AC1774">
        <v>3</v>
      </c>
      <c r="AD1774">
        <v>0</v>
      </c>
      <c r="AE1774">
        <v>9</v>
      </c>
      <c r="AF1774" t="s">
        <v>138</v>
      </c>
      <c r="AG1774">
        <v>0</v>
      </c>
      <c r="AH1774">
        <v>3</v>
      </c>
      <c r="AI1774">
        <v>2</v>
      </c>
      <c r="AJ1774">
        <v>0</v>
      </c>
      <c r="AK1774" t="s">
        <v>638</v>
      </c>
      <c r="AL1774">
        <v>39.034745999999998</v>
      </c>
      <c r="AM1774" t="s">
        <v>639</v>
      </c>
      <c r="AN1774">
        <v>-121.045303</v>
      </c>
      <c r="AO1774">
        <v>25</v>
      </c>
      <c r="AP1774">
        <v>4200</v>
      </c>
      <c r="AQ1774" t="s">
        <v>131</v>
      </c>
      <c r="AR1774">
        <v>16</v>
      </c>
      <c r="AS1774">
        <v>79</v>
      </c>
      <c r="AT1774">
        <v>512</v>
      </c>
      <c r="BB1774" t="str">
        <f t="shared" si="687"/>
        <v>1200</v>
      </c>
      <c r="BC1774">
        <v>1</v>
      </c>
      <c r="BD1774" t="str">
        <f t="shared" si="688"/>
        <v xml:space="preserve">N52156  </v>
      </c>
      <c r="BE1774">
        <v>1</v>
      </c>
      <c r="BG1774">
        <v>0</v>
      </c>
      <c r="BH1774">
        <v>0</v>
      </c>
      <c r="BI1774">
        <v>0</v>
      </c>
      <c r="BJ1774">
        <v>4225</v>
      </c>
      <c r="BK1774">
        <v>25</v>
      </c>
      <c r="BL1774" t="s">
        <v>188</v>
      </c>
      <c r="BM1774">
        <v>1</v>
      </c>
      <c r="BN1774">
        <v>1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 t="shared" si="703"/>
        <v>15:09:27.236</v>
      </c>
      <c r="CF1774">
        <v>236371253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5</v>
      </c>
      <c r="CY1774">
        <v>7</v>
      </c>
      <c r="CZ1774" t="s">
        <v>133</v>
      </c>
      <c r="DA1774">
        <v>273</v>
      </c>
      <c r="DB1774">
        <v>0</v>
      </c>
      <c r="DC1774" t="s">
        <v>292</v>
      </c>
      <c r="DD1774" t="s">
        <v>293</v>
      </c>
      <c r="DG1774">
        <v>4862743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"05/01/2025 15:09:27.473"</f>
        <v>05/01/2025 15:09:27.473</v>
      </c>
      <c r="C1775" t="str">
        <f t="shared" si="684"/>
        <v>FFDFD3C0</v>
      </c>
      <c r="D1775" t="s">
        <v>145</v>
      </c>
      <c r="E1775" t="str">
        <f>"09"</f>
        <v>09</v>
      </c>
      <c r="H1775">
        <v>51</v>
      </c>
      <c r="I1775" t="s">
        <v>147</v>
      </c>
      <c r="J1775" t="s">
        <v>138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R1775" t="s">
        <v>127</v>
      </c>
      <c r="S1775" t="str">
        <f t="shared" si="702"/>
        <v>15:09:27.000</v>
      </c>
      <c r="T1775" t="str">
        <f t="shared" si="702"/>
        <v>15:09:27.000</v>
      </c>
      <c r="U1775" t="str">
        <f t="shared" si="686"/>
        <v>A68FCB</v>
      </c>
      <c r="V1775">
        <v>0</v>
      </c>
      <c r="W1775">
        <v>0</v>
      </c>
      <c r="X1775">
        <v>2</v>
      </c>
      <c r="Y1775">
        <v>0</v>
      </c>
      <c r="AA1775">
        <v>1</v>
      </c>
      <c r="AB1775">
        <v>8</v>
      </c>
      <c r="AC1775">
        <v>3</v>
      </c>
      <c r="AD1775">
        <v>0</v>
      </c>
      <c r="AE1775">
        <v>9</v>
      </c>
      <c r="AF1775" t="s">
        <v>138</v>
      </c>
      <c r="AG1775">
        <v>0</v>
      </c>
      <c r="AH1775">
        <v>3</v>
      </c>
      <c r="AI1775">
        <v>2</v>
      </c>
      <c r="AJ1775">
        <v>0</v>
      </c>
      <c r="AK1775" t="s">
        <v>638</v>
      </c>
      <c r="AL1775">
        <v>39.034745999999998</v>
      </c>
      <c r="AM1775" t="s">
        <v>639</v>
      </c>
      <c r="AN1775">
        <v>-121.045303</v>
      </c>
      <c r="AO1775">
        <v>25</v>
      </c>
      <c r="AP1775">
        <v>4200</v>
      </c>
      <c r="AQ1775" t="s">
        <v>131</v>
      </c>
      <c r="AR1775">
        <v>16</v>
      </c>
      <c r="AS1775">
        <v>79</v>
      </c>
      <c r="AT1775">
        <v>512</v>
      </c>
      <c r="BB1775" t="str">
        <f t="shared" si="687"/>
        <v>1200</v>
      </c>
      <c r="BC1775">
        <v>1</v>
      </c>
      <c r="BD1775" t="str">
        <f t="shared" si="688"/>
        <v xml:space="preserve">N52156  </v>
      </c>
      <c r="BE1775">
        <v>1</v>
      </c>
      <c r="BG1775">
        <v>0</v>
      </c>
      <c r="BH1775">
        <v>0</v>
      </c>
      <c r="BI1775">
        <v>0</v>
      </c>
      <c r="BJ1775">
        <v>4225</v>
      </c>
      <c r="BK1775">
        <v>25</v>
      </c>
      <c r="BL1775" t="s">
        <v>188</v>
      </c>
      <c r="BM1775">
        <v>1</v>
      </c>
      <c r="BN1775">
        <v>1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 t="shared" si="703"/>
        <v>15:09:27.236</v>
      </c>
      <c r="CF1775">
        <v>236371253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5</v>
      </c>
      <c r="CY1775">
        <v>7</v>
      </c>
      <c r="CZ1775" t="s">
        <v>133</v>
      </c>
      <c r="DA1775">
        <v>273</v>
      </c>
      <c r="DB1775">
        <v>0</v>
      </c>
      <c r="DC1775" t="s">
        <v>292</v>
      </c>
      <c r="DD1775" t="s">
        <v>293</v>
      </c>
      <c r="DG1775">
        <v>4862743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"05/01/2025 15:09:27.477"</f>
        <v>05/01/2025 15:09:27.477</v>
      </c>
      <c r="C1776" t="str">
        <f t="shared" si="684"/>
        <v>FFDFD3C0</v>
      </c>
      <c r="D1776" t="s">
        <v>143</v>
      </c>
      <c r="E1776" t="str">
        <f>"05"</f>
        <v>05</v>
      </c>
      <c r="H1776">
        <v>172</v>
      </c>
      <c r="I1776" t="s">
        <v>141</v>
      </c>
      <c r="J1776" t="s">
        <v>144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R1776" t="s">
        <v>127</v>
      </c>
      <c r="S1776" t="str">
        <f t="shared" si="702"/>
        <v>15:09:27.000</v>
      </c>
      <c r="T1776" t="str">
        <f t="shared" si="702"/>
        <v>15:09:27.000</v>
      </c>
      <c r="U1776" t="str">
        <f t="shared" si="686"/>
        <v>A68FCB</v>
      </c>
      <c r="V1776">
        <v>0</v>
      </c>
      <c r="W1776">
        <v>0</v>
      </c>
      <c r="X1776">
        <v>2</v>
      </c>
      <c r="Y1776">
        <v>0</v>
      </c>
      <c r="AA1776">
        <v>1</v>
      </c>
      <c r="AB1776">
        <v>8</v>
      </c>
      <c r="AC1776">
        <v>3</v>
      </c>
      <c r="AD1776">
        <v>0</v>
      </c>
      <c r="AE1776">
        <v>9</v>
      </c>
      <c r="AF1776" t="s">
        <v>138</v>
      </c>
      <c r="AG1776">
        <v>0</v>
      </c>
      <c r="AH1776">
        <v>3</v>
      </c>
      <c r="AI1776">
        <v>2</v>
      </c>
      <c r="AJ1776">
        <v>0</v>
      </c>
      <c r="AK1776" t="s">
        <v>638</v>
      </c>
      <c r="AL1776">
        <v>39.034745999999998</v>
      </c>
      <c r="AM1776" t="s">
        <v>639</v>
      </c>
      <c r="AN1776">
        <v>-121.045303</v>
      </c>
      <c r="AO1776">
        <v>25</v>
      </c>
      <c r="AP1776">
        <v>4200</v>
      </c>
      <c r="AQ1776" t="s">
        <v>131</v>
      </c>
      <c r="AR1776">
        <v>16</v>
      </c>
      <c r="AS1776">
        <v>79</v>
      </c>
      <c r="AT1776">
        <v>512</v>
      </c>
      <c r="BB1776" t="str">
        <f t="shared" si="687"/>
        <v>1200</v>
      </c>
      <c r="BC1776">
        <v>1</v>
      </c>
      <c r="BD1776" t="str">
        <f t="shared" si="688"/>
        <v xml:space="preserve">N52156  </v>
      </c>
      <c r="BE1776">
        <v>1</v>
      </c>
      <c r="BG1776">
        <v>0</v>
      </c>
      <c r="BH1776">
        <v>0</v>
      </c>
      <c r="BI1776">
        <v>0</v>
      </c>
      <c r="BJ1776">
        <v>4225</v>
      </c>
      <c r="BK1776">
        <v>25</v>
      </c>
      <c r="BL1776" t="s">
        <v>188</v>
      </c>
      <c r="BM1776">
        <v>1</v>
      </c>
      <c r="BN1776">
        <v>1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 t="shared" si="703"/>
        <v>15:09:27.236</v>
      </c>
      <c r="CF1776">
        <v>236371253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5</v>
      </c>
      <c r="CY1776">
        <v>7</v>
      </c>
      <c r="CZ1776" t="s">
        <v>133</v>
      </c>
      <c r="DA1776">
        <v>273</v>
      </c>
      <c r="DB1776">
        <v>0</v>
      </c>
      <c r="DC1776" t="s">
        <v>292</v>
      </c>
      <c r="DD1776" t="s">
        <v>293</v>
      </c>
      <c r="DG1776">
        <v>4862743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"05/01/2025 15:09:27.483"</f>
        <v>05/01/2025 15:09:27.483</v>
      </c>
      <c r="C1777" t="str">
        <f t="shared" si="684"/>
        <v>FFDFD3C0</v>
      </c>
      <c r="D1777" t="s">
        <v>136</v>
      </c>
      <c r="E1777" t="str">
        <f>"20"</f>
        <v>20</v>
      </c>
      <c r="H1777">
        <v>400</v>
      </c>
      <c r="I1777" t="s">
        <v>137</v>
      </c>
      <c r="J1777" t="s">
        <v>138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R1777" t="s">
        <v>127</v>
      </c>
      <c r="S1777" t="str">
        <f t="shared" si="702"/>
        <v>15:09:27.000</v>
      </c>
      <c r="T1777" t="str">
        <f t="shared" si="702"/>
        <v>15:09:27.000</v>
      </c>
      <c r="U1777" t="str">
        <f t="shared" si="686"/>
        <v>A68FCB</v>
      </c>
      <c r="V1777">
        <v>0</v>
      </c>
      <c r="W1777">
        <v>0</v>
      </c>
      <c r="X1777">
        <v>2</v>
      </c>
      <c r="Y1777">
        <v>0</v>
      </c>
      <c r="AA1777">
        <v>1</v>
      </c>
      <c r="AB1777">
        <v>8</v>
      </c>
      <c r="AC1777">
        <v>3</v>
      </c>
      <c r="AD1777">
        <v>0</v>
      </c>
      <c r="AE1777">
        <v>9</v>
      </c>
      <c r="AF1777" t="s">
        <v>138</v>
      </c>
      <c r="AG1777">
        <v>0</v>
      </c>
      <c r="AH1777">
        <v>3</v>
      </c>
      <c r="AI1777">
        <v>2</v>
      </c>
      <c r="AJ1777">
        <v>0</v>
      </c>
      <c r="AK1777" t="s">
        <v>638</v>
      </c>
      <c r="AL1777">
        <v>39.034745999999998</v>
      </c>
      <c r="AM1777" t="s">
        <v>639</v>
      </c>
      <c r="AN1777">
        <v>-121.045303</v>
      </c>
      <c r="AO1777">
        <v>25</v>
      </c>
      <c r="AP1777">
        <v>4200</v>
      </c>
      <c r="AQ1777" t="s">
        <v>131</v>
      </c>
      <c r="AR1777">
        <v>16</v>
      </c>
      <c r="AS1777">
        <v>79</v>
      </c>
      <c r="AT1777">
        <v>512</v>
      </c>
      <c r="BB1777" t="str">
        <f t="shared" si="687"/>
        <v>1200</v>
      </c>
      <c r="BC1777">
        <v>1</v>
      </c>
      <c r="BD1777" t="str">
        <f t="shared" si="688"/>
        <v xml:space="preserve">N52156  </v>
      </c>
      <c r="BE1777">
        <v>1</v>
      </c>
      <c r="BG1777">
        <v>0</v>
      </c>
      <c r="BH1777">
        <v>0</v>
      </c>
      <c r="BI1777">
        <v>0</v>
      </c>
      <c r="BJ1777">
        <v>4225</v>
      </c>
      <c r="BK1777">
        <v>25</v>
      </c>
      <c r="BL1777" t="s">
        <v>188</v>
      </c>
      <c r="BM1777">
        <v>1</v>
      </c>
      <c r="BN1777">
        <v>1</v>
      </c>
      <c r="BO1777">
        <v>0</v>
      </c>
      <c r="BP1777">
        <v>0</v>
      </c>
      <c r="BS1777">
        <v>0</v>
      </c>
      <c r="BT1777">
        <v>0</v>
      </c>
      <c r="BU1777">
        <v>0</v>
      </c>
      <c r="CE1777" t="str">
        <f t="shared" si="703"/>
        <v>15:09:27.236</v>
      </c>
      <c r="CF1777">
        <v>236371253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5</v>
      </c>
      <c r="CY1777">
        <v>7</v>
      </c>
      <c r="CZ1777" t="s">
        <v>133</v>
      </c>
      <c r="DA1777">
        <v>273</v>
      </c>
      <c r="DB1777">
        <v>0</v>
      </c>
      <c r="DC1777" t="s">
        <v>292</v>
      </c>
      <c r="DD1777" t="s">
        <v>293</v>
      </c>
      <c r="DG1777">
        <v>4862743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"05/01/2025 15:09:28.574"</f>
        <v>05/01/2025 15:09:28.574</v>
      </c>
      <c r="C1778" t="str">
        <f t="shared" si="684"/>
        <v>FFDFD3C0</v>
      </c>
      <c r="D1778" t="s">
        <v>124</v>
      </c>
      <c r="E1778" t="str">
        <f>"06"</f>
        <v>06</v>
      </c>
      <c r="F1778">
        <v>2006</v>
      </c>
      <c r="G1778" t="s">
        <v>125</v>
      </c>
      <c r="J1778" t="s">
        <v>126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R1778" t="s">
        <v>127</v>
      </c>
      <c r="S1778" t="str">
        <f t="shared" ref="S1778:T1783" si="704">"15:09:28.000"</f>
        <v>15:09:28.000</v>
      </c>
      <c r="T1778" t="str">
        <f t="shared" si="704"/>
        <v>15:09:28.000</v>
      </c>
      <c r="U1778" t="str">
        <f t="shared" si="686"/>
        <v>A68FCB</v>
      </c>
      <c r="V1778">
        <v>0</v>
      </c>
      <c r="W1778">
        <v>0</v>
      </c>
      <c r="X1778">
        <v>2</v>
      </c>
      <c r="Y1778">
        <v>0</v>
      </c>
      <c r="AA1778">
        <v>1</v>
      </c>
      <c r="AB1778">
        <v>8</v>
      </c>
      <c r="AC1778">
        <v>3</v>
      </c>
      <c r="AD1778">
        <v>0</v>
      </c>
      <c r="AE1778">
        <v>9</v>
      </c>
      <c r="AF1778" t="s">
        <v>138</v>
      </c>
      <c r="AG1778">
        <v>0</v>
      </c>
      <c r="AH1778">
        <v>3</v>
      </c>
      <c r="AI1778">
        <v>2</v>
      </c>
      <c r="AJ1778">
        <v>0</v>
      </c>
      <c r="AK1778" t="s">
        <v>640</v>
      </c>
      <c r="AL1778">
        <v>39.035110000000003</v>
      </c>
      <c r="AM1778" t="s">
        <v>641</v>
      </c>
      <c r="AN1778">
        <v>-121.04521800000001</v>
      </c>
      <c r="AO1778">
        <v>25</v>
      </c>
      <c r="AP1778">
        <v>4200</v>
      </c>
      <c r="AQ1778" t="s">
        <v>131</v>
      </c>
      <c r="AR1778">
        <v>17</v>
      </c>
      <c r="AS1778">
        <v>78</v>
      </c>
      <c r="AT1778">
        <v>512</v>
      </c>
      <c r="BB1778" t="str">
        <f t="shared" si="687"/>
        <v>1200</v>
      </c>
      <c r="BC1778">
        <v>1</v>
      </c>
      <c r="BD1778" t="str">
        <f t="shared" si="688"/>
        <v xml:space="preserve">N52156  </v>
      </c>
      <c r="BE1778">
        <v>1</v>
      </c>
      <c r="BG1778">
        <v>0</v>
      </c>
      <c r="BH1778">
        <v>0</v>
      </c>
      <c r="BI1778">
        <v>0</v>
      </c>
      <c r="BJ1778">
        <v>4225</v>
      </c>
      <c r="BK1778">
        <v>25</v>
      </c>
      <c r="BL1778" t="s">
        <v>188</v>
      </c>
      <c r="BM1778">
        <v>1</v>
      </c>
      <c r="BN1778">
        <v>1</v>
      </c>
      <c r="BO1778">
        <v>0</v>
      </c>
      <c r="BP1778">
        <v>0</v>
      </c>
      <c r="BS1778">
        <v>0</v>
      </c>
      <c r="BT1778">
        <v>0</v>
      </c>
      <c r="BU1778">
        <v>0</v>
      </c>
      <c r="CE1778" t="str">
        <f t="shared" ref="CE1778:CE1783" si="705">"15:09:28.372"</f>
        <v>15:09:28.372</v>
      </c>
      <c r="CF1778">
        <v>372210464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5</v>
      </c>
      <c r="CY1778">
        <v>7</v>
      </c>
      <c r="CZ1778" t="s">
        <v>133</v>
      </c>
      <c r="DA1778">
        <v>275</v>
      </c>
      <c r="DB1778">
        <v>0</v>
      </c>
      <c r="DC1778" t="s">
        <v>134</v>
      </c>
      <c r="DD1778" t="s">
        <v>135</v>
      </c>
      <c r="DG1778">
        <v>3320855</v>
      </c>
      <c r="DI1778">
        <v>1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"05/01/2025 15:09:28.572"</f>
        <v>05/01/2025 15:09:28.572</v>
      </c>
      <c r="C1779" t="str">
        <f t="shared" si="684"/>
        <v>FFDFD3C0</v>
      </c>
      <c r="D1779" t="s">
        <v>145</v>
      </c>
      <c r="E1779" t="str">
        <f>"05"</f>
        <v>05</v>
      </c>
      <c r="H1779">
        <v>47</v>
      </c>
      <c r="I1779" t="s">
        <v>146</v>
      </c>
      <c r="J1779" t="s">
        <v>138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R1779" t="s">
        <v>127</v>
      </c>
      <c r="S1779" t="str">
        <f t="shared" si="704"/>
        <v>15:09:28.000</v>
      </c>
      <c r="T1779" t="str">
        <f t="shared" si="704"/>
        <v>15:09:28.000</v>
      </c>
      <c r="U1779" t="str">
        <f t="shared" si="686"/>
        <v>A68FCB</v>
      </c>
      <c r="V1779">
        <v>0</v>
      </c>
      <c r="W1779">
        <v>0</v>
      </c>
      <c r="X1779">
        <v>2</v>
      </c>
      <c r="Y1779">
        <v>0</v>
      </c>
      <c r="AA1779">
        <v>1</v>
      </c>
      <c r="AB1779">
        <v>8</v>
      </c>
      <c r="AC1779">
        <v>3</v>
      </c>
      <c r="AD1779">
        <v>0</v>
      </c>
      <c r="AE1779">
        <v>9</v>
      </c>
      <c r="AF1779" t="s">
        <v>138</v>
      </c>
      <c r="AG1779">
        <v>0</v>
      </c>
      <c r="AH1779">
        <v>3</v>
      </c>
      <c r="AI1779">
        <v>2</v>
      </c>
      <c r="AJ1779">
        <v>0</v>
      </c>
      <c r="AK1779" t="s">
        <v>640</v>
      </c>
      <c r="AL1779">
        <v>39.035110000000003</v>
      </c>
      <c r="AM1779" t="s">
        <v>641</v>
      </c>
      <c r="AN1779">
        <v>-121.04521800000001</v>
      </c>
      <c r="AO1779">
        <v>25</v>
      </c>
      <c r="AP1779">
        <v>4200</v>
      </c>
      <c r="AQ1779" t="s">
        <v>131</v>
      </c>
      <c r="AR1779">
        <v>17</v>
      </c>
      <c r="AS1779">
        <v>78</v>
      </c>
      <c r="AT1779">
        <v>512</v>
      </c>
      <c r="BB1779" t="str">
        <f t="shared" si="687"/>
        <v>1200</v>
      </c>
      <c r="BC1779">
        <v>1</v>
      </c>
      <c r="BD1779" t="str">
        <f t="shared" si="688"/>
        <v xml:space="preserve">N52156  </v>
      </c>
      <c r="BE1779">
        <v>1</v>
      </c>
      <c r="BG1779">
        <v>0</v>
      </c>
      <c r="BH1779">
        <v>0</v>
      </c>
      <c r="BI1779">
        <v>0</v>
      </c>
      <c r="BJ1779">
        <v>4225</v>
      </c>
      <c r="BK1779">
        <v>25</v>
      </c>
      <c r="BL1779" t="s">
        <v>188</v>
      </c>
      <c r="BM1779">
        <v>1</v>
      </c>
      <c r="BN1779">
        <v>1</v>
      </c>
      <c r="BO1779">
        <v>0</v>
      </c>
      <c r="BP1779">
        <v>0</v>
      </c>
      <c r="BS1779">
        <v>0</v>
      </c>
      <c r="BT1779">
        <v>0</v>
      </c>
      <c r="BU1779">
        <v>0</v>
      </c>
      <c r="CE1779" t="str">
        <f t="shared" si="705"/>
        <v>15:09:28.372</v>
      </c>
      <c r="CF1779">
        <v>372210464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5</v>
      </c>
      <c r="CY1779">
        <v>7</v>
      </c>
      <c r="CZ1779" t="s">
        <v>133</v>
      </c>
      <c r="DA1779">
        <v>275</v>
      </c>
      <c r="DB1779">
        <v>0</v>
      </c>
      <c r="DC1779" t="s">
        <v>134</v>
      </c>
      <c r="DD1779" t="s">
        <v>135</v>
      </c>
      <c r="DG1779">
        <v>3320855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"05/01/2025 15:09:28.575"</f>
        <v>05/01/2025 15:09:28.575</v>
      </c>
      <c r="C1780" t="str">
        <f t="shared" si="684"/>
        <v>FFDFD3C0</v>
      </c>
      <c r="D1780" t="s">
        <v>145</v>
      </c>
      <c r="E1780" t="str">
        <f>"09"</f>
        <v>09</v>
      </c>
      <c r="H1780">
        <v>51</v>
      </c>
      <c r="I1780" t="s">
        <v>147</v>
      </c>
      <c r="J1780" t="s">
        <v>138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R1780" t="s">
        <v>127</v>
      </c>
      <c r="S1780" t="str">
        <f t="shared" si="704"/>
        <v>15:09:28.000</v>
      </c>
      <c r="T1780" t="str">
        <f t="shared" si="704"/>
        <v>15:09:28.000</v>
      </c>
      <c r="U1780" t="str">
        <f t="shared" si="686"/>
        <v>A68FCB</v>
      </c>
      <c r="V1780">
        <v>0</v>
      </c>
      <c r="W1780">
        <v>0</v>
      </c>
      <c r="X1780">
        <v>2</v>
      </c>
      <c r="Y1780">
        <v>0</v>
      </c>
      <c r="AA1780">
        <v>1</v>
      </c>
      <c r="AB1780">
        <v>8</v>
      </c>
      <c r="AC1780">
        <v>3</v>
      </c>
      <c r="AD1780">
        <v>0</v>
      </c>
      <c r="AE1780">
        <v>9</v>
      </c>
      <c r="AF1780" t="s">
        <v>138</v>
      </c>
      <c r="AG1780">
        <v>0</v>
      </c>
      <c r="AH1780">
        <v>3</v>
      </c>
      <c r="AI1780">
        <v>2</v>
      </c>
      <c r="AJ1780">
        <v>0</v>
      </c>
      <c r="AK1780" t="s">
        <v>640</v>
      </c>
      <c r="AL1780">
        <v>39.035110000000003</v>
      </c>
      <c r="AM1780" t="s">
        <v>641</v>
      </c>
      <c r="AN1780">
        <v>-121.04521800000001</v>
      </c>
      <c r="AO1780">
        <v>25</v>
      </c>
      <c r="AP1780">
        <v>4200</v>
      </c>
      <c r="AQ1780" t="s">
        <v>131</v>
      </c>
      <c r="AR1780">
        <v>17</v>
      </c>
      <c r="AS1780">
        <v>78</v>
      </c>
      <c r="AT1780">
        <v>512</v>
      </c>
      <c r="BB1780" t="str">
        <f t="shared" si="687"/>
        <v>1200</v>
      </c>
      <c r="BC1780">
        <v>1</v>
      </c>
      <c r="BD1780" t="str">
        <f t="shared" si="688"/>
        <v xml:space="preserve">N52156  </v>
      </c>
      <c r="BE1780">
        <v>1</v>
      </c>
      <c r="BG1780">
        <v>0</v>
      </c>
      <c r="BH1780">
        <v>0</v>
      </c>
      <c r="BI1780">
        <v>0</v>
      </c>
      <c r="BJ1780">
        <v>4225</v>
      </c>
      <c r="BK1780">
        <v>25</v>
      </c>
      <c r="BL1780" t="s">
        <v>188</v>
      </c>
      <c r="BM1780">
        <v>1</v>
      </c>
      <c r="BN1780">
        <v>1</v>
      </c>
      <c r="BO1780">
        <v>0</v>
      </c>
      <c r="BP1780">
        <v>0</v>
      </c>
      <c r="BS1780">
        <v>0</v>
      </c>
      <c r="BT1780">
        <v>0</v>
      </c>
      <c r="BU1780">
        <v>0</v>
      </c>
      <c r="CE1780" t="str">
        <f t="shared" si="705"/>
        <v>15:09:28.372</v>
      </c>
      <c r="CF1780">
        <v>372210464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133</v>
      </c>
      <c r="DA1780">
        <v>275</v>
      </c>
      <c r="DB1780">
        <v>0</v>
      </c>
      <c r="DC1780" t="s">
        <v>134</v>
      </c>
      <c r="DD1780" t="s">
        <v>135</v>
      </c>
      <c r="DG1780">
        <v>3320855</v>
      </c>
      <c r="DI1780">
        <v>1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"05/01/2025 15:09:28.580"</f>
        <v>05/01/2025 15:09:28.580</v>
      </c>
      <c r="C1781" t="str">
        <f t="shared" si="684"/>
        <v>FFDFD3C0</v>
      </c>
      <c r="D1781" t="s">
        <v>143</v>
      </c>
      <c r="E1781" t="str">
        <f>"05"</f>
        <v>05</v>
      </c>
      <c r="H1781">
        <v>172</v>
      </c>
      <c r="I1781" t="s">
        <v>141</v>
      </c>
      <c r="J1781" t="s">
        <v>144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R1781" t="s">
        <v>127</v>
      </c>
      <c r="S1781" t="str">
        <f t="shared" si="704"/>
        <v>15:09:28.000</v>
      </c>
      <c r="T1781" t="str">
        <f t="shared" si="704"/>
        <v>15:09:28.000</v>
      </c>
      <c r="U1781" t="str">
        <f t="shared" si="686"/>
        <v>A68FCB</v>
      </c>
      <c r="V1781">
        <v>0</v>
      </c>
      <c r="W1781">
        <v>0</v>
      </c>
      <c r="X1781">
        <v>2</v>
      </c>
      <c r="Y1781">
        <v>0</v>
      </c>
      <c r="AA1781">
        <v>1</v>
      </c>
      <c r="AB1781">
        <v>8</v>
      </c>
      <c r="AC1781">
        <v>3</v>
      </c>
      <c r="AD1781">
        <v>0</v>
      </c>
      <c r="AE1781">
        <v>9</v>
      </c>
      <c r="AF1781" t="s">
        <v>138</v>
      </c>
      <c r="AG1781">
        <v>0</v>
      </c>
      <c r="AH1781">
        <v>3</v>
      </c>
      <c r="AI1781">
        <v>2</v>
      </c>
      <c r="AJ1781">
        <v>0</v>
      </c>
      <c r="AK1781" t="s">
        <v>640</v>
      </c>
      <c r="AL1781">
        <v>39.035110000000003</v>
      </c>
      <c r="AM1781" t="s">
        <v>641</v>
      </c>
      <c r="AN1781">
        <v>-121.04521800000001</v>
      </c>
      <c r="AO1781">
        <v>25</v>
      </c>
      <c r="AP1781">
        <v>4200</v>
      </c>
      <c r="AQ1781" t="s">
        <v>131</v>
      </c>
      <c r="AR1781">
        <v>17</v>
      </c>
      <c r="AS1781">
        <v>78</v>
      </c>
      <c r="AT1781">
        <v>512</v>
      </c>
      <c r="BB1781" t="str">
        <f t="shared" si="687"/>
        <v>1200</v>
      </c>
      <c r="BC1781">
        <v>1</v>
      </c>
      <c r="BD1781" t="str">
        <f t="shared" si="688"/>
        <v xml:space="preserve">N52156  </v>
      </c>
      <c r="BE1781">
        <v>1</v>
      </c>
      <c r="BG1781">
        <v>0</v>
      </c>
      <c r="BH1781">
        <v>0</v>
      </c>
      <c r="BI1781">
        <v>0</v>
      </c>
      <c r="BJ1781">
        <v>4225</v>
      </c>
      <c r="BK1781">
        <v>25</v>
      </c>
      <c r="BL1781" t="s">
        <v>188</v>
      </c>
      <c r="BM1781">
        <v>1</v>
      </c>
      <c r="BN1781">
        <v>1</v>
      </c>
      <c r="BO1781">
        <v>0</v>
      </c>
      <c r="BP1781">
        <v>0</v>
      </c>
      <c r="BS1781">
        <v>0</v>
      </c>
      <c r="BT1781">
        <v>0</v>
      </c>
      <c r="BU1781">
        <v>0</v>
      </c>
      <c r="CE1781" t="str">
        <f t="shared" si="705"/>
        <v>15:09:28.372</v>
      </c>
      <c r="CF1781">
        <v>372210464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133</v>
      </c>
      <c r="DA1781">
        <v>275</v>
      </c>
      <c r="DB1781">
        <v>0</v>
      </c>
      <c r="DC1781" t="s">
        <v>134</v>
      </c>
      <c r="DD1781" t="s">
        <v>135</v>
      </c>
      <c r="DG1781">
        <v>3320855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"05/01/2025 15:09:28.584"</f>
        <v>05/01/2025 15:09:28.584</v>
      </c>
      <c r="C1782" t="str">
        <f t="shared" si="684"/>
        <v>FFDFD3C0</v>
      </c>
      <c r="D1782" t="s">
        <v>136</v>
      </c>
      <c r="E1782" t="str">
        <f>"20"</f>
        <v>20</v>
      </c>
      <c r="H1782">
        <v>400</v>
      </c>
      <c r="I1782" t="s">
        <v>137</v>
      </c>
      <c r="J1782" t="s">
        <v>138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R1782" t="s">
        <v>127</v>
      </c>
      <c r="S1782" t="str">
        <f t="shared" si="704"/>
        <v>15:09:28.000</v>
      </c>
      <c r="T1782" t="str">
        <f t="shared" si="704"/>
        <v>15:09:28.000</v>
      </c>
      <c r="U1782" t="str">
        <f t="shared" si="686"/>
        <v>A68FCB</v>
      </c>
      <c r="V1782">
        <v>0</v>
      </c>
      <c r="W1782">
        <v>0</v>
      </c>
      <c r="X1782">
        <v>2</v>
      </c>
      <c r="Y1782">
        <v>0</v>
      </c>
      <c r="AA1782">
        <v>1</v>
      </c>
      <c r="AB1782">
        <v>8</v>
      </c>
      <c r="AC1782">
        <v>3</v>
      </c>
      <c r="AD1782">
        <v>0</v>
      </c>
      <c r="AE1782">
        <v>9</v>
      </c>
      <c r="AF1782" t="s">
        <v>138</v>
      </c>
      <c r="AG1782">
        <v>0</v>
      </c>
      <c r="AH1782">
        <v>3</v>
      </c>
      <c r="AI1782">
        <v>2</v>
      </c>
      <c r="AJ1782">
        <v>0</v>
      </c>
      <c r="AK1782" t="s">
        <v>640</v>
      </c>
      <c r="AL1782">
        <v>39.035110000000003</v>
      </c>
      <c r="AM1782" t="s">
        <v>641</v>
      </c>
      <c r="AN1782">
        <v>-121.04521800000001</v>
      </c>
      <c r="AO1782">
        <v>25</v>
      </c>
      <c r="AP1782">
        <v>4200</v>
      </c>
      <c r="AQ1782" t="s">
        <v>131</v>
      </c>
      <c r="AR1782">
        <v>17</v>
      </c>
      <c r="AS1782">
        <v>78</v>
      </c>
      <c r="AT1782">
        <v>512</v>
      </c>
      <c r="BB1782" t="str">
        <f t="shared" si="687"/>
        <v>1200</v>
      </c>
      <c r="BC1782">
        <v>1</v>
      </c>
      <c r="BD1782" t="str">
        <f t="shared" si="688"/>
        <v xml:space="preserve">N52156  </v>
      </c>
      <c r="BE1782">
        <v>1</v>
      </c>
      <c r="BG1782">
        <v>0</v>
      </c>
      <c r="BH1782">
        <v>0</v>
      </c>
      <c r="BI1782">
        <v>0</v>
      </c>
      <c r="BJ1782">
        <v>4225</v>
      </c>
      <c r="BK1782">
        <v>25</v>
      </c>
      <c r="BL1782" t="s">
        <v>188</v>
      </c>
      <c r="BM1782">
        <v>1</v>
      </c>
      <c r="BN1782">
        <v>1</v>
      </c>
      <c r="BO1782">
        <v>0</v>
      </c>
      <c r="BP1782">
        <v>0</v>
      </c>
      <c r="BS1782">
        <v>0</v>
      </c>
      <c r="BT1782">
        <v>0</v>
      </c>
      <c r="BU1782">
        <v>0</v>
      </c>
      <c r="CE1782" t="str">
        <f t="shared" si="705"/>
        <v>15:09:28.372</v>
      </c>
      <c r="CF1782">
        <v>372210464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133</v>
      </c>
      <c r="DA1782">
        <v>275</v>
      </c>
      <c r="DB1782">
        <v>0</v>
      </c>
      <c r="DC1782" t="s">
        <v>134</v>
      </c>
      <c r="DD1782" t="s">
        <v>135</v>
      </c>
      <c r="DG1782">
        <v>3320855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"05/01/2025 15:09:28.613"</f>
        <v>05/01/2025 15:09:28.613</v>
      </c>
      <c r="C1783" t="str">
        <f t="shared" si="684"/>
        <v>FFDFD3C0</v>
      </c>
      <c r="D1783" t="s">
        <v>140</v>
      </c>
      <c r="E1783" t="str">
        <f>"13"</f>
        <v>13</v>
      </c>
      <c r="F1783">
        <v>1019</v>
      </c>
      <c r="G1783" t="s">
        <v>141</v>
      </c>
      <c r="J1783" t="s">
        <v>142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R1783" t="s">
        <v>127</v>
      </c>
      <c r="S1783" t="str">
        <f t="shared" si="704"/>
        <v>15:09:28.000</v>
      </c>
      <c r="T1783" t="str">
        <f t="shared" si="704"/>
        <v>15:09:28.000</v>
      </c>
      <c r="U1783" t="str">
        <f t="shared" si="686"/>
        <v>A68FCB</v>
      </c>
      <c r="V1783">
        <v>0</v>
      </c>
      <c r="W1783">
        <v>0</v>
      </c>
      <c r="X1783">
        <v>2</v>
      </c>
      <c r="Y1783">
        <v>0</v>
      </c>
      <c r="AA1783">
        <v>1</v>
      </c>
      <c r="AB1783">
        <v>8</v>
      </c>
      <c r="AC1783">
        <v>3</v>
      </c>
      <c r="AD1783">
        <v>0</v>
      </c>
      <c r="AE1783">
        <v>9</v>
      </c>
      <c r="AF1783" t="s">
        <v>138</v>
      </c>
      <c r="AG1783">
        <v>0</v>
      </c>
      <c r="AH1783">
        <v>3</v>
      </c>
      <c r="AI1783">
        <v>2</v>
      </c>
      <c r="AJ1783">
        <v>0</v>
      </c>
      <c r="AK1783" t="s">
        <v>640</v>
      </c>
      <c r="AL1783">
        <v>39.035110000000003</v>
      </c>
      <c r="AM1783" t="s">
        <v>641</v>
      </c>
      <c r="AN1783">
        <v>-121.04521800000001</v>
      </c>
      <c r="AO1783">
        <v>25</v>
      </c>
      <c r="AP1783">
        <v>4200</v>
      </c>
      <c r="AQ1783" t="s">
        <v>131</v>
      </c>
      <c r="AR1783">
        <v>17</v>
      </c>
      <c r="AS1783">
        <v>78</v>
      </c>
      <c r="AT1783">
        <v>512</v>
      </c>
      <c r="BB1783" t="str">
        <f t="shared" si="687"/>
        <v>1200</v>
      </c>
      <c r="BC1783">
        <v>1</v>
      </c>
      <c r="BD1783" t="str">
        <f t="shared" si="688"/>
        <v xml:space="preserve">N52156  </v>
      </c>
      <c r="BE1783">
        <v>1</v>
      </c>
      <c r="BG1783">
        <v>0</v>
      </c>
      <c r="BH1783">
        <v>0</v>
      </c>
      <c r="BI1783">
        <v>0</v>
      </c>
      <c r="BJ1783">
        <v>4225</v>
      </c>
      <c r="BK1783">
        <v>25</v>
      </c>
      <c r="BL1783" t="s">
        <v>188</v>
      </c>
      <c r="BM1783">
        <v>1</v>
      </c>
      <c r="BN1783">
        <v>1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 t="shared" si="705"/>
        <v>15:09:28.372</v>
      </c>
      <c r="CF1783">
        <v>372210464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133</v>
      </c>
      <c r="DA1783">
        <v>275</v>
      </c>
      <c r="DB1783">
        <v>0</v>
      </c>
      <c r="DC1783" t="s">
        <v>134</v>
      </c>
      <c r="DD1783" t="s">
        <v>135</v>
      </c>
      <c r="DG1783">
        <v>3320855</v>
      </c>
      <c r="DI1783">
        <v>1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"05/01/2025 15:09:29.581"</f>
        <v>05/01/2025 15:09:29.581</v>
      </c>
      <c r="C1784" t="str">
        <f t="shared" si="684"/>
        <v>FFDFD3C0</v>
      </c>
      <c r="D1784" t="s">
        <v>143</v>
      </c>
      <c r="E1784" t="str">
        <f>"05"</f>
        <v>05</v>
      </c>
      <c r="H1784">
        <v>172</v>
      </c>
      <c r="I1784" t="s">
        <v>141</v>
      </c>
      <c r="J1784" t="s">
        <v>144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R1784" t="s">
        <v>127</v>
      </c>
      <c r="S1784" t="str">
        <f t="shared" ref="S1784:T1789" si="706">"15:09:29.000"</f>
        <v>15:09:29.000</v>
      </c>
      <c r="T1784" t="str">
        <f t="shared" si="706"/>
        <v>15:09:29.000</v>
      </c>
      <c r="U1784" t="str">
        <f t="shared" si="686"/>
        <v>A68FCB</v>
      </c>
      <c r="V1784">
        <v>0</v>
      </c>
      <c r="W1784">
        <v>0</v>
      </c>
      <c r="X1784">
        <v>2</v>
      </c>
      <c r="Y1784">
        <v>0</v>
      </c>
      <c r="AA1784">
        <v>1</v>
      </c>
      <c r="AB1784">
        <v>8</v>
      </c>
      <c r="AC1784">
        <v>3</v>
      </c>
      <c r="AD1784">
        <v>0</v>
      </c>
      <c r="AE1784">
        <v>9</v>
      </c>
      <c r="AF1784" t="s">
        <v>138</v>
      </c>
      <c r="AG1784">
        <v>0</v>
      </c>
      <c r="AH1784">
        <v>3</v>
      </c>
      <c r="AI1784">
        <v>2</v>
      </c>
      <c r="AJ1784">
        <v>0</v>
      </c>
      <c r="AK1784" t="s">
        <v>642</v>
      </c>
      <c r="AL1784">
        <v>39.035454000000001</v>
      </c>
      <c r="AM1784" t="s">
        <v>643</v>
      </c>
      <c r="AN1784">
        <v>-121.04510999999999</v>
      </c>
      <c r="AO1784">
        <v>25</v>
      </c>
      <c r="AP1784">
        <v>4200</v>
      </c>
      <c r="AQ1784" t="s">
        <v>131</v>
      </c>
      <c r="AR1784">
        <v>17</v>
      </c>
      <c r="AS1784">
        <v>78</v>
      </c>
      <c r="AT1784">
        <v>512</v>
      </c>
      <c r="BB1784" t="str">
        <f t="shared" si="687"/>
        <v>1200</v>
      </c>
      <c r="BC1784">
        <v>1</v>
      </c>
      <c r="BD1784" t="str">
        <f t="shared" si="688"/>
        <v xml:space="preserve">N52156  </v>
      </c>
      <c r="BE1784">
        <v>1</v>
      </c>
      <c r="BG1784">
        <v>0</v>
      </c>
      <c r="BH1784">
        <v>0</v>
      </c>
      <c r="BI1784">
        <v>0</v>
      </c>
      <c r="BJ1784">
        <v>4225</v>
      </c>
      <c r="BK1784">
        <v>25</v>
      </c>
      <c r="BL1784" t="s">
        <v>188</v>
      </c>
      <c r="BM1784">
        <v>1</v>
      </c>
      <c r="BN1784">
        <v>1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 t="shared" ref="CE1784:CE1789" si="707">"15:09:29.367"</f>
        <v>15:09:29.367</v>
      </c>
      <c r="CF1784">
        <v>366621687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5</v>
      </c>
      <c r="CY1784">
        <v>7</v>
      </c>
      <c r="CZ1784" t="s">
        <v>133</v>
      </c>
      <c r="DA1784">
        <v>273</v>
      </c>
      <c r="DB1784">
        <v>0</v>
      </c>
      <c r="DC1784" t="s">
        <v>292</v>
      </c>
      <c r="DD1784" t="s">
        <v>293</v>
      </c>
      <c r="DG1784">
        <v>4862765</v>
      </c>
      <c r="DI1784">
        <v>1</v>
      </c>
      <c r="DJ1784">
        <v>0</v>
      </c>
      <c r="DK1784">
        <v>0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"05/01/2025 15:09:29.586"</f>
        <v>05/01/2025 15:09:29.586</v>
      </c>
      <c r="C1785" t="str">
        <f t="shared" si="684"/>
        <v>FFDFD3C0</v>
      </c>
      <c r="D1785" t="s">
        <v>136</v>
      </c>
      <c r="E1785" t="str">
        <f>"20"</f>
        <v>20</v>
      </c>
      <c r="H1785">
        <v>400</v>
      </c>
      <c r="I1785" t="s">
        <v>137</v>
      </c>
      <c r="J1785" t="s">
        <v>138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R1785" t="s">
        <v>127</v>
      </c>
      <c r="S1785" t="str">
        <f t="shared" si="706"/>
        <v>15:09:29.000</v>
      </c>
      <c r="T1785" t="str">
        <f t="shared" si="706"/>
        <v>15:09:29.000</v>
      </c>
      <c r="U1785" t="str">
        <f t="shared" si="686"/>
        <v>A68FCB</v>
      </c>
      <c r="V1785">
        <v>0</v>
      </c>
      <c r="W1785">
        <v>0</v>
      </c>
      <c r="X1785">
        <v>2</v>
      </c>
      <c r="Y1785">
        <v>0</v>
      </c>
      <c r="AA1785">
        <v>1</v>
      </c>
      <c r="AB1785">
        <v>8</v>
      </c>
      <c r="AC1785">
        <v>3</v>
      </c>
      <c r="AD1785">
        <v>0</v>
      </c>
      <c r="AE1785">
        <v>9</v>
      </c>
      <c r="AF1785" t="s">
        <v>138</v>
      </c>
      <c r="AG1785">
        <v>0</v>
      </c>
      <c r="AH1785">
        <v>3</v>
      </c>
      <c r="AI1785">
        <v>2</v>
      </c>
      <c r="AJ1785">
        <v>0</v>
      </c>
      <c r="AK1785" t="s">
        <v>642</v>
      </c>
      <c r="AL1785">
        <v>39.035454000000001</v>
      </c>
      <c r="AM1785" t="s">
        <v>643</v>
      </c>
      <c r="AN1785">
        <v>-121.04510999999999</v>
      </c>
      <c r="AO1785">
        <v>25</v>
      </c>
      <c r="AP1785">
        <v>4200</v>
      </c>
      <c r="AQ1785" t="s">
        <v>131</v>
      </c>
      <c r="AR1785">
        <v>17</v>
      </c>
      <c r="AS1785">
        <v>78</v>
      </c>
      <c r="AT1785">
        <v>512</v>
      </c>
      <c r="BB1785" t="str">
        <f t="shared" si="687"/>
        <v>1200</v>
      </c>
      <c r="BC1785">
        <v>1</v>
      </c>
      <c r="BD1785" t="str">
        <f t="shared" si="688"/>
        <v xml:space="preserve">N52156  </v>
      </c>
      <c r="BE1785">
        <v>1</v>
      </c>
      <c r="BG1785">
        <v>0</v>
      </c>
      <c r="BH1785">
        <v>0</v>
      </c>
      <c r="BI1785">
        <v>0</v>
      </c>
      <c r="BJ1785">
        <v>4225</v>
      </c>
      <c r="BK1785">
        <v>25</v>
      </c>
      <c r="BL1785" t="s">
        <v>188</v>
      </c>
      <c r="BM1785">
        <v>1</v>
      </c>
      <c r="BN1785">
        <v>1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 t="shared" si="707"/>
        <v>15:09:29.367</v>
      </c>
      <c r="CF1785">
        <v>366621687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5</v>
      </c>
      <c r="CY1785">
        <v>7</v>
      </c>
      <c r="CZ1785" t="s">
        <v>133</v>
      </c>
      <c r="DA1785">
        <v>273</v>
      </c>
      <c r="DB1785">
        <v>0</v>
      </c>
      <c r="DC1785" t="s">
        <v>292</v>
      </c>
      <c r="DD1785" t="s">
        <v>293</v>
      </c>
      <c r="DG1785">
        <v>4862765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"05/01/2025 15:09:29.615"</f>
        <v>05/01/2025 15:09:29.615</v>
      </c>
      <c r="C1786" t="str">
        <f t="shared" si="684"/>
        <v>FFDFD3C0</v>
      </c>
      <c r="D1786" t="s">
        <v>140</v>
      </c>
      <c r="E1786" t="str">
        <f>"13"</f>
        <v>13</v>
      </c>
      <c r="F1786">
        <v>1019</v>
      </c>
      <c r="G1786" t="s">
        <v>141</v>
      </c>
      <c r="J1786" t="s">
        <v>142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R1786" t="s">
        <v>127</v>
      </c>
      <c r="S1786" t="str">
        <f t="shared" si="706"/>
        <v>15:09:29.000</v>
      </c>
      <c r="T1786" t="str">
        <f t="shared" si="706"/>
        <v>15:09:29.000</v>
      </c>
      <c r="U1786" t="str">
        <f t="shared" si="686"/>
        <v>A68FCB</v>
      </c>
      <c r="V1786">
        <v>0</v>
      </c>
      <c r="W1786">
        <v>0</v>
      </c>
      <c r="X1786">
        <v>2</v>
      </c>
      <c r="Y1786">
        <v>0</v>
      </c>
      <c r="AA1786">
        <v>1</v>
      </c>
      <c r="AB1786">
        <v>8</v>
      </c>
      <c r="AC1786">
        <v>3</v>
      </c>
      <c r="AD1786">
        <v>0</v>
      </c>
      <c r="AE1786">
        <v>9</v>
      </c>
      <c r="AF1786" t="s">
        <v>138</v>
      </c>
      <c r="AG1786">
        <v>0</v>
      </c>
      <c r="AH1786">
        <v>3</v>
      </c>
      <c r="AI1786">
        <v>2</v>
      </c>
      <c r="AJ1786">
        <v>0</v>
      </c>
      <c r="AK1786" t="s">
        <v>642</v>
      </c>
      <c r="AL1786">
        <v>39.035454000000001</v>
      </c>
      <c r="AM1786" t="s">
        <v>643</v>
      </c>
      <c r="AN1786">
        <v>-121.04510999999999</v>
      </c>
      <c r="AO1786">
        <v>25</v>
      </c>
      <c r="AP1786">
        <v>4200</v>
      </c>
      <c r="AQ1786" t="s">
        <v>131</v>
      </c>
      <c r="AR1786">
        <v>17</v>
      </c>
      <c r="AS1786">
        <v>78</v>
      </c>
      <c r="AT1786">
        <v>512</v>
      </c>
      <c r="BB1786" t="str">
        <f t="shared" si="687"/>
        <v>1200</v>
      </c>
      <c r="BC1786">
        <v>1</v>
      </c>
      <c r="BD1786" t="str">
        <f t="shared" si="688"/>
        <v xml:space="preserve">N52156  </v>
      </c>
      <c r="BE1786">
        <v>1</v>
      </c>
      <c r="BG1786">
        <v>0</v>
      </c>
      <c r="BH1786">
        <v>0</v>
      </c>
      <c r="BI1786">
        <v>0</v>
      </c>
      <c r="BJ1786">
        <v>4225</v>
      </c>
      <c r="BK1786">
        <v>25</v>
      </c>
      <c r="BL1786" t="s">
        <v>188</v>
      </c>
      <c r="BM1786">
        <v>1</v>
      </c>
      <c r="BN1786">
        <v>1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 t="shared" si="707"/>
        <v>15:09:29.367</v>
      </c>
      <c r="CF1786">
        <v>366621687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133</v>
      </c>
      <c r="DA1786">
        <v>273</v>
      </c>
      <c r="DB1786">
        <v>0</v>
      </c>
      <c r="DC1786" t="s">
        <v>292</v>
      </c>
      <c r="DD1786" t="s">
        <v>293</v>
      </c>
      <c r="DG1786">
        <v>4862765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"05/01/2025 15:09:29.623"</f>
        <v>05/01/2025 15:09:29.623</v>
      </c>
      <c r="C1787" t="str">
        <f t="shared" si="684"/>
        <v>FFDFD3C0</v>
      </c>
      <c r="D1787" t="s">
        <v>145</v>
      </c>
      <c r="E1787" t="str">
        <f>"05"</f>
        <v>05</v>
      </c>
      <c r="H1787">
        <v>47</v>
      </c>
      <c r="I1787" t="s">
        <v>146</v>
      </c>
      <c r="J1787" t="s">
        <v>138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R1787" t="s">
        <v>127</v>
      </c>
      <c r="S1787" t="str">
        <f t="shared" si="706"/>
        <v>15:09:29.000</v>
      </c>
      <c r="T1787" t="str">
        <f t="shared" si="706"/>
        <v>15:09:29.000</v>
      </c>
      <c r="U1787" t="str">
        <f t="shared" si="686"/>
        <v>A68FCB</v>
      </c>
      <c r="V1787">
        <v>0</v>
      </c>
      <c r="W1787">
        <v>0</v>
      </c>
      <c r="X1787">
        <v>2</v>
      </c>
      <c r="Y1787">
        <v>0</v>
      </c>
      <c r="AA1787">
        <v>1</v>
      </c>
      <c r="AB1787">
        <v>8</v>
      </c>
      <c r="AC1787">
        <v>3</v>
      </c>
      <c r="AD1787">
        <v>0</v>
      </c>
      <c r="AE1787">
        <v>9</v>
      </c>
      <c r="AF1787" t="s">
        <v>138</v>
      </c>
      <c r="AG1787">
        <v>0</v>
      </c>
      <c r="AH1787">
        <v>3</v>
      </c>
      <c r="AI1787">
        <v>2</v>
      </c>
      <c r="AJ1787">
        <v>0</v>
      </c>
      <c r="AK1787" t="s">
        <v>642</v>
      </c>
      <c r="AL1787">
        <v>39.035454000000001</v>
      </c>
      <c r="AM1787" t="s">
        <v>643</v>
      </c>
      <c r="AN1787">
        <v>-121.04510999999999</v>
      </c>
      <c r="AO1787">
        <v>25</v>
      </c>
      <c r="AP1787">
        <v>4200</v>
      </c>
      <c r="AQ1787" t="s">
        <v>131</v>
      </c>
      <c r="AR1787">
        <v>17</v>
      </c>
      <c r="AS1787">
        <v>78</v>
      </c>
      <c r="AT1787">
        <v>512</v>
      </c>
      <c r="BB1787" t="str">
        <f t="shared" si="687"/>
        <v>1200</v>
      </c>
      <c r="BC1787">
        <v>1</v>
      </c>
      <c r="BD1787" t="str">
        <f t="shared" si="688"/>
        <v xml:space="preserve">N52156  </v>
      </c>
      <c r="BE1787">
        <v>1</v>
      </c>
      <c r="BG1787">
        <v>0</v>
      </c>
      <c r="BH1787">
        <v>0</v>
      </c>
      <c r="BI1787">
        <v>0</v>
      </c>
      <c r="BJ1787">
        <v>4225</v>
      </c>
      <c r="BK1787">
        <v>25</v>
      </c>
      <c r="BL1787" t="s">
        <v>188</v>
      </c>
      <c r="BM1787">
        <v>1</v>
      </c>
      <c r="BN1787">
        <v>1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 t="shared" si="707"/>
        <v>15:09:29.367</v>
      </c>
      <c r="CF1787">
        <v>366621687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133</v>
      </c>
      <c r="DA1787">
        <v>273</v>
      </c>
      <c r="DB1787">
        <v>0</v>
      </c>
      <c r="DC1787" t="s">
        <v>292</v>
      </c>
      <c r="DD1787" t="s">
        <v>293</v>
      </c>
      <c r="DG1787">
        <v>4862765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"05/01/2025 15:09:29.626"</f>
        <v>05/01/2025 15:09:29.626</v>
      </c>
      <c r="C1788" t="str">
        <f t="shared" si="684"/>
        <v>FFDFD3C0</v>
      </c>
      <c r="D1788" t="s">
        <v>124</v>
      </c>
      <c r="E1788" t="str">
        <f>"06"</f>
        <v>06</v>
      </c>
      <c r="F1788">
        <v>2006</v>
      </c>
      <c r="G1788" t="s">
        <v>125</v>
      </c>
      <c r="J1788" t="s">
        <v>126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R1788" t="s">
        <v>127</v>
      </c>
      <c r="S1788" t="str">
        <f t="shared" si="706"/>
        <v>15:09:29.000</v>
      </c>
      <c r="T1788" t="str">
        <f t="shared" si="706"/>
        <v>15:09:29.000</v>
      </c>
      <c r="U1788" t="str">
        <f t="shared" si="686"/>
        <v>A68FCB</v>
      </c>
      <c r="V1788">
        <v>0</v>
      </c>
      <c r="W1788">
        <v>0</v>
      </c>
      <c r="X1788">
        <v>2</v>
      </c>
      <c r="Y1788">
        <v>0</v>
      </c>
      <c r="AA1788">
        <v>1</v>
      </c>
      <c r="AB1788">
        <v>8</v>
      </c>
      <c r="AC1788">
        <v>3</v>
      </c>
      <c r="AD1788">
        <v>0</v>
      </c>
      <c r="AE1788">
        <v>9</v>
      </c>
      <c r="AF1788" t="s">
        <v>138</v>
      </c>
      <c r="AG1788">
        <v>0</v>
      </c>
      <c r="AH1788">
        <v>3</v>
      </c>
      <c r="AI1788">
        <v>2</v>
      </c>
      <c r="AJ1788">
        <v>0</v>
      </c>
      <c r="AK1788" t="s">
        <v>642</v>
      </c>
      <c r="AL1788">
        <v>39.035454000000001</v>
      </c>
      <c r="AM1788" t="s">
        <v>643</v>
      </c>
      <c r="AN1788">
        <v>-121.04510999999999</v>
      </c>
      <c r="AO1788">
        <v>25</v>
      </c>
      <c r="AP1788">
        <v>4200</v>
      </c>
      <c r="AQ1788" t="s">
        <v>131</v>
      </c>
      <c r="AR1788">
        <v>17</v>
      </c>
      <c r="AS1788">
        <v>78</v>
      </c>
      <c r="AT1788">
        <v>512</v>
      </c>
      <c r="BB1788" t="str">
        <f t="shared" si="687"/>
        <v>1200</v>
      </c>
      <c r="BC1788">
        <v>1</v>
      </c>
      <c r="BD1788" t="str">
        <f t="shared" si="688"/>
        <v xml:space="preserve">N52156  </v>
      </c>
      <c r="BE1788">
        <v>1</v>
      </c>
      <c r="BG1788">
        <v>0</v>
      </c>
      <c r="BH1788">
        <v>0</v>
      </c>
      <c r="BI1788">
        <v>0</v>
      </c>
      <c r="BJ1788">
        <v>4225</v>
      </c>
      <c r="BK1788">
        <v>25</v>
      </c>
      <c r="BL1788" t="s">
        <v>188</v>
      </c>
      <c r="BM1788">
        <v>1</v>
      </c>
      <c r="BN1788">
        <v>1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 t="shared" si="707"/>
        <v>15:09:29.367</v>
      </c>
      <c r="CF1788">
        <v>366621687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5</v>
      </c>
      <c r="CY1788">
        <v>7</v>
      </c>
      <c r="CZ1788" t="s">
        <v>133</v>
      </c>
      <c r="DA1788">
        <v>273</v>
      </c>
      <c r="DB1788">
        <v>0</v>
      </c>
      <c r="DC1788" t="s">
        <v>292</v>
      </c>
      <c r="DD1788" t="s">
        <v>293</v>
      </c>
      <c r="DG1788">
        <v>4862765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"05/01/2025 15:09:29.627"</f>
        <v>05/01/2025 15:09:29.627</v>
      </c>
      <c r="C1789" t="str">
        <f t="shared" si="684"/>
        <v>FFDFD3C0</v>
      </c>
      <c r="D1789" t="s">
        <v>145</v>
      </c>
      <c r="E1789" t="str">
        <f>"09"</f>
        <v>09</v>
      </c>
      <c r="H1789">
        <v>51</v>
      </c>
      <c r="I1789" t="s">
        <v>147</v>
      </c>
      <c r="J1789" t="s">
        <v>138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R1789" t="s">
        <v>127</v>
      </c>
      <c r="S1789" t="str">
        <f t="shared" si="706"/>
        <v>15:09:29.000</v>
      </c>
      <c r="T1789" t="str">
        <f t="shared" si="706"/>
        <v>15:09:29.000</v>
      </c>
      <c r="U1789" t="str">
        <f t="shared" si="686"/>
        <v>A68FCB</v>
      </c>
      <c r="V1789">
        <v>0</v>
      </c>
      <c r="W1789">
        <v>0</v>
      </c>
      <c r="X1789">
        <v>2</v>
      </c>
      <c r="Y1789">
        <v>0</v>
      </c>
      <c r="AA1789">
        <v>1</v>
      </c>
      <c r="AB1789">
        <v>8</v>
      </c>
      <c r="AC1789">
        <v>3</v>
      </c>
      <c r="AD1789">
        <v>0</v>
      </c>
      <c r="AE1789">
        <v>9</v>
      </c>
      <c r="AF1789" t="s">
        <v>138</v>
      </c>
      <c r="AG1789">
        <v>0</v>
      </c>
      <c r="AH1789">
        <v>3</v>
      </c>
      <c r="AI1789">
        <v>2</v>
      </c>
      <c r="AJ1789">
        <v>0</v>
      </c>
      <c r="AK1789" t="s">
        <v>642</v>
      </c>
      <c r="AL1789">
        <v>39.035454000000001</v>
      </c>
      <c r="AM1789" t="s">
        <v>643</v>
      </c>
      <c r="AN1789">
        <v>-121.04510999999999</v>
      </c>
      <c r="AO1789">
        <v>25</v>
      </c>
      <c r="AP1789">
        <v>4200</v>
      </c>
      <c r="AQ1789" t="s">
        <v>131</v>
      </c>
      <c r="AR1789">
        <v>17</v>
      </c>
      <c r="AS1789">
        <v>78</v>
      </c>
      <c r="AT1789">
        <v>512</v>
      </c>
      <c r="BB1789" t="str">
        <f t="shared" si="687"/>
        <v>1200</v>
      </c>
      <c r="BC1789">
        <v>1</v>
      </c>
      <c r="BD1789" t="str">
        <f t="shared" si="688"/>
        <v xml:space="preserve">N52156  </v>
      </c>
      <c r="BE1789">
        <v>1</v>
      </c>
      <c r="BG1789">
        <v>0</v>
      </c>
      <c r="BH1789">
        <v>0</v>
      </c>
      <c r="BI1789">
        <v>0</v>
      </c>
      <c r="BJ1789">
        <v>4225</v>
      </c>
      <c r="BK1789">
        <v>25</v>
      </c>
      <c r="BL1789" t="s">
        <v>188</v>
      </c>
      <c r="BM1789">
        <v>1</v>
      </c>
      <c r="BN1789">
        <v>1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 t="shared" si="707"/>
        <v>15:09:29.367</v>
      </c>
      <c r="CF1789">
        <v>366621687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5</v>
      </c>
      <c r="CY1789">
        <v>7</v>
      </c>
      <c r="CZ1789" t="s">
        <v>133</v>
      </c>
      <c r="DA1789">
        <v>273</v>
      </c>
      <c r="DB1789">
        <v>0</v>
      </c>
      <c r="DC1789" t="s">
        <v>292</v>
      </c>
      <c r="DD1789" t="s">
        <v>293</v>
      </c>
      <c r="DG1789">
        <v>4862765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"05/01/2025 15:09:30.925"</f>
        <v>05/01/2025 15:09:30.925</v>
      </c>
      <c r="C1790" t="str">
        <f t="shared" si="684"/>
        <v>FFDFD3C0</v>
      </c>
      <c r="D1790" t="s">
        <v>145</v>
      </c>
      <c r="E1790" t="str">
        <f>"05"</f>
        <v>05</v>
      </c>
      <c r="H1790">
        <v>47</v>
      </c>
      <c r="I1790" t="s">
        <v>146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R1790" t="s">
        <v>127</v>
      </c>
      <c r="S1790" t="str">
        <f t="shared" ref="S1790:T1795" si="708">"15:09:30.000"</f>
        <v>15:09:30.000</v>
      </c>
      <c r="T1790" t="str">
        <f t="shared" si="708"/>
        <v>15:09:30.000</v>
      </c>
      <c r="U1790" t="str">
        <f t="shared" si="686"/>
        <v>A68FCB</v>
      </c>
      <c r="V1790">
        <v>0</v>
      </c>
      <c r="W1790">
        <v>0</v>
      </c>
      <c r="X1790">
        <v>2</v>
      </c>
      <c r="Y1790">
        <v>0</v>
      </c>
      <c r="AA1790">
        <v>1</v>
      </c>
      <c r="AB1790">
        <v>8</v>
      </c>
      <c r="AC1790">
        <v>3</v>
      </c>
      <c r="AD1790">
        <v>0</v>
      </c>
      <c r="AE1790">
        <v>9</v>
      </c>
      <c r="AF1790" t="s">
        <v>138</v>
      </c>
      <c r="AG1790">
        <v>0</v>
      </c>
      <c r="AH1790">
        <v>3</v>
      </c>
      <c r="AI1790">
        <v>2</v>
      </c>
      <c r="AJ1790">
        <v>0</v>
      </c>
      <c r="AK1790" t="s">
        <v>644</v>
      </c>
      <c r="AL1790">
        <v>39.035818999999996</v>
      </c>
      <c r="AM1790" t="s">
        <v>645</v>
      </c>
      <c r="AN1790">
        <v>-121.045024</v>
      </c>
      <c r="AO1790">
        <v>25</v>
      </c>
      <c r="AP1790">
        <v>4200</v>
      </c>
      <c r="AQ1790" t="s">
        <v>131</v>
      </c>
      <c r="AR1790">
        <v>18</v>
      </c>
      <c r="AS1790">
        <v>77</v>
      </c>
      <c r="AT1790">
        <v>448</v>
      </c>
      <c r="BB1790" t="str">
        <f t="shared" si="687"/>
        <v>1200</v>
      </c>
      <c r="BC1790">
        <v>1</v>
      </c>
      <c r="BD1790" t="str">
        <f t="shared" si="688"/>
        <v xml:space="preserve">N52156  </v>
      </c>
      <c r="BE1790">
        <v>1</v>
      </c>
      <c r="BG1790">
        <v>0</v>
      </c>
      <c r="BH1790">
        <v>0</v>
      </c>
      <c r="BI1790">
        <v>0</v>
      </c>
      <c r="BJ1790">
        <v>4250</v>
      </c>
      <c r="BK1790">
        <v>50</v>
      </c>
      <c r="BL1790" t="s">
        <v>188</v>
      </c>
      <c r="BM1790">
        <v>1</v>
      </c>
      <c r="BN1790">
        <v>1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 t="shared" ref="CE1790:CE1795" si="709">"15:09:30.711"</f>
        <v>15:09:30.711</v>
      </c>
      <c r="CF1790">
        <v>710872483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5</v>
      </c>
      <c r="CY1790">
        <v>7</v>
      </c>
      <c r="CZ1790" t="s">
        <v>133</v>
      </c>
      <c r="DA1790">
        <v>273</v>
      </c>
      <c r="DB1790">
        <v>0</v>
      </c>
      <c r="DC1790" t="s">
        <v>292</v>
      </c>
      <c r="DD1790" t="s">
        <v>293</v>
      </c>
      <c r="DG1790">
        <v>4862779</v>
      </c>
      <c r="DI1790">
        <v>1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"05/01/2025 15:09:30.929"</f>
        <v>05/01/2025 15:09:30.929</v>
      </c>
      <c r="C1791" t="str">
        <f t="shared" si="684"/>
        <v>FFDFD3C0</v>
      </c>
      <c r="D1791" t="s">
        <v>145</v>
      </c>
      <c r="E1791" t="str">
        <f>"09"</f>
        <v>09</v>
      </c>
      <c r="H1791">
        <v>51</v>
      </c>
      <c r="I1791" t="s">
        <v>147</v>
      </c>
      <c r="J1791" t="s">
        <v>138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R1791" t="s">
        <v>127</v>
      </c>
      <c r="S1791" t="str">
        <f t="shared" si="708"/>
        <v>15:09:30.000</v>
      </c>
      <c r="T1791" t="str">
        <f t="shared" si="708"/>
        <v>15:09:30.000</v>
      </c>
      <c r="U1791" t="str">
        <f t="shared" si="686"/>
        <v>A68FCB</v>
      </c>
      <c r="V1791">
        <v>0</v>
      </c>
      <c r="W1791">
        <v>0</v>
      </c>
      <c r="X1791">
        <v>2</v>
      </c>
      <c r="Y1791">
        <v>0</v>
      </c>
      <c r="AA1791">
        <v>1</v>
      </c>
      <c r="AB1791">
        <v>8</v>
      </c>
      <c r="AC1791">
        <v>3</v>
      </c>
      <c r="AD1791">
        <v>0</v>
      </c>
      <c r="AE1791">
        <v>9</v>
      </c>
      <c r="AF1791" t="s">
        <v>138</v>
      </c>
      <c r="AG1791">
        <v>0</v>
      </c>
      <c r="AH1791">
        <v>3</v>
      </c>
      <c r="AI1791">
        <v>2</v>
      </c>
      <c r="AJ1791">
        <v>0</v>
      </c>
      <c r="AK1791" t="s">
        <v>644</v>
      </c>
      <c r="AL1791">
        <v>39.035818999999996</v>
      </c>
      <c r="AM1791" t="s">
        <v>645</v>
      </c>
      <c r="AN1791">
        <v>-121.045024</v>
      </c>
      <c r="AO1791">
        <v>25</v>
      </c>
      <c r="AP1791">
        <v>4200</v>
      </c>
      <c r="AQ1791" t="s">
        <v>131</v>
      </c>
      <c r="AR1791">
        <v>18</v>
      </c>
      <c r="AS1791">
        <v>77</v>
      </c>
      <c r="AT1791">
        <v>448</v>
      </c>
      <c r="BB1791" t="str">
        <f t="shared" si="687"/>
        <v>1200</v>
      </c>
      <c r="BC1791">
        <v>1</v>
      </c>
      <c r="BD1791" t="str">
        <f t="shared" si="688"/>
        <v xml:space="preserve">N52156  </v>
      </c>
      <c r="BE1791">
        <v>1</v>
      </c>
      <c r="BG1791">
        <v>0</v>
      </c>
      <c r="BH1791">
        <v>0</v>
      </c>
      <c r="BI1791">
        <v>0</v>
      </c>
      <c r="BJ1791">
        <v>4250</v>
      </c>
      <c r="BK1791">
        <v>50</v>
      </c>
      <c r="BL1791" t="s">
        <v>188</v>
      </c>
      <c r="BM1791">
        <v>1</v>
      </c>
      <c r="BN1791">
        <v>1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 t="shared" si="709"/>
        <v>15:09:30.711</v>
      </c>
      <c r="CF1791">
        <v>710872483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5</v>
      </c>
      <c r="CY1791">
        <v>7</v>
      </c>
      <c r="CZ1791" t="s">
        <v>133</v>
      </c>
      <c r="DA1791">
        <v>273</v>
      </c>
      <c r="DB1791">
        <v>0</v>
      </c>
      <c r="DC1791" t="s">
        <v>292</v>
      </c>
      <c r="DD1791" t="s">
        <v>293</v>
      </c>
      <c r="DG1791">
        <v>4862779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"05/01/2025 15:09:30.928"</f>
        <v>05/01/2025 15:09:30.928</v>
      </c>
      <c r="C1792" t="str">
        <f t="shared" si="684"/>
        <v>FFDFD3C0</v>
      </c>
      <c r="D1792" t="s">
        <v>124</v>
      </c>
      <c r="E1792" t="str">
        <f>"06"</f>
        <v>06</v>
      </c>
      <c r="F1792">
        <v>2006</v>
      </c>
      <c r="G1792" t="s">
        <v>125</v>
      </c>
      <c r="J1792" t="s">
        <v>126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R1792" t="s">
        <v>127</v>
      </c>
      <c r="S1792" t="str">
        <f t="shared" si="708"/>
        <v>15:09:30.000</v>
      </c>
      <c r="T1792" t="str">
        <f t="shared" si="708"/>
        <v>15:09:30.000</v>
      </c>
      <c r="U1792" t="str">
        <f t="shared" si="686"/>
        <v>A68FCB</v>
      </c>
      <c r="V1792">
        <v>0</v>
      </c>
      <c r="W1792">
        <v>0</v>
      </c>
      <c r="X1792">
        <v>2</v>
      </c>
      <c r="Y1792">
        <v>0</v>
      </c>
      <c r="AA1792">
        <v>1</v>
      </c>
      <c r="AB1792">
        <v>8</v>
      </c>
      <c r="AC1792">
        <v>3</v>
      </c>
      <c r="AD1792">
        <v>0</v>
      </c>
      <c r="AE1792">
        <v>9</v>
      </c>
      <c r="AF1792" t="s">
        <v>138</v>
      </c>
      <c r="AG1792">
        <v>0</v>
      </c>
      <c r="AH1792">
        <v>3</v>
      </c>
      <c r="AI1792">
        <v>2</v>
      </c>
      <c r="AJ1792">
        <v>0</v>
      </c>
      <c r="AK1792" t="s">
        <v>644</v>
      </c>
      <c r="AL1792">
        <v>39.035818999999996</v>
      </c>
      <c r="AM1792" t="s">
        <v>645</v>
      </c>
      <c r="AN1792">
        <v>-121.045024</v>
      </c>
      <c r="AO1792">
        <v>25</v>
      </c>
      <c r="AP1792">
        <v>4200</v>
      </c>
      <c r="AQ1792" t="s">
        <v>131</v>
      </c>
      <c r="AR1792">
        <v>18</v>
      </c>
      <c r="AS1792">
        <v>77</v>
      </c>
      <c r="AT1792">
        <v>448</v>
      </c>
      <c r="BB1792" t="str">
        <f t="shared" si="687"/>
        <v>1200</v>
      </c>
      <c r="BC1792">
        <v>1</v>
      </c>
      <c r="BD1792" t="str">
        <f t="shared" si="688"/>
        <v xml:space="preserve">N52156  </v>
      </c>
      <c r="BE1792">
        <v>1</v>
      </c>
      <c r="BG1792">
        <v>0</v>
      </c>
      <c r="BH1792">
        <v>0</v>
      </c>
      <c r="BI1792">
        <v>0</v>
      </c>
      <c r="BJ1792">
        <v>4250</v>
      </c>
      <c r="BK1792">
        <v>50</v>
      </c>
      <c r="BL1792" t="s">
        <v>188</v>
      </c>
      <c r="BM1792">
        <v>1</v>
      </c>
      <c r="BN1792">
        <v>1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 t="shared" si="709"/>
        <v>15:09:30.711</v>
      </c>
      <c r="CF1792">
        <v>710872483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5</v>
      </c>
      <c r="CY1792">
        <v>7</v>
      </c>
      <c r="CZ1792" t="s">
        <v>133</v>
      </c>
      <c r="DA1792">
        <v>273</v>
      </c>
      <c r="DB1792">
        <v>0</v>
      </c>
      <c r="DC1792" t="s">
        <v>292</v>
      </c>
      <c r="DD1792" t="s">
        <v>293</v>
      </c>
      <c r="DG1792">
        <v>4862779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"05/01/2025 15:09:30.934"</f>
        <v>05/01/2025 15:09:30.934</v>
      </c>
      <c r="C1793" t="str">
        <f t="shared" si="684"/>
        <v>FFDFD3C0</v>
      </c>
      <c r="D1793" t="s">
        <v>143</v>
      </c>
      <c r="E1793" t="str">
        <f>"05"</f>
        <v>05</v>
      </c>
      <c r="H1793">
        <v>172</v>
      </c>
      <c r="I1793" t="s">
        <v>141</v>
      </c>
      <c r="J1793" t="s">
        <v>144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R1793" t="s">
        <v>127</v>
      </c>
      <c r="S1793" t="str">
        <f t="shared" si="708"/>
        <v>15:09:30.000</v>
      </c>
      <c r="T1793" t="str">
        <f t="shared" si="708"/>
        <v>15:09:30.000</v>
      </c>
      <c r="U1793" t="str">
        <f t="shared" si="686"/>
        <v>A68FCB</v>
      </c>
      <c r="V1793">
        <v>0</v>
      </c>
      <c r="W1793">
        <v>0</v>
      </c>
      <c r="X1793">
        <v>2</v>
      </c>
      <c r="Y1793">
        <v>0</v>
      </c>
      <c r="AA1793">
        <v>1</v>
      </c>
      <c r="AB1793">
        <v>8</v>
      </c>
      <c r="AC1793">
        <v>3</v>
      </c>
      <c r="AD1793">
        <v>0</v>
      </c>
      <c r="AE1793">
        <v>9</v>
      </c>
      <c r="AF1793" t="s">
        <v>138</v>
      </c>
      <c r="AG1793">
        <v>0</v>
      </c>
      <c r="AH1793">
        <v>3</v>
      </c>
      <c r="AI1793">
        <v>2</v>
      </c>
      <c r="AJ1793">
        <v>0</v>
      </c>
      <c r="AK1793" t="s">
        <v>644</v>
      </c>
      <c r="AL1793">
        <v>39.035818999999996</v>
      </c>
      <c r="AM1793" t="s">
        <v>645</v>
      </c>
      <c r="AN1793">
        <v>-121.045024</v>
      </c>
      <c r="AO1793">
        <v>25</v>
      </c>
      <c r="AP1793">
        <v>4200</v>
      </c>
      <c r="AQ1793" t="s">
        <v>131</v>
      </c>
      <c r="AR1793">
        <v>18</v>
      </c>
      <c r="AS1793">
        <v>77</v>
      </c>
      <c r="AT1793">
        <v>448</v>
      </c>
      <c r="BB1793" t="str">
        <f t="shared" si="687"/>
        <v>1200</v>
      </c>
      <c r="BC1793">
        <v>1</v>
      </c>
      <c r="BD1793" t="str">
        <f t="shared" si="688"/>
        <v xml:space="preserve">N52156  </v>
      </c>
      <c r="BE1793">
        <v>1</v>
      </c>
      <c r="BG1793">
        <v>0</v>
      </c>
      <c r="BH1793">
        <v>0</v>
      </c>
      <c r="BI1793">
        <v>0</v>
      </c>
      <c r="BJ1793">
        <v>4250</v>
      </c>
      <c r="BK1793">
        <v>50</v>
      </c>
      <c r="BL1793" t="s">
        <v>188</v>
      </c>
      <c r="BM1793">
        <v>1</v>
      </c>
      <c r="BN1793">
        <v>1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 t="shared" si="709"/>
        <v>15:09:30.711</v>
      </c>
      <c r="CF1793">
        <v>710872483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133</v>
      </c>
      <c r="DA1793">
        <v>273</v>
      </c>
      <c r="DB1793">
        <v>0</v>
      </c>
      <c r="DC1793" t="s">
        <v>292</v>
      </c>
      <c r="DD1793" t="s">
        <v>293</v>
      </c>
      <c r="DG1793">
        <v>4862779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"05/01/2025 15:09:30.939"</f>
        <v>05/01/2025 15:09:30.939</v>
      </c>
      <c r="C1794" t="str">
        <f t="shared" ref="C1794:C1857" si="710">"FFDFD3C0"</f>
        <v>FFDFD3C0</v>
      </c>
      <c r="D1794" t="s">
        <v>136</v>
      </c>
      <c r="E1794" t="str">
        <f>"20"</f>
        <v>20</v>
      </c>
      <c r="H1794">
        <v>400</v>
      </c>
      <c r="I1794" t="s">
        <v>137</v>
      </c>
      <c r="J1794" t="s">
        <v>138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R1794" t="s">
        <v>127</v>
      </c>
      <c r="S1794" t="str">
        <f t="shared" si="708"/>
        <v>15:09:30.000</v>
      </c>
      <c r="T1794" t="str">
        <f t="shared" si="708"/>
        <v>15:09:30.000</v>
      </c>
      <c r="U1794" t="str">
        <f t="shared" ref="U1794:U1857" si="711">"A68FCB"</f>
        <v>A68FCB</v>
      </c>
      <c r="V1794">
        <v>0</v>
      </c>
      <c r="W1794">
        <v>0</v>
      </c>
      <c r="X1794">
        <v>2</v>
      </c>
      <c r="Y1794">
        <v>0</v>
      </c>
      <c r="AA1794">
        <v>1</v>
      </c>
      <c r="AB1794">
        <v>8</v>
      </c>
      <c r="AC1794">
        <v>3</v>
      </c>
      <c r="AD1794">
        <v>0</v>
      </c>
      <c r="AE1794">
        <v>9</v>
      </c>
      <c r="AF1794" t="s">
        <v>138</v>
      </c>
      <c r="AG1794">
        <v>0</v>
      </c>
      <c r="AH1794">
        <v>3</v>
      </c>
      <c r="AI1794">
        <v>2</v>
      </c>
      <c r="AJ1794">
        <v>0</v>
      </c>
      <c r="AK1794" t="s">
        <v>644</v>
      </c>
      <c r="AL1794">
        <v>39.035818999999996</v>
      </c>
      <c r="AM1794" t="s">
        <v>645</v>
      </c>
      <c r="AN1794">
        <v>-121.045024</v>
      </c>
      <c r="AO1794">
        <v>25</v>
      </c>
      <c r="AP1794">
        <v>4200</v>
      </c>
      <c r="AQ1794" t="s">
        <v>131</v>
      </c>
      <c r="AR1794">
        <v>18</v>
      </c>
      <c r="AS1794">
        <v>77</v>
      </c>
      <c r="AT1794">
        <v>448</v>
      </c>
      <c r="BB1794" t="str">
        <f t="shared" ref="BB1794:BB1857" si="712">"1200"</f>
        <v>1200</v>
      </c>
      <c r="BC1794">
        <v>1</v>
      </c>
      <c r="BD1794" t="str">
        <f t="shared" ref="BD1794:BD1857" si="713">"N52156  "</f>
        <v xml:space="preserve">N52156  </v>
      </c>
      <c r="BE1794">
        <v>1</v>
      </c>
      <c r="BG1794">
        <v>0</v>
      </c>
      <c r="BH1794">
        <v>0</v>
      </c>
      <c r="BI1794">
        <v>0</v>
      </c>
      <c r="BJ1794">
        <v>4250</v>
      </c>
      <c r="BK1794">
        <v>50</v>
      </c>
      <c r="BL1794" t="s">
        <v>188</v>
      </c>
      <c r="BM1794">
        <v>1</v>
      </c>
      <c r="BN1794">
        <v>1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 t="shared" si="709"/>
        <v>15:09:30.711</v>
      </c>
      <c r="CF1794">
        <v>710872483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5</v>
      </c>
      <c r="CY1794">
        <v>7</v>
      </c>
      <c r="CZ1794" t="s">
        <v>133</v>
      </c>
      <c r="DA1794">
        <v>273</v>
      </c>
      <c r="DB1794">
        <v>0</v>
      </c>
      <c r="DC1794" t="s">
        <v>292</v>
      </c>
      <c r="DD1794" t="s">
        <v>293</v>
      </c>
      <c r="DG1794">
        <v>4862779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"05/01/2025 15:09:30.967"</f>
        <v>05/01/2025 15:09:30.967</v>
      </c>
      <c r="C1795" t="str">
        <f t="shared" si="710"/>
        <v>FFDFD3C0</v>
      </c>
      <c r="D1795" t="s">
        <v>140</v>
      </c>
      <c r="E1795" t="str">
        <f>"13"</f>
        <v>13</v>
      </c>
      <c r="F1795">
        <v>1019</v>
      </c>
      <c r="G1795" t="s">
        <v>141</v>
      </c>
      <c r="J1795" t="s">
        <v>142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R1795" t="s">
        <v>127</v>
      </c>
      <c r="S1795" t="str">
        <f t="shared" si="708"/>
        <v>15:09:30.000</v>
      </c>
      <c r="T1795" t="str">
        <f t="shared" si="708"/>
        <v>15:09:30.000</v>
      </c>
      <c r="U1795" t="str">
        <f t="shared" si="711"/>
        <v>A68FCB</v>
      </c>
      <c r="V1795">
        <v>0</v>
      </c>
      <c r="W1795">
        <v>0</v>
      </c>
      <c r="X1795">
        <v>2</v>
      </c>
      <c r="Y1795">
        <v>0</v>
      </c>
      <c r="AA1795">
        <v>1</v>
      </c>
      <c r="AB1795">
        <v>8</v>
      </c>
      <c r="AC1795">
        <v>3</v>
      </c>
      <c r="AD1795">
        <v>0</v>
      </c>
      <c r="AE1795">
        <v>9</v>
      </c>
      <c r="AF1795" t="s">
        <v>138</v>
      </c>
      <c r="AG1795">
        <v>0</v>
      </c>
      <c r="AH1795">
        <v>3</v>
      </c>
      <c r="AI1795">
        <v>2</v>
      </c>
      <c r="AJ1795">
        <v>0</v>
      </c>
      <c r="AK1795" t="s">
        <v>644</v>
      </c>
      <c r="AL1795">
        <v>39.035818999999996</v>
      </c>
      <c r="AM1795" t="s">
        <v>645</v>
      </c>
      <c r="AN1795">
        <v>-121.045024</v>
      </c>
      <c r="AO1795">
        <v>25</v>
      </c>
      <c r="AP1795">
        <v>4200</v>
      </c>
      <c r="AQ1795" t="s">
        <v>131</v>
      </c>
      <c r="AR1795">
        <v>18</v>
      </c>
      <c r="AS1795">
        <v>77</v>
      </c>
      <c r="AT1795">
        <v>448</v>
      </c>
      <c r="BB1795" t="str">
        <f t="shared" si="712"/>
        <v>1200</v>
      </c>
      <c r="BC1795">
        <v>1</v>
      </c>
      <c r="BD1795" t="str">
        <f t="shared" si="713"/>
        <v xml:space="preserve">N52156  </v>
      </c>
      <c r="BE1795">
        <v>1</v>
      </c>
      <c r="BG1795">
        <v>0</v>
      </c>
      <c r="BH1795">
        <v>0</v>
      </c>
      <c r="BI1795">
        <v>0</v>
      </c>
      <c r="BJ1795">
        <v>4250</v>
      </c>
      <c r="BK1795">
        <v>50</v>
      </c>
      <c r="BL1795" t="s">
        <v>188</v>
      </c>
      <c r="BM1795">
        <v>1</v>
      </c>
      <c r="BN1795">
        <v>1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 t="shared" si="709"/>
        <v>15:09:30.711</v>
      </c>
      <c r="CF1795">
        <v>710872483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5</v>
      </c>
      <c r="CY1795">
        <v>7</v>
      </c>
      <c r="CZ1795" t="s">
        <v>133</v>
      </c>
      <c r="DA1795">
        <v>273</v>
      </c>
      <c r="DB1795">
        <v>0</v>
      </c>
      <c r="DC1795" t="s">
        <v>292</v>
      </c>
      <c r="DD1795" t="s">
        <v>293</v>
      </c>
      <c r="DG1795">
        <v>4862779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"05/01/2025 15:09:31.518"</f>
        <v>05/01/2025 15:09:31.518</v>
      </c>
      <c r="C1796" t="str">
        <f t="shared" si="710"/>
        <v>FFDFD3C0</v>
      </c>
      <c r="D1796" t="s">
        <v>140</v>
      </c>
      <c r="E1796" t="str">
        <f>"13"</f>
        <v>13</v>
      </c>
      <c r="F1796">
        <v>1019</v>
      </c>
      <c r="G1796" t="s">
        <v>141</v>
      </c>
      <c r="J1796" t="s">
        <v>142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R1796" t="s">
        <v>127</v>
      </c>
      <c r="S1796" t="str">
        <f t="shared" ref="S1796:T1801" si="714">"15:09:31.000"</f>
        <v>15:09:31.000</v>
      </c>
      <c r="T1796" t="str">
        <f t="shared" si="714"/>
        <v>15:09:31.000</v>
      </c>
      <c r="U1796" t="str">
        <f t="shared" si="711"/>
        <v>A68FCB</v>
      </c>
      <c r="V1796">
        <v>0</v>
      </c>
      <c r="W1796">
        <v>0</v>
      </c>
      <c r="X1796">
        <v>2</v>
      </c>
      <c r="Y1796">
        <v>0</v>
      </c>
      <c r="AA1796">
        <v>1</v>
      </c>
      <c r="AB1796">
        <v>8</v>
      </c>
      <c r="AC1796">
        <v>3</v>
      </c>
      <c r="AD1796">
        <v>0</v>
      </c>
      <c r="AE1796">
        <v>9</v>
      </c>
      <c r="AF1796" t="s">
        <v>138</v>
      </c>
      <c r="AG1796">
        <v>0</v>
      </c>
      <c r="AH1796">
        <v>3</v>
      </c>
      <c r="AI1796">
        <v>2</v>
      </c>
      <c r="AJ1796">
        <v>0</v>
      </c>
      <c r="AK1796" t="s">
        <v>646</v>
      </c>
      <c r="AL1796">
        <v>39.036183000000001</v>
      </c>
      <c r="AM1796" t="s">
        <v>647</v>
      </c>
      <c r="AN1796">
        <v>-121.04489599999999</v>
      </c>
      <c r="AO1796">
        <v>25</v>
      </c>
      <c r="AP1796">
        <v>4300</v>
      </c>
      <c r="AQ1796" t="s">
        <v>131</v>
      </c>
      <c r="AR1796">
        <v>19</v>
      </c>
      <c r="AS1796">
        <v>79</v>
      </c>
      <c r="AT1796">
        <v>448</v>
      </c>
      <c r="BB1796" t="str">
        <f t="shared" si="712"/>
        <v>1200</v>
      </c>
      <c r="BC1796">
        <v>1</v>
      </c>
      <c r="BD1796" t="str">
        <f t="shared" si="713"/>
        <v xml:space="preserve">N52156  </v>
      </c>
      <c r="BE1796">
        <v>1</v>
      </c>
      <c r="BG1796">
        <v>0</v>
      </c>
      <c r="BH1796">
        <v>0</v>
      </c>
      <c r="BI1796">
        <v>0</v>
      </c>
      <c r="BJ1796">
        <v>4250</v>
      </c>
      <c r="BK1796">
        <v>-50</v>
      </c>
      <c r="BL1796" t="s">
        <v>188</v>
      </c>
      <c r="BM1796">
        <v>1</v>
      </c>
      <c r="BN1796">
        <v>1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 t="shared" ref="CE1796:CE1801" si="715">"15:09:31.308"</f>
        <v>15:09:31.308</v>
      </c>
      <c r="CF1796">
        <v>307621429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133</v>
      </c>
      <c r="DA1796">
        <v>273</v>
      </c>
      <c r="DB1796">
        <v>0</v>
      </c>
      <c r="DC1796" t="s">
        <v>292</v>
      </c>
      <c r="DD1796" t="s">
        <v>293</v>
      </c>
      <c r="DG1796">
        <v>4862785</v>
      </c>
      <c r="DI1796">
        <v>1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"05/01/2025 15:09:31.526"</f>
        <v>05/01/2025 15:09:31.526</v>
      </c>
      <c r="C1797" t="str">
        <f t="shared" si="710"/>
        <v>FFDFD3C0</v>
      </c>
      <c r="D1797" t="s">
        <v>145</v>
      </c>
      <c r="E1797" t="str">
        <f>"05"</f>
        <v>05</v>
      </c>
      <c r="H1797">
        <v>47</v>
      </c>
      <c r="I1797" t="s">
        <v>146</v>
      </c>
      <c r="J1797" t="s">
        <v>138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R1797" t="s">
        <v>127</v>
      </c>
      <c r="S1797" t="str">
        <f t="shared" si="714"/>
        <v>15:09:31.000</v>
      </c>
      <c r="T1797" t="str">
        <f t="shared" si="714"/>
        <v>15:09:31.000</v>
      </c>
      <c r="U1797" t="str">
        <f t="shared" si="711"/>
        <v>A68FCB</v>
      </c>
      <c r="V1797">
        <v>0</v>
      </c>
      <c r="W1797">
        <v>0</v>
      </c>
      <c r="X1797">
        <v>2</v>
      </c>
      <c r="Y1797">
        <v>0</v>
      </c>
      <c r="AA1797">
        <v>1</v>
      </c>
      <c r="AB1797">
        <v>8</v>
      </c>
      <c r="AC1797">
        <v>3</v>
      </c>
      <c r="AD1797">
        <v>0</v>
      </c>
      <c r="AE1797">
        <v>9</v>
      </c>
      <c r="AF1797" t="s">
        <v>138</v>
      </c>
      <c r="AG1797">
        <v>0</v>
      </c>
      <c r="AH1797">
        <v>3</v>
      </c>
      <c r="AI1797">
        <v>2</v>
      </c>
      <c r="AJ1797">
        <v>0</v>
      </c>
      <c r="AK1797" t="s">
        <v>646</v>
      </c>
      <c r="AL1797">
        <v>39.036183000000001</v>
      </c>
      <c r="AM1797" t="s">
        <v>647</v>
      </c>
      <c r="AN1797">
        <v>-121.04489599999999</v>
      </c>
      <c r="AO1797">
        <v>25</v>
      </c>
      <c r="AP1797">
        <v>4300</v>
      </c>
      <c r="AQ1797" t="s">
        <v>131</v>
      </c>
      <c r="AR1797">
        <v>19</v>
      </c>
      <c r="AS1797">
        <v>79</v>
      </c>
      <c r="AT1797">
        <v>448</v>
      </c>
      <c r="BB1797" t="str">
        <f t="shared" si="712"/>
        <v>1200</v>
      </c>
      <c r="BC1797">
        <v>1</v>
      </c>
      <c r="BD1797" t="str">
        <f t="shared" si="713"/>
        <v xml:space="preserve">N52156  </v>
      </c>
      <c r="BE1797">
        <v>1</v>
      </c>
      <c r="BG1797">
        <v>0</v>
      </c>
      <c r="BH1797">
        <v>0</v>
      </c>
      <c r="BI1797">
        <v>0</v>
      </c>
      <c r="BJ1797">
        <v>4250</v>
      </c>
      <c r="BK1797">
        <v>-50</v>
      </c>
      <c r="BL1797" t="s">
        <v>188</v>
      </c>
      <c r="BM1797">
        <v>1</v>
      </c>
      <c r="BN1797">
        <v>1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 t="shared" si="715"/>
        <v>15:09:31.308</v>
      </c>
      <c r="CF1797">
        <v>307621429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133</v>
      </c>
      <c r="DA1797">
        <v>273</v>
      </c>
      <c r="DB1797">
        <v>0</v>
      </c>
      <c r="DC1797" t="s">
        <v>292</v>
      </c>
      <c r="DD1797" t="s">
        <v>293</v>
      </c>
      <c r="DG1797">
        <v>4862785</v>
      </c>
      <c r="DI1797">
        <v>1</v>
      </c>
      <c r="DJ1797">
        <v>0</v>
      </c>
      <c r="DK1797">
        <v>1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"05/01/2025 15:09:31.529"</f>
        <v>05/01/2025 15:09:31.529</v>
      </c>
      <c r="C1798" t="str">
        <f t="shared" si="710"/>
        <v>FFDFD3C0</v>
      </c>
      <c r="D1798" t="s">
        <v>124</v>
      </c>
      <c r="E1798" t="str">
        <f>"06"</f>
        <v>06</v>
      </c>
      <c r="F1798">
        <v>2006</v>
      </c>
      <c r="G1798" t="s">
        <v>125</v>
      </c>
      <c r="J1798" t="s">
        <v>126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R1798" t="s">
        <v>127</v>
      </c>
      <c r="S1798" t="str">
        <f t="shared" si="714"/>
        <v>15:09:31.000</v>
      </c>
      <c r="T1798" t="str">
        <f t="shared" si="714"/>
        <v>15:09:31.000</v>
      </c>
      <c r="U1798" t="str">
        <f t="shared" si="711"/>
        <v>A68FCB</v>
      </c>
      <c r="V1798">
        <v>0</v>
      </c>
      <c r="W1798">
        <v>0</v>
      </c>
      <c r="X1798">
        <v>2</v>
      </c>
      <c r="Y1798">
        <v>0</v>
      </c>
      <c r="AA1798">
        <v>1</v>
      </c>
      <c r="AB1798">
        <v>8</v>
      </c>
      <c r="AC1798">
        <v>3</v>
      </c>
      <c r="AD1798">
        <v>0</v>
      </c>
      <c r="AE1798">
        <v>9</v>
      </c>
      <c r="AF1798" t="s">
        <v>138</v>
      </c>
      <c r="AG1798">
        <v>0</v>
      </c>
      <c r="AH1798">
        <v>3</v>
      </c>
      <c r="AI1798">
        <v>2</v>
      </c>
      <c r="AJ1798">
        <v>0</v>
      </c>
      <c r="AK1798" t="s">
        <v>646</v>
      </c>
      <c r="AL1798">
        <v>39.036183000000001</v>
      </c>
      <c r="AM1798" t="s">
        <v>647</v>
      </c>
      <c r="AN1798">
        <v>-121.04489599999999</v>
      </c>
      <c r="AO1798">
        <v>25</v>
      </c>
      <c r="AP1798">
        <v>4300</v>
      </c>
      <c r="AQ1798" t="s">
        <v>131</v>
      </c>
      <c r="AR1798">
        <v>19</v>
      </c>
      <c r="AS1798">
        <v>79</v>
      </c>
      <c r="AT1798">
        <v>448</v>
      </c>
      <c r="BB1798" t="str">
        <f t="shared" si="712"/>
        <v>1200</v>
      </c>
      <c r="BC1798">
        <v>1</v>
      </c>
      <c r="BD1798" t="str">
        <f t="shared" si="713"/>
        <v xml:space="preserve">N52156  </v>
      </c>
      <c r="BE1798">
        <v>1</v>
      </c>
      <c r="BG1798">
        <v>0</v>
      </c>
      <c r="BH1798">
        <v>0</v>
      </c>
      <c r="BI1798">
        <v>0</v>
      </c>
      <c r="BJ1798">
        <v>4250</v>
      </c>
      <c r="BK1798">
        <v>-50</v>
      </c>
      <c r="BL1798" t="s">
        <v>188</v>
      </c>
      <c r="BM1798">
        <v>1</v>
      </c>
      <c r="BN1798">
        <v>1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 t="shared" si="715"/>
        <v>15:09:31.308</v>
      </c>
      <c r="CF1798">
        <v>307621429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133</v>
      </c>
      <c r="DA1798">
        <v>273</v>
      </c>
      <c r="DB1798">
        <v>0</v>
      </c>
      <c r="DC1798" t="s">
        <v>292</v>
      </c>
      <c r="DD1798" t="s">
        <v>293</v>
      </c>
      <c r="DG1798">
        <v>4862785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"05/01/2025 15:09:31.530"</f>
        <v>05/01/2025 15:09:31.530</v>
      </c>
      <c r="C1799" t="str">
        <f t="shared" si="710"/>
        <v>FFDFD3C0</v>
      </c>
      <c r="D1799" t="s">
        <v>145</v>
      </c>
      <c r="E1799" t="str">
        <f>"09"</f>
        <v>09</v>
      </c>
      <c r="H1799">
        <v>51</v>
      </c>
      <c r="I1799" t="s">
        <v>147</v>
      </c>
      <c r="J1799" t="s">
        <v>138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R1799" t="s">
        <v>127</v>
      </c>
      <c r="S1799" t="str">
        <f t="shared" si="714"/>
        <v>15:09:31.000</v>
      </c>
      <c r="T1799" t="str">
        <f t="shared" si="714"/>
        <v>15:09:31.000</v>
      </c>
      <c r="U1799" t="str">
        <f t="shared" si="711"/>
        <v>A68FCB</v>
      </c>
      <c r="V1799">
        <v>0</v>
      </c>
      <c r="W1799">
        <v>0</v>
      </c>
      <c r="X1799">
        <v>2</v>
      </c>
      <c r="Y1799">
        <v>0</v>
      </c>
      <c r="AA1799">
        <v>1</v>
      </c>
      <c r="AB1799">
        <v>8</v>
      </c>
      <c r="AC1799">
        <v>3</v>
      </c>
      <c r="AD1799">
        <v>0</v>
      </c>
      <c r="AE1799">
        <v>9</v>
      </c>
      <c r="AF1799" t="s">
        <v>138</v>
      </c>
      <c r="AG1799">
        <v>0</v>
      </c>
      <c r="AH1799">
        <v>3</v>
      </c>
      <c r="AI1799">
        <v>2</v>
      </c>
      <c r="AJ1799">
        <v>0</v>
      </c>
      <c r="AK1799" t="s">
        <v>646</v>
      </c>
      <c r="AL1799">
        <v>39.036183000000001</v>
      </c>
      <c r="AM1799" t="s">
        <v>647</v>
      </c>
      <c r="AN1799">
        <v>-121.04489599999999</v>
      </c>
      <c r="AO1799">
        <v>25</v>
      </c>
      <c r="AP1799">
        <v>4300</v>
      </c>
      <c r="AQ1799" t="s">
        <v>131</v>
      </c>
      <c r="AR1799">
        <v>19</v>
      </c>
      <c r="AS1799">
        <v>79</v>
      </c>
      <c r="AT1799">
        <v>448</v>
      </c>
      <c r="BB1799" t="str">
        <f t="shared" si="712"/>
        <v>1200</v>
      </c>
      <c r="BC1799">
        <v>1</v>
      </c>
      <c r="BD1799" t="str">
        <f t="shared" si="713"/>
        <v xml:space="preserve">N52156  </v>
      </c>
      <c r="BE1799">
        <v>1</v>
      </c>
      <c r="BG1799">
        <v>0</v>
      </c>
      <c r="BH1799">
        <v>0</v>
      </c>
      <c r="BI1799">
        <v>0</v>
      </c>
      <c r="BJ1799">
        <v>4250</v>
      </c>
      <c r="BK1799">
        <v>-50</v>
      </c>
      <c r="BL1799" t="s">
        <v>188</v>
      </c>
      <c r="BM1799">
        <v>1</v>
      </c>
      <c r="BN1799">
        <v>1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 t="shared" si="715"/>
        <v>15:09:31.308</v>
      </c>
      <c r="CF1799">
        <v>307621429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133</v>
      </c>
      <c r="DA1799">
        <v>273</v>
      </c>
      <c r="DB1799">
        <v>0</v>
      </c>
      <c r="DC1799" t="s">
        <v>292</v>
      </c>
      <c r="DD1799" t="s">
        <v>293</v>
      </c>
      <c r="DG1799">
        <v>4862785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"05/01/2025 15:09:31.535"</f>
        <v>05/01/2025 15:09:31.535</v>
      </c>
      <c r="C1800" t="str">
        <f t="shared" si="710"/>
        <v>FFDFD3C0</v>
      </c>
      <c r="D1800" t="s">
        <v>143</v>
      </c>
      <c r="E1800" t="str">
        <f>"05"</f>
        <v>05</v>
      </c>
      <c r="H1800">
        <v>172</v>
      </c>
      <c r="I1800" t="s">
        <v>141</v>
      </c>
      <c r="J1800" t="s">
        <v>144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R1800" t="s">
        <v>127</v>
      </c>
      <c r="S1800" t="str">
        <f t="shared" si="714"/>
        <v>15:09:31.000</v>
      </c>
      <c r="T1800" t="str">
        <f t="shared" si="714"/>
        <v>15:09:31.000</v>
      </c>
      <c r="U1800" t="str">
        <f t="shared" si="711"/>
        <v>A68FCB</v>
      </c>
      <c r="V1800">
        <v>0</v>
      </c>
      <c r="W1800">
        <v>0</v>
      </c>
      <c r="X1800">
        <v>2</v>
      </c>
      <c r="Y1800">
        <v>0</v>
      </c>
      <c r="AA1800">
        <v>1</v>
      </c>
      <c r="AB1800">
        <v>8</v>
      </c>
      <c r="AC1800">
        <v>3</v>
      </c>
      <c r="AD1800">
        <v>0</v>
      </c>
      <c r="AE1800">
        <v>9</v>
      </c>
      <c r="AF1800" t="s">
        <v>138</v>
      </c>
      <c r="AG1800">
        <v>0</v>
      </c>
      <c r="AH1800">
        <v>3</v>
      </c>
      <c r="AI1800">
        <v>2</v>
      </c>
      <c r="AJ1800">
        <v>0</v>
      </c>
      <c r="AK1800" t="s">
        <v>646</v>
      </c>
      <c r="AL1800">
        <v>39.036183000000001</v>
      </c>
      <c r="AM1800" t="s">
        <v>647</v>
      </c>
      <c r="AN1800">
        <v>-121.04489599999999</v>
      </c>
      <c r="AO1800">
        <v>25</v>
      </c>
      <c r="AP1800">
        <v>4300</v>
      </c>
      <c r="AQ1800" t="s">
        <v>131</v>
      </c>
      <c r="AR1800">
        <v>19</v>
      </c>
      <c r="AS1800">
        <v>79</v>
      </c>
      <c r="AT1800">
        <v>448</v>
      </c>
      <c r="BB1800" t="str">
        <f t="shared" si="712"/>
        <v>1200</v>
      </c>
      <c r="BC1800">
        <v>1</v>
      </c>
      <c r="BD1800" t="str">
        <f t="shared" si="713"/>
        <v xml:space="preserve">N52156  </v>
      </c>
      <c r="BE1800">
        <v>1</v>
      </c>
      <c r="BG1800">
        <v>0</v>
      </c>
      <c r="BH1800">
        <v>0</v>
      </c>
      <c r="BI1800">
        <v>0</v>
      </c>
      <c r="BJ1800">
        <v>4250</v>
      </c>
      <c r="BK1800">
        <v>-50</v>
      </c>
      <c r="BL1800" t="s">
        <v>188</v>
      </c>
      <c r="BM1800">
        <v>1</v>
      </c>
      <c r="BN1800">
        <v>1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 t="shared" si="715"/>
        <v>15:09:31.308</v>
      </c>
      <c r="CF1800">
        <v>307621429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133</v>
      </c>
      <c r="DA1800">
        <v>273</v>
      </c>
      <c r="DB1800">
        <v>0</v>
      </c>
      <c r="DC1800" t="s">
        <v>292</v>
      </c>
      <c r="DD1800" t="s">
        <v>293</v>
      </c>
      <c r="DG1800">
        <v>4862785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"05/01/2025 15:09:31.539"</f>
        <v>05/01/2025 15:09:31.539</v>
      </c>
      <c r="C1801" t="str">
        <f t="shared" si="710"/>
        <v>FFDFD3C0</v>
      </c>
      <c r="D1801" t="s">
        <v>136</v>
      </c>
      <c r="E1801" t="str">
        <f>"20"</f>
        <v>20</v>
      </c>
      <c r="H1801">
        <v>400</v>
      </c>
      <c r="I1801" t="s">
        <v>137</v>
      </c>
      <c r="J1801" t="s">
        <v>138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R1801" t="s">
        <v>127</v>
      </c>
      <c r="S1801" t="str">
        <f t="shared" si="714"/>
        <v>15:09:31.000</v>
      </c>
      <c r="T1801" t="str">
        <f t="shared" si="714"/>
        <v>15:09:31.000</v>
      </c>
      <c r="U1801" t="str">
        <f t="shared" si="711"/>
        <v>A68FCB</v>
      </c>
      <c r="V1801">
        <v>0</v>
      </c>
      <c r="W1801">
        <v>0</v>
      </c>
      <c r="X1801">
        <v>2</v>
      </c>
      <c r="Y1801">
        <v>0</v>
      </c>
      <c r="AA1801">
        <v>1</v>
      </c>
      <c r="AB1801">
        <v>8</v>
      </c>
      <c r="AC1801">
        <v>3</v>
      </c>
      <c r="AD1801">
        <v>0</v>
      </c>
      <c r="AE1801">
        <v>9</v>
      </c>
      <c r="AF1801" t="s">
        <v>138</v>
      </c>
      <c r="AG1801">
        <v>0</v>
      </c>
      <c r="AH1801">
        <v>3</v>
      </c>
      <c r="AI1801">
        <v>2</v>
      </c>
      <c r="AJ1801">
        <v>0</v>
      </c>
      <c r="AK1801" t="s">
        <v>646</v>
      </c>
      <c r="AL1801">
        <v>39.036183000000001</v>
      </c>
      <c r="AM1801" t="s">
        <v>647</v>
      </c>
      <c r="AN1801">
        <v>-121.04489599999999</v>
      </c>
      <c r="AO1801">
        <v>25</v>
      </c>
      <c r="AP1801">
        <v>4300</v>
      </c>
      <c r="AQ1801" t="s">
        <v>131</v>
      </c>
      <c r="AR1801">
        <v>19</v>
      </c>
      <c r="AS1801">
        <v>79</v>
      </c>
      <c r="AT1801">
        <v>448</v>
      </c>
      <c r="BB1801" t="str">
        <f t="shared" si="712"/>
        <v>1200</v>
      </c>
      <c r="BC1801">
        <v>1</v>
      </c>
      <c r="BD1801" t="str">
        <f t="shared" si="713"/>
        <v xml:space="preserve">N52156  </v>
      </c>
      <c r="BE1801">
        <v>1</v>
      </c>
      <c r="BG1801">
        <v>0</v>
      </c>
      <c r="BH1801">
        <v>0</v>
      </c>
      <c r="BI1801">
        <v>0</v>
      </c>
      <c r="BJ1801">
        <v>4250</v>
      </c>
      <c r="BK1801">
        <v>-50</v>
      </c>
      <c r="BL1801" t="s">
        <v>188</v>
      </c>
      <c r="BM1801">
        <v>1</v>
      </c>
      <c r="BN1801">
        <v>1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 t="shared" si="715"/>
        <v>15:09:31.308</v>
      </c>
      <c r="CF1801">
        <v>307621429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133</v>
      </c>
      <c r="DA1801">
        <v>273</v>
      </c>
      <c r="DB1801">
        <v>0</v>
      </c>
      <c r="DC1801" t="s">
        <v>292</v>
      </c>
      <c r="DD1801" t="s">
        <v>293</v>
      </c>
      <c r="DG1801">
        <v>4862785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"05/01/2025 15:09:32.870"</f>
        <v>05/01/2025 15:09:32.870</v>
      </c>
      <c r="C1802" t="str">
        <f t="shared" si="710"/>
        <v>FFDFD3C0</v>
      </c>
      <c r="D1802" t="s">
        <v>140</v>
      </c>
      <c r="E1802" t="str">
        <f>"13"</f>
        <v>13</v>
      </c>
      <c r="F1802">
        <v>1019</v>
      </c>
      <c r="G1802" t="s">
        <v>141</v>
      </c>
      <c r="J1802" t="s">
        <v>142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R1802" t="s">
        <v>127</v>
      </c>
      <c r="S1802" t="str">
        <f t="shared" ref="S1802:T1807" si="716">"15:09:32.000"</f>
        <v>15:09:32.000</v>
      </c>
      <c r="T1802" t="str">
        <f t="shared" si="716"/>
        <v>15:09:32.000</v>
      </c>
      <c r="U1802" t="str">
        <f t="shared" si="711"/>
        <v>A68FCB</v>
      </c>
      <c r="V1802">
        <v>0</v>
      </c>
      <c r="W1802">
        <v>0</v>
      </c>
      <c r="X1802">
        <v>2</v>
      </c>
      <c r="Y1802">
        <v>0</v>
      </c>
      <c r="AA1802">
        <v>1</v>
      </c>
      <c r="AB1802">
        <v>8</v>
      </c>
      <c r="AC1802">
        <v>3</v>
      </c>
      <c r="AD1802">
        <v>0</v>
      </c>
      <c r="AE1802">
        <v>9</v>
      </c>
      <c r="AF1802" t="s">
        <v>138</v>
      </c>
      <c r="AG1802">
        <v>0</v>
      </c>
      <c r="AH1802">
        <v>3</v>
      </c>
      <c r="AI1802">
        <v>2</v>
      </c>
      <c r="AJ1802">
        <v>0</v>
      </c>
      <c r="AK1802" t="s">
        <v>648</v>
      </c>
      <c r="AL1802">
        <v>39.036569999999998</v>
      </c>
      <c r="AM1802" t="s">
        <v>649</v>
      </c>
      <c r="AN1802">
        <v>-121.044788</v>
      </c>
      <c r="AO1802">
        <v>25</v>
      </c>
      <c r="AP1802">
        <v>4200</v>
      </c>
      <c r="AQ1802" t="s">
        <v>131</v>
      </c>
      <c r="AR1802">
        <v>17</v>
      </c>
      <c r="AS1802">
        <v>77</v>
      </c>
      <c r="AT1802">
        <v>384</v>
      </c>
      <c r="BB1802" t="str">
        <f t="shared" si="712"/>
        <v>1200</v>
      </c>
      <c r="BC1802">
        <v>1</v>
      </c>
      <c r="BD1802" t="str">
        <f t="shared" si="713"/>
        <v xml:space="preserve">N52156  </v>
      </c>
      <c r="BE1802">
        <v>1</v>
      </c>
      <c r="BG1802">
        <v>0</v>
      </c>
      <c r="BH1802">
        <v>0</v>
      </c>
      <c r="BI1802">
        <v>0</v>
      </c>
      <c r="BJ1802">
        <v>4275</v>
      </c>
      <c r="BK1802">
        <v>75</v>
      </c>
      <c r="BL1802" t="s">
        <v>188</v>
      </c>
      <c r="BM1802">
        <v>1</v>
      </c>
      <c r="BN1802">
        <v>1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 t="shared" ref="CE1802:CE1807" si="717">"15:09:32.660"</f>
        <v>15:09:32.660</v>
      </c>
      <c r="CF1802">
        <v>660211677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4</v>
      </c>
      <c r="CY1802">
        <v>7</v>
      </c>
      <c r="CZ1802" t="s">
        <v>133</v>
      </c>
      <c r="DA1802">
        <v>275</v>
      </c>
      <c r="DB1802">
        <v>0</v>
      </c>
      <c r="DC1802" t="s">
        <v>134</v>
      </c>
      <c r="DD1802" t="s">
        <v>135</v>
      </c>
      <c r="DG1802">
        <v>3320897</v>
      </c>
      <c r="DI1802">
        <v>1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"05/01/2025 15:09:32.879"</f>
        <v>05/01/2025 15:09:32.879</v>
      </c>
      <c r="C1803" t="str">
        <f t="shared" si="710"/>
        <v>FFDFD3C0</v>
      </c>
      <c r="D1803" t="s">
        <v>145</v>
      </c>
      <c r="E1803" t="str">
        <f>"05"</f>
        <v>05</v>
      </c>
      <c r="H1803">
        <v>47</v>
      </c>
      <c r="I1803" t="s">
        <v>146</v>
      </c>
      <c r="J1803" t="s">
        <v>138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R1803" t="s">
        <v>127</v>
      </c>
      <c r="S1803" t="str">
        <f t="shared" si="716"/>
        <v>15:09:32.000</v>
      </c>
      <c r="T1803" t="str">
        <f t="shared" si="716"/>
        <v>15:09:32.000</v>
      </c>
      <c r="U1803" t="str">
        <f t="shared" si="711"/>
        <v>A68FCB</v>
      </c>
      <c r="V1803">
        <v>0</v>
      </c>
      <c r="W1803">
        <v>0</v>
      </c>
      <c r="X1803">
        <v>2</v>
      </c>
      <c r="Y1803">
        <v>0</v>
      </c>
      <c r="AA1803">
        <v>1</v>
      </c>
      <c r="AB1803">
        <v>8</v>
      </c>
      <c r="AC1803">
        <v>3</v>
      </c>
      <c r="AD1803">
        <v>0</v>
      </c>
      <c r="AE1803">
        <v>9</v>
      </c>
      <c r="AF1803" t="s">
        <v>138</v>
      </c>
      <c r="AG1803">
        <v>0</v>
      </c>
      <c r="AH1803">
        <v>3</v>
      </c>
      <c r="AI1803">
        <v>2</v>
      </c>
      <c r="AJ1803">
        <v>0</v>
      </c>
      <c r="AK1803" t="s">
        <v>648</v>
      </c>
      <c r="AL1803">
        <v>39.036569999999998</v>
      </c>
      <c r="AM1803" t="s">
        <v>649</v>
      </c>
      <c r="AN1803">
        <v>-121.044788</v>
      </c>
      <c r="AO1803">
        <v>25</v>
      </c>
      <c r="AP1803">
        <v>4200</v>
      </c>
      <c r="AQ1803" t="s">
        <v>131</v>
      </c>
      <c r="AR1803">
        <v>17</v>
      </c>
      <c r="AS1803">
        <v>77</v>
      </c>
      <c r="AT1803">
        <v>384</v>
      </c>
      <c r="BB1803" t="str">
        <f t="shared" si="712"/>
        <v>1200</v>
      </c>
      <c r="BC1803">
        <v>1</v>
      </c>
      <c r="BD1803" t="str">
        <f t="shared" si="713"/>
        <v xml:space="preserve">N52156  </v>
      </c>
      <c r="BE1803">
        <v>1</v>
      </c>
      <c r="BG1803">
        <v>0</v>
      </c>
      <c r="BH1803">
        <v>0</v>
      </c>
      <c r="BI1803">
        <v>0</v>
      </c>
      <c r="BJ1803">
        <v>4275</v>
      </c>
      <c r="BK1803">
        <v>75</v>
      </c>
      <c r="BL1803" t="s">
        <v>188</v>
      </c>
      <c r="BM1803">
        <v>1</v>
      </c>
      <c r="BN1803">
        <v>1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 t="shared" si="717"/>
        <v>15:09:32.660</v>
      </c>
      <c r="CF1803">
        <v>660211677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4</v>
      </c>
      <c r="CY1803">
        <v>7</v>
      </c>
      <c r="CZ1803" t="s">
        <v>133</v>
      </c>
      <c r="DA1803">
        <v>275</v>
      </c>
      <c r="DB1803">
        <v>0</v>
      </c>
      <c r="DC1803" t="s">
        <v>134</v>
      </c>
      <c r="DD1803" t="s">
        <v>135</v>
      </c>
      <c r="DG1803">
        <v>3320897</v>
      </c>
      <c r="DI1803">
        <v>1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"05/01/2025 15:09:32.881"</f>
        <v>05/01/2025 15:09:32.881</v>
      </c>
      <c r="C1804" t="str">
        <f t="shared" si="710"/>
        <v>FFDFD3C0</v>
      </c>
      <c r="D1804" t="s">
        <v>124</v>
      </c>
      <c r="E1804" t="str">
        <f>"06"</f>
        <v>06</v>
      </c>
      <c r="F1804">
        <v>2006</v>
      </c>
      <c r="G1804" t="s">
        <v>125</v>
      </c>
      <c r="J1804" t="s">
        <v>126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R1804" t="s">
        <v>127</v>
      </c>
      <c r="S1804" t="str">
        <f t="shared" si="716"/>
        <v>15:09:32.000</v>
      </c>
      <c r="T1804" t="str">
        <f t="shared" si="716"/>
        <v>15:09:32.000</v>
      </c>
      <c r="U1804" t="str">
        <f t="shared" si="711"/>
        <v>A68FCB</v>
      </c>
      <c r="V1804">
        <v>0</v>
      </c>
      <c r="W1804">
        <v>0</v>
      </c>
      <c r="X1804">
        <v>2</v>
      </c>
      <c r="Y1804">
        <v>0</v>
      </c>
      <c r="AA1804">
        <v>1</v>
      </c>
      <c r="AB1804">
        <v>8</v>
      </c>
      <c r="AC1804">
        <v>3</v>
      </c>
      <c r="AD1804">
        <v>0</v>
      </c>
      <c r="AE1804">
        <v>9</v>
      </c>
      <c r="AF1804" t="s">
        <v>138</v>
      </c>
      <c r="AG1804">
        <v>0</v>
      </c>
      <c r="AH1804">
        <v>3</v>
      </c>
      <c r="AI1804">
        <v>2</v>
      </c>
      <c r="AJ1804">
        <v>0</v>
      </c>
      <c r="AK1804" t="s">
        <v>648</v>
      </c>
      <c r="AL1804">
        <v>39.036569999999998</v>
      </c>
      <c r="AM1804" t="s">
        <v>649</v>
      </c>
      <c r="AN1804">
        <v>-121.044788</v>
      </c>
      <c r="AO1804">
        <v>25</v>
      </c>
      <c r="AP1804">
        <v>4200</v>
      </c>
      <c r="AQ1804" t="s">
        <v>131</v>
      </c>
      <c r="AR1804">
        <v>17</v>
      </c>
      <c r="AS1804">
        <v>77</v>
      </c>
      <c r="AT1804">
        <v>384</v>
      </c>
      <c r="BB1804" t="str">
        <f t="shared" si="712"/>
        <v>1200</v>
      </c>
      <c r="BC1804">
        <v>1</v>
      </c>
      <c r="BD1804" t="str">
        <f t="shared" si="713"/>
        <v xml:space="preserve">N52156  </v>
      </c>
      <c r="BE1804">
        <v>1</v>
      </c>
      <c r="BG1804">
        <v>0</v>
      </c>
      <c r="BH1804">
        <v>0</v>
      </c>
      <c r="BI1804">
        <v>0</v>
      </c>
      <c r="BJ1804">
        <v>4275</v>
      </c>
      <c r="BK1804">
        <v>75</v>
      </c>
      <c r="BL1804" t="s">
        <v>188</v>
      </c>
      <c r="BM1804">
        <v>1</v>
      </c>
      <c r="BN1804">
        <v>1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 t="shared" si="717"/>
        <v>15:09:32.660</v>
      </c>
      <c r="CF1804">
        <v>660211677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4</v>
      </c>
      <c r="CY1804">
        <v>7</v>
      </c>
      <c r="CZ1804" t="s">
        <v>133</v>
      </c>
      <c r="DA1804">
        <v>275</v>
      </c>
      <c r="DB1804">
        <v>0</v>
      </c>
      <c r="DC1804" t="s">
        <v>134</v>
      </c>
      <c r="DD1804" t="s">
        <v>135</v>
      </c>
      <c r="DG1804">
        <v>3320897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"05/01/2025 15:09:32.882"</f>
        <v>05/01/2025 15:09:32.882</v>
      </c>
      <c r="C1805" t="str">
        <f t="shared" si="710"/>
        <v>FFDFD3C0</v>
      </c>
      <c r="D1805" t="s">
        <v>145</v>
      </c>
      <c r="E1805" t="str">
        <f>"09"</f>
        <v>09</v>
      </c>
      <c r="H1805">
        <v>51</v>
      </c>
      <c r="I1805" t="s">
        <v>147</v>
      </c>
      <c r="J1805" t="s">
        <v>138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R1805" t="s">
        <v>127</v>
      </c>
      <c r="S1805" t="str">
        <f t="shared" si="716"/>
        <v>15:09:32.000</v>
      </c>
      <c r="T1805" t="str">
        <f t="shared" si="716"/>
        <v>15:09:32.000</v>
      </c>
      <c r="U1805" t="str">
        <f t="shared" si="711"/>
        <v>A68FCB</v>
      </c>
      <c r="V1805">
        <v>0</v>
      </c>
      <c r="W1805">
        <v>0</v>
      </c>
      <c r="X1805">
        <v>2</v>
      </c>
      <c r="Y1805">
        <v>0</v>
      </c>
      <c r="AA1805">
        <v>1</v>
      </c>
      <c r="AB1805">
        <v>8</v>
      </c>
      <c r="AC1805">
        <v>3</v>
      </c>
      <c r="AD1805">
        <v>0</v>
      </c>
      <c r="AE1805">
        <v>9</v>
      </c>
      <c r="AF1805" t="s">
        <v>138</v>
      </c>
      <c r="AG1805">
        <v>0</v>
      </c>
      <c r="AH1805">
        <v>3</v>
      </c>
      <c r="AI1805">
        <v>2</v>
      </c>
      <c r="AJ1805">
        <v>0</v>
      </c>
      <c r="AK1805" t="s">
        <v>648</v>
      </c>
      <c r="AL1805">
        <v>39.036569999999998</v>
      </c>
      <c r="AM1805" t="s">
        <v>649</v>
      </c>
      <c r="AN1805">
        <v>-121.044788</v>
      </c>
      <c r="AO1805">
        <v>25</v>
      </c>
      <c r="AP1805">
        <v>4200</v>
      </c>
      <c r="AQ1805" t="s">
        <v>131</v>
      </c>
      <c r="AR1805">
        <v>17</v>
      </c>
      <c r="AS1805">
        <v>77</v>
      </c>
      <c r="AT1805">
        <v>384</v>
      </c>
      <c r="BB1805" t="str">
        <f t="shared" si="712"/>
        <v>1200</v>
      </c>
      <c r="BC1805">
        <v>1</v>
      </c>
      <c r="BD1805" t="str">
        <f t="shared" si="713"/>
        <v xml:space="preserve">N52156  </v>
      </c>
      <c r="BE1805">
        <v>1</v>
      </c>
      <c r="BG1805">
        <v>0</v>
      </c>
      <c r="BH1805">
        <v>0</v>
      </c>
      <c r="BI1805">
        <v>0</v>
      </c>
      <c r="BJ1805">
        <v>4275</v>
      </c>
      <c r="BK1805">
        <v>75</v>
      </c>
      <c r="BL1805" t="s">
        <v>188</v>
      </c>
      <c r="BM1805">
        <v>1</v>
      </c>
      <c r="BN1805">
        <v>1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 t="shared" si="717"/>
        <v>15:09:32.660</v>
      </c>
      <c r="CF1805">
        <v>660211677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4</v>
      </c>
      <c r="CY1805">
        <v>7</v>
      </c>
      <c r="CZ1805" t="s">
        <v>133</v>
      </c>
      <c r="DA1805">
        <v>275</v>
      </c>
      <c r="DB1805">
        <v>0</v>
      </c>
      <c r="DC1805" t="s">
        <v>134</v>
      </c>
      <c r="DD1805" t="s">
        <v>135</v>
      </c>
      <c r="DG1805">
        <v>3320897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"05/01/2025 15:09:32.887"</f>
        <v>05/01/2025 15:09:32.887</v>
      </c>
      <c r="C1806" t="str">
        <f t="shared" si="710"/>
        <v>FFDFD3C0</v>
      </c>
      <c r="D1806" t="s">
        <v>143</v>
      </c>
      <c r="E1806" t="str">
        <f>"05"</f>
        <v>05</v>
      </c>
      <c r="H1806">
        <v>172</v>
      </c>
      <c r="I1806" t="s">
        <v>141</v>
      </c>
      <c r="J1806" t="s">
        <v>144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R1806" t="s">
        <v>127</v>
      </c>
      <c r="S1806" t="str">
        <f t="shared" si="716"/>
        <v>15:09:32.000</v>
      </c>
      <c r="T1806" t="str">
        <f t="shared" si="716"/>
        <v>15:09:32.000</v>
      </c>
      <c r="U1806" t="str">
        <f t="shared" si="711"/>
        <v>A68FCB</v>
      </c>
      <c r="V1806">
        <v>0</v>
      </c>
      <c r="W1806">
        <v>0</v>
      </c>
      <c r="X1806">
        <v>2</v>
      </c>
      <c r="Y1806">
        <v>0</v>
      </c>
      <c r="AA1806">
        <v>1</v>
      </c>
      <c r="AB1806">
        <v>8</v>
      </c>
      <c r="AC1806">
        <v>3</v>
      </c>
      <c r="AD1806">
        <v>0</v>
      </c>
      <c r="AE1806">
        <v>9</v>
      </c>
      <c r="AF1806" t="s">
        <v>138</v>
      </c>
      <c r="AG1806">
        <v>0</v>
      </c>
      <c r="AH1806">
        <v>3</v>
      </c>
      <c r="AI1806">
        <v>2</v>
      </c>
      <c r="AJ1806">
        <v>0</v>
      </c>
      <c r="AK1806" t="s">
        <v>648</v>
      </c>
      <c r="AL1806">
        <v>39.036569999999998</v>
      </c>
      <c r="AM1806" t="s">
        <v>649</v>
      </c>
      <c r="AN1806">
        <v>-121.044788</v>
      </c>
      <c r="AO1806">
        <v>25</v>
      </c>
      <c r="AP1806">
        <v>4200</v>
      </c>
      <c r="AQ1806" t="s">
        <v>131</v>
      </c>
      <c r="AR1806">
        <v>17</v>
      </c>
      <c r="AS1806">
        <v>77</v>
      </c>
      <c r="AT1806">
        <v>384</v>
      </c>
      <c r="BB1806" t="str">
        <f t="shared" si="712"/>
        <v>1200</v>
      </c>
      <c r="BC1806">
        <v>1</v>
      </c>
      <c r="BD1806" t="str">
        <f t="shared" si="713"/>
        <v xml:space="preserve">N52156  </v>
      </c>
      <c r="BE1806">
        <v>1</v>
      </c>
      <c r="BG1806">
        <v>0</v>
      </c>
      <c r="BH1806">
        <v>0</v>
      </c>
      <c r="BI1806">
        <v>0</v>
      </c>
      <c r="BJ1806">
        <v>4275</v>
      </c>
      <c r="BK1806">
        <v>75</v>
      </c>
      <c r="BL1806" t="s">
        <v>188</v>
      </c>
      <c r="BM1806">
        <v>1</v>
      </c>
      <c r="BN1806">
        <v>1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 t="shared" si="717"/>
        <v>15:09:32.660</v>
      </c>
      <c r="CF1806">
        <v>660211677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4</v>
      </c>
      <c r="CY1806">
        <v>7</v>
      </c>
      <c r="CZ1806" t="s">
        <v>133</v>
      </c>
      <c r="DA1806">
        <v>275</v>
      </c>
      <c r="DB1806">
        <v>0</v>
      </c>
      <c r="DC1806" t="s">
        <v>134</v>
      </c>
      <c r="DD1806" t="s">
        <v>135</v>
      </c>
      <c r="DG1806">
        <v>3320897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"05/01/2025 15:09:32.892"</f>
        <v>05/01/2025 15:09:32.892</v>
      </c>
      <c r="C1807" t="str">
        <f t="shared" si="710"/>
        <v>FFDFD3C0</v>
      </c>
      <c r="D1807" t="s">
        <v>136</v>
      </c>
      <c r="E1807" t="str">
        <f>"20"</f>
        <v>20</v>
      </c>
      <c r="H1807">
        <v>400</v>
      </c>
      <c r="I1807" t="s">
        <v>137</v>
      </c>
      <c r="J1807" t="s">
        <v>138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R1807" t="s">
        <v>127</v>
      </c>
      <c r="S1807" t="str">
        <f t="shared" si="716"/>
        <v>15:09:32.000</v>
      </c>
      <c r="T1807" t="str">
        <f t="shared" si="716"/>
        <v>15:09:32.000</v>
      </c>
      <c r="U1807" t="str">
        <f t="shared" si="711"/>
        <v>A68FCB</v>
      </c>
      <c r="V1807">
        <v>0</v>
      </c>
      <c r="W1807">
        <v>0</v>
      </c>
      <c r="X1807">
        <v>2</v>
      </c>
      <c r="Y1807">
        <v>0</v>
      </c>
      <c r="AA1807">
        <v>1</v>
      </c>
      <c r="AB1807">
        <v>8</v>
      </c>
      <c r="AC1807">
        <v>3</v>
      </c>
      <c r="AD1807">
        <v>0</v>
      </c>
      <c r="AE1807">
        <v>9</v>
      </c>
      <c r="AF1807" t="s">
        <v>138</v>
      </c>
      <c r="AG1807">
        <v>0</v>
      </c>
      <c r="AH1807">
        <v>3</v>
      </c>
      <c r="AI1807">
        <v>2</v>
      </c>
      <c r="AJ1807">
        <v>0</v>
      </c>
      <c r="AK1807" t="s">
        <v>648</v>
      </c>
      <c r="AL1807">
        <v>39.036569999999998</v>
      </c>
      <c r="AM1807" t="s">
        <v>649</v>
      </c>
      <c r="AN1807">
        <v>-121.044788</v>
      </c>
      <c r="AO1807">
        <v>25</v>
      </c>
      <c r="AP1807">
        <v>4200</v>
      </c>
      <c r="AQ1807" t="s">
        <v>131</v>
      </c>
      <c r="AR1807">
        <v>17</v>
      </c>
      <c r="AS1807">
        <v>77</v>
      </c>
      <c r="AT1807">
        <v>384</v>
      </c>
      <c r="BB1807" t="str">
        <f t="shared" si="712"/>
        <v>1200</v>
      </c>
      <c r="BC1807">
        <v>1</v>
      </c>
      <c r="BD1807" t="str">
        <f t="shared" si="713"/>
        <v xml:space="preserve">N52156  </v>
      </c>
      <c r="BE1807">
        <v>1</v>
      </c>
      <c r="BG1807">
        <v>0</v>
      </c>
      <c r="BH1807">
        <v>0</v>
      </c>
      <c r="BI1807">
        <v>0</v>
      </c>
      <c r="BJ1807">
        <v>4275</v>
      </c>
      <c r="BK1807">
        <v>75</v>
      </c>
      <c r="BL1807" t="s">
        <v>188</v>
      </c>
      <c r="BM1807">
        <v>1</v>
      </c>
      <c r="BN1807">
        <v>1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 t="shared" si="717"/>
        <v>15:09:32.660</v>
      </c>
      <c r="CF1807">
        <v>660211677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4</v>
      </c>
      <c r="CY1807">
        <v>7</v>
      </c>
      <c r="CZ1807" t="s">
        <v>133</v>
      </c>
      <c r="DA1807">
        <v>275</v>
      </c>
      <c r="DB1807">
        <v>0</v>
      </c>
      <c r="DC1807" t="s">
        <v>134</v>
      </c>
      <c r="DD1807" t="s">
        <v>135</v>
      </c>
      <c r="DG1807">
        <v>3320897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"05/01/2025 15:09:33.871"</f>
        <v>05/01/2025 15:09:33.871</v>
      </c>
      <c r="C1808" t="str">
        <f t="shared" si="710"/>
        <v>FFDFD3C0</v>
      </c>
      <c r="D1808" t="s">
        <v>140</v>
      </c>
      <c r="E1808" t="str">
        <f>"13"</f>
        <v>13</v>
      </c>
      <c r="F1808">
        <v>1019</v>
      </c>
      <c r="G1808" t="s">
        <v>141</v>
      </c>
      <c r="J1808" t="s">
        <v>142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R1808" t="s">
        <v>127</v>
      </c>
      <c r="S1808" t="str">
        <f t="shared" ref="S1808:T1813" si="718">"15:09:33.000"</f>
        <v>15:09:33.000</v>
      </c>
      <c r="T1808" t="str">
        <f t="shared" si="718"/>
        <v>15:09:33.000</v>
      </c>
      <c r="U1808" t="str">
        <f t="shared" si="711"/>
        <v>A68FCB</v>
      </c>
      <c r="V1808">
        <v>0</v>
      </c>
      <c r="W1808">
        <v>0</v>
      </c>
      <c r="X1808">
        <v>2</v>
      </c>
      <c r="Y1808">
        <v>0</v>
      </c>
      <c r="AA1808">
        <v>1</v>
      </c>
      <c r="AB1808">
        <v>8</v>
      </c>
      <c r="AC1808">
        <v>3</v>
      </c>
      <c r="AD1808">
        <v>0</v>
      </c>
      <c r="AE1808">
        <v>9</v>
      </c>
      <c r="AF1808" t="s">
        <v>138</v>
      </c>
      <c r="AG1808">
        <v>0</v>
      </c>
      <c r="AH1808">
        <v>3</v>
      </c>
      <c r="AI1808">
        <v>2</v>
      </c>
      <c r="AJ1808">
        <v>0</v>
      </c>
      <c r="AK1808" t="s">
        <v>650</v>
      </c>
      <c r="AL1808">
        <v>39.036934000000002</v>
      </c>
      <c r="AM1808" t="s">
        <v>651</v>
      </c>
      <c r="AN1808">
        <v>-121.044681</v>
      </c>
      <c r="AO1808">
        <v>25</v>
      </c>
      <c r="AP1808">
        <v>4300</v>
      </c>
      <c r="AQ1808" t="s">
        <v>131</v>
      </c>
      <c r="AR1808">
        <v>18</v>
      </c>
      <c r="AS1808">
        <v>78</v>
      </c>
      <c r="AT1808">
        <v>384</v>
      </c>
      <c r="BB1808" t="str">
        <f t="shared" si="712"/>
        <v>1200</v>
      </c>
      <c r="BC1808">
        <v>1</v>
      </c>
      <c r="BD1808" t="str">
        <f t="shared" si="713"/>
        <v xml:space="preserve">N52156  </v>
      </c>
      <c r="BE1808">
        <v>1</v>
      </c>
      <c r="BG1808">
        <v>0</v>
      </c>
      <c r="BH1808">
        <v>0</v>
      </c>
      <c r="BI1808">
        <v>0</v>
      </c>
      <c r="BJ1808">
        <v>4275</v>
      </c>
      <c r="BK1808">
        <v>-25</v>
      </c>
      <c r="BL1808" t="s">
        <v>188</v>
      </c>
      <c r="BM1808">
        <v>1</v>
      </c>
      <c r="BN1808">
        <v>1</v>
      </c>
      <c r="BO1808">
        <v>0</v>
      </c>
      <c r="BP1808">
        <v>0</v>
      </c>
      <c r="BS1808">
        <v>0</v>
      </c>
      <c r="BT1808">
        <v>0</v>
      </c>
      <c r="BU1808">
        <v>0</v>
      </c>
      <c r="CE1808" t="str">
        <f t="shared" ref="CE1808:CE1813" si="719">"15:09:33.659"</f>
        <v>15:09:33.659</v>
      </c>
      <c r="CF1808">
        <v>659461775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4</v>
      </c>
      <c r="CY1808">
        <v>7</v>
      </c>
      <c r="CZ1808" t="s">
        <v>133</v>
      </c>
      <c r="DA1808">
        <v>275</v>
      </c>
      <c r="DB1808">
        <v>0</v>
      </c>
      <c r="DC1808" t="s">
        <v>134</v>
      </c>
      <c r="DD1808" t="s">
        <v>135</v>
      </c>
      <c r="DG1808">
        <v>3320905</v>
      </c>
      <c r="DI1808">
        <v>1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"05/01/2025 15:09:33.882"</f>
        <v>05/01/2025 15:09:33.882</v>
      </c>
      <c r="C1809" t="str">
        <f t="shared" si="710"/>
        <v>FFDFD3C0</v>
      </c>
      <c r="D1809" t="s">
        <v>124</v>
      </c>
      <c r="E1809" t="str">
        <f>"06"</f>
        <v>06</v>
      </c>
      <c r="F1809">
        <v>2006</v>
      </c>
      <c r="G1809" t="s">
        <v>125</v>
      </c>
      <c r="J1809" t="s">
        <v>126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R1809" t="s">
        <v>127</v>
      </c>
      <c r="S1809" t="str">
        <f t="shared" si="718"/>
        <v>15:09:33.000</v>
      </c>
      <c r="T1809" t="str">
        <f t="shared" si="718"/>
        <v>15:09:33.000</v>
      </c>
      <c r="U1809" t="str">
        <f t="shared" si="711"/>
        <v>A68FCB</v>
      </c>
      <c r="V1809">
        <v>0</v>
      </c>
      <c r="W1809">
        <v>0</v>
      </c>
      <c r="X1809">
        <v>2</v>
      </c>
      <c r="Y1809">
        <v>0</v>
      </c>
      <c r="AA1809">
        <v>1</v>
      </c>
      <c r="AB1809">
        <v>8</v>
      </c>
      <c r="AC1809">
        <v>3</v>
      </c>
      <c r="AD1809">
        <v>0</v>
      </c>
      <c r="AE1809">
        <v>9</v>
      </c>
      <c r="AF1809" t="s">
        <v>138</v>
      </c>
      <c r="AG1809">
        <v>0</v>
      </c>
      <c r="AH1809">
        <v>3</v>
      </c>
      <c r="AI1809">
        <v>2</v>
      </c>
      <c r="AJ1809">
        <v>0</v>
      </c>
      <c r="AK1809" t="s">
        <v>650</v>
      </c>
      <c r="AL1809">
        <v>39.036934000000002</v>
      </c>
      <c r="AM1809" t="s">
        <v>651</v>
      </c>
      <c r="AN1809">
        <v>-121.044681</v>
      </c>
      <c r="AO1809">
        <v>25</v>
      </c>
      <c r="AP1809">
        <v>4300</v>
      </c>
      <c r="AQ1809" t="s">
        <v>131</v>
      </c>
      <c r="AR1809">
        <v>18</v>
      </c>
      <c r="AS1809">
        <v>78</v>
      </c>
      <c r="AT1809">
        <v>384</v>
      </c>
      <c r="BB1809" t="str">
        <f t="shared" si="712"/>
        <v>1200</v>
      </c>
      <c r="BC1809">
        <v>1</v>
      </c>
      <c r="BD1809" t="str">
        <f t="shared" si="713"/>
        <v xml:space="preserve">N52156  </v>
      </c>
      <c r="BE1809">
        <v>1</v>
      </c>
      <c r="BG1809">
        <v>0</v>
      </c>
      <c r="BH1809">
        <v>0</v>
      </c>
      <c r="BI1809">
        <v>0</v>
      </c>
      <c r="BJ1809">
        <v>4275</v>
      </c>
      <c r="BK1809">
        <v>-25</v>
      </c>
      <c r="BL1809" t="s">
        <v>188</v>
      </c>
      <c r="BM1809">
        <v>1</v>
      </c>
      <c r="BN1809">
        <v>1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 t="shared" si="719"/>
        <v>15:09:33.659</v>
      </c>
      <c r="CF1809">
        <v>659461775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4</v>
      </c>
      <c r="CY1809">
        <v>7</v>
      </c>
      <c r="CZ1809" t="s">
        <v>133</v>
      </c>
      <c r="DA1809">
        <v>275</v>
      </c>
      <c r="DB1809">
        <v>0</v>
      </c>
      <c r="DC1809" t="s">
        <v>134</v>
      </c>
      <c r="DD1809" t="s">
        <v>135</v>
      </c>
      <c r="DG1809">
        <v>3320905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"05/01/2025 15:09:33.880"</f>
        <v>05/01/2025 15:09:33.880</v>
      </c>
      <c r="C1810" t="str">
        <f t="shared" si="710"/>
        <v>FFDFD3C0</v>
      </c>
      <c r="D1810" t="s">
        <v>145</v>
      </c>
      <c r="E1810" t="str">
        <f>"05"</f>
        <v>05</v>
      </c>
      <c r="H1810">
        <v>47</v>
      </c>
      <c r="I1810" t="s">
        <v>146</v>
      </c>
      <c r="J1810" t="s">
        <v>138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R1810" t="s">
        <v>127</v>
      </c>
      <c r="S1810" t="str">
        <f t="shared" si="718"/>
        <v>15:09:33.000</v>
      </c>
      <c r="T1810" t="str">
        <f t="shared" si="718"/>
        <v>15:09:33.000</v>
      </c>
      <c r="U1810" t="str">
        <f t="shared" si="711"/>
        <v>A68FCB</v>
      </c>
      <c r="V1810">
        <v>0</v>
      </c>
      <c r="W1810">
        <v>0</v>
      </c>
      <c r="X1810">
        <v>2</v>
      </c>
      <c r="Y1810">
        <v>0</v>
      </c>
      <c r="AA1810">
        <v>1</v>
      </c>
      <c r="AB1810">
        <v>8</v>
      </c>
      <c r="AC1810">
        <v>3</v>
      </c>
      <c r="AD1810">
        <v>0</v>
      </c>
      <c r="AE1810">
        <v>9</v>
      </c>
      <c r="AF1810" t="s">
        <v>138</v>
      </c>
      <c r="AG1810">
        <v>0</v>
      </c>
      <c r="AH1810">
        <v>3</v>
      </c>
      <c r="AI1810">
        <v>2</v>
      </c>
      <c r="AJ1810">
        <v>0</v>
      </c>
      <c r="AK1810" t="s">
        <v>650</v>
      </c>
      <c r="AL1810">
        <v>39.036934000000002</v>
      </c>
      <c r="AM1810" t="s">
        <v>651</v>
      </c>
      <c r="AN1810">
        <v>-121.044681</v>
      </c>
      <c r="AO1810">
        <v>25</v>
      </c>
      <c r="AP1810">
        <v>4300</v>
      </c>
      <c r="AQ1810" t="s">
        <v>131</v>
      </c>
      <c r="AR1810">
        <v>18</v>
      </c>
      <c r="AS1810">
        <v>78</v>
      </c>
      <c r="AT1810">
        <v>384</v>
      </c>
      <c r="BB1810" t="str">
        <f t="shared" si="712"/>
        <v>1200</v>
      </c>
      <c r="BC1810">
        <v>1</v>
      </c>
      <c r="BD1810" t="str">
        <f t="shared" si="713"/>
        <v xml:space="preserve">N52156  </v>
      </c>
      <c r="BE1810">
        <v>1</v>
      </c>
      <c r="BG1810">
        <v>0</v>
      </c>
      <c r="BH1810">
        <v>0</v>
      </c>
      <c r="BI1810">
        <v>0</v>
      </c>
      <c r="BJ1810">
        <v>4275</v>
      </c>
      <c r="BK1810">
        <v>-25</v>
      </c>
      <c r="BL1810" t="s">
        <v>188</v>
      </c>
      <c r="BM1810">
        <v>1</v>
      </c>
      <c r="BN1810">
        <v>1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 t="shared" si="719"/>
        <v>15:09:33.659</v>
      </c>
      <c r="CF1810">
        <v>659461775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4</v>
      </c>
      <c r="CY1810">
        <v>7</v>
      </c>
      <c r="CZ1810" t="s">
        <v>133</v>
      </c>
      <c r="DA1810">
        <v>275</v>
      </c>
      <c r="DB1810">
        <v>0</v>
      </c>
      <c r="DC1810" t="s">
        <v>134</v>
      </c>
      <c r="DD1810" t="s">
        <v>135</v>
      </c>
      <c r="DG1810">
        <v>3320905</v>
      </c>
      <c r="DI1810">
        <v>1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"05/01/2025 15:09:33.884"</f>
        <v>05/01/2025 15:09:33.884</v>
      </c>
      <c r="C1811" t="str">
        <f t="shared" si="710"/>
        <v>FFDFD3C0</v>
      </c>
      <c r="D1811" t="s">
        <v>145</v>
      </c>
      <c r="E1811" t="str">
        <f>"09"</f>
        <v>09</v>
      </c>
      <c r="H1811">
        <v>51</v>
      </c>
      <c r="I1811" t="s">
        <v>147</v>
      </c>
      <c r="J1811" t="s">
        <v>138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R1811" t="s">
        <v>127</v>
      </c>
      <c r="S1811" t="str">
        <f t="shared" si="718"/>
        <v>15:09:33.000</v>
      </c>
      <c r="T1811" t="str">
        <f t="shared" si="718"/>
        <v>15:09:33.000</v>
      </c>
      <c r="U1811" t="str">
        <f t="shared" si="711"/>
        <v>A68FCB</v>
      </c>
      <c r="V1811">
        <v>0</v>
      </c>
      <c r="W1811">
        <v>0</v>
      </c>
      <c r="X1811">
        <v>2</v>
      </c>
      <c r="Y1811">
        <v>0</v>
      </c>
      <c r="AA1811">
        <v>1</v>
      </c>
      <c r="AB1811">
        <v>8</v>
      </c>
      <c r="AC1811">
        <v>3</v>
      </c>
      <c r="AD1811">
        <v>0</v>
      </c>
      <c r="AE1811">
        <v>9</v>
      </c>
      <c r="AF1811" t="s">
        <v>138</v>
      </c>
      <c r="AG1811">
        <v>0</v>
      </c>
      <c r="AH1811">
        <v>3</v>
      </c>
      <c r="AI1811">
        <v>2</v>
      </c>
      <c r="AJ1811">
        <v>0</v>
      </c>
      <c r="AK1811" t="s">
        <v>650</v>
      </c>
      <c r="AL1811">
        <v>39.036934000000002</v>
      </c>
      <c r="AM1811" t="s">
        <v>651</v>
      </c>
      <c r="AN1811">
        <v>-121.044681</v>
      </c>
      <c r="AO1811">
        <v>25</v>
      </c>
      <c r="AP1811">
        <v>4300</v>
      </c>
      <c r="AQ1811" t="s">
        <v>131</v>
      </c>
      <c r="AR1811">
        <v>18</v>
      </c>
      <c r="AS1811">
        <v>78</v>
      </c>
      <c r="AT1811">
        <v>384</v>
      </c>
      <c r="BB1811" t="str">
        <f t="shared" si="712"/>
        <v>1200</v>
      </c>
      <c r="BC1811">
        <v>1</v>
      </c>
      <c r="BD1811" t="str">
        <f t="shared" si="713"/>
        <v xml:space="preserve">N52156  </v>
      </c>
      <c r="BE1811">
        <v>1</v>
      </c>
      <c r="BG1811">
        <v>0</v>
      </c>
      <c r="BH1811">
        <v>0</v>
      </c>
      <c r="BI1811">
        <v>0</v>
      </c>
      <c r="BJ1811">
        <v>4275</v>
      </c>
      <c r="BK1811">
        <v>-25</v>
      </c>
      <c r="BL1811" t="s">
        <v>188</v>
      </c>
      <c r="BM1811">
        <v>1</v>
      </c>
      <c r="BN1811">
        <v>1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 t="shared" si="719"/>
        <v>15:09:33.659</v>
      </c>
      <c r="CF1811">
        <v>659461775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4</v>
      </c>
      <c r="CY1811">
        <v>7</v>
      </c>
      <c r="CZ1811" t="s">
        <v>133</v>
      </c>
      <c r="DA1811">
        <v>275</v>
      </c>
      <c r="DB1811">
        <v>0</v>
      </c>
      <c r="DC1811" t="s">
        <v>134</v>
      </c>
      <c r="DD1811" t="s">
        <v>135</v>
      </c>
      <c r="DG1811">
        <v>3320905</v>
      </c>
      <c r="DI1811">
        <v>1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"05/01/2025 15:09:33.889"</f>
        <v>05/01/2025 15:09:33.889</v>
      </c>
      <c r="C1812" t="str">
        <f t="shared" si="710"/>
        <v>FFDFD3C0</v>
      </c>
      <c r="D1812" t="s">
        <v>143</v>
      </c>
      <c r="E1812" t="str">
        <f>"05"</f>
        <v>05</v>
      </c>
      <c r="H1812">
        <v>172</v>
      </c>
      <c r="I1812" t="s">
        <v>141</v>
      </c>
      <c r="J1812" t="s">
        <v>144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R1812" t="s">
        <v>127</v>
      </c>
      <c r="S1812" t="str">
        <f t="shared" si="718"/>
        <v>15:09:33.000</v>
      </c>
      <c r="T1812" t="str">
        <f t="shared" si="718"/>
        <v>15:09:33.000</v>
      </c>
      <c r="U1812" t="str">
        <f t="shared" si="711"/>
        <v>A68FCB</v>
      </c>
      <c r="V1812">
        <v>0</v>
      </c>
      <c r="W1812">
        <v>0</v>
      </c>
      <c r="X1812">
        <v>2</v>
      </c>
      <c r="Y1812">
        <v>0</v>
      </c>
      <c r="AA1812">
        <v>1</v>
      </c>
      <c r="AB1812">
        <v>8</v>
      </c>
      <c r="AC1812">
        <v>3</v>
      </c>
      <c r="AD1812">
        <v>0</v>
      </c>
      <c r="AE1812">
        <v>9</v>
      </c>
      <c r="AF1812" t="s">
        <v>138</v>
      </c>
      <c r="AG1812">
        <v>0</v>
      </c>
      <c r="AH1812">
        <v>3</v>
      </c>
      <c r="AI1812">
        <v>2</v>
      </c>
      <c r="AJ1812">
        <v>0</v>
      </c>
      <c r="AK1812" t="s">
        <v>650</v>
      </c>
      <c r="AL1812">
        <v>39.036934000000002</v>
      </c>
      <c r="AM1812" t="s">
        <v>651</v>
      </c>
      <c r="AN1812">
        <v>-121.044681</v>
      </c>
      <c r="AO1812">
        <v>25</v>
      </c>
      <c r="AP1812">
        <v>4300</v>
      </c>
      <c r="AQ1812" t="s">
        <v>131</v>
      </c>
      <c r="AR1812">
        <v>18</v>
      </c>
      <c r="AS1812">
        <v>78</v>
      </c>
      <c r="AT1812">
        <v>384</v>
      </c>
      <c r="BB1812" t="str">
        <f t="shared" si="712"/>
        <v>1200</v>
      </c>
      <c r="BC1812">
        <v>1</v>
      </c>
      <c r="BD1812" t="str">
        <f t="shared" si="713"/>
        <v xml:space="preserve">N52156  </v>
      </c>
      <c r="BE1812">
        <v>1</v>
      </c>
      <c r="BG1812">
        <v>0</v>
      </c>
      <c r="BH1812">
        <v>0</v>
      </c>
      <c r="BI1812">
        <v>0</v>
      </c>
      <c r="BJ1812">
        <v>4275</v>
      </c>
      <c r="BK1812">
        <v>-25</v>
      </c>
      <c r="BL1812" t="s">
        <v>188</v>
      </c>
      <c r="BM1812">
        <v>1</v>
      </c>
      <c r="BN1812">
        <v>1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 t="shared" si="719"/>
        <v>15:09:33.659</v>
      </c>
      <c r="CF1812">
        <v>659461775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4</v>
      </c>
      <c r="CY1812">
        <v>7</v>
      </c>
      <c r="CZ1812" t="s">
        <v>133</v>
      </c>
      <c r="DA1812">
        <v>275</v>
      </c>
      <c r="DB1812">
        <v>0</v>
      </c>
      <c r="DC1812" t="s">
        <v>134</v>
      </c>
      <c r="DD1812" t="s">
        <v>135</v>
      </c>
      <c r="DG1812">
        <v>3320905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"05/01/2025 15:09:33.893"</f>
        <v>05/01/2025 15:09:33.893</v>
      </c>
      <c r="C1813" t="str">
        <f t="shared" si="710"/>
        <v>FFDFD3C0</v>
      </c>
      <c r="D1813" t="s">
        <v>136</v>
      </c>
      <c r="E1813" t="str">
        <f>"20"</f>
        <v>20</v>
      </c>
      <c r="H1813">
        <v>400</v>
      </c>
      <c r="I1813" t="s">
        <v>137</v>
      </c>
      <c r="J1813" t="s">
        <v>138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R1813" t="s">
        <v>127</v>
      </c>
      <c r="S1813" t="str">
        <f t="shared" si="718"/>
        <v>15:09:33.000</v>
      </c>
      <c r="T1813" t="str">
        <f t="shared" si="718"/>
        <v>15:09:33.000</v>
      </c>
      <c r="U1813" t="str">
        <f t="shared" si="711"/>
        <v>A68FCB</v>
      </c>
      <c r="V1813">
        <v>0</v>
      </c>
      <c r="W1813">
        <v>0</v>
      </c>
      <c r="X1813">
        <v>2</v>
      </c>
      <c r="Y1813">
        <v>0</v>
      </c>
      <c r="AA1813">
        <v>1</v>
      </c>
      <c r="AB1813">
        <v>8</v>
      </c>
      <c r="AC1813">
        <v>3</v>
      </c>
      <c r="AD1813">
        <v>0</v>
      </c>
      <c r="AE1813">
        <v>9</v>
      </c>
      <c r="AF1813" t="s">
        <v>138</v>
      </c>
      <c r="AG1813">
        <v>0</v>
      </c>
      <c r="AH1813">
        <v>3</v>
      </c>
      <c r="AI1813">
        <v>2</v>
      </c>
      <c r="AJ1813">
        <v>0</v>
      </c>
      <c r="AK1813" t="s">
        <v>650</v>
      </c>
      <c r="AL1813">
        <v>39.036934000000002</v>
      </c>
      <c r="AM1813" t="s">
        <v>651</v>
      </c>
      <c r="AN1813">
        <v>-121.044681</v>
      </c>
      <c r="AO1813">
        <v>25</v>
      </c>
      <c r="AP1813">
        <v>4300</v>
      </c>
      <c r="AQ1813" t="s">
        <v>131</v>
      </c>
      <c r="AR1813">
        <v>18</v>
      </c>
      <c r="AS1813">
        <v>78</v>
      </c>
      <c r="AT1813">
        <v>384</v>
      </c>
      <c r="BB1813" t="str">
        <f t="shared" si="712"/>
        <v>1200</v>
      </c>
      <c r="BC1813">
        <v>1</v>
      </c>
      <c r="BD1813" t="str">
        <f t="shared" si="713"/>
        <v xml:space="preserve">N52156  </v>
      </c>
      <c r="BE1813">
        <v>1</v>
      </c>
      <c r="BG1813">
        <v>0</v>
      </c>
      <c r="BH1813">
        <v>0</v>
      </c>
      <c r="BI1813">
        <v>0</v>
      </c>
      <c r="BJ1813">
        <v>4275</v>
      </c>
      <c r="BK1813">
        <v>-25</v>
      </c>
      <c r="BL1813" t="s">
        <v>188</v>
      </c>
      <c r="BM1813">
        <v>1</v>
      </c>
      <c r="BN1813">
        <v>1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 t="shared" si="719"/>
        <v>15:09:33.659</v>
      </c>
      <c r="CF1813">
        <v>659461775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4</v>
      </c>
      <c r="CY1813">
        <v>7</v>
      </c>
      <c r="CZ1813" t="s">
        <v>133</v>
      </c>
      <c r="DA1813">
        <v>275</v>
      </c>
      <c r="DB1813">
        <v>0</v>
      </c>
      <c r="DC1813" t="s">
        <v>134</v>
      </c>
      <c r="DD1813" t="s">
        <v>135</v>
      </c>
      <c r="DG1813">
        <v>3320905</v>
      </c>
      <c r="DI1813">
        <v>1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"05/01/2025 15:09:34.473"</f>
        <v>05/01/2025 15:09:34.473</v>
      </c>
      <c r="C1814" t="str">
        <f t="shared" si="710"/>
        <v>FFDFD3C0</v>
      </c>
      <c r="D1814" t="s">
        <v>140</v>
      </c>
      <c r="E1814" t="str">
        <f>"13"</f>
        <v>13</v>
      </c>
      <c r="F1814">
        <v>1019</v>
      </c>
      <c r="G1814" t="s">
        <v>141</v>
      </c>
      <c r="J1814" t="s">
        <v>142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R1814" t="s">
        <v>127</v>
      </c>
      <c r="S1814" t="str">
        <f t="shared" ref="S1814:T1819" si="720">"15:09:34.000"</f>
        <v>15:09:34.000</v>
      </c>
      <c r="T1814" t="str">
        <f t="shared" si="720"/>
        <v>15:09:34.000</v>
      </c>
      <c r="U1814" t="str">
        <f t="shared" si="711"/>
        <v>A68FCB</v>
      </c>
      <c r="V1814">
        <v>0</v>
      </c>
      <c r="W1814">
        <v>0</v>
      </c>
      <c r="X1814">
        <v>2</v>
      </c>
      <c r="Y1814">
        <v>0</v>
      </c>
      <c r="AA1814">
        <v>1</v>
      </c>
      <c r="AB1814">
        <v>8</v>
      </c>
      <c r="AC1814">
        <v>3</v>
      </c>
      <c r="AD1814">
        <v>0</v>
      </c>
      <c r="AE1814">
        <v>9</v>
      </c>
      <c r="AF1814" t="s">
        <v>138</v>
      </c>
      <c r="AG1814">
        <v>0</v>
      </c>
      <c r="AH1814">
        <v>3</v>
      </c>
      <c r="AI1814">
        <v>2</v>
      </c>
      <c r="AJ1814">
        <v>0</v>
      </c>
      <c r="AK1814" t="s">
        <v>652</v>
      </c>
      <c r="AL1814">
        <v>39.037298999999997</v>
      </c>
      <c r="AM1814" t="s">
        <v>653</v>
      </c>
      <c r="AN1814">
        <v>-121.044574</v>
      </c>
      <c r="AO1814">
        <v>25</v>
      </c>
      <c r="AP1814">
        <v>4300</v>
      </c>
      <c r="AQ1814" t="s">
        <v>131</v>
      </c>
      <c r="AR1814">
        <v>18</v>
      </c>
      <c r="AS1814">
        <v>78</v>
      </c>
      <c r="AT1814">
        <v>320</v>
      </c>
      <c r="BB1814" t="str">
        <f t="shared" si="712"/>
        <v>1200</v>
      </c>
      <c r="BC1814">
        <v>1</v>
      </c>
      <c r="BD1814" t="str">
        <f t="shared" si="713"/>
        <v xml:space="preserve">N52156  </v>
      </c>
      <c r="BE1814">
        <v>1</v>
      </c>
      <c r="BG1814">
        <v>0</v>
      </c>
      <c r="BH1814">
        <v>0</v>
      </c>
      <c r="BI1814">
        <v>0</v>
      </c>
      <c r="BJ1814">
        <v>4275</v>
      </c>
      <c r="BK1814">
        <v>-25</v>
      </c>
      <c r="BL1814" t="s">
        <v>188</v>
      </c>
      <c r="BM1814">
        <v>1</v>
      </c>
      <c r="BN1814">
        <v>1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 t="shared" ref="CE1814:CE1819" si="721">"15:09:34.221"</f>
        <v>15:09:34.221</v>
      </c>
      <c r="CF1814">
        <v>221121039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5</v>
      </c>
      <c r="CY1814">
        <v>7</v>
      </c>
      <c r="CZ1814" t="s">
        <v>133</v>
      </c>
      <c r="DA1814">
        <v>273</v>
      </c>
      <c r="DB1814">
        <v>0</v>
      </c>
      <c r="DC1814" t="s">
        <v>292</v>
      </c>
      <c r="DD1814" t="s">
        <v>293</v>
      </c>
      <c r="DG1814">
        <v>4862817</v>
      </c>
      <c r="DI1814">
        <v>1</v>
      </c>
      <c r="DJ1814">
        <v>0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"05/01/2025 15:09:34.481"</f>
        <v>05/01/2025 15:09:34.481</v>
      </c>
      <c r="C1815" t="str">
        <f t="shared" si="710"/>
        <v>FFDFD3C0</v>
      </c>
      <c r="D1815" t="s">
        <v>145</v>
      </c>
      <c r="E1815" t="str">
        <f>"05"</f>
        <v>05</v>
      </c>
      <c r="H1815">
        <v>47</v>
      </c>
      <c r="I1815" t="s">
        <v>146</v>
      </c>
      <c r="J1815" t="s">
        <v>138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R1815" t="s">
        <v>127</v>
      </c>
      <c r="S1815" t="str">
        <f t="shared" si="720"/>
        <v>15:09:34.000</v>
      </c>
      <c r="T1815" t="str">
        <f t="shared" si="720"/>
        <v>15:09:34.000</v>
      </c>
      <c r="U1815" t="str">
        <f t="shared" si="711"/>
        <v>A68FCB</v>
      </c>
      <c r="V1815">
        <v>0</v>
      </c>
      <c r="W1815">
        <v>0</v>
      </c>
      <c r="X1815">
        <v>2</v>
      </c>
      <c r="Y1815">
        <v>0</v>
      </c>
      <c r="AA1815">
        <v>1</v>
      </c>
      <c r="AB1815">
        <v>8</v>
      </c>
      <c r="AC1815">
        <v>3</v>
      </c>
      <c r="AD1815">
        <v>0</v>
      </c>
      <c r="AE1815">
        <v>9</v>
      </c>
      <c r="AF1815" t="s">
        <v>138</v>
      </c>
      <c r="AG1815">
        <v>0</v>
      </c>
      <c r="AH1815">
        <v>3</v>
      </c>
      <c r="AI1815">
        <v>2</v>
      </c>
      <c r="AJ1815">
        <v>0</v>
      </c>
      <c r="AK1815" t="s">
        <v>652</v>
      </c>
      <c r="AL1815">
        <v>39.037298999999997</v>
      </c>
      <c r="AM1815" t="s">
        <v>653</v>
      </c>
      <c r="AN1815">
        <v>-121.044574</v>
      </c>
      <c r="AO1815">
        <v>25</v>
      </c>
      <c r="AP1815">
        <v>4300</v>
      </c>
      <c r="AQ1815" t="s">
        <v>131</v>
      </c>
      <c r="AR1815">
        <v>18</v>
      </c>
      <c r="AS1815">
        <v>78</v>
      </c>
      <c r="AT1815">
        <v>320</v>
      </c>
      <c r="BB1815" t="str">
        <f t="shared" si="712"/>
        <v>1200</v>
      </c>
      <c r="BC1815">
        <v>1</v>
      </c>
      <c r="BD1815" t="str">
        <f t="shared" si="713"/>
        <v xml:space="preserve">N52156  </v>
      </c>
      <c r="BE1815">
        <v>1</v>
      </c>
      <c r="BG1815">
        <v>0</v>
      </c>
      <c r="BH1815">
        <v>0</v>
      </c>
      <c r="BI1815">
        <v>0</v>
      </c>
      <c r="BJ1815">
        <v>4275</v>
      </c>
      <c r="BK1815">
        <v>-25</v>
      </c>
      <c r="BL1815" t="s">
        <v>188</v>
      </c>
      <c r="BM1815">
        <v>1</v>
      </c>
      <c r="BN1815">
        <v>1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 t="shared" si="721"/>
        <v>15:09:34.221</v>
      </c>
      <c r="CF1815">
        <v>221121039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133</v>
      </c>
      <c r="DA1815">
        <v>273</v>
      </c>
      <c r="DB1815">
        <v>0</v>
      </c>
      <c r="DC1815" t="s">
        <v>292</v>
      </c>
      <c r="DD1815" t="s">
        <v>293</v>
      </c>
      <c r="DG1815">
        <v>4862817</v>
      </c>
      <c r="DI1815">
        <v>1</v>
      </c>
      <c r="DJ1815">
        <v>0</v>
      </c>
      <c r="DK1815">
        <v>1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"05/01/2025 15:09:34.485"</f>
        <v>05/01/2025 15:09:34.485</v>
      </c>
      <c r="C1816" t="str">
        <f t="shared" si="710"/>
        <v>FFDFD3C0</v>
      </c>
      <c r="D1816" t="s">
        <v>145</v>
      </c>
      <c r="E1816" t="str">
        <f>"09"</f>
        <v>09</v>
      </c>
      <c r="H1816">
        <v>51</v>
      </c>
      <c r="I1816" t="s">
        <v>147</v>
      </c>
      <c r="J1816" t="s">
        <v>138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R1816" t="s">
        <v>127</v>
      </c>
      <c r="S1816" t="str">
        <f t="shared" si="720"/>
        <v>15:09:34.000</v>
      </c>
      <c r="T1816" t="str">
        <f t="shared" si="720"/>
        <v>15:09:34.000</v>
      </c>
      <c r="U1816" t="str">
        <f t="shared" si="711"/>
        <v>A68FCB</v>
      </c>
      <c r="V1816">
        <v>0</v>
      </c>
      <c r="W1816">
        <v>0</v>
      </c>
      <c r="X1816">
        <v>2</v>
      </c>
      <c r="Y1816">
        <v>0</v>
      </c>
      <c r="AA1816">
        <v>1</v>
      </c>
      <c r="AB1816">
        <v>8</v>
      </c>
      <c r="AC1816">
        <v>3</v>
      </c>
      <c r="AD1816">
        <v>0</v>
      </c>
      <c r="AE1816">
        <v>9</v>
      </c>
      <c r="AF1816" t="s">
        <v>138</v>
      </c>
      <c r="AG1816">
        <v>0</v>
      </c>
      <c r="AH1816">
        <v>3</v>
      </c>
      <c r="AI1816">
        <v>2</v>
      </c>
      <c r="AJ1816">
        <v>0</v>
      </c>
      <c r="AK1816" t="s">
        <v>652</v>
      </c>
      <c r="AL1816">
        <v>39.037298999999997</v>
      </c>
      <c r="AM1816" t="s">
        <v>653</v>
      </c>
      <c r="AN1816">
        <v>-121.044574</v>
      </c>
      <c r="AO1816">
        <v>25</v>
      </c>
      <c r="AP1816">
        <v>4300</v>
      </c>
      <c r="AQ1816" t="s">
        <v>131</v>
      </c>
      <c r="AR1816">
        <v>18</v>
      </c>
      <c r="AS1816">
        <v>78</v>
      </c>
      <c r="AT1816">
        <v>320</v>
      </c>
      <c r="BB1816" t="str">
        <f t="shared" si="712"/>
        <v>1200</v>
      </c>
      <c r="BC1816">
        <v>1</v>
      </c>
      <c r="BD1816" t="str">
        <f t="shared" si="713"/>
        <v xml:space="preserve">N52156  </v>
      </c>
      <c r="BE1816">
        <v>1</v>
      </c>
      <c r="BG1816">
        <v>0</v>
      </c>
      <c r="BH1816">
        <v>0</v>
      </c>
      <c r="BI1816">
        <v>0</v>
      </c>
      <c r="BJ1816">
        <v>4275</v>
      </c>
      <c r="BK1816">
        <v>-25</v>
      </c>
      <c r="BL1816" t="s">
        <v>188</v>
      </c>
      <c r="BM1816">
        <v>1</v>
      </c>
      <c r="BN1816">
        <v>1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 t="shared" si="721"/>
        <v>15:09:34.221</v>
      </c>
      <c r="CF1816">
        <v>221121039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133</v>
      </c>
      <c r="DA1816">
        <v>273</v>
      </c>
      <c r="DB1816">
        <v>0</v>
      </c>
      <c r="DC1816" t="s">
        <v>292</v>
      </c>
      <c r="DD1816" t="s">
        <v>293</v>
      </c>
      <c r="DG1816">
        <v>4862817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"05/01/2025 15:09:34.483"</f>
        <v>05/01/2025 15:09:34.483</v>
      </c>
      <c r="C1817" t="str">
        <f t="shared" si="710"/>
        <v>FFDFD3C0</v>
      </c>
      <c r="D1817" t="s">
        <v>124</v>
      </c>
      <c r="E1817" t="str">
        <f>"06"</f>
        <v>06</v>
      </c>
      <c r="F1817">
        <v>2006</v>
      </c>
      <c r="G1817" t="s">
        <v>125</v>
      </c>
      <c r="J1817" t="s">
        <v>126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R1817" t="s">
        <v>127</v>
      </c>
      <c r="S1817" t="str">
        <f t="shared" si="720"/>
        <v>15:09:34.000</v>
      </c>
      <c r="T1817" t="str">
        <f t="shared" si="720"/>
        <v>15:09:34.000</v>
      </c>
      <c r="U1817" t="str">
        <f t="shared" si="711"/>
        <v>A68FCB</v>
      </c>
      <c r="V1817">
        <v>0</v>
      </c>
      <c r="W1817">
        <v>0</v>
      </c>
      <c r="X1817">
        <v>2</v>
      </c>
      <c r="Y1817">
        <v>0</v>
      </c>
      <c r="AA1817">
        <v>1</v>
      </c>
      <c r="AB1817">
        <v>8</v>
      </c>
      <c r="AC1817">
        <v>3</v>
      </c>
      <c r="AD1817">
        <v>0</v>
      </c>
      <c r="AE1817">
        <v>9</v>
      </c>
      <c r="AF1817" t="s">
        <v>138</v>
      </c>
      <c r="AG1817">
        <v>0</v>
      </c>
      <c r="AH1817">
        <v>3</v>
      </c>
      <c r="AI1817">
        <v>2</v>
      </c>
      <c r="AJ1817">
        <v>0</v>
      </c>
      <c r="AK1817" t="s">
        <v>652</v>
      </c>
      <c r="AL1817">
        <v>39.037298999999997</v>
      </c>
      <c r="AM1817" t="s">
        <v>653</v>
      </c>
      <c r="AN1817">
        <v>-121.044574</v>
      </c>
      <c r="AO1817">
        <v>25</v>
      </c>
      <c r="AP1817">
        <v>4300</v>
      </c>
      <c r="AQ1817" t="s">
        <v>131</v>
      </c>
      <c r="AR1817">
        <v>18</v>
      </c>
      <c r="AS1817">
        <v>78</v>
      </c>
      <c r="AT1817">
        <v>320</v>
      </c>
      <c r="BB1817" t="str">
        <f t="shared" si="712"/>
        <v>1200</v>
      </c>
      <c r="BC1817">
        <v>1</v>
      </c>
      <c r="BD1817" t="str">
        <f t="shared" si="713"/>
        <v xml:space="preserve">N52156  </v>
      </c>
      <c r="BE1817">
        <v>1</v>
      </c>
      <c r="BG1817">
        <v>0</v>
      </c>
      <c r="BH1817">
        <v>0</v>
      </c>
      <c r="BI1817">
        <v>0</v>
      </c>
      <c r="BJ1817">
        <v>4275</v>
      </c>
      <c r="BK1817">
        <v>-25</v>
      </c>
      <c r="BL1817" t="s">
        <v>188</v>
      </c>
      <c r="BM1817">
        <v>1</v>
      </c>
      <c r="BN1817">
        <v>1</v>
      </c>
      <c r="BO1817">
        <v>0</v>
      </c>
      <c r="BP1817">
        <v>0</v>
      </c>
      <c r="BS1817">
        <v>0</v>
      </c>
      <c r="BT1817">
        <v>0</v>
      </c>
      <c r="BU1817">
        <v>0</v>
      </c>
      <c r="CE1817" t="str">
        <f t="shared" si="721"/>
        <v>15:09:34.221</v>
      </c>
      <c r="CF1817">
        <v>221121039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133</v>
      </c>
      <c r="DA1817">
        <v>273</v>
      </c>
      <c r="DB1817">
        <v>0</v>
      </c>
      <c r="DC1817" t="s">
        <v>292</v>
      </c>
      <c r="DD1817" t="s">
        <v>293</v>
      </c>
      <c r="DG1817">
        <v>4862817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"05/01/2025 15:09:34.491"</f>
        <v>05/01/2025 15:09:34.491</v>
      </c>
      <c r="C1818" t="str">
        <f t="shared" si="710"/>
        <v>FFDFD3C0</v>
      </c>
      <c r="D1818" t="s">
        <v>143</v>
      </c>
      <c r="E1818" t="str">
        <f>"05"</f>
        <v>05</v>
      </c>
      <c r="H1818">
        <v>172</v>
      </c>
      <c r="I1818" t="s">
        <v>141</v>
      </c>
      <c r="J1818" t="s">
        <v>144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R1818" t="s">
        <v>127</v>
      </c>
      <c r="S1818" t="str">
        <f t="shared" si="720"/>
        <v>15:09:34.000</v>
      </c>
      <c r="T1818" t="str">
        <f t="shared" si="720"/>
        <v>15:09:34.000</v>
      </c>
      <c r="U1818" t="str">
        <f t="shared" si="711"/>
        <v>A68FCB</v>
      </c>
      <c r="V1818">
        <v>0</v>
      </c>
      <c r="W1818">
        <v>0</v>
      </c>
      <c r="X1818">
        <v>2</v>
      </c>
      <c r="Y1818">
        <v>0</v>
      </c>
      <c r="AA1818">
        <v>1</v>
      </c>
      <c r="AB1818">
        <v>8</v>
      </c>
      <c r="AC1818">
        <v>3</v>
      </c>
      <c r="AD1818">
        <v>0</v>
      </c>
      <c r="AE1818">
        <v>9</v>
      </c>
      <c r="AF1818" t="s">
        <v>138</v>
      </c>
      <c r="AG1818">
        <v>0</v>
      </c>
      <c r="AH1818">
        <v>3</v>
      </c>
      <c r="AI1818">
        <v>2</v>
      </c>
      <c r="AJ1818">
        <v>0</v>
      </c>
      <c r="AK1818" t="s">
        <v>652</v>
      </c>
      <c r="AL1818">
        <v>39.037298999999997</v>
      </c>
      <c r="AM1818" t="s">
        <v>653</v>
      </c>
      <c r="AN1818">
        <v>-121.044574</v>
      </c>
      <c r="AO1818">
        <v>25</v>
      </c>
      <c r="AP1818">
        <v>4300</v>
      </c>
      <c r="AQ1818" t="s">
        <v>131</v>
      </c>
      <c r="AR1818">
        <v>18</v>
      </c>
      <c r="AS1818">
        <v>78</v>
      </c>
      <c r="AT1818">
        <v>320</v>
      </c>
      <c r="BB1818" t="str">
        <f t="shared" si="712"/>
        <v>1200</v>
      </c>
      <c r="BC1818">
        <v>1</v>
      </c>
      <c r="BD1818" t="str">
        <f t="shared" si="713"/>
        <v xml:space="preserve">N52156  </v>
      </c>
      <c r="BE1818">
        <v>1</v>
      </c>
      <c r="BG1818">
        <v>0</v>
      </c>
      <c r="BH1818">
        <v>0</v>
      </c>
      <c r="BI1818">
        <v>0</v>
      </c>
      <c r="BJ1818">
        <v>4275</v>
      </c>
      <c r="BK1818">
        <v>-25</v>
      </c>
      <c r="BL1818" t="s">
        <v>188</v>
      </c>
      <c r="BM1818">
        <v>1</v>
      </c>
      <c r="BN1818">
        <v>1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 t="shared" si="721"/>
        <v>15:09:34.221</v>
      </c>
      <c r="CF1818">
        <v>221121039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5</v>
      </c>
      <c r="CY1818">
        <v>7</v>
      </c>
      <c r="CZ1818" t="s">
        <v>133</v>
      </c>
      <c r="DA1818">
        <v>273</v>
      </c>
      <c r="DB1818">
        <v>0</v>
      </c>
      <c r="DC1818" t="s">
        <v>292</v>
      </c>
      <c r="DD1818" t="s">
        <v>293</v>
      </c>
      <c r="DG1818">
        <v>4862817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"05/01/2025 15:09:34.495"</f>
        <v>05/01/2025 15:09:34.495</v>
      </c>
      <c r="C1819" t="str">
        <f t="shared" si="710"/>
        <v>FFDFD3C0</v>
      </c>
      <c r="D1819" t="s">
        <v>136</v>
      </c>
      <c r="E1819" t="str">
        <f>"20"</f>
        <v>20</v>
      </c>
      <c r="H1819">
        <v>400</v>
      </c>
      <c r="I1819" t="s">
        <v>137</v>
      </c>
      <c r="J1819" t="s">
        <v>138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R1819" t="s">
        <v>127</v>
      </c>
      <c r="S1819" t="str">
        <f t="shared" si="720"/>
        <v>15:09:34.000</v>
      </c>
      <c r="T1819" t="str">
        <f t="shared" si="720"/>
        <v>15:09:34.000</v>
      </c>
      <c r="U1819" t="str">
        <f t="shared" si="711"/>
        <v>A68FCB</v>
      </c>
      <c r="V1819">
        <v>0</v>
      </c>
      <c r="W1819">
        <v>0</v>
      </c>
      <c r="X1819">
        <v>2</v>
      </c>
      <c r="Y1819">
        <v>0</v>
      </c>
      <c r="AA1819">
        <v>1</v>
      </c>
      <c r="AB1819">
        <v>8</v>
      </c>
      <c r="AC1819">
        <v>3</v>
      </c>
      <c r="AD1819">
        <v>0</v>
      </c>
      <c r="AE1819">
        <v>9</v>
      </c>
      <c r="AF1819" t="s">
        <v>138</v>
      </c>
      <c r="AG1819">
        <v>0</v>
      </c>
      <c r="AH1819">
        <v>3</v>
      </c>
      <c r="AI1819">
        <v>2</v>
      </c>
      <c r="AJ1819">
        <v>0</v>
      </c>
      <c r="AK1819" t="s">
        <v>652</v>
      </c>
      <c r="AL1819">
        <v>39.037298999999997</v>
      </c>
      <c r="AM1819" t="s">
        <v>653</v>
      </c>
      <c r="AN1819">
        <v>-121.044574</v>
      </c>
      <c r="AO1819">
        <v>25</v>
      </c>
      <c r="AP1819">
        <v>4300</v>
      </c>
      <c r="AQ1819" t="s">
        <v>131</v>
      </c>
      <c r="AR1819">
        <v>18</v>
      </c>
      <c r="AS1819">
        <v>78</v>
      </c>
      <c r="AT1819">
        <v>320</v>
      </c>
      <c r="BB1819" t="str">
        <f t="shared" si="712"/>
        <v>1200</v>
      </c>
      <c r="BC1819">
        <v>1</v>
      </c>
      <c r="BD1819" t="str">
        <f t="shared" si="713"/>
        <v xml:space="preserve">N52156  </v>
      </c>
      <c r="BE1819">
        <v>1</v>
      </c>
      <c r="BG1819">
        <v>0</v>
      </c>
      <c r="BH1819">
        <v>0</v>
      </c>
      <c r="BI1819">
        <v>0</v>
      </c>
      <c r="BJ1819">
        <v>4275</v>
      </c>
      <c r="BK1819">
        <v>-25</v>
      </c>
      <c r="BL1819" t="s">
        <v>188</v>
      </c>
      <c r="BM1819">
        <v>1</v>
      </c>
      <c r="BN1819">
        <v>1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 t="shared" si="721"/>
        <v>15:09:34.221</v>
      </c>
      <c r="CF1819">
        <v>221121039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133</v>
      </c>
      <c r="DA1819">
        <v>273</v>
      </c>
      <c r="DB1819">
        <v>0</v>
      </c>
      <c r="DC1819" t="s">
        <v>292</v>
      </c>
      <c r="DD1819" t="s">
        <v>293</v>
      </c>
      <c r="DG1819">
        <v>4862817</v>
      </c>
      <c r="DI1819">
        <v>1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"05/01/2025 15:09:36.034"</f>
        <v>05/01/2025 15:09:36.034</v>
      </c>
      <c r="C1820" t="str">
        <f t="shared" si="710"/>
        <v>FFDFD3C0</v>
      </c>
      <c r="D1820" t="s">
        <v>145</v>
      </c>
      <c r="E1820" t="str">
        <f>"05"</f>
        <v>05</v>
      </c>
      <c r="H1820">
        <v>47</v>
      </c>
      <c r="I1820" t="s">
        <v>146</v>
      </c>
      <c r="J1820" t="s">
        <v>138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R1820" t="s">
        <v>127</v>
      </c>
      <c r="S1820" t="str">
        <f t="shared" ref="S1820:T1825" si="722">"15:09:35.000"</f>
        <v>15:09:35.000</v>
      </c>
      <c r="T1820" t="str">
        <f t="shared" si="722"/>
        <v>15:09:35.000</v>
      </c>
      <c r="U1820" t="str">
        <f t="shared" si="711"/>
        <v>A68FCB</v>
      </c>
      <c r="V1820">
        <v>0</v>
      </c>
      <c r="W1820">
        <v>0</v>
      </c>
      <c r="X1820">
        <v>2</v>
      </c>
      <c r="Y1820">
        <v>0</v>
      </c>
      <c r="AA1820">
        <v>1</v>
      </c>
      <c r="AB1820">
        <v>8</v>
      </c>
      <c r="AC1820">
        <v>3</v>
      </c>
      <c r="AD1820">
        <v>0</v>
      </c>
      <c r="AE1820">
        <v>9</v>
      </c>
      <c r="AF1820" t="s">
        <v>138</v>
      </c>
      <c r="AG1820">
        <v>0</v>
      </c>
      <c r="AH1820">
        <v>3</v>
      </c>
      <c r="AI1820">
        <v>2</v>
      </c>
      <c r="AJ1820">
        <v>0</v>
      </c>
      <c r="AK1820" t="s">
        <v>654</v>
      </c>
      <c r="AL1820">
        <v>39.037663999999999</v>
      </c>
      <c r="AM1820" t="s">
        <v>655</v>
      </c>
      <c r="AN1820">
        <v>-121.044445</v>
      </c>
      <c r="AO1820">
        <v>25</v>
      </c>
      <c r="AP1820">
        <v>4300</v>
      </c>
      <c r="AQ1820" t="s">
        <v>131</v>
      </c>
      <c r="AR1820">
        <v>20</v>
      </c>
      <c r="AS1820">
        <v>78</v>
      </c>
      <c r="AT1820">
        <v>256</v>
      </c>
      <c r="BB1820" t="str">
        <f t="shared" si="712"/>
        <v>1200</v>
      </c>
      <c r="BC1820">
        <v>1</v>
      </c>
      <c r="BD1820" t="str">
        <f t="shared" si="713"/>
        <v xml:space="preserve">N52156  </v>
      </c>
      <c r="BE1820">
        <v>1</v>
      </c>
      <c r="BG1820">
        <v>0</v>
      </c>
      <c r="BH1820">
        <v>0</v>
      </c>
      <c r="BI1820">
        <v>0</v>
      </c>
      <c r="BJ1820">
        <v>4275</v>
      </c>
      <c r="BK1820">
        <v>-25</v>
      </c>
      <c r="BL1820" t="s">
        <v>188</v>
      </c>
      <c r="BM1820">
        <v>1</v>
      </c>
      <c r="BN1820">
        <v>1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 t="shared" ref="CE1820:CE1825" si="723">"15:09:35.823"</f>
        <v>15:09:35.823</v>
      </c>
      <c r="CF1820">
        <v>823122437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5</v>
      </c>
      <c r="CY1820">
        <v>7</v>
      </c>
      <c r="CZ1820" t="s">
        <v>133</v>
      </c>
      <c r="DA1820">
        <v>273</v>
      </c>
      <c r="DB1820">
        <v>0</v>
      </c>
      <c r="DC1820" t="s">
        <v>292</v>
      </c>
      <c r="DD1820" t="s">
        <v>293</v>
      </c>
      <c r="DG1820">
        <v>4862833</v>
      </c>
      <c r="DI1820">
        <v>1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"05/01/2025 15:09:36.035"</f>
        <v>05/01/2025 15:09:36.035</v>
      </c>
      <c r="C1821" t="str">
        <f t="shared" si="710"/>
        <v>FFDFD3C0</v>
      </c>
      <c r="D1821" t="s">
        <v>124</v>
      </c>
      <c r="E1821" t="str">
        <f>"06"</f>
        <v>06</v>
      </c>
      <c r="F1821">
        <v>2006</v>
      </c>
      <c r="G1821" t="s">
        <v>125</v>
      </c>
      <c r="J1821" t="s">
        <v>126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R1821" t="s">
        <v>127</v>
      </c>
      <c r="S1821" t="str">
        <f t="shared" si="722"/>
        <v>15:09:35.000</v>
      </c>
      <c r="T1821" t="str">
        <f t="shared" si="722"/>
        <v>15:09:35.000</v>
      </c>
      <c r="U1821" t="str">
        <f t="shared" si="711"/>
        <v>A68FCB</v>
      </c>
      <c r="V1821">
        <v>0</v>
      </c>
      <c r="W1821">
        <v>0</v>
      </c>
      <c r="X1821">
        <v>2</v>
      </c>
      <c r="Y1821">
        <v>0</v>
      </c>
      <c r="AA1821">
        <v>1</v>
      </c>
      <c r="AB1821">
        <v>8</v>
      </c>
      <c r="AC1821">
        <v>3</v>
      </c>
      <c r="AD1821">
        <v>0</v>
      </c>
      <c r="AE1821">
        <v>9</v>
      </c>
      <c r="AF1821" t="s">
        <v>138</v>
      </c>
      <c r="AG1821">
        <v>0</v>
      </c>
      <c r="AH1821">
        <v>3</v>
      </c>
      <c r="AI1821">
        <v>2</v>
      </c>
      <c r="AJ1821">
        <v>0</v>
      </c>
      <c r="AK1821" t="s">
        <v>654</v>
      </c>
      <c r="AL1821">
        <v>39.037663999999999</v>
      </c>
      <c r="AM1821" t="s">
        <v>655</v>
      </c>
      <c r="AN1821">
        <v>-121.044445</v>
      </c>
      <c r="AO1821">
        <v>25</v>
      </c>
      <c r="AP1821">
        <v>4300</v>
      </c>
      <c r="AQ1821" t="s">
        <v>131</v>
      </c>
      <c r="AR1821">
        <v>20</v>
      </c>
      <c r="AS1821">
        <v>78</v>
      </c>
      <c r="AT1821">
        <v>256</v>
      </c>
      <c r="BB1821" t="str">
        <f t="shared" si="712"/>
        <v>1200</v>
      </c>
      <c r="BC1821">
        <v>1</v>
      </c>
      <c r="BD1821" t="str">
        <f t="shared" si="713"/>
        <v xml:space="preserve">N52156  </v>
      </c>
      <c r="BE1821">
        <v>1</v>
      </c>
      <c r="BG1821">
        <v>0</v>
      </c>
      <c r="BH1821">
        <v>0</v>
      </c>
      <c r="BI1821">
        <v>0</v>
      </c>
      <c r="BJ1821">
        <v>4275</v>
      </c>
      <c r="BK1821">
        <v>-25</v>
      </c>
      <c r="BL1821" t="s">
        <v>188</v>
      </c>
      <c r="BM1821">
        <v>1</v>
      </c>
      <c r="BN1821">
        <v>1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 t="shared" si="723"/>
        <v>15:09:35.823</v>
      </c>
      <c r="CF1821">
        <v>823122437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5</v>
      </c>
      <c r="CY1821">
        <v>7</v>
      </c>
      <c r="CZ1821" t="s">
        <v>133</v>
      </c>
      <c r="DA1821">
        <v>273</v>
      </c>
      <c r="DB1821">
        <v>0</v>
      </c>
      <c r="DC1821" t="s">
        <v>292</v>
      </c>
      <c r="DD1821" t="s">
        <v>293</v>
      </c>
      <c r="DG1821">
        <v>4862833</v>
      </c>
      <c r="DI1821">
        <v>1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"05/01/2025 15:09:36.038"</f>
        <v>05/01/2025 15:09:36.038</v>
      </c>
      <c r="C1822" t="str">
        <f t="shared" si="710"/>
        <v>FFDFD3C0</v>
      </c>
      <c r="D1822" t="s">
        <v>145</v>
      </c>
      <c r="E1822" t="str">
        <f>"09"</f>
        <v>09</v>
      </c>
      <c r="H1822">
        <v>51</v>
      </c>
      <c r="I1822" t="s">
        <v>147</v>
      </c>
      <c r="J1822" t="s">
        <v>138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R1822" t="s">
        <v>127</v>
      </c>
      <c r="S1822" t="str">
        <f t="shared" si="722"/>
        <v>15:09:35.000</v>
      </c>
      <c r="T1822" t="str">
        <f t="shared" si="722"/>
        <v>15:09:35.000</v>
      </c>
      <c r="U1822" t="str">
        <f t="shared" si="711"/>
        <v>A68FCB</v>
      </c>
      <c r="V1822">
        <v>0</v>
      </c>
      <c r="W1822">
        <v>0</v>
      </c>
      <c r="X1822">
        <v>2</v>
      </c>
      <c r="Y1822">
        <v>0</v>
      </c>
      <c r="AA1822">
        <v>1</v>
      </c>
      <c r="AB1822">
        <v>8</v>
      </c>
      <c r="AC1822">
        <v>3</v>
      </c>
      <c r="AD1822">
        <v>0</v>
      </c>
      <c r="AE1822">
        <v>9</v>
      </c>
      <c r="AF1822" t="s">
        <v>138</v>
      </c>
      <c r="AG1822">
        <v>0</v>
      </c>
      <c r="AH1822">
        <v>3</v>
      </c>
      <c r="AI1822">
        <v>2</v>
      </c>
      <c r="AJ1822">
        <v>0</v>
      </c>
      <c r="AK1822" t="s">
        <v>654</v>
      </c>
      <c r="AL1822">
        <v>39.037663999999999</v>
      </c>
      <c r="AM1822" t="s">
        <v>655</v>
      </c>
      <c r="AN1822">
        <v>-121.044445</v>
      </c>
      <c r="AO1822">
        <v>25</v>
      </c>
      <c r="AP1822">
        <v>4300</v>
      </c>
      <c r="AQ1822" t="s">
        <v>131</v>
      </c>
      <c r="AR1822">
        <v>20</v>
      </c>
      <c r="AS1822">
        <v>78</v>
      </c>
      <c r="AT1822">
        <v>256</v>
      </c>
      <c r="BB1822" t="str">
        <f t="shared" si="712"/>
        <v>1200</v>
      </c>
      <c r="BC1822">
        <v>1</v>
      </c>
      <c r="BD1822" t="str">
        <f t="shared" si="713"/>
        <v xml:space="preserve">N52156  </v>
      </c>
      <c r="BE1822">
        <v>1</v>
      </c>
      <c r="BG1822">
        <v>0</v>
      </c>
      <c r="BH1822">
        <v>0</v>
      </c>
      <c r="BI1822">
        <v>0</v>
      </c>
      <c r="BJ1822">
        <v>4275</v>
      </c>
      <c r="BK1822">
        <v>-25</v>
      </c>
      <c r="BL1822" t="s">
        <v>188</v>
      </c>
      <c r="BM1822">
        <v>1</v>
      </c>
      <c r="BN1822">
        <v>1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 t="shared" si="723"/>
        <v>15:09:35.823</v>
      </c>
      <c r="CF1822">
        <v>823122437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133</v>
      </c>
      <c r="DA1822">
        <v>273</v>
      </c>
      <c r="DB1822">
        <v>0</v>
      </c>
      <c r="DC1822" t="s">
        <v>292</v>
      </c>
      <c r="DD1822" t="s">
        <v>293</v>
      </c>
      <c r="DG1822">
        <v>4862833</v>
      </c>
      <c r="DI1822">
        <v>1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"05/01/2025 15:09:36.044"</f>
        <v>05/01/2025 15:09:36.044</v>
      </c>
      <c r="C1823" t="str">
        <f t="shared" si="710"/>
        <v>FFDFD3C0</v>
      </c>
      <c r="D1823" t="s">
        <v>143</v>
      </c>
      <c r="E1823" t="str">
        <f>"05"</f>
        <v>05</v>
      </c>
      <c r="H1823">
        <v>172</v>
      </c>
      <c r="I1823" t="s">
        <v>141</v>
      </c>
      <c r="J1823" t="s">
        <v>144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R1823" t="s">
        <v>127</v>
      </c>
      <c r="S1823" t="str">
        <f t="shared" si="722"/>
        <v>15:09:35.000</v>
      </c>
      <c r="T1823" t="str">
        <f t="shared" si="722"/>
        <v>15:09:35.000</v>
      </c>
      <c r="U1823" t="str">
        <f t="shared" si="711"/>
        <v>A68FCB</v>
      </c>
      <c r="V1823">
        <v>0</v>
      </c>
      <c r="W1823">
        <v>0</v>
      </c>
      <c r="X1823">
        <v>2</v>
      </c>
      <c r="Y1823">
        <v>0</v>
      </c>
      <c r="AA1823">
        <v>1</v>
      </c>
      <c r="AB1823">
        <v>8</v>
      </c>
      <c r="AC1823">
        <v>3</v>
      </c>
      <c r="AD1823">
        <v>0</v>
      </c>
      <c r="AE1823">
        <v>9</v>
      </c>
      <c r="AF1823" t="s">
        <v>138</v>
      </c>
      <c r="AG1823">
        <v>0</v>
      </c>
      <c r="AH1823">
        <v>3</v>
      </c>
      <c r="AI1823">
        <v>2</v>
      </c>
      <c r="AJ1823">
        <v>0</v>
      </c>
      <c r="AK1823" t="s">
        <v>654</v>
      </c>
      <c r="AL1823">
        <v>39.037663999999999</v>
      </c>
      <c r="AM1823" t="s">
        <v>655</v>
      </c>
      <c r="AN1823">
        <v>-121.044445</v>
      </c>
      <c r="AO1823">
        <v>25</v>
      </c>
      <c r="AP1823">
        <v>4300</v>
      </c>
      <c r="AQ1823" t="s">
        <v>131</v>
      </c>
      <c r="AR1823">
        <v>20</v>
      </c>
      <c r="AS1823">
        <v>78</v>
      </c>
      <c r="AT1823">
        <v>256</v>
      </c>
      <c r="BB1823" t="str">
        <f t="shared" si="712"/>
        <v>1200</v>
      </c>
      <c r="BC1823">
        <v>1</v>
      </c>
      <c r="BD1823" t="str">
        <f t="shared" si="713"/>
        <v xml:space="preserve">N52156  </v>
      </c>
      <c r="BE1823">
        <v>1</v>
      </c>
      <c r="BG1823">
        <v>0</v>
      </c>
      <c r="BH1823">
        <v>0</v>
      </c>
      <c r="BI1823">
        <v>0</v>
      </c>
      <c r="BJ1823">
        <v>4275</v>
      </c>
      <c r="BK1823">
        <v>-25</v>
      </c>
      <c r="BL1823" t="s">
        <v>188</v>
      </c>
      <c r="BM1823">
        <v>1</v>
      </c>
      <c r="BN1823">
        <v>1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 t="shared" si="723"/>
        <v>15:09:35.823</v>
      </c>
      <c r="CF1823">
        <v>823122437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5</v>
      </c>
      <c r="CY1823">
        <v>7</v>
      </c>
      <c r="CZ1823" t="s">
        <v>133</v>
      </c>
      <c r="DA1823">
        <v>273</v>
      </c>
      <c r="DB1823">
        <v>0</v>
      </c>
      <c r="DC1823" t="s">
        <v>292</v>
      </c>
      <c r="DD1823" t="s">
        <v>293</v>
      </c>
      <c r="DG1823">
        <v>4862833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"05/01/2025 15:09:36.047"</f>
        <v>05/01/2025 15:09:36.047</v>
      </c>
      <c r="C1824" t="str">
        <f t="shared" si="710"/>
        <v>FFDFD3C0</v>
      </c>
      <c r="D1824" t="s">
        <v>136</v>
      </c>
      <c r="E1824" t="str">
        <f>"20"</f>
        <v>20</v>
      </c>
      <c r="H1824">
        <v>400</v>
      </c>
      <c r="I1824" t="s">
        <v>137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R1824" t="s">
        <v>127</v>
      </c>
      <c r="S1824" t="str">
        <f t="shared" si="722"/>
        <v>15:09:35.000</v>
      </c>
      <c r="T1824" t="str">
        <f t="shared" si="722"/>
        <v>15:09:35.000</v>
      </c>
      <c r="U1824" t="str">
        <f t="shared" si="711"/>
        <v>A68FCB</v>
      </c>
      <c r="V1824">
        <v>0</v>
      </c>
      <c r="W1824">
        <v>0</v>
      </c>
      <c r="X1824">
        <v>2</v>
      </c>
      <c r="Y1824">
        <v>0</v>
      </c>
      <c r="AA1824">
        <v>1</v>
      </c>
      <c r="AB1824">
        <v>8</v>
      </c>
      <c r="AC1824">
        <v>3</v>
      </c>
      <c r="AD1824">
        <v>0</v>
      </c>
      <c r="AE1824">
        <v>9</v>
      </c>
      <c r="AF1824" t="s">
        <v>138</v>
      </c>
      <c r="AG1824">
        <v>0</v>
      </c>
      <c r="AH1824">
        <v>3</v>
      </c>
      <c r="AI1824">
        <v>2</v>
      </c>
      <c r="AJ1824">
        <v>0</v>
      </c>
      <c r="AK1824" t="s">
        <v>654</v>
      </c>
      <c r="AL1824">
        <v>39.037663999999999</v>
      </c>
      <c r="AM1824" t="s">
        <v>655</v>
      </c>
      <c r="AN1824">
        <v>-121.044445</v>
      </c>
      <c r="AO1824">
        <v>25</v>
      </c>
      <c r="AP1824">
        <v>4300</v>
      </c>
      <c r="AQ1824" t="s">
        <v>131</v>
      </c>
      <c r="AR1824">
        <v>20</v>
      </c>
      <c r="AS1824">
        <v>78</v>
      </c>
      <c r="AT1824">
        <v>256</v>
      </c>
      <c r="BB1824" t="str">
        <f t="shared" si="712"/>
        <v>1200</v>
      </c>
      <c r="BC1824">
        <v>1</v>
      </c>
      <c r="BD1824" t="str">
        <f t="shared" si="713"/>
        <v xml:space="preserve">N52156  </v>
      </c>
      <c r="BE1824">
        <v>1</v>
      </c>
      <c r="BG1824">
        <v>0</v>
      </c>
      <c r="BH1824">
        <v>0</v>
      </c>
      <c r="BI1824">
        <v>0</v>
      </c>
      <c r="BJ1824">
        <v>4275</v>
      </c>
      <c r="BK1824">
        <v>-25</v>
      </c>
      <c r="BL1824" t="s">
        <v>188</v>
      </c>
      <c r="BM1824">
        <v>1</v>
      </c>
      <c r="BN1824">
        <v>1</v>
      </c>
      <c r="BO1824">
        <v>0</v>
      </c>
      <c r="BP1824">
        <v>0</v>
      </c>
      <c r="BS1824">
        <v>0</v>
      </c>
      <c r="BT1824">
        <v>0</v>
      </c>
      <c r="BU1824">
        <v>0</v>
      </c>
      <c r="CE1824" t="str">
        <f t="shared" si="723"/>
        <v>15:09:35.823</v>
      </c>
      <c r="CF1824">
        <v>823122437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5</v>
      </c>
      <c r="CY1824">
        <v>7</v>
      </c>
      <c r="CZ1824" t="s">
        <v>133</v>
      </c>
      <c r="DA1824">
        <v>273</v>
      </c>
      <c r="DB1824">
        <v>0</v>
      </c>
      <c r="DC1824" t="s">
        <v>292</v>
      </c>
      <c r="DD1824" t="s">
        <v>293</v>
      </c>
      <c r="DG1824">
        <v>4862833</v>
      </c>
      <c r="DI1824">
        <v>1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"05/01/2025 15:09:36.076"</f>
        <v>05/01/2025 15:09:36.076</v>
      </c>
      <c r="C1825" t="str">
        <f t="shared" si="710"/>
        <v>FFDFD3C0</v>
      </c>
      <c r="D1825" t="s">
        <v>140</v>
      </c>
      <c r="E1825" t="str">
        <f>"13"</f>
        <v>13</v>
      </c>
      <c r="F1825">
        <v>1019</v>
      </c>
      <c r="G1825" t="s">
        <v>141</v>
      </c>
      <c r="J1825" t="s">
        <v>142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R1825" t="s">
        <v>127</v>
      </c>
      <c r="S1825" t="str">
        <f t="shared" si="722"/>
        <v>15:09:35.000</v>
      </c>
      <c r="T1825" t="str">
        <f t="shared" si="722"/>
        <v>15:09:35.000</v>
      </c>
      <c r="U1825" t="str">
        <f t="shared" si="711"/>
        <v>A68FCB</v>
      </c>
      <c r="V1825">
        <v>0</v>
      </c>
      <c r="W1825">
        <v>0</v>
      </c>
      <c r="X1825">
        <v>2</v>
      </c>
      <c r="Y1825">
        <v>0</v>
      </c>
      <c r="AA1825">
        <v>1</v>
      </c>
      <c r="AB1825">
        <v>8</v>
      </c>
      <c r="AC1825">
        <v>3</v>
      </c>
      <c r="AD1825">
        <v>0</v>
      </c>
      <c r="AE1825">
        <v>9</v>
      </c>
      <c r="AF1825" t="s">
        <v>138</v>
      </c>
      <c r="AG1825">
        <v>0</v>
      </c>
      <c r="AH1825">
        <v>3</v>
      </c>
      <c r="AI1825">
        <v>2</v>
      </c>
      <c r="AJ1825">
        <v>0</v>
      </c>
      <c r="AK1825" t="s">
        <v>654</v>
      </c>
      <c r="AL1825">
        <v>39.037663999999999</v>
      </c>
      <c r="AM1825" t="s">
        <v>655</v>
      </c>
      <c r="AN1825">
        <v>-121.044445</v>
      </c>
      <c r="AO1825">
        <v>25</v>
      </c>
      <c r="AP1825">
        <v>4300</v>
      </c>
      <c r="AQ1825" t="s">
        <v>131</v>
      </c>
      <c r="AR1825">
        <v>20</v>
      </c>
      <c r="AS1825">
        <v>78</v>
      </c>
      <c r="AT1825">
        <v>256</v>
      </c>
      <c r="BB1825" t="str">
        <f t="shared" si="712"/>
        <v>1200</v>
      </c>
      <c r="BC1825">
        <v>1</v>
      </c>
      <c r="BD1825" t="str">
        <f t="shared" si="713"/>
        <v xml:space="preserve">N52156  </v>
      </c>
      <c r="BE1825">
        <v>1</v>
      </c>
      <c r="BG1825">
        <v>0</v>
      </c>
      <c r="BH1825">
        <v>0</v>
      </c>
      <c r="BI1825">
        <v>0</v>
      </c>
      <c r="BJ1825">
        <v>4275</v>
      </c>
      <c r="BK1825">
        <v>-25</v>
      </c>
      <c r="BL1825" t="s">
        <v>188</v>
      </c>
      <c r="BM1825">
        <v>1</v>
      </c>
      <c r="BN1825">
        <v>1</v>
      </c>
      <c r="BO1825">
        <v>0</v>
      </c>
      <c r="BP1825">
        <v>0</v>
      </c>
      <c r="BS1825">
        <v>0</v>
      </c>
      <c r="BT1825">
        <v>0</v>
      </c>
      <c r="BU1825">
        <v>0</v>
      </c>
      <c r="CE1825" t="str">
        <f t="shared" si="723"/>
        <v>15:09:35.823</v>
      </c>
      <c r="CF1825">
        <v>823122437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5</v>
      </c>
      <c r="CY1825">
        <v>7</v>
      </c>
      <c r="CZ1825" t="s">
        <v>133</v>
      </c>
      <c r="DA1825">
        <v>273</v>
      </c>
      <c r="DB1825">
        <v>0</v>
      </c>
      <c r="DC1825" t="s">
        <v>292</v>
      </c>
      <c r="DD1825" t="s">
        <v>293</v>
      </c>
      <c r="DG1825">
        <v>4862833</v>
      </c>
      <c r="DI1825">
        <v>1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"05/01/2025 15:09:36.990"</f>
        <v>05/01/2025 15:09:36.990</v>
      </c>
      <c r="C1826" t="str">
        <f t="shared" si="710"/>
        <v>FFDFD3C0</v>
      </c>
      <c r="D1826" t="s">
        <v>145</v>
      </c>
      <c r="E1826" t="str">
        <f>"09"</f>
        <v>09</v>
      </c>
      <c r="H1826">
        <v>51</v>
      </c>
      <c r="I1826" t="s">
        <v>147</v>
      </c>
      <c r="J1826" t="s">
        <v>138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R1826" t="s">
        <v>127</v>
      </c>
      <c r="S1826" t="str">
        <f t="shared" ref="S1826:T1831" si="724">"15:09:36.000"</f>
        <v>15:09:36.000</v>
      </c>
      <c r="T1826" t="str">
        <f t="shared" si="724"/>
        <v>15:09:36.000</v>
      </c>
      <c r="U1826" t="str">
        <f t="shared" si="711"/>
        <v>A68FCB</v>
      </c>
      <c r="V1826">
        <v>0</v>
      </c>
      <c r="W1826">
        <v>0</v>
      </c>
      <c r="X1826">
        <v>2</v>
      </c>
      <c r="Y1826">
        <v>0</v>
      </c>
      <c r="AA1826">
        <v>1</v>
      </c>
      <c r="AB1826">
        <v>8</v>
      </c>
      <c r="AC1826">
        <v>3</v>
      </c>
      <c r="AD1826">
        <v>0</v>
      </c>
      <c r="AE1826">
        <v>9</v>
      </c>
      <c r="AF1826" t="s">
        <v>138</v>
      </c>
      <c r="AG1826">
        <v>0</v>
      </c>
      <c r="AH1826">
        <v>3</v>
      </c>
      <c r="AI1826">
        <v>2</v>
      </c>
      <c r="AJ1826">
        <v>0</v>
      </c>
      <c r="AK1826" t="s">
        <v>656</v>
      </c>
      <c r="AL1826">
        <v>39.038007</v>
      </c>
      <c r="AM1826" t="s">
        <v>657</v>
      </c>
      <c r="AN1826">
        <v>-121.04431599999999</v>
      </c>
      <c r="AO1826">
        <v>25</v>
      </c>
      <c r="AP1826">
        <v>4300</v>
      </c>
      <c r="AQ1826" t="s">
        <v>131</v>
      </c>
      <c r="AR1826">
        <v>20</v>
      </c>
      <c r="AS1826">
        <v>79</v>
      </c>
      <c r="AT1826">
        <v>192</v>
      </c>
      <c r="BB1826" t="str">
        <f t="shared" si="712"/>
        <v>1200</v>
      </c>
      <c r="BC1826">
        <v>1</v>
      </c>
      <c r="BD1826" t="str">
        <f t="shared" si="713"/>
        <v xml:space="preserve">N52156  </v>
      </c>
      <c r="BE1826">
        <v>1</v>
      </c>
      <c r="BG1826">
        <v>0</v>
      </c>
      <c r="BH1826">
        <v>0</v>
      </c>
      <c r="BI1826">
        <v>0</v>
      </c>
      <c r="BJ1826">
        <v>4275</v>
      </c>
      <c r="BK1826">
        <v>-25</v>
      </c>
      <c r="BL1826" t="s">
        <v>188</v>
      </c>
      <c r="BM1826">
        <v>1</v>
      </c>
      <c r="BN1826">
        <v>1</v>
      </c>
      <c r="BO1826">
        <v>0</v>
      </c>
      <c r="BP1826">
        <v>0</v>
      </c>
      <c r="BS1826">
        <v>0</v>
      </c>
      <c r="BT1826">
        <v>0</v>
      </c>
      <c r="BU1826">
        <v>0</v>
      </c>
      <c r="CE1826" t="str">
        <f t="shared" ref="CE1826:CE1831" si="725">"15:09:36.793"</f>
        <v>15:09:36.793</v>
      </c>
      <c r="CF1826">
        <v>792712328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5</v>
      </c>
      <c r="CY1826">
        <v>7</v>
      </c>
      <c r="CZ1826" t="s">
        <v>133</v>
      </c>
      <c r="DA1826">
        <v>275</v>
      </c>
      <c r="DB1826">
        <v>0</v>
      </c>
      <c r="DC1826" t="s">
        <v>134</v>
      </c>
      <c r="DD1826" t="s">
        <v>135</v>
      </c>
      <c r="DG1826">
        <v>3320933</v>
      </c>
      <c r="DI1826">
        <v>1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"05/01/2025 15:09:36.995"</f>
        <v>05/01/2025 15:09:36.995</v>
      </c>
      <c r="C1827" t="str">
        <f t="shared" si="710"/>
        <v>FFDFD3C0</v>
      </c>
      <c r="D1827" t="s">
        <v>143</v>
      </c>
      <c r="E1827" t="str">
        <f>"05"</f>
        <v>05</v>
      </c>
      <c r="H1827">
        <v>172</v>
      </c>
      <c r="I1827" t="s">
        <v>141</v>
      </c>
      <c r="J1827" t="s">
        <v>144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R1827" t="s">
        <v>127</v>
      </c>
      <c r="S1827" t="str">
        <f t="shared" si="724"/>
        <v>15:09:36.000</v>
      </c>
      <c r="T1827" t="str">
        <f t="shared" si="724"/>
        <v>15:09:36.000</v>
      </c>
      <c r="U1827" t="str">
        <f t="shared" si="711"/>
        <v>A68FCB</v>
      </c>
      <c r="V1827">
        <v>0</v>
      </c>
      <c r="W1827">
        <v>0</v>
      </c>
      <c r="X1827">
        <v>2</v>
      </c>
      <c r="Y1827">
        <v>0</v>
      </c>
      <c r="AA1827">
        <v>1</v>
      </c>
      <c r="AB1827">
        <v>8</v>
      </c>
      <c r="AC1827">
        <v>3</v>
      </c>
      <c r="AD1827">
        <v>0</v>
      </c>
      <c r="AE1827">
        <v>9</v>
      </c>
      <c r="AF1827" t="s">
        <v>138</v>
      </c>
      <c r="AG1827">
        <v>0</v>
      </c>
      <c r="AH1827">
        <v>3</v>
      </c>
      <c r="AI1827">
        <v>2</v>
      </c>
      <c r="AJ1827">
        <v>0</v>
      </c>
      <c r="AK1827" t="s">
        <v>656</v>
      </c>
      <c r="AL1827">
        <v>39.038007</v>
      </c>
      <c r="AM1827" t="s">
        <v>657</v>
      </c>
      <c r="AN1827">
        <v>-121.04431599999999</v>
      </c>
      <c r="AO1827">
        <v>25</v>
      </c>
      <c r="AP1827">
        <v>4300</v>
      </c>
      <c r="AQ1827" t="s">
        <v>131</v>
      </c>
      <c r="AR1827">
        <v>20</v>
      </c>
      <c r="AS1827">
        <v>79</v>
      </c>
      <c r="AT1827">
        <v>192</v>
      </c>
      <c r="BB1827" t="str">
        <f t="shared" si="712"/>
        <v>1200</v>
      </c>
      <c r="BC1827">
        <v>1</v>
      </c>
      <c r="BD1827" t="str">
        <f t="shared" si="713"/>
        <v xml:space="preserve">N52156  </v>
      </c>
      <c r="BE1827">
        <v>1</v>
      </c>
      <c r="BG1827">
        <v>0</v>
      </c>
      <c r="BH1827">
        <v>0</v>
      </c>
      <c r="BI1827">
        <v>0</v>
      </c>
      <c r="BJ1827">
        <v>4275</v>
      </c>
      <c r="BK1827">
        <v>-25</v>
      </c>
      <c r="BL1827" t="s">
        <v>188</v>
      </c>
      <c r="BM1827">
        <v>1</v>
      </c>
      <c r="BN1827">
        <v>1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 t="shared" si="725"/>
        <v>15:09:36.793</v>
      </c>
      <c r="CF1827">
        <v>792712328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5</v>
      </c>
      <c r="CY1827">
        <v>7</v>
      </c>
      <c r="CZ1827" t="s">
        <v>133</v>
      </c>
      <c r="DA1827">
        <v>275</v>
      </c>
      <c r="DB1827">
        <v>0</v>
      </c>
      <c r="DC1827" t="s">
        <v>134</v>
      </c>
      <c r="DD1827" t="s">
        <v>135</v>
      </c>
      <c r="DG1827">
        <v>3320933</v>
      </c>
      <c r="DI1827">
        <v>1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"05/01/2025 15:09:36.999"</f>
        <v>05/01/2025 15:09:36.999</v>
      </c>
      <c r="C1828" t="str">
        <f t="shared" si="710"/>
        <v>FFDFD3C0</v>
      </c>
      <c r="D1828" t="s">
        <v>136</v>
      </c>
      <c r="E1828" t="str">
        <f>"20"</f>
        <v>20</v>
      </c>
      <c r="H1828">
        <v>400</v>
      </c>
      <c r="I1828" t="s">
        <v>137</v>
      </c>
      <c r="J1828" t="s">
        <v>138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R1828" t="s">
        <v>127</v>
      </c>
      <c r="S1828" t="str">
        <f t="shared" si="724"/>
        <v>15:09:36.000</v>
      </c>
      <c r="T1828" t="str">
        <f t="shared" si="724"/>
        <v>15:09:36.000</v>
      </c>
      <c r="U1828" t="str">
        <f t="shared" si="711"/>
        <v>A68FCB</v>
      </c>
      <c r="V1828">
        <v>0</v>
      </c>
      <c r="W1828">
        <v>0</v>
      </c>
      <c r="X1828">
        <v>2</v>
      </c>
      <c r="Y1828">
        <v>0</v>
      </c>
      <c r="AA1828">
        <v>1</v>
      </c>
      <c r="AB1828">
        <v>8</v>
      </c>
      <c r="AC1828">
        <v>3</v>
      </c>
      <c r="AD1828">
        <v>0</v>
      </c>
      <c r="AE1828">
        <v>9</v>
      </c>
      <c r="AF1828" t="s">
        <v>138</v>
      </c>
      <c r="AG1828">
        <v>0</v>
      </c>
      <c r="AH1828">
        <v>3</v>
      </c>
      <c r="AI1828">
        <v>2</v>
      </c>
      <c r="AJ1828">
        <v>0</v>
      </c>
      <c r="AK1828" t="s">
        <v>656</v>
      </c>
      <c r="AL1828">
        <v>39.038007</v>
      </c>
      <c r="AM1828" t="s">
        <v>657</v>
      </c>
      <c r="AN1828">
        <v>-121.04431599999999</v>
      </c>
      <c r="AO1828">
        <v>25</v>
      </c>
      <c r="AP1828">
        <v>4300</v>
      </c>
      <c r="AQ1828" t="s">
        <v>131</v>
      </c>
      <c r="AR1828">
        <v>20</v>
      </c>
      <c r="AS1828">
        <v>79</v>
      </c>
      <c r="AT1828">
        <v>192</v>
      </c>
      <c r="BB1828" t="str">
        <f t="shared" si="712"/>
        <v>1200</v>
      </c>
      <c r="BC1828">
        <v>1</v>
      </c>
      <c r="BD1828" t="str">
        <f t="shared" si="713"/>
        <v xml:space="preserve">N52156  </v>
      </c>
      <c r="BE1828">
        <v>1</v>
      </c>
      <c r="BG1828">
        <v>0</v>
      </c>
      <c r="BH1828">
        <v>0</v>
      </c>
      <c r="BI1828">
        <v>0</v>
      </c>
      <c r="BJ1828">
        <v>4275</v>
      </c>
      <c r="BK1828">
        <v>-25</v>
      </c>
      <c r="BL1828" t="s">
        <v>188</v>
      </c>
      <c r="BM1828">
        <v>1</v>
      </c>
      <c r="BN1828">
        <v>1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 t="shared" si="725"/>
        <v>15:09:36.793</v>
      </c>
      <c r="CF1828">
        <v>792712328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5</v>
      </c>
      <c r="CY1828">
        <v>7</v>
      </c>
      <c r="CZ1828" t="s">
        <v>133</v>
      </c>
      <c r="DA1828">
        <v>275</v>
      </c>
      <c r="DB1828">
        <v>0</v>
      </c>
      <c r="DC1828" t="s">
        <v>134</v>
      </c>
      <c r="DD1828" t="s">
        <v>135</v>
      </c>
      <c r="DG1828">
        <v>3320933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"05/01/2025 15:09:37.028"</f>
        <v>05/01/2025 15:09:37.028</v>
      </c>
      <c r="C1829" t="str">
        <f t="shared" si="710"/>
        <v>FFDFD3C0</v>
      </c>
      <c r="D1829" t="s">
        <v>140</v>
      </c>
      <c r="E1829" t="str">
        <f>"13"</f>
        <v>13</v>
      </c>
      <c r="F1829">
        <v>1019</v>
      </c>
      <c r="G1829" t="s">
        <v>141</v>
      </c>
      <c r="J1829" t="s">
        <v>142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R1829" t="s">
        <v>127</v>
      </c>
      <c r="S1829" t="str">
        <f t="shared" si="724"/>
        <v>15:09:36.000</v>
      </c>
      <c r="T1829" t="str">
        <f t="shared" si="724"/>
        <v>15:09:36.000</v>
      </c>
      <c r="U1829" t="str">
        <f t="shared" si="711"/>
        <v>A68FCB</v>
      </c>
      <c r="V1829">
        <v>0</v>
      </c>
      <c r="W1829">
        <v>0</v>
      </c>
      <c r="X1829">
        <v>2</v>
      </c>
      <c r="Y1829">
        <v>0</v>
      </c>
      <c r="AA1829">
        <v>1</v>
      </c>
      <c r="AB1829">
        <v>8</v>
      </c>
      <c r="AC1829">
        <v>3</v>
      </c>
      <c r="AD1829">
        <v>0</v>
      </c>
      <c r="AE1829">
        <v>9</v>
      </c>
      <c r="AF1829" t="s">
        <v>138</v>
      </c>
      <c r="AG1829">
        <v>0</v>
      </c>
      <c r="AH1829">
        <v>3</v>
      </c>
      <c r="AI1829">
        <v>2</v>
      </c>
      <c r="AJ1829">
        <v>0</v>
      </c>
      <c r="AK1829" t="s">
        <v>656</v>
      </c>
      <c r="AL1829">
        <v>39.038007</v>
      </c>
      <c r="AM1829" t="s">
        <v>657</v>
      </c>
      <c r="AN1829">
        <v>-121.04431599999999</v>
      </c>
      <c r="AO1829">
        <v>25</v>
      </c>
      <c r="AP1829">
        <v>4300</v>
      </c>
      <c r="AQ1829" t="s">
        <v>131</v>
      </c>
      <c r="AR1829">
        <v>20</v>
      </c>
      <c r="AS1829">
        <v>79</v>
      </c>
      <c r="AT1829">
        <v>192</v>
      </c>
      <c r="BB1829" t="str">
        <f t="shared" si="712"/>
        <v>1200</v>
      </c>
      <c r="BC1829">
        <v>1</v>
      </c>
      <c r="BD1829" t="str">
        <f t="shared" si="713"/>
        <v xml:space="preserve">N52156  </v>
      </c>
      <c r="BE1829">
        <v>1</v>
      </c>
      <c r="BG1829">
        <v>0</v>
      </c>
      <c r="BH1829">
        <v>0</v>
      </c>
      <c r="BI1829">
        <v>0</v>
      </c>
      <c r="BJ1829">
        <v>4275</v>
      </c>
      <c r="BK1829">
        <v>-25</v>
      </c>
      <c r="BL1829" t="s">
        <v>188</v>
      </c>
      <c r="BM1829">
        <v>1</v>
      </c>
      <c r="BN1829">
        <v>1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 t="shared" si="725"/>
        <v>15:09:36.793</v>
      </c>
      <c r="CF1829">
        <v>792712328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5</v>
      </c>
      <c r="CY1829">
        <v>7</v>
      </c>
      <c r="CZ1829" t="s">
        <v>133</v>
      </c>
      <c r="DA1829">
        <v>275</v>
      </c>
      <c r="DB1829">
        <v>0</v>
      </c>
      <c r="DC1829" t="s">
        <v>134</v>
      </c>
      <c r="DD1829" t="s">
        <v>135</v>
      </c>
      <c r="DG1829">
        <v>3320933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"05/01/2025 15:09:37.036"</f>
        <v>05/01/2025 15:09:37.036</v>
      </c>
      <c r="C1830" t="str">
        <f t="shared" si="710"/>
        <v>FFDFD3C0</v>
      </c>
      <c r="D1830" t="s">
        <v>145</v>
      </c>
      <c r="E1830" t="str">
        <f>"05"</f>
        <v>05</v>
      </c>
      <c r="H1830">
        <v>47</v>
      </c>
      <c r="I1830" t="s">
        <v>146</v>
      </c>
      <c r="J1830" t="s">
        <v>138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R1830" t="s">
        <v>127</v>
      </c>
      <c r="S1830" t="str">
        <f t="shared" si="724"/>
        <v>15:09:36.000</v>
      </c>
      <c r="T1830" t="str">
        <f t="shared" si="724"/>
        <v>15:09:36.000</v>
      </c>
      <c r="U1830" t="str">
        <f t="shared" si="711"/>
        <v>A68FCB</v>
      </c>
      <c r="V1830">
        <v>0</v>
      </c>
      <c r="W1830">
        <v>0</v>
      </c>
      <c r="X1830">
        <v>2</v>
      </c>
      <c r="Y1830">
        <v>0</v>
      </c>
      <c r="AA1830">
        <v>1</v>
      </c>
      <c r="AB1830">
        <v>8</v>
      </c>
      <c r="AC1830">
        <v>3</v>
      </c>
      <c r="AD1830">
        <v>0</v>
      </c>
      <c r="AE1830">
        <v>9</v>
      </c>
      <c r="AF1830" t="s">
        <v>138</v>
      </c>
      <c r="AG1830">
        <v>0</v>
      </c>
      <c r="AH1830">
        <v>3</v>
      </c>
      <c r="AI1830">
        <v>2</v>
      </c>
      <c r="AJ1830">
        <v>0</v>
      </c>
      <c r="AK1830" t="s">
        <v>656</v>
      </c>
      <c r="AL1830">
        <v>39.038007</v>
      </c>
      <c r="AM1830" t="s">
        <v>657</v>
      </c>
      <c r="AN1830">
        <v>-121.04431599999999</v>
      </c>
      <c r="AO1830">
        <v>25</v>
      </c>
      <c r="AP1830">
        <v>4300</v>
      </c>
      <c r="AQ1830" t="s">
        <v>131</v>
      </c>
      <c r="AR1830">
        <v>20</v>
      </c>
      <c r="AS1830">
        <v>79</v>
      </c>
      <c r="AT1830">
        <v>192</v>
      </c>
      <c r="BB1830" t="str">
        <f t="shared" si="712"/>
        <v>1200</v>
      </c>
      <c r="BC1830">
        <v>1</v>
      </c>
      <c r="BD1830" t="str">
        <f t="shared" si="713"/>
        <v xml:space="preserve">N52156  </v>
      </c>
      <c r="BE1830">
        <v>1</v>
      </c>
      <c r="BG1830">
        <v>0</v>
      </c>
      <c r="BH1830">
        <v>0</v>
      </c>
      <c r="BI1830">
        <v>0</v>
      </c>
      <c r="BJ1830">
        <v>4275</v>
      </c>
      <c r="BK1830">
        <v>-25</v>
      </c>
      <c r="BL1830" t="s">
        <v>188</v>
      </c>
      <c r="BM1830">
        <v>1</v>
      </c>
      <c r="BN1830">
        <v>1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 t="shared" si="725"/>
        <v>15:09:36.793</v>
      </c>
      <c r="CF1830">
        <v>792712328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133</v>
      </c>
      <c r="DA1830">
        <v>275</v>
      </c>
      <c r="DB1830">
        <v>0</v>
      </c>
      <c r="DC1830" t="s">
        <v>134</v>
      </c>
      <c r="DD1830" t="s">
        <v>135</v>
      </c>
      <c r="DG1830">
        <v>3320933</v>
      </c>
      <c r="DI1830">
        <v>1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"05/01/2025 15:09:37.037"</f>
        <v>05/01/2025 15:09:37.037</v>
      </c>
      <c r="C1831" t="str">
        <f t="shared" si="710"/>
        <v>FFDFD3C0</v>
      </c>
      <c r="D1831" t="s">
        <v>124</v>
      </c>
      <c r="E1831" t="str">
        <f>"06"</f>
        <v>06</v>
      </c>
      <c r="F1831">
        <v>2006</v>
      </c>
      <c r="G1831" t="s">
        <v>125</v>
      </c>
      <c r="J1831" t="s">
        <v>126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R1831" t="s">
        <v>127</v>
      </c>
      <c r="S1831" t="str">
        <f t="shared" si="724"/>
        <v>15:09:36.000</v>
      </c>
      <c r="T1831" t="str">
        <f t="shared" si="724"/>
        <v>15:09:36.000</v>
      </c>
      <c r="U1831" t="str">
        <f t="shared" si="711"/>
        <v>A68FCB</v>
      </c>
      <c r="V1831">
        <v>0</v>
      </c>
      <c r="W1831">
        <v>0</v>
      </c>
      <c r="X1831">
        <v>2</v>
      </c>
      <c r="Y1831">
        <v>0</v>
      </c>
      <c r="AA1831">
        <v>1</v>
      </c>
      <c r="AB1831">
        <v>8</v>
      </c>
      <c r="AC1831">
        <v>3</v>
      </c>
      <c r="AD1831">
        <v>0</v>
      </c>
      <c r="AE1831">
        <v>9</v>
      </c>
      <c r="AF1831" t="s">
        <v>138</v>
      </c>
      <c r="AG1831">
        <v>0</v>
      </c>
      <c r="AH1831">
        <v>3</v>
      </c>
      <c r="AI1831">
        <v>2</v>
      </c>
      <c r="AJ1831">
        <v>0</v>
      </c>
      <c r="AK1831" t="s">
        <v>656</v>
      </c>
      <c r="AL1831">
        <v>39.038007</v>
      </c>
      <c r="AM1831" t="s">
        <v>657</v>
      </c>
      <c r="AN1831">
        <v>-121.04431599999999</v>
      </c>
      <c r="AO1831">
        <v>25</v>
      </c>
      <c r="AP1831">
        <v>4300</v>
      </c>
      <c r="AQ1831" t="s">
        <v>131</v>
      </c>
      <c r="AR1831">
        <v>20</v>
      </c>
      <c r="AS1831">
        <v>79</v>
      </c>
      <c r="AT1831">
        <v>192</v>
      </c>
      <c r="BB1831" t="str">
        <f t="shared" si="712"/>
        <v>1200</v>
      </c>
      <c r="BC1831">
        <v>1</v>
      </c>
      <c r="BD1831" t="str">
        <f t="shared" si="713"/>
        <v xml:space="preserve">N52156  </v>
      </c>
      <c r="BE1831">
        <v>1</v>
      </c>
      <c r="BG1831">
        <v>0</v>
      </c>
      <c r="BH1831">
        <v>0</v>
      </c>
      <c r="BI1831">
        <v>0</v>
      </c>
      <c r="BJ1831">
        <v>4275</v>
      </c>
      <c r="BK1831">
        <v>-25</v>
      </c>
      <c r="BL1831" t="s">
        <v>188</v>
      </c>
      <c r="BM1831">
        <v>1</v>
      </c>
      <c r="BN1831">
        <v>1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 t="shared" si="725"/>
        <v>15:09:36.793</v>
      </c>
      <c r="CF1831">
        <v>792712328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5</v>
      </c>
      <c r="CY1831">
        <v>7</v>
      </c>
      <c r="CZ1831" t="s">
        <v>133</v>
      </c>
      <c r="DA1831">
        <v>275</v>
      </c>
      <c r="DB1831">
        <v>0</v>
      </c>
      <c r="DC1831" t="s">
        <v>134</v>
      </c>
      <c r="DD1831" t="s">
        <v>135</v>
      </c>
      <c r="DG1831">
        <v>3320933</v>
      </c>
      <c r="DI1831">
        <v>1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"05/01/2025 15:09:37.628"</f>
        <v>05/01/2025 15:09:37.628</v>
      </c>
      <c r="C1832" t="str">
        <f t="shared" si="710"/>
        <v>FFDFD3C0</v>
      </c>
      <c r="D1832" t="s">
        <v>140</v>
      </c>
      <c r="E1832" t="str">
        <f>"13"</f>
        <v>13</v>
      </c>
      <c r="F1832">
        <v>1019</v>
      </c>
      <c r="G1832" t="s">
        <v>141</v>
      </c>
      <c r="J1832" t="s">
        <v>142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R1832" t="s">
        <v>127</v>
      </c>
      <c r="S1832" t="str">
        <f t="shared" ref="S1832:T1837" si="726">"15:09:37.000"</f>
        <v>15:09:37.000</v>
      </c>
      <c r="T1832" t="str">
        <f t="shared" si="726"/>
        <v>15:09:37.000</v>
      </c>
      <c r="U1832" t="str">
        <f t="shared" si="711"/>
        <v>A68FCB</v>
      </c>
      <c r="V1832">
        <v>0</v>
      </c>
      <c r="W1832">
        <v>0</v>
      </c>
      <c r="X1832">
        <v>2</v>
      </c>
      <c r="Y1832">
        <v>0</v>
      </c>
      <c r="AA1832">
        <v>1</v>
      </c>
      <c r="AB1832">
        <v>8</v>
      </c>
      <c r="AC1832">
        <v>3</v>
      </c>
      <c r="AD1832">
        <v>0</v>
      </c>
      <c r="AE1832">
        <v>9</v>
      </c>
      <c r="AF1832" t="s">
        <v>138</v>
      </c>
      <c r="AG1832">
        <v>0</v>
      </c>
      <c r="AH1832">
        <v>3</v>
      </c>
      <c r="AI1832">
        <v>2</v>
      </c>
      <c r="AJ1832">
        <v>0</v>
      </c>
      <c r="AK1832" t="s">
        <v>658</v>
      </c>
      <c r="AL1832">
        <v>39.038392999999999</v>
      </c>
      <c r="AM1832" t="s">
        <v>659</v>
      </c>
      <c r="AN1832">
        <v>-121.044209</v>
      </c>
      <c r="AO1832">
        <v>25</v>
      </c>
      <c r="AP1832">
        <v>4300</v>
      </c>
      <c r="AQ1832" t="s">
        <v>131</v>
      </c>
      <c r="AR1832">
        <v>20</v>
      </c>
      <c r="AS1832">
        <v>80</v>
      </c>
      <c r="AT1832">
        <v>128</v>
      </c>
      <c r="BB1832" t="str">
        <f t="shared" si="712"/>
        <v>1200</v>
      </c>
      <c r="BC1832">
        <v>1</v>
      </c>
      <c r="BD1832" t="str">
        <f t="shared" si="713"/>
        <v xml:space="preserve">N52156  </v>
      </c>
      <c r="BE1832">
        <v>1</v>
      </c>
      <c r="BG1832">
        <v>0</v>
      </c>
      <c r="BH1832">
        <v>0</v>
      </c>
      <c r="BI1832">
        <v>0</v>
      </c>
      <c r="BJ1832">
        <v>4300</v>
      </c>
      <c r="BK1832">
        <v>0</v>
      </c>
      <c r="BL1832" t="s">
        <v>188</v>
      </c>
      <c r="BM1832">
        <v>1</v>
      </c>
      <c r="BN1832">
        <v>1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 t="shared" ref="CE1832:CE1837" si="727">"15:09:37.397"</f>
        <v>15:09:37.397</v>
      </c>
      <c r="CF1832">
        <v>397461368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133</v>
      </c>
      <c r="DA1832">
        <v>275</v>
      </c>
      <c r="DB1832">
        <v>0</v>
      </c>
      <c r="DC1832" t="s">
        <v>134</v>
      </c>
      <c r="DD1832" t="s">
        <v>135</v>
      </c>
      <c r="DG1832">
        <v>3320937</v>
      </c>
      <c r="DI1832">
        <v>1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"05/01/2025 15:09:37.636"</f>
        <v>05/01/2025 15:09:37.636</v>
      </c>
      <c r="C1833" t="str">
        <f t="shared" si="710"/>
        <v>FFDFD3C0</v>
      </c>
      <c r="D1833" t="s">
        <v>145</v>
      </c>
      <c r="E1833" t="str">
        <f>"05"</f>
        <v>05</v>
      </c>
      <c r="H1833">
        <v>47</v>
      </c>
      <c r="I1833" t="s">
        <v>146</v>
      </c>
      <c r="J1833" t="s">
        <v>138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R1833" t="s">
        <v>127</v>
      </c>
      <c r="S1833" t="str">
        <f t="shared" si="726"/>
        <v>15:09:37.000</v>
      </c>
      <c r="T1833" t="str">
        <f t="shared" si="726"/>
        <v>15:09:37.000</v>
      </c>
      <c r="U1833" t="str">
        <f t="shared" si="711"/>
        <v>A68FCB</v>
      </c>
      <c r="V1833">
        <v>0</v>
      </c>
      <c r="W1833">
        <v>0</v>
      </c>
      <c r="X1833">
        <v>2</v>
      </c>
      <c r="Y1833">
        <v>0</v>
      </c>
      <c r="AA1833">
        <v>1</v>
      </c>
      <c r="AB1833">
        <v>8</v>
      </c>
      <c r="AC1833">
        <v>3</v>
      </c>
      <c r="AD1833">
        <v>0</v>
      </c>
      <c r="AE1833">
        <v>9</v>
      </c>
      <c r="AF1833" t="s">
        <v>138</v>
      </c>
      <c r="AG1833">
        <v>0</v>
      </c>
      <c r="AH1833">
        <v>3</v>
      </c>
      <c r="AI1833">
        <v>2</v>
      </c>
      <c r="AJ1833">
        <v>0</v>
      </c>
      <c r="AK1833" t="s">
        <v>658</v>
      </c>
      <c r="AL1833">
        <v>39.038392999999999</v>
      </c>
      <c r="AM1833" t="s">
        <v>659</v>
      </c>
      <c r="AN1833">
        <v>-121.044209</v>
      </c>
      <c r="AO1833">
        <v>25</v>
      </c>
      <c r="AP1833">
        <v>4300</v>
      </c>
      <c r="AQ1833" t="s">
        <v>131</v>
      </c>
      <c r="AR1833">
        <v>20</v>
      </c>
      <c r="AS1833">
        <v>80</v>
      </c>
      <c r="AT1833">
        <v>128</v>
      </c>
      <c r="BB1833" t="str">
        <f t="shared" si="712"/>
        <v>1200</v>
      </c>
      <c r="BC1833">
        <v>1</v>
      </c>
      <c r="BD1833" t="str">
        <f t="shared" si="713"/>
        <v xml:space="preserve">N52156  </v>
      </c>
      <c r="BE1833">
        <v>1</v>
      </c>
      <c r="BG1833">
        <v>0</v>
      </c>
      <c r="BH1833">
        <v>0</v>
      </c>
      <c r="BI1833">
        <v>0</v>
      </c>
      <c r="BJ1833">
        <v>4300</v>
      </c>
      <c r="BK1833">
        <v>0</v>
      </c>
      <c r="BL1833" t="s">
        <v>188</v>
      </c>
      <c r="BM1833">
        <v>1</v>
      </c>
      <c r="BN1833">
        <v>1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 t="shared" si="727"/>
        <v>15:09:37.397</v>
      </c>
      <c r="CF1833">
        <v>397461368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133</v>
      </c>
      <c r="DA1833">
        <v>275</v>
      </c>
      <c r="DB1833">
        <v>0</v>
      </c>
      <c r="DC1833" t="s">
        <v>134</v>
      </c>
      <c r="DD1833" t="s">
        <v>135</v>
      </c>
      <c r="DG1833">
        <v>3320937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"05/01/2025 15:09:37.638"</f>
        <v>05/01/2025 15:09:37.638</v>
      </c>
      <c r="C1834" t="str">
        <f t="shared" si="710"/>
        <v>FFDFD3C0</v>
      </c>
      <c r="D1834" t="s">
        <v>124</v>
      </c>
      <c r="E1834" t="str">
        <f>"06"</f>
        <v>06</v>
      </c>
      <c r="F1834">
        <v>2006</v>
      </c>
      <c r="G1834" t="s">
        <v>125</v>
      </c>
      <c r="J1834" t="s">
        <v>126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R1834" t="s">
        <v>127</v>
      </c>
      <c r="S1834" t="str">
        <f t="shared" si="726"/>
        <v>15:09:37.000</v>
      </c>
      <c r="T1834" t="str">
        <f t="shared" si="726"/>
        <v>15:09:37.000</v>
      </c>
      <c r="U1834" t="str">
        <f t="shared" si="711"/>
        <v>A68FCB</v>
      </c>
      <c r="V1834">
        <v>0</v>
      </c>
      <c r="W1834">
        <v>0</v>
      </c>
      <c r="X1834">
        <v>2</v>
      </c>
      <c r="Y1834">
        <v>0</v>
      </c>
      <c r="AA1834">
        <v>1</v>
      </c>
      <c r="AB1834">
        <v>8</v>
      </c>
      <c r="AC1834">
        <v>3</v>
      </c>
      <c r="AD1834">
        <v>0</v>
      </c>
      <c r="AE1834">
        <v>9</v>
      </c>
      <c r="AF1834" t="s">
        <v>138</v>
      </c>
      <c r="AG1834">
        <v>0</v>
      </c>
      <c r="AH1834">
        <v>3</v>
      </c>
      <c r="AI1834">
        <v>2</v>
      </c>
      <c r="AJ1834">
        <v>0</v>
      </c>
      <c r="AK1834" t="s">
        <v>658</v>
      </c>
      <c r="AL1834">
        <v>39.038392999999999</v>
      </c>
      <c r="AM1834" t="s">
        <v>659</v>
      </c>
      <c r="AN1834">
        <v>-121.044209</v>
      </c>
      <c r="AO1834">
        <v>25</v>
      </c>
      <c r="AP1834">
        <v>4300</v>
      </c>
      <c r="AQ1834" t="s">
        <v>131</v>
      </c>
      <c r="AR1834">
        <v>20</v>
      </c>
      <c r="AS1834">
        <v>80</v>
      </c>
      <c r="AT1834">
        <v>128</v>
      </c>
      <c r="BB1834" t="str">
        <f t="shared" si="712"/>
        <v>1200</v>
      </c>
      <c r="BC1834">
        <v>1</v>
      </c>
      <c r="BD1834" t="str">
        <f t="shared" si="713"/>
        <v xml:space="preserve">N52156  </v>
      </c>
      <c r="BE1834">
        <v>1</v>
      </c>
      <c r="BG1834">
        <v>0</v>
      </c>
      <c r="BH1834">
        <v>0</v>
      </c>
      <c r="BI1834">
        <v>0</v>
      </c>
      <c r="BJ1834">
        <v>4300</v>
      </c>
      <c r="BK1834">
        <v>0</v>
      </c>
      <c r="BL1834" t="s">
        <v>188</v>
      </c>
      <c r="BM1834">
        <v>1</v>
      </c>
      <c r="BN1834">
        <v>1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 t="shared" si="727"/>
        <v>15:09:37.397</v>
      </c>
      <c r="CF1834">
        <v>397461368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133</v>
      </c>
      <c r="DA1834">
        <v>275</v>
      </c>
      <c r="DB1834">
        <v>0</v>
      </c>
      <c r="DC1834" t="s">
        <v>134</v>
      </c>
      <c r="DD1834" t="s">
        <v>135</v>
      </c>
      <c r="DG1834">
        <v>3320937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"05/01/2025 15:09:37.641"</f>
        <v>05/01/2025 15:09:37.641</v>
      </c>
      <c r="C1835" t="str">
        <f t="shared" si="710"/>
        <v>FFDFD3C0</v>
      </c>
      <c r="D1835" t="s">
        <v>145</v>
      </c>
      <c r="E1835" t="str">
        <f>"09"</f>
        <v>09</v>
      </c>
      <c r="H1835">
        <v>51</v>
      </c>
      <c r="I1835" t="s">
        <v>147</v>
      </c>
      <c r="J1835" t="s">
        <v>138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R1835" t="s">
        <v>127</v>
      </c>
      <c r="S1835" t="str">
        <f t="shared" si="726"/>
        <v>15:09:37.000</v>
      </c>
      <c r="T1835" t="str">
        <f t="shared" si="726"/>
        <v>15:09:37.000</v>
      </c>
      <c r="U1835" t="str">
        <f t="shared" si="711"/>
        <v>A68FCB</v>
      </c>
      <c r="V1835">
        <v>0</v>
      </c>
      <c r="W1835">
        <v>0</v>
      </c>
      <c r="X1835">
        <v>2</v>
      </c>
      <c r="Y1835">
        <v>0</v>
      </c>
      <c r="AA1835">
        <v>1</v>
      </c>
      <c r="AB1835">
        <v>8</v>
      </c>
      <c r="AC1835">
        <v>3</v>
      </c>
      <c r="AD1835">
        <v>0</v>
      </c>
      <c r="AE1835">
        <v>9</v>
      </c>
      <c r="AF1835" t="s">
        <v>138</v>
      </c>
      <c r="AG1835">
        <v>0</v>
      </c>
      <c r="AH1835">
        <v>3</v>
      </c>
      <c r="AI1835">
        <v>2</v>
      </c>
      <c r="AJ1835">
        <v>0</v>
      </c>
      <c r="AK1835" t="s">
        <v>658</v>
      </c>
      <c r="AL1835">
        <v>39.038392999999999</v>
      </c>
      <c r="AM1835" t="s">
        <v>659</v>
      </c>
      <c r="AN1835">
        <v>-121.044209</v>
      </c>
      <c r="AO1835">
        <v>25</v>
      </c>
      <c r="AP1835">
        <v>4300</v>
      </c>
      <c r="AQ1835" t="s">
        <v>131</v>
      </c>
      <c r="AR1835">
        <v>20</v>
      </c>
      <c r="AS1835">
        <v>80</v>
      </c>
      <c r="AT1835">
        <v>128</v>
      </c>
      <c r="BB1835" t="str">
        <f t="shared" si="712"/>
        <v>1200</v>
      </c>
      <c r="BC1835">
        <v>1</v>
      </c>
      <c r="BD1835" t="str">
        <f t="shared" si="713"/>
        <v xml:space="preserve">N52156  </v>
      </c>
      <c r="BE1835">
        <v>1</v>
      </c>
      <c r="BG1835">
        <v>0</v>
      </c>
      <c r="BH1835">
        <v>0</v>
      </c>
      <c r="BI1835">
        <v>0</v>
      </c>
      <c r="BJ1835">
        <v>4300</v>
      </c>
      <c r="BK1835">
        <v>0</v>
      </c>
      <c r="BL1835" t="s">
        <v>188</v>
      </c>
      <c r="BM1835">
        <v>1</v>
      </c>
      <c r="BN1835">
        <v>1</v>
      </c>
      <c r="BO1835">
        <v>0</v>
      </c>
      <c r="BP1835">
        <v>0</v>
      </c>
      <c r="BS1835">
        <v>0</v>
      </c>
      <c r="BT1835">
        <v>0</v>
      </c>
      <c r="BU1835">
        <v>0</v>
      </c>
      <c r="CE1835" t="str">
        <f t="shared" si="727"/>
        <v>15:09:37.397</v>
      </c>
      <c r="CF1835">
        <v>397461368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133</v>
      </c>
      <c r="DA1835">
        <v>275</v>
      </c>
      <c r="DB1835">
        <v>0</v>
      </c>
      <c r="DC1835" t="s">
        <v>134</v>
      </c>
      <c r="DD1835" t="s">
        <v>135</v>
      </c>
      <c r="DG1835">
        <v>3320937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"05/01/2025 15:09:37.647"</f>
        <v>05/01/2025 15:09:37.647</v>
      </c>
      <c r="C1836" t="str">
        <f t="shared" si="710"/>
        <v>FFDFD3C0</v>
      </c>
      <c r="D1836" t="s">
        <v>143</v>
      </c>
      <c r="E1836" t="str">
        <f>"05"</f>
        <v>05</v>
      </c>
      <c r="H1836">
        <v>172</v>
      </c>
      <c r="I1836" t="s">
        <v>141</v>
      </c>
      <c r="J1836" t="s">
        <v>144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R1836" t="s">
        <v>127</v>
      </c>
      <c r="S1836" t="str">
        <f t="shared" si="726"/>
        <v>15:09:37.000</v>
      </c>
      <c r="T1836" t="str">
        <f t="shared" si="726"/>
        <v>15:09:37.000</v>
      </c>
      <c r="U1836" t="str">
        <f t="shared" si="711"/>
        <v>A68FCB</v>
      </c>
      <c r="V1836">
        <v>0</v>
      </c>
      <c r="W1836">
        <v>0</v>
      </c>
      <c r="X1836">
        <v>2</v>
      </c>
      <c r="Y1836">
        <v>0</v>
      </c>
      <c r="AA1836">
        <v>1</v>
      </c>
      <c r="AB1836">
        <v>8</v>
      </c>
      <c r="AC1836">
        <v>3</v>
      </c>
      <c r="AD1836">
        <v>0</v>
      </c>
      <c r="AE1836">
        <v>9</v>
      </c>
      <c r="AF1836" t="s">
        <v>138</v>
      </c>
      <c r="AG1836">
        <v>0</v>
      </c>
      <c r="AH1836">
        <v>3</v>
      </c>
      <c r="AI1836">
        <v>2</v>
      </c>
      <c r="AJ1836">
        <v>0</v>
      </c>
      <c r="AK1836" t="s">
        <v>658</v>
      </c>
      <c r="AL1836">
        <v>39.038392999999999</v>
      </c>
      <c r="AM1836" t="s">
        <v>659</v>
      </c>
      <c r="AN1836">
        <v>-121.044209</v>
      </c>
      <c r="AO1836">
        <v>25</v>
      </c>
      <c r="AP1836">
        <v>4300</v>
      </c>
      <c r="AQ1836" t="s">
        <v>131</v>
      </c>
      <c r="AR1836">
        <v>20</v>
      </c>
      <c r="AS1836">
        <v>80</v>
      </c>
      <c r="AT1836">
        <v>128</v>
      </c>
      <c r="BB1836" t="str">
        <f t="shared" si="712"/>
        <v>1200</v>
      </c>
      <c r="BC1836">
        <v>1</v>
      </c>
      <c r="BD1836" t="str">
        <f t="shared" si="713"/>
        <v xml:space="preserve">N52156  </v>
      </c>
      <c r="BE1836">
        <v>1</v>
      </c>
      <c r="BG1836">
        <v>0</v>
      </c>
      <c r="BH1836">
        <v>0</v>
      </c>
      <c r="BI1836">
        <v>0</v>
      </c>
      <c r="BJ1836">
        <v>4300</v>
      </c>
      <c r="BK1836">
        <v>0</v>
      </c>
      <c r="BL1836" t="s">
        <v>188</v>
      </c>
      <c r="BM1836">
        <v>1</v>
      </c>
      <c r="BN1836">
        <v>1</v>
      </c>
      <c r="BO1836">
        <v>0</v>
      </c>
      <c r="BP1836">
        <v>0</v>
      </c>
      <c r="BS1836">
        <v>0</v>
      </c>
      <c r="BT1836">
        <v>0</v>
      </c>
      <c r="BU1836">
        <v>0</v>
      </c>
      <c r="CE1836" t="str">
        <f t="shared" si="727"/>
        <v>15:09:37.397</v>
      </c>
      <c r="CF1836">
        <v>397461368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5</v>
      </c>
      <c r="CY1836">
        <v>7</v>
      </c>
      <c r="CZ1836" t="s">
        <v>133</v>
      </c>
      <c r="DA1836">
        <v>275</v>
      </c>
      <c r="DB1836">
        <v>0</v>
      </c>
      <c r="DC1836" t="s">
        <v>134</v>
      </c>
      <c r="DD1836" t="s">
        <v>135</v>
      </c>
      <c r="DG1836">
        <v>3320937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"05/01/2025 15:09:37.651"</f>
        <v>05/01/2025 15:09:37.651</v>
      </c>
      <c r="C1837" t="str">
        <f t="shared" si="710"/>
        <v>FFDFD3C0</v>
      </c>
      <c r="D1837" t="s">
        <v>136</v>
      </c>
      <c r="E1837" t="str">
        <f>"20"</f>
        <v>20</v>
      </c>
      <c r="H1837">
        <v>400</v>
      </c>
      <c r="I1837" t="s">
        <v>137</v>
      </c>
      <c r="J1837" t="s">
        <v>138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R1837" t="s">
        <v>127</v>
      </c>
      <c r="S1837" t="str">
        <f t="shared" si="726"/>
        <v>15:09:37.000</v>
      </c>
      <c r="T1837" t="str">
        <f t="shared" si="726"/>
        <v>15:09:37.000</v>
      </c>
      <c r="U1837" t="str">
        <f t="shared" si="711"/>
        <v>A68FCB</v>
      </c>
      <c r="V1837">
        <v>0</v>
      </c>
      <c r="W1837">
        <v>0</v>
      </c>
      <c r="X1837">
        <v>2</v>
      </c>
      <c r="Y1837">
        <v>0</v>
      </c>
      <c r="AA1837">
        <v>1</v>
      </c>
      <c r="AB1837">
        <v>8</v>
      </c>
      <c r="AC1837">
        <v>3</v>
      </c>
      <c r="AD1837">
        <v>0</v>
      </c>
      <c r="AE1837">
        <v>9</v>
      </c>
      <c r="AF1837" t="s">
        <v>138</v>
      </c>
      <c r="AG1837">
        <v>0</v>
      </c>
      <c r="AH1837">
        <v>3</v>
      </c>
      <c r="AI1837">
        <v>2</v>
      </c>
      <c r="AJ1837">
        <v>0</v>
      </c>
      <c r="AK1837" t="s">
        <v>658</v>
      </c>
      <c r="AL1837">
        <v>39.038392999999999</v>
      </c>
      <c r="AM1837" t="s">
        <v>659</v>
      </c>
      <c r="AN1837">
        <v>-121.044209</v>
      </c>
      <c r="AO1837">
        <v>25</v>
      </c>
      <c r="AP1837">
        <v>4300</v>
      </c>
      <c r="AQ1837" t="s">
        <v>131</v>
      </c>
      <c r="AR1837">
        <v>20</v>
      </c>
      <c r="AS1837">
        <v>80</v>
      </c>
      <c r="AT1837">
        <v>128</v>
      </c>
      <c r="BB1837" t="str">
        <f t="shared" si="712"/>
        <v>1200</v>
      </c>
      <c r="BC1837">
        <v>1</v>
      </c>
      <c r="BD1837" t="str">
        <f t="shared" si="713"/>
        <v xml:space="preserve">N52156  </v>
      </c>
      <c r="BE1837">
        <v>1</v>
      </c>
      <c r="BG1837">
        <v>0</v>
      </c>
      <c r="BH1837">
        <v>0</v>
      </c>
      <c r="BI1837">
        <v>0</v>
      </c>
      <c r="BJ1837">
        <v>4300</v>
      </c>
      <c r="BK1837">
        <v>0</v>
      </c>
      <c r="BL1837" t="s">
        <v>188</v>
      </c>
      <c r="BM1837">
        <v>1</v>
      </c>
      <c r="BN1837">
        <v>1</v>
      </c>
      <c r="BO1837">
        <v>0</v>
      </c>
      <c r="BP1837">
        <v>0</v>
      </c>
      <c r="BS1837">
        <v>0</v>
      </c>
      <c r="BT1837">
        <v>0</v>
      </c>
      <c r="BU1837">
        <v>0</v>
      </c>
      <c r="CE1837" t="str">
        <f t="shared" si="727"/>
        <v>15:09:37.397</v>
      </c>
      <c r="CF1837">
        <v>397461368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5</v>
      </c>
      <c r="CY1837">
        <v>7</v>
      </c>
      <c r="CZ1837" t="s">
        <v>133</v>
      </c>
      <c r="DA1837">
        <v>275</v>
      </c>
      <c r="DB1837">
        <v>0</v>
      </c>
      <c r="DC1837" t="s">
        <v>134</v>
      </c>
      <c r="DD1837" t="s">
        <v>135</v>
      </c>
      <c r="DG1837">
        <v>3320937</v>
      </c>
      <c r="DI1837">
        <v>1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"05/01/2025 15:09:38.981"</f>
        <v>05/01/2025 15:09:38.981</v>
      </c>
      <c r="C1838" t="str">
        <f t="shared" si="710"/>
        <v>FFDFD3C0</v>
      </c>
      <c r="D1838" t="s">
        <v>140</v>
      </c>
      <c r="E1838" t="str">
        <f>"13"</f>
        <v>13</v>
      </c>
      <c r="F1838">
        <v>1019</v>
      </c>
      <c r="G1838" t="s">
        <v>141</v>
      </c>
      <c r="J1838" t="s">
        <v>142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R1838" t="s">
        <v>127</v>
      </c>
      <c r="S1838" t="str">
        <f t="shared" ref="S1838:T1843" si="728">"15:09:38.000"</f>
        <v>15:09:38.000</v>
      </c>
      <c r="T1838" t="str">
        <f t="shared" si="728"/>
        <v>15:09:38.000</v>
      </c>
      <c r="U1838" t="str">
        <f t="shared" si="711"/>
        <v>A68FCB</v>
      </c>
      <c r="V1838">
        <v>0</v>
      </c>
      <c r="W1838">
        <v>0</v>
      </c>
      <c r="X1838">
        <v>2</v>
      </c>
      <c r="Y1838">
        <v>0</v>
      </c>
      <c r="AA1838">
        <v>1</v>
      </c>
      <c r="AB1838">
        <v>8</v>
      </c>
      <c r="AC1838">
        <v>3</v>
      </c>
      <c r="AD1838">
        <v>0</v>
      </c>
      <c r="AE1838">
        <v>9</v>
      </c>
      <c r="AF1838" t="s">
        <v>138</v>
      </c>
      <c r="AG1838">
        <v>0</v>
      </c>
      <c r="AH1838">
        <v>3</v>
      </c>
      <c r="AI1838">
        <v>2</v>
      </c>
      <c r="AJ1838">
        <v>0</v>
      </c>
      <c r="AK1838" t="s">
        <v>660</v>
      </c>
      <c r="AL1838">
        <v>39.038758000000001</v>
      </c>
      <c r="AM1838" t="s">
        <v>661</v>
      </c>
      <c r="AN1838">
        <v>-121.04407999999999</v>
      </c>
      <c r="AO1838">
        <v>25</v>
      </c>
      <c r="AP1838">
        <v>4300</v>
      </c>
      <c r="AQ1838" t="s">
        <v>131</v>
      </c>
      <c r="AR1838">
        <v>21</v>
      </c>
      <c r="AS1838">
        <v>81</v>
      </c>
      <c r="AT1838">
        <v>64</v>
      </c>
      <c r="BB1838" t="str">
        <f t="shared" si="712"/>
        <v>1200</v>
      </c>
      <c r="BC1838">
        <v>1</v>
      </c>
      <c r="BD1838" t="str">
        <f t="shared" si="713"/>
        <v xml:space="preserve">N52156  </v>
      </c>
      <c r="BE1838">
        <v>1</v>
      </c>
      <c r="BG1838">
        <v>0</v>
      </c>
      <c r="BH1838">
        <v>0</v>
      </c>
      <c r="BI1838">
        <v>0</v>
      </c>
      <c r="BJ1838">
        <v>4300</v>
      </c>
      <c r="BK1838">
        <v>0</v>
      </c>
      <c r="BL1838" t="s">
        <v>188</v>
      </c>
      <c r="BM1838">
        <v>1</v>
      </c>
      <c r="BN1838">
        <v>1</v>
      </c>
      <c r="BO1838">
        <v>0</v>
      </c>
      <c r="BP1838">
        <v>0</v>
      </c>
      <c r="BS1838">
        <v>0</v>
      </c>
      <c r="BT1838">
        <v>0</v>
      </c>
      <c r="BU1838">
        <v>0</v>
      </c>
      <c r="CE1838" t="str">
        <f t="shared" ref="CE1838:CE1843" si="729">"15:09:38.776"</f>
        <v>15:09:38.776</v>
      </c>
      <c r="CF1838">
        <v>775962419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5</v>
      </c>
      <c r="CY1838">
        <v>7</v>
      </c>
      <c r="CZ1838" t="s">
        <v>133</v>
      </c>
      <c r="DA1838">
        <v>275</v>
      </c>
      <c r="DB1838">
        <v>0</v>
      </c>
      <c r="DC1838" t="s">
        <v>134</v>
      </c>
      <c r="DD1838" t="s">
        <v>135</v>
      </c>
      <c r="DG1838">
        <v>3320950</v>
      </c>
      <c r="DI1838">
        <v>1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"05/01/2025 15:09:38.988"</f>
        <v>05/01/2025 15:09:38.988</v>
      </c>
      <c r="C1839" t="str">
        <f t="shared" si="710"/>
        <v>FFDFD3C0</v>
      </c>
      <c r="D1839" t="s">
        <v>145</v>
      </c>
      <c r="E1839" t="str">
        <f>"05"</f>
        <v>05</v>
      </c>
      <c r="H1839">
        <v>47</v>
      </c>
      <c r="I1839" t="s">
        <v>146</v>
      </c>
      <c r="J1839" t="s">
        <v>138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R1839" t="s">
        <v>127</v>
      </c>
      <c r="S1839" t="str">
        <f t="shared" si="728"/>
        <v>15:09:38.000</v>
      </c>
      <c r="T1839" t="str">
        <f t="shared" si="728"/>
        <v>15:09:38.000</v>
      </c>
      <c r="U1839" t="str">
        <f t="shared" si="711"/>
        <v>A68FCB</v>
      </c>
      <c r="V1839">
        <v>0</v>
      </c>
      <c r="W1839">
        <v>0</v>
      </c>
      <c r="X1839">
        <v>2</v>
      </c>
      <c r="Y1839">
        <v>0</v>
      </c>
      <c r="AA1839">
        <v>1</v>
      </c>
      <c r="AB1839">
        <v>8</v>
      </c>
      <c r="AC1839">
        <v>3</v>
      </c>
      <c r="AD1839">
        <v>0</v>
      </c>
      <c r="AE1839">
        <v>9</v>
      </c>
      <c r="AF1839" t="s">
        <v>138</v>
      </c>
      <c r="AG1839">
        <v>0</v>
      </c>
      <c r="AH1839">
        <v>3</v>
      </c>
      <c r="AI1839">
        <v>2</v>
      </c>
      <c r="AJ1839">
        <v>0</v>
      </c>
      <c r="AK1839" t="s">
        <v>660</v>
      </c>
      <c r="AL1839">
        <v>39.038758000000001</v>
      </c>
      <c r="AM1839" t="s">
        <v>661</v>
      </c>
      <c r="AN1839">
        <v>-121.04407999999999</v>
      </c>
      <c r="AO1839">
        <v>25</v>
      </c>
      <c r="AP1839">
        <v>4300</v>
      </c>
      <c r="AQ1839" t="s">
        <v>131</v>
      </c>
      <c r="AR1839">
        <v>21</v>
      </c>
      <c r="AS1839">
        <v>81</v>
      </c>
      <c r="AT1839">
        <v>64</v>
      </c>
      <c r="BB1839" t="str">
        <f t="shared" si="712"/>
        <v>1200</v>
      </c>
      <c r="BC1839">
        <v>1</v>
      </c>
      <c r="BD1839" t="str">
        <f t="shared" si="713"/>
        <v xml:space="preserve">N52156  </v>
      </c>
      <c r="BE1839">
        <v>1</v>
      </c>
      <c r="BG1839">
        <v>0</v>
      </c>
      <c r="BH1839">
        <v>0</v>
      </c>
      <c r="BI1839">
        <v>0</v>
      </c>
      <c r="BJ1839">
        <v>4300</v>
      </c>
      <c r="BK1839">
        <v>0</v>
      </c>
      <c r="BL1839" t="s">
        <v>188</v>
      </c>
      <c r="BM1839">
        <v>1</v>
      </c>
      <c r="BN1839">
        <v>1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 t="shared" si="729"/>
        <v>15:09:38.776</v>
      </c>
      <c r="CF1839">
        <v>775962419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5</v>
      </c>
      <c r="CY1839">
        <v>7</v>
      </c>
      <c r="CZ1839" t="s">
        <v>133</v>
      </c>
      <c r="DA1839">
        <v>275</v>
      </c>
      <c r="DB1839">
        <v>0</v>
      </c>
      <c r="DC1839" t="s">
        <v>134</v>
      </c>
      <c r="DD1839" t="s">
        <v>135</v>
      </c>
      <c r="DG1839">
        <v>3320950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"05/01/2025 15:09:38.990"</f>
        <v>05/01/2025 15:09:38.990</v>
      </c>
      <c r="C1840" t="str">
        <f t="shared" si="710"/>
        <v>FFDFD3C0</v>
      </c>
      <c r="D1840" t="s">
        <v>124</v>
      </c>
      <c r="E1840" t="str">
        <f>"06"</f>
        <v>06</v>
      </c>
      <c r="F1840">
        <v>2006</v>
      </c>
      <c r="G1840" t="s">
        <v>125</v>
      </c>
      <c r="J1840" t="s">
        <v>126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R1840" t="s">
        <v>127</v>
      </c>
      <c r="S1840" t="str">
        <f t="shared" si="728"/>
        <v>15:09:38.000</v>
      </c>
      <c r="T1840" t="str">
        <f t="shared" si="728"/>
        <v>15:09:38.000</v>
      </c>
      <c r="U1840" t="str">
        <f t="shared" si="711"/>
        <v>A68FCB</v>
      </c>
      <c r="V1840">
        <v>0</v>
      </c>
      <c r="W1840">
        <v>0</v>
      </c>
      <c r="X1840">
        <v>2</v>
      </c>
      <c r="Y1840">
        <v>0</v>
      </c>
      <c r="AA1840">
        <v>1</v>
      </c>
      <c r="AB1840">
        <v>8</v>
      </c>
      <c r="AC1840">
        <v>3</v>
      </c>
      <c r="AD1840">
        <v>0</v>
      </c>
      <c r="AE1840">
        <v>9</v>
      </c>
      <c r="AF1840" t="s">
        <v>138</v>
      </c>
      <c r="AG1840">
        <v>0</v>
      </c>
      <c r="AH1840">
        <v>3</v>
      </c>
      <c r="AI1840">
        <v>2</v>
      </c>
      <c r="AJ1840">
        <v>0</v>
      </c>
      <c r="AK1840" t="s">
        <v>660</v>
      </c>
      <c r="AL1840">
        <v>39.038758000000001</v>
      </c>
      <c r="AM1840" t="s">
        <v>661</v>
      </c>
      <c r="AN1840">
        <v>-121.04407999999999</v>
      </c>
      <c r="AO1840">
        <v>25</v>
      </c>
      <c r="AP1840">
        <v>4300</v>
      </c>
      <c r="AQ1840" t="s">
        <v>131</v>
      </c>
      <c r="AR1840">
        <v>21</v>
      </c>
      <c r="AS1840">
        <v>81</v>
      </c>
      <c r="AT1840">
        <v>64</v>
      </c>
      <c r="BB1840" t="str">
        <f t="shared" si="712"/>
        <v>1200</v>
      </c>
      <c r="BC1840">
        <v>1</v>
      </c>
      <c r="BD1840" t="str">
        <f t="shared" si="713"/>
        <v xml:space="preserve">N52156  </v>
      </c>
      <c r="BE1840">
        <v>1</v>
      </c>
      <c r="BG1840">
        <v>0</v>
      </c>
      <c r="BH1840">
        <v>0</v>
      </c>
      <c r="BI1840">
        <v>0</v>
      </c>
      <c r="BJ1840">
        <v>4300</v>
      </c>
      <c r="BK1840">
        <v>0</v>
      </c>
      <c r="BL1840" t="s">
        <v>188</v>
      </c>
      <c r="BM1840">
        <v>1</v>
      </c>
      <c r="BN1840">
        <v>1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 t="shared" si="729"/>
        <v>15:09:38.776</v>
      </c>
      <c r="CF1840">
        <v>775962419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5</v>
      </c>
      <c r="CY1840">
        <v>7</v>
      </c>
      <c r="CZ1840" t="s">
        <v>133</v>
      </c>
      <c r="DA1840">
        <v>275</v>
      </c>
      <c r="DB1840">
        <v>0</v>
      </c>
      <c r="DC1840" t="s">
        <v>134</v>
      </c>
      <c r="DD1840" t="s">
        <v>135</v>
      </c>
      <c r="DG1840">
        <v>3320950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"05/01/2025 15:09:38.994"</f>
        <v>05/01/2025 15:09:38.994</v>
      </c>
      <c r="C1841" t="str">
        <f t="shared" si="710"/>
        <v>FFDFD3C0</v>
      </c>
      <c r="D1841" t="s">
        <v>145</v>
      </c>
      <c r="E1841" t="str">
        <f>"09"</f>
        <v>09</v>
      </c>
      <c r="H1841">
        <v>51</v>
      </c>
      <c r="I1841" t="s">
        <v>147</v>
      </c>
      <c r="J1841" t="s">
        <v>138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R1841" t="s">
        <v>127</v>
      </c>
      <c r="S1841" t="str">
        <f t="shared" si="728"/>
        <v>15:09:38.000</v>
      </c>
      <c r="T1841" t="str">
        <f t="shared" si="728"/>
        <v>15:09:38.000</v>
      </c>
      <c r="U1841" t="str">
        <f t="shared" si="711"/>
        <v>A68FCB</v>
      </c>
      <c r="V1841">
        <v>0</v>
      </c>
      <c r="W1841">
        <v>0</v>
      </c>
      <c r="X1841">
        <v>2</v>
      </c>
      <c r="Y1841">
        <v>0</v>
      </c>
      <c r="AA1841">
        <v>1</v>
      </c>
      <c r="AB1841">
        <v>8</v>
      </c>
      <c r="AC1841">
        <v>3</v>
      </c>
      <c r="AD1841">
        <v>0</v>
      </c>
      <c r="AE1841">
        <v>9</v>
      </c>
      <c r="AF1841" t="s">
        <v>138</v>
      </c>
      <c r="AG1841">
        <v>0</v>
      </c>
      <c r="AH1841">
        <v>3</v>
      </c>
      <c r="AI1841">
        <v>2</v>
      </c>
      <c r="AJ1841">
        <v>0</v>
      </c>
      <c r="AK1841" t="s">
        <v>660</v>
      </c>
      <c r="AL1841">
        <v>39.038758000000001</v>
      </c>
      <c r="AM1841" t="s">
        <v>661</v>
      </c>
      <c r="AN1841">
        <v>-121.04407999999999</v>
      </c>
      <c r="AO1841">
        <v>25</v>
      </c>
      <c r="AP1841">
        <v>4300</v>
      </c>
      <c r="AQ1841" t="s">
        <v>131</v>
      </c>
      <c r="AR1841">
        <v>21</v>
      </c>
      <c r="AS1841">
        <v>81</v>
      </c>
      <c r="AT1841">
        <v>64</v>
      </c>
      <c r="BB1841" t="str">
        <f t="shared" si="712"/>
        <v>1200</v>
      </c>
      <c r="BC1841">
        <v>1</v>
      </c>
      <c r="BD1841" t="str">
        <f t="shared" si="713"/>
        <v xml:space="preserve">N52156  </v>
      </c>
      <c r="BE1841">
        <v>1</v>
      </c>
      <c r="BG1841">
        <v>0</v>
      </c>
      <c r="BH1841">
        <v>0</v>
      </c>
      <c r="BI1841">
        <v>0</v>
      </c>
      <c r="BJ1841">
        <v>4300</v>
      </c>
      <c r="BK1841">
        <v>0</v>
      </c>
      <c r="BL1841" t="s">
        <v>188</v>
      </c>
      <c r="BM1841">
        <v>1</v>
      </c>
      <c r="BN1841">
        <v>1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 t="shared" si="729"/>
        <v>15:09:38.776</v>
      </c>
      <c r="CF1841">
        <v>775962419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133</v>
      </c>
      <c r="DA1841">
        <v>275</v>
      </c>
      <c r="DB1841">
        <v>0</v>
      </c>
      <c r="DC1841" t="s">
        <v>134</v>
      </c>
      <c r="DD1841" t="s">
        <v>135</v>
      </c>
      <c r="DG1841">
        <v>3320950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"05/01/2025 15:09:38.999"</f>
        <v>05/01/2025 15:09:38.999</v>
      </c>
      <c r="C1842" t="str">
        <f t="shared" si="710"/>
        <v>FFDFD3C0</v>
      </c>
      <c r="D1842" t="s">
        <v>143</v>
      </c>
      <c r="E1842" t="str">
        <f>"05"</f>
        <v>05</v>
      </c>
      <c r="H1842">
        <v>172</v>
      </c>
      <c r="I1842" t="s">
        <v>141</v>
      </c>
      <c r="J1842" t="s">
        <v>144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R1842" t="s">
        <v>127</v>
      </c>
      <c r="S1842" t="str">
        <f t="shared" si="728"/>
        <v>15:09:38.000</v>
      </c>
      <c r="T1842" t="str">
        <f t="shared" si="728"/>
        <v>15:09:38.000</v>
      </c>
      <c r="U1842" t="str">
        <f t="shared" si="711"/>
        <v>A68FCB</v>
      </c>
      <c r="V1842">
        <v>0</v>
      </c>
      <c r="W1842">
        <v>0</v>
      </c>
      <c r="X1842">
        <v>2</v>
      </c>
      <c r="Y1842">
        <v>0</v>
      </c>
      <c r="AA1842">
        <v>1</v>
      </c>
      <c r="AB1842">
        <v>8</v>
      </c>
      <c r="AC1842">
        <v>3</v>
      </c>
      <c r="AD1842">
        <v>0</v>
      </c>
      <c r="AE1842">
        <v>9</v>
      </c>
      <c r="AF1842" t="s">
        <v>138</v>
      </c>
      <c r="AG1842">
        <v>0</v>
      </c>
      <c r="AH1842">
        <v>3</v>
      </c>
      <c r="AI1842">
        <v>2</v>
      </c>
      <c r="AJ1842">
        <v>0</v>
      </c>
      <c r="AK1842" t="s">
        <v>660</v>
      </c>
      <c r="AL1842">
        <v>39.038758000000001</v>
      </c>
      <c r="AM1842" t="s">
        <v>661</v>
      </c>
      <c r="AN1842">
        <v>-121.04407999999999</v>
      </c>
      <c r="AO1842">
        <v>25</v>
      </c>
      <c r="AP1842">
        <v>4300</v>
      </c>
      <c r="AQ1842" t="s">
        <v>131</v>
      </c>
      <c r="AR1842">
        <v>21</v>
      </c>
      <c r="AS1842">
        <v>81</v>
      </c>
      <c r="AT1842">
        <v>64</v>
      </c>
      <c r="BB1842" t="str">
        <f t="shared" si="712"/>
        <v>1200</v>
      </c>
      <c r="BC1842">
        <v>1</v>
      </c>
      <c r="BD1842" t="str">
        <f t="shared" si="713"/>
        <v xml:space="preserve">N52156  </v>
      </c>
      <c r="BE1842">
        <v>1</v>
      </c>
      <c r="BG1842">
        <v>0</v>
      </c>
      <c r="BH1842">
        <v>0</v>
      </c>
      <c r="BI1842">
        <v>0</v>
      </c>
      <c r="BJ1842">
        <v>4300</v>
      </c>
      <c r="BK1842">
        <v>0</v>
      </c>
      <c r="BL1842" t="s">
        <v>188</v>
      </c>
      <c r="BM1842">
        <v>1</v>
      </c>
      <c r="BN1842">
        <v>1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 t="shared" si="729"/>
        <v>15:09:38.776</v>
      </c>
      <c r="CF1842">
        <v>775962419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5</v>
      </c>
      <c r="CY1842">
        <v>7</v>
      </c>
      <c r="CZ1842" t="s">
        <v>133</v>
      </c>
      <c r="DA1842">
        <v>275</v>
      </c>
      <c r="DB1842">
        <v>0</v>
      </c>
      <c r="DC1842" t="s">
        <v>134</v>
      </c>
      <c r="DD1842" t="s">
        <v>135</v>
      </c>
      <c r="DG1842">
        <v>3320950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"05/01/2025 15:09:39.002"</f>
        <v>05/01/2025 15:09:39.002</v>
      </c>
      <c r="C1843" t="str">
        <f t="shared" si="710"/>
        <v>FFDFD3C0</v>
      </c>
      <c r="D1843" t="s">
        <v>136</v>
      </c>
      <c r="E1843" t="str">
        <f>"20"</f>
        <v>20</v>
      </c>
      <c r="H1843">
        <v>400</v>
      </c>
      <c r="I1843" t="s">
        <v>137</v>
      </c>
      <c r="J1843" t="s">
        <v>138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R1843" t="s">
        <v>127</v>
      </c>
      <c r="S1843" t="str">
        <f t="shared" si="728"/>
        <v>15:09:38.000</v>
      </c>
      <c r="T1843" t="str">
        <f t="shared" si="728"/>
        <v>15:09:38.000</v>
      </c>
      <c r="U1843" t="str">
        <f t="shared" si="711"/>
        <v>A68FCB</v>
      </c>
      <c r="V1843">
        <v>0</v>
      </c>
      <c r="W1843">
        <v>0</v>
      </c>
      <c r="X1843">
        <v>2</v>
      </c>
      <c r="Y1843">
        <v>0</v>
      </c>
      <c r="AA1843">
        <v>1</v>
      </c>
      <c r="AB1843">
        <v>8</v>
      </c>
      <c r="AC1843">
        <v>3</v>
      </c>
      <c r="AD1843">
        <v>0</v>
      </c>
      <c r="AE1843">
        <v>9</v>
      </c>
      <c r="AF1843" t="s">
        <v>138</v>
      </c>
      <c r="AG1843">
        <v>0</v>
      </c>
      <c r="AH1843">
        <v>3</v>
      </c>
      <c r="AI1843">
        <v>2</v>
      </c>
      <c r="AJ1843">
        <v>0</v>
      </c>
      <c r="AK1843" t="s">
        <v>660</v>
      </c>
      <c r="AL1843">
        <v>39.038758000000001</v>
      </c>
      <c r="AM1843" t="s">
        <v>661</v>
      </c>
      <c r="AN1843">
        <v>-121.04407999999999</v>
      </c>
      <c r="AO1843">
        <v>25</v>
      </c>
      <c r="AP1843">
        <v>4300</v>
      </c>
      <c r="AQ1843" t="s">
        <v>131</v>
      </c>
      <c r="AR1843">
        <v>21</v>
      </c>
      <c r="AS1843">
        <v>81</v>
      </c>
      <c r="AT1843">
        <v>64</v>
      </c>
      <c r="BB1843" t="str">
        <f t="shared" si="712"/>
        <v>1200</v>
      </c>
      <c r="BC1843">
        <v>1</v>
      </c>
      <c r="BD1843" t="str">
        <f t="shared" si="713"/>
        <v xml:space="preserve">N52156  </v>
      </c>
      <c r="BE1843">
        <v>1</v>
      </c>
      <c r="BG1843">
        <v>0</v>
      </c>
      <c r="BH1843">
        <v>0</v>
      </c>
      <c r="BI1843">
        <v>0</v>
      </c>
      <c r="BJ1843">
        <v>4300</v>
      </c>
      <c r="BK1843">
        <v>0</v>
      </c>
      <c r="BL1843" t="s">
        <v>188</v>
      </c>
      <c r="BM1843">
        <v>1</v>
      </c>
      <c r="BN1843">
        <v>1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 t="shared" si="729"/>
        <v>15:09:38.776</v>
      </c>
      <c r="CF1843">
        <v>775962419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5</v>
      </c>
      <c r="CY1843">
        <v>7</v>
      </c>
      <c r="CZ1843" t="s">
        <v>133</v>
      </c>
      <c r="DA1843">
        <v>275</v>
      </c>
      <c r="DB1843">
        <v>0</v>
      </c>
      <c r="DC1843" t="s">
        <v>134</v>
      </c>
      <c r="DD1843" t="s">
        <v>135</v>
      </c>
      <c r="DG1843">
        <v>3320950</v>
      </c>
      <c r="DI1843">
        <v>1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"05/01/2025 15:09:39.832"</f>
        <v>05/01/2025 15:09:39.832</v>
      </c>
      <c r="C1844" t="str">
        <f t="shared" si="710"/>
        <v>FFDFD3C0</v>
      </c>
      <c r="D1844" t="s">
        <v>140</v>
      </c>
      <c r="E1844" t="str">
        <f>"13"</f>
        <v>13</v>
      </c>
      <c r="F1844">
        <v>1019</v>
      </c>
      <c r="G1844" t="s">
        <v>141</v>
      </c>
      <c r="J1844" t="s">
        <v>142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R1844" t="s">
        <v>127</v>
      </c>
      <c r="S1844" t="str">
        <f t="shared" ref="S1844:T1849" si="730">"15:09:39.000"</f>
        <v>15:09:39.000</v>
      </c>
      <c r="T1844" t="str">
        <f t="shared" si="730"/>
        <v>15:09:39.000</v>
      </c>
      <c r="U1844" t="str">
        <f t="shared" si="711"/>
        <v>A68FCB</v>
      </c>
      <c r="V1844">
        <v>0</v>
      </c>
      <c r="W1844">
        <v>0</v>
      </c>
      <c r="X1844">
        <v>2</v>
      </c>
      <c r="Y1844">
        <v>0</v>
      </c>
      <c r="AA1844">
        <v>1</v>
      </c>
      <c r="AB1844">
        <v>8</v>
      </c>
      <c r="AC1844">
        <v>3</v>
      </c>
      <c r="AD1844">
        <v>0</v>
      </c>
      <c r="AE1844">
        <v>9</v>
      </c>
      <c r="AF1844" t="s">
        <v>138</v>
      </c>
      <c r="AG1844">
        <v>0</v>
      </c>
      <c r="AH1844">
        <v>3</v>
      </c>
      <c r="AI1844">
        <v>2</v>
      </c>
      <c r="AJ1844">
        <v>0</v>
      </c>
      <c r="AK1844" t="s">
        <v>662</v>
      </c>
      <c r="AL1844">
        <v>39.039122999999996</v>
      </c>
      <c r="AM1844" t="s">
        <v>663</v>
      </c>
      <c r="AN1844">
        <v>-121.043952</v>
      </c>
      <c r="AO1844">
        <v>25</v>
      </c>
      <c r="AP1844">
        <v>4300</v>
      </c>
      <c r="AQ1844" t="s">
        <v>131</v>
      </c>
      <c r="AR1844">
        <v>20</v>
      </c>
      <c r="AS1844">
        <v>82</v>
      </c>
      <c r="AT1844">
        <v>64</v>
      </c>
      <c r="BB1844" t="str">
        <f t="shared" si="712"/>
        <v>1200</v>
      </c>
      <c r="BC1844">
        <v>1</v>
      </c>
      <c r="BD1844" t="str">
        <f t="shared" si="713"/>
        <v xml:space="preserve">N52156  </v>
      </c>
      <c r="BE1844">
        <v>1</v>
      </c>
      <c r="BG1844">
        <v>0</v>
      </c>
      <c r="BH1844">
        <v>0</v>
      </c>
      <c r="BI1844">
        <v>0</v>
      </c>
      <c r="BJ1844">
        <v>4300</v>
      </c>
      <c r="BK1844">
        <v>0</v>
      </c>
      <c r="BL1844" t="s">
        <v>188</v>
      </c>
      <c r="BM1844">
        <v>1</v>
      </c>
      <c r="BN1844">
        <v>1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 t="shared" ref="CE1844:CE1849" si="731">"15:09:39.584"</f>
        <v>15:09:39.584</v>
      </c>
      <c r="CF1844">
        <v>583712009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5</v>
      </c>
      <c r="CY1844">
        <v>7</v>
      </c>
      <c r="CZ1844" t="s">
        <v>133</v>
      </c>
      <c r="DA1844">
        <v>275</v>
      </c>
      <c r="DB1844">
        <v>0</v>
      </c>
      <c r="DC1844" t="s">
        <v>134</v>
      </c>
      <c r="DD1844" t="s">
        <v>135</v>
      </c>
      <c r="DG1844">
        <v>3320958</v>
      </c>
      <c r="DI1844">
        <v>1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"05/01/2025 15:09:39.840"</f>
        <v>05/01/2025 15:09:39.840</v>
      </c>
      <c r="C1845" t="str">
        <f t="shared" si="710"/>
        <v>FFDFD3C0</v>
      </c>
      <c r="D1845" t="s">
        <v>145</v>
      </c>
      <c r="E1845" t="str">
        <f>"05"</f>
        <v>05</v>
      </c>
      <c r="H1845">
        <v>47</v>
      </c>
      <c r="I1845" t="s">
        <v>146</v>
      </c>
      <c r="J1845" t="s">
        <v>138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R1845" t="s">
        <v>127</v>
      </c>
      <c r="S1845" t="str">
        <f t="shared" si="730"/>
        <v>15:09:39.000</v>
      </c>
      <c r="T1845" t="str">
        <f t="shared" si="730"/>
        <v>15:09:39.000</v>
      </c>
      <c r="U1845" t="str">
        <f t="shared" si="711"/>
        <v>A68FCB</v>
      </c>
      <c r="V1845">
        <v>0</v>
      </c>
      <c r="W1845">
        <v>0</v>
      </c>
      <c r="X1845">
        <v>2</v>
      </c>
      <c r="Y1845">
        <v>0</v>
      </c>
      <c r="AA1845">
        <v>1</v>
      </c>
      <c r="AB1845">
        <v>8</v>
      </c>
      <c r="AC1845">
        <v>3</v>
      </c>
      <c r="AD1845">
        <v>0</v>
      </c>
      <c r="AE1845">
        <v>9</v>
      </c>
      <c r="AF1845" t="s">
        <v>138</v>
      </c>
      <c r="AG1845">
        <v>0</v>
      </c>
      <c r="AH1845">
        <v>3</v>
      </c>
      <c r="AI1845">
        <v>2</v>
      </c>
      <c r="AJ1845">
        <v>0</v>
      </c>
      <c r="AK1845" t="s">
        <v>662</v>
      </c>
      <c r="AL1845">
        <v>39.039122999999996</v>
      </c>
      <c r="AM1845" t="s">
        <v>663</v>
      </c>
      <c r="AN1845">
        <v>-121.043952</v>
      </c>
      <c r="AO1845">
        <v>25</v>
      </c>
      <c r="AP1845">
        <v>4300</v>
      </c>
      <c r="AQ1845" t="s">
        <v>131</v>
      </c>
      <c r="AR1845">
        <v>20</v>
      </c>
      <c r="AS1845">
        <v>82</v>
      </c>
      <c r="AT1845">
        <v>64</v>
      </c>
      <c r="BB1845" t="str">
        <f t="shared" si="712"/>
        <v>1200</v>
      </c>
      <c r="BC1845">
        <v>1</v>
      </c>
      <c r="BD1845" t="str">
        <f t="shared" si="713"/>
        <v xml:space="preserve">N52156  </v>
      </c>
      <c r="BE1845">
        <v>1</v>
      </c>
      <c r="BG1845">
        <v>0</v>
      </c>
      <c r="BH1845">
        <v>0</v>
      </c>
      <c r="BI1845">
        <v>0</v>
      </c>
      <c r="BJ1845">
        <v>4300</v>
      </c>
      <c r="BK1845">
        <v>0</v>
      </c>
      <c r="BL1845" t="s">
        <v>188</v>
      </c>
      <c r="BM1845">
        <v>1</v>
      </c>
      <c r="BN1845">
        <v>1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 t="shared" si="731"/>
        <v>15:09:39.584</v>
      </c>
      <c r="CF1845">
        <v>583712009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5</v>
      </c>
      <c r="CY1845">
        <v>7</v>
      </c>
      <c r="CZ1845" t="s">
        <v>133</v>
      </c>
      <c r="DA1845">
        <v>275</v>
      </c>
      <c r="DB1845">
        <v>0</v>
      </c>
      <c r="DC1845" t="s">
        <v>134</v>
      </c>
      <c r="DD1845" t="s">
        <v>135</v>
      </c>
      <c r="DG1845">
        <v>3320958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"05/01/2025 15:09:39.842"</f>
        <v>05/01/2025 15:09:39.842</v>
      </c>
      <c r="C1846" t="str">
        <f t="shared" si="710"/>
        <v>FFDFD3C0</v>
      </c>
      <c r="D1846" t="s">
        <v>124</v>
      </c>
      <c r="E1846" t="str">
        <f>"06"</f>
        <v>06</v>
      </c>
      <c r="F1846">
        <v>2006</v>
      </c>
      <c r="G1846" t="s">
        <v>125</v>
      </c>
      <c r="J1846" t="s">
        <v>126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R1846" t="s">
        <v>127</v>
      </c>
      <c r="S1846" t="str">
        <f t="shared" si="730"/>
        <v>15:09:39.000</v>
      </c>
      <c r="T1846" t="str">
        <f t="shared" si="730"/>
        <v>15:09:39.000</v>
      </c>
      <c r="U1846" t="str">
        <f t="shared" si="711"/>
        <v>A68FCB</v>
      </c>
      <c r="V1846">
        <v>0</v>
      </c>
      <c r="W1846">
        <v>0</v>
      </c>
      <c r="X1846">
        <v>2</v>
      </c>
      <c r="Y1846">
        <v>0</v>
      </c>
      <c r="AA1846">
        <v>1</v>
      </c>
      <c r="AB1846">
        <v>8</v>
      </c>
      <c r="AC1846">
        <v>3</v>
      </c>
      <c r="AD1846">
        <v>0</v>
      </c>
      <c r="AE1846">
        <v>9</v>
      </c>
      <c r="AF1846" t="s">
        <v>138</v>
      </c>
      <c r="AG1846">
        <v>0</v>
      </c>
      <c r="AH1846">
        <v>3</v>
      </c>
      <c r="AI1846">
        <v>2</v>
      </c>
      <c r="AJ1846">
        <v>0</v>
      </c>
      <c r="AK1846" t="s">
        <v>662</v>
      </c>
      <c r="AL1846">
        <v>39.039122999999996</v>
      </c>
      <c r="AM1846" t="s">
        <v>663</v>
      </c>
      <c r="AN1846">
        <v>-121.043952</v>
      </c>
      <c r="AO1846">
        <v>25</v>
      </c>
      <c r="AP1846">
        <v>4300</v>
      </c>
      <c r="AQ1846" t="s">
        <v>131</v>
      </c>
      <c r="AR1846">
        <v>20</v>
      </c>
      <c r="AS1846">
        <v>82</v>
      </c>
      <c r="AT1846">
        <v>64</v>
      </c>
      <c r="BB1846" t="str">
        <f t="shared" si="712"/>
        <v>1200</v>
      </c>
      <c r="BC1846">
        <v>1</v>
      </c>
      <c r="BD1846" t="str">
        <f t="shared" si="713"/>
        <v xml:space="preserve">N52156  </v>
      </c>
      <c r="BE1846">
        <v>1</v>
      </c>
      <c r="BG1846">
        <v>0</v>
      </c>
      <c r="BH1846">
        <v>0</v>
      </c>
      <c r="BI1846">
        <v>0</v>
      </c>
      <c r="BJ1846">
        <v>4300</v>
      </c>
      <c r="BK1846">
        <v>0</v>
      </c>
      <c r="BL1846" t="s">
        <v>188</v>
      </c>
      <c r="BM1846">
        <v>1</v>
      </c>
      <c r="BN1846">
        <v>1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 t="shared" si="731"/>
        <v>15:09:39.584</v>
      </c>
      <c r="CF1846">
        <v>583712009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5</v>
      </c>
      <c r="CY1846">
        <v>7</v>
      </c>
      <c r="CZ1846" t="s">
        <v>133</v>
      </c>
      <c r="DA1846">
        <v>275</v>
      </c>
      <c r="DB1846">
        <v>0</v>
      </c>
      <c r="DC1846" t="s">
        <v>134</v>
      </c>
      <c r="DD1846" t="s">
        <v>135</v>
      </c>
      <c r="DG1846">
        <v>3320958</v>
      </c>
      <c r="DI1846">
        <v>1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"05/01/2025 15:09:39.845"</f>
        <v>05/01/2025 15:09:39.845</v>
      </c>
      <c r="C1847" t="str">
        <f t="shared" si="710"/>
        <v>FFDFD3C0</v>
      </c>
      <c r="D1847" t="s">
        <v>145</v>
      </c>
      <c r="E1847" t="str">
        <f>"09"</f>
        <v>09</v>
      </c>
      <c r="H1847">
        <v>51</v>
      </c>
      <c r="I1847" t="s">
        <v>147</v>
      </c>
      <c r="J1847" t="s">
        <v>138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R1847" t="s">
        <v>127</v>
      </c>
      <c r="S1847" t="str">
        <f t="shared" si="730"/>
        <v>15:09:39.000</v>
      </c>
      <c r="T1847" t="str">
        <f t="shared" si="730"/>
        <v>15:09:39.000</v>
      </c>
      <c r="U1847" t="str">
        <f t="shared" si="711"/>
        <v>A68FCB</v>
      </c>
      <c r="V1847">
        <v>0</v>
      </c>
      <c r="W1847">
        <v>0</v>
      </c>
      <c r="X1847">
        <v>2</v>
      </c>
      <c r="Y1847">
        <v>0</v>
      </c>
      <c r="AA1847">
        <v>1</v>
      </c>
      <c r="AB1847">
        <v>8</v>
      </c>
      <c r="AC1847">
        <v>3</v>
      </c>
      <c r="AD1847">
        <v>0</v>
      </c>
      <c r="AE1847">
        <v>9</v>
      </c>
      <c r="AF1847" t="s">
        <v>138</v>
      </c>
      <c r="AG1847">
        <v>0</v>
      </c>
      <c r="AH1847">
        <v>3</v>
      </c>
      <c r="AI1847">
        <v>2</v>
      </c>
      <c r="AJ1847">
        <v>0</v>
      </c>
      <c r="AK1847" t="s">
        <v>662</v>
      </c>
      <c r="AL1847">
        <v>39.039122999999996</v>
      </c>
      <c r="AM1847" t="s">
        <v>663</v>
      </c>
      <c r="AN1847">
        <v>-121.043952</v>
      </c>
      <c r="AO1847">
        <v>25</v>
      </c>
      <c r="AP1847">
        <v>4300</v>
      </c>
      <c r="AQ1847" t="s">
        <v>131</v>
      </c>
      <c r="AR1847">
        <v>20</v>
      </c>
      <c r="AS1847">
        <v>82</v>
      </c>
      <c r="AT1847">
        <v>64</v>
      </c>
      <c r="BB1847" t="str">
        <f t="shared" si="712"/>
        <v>1200</v>
      </c>
      <c r="BC1847">
        <v>1</v>
      </c>
      <c r="BD1847" t="str">
        <f t="shared" si="713"/>
        <v xml:space="preserve">N52156  </v>
      </c>
      <c r="BE1847">
        <v>1</v>
      </c>
      <c r="BG1847">
        <v>0</v>
      </c>
      <c r="BH1847">
        <v>0</v>
      </c>
      <c r="BI1847">
        <v>0</v>
      </c>
      <c r="BJ1847">
        <v>4300</v>
      </c>
      <c r="BK1847">
        <v>0</v>
      </c>
      <c r="BL1847" t="s">
        <v>188</v>
      </c>
      <c r="BM1847">
        <v>1</v>
      </c>
      <c r="BN1847">
        <v>1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 t="shared" si="731"/>
        <v>15:09:39.584</v>
      </c>
      <c r="CF1847">
        <v>583712009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5</v>
      </c>
      <c r="CY1847">
        <v>7</v>
      </c>
      <c r="CZ1847" t="s">
        <v>133</v>
      </c>
      <c r="DA1847">
        <v>275</v>
      </c>
      <c r="DB1847">
        <v>0</v>
      </c>
      <c r="DC1847" t="s">
        <v>134</v>
      </c>
      <c r="DD1847" t="s">
        <v>135</v>
      </c>
      <c r="DG1847">
        <v>3320958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"05/01/2025 15:09:39.850"</f>
        <v>05/01/2025 15:09:39.850</v>
      </c>
      <c r="C1848" t="str">
        <f t="shared" si="710"/>
        <v>FFDFD3C0</v>
      </c>
      <c r="D1848" t="s">
        <v>143</v>
      </c>
      <c r="E1848" t="str">
        <f>"05"</f>
        <v>05</v>
      </c>
      <c r="H1848">
        <v>172</v>
      </c>
      <c r="I1848" t="s">
        <v>141</v>
      </c>
      <c r="J1848" t="s">
        <v>144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R1848" t="s">
        <v>127</v>
      </c>
      <c r="S1848" t="str">
        <f t="shared" si="730"/>
        <v>15:09:39.000</v>
      </c>
      <c r="T1848" t="str">
        <f t="shared" si="730"/>
        <v>15:09:39.000</v>
      </c>
      <c r="U1848" t="str">
        <f t="shared" si="711"/>
        <v>A68FCB</v>
      </c>
      <c r="V1848">
        <v>0</v>
      </c>
      <c r="W1848">
        <v>0</v>
      </c>
      <c r="X1848">
        <v>2</v>
      </c>
      <c r="Y1848">
        <v>0</v>
      </c>
      <c r="AA1848">
        <v>1</v>
      </c>
      <c r="AB1848">
        <v>8</v>
      </c>
      <c r="AC1848">
        <v>3</v>
      </c>
      <c r="AD1848">
        <v>0</v>
      </c>
      <c r="AE1848">
        <v>9</v>
      </c>
      <c r="AF1848" t="s">
        <v>138</v>
      </c>
      <c r="AG1848">
        <v>0</v>
      </c>
      <c r="AH1848">
        <v>3</v>
      </c>
      <c r="AI1848">
        <v>2</v>
      </c>
      <c r="AJ1848">
        <v>0</v>
      </c>
      <c r="AK1848" t="s">
        <v>662</v>
      </c>
      <c r="AL1848">
        <v>39.039122999999996</v>
      </c>
      <c r="AM1848" t="s">
        <v>663</v>
      </c>
      <c r="AN1848">
        <v>-121.043952</v>
      </c>
      <c r="AO1848">
        <v>25</v>
      </c>
      <c r="AP1848">
        <v>4300</v>
      </c>
      <c r="AQ1848" t="s">
        <v>131</v>
      </c>
      <c r="AR1848">
        <v>20</v>
      </c>
      <c r="AS1848">
        <v>82</v>
      </c>
      <c r="AT1848">
        <v>64</v>
      </c>
      <c r="BB1848" t="str">
        <f t="shared" si="712"/>
        <v>1200</v>
      </c>
      <c r="BC1848">
        <v>1</v>
      </c>
      <c r="BD1848" t="str">
        <f t="shared" si="713"/>
        <v xml:space="preserve">N52156  </v>
      </c>
      <c r="BE1848">
        <v>1</v>
      </c>
      <c r="BG1848">
        <v>0</v>
      </c>
      <c r="BH1848">
        <v>0</v>
      </c>
      <c r="BI1848">
        <v>0</v>
      </c>
      <c r="BJ1848">
        <v>4300</v>
      </c>
      <c r="BK1848">
        <v>0</v>
      </c>
      <c r="BL1848" t="s">
        <v>188</v>
      </c>
      <c r="BM1848">
        <v>1</v>
      </c>
      <c r="BN1848">
        <v>1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 t="shared" si="731"/>
        <v>15:09:39.584</v>
      </c>
      <c r="CF1848">
        <v>583712009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5</v>
      </c>
      <c r="CY1848">
        <v>7</v>
      </c>
      <c r="CZ1848" t="s">
        <v>133</v>
      </c>
      <c r="DA1848">
        <v>275</v>
      </c>
      <c r="DB1848">
        <v>0</v>
      </c>
      <c r="DC1848" t="s">
        <v>134</v>
      </c>
      <c r="DD1848" t="s">
        <v>135</v>
      </c>
      <c r="DG1848">
        <v>3320958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"05/01/2025 15:09:39.854"</f>
        <v>05/01/2025 15:09:39.854</v>
      </c>
      <c r="C1849" t="str">
        <f t="shared" si="710"/>
        <v>FFDFD3C0</v>
      </c>
      <c r="D1849" t="s">
        <v>136</v>
      </c>
      <c r="E1849" t="str">
        <f>"20"</f>
        <v>20</v>
      </c>
      <c r="H1849">
        <v>400</v>
      </c>
      <c r="I1849" t="s">
        <v>137</v>
      </c>
      <c r="J1849" t="s">
        <v>138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R1849" t="s">
        <v>127</v>
      </c>
      <c r="S1849" t="str">
        <f t="shared" si="730"/>
        <v>15:09:39.000</v>
      </c>
      <c r="T1849" t="str">
        <f t="shared" si="730"/>
        <v>15:09:39.000</v>
      </c>
      <c r="U1849" t="str">
        <f t="shared" si="711"/>
        <v>A68FCB</v>
      </c>
      <c r="V1849">
        <v>0</v>
      </c>
      <c r="W1849">
        <v>0</v>
      </c>
      <c r="X1849">
        <v>2</v>
      </c>
      <c r="Y1849">
        <v>0</v>
      </c>
      <c r="AA1849">
        <v>1</v>
      </c>
      <c r="AB1849">
        <v>8</v>
      </c>
      <c r="AC1849">
        <v>3</v>
      </c>
      <c r="AD1849">
        <v>0</v>
      </c>
      <c r="AE1849">
        <v>9</v>
      </c>
      <c r="AF1849" t="s">
        <v>138</v>
      </c>
      <c r="AG1849">
        <v>0</v>
      </c>
      <c r="AH1849">
        <v>3</v>
      </c>
      <c r="AI1849">
        <v>2</v>
      </c>
      <c r="AJ1849">
        <v>0</v>
      </c>
      <c r="AK1849" t="s">
        <v>662</v>
      </c>
      <c r="AL1849">
        <v>39.039122999999996</v>
      </c>
      <c r="AM1849" t="s">
        <v>663</v>
      </c>
      <c r="AN1849">
        <v>-121.043952</v>
      </c>
      <c r="AO1849">
        <v>25</v>
      </c>
      <c r="AP1849">
        <v>4300</v>
      </c>
      <c r="AQ1849" t="s">
        <v>131</v>
      </c>
      <c r="AR1849">
        <v>20</v>
      </c>
      <c r="AS1849">
        <v>82</v>
      </c>
      <c r="AT1849">
        <v>64</v>
      </c>
      <c r="BB1849" t="str">
        <f t="shared" si="712"/>
        <v>1200</v>
      </c>
      <c r="BC1849">
        <v>1</v>
      </c>
      <c r="BD1849" t="str">
        <f t="shared" si="713"/>
        <v xml:space="preserve">N52156  </v>
      </c>
      <c r="BE1849">
        <v>1</v>
      </c>
      <c r="BG1849">
        <v>0</v>
      </c>
      <c r="BH1849">
        <v>0</v>
      </c>
      <c r="BI1849">
        <v>0</v>
      </c>
      <c r="BJ1849">
        <v>4300</v>
      </c>
      <c r="BK1849">
        <v>0</v>
      </c>
      <c r="BL1849" t="s">
        <v>188</v>
      </c>
      <c r="BM1849">
        <v>1</v>
      </c>
      <c r="BN1849">
        <v>1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 t="shared" si="731"/>
        <v>15:09:39.584</v>
      </c>
      <c r="CF1849">
        <v>583712009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5</v>
      </c>
      <c r="CY1849">
        <v>7</v>
      </c>
      <c r="CZ1849" t="s">
        <v>133</v>
      </c>
      <c r="DA1849">
        <v>275</v>
      </c>
      <c r="DB1849">
        <v>0</v>
      </c>
      <c r="DC1849" t="s">
        <v>134</v>
      </c>
      <c r="DD1849" t="s">
        <v>135</v>
      </c>
      <c r="DG1849">
        <v>3320958</v>
      </c>
      <c r="DI1849">
        <v>1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"05/01/2025 15:09:40.583"</f>
        <v>05/01/2025 15:09:40.583</v>
      </c>
      <c r="C1850" t="str">
        <f t="shared" si="710"/>
        <v>FFDFD3C0</v>
      </c>
      <c r="D1850" t="s">
        <v>140</v>
      </c>
      <c r="E1850" t="str">
        <f>"13"</f>
        <v>13</v>
      </c>
      <c r="F1850">
        <v>1019</v>
      </c>
      <c r="G1850" t="s">
        <v>141</v>
      </c>
      <c r="J1850" t="s">
        <v>142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R1850" t="s">
        <v>127</v>
      </c>
      <c r="S1850" t="str">
        <f t="shared" ref="S1850:T1855" si="732">"15:09:40.000"</f>
        <v>15:09:40.000</v>
      </c>
      <c r="T1850" t="str">
        <f t="shared" si="732"/>
        <v>15:09:40.000</v>
      </c>
      <c r="U1850" t="str">
        <f t="shared" si="711"/>
        <v>A68FCB</v>
      </c>
      <c r="V1850">
        <v>0</v>
      </c>
      <c r="W1850">
        <v>0</v>
      </c>
      <c r="X1850">
        <v>2</v>
      </c>
      <c r="Y1850">
        <v>0</v>
      </c>
      <c r="AA1850">
        <v>1</v>
      </c>
      <c r="AB1850">
        <v>8</v>
      </c>
      <c r="AC1850">
        <v>3</v>
      </c>
      <c r="AD1850">
        <v>0</v>
      </c>
      <c r="AE1850">
        <v>9</v>
      </c>
      <c r="AF1850" t="s">
        <v>138</v>
      </c>
      <c r="AG1850">
        <v>0</v>
      </c>
      <c r="AH1850">
        <v>3</v>
      </c>
      <c r="AI1850">
        <v>2</v>
      </c>
      <c r="AJ1850">
        <v>0</v>
      </c>
      <c r="AK1850" t="s">
        <v>664</v>
      </c>
      <c r="AL1850">
        <v>39.039530999999997</v>
      </c>
      <c r="AM1850" t="s">
        <v>665</v>
      </c>
      <c r="AN1850">
        <v>-121.04384400000001</v>
      </c>
      <c r="AO1850">
        <v>25</v>
      </c>
      <c r="AP1850">
        <v>4300</v>
      </c>
      <c r="AQ1850" t="s">
        <v>131</v>
      </c>
      <c r="AR1850">
        <v>21</v>
      </c>
      <c r="AS1850">
        <v>82</v>
      </c>
      <c r="AT1850">
        <v>0</v>
      </c>
      <c r="BB1850" t="str">
        <f t="shared" si="712"/>
        <v>1200</v>
      </c>
      <c r="BC1850">
        <v>1</v>
      </c>
      <c r="BD1850" t="str">
        <f t="shared" si="713"/>
        <v xml:space="preserve">N52156  </v>
      </c>
      <c r="BE1850">
        <v>1</v>
      </c>
      <c r="BG1850">
        <v>0</v>
      </c>
      <c r="BH1850">
        <v>0</v>
      </c>
      <c r="BI1850">
        <v>0</v>
      </c>
      <c r="BJ1850">
        <v>4300</v>
      </c>
      <c r="BK1850">
        <v>0</v>
      </c>
      <c r="BL1850" t="s">
        <v>188</v>
      </c>
      <c r="BM1850">
        <v>1</v>
      </c>
      <c r="BN1850">
        <v>1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 t="shared" ref="CE1850:CE1855" si="733">"15:09:40.371"</f>
        <v>15:09:40.371</v>
      </c>
      <c r="CF1850">
        <v>371211766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5</v>
      </c>
      <c r="CY1850">
        <v>7</v>
      </c>
      <c r="CZ1850" t="s">
        <v>133</v>
      </c>
      <c r="DA1850">
        <v>275</v>
      </c>
      <c r="DB1850">
        <v>0</v>
      </c>
      <c r="DC1850" t="s">
        <v>134</v>
      </c>
      <c r="DD1850" t="s">
        <v>135</v>
      </c>
      <c r="DG1850">
        <v>3320965</v>
      </c>
      <c r="DI1850">
        <v>1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"05/01/2025 15:09:40.591"</f>
        <v>05/01/2025 15:09:40.591</v>
      </c>
      <c r="C1851" t="str">
        <f t="shared" si="710"/>
        <v>FFDFD3C0</v>
      </c>
      <c r="D1851" t="s">
        <v>145</v>
      </c>
      <c r="E1851" t="str">
        <f>"05"</f>
        <v>05</v>
      </c>
      <c r="H1851">
        <v>47</v>
      </c>
      <c r="I1851" t="s">
        <v>146</v>
      </c>
      <c r="J1851" t="s">
        <v>138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R1851" t="s">
        <v>127</v>
      </c>
      <c r="S1851" t="str">
        <f t="shared" si="732"/>
        <v>15:09:40.000</v>
      </c>
      <c r="T1851" t="str">
        <f t="shared" si="732"/>
        <v>15:09:40.000</v>
      </c>
      <c r="U1851" t="str">
        <f t="shared" si="711"/>
        <v>A68FCB</v>
      </c>
      <c r="V1851">
        <v>0</v>
      </c>
      <c r="W1851">
        <v>0</v>
      </c>
      <c r="X1851">
        <v>2</v>
      </c>
      <c r="Y1851">
        <v>0</v>
      </c>
      <c r="AA1851">
        <v>1</v>
      </c>
      <c r="AB1851">
        <v>8</v>
      </c>
      <c r="AC1851">
        <v>3</v>
      </c>
      <c r="AD1851">
        <v>0</v>
      </c>
      <c r="AE1851">
        <v>9</v>
      </c>
      <c r="AF1851" t="s">
        <v>138</v>
      </c>
      <c r="AG1851">
        <v>0</v>
      </c>
      <c r="AH1851">
        <v>3</v>
      </c>
      <c r="AI1851">
        <v>2</v>
      </c>
      <c r="AJ1851">
        <v>0</v>
      </c>
      <c r="AK1851" t="s">
        <v>664</v>
      </c>
      <c r="AL1851">
        <v>39.039530999999997</v>
      </c>
      <c r="AM1851" t="s">
        <v>665</v>
      </c>
      <c r="AN1851">
        <v>-121.04384400000001</v>
      </c>
      <c r="AO1851">
        <v>25</v>
      </c>
      <c r="AP1851">
        <v>4300</v>
      </c>
      <c r="AQ1851" t="s">
        <v>131</v>
      </c>
      <c r="AR1851">
        <v>21</v>
      </c>
      <c r="AS1851">
        <v>82</v>
      </c>
      <c r="AT1851">
        <v>0</v>
      </c>
      <c r="BB1851" t="str">
        <f t="shared" si="712"/>
        <v>1200</v>
      </c>
      <c r="BC1851">
        <v>1</v>
      </c>
      <c r="BD1851" t="str">
        <f t="shared" si="713"/>
        <v xml:space="preserve">N52156  </v>
      </c>
      <c r="BE1851">
        <v>1</v>
      </c>
      <c r="BG1851">
        <v>0</v>
      </c>
      <c r="BH1851">
        <v>0</v>
      </c>
      <c r="BI1851">
        <v>0</v>
      </c>
      <c r="BJ1851">
        <v>4300</v>
      </c>
      <c r="BK1851">
        <v>0</v>
      </c>
      <c r="BL1851" t="s">
        <v>188</v>
      </c>
      <c r="BM1851">
        <v>1</v>
      </c>
      <c r="BN1851">
        <v>1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 t="shared" si="733"/>
        <v>15:09:40.371</v>
      </c>
      <c r="CF1851">
        <v>371211766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5</v>
      </c>
      <c r="CY1851">
        <v>7</v>
      </c>
      <c r="CZ1851" t="s">
        <v>133</v>
      </c>
      <c r="DA1851">
        <v>275</v>
      </c>
      <c r="DB1851">
        <v>0</v>
      </c>
      <c r="DC1851" t="s">
        <v>134</v>
      </c>
      <c r="DD1851" t="s">
        <v>135</v>
      </c>
      <c r="DG1851">
        <v>3320965</v>
      </c>
      <c r="DI1851">
        <v>1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"05/01/2025 15:09:40.593"</f>
        <v>05/01/2025 15:09:40.593</v>
      </c>
      <c r="C1852" t="str">
        <f t="shared" si="710"/>
        <v>FFDFD3C0</v>
      </c>
      <c r="D1852" t="s">
        <v>124</v>
      </c>
      <c r="E1852" t="str">
        <f>"06"</f>
        <v>06</v>
      </c>
      <c r="F1852">
        <v>2006</v>
      </c>
      <c r="G1852" t="s">
        <v>125</v>
      </c>
      <c r="J1852" t="s">
        <v>126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R1852" t="s">
        <v>127</v>
      </c>
      <c r="S1852" t="str">
        <f t="shared" si="732"/>
        <v>15:09:40.000</v>
      </c>
      <c r="T1852" t="str">
        <f t="shared" si="732"/>
        <v>15:09:40.000</v>
      </c>
      <c r="U1852" t="str">
        <f t="shared" si="711"/>
        <v>A68FCB</v>
      </c>
      <c r="V1852">
        <v>0</v>
      </c>
      <c r="W1852">
        <v>0</v>
      </c>
      <c r="X1852">
        <v>2</v>
      </c>
      <c r="Y1852">
        <v>0</v>
      </c>
      <c r="AA1852">
        <v>1</v>
      </c>
      <c r="AB1852">
        <v>8</v>
      </c>
      <c r="AC1852">
        <v>3</v>
      </c>
      <c r="AD1852">
        <v>0</v>
      </c>
      <c r="AE1852">
        <v>9</v>
      </c>
      <c r="AF1852" t="s">
        <v>138</v>
      </c>
      <c r="AG1852">
        <v>0</v>
      </c>
      <c r="AH1852">
        <v>3</v>
      </c>
      <c r="AI1852">
        <v>2</v>
      </c>
      <c r="AJ1852">
        <v>0</v>
      </c>
      <c r="AK1852" t="s">
        <v>664</v>
      </c>
      <c r="AL1852">
        <v>39.039530999999997</v>
      </c>
      <c r="AM1852" t="s">
        <v>665</v>
      </c>
      <c r="AN1852">
        <v>-121.04384400000001</v>
      </c>
      <c r="AO1852">
        <v>25</v>
      </c>
      <c r="AP1852">
        <v>4300</v>
      </c>
      <c r="AQ1852" t="s">
        <v>131</v>
      </c>
      <c r="AR1852">
        <v>21</v>
      </c>
      <c r="AS1852">
        <v>82</v>
      </c>
      <c r="AT1852">
        <v>0</v>
      </c>
      <c r="BB1852" t="str">
        <f t="shared" si="712"/>
        <v>1200</v>
      </c>
      <c r="BC1852">
        <v>1</v>
      </c>
      <c r="BD1852" t="str">
        <f t="shared" si="713"/>
        <v xml:space="preserve">N52156  </v>
      </c>
      <c r="BE1852">
        <v>1</v>
      </c>
      <c r="BG1852">
        <v>0</v>
      </c>
      <c r="BH1852">
        <v>0</v>
      </c>
      <c r="BI1852">
        <v>0</v>
      </c>
      <c r="BJ1852">
        <v>4300</v>
      </c>
      <c r="BK1852">
        <v>0</v>
      </c>
      <c r="BL1852" t="s">
        <v>188</v>
      </c>
      <c r="BM1852">
        <v>1</v>
      </c>
      <c r="BN1852">
        <v>1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 t="shared" si="733"/>
        <v>15:09:40.371</v>
      </c>
      <c r="CF1852">
        <v>371211766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5</v>
      </c>
      <c r="CY1852">
        <v>7</v>
      </c>
      <c r="CZ1852" t="s">
        <v>133</v>
      </c>
      <c r="DA1852">
        <v>275</v>
      </c>
      <c r="DB1852">
        <v>0</v>
      </c>
      <c r="DC1852" t="s">
        <v>134</v>
      </c>
      <c r="DD1852" t="s">
        <v>135</v>
      </c>
      <c r="DG1852">
        <v>3320965</v>
      </c>
      <c r="DI1852">
        <v>1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"05/01/2025 15:09:40.597"</f>
        <v>05/01/2025 15:09:40.597</v>
      </c>
      <c r="C1853" t="str">
        <f t="shared" si="710"/>
        <v>FFDFD3C0</v>
      </c>
      <c r="D1853" t="s">
        <v>145</v>
      </c>
      <c r="E1853" t="str">
        <f>"09"</f>
        <v>09</v>
      </c>
      <c r="H1853">
        <v>51</v>
      </c>
      <c r="I1853" t="s">
        <v>147</v>
      </c>
      <c r="J1853" t="s">
        <v>138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R1853" t="s">
        <v>127</v>
      </c>
      <c r="S1853" t="str">
        <f t="shared" si="732"/>
        <v>15:09:40.000</v>
      </c>
      <c r="T1853" t="str">
        <f t="shared" si="732"/>
        <v>15:09:40.000</v>
      </c>
      <c r="U1853" t="str">
        <f t="shared" si="711"/>
        <v>A68FCB</v>
      </c>
      <c r="V1853">
        <v>0</v>
      </c>
      <c r="W1853">
        <v>0</v>
      </c>
      <c r="X1853">
        <v>2</v>
      </c>
      <c r="Y1853">
        <v>0</v>
      </c>
      <c r="AA1853">
        <v>1</v>
      </c>
      <c r="AB1853">
        <v>8</v>
      </c>
      <c r="AC1853">
        <v>3</v>
      </c>
      <c r="AD1853">
        <v>0</v>
      </c>
      <c r="AE1853">
        <v>9</v>
      </c>
      <c r="AF1853" t="s">
        <v>138</v>
      </c>
      <c r="AG1853">
        <v>0</v>
      </c>
      <c r="AH1853">
        <v>3</v>
      </c>
      <c r="AI1853">
        <v>2</v>
      </c>
      <c r="AJ1853">
        <v>0</v>
      </c>
      <c r="AK1853" t="s">
        <v>664</v>
      </c>
      <c r="AL1853">
        <v>39.039530999999997</v>
      </c>
      <c r="AM1853" t="s">
        <v>665</v>
      </c>
      <c r="AN1853">
        <v>-121.04384400000001</v>
      </c>
      <c r="AO1853">
        <v>25</v>
      </c>
      <c r="AP1853">
        <v>4300</v>
      </c>
      <c r="AQ1853" t="s">
        <v>131</v>
      </c>
      <c r="AR1853">
        <v>21</v>
      </c>
      <c r="AS1853">
        <v>82</v>
      </c>
      <c r="AT1853">
        <v>0</v>
      </c>
      <c r="BB1853" t="str">
        <f t="shared" si="712"/>
        <v>1200</v>
      </c>
      <c r="BC1853">
        <v>1</v>
      </c>
      <c r="BD1853" t="str">
        <f t="shared" si="713"/>
        <v xml:space="preserve">N52156  </v>
      </c>
      <c r="BE1853">
        <v>1</v>
      </c>
      <c r="BG1853">
        <v>0</v>
      </c>
      <c r="BH1853">
        <v>0</v>
      </c>
      <c r="BI1853">
        <v>0</v>
      </c>
      <c r="BJ1853">
        <v>4300</v>
      </c>
      <c r="BK1853">
        <v>0</v>
      </c>
      <c r="BL1853" t="s">
        <v>188</v>
      </c>
      <c r="BM1853">
        <v>1</v>
      </c>
      <c r="BN1853">
        <v>1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 t="shared" si="733"/>
        <v>15:09:40.371</v>
      </c>
      <c r="CF1853">
        <v>371211766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133</v>
      </c>
      <c r="DA1853">
        <v>275</v>
      </c>
      <c r="DB1853">
        <v>0</v>
      </c>
      <c r="DC1853" t="s">
        <v>134</v>
      </c>
      <c r="DD1853" t="s">
        <v>135</v>
      </c>
      <c r="DG1853">
        <v>3320965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"05/01/2025 15:09:40.602"</f>
        <v>05/01/2025 15:09:40.602</v>
      </c>
      <c r="C1854" t="str">
        <f t="shared" si="710"/>
        <v>FFDFD3C0</v>
      </c>
      <c r="D1854" t="s">
        <v>143</v>
      </c>
      <c r="E1854" t="str">
        <f>"05"</f>
        <v>05</v>
      </c>
      <c r="H1854">
        <v>172</v>
      </c>
      <c r="I1854" t="s">
        <v>141</v>
      </c>
      <c r="J1854" t="s">
        <v>144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R1854" t="s">
        <v>127</v>
      </c>
      <c r="S1854" t="str">
        <f t="shared" si="732"/>
        <v>15:09:40.000</v>
      </c>
      <c r="T1854" t="str">
        <f t="shared" si="732"/>
        <v>15:09:40.000</v>
      </c>
      <c r="U1854" t="str">
        <f t="shared" si="711"/>
        <v>A68FCB</v>
      </c>
      <c r="V1854">
        <v>0</v>
      </c>
      <c r="W1854">
        <v>0</v>
      </c>
      <c r="X1854">
        <v>2</v>
      </c>
      <c r="Y1854">
        <v>0</v>
      </c>
      <c r="AA1854">
        <v>1</v>
      </c>
      <c r="AB1854">
        <v>8</v>
      </c>
      <c r="AC1854">
        <v>3</v>
      </c>
      <c r="AD1854">
        <v>0</v>
      </c>
      <c r="AE1854">
        <v>9</v>
      </c>
      <c r="AF1854" t="s">
        <v>138</v>
      </c>
      <c r="AG1854">
        <v>0</v>
      </c>
      <c r="AH1854">
        <v>3</v>
      </c>
      <c r="AI1854">
        <v>2</v>
      </c>
      <c r="AJ1854">
        <v>0</v>
      </c>
      <c r="AK1854" t="s">
        <v>664</v>
      </c>
      <c r="AL1854">
        <v>39.039530999999997</v>
      </c>
      <c r="AM1854" t="s">
        <v>665</v>
      </c>
      <c r="AN1854">
        <v>-121.04384400000001</v>
      </c>
      <c r="AO1854">
        <v>25</v>
      </c>
      <c r="AP1854">
        <v>4300</v>
      </c>
      <c r="AQ1854" t="s">
        <v>131</v>
      </c>
      <c r="AR1854">
        <v>21</v>
      </c>
      <c r="AS1854">
        <v>82</v>
      </c>
      <c r="AT1854">
        <v>0</v>
      </c>
      <c r="BB1854" t="str">
        <f t="shared" si="712"/>
        <v>1200</v>
      </c>
      <c r="BC1854">
        <v>1</v>
      </c>
      <c r="BD1854" t="str">
        <f t="shared" si="713"/>
        <v xml:space="preserve">N52156  </v>
      </c>
      <c r="BE1854">
        <v>1</v>
      </c>
      <c r="BG1854">
        <v>0</v>
      </c>
      <c r="BH1854">
        <v>0</v>
      </c>
      <c r="BI1854">
        <v>0</v>
      </c>
      <c r="BJ1854">
        <v>4300</v>
      </c>
      <c r="BK1854">
        <v>0</v>
      </c>
      <c r="BL1854" t="s">
        <v>188</v>
      </c>
      <c r="BM1854">
        <v>1</v>
      </c>
      <c r="BN1854">
        <v>1</v>
      </c>
      <c r="BO1854">
        <v>0</v>
      </c>
      <c r="BP1854">
        <v>0</v>
      </c>
      <c r="BS1854">
        <v>0</v>
      </c>
      <c r="BT1854">
        <v>0</v>
      </c>
      <c r="BU1854">
        <v>0</v>
      </c>
      <c r="CE1854" t="str">
        <f t="shared" si="733"/>
        <v>15:09:40.371</v>
      </c>
      <c r="CF1854">
        <v>371211766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5</v>
      </c>
      <c r="CY1854">
        <v>7</v>
      </c>
      <c r="CZ1854" t="s">
        <v>133</v>
      </c>
      <c r="DA1854">
        <v>275</v>
      </c>
      <c r="DB1854">
        <v>0</v>
      </c>
      <c r="DC1854" t="s">
        <v>134</v>
      </c>
      <c r="DD1854" t="s">
        <v>135</v>
      </c>
      <c r="DG1854">
        <v>3320965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"05/01/2025 15:09:40.605"</f>
        <v>05/01/2025 15:09:40.605</v>
      </c>
      <c r="C1855" t="str">
        <f t="shared" si="710"/>
        <v>FFDFD3C0</v>
      </c>
      <c r="D1855" t="s">
        <v>136</v>
      </c>
      <c r="E1855" t="str">
        <f>"20"</f>
        <v>20</v>
      </c>
      <c r="H1855">
        <v>400</v>
      </c>
      <c r="I1855" t="s">
        <v>137</v>
      </c>
      <c r="J1855" t="s">
        <v>138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R1855" t="s">
        <v>127</v>
      </c>
      <c r="S1855" t="str">
        <f t="shared" si="732"/>
        <v>15:09:40.000</v>
      </c>
      <c r="T1855" t="str">
        <f t="shared" si="732"/>
        <v>15:09:40.000</v>
      </c>
      <c r="U1855" t="str">
        <f t="shared" si="711"/>
        <v>A68FCB</v>
      </c>
      <c r="V1855">
        <v>0</v>
      </c>
      <c r="W1855">
        <v>0</v>
      </c>
      <c r="X1855">
        <v>2</v>
      </c>
      <c r="Y1855">
        <v>0</v>
      </c>
      <c r="AA1855">
        <v>1</v>
      </c>
      <c r="AB1855">
        <v>8</v>
      </c>
      <c r="AC1855">
        <v>3</v>
      </c>
      <c r="AD1855">
        <v>0</v>
      </c>
      <c r="AE1855">
        <v>9</v>
      </c>
      <c r="AF1855" t="s">
        <v>138</v>
      </c>
      <c r="AG1855">
        <v>0</v>
      </c>
      <c r="AH1855">
        <v>3</v>
      </c>
      <c r="AI1855">
        <v>2</v>
      </c>
      <c r="AJ1855">
        <v>0</v>
      </c>
      <c r="AK1855" t="s">
        <v>664</v>
      </c>
      <c r="AL1855">
        <v>39.039530999999997</v>
      </c>
      <c r="AM1855" t="s">
        <v>665</v>
      </c>
      <c r="AN1855">
        <v>-121.04384400000001</v>
      </c>
      <c r="AO1855">
        <v>25</v>
      </c>
      <c r="AP1855">
        <v>4300</v>
      </c>
      <c r="AQ1855" t="s">
        <v>131</v>
      </c>
      <c r="AR1855">
        <v>21</v>
      </c>
      <c r="AS1855">
        <v>82</v>
      </c>
      <c r="AT1855">
        <v>0</v>
      </c>
      <c r="BB1855" t="str">
        <f t="shared" si="712"/>
        <v>1200</v>
      </c>
      <c r="BC1855">
        <v>1</v>
      </c>
      <c r="BD1855" t="str">
        <f t="shared" si="713"/>
        <v xml:space="preserve">N52156  </v>
      </c>
      <c r="BE1855">
        <v>1</v>
      </c>
      <c r="BG1855">
        <v>0</v>
      </c>
      <c r="BH1855">
        <v>0</v>
      </c>
      <c r="BI1855">
        <v>0</v>
      </c>
      <c r="BJ1855">
        <v>4300</v>
      </c>
      <c r="BK1855">
        <v>0</v>
      </c>
      <c r="BL1855" t="s">
        <v>188</v>
      </c>
      <c r="BM1855">
        <v>1</v>
      </c>
      <c r="BN1855">
        <v>1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 t="shared" si="733"/>
        <v>15:09:40.371</v>
      </c>
      <c r="CF1855">
        <v>371211766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5</v>
      </c>
      <c r="CY1855">
        <v>7</v>
      </c>
      <c r="CZ1855" t="s">
        <v>133</v>
      </c>
      <c r="DA1855">
        <v>275</v>
      </c>
      <c r="DB1855">
        <v>0</v>
      </c>
      <c r="DC1855" t="s">
        <v>134</v>
      </c>
      <c r="DD1855" t="s">
        <v>135</v>
      </c>
      <c r="DG1855">
        <v>3320965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"05/01/2025 15:09:41.593"</f>
        <v>05/01/2025 15:09:41.593</v>
      </c>
      <c r="C1856" t="str">
        <f t="shared" si="710"/>
        <v>FFDFD3C0</v>
      </c>
      <c r="D1856" t="s">
        <v>145</v>
      </c>
      <c r="E1856" t="str">
        <f>"05"</f>
        <v>05</v>
      </c>
      <c r="H1856">
        <v>47</v>
      </c>
      <c r="I1856" t="s">
        <v>146</v>
      </c>
      <c r="J1856" t="s">
        <v>138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R1856" t="s">
        <v>127</v>
      </c>
      <c r="S1856" t="str">
        <f t="shared" ref="S1856:T1861" si="734">"15:09:41.000"</f>
        <v>15:09:41.000</v>
      </c>
      <c r="T1856" t="str">
        <f t="shared" si="734"/>
        <v>15:09:41.000</v>
      </c>
      <c r="U1856" t="str">
        <f t="shared" si="711"/>
        <v>A68FCB</v>
      </c>
      <c r="V1856">
        <v>0</v>
      </c>
      <c r="W1856">
        <v>0</v>
      </c>
      <c r="X1856">
        <v>2</v>
      </c>
      <c r="Y1856">
        <v>0</v>
      </c>
      <c r="AA1856">
        <v>1</v>
      </c>
      <c r="AB1856">
        <v>8</v>
      </c>
      <c r="AC1856">
        <v>3</v>
      </c>
      <c r="AD1856">
        <v>0</v>
      </c>
      <c r="AE1856">
        <v>9</v>
      </c>
      <c r="AF1856" t="s">
        <v>138</v>
      </c>
      <c r="AG1856">
        <v>0</v>
      </c>
      <c r="AH1856">
        <v>3</v>
      </c>
      <c r="AI1856">
        <v>2</v>
      </c>
      <c r="AJ1856">
        <v>0</v>
      </c>
      <c r="AK1856" t="s">
        <v>666</v>
      </c>
      <c r="AL1856">
        <v>39.039895999999999</v>
      </c>
      <c r="AM1856" t="s">
        <v>667</v>
      </c>
      <c r="AN1856">
        <v>-121.043694</v>
      </c>
      <c r="AO1856">
        <v>25</v>
      </c>
      <c r="AP1856">
        <v>4300</v>
      </c>
      <c r="AQ1856" t="s">
        <v>131</v>
      </c>
      <c r="AR1856">
        <v>21</v>
      </c>
      <c r="AS1856">
        <v>83</v>
      </c>
      <c r="AT1856">
        <v>64</v>
      </c>
      <c r="BB1856" t="str">
        <f t="shared" si="712"/>
        <v>1200</v>
      </c>
      <c r="BC1856">
        <v>1</v>
      </c>
      <c r="BD1856" t="str">
        <f t="shared" si="713"/>
        <v xml:space="preserve">N52156  </v>
      </c>
      <c r="BE1856">
        <v>1</v>
      </c>
      <c r="BG1856">
        <v>0</v>
      </c>
      <c r="BH1856">
        <v>0</v>
      </c>
      <c r="BI1856">
        <v>0</v>
      </c>
      <c r="BJ1856">
        <v>4300</v>
      </c>
      <c r="BK1856">
        <v>0</v>
      </c>
      <c r="BL1856" t="s">
        <v>188</v>
      </c>
      <c r="BM1856">
        <v>1</v>
      </c>
      <c r="BN1856">
        <v>1</v>
      </c>
      <c r="BO1856">
        <v>0</v>
      </c>
      <c r="BP1856">
        <v>0</v>
      </c>
      <c r="BS1856">
        <v>0</v>
      </c>
      <c r="BT1856">
        <v>0</v>
      </c>
      <c r="BU1856">
        <v>0</v>
      </c>
      <c r="CE1856" t="str">
        <f t="shared" ref="CE1856:CE1861" si="735">"15:09:41.382"</f>
        <v>15:09:41.382</v>
      </c>
      <c r="CF1856">
        <v>381961888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5</v>
      </c>
      <c r="CY1856">
        <v>7</v>
      </c>
      <c r="CZ1856" t="s">
        <v>133</v>
      </c>
      <c r="DA1856">
        <v>275</v>
      </c>
      <c r="DB1856">
        <v>0</v>
      </c>
      <c r="DC1856" t="s">
        <v>134</v>
      </c>
      <c r="DD1856" t="s">
        <v>135</v>
      </c>
      <c r="DG1856">
        <v>3320975</v>
      </c>
      <c r="DI1856">
        <v>1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"05/01/2025 15:09:41.594"</f>
        <v>05/01/2025 15:09:41.594</v>
      </c>
      <c r="C1857" t="str">
        <f t="shared" si="710"/>
        <v>FFDFD3C0</v>
      </c>
      <c r="D1857" t="s">
        <v>124</v>
      </c>
      <c r="E1857" t="str">
        <f>"06"</f>
        <v>06</v>
      </c>
      <c r="F1857">
        <v>2006</v>
      </c>
      <c r="G1857" t="s">
        <v>125</v>
      </c>
      <c r="J1857" t="s">
        <v>126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R1857" t="s">
        <v>127</v>
      </c>
      <c r="S1857" t="str">
        <f t="shared" si="734"/>
        <v>15:09:41.000</v>
      </c>
      <c r="T1857" t="str">
        <f t="shared" si="734"/>
        <v>15:09:41.000</v>
      </c>
      <c r="U1857" t="str">
        <f t="shared" si="711"/>
        <v>A68FCB</v>
      </c>
      <c r="V1857">
        <v>0</v>
      </c>
      <c r="W1857">
        <v>0</v>
      </c>
      <c r="X1857">
        <v>2</v>
      </c>
      <c r="Y1857">
        <v>0</v>
      </c>
      <c r="AA1857">
        <v>1</v>
      </c>
      <c r="AB1857">
        <v>8</v>
      </c>
      <c r="AC1857">
        <v>3</v>
      </c>
      <c r="AD1857">
        <v>0</v>
      </c>
      <c r="AE1857">
        <v>9</v>
      </c>
      <c r="AF1857" t="s">
        <v>138</v>
      </c>
      <c r="AG1857">
        <v>0</v>
      </c>
      <c r="AH1857">
        <v>3</v>
      </c>
      <c r="AI1857">
        <v>2</v>
      </c>
      <c r="AJ1857">
        <v>0</v>
      </c>
      <c r="AK1857" t="s">
        <v>666</v>
      </c>
      <c r="AL1857">
        <v>39.039895999999999</v>
      </c>
      <c r="AM1857" t="s">
        <v>667</v>
      </c>
      <c r="AN1857">
        <v>-121.043694</v>
      </c>
      <c r="AO1857">
        <v>25</v>
      </c>
      <c r="AP1857">
        <v>4300</v>
      </c>
      <c r="AQ1857" t="s">
        <v>131</v>
      </c>
      <c r="AR1857">
        <v>21</v>
      </c>
      <c r="AS1857">
        <v>83</v>
      </c>
      <c r="AT1857">
        <v>64</v>
      </c>
      <c r="BB1857" t="str">
        <f t="shared" si="712"/>
        <v>1200</v>
      </c>
      <c r="BC1857">
        <v>1</v>
      </c>
      <c r="BD1857" t="str">
        <f t="shared" si="713"/>
        <v xml:space="preserve">N52156  </v>
      </c>
      <c r="BE1857">
        <v>1</v>
      </c>
      <c r="BG1857">
        <v>0</v>
      </c>
      <c r="BH1857">
        <v>0</v>
      </c>
      <c r="BI1857">
        <v>0</v>
      </c>
      <c r="BJ1857">
        <v>4300</v>
      </c>
      <c r="BK1857">
        <v>0</v>
      </c>
      <c r="BL1857" t="s">
        <v>188</v>
      </c>
      <c r="BM1857">
        <v>1</v>
      </c>
      <c r="BN1857">
        <v>1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 t="shared" si="735"/>
        <v>15:09:41.382</v>
      </c>
      <c r="CF1857">
        <v>381961888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5</v>
      </c>
      <c r="CY1857">
        <v>7</v>
      </c>
      <c r="CZ1857" t="s">
        <v>133</v>
      </c>
      <c r="DA1857">
        <v>275</v>
      </c>
      <c r="DB1857">
        <v>0</v>
      </c>
      <c r="DC1857" t="s">
        <v>134</v>
      </c>
      <c r="DD1857" t="s">
        <v>135</v>
      </c>
      <c r="DG1857">
        <v>3320975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"05/01/2025 15:09:41.598"</f>
        <v>05/01/2025 15:09:41.598</v>
      </c>
      <c r="C1858" t="str">
        <f t="shared" ref="C1858:C1921" si="736">"FFDFD3C0"</f>
        <v>FFDFD3C0</v>
      </c>
      <c r="D1858" t="s">
        <v>145</v>
      </c>
      <c r="E1858" t="str">
        <f>"09"</f>
        <v>09</v>
      </c>
      <c r="H1858">
        <v>51</v>
      </c>
      <c r="I1858" t="s">
        <v>147</v>
      </c>
      <c r="J1858" t="s">
        <v>138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R1858" t="s">
        <v>127</v>
      </c>
      <c r="S1858" t="str">
        <f t="shared" si="734"/>
        <v>15:09:41.000</v>
      </c>
      <c r="T1858" t="str">
        <f t="shared" si="734"/>
        <v>15:09:41.000</v>
      </c>
      <c r="U1858" t="str">
        <f t="shared" ref="U1858:U1921" si="737">"A68FCB"</f>
        <v>A68FCB</v>
      </c>
      <c r="V1858">
        <v>0</v>
      </c>
      <c r="W1858">
        <v>0</v>
      </c>
      <c r="X1858">
        <v>2</v>
      </c>
      <c r="Y1858">
        <v>0</v>
      </c>
      <c r="AA1858">
        <v>1</v>
      </c>
      <c r="AB1858">
        <v>8</v>
      </c>
      <c r="AC1858">
        <v>3</v>
      </c>
      <c r="AD1858">
        <v>0</v>
      </c>
      <c r="AE1858">
        <v>9</v>
      </c>
      <c r="AF1858" t="s">
        <v>138</v>
      </c>
      <c r="AG1858">
        <v>0</v>
      </c>
      <c r="AH1858">
        <v>3</v>
      </c>
      <c r="AI1858">
        <v>2</v>
      </c>
      <c r="AJ1858">
        <v>0</v>
      </c>
      <c r="AK1858" t="s">
        <v>666</v>
      </c>
      <c r="AL1858">
        <v>39.039895999999999</v>
      </c>
      <c r="AM1858" t="s">
        <v>667</v>
      </c>
      <c r="AN1858">
        <v>-121.043694</v>
      </c>
      <c r="AO1858">
        <v>25</v>
      </c>
      <c r="AP1858">
        <v>4300</v>
      </c>
      <c r="AQ1858" t="s">
        <v>131</v>
      </c>
      <c r="AR1858">
        <v>21</v>
      </c>
      <c r="AS1858">
        <v>83</v>
      </c>
      <c r="AT1858">
        <v>64</v>
      </c>
      <c r="BB1858" t="str">
        <f t="shared" ref="BB1858:BB1921" si="738">"1200"</f>
        <v>1200</v>
      </c>
      <c r="BC1858">
        <v>1</v>
      </c>
      <c r="BD1858" t="str">
        <f t="shared" ref="BD1858:BD1921" si="739">"N52156  "</f>
        <v xml:space="preserve">N52156  </v>
      </c>
      <c r="BE1858">
        <v>1</v>
      </c>
      <c r="BG1858">
        <v>0</v>
      </c>
      <c r="BH1858">
        <v>0</v>
      </c>
      <c r="BI1858">
        <v>0</v>
      </c>
      <c r="BJ1858">
        <v>4300</v>
      </c>
      <c r="BK1858">
        <v>0</v>
      </c>
      <c r="BL1858" t="s">
        <v>188</v>
      </c>
      <c r="BM1858">
        <v>1</v>
      </c>
      <c r="BN1858">
        <v>1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 t="shared" si="735"/>
        <v>15:09:41.382</v>
      </c>
      <c r="CF1858">
        <v>381961888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5</v>
      </c>
      <c r="CY1858">
        <v>7</v>
      </c>
      <c r="CZ1858" t="s">
        <v>133</v>
      </c>
      <c r="DA1858">
        <v>275</v>
      </c>
      <c r="DB1858">
        <v>0</v>
      </c>
      <c r="DC1858" t="s">
        <v>134</v>
      </c>
      <c r="DD1858" t="s">
        <v>135</v>
      </c>
      <c r="DG1858">
        <v>3320975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"05/01/2025 15:09:41.603"</f>
        <v>05/01/2025 15:09:41.603</v>
      </c>
      <c r="C1859" t="str">
        <f t="shared" si="736"/>
        <v>FFDFD3C0</v>
      </c>
      <c r="D1859" t="s">
        <v>143</v>
      </c>
      <c r="E1859" t="str">
        <f>"05"</f>
        <v>05</v>
      </c>
      <c r="H1859">
        <v>172</v>
      </c>
      <c r="I1859" t="s">
        <v>141</v>
      </c>
      <c r="J1859" t="s">
        <v>144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R1859" t="s">
        <v>127</v>
      </c>
      <c r="S1859" t="str">
        <f t="shared" si="734"/>
        <v>15:09:41.000</v>
      </c>
      <c r="T1859" t="str">
        <f t="shared" si="734"/>
        <v>15:09:41.000</v>
      </c>
      <c r="U1859" t="str">
        <f t="shared" si="737"/>
        <v>A68FCB</v>
      </c>
      <c r="V1859">
        <v>0</v>
      </c>
      <c r="W1859">
        <v>0</v>
      </c>
      <c r="X1859">
        <v>2</v>
      </c>
      <c r="Y1859">
        <v>0</v>
      </c>
      <c r="AA1859">
        <v>1</v>
      </c>
      <c r="AB1859">
        <v>8</v>
      </c>
      <c r="AC1859">
        <v>3</v>
      </c>
      <c r="AD1859">
        <v>0</v>
      </c>
      <c r="AE1859">
        <v>9</v>
      </c>
      <c r="AF1859" t="s">
        <v>138</v>
      </c>
      <c r="AG1859">
        <v>0</v>
      </c>
      <c r="AH1859">
        <v>3</v>
      </c>
      <c r="AI1859">
        <v>2</v>
      </c>
      <c r="AJ1859">
        <v>0</v>
      </c>
      <c r="AK1859" t="s">
        <v>666</v>
      </c>
      <c r="AL1859">
        <v>39.039895999999999</v>
      </c>
      <c r="AM1859" t="s">
        <v>667</v>
      </c>
      <c r="AN1859">
        <v>-121.043694</v>
      </c>
      <c r="AO1859">
        <v>25</v>
      </c>
      <c r="AP1859">
        <v>4300</v>
      </c>
      <c r="AQ1859" t="s">
        <v>131</v>
      </c>
      <c r="AR1859">
        <v>21</v>
      </c>
      <c r="AS1859">
        <v>83</v>
      </c>
      <c r="AT1859">
        <v>64</v>
      </c>
      <c r="BB1859" t="str">
        <f t="shared" si="738"/>
        <v>1200</v>
      </c>
      <c r="BC1859">
        <v>1</v>
      </c>
      <c r="BD1859" t="str">
        <f t="shared" si="739"/>
        <v xml:space="preserve">N52156  </v>
      </c>
      <c r="BE1859">
        <v>1</v>
      </c>
      <c r="BG1859">
        <v>0</v>
      </c>
      <c r="BH1859">
        <v>0</v>
      </c>
      <c r="BI1859">
        <v>0</v>
      </c>
      <c r="BJ1859">
        <v>4300</v>
      </c>
      <c r="BK1859">
        <v>0</v>
      </c>
      <c r="BL1859" t="s">
        <v>188</v>
      </c>
      <c r="BM1859">
        <v>1</v>
      </c>
      <c r="BN1859">
        <v>1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 t="shared" si="735"/>
        <v>15:09:41.382</v>
      </c>
      <c r="CF1859">
        <v>381961888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5</v>
      </c>
      <c r="CY1859">
        <v>7</v>
      </c>
      <c r="CZ1859" t="s">
        <v>133</v>
      </c>
      <c r="DA1859">
        <v>275</v>
      </c>
      <c r="DB1859">
        <v>0</v>
      </c>
      <c r="DC1859" t="s">
        <v>134</v>
      </c>
      <c r="DD1859" t="s">
        <v>135</v>
      </c>
      <c r="DG1859">
        <v>3320975</v>
      </c>
      <c r="DI1859">
        <v>1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"05/01/2025 15:09:41.607"</f>
        <v>05/01/2025 15:09:41.607</v>
      </c>
      <c r="C1860" t="str">
        <f t="shared" si="736"/>
        <v>FFDFD3C0</v>
      </c>
      <c r="D1860" t="s">
        <v>136</v>
      </c>
      <c r="E1860" t="str">
        <f>"20"</f>
        <v>20</v>
      </c>
      <c r="H1860">
        <v>400</v>
      </c>
      <c r="I1860" t="s">
        <v>137</v>
      </c>
      <c r="J1860" t="s">
        <v>138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R1860" t="s">
        <v>127</v>
      </c>
      <c r="S1860" t="str">
        <f t="shared" si="734"/>
        <v>15:09:41.000</v>
      </c>
      <c r="T1860" t="str">
        <f t="shared" si="734"/>
        <v>15:09:41.000</v>
      </c>
      <c r="U1860" t="str">
        <f t="shared" si="737"/>
        <v>A68FCB</v>
      </c>
      <c r="V1860">
        <v>0</v>
      </c>
      <c r="W1860">
        <v>0</v>
      </c>
      <c r="X1860">
        <v>2</v>
      </c>
      <c r="Y1860">
        <v>0</v>
      </c>
      <c r="AA1860">
        <v>1</v>
      </c>
      <c r="AB1860">
        <v>8</v>
      </c>
      <c r="AC1860">
        <v>3</v>
      </c>
      <c r="AD1860">
        <v>0</v>
      </c>
      <c r="AE1860">
        <v>9</v>
      </c>
      <c r="AF1860" t="s">
        <v>138</v>
      </c>
      <c r="AG1860">
        <v>0</v>
      </c>
      <c r="AH1860">
        <v>3</v>
      </c>
      <c r="AI1860">
        <v>2</v>
      </c>
      <c r="AJ1860">
        <v>0</v>
      </c>
      <c r="AK1860" t="s">
        <v>666</v>
      </c>
      <c r="AL1860">
        <v>39.039895999999999</v>
      </c>
      <c r="AM1860" t="s">
        <v>667</v>
      </c>
      <c r="AN1860">
        <v>-121.043694</v>
      </c>
      <c r="AO1860">
        <v>25</v>
      </c>
      <c r="AP1860">
        <v>4300</v>
      </c>
      <c r="AQ1860" t="s">
        <v>131</v>
      </c>
      <c r="AR1860">
        <v>21</v>
      </c>
      <c r="AS1860">
        <v>83</v>
      </c>
      <c r="AT1860">
        <v>64</v>
      </c>
      <c r="BB1860" t="str">
        <f t="shared" si="738"/>
        <v>1200</v>
      </c>
      <c r="BC1860">
        <v>1</v>
      </c>
      <c r="BD1860" t="str">
        <f t="shared" si="739"/>
        <v xml:space="preserve">N52156  </v>
      </c>
      <c r="BE1860">
        <v>1</v>
      </c>
      <c r="BG1860">
        <v>0</v>
      </c>
      <c r="BH1860">
        <v>0</v>
      </c>
      <c r="BI1860">
        <v>0</v>
      </c>
      <c r="BJ1860">
        <v>4300</v>
      </c>
      <c r="BK1860">
        <v>0</v>
      </c>
      <c r="BL1860" t="s">
        <v>188</v>
      </c>
      <c r="BM1860">
        <v>1</v>
      </c>
      <c r="BN1860">
        <v>1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 t="shared" si="735"/>
        <v>15:09:41.382</v>
      </c>
      <c r="CF1860">
        <v>381961888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5</v>
      </c>
      <c r="CY1860">
        <v>7</v>
      </c>
      <c r="CZ1860" t="s">
        <v>133</v>
      </c>
      <c r="DA1860">
        <v>275</v>
      </c>
      <c r="DB1860">
        <v>0</v>
      </c>
      <c r="DC1860" t="s">
        <v>134</v>
      </c>
      <c r="DD1860" t="s">
        <v>135</v>
      </c>
      <c r="DG1860">
        <v>3320975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"05/01/2025 15:09:41.635"</f>
        <v>05/01/2025 15:09:41.635</v>
      </c>
      <c r="C1861" t="str">
        <f t="shared" si="736"/>
        <v>FFDFD3C0</v>
      </c>
      <c r="D1861" t="s">
        <v>140</v>
      </c>
      <c r="E1861" t="str">
        <f>"13"</f>
        <v>13</v>
      </c>
      <c r="F1861">
        <v>1019</v>
      </c>
      <c r="G1861" t="s">
        <v>141</v>
      </c>
      <c r="J1861" t="s">
        <v>142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R1861" t="s">
        <v>127</v>
      </c>
      <c r="S1861" t="str">
        <f t="shared" si="734"/>
        <v>15:09:41.000</v>
      </c>
      <c r="T1861" t="str">
        <f t="shared" si="734"/>
        <v>15:09:41.000</v>
      </c>
      <c r="U1861" t="str">
        <f t="shared" si="737"/>
        <v>A68FCB</v>
      </c>
      <c r="V1861">
        <v>0</v>
      </c>
      <c r="W1861">
        <v>0</v>
      </c>
      <c r="X1861">
        <v>2</v>
      </c>
      <c r="Y1861">
        <v>0</v>
      </c>
      <c r="AA1861">
        <v>1</v>
      </c>
      <c r="AB1861">
        <v>8</v>
      </c>
      <c r="AC1861">
        <v>3</v>
      </c>
      <c r="AD1861">
        <v>0</v>
      </c>
      <c r="AE1861">
        <v>9</v>
      </c>
      <c r="AF1861" t="s">
        <v>138</v>
      </c>
      <c r="AG1861">
        <v>0</v>
      </c>
      <c r="AH1861">
        <v>3</v>
      </c>
      <c r="AI1861">
        <v>2</v>
      </c>
      <c r="AJ1861">
        <v>0</v>
      </c>
      <c r="AK1861" t="s">
        <v>666</v>
      </c>
      <c r="AL1861">
        <v>39.039895999999999</v>
      </c>
      <c r="AM1861" t="s">
        <v>667</v>
      </c>
      <c r="AN1861">
        <v>-121.043694</v>
      </c>
      <c r="AO1861">
        <v>25</v>
      </c>
      <c r="AP1861">
        <v>4300</v>
      </c>
      <c r="AQ1861" t="s">
        <v>131</v>
      </c>
      <c r="AR1861">
        <v>21</v>
      </c>
      <c r="AS1861">
        <v>83</v>
      </c>
      <c r="AT1861">
        <v>64</v>
      </c>
      <c r="BB1861" t="str">
        <f t="shared" si="738"/>
        <v>1200</v>
      </c>
      <c r="BC1861">
        <v>1</v>
      </c>
      <c r="BD1861" t="str">
        <f t="shared" si="739"/>
        <v xml:space="preserve">N52156  </v>
      </c>
      <c r="BE1861">
        <v>1</v>
      </c>
      <c r="BG1861">
        <v>0</v>
      </c>
      <c r="BH1861">
        <v>0</v>
      </c>
      <c r="BI1861">
        <v>0</v>
      </c>
      <c r="BJ1861">
        <v>4300</v>
      </c>
      <c r="BK1861">
        <v>0</v>
      </c>
      <c r="BL1861" t="s">
        <v>188</v>
      </c>
      <c r="BM1861">
        <v>1</v>
      </c>
      <c r="BN1861">
        <v>1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 t="shared" si="735"/>
        <v>15:09:41.382</v>
      </c>
      <c r="CF1861">
        <v>381961888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5</v>
      </c>
      <c r="CY1861">
        <v>7</v>
      </c>
      <c r="CZ1861" t="s">
        <v>133</v>
      </c>
      <c r="DA1861">
        <v>275</v>
      </c>
      <c r="DB1861">
        <v>0</v>
      </c>
      <c r="DC1861" t="s">
        <v>134</v>
      </c>
      <c r="DD1861" t="s">
        <v>135</v>
      </c>
      <c r="DG1861">
        <v>3320975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"05/01/2025 15:09:42.595"</f>
        <v>05/01/2025 15:09:42.595</v>
      </c>
      <c r="C1862" t="str">
        <f t="shared" si="736"/>
        <v>FFDFD3C0</v>
      </c>
      <c r="D1862" t="s">
        <v>145</v>
      </c>
      <c r="E1862" t="str">
        <f>"05"</f>
        <v>05</v>
      </c>
      <c r="H1862">
        <v>47</v>
      </c>
      <c r="I1862" t="s">
        <v>146</v>
      </c>
      <c r="J1862" t="s">
        <v>138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R1862" t="s">
        <v>127</v>
      </c>
      <c r="S1862" t="str">
        <f t="shared" ref="S1862:T1867" si="740">"15:09:42.000"</f>
        <v>15:09:42.000</v>
      </c>
      <c r="T1862" t="str">
        <f t="shared" si="740"/>
        <v>15:09:42.000</v>
      </c>
      <c r="U1862" t="str">
        <f t="shared" si="737"/>
        <v>A68FCB</v>
      </c>
      <c r="V1862">
        <v>0</v>
      </c>
      <c r="W1862">
        <v>0</v>
      </c>
      <c r="X1862">
        <v>2</v>
      </c>
      <c r="Y1862">
        <v>0</v>
      </c>
      <c r="AA1862">
        <v>1</v>
      </c>
      <c r="AB1862">
        <v>8</v>
      </c>
      <c r="AC1862">
        <v>3</v>
      </c>
      <c r="AD1862">
        <v>0</v>
      </c>
      <c r="AE1862">
        <v>9</v>
      </c>
      <c r="AF1862" t="s">
        <v>138</v>
      </c>
      <c r="AG1862">
        <v>0</v>
      </c>
      <c r="AH1862">
        <v>3</v>
      </c>
      <c r="AI1862">
        <v>2</v>
      </c>
      <c r="AJ1862">
        <v>0</v>
      </c>
      <c r="AK1862" t="s">
        <v>668</v>
      </c>
      <c r="AL1862">
        <v>39.040281999999998</v>
      </c>
      <c r="AM1862" t="s">
        <v>669</v>
      </c>
      <c r="AN1862">
        <v>-121.043565</v>
      </c>
      <c r="AO1862">
        <v>25</v>
      </c>
      <c r="AP1862">
        <v>4300</v>
      </c>
      <c r="AQ1862" t="s">
        <v>131</v>
      </c>
      <c r="AR1862">
        <v>21</v>
      </c>
      <c r="AS1862">
        <v>83</v>
      </c>
      <c r="AT1862">
        <v>128</v>
      </c>
      <c r="BB1862" t="str">
        <f t="shared" si="738"/>
        <v>1200</v>
      </c>
      <c r="BC1862">
        <v>1</v>
      </c>
      <c r="BD1862" t="str">
        <f t="shared" si="739"/>
        <v xml:space="preserve">N52156  </v>
      </c>
      <c r="BE1862">
        <v>1</v>
      </c>
      <c r="BG1862">
        <v>0</v>
      </c>
      <c r="BH1862">
        <v>0</v>
      </c>
      <c r="BI1862">
        <v>0</v>
      </c>
      <c r="BJ1862">
        <v>4300</v>
      </c>
      <c r="BK1862">
        <v>0</v>
      </c>
      <c r="BL1862" t="s">
        <v>188</v>
      </c>
      <c r="BM1862">
        <v>1</v>
      </c>
      <c r="BN1862">
        <v>1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 t="shared" ref="CE1862:CE1867" si="741">"15:09:42.378"</f>
        <v>15:09:42.378</v>
      </c>
      <c r="CF1862">
        <v>378211935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5</v>
      </c>
      <c r="CY1862">
        <v>7</v>
      </c>
      <c r="CZ1862" t="s">
        <v>133</v>
      </c>
      <c r="DA1862">
        <v>275</v>
      </c>
      <c r="DB1862">
        <v>0</v>
      </c>
      <c r="DC1862" t="s">
        <v>134</v>
      </c>
      <c r="DD1862" t="s">
        <v>135</v>
      </c>
      <c r="DG1862">
        <v>3320984</v>
      </c>
      <c r="DI1862">
        <v>1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"05/01/2025 15:09:42.600"</f>
        <v>05/01/2025 15:09:42.600</v>
      </c>
      <c r="C1863" t="str">
        <f t="shared" si="736"/>
        <v>FFDFD3C0</v>
      </c>
      <c r="D1863" t="s">
        <v>145</v>
      </c>
      <c r="E1863" t="str">
        <f>"09"</f>
        <v>09</v>
      </c>
      <c r="H1863">
        <v>51</v>
      </c>
      <c r="I1863" t="s">
        <v>147</v>
      </c>
      <c r="J1863" t="s">
        <v>138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R1863" t="s">
        <v>127</v>
      </c>
      <c r="S1863" t="str">
        <f t="shared" si="740"/>
        <v>15:09:42.000</v>
      </c>
      <c r="T1863" t="str">
        <f t="shared" si="740"/>
        <v>15:09:42.000</v>
      </c>
      <c r="U1863" t="str">
        <f t="shared" si="737"/>
        <v>A68FCB</v>
      </c>
      <c r="V1863">
        <v>0</v>
      </c>
      <c r="W1863">
        <v>0</v>
      </c>
      <c r="X1863">
        <v>2</v>
      </c>
      <c r="Y1863">
        <v>0</v>
      </c>
      <c r="AA1863">
        <v>1</v>
      </c>
      <c r="AB1863">
        <v>8</v>
      </c>
      <c r="AC1863">
        <v>3</v>
      </c>
      <c r="AD1863">
        <v>0</v>
      </c>
      <c r="AE1863">
        <v>9</v>
      </c>
      <c r="AF1863" t="s">
        <v>138</v>
      </c>
      <c r="AG1863">
        <v>0</v>
      </c>
      <c r="AH1863">
        <v>3</v>
      </c>
      <c r="AI1863">
        <v>2</v>
      </c>
      <c r="AJ1863">
        <v>0</v>
      </c>
      <c r="AK1863" t="s">
        <v>668</v>
      </c>
      <c r="AL1863">
        <v>39.040281999999998</v>
      </c>
      <c r="AM1863" t="s">
        <v>669</v>
      </c>
      <c r="AN1863">
        <v>-121.043565</v>
      </c>
      <c r="AO1863">
        <v>25</v>
      </c>
      <c r="AP1863">
        <v>4300</v>
      </c>
      <c r="AQ1863" t="s">
        <v>131</v>
      </c>
      <c r="AR1863">
        <v>21</v>
      </c>
      <c r="AS1863">
        <v>83</v>
      </c>
      <c r="AT1863">
        <v>128</v>
      </c>
      <c r="BB1863" t="str">
        <f t="shared" si="738"/>
        <v>1200</v>
      </c>
      <c r="BC1863">
        <v>1</v>
      </c>
      <c r="BD1863" t="str">
        <f t="shared" si="739"/>
        <v xml:space="preserve">N52156  </v>
      </c>
      <c r="BE1863">
        <v>1</v>
      </c>
      <c r="BG1863">
        <v>0</v>
      </c>
      <c r="BH1863">
        <v>0</v>
      </c>
      <c r="BI1863">
        <v>0</v>
      </c>
      <c r="BJ1863">
        <v>4300</v>
      </c>
      <c r="BK1863">
        <v>0</v>
      </c>
      <c r="BL1863" t="s">
        <v>188</v>
      </c>
      <c r="BM1863">
        <v>1</v>
      </c>
      <c r="BN1863">
        <v>1</v>
      </c>
      <c r="BO1863">
        <v>0</v>
      </c>
      <c r="BP1863">
        <v>0</v>
      </c>
      <c r="BS1863">
        <v>0</v>
      </c>
      <c r="BT1863">
        <v>0</v>
      </c>
      <c r="BU1863">
        <v>0</v>
      </c>
      <c r="CE1863" t="str">
        <f t="shared" si="741"/>
        <v>15:09:42.378</v>
      </c>
      <c r="CF1863">
        <v>378211935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5</v>
      </c>
      <c r="CY1863">
        <v>7</v>
      </c>
      <c r="CZ1863" t="s">
        <v>133</v>
      </c>
      <c r="DA1863">
        <v>275</v>
      </c>
      <c r="DB1863">
        <v>0</v>
      </c>
      <c r="DC1863" t="s">
        <v>134</v>
      </c>
      <c r="DD1863" t="s">
        <v>135</v>
      </c>
      <c r="DG1863">
        <v>3320984</v>
      </c>
      <c r="DI1863">
        <v>1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"05/01/2025 15:09:42.596"</f>
        <v>05/01/2025 15:09:42.596</v>
      </c>
      <c r="C1864" t="str">
        <f t="shared" si="736"/>
        <v>FFDFD3C0</v>
      </c>
      <c r="D1864" t="s">
        <v>124</v>
      </c>
      <c r="E1864" t="str">
        <f>"06"</f>
        <v>06</v>
      </c>
      <c r="F1864">
        <v>2006</v>
      </c>
      <c r="G1864" t="s">
        <v>125</v>
      </c>
      <c r="J1864" t="s">
        <v>126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R1864" t="s">
        <v>127</v>
      </c>
      <c r="S1864" t="str">
        <f t="shared" si="740"/>
        <v>15:09:42.000</v>
      </c>
      <c r="T1864" t="str">
        <f t="shared" si="740"/>
        <v>15:09:42.000</v>
      </c>
      <c r="U1864" t="str">
        <f t="shared" si="737"/>
        <v>A68FCB</v>
      </c>
      <c r="V1864">
        <v>0</v>
      </c>
      <c r="W1864">
        <v>0</v>
      </c>
      <c r="X1864">
        <v>2</v>
      </c>
      <c r="Y1864">
        <v>0</v>
      </c>
      <c r="AA1864">
        <v>1</v>
      </c>
      <c r="AB1864">
        <v>8</v>
      </c>
      <c r="AC1864">
        <v>3</v>
      </c>
      <c r="AD1864">
        <v>0</v>
      </c>
      <c r="AE1864">
        <v>9</v>
      </c>
      <c r="AF1864" t="s">
        <v>138</v>
      </c>
      <c r="AG1864">
        <v>0</v>
      </c>
      <c r="AH1864">
        <v>3</v>
      </c>
      <c r="AI1864">
        <v>2</v>
      </c>
      <c r="AJ1864">
        <v>0</v>
      </c>
      <c r="AK1864" t="s">
        <v>668</v>
      </c>
      <c r="AL1864">
        <v>39.040281999999998</v>
      </c>
      <c r="AM1864" t="s">
        <v>669</v>
      </c>
      <c r="AN1864">
        <v>-121.043565</v>
      </c>
      <c r="AO1864">
        <v>25</v>
      </c>
      <c r="AP1864">
        <v>4300</v>
      </c>
      <c r="AQ1864" t="s">
        <v>131</v>
      </c>
      <c r="AR1864">
        <v>21</v>
      </c>
      <c r="AS1864">
        <v>83</v>
      </c>
      <c r="AT1864">
        <v>128</v>
      </c>
      <c r="BB1864" t="str">
        <f t="shared" si="738"/>
        <v>1200</v>
      </c>
      <c r="BC1864">
        <v>1</v>
      </c>
      <c r="BD1864" t="str">
        <f t="shared" si="739"/>
        <v xml:space="preserve">N52156  </v>
      </c>
      <c r="BE1864">
        <v>1</v>
      </c>
      <c r="BG1864">
        <v>0</v>
      </c>
      <c r="BH1864">
        <v>0</v>
      </c>
      <c r="BI1864">
        <v>0</v>
      </c>
      <c r="BJ1864">
        <v>4300</v>
      </c>
      <c r="BK1864">
        <v>0</v>
      </c>
      <c r="BL1864" t="s">
        <v>188</v>
      </c>
      <c r="BM1864">
        <v>1</v>
      </c>
      <c r="BN1864">
        <v>1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 t="shared" si="741"/>
        <v>15:09:42.378</v>
      </c>
      <c r="CF1864">
        <v>378211935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5</v>
      </c>
      <c r="CY1864">
        <v>7</v>
      </c>
      <c r="CZ1864" t="s">
        <v>133</v>
      </c>
      <c r="DA1864">
        <v>275</v>
      </c>
      <c r="DB1864">
        <v>0</v>
      </c>
      <c r="DC1864" t="s">
        <v>134</v>
      </c>
      <c r="DD1864" t="s">
        <v>135</v>
      </c>
      <c r="DG1864">
        <v>3320984</v>
      </c>
      <c r="DI1864">
        <v>1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"05/01/2025 15:09:42.605"</f>
        <v>05/01/2025 15:09:42.605</v>
      </c>
      <c r="C1865" t="str">
        <f t="shared" si="736"/>
        <v>FFDFD3C0</v>
      </c>
      <c r="D1865" t="s">
        <v>143</v>
      </c>
      <c r="E1865" t="str">
        <f>"05"</f>
        <v>05</v>
      </c>
      <c r="H1865">
        <v>172</v>
      </c>
      <c r="I1865" t="s">
        <v>141</v>
      </c>
      <c r="J1865" t="s">
        <v>144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R1865" t="s">
        <v>127</v>
      </c>
      <c r="S1865" t="str">
        <f t="shared" si="740"/>
        <v>15:09:42.000</v>
      </c>
      <c r="T1865" t="str">
        <f t="shared" si="740"/>
        <v>15:09:42.000</v>
      </c>
      <c r="U1865" t="str">
        <f t="shared" si="737"/>
        <v>A68FCB</v>
      </c>
      <c r="V1865">
        <v>0</v>
      </c>
      <c r="W1865">
        <v>0</v>
      </c>
      <c r="X1865">
        <v>2</v>
      </c>
      <c r="Y1865">
        <v>0</v>
      </c>
      <c r="AA1865">
        <v>1</v>
      </c>
      <c r="AB1865">
        <v>8</v>
      </c>
      <c r="AC1865">
        <v>3</v>
      </c>
      <c r="AD1865">
        <v>0</v>
      </c>
      <c r="AE1865">
        <v>9</v>
      </c>
      <c r="AF1865" t="s">
        <v>138</v>
      </c>
      <c r="AG1865">
        <v>0</v>
      </c>
      <c r="AH1865">
        <v>3</v>
      </c>
      <c r="AI1865">
        <v>2</v>
      </c>
      <c r="AJ1865">
        <v>0</v>
      </c>
      <c r="AK1865" t="s">
        <v>668</v>
      </c>
      <c r="AL1865">
        <v>39.040281999999998</v>
      </c>
      <c r="AM1865" t="s">
        <v>669</v>
      </c>
      <c r="AN1865">
        <v>-121.043565</v>
      </c>
      <c r="AO1865">
        <v>25</v>
      </c>
      <c r="AP1865">
        <v>4300</v>
      </c>
      <c r="AQ1865" t="s">
        <v>131</v>
      </c>
      <c r="AR1865">
        <v>21</v>
      </c>
      <c r="AS1865">
        <v>83</v>
      </c>
      <c r="AT1865">
        <v>128</v>
      </c>
      <c r="BB1865" t="str">
        <f t="shared" si="738"/>
        <v>1200</v>
      </c>
      <c r="BC1865">
        <v>1</v>
      </c>
      <c r="BD1865" t="str">
        <f t="shared" si="739"/>
        <v xml:space="preserve">N52156  </v>
      </c>
      <c r="BE1865">
        <v>1</v>
      </c>
      <c r="BG1865">
        <v>0</v>
      </c>
      <c r="BH1865">
        <v>0</v>
      </c>
      <c r="BI1865">
        <v>0</v>
      </c>
      <c r="BJ1865">
        <v>4300</v>
      </c>
      <c r="BK1865">
        <v>0</v>
      </c>
      <c r="BL1865" t="s">
        <v>188</v>
      </c>
      <c r="BM1865">
        <v>1</v>
      </c>
      <c r="BN1865">
        <v>1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 t="shared" si="741"/>
        <v>15:09:42.378</v>
      </c>
      <c r="CF1865">
        <v>378211935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5</v>
      </c>
      <c r="CY1865">
        <v>7</v>
      </c>
      <c r="CZ1865" t="s">
        <v>133</v>
      </c>
      <c r="DA1865">
        <v>275</v>
      </c>
      <c r="DB1865">
        <v>0</v>
      </c>
      <c r="DC1865" t="s">
        <v>134</v>
      </c>
      <c r="DD1865" t="s">
        <v>135</v>
      </c>
      <c r="DG1865">
        <v>3320984</v>
      </c>
      <c r="DI1865">
        <v>1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"05/01/2025 15:09:42.609"</f>
        <v>05/01/2025 15:09:42.609</v>
      </c>
      <c r="C1866" t="str">
        <f t="shared" si="736"/>
        <v>FFDFD3C0</v>
      </c>
      <c r="D1866" t="s">
        <v>136</v>
      </c>
      <c r="E1866" t="str">
        <f>"20"</f>
        <v>20</v>
      </c>
      <c r="H1866">
        <v>400</v>
      </c>
      <c r="I1866" t="s">
        <v>137</v>
      </c>
      <c r="J1866" t="s">
        <v>138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R1866" t="s">
        <v>127</v>
      </c>
      <c r="S1866" t="str">
        <f t="shared" si="740"/>
        <v>15:09:42.000</v>
      </c>
      <c r="T1866" t="str">
        <f t="shared" si="740"/>
        <v>15:09:42.000</v>
      </c>
      <c r="U1866" t="str">
        <f t="shared" si="737"/>
        <v>A68FCB</v>
      </c>
      <c r="V1866">
        <v>0</v>
      </c>
      <c r="W1866">
        <v>0</v>
      </c>
      <c r="X1866">
        <v>2</v>
      </c>
      <c r="Y1866">
        <v>0</v>
      </c>
      <c r="AA1866">
        <v>1</v>
      </c>
      <c r="AB1866">
        <v>8</v>
      </c>
      <c r="AC1866">
        <v>3</v>
      </c>
      <c r="AD1866">
        <v>0</v>
      </c>
      <c r="AE1866">
        <v>9</v>
      </c>
      <c r="AF1866" t="s">
        <v>138</v>
      </c>
      <c r="AG1866">
        <v>0</v>
      </c>
      <c r="AH1866">
        <v>3</v>
      </c>
      <c r="AI1866">
        <v>2</v>
      </c>
      <c r="AJ1866">
        <v>0</v>
      </c>
      <c r="AK1866" t="s">
        <v>668</v>
      </c>
      <c r="AL1866">
        <v>39.040281999999998</v>
      </c>
      <c r="AM1866" t="s">
        <v>669</v>
      </c>
      <c r="AN1866">
        <v>-121.043565</v>
      </c>
      <c r="AO1866">
        <v>25</v>
      </c>
      <c r="AP1866">
        <v>4300</v>
      </c>
      <c r="AQ1866" t="s">
        <v>131</v>
      </c>
      <c r="AR1866">
        <v>21</v>
      </c>
      <c r="AS1866">
        <v>83</v>
      </c>
      <c r="AT1866">
        <v>128</v>
      </c>
      <c r="BB1866" t="str">
        <f t="shared" si="738"/>
        <v>1200</v>
      </c>
      <c r="BC1866">
        <v>1</v>
      </c>
      <c r="BD1866" t="str">
        <f t="shared" si="739"/>
        <v xml:space="preserve">N52156  </v>
      </c>
      <c r="BE1866">
        <v>1</v>
      </c>
      <c r="BG1866">
        <v>0</v>
      </c>
      <c r="BH1866">
        <v>0</v>
      </c>
      <c r="BI1866">
        <v>0</v>
      </c>
      <c r="BJ1866">
        <v>4300</v>
      </c>
      <c r="BK1866">
        <v>0</v>
      </c>
      <c r="BL1866" t="s">
        <v>188</v>
      </c>
      <c r="BM1866">
        <v>1</v>
      </c>
      <c r="BN1866">
        <v>1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 t="shared" si="741"/>
        <v>15:09:42.378</v>
      </c>
      <c r="CF1866">
        <v>378211935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5</v>
      </c>
      <c r="CY1866">
        <v>7</v>
      </c>
      <c r="CZ1866" t="s">
        <v>133</v>
      </c>
      <c r="DA1866">
        <v>275</v>
      </c>
      <c r="DB1866">
        <v>0</v>
      </c>
      <c r="DC1866" t="s">
        <v>134</v>
      </c>
      <c r="DD1866" t="s">
        <v>135</v>
      </c>
      <c r="DG1866">
        <v>3320984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"05/01/2025 15:09:42.636"</f>
        <v>05/01/2025 15:09:42.636</v>
      </c>
      <c r="C1867" t="str">
        <f t="shared" si="736"/>
        <v>FFDFD3C0</v>
      </c>
      <c r="D1867" t="s">
        <v>140</v>
      </c>
      <c r="E1867" t="str">
        <f>"13"</f>
        <v>13</v>
      </c>
      <c r="F1867">
        <v>1019</v>
      </c>
      <c r="G1867" t="s">
        <v>141</v>
      </c>
      <c r="J1867" t="s">
        <v>142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R1867" t="s">
        <v>127</v>
      </c>
      <c r="S1867" t="str">
        <f t="shared" si="740"/>
        <v>15:09:42.000</v>
      </c>
      <c r="T1867" t="str">
        <f t="shared" si="740"/>
        <v>15:09:42.000</v>
      </c>
      <c r="U1867" t="str">
        <f t="shared" si="737"/>
        <v>A68FCB</v>
      </c>
      <c r="V1867">
        <v>0</v>
      </c>
      <c r="W1867">
        <v>0</v>
      </c>
      <c r="X1867">
        <v>2</v>
      </c>
      <c r="Y1867">
        <v>0</v>
      </c>
      <c r="AA1867">
        <v>1</v>
      </c>
      <c r="AB1867">
        <v>8</v>
      </c>
      <c r="AC1867">
        <v>3</v>
      </c>
      <c r="AD1867">
        <v>0</v>
      </c>
      <c r="AE1867">
        <v>9</v>
      </c>
      <c r="AF1867" t="s">
        <v>138</v>
      </c>
      <c r="AG1867">
        <v>0</v>
      </c>
      <c r="AH1867">
        <v>3</v>
      </c>
      <c r="AI1867">
        <v>2</v>
      </c>
      <c r="AJ1867">
        <v>0</v>
      </c>
      <c r="AK1867" t="s">
        <v>668</v>
      </c>
      <c r="AL1867">
        <v>39.040281999999998</v>
      </c>
      <c r="AM1867" t="s">
        <v>669</v>
      </c>
      <c r="AN1867">
        <v>-121.043565</v>
      </c>
      <c r="AO1867">
        <v>25</v>
      </c>
      <c r="AP1867">
        <v>4300</v>
      </c>
      <c r="AQ1867" t="s">
        <v>131</v>
      </c>
      <c r="AR1867">
        <v>21</v>
      </c>
      <c r="AS1867">
        <v>83</v>
      </c>
      <c r="AT1867">
        <v>128</v>
      </c>
      <c r="BB1867" t="str">
        <f t="shared" si="738"/>
        <v>1200</v>
      </c>
      <c r="BC1867">
        <v>1</v>
      </c>
      <c r="BD1867" t="str">
        <f t="shared" si="739"/>
        <v xml:space="preserve">N52156  </v>
      </c>
      <c r="BE1867">
        <v>1</v>
      </c>
      <c r="BG1867">
        <v>0</v>
      </c>
      <c r="BH1867">
        <v>0</v>
      </c>
      <c r="BI1867">
        <v>0</v>
      </c>
      <c r="BJ1867">
        <v>4300</v>
      </c>
      <c r="BK1867">
        <v>0</v>
      </c>
      <c r="BL1867" t="s">
        <v>188</v>
      </c>
      <c r="BM1867">
        <v>1</v>
      </c>
      <c r="BN1867">
        <v>1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 t="shared" si="741"/>
        <v>15:09:42.378</v>
      </c>
      <c r="CF1867">
        <v>378211935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5</v>
      </c>
      <c r="CY1867">
        <v>7</v>
      </c>
      <c r="CZ1867" t="s">
        <v>133</v>
      </c>
      <c r="DA1867">
        <v>275</v>
      </c>
      <c r="DB1867">
        <v>0</v>
      </c>
      <c r="DC1867" t="s">
        <v>134</v>
      </c>
      <c r="DD1867" t="s">
        <v>135</v>
      </c>
      <c r="DG1867">
        <v>3320984</v>
      </c>
      <c r="DI1867">
        <v>1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"05/01/2025 15:09:43.638"</f>
        <v>05/01/2025 15:09:43.638</v>
      </c>
      <c r="C1868" t="str">
        <f t="shared" si="736"/>
        <v>FFDFD3C0</v>
      </c>
      <c r="D1868" t="s">
        <v>140</v>
      </c>
      <c r="E1868" t="str">
        <f>"13"</f>
        <v>13</v>
      </c>
      <c r="F1868">
        <v>1019</v>
      </c>
      <c r="G1868" t="s">
        <v>141</v>
      </c>
      <c r="J1868" t="s">
        <v>142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R1868" t="s">
        <v>127</v>
      </c>
      <c r="S1868" t="str">
        <f t="shared" ref="S1868:T1873" si="742">"15:09:43.000"</f>
        <v>15:09:43.000</v>
      </c>
      <c r="T1868" t="str">
        <f t="shared" si="742"/>
        <v>15:09:43.000</v>
      </c>
      <c r="U1868" t="str">
        <f t="shared" si="737"/>
        <v>A68FCB</v>
      </c>
      <c r="V1868">
        <v>0</v>
      </c>
      <c r="W1868">
        <v>0</v>
      </c>
      <c r="X1868">
        <v>2</v>
      </c>
      <c r="Y1868">
        <v>0</v>
      </c>
      <c r="AA1868">
        <v>1</v>
      </c>
      <c r="AB1868">
        <v>8</v>
      </c>
      <c r="AC1868">
        <v>3</v>
      </c>
      <c r="AD1868">
        <v>0</v>
      </c>
      <c r="AE1868">
        <v>9</v>
      </c>
      <c r="AF1868" t="s">
        <v>138</v>
      </c>
      <c r="AG1868">
        <v>0</v>
      </c>
      <c r="AH1868">
        <v>3</v>
      </c>
      <c r="AI1868">
        <v>2</v>
      </c>
      <c r="AJ1868">
        <v>0</v>
      </c>
      <c r="AK1868" t="s">
        <v>670</v>
      </c>
      <c r="AL1868">
        <v>39.040667999999997</v>
      </c>
      <c r="AM1868" t="s">
        <v>671</v>
      </c>
      <c r="AN1868">
        <v>-121.043437</v>
      </c>
      <c r="AO1868">
        <v>25</v>
      </c>
      <c r="AP1868">
        <v>4300</v>
      </c>
      <c r="AQ1868" t="s">
        <v>131</v>
      </c>
      <c r="AR1868">
        <v>21</v>
      </c>
      <c r="AS1868">
        <v>83</v>
      </c>
      <c r="AT1868">
        <v>192</v>
      </c>
      <c r="BB1868" t="str">
        <f t="shared" si="738"/>
        <v>1200</v>
      </c>
      <c r="BC1868">
        <v>1</v>
      </c>
      <c r="BD1868" t="str">
        <f t="shared" si="739"/>
        <v xml:space="preserve">N52156  </v>
      </c>
      <c r="BE1868">
        <v>1</v>
      </c>
      <c r="BG1868">
        <v>0</v>
      </c>
      <c r="BH1868">
        <v>0</v>
      </c>
      <c r="BI1868">
        <v>0</v>
      </c>
      <c r="BJ1868">
        <v>4300</v>
      </c>
      <c r="BK1868">
        <v>0</v>
      </c>
      <c r="BL1868" t="s">
        <v>188</v>
      </c>
      <c r="BM1868">
        <v>1</v>
      </c>
      <c r="BN1868">
        <v>1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 t="shared" ref="CE1868:CE1873" si="743">"15:09:43.392"</f>
        <v>15:09:43.392</v>
      </c>
      <c r="CF1868">
        <v>392121170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5</v>
      </c>
      <c r="CY1868">
        <v>7</v>
      </c>
      <c r="CZ1868" t="s">
        <v>133</v>
      </c>
      <c r="DA1868">
        <v>273</v>
      </c>
      <c r="DB1868">
        <v>0</v>
      </c>
      <c r="DC1868" t="s">
        <v>292</v>
      </c>
      <c r="DD1868" t="s">
        <v>293</v>
      </c>
      <c r="DG1868">
        <v>4862901</v>
      </c>
      <c r="DI1868">
        <v>1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"05/01/2025 15:09:43.648"</f>
        <v>05/01/2025 15:09:43.648</v>
      </c>
      <c r="C1869" t="str">
        <f t="shared" si="736"/>
        <v>FFDFD3C0</v>
      </c>
      <c r="D1869" t="s">
        <v>124</v>
      </c>
      <c r="E1869" t="str">
        <f>"06"</f>
        <v>06</v>
      </c>
      <c r="F1869">
        <v>2006</v>
      </c>
      <c r="G1869" t="s">
        <v>125</v>
      </c>
      <c r="J1869" t="s">
        <v>126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R1869" t="s">
        <v>127</v>
      </c>
      <c r="S1869" t="str">
        <f t="shared" si="742"/>
        <v>15:09:43.000</v>
      </c>
      <c r="T1869" t="str">
        <f t="shared" si="742"/>
        <v>15:09:43.000</v>
      </c>
      <c r="U1869" t="str">
        <f t="shared" si="737"/>
        <v>A68FCB</v>
      </c>
      <c r="V1869">
        <v>0</v>
      </c>
      <c r="W1869">
        <v>0</v>
      </c>
      <c r="X1869">
        <v>2</v>
      </c>
      <c r="Y1869">
        <v>0</v>
      </c>
      <c r="AA1869">
        <v>1</v>
      </c>
      <c r="AB1869">
        <v>8</v>
      </c>
      <c r="AC1869">
        <v>3</v>
      </c>
      <c r="AD1869">
        <v>0</v>
      </c>
      <c r="AE1869">
        <v>9</v>
      </c>
      <c r="AF1869" t="s">
        <v>138</v>
      </c>
      <c r="AG1869">
        <v>0</v>
      </c>
      <c r="AH1869">
        <v>3</v>
      </c>
      <c r="AI1869">
        <v>2</v>
      </c>
      <c r="AJ1869">
        <v>0</v>
      </c>
      <c r="AK1869" t="s">
        <v>670</v>
      </c>
      <c r="AL1869">
        <v>39.040667999999997</v>
      </c>
      <c r="AM1869" t="s">
        <v>671</v>
      </c>
      <c r="AN1869">
        <v>-121.043437</v>
      </c>
      <c r="AO1869">
        <v>25</v>
      </c>
      <c r="AP1869">
        <v>4300</v>
      </c>
      <c r="AQ1869" t="s">
        <v>131</v>
      </c>
      <c r="AR1869">
        <v>21</v>
      </c>
      <c r="AS1869">
        <v>83</v>
      </c>
      <c r="AT1869">
        <v>192</v>
      </c>
      <c r="BB1869" t="str">
        <f t="shared" si="738"/>
        <v>1200</v>
      </c>
      <c r="BC1869">
        <v>1</v>
      </c>
      <c r="BD1869" t="str">
        <f t="shared" si="739"/>
        <v xml:space="preserve">N52156  </v>
      </c>
      <c r="BE1869">
        <v>1</v>
      </c>
      <c r="BG1869">
        <v>0</v>
      </c>
      <c r="BH1869">
        <v>0</v>
      </c>
      <c r="BI1869">
        <v>0</v>
      </c>
      <c r="BJ1869">
        <v>4300</v>
      </c>
      <c r="BK1869">
        <v>0</v>
      </c>
      <c r="BL1869" t="s">
        <v>188</v>
      </c>
      <c r="BM1869">
        <v>1</v>
      </c>
      <c r="BN1869">
        <v>1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 t="shared" si="743"/>
        <v>15:09:43.392</v>
      </c>
      <c r="CF1869">
        <v>392121170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5</v>
      </c>
      <c r="CY1869">
        <v>7</v>
      </c>
      <c r="CZ1869" t="s">
        <v>133</v>
      </c>
      <c r="DA1869">
        <v>273</v>
      </c>
      <c r="DB1869">
        <v>0</v>
      </c>
      <c r="DC1869" t="s">
        <v>292</v>
      </c>
      <c r="DD1869" t="s">
        <v>293</v>
      </c>
      <c r="DG1869">
        <v>4862901</v>
      </c>
      <c r="DI1869">
        <v>1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"05/01/2025 15:09:43.647"</f>
        <v>05/01/2025 15:09:43.647</v>
      </c>
      <c r="C1870" t="str">
        <f t="shared" si="736"/>
        <v>FFDFD3C0</v>
      </c>
      <c r="D1870" t="s">
        <v>145</v>
      </c>
      <c r="E1870" t="str">
        <f>"05"</f>
        <v>05</v>
      </c>
      <c r="H1870">
        <v>47</v>
      </c>
      <c r="I1870" t="s">
        <v>146</v>
      </c>
      <c r="J1870" t="s">
        <v>138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R1870" t="s">
        <v>127</v>
      </c>
      <c r="S1870" t="str">
        <f t="shared" si="742"/>
        <v>15:09:43.000</v>
      </c>
      <c r="T1870" t="str">
        <f t="shared" si="742"/>
        <v>15:09:43.000</v>
      </c>
      <c r="U1870" t="str">
        <f t="shared" si="737"/>
        <v>A68FCB</v>
      </c>
      <c r="V1870">
        <v>0</v>
      </c>
      <c r="W1870">
        <v>0</v>
      </c>
      <c r="X1870">
        <v>2</v>
      </c>
      <c r="Y1870">
        <v>0</v>
      </c>
      <c r="AA1870">
        <v>1</v>
      </c>
      <c r="AB1870">
        <v>8</v>
      </c>
      <c r="AC1870">
        <v>3</v>
      </c>
      <c r="AD1870">
        <v>0</v>
      </c>
      <c r="AE1870">
        <v>9</v>
      </c>
      <c r="AF1870" t="s">
        <v>138</v>
      </c>
      <c r="AG1870">
        <v>0</v>
      </c>
      <c r="AH1870">
        <v>3</v>
      </c>
      <c r="AI1870">
        <v>2</v>
      </c>
      <c r="AJ1870">
        <v>0</v>
      </c>
      <c r="AK1870" t="s">
        <v>670</v>
      </c>
      <c r="AL1870">
        <v>39.040667999999997</v>
      </c>
      <c r="AM1870" t="s">
        <v>671</v>
      </c>
      <c r="AN1870">
        <v>-121.043437</v>
      </c>
      <c r="AO1870">
        <v>25</v>
      </c>
      <c r="AP1870">
        <v>4300</v>
      </c>
      <c r="AQ1870" t="s">
        <v>131</v>
      </c>
      <c r="AR1870">
        <v>21</v>
      </c>
      <c r="AS1870">
        <v>83</v>
      </c>
      <c r="AT1870">
        <v>192</v>
      </c>
      <c r="BB1870" t="str">
        <f t="shared" si="738"/>
        <v>1200</v>
      </c>
      <c r="BC1870">
        <v>1</v>
      </c>
      <c r="BD1870" t="str">
        <f t="shared" si="739"/>
        <v xml:space="preserve">N52156  </v>
      </c>
      <c r="BE1870">
        <v>1</v>
      </c>
      <c r="BG1870">
        <v>0</v>
      </c>
      <c r="BH1870">
        <v>0</v>
      </c>
      <c r="BI1870">
        <v>0</v>
      </c>
      <c r="BJ1870">
        <v>4300</v>
      </c>
      <c r="BK1870">
        <v>0</v>
      </c>
      <c r="BL1870" t="s">
        <v>188</v>
      </c>
      <c r="BM1870">
        <v>1</v>
      </c>
      <c r="BN1870">
        <v>1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 t="shared" si="743"/>
        <v>15:09:43.392</v>
      </c>
      <c r="CF1870">
        <v>392121170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5</v>
      </c>
      <c r="CY1870">
        <v>7</v>
      </c>
      <c r="CZ1870" t="s">
        <v>133</v>
      </c>
      <c r="DA1870">
        <v>273</v>
      </c>
      <c r="DB1870">
        <v>0</v>
      </c>
      <c r="DC1870" t="s">
        <v>292</v>
      </c>
      <c r="DD1870" t="s">
        <v>293</v>
      </c>
      <c r="DG1870">
        <v>4862901</v>
      </c>
      <c r="DI1870">
        <v>1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"05/01/2025 15:09:43.652"</f>
        <v>05/01/2025 15:09:43.652</v>
      </c>
      <c r="C1871" t="str">
        <f t="shared" si="736"/>
        <v>FFDFD3C0</v>
      </c>
      <c r="D1871" t="s">
        <v>145</v>
      </c>
      <c r="E1871" t="str">
        <f>"09"</f>
        <v>09</v>
      </c>
      <c r="H1871">
        <v>51</v>
      </c>
      <c r="I1871" t="s">
        <v>147</v>
      </c>
      <c r="J1871" t="s">
        <v>138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R1871" t="s">
        <v>127</v>
      </c>
      <c r="S1871" t="str">
        <f t="shared" si="742"/>
        <v>15:09:43.000</v>
      </c>
      <c r="T1871" t="str">
        <f t="shared" si="742"/>
        <v>15:09:43.000</v>
      </c>
      <c r="U1871" t="str">
        <f t="shared" si="737"/>
        <v>A68FCB</v>
      </c>
      <c r="V1871">
        <v>0</v>
      </c>
      <c r="W1871">
        <v>0</v>
      </c>
      <c r="X1871">
        <v>2</v>
      </c>
      <c r="Y1871">
        <v>0</v>
      </c>
      <c r="AA1871">
        <v>1</v>
      </c>
      <c r="AB1871">
        <v>8</v>
      </c>
      <c r="AC1871">
        <v>3</v>
      </c>
      <c r="AD1871">
        <v>0</v>
      </c>
      <c r="AE1871">
        <v>9</v>
      </c>
      <c r="AF1871" t="s">
        <v>138</v>
      </c>
      <c r="AG1871">
        <v>0</v>
      </c>
      <c r="AH1871">
        <v>3</v>
      </c>
      <c r="AI1871">
        <v>2</v>
      </c>
      <c r="AJ1871">
        <v>0</v>
      </c>
      <c r="AK1871" t="s">
        <v>670</v>
      </c>
      <c r="AL1871">
        <v>39.040667999999997</v>
      </c>
      <c r="AM1871" t="s">
        <v>671</v>
      </c>
      <c r="AN1871">
        <v>-121.043437</v>
      </c>
      <c r="AO1871">
        <v>25</v>
      </c>
      <c r="AP1871">
        <v>4300</v>
      </c>
      <c r="AQ1871" t="s">
        <v>131</v>
      </c>
      <c r="AR1871">
        <v>21</v>
      </c>
      <c r="AS1871">
        <v>83</v>
      </c>
      <c r="AT1871">
        <v>192</v>
      </c>
      <c r="BB1871" t="str">
        <f t="shared" si="738"/>
        <v>1200</v>
      </c>
      <c r="BC1871">
        <v>1</v>
      </c>
      <c r="BD1871" t="str">
        <f t="shared" si="739"/>
        <v xml:space="preserve">N52156  </v>
      </c>
      <c r="BE1871">
        <v>1</v>
      </c>
      <c r="BG1871">
        <v>0</v>
      </c>
      <c r="BH1871">
        <v>0</v>
      </c>
      <c r="BI1871">
        <v>0</v>
      </c>
      <c r="BJ1871">
        <v>4300</v>
      </c>
      <c r="BK1871">
        <v>0</v>
      </c>
      <c r="BL1871" t="s">
        <v>188</v>
      </c>
      <c r="BM1871">
        <v>1</v>
      </c>
      <c r="BN1871">
        <v>1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 t="shared" si="743"/>
        <v>15:09:43.392</v>
      </c>
      <c r="CF1871">
        <v>392121170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5</v>
      </c>
      <c r="CY1871">
        <v>7</v>
      </c>
      <c r="CZ1871" t="s">
        <v>133</v>
      </c>
      <c r="DA1871">
        <v>273</v>
      </c>
      <c r="DB1871">
        <v>0</v>
      </c>
      <c r="DC1871" t="s">
        <v>292</v>
      </c>
      <c r="DD1871" t="s">
        <v>293</v>
      </c>
      <c r="DG1871">
        <v>4862901</v>
      </c>
      <c r="DI1871">
        <v>1</v>
      </c>
      <c r="DJ1871">
        <v>0</v>
      </c>
      <c r="DK1871">
        <v>1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"05/01/2025 15:09:43.657"</f>
        <v>05/01/2025 15:09:43.657</v>
      </c>
      <c r="C1872" t="str">
        <f t="shared" si="736"/>
        <v>FFDFD3C0</v>
      </c>
      <c r="D1872" t="s">
        <v>143</v>
      </c>
      <c r="E1872" t="str">
        <f>"05"</f>
        <v>05</v>
      </c>
      <c r="H1872">
        <v>172</v>
      </c>
      <c r="I1872" t="s">
        <v>141</v>
      </c>
      <c r="J1872" t="s">
        <v>144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R1872" t="s">
        <v>127</v>
      </c>
      <c r="S1872" t="str">
        <f t="shared" si="742"/>
        <v>15:09:43.000</v>
      </c>
      <c r="T1872" t="str">
        <f t="shared" si="742"/>
        <v>15:09:43.000</v>
      </c>
      <c r="U1872" t="str">
        <f t="shared" si="737"/>
        <v>A68FCB</v>
      </c>
      <c r="V1872">
        <v>0</v>
      </c>
      <c r="W1872">
        <v>0</v>
      </c>
      <c r="X1872">
        <v>2</v>
      </c>
      <c r="Y1872">
        <v>0</v>
      </c>
      <c r="AA1872">
        <v>1</v>
      </c>
      <c r="AB1872">
        <v>8</v>
      </c>
      <c r="AC1872">
        <v>3</v>
      </c>
      <c r="AD1872">
        <v>0</v>
      </c>
      <c r="AE1872">
        <v>9</v>
      </c>
      <c r="AF1872" t="s">
        <v>138</v>
      </c>
      <c r="AG1872">
        <v>0</v>
      </c>
      <c r="AH1872">
        <v>3</v>
      </c>
      <c r="AI1872">
        <v>2</v>
      </c>
      <c r="AJ1872">
        <v>0</v>
      </c>
      <c r="AK1872" t="s">
        <v>670</v>
      </c>
      <c r="AL1872">
        <v>39.040667999999997</v>
      </c>
      <c r="AM1872" t="s">
        <v>671</v>
      </c>
      <c r="AN1872">
        <v>-121.043437</v>
      </c>
      <c r="AO1872">
        <v>25</v>
      </c>
      <c r="AP1872">
        <v>4300</v>
      </c>
      <c r="AQ1872" t="s">
        <v>131</v>
      </c>
      <c r="AR1872">
        <v>21</v>
      </c>
      <c r="AS1872">
        <v>83</v>
      </c>
      <c r="AT1872">
        <v>192</v>
      </c>
      <c r="BB1872" t="str">
        <f t="shared" si="738"/>
        <v>1200</v>
      </c>
      <c r="BC1872">
        <v>1</v>
      </c>
      <c r="BD1872" t="str">
        <f t="shared" si="739"/>
        <v xml:space="preserve">N52156  </v>
      </c>
      <c r="BE1872">
        <v>1</v>
      </c>
      <c r="BG1872">
        <v>0</v>
      </c>
      <c r="BH1872">
        <v>0</v>
      </c>
      <c r="BI1872">
        <v>0</v>
      </c>
      <c r="BJ1872">
        <v>4300</v>
      </c>
      <c r="BK1872">
        <v>0</v>
      </c>
      <c r="BL1872" t="s">
        <v>188</v>
      </c>
      <c r="BM1872">
        <v>1</v>
      </c>
      <c r="BN1872">
        <v>1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 t="shared" si="743"/>
        <v>15:09:43.392</v>
      </c>
      <c r="CF1872">
        <v>392121170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5</v>
      </c>
      <c r="CY1872">
        <v>7</v>
      </c>
      <c r="CZ1872" t="s">
        <v>133</v>
      </c>
      <c r="DA1872">
        <v>273</v>
      </c>
      <c r="DB1872">
        <v>0</v>
      </c>
      <c r="DC1872" t="s">
        <v>292</v>
      </c>
      <c r="DD1872" t="s">
        <v>293</v>
      </c>
      <c r="DG1872">
        <v>4862901</v>
      </c>
      <c r="DI1872">
        <v>1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"05/01/2025 15:09:43.660"</f>
        <v>05/01/2025 15:09:43.660</v>
      </c>
      <c r="C1873" t="str">
        <f t="shared" si="736"/>
        <v>FFDFD3C0</v>
      </c>
      <c r="D1873" t="s">
        <v>136</v>
      </c>
      <c r="E1873" t="str">
        <f>"20"</f>
        <v>20</v>
      </c>
      <c r="H1873">
        <v>400</v>
      </c>
      <c r="I1873" t="s">
        <v>137</v>
      </c>
      <c r="J1873" t="s">
        <v>138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R1873" t="s">
        <v>127</v>
      </c>
      <c r="S1873" t="str">
        <f t="shared" si="742"/>
        <v>15:09:43.000</v>
      </c>
      <c r="T1873" t="str">
        <f t="shared" si="742"/>
        <v>15:09:43.000</v>
      </c>
      <c r="U1873" t="str">
        <f t="shared" si="737"/>
        <v>A68FCB</v>
      </c>
      <c r="V1873">
        <v>0</v>
      </c>
      <c r="W1873">
        <v>0</v>
      </c>
      <c r="X1873">
        <v>2</v>
      </c>
      <c r="Y1873">
        <v>0</v>
      </c>
      <c r="AA1873">
        <v>1</v>
      </c>
      <c r="AB1873">
        <v>8</v>
      </c>
      <c r="AC1873">
        <v>3</v>
      </c>
      <c r="AD1873">
        <v>0</v>
      </c>
      <c r="AE1873">
        <v>9</v>
      </c>
      <c r="AF1873" t="s">
        <v>138</v>
      </c>
      <c r="AG1873">
        <v>0</v>
      </c>
      <c r="AH1873">
        <v>3</v>
      </c>
      <c r="AI1873">
        <v>2</v>
      </c>
      <c r="AJ1873">
        <v>0</v>
      </c>
      <c r="AK1873" t="s">
        <v>670</v>
      </c>
      <c r="AL1873">
        <v>39.040667999999997</v>
      </c>
      <c r="AM1873" t="s">
        <v>671</v>
      </c>
      <c r="AN1873">
        <v>-121.043437</v>
      </c>
      <c r="AO1873">
        <v>25</v>
      </c>
      <c r="AP1873">
        <v>4300</v>
      </c>
      <c r="AQ1873" t="s">
        <v>131</v>
      </c>
      <c r="AR1873">
        <v>21</v>
      </c>
      <c r="AS1873">
        <v>83</v>
      </c>
      <c r="AT1873">
        <v>192</v>
      </c>
      <c r="BB1873" t="str">
        <f t="shared" si="738"/>
        <v>1200</v>
      </c>
      <c r="BC1873">
        <v>1</v>
      </c>
      <c r="BD1873" t="str">
        <f t="shared" si="739"/>
        <v xml:space="preserve">N52156  </v>
      </c>
      <c r="BE1873">
        <v>1</v>
      </c>
      <c r="BG1873">
        <v>0</v>
      </c>
      <c r="BH1873">
        <v>0</v>
      </c>
      <c r="BI1873">
        <v>0</v>
      </c>
      <c r="BJ1873">
        <v>4300</v>
      </c>
      <c r="BK1873">
        <v>0</v>
      </c>
      <c r="BL1873" t="s">
        <v>188</v>
      </c>
      <c r="BM1873">
        <v>1</v>
      </c>
      <c r="BN1873">
        <v>1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 t="shared" si="743"/>
        <v>15:09:43.392</v>
      </c>
      <c r="CF1873">
        <v>392121170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5</v>
      </c>
      <c r="CY1873">
        <v>7</v>
      </c>
      <c r="CZ1873" t="s">
        <v>133</v>
      </c>
      <c r="DA1873">
        <v>273</v>
      </c>
      <c r="DB1873">
        <v>0</v>
      </c>
      <c r="DC1873" t="s">
        <v>292</v>
      </c>
      <c r="DD1873" t="s">
        <v>293</v>
      </c>
      <c r="DG1873">
        <v>4862901</v>
      </c>
      <c r="DI1873">
        <v>1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"05/01/2025 15:09:44.608"</f>
        <v>05/01/2025 15:09:44.608</v>
      </c>
      <c r="C1874" t="str">
        <f t="shared" si="736"/>
        <v>FFDFD3C0</v>
      </c>
      <c r="D1874" t="s">
        <v>143</v>
      </c>
      <c r="E1874" t="str">
        <f>"05"</f>
        <v>05</v>
      </c>
      <c r="H1874">
        <v>172</v>
      </c>
      <c r="I1874" t="s">
        <v>141</v>
      </c>
      <c r="J1874" t="s">
        <v>144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R1874" t="s">
        <v>127</v>
      </c>
      <c r="S1874" t="str">
        <f t="shared" ref="S1874:T1879" si="744">"15:09:44.000"</f>
        <v>15:09:44.000</v>
      </c>
      <c r="T1874" t="str">
        <f t="shared" si="744"/>
        <v>15:09:44.000</v>
      </c>
      <c r="U1874" t="str">
        <f t="shared" si="737"/>
        <v>A68FCB</v>
      </c>
      <c r="V1874">
        <v>0</v>
      </c>
      <c r="W1874">
        <v>0</v>
      </c>
      <c r="X1874">
        <v>2</v>
      </c>
      <c r="Y1874">
        <v>0</v>
      </c>
      <c r="AA1874">
        <v>1</v>
      </c>
      <c r="AB1874">
        <v>8</v>
      </c>
      <c r="AC1874">
        <v>3</v>
      </c>
      <c r="AD1874">
        <v>0</v>
      </c>
      <c r="AE1874">
        <v>9</v>
      </c>
      <c r="AF1874" t="s">
        <v>138</v>
      </c>
      <c r="AG1874">
        <v>0</v>
      </c>
      <c r="AH1874">
        <v>3</v>
      </c>
      <c r="AI1874">
        <v>2</v>
      </c>
      <c r="AJ1874">
        <v>0</v>
      </c>
      <c r="AK1874" t="s">
        <v>672</v>
      </c>
      <c r="AL1874">
        <v>39.041075999999997</v>
      </c>
      <c r="AM1874" t="s">
        <v>673</v>
      </c>
      <c r="AN1874">
        <v>-121.043329</v>
      </c>
      <c r="AO1874">
        <v>25</v>
      </c>
      <c r="AP1874">
        <v>4300</v>
      </c>
      <c r="AQ1874" t="s">
        <v>131</v>
      </c>
      <c r="AR1874">
        <v>21</v>
      </c>
      <c r="AS1874">
        <v>83</v>
      </c>
      <c r="AT1874">
        <v>192</v>
      </c>
      <c r="BB1874" t="str">
        <f t="shared" si="738"/>
        <v>1200</v>
      </c>
      <c r="BC1874">
        <v>1</v>
      </c>
      <c r="BD1874" t="str">
        <f t="shared" si="739"/>
        <v xml:space="preserve">N52156  </v>
      </c>
      <c r="BE1874">
        <v>1</v>
      </c>
      <c r="BG1874">
        <v>0</v>
      </c>
      <c r="BH1874">
        <v>0</v>
      </c>
      <c r="BI1874">
        <v>0</v>
      </c>
      <c r="BJ1874">
        <v>4300</v>
      </c>
      <c r="BK1874">
        <v>0</v>
      </c>
      <c r="BL1874" t="s">
        <v>188</v>
      </c>
      <c r="BM1874">
        <v>1</v>
      </c>
      <c r="BN1874">
        <v>1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 t="shared" ref="CE1874:CE1879" si="745">"15:09:44.398"</f>
        <v>15:09:44.398</v>
      </c>
      <c r="CF1874">
        <v>397621095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4</v>
      </c>
      <c r="CY1874">
        <v>7</v>
      </c>
      <c r="CZ1874" t="s">
        <v>133</v>
      </c>
      <c r="DA1874">
        <v>273</v>
      </c>
      <c r="DB1874">
        <v>0</v>
      </c>
      <c r="DC1874" t="s">
        <v>292</v>
      </c>
      <c r="DD1874" t="s">
        <v>293</v>
      </c>
      <c r="DG1874">
        <v>4862913</v>
      </c>
      <c r="DI1874">
        <v>1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"05/01/2025 15:09:44.612"</f>
        <v>05/01/2025 15:09:44.612</v>
      </c>
      <c r="C1875" t="str">
        <f t="shared" si="736"/>
        <v>FFDFD3C0</v>
      </c>
      <c r="D1875" t="s">
        <v>136</v>
      </c>
      <c r="E1875" t="str">
        <f>"20"</f>
        <v>20</v>
      </c>
      <c r="H1875">
        <v>400</v>
      </c>
      <c r="I1875" t="s">
        <v>137</v>
      </c>
      <c r="J1875" t="s">
        <v>138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R1875" t="s">
        <v>127</v>
      </c>
      <c r="S1875" t="str">
        <f t="shared" si="744"/>
        <v>15:09:44.000</v>
      </c>
      <c r="T1875" t="str">
        <f t="shared" si="744"/>
        <v>15:09:44.000</v>
      </c>
      <c r="U1875" t="str">
        <f t="shared" si="737"/>
        <v>A68FCB</v>
      </c>
      <c r="V1875">
        <v>0</v>
      </c>
      <c r="W1875">
        <v>0</v>
      </c>
      <c r="X1875">
        <v>2</v>
      </c>
      <c r="Y1875">
        <v>0</v>
      </c>
      <c r="AA1875">
        <v>1</v>
      </c>
      <c r="AB1875">
        <v>8</v>
      </c>
      <c r="AC1875">
        <v>3</v>
      </c>
      <c r="AD1875">
        <v>0</v>
      </c>
      <c r="AE1875">
        <v>9</v>
      </c>
      <c r="AF1875" t="s">
        <v>138</v>
      </c>
      <c r="AG1875">
        <v>0</v>
      </c>
      <c r="AH1875">
        <v>3</v>
      </c>
      <c r="AI1875">
        <v>2</v>
      </c>
      <c r="AJ1875">
        <v>0</v>
      </c>
      <c r="AK1875" t="s">
        <v>672</v>
      </c>
      <c r="AL1875">
        <v>39.041075999999997</v>
      </c>
      <c r="AM1875" t="s">
        <v>673</v>
      </c>
      <c r="AN1875">
        <v>-121.043329</v>
      </c>
      <c r="AO1875">
        <v>25</v>
      </c>
      <c r="AP1875">
        <v>4300</v>
      </c>
      <c r="AQ1875" t="s">
        <v>131</v>
      </c>
      <c r="AR1875">
        <v>21</v>
      </c>
      <c r="AS1875">
        <v>83</v>
      </c>
      <c r="AT1875">
        <v>192</v>
      </c>
      <c r="BB1875" t="str">
        <f t="shared" si="738"/>
        <v>1200</v>
      </c>
      <c r="BC1875">
        <v>1</v>
      </c>
      <c r="BD1875" t="str">
        <f t="shared" si="739"/>
        <v xml:space="preserve">N52156  </v>
      </c>
      <c r="BE1875">
        <v>1</v>
      </c>
      <c r="BG1875">
        <v>0</v>
      </c>
      <c r="BH1875">
        <v>0</v>
      </c>
      <c r="BI1875">
        <v>0</v>
      </c>
      <c r="BJ1875">
        <v>4300</v>
      </c>
      <c r="BK1875">
        <v>0</v>
      </c>
      <c r="BL1875" t="s">
        <v>188</v>
      </c>
      <c r="BM1875">
        <v>1</v>
      </c>
      <c r="BN1875">
        <v>1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 t="shared" si="745"/>
        <v>15:09:44.398</v>
      </c>
      <c r="CF1875">
        <v>397621095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4</v>
      </c>
      <c r="CY1875">
        <v>7</v>
      </c>
      <c r="CZ1875" t="s">
        <v>133</v>
      </c>
      <c r="DA1875">
        <v>273</v>
      </c>
      <c r="DB1875">
        <v>0</v>
      </c>
      <c r="DC1875" t="s">
        <v>292</v>
      </c>
      <c r="DD1875" t="s">
        <v>293</v>
      </c>
      <c r="DG1875">
        <v>4862913</v>
      </c>
      <c r="DI1875">
        <v>1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"05/01/2025 15:09:44.639"</f>
        <v>05/01/2025 15:09:44.639</v>
      </c>
      <c r="C1876" t="str">
        <f t="shared" si="736"/>
        <v>FFDFD3C0</v>
      </c>
      <c r="D1876" t="s">
        <v>140</v>
      </c>
      <c r="E1876" t="str">
        <f>"13"</f>
        <v>13</v>
      </c>
      <c r="F1876">
        <v>1019</v>
      </c>
      <c r="G1876" t="s">
        <v>141</v>
      </c>
      <c r="J1876" t="s">
        <v>142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R1876" t="s">
        <v>127</v>
      </c>
      <c r="S1876" t="str">
        <f t="shared" si="744"/>
        <v>15:09:44.000</v>
      </c>
      <c r="T1876" t="str">
        <f t="shared" si="744"/>
        <v>15:09:44.000</v>
      </c>
      <c r="U1876" t="str">
        <f t="shared" si="737"/>
        <v>A68FCB</v>
      </c>
      <c r="V1876">
        <v>0</v>
      </c>
      <c r="W1876">
        <v>0</v>
      </c>
      <c r="X1876">
        <v>2</v>
      </c>
      <c r="Y1876">
        <v>0</v>
      </c>
      <c r="AA1876">
        <v>1</v>
      </c>
      <c r="AB1876">
        <v>8</v>
      </c>
      <c r="AC1876">
        <v>3</v>
      </c>
      <c r="AD1876">
        <v>0</v>
      </c>
      <c r="AE1876">
        <v>9</v>
      </c>
      <c r="AF1876" t="s">
        <v>138</v>
      </c>
      <c r="AG1876">
        <v>0</v>
      </c>
      <c r="AH1876">
        <v>3</v>
      </c>
      <c r="AI1876">
        <v>2</v>
      </c>
      <c r="AJ1876">
        <v>0</v>
      </c>
      <c r="AK1876" t="s">
        <v>672</v>
      </c>
      <c r="AL1876">
        <v>39.041075999999997</v>
      </c>
      <c r="AM1876" t="s">
        <v>673</v>
      </c>
      <c r="AN1876">
        <v>-121.043329</v>
      </c>
      <c r="AO1876">
        <v>25</v>
      </c>
      <c r="AP1876">
        <v>4300</v>
      </c>
      <c r="AQ1876" t="s">
        <v>131</v>
      </c>
      <c r="AR1876">
        <v>21</v>
      </c>
      <c r="AS1876">
        <v>83</v>
      </c>
      <c r="AT1876">
        <v>192</v>
      </c>
      <c r="BB1876" t="str">
        <f t="shared" si="738"/>
        <v>1200</v>
      </c>
      <c r="BC1876">
        <v>1</v>
      </c>
      <c r="BD1876" t="str">
        <f t="shared" si="739"/>
        <v xml:space="preserve">N52156  </v>
      </c>
      <c r="BE1876">
        <v>1</v>
      </c>
      <c r="BG1876">
        <v>0</v>
      </c>
      <c r="BH1876">
        <v>0</v>
      </c>
      <c r="BI1876">
        <v>0</v>
      </c>
      <c r="BJ1876">
        <v>4300</v>
      </c>
      <c r="BK1876">
        <v>0</v>
      </c>
      <c r="BL1876" t="s">
        <v>188</v>
      </c>
      <c r="BM1876">
        <v>1</v>
      </c>
      <c r="BN1876">
        <v>1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 t="shared" si="745"/>
        <v>15:09:44.398</v>
      </c>
      <c r="CF1876">
        <v>397621095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4</v>
      </c>
      <c r="CY1876">
        <v>7</v>
      </c>
      <c r="CZ1876" t="s">
        <v>133</v>
      </c>
      <c r="DA1876">
        <v>273</v>
      </c>
      <c r="DB1876">
        <v>0</v>
      </c>
      <c r="DC1876" t="s">
        <v>292</v>
      </c>
      <c r="DD1876" t="s">
        <v>293</v>
      </c>
      <c r="DG1876">
        <v>4862913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"05/01/2025 15:09:44.648"</f>
        <v>05/01/2025 15:09:44.648</v>
      </c>
      <c r="C1877" t="str">
        <f t="shared" si="736"/>
        <v>FFDFD3C0</v>
      </c>
      <c r="D1877" t="s">
        <v>145</v>
      </c>
      <c r="E1877" t="str">
        <f>"05"</f>
        <v>05</v>
      </c>
      <c r="H1877">
        <v>47</v>
      </c>
      <c r="I1877" t="s">
        <v>146</v>
      </c>
      <c r="J1877" t="s">
        <v>138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R1877" t="s">
        <v>127</v>
      </c>
      <c r="S1877" t="str">
        <f t="shared" si="744"/>
        <v>15:09:44.000</v>
      </c>
      <c r="T1877" t="str">
        <f t="shared" si="744"/>
        <v>15:09:44.000</v>
      </c>
      <c r="U1877" t="str">
        <f t="shared" si="737"/>
        <v>A68FCB</v>
      </c>
      <c r="V1877">
        <v>0</v>
      </c>
      <c r="W1877">
        <v>0</v>
      </c>
      <c r="X1877">
        <v>2</v>
      </c>
      <c r="Y1877">
        <v>0</v>
      </c>
      <c r="AA1877">
        <v>1</v>
      </c>
      <c r="AB1877">
        <v>8</v>
      </c>
      <c r="AC1877">
        <v>3</v>
      </c>
      <c r="AD1877">
        <v>0</v>
      </c>
      <c r="AE1877">
        <v>9</v>
      </c>
      <c r="AF1877" t="s">
        <v>138</v>
      </c>
      <c r="AG1877">
        <v>0</v>
      </c>
      <c r="AH1877">
        <v>3</v>
      </c>
      <c r="AI1877">
        <v>2</v>
      </c>
      <c r="AJ1877">
        <v>0</v>
      </c>
      <c r="AK1877" t="s">
        <v>672</v>
      </c>
      <c r="AL1877">
        <v>39.041075999999997</v>
      </c>
      <c r="AM1877" t="s">
        <v>673</v>
      </c>
      <c r="AN1877">
        <v>-121.043329</v>
      </c>
      <c r="AO1877">
        <v>25</v>
      </c>
      <c r="AP1877">
        <v>4300</v>
      </c>
      <c r="AQ1877" t="s">
        <v>131</v>
      </c>
      <c r="AR1877">
        <v>21</v>
      </c>
      <c r="AS1877">
        <v>83</v>
      </c>
      <c r="AT1877">
        <v>192</v>
      </c>
      <c r="BB1877" t="str">
        <f t="shared" si="738"/>
        <v>1200</v>
      </c>
      <c r="BC1877">
        <v>1</v>
      </c>
      <c r="BD1877" t="str">
        <f t="shared" si="739"/>
        <v xml:space="preserve">N52156  </v>
      </c>
      <c r="BE1877">
        <v>1</v>
      </c>
      <c r="BG1877">
        <v>0</v>
      </c>
      <c r="BH1877">
        <v>0</v>
      </c>
      <c r="BI1877">
        <v>0</v>
      </c>
      <c r="BJ1877">
        <v>4300</v>
      </c>
      <c r="BK1877">
        <v>0</v>
      </c>
      <c r="BL1877" t="s">
        <v>188</v>
      </c>
      <c r="BM1877">
        <v>1</v>
      </c>
      <c r="BN1877">
        <v>1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 t="shared" si="745"/>
        <v>15:09:44.398</v>
      </c>
      <c r="CF1877">
        <v>397621095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4</v>
      </c>
      <c r="CY1877">
        <v>7</v>
      </c>
      <c r="CZ1877" t="s">
        <v>133</v>
      </c>
      <c r="DA1877">
        <v>273</v>
      </c>
      <c r="DB1877">
        <v>0</v>
      </c>
      <c r="DC1877" t="s">
        <v>292</v>
      </c>
      <c r="DD1877" t="s">
        <v>293</v>
      </c>
      <c r="DG1877">
        <v>4862913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"05/01/2025 15:09:44.650"</f>
        <v>05/01/2025 15:09:44.650</v>
      </c>
      <c r="C1878" t="str">
        <f t="shared" si="736"/>
        <v>FFDFD3C0</v>
      </c>
      <c r="D1878" t="s">
        <v>124</v>
      </c>
      <c r="E1878" t="str">
        <f>"06"</f>
        <v>06</v>
      </c>
      <c r="F1878">
        <v>2006</v>
      </c>
      <c r="G1878" t="s">
        <v>125</v>
      </c>
      <c r="J1878" t="s">
        <v>126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R1878" t="s">
        <v>127</v>
      </c>
      <c r="S1878" t="str">
        <f t="shared" si="744"/>
        <v>15:09:44.000</v>
      </c>
      <c r="T1878" t="str">
        <f t="shared" si="744"/>
        <v>15:09:44.000</v>
      </c>
      <c r="U1878" t="str">
        <f t="shared" si="737"/>
        <v>A68FCB</v>
      </c>
      <c r="V1878">
        <v>0</v>
      </c>
      <c r="W1878">
        <v>0</v>
      </c>
      <c r="X1878">
        <v>2</v>
      </c>
      <c r="Y1878">
        <v>0</v>
      </c>
      <c r="AA1878">
        <v>1</v>
      </c>
      <c r="AB1878">
        <v>8</v>
      </c>
      <c r="AC1878">
        <v>3</v>
      </c>
      <c r="AD1878">
        <v>0</v>
      </c>
      <c r="AE1878">
        <v>9</v>
      </c>
      <c r="AF1878" t="s">
        <v>138</v>
      </c>
      <c r="AG1878">
        <v>0</v>
      </c>
      <c r="AH1878">
        <v>3</v>
      </c>
      <c r="AI1878">
        <v>2</v>
      </c>
      <c r="AJ1878">
        <v>0</v>
      </c>
      <c r="AK1878" t="s">
        <v>672</v>
      </c>
      <c r="AL1878">
        <v>39.041075999999997</v>
      </c>
      <c r="AM1878" t="s">
        <v>673</v>
      </c>
      <c r="AN1878">
        <v>-121.043329</v>
      </c>
      <c r="AO1878">
        <v>25</v>
      </c>
      <c r="AP1878">
        <v>4300</v>
      </c>
      <c r="AQ1878" t="s">
        <v>131</v>
      </c>
      <c r="AR1878">
        <v>21</v>
      </c>
      <c r="AS1878">
        <v>83</v>
      </c>
      <c r="AT1878">
        <v>192</v>
      </c>
      <c r="BB1878" t="str">
        <f t="shared" si="738"/>
        <v>1200</v>
      </c>
      <c r="BC1878">
        <v>1</v>
      </c>
      <c r="BD1878" t="str">
        <f t="shared" si="739"/>
        <v xml:space="preserve">N52156  </v>
      </c>
      <c r="BE1878">
        <v>1</v>
      </c>
      <c r="BG1878">
        <v>0</v>
      </c>
      <c r="BH1878">
        <v>0</v>
      </c>
      <c r="BI1878">
        <v>0</v>
      </c>
      <c r="BJ1878">
        <v>4300</v>
      </c>
      <c r="BK1878">
        <v>0</v>
      </c>
      <c r="BL1878" t="s">
        <v>188</v>
      </c>
      <c r="BM1878">
        <v>1</v>
      </c>
      <c r="BN1878">
        <v>1</v>
      </c>
      <c r="BO1878">
        <v>0</v>
      </c>
      <c r="BP1878">
        <v>0</v>
      </c>
      <c r="BS1878">
        <v>0</v>
      </c>
      <c r="BT1878">
        <v>0</v>
      </c>
      <c r="BU1878">
        <v>0</v>
      </c>
      <c r="CE1878" t="str">
        <f t="shared" si="745"/>
        <v>15:09:44.398</v>
      </c>
      <c r="CF1878">
        <v>397621095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4</v>
      </c>
      <c r="CY1878">
        <v>7</v>
      </c>
      <c r="CZ1878" t="s">
        <v>133</v>
      </c>
      <c r="DA1878">
        <v>273</v>
      </c>
      <c r="DB1878">
        <v>0</v>
      </c>
      <c r="DC1878" t="s">
        <v>292</v>
      </c>
      <c r="DD1878" t="s">
        <v>293</v>
      </c>
      <c r="DG1878">
        <v>4862913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"05/01/2025 15:09:44.654"</f>
        <v>05/01/2025 15:09:44.654</v>
      </c>
      <c r="C1879" t="str">
        <f t="shared" si="736"/>
        <v>FFDFD3C0</v>
      </c>
      <c r="D1879" t="s">
        <v>145</v>
      </c>
      <c r="E1879" t="str">
        <f>"09"</f>
        <v>09</v>
      </c>
      <c r="H1879">
        <v>51</v>
      </c>
      <c r="I1879" t="s">
        <v>147</v>
      </c>
      <c r="J1879" t="s">
        <v>138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R1879" t="s">
        <v>127</v>
      </c>
      <c r="S1879" t="str">
        <f t="shared" si="744"/>
        <v>15:09:44.000</v>
      </c>
      <c r="T1879" t="str">
        <f t="shared" si="744"/>
        <v>15:09:44.000</v>
      </c>
      <c r="U1879" t="str">
        <f t="shared" si="737"/>
        <v>A68FCB</v>
      </c>
      <c r="V1879">
        <v>0</v>
      </c>
      <c r="W1879">
        <v>0</v>
      </c>
      <c r="X1879">
        <v>2</v>
      </c>
      <c r="Y1879">
        <v>0</v>
      </c>
      <c r="AA1879">
        <v>1</v>
      </c>
      <c r="AB1879">
        <v>8</v>
      </c>
      <c r="AC1879">
        <v>3</v>
      </c>
      <c r="AD1879">
        <v>0</v>
      </c>
      <c r="AE1879">
        <v>9</v>
      </c>
      <c r="AF1879" t="s">
        <v>138</v>
      </c>
      <c r="AG1879">
        <v>0</v>
      </c>
      <c r="AH1879">
        <v>3</v>
      </c>
      <c r="AI1879">
        <v>2</v>
      </c>
      <c r="AJ1879">
        <v>0</v>
      </c>
      <c r="AK1879" t="s">
        <v>672</v>
      </c>
      <c r="AL1879">
        <v>39.041075999999997</v>
      </c>
      <c r="AM1879" t="s">
        <v>673</v>
      </c>
      <c r="AN1879">
        <v>-121.043329</v>
      </c>
      <c r="AO1879">
        <v>25</v>
      </c>
      <c r="AP1879">
        <v>4300</v>
      </c>
      <c r="AQ1879" t="s">
        <v>131</v>
      </c>
      <c r="AR1879">
        <v>21</v>
      </c>
      <c r="AS1879">
        <v>83</v>
      </c>
      <c r="AT1879">
        <v>192</v>
      </c>
      <c r="BB1879" t="str">
        <f t="shared" si="738"/>
        <v>1200</v>
      </c>
      <c r="BC1879">
        <v>1</v>
      </c>
      <c r="BD1879" t="str">
        <f t="shared" si="739"/>
        <v xml:space="preserve">N52156  </v>
      </c>
      <c r="BE1879">
        <v>1</v>
      </c>
      <c r="BG1879">
        <v>0</v>
      </c>
      <c r="BH1879">
        <v>0</v>
      </c>
      <c r="BI1879">
        <v>0</v>
      </c>
      <c r="BJ1879">
        <v>4300</v>
      </c>
      <c r="BK1879">
        <v>0</v>
      </c>
      <c r="BL1879" t="s">
        <v>188</v>
      </c>
      <c r="BM1879">
        <v>1</v>
      </c>
      <c r="BN1879">
        <v>1</v>
      </c>
      <c r="BO1879">
        <v>0</v>
      </c>
      <c r="BP1879">
        <v>0</v>
      </c>
      <c r="BS1879">
        <v>0</v>
      </c>
      <c r="BT1879">
        <v>0</v>
      </c>
      <c r="BU1879">
        <v>0</v>
      </c>
      <c r="CE1879" t="str">
        <f t="shared" si="745"/>
        <v>15:09:44.398</v>
      </c>
      <c r="CF1879">
        <v>397621095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4</v>
      </c>
      <c r="CY1879">
        <v>7</v>
      </c>
      <c r="CZ1879" t="s">
        <v>133</v>
      </c>
      <c r="DA1879">
        <v>273</v>
      </c>
      <c r="DB1879">
        <v>0</v>
      </c>
      <c r="DC1879" t="s">
        <v>292</v>
      </c>
      <c r="DD1879" t="s">
        <v>293</v>
      </c>
      <c r="DG1879">
        <v>4862913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"05/01/2025 15:09:45.842"</f>
        <v>05/01/2025 15:09:45.842</v>
      </c>
      <c r="C1880" t="str">
        <f t="shared" si="736"/>
        <v>FFDFD3C0</v>
      </c>
      <c r="D1880" t="s">
        <v>140</v>
      </c>
      <c r="E1880" t="str">
        <f>"13"</f>
        <v>13</v>
      </c>
      <c r="F1880">
        <v>1019</v>
      </c>
      <c r="G1880" t="s">
        <v>141</v>
      </c>
      <c r="J1880" t="s">
        <v>142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R1880" t="s">
        <v>127</v>
      </c>
      <c r="S1880" t="str">
        <f t="shared" ref="S1880:T1885" si="746">"15:09:45.000"</f>
        <v>15:09:45.000</v>
      </c>
      <c r="T1880" t="str">
        <f t="shared" si="746"/>
        <v>15:09:45.000</v>
      </c>
      <c r="U1880" t="str">
        <f t="shared" si="737"/>
        <v>A68FCB</v>
      </c>
      <c r="V1880">
        <v>0</v>
      </c>
      <c r="W1880">
        <v>0</v>
      </c>
      <c r="X1880">
        <v>2</v>
      </c>
      <c r="Y1880">
        <v>0</v>
      </c>
      <c r="AA1880">
        <v>1</v>
      </c>
      <c r="AB1880">
        <v>8</v>
      </c>
      <c r="AC1880">
        <v>3</v>
      </c>
      <c r="AD1880">
        <v>0</v>
      </c>
      <c r="AE1880">
        <v>9</v>
      </c>
      <c r="AF1880" t="s">
        <v>138</v>
      </c>
      <c r="AG1880">
        <v>0</v>
      </c>
      <c r="AH1880">
        <v>3</v>
      </c>
      <c r="AI1880">
        <v>2</v>
      </c>
      <c r="AJ1880">
        <v>0</v>
      </c>
      <c r="AK1880" t="s">
        <v>674</v>
      </c>
      <c r="AL1880">
        <v>39.041462000000003</v>
      </c>
      <c r="AM1880" t="s">
        <v>675</v>
      </c>
      <c r="AN1880">
        <v>-121.04317899999999</v>
      </c>
      <c r="AO1880">
        <v>25</v>
      </c>
      <c r="AP1880">
        <v>4300</v>
      </c>
      <c r="AQ1880" t="s">
        <v>131</v>
      </c>
      <c r="AR1880">
        <v>20</v>
      </c>
      <c r="AS1880">
        <v>83</v>
      </c>
      <c r="AT1880">
        <v>320</v>
      </c>
      <c r="BB1880" t="str">
        <f t="shared" si="738"/>
        <v>1200</v>
      </c>
      <c r="BC1880">
        <v>1</v>
      </c>
      <c r="BD1880" t="str">
        <f t="shared" si="739"/>
        <v xml:space="preserve">N52156  </v>
      </c>
      <c r="BE1880">
        <v>1</v>
      </c>
      <c r="BG1880">
        <v>0</v>
      </c>
      <c r="BH1880">
        <v>0</v>
      </c>
      <c r="BI1880">
        <v>0</v>
      </c>
      <c r="BJ1880">
        <v>4325</v>
      </c>
      <c r="BK1880">
        <v>25</v>
      </c>
      <c r="BL1880" t="s">
        <v>188</v>
      </c>
      <c r="BM1880">
        <v>1</v>
      </c>
      <c r="BN1880">
        <v>1</v>
      </c>
      <c r="BO1880">
        <v>0</v>
      </c>
      <c r="BP1880">
        <v>0</v>
      </c>
      <c r="BS1880">
        <v>0</v>
      </c>
      <c r="BT1880">
        <v>0</v>
      </c>
      <c r="BU1880">
        <v>0</v>
      </c>
      <c r="CE1880" t="str">
        <f t="shared" ref="CE1880:CE1885" si="747">"15:09:45.614"</f>
        <v>15:09:45.614</v>
      </c>
      <c r="CF1880">
        <v>614121589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4</v>
      </c>
      <c r="CY1880">
        <v>7</v>
      </c>
      <c r="CZ1880" t="s">
        <v>133</v>
      </c>
      <c r="DA1880">
        <v>273</v>
      </c>
      <c r="DB1880">
        <v>0</v>
      </c>
      <c r="DC1880" t="s">
        <v>292</v>
      </c>
      <c r="DD1880" t="s">
        <v>293</v>
      </c>
      <c r="DG1880">
        <v>4862926</v>
      </c>
      <c r="DI1880">
        <v>1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"05/01/2025 15:09:45.851"</f>
        <v>05/01/2025 15:09:45.851</v>
      </c>
      <c r="C1881" t="str">
        <f t="shared" si="736"/>
        <v>FFDFD3C0</v>
      </c>
      <c r="D1881" t="s">
        <v>145</v>
      </c>
      <c r="E1881" t="str">
        <f>"05"</f>
        <v>05</v>
      </c>
      <c r="H1881">
        <v>47</v>
      </c>
      <c r="I1881" t="s">
        <v>146</v>
      </c>
      <c r="J1881" t="s">
        <v>138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R1881" t="s">
        <v>127</v>
      </c>
      <c r="S1881" t="str">
        <f t="shared" si="746"/>
        <v>15:09:45.000</v>
      </c>
      <c r="T1881" t="str">
        <f t="shared" si="746"/>
        <v>15:09:45.000</v>
      </c>
      <c r="U1881" t="str">
        <f t="shared" si="737"/>
        <v>A68FCB</v>
      </c>
      <c r="V1881">
        <v>0</v>
      </c>
      <c r="W1881">
        <v>0</v>
      </c>
      <c r="X1881">
        <v>2</v>
      </c>
      <c r="Y1881">
        <v>0</v>
      </c>
      <c r="AA1881">
        <v>1</v>
      </c>
      <c r="AB1881">
        <v>8</v>
      </c>
      <c r="AC1881">
        <v>3</v>
      </c>
      <c r="AD1881">
        <v>0</v>
      </c>
      <c r="AE1881">
        <v>9</v>
      </c>
      <c r="AF1881" t="s">
        <v>138</v>
      </c>
      <c r="AG1881">
        <v>0</v>
      </c>
      <c r="AH1881">
        <v>3</v>
      </c>
      <c r="AI1881">
        <v>2</v>
      </c>
      <c r="AJ1881">
        <v>0</v>
      </c>
      <c r="AK1881" t="s">
        <v>674</v>
      </c>
      <c r="AL1881">
        <v>39.041462000000003</v>
      </c>
      <c r="AM1881" t="s">
        <v>675</v>
      </c>
      <c r="AN1881">
        <v>-121.04317899999999</v>
      </c>
      <c r="AO1881">
        <v>25</v>
      </c>
      <c r="AP1881">
        <v>4300</v>
      </c>
      <c r="AQ1881" t="s">
        <v>131</v>
      </c>
      <c r="AR1881">
        <v>20</v>
      </c>
      <c r="AS1881">
        <v>83</v>
      </c>
      <c r="AT1881">
        <v>320</v>
      </c>
      <c r="BB1881" t="str">
        <f t="shared" si="738"/>
        <v>1200</v>
      </c>
      <c r="BC1881">
        <v>1</v>
      </c>
      <c r="BD1881" t="str">
        <f t="shared" si="739"/>
        <v xml:space="preserve">N52156  </v>
      </c>
      <c r="BE1881">
        <v>1</v>
      </c>
      <c r="BG1881">
        <v>0</v>
      </c>
      <c r="BH1881">
        <v>0</v>
      </c>
      <c r="BI1881">
        <v>0</v>
      </c>
      <c r="BJ1881">
        <v>4325</v>
      </c>
      <c r="BK1881">
        <v>25</v>
      </c>
      <c r="BL1881" t="s">
        <v>188</v>
      </c>
      <c r="BM1881">
        <v>1</v>
      </c>
      <c r="BN1881">
        <v>1</v>
      </c>
      <c r="BO1881">
        <v>0</v>
      </c>
      <c r="BP1881">
        <v>0</v>
      </c>
      <c r="BS1881">
        <v>0</v>
      </c>
      <c r="BT1881">
        <v>0</v>
      </c>
      <c r="BU1881">
        <v>0</v>
      </c>
      <c r="CE1881" t="str">
        <f t="shared" si="747"/>
        <v>15:09:45.614</v>
      </c>
      <c r="CF1881">
        <v>614121589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4</v>
      </c>
      <c r="CY1881">
        <v>7</v>
      </c>
      <c r="CZ1881" t="s">
        <v>133</v>
      </c>
      <c r="DA1881">
        <v>273</v>
      </c>
      <c r="DB1881">
        <v>0</v>
      </c>
      <c r="DC1881" t="s">
        <v>292</v>
      </c>
      <c r="DD1881" t="s">
        <v>293</v>
      </c>
      <c r="DG1881">
        <v>4862926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"05/01/2025 15:09:45.852"</f>
        <v>05/01/2025 15:09:45.852</v>
      </c>
      <c r="C1882" t="str">
        <f t="shared" si="736"/>
        <v>FFDFD3C0</v>
      </c>
      <c r="D1882" t="s">
        <v>124</v>
      </c>
      <c r="E1882" t="str">
        <f>"06"</f>
        <v>06</v>
      </c>
      <c r="F1882">
        <v>2006</v>
      </c>
      <c r="G1882" t="s">
        <v>125</v>
      </c>
      <c r="J1882" t="s">
        <v>126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R1882" t="s">
        <v>127</v>
      </c>
      <c r="S1882" t="str">
        <f t="shared" si="746"/>
        <v>15:09:45.000</v>
      </c>
      <c r="T1882" t="str">
        <f t="shared" si="746"/>
        <v>15:09:45.000</v>
      </c>
      <c r="U1882" t="str">
        <f t="shared" si="737"/>
        <v>A68FCB</v>
      </c>
      <c r="V1882">
        <v>0</v>
      </c>
      <c r="W1882">
        <v>0</v>
      </c>
      <c r="X1882">
        <v>2</v>
      </c>
      <c r="Y1882">
        <v>0</v>
      </c>
      <c r="AA1882">
        <v>1</v>
      </c>
      <c r="AB1882">
        <v>8</v>
      </c>
      <c r="AC1882">
        <v>3</v>
      </c>
      <c r="AD1882">
        <v>0</v>
      </c>
      <c r="AE1882">
        <v>9</v>
      </c>
      <c r="AF1882" t="s">
        <v>138</v>
      </c>
      <c r="AG1882">
        <v>0</v>
      </c>
      <c r="AH1882">
        <v>3</v>
      </c>
      <c r="AI1882">
        <v>2</v>
      </c>
      <c r="AJ1882">
        <v>0</v>
      </c>
      <c r="AK1882" t="s">
        <v>674</v>
      </c>
      <c r="AL1882">
        <v>39.041462000000003</v>
      </c>
      <c r="AM1882" t="s">
        <v>675</v>
      </c>
      <c r="AN1882">
        <v>-121.04317899999999</v>
      </c>
      <c r="AO1882">
        <v>25</v>
      </c>
      <c r="AP1882">
        <v>4300</v>
      </c>
      <c r="AQ1882" t="s">
        <v>131</v>
      </c>
      <c r="AR1882">
        <v>20</v>
      </c>
      <c r="AS1882">
        <v>83</v>
      </c>
      <c r="AT1882">
        <v>320</v>
      </c>
      <c r="BB1882" t="str">
        <f t="shared" si="738"/>
        <v>1200</v>
      </c>
      <c r="BC1882">
        <v>1</v>
      </c>
      <c r="BD1882" t="str">
        <f t="shared" si="739"/>
        <v xml:space="preserve">N52156  </v>
      </c>
      <c r="BE1882">
        <v>1</v>
      </c>
      <c r="BG1882">
        <v>0</v>
      </c>
      <c r="BH1882">
        <v>0</v>
      </c>
      <c r="BI1882">
        <v>0</v>
      </c>
      <c r="BJ1882">
        <v>4325</v>
      </c>
      <c r="BK1882">
        <v>25</v>
      </c>
      <c r="BL1882" t="s">
        <v>188</v>
      </c>
      <c r="BM1882">
        <v>1</v>
      </c>
      <c r="BN1882">
        <v>1</v>
      </c>
      <c r="BO1882">
        <v>0</v>
      </c>
      <c r="BP1882">
        <v>0</v>
      </c>
      <c r="BS1882">
        <v>0</v>
      </c>
      <c r="BT1882">
        <v>0</v>
      </c>
      <c r="BU1882">
        <v>0</v>
      </c>
      <c r="CE1882" t="str">
        <f t="shared" si="747"/>
        <v>15:09:45.614</v>
      </c>
      <c r="CF1882">
        <v>614121589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4</v>
      </c>
      <c r="CY1882">
        <v>7</v>
      </c>
      <c r="CZ1882" t="s">
        <v>133</v>
      </c>
      <c r="DA1882">
        <v>273</v>
      </c>
      <c r="DB1882">
        <v>0</v>
      </c>
      <c r="DC1882" t="s">
        <v>292</v>
      </c>
      <c r="DD1882" t="s">
        <v>293</v>
      </c>
      <c r="DG1882">
        <v>4862926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"05/01/2025 15:09:45.856"</f>
        <v>05/01/2025 15:09:45.856</v>
      </c>
      <c r="C1883" t="str">
        <f t="shared" si="736"/>
        <v>FFDFD3C0</v>
      </c>
      <c r="D1883" t="s">
        <v>145</v>
      </c>
      <c r="E1883" t="str">
        <f>"09"</f>
        <v>09</v>
      </c>
      <c r="H1883">
        <v>51</v>
      </c>
      <c r="I1883" t="s">
        <v>147</v>
      </c>
      <c r="J1883" t="s">
        <v>138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R1883" t="s">
        <v>127</v>
      </c>
      <c r="S1883" t="str">
        <f t="shared" si="746"/>
        <v>15:09:45.000</v>
      </c>
      <c r="T1883" t="str">
        <f t="shared" si="746"/>
        <v>15:09:45.000</v>
      </c>
      <c r="U1883" t="str">
        <f t="shared" si="737"/>
        <v>A68FCB</v>
      </c>
      <c r="V1883">
        <v>0</v>
      </c>
      <c r="W1883">
        <v>0</v>
      </c>
      <c r="X1883">
        <v>2</v>
      </c>
      <c r="Y1883">
        <v>0</v>
      </c>
      <c r="AA1883">
        <v>1</v>
      </c>
      <c r="AB1883">
        <v>8</v>
      </c>
      <c r="AC1883">
        <v>3</v>
      </c>
      <c r="AD1883">
        <v>0</v>
      </c>
      <c r="AE1883">
        <v>9</v>
      </c>
      <c r="AF1883" t="s">
        <v>138</v>
      </c>
      <c r="AG1883">
        <v>0</v>
      </c>
      <c r="AH1883">
        <v>3</v>
      </c>
      <c r="AI1883">
        <v>2</v>
      </c>
      <c r="AJ1883">
        <v>0</v>
      </c>
      <c r="AK1883" t="s">
        <v>674</v>
      </c>
      <c r="AL1883">
        <v>39.041462000000003</v>
      </c>
      <c r="AM1883" t="s">
        <v>675</v>
      </c>
      <c r="AN1883">
        <v>-121.04317899999999</v>
      </c>
      <c r="AO1883">
        <v>25</v>
      </c>
      <c r="AP1883">
        <v>4300</v>
      </c>
      <c r="AQ1883" t="s">
        <v>131</v>
      </c>
      <c r="AR1883">
        <v>20</v>
      </c>
      <c r="AS1883">
        <v>83</v>
      </c>
      <c r="AT1883">
        <v>320</v>
      </c>
      <c r="BB1883" t="str">
        <f t="shared" si="738"/>
        <v>1200</v>
      </c>
      <c r="BC1883">
        <v>1</v>
      </c>
      <c r="BD1883" t="str">
        <f t="shared" si="739"/>
        <v xml:space="preserve">N52156  </v>
      </c>
      <c r="BE1883">
        <v>1</v>
      </c>
      <c r="BG1883">
        <v>0</v>
      </c>
      <c r="BH1883">
        <v>0</v>
      </c>
      <c r="BI1883">
        <v>0</v>
      </c>
      <c r="BJ1883">
        <v>4325</v>
      </c>
      <c r="BK1883">
        <v>25</v>
      </c>
      <c r="BL1883" t="s">
        <v>188</v>
      </c>
      <c r="BM1883">
        <v>1</v>
      </c>
      <c r="BN1883">
        <v>1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 t="shared" si="747"/>
        <v>15:09:45.614</v>
      </c>
      <c r="CF1883">
        <v>614121589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4</v>
      </c>
      <c r="CY1883">
        <v>7</v>
      </c>
      <c r="CZ1883" t="s">
        <v>133</v>
      </c>
      <c r="DA1883">
        <v>273</v>
      </c>
      <c r="DB1883">
        <v>0</v>
      </c>
      <c r="DC1883" t="s">
        <v>292</v>
      </c>
      <c r="DD1883" t="s">
        <v>293</v>
      </c>
      <c r="DG1883">
        <v>4862926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"05/01/2025 15:09:45.860"</f>
        <v>05/01/2025 15:09:45.860</v>
      </c>
      <c r="C1884" t="str">
        <f t="shared" si="736"/>
        <v>FFDFD3C0</v>
      </c>
      <c r="D1884" t="s">
        <v>143</v>
      </c>
      <c r="E1884" t="str">
        <f>"05"</f>
        <v>05</v>
      </c>
      <c r="H1884">
        <v>172</v>
      </c>
      <c r="I1884" t="s">
        <v>141</v>
      </c>
      <c r="J1884" t="s">
        <v>144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R1884" t="s">
        <v>127</v>
      </c>
      <c r="S1884" t="str">
        <f t="shared" si="746"/>
        <v>15:09:45.000</v>
      </c>
      <c r="T1884" t="str">
        <f t="shared" si="746"/>
        <v>15:09:45.000</v>
      </c>
      <c r="U1884" t="str">
        <f t="shared" si="737"/>
        <v>A68FCB</v>
      </c>
      <c r="V1884">
        <v>0</v>
      </c>
      <c r="W1884">
        <v>0</v>
      </c>
      <c r="X1884">
        <v>2</v>
      </c>
      <c r="Y1884">
        <v>0</v>
      </c>
      <c r="AA1884">
        <v>1</v>
      </c>
      <c r="AB1884">
        <v>8</v>
      </c>
      <c r="AC1884">
        <v>3</v>
      </c>
      <c r="AD1884">
        <v>0</v>
      </c>
      <c r="AE1884">
        <v>9</v>
      </c>
      <c r="AF1884" t="s">
        <v>138</v>
      </c>
      <c r="AG1884">
        <v>0</v>
      </c>
      <c r="AH1884">
        <v>3</v>
      </c>
      <c r="AI1884">
        <v>2</v>
      </c>
      <c r="AJ1884">
        <v>0</v>
      </c>
      <c r="AK1884" t="s">
        <v>674</v>
      </c>
      <c r="AL1884">
        <v>39.041462000000003</v>
      </c>
      <c r="AM1884" t="s">
        <v>675</v>
      </c>
      <c r="AN1884">
        <v>-121.04317899999999</v>
      </c>
      <c r="AO1884">
        <v>25</v>
      </c>
      <c r="AP1884">
        <v>4300</v>
      </c>
      <c r="AQ1884" t="s">
        <v>131</v>
      </c>
      <c r="AR1884">
        <v>20</v>
      </c>
      <c r="AS1884">
        <v>83</v>
      </c>
      <c r="AT1884">
        <v>320</v>
      </c>
      <c r="BB1884" t="str">
        <f t="shared" si="738"/>
        <v>1200</v>
      </c>
      <c r="BC1884">
        <v>1</v>
      </c>
      <c r="BD1884" t="str">
        <f t="shared" si="739"/>
        <v xml:space="preserve">N52156  </v>
      </c>
      <c r="BE1884">
        <v>1</v>
      </c>
      <c r="BG1884">
        <v>0</v>
      </c>
      <c r="BH1884">
        <v>0</v>
      </c>
      <c r="BI1884">
        <v>0</v>
      </c>
      <c r="BJ1884">
        <v>4325</v>
      </c>
      <c r="BK1884">
        <v>25</v>
      </c>
      <c r="BL1884" t="s">
        <v>188</v>
      </c>
      <c r="BM1884">
        <v>1</v>
      </c>
      <c r="BN1884">
        <v>1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 t="shared" si="747"/>
        <v>15:09:45.614</v>
      </c>
      <c r="CF1884">
        <v>614121589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4</v>
      </c>
      <c r="CY1884">
        <v>7</v>
      </c>
      <c r="CZ1884" t="s">
        <v>133</v>
      </c>
      <c r="DA1884">
        <v>273</v>
      </c>
      <c r="DB1884">
        <v>0</v>
      </c>
      <c r="DC1884" t="s">
        <v>292</v>
      </c>
      <c r="DD1884" t="s">
        <v>293</v>
      </c>
      <c r="DG1884">
        <v>4862926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"05/01/2025 15:09:45.864"</f>
        <v>05/01/2025 15:09:45.864</v>
      </c>
      <c r="C1885" t="str">
        <f t="shared" si="736"/>
        <v>FFDFD3C0</v>
      </c>
      <c r="D1885" t="s">
        <v>136</v>
      </c>
      <c r="E1885" t="str">
        <f>"20"</f>
        <v>20</v>
      </c>
      <c r="H1885">
        <v>400</v>
      </c>
      <c r="I1885" t="s">
        <v>137</v>
      </c>
      <c r="J1885" t="s">
        <v>138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R1885" t="s">
        <v>127</v>
      </c>
      <c r="S1885" t="str">
        <f t="shared" si="746"/>
        <v>15:09:45.000</v>
      </c>
      <c r="T1885" t="str">
        <f t="shared" si="746"/>
        <v>15:09:45.000</v>
      </c>
      <c r="U1885" t="str">
        <f t="shared" si="737"/>
        <v>A68FCB</v>
      </c>
      <c r="V1885">
        <v>0</v>
      </c>
      <c r="W1885">
        <v>0</v>
      </c>
      <c r="X1885">
        <v>2</v>
      </c>
      <c r="Y1885">
        <v>0</v>
      </c>
      <c r="AA1885">
        <v>1</v>
      </c>
      <c r="AB1885">
        <v>8</v>
      </c>
      <c r="AC1885">
        <v>3</v>
      </c>
      <c r="AD1885">
        <v>0</v>
      </c>
      <c r="AE1885">
        <v>9</v>
      </c>
      <c r="AF1885" t="s">
        <v>138</v>
      </c>
      <c r="AG1885">
        <v>0</v>
      </c>
      <c r="AH1885">
        <v>3</v>
      </c>
      <c r="AI1885">
        <v>2</v>
      </c>
      <c r="AJ1885">
        <v>0</v>
      </c>
      <c r="AK1885" t="s">
        <v>674</v>
      </c>
      <c r="AL1885">
        <v>39.041462000000003</v>
      </c>
      <c r="AM1885" t="s">
        <v>675</v>
      </c>
      <c r="AN1885">
        <v>-121.04317899999999</v>
      </c>
      <c r="AO1885">
        <v>25</v>
      </c>
      <c r="AP1885">
        <v>4300</v>
      </c>
      <c r="AQ1885" t="s">
        <v>131</v>
      </c>
      <c r="AR1885">
        <v>20</v>
      </c>
      <c r="AS1885">
        <v>83</v>
      </c>
      <c r="AT1885">
        <v>320</v>
      </c>
      <c r="BB1885" t="str">
        <f t="shared" si="738"/>
        <v>1200</v>
      </c>
      <c r="BC1885">
        <v>1</v>
      </c>
      <c r="BD1885" t="str">
        <f t="shared" si="739"/>
        <v xml:space="preserve">N52156  </v>
      </c>
      <c r="BE1885">
        <v>1</v>
      </c>
      <c r="BG1885">
        <v>0</v>
      </c>
      <c r="BH1885">
        <v>0</v>
      </c>
      <c r="BI1885">
        <v>0</v>
      </c>
      <c r="BJ1885">
        <v>4325</v>
      </c>
      <c r="BK1885">
        <v>25</v>
      </c>
      <c r="BL1885" t="s">
        <v>188</v>
      </c>
      <c r="BM1885">
        <v>1</v>
      </c>
      <c r="BN1885">
        <v>1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 t="shared" si="747"/>
        <v>15:09:45.614</v>
      </c>
      <c r="CF1885">
        <v>614121589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4</v>
      </c>
      <c r="CY1885">
        <v>7</v>
      </c>
      <c r="CZ1885" t="s">
        <v>133</v>
      </c>
      <c r="DA1885">
        <v>273</v>
      </c>
      <c r="DB1885">
        <v>0</v>
      </c>
      <c r="DC1885" t="s">
        <v>292</v>
      </c>
      <c r="DD1885" t="s">
        <v>293</v>
      </c>
      <c r="DG1885">
        <v>4862926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"05/01/2025 15:09:46.866"</f>
        <v>05/01/2025 15:09:46.866</v>
      </c>
      <c r="C1886" t="str">
        <f t="shared" si="736"/>
        <v>FFDFD3C0</v>
      </c>
      <c r="D1886" t="s">
        <v>136</v>
      </c>
      <c r="E1886" t="str">
        <f>"20"</f>
        <v>20</v>
      </c>
      <c r="H1886">
        <v>400</v>
      </c>
      <c r="I1886" t="s">
        <v>137</v>
      </c>
      <c r="J1886" t="s">
        <v>138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R1886" t="s">
        <v>127</v>
      </c>
      <c r="S1886" t="str">
        <f t="shared" ref="S1886:T1891" si="748">"15:09:46.000"</f>
        <v>15:09:46.000</v>
      </c>
      <c r="T1886" t="str">
        <f t="shared" si="748"/>
        <v>15:09:46.000</v>
      </c>
      <c r="U1886" t="str">
        <f t="shared" si="737"/>
        <v>A68FCB</v>
      </c>
      <c r="V1886">
        <v>0</v>
      </c>
      <c r="W1886">
        <v>0</v>
      </c>
      <c r="X1886">
        <v>2</v>
      </c>
      <c r="Y1886">
        <v>0</v>
      </c>
      <c r="AA1886">
        <v>1</v>
      </c>
      <c r="AB1886">
        <v>8</v>
      </c>
      <c r="AC1886">
        <v>3</v>
      </c>
      <c r="AD1886">
        <v>0</v>
      </c>
      <c r="AE1886">
        <v>9</v>
      </c>
      <c r="AF1886" t="s">
        <v>138</v>
      </c>
      <c r="AG1886">
        <v>0</v>
      </c>
      <c r="AH1886">
        <v>3</v>
      </c>
      <c r="AI1886">
        <v>2</v>
      </c>
      <c r="AJ1886">
        <v>0</v>
      </c>
      <c r="AK1886" t="s">
        <v>676</v>
      </c>
      <c r="AL1886">
        <v>39.041848000000002</v>
      </c>
      <c r="AM1886" t="s">
        <v>677</v>
      </c>
      <c r="AN1886">
        <v>-121.043072</v>
      </c>
      <c r="AO1886">
        <v>25</v>
      </c>
      <c r="AP1886">
        <v>4300</v>
      </c>
      <c r="AQ1886" t="s">
        <v>131</v>
      </c>
      <c r="AR1886">
        <v>20</v>
      </c>
      <c r="AS1886">
        <v>84</v>
      </c>
      <c r="AT1886">
        <v>320</v>
      </c>
      <c r="BB1886" t="str">
        <f t="shared" si="738"/>
        <v>1200</v>
      </c>
      <c r="BC1886">
        <v>1</v>
      </c>
      <c r="BD1886" t="str">
        <f t="shared" si="739"/>
        <v xml:space="preserve">N52156  </v>
      </c>
      <c r="BE1886">
        <v>1</v>
      </c>
      <c r="BG1886">
        <v>0</v>
      </c>
      <c r="BH1886">
        <v>0</v>
      </c>
      <c r="BI1886">
        <v>0</v>
      </c>
      <c r="BJ1886">
        <v>4325</v>
      </c>
      <c r="BK1886">
        <v>25</v>
      </c>
      <c r="BL1886" t="s">
        <v>188</v>
      </c>
      <c r="BM1886">
        <v>1</v>
      </c>
      <c r="BN1886">
        <v>1</v>
      </c>
      <c r="BO1886">
        <v>0</v>
      </c>
      <c r="BP1886">
        <v>0</v>
      </c>
      <c r="BS1886">
        <v>0</v>
      </c>
      <c r="BT1886">
        <v>0</v>
      </c>
      <c r="BU1886">
        <v>0</v>
      </c>
      <c r="CE1886" t="str">
        <f t="shared" ref="CE1886:CE1891" si="749">"15:09:46.628"</f>
        <v>15:09:46.628</v>
      </c>
      <c r="CF1886">
        <v>628462909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5</v>
      </c>
      <c r="CY1886">
        <v>7</v>
      </c>
      <c r="CZ1886" t="s">
        <v>133</v>
      </c>
      <c r="DA1886">
        <v>275</v>
      </c>
      <c r="DB1886">
        <v>0</v>
      </c>
      <c r="DC1886" t="s">
        <v>134</v>
      </c>
      <c r="DD1886" t="s">
        <v>135</v>
      </c>
      <c r="DG1886">
        <v>3321026</v>
      </c>
      <c r="DI1886">
        <v>1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"05/01/2025 15:09:46.894"</f>
        <v>05/01/2025 15:09:46.894</v>
      </c>
      <c r="C1887" t="str">
        <f t="shared" si="736"/>
        <v>FFDFD3C0</v>
      </c>
      <c r="D1887" t="s">
        <v>140</v>
      </c>
      <c r="E1887" t="str">
        <f>"13"</f>
        <v>13</v>
      </c>
      <c r="F1887">
        <v>1019</v>
      </c>
      <c r="G1887" t="s">
        <v>141</v>
      </c>
      <c r="J1887" t="s">
        <v>142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R1887" t="s">
        <v>127</v>
      </c>
      <c r="S1887" t="str">
        <f t="shared" si="748"/>
        <v>15:09:46.000</v>
      </c>
      <c r="T1887" t="str">
        <f t="shared" si="748"/>
        <v>15:09:46.000</v>
      </c>
      <c r="U1887" t="str">
        <f t="shared" si="737"/>
        <v>A68FCB</v>
      </c>
      <c r="V1887">
        <v>0</v>
      </c>
      <c r="W1887">
        <v>0</v>
      </c>
      <c r="X1887">
        <v>2</v>
      </c>
      <c r="Y1887">
        <v>0</v>
      </c>
      <c r="AA1887">
        <v>1</v>
      </c>
      <c r="AB1887">
        <v>8</v>
      </c>
      <c r="AC1887">
        <v>3</v>
      </c>
      <c r="AD1887">
        <v>0</v>
      </c>
      <c r="AE1887">
        <v>9</v>
      </c>
      <c r="AF1887" t="s">
        <v>138</v>
      </c>
      <c r="AG1887">
        <v>0</v>
      </c>
      <c r="AH1887">
        <v>3</v>
      </c>
      <c r="AI1887">
        <v>2</v>
      </c>
      <c r="AJ1887">
        <v>0</v>
      </c>
      <c r="AK1887" t="s">
        <v>676</v>
      </c>
      <c r="AL1887">
        <v>39.041848000000002</v>
      </c>
      <c r="AM1887" t="s">
        <v>677</v>
      </c>
      <c r="AN1887">
        <v>-121.043072</v>
      </c>
      <c r="AO1887">
        <v>25</v>
      </c>
      <c r="AP1887">
        <v>4300</v>
      </c>
      <c r="AQ1887" t="s">
        <v>131</v>
      </c>
      <c r="AR1887">
        <v>20</v>
      </c>
      <c r="AS1887">
        <v>84</v>
      </c>
      <c r="AT1887">
        <v>320</v>
      </c>
      <c r="BB1887" t="str">
        <f t="shared" si="738"/>
        <v>1200</v>
      </c>
      <c r="BC1887">
        <v>1</v>
      </c>
      <c r="BD1887" t="str">
        <f t="shared" si="739"/>
        <v xml:space="preserve">N52156  </v>
      </c>
      <c r="BE1887">
        <v>1</v>
      </c>
      <c r="BG1887">
        <v>0</v>
      </c>
      <c r="BH1887">
        <v>0</v>
      </c>
      <c r="BI1887">
        <v>0</v>
      </c>
      <c r="BJ1887">
        <v>4325</v>
      </c>
      <c r="BK1887">
        <v>25</v>
      </c>
      <c r="BL1887" t="s">
        <v>188</v>
      </c>
      <c r="BM1887">
        <v>1</v>
      </c>
      <c r="BN1887">
        <v>1</v>
      </c>
      <c r="BO1887">
        <v>0</v>
      </c>
      <c r="BP1887">
        <v>0</v>
      </c>
      <c r="BS1887">
        <v>0</v>
      </c>
      <c r="BT1887">
        <v>0</v>
      </c>
      <c r="BU1887">
        <v>0</v>
      </c>
      <c r="CE1887" t="str">
        <f t="shared" si="749"/>
        <v>15:09:46.628</v>
      </c>
      <c r="CF1887">
        <v>628462909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5</v>
      </c>
      <c r="CY1887">
        <v>7</v>
      </c>
      <c r="CZ1887" t="s">
        <v>133</v>
      </c>
      <c r="DA1887">
        <v>275</v>
      </c>
      <c r="DB1887">
        <v>0</v>
      </c>
      <c r="DC1887" t="s">
        <v>134</v>
      </c>
      <c r="DD1887" t="s">
        <v>135</v>
      </c>
      <c r="DG1887">
        <v>3321026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"05/01/2025 15:09:46.902"</f>
        <v>05/01/2025 15:09:46.902</v>
      </c>
      <c r="C1888" t="str">
        <f t="shared" si="736"/>
        <v>FFDFD3C0</v>
      </c>
      <c r="D1888" t="s">
        <v>145</v>
      </c>
      <c r="E1888" t="str">
        <f>"05"</f>
        <v>05</v>
      </c>
      <c r="H1888">
        <v>47</v>
      </c>
      <c r="I1888" t="s">
        <v>146</v>
      </c>
      <c r="J1888" t="s">
        <v>138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R1888" t="s">
        <v>127</v>
      </c>
      <c r="S1888" t="str">
        <f t="shared" si="748"/>
        <v>15:09:46.000</v>
      </c>
      <c r="T1888" t="str">
        <f t="shared" si="748"/>
        <v>15:09:46.000</v>
      </c>
      <c r="U1888" t="str">
        <f t="shared" si="737"/>
        <v>A68FCB</v>
      </c>
      <c r="V1888">
        <v>0</v>
      </c>
      <c r="W1888">
        <v>0</v>
      </c>
      <c r="X1888">
        <v>2</v>
      </c>
      <c r="Y1888">
        <v>0</v>
      </c>
      <c r="AA1888">
        <v>1</v>
      </c>
      <c r="AB1888">
        <v>8</v>
      </c>
      <c r="AC1888">
        <v>3</v>
      </c>
      <c r="AD1888">
        <v>0</v>
      </c>
      <c r="AE1888">
        <v>9</v>
      </c>
      <c r="AF1888" t="s">
        <v>138</v>
      </c>
      <c r="AG1888">
        <v>0</v>
      </c>
      <c r="AH1888">
        <v>3</v>
      </c>
      <c r="AI1888">
        <v>2</v>
      </c>
      <c r="AJ1888">
        <v>0</v>
      </c>
      <c r="AK1888" t="s">
        <v>676</v>
      </c>
      <c r="AL1888">
        <v>39.041848000000002</v>
      </c>
      <c r="AM1888" t="s">
        <v>677</v>
      </c>
      <c r="AN1888">
        <v>-121.043072</v>
      </c>
      <c r="AO1888">
        <v>25</v>
      </c>
      <c r="AP1888">
        <v>4300</v>
      </c>
      <c r="AQ1888" t="s">
        <v>131</v>
      </c>
      <c r="AR1888">
        <v>20</v>
      </c>
      <c r="AS1888">
        <v>84</v>
      </c>
      <c r="AT1888">
        <v>320</v>
      </c>
      <c r="BB1888" t="str">
        <f t="shared" si="738"/>
        <v>1200</v>
      </c>
      <c r="BC1888">
        <v>1</v>
      </c>
      <c r="BD1888" t="str">
        <f t="shared" si="739"/>
        <v xml:space="preserve">N52156  </v>
      </c>
      <c r="BE1888">
        <v>1</v>
      </c>
      <c r="BG1888">
        <v>0</v>
      </c>
      <c r="BH1888">
        <v>0</v>
      </c>
      <c r="BI1888">
        <v>0</v>
      </c>
      <c r="BJ1888">
        <v>4325</v>
      </c>
      <c r="BK1888">
        <v>25</v>
      </c>
      <c r="BL1888" t="s">
        <v>188</v>
      </c>
      <c r="BM1888">
        <v>1</v>
      </c>
      <c r="BN1888">
        <v>1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 t="shared" si="749"/>
        <v>15:09:46.628</v>
      </c>
      <c r="CF1888">
        <v>628462909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5</v>
      </c>
      <c r="CY1888">
        <v>7</v>
      </c>
      <c r="CZ1888" t="s">
        <v>133</v>
      </c>
      <c r="DA1888">
        <v>275</v>
      </c>
      <c r="DB1888">
        <v>0</v>
      </c>
      <c r="DC1888" t="s">
        <v>134</v>
      </c>
      <c r="DD1888" t="s">
        <v>135</v>
      </c>
      <c r="DG1888">
        <v>3321026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"05/01/2025 15:09:46.903"</f>
        <v>05/01/2025 15:09:46.903</v>
      </c>
      <c r="C1889" t="str">
        <f t="shared" si="736"/>
        <v>FFDFD3C0</v>
      </c>
      <c r="D1889" t="s">
        <v>124</v>
      </c>
      <c r="E1889" t="str">
        <f>"06"</f>
        <v>06</v>
      </c>
      <c r="F1889">
        <v>2006</v>
      </c>
      <c r="G1889" t="s">
        <v>125</v>
      </c>
      <c r="J1889" t="s">
        <v>126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R1889" t="s">
        <v>127</v>
      </c>
      <c r="S1889" t="str">
        <f t="shared" si="748"/>
        <v>15:09:46.000</v>
      </c>
      <c r="T1889" t="str">
        <f t="shared" si="748"/>
        <v>15:09:46.000</v>
      </c>
      <c r="U1889" t="str">
        <f t="shared" si="737"/>
        <v>A68FCB</v>
      </c>
      <c r="V1889">
        <v>0</v>
      </c>
      <c r="W1889">
        <v>0</v>
      </c>
      <c r="X1889">
        <v>2</v>
      </c>
      <c r="Y1889">
        <v>0</v>
      </c>
      <c r="AA1889">
        <v>1</v>
      </c>
      <c r="AB1889">
        <v>8</v>
      </c>
      <c r="AC1889">
        <v>3</v>
      </c>
      <c r="AD1889">
        <v>0</v>
      </c>
      <c r="AE1889">
        <v>9</v>
      </c>
      <c r="AF1889" t="s">
        <v>138</v>
      </c>
      <c r="AG1889">
        <v>0</v>
      </c>
      <c r="AH1889">
        <v>3</v>
      </c>
      <c r="AI1889">
        <v>2</v>
      </c>
      <c r="AJ1889">
        <v>0</v>
      </c>
      <c r="AK1889" t="s">
        <v>676</v>
      </c>
      <c r="AL1889">
        <v>39.041848000000002</v>
      </c>
      <c r="AM1889" t="s">
        <v>677</v>
      </c>
      <c r="AN1889">
        <v>-121.043072</v>
      </c>
      <c r="AO1889">
        <v>25</v>
      </c>
      <c r="AP1889">
        <v>4300</v>
      </c>
      <c r="AQ1889" t="s">
        <v>131</v>
      </c>
      <c r="AR1889">
        <v>20</v>
      </c>
      <c r="AS1889">
        <v>84</v>
      </c>
      <c r="AT1889">
        <v>320</v>
      </c>
      <c r="BB1889" t="str">
        <f t="shared" si="738"/>
        <v>1200</v>
      </c>
      <c r="BC1889">
        <v>1</v>
      </c>
      <c r="BD1889" t="str">
        <f t="shared" si="739"/>
        <v xml:space="preserve">N52156  </v>
      </c>
      <c r="BE1889">
        <v>1</v>
      </c>
      <c r="BG1889">
        <v>0</v>
      </c>
      <c r="BH1889">
        <v>0</v>
      </c>
      <c r="BI1889">
        <v>0</v>
      </c>
      <c r="BJ1889">
        <v>4325</v>
      </c>
      <c r="BK1889">
        <v>25</v>
      </c>
      <c r="BL1889" t="s">
        <v>188</v>
      </c>
      <c r="BM1889">
        <v>1</v>
      </c>
      <c r="BN1889">
        <v>1</v>
      </c>
      <c r="BO1889">
        <v>0</v>
      </c>
      <c r="BP1889">
        <v>0</v>
      </c>
      <c r="BS1889">
        <v>0</v>
      </c>
      <c r="BT1889">
        <v>0</v>
      </c>
      <c r="BU1889">
        <v>0</v>
      </c>
      <c r="CE1889" t="str">
        <f t="shared" si="749"/>
        <v>15:09:46.628</v>
      </c>
      <c r="CF1889">
        <v>628462909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5</v>
      </c>
      <c r="CY1889">
        <v>7</v>
      </c>
      <c r="CZ1889" t="s">
        <v>133</v>
      </c>
      <c r="DA1889">
        <v>275</v>
      </c>
      <c r="DB1889">
        <v>0</v>
      </c>
      <c r="DC1889" t="s">
        <v>134</v>
      </c>
      <c r="DD1889" t="s">
        <v>135</v>
      </c>
      <c r="DG1889">
        <v>3321026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"05/01/2025 15:09:46.907"</f>
        <v>05/01/2025 15:09:46.907</v>
      </c>
      <c r="C1890" t="str">
        <f t="shared" si="736"/>
        <v>FFDFD3C0</v>
      </c>
      <c r="D1890" t="s">
        <v>145</v>
      </c>
      <c r="E1890" t="str">
        <f>"09"</f>
        <v>09</v>
      </c>
      <c r="H1890">
        <v>51</v>
      </c>
      <c r="I1890" t="s">
        <v>147</v>
      </c>
      <c r="J1890" t="s">
        <v>138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R1890" t="s">
        <v>127</v>
      </c>
      <c r="S1890" t="str">
        <f t="shared" si="748"/>
        <v>15:09:46.000</v>
      </c>
      <c r="T1890" t="str">
        <f t="shared" si="748"/>
        <v>15:09:46.000</v>
      </c>
      <c r="U1890" t="str">
        <f t="shared" si="737"/>
        <v>A68FCB</v>
      </c>
      <c r="V1890">
        <v>0</v>
      </c>
      <c r="W1890">
        <v>0</v>
      </c>
      <c r="X1890">
        <v>2</v>
      </c>
      <c r="Y1890">
        <v>0</v>
      </c>
      <c r="AA1890">
        <v>1</v>
      </c>
      <c r="AB1890">
        <v>8</v>
      </c>
      <c r="AC1890">
        <v>3</v>
      </c>
      <c r="AD1890">
        <v>0</v>
      </c>
      <c r="AE1890">
        <v>9</v>
      </c>
      <c r="AF1890" t="s">
        <v>138</v>
      </c>
      <c r="AG1890">
        <v>0</v>
      </c>
      <c r="AH1890">
        <v>3</v>
      </c>
      <c r="AI1890">
        <v>2</v>
      </c>
      <c r="AJ1890">
        <v>0</v>
      </c>
      <c r="AK1890" t="s">
        <v>676</v>
      </c>
      <c r="AL1890">
        <v>39.041848000000002</v>
      </c>
      <c r="AM1890" t="s">
        <v>677</v>
      </c>
      <c r="AN1890">
        <v>-121.043072</v>
      </c>
      <c r="AO1890">
        <v>25</v>
      </c>
      <c r="AP1890">
        <v>4300</v>
      </c>
      <c r="AQ1890" t="s">
        <v>131</v>
      </c>
      <c r="AR1890">
        <v>20</v>
      </c>
      <c r="AS1890">
        <v>84</v>
      </c>
      <c r="AT1890">
        <v>320</v>
      </c>
      <c r="BB1890" t="str">
        <f t="shared" si="738"/>
        <v>1200</v>
      </c>
      <c r="BC1890">
        <v>1</v>
      </c>
      <c r="BD1890" t="str">
        <f t="shared" si="739"/>
        <v xml:space="preserve">N52156  </v>
      </c>
      <c r="BE1890">
        <v>1</v>
      </c>
      <c r="BG1890">
        <v>0</v>
      </c>
      <c r="BH1890">
        <v>0</v>
      </c>
      <c r="BI1890">
        <v>0</v>
      </c>
      <c r="BJ1890">
        <v>4325</v>
      </c>
      <c r="BK1890">
        <v>25</v>
      </c>
      <c r="BL1890" t="s">
        <v>188</v>
      </c>
      <c r="BM1890">
        <v>1</v>
      </c>
      <c r="BN1890">
        <v>1</v>
      </c>
      <c r="BO1890">
        <v>0</v>
      </c>
      <c r="BP1890">
        <v>0</v>
      </c>
      <c r="BS1890">
        <v>0</v>
      </c>
      <c r="BT1890">
        <v>0</v>
      </c>
      <c r="BU1890">
        <v>0</v>
      </c>
      <c r="CE1890" t="str">
        <f t="shared" si="749"/>
        <v>15:09:46.628</v>
      </c>
      <c r="CF1890">
        <v>628462909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5</v>
      </c>
      <c r="CY1890">
        <v>7</v>
      </c>
      <c r="CZ1890" t="s">
        <v>133</v>
      </c>
      <c r="DA1890">
        <v>275</v>
      </c>
      <c r="DB1890">
        <v>0</v>
      </c>
      <c r="DC1890" t="s">
        <v>134</v>
      </c>
      <c r="DD1890" t="s">
        <v>135</v>
      </c>
      <c r="DG1890">
        <v>3321026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"05/01/2025 15:09:46.912"</f>
        <v>05/01/2025 15:09:46.912</v>
      </c>
      <c r="C1891" t="str">
        <f t="shared" si="736"/>
        <v>FFDFD3C0</v>
      </c>
      <c r="D1891" t="s">
        <v>143</v>
      </c>
      <c r="E1891" t="str">
        <f>"05"</f>
        <v>05</v>
      </c>
      <c r="H1891">
        <v>172</v>
      </c>
      <c r="I1891" t="s">
        <v>141</v>
      </c>
      <c r="J1891" t="s">
        <v>144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R1891" t="s">
        <v>127</v>
      </c>
      <c r="S1891" t="str">
        <f t="shared" si="748"/>
        <v>15:09:46.000</v>
      </c>
      <c r="T1891" t="str">
        <f t="shared" si="748"/>
        <v>15:09:46.000</v>
      </c>
      <c r="U1891" t="str">
        <f t="shared" si="737"/>
        <v>A68FCB</v>
      </c>
      <c r="V1891">
        <v>0</v>
      </c>
      <c r="W1891">
        <v>0</v>
      </c>
      <c r="X1891">
        <v>2</v>
      </c>
      <c r="Y1891">
        <v>0</v>
      </c>
      <c r="AA1891">
        <v>1</v>
      </c>
      <c r="AB1891">
        <v>8</v>
      </c>
      <c r="AC1891">
        <v>3</v>
      </c>
      <c r="AD1891">
        <v>0</v>
      </c>
      <c r="AE1891">
        <v>9</v>
      </c>
      <c r="AF1891" t="s">
        <v>138</v>
      </c>
      <c r="AG1891">
        <v>0</v>
      </c>
      <c r="AH1891">
        <v>3</v>
      </c>
      <c r="AI1891">
        <v>2</v>
      </c>
      <c r="AJ1891">
        <v>0</v>
      </c>
      <c r="AK1891" t="s">
        <v>676</v>
      </c>
      <c r="AL1891">
        <v>39.041848000000002</v>
      </c>
      <c r="AM1891" t="s">
        <v>677</v>
      </c>
      <c r="AN1891">
        <v>-121.043072</v>
      </c>
      <c r="AO1891">
        <v>25</v>
      </c>
      <c r="AP1891">
        <v>4300</v>
      </c>
      <c r="AQ1891" t="s">
        <v>131</v>
      </c>
      <c r="AR1891">
        <v>20</v>
      </c>
      <c r="AS1891">
        <v>84</v>
      </c>
      <c r="AT1891">
        <v>320</v>
      </c>
      <c r="BB1891" t="str">
        <f t="shared" si="738"/>
        <v>1200</v>
      </c>
      <c r="BC1891">
        <v>1</v>
      </c>
      <c r="BD1891" t="str">
        <f t="shared" si="739"/>
        <v xml:space="preserve">N52156  </v>
      </c>
      <c r="BE1891">
        <v>1</v>
      </c>
      <c r="BG1891">
        <v>0</v>
      </c>
      <c r="BH1891">
        <v>0</v>
      </c>
      <c r="BI1891">
        <v>0</v>
      </c>
      <c r="BJ1891">
        <v>4325</v>
      </c>
      <c r="BK1891">
        <v>25</v>
      </c>
      <c r="BL1891" t="s">
        <v>188</v>
      </c>
      <c r="BM1891">
        <v>1</v>
      </c>
      <c r="BN1891">
        <v>1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 t="shared" si="749"/>
        <v>15:09:46.628</v>
      </c>
      <c r="CF1891">
        <v>628462909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5</v>
      </c>
      <c r="CY1891">
        <v>7</v>
      </c>
      <c r="CZ1891" t="s">
        <v>133</v>
      </c>
      <c r="DA1891">
        <v>275</v>
      </c>
      <c r="DB1891">
        <v>0</v>
      </c>
      <c r="DC1891" t="s">
        <v>134</v>
      </c>
      <c r="DD1891" t="s">
        <v>135</v>
      </c>
      <c r="DG1891">
        <v>3321026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"05/01/2025 15:09:48.045"</f>
        <v>05/01/2025 15:09:48.045</v>
      </c>
      <c r="C1892" t="str">
        <f t="shared" si="736"/>
        <v>FFDFD3C0</v>
      </c>
      <c r="D1892" t="s">
        <v>140</v>
      </c>
      <c r="E1892" t="str">
        <f>"13"</f>
        <v>13</v>
      </c>
      <c r="F1892">
        <v>1019</v>
      </c>
      <c r="G1892" t="s">
        <v>141</v>
      </c>
      <c r="J1892" t="s">
        <v>142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R1892" t="s">
        <v>127</v>
      </c>
      <c r="S1892" t="str">
        <f t="shared" ref="S1892:T1897" si="750">"15:09:47.000"</f>
        <v>15:09:47.000</v>
      </c>
      <c r="T1892" t="str">
        <f t="shared" si="750"/>
        <v>15:09:47.000</v>
      </c>
      <c r="U1892" t="str">
        <f t="shared" si="737"/>
        <v>A68FCB</v>
      </c>
      <c r="V1892">
        <v>0</v>
      </c>
      <c r="W1892">
        <v>0</v>
      </c>
      <c r="X1892">
        <v>2</v>
      </c>
      <c r="Y1892">
        <v>0</v>
      </c>
      <c r="AA1892">
        <v>1</v>
      </c>
      <c r="AB1892">
        <v>8</v>
      </c>
      <c r="AC1892">
        <v>3</v>
      </c>
      <c r="AD1892">
        <v>0</v>
      </c>
      <c r="AE1892">
        <v>9</v>
      </c>
      <c r="AF1892" t="s">
        <v>138</v>
      </c>
      <c r="AG1892">
        <v>0</v>
      </c>
      <c r="AH1892">
        <v>3</v>
      </c>
      <c r="AI1892">
        <v>2</v>
      </c>
      <c r="AJ1892">
        <v>0</v>
      </c>
      <c r="AK1892" t="s">
        <v>678</v>
      </c>
      <c r="AL1892">
        <v>39.042234000000001</v>
      </c>
      <c r="AM1892" t="s">
        <v>679</v>
      </c>
      <c r="AN1892">
        <v>-121.042964</v>
      </c>
      <c r="AO1892">
        <v>25</v>
      </c>
      <c r="AP1892">
        <v>4300</v>
      </c>
      <c r="AQ1892" t="s">
        <v>131</v>
      </c>
      <c r="AR1892">
        <v>19</v>
      </c>
      <c r="AS1892">
        <v>85</v>
      </c>
      <c r="AT1892">
        <v>320</v>
      </c>
      <c r="BB1892" t="str">
        <f t="shared" si="738"/>
        <v>1200</v>
      </c>
      <c r="BC1892">
        <v>1</v>
      </c>
      <c r="BD1892" t="str">
        <f t="shared" si="739"/>
        <v xml:space="preserve">N52156  </v>
      </c>
      <c r="BE1892">
        <v>1</v>
      </c>
      <c r="BG1892">
        <v>0</v>
      </c>
      <c r="BH1892">
        <v>0</v>
      </c>
      <c r="BI1892">
        <v>0</v>
      </c>
      <c r="BJ1892">
        <v>4325</v>
      </c>
      <c r="BK1892">
        <v>25</v>
      </c>
      <c r="BL1892" t="s">
        <v>188</v>
      </c>
      <c r="BM1892">
        <v>1</v>
      </c>
      <c r="BN1892">
        <v>1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 t="shared" ref="CE1892:CE1897" si="751">"15:09:47.848"</f>
        <v>15:09:47.848</v>
      </c>
      <c r="CF1892">
        <v>847713537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5</v>
      </c>
      <c r="CY1892">
        <v>7</v>
      </c>
      <c r="CZ1892" t="s">
        <v>133</v>
      </c>
      <c r="DA1892">
        <v>275</v>
      </c>
      <c r="DB1892">
        <v>0</v>
      </c>
      <c r="DC1892" t="s">
        <v>134</v>
      </c>
      <c r="DD1892" t="s">
        <v>135</v>
      </c>
      <c r="DG1892">
        <v>3321036</v>
      </c>
      <c r="DI1892">
        <v>1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"05/01/2025 15:09:48.054"</f>
        <v>05/01/2025 15:09:48.054</v>
      </c>
      <c r="C1893" t="str">
        <f t="shared" si="736"/>
        <v>FFDFD3C0</v>
      </c>
      <c r="D1893" t="s">
        <v>145</v>
      </c>
      <c r="E1893" t="str">
        <f>"05"</f>
        <v>05</v>
      </c>
      <c r="H1893">
        <v>47</v>
      </c>
      <c r="I1893" t="s">
        <v>146</v>
      </c>
      <c r="J1893" t="s">
        <v>138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R1893" t="s">
        <v>127</v>
      </c>
      <c r="S1893" t="str">
        <f t="shared" si="750"/>
        <v>15:09:47.000</v>
      </c>
      <c r="T1893" t="str">
        <f t="shared" si="750"/>
        <v>15:09:47.000</v>
      </c>
      <c r="U1893" t="str">
        <f t="shared" si="737"/>
        <v>A68FCB</v>
      </c>
      <c r="V1893">
        <v>0</v>
      </c>
      <c r="W1893">
        <v>0</v>
      </c>
      <c r="X1893">
        <v>2</v>
      </c>
      <c r="Y1893">
        <v>0</v>
      </c>
      <c r="AA1893">
        <v>1</v>
      </c>
      <c r="AB1893">
        <v>8</v>
      </c>
      <c r="AC1893">
        <v>3</v>
      </c>
      <c r="AD1893">
        <v>0</v>
      </c>
      <c r="AE1893">
        <v>9</v>
      </c>
      <c r="AF1893" t="s">
        <v>138</v>
      </c>
      <c r="AG1893">
        <v>0</v>
      </c>
      <c r="AH1893">
        <v>3</v>
      </c>
      <c r="AI1893">
        <v>2</v>
      </c>
      <c r="AJ1893">
        <v>0</v>
      </c>
      <c r="AK1893" t="s">
        <v>678</v>
      </c>
      <c r="AL1893">
        <v>39.042234000000001</v>
      </c>
      <c r="AM1893" t="s">
        <v>679</v>
      </c>
      <c r="AN1893">
        <v>-121.042964</v>
      </c>
      <c r="AO1893">
        <v>25</v>
      </c>
      <c r="AP1893">
        <v>4300</v>
      </c>
      <c r="AQ1893" t="s">
        <v>131</v>
      </c>
      <c r="AR1893">
        <v>19</v>
      </c>
      <c r="AS1893">
        <v>85</v>
      </c>
      <c r="AT1893">
        <v>320</v>
      </c>
      <c r="BB1893" t="str">
        <f t="shared" si="738"/>
        <v>1200</v>
      </c>
      <c r="BC1893">
        <v>1</v>
      </c>
      <c r="BD1893" t="str">
        <f t="shared" si="739"/>
        <v xml:space="preserve">N52156  </v>
      </c>
      <c r="BE1893">
        <v>1</v>
      </c>
      <c r="BG1893">
        <v>0</v>
      </c>
      <c r="BH1893">
        <v>0</v>
      </c>
      <c r="BI1893">
        <v>0</v>
      </c>
      <c r="BJ1893">
        <v>4325</v>
      </c>
      <c r="BK1893">
        <v>25</v>
      </c>
      <c r="BL1893" t="s">
        <v>188</v>
      </c>
      <c r="BM1893">
        <v>1</v>
      </c>
      <c r="BN1893">
        <v>1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 t="shared" si="751"/>
        <v>15:09:47.848</v>
      </c>
      <c r="CF1893">
        <v>847713537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5</v>
      </c>
      <c r="CY1893">
        <v>7</v>
      </c>
      <c r="CZ1893" t="s">
        <v>133</v>
      </c>
      <c r="DA1893">
        <v>275</v>
      </c>
      <c r="DB1893">
        <v>0</v>
      </c>
      <c r="DC1893" t="s">
        <v>134</v>
      </c>
      <c r="DD1893" t="s">
        <v>135</v>
      </c>
      <c r="DG1893">
        <v>3321036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"05/01/2025 15:09:48.056"</f>
        <v>05/01/2025 15:09:48.056</v>
      </c>
      <c r="C1894" t="str">
        <f t="shared" si="736"/>
        <v>FFDFD3C0</v>
      </c>
      <c r="D1894" t="s">
        <v>124</v>
      </c>
      <c r="E1894" t="str">
        <f>"06"</f>
        <v>06</v>
      </c>
      <c r="F1894">
        <v>2006</v>
      </c>
      <c r="G1894" t="s">
        <v>125</v>
      </c>
      <c r="J1894" t="s">
        <v>126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R1894" t="s">
        <v>127</v>
      </c>
      <c r="S1894" t="str">
        <f t="shared" si="750"/>
        <v>15:09:47.000</v>
      </c>
      <c r="T1894" t="str">
        <f t="shared" si="750"/>
        <v>15:09:47.000</v>
      </c>
      <c r="U1894" t="str">
        <f t="shared" si="737"/>
        <v>A68FCB</v>
      </c>
      <c r="V1894">
        <v>0</v>
      </c>
      <c r="W1894">
        <v>0</v>
      </c>
      <c r="X1894">
        <v>2</v>
      </c>
      <c r="Y1894">
        <v>0</v>
      </c>
      <c r="AA1894">
        <v>1</v>
      </c>
      <c r="AB1894">
        <v>8</v>
      </c>
      <c r="AC1894">
        <v>3</v>
      </c>
      <c r="AD1894">
        <v>0</v>
      </c>
      <c r="AE1894">
        <v>9</v>
      </c>
      <c r="AF1894" t="s">
        <v>138</v>
      </c>
      <c r="AG1894">
        <v>0</v>
      </c>
      <c r="AH1894">
        <v>3</v>
      </c>
      <c r="AI1894">
        <v>2</v>
      </c>
      <c r="AJ1894">
        <v>0</v>
      </c>
      <c r="AK1894" t="s">
        <v>678</v>
      </c>
      <c r="AL1894">
        <v>39.042234000000001</v>
      </c>
      <c r="AM1894" t="s">
        <v>679</v>
      </c>
      <c r="AN1894">
        <v>-121.042964</v>
      </c>
      <c r="AO1894">
        <v>25</v>
      </c>
      <c r="AP1894">
        <v>4300</v>
      </c>
      <c r="AQ1894" t="s">
        <v>131</v>
      </c>
      <c r="AR1894">
        <v>19</v>
      </c>
      <c r="AS1894">
        <v>85</v>
      </c>
      <c r="AT1894">
        <v>320</v>
      </c>
      <c r="BB1894" t="str">
        <f t="shared" si="738"/>
        <v>1200</v>
      </c>
      <c r="BC1894">
        <v>1</v>
      </c>
      <c r="BD1894" t="str">
        <f t="shared" si="739"/>
        <v xml:space="preserve">N52156  </v>
      </c>
      <c r="BE1894">
        <v>1</v>
      </c>
      <c r="BG1894">
        <v>0</v>
      </c>
      <c r="BH1894">
        <v>0</v>
      </c>
      <c r="BI1894">
        <v>0</v>
      </c>
      <c r="BJ1894">
        <v>4325</v>
      </c>
      <c r="BK1894">
        <v>25</v>
      </c>
      <c r="BL1894" t="s">
        <v>188</v>
      </c>
      <c r="BM1894">
        <v>1</v>
      </c>
      <c r="BN1894">
        <v>1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 t="shared" si="751"/>
        <v>15:09:47.848</v>
      </c>
      <c r="CF1894">
        <v>847713537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5</v>
      </c>
      <c r="CY1894">
        <v>7</v>
      </c>
      <c r="CZ1894" t="s">
        <v>133</v>
      </c>
      <c r="DA1894">
        <v>275</v>
      </c>
      <c r="DB1894">
        <v>0</v>
      </c>
      <c r="DC1894" t="s">
        <v>134</v>
      </c>
      <c r="DD1894" t="s">
        <v>135</v>
      </c>
      <c r="DG1894">
        <v>3321036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"05/01/2025 15:09:48.060"</f>
        <v>05/01/2025 15:09:48.060</v>
      </c>
      <c r="C1895" t="str">
        <f t="shared" si="736"/>
        <v>FFDFD3C0</v>
      </c>
      <c r="D1895" t="s">
        <v>145</v>
      </c>
      <c r="E1895" t="str">
        <f>"09"</f>
        <v>09</v>
      </c>
      <c r="H1895">
        <v>51</v>
      </c>
      <c r="I1895" t="s">
        <v>147</v>
      </c>
      <c r="J1895" t="s">
        <v>138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R1895" t="s">
        <v>127</v>
      </c>
      <c r="S1895" t="str">
        <f t="shared" si="750"/>
        <v>15:09:47.000</v>
      </c>
      <c r="T1895" t="str">
        <f t="shared" si="750"/>
        <v>15:09:47.000</v>
      </c>
      <c r="U1895" t="str">
        <f t="shared" si="737"/>
        <v>A68FCB</v>
      </c>
      <c r="V1895">
        <v>0</v>
      </c>
      <c r="W1895">
        <v>0</v>
      </c>
      <c r="X1895">
        <v>2</v>
      </c>
      <c r="Y1895">
        <v>0</v>
      </c>
      <c r="AA1895">
        <v>1</v>
      </c>
      <c r="AB1895">
        <v>8</v>
      </c>
      <c r="AC1895">
        <v>3</v>
      </c>
      <c r="AD1895">
        <v>0</v>
      </c>
      <c r="AE1895">
        <v>9</v>
      </c>
      <c r="AF1895" t="s">
        <v>138</v>
      </c>
      <c r="AG1895">
        <v>0</v>
      </c>
      <c r="AH1895">
        <v>3</v>
      </c>
      <c r="AI1895">
        <v>2</v>
      </c>
      <c r="AJ1895">
        <v>0</v>
      </c>
      <c r="AK1895" t="s">
        <v>678</v>
      </c>
      <c r="AL1895">
        <v>39.042234000000001</v>
      </c>
      <c r="AM1895" t="s">
        <v>679</v>
      </c>
      <c r="AN1895">
        <v>-121.042964</v>
      </c>
      <c r="AO1895">
        <v>25</v>
      </c>
      <c r="AP1895">
        <v>4300</v>
      </c>
      <c r="AQ1895" t="s">
        <v>131</v>
      </c>
      <c r="AR1895">
        <v>19</v>
      </c>
      <c r="AS1895">
        <v>85</v>
      </c>
      <c r="AT1895">
        <v>320</v>
      </c>
      <c r="BB1895" t="str">
        <f t="shared" si="738"/>
        <v>1200</v>
      </c>
      <c r="BC1895">
        <v>1</v>
      </c>
      <c r="BD1895" t="str">
        <f t="shared" si="739"/>
        <v xml:space="preserve">N52156  </v>
      </c>
      <c r="BE1895">
        <v>1</v>
      </c>
      <c r="BG1895">
        <v>0</v>
      </c>
      <c r="BH1895">
        <v>0</v>
      </c>
      <c r="BI1895">
        <v>0</v>
      </c>
      <c r="BJ1895">
        <v>4325</v>
      </c>
      <c r="BK1895">
        <v>25</v>
      </c>
      <c r="BL1895" t="s">
        <v>188</v>
      </c>
      <c r="BM1895">
        <v>1</v>
      </c>
      <c r="BN1895">
        <v>1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 t="shared" si="751"/>
        <v>15:09:47.848</v>
      </c>
      <c r="CF1895">
        <v>847713537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5</v>
      </c>
      <c r="CY1895">
        <v>7</v>
      </c>
      <c r="CZ1895" t="s">
        <v>133</v>
      </c>
      <c r="DA1895">
        <v>275</v>
      </c>
      <c r="DB1895">
        <v>0</v>
      </c>
      <c r="DC1895" t="s">
        <v>134</v>
      </c>
      <c r="DD1895" t="s">
        <v>135</v>
      </c>
      <c r="DG1895">
        <v>3321036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"05/01/2025 15:09:48.065"</f>
        <v>05/01/2025 15:09:48.065</v>
      </c>
      <c r="C1896" t="str">
        <f t="shared" si="736"/>
        <v>FFDFD3C0</v>
      </c>
      <c r="D1896" t="s">
        <v>143</v>
      </c>
      <c r="E1896" t="str">
        <f>"05"</f>
        <v>05</v>
      </c>
      <c r="H1896">
        <v>172</v>
      </c>
      <c r="I1896" t="s">
        <v>141</v>
      </c>
      <c r="J1896" t="s">
        <v>144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R1896" t="s">
        <v>127</v>
      </c>
      <c r="S1896" t="str">
        <f t="shared" si="750"/>
        <v>15:09:47.000</v>
      </c>
      <c r="T1896" t="str">
        <f t="shared" si="750"/>
        <v>15:09:47.000</v>
      </c>
      <c r="U1896" t="str">
        <f t="shared" si="737"/>
        <v>A68FCB</v>
      </c>
      <c r="V1896">
        <v>0</v>
      </c>
      <c r="W1896">
        <v>0</v>
      </c>
      <c r="X1896">
        <v>2</v>
      </c>
      <c r="Y1896">
        <v>0</v>
      </c>
      <c r="AA1896">
        <v>1</v>
      </c>
      <c r="AB1896">
        <v>8</v>
      </c>
      <c r="AC1896">
        <v>3</v>
      </c>
      <c r="AD1896">
        <v>0</v>
      </c>
      <c r="AE1896">
        <v>9</v>
      </c>
      <c r="AF1896" t="s">
        <v>138</v>
      </c>
      <c r="AG1896">
        <v>0</v>
      </c>
      <c r="AH1896">
        <v>3</v>
      </c>
      <c r="AI1896">
        <v>2</v>
      </c>
      <c r="AJ1896">
        <v>0</v>
      </c>
      <c r="AK1896" t="s">
        <v>678</v>
      </c>
      <c r="AL1896">
        <v>39.042234000000001</v>
      </c>
      <c r="AM1896" t="s">
        <v>679</v>
      </c>
      <c r="AN1896">
        <v>-121.042964</v>
      </c>
      <c r="AO1896">
        <v>25</v>
      </c>
      <c r="AP1896">
        <v>4300</v>
      </c>
      <c r="AQ1896" t="s">
        <v>131</v>
      </c>
      <c r="AR1896">
        <v>19</v>
      </c>
      <c r="AS1896">
        <v>85</v>
      </c>
      <c r="AT1896">
        <v>320</v>
      </c>
      <c r="BB1896" t="str">
        <f t="shared" si="738"/>
        <v>1200</v>
      </c>
      <c r="BC1896">
        <v>1</v>
      </c>
      <c r="BD1896" t="str">
        <f t="shared" si="739"/>
        <v xml:space="preserve">N52156  </v>
      </c>
      <c r="BE1896">
        <v>1</v>
      </c>
      <c r="BG1896">
        <v>0</v>
      </c>
      <c r="BH1896">
        <v>0</v>
      </c>
      <c r="BI1896">
        <v>0</v>
      </c>
      <c r="BJ1896">
        <v>4325</v>
      </c>
      <c r="BK1896">
        <v>25</v>
      </c>
      <c r="BL1896" t="s">
        <v>188</v>
      </c>
      <c r="BM1896">
        <v>1</v>
      </c>
      <c r="BN1896">
        <v>1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 t="shared" si="751"/>
        <v>15:09:47.848</v>
      </c>
      <c r="CF1896">
        <v>847713537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5</v>
      </c>
      <c r="CY1896">
        <v>7</v>
      </c>
      <c r="CZ1896" t="s">
        <v>133</v>
      </c>
      <c r="DA1896">
        <v>275</v>
      </c>
      <c r="DB1896">
        <v>0</v>
      </c>
      <c r="DC1896" t="s">
        <v>134</v>
      </c>
      <c r="DD1896" t="s">
        <v>135</v>
      </c>
      <c r="DG1896">
        <v>3321036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"05/01/2025 15:09:48.068"</f>
        <v>05/01/2025 15:09:48.068</v>
      </c>
      <c r="C1897" t="str">
        <f t="shared" si="736"/>
        <v>FFDFD3C0</v>
      </c>
      <c r="D1897" t="s">
        <v>136</v>
      </c>
      <c r="E1897" t="str">
        <f>"20"</f>
        <v>20</v>
      </c>
      <c r="H1897">
        <v>400</v>
      </c>
      <c r="I1897" t="s">
        <v>137</v>
      </c>
      <c r="J1897" t="s">
        <v>138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R1897" t="s">
        <v>127</v>
      </c>
      <c r="S1897" t="str">
        <f t="shared" si="750"/>
        <v>15:09:47.000</v>
      </c>
      <c r="T1897" t="str">
        <f t="shared" si="750"/>
        <v>15:09:47.000</v>
      </c>
      <c r="U1897" t="str">
        <f t="shared" si="737"/>
        <v>A68FCB</v>
      </c>
      <c r="V1897">
        <v>0</v>
      </c>
      <c r="W1897">
        <v>0</v>
      </c>
      <c r="X1897">
        <v>2</v>
      </c>
      <c r="Y1897">
        <v>0</v>
      </c>
      <c r="AA1897">
        <v>1</v>
      </c>
      <c r="AB1897">
        <v>8</v>
      </c>
      <c r="AC1897">
        <v>3</v>
      </c>
      <c r="AD1897">
        <v>0</v>
      </c>
      <c r="AE1897">
        <v>9</v>
      </c>
      <c r="AF1897" t="s">
        <v>138</v>
      </c>
      <c r="AG1897">
        <v>0</v>
      </c>
      <c r="AH1897">
        <v>3</v>
      </c>
      <c r="AI1897">
        <v>2</v>
      </c>
      <c r="AJ1897">
        <v>0</v>
      </c>
      <c r="AK1897" t="s">
        <v>678</v>
      </c>
      <c r="AL1897">
        <v>39.042234000000001</v>
      </c>
      <c r="AM1897" t="s">
        <v>679</v>
      </c>
      <c r="AN1897">
        <v>-121.042964</v>
      </c>
      <c r="AO1897">
        <v>25</v>
      </c>
      <c r="AP1897">
        <v>4300</v>
      </c>
      <c r="AQ1897" t="s">
        <v>131</v>
      </c>
      <c r="AR1897">
        <v>19</v>
      </c>
      <c r="AS1897">
        <v>85</v>
      </c>
      <c r="AT1897">
        <v>320</v>
      </c>
      <c r="BB1897" t="str">
        <f t="shared" si="738"/>
        <v>1200</v>
      </c>
      <c r="BC1897">
        <v>1</v>
      </c>
      <c r="BD1897" t="str">
        <f t="shared" si="739"/>
        <v xml:space="preserve">N52156  </v>
      </c>
      <c r="BE1897">
        <v>1</v>
      </c>
      <c r="BG1897">
        <v>0</v>
      </c>
      <c r="BH1897">
        <v>0</v>
      </c>
      <c r="BI1897">
        <v>0</v>
      </c>
      <c r="BJ1897">
        <v>4325</v>
      </c>
      <c r="BK1897">
        <v>25</v>
      </c>
      <c r="BL1897" t="s">
        <v>188</v>
      </c>
      <c r="BM1897">
        <v>1</v>
      </c>
      <c r="BN1897">
        <v>1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 t="shared" si="751"/>
        <v>15:09:47.848</v>
      </c>
      <c r="CF1897">
        <v>847713537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5</v>
      </c>
      <c r="CY1897">
        <v>7</v>
      </c>
      <c r="CZ1897" t="s">
        <v>133</v>
      </c>
      <c r="DA1897">
        <v>275</v>
      </c>
      <c r="DB1897">
        <v>0</v>
      </c>
      <c r="DC1897" t="s">
        <v>134</v>
      </c>
      <c r="DD1897" t="s">
        <v>135</v>
      </c>
      <c r="DG1897">
        <v>3321036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"05/01/2025 15:09:48.897"</f>
        <v>05/01/2025 15:09:48.897</v>
      </c>
      <c r="C1898" t="str">
        <f t="shared" si="736"/>
        <v>FFDFD3C0</v>
      </c>
      <c r="D1898" t="s">
        <v>140</v>
      </c>
      <c r="E1898" t="str">
        <f>"13"</f>
        <v>13</v>
      </c>
      <c r="F1898">
        <v>1019</v>
      </c>
      <c r="G1898" t="s">
        <v>141</v>
      </c>
      <c r="J1898" t="s">
        <v>142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R1898" t="s">
        <v>127</v>
      </c>
      <c r="S1898" t="str">
        <f t="shared" ref="S1898:T1903" si="752">"15:09:48.000"</f>
        <v>15:09:48.000</v>
      </c>
      <c r="T1898" t="str">
        <f t="shared" si="752"/>
        <v>15:09:48.000</v>
      </c>
      <c r="U1898" t="str">
        <f t="shared" si="737"/>
        <v>A68FCB</v>
      </c>
      <c r="V1898">
        <v>0</v>
      </c>
      <c r="W1898">
        <v>0</v>
      </c>
      <c r="X1898">
        <v>2</v>
      </c>
      <c r="Y1898">
        <v>0</v>
      </c>
      <c r="AA1898">
        <v>1</v>
      </c>
      <c r="AB1898">
        <v>8</v>
      </c>
      <c r="AC1898">
        <v>3</v>
      </c>
      <c r="AD1898">
        <v>0</v>
      </c>
      <c r="AE1898">
        <v>9</v>
      </c>
      <c r="AF1898" t="s">
        <v>138</v>
      </c>
      <c r="AG1898">
        <v>0</v>
      </c>
      <c r="AH1898">
        <v>3</v>
      </c>
      <c r="AI1898">
        <v>2</v>
      </c>
      <c r="AJ1898">
        <v>0</v>
      </c>
      <c r="AK1898" t="s">
        <v>680</v>
      </c>
      <c r="AL1898">
        <v>39.042620999999997</v>
      </c>
      <c r="AM1898" t="s">
        <v>681</v>
      </c>
      <c r="AN1898">
        <v>-121.04283599999999</v>
      </c>
      <c r="AO1898">
        <v>25</v>
      </c>
      <c r="AP1898">
        <v>4300</v>
      </c>
      <c r="AQ1898" t="s">
        <v>131</v>
      </c>
      <c r="AR1898">
        <v>18</v>
      </c>
      <c r="AS1898">
        <v>85</v>
      </c>
      <c r="AT1898">
        <v>256</v>
      </c>
      <c r="BB1898" t="str">
        <f t="shared" si="738"/>
        <v>1200</v>
      </c>
      <c r="BC1898">
        <v>1</v>
      </c>
      <c r="BD1898" t="str">
        <f t="shared" si="739"/>
        <v xml:space="preserve">N52156  </v>
      </c>
      <c r="BE1898">
        <v>1</v>
      </c>
      <c r="BG1898">
        <v>0</v>
      </c>
      <c r="BH1898">
        <v>0</v>
      </c>
      <c r="BI1898">
        <v>0</v>
      </c>
      <c r="BJ1898">
        <v>4325</v>
      </c>
      <c r="BK1898">
        <v>25</v>
      </c>
      <c r="BL1898" t="s">
        <v>188</v>
      </c>
      <c r="BM1898">
        <v>1</v>
      </c>
      <c r="BN1898">
        <v>1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 t="shared" ref="CE1898:CE1903" si="753">"15:09:48.671"</f>
        <v>15:09:48.671</v>
      </c>
      <c r="CF1898">
        <v>671213196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5</v>
      </c>
      <c r="CY1898">
        <v>7</v>
      </c>
      <c r="CZ1898" t="s">
        <v>133</v>
      </c>
      <c r="DA1898">
        <v>275</v>
      </c>
      <c r="DB1898">
        <v>0</v>
      </c>
      <c r="DC1898" t="s">
        <v>134</v>
      </c>
      <c r="DD1898" t="s">
        <v>135</v>
      </c>
      <c r="DG1898">
        <v>3321043</v>
      </c>
      <c r="DI1898">
        <v>1</v>
      </c>
      <c r="DJ1898">
        <v>0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"05/01/2025 15:09:48.906"</f>
        <v>05/01/2025 15:09:48.906</v>
      </c>
      <c r="C1899" t="str">
        <f t="shared" si="736"/>
        <v>FFDFD3C0</v>
      </c>
      <c r="D1899" t="s">
        <v>145</v>
      </c>
      <c r="E1899" t="str">
        <f>"05"</f>
        <v>05</v>
      </c>
      <c r="H1899">
        <v>47</v>
      </c>
      <c r="I1899" t="s">
        <v>146</v>
      </c>
      <c r="J1899" t="s">
        <v>138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R1899" t="s">
        <v>127</v>
      </c>
      <c r="S1899" t="str">
        <f t="shared" si="752"/>
        <v>15:09:48.000</v>
      </c>
      <c r="T1899" t="str">
        <f t="shared" si="752"/>
        <v>15:09:48.000</v>
      </c>
      <c r="U1899" t="str">
        <f t="shared" si="737"/>
        <v>A68FCB</v>
      </c>
      <c r="V1899">
        <v>0</v>
      </c>
      <c r="W1899">
        <v>0</v>
      </c>
      <c r="X1899">
        <v>2</v>
      </c>
      <c r="Y1899">
        <v>0</v>
      </c>
      <c r="AA1899">
        <v>1</v>
      </c>
      <c r="AB1899">
        <v>8</v>
      </c>
      <c r="AC1899">
        <v>3</v>
      </c>
      <c r="AD1899">
        <v>0</v>
      </c>
      <c r="AE1899">
        <v>9</v>
      </c>
      <c r="AF1899" t="s">
        <v>138</v>
      </c>
      <c r="AG1899">
        <v>0</v>
      </c>
      <c r="AH1899">
        <v>3</v>
      </c>
      <c r="AI1899">
        <v>2</v>
      </c>
      <c r="AJ1899">
        <v>0</v>
      </c>
      <c r="AK1899" t="s">
        <v>680</v>
      </c>
      <c r="AL1899">
        <v>39.042620999999997</v>
      </c>
      <c r="AM1899" t="s">
        <v>681</v>
      </c>
      <c r="AN1899">
        <v>-121.04283599999999</v>
      </c>
      <c r="AO1899">
        <v>25</v>
      </c>
      <c r="AP1899">
        <v>4300</v>
      </c>
      <c r="AQ1899" t="s">
        <v>131</v>
      </c>
      <c r="AR1899">
        <v>18</v>
      </c>
      <c r="AS1899">
        <v>85</v>
      </c>
      <c r="AT1899">
        <v>256</v>
      </c>
      <c r="BB1899" t="str">
        <f t="shared" si="738"/>
        <v>1200</v>
      </c>
      <c r="BC1899">
        <v>1</v>
      </c>
      <c r="BD1899" t="str">
        <f t="shared" si="739"/>
        <v xml:space="preserve">N52156  </v>
      </c>
      <c r="BE1899">
        <v>1</v>
      </c>
      <c r="BG1899">
        <v>0</v>
      </c>
      <c r="BH1899">
        <v>0</v>
      </c>
      <c r="BI1899">
        <v>0</v>
      </c>
      <c r="BJ1899">
        <v>4325</v>
      </c>
      <c r="BK1899">
        <v>25</v>
      </c>
      <c r="BL1899" t="s">
        <v>188</v>
      </c>
      <c r="BM1899">
        <v>1</v>
      </c>
      <c r="BN1899">
        <v>1</v>
      </c>
      <c r="BO1899">
        <v>0</v>
      </c>
      <c r="BP1899">
        <v>0</v>
      </c>
      <c r="BS1899">
        <v>0</v>
      </c>
      <c r="BT1899">
        <v>0</v>
      </c>
      <c r="BU1899">
        <v>0</v>
      </c>
      <c r="CE1899" t="str">
        <f t="shared" si="753"/>
        <v>15:09:48.671</v>
      </c>
      <c r="CF1899">
        <v>671213196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5</v>
      </c>
      <c r="CY1899">
        <v>7</v>
      </c>
      <c r="CZ1899" t="s">
        <v>133</v>
      </c>
      <c r="DA1899">
        <v>275</v>
      </c>
      <c r="DB1899">
        <v>0</v>
      </c>
      <c r="DC1899" t="s">
        <v>134</v>
      </c>
      <c r="DD1899" t="s">
        <v>135</v>
      </c>
      <c r="DG1899">
        <v>3321043</v>
      </c>
      <c r="DI1899">
        <v>1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"05/01/2025 15:09:48.907"</f>
        <v>05/01/2025 15:09:48.907</v>
      </c>
      <c r="C1900" t="str">
        <f t="shared" si="736"/>
        <v>FFDFD3C0</v>
      </c>
      <c r="D1900" t="s">
        <v>124</v>
      </c>
      <c r="E1900" t="str">
        <f>"06"</f>
        <v>06</v>
      </c>
      <c r="F1900">
        <v>2006</v>
      </c>
      <c r="G1900" t="s">
        <v>125</v>
      </c>
      <c r="J1900" t="s">
        <v>126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R1900" t="s">
        <v>127</v>
      </c>
      <c r="S1900" t="str">
        <f t="shared" si="752"/>
        <v>15:09:48.000</v>
      </c>
      <c r="T1900" t="str">
        <f t="shared" si="752"/>
        <v>15:09:48.000</v>
      </c>
      <c r="U1900" t="str">
        <f t="shared" si="737"/>
        <v>A68FCB</v>
      </c>
      <c r="V1900">
        <v>0</v>
      </c>
      <c r="W1900">
        <v>0</v>
      </c>
      <c r="X1900">
        <v>2</v>
      </c>
      <c r="Y1900">
        <v>0</v>
      </c>
      <c r="AA1900">
        <v>1</v>
      </c>
      <c r="AB1900">
        <v>8</v>
      </c>
      <c r="AC1900">
        <v>3</v>
      </c>
      <c r="AD1900">
        <v>0</v>
      </c>
      <c r="AE1900">
        <v>9</v>
      </c>
      <c r="AF1900" t="s">
        <v>138</v>
      </c>
      <c r="AG1900">
        <v>0</v>
      </c>
      <c r="AH1900">
        <v>3</v>
      </c>
      <c r="AI1900">
        <v>2</v>
      </c>
      <c r="AJ1900">
        <v>0</v>
      </c>
      <c r="AK1900" t="s">
        <v>680</v>
      </c>
      <c r="AL1900">
        <v>39.042620999999997</v>
      </c>
      <c r="AM1900" t="s">
        <v>681</v>
      </c>
      <c r="AN1900">
        <v>-121.04283599999999</v>
      </c>
      <c r="AO1900">
        <v>25</v>
      </c>
      <c r="AP1900">
        <v>4300</v>
      </c>
      <c r="AQ1900" t="s">
        <v>131</v>
      </c>
      <c r="AR1900">
        <v>18</v>
      </c>
      <c r="AS1900">
        <v>85</v>
      </c>
      <c r="AT1900">
        <v>256</v>
      </c>
      <c r="BB1900" t="str">
        <f t="shared" si="738"/>
        <v>1200</v>
      </c>
      <c r="BC1900">
        <v>1</v>
      </c>
      <c r="BD1900" t="str">
        <f t="shared" si="739"/>
        <v xml:space="preserve">N52156  </v>
      </c>
      <c r="BE1900">
        <v>1</v>
      </c>
      <c r="BG1900">
        <v>0</v>
      </c>
      <c r="BH1900">
        <v>0</v>
      </c>
      <c r="BI1900">
        <v>0</v>
      </c>
      <c r="BJ1900">
        <v>4325</v>
      </c>
      <c r="BK1900">
        <v>25</v>
      </c>
      <c r="BL1900" t="s">
        <v>188</v>
      </c>
      <c r="BM1900">
        <v>1</v>
      </c>
      <c r="BN1900">
        <v>1</v>
      </c>
      <c r="BO1900">
        <v>0</v>
      </c>
      <c r="BP1900">
        <v>0</v>
      </c>
      <c r="BS1900">
        <v>0</v>
      </c>
      <c r="BT1900">
        <v>0</v>
      </c>
      <c r="BU1900">
        <v>0</v>
      </c>
      <c r="CE1900" t="str">
        <f t="shared" si="753"/>
        <v>15:09:48.671</v>
      </c>
      <c r="CF1900">
        <v>671213196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5</v>
      </c>
      <c r="CY1900">
        <v>7</v>
      </c>
      <c r="CZ1900" t="s">
        <v>133</v>
      </c>
      <c r="DA1900">
        <v>275</v>
      </c>
      <c r="DB1900">
        <v>0</v>
      </c>
      <c r="DC1900" t="s">
        <v>134</v>
      </c>
      <c r="DD1900" t="s">
        <v>135</v>
      </c>
      <c r="DG1900">
        <v>3321043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"05/01/2025 15:09:48.911"</f>
        <v>05/01/2025 15:09:48.911</v>
      </c>
      <c r="C1901" t="str">
        <f t="shared" si="736"/>
        <v>FFDFD3C0</v>
      </c>
      <c r="D1901" t="s">
        <v>145</v>
      </c>
      <c r="E1901" t="str">
        <f>"09"</f>
        <v>09</v>
      </c>
      <c r="H1901">
        <v>51</v>
      </c>
      <c r="I1901" t="s">
        <v>147</v>
      </c>
      <c r="J1901" t="s">
        <v>138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R1901" t="s">
        <v>127</v>
      </c>
      <c r="S1901" t="str">
        <f t="shared" si="752"/>
        <v>15:09:48.000</v>
      </c>
      <c r="T1901" t="str">
        <f t="shared" si="752"/>
        <v>15:09:48.000</v>
      </c>
      <c r="U1901" t="str">
        <f t="shared" si="737"/>
        <v>A68FCB</v>
      </c>
      <c r="V1901">
        <v>0</v>
      </c>
      <c r="W1901">
        <v>0</v>
      </c>
      <c r="X1901">
        <v>2</v>
      </c>
      <c r="Y1901">
        <v>0</v>
      </c>
      <c r="AA1901">
        <v>1</v>
      </c>
      <c r="AB1901">
        <v>8</v>
      </c>
      <c r="AC1901">
        <v>3</v>
      </c>
      <c r="AD1901">
        <v>0</v>
      </c>
      <c r="AE1901">
        <v>9</v>
      </c>
      <c r="AF1901" t="s">
        <v>138</v>
      </c>
      <c r="AG1901">
        <v>0</v>
      </c>
      <c r="AH1901">
        <v>3</v>
      </c>
      <c r="AI1901">
        <v>2</v>
      </c>
      <c r="AJ1901">
        <v>0</v>
      </c>
      <c r="AK1901" t="s">
        <v>680</v>
      </c>
      <c r="AL1901">
        <v>39.042620999999997</v>
      </c>
      <c r="AM1901" t="s">
        <v>681</v>
      </c>
      <c r="AN1901">
        <v>-121.04283599999999</v>
      </c>
      <c r="AO1901">
        <v>25</v>
      </c>
      <c r="AP1901">
        <v>4300</v>
      </c>
      <c r="AQ1901" t="s">
        <v>131</v>
      </c>
      <c r="AR1901">
        <v>18</v>
      </c>
      <c r="AS1901">
        <v>85</v>
      </c>
      <c r="AT1901">
        <v>256</v>
      </c>
      <c r="BB1901" t="str">
        <f t="shared" si="738"/>
        <v>1200</v>
      </c>
      <c r="BC1901">
        <v>1</v>
      </c>
      <c r="BD1901" t="str">
        <f t="shared" si="739"/>
        <v xml:space="preserve">N52156  </v>
      </c>
      <c r="BE1901">
        <v>1</v>
      </c>
      <c r="BG1901">
        <v>0</v>
      </c>
      <c r="BH1901">
        <v>0</v>
      </c>
      <c r="BI1901">
        <v>0</v>
      </c>
      <c r="BJ1901">
        <v>4325</v>
      </c>
      <c r="BK1901">
        <v>25</v>
      </c>
      <c r="BL1901" t="s">
        <v>188</v>
      </c>
      <c r="BM1901">
        <v>1</v>
      </c>
      <c r="BN1901">
        <v>1</v>
      </c>
      <c r="BO1901">
        <v>0</v>
      </c>
      <c r="BP1901">
        <v>0</v>
      </c>
      <c r="BS1901">
        <v>0</v>
      </c>
      <c r="BT1901">
        <v>0</v>
      </c>
      <c r="BU1901">
        <v>0</v>
      </c>
      <c r="CE1901" t="str">
        <f t="shared" si="753"/>
        <v>15:09:48.671</v>
      </c>
      <c r="CF1901">
        <v>671213196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5</v>
      </c>
      <c r="CY1901">
        <v>7</v>
      </c>
      <c r="CZ1901" t="s">
        <v>133</v>
      </c>
      <c r="DA1901">
        <v>275</v>
      </c>
      <c r="DB1901">
        <v>0</v>
      </c>
      <c r="DC1901" t="s">
        <v>134</v>
      </c>
      <c r="DD1901" t="s">
        <v>135</v>
      </c>
      <c r="DG1901">
        <v>3321043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"05/01/2025 15:09:48.916"</f>
        <v>05/01/2025 15:09:48.916</v>
      </c>
      <c r="C1902" t="str">
        <f t="shared" si="736"/>
        <v>FFDFD3C0</v>
      </c>
      <c r="D1902" t="s">
        <v>143</v>
      </c>
      <c r="E1902" t="str">
        <f>"05"</f>
        <v>05</v>
      </c>
      <c r="H1902">
        <v>172</v>
      </c>
      <c r="I1902" t="s">
        <v>141</v>
      </c>
      <c r="J1902" t="s">
        <v>144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R1902" t="s">
        <v>127</v>
      </c>
      <c r="S1902" t="str">
        <f t="shared" si="752"/>
        <v>15:09:48.000</v>
      </c>
      <c r="T1902" t="str">
        <f t="shared" si="752"/>
        <v>15:09:48.000</v>
      </c>
      <c r="U1902" t="str">
        <f t="shared" si="737"/>
        <v>A68FCB</v>
      </c>
      <c r="V1902">
        <v>0</v>
      </c>
      <c r="W1902">
        <v>0</v>
      </c>
      <c r="X1902">
        <v>2</v>
      </c>
      <c r="Y1902">
        <v>0</v>
      </c>
      <c r="AA1902">
        <v>1</v>
      </c>
      <c r="AB1902">
        <v>8</v>
      </c>
      <c r="AC1902">
        <v>3</v>
      </c>
      <c r="AD1902">
        <v>0</v>
      </c>
      <c r="AE1902">
        <v>9</v>
      </c>
      <c r="AF1902" t="s">
        <v>138</v>
      </c>
      <c r="AG1902">
        <v>0</v>
      </c>
      <c r="AH1902">
        <v>3</v>
      </c>
      <c r="AI1902">
        <v>2</v>
      </c>
      <c r="AJ1902">
        <v>0</v>
      </c>
      <c r="AK1902" t="s">
        <v>680</v>
      </c>
      <c r="AL1902">
        <v>39.042620999999997</v>
      </c>
      <c r="AM1902" t="s">
        <v>681</v>
      </c>
      <c r="AN1902">
        <v>-121.04283599999999</v>
      </c>
      <c r="AO1902">
        <v>25</v>
      </c>
      <c r="AP1902">
        <v>4300</v>
      </c>
      <c r="AQ1902" t="s">
        <v>131</v>
      </c>
      <c r="AR1902">
        <v>18</v>
      </c>
      <c r="AS1902">
        <v>85</v>
      </c>
      <c r="AT1902">
        <v>256</v>
      </c>
      <c r="BB1902" t="str">
        <f t="shared" si="738"/>
        <v>1200</v>
      </c>
      <c r="BC1902">
        <v>1</v>
      </c>
      <c r="BD1902" t="str">
        <f t="shared" si="739"/>
        <v xml:space="preserve">N52156  </v>
      </c>
      <c r="BE1902">
        <v>1</v>
      </c>
      <c r="BG1902">
        <v>0</v>
      </c>
      <c r="BH1902">
        <v>0</v>
      </c>
      <c r="BI1902">
        <v>0</v>
      </c>
      <c r="BJ1902">
        <v>4325</v>
      </c>
      <c r="BK1902">
        <v>25</v>
      </c>
      <c r="BL1902" t="s">
        <v>188</v>
      </c>
      <c r="BM1902">
        <v>1</v>
      </c>
      <c r="BN1902">
        <v>1</v>
      </c>
      <c r="BO1902">
        <v>0</v>
      </c>
      <c r="BP1902">
        <v>0</v>
      </c>
      <c r="BS1902">
        <v>0</v>
      </c>
      <c r="BT1902">
        <v>0</v>
      </c>
      <c r="BU1902">
        <v>0</v>
      </c>
      <c r="CE1902" t="str">
        <f t="shared" si="753"/>
        <v>15:09:48.671</v>
      </c>
      <c r="CF1902">
        <v>671213196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5</v>
      </c>
      <c r="CY1902">
        <v>7</v>
      </c>
      <c r="CZ1902" t="s">
        <v>133</v>
      </c>
      <c r="DA1902">
        <v>275</v>
      </c>
      <c r="DB1902">
        <v>0</v>
      </c>
      <c r="DC1902" t="s">
        <v>134</v>
      </c>
      <c r="DD1902" t="s">
        <v>135</v>
      </c>
      <c r="DG1902">
        <v>3321043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"05/01/2025 15:09:48.919"</f>
        <v>05/01/2025 15:09:48.919</v>
      </c>
      <c r="C1903" t="str">
        <f t="shared" si="736"/>
        <v>FFDFD3C0</v>
      </c>
      <c r="D1903" t="s">
        <v>136</v>
      </c>
      <c r="E1903" t="str">
        <f>"20"</f>
        <v>20</v>
      </c>
      <c r="H1903">
        <v>400</v>
      </c>
      <c r="I1903" t="s">
        <v>137</v>
      </c>
      <c r="J1903" t="s">
        <v>138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R1903" t="s">
        <v>127</v>
      </c>
      <c r="S1903" t="str">
        <f t="shared" si="752"/>
        <v>15:09:48.000</v>
      </c>
      <c r="T1903" t="str">
        <f t="shared" si="752"/>
        <v>15:09:48.000</v>
      </c>
      <c r="U1903" t="str">
        <f t="shared" si="737"/>
        <v>A68FCB</v>
      </c>
      <c r="V1903">
        <v>0</v>
      </c>
      <c r="W1903">
        <v>0</v>
      </c>
      <c r="X1903">
        <v>2</v>
      </c>
      <c r="Y1903">
        <v>0</v>
      </c>
      <c r="AA1903">
        <v>1</v>
      </c>
      <c r="AB1903">
        <v>8</v>
      </c>
      <c r="AC1903">
        <v>3</v>
      </c>
      <c r="AD1903">
        <v>0</v>
      </c>
      <c r="AE1903">
        <v>9</v>
      </c>
      <c r="AF1903" t="s">
        <v>138</v>
      </c>
      <c r="AG1903">
        <v>0</v>
      </c>
      <c r="AH1903">
        <v>3</v>
      </c>
      <c r="AI1903">
        <v>2</v>
      </c>
      <c r="AJ1903">
        <v>0</v>
      </c>
      <c r="AK1903" t="s">
        <v>680</v>
      </c>
      <c r="AL1903">
        <v>39.042620999999997</v>
      </c>
      <c r="AM1903" t="s">
        <v>681</v>
      </c>
      <c r="AN1903">
        <v>-121.04283599999999</v>
      </c>
      <c r="AO1903">
        <v>25</v>
      </c>
      <c r="AP1903">
        <v>4300</v>
      </c>
      <c r="AQ1903" t="s">
        <v>131</v>
      </c>
      <c r="AR1903">
        <v>18</v>
      </c>
      <c r="AS1903">
        <v>85</v>
      </c>
      <c r="AT1903">
        <v>256</v>
      </c>
      <c r="BB1903" t="str">
        <f t="shared" si="738"/>
        <v>1200</v>
      </c>
      <c r="BC1903">
        <v>1</v>
      </c>
      <c r="BD1903" t="str">
        <f t="shared" si="739"/>
        <v xml:space="preserve">N52156  </v>
      </c>
      <c r="BE1903">
        <v>1</v>
      </c>
      <c r="BG1903">
        <v>0</v>
      </c>
      <c r="BH1903">
        <v>0</v>
      </c>
      <c r="BI1903">
        <v>0</v>
      </c>
      <c r="BJ1903">
        <v>4325</v>
      </c>
      <c r="BK1903">
        <v>25</v>
      </c>
      <c r="BL1903" t="s">
        <v>188</v>
      </c>
      <c r="BM1903">
        <v>1</v>
      </c>
      <c r="BN1903">
        <v>1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 t="shared" si="753"/>
        <v>15:09:48.671</v>
      </c>
      <c r="CF1903">
        <v>671213196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5</v>
      </c>
      <c r="CY1903">
        <v>7</v>
      </c>
      <c r="CZ1903" t="s">
        <v>133</v>
      </c>
      <c r="DA1903">
        <v>275</v>
      </c>
      <c r="DB1903">
        <v>0</v>
      </c>
      <c r="DC1903" t="s">
        <v>134</v>
      </c>
      <c r="DD1903" t="s">
        <v>135</v>
      </c>
      <c r="DG1903">
        <v>3321043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"05/01/2025 15:09:49.908"</f>
        <v>05/01/2025 15:09:49.908</v>
      </c>
      <c r="C1904" t="str">
        <f t="shared" si="736"/>
        <v>FFDFD3C0</v>
      </c>
      <c r="D1904" t="s">
        <v>145</v>
      </c>
      <c r="E1904" t="str">
        <f>"05"</f>
        <v>05</v>
      </c>
      <c r="H1904">
        <v>47</v>
      </c>
      <c r="I1904" t="s">
        <v>146</v>
      </c>
      <c r="J1904" t="s">
        <v>138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R1904" t="s">
        <v>127</v>
      </c>
      <c r="S1904" t="str">
        <f t="shared" ref="S1904:T1909" si="754">"15:09:49.000"</f>
        <v>15:09:49.000</v>
      </c>
      <c r="T1904" t="str">
        <f t="shared" si="754"/>
        <v>15:09:49.000</v>
      </c>
      <c r="U1904" t="str">
        <f t="shared" si="737"/>
        <v>A68FCB</v>
      </c>
      <c r="V1904">
        <v>0</v>
      </c>
      <c r="W1904">
        <v>0</v>
      </c>
      <c r="X1904">
        <v>2</v>
      </c>
      <c r="Y1904">
        <v>0</v>
      </c>
      <c r="AA1904">
        <v>1</v>
      </c>
      <c r="AB1904">
        <v>8</v>
      </c>
      <c r="AC1904">
        <v>3</v>
      </c>
      <c r="AD1904">
        <v>0</v>
      </c>
      <c r="AE1904">
        <v>9</v>
      </c>
      <c r="AF1904" t="s">
        <v>138</v>
      </c>
      <c r="AG1904">
        <v>0</v>
      </c>
      <c r="AH1904">
        <v>3</v>
      </c>
      <c r="AI1904">
        <v>2</v>
      </c>
      <c r="AJ1904">
        <v>0</v>
      </c>
      <c r="AK1904" t="s">
        <v>682</v>
      </c>
      <c r="AL1904">
        <v>39.043007000000003</v>
      </c>
      <c r="AM1904" t="s">
        <v>683</v>
      </c>
      <c r="AN1904">
        <v>-121.04270699999999</v>
      </c>
      <c r="AO1904">
        <v>25</v>
      </c>
      <c r="AP1904">
        <v>4300</v>
      </c>
      <c r="AQ1904" t="s">
        <v>131</v>
      </c>
      <c r="AR1904">
        <v>18</v>
      </c>
      <c r="AS1904">
        <v>85</v>
      </c>
      <c r="AT1904">
        <v>192</v>
      </c>
      <c r="BB1904" t="str">
        <f t="shared" si="738"/>
        <v>1200</v>
      </c>
      <c r="BC1904">
        <v>1</v>
      </c>
      <c r="BD1904" t="str">
        <f t="shared" si="739"/>
        <v xml:space="preserve">N52156  </v>
      </c>
      <c r="BE1904">
        <v>1</v>
      </c>
      <c r="BG1904">
        <v>0</v>
      </c>
      <c r="BH1904">
        <v>0</v>
      </c>
      <c r="BI1904">
        <v>0</v>
      </c>
      <c r="BJ1904">
        <v>4325</v>
      </c>
      <c r="BK1904">
        <v>25</v>
      </c>
      <c r="BL1904" t="s">
        <v>188</v>
      </c>
      <c r="BM1904">
        <v>1</v>
      </c>
      <c r="BN1904">
        <v>1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 t="shared" ref="CE1904:CE1909" si="755">"15:09:49.693"</f>
        <v>15:09:49.693</v>
      </c>
      <c r="CF1904">
        <v>693463270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4</v>
      </c>
      <c r="CY1904">
        <v>7</v>
      </c>
      <c r="CZ1904" t="s">
        <v>133</v>
      </c>
      <c r="DA1904">
        <v>275</v>
      </c>
      <c r="DB1904">
        <v>0</v>
      </c>
      <c r="DC1904" t="s">
        <v>134</v>
      </c>
      <c r="DD1904" t="s">
        <v>135</v>
      </c>
      <c r="DG1904">
        <v>3321055</v>
      </c>
      <c r="DI1904">
        <v>1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"05/01/2025 15:09:49.909"</f>
        <v>05/01/2025 15:09:49.909</v>
      </c>
      <c r="C1905" t="str">
        <f t="shared" si="736"/>
        <v>FFDFD3C0</v>
      </c>
      <c r="D1905" t="s">
        <v>124</v>
      </c>
      <c r="E1905" t="str">
        <f>"06"</f>
        <v>06</v>
      </c>
      <c r="F1905">
        <v>2006</v>
      </c>
      <c r="G1905" t="s">
        <v>125</v>
      </c>
      <c r="J1905" t="s">
        <v>126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R1905" t="s">
        <v>127</v>
      </c>
      <c r="S1905" t="str">
        <f t="shared" si="754"/>
        <v>15:09:49.000</v>
      </c>
      <c r="T1905" t="str">
        <f t="shared" si="754"/>
        <v>15:09:49.000</v>
      </c>
      <c r="U1905" t="str">
        <f t="shared" si="737"/>
        <v>A68FCB</v>
      </c>
      <c r="V1905">
        <v>0</v>
      </c>
      <c r="W1905">
        <v>0</v>
      </c>
      <c r="X1905">
        <v>2</v>
      </c>
      <c r="Y1905">
        <v>0</v>
      </c>
      <c r="AA1905">
        <v>1</v>
      </c>
      <c r="AB1905">
        <v>8</v>
      </c>
      <c r="AC1905">
        <v>3</v>
      </c>
      <c r="AD1905">
        <v>0</v>
      </c>
      <c r="AE1905">
        <v>9</v>
      </c>
      <c r="AF1905" t="s">
        <v>138</v>
      </c>
      <c r="AG1905">
        <v>0</v>
      </c>
      <c r="AH1905">
        <v>3</v>
      </c>
      <c r="AI1905">
        <v>2</v>
      </c>
      <c r="AJ1905">
        <v>0</v>
      </c>
      <c r="AK1905" t="s">
        <v>682</v>
      </c>
      <c r="AL1905">
        <v>39.043007000000003</v>
      </c>
      <c r="AM1905" t="s">
        <v>683</v>
      </c>
      <c r="AN1905">
        <v>-121.04270699999999</v>
      </c>
      <c r="AO1905">
        <v>25</v>
      </c>
      <c r="AP1905">
        <v>4300</v>
      </c>
      <c r="AQ1905" t="s">
        <v>131</v>
      </c>
      <c r="AR1905">
        <v>18</v>
      </c>
      <c r="AS1905">
        <v>85</v>
      </c>
      <c r="AT1905">
        <v>192</v>
      </c>
      <c r="BB1905" t="str">
        <f t="shared" si="738"/>
        <v>1200</v>
      </c>
      <c r="BC1905">
        <v>1</v>
      </c>
      <c r="BD1905" t="str">
        <f t="shared" si="739"/>
        <v xml:space="preserve">N52156  </v>
      </c>
      <c r="BE1905">
        <v>1</v>
      </c>
      <c r="BG1905">
        <v>0</v>
      </c>
      <c r="BH1905">
        <v>0</v>
      </c>
      <c r="BI1905">
        <v>0</v>
      </c>
      <c r="BJ1905">
        <v>4325</v>
      </c>
      <c r="BK1905">
        <v>25</v>
      </c>
      <c r="BL1905" t="s">
        <v>188</v>
      </c>
      <c r="BM1905">
        <v>1</v>
      </c>
      <c r="BN1905">
        <v>1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 t="shared" si="755"/>
        <v>15:09:49.693</v>
      </c>
      <c r="CF1905">
        <v>693463270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4</v>
      </c>
      <c r="CY1905">
        <v>7</v>
      </c>
      <c r="CZ1905" t="s">
        <v>133</v>
      </c>
      <c r="DA1905">
        <v>275</v>
      </c>
      <c r="DB1905">
        <v>0</v>
      </c>
      <c r="DC1905" t="s">
        <v>134</v>
      </c>
      <c r="DD1905" t="s">
        <v>135</v>
      </c>
      <c r="DG1905">
        <v>3321055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"05/01/2025 15:09:49.913"</f>
        <v>05/01/2025 15:09:49.913</v>
      </c>
      <c r="C1906" t="str">
        <f t="shared" si="736"/>
        <v>FFDFD3C0</v>
      </c>
      <c r="D1906" t="s">
        <v>145</v>
      </c>
      <c r="E1906" t="str">
        <f>"09"</f>
        <v>09</v>
      </c>
      <c r="H1906">
        <v>51</v>
      </c>
      <c r="I1906" t="s">
        <v>147</v>
      </c>
      <c r="J1906" t="s">
        <v>138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R1906" t="s">
        <v>127</v>
      </c>
      <c r="S1906" t="str">
        <f t="shared" si="754"/>
        <v>15:09:49.000</v>
      </c>
      <c r="T1906" t="str">
        <f t="shared" si="754"/>
        <v>15:09:49.000</v>
      </c>
      <c r="U1906" t="str">
        <f t="shared" si="737"/>
        <v>A68FCB</v>
      </c>
      <c r="V1906">
        <v>0</v>
      </c>
      <c r="W1906">
        <v>0</v>
      </c>
      <c r="X1906">
        <v>2</v>
      </c>
      <c r="Y1906">
        <v>0</v>
      </c>
      <c r="AA1906">
        <v>1</v>
      </c>
      <c r="AB1906">
        <v>8</v>
      </c>
      <c r="AC1906">
        <v>3</v>
      </c>
      <c r="AD1906">
        <v>0</v>
      </c>
      <c r="AE1906">
        <v>9</v>
      </c>
      <c r="AF1906" t="s">
        <v>138</v>
      </c>
      <c r="AG1906">
        <v>0</v>
      </c>
      <c r="AH1906">
        <v>3</v>
      </c>
      <c r="AI1906">
        <v>2</v>
      </c>
      <c r="AJ1906">
        <v>0</v>
      </c>
      <c r="AK1906" t="s">
        <v>682</v>
      </c>
      <c r="AL1906">
        <v>39.043007000000003</v>
      </c>
      <c r="AM1906" t="s">
        <v>683</v>
      </c>
      <c r="AN1906">
        <v>-121.04270699999999</v>
      </c>
      <c r="AO1906">
        <v>25</v>
      </c>
      <c r="AP1906">
        <v>4300</v>
      </c>
      <c r="AQ1906" t="s">
        <v>131</v>
      </c>
      <c r="AR1906">
        <v>18</v>
      </c>
      <c r="AS1906">
        <v>85</v>
      </c>
      <c r="AT1906">
        <v>192</v>
      </c>
      <c r="BB1906" t="str">
        <f t="shared" si="738"/>
        <v>1200</v>
      </c>
      <c r="BC1906">
        <v>1</v>
      </c>
      <c r="BD1906" t="str">
        <f t="shared" si="739"/>
        <v xml:space="preserve">N52156  </v>
      </c>
      <c r="BE1906">
        <v>1</v>
      </c>
      <c r="BG1906">
        <v>0</v>
      </c>
      <c r="BH1906">
        <v>0</v>
      </c>
      <c r="BI1906">
        <v>0</v>
      </c>
      <c r="BJ1906">
        <v>4325</v>
      </c>
      <c r="BK1906">
        <v>25</v>
      </c>
      <c r="BL1906" t="s">
        <v>188</v>
      </c>
      <c r="BM1906">
        <v>1</v>
      </c>
      <c r="BN1906">
        <v>1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 t="shared" si="755"/>
        <v>15:09:49.693</v>
      </c>
      <c r="CF1906">
        <v>693463270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4</v>
      </c>
      <c r="CY1906">
        <v>7</v>
      </c>
      <c r="CZ1906" t="s">
        <v>133</v>
      </c>
      <c r="DA1906">
        <v>275</v>
      </c>
      <c r="DB1906">
        <v>0</v>
      </c>
      <c r="DC1906" t="s">
        <v>134</v>
      </c>
      <c r="DD1906" t="s">
        <v>135</v>
      </c>
      <c r="DG1906">
        <v>3321055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"05/01/2025 15:09:49.918"</f>
        <v>05/01/2025 15:09:49.918</v>
      </c>
      <c r="C1907" t="str">
        <f t="shared" si="736"/>
        <v>FFDFD3C0</v>
      </c>
      <c r="D1907" t="s">
        <v>143</v>
      </c>
      <c r="E1907" t="str">
        <f>"05"</f>
        <v>05</v>
      </c>
      <c r="H1907">
        <v>172</v>
      </c>
      <c r="I1907" t="s">
        <v>141</v>
      </c>
      <c r="J1907" t="s">
        <v>144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R1907" t="s">
        <v>127</v>
      </c>
      <c r="S1907" t="str">
        <f t="shared" si="754"/>
        <v>15:09:49.000</v>
      </c>
      <c r="T1907" t="str">
        <f t="shared" si="754"/>
        <v>15:09:49.000</v>
      </c>
      <c r="U1907" t="str">
        <f t="shared" si="737"/>
        <v>A68FCB</v>
      </c>
      <c r="V1907">
        <v>0</v>
      </c>
      <c r="W1907">
        <v>0</v>
      </c>
      <c r="X1907">
        <v>2</v>
      </c>
      <c r="Y1907">
        <v>0</v>
      </c>
      <c r="AA1907">
        <v>1</v>
      </c>
      <c r="AB1907">
        <v>8</v>
      </c>
      <c r="AC1907">
        <v>3</v>
      </c>
      <c r="AD1907">
        <v>0</v>
      </c>
      <c r="AE1907">
        <v>9</v>
      </c>
      <c r="AF1907" t="s">
        <v>138</v>
      </c>
      <c r="AG1907">
        <v>0</v>
      </c>
      <c r="AH1907">
        <v>3</v>
      </c>
      <c r="AI1907">
        <v>2</v>
      </c>
      <c r="AJ1907">
        <v>0</v>
      </c>
      <c r="AK1907" t="s">
        <v>682</v>
      </c>
      <c r="AL1907">
        <v>39.043007000000003</v>
      </c>
      <c r="AM1907" t="s">
        <v>683</v>
      </c>
      <c r="AN1907">
        <v>-121.04270699999999</v>
      </c>
      <c r="AO1907">
        <v>25</v>
      </c>
      <c r="AP1907">
        <v>4300</v>
      </c>
      <c r="AQ1907" t="s">
        <v>131</v>
      </c>
      <c r="AR1907">
        <v>18</v>
      </c>
      <c r="AS1907">
        <v>85</v>
      </c>
      <c r="AT1907">
        <v>192</v>
      </c>
      <c r="BB1907" t="str">
        <f t="shared" si="738"/>
        <v>1200</v>
      </c>
      <c r="BC1907">
        <v>1</v>
      </c>
      <c r="BD1907" t="str">
        <f t="shared" si="739"/>
        <v xml:space="preserve">N52156  </v>
      </c>
      <c r="BE1907">
        <v>1</v>
      </c>
      <c r="BG1907">
        <v>0</v>
      </c>
      <c r="BH1907">
        <v>0</v>
      </c>
      <c r="BI1907">
        <v>0</v>
      </c>
      <c r="BJ1907">
        <v>4325</v>
      </c>
      <c r="BK1907">
        <v>25</v>
      </c>
      <c r="BL1907" t="s">
        <v>188</v>
      </c>
      <c r="BM1907">
        <v>1</v>
      </c>
      <c r="BN1907">
        <v>1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 t="shared" si="755"/>
        <v>15:09:49.693</v>
      </c>
      <c r="CF1907">
        <v>693463270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4</v>
      </c>
      <c r="CY1907">
        <v>7</v>
      </c>
      <c r="CZ1907" t="s">
        <v>133</v>
      </c>
      <c r="DA1907">
        <v>275</v>
      </c>
      <c r="DB1907">
        <v>0</v>
      </c>
      <c r="DC1907" t="s">
        <v>134</v>
      </c>
      <c r="DD1907" t="s">
        <v>135</v>
      </c>
      <c r="DG1907">
        <v>3321055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"05/01/2025 15:09:49.921"</f>
        <v>05/01/2025 15:09:49.921</v>
      </c>
      <c r="C1908" t="str">
        <f t="shared" si="736"/>
        <v>FFDFD3C0</v>
      </c>
      <c r="D1908" t="s">
        <v>136</v>
      </c>
      <c r="E1908" t="str">
        <f>"20"</f>
        <v>20</v>
      </c>
      <c r="H1908">
        <v>400</v>
      </c>
      <c r="I1908" t="s">
        <v>137</v>
      </c>
      <c r="J1908" t="s">
        <v>138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R1908" t="s">
        <v>127</v>
      </c>
      <c r="S1908" t="str">
        <f t="shared" si="754"/>
        <v>15:09:49.000</v>
      </c>
      <c r="T1908" t="str">
        <f t="shared" si="754"/>
        <v>15:09:49.000</v>
      </c>
      <c r="U1908" t="str">
        <f t="shared" si="737"/>
        <v>A68FCB</v>
      </c>
      <c r="V1908">
        <v>0</v>
      </c>
      <c r="W1908">
        <v>0</v>
      </c>
      <c r="X1908">
        <v>2</v>
      </c>
      <c r="Y1908">
        <v>0</v>
      </c>
      <c r="AA1908">
        <v>1</v>
      </c>
      <c r="AB1908">
        <v>8</v>
      </c>
      <c r="AC1908">
        <v>3</v>
      </c>
      <c r="AD1908">
        <v>0</v>
      </c>
      <c r="AE1908">
        <v>9</v>
      </c>
      <c r="AF1908" t="s">
        <v>138</v>
      </c>
      <c r="AG1908">
        <v>0</v>
      </c>
      <c r="AH1908">
        <v>3</v>
      </c>
      <c r="AI1908">
        <v>2</v>
      </c>
      <c r="AJ1908">
        <v>0</v>
      </c>
      <c r="AK1908" t="s">
        <v>682</v>
      </c>
      <c r="AL1908">
        <v>39.043007000000003</v>
      </c>
      <c r="AM1908" t="s">
        <v>683</v>
      </c>
      <c r="AN1908">
        <v>-121.04270699999999</v>
      </c>
      <c r="AO1908">
        <v>25</v>
      </c>
      <c r="AP1908">
        <v>4300</v>
      </c>
      <c r="AQ1908" t="s">
        <v>131</v>
      </c>
      <c r="AR1908">
        <v>18</v>
      </c>
      <c r="AS1908">
        <v>85</v>
      </c>
      <c r="AT1908">
        <v>192</v>
      </c>
      <c r="BB1908" t="str">
        <f t="shared" si="738"/>
        <v>1200</v>
      </c>
      <c r="BC1908">
        <v>1</v>
      </c>
      <c r="BD1908" t="str">
        <f t="shared" si="739"/>
        <v xml:space="preserve">N52156  </v>
      </c>
      <c r="BE1908">
        <v>1</v>
      </c>
      <c r="BG1908">
        <v>0</v>
      </c>
      <c r="BH1908">
        <v>0</v>
      </c>
      <c r="BI1908">
        <v>0</v>
      </c>
      <c r="BJ1908">
        <v>4325</v>
      </c>
      <c r="BK1908">
        <v>25</v>
      </c>
      <c r="BL1908" t="s">
        <v>188</v>
      </c>
      <c r="BM1908">
        <v>1</v>
      </c>
      <c r="BN1908">
        <v>1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 t="shared" si="755"/>
        <v>15:09:49.693</v>
      </c>
      <c r="CF1908">
        <v>693463270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4</v>
      </c>
      <c r="CY1908">
        <v>7</v>
      </c>
      <c r="CZ1908" t="s">
        <v>133</v>
      </c>
      <c r="DA1908">
        <v>275</v>
      </c>
      <c r="DB1908">
        <v>0</v>
      </c>
      <c r="DC1908" t="s">
        <v>134</v>
      </c>
      <c r="DD1908" t="s">
        <v>135</v>
      </c>
      <c r="DG1908">
        <v>3321055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"05/01/2025 15:09:49.949"</f>
        <v>05/01/2025 15:09:49.949</v>
      </c>
      <c r="C1909" t="str">
        <f t="shared" si="736"/>
        <v>FFDFD3C0</v>
      </c>
      <c r="D1909" t="s">
        <v>140</v>
      </c>
      <c r="E1909" t="str">
        <f>"13"</f>
        <v>13</v>
      </c>
      <c r="F1909">
        <v>1019</v>
      </c>
      <c r="G1909" t="s">
        <v>141</v>
      </c>
      <c r="J1909" t="s">
        <v>142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R1909" t="s">
        <v>127</v>
      </c>
      <c r="S1909" t="str">
        <f t="shared" si="754"/>
        <v>15:09:49.000</v>
      </c>
      <c r="T1909" t="str">
        <f t="shared" si="754"/>
        <v>15:09:49.000</v>
      </c>
      <c r="U1909" t="str">
        <f t="shared" si="737"/>
        <v>A68FCB</v>
      </c>
      <c r="V1909">
        <v>0</v>
      </c>
      <c r="W1909">
        <v>0</v>
      </c>
      <c r="X1909">
        <v>2</v>
      </c>
      <c r="Y1909">
        <v>0</v>
      </c>
      <c r="AA1909">
        <v>1</v>
      </c>
      <c r="AB1909">
        <v>8</v>
      </c>
      <c r="AC1909">
        <v>3</v>
      </c>
      <c r="AD1909">
        <v>0</v>
      </c>
      <c r="AE1909">
        <v>9</v>
      </c>
      <c r="AF1909" t="s">
        <v>138</v>
      </c>
      <c r="AG1909">
        <v>0</v>
      </c>
      <c r="AH1909">
        <v>3</v>
      </c>
      <c r="AI1909">
        <v>2</v>
      </c>
      <c r="AJ1909">
        <v>0</v>
      </c>
      <c r="AK1909" t="s">
        <v>682</v>
      </c>
      <c r="AL1909">
        <v>39.043007000000003</v>
      </c>
      <c r="AM1909" t="s">
        <v>683</v>
      </c>
      <c r="AN1909">
        <v>-121.04270699999999</v>
      </c>
      <c r="AO1909">
        <v>25</v>
      </c>
      <c r="AP1909">
        <v>4300</v>
      </c>
      <c r="AQ1909" t="s">
        <v>131</v>
      </c>
      <c r="AR1909">
        <v>18</v>
      </c>
      <c r="AS1909">
        <v>85</v>
      </c>
      <c r="AT1909">
        <v>192</v>
      </c>
      <c r="BB1909" t="str">
        <f t="shared" si="738"/>
        <v>1200</v>
      </c>
      <c r="BC1909">
        <v>1</v>
      </c>
      <c r="BD1909" t="str">
        <f t="shared" si="739"/>
        <v xml:space="preserve">N52156  </v>
      </c>
      <c r="BE1909">
        <v>1</v>
      </c>
      <c r="BG1909">
        <v>0</v>
      </c>
      <c r="BH1909">
        <v>0</v>
      </c>
      <c r="BI1909">
        <v>0</v>
      </c>
      <c r="BJ1909">
        <v>4325</v>
      </c>
      <c r="BK1909">
        <v>25</v>
      </c>
      <c r="BL1909" t="s">
        <v>188</v>
      </c>
      <c r="BM1909">
        <v>1</v>
      </c>
      <c r="BN1909">
        <v>1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 t="shared" si="755"/>
        <v>15:09:49.693</v>
      </c>
      <c r="CF1909">
        <v>693463270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4</v>
      </c>
      <c r="CY1909">
        <v>7</v>
      </c>
      <c r="CZ1909" t="s">
        <v>133</v>
      </c>
      <c r="DA1909">
        <v>275</v>
      </c>
      <c r="DB1909">
        <v>0</v>
      </c>
      <c r="DC1909" t="s">
        <v>134</v>
      </c>
      <c r="DD1909" t="s">
        <v>135</v>
      </c>
      <c r="DG1909">
        <v>3321055</v>
      </c>
      <c r="DI1909">
        <v>1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"05/01/2025 15:09:50.550"</f>
        <v>05/01/2025 15:09:50.550</v>
      </c>
      <c r="C1910" t="str">
        <f t="shared" si="736"/>
        <v>FFDFD3C0</v>
      </c>
      <c r="D1910" t="s">
        <v>140</v>
      </c>
      <c r="E1910" t="str">
        <f>"13"</f>
        <v>13</v>
      </c>
      <c r="F1910">
        <v>1019</v>
      </c>
      <c r="G1910" t="s">
        <v>141</v>
      </c>
      <c r="J1910" t="s">
        <v>142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R1910" t="s">
        <v>127</v>
      </c>
      <c r="S1910" t="str">
        <f t="shared" ref="S1910:T1915" si="756">"15:09:50.000"</f>
        <v>15:09:50.000</v>
      </c>
      <c r="T1910" t="str">
        <f t="shared" si="756"/>
        <v>15:09:50.000</v>
      </c>
      <c r="U1910" t="str">
        <f t="shared" si="737"/>
        <v>A68FCB</v>
      </c>
      <c r="V1910">
        <v>0</v>
      </c>
      <c r="W1910">
        <v>0</v>
      </c>
      <c r="X1910">
        <v>2</v>
      </c>
      <c r="Y1910">
        <v>0</v>
      </c>
      <c r="AA1910">
        <v>1</v>
      </c>
      <c r="AB1910">
        <v>8</v>
      </c>
      <c r="AC1910">
        <v>3</v>
      </c>
      <c r="AD1910">
        <v>0</v>
      </c>
      <c r="AE1910">
        <v>9</v>
      </c>
      <c r="AF1910" t="s">
        <v>138</v>
      </c>
      <c r="AG1910">
        <v>0</v>
      </c>
      <c r="AH1910">
        <v>3</v>
      </c>
      <c r="AI1910">
        <v>2</v>
      </c>
      <c r="AJ1910">
        <v>0</v>
      </c>
      <c r="AK1910" t="s">
        <v>684</v>
      </c>
      <c r="AL1910">
        <v>39.043393000000002</v>
      </c>
      <c r="AM1910" t="s">
        <v>685</v>
      </c>
      <c r="AN1910">
        <v>-121.04259999999999</v>
      </c>
      <c r="AO1910">
        <v>25</v>
      </c>
      <c r="AP1910">
        <v>4300</v>
      </c>
      <c r="AQ1910" t="s">
        <v>131</v>
      </c>
      <c r="AR1910">
        <v>17</v>
      </c>
      <c r="AS1910">
        <v>86</v>
      </c>
      <c r="AT1910">
        <v>192</v>
      </c>
      <c r="BB1910" t="str">
        <f t="shared" si="738"/>
        <v>1200</v>
      </c>
      <c r="BC1910">
        <v>1</v>
      </c>
      <c r="BD1910" t="str">
        <f t="shared" si="739"/>
        <v xml:space="preserve">N52156  </v>
      </c>
      <c r="BE1910">
        <v>1</v>
      </c>
      <c r="BG1910">
        <v>0</v>
      </c>
      <c r="BH1910">
        <v>0</v>
      </c>
      <c r="BI1910">
        <v>0</v>
      </c>
      <c r="BJ1910">
        <v>4325</v>
      </c>
      <c r="BK1910">
        <v>25</v>
      </c>
      <c r="BL1910" t="s">
        <v>188</v>
      </c>
      <c r="BM1910">
        <v>1</v>
      </c>
      <c r="BN1910">
        <v>1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 t="shared" ref="CE1910:CE1915" si="757">"15:09:50.326"</f>
        <v>15:09:50.326</v>
      </c>
      <c r="CF1910">
        <v>325962446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133</v>
      </c>
      <c r="DA1910">
        <v>275</v>
      </c>
      <c r="DB1910">
        <v>0</v>
      </c>
      <c r="DC1910" t="s">
        <v>134</v>
      </c>
      <c r="DD1910" t="s">
        <v>135</v>
      </c>
      <c r="DG1910">
        <v>3321058</v>
      </c>
      <c r="DI1910">
        <v>1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"05/01/2025 15:09:50.559"</f>
        <v>05/01/2025 15:09:50.559</v>
      </c>
      <c r="C1911" t="str">
        <f t="shared" si="736"/>
        <v>FFDFD3C0</v>
      </c>
      <c r="D1911" t="s">
        <v>145</v>
      </c>
      <c r="E1911" t="str">
        <f>"05"</f>
        <v>05</v>
      </c>
      <c r="H1911">
        <v>47</v>
      </c>
      <c r="I1911" t="s">
        <v>146</v>
      </c>
      <c r="J1911" t="s">
        <v>138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R1911" t="s">
        <v>127</v>
      </c>
      <c r="S1911" t="str">
        <f t="shared" si="756"/>
        <v>15:09:50.000</v>
      </c>
      <c r="T1911" t="str">
        <f t="shared" si="756"/>
        <v>15:09:50.000</v>
      </c>
      <c r="U1911" t="str">
        <f t="shared" si="737"/>
        <v>A68FCB</v>
      </c>
      <c r="V1911">
        <v>0</v>
      </c>
      <c r="W1911">
        <v>0</v>
      </c>
      <c r="X1911">
        <v>2</v>
      </c>
      <c r="Y1911">
        <v>0</v>
      </c>
      <c r="AA1911">
        <v>1</v>
      </c>
      <c r="AB1911">
        <v>8</v>
      </c>
      <c r="AC1911">
        <v>3</v>
      </c>
      <c r="AD1911">
        <v>0</v>
      </c>
      <c r="AE1911">
        <v>9</v>
      </c>
      <c r="AF1911" t="s">
        <v>138</v>
      </c>
      <c r="AG1911">
        <v>0</v>
      </c>
      <c r="AH1911">
        <v>3</v>
      </c>
      <c r="AI1911">
        <v>2</v>
      </c>
      <c r="AJ1911">
        <v>0</v>
      </c>
      <c r="AK1911" t="s">
        <v>684</v>
      </c>
      <c r="AL1911">
        <v>39.043393000000002</v>
      </c>
      <c r="AM1911" t="s">
        <v>685</v>
      </c>
      <c r="AN1911">
        <v>-121.04259999999999</v>
      </c>
      <c r="AO1911">
        <v>25</v>
      </c>
      <c r="AP1911">
        <v>4300</v>
      </c>
      <c r="AQ1911" t="s">
        <v>131</v>
      </c>
      <c r="AR1911">
        <v>17</v>
      </c>
      <c r="AS1911">
        <v>86</v>
      </c>
      <c r="AT1911">
        <v>192</v>
      </c>
      <c r="BB1911" t="str">
        <f t="shared" si="738"/>
        <v>1200</v>
      </c>
      <c r="BC1911">
        <v>1</v>
      </c>
      <c r="BD1911" t="str">
        <f t="shared" si="739"/>
        <v xml:space="preserve">N52156  </v>
      </c>
      <c r="BE1911">
        <v>1</v>
      </c>
      <c r="BG1911">
        <v>0</v>
      </c>
      <c r="BH1911">
        <v>0</v>
      </c>
      <c r="BI1911">
        <v>0</v>
      </c>
      <c r="BJ1911">
        <v>4325</v>
      </c>
      <c r="BK1911">
        <v>25</v>
      </c>
      <c r="BL1911" t="s">
        <v>188</v>
      </c>
      <c r="BM1911">
        <v>1</v>
      </c>
      <c r="BN1911">
        <v>1</v>
      </c>
      <c r="BO1911">
        <v>0</v>
      </c>
      <c r="BP1911">
        <v>0</v>
      </c>
      <c r="BS1911">
        <v>0</v>
      </c>
      <c r="BT1911">
        <v>0</v>
      </c>
      <c r="BU1911">
        <v>0</v>
      </c>
      <c r="CE1911" t="str">
        <f t="shared" si="757"/>
        <v>15:09:50.326</v>
      </c>
      <c r="CF1911">
        <v>325962446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5</v>
      </c>
      <c r="CY1911">
        <v>7</v>
      </c>
      <c r="CZ1911" t="s">
        <v>133</v>
      </c>
      <c r="DA1911">
        <v>275</v>
      </c>
      <c r="DB1911">
        <v>0</v>
      </c>
      <c r="DC1911" t="s">
        <v>134</v>
      </c>
      <c r="DD1911" t="s">
        <v>135</v>
      </c>
      <c r="DG1911">
        <v>3321058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"05/01/2025 15:09:50.560"</f>
        <v>05/01/2025 15:09:50.560</v>
      </c>
      <c r="C1912" t="str">
        <f t="shared" si="736"/>
        <v>FFDFD3C0</v>
      </c>
      <c r="D1912" t="s">
        <v>124</v>
      </c>
      <c r="E1912" t="str">
        <f>"06"</f>
        <v>06</v>
      </c>
      <c r="F1912">
        <v>2006</v>
      </c>
      <c r="G1912" t="s">
        <v>125</v>
      </c>
      <c r="J1912" t="s">
        <v>126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R1912" t="s">
        <v>127</v>
      </c>
      <c r="S1912" t="str">
        <f t="shared" si="756"/>
        <v>15:09:50.000</v>
      </c>
      <c r="T1912" t="str">
        <f t="shared" si="756"/>
        <v>15:09:50.000</v>
      </c>
      <c r="U1912" t="str">
        <f t="shared" si="737"/>
        <v>A68FCB</v>
      </c>
      <c r="V1912">
        <v>0</v>
      </c>
      <c r="W1912">
        <v>0</v>
      </c>
      <c r="X1912">
        <v>2</v>
      </c>
      <c r="Y1912">
        <v>0</v>
      </c>
      <c r="AA1912">
        <v>1</v>
      </c>
      <c r="AB1912">
        <v>8</v>
      </c>
      <c r="AC1912">
        <v>3</v>
      </c>
      <c r="AD1912">
        <v>0</v>
      </c>
      <c r="AE1912">
        <v>9</v>
      </c>
      <c r="AF1912" t="s">
        <v>138</v>
      </c>
      <c r="AG1912">
        <v>0</v>
      </c>
      <c r="AH1912">
        <v>3</v>
      </c>
      <c r="AI1912">
        <v>2</v>
      </c>
      <c r="AJ1912">
        <v>0</v>
      </c>
      <c r="AK1912" t="s">
        <v>684</v>
      </c>
      <c r="AL1912">
        <v>39.043393000000002</v>
      </c>
      <c r="AM1912" t="s">
        <v>685</v>
      </c>
      <c r="AN1912">
        <v>-121.04259999999999</v>
      </c>
      <c r="AO1912">
        <v>25</v>
      </c>
      <c r="AP1912">
        <v>4300</v>
      </c>
      <c r="AQ1912" t="s">
        <v>131</v>
      </c>
      <c r="AR1912">
        <v>17</v>
      </c>
      <c r="AS1912">
        <v>86</v>
      </c>
      <c r="AT1912">
        <v>192</v>
      </c>
      <c r="BB1912" t="str">
        <f t="shared" si="738"/>
        <v>1200</v>
      </c>
      <c r="BC1912">
        <v>1</v>
      </c>
      <c r="BD1912" t="str">
        <f t="shared" si="739"/>
        <v xml:space="preserve">N52156  </v>
      </c>
      <c r="BE1912">
        <v>1</v>
      </c>
      <c r="BG1912">
        <v>0</v>
      </c>
      <c r="BH1912">
        <v>0</v>
      </c>
      <c r="BI1912">
        <v>0</v>
      </c>
      <c r="BJ1912">
        <v>4325</v>
      </c>
      <c r="BK1912">
        <v>25</v>
      </c>
      <c r="BL1912" t="s">
        <v>188</v>
      </c>
      <c r="BM1912">
        <v>1</v>
      </c>
      <c r="BN1912">
        <v>1</v>
      </c>
      <c r="BO1912">
        <v>0</v>
      </c>
      <c r="BP1912">
        <v>0</v>
      </c>
      <c r="BS1912">
        <v>0</v>
      </c>
      <c r="BT1912">
        <v>0</v>
      </c>
      <c r="BU1912">
        <v>0</v>
      </c>
      <c r="CE1912" t="str">
        <f t="shared" si="757"/>
        <v>15:09:50.326</v>
      </c>
      <c r="CF1912">
        <v>325962446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5</v>
      </c>
      <c r="CY1912">
        <v>7</v>
      </c>
      <c r="CZ1912" t="s">
        <v>133</v>
      </c>
      <c r="DA1912">
        <v>275</v>
      </c>
      <c r="DB1912">
        <v>0</v>
      </c>
      <c r="DC1912" t="s">
        <v>134</v>
      </c>
      <c r="DD1912" t="s">
        <v>135</v>
      </c>
      <c r="DG1912">
        <v>3321058</v>
      </c>
      <c r="DI1912">
        <v>1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"05/01/2025 15:09:50.564"</f>
        <v>05/01/2025 15:09:50.564</v>
      </c>
      <c r="C1913" t="str">
        <f t="shared" si="736"/>
        <v>FFDFD3C0</v>
      </c>
      <c r="D1913" t="s">
        <v>145</v>
      </c>
      <c r="E1913" t="str">
        <f>"09"</f>
        <v>09</v>
      </c>
      <c r="H1913">
        <v>51</v>
      </c>
      <c r="I1913" t="s">
        <v>147</v>
      </c>
      <c r="J1913" t="s">
        <v>138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R1913" t="s">
        <v>127</v>
      </c>
      <c r="S1913" t="str">
        <f t="shared" si="756"/>
        <v>15:09:50.000</v>
      </c>
      <c r="T1913" t="str">
        <f t="shared" si="756"/>
        <v>15:09:50.000</v>
      </c>
      <c r="U1913" t="str">
        <f t="shared" si="737"/>
        <v>A68FCB</v>
      </c>
      <c r="V1913">
        <v>0</v>
      </c>
      <c r="W1913">
        <v>0</v>
      </c>
      <c r="X1913">
        <v>2</v>
      </c>
      <c r="Y1913">
        <v>0</v>
      </c>
      <c r="AA1913">
        <v>1</v>
      </c>
      <c r="AB1913">
        <v>8</v>
      </c>
      <c r="AC1913">
        <v>3</v>
      </c>
      <c r="AD1913">
        <v>0</v>
      </c>
      <c r="AE1913">
        <v>9</v>
      </c>
      <c r="AF1913" t="s">
        <v>138</v>
      </c>
      <c r="AG1913">
        <v>0</v>
      </c>
      <c r="AH1913">
        <v>3</v>
      </c>
      <c r="AI1913">
        <v>2</v>
      </c>
      <c r="AJ1913">
        <v>0</v>
      </c>
      <c r="AK1913" t="s">
        <v>684</v>
      </c>
      <c r="AL1913">
        <v>39.043393000000002</v>
      </c>
      <c r="AM1913" t="s">
        <v>685</v>
      </c>
      <c r="AN1913">
        <v>-121.04259999999999</v>
      </c>
      <c r="AO1913">
        <v>25</v>
      </c>
      <c r="AP1913">
        <v>4300</v>
      </c>
      <c r="AQ1913" t="s">
        <v>131</v>
      </c>
      <c r="AR1913">
        <v>17</v>
      </c>
      <c r="AS1913">
        <v>86</v>
      </c>
      <c r="AT1913">
        <v>192</v>
      </c>
      <c r="BB1913" t="str">
        <f t="shared" si="738"/>
        <v>1200</v>
      </c>
      <c r="BC1913">
        <v>1</v>
      </c>
      <c r="BD1913" t="str">
        <f t="shared" si="739"/>
        <v xml:space="preserve">N52156  </v>
      </c>
      <c r="BE1913">
        <v>1</v>
      </c>
      <c r="BG1913">
        <v>0</v>
      </c>
      <c r="BH1913">
        <v>0</v>
      </c>
      <c r="BI1913">
        <v>0</v>
      </c>
      <c r="BJ1913">
        <v>4325</v>
      </c>
      <c r="BK1913">
        <v>25</v>
      </c>
      <c r="BL1913" t="s">
        <v>188</v>
      </c>
      <c r="BM1913">
        <v>1</v>
      </c>
      <c r="BN1913">
        <v>1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 t="shared" si="757"/>
        <v>15:09:50.326</v>
      </c>
      <c r="CF1913">
        <v>325962446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5</v>
      </c>
      <c r="CY1913">
        <v>7</v>
      </c>
      <c r="CZ1913" t="s">
        <v>133</v>
      </c>
      <c r="DA1913">
        <v>275</v>
      </c>
      <c r="DB1913">
        <v>0</v>
      </c>
      <c r="DC1913" t="s">
        <v>134</v>
      </c>
      <c r="DD1913" t="s">
        <v>135</v>
      </c>
      <c r="DG1913">
        <v>3321058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"05/01/2025 15:09:50.569"</f>
        <v>05/01/2025 15:09:50.569</v>
      </c>
      <c r="C1914" t="str">
        <f t="shared" si="736"/>
        <v>FFDFD3C0</v>
      </c>
      <c r="D1914" t="s">
        <v>143</v>
      </c>
      <c r="E1914" t="str">
        <f>"05"</f>
        <v>05</v>
      </c>
      <c r="H1914">
        <v>172</v>
      </c>
      <c r="I1914" t="s">
        <v>141</v>
      </c>
      <c r="J1914" t="s">
        <v>144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R1914" t="s">
        <v>127</v>
      </c>
      <c r="S1914" t="str">
        <f t="shared" si="756"/>
        <v>15:09:50.000</v>
      </c>
      <c r="T1914" t="str">
        <f t="shared" si="756"/>
        <v>15:09:50.000</v>
      </c>
      <c r="U1914" t="str">
        <f t="shared" si="737"/>
        <v>A68FCB</v>
      </c>
      <c r="V1914">
        <v>0</v>
      </c>
      <c r="W1914">
        <v>0</v>
      </c>
      <c r="X1914">
        <v>2</v>
      </c>
      <c r="Y1914">
        <v>0</v>
      </c>
      <c r="AA1914">
        <v>1</v>
      </c>
      <c r="AB1914">
        <v>8</v>
      </c>
      <c r="AC1914">
        <v>3</v>
      </c>
      <c r="AD1914">
        <v>0</v>
      </c>
      <c r="AE1914">
        <v>9</v>
      </c>
      <c r="AF1914" t="s">
        <v>138</v>
      </c>
      <c r="AG1914">
        <v>0</v>
      </c>
      <c r="AH1914">
        <v>3</v>
      </c>
      <c r="AI1914">
        <v>2</v>
      </c>
      <c r="AJ1914">
        <v>0</v>
      </c>
      <c r="AK1914" t="s">
        <v>684</v>
      </c>
      <c r="AL1914">
        <v>39.043393000000002</v>
      </c>
      <c r="AM1914" t="s">
        <v>685</v>
      </c>
      <c r="AN1914">
        <v>-121.04259999999999</v>
      </c>
      <c r="AO1914">
        <v>25</v>
      </c>
      <c r="AP1914">
        <v>4300</v>
      </c>
      <c r="AQ1914" t="s">
        <v>131</v>
      </c>
      <c r="AR1914">
        <v>17</v>
      </c>
      <c r="AS1914">
        <v>86</v>
      </c>
      <c r="AT1914">
        <v>192</v>
      </c>
      <c r="BB1914" t="str">
        <f t="shared" si="738"/>
        <v>1200</v>
      </c>
      <c r="BC1914">
        <v>1</v>
      </c>
      <c r="BD1914" t="str">
        <f t="shared" si="739"/>
        <v xml:space="preserve">N52156  </v>
      </c>
      <c r="BE1914">
        <v>1</v>
      </c>
      <c r="BG1914">
        <v>0</v>
      </c>
      <c r="BH1914">
        <v>0</v>
      </c>
      <c r="BI1914">
        <v>0</v>
      </c>
      <c r="BJ1914">
        <v>4325</v>
      </c>
      <c r="BK1914">
        <v>25</v>
      </c>
      <c r="BL1914" t="s">
        <v>188</v>
      </c>
      <c r="BM1914">
        <v>1</v>
      </c>
      <c r="BN1914">
        <v>1</v>
      </c>
      <c r="BO1914">
        <v>0</v>
      </c>
      <c r="BP1914">
        <v>0</v>
      </c>
      <c r="BS1914">
        <v>0</v>
      </c>
      <c r="BT1914">
        <v>0</v>
      </c>
      <c r="BU1914">
        <v>0</v>
      </c>
      <c r="CE1914" t="str">
        <f t="shared" si="757"/>
        <v>15:09:50.326</v>
      </c>
      <c r="CF1914">
        <v>325962446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133</v>
      </c>
      <c r="DA1914">
        <v>275</v>
      </c>
      <c r="DB1914">
        <v>0</v>
      </c>
      <c r="DC1914" t="s">
        <v>134</v>
      </c>
      <c r="DD1914" t="s">
        <v>135</v>
      </c>
      <c r="DG1914">
        <v>3321058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"05/01/2025 15:09:50.572"</f>
        <v>05/01/2025 15:09:50.572</v>
      </c>
      <c r="C1915" t="str">
        <f t="shared" si="736"/>
        <v>FFDFD3C0</v>
      </c>
      <c r="D1915" t="s">
        <v>136</v>
      </c>
      <c r="E1915" t="str">
        <f>"20"</f>
        <v>20</v>
      </c>
      <c r="H1915">
        <v>400</v>
      </c>
      <c r="I1915" t="s">
        <v>137</v>
      </c>
      <c r="J1915" t="s">
        <v>138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R1915" t="s">
        <v>127</v>
      </c>
      <c r="S1915" t="str">
        <f t="shared" si="756"/>
        <v>15:09:50.000</v>
      </c>
      <c r="T1915" t="str">
        <f t="shared" si="756"/>
        <v>15:09:50.000</v>
      </c>
      <c r="U1915" t="str">
        <f t="shared" si="737"/>
        <v>A68FCB</v>
      </c>
      <c r="V1915">
        <v>0</v>
      </c>
      <c r="W1915">
        <v>0</v>
      </c>
      <c r="X1915">
        <v>2</v>
      </c>
      <c r="Y1915">
        <v>0</v>
      </c>
      <c r="AA1915">
        <v>1</v>
      </c>
      <c r="AB1915">
        <v>8</v>
      </c>
      <c r="AC1915">
        <v>3</v>
      </c>
      <c r="AD1915">
        <v>0</v>
      </c>
      <c r="AE1915">
        <v>9</v>
      </c>
      <c r="AF1915" t="s">
        <v>138</v>
      </c>
      <c r="AG1915">
        <v>0</v>
      </c>
      <c r="AH1915">
        <v>3</v>
      </c>
      <c r="AI1915">
        <v>2</v>
      </c>
      <c r="AJ1915">
        <v>0</v>
      </c>
      <c r="AK1915" t="s">
        <v>684</v>
      </c>
      <c r="AL1915">
        <v>39.043393000000002</v>
      </c>
      <c r="AM1915" t="s">
        <v>685</v>
      </c>
      <c r="AN1915">
        <v>-121.04259999999999</v>
      </c>
      <c r="AO1915">
        <v>25</v>
      </c>
      <c r="AP1915">
        <v>4300</v>
      </c>
      <c r="AQ1915" t="s">
        <v>131</v>
      </c>
      <c r="AR1915">
        <v>17</v>
      </c>
      <c r="AS1915">
        <v>86</v>
      </c>
      <c r="AT1915">
        <v>192</v>
      </c>
      <c r="BB1915" t="str">
        <f t="shared" si="738"/>
        <v>1200</v>
      </c>
      <c r="BC1915">
        <v>1</v>
      </c>
      <c r="BD1915" t="str">
        <f t="shared" si="739"/>
        <v xml:space="preserve">N52156  </v>
      </c>
      <c r="BE1915">
        <v>1</v>
      </c>
      <c r="BG1915">
        <v>0</v>
      </c>
      <c r="BH1915">
        <v>0</v>
      </c>
      <c r="BI1915">
        <v>0</v>
      </c>
      <c r="BJ1915">
        <v>4325</v>
      </c>
      <c r="BK1915">
        <v>25</v>
      </c>
      <c r="BL1915" t="s">
        <v>188</v>
      </c>
      <c r="BM1915">
        <v>1</v>
      </c>
      <c r="BN1915">
        <v>1</v>
      </c>
      <c r="BO1915">
        <v>0</v>
      </c>
      <c r="BP1915">
        <v>0</v>
      </c>
      <c r="BS1915">
        <v>0</v>
      </c>
      <c r="BT1915">
        <v>0</v>
      </c>
      <c r="BU1915">
        <v>0</v>
      </c>
      <c r="CE1915" t="str">
        <f t="shared" si="757"/>
        <v>15:09:50.326</v>
      </c>
      <c r="CF1915">
        <v>325962446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133</v>
      </c>
      <c r="DA1915">
        <v>275</v>
      </c>
      <c r="DB1915">
        <v>0</v>
      </c>
      <c r="DC1915" t="s">
        <v>134</v>
      </c>
      <c r="DD1915" t="s">
        <v>135</v>
      </c>
      <c r="DG1915">
        <v>3321058</v>
      </c>
      <c r="DI1915">
        <v>1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"05/01/2025 15:09:52.162"</f>
        <v>05/01/2025 15:09:52.162</v>
      </c>
      <c r="C1916" t="str">
        <f t="shared" si="736"/>
        <v>FFDFD3C0</v>
      </c>
      <c r="D1916" t="s">
        <v>145</v>
      </c>
      <c r="E1916" t="str">
        <f>"05"</f>
        <v>05</v>
      </c>
      <c r="H1916">
        <v>47</v>
      </c>
      <c r="I1916" t="s">
        <v>146</v>
      </c>
      <c r="J1916" t="s">
        <v>138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R1916" t="s">
        <v>127</v>
      </c>
      <c r="S1916" t="str">
        <f t="shared" ref="S1916:T1921" si="758">"15:09:51.000"</f>
        <v>15:09:51.000</v>
      </c>
      <c r="T1916" t="str">
        <f t="shared" si="758"/>
        <v>15:09:51.000</v>
      </c>
      <c r="U1916" t="str">
        <f t="shared" si="737"/>
        <v>A68FCB</v>
      </c>
      <c r="V1916">
        <v>0</v>
      </c>
      <c r="W1916">
        <v>0</v>
      </c>
      <c r="X1916">
        <v>2</v>
      </c>
      <c r="Y1916">
        <v>0</v>
      </c>
      <c r="AA1916">
        <v>1</v>
      </c>
      <c r="AB1916">
        <v>8</v>
      </c>
      <c r="AC1916">
        <v>3</v>
      </c>
      <c r="AD1916">
        <v>0</v>
      </c>
      <c r="AE1916">
        <v>9</v>
      </c>
      <c r="AF1916" t="s">
        <v>138</v>
      </c>
      <c r="AG1916">
        <v>0</v>
      </c>
      <c r="AH1916">
        <v>3</v>
      </c>
      <c r="AI1916">
        <v>2</v>
      </c>
      <c r="AJ1916">
        <v>0</v>
      </c>
      <c r="AK1916" t="s">
        <v>686</v>
      </c>
      <c r="AL1916">
        <v>39.043821999999999</v>
      </c>
      <c r="AM1916" t="s">
        <v>687</v>
      </c>
      <c r="AN1916">
        <v>-121.042514</v>
      </c>
      <c r="AO1916">
        <v>25</v>
      </c>
      <c r="AP1916">
        <v>4300</v>
      </c>
      <c r="AQ1916" t="s">
        <v>131</v>
      </c>
      <c r="AR1916">
        <v>16</v>
      </c>
      <c r="AS1916">
        <v>86</v>
      </c>
      <c r="AT1916">
        <v>256</v>
      </c>
      <c r="BB1916" t="str">
        <f t="shared" si="738"/>
        <v>1200</v>
      </c>
      <c r="BC1916">
        <v>1</v>
      </c>
      <c r="BD1916" t="str">
        <f t="shared" si="739"/>
        <v xml:space="preserve">N52156  </v>
      </c>
      <c r="BE1916">
        <v>1</v>
      </c>
      <c r="BG1916">
        <v>0</v>
      </c>
      <c r="BH1916">
        <v>0</v>
      </c>
      <c r="BI1916">
        <v>0</v>
      </c>
      <c r="BJ1916">
        <v>4350</v>
      </c>
      <c r="BK1916">
        <v>50</v>
      </c>
      <c r="BL1916" t="s">
        <v>188</v>
      </c>
      <c r="BM1916">
        <v>1</v>
      </c>
      <c r="BN1916">
        <v>1</v>
      </c>
      <c r="BO1916">
        <v>0</v>
      </c>
      <c r="BP1916">
        <v>0</v>
      </c>
      <c r="BS1916">
        <v>0</v>
      </c>
      <c r="BT1916">
        <v>0</v>
      </c>
      <c r="BU1916">
        <v>0</v>
      </c>
      <c r="CE1916" t="str">
        <f t="shared" ref="CE1916:CE1921" si="759">"15:09:51.950"</f>
        <v>15:09:51.950</v>
      </c>
      <c r="CF1916">
        <v>950464123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4</v>
      </c>
      <c r="CY1916">
        <v>7</v>
      </c>
      <c r="CZ1916" t="s">
        <v>133</v>
      </c>
      <c r="DA1916">
        <v>275</v>
      </c>
      <c r="DB1916">
        <v>0</v>
      </c>
      <c r="DC1916" t="s">
        <v>134</v>
      </c>
      <c r="DD1916" t="s">
        <v>135</v>
      </c>
      <c r="DG1916">
        <v>3321074</v>
      </c>
      <c r="DI1916">
        <v>1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"05/01/2025 15:09:52.162"</f>
        <v>05/01/2025 15:09:52.162</v>
      </c>
      <c r="C1917" t="str">
        <f t="shared" si="736"/>
        <v>FFDFD3C0</v>
      </c>
      <c r="D1917" t="s">
        <v>124</v>
      </c>
      <c r="E1917" t="str">
        <f>"06"</f>
        <v>06</v>
      </c>
      <c r="F1917">
        <v>2006</v>
      </c>
      <c r="G1917" t="s">
        <v>125</v>
      </c>
      <c r="J1917" t="s">
        <v>126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R1917" t="s">
        <v>127</v>
      </c>
      <c r="S1917" t="str">
        <f t="shared" si="758"/>
        <v>15:09:51.000</v>
      </c>
      <c r="T1917" t="str">
        <f t="shared" si="758"/>
        <v>15:09:51.000</v>
      </c>
      <c r="U1917" t="str">
        <f t="shared" si="737"/>
        <v>A68FCB</v>
      </c>
      <c r="V1917">
        <v>0</v>
      </c>
      <c r="W1917">
        <v>0</v>
      </c>
      <c r="X1917">
        <v>2</v>
      </c>
      <c r="Y1917">
        <v>0</v>
      </c>
      <c r="AA1917">
        <v>1</v>
      </c>
      <c r="AB1917">
        <v>8</v>
      </c>
      <c r="AC1917">
        <v>3</v>
      </c>
      <c r="AD1917">
        <v>0</v>
      </c>
      <c r="AE1917">
        <v>9</v>
      </c>
      <c r="AF1917" t="s">
        <v>138</v>
      </c>
      <c r="AG1917">
        <v>0</v>
      </c>
      <c r="AH1917">
        <v>3</v>
      </c>
      <c r="AI1917">
        <v>2</v>
      </c>
      <c r="AJ1917">
        <v>0</v>
      </c>
      <c r="AK1917" t="s">
        <v>686</v>
      </c>
      <c r="AL1917">
        <v>39.043821999999999</v>
      </c>
      <c r="AM1917" t="s">
        <v>687</v>
      </c>
      <c r="AN1917">
        <v>-121.042514</v>
      </c>
      <c r="AO1917">
        <v>25</v>
      </c>
      <c r="AP1917">
        <v>4300</v>
      </c>
      <c r="AQ1917" t="s">
        <v>131</v>
      </c>
      <c r="AR1917">
        <v>16</v>
      </c>
      <c r="AS1917">
        <v>86</v>
      </c>
      <c r="AT1917">
        <v>256</v>
      </c>
      <c r="BB1917" t="str">
        <f t="shared" si="738"/>
        <v>1200</v>
      </c>
      <c r="BC1917">
        <v>1</v>
      </c>
      <c r="BD1917" t="str">
        <f t="shared" si="739"/>
        <v xml:space="preserve">N52156  </v>
      </c>
      <c r="BE1917">
        <v>1</v>
      </c>
      <c r="BG1917">
        <v>0</v>
      </c>
      <c r="BH1917">
        <v>0</v>
      </c>
      <c r="BI1917">
        <v>0</v>
      </c>
      <c r="BJ1917">
        <v>4350</v>
      </c>
      <c r="BK1917">
        <v>50</v>
      </c>
      <c r="BL1917" t="s">
        <v>188</v>
      </c>
      <c r="BM1917">
        <v>1</v>
      </c>
      <c r="BN1917">
        <v>1</v>
      </c>
      <c r="BO1917">
        <v>0</v>
      </c>
      <c r="BP1917">
        <v>0</v>
      </c>
      <c r="BS1917">
        <v>0</v>
      </c>
      <c r="BT1917">
        <v>0</v>
      </c>
      <c r="BU1917">
        <v>0</v>
      </c>
      <c r="CE1917" t="str">
        <f t="shared" si="759"/>
        <v>15:09:51.950</v>
      </c>
      <c r="CF1917">
        <v>950464123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4</v>
      </c>
      <c r="CY1917">
        <v>7</v>
      </c>
      <c r="CZ1917" t="s">
        <v>133</v>
      </c>
      <c r="DA1917">
        <v>275</v>
      </c>
      <c r="DB1917">
        <v>0</v>
      </c>
      <c r="DC1917" t="s">
        <v>134</v>
      </c>
      <c r="DD1917" t="s">
        <v>135</v>
      </c>
      <c r="DG1917">
        <v>3321074</v>
      </c>
      <c r="DI1917">
        <v>1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"05/01/2025 15:09:52.167"</f>
        <v>05/01/2025 15:09:52.167</v>
      </c>
      <c r="C1918" t="str">
        <f t="shared" si="736"/>
        <v>FFDFD3C0</v>
      </c>
      <c r="D1918" t="s">
        <v>145</v>
      </c>
      <c r="E1918" t="str">
        <f>"09"</f>
        <v>09</v>
      </c>
      <c r="H1918">
        <v>51</v>
      </c>
      <c r="I1918" t="s">
        <v>147</v>
      </c>
      <c r="J1918" t="s">
        <v>138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R1918" t="s">
        <v>127</v>
      </c>
      <c r="S1918" t="str">
        <f t="shared" si="758"/>
        <v>15:09:51.000</v>
      </c>
      <c r="T1918" t="str">
        <f t="shared" si="758"/>
        <v>15:09:51.000</v>
      </c>
      <c r="U1918" t="str">
        <f t="shared" si="737"/>
        <v>A68FCB</v>
      </c>
      <c r="V1918">
        <v>0</v>
      </c>
      <c r="W1918">
        <v>0</v>
      </c>
      <c r="X1918">
        <v>2</v>
      </c>
      <c r="Y1918">
        <v>0</v>
      </c>
      <c r="AA1918">
        <v>1</v>
      </c>
      <c r="AB1918">
        <v>8</v>
      </c>
      <c r="AC1918">
        <v>3</v>
      </c>
      <c r="AD1918">
        <v>0</v>
      </c>
      <c r="AE1918">
        <v>9</v>
      </c>
      <c r="AF1918" t="s">
        <v>138</v>
      </c>
      <c r="AG1918">
        <v>0</v>
      </c>
      <c r="AH1918">
        <v>3</v>
      </c>
      <c r="AI1918">
        <v>2</v>
      </c>
      <c r="AJ1918">
        <v>0</v>
      </c>
      <c r="AK1918" t="s">
        <v>686</v>
      </c>
      <c r="AL1918">
        <v>39.043821999999999</v>
      </c>
      <c r="AM1918" t="s">
        <v>687</v>
      </c>
      <c r="AN1918">
        <v>-121.042514</v>
      </c>
      <c r="AO1918">
        <v>25</v>
      </c>
      <c r="AP1918">
        <v>4300</v>
      </c>
      <c r="AQ1918" t="s">
        <v>131</v>
      </c>
      <c r="AR1918">
        <v>16</v>
      </c>
      <c r="AS1918">
        <v>86</v>
      </c>
      <c r="AT1918">
        <v>256</v>
      </c>
      <c r="BB1918" t="str">
        <f t="shared" si="738"/>
        <v>1200</v>
      </c>
      <c r="BC1918">
        <v>1</v>
      </c>
      <c r="BD1918" t="str">
        <f t="shared" si="739"/>
        <v xml:space="preserve">N52156  </v>
      </c>
      <c r="BE1918">
        <v>1</v>
      </c>
      <c r="BG1918">
        <v>0</v>
      </c>
      <c r="BH1918">
        <v>0</v>
      </c>
      <c r="BI1918">
        <v>0</v>
      </c>
      <c r="BJ1918">
        <v>4350</v>
      </c>
      <c r="BK1918">
        <v>50</v>
      </c>
      <c r="BL1918" t="s">
        <v>188</v>
      </c>
      <c r="BM1918">
        <v>1</v>
      </c>
      <c r="BN1918">
        <v>1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 t="shared" si="759"/>
        <v>15:09:51.950</v>
      </c>
      <c r="CF1918">
        <v>950464123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4</v>
      </c>
      <c r="CY1918">
        <v>7</v>
      </c>
      <c r="CZ1918" t="s">
        <v>133</v>
      </c>
      <c r="DA1918">
        <v>275</v>
      </c>
      <c r="DB1918">
        <v>0</v>
      </c>
      <c r="DC1918" t="s">
        <v>134</v>
      </c>
      <c r="DD1918" t="s">
        <v>135</v>
      </c>
      <c r="DG1918">
        <v>3321074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"05/01/2025 15:09:52.172"</f>
        <v>05/01/2025 15:09:52.172</v>
      </c>
      <c r="C1919" t="str">
        <f t="shared" si="736"/>
        <v>FFDFD3C0</v>
      </c>
      <c r="D1919" t="s">
        <v>143</v>
      </c>
      <c r="E1919" t="str">
        <f>"05"</f>
        <v>05</v>
      </c>
      <c r="H1919">
        <v>172</v>
      </c>
      <c r="I1919" t="s">
        <v>141</v>
      </c>
      <c r="J1919" t="s">
        <v>144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R1919" t="s">
        <v>127</v>
      </c>
      <c r="S1919" t="str">
        <f t="shared" si="758"/>
        <v>15:09:51.000</v>
      </c>
      <c r="T1919" t="str">
        <f t="shared" si="758"/>
        <v>15:09:51.000</v>
      </c>
      <c r="U1919" t="str">
        <f t="shared" si="737"/>
        <v>A68FCB</v>
      </c>
      <c r="V1919">
        <v>0</v>
      </c>
      <c r="W1919">
        <v>0</v>
      </c>
      <c r="X1919">
        <v>2</v>
      </c>
      <c r="Y1919">
        <v>0</v>
      </c>
      <c r="AA1919">
        <v>1</v>
      </c>
      <c r="AB1919">
        <v>8</v>
      </c>
      <c r="AC1919">
        <v>3</v>
      </c>
      <c r="AD1919">
        <v>0</v>
      </c>
      <c r="AE1919">
        <v>9</v>
      </c>
      <c r="AF1919" t="s">
        <v>138</v>
      </c>
      <c r="AG1919">
        <v>0</v>
      </c>
      <c r="AH1919">
        <v>3</v>
      </c>
      <c r="AI1919">
        <v>2</v>
      </c>
      <c r="AJ1919">
        <v>0</v>
      </c>
      <c r="AK1919" t="s">
        <v>686</v>
      </c>
      <c r="AL1919">
        <v>39.043821999999999</v>
      </c>
      <c r="AM1919" t="s">
        <v>687</v>
      </c>
      <c r="AN1919">
        <v>-121.042514</v>
      </c>
      <c r="AO1919">
        <v>25</v>
      </c>
      <c r="AP1919">
        <v>4300</v>
      </c>
      <c r="AQ1919" t="s">
        <v>131</v>
      </c>
      <c r="AR1919">
        <v>16</v>
      </c>
      <c r="AS1919">
        <v>86</v>
      </c>
      <c r="AT1919">
        <v>256</v>
      </c>
      <c r="BB1919" t="str">
        <f t="shared" si="738"/>
        <v>1200</v>
      </c>
      <c r="BC1919">
        <v>1</v>
      </c>
      <c r="BD1919" t="str">
        <f t="shared" si="739"/>
        <v xml:space="preserve">N52156  </v>
      </c>
      <c r="BE1919">
        <v>1</v>
      </c>
      <c r="BG1919">
        <v>0</v>
      </c>
      <c r="BH1919">
        <v>0</v>
      </c>
      <c r="BI1919">
        <v>0</v>
      </c>
      <c r="BJ1919">
        <v>4350</v>
      </c>
      <c r="BK1919">
        <v>50</v>
      </c>
      <c r="BL1919" t="s">
        <v>188</v>
      </c>
      <c r="BM1919">
        <v>1</v>
      </c>
      <c r="BN1919">
        <v>1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 t="shared" si="759"/>
        <v>15:09:51.950</v>
      </c>
      <c r="CF1919">
        <v>950464123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4</v>
      </c>
      <c r="CY1919">
        <v>7</v>
      </c>
      <c r="CZ1919" t="s">
        <v>133</v>
      </c>
      <c r="DA1919">
        <v>275</v>
      </c>
      <c r="DB1919">
        <v>0</v>
      </c>
      <c r="DC1919" t="s">
        <v>134</v>
      </c>
      <c r="DD1919" t="s">
        <v>135</v>
      </c>
      <c r="DG1919">
        <v>3321074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"05/01/2025 15:09:52.174"</f>
        <v>05/01/2025 15:09:52.174</v>
      </c>
      <c r="C1920" t="str">
        <f t="shared" si="736"/>
        <v>FFDFD3C0</v>
      </c>
      <c r="D1920" t="s">
        <v>136</v>
      </c>
      <c r="E1920" t="str">
        <f>"20"</f>
        <v>20</v>
      </c>
      <c r="H1920">
        <v>400</v>
      </c>
      <c r="I1920" t="s">
        <v>137</v>
      </c>
      <c r="J1920" t="s">
        <v>138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R1920" t="s">
        <v>127</v>
      </c>
      <c r="S1920" t="str">
        <f t="shared" si="758"/>
        <v>15:09:51.000</v>
      </c>
      <c r="T1920" t="str">
        <f t="shared" si="758"/>
        <v>15:09:51.000</v>
      </c>
      <c r="U1920" t="str">
        <f t="shared" si="737"/>
        <v>A68FCB</v>
      </c>
      <c r="V1920">
        <v>0</v>
      </c>
      <c r="W1920">
        <v>0</v>
      </c>
      <c r="X1920">
        <v>2</v>
      </c>
      <c r="Y1920">
        <v>0</v>
      </c>
      <c r="AA1920">
        <v>1</v>
      </c>
      <c r="AB1920">
        <v>8</v>
      </c>
      <c r="AC1920">
        <v>3</v>
      </c>
      <c r="AD1920">
        <v>0</v>
      </c>
      <c r="AE1920">
        <v>9</v>
      </c>
      <c r="AF1920" t="s">
        <v>138</v>
      </c>
      <c r="AG1920">
        <v>0</v>
      </c>
      <c r="AH1920">
        <v>3</v>
      </c>
      <c r="AI1920">
        <v>2</v>
      </c>
      <c r="AJ1920">
        <v>0</v>
      </c>
      <c r="AK1920" t="s">
        <v>686</v>
      </c>
      <c r="AL1920">
        <v>39.043821999999999</v>
      </c>
      <c r="AM1920" t="s">
        <v>687</v>
      </c>
      <c r="AN1920">
        <v>-121.042514</v>
      </c>
      <c r="AO1920">
        <v>25</v>
      </c>
      <c r="AP1920">
        <v>4300</v>
      </c>
      <c r="AQ1920" t="s">
        <v>131</v>
      </c>
      <c r="AR1920">
        <v>16</v>
      </c>
      <c r="AS1920">
        <v>86</v>
      </c>
      <c r="AT1920">
        <v>256</v>
      </c>
      <c r="BB1920" t="str">
        <f t="shared" si="738"/>
        <v>1200</v>
      </c>
      <c r="BC1920">
        <v>1</v>
      </c>
      <c r="BD1920" t="str">
        <f t="shared" si="739"/>
        <v xml:space="preserve">N52156  </v>
      </c>
      <c r="BE1920">
        <v>1</v>
      </c>
      <c r="BG1920">
        <v>0</v>
      </c>
      <c r="BH1920">
        <v>0</v>
      </c>
      <c r="BI1920">
        <v>0</v>
      </c>
      <c r="BJ1920">
        <v>4350</v>
      </c>
      <c r="BK1920">
        <v>50</v>
      </c>
      <c r="BL1920" t="s">
        <v>188</v>
      </c>
      <c r="BM1920">
        <v>1</v>
      </c>
      <c r="BN1920">
        <v>1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 t="shared" si="759"/>
        <v>15:09:51.950</v>
      </c>
      <c r="CF1920">
        <v>950464123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4</v>
      </c>
      <c r="CY1920">
        <v>7</v>
      </c>
      <c r="CZ1920" t="s">
        <v>133</v>
      </c>
      <c r="DA1920">
        <v>275</v>
      </c>
      <c r="DB1920">
        <v>0</v>
      </c>
      <c r="DC1920" t="s">
        <v>134</v>
      </c>
      <c r="DD1920" t="s">
        <v>135</v>
      </c>
      <c r="DG1920">
        <v>3321074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"05/01/2025 15:09:52.203"</f>
        <v>05/01/2025 15:09:52.203</v>
      </c>
      <c r="C1921" t="str">
        <f t="shared" si="736"/>
        <v>FFDFD3C0</v>
      </c>
      <c r="D1921" t="s">
        <v>140</v>
      </c>
      <c r="E1921" t="str">
        <f>"13"</f>
        <v>13</v>
      </c>
      <c r="F1921">
        <v>1019</v>
      </c>
      <c r="G1921" t="s">
        <v>141</v>
      </c>
      <c r="J1921" t="s">
        <v>142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R1921" t="s">
        <v>127</v>
      </c>
      <c r="S1921" t="str">
        <f t="shared" si="758"/>
        <v>15:09:51.000</v>
      </c>
      <c r="T1921" t="str">
        <f t="shared" si="758"/>
        <v>15:09:51.000</v>
      </c>
      <c r="U1921" t="str">
        <f t="shared" si="737"/>
        <v>A68FCB</v>
      </c>
      <c r="V1921">
        <v>0</v>
      </c>
      <c r="W1921">
        <v>0</v>
      </c>
      <c r="X1921">
        <v>2</v>
      </c>
      <c r="Y1921">
        <v>0</v>
      </c>
      <c r="AA1921">
        <v>1</v>
      </c>
      <c r="AB1921">
        <v>8</v>
      </c>
      <c r="AC1921">
        <v>3</v>
      </c>
      <c r="AD1921">
        <v>0</v>
      </c>
      <c r="AE1921">
        <v>9</v>
      </c>
      <c r="AF1921" t="s">
        <v>138</v>
      </c>
      <c r="AG1921">
        <v>0</v>
      </c>
      <c r="AH1921">
        <v>3</v>
      </c>
      <c r="AI1921">
        <v>2</v>
      </c>
      <c r="AJ1921">
        <v>0</v>
      </c>
      <c r="AK1921" t="s">
        <v>686</v>
      </c>
      <c r="AL1921">
        <v>39.043821999999999</v>
      </c>
      <c r="AM1921" t="s">
        <v>687</v>
      </c>
      <c r="AN1921">
        <v>-121.042514</v>
      </c>
      <c r="AO1921">
        <v>25</v>
      </c>
      <c r="AP1921">
        <v>4300</v>
      </c>
      <c r="AQ1921" t="s">
        <v>131</v>
      </c>
      <c r="AR1921">
        <v>16</v>
      </c>
      <c r="AS1921">
        <v>86</v>
      </c>
      <c r="AT1921">
        <v>256</v>
      </c>
      <c r="BB1921" t="str">
        <f t="shared" si="738"/>
        <v>1200</v>
      </c>
      <c r="BC1921">
        <v>1</v>
      </c>
      <c r="BD1921" t="str">
        <f t="shared" si="739"/>
        <v xml:space="preserve">N52156  </v>
      </c>
      <c r="BE1921">
        <v>1</v>
      </c>
      <c r="BG1921">
        <v>0</v>
      </c>
      <c r="BH1921">
        <v>0</v>
      </c>
      <c r="BI1921">
        <v>0</v>
      </c>
      <c r="BJ1921">
        <v>4350</v>
      </c>
      <c r="BK1921">
        <v>50</v>
      </c>
      <c r="BL1921" t="s">
        <v>188</v>
      </c>
      <c r="BM1921">
        <v>1</v>
      </c>
      <c r="BN1921">
        <v>1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 t="shared" si="759"/>
        <v>15:09:51.950</v>
      </c>
      <c r="CF1921">
        <v>950464123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4</v>
      </c>
      <c r="CY1921">
        <v>7</v>
      </c>
      <c r="CZ1921" t="s">
        <v>133</v>
      </c>
      <c r="DA1921">
        <v>275</v>
      </c>
      <c r="DB1921">
        <v>0</v>
      </c>
      <c r="DC1921" t="s">
        <v>134</v>
      </c>
      <c r="DD1921" t="s">
        <v>135</v>
      </c>
      <c r="DG1921">
        <v>3321074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"05/01/2025 15:09:52.804"</f>
        <v>05/01/2025 15:09:52.804</v>
      </c>
      <c r="C1922" t="str">
        <f t="shared" ref="C1922:C1985" si="760">"FFDFD3C0"</f>
        <v>FFDFD3C0</v>
      </c>
      <c r="D1922" t="s">
        <v>140</v>
      </c>
      <c r="E1922" t="str">
        <f>"13"</f>
        <v>13</v>
      </c>
      <c r="F1922">
        <v>1019</v>
      </c>
      <c r="G1922" t="s">
        <v>141</v>
      </c>
      <c r="J1922" t="s">
        <v>142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R1922" t="s">
        <v>127</v>
      </c>
      <c r="S1922" t="str">
        <f t="shared" ref="S1922:T1927" si="761">"15:09:52.000"</f>
        <v>15:09:52.000</v>
      </c>
      <c r="T1922" t="str">
        <f t="shared" si="761"/>
        <v>15:09:52.000</v>
      </c>
      <c r="U1922" t="str">
        <f t="shared" ref="U1922:U1985" si="762">"A68FCB"</f>
        <v>A68FCB</v>
      </c>
      <c r="V1922">
        <v>0</v>
      </c>
      <c r="W1922">
        <v>0</v>
      </c>
      <c r="X1922">
        <v>2</v>
      </c>
      <c r="Y1922">
        <v>0</v>
      </c>
      <c r="AA1922">
        <v>1</v>
      </c>
      <c r="AB1922">
        <v>8</v>
      </c>
      <c r="AC1922">
        <v>3</v>
      </c>
      <c r="AD1922">
        <v>0</v>
      </c>
      <c r="AE1922">
        <v>9</v>
      </c>
      <c r="AF1922" t="s">
        <v>138</v>
      </c>
      <c r="AG1922">
        <v>0</v>
      </c>
      <c r="AH1922">
        <v>3</v>
      </c>
      <c r="AI1922">
        <v>2</v>
      </c>
      <c r="AJ1922">
        <v>0</v>
      </c>
      <c r="AK1922" t="s">
        <v>688</v>
      </c>
      <c r="AL1922">
        <v>39.044229999999999</v>
      </c>
      <c r="AM1922" t="s">
        <v>689</v>
      </c>
      <c r="AN1922">
        <v>-121.042407</v>
      </c>
      <c r="AO1922">
        <v>25</v>
      </c>
      <c r="AP1922">
        <v>4300</v>
      </c>
      <c r="AQ1922" t="s">
        <v>131</v>
      </c>
      <c r="AR1922">
        <v>16</v>
      </c>
      <c r="AS1922">
        <v>86</v>
      </c>
      <c r="AT1922">
        <v>320</v>
      </c>
      <c r="BB1922" t="str">
        <f t="shared" ref="BB1922:BB1985" si="763">"1200"</f>
        <v>1200</v>
      </c>
      <c r="BC1922">
        <v>1</v>
      </c>
      <c r="BD1922" t="str">
        <f t="shared" ref="BD1922:BD1985" si="764">"N52156  "</f>
        <v xml:space="preserve">N52156  </v>
      </c>
      <c r="BE1922">
        <v>1</v>
      </c>
      <c r="BG1922">
        <v>0</v>
      </c>
      <c r="BH1922">
        <v>0</v>
      </c>
      <c r="BI1922">
        <v>0</v>
      </c>
      <c r="BJ1922">
        <v>4350</v>
      </c>
      <c r="BK1922">
        <v>50</v>
      </c>
      <c r="BL1922" t="s">
        <v>188</v>
      </c>
      <c r="BM1922">
        <v>1</v>
      </c>
      <c r="BN1922">
        <v>1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 t="shared" ref="CE1922:CE1927" si="765">"15:09:52.593"</f>
        <v>15:09:52.593</v>
      </c>
      <c r="CF1922">
        <v>592713262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4</v>
      </c>
      <c r="CY1922">
        <v>7</v>
      </c>
      <c r="CZ1922" t="s">
        <v>133</v>
      </c>
      <c r="DA1922">
        <v>275</v>
      </c>
      <c r="DB1922">
        <v>0</v>
      </c>
      <c r="DC1922" t="s">
        <v>134</v>
      </c>
      <c r="DD1922" t="s">
        <v>135</v>
      </c>
      <c r="DG1922">
        <v>3321079</v>
      </c>
      <c r="DI1922">
        <v>1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"05/01/2025 15:09:52.813"</f>
        <v>05/01/2025 15:09:52.813</v>
      </c>
      <c r="C1923" t="str">
        <f t="shared" si="760"/>
        <v>FFDFD3C0</v>
      </c>
      <c r="D1923" t="s">
        <v>124</v>
      </c>
      <c r="E1923" t="str">
        <f>"06"</f>
        <v>06</v>
      </c>
      <c r="F1923">
        <v>2006</v>
      </c>
      <c r="G1923" t="s">
        <v>125</v>
      </c>
      <c r="J1923" t="s">
        <v>126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R1923" t="s">
        <v>127</v>
      </c>
      <c r="S1923" t="str">
        <f t="shared" si="761"/>
        <v>15:09:52.000</v>
      </c>
      <c r="T1923" t="str">
        <f t="shared" si="761"/>
        <v>15:09:52.000</v>
      </c>
      <c r="U1923" t="str">
        <f t="shared" si="762"/>
        <v>A68FCB</v>
      </c>
      <c r="V1923">
        <v>0</v>
      </c>
      <c r="W1923">
        <v>0</v>
      </c>
      <c r="X1923">
        <v>2</v>
      </c>
      <c r="Y1923">
        <v>0</v>
      </c>
      <c r="AA1923">
        <v>1</v>
      </c>
      <c r="AB1923">
        <v>8</v>
      </c>
      <c r="AC1923">
        <v>3</v>
      </c>
      <c r="AD1923">
        <v>0</v>
      </c>
      <c r="AE1923">
        <v>9</v>
      </c>
      <c r="AF1923" t="s">
        <v>138</v>
      </c>
      <c r="AG1923">
        <v>0</v>
      </c>
      <c r="AH1923">
        <v>3</v>
      </c>
      <c r="AI1923">
        <v>2</v>
      </c>
      <c r="AJ1923">
        <v>0</v>
      </c>
      <c r="AK1923" t="s">
        <v>688</v>
      </c>
      <c r="AL1923">
        <v>39.044229999999999</v>
      </c>
      <c r="AM1923" t="s">
        <v>689</v>
      </c>
      <c r="AN1923">
        <v>-121.042407</v>
      </c>
      <c r="AO1923">
        <v>25</v>
      </c>
      <c r="AP1923">
        <v>4300</v>
      </c>
      <c r="AQ1923" t="s">
        <v>131</v>
      </c>
      <c r="AR1923">
        <v>16</v>
      </c>
      <c r="AS1923">
        <v>86</v>
      </c>
      <c r="AT1923">
        <v>320</v>
      </c>
      <c r="BB1923" t="str">
        <f t="shared" si="763"/>
        <v>1200</v>
      </c>
      <c r="BC1923">
        <v>1</v>
      </c>
      <c r="BD1923" t="str">
        <f t="shared" si="764"/>
        <v xml:space="preserve">N52156  </v>
      </c>
      <c r="BE1923">
        <v>1</v>
      </c>
      <c r="BG1923">
        <v>0</v>
      </c>
      <c r="BH1923">
        <v>0</v>
      </c>
      <c r="BI1923">
        <v>0</v>
      </c>
      <c r="BJ1923">
        <v>4350</v>
      </c>
      <c r="BK1923">
        <v>50</v>
      </c>
      <c r="BL1923" t="s">
        <v>188</v>
      </c>
      <c r="BM1923">
        <v>1</v>
      </c>
      <c r="BN1923">
        <v>1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 t="shared" si="765"/>
        <v>15:09:52.593</v>
      </c>
      <c r="CF1923">
        <v>592713262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4</v>
      </c>
      <c r="CY1923">
        <v>7</v>
      </c>
      <c r="CZ1923" t="s">
        <v>133</v>
      </c>
      <c r="DA1923">
        <v>275</v>
      </c>
      <c r="DB1923">
        <v>0</v>
      </c>
      <c r="DC1923" t="s">
        <v>134</v>
      </c>
      <c r="DD1923" t="s">
        <v>135</v>
      </c>
      <c r="DG1923">
        <v>3321079</v>
      </c>
      <c r="DI1923">
        <v>1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"05/01/2025 15:09:52.813"</f>
        <v>05/01/2025 15:09:52.813</v>
      </c>
      <c r="C1924" t="str">
        <f t="shared" si="760"/>
        <v>FFDFD3C0</v>
      </c>
      <c r="D1924" t="s">
        <v>145</v>
      </c>
      <c r="E1924" t="str">
        <f>"05"</f>
        <v>05</v>
      </c>
      <c r="H1924">
        <v>47</v>
      </c>
      <c r="I1924" t="s">
        <v>146</v>
      </c>
      <c r="J1924" t="s">
        <v>138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R1924" t="s">
        <v>127</v>
      </c>
      <c r="S1924" t="str">
        <f t="shared" si="761"/>
        <v>15:09:52.000</v>
      </c>
      <c r="T1924" t="str">
        <f t="shared" si="761"/>
        <v>15:09:52.000</v>
      </c>
      <c r="U1924" t="str">
        <f t="shared" si="762"/>
        <v>A68FCB</v>
      </c>
      <c r="V1924">
        <v>0</v>
      </c>
      <c r="W1924">
        <v>0</v>
      </c>
      <c r="X1924">
        <v>2</v>
      </c>
      <c r="Y1924">
        <v>0</v>
      </c>
      <c r="AA1924">
        <v>1</v>
      </c>
      <c r="AB1924">
        <v>8</v>
      </c>
      <c r="AC1924">
        <v>3</v>
      </c>
      <c r="AD1924">
        <v>0</v>
      </c>
      <c r="AE1924">
        <v>9</v>
      </c>
      <c r="AF1924" t="s">
        <v>138</v>
      </c>
      <c r="AG1924">
        <v>0</v>
      </c>
      <c r="AH1924">
        <v>3</v>
      </c>
      <c r="AI1924">
        <v>2</v>
      </c>
      <c r="AJ1924">
        <v>0</v>
      </c>
      <c r="AK1924" t="s">
        <v>688</v>
      </c>
      <c r="AL1924">
        <v>39.044229999999999</v>
      </c>
      <c r="AM1924" t="s">
        <v>689</v>
      </c>
      <c r="AN1924">
        <v>-121.042407</v>
      </c>
      <c r="AO1924">
        <v>25</v>
      </c>
      <c r="AP1924">
        <v>4300</v>
      </c>
      <c r="AQ1924" t="s">
        <v>131</v>
      </c>
      <c r="AR1924">
        <v>16</v>
      </c>
      <c r="AS1924">
        <v>86</v>
      </c>
      <c r="AT1924">
        <v>320</v>
      </c>
      <c r="BB1924" t="str">
        <f t="shared" si="763"/>
        <v>1200</v>
      </c>
      <c r="BC1924">
        <v>1</v>
      </c>
      <c r="BD1924" t="str">
        <f t="shared" si="764"/>
        <v xml:space="preserve">N52156  </v>
      </c>
      <c r="BE1924">
        <v>1</v>
      </c>
      <c r="BG1924">
        <v>0</v>
      </c>
      <c r="BH1924">
        <v>0</v>
      </c>
      <c r="BI1924">
        <v>0</v>
      </c>
      <c r="BJ1924">
        <v>4350</v>
      </c>
      <c r="BK1924">
        <v>50</v>
      </c>
      <c r="BL1924" t="s">
        <v>188</v>
      </c>
      <c r="BM1924">
        <v>1</v>
      </c>
      <c r="BN1924">
        <v>1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 t="shared" si="765"/>
        <v>15:09:52.593</v>
      </c>
      <c r="CF1924">
        <v>592713262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4</v>
      </c>
      <c r="CY1924">
        <v>7</v>
      </c>
      <c r="CZ1924" t="s">
        <v>133</v>
      </c>
      <c r="DA1924">
        <v>275</v>
      </c>
      <c r="DB1924">
        <v>0</v>
      </c>
      <c r="DC1924" t="s">
        <v>134</v>
      </c>
      <c r="DD1924" t="s">
        <v>135</v>
      </c>
      <c r="DG1924">
        <v>3321079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"05/01/2025 15:09:52.818"</f>
        <v>05/01/2025 15:09:52.818</v>
      </c>
      <c r="C1925" t="str">
        <f t="shared" si="760"/>
        <v>FFDFD3C0</v>
      </c>
      <c r="D1925" t="s">
        <v>145</v>
      </c>
      <c r="E1925" t="str">
        <f>"09"</f>
        <v>09</v>
      </c>
      <c r="H1925">
        <v>51</v>
      </c>
      <c r="I1925" t="s">
        <v>147</v>
      </c>
      <c r="J1925" t="s">
        <v>138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R1925" t="s">
        <v>127</v>
      </c>
      <c r="S1925" t="str">
        <f t="shared" si="761"/>
        <v>15:09:52.000</v>
      </c>
      <c r="T1925" t="str">
        <f t="shared" si="761"/>
        <v>15:09:52.000</v>
      </c>
      <c r="U1925" t="str">
        <f t="shared" si="762"/>
        <v>A68FCB</v>
      </c>
      <c r="V1925">
        <v>0</v>
      </c>
      <c r="W1925">
        <v>0</v>
      </c>
      <c r="X1925">
        <v>2</v>
      </c>
      <c r="Y1925">
        <v>0</v>
      </c>
      <c r="AA1925">
        <v>1</v>
      </c>
      <c r="AB1925">
        <v>8</v>
      </c>
      <c r="AC1925">
        <v>3</v>
      </c>
      <c r="AD1925">
        <v>0</v>
      </c>
      <c r="AE1925">
        <v>9</v>
      </c>
      <c r="AF1925" t="s">
        <v>138</v>
      </c>
      <c r="AG1925">
        <v>0</v>
      </c>
      <c r="AH1925">
        <v>3</v>
      </c>
      <c r="AI1925">
        <v>2</v>
      </c>
      <c r="AJ1925">
        <v>0</v>
      </c>
      <c r="AK1925" t="s">
        <v>688</v>
      </c>
      <c r="AL1925">
        <v>39.044229999999999</v>
      </c>
      <c r="AM1925" t="s">
        <v>689</v>
      </c>
      <c r="AN1925">
        <v>-121.042407</v>
      </c>
      <c r="AO1925">
        <v>25</v>
      </c>
      <c r="AP1925">
        <v>4300</v>
      </c>
      <c r="AQ1925" t="s">
        <v>131</v>
      </c>
      <c r="AR1925">
        <v>16</v>
      </c>
      <c r="AS1925">
        <v>86</v>
      </c>
      <c r="AT1925">
        <v>320</v>
      </c>
      <c r="BB1925" t="str">
        <f t="shared" si="763"/>
        <v>1200</v>
      </c>
      <c r="BC1925">
        <v>1</v>
      </c>
      <c r="BD1925" t="str">
        <f t="shared" si="764"/>
        <v xml:space="preserve">N52156  </v>
      </c>
      <c r="BE1925">
        <v>1</v>
      </c>
      <c r="BG1925">
        <v>0</v>
      </c>
      <c r="BH1925">
        <v>0</v>
      </c>
      <c r="BI1925">
        <v>0</v>
      </c>
      <c r="BJ1925">
        <v>4350</v>
      </c>
      <c r="BK1925">
        <v>50</v>
      </c>
      <c r="BL1925" t="s">
        <v>188</v>
      </c>
      <c r="BM1925">
        <v>1</v>
      </c>
      <c r="BN1925">
        <v>1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 t="shared" si="765"/>
        <v>15:09:52.593</v>
      </c>
      <c r="CF1925">
        <v>592713262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4</v>
      </c>
      <c r="CY1925">
        <v>7</v>
      </c>
      <c r="CZ1925" t="s">
        <v>133</v>
      </c>
      <c r="DA1925">
        <v>275</v>
      </c>
      <c r="DB1925">
        <v>0</v>
      </c>
      <c r="DC1925" t="s">
        <v>134</v>
      </c>
      <c r="DD1925" t="s">
        <v>135</v>
      </c>
      <c r="DG1925">
        <v>3321079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"05/01/2025 15:09:52.823"</f>
        <v>05/01/2025 15:09:52.823</v>
      </c>
      <c r="C1926" t="str">
        <f t="shared" si="760"/>
        <v>FFDFD3C0</v>
      </c>
      <c r="D1926" t="s">
        <v>143</v>
      </c>
      <c r="E1926" t="str">
        <f>"05"</f>
        <v>05</v>
      </c>
      <c r="H1926">
        <v>172</v>
      </c>
      <c r="I1926" t="s">
        <v>141</v>
      </c>
      <c r="J1926" t="s">
        <v>144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R1926" t="s">
        <v>127</v>
      </c>
      <c r="S1926" t="str">
        <f t="shared" si="761"/>
        <v>15:09:52.000</v>
      </c>
      <c r="T1926" t="str">
        <f t="shared" si="761"/>
        <v>15:09:52.000</v>
      </c>
      <c r="U1926" t="str">
        <f t="shared" si="762"/>
        <v>A68FCB</v>
      </c>
      <c r="V1926">
        <v>0</v>
      </c>
      <c r="W1926">
        <v>0</v>
      </c>
      <c r="X1926">
        <v>2</v>
      </c>
      <c r="Y1926">
        <v>0</v>
      </c>
      <c r="AA1926">
        <v>1</v>
      </c>
      <c r="AB1926">
        <v>8</v>
      </c>
      <c r="AC1926">
        <v>3</v>
      </c>
      <c r="AD1926">
        <v>0</v>
      </c>
      <c r="AE1926">
        <v>9</v>
      </c>
      <c r="AF1926" t="s">
        <v>138</v>
      </c>
      <c r="AG1926">
        <v>0</v>
      </c>
      <c r="AH1926">
        <v>3</v>
      </c>
      <c r="AI1926">
        <v>2</v>
      </c>
      <c r="AJ1926">
        <v>0</v>
      </c>
      <c r="AK1926" t="s">
        <v>688</v>
      </c>
      <c r="AL1926">
        <v>39.044229999999999</v>
      </c>
      <c r="AM1926" t="s">
        <v>689</v>
      </c>
      <c r="AN1926">
        <v>-121.042407</v>
      </c>
      <c r="AO1926">
        <v>25</v>
      </c>
      <c r="AP1926">
        <v>4300</v>
      </c>
      <c r="AQ1926" t="s">
        <v>131</v>
      </c>
      <c r="AR1926">
        <v>16</v>
      </c>
      <c r="AS1926">
        <v>86</v>
      </c>
      <c r="AT1926">
        <v>320</v>
      </c>
      <c r="BB1926" t="str">
        <f t="shared" si="763"/>
        <v>1200</v>
      </c>
      <c r="BC1926">
        <v>1</v>
      </c>
      <c r="BD1926" t="str">
        <f t="shared" si="764"/>
        <v xml:space="preserve">N52156  </v>
      </c>
      <c r="BE1926">
        <v>1</v>
      </c>
      <c r="BG1926">
        <v>0</v>
      </c>
      <c r="BH1926">
        <v>0</v>
      </c>
      <c r="BI1926">
        <v>0</v>
      </c>
      <c r="BJ1926">
        <v>4350</v>
      </c>
      <c r="BK1926">
        <v>50</v>
      </c>
      <c r="BL1926" t="s">
        <v>188</v>
      </c>
      <c r="BM1926">
        <v>1</v>
      </c>
      <c r="BN1926">
        <v>1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 t="shared" si="765"/>
        <v>15:09:52.593</v>
      </c>
      <c r="CF1926">
        <v>592713262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4</v>
      </c>
      <c r="CY1926">
        <v>7</v>
      </c>
      <c r="CZ1926" t="s">
        <v>133</v>
      </c>
      <c r="DA1926">
        <v>275</v>
      </c>
      <c r="DB1926">
        <v>0</v>
      </c>
      <c r="DC1926" t="s">
        <v>134</v>
      </c>
      <c r="DD1926" t="s">
        <v>135</v>
      </c>
      <c r="DG1926">
        <v>3321079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"05/01/2025 15:09:52.826"</f>
        <v>05/01/2025 15:09:52.826</v>
      </c>
      <c r="C1927" t="str">
        <f t="shared" si="760"/>
        <v>FFDFD3C0</v>
      </c>
      <c r="D1927" t="s">
        <v>136</v>
      </c>
      <c r="E1927" t="str">
        <f>"20"</f>
        <v>20</v>
      </c>
      <c r="H1927">
        <v>400</v>
      </c>
      <c r="I1927" t="s">
        <v>137</v>
      </c>
      <c r="J1927" t="s">
        <v>138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R1927" t="s">
        <v>127</v>
      </c>
      <c r="S1927" t="str">
        <f t="shared" si="761"/>
        <v>15:09:52.000</v>
      </c>
      <c r="T1927" t="str">
        <f t="shared" si="761"/>
        <v>15:09:52.000</v>
      </c>
      <c r="U1927" t="str">
        <f t="shared" si="762"/>
        <v>A68FCB</v>
      </c>
      <c r="V1927">
        <v>0</v>
      </c>
      <c r="W1927">
        <v>0</v>
      </c>
      <c r="X1927">
        <v>2</v>
      </c>
      <c r="Y1927">
        <v>0</v>
      </c>
      <c r="AA1927">
        <v>1</v>
      </c>
      <c r="AB1927">
        <v>8</v>
      </c>
      <c r="AC1927">
        <v>3</v>
      </c>
      <c r="AD1927">
        <v>0</v>
      </c>
      <c r="AE1927">
        <v>9</v>
      </c>
      <c r="AF1927" t="s">
        <v>138</v>
      </c>
      <c r="AG1927">
        <v>0</v>
      </c>
      <c r="AH1927">
        <v>3</v>
      </c>
      <c r="AI1927">
        <v>2</v>
      </c>
      <c r="AJ1927">
        <v>0</v>
      </c>
      <c r="AK1927" t="s">
        <v>688</v>
      </c>
      <c r="AL1927">
        <v>39.044229999999999</v>
      </c>
      <c r="AM1927" t="s">
        <v>689</v>
      </c>
      <c r="AN1927">
        <v>-121.042407</v>
      </c>
      <c r="AO1927">
        <v>25</v>
      </c>
      <c r="AP1927">
        <v>4300</v>
      </c>
      <c r="AQ1927" t="s">
        <v>131</v>
      </c>
      <c r="AR1927">
        <v>16</v>
      </c>
      <c r="AS1927">
        <v>86</v>
      </c>
      <c r="AT1927">
        <v>320</v>
      </c>
      <c r="BB1927" t="str">
        <f t="shared" si="763"/>
        <v>1200</v>
      </c>
      <c r="BC1927">
        <v>1</v>
      </c>
      <c r="BD1927" t="str">
        <f t="shared" si="764"/>
        <v xml:space="preserve">N52156  </v>
      </c>
      <c r="BE1927">
        <v>1</v>
      </c>
      <c r="BG1927">
        <v>0</v>
      </c>
      <c r="BH1927">
        <v>0</v>
      </c>
      <c r="BI1927">
        <v>0</v>
      </c>
      <c r="BJ1927">
        <v>4350</v>
      </c>
      <c r="BK1927">
        <v>50</v>
      </c>
      <c r="BL1927" t="s">
        <v>188</v>
      </c>
      <c r="BM1927">
        <v>1</v>
      </c>
      <c r="BN1927">
        <v>1</v>
      </c>
      <c r="BO1927">
        <v>0</v>
      </c>
      <c r="BP1927">
        <v>0</v>
      </c>
      <c r="BS1927">
        <v>0</v>
      </c>
      <c r="BT1927">
        <v>0</v>
      </c>
      <c r="BU1927">
        <v>0</v>
      </c>
      <c r="CE1927" t="str">
        <f t="shared" si="765"/>
        <v>15:09:52.593</v>
      </c>
      <c r="CF1927">
        <v>592713262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4</v>
      </c>
      <c r="CY1927">
        <v>7</v>
      </c>
      <c r="CZ1927" t="s">
        <v>133</v>
      </c>
      <c r="DA1927">
        <v>275</v>
      </c>
      <c r="DB1927">
        <v>0</v>
      </c>
      <c r="DC1927" t="s">
        <v>134</v>
      </c>
      <c r="DD1927" t="s">
        <v>135</v>
      </c>
      <c r="DG1927">
        <v>3321079</v>
      </c>
      <c r="DI1927">
        <v>1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"05/01/2025 15:09:53.424"</f>
        <v>05/01/2025 15:09:53.424</v>
      </c>
      <c r="C1928" t="str">
        <f t="shared" si="760"/>
        <v>FFDFD3C0</v>
      </c>
      <c r="D1928" t="s">
        <v>143</v>
      </c>
      <c r="E1928" t="str">
        <f>"05"</f>
        <v>05</v>
      </c>
      <c r="H1928">
        <v>172</v>
      </c>
      <c r="I1928" t="s">
        <v>141</v>
      </c>
      <c r="J1928" t="s">
        <v>144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R1928" t="s">
        <v>127</v>
      </c>
      <c r="S1928" t="str">
        <f t="shared" ref="S1928:T1933" si="766">"15:09:53.000"</f>
        <v>15:09:53.000</v>
      </c>
      <c r="T1928" t="str">
        <f t="shared" si="766"/>
        <v>15:09:53.000</v>
      </c>
      <c r="U1928" t="str">
        <f t="shared" si="762"/>
        <v>A68FCB</v>
      </c>
      <c r="V1928">
        <v>0</v>
      </c>
      <c r="W1928">
        <v>0</v>
      </c>
      <c r="X1928">
        <v>2</v>
      </c>
      <c r="Y1928">
        <v>0</v>
      </c>
      <c r="AA1928">
        <v>1</v>
      </c>
      <c r="AB1928">
        <v>8</v>
      </c>
      <c r="AC1928">
        <v>3</v>
      </c>
      <c r="AD1928">
        <v>0</v>
      </c>
      <c r="AE1928">
        <v>9</v>
      </c>
      <c r="AF1928" t="s">
        <v>138</v>
      </c>
      <c r="AG1928">
        <v>0</v>
      </c>
      <c r="AH1928">
        <v>3</v>
      </c>
      <c r="AI1928">
        <v>2</v>
      </c>
      <c r="AJ1928">
        <v>0</v>
      </c>
      <c r="AK1928" t="s">
        <v>690</v>
      </c>
      <c r="AL1928">
        <v>39.044615999999998</v>
      </c>
      <c r="AM1928" t="s">
        <v>691</v>
      </c>
      <c r="AN1928">
        <v>-121.042299</v>
      </c>
      <c r="AO1928">
        <v>25</v>
      </c>
      <c r="AP1928">
        <v>4300</v>
      </c>
      <c r="AQ1928" t="s">
        <v>131</v>
      </c>
      <c r="AR1928">
        <v>16</v>
      </c>
      <c r="AS1928">
        <v>86</v>
      </c>
      <c r="AT1928">
        <v>384</v>
      </c>
      <c r="BB1928" t="str">
        <f t="shared" si="763"/>
        <v>1200</v>
      </c>
      <c r="BC1928">
        <v>1</v>
      </c>
      <c r="BD1928" t="str">
        <f t="shared" si="764"/>
        <v xml:space="preserve">N52156  </v>
      </c>
      <c r="BE1928">
        <v>1</v>
      </c>
      <c r="BG1928">
        <v>0</v>
      </c>
      <c r="BH1928">
        <v>0</v>
      </c>
      <c r="BI1928">
        <v>0</v>
      </c>
      <c r="BJ1928">
        <v>4375</v>
      </c>
      <c r="BK1928">
        <v>75</v>
      </c>
      <c r="BL1928" t="s">
        <v>188</v>
      </c>
      <c r="BM1928">
        <v>1</v>
      </c>
      <c r="BN1928">
        <v>1</v>
      </c>
      <c r="BO1928">
        <v>0</v>
      </c>
      <c r="BP1928">
        <v>0</v>
      </c>
      <c r="BS1928">
        <v>0</v>
      </c>
      <c r="BT1928">
        <v>0</v>
      </c>
      <c r="BU1928">
        <v>0</v>
      </c>
      <c r="CE1928" t="str">
        <f t="shared" ref="CE1928:CE1933" si="767">"15:09:53.219"</f>
        <v>15:09:53.219</v>
      </c>
      <c r="CF1928">
        <v>219462638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133</v>
      </c>
      <c r="DA1928">
        <v>275</v>
      </c>
      <c r="DB1928">
        <v>0</v>
      </c>
      <c r="DC1928" t="s">
        <v>134</v>
      </c>
      <c r="DD1928" t="s">
        <v>135</v>
      </c>
      <c r="DG1928">
        <v>3321085</v>
      </c>
      <c r="DI1928">
        <v>1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"05/01/2025 15:09:53.427"</f>
        <v>05/01/2025 15:09:53.427</v>
      </c>
      <c r="C1929" t="str">
        <f t="shared" si="760"/>
        <v>FFDFD3C0</v>
      </c>
      <c r="D1929" t="s">
        <v>136</v>
      </c>
      <c r="E1929" t="str">
        <f>"20"</f>
        <v>20</v>
      </c>
      <c r="H1929">
        <v>400</v>
      </c>
      <c r="I1929" t="s">
        <v>137</v>
      </c>
      <c r="J1929" t="s">
        <v>138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R1929" t="s">
        <v>127</v>
      </c>
      <c r="S1929" t="str">
        <f t="shared" si="766"/>
        <v>15:09:53.000</v>
      </c>
      <c r="T1929" t="str">
        <f t="shared" si="766"/>
        <v>15:09:53.000</v>
      </c>
      <c r="U1929" t="str">
        <f t="shared" si="762"/>
        <v>A68FCB</v>
      </c>
      <c r="V1929">
        <v>0</v>
      </c>
      <c r="W1929">
        <v>0</v>
      </c>
      <c r="X1929">
        <v>2</v>
      </c>
      <c r="Y1929">
        <v>0</v>
      </c>
      <c r="AA1929">
        <v>1</v>
      </c>
      <c r="AB1929">
        <v>8</v>
      </c>
      <c r="AC1929">
        <v>3</v>
      </c>
      <c r="AD1929">
        <v>0</v>
      </c>
      <c r="AE1929">
        <v>9</v>
      </c>
      <c r="AF1929" t="s">
        <v>138</v>
      </c>
      <c r="AG1929">
        <v>0</v>
      </c>
      <c r="AH1929">
        <v>3</v>
      </c>
      <c r="AI1929">
        <v>2</v>
      </c>
      <c r="AJ1929">
        <v>0</v>
      </c>
      <c r="AK1929" t="s">
        <v>690</v>
      </c>
      <c r="AL1929">
        <v>39.044615999999998</v>
      </c>
      <c r="AM1929" t="s">
        <v>691</v>
      </c>
      <c r="AN1929">
        <v>-121.042299</v>
      </c>
      <c r="AO1929">
        <v>25</v>
      </c>
      <c r="AP1929">
        <v>4300</v>
      </c>
      <c r="AQ1929" t="s">
        <v>131</v>
      </c>
      <c r="AR1929">
        <v>16</v>
      </c>
      <c r="AS1929">
        <v>86</v>
      </c>
      <c r="AT1929">
        <v>384</v>
      </c>
      <c r="BB1929" t="str">
        <f t="shared" si="763"/>
        <v>1200</v>
      </c>
      <c r="BC1929">
        <v>1</v>
      </c>
      <c r="BD1929" t="str">
        <f t="shared" si="764"/>
        <v xml:space="preserve">N52156  </v>
      </c>
      <c r="BE1929">
        <v>1</v>
      </c>
      <c r="BG1929">
        <v>0</v>
      </c>
      <c r="BH1929">
        <v>0</v>
      </c>
      <c r="BI1929">
        <v>0</v>
      </c>
      <c r="BJ1929">
        <v>4375</v>
      </c>
      <c r="BK1929">
        <v>75</v>
      </c>
      <c r="BL1929" t="s">
        <v>188</v>
      </c>
      <c r="BM1929">
        <v>1</v>
      </c>
      <c r="BN1929">
        <v>1</v>
      </c>
      <c r="BO1929">
        <v>0</v>
      </c>
      <c r="BP1929">
        <v>0</v>
      </c>
      <c r="BS1929">
        <v>0</v>
      </c>
      <c r="BT1929">
        <v>0</v>
      </c>
      <c r="BU1929">
        <v>0</v>
      </c>
      <c r="CE1929" t="str">
        <f t="shared" si="767"/>
        <v>15:09:53.219</v>
      </c>
      <c r="CF1929">
        <v>219462638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5</v>
      </c>
      <c r="CY1929">
        <v>7</v>
      </c>
      <c r="CZ1929" t="s">
        <v>133</v>
      </c>
      <c r="DA1929">
        <v>275</v>
      </c>
      <c r="DB1929">
        <v>0</v>
      </c>
      <c r="DC1929" t="s">
        <v>134</v>
      </c>
      <c r="DD1929" t="s">
        <v>135</v>
      </c>
      <c r="DG1929">
        <v>3321085</v>
      </c>
      <c r="DI1929">
        <v>1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"05/01/2025 15:09:53.455"</f>
        <v>05/01/2025 15:09:53.455</v>
      </c>
      <c r="C1930" t="str">
        <f t="shared" si="760"/>
        <v>FFDFD3C0</v>
      </c>
      <c r="D1930" t="s">
        <v>140</v>
      </c>
      <c r="E1930" t="str">
        <f>"13"</f>
        <v>13</v>
      </c>
      <c r="F1930">
        <v>1019</v>
      </c>
      <c r="G1930" t="s">
        <v>141</v>
      </c>
      <c r="J1930" t="s">
        <v>142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R1930" t="s">
        <v>127</v>
      </c>
      <c r="S1930" t="str">
        <f t="shared" si="766"/>
        <v>15:09:53.000</v>
      </c>
      <c r="T1930" t="str">
        <f t="shared" si="766"/>
        <v>15:09:53.000</v>
      </c>
      <c r="U1930" t="str">
        <f t="shared" si="762"/>
        <v>A68FCB</v>
      </c>
      <c r="V1930">
        <v>0</v>
      </c>
      <c r="W1930">
        <v>0</v>
      </c>
      <c r="X1930">
        <v>2</v>
      </c>
      <c r="Y1930">
        <v>0</v>
      </c>
      <c r="AA1930">
        <v>1</v>
      </c>
      <c r="AB1930">
        <v>8</v>
      </c>
      <c r="AC1930">
        <v>3</v>
      </c>
      <c r="AD1930">
        <v>0</v>
      </c>
      <c r="AE1930">
        <v>9</v>
      </c>
      <c r="AF1930" t="s">
        <v>138</v>
      </c>
      <c r="AG1930">
        <v>0</v>
      </c>
      <c r="AH1930">
        <v>3</v>
      </c>
      <c r="AI1930">
        <v>2</v>
      </c>
      <c r="AJ1930">
        <v>0</v>
      </c>
      <c r="AK1930" t="s">
        <v>690</v>
      </c>
      <c r="AL1930">
        <v>39.044615999999998</v>
      </c>
      <c r="AM1930" t="s">
        <v>691</v>
      </c>
      <c r="AN1930">
        <v>-121.042299</v>
      </c>
      <c r="AO1930">
        <v>25</v>
      </c>
      <c r="AP1930">
        <v>4300</v>
      </c>
      <c r="AQ1930" t="s">
        <v>131</v>
      </c>
      <c r="AR1930">
        <v>16</v>
      </c>
      <c r="AS1930">
        <v>86</v>
      </c>
      <c r="AT1930">
        <v>384</v>
      </c>
      <c r="BB1930" t="str">
        <f t="shared" si="763"/>
        <v>1200</v>
      </c>
      <c r="BC1930">
        <v>1</v>
      </c>
      <c r="BD1930" t="str">
        <f t="shared" si="764"/>
        <v xml:space="preserve">N52156  </v>
      </c>
      <c r="BE1930">
        <v>1</v>
      </c>
      <c r="BG1930">
        <v>0</v>
      </c>
      <c r="BH1930">
        <v>0</v>
      </c>
      <c r="BI1930">
        <v>0</v>
      </c>
      <c r="BJ1930">
        <v>4375</v>
      </c>
      <c r="BK1930">
        <v>75</v>
      </c>
      <c r="BL1930" t="s">
        <v>188</v>
      </c>
      <c r="BM1930">
        <v>1</v>
      </c>
      <c r="BN1930">
        <v>1</v>
      </c>
      <c r="BO1930">
        <v>0</v>
      </c>
      <c r="BP1930">
        <v>0</v>
      </c>
      <c r="BS1930">
        <v>0</v>
      </c>
      <c r="BT1930">
        <v>0</v>
      </c>
      <c r="BU1930">
        <v>0</v>
      </c>
      <c r="CE1930" t="str">
        <f t="shared" si="767"/>
        <v>15:09:53.219</v>
      </c>
      <c r="CF1930">
        <v>219462638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5</v>
      </c>
      <c r="CY1930">
        <v>7</v>
      </c>
      <c r="CZ1930" t="s">
        <v>133</v>
      </c>
      <c r="DA1930">
        <v>275</v>
      </c>
      <c r="DB1930">
        <v>0</v>
      </c>
      <c r="DC1930" t="s">
        <v>134</v>
      </c>
      <c r="DD1930" t="s">
        <v>135</v>
      </c>
      <c r="DG1930">
        <v>3321085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"05/01/2025 15:09:53.464"</f>
        <v>05/01/2025 15:09:53.464</v>
      </c>
      <c r="C1931" t="str">
        <f t="shared" si="760"/>
        <v>FFDFD3C0</v>
      </c>
      <c r="D1931" t="s">
        <v>145</v>
      </c>
      <c r="E1931" t="str">
        <f>"05"</f>
        <v>05</v>
      </c>
      <c r="H1931">
        <v>47</v>
      </c>
      <c r="I1931" t="s">
        <v>146</v>
      </c>
      <c r="J1931" t="s">
        <v>138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R1931" t="s">
        <v>127</v>
      </c>
      <c r="S1931" t="str">
        <f t="shared" si="766"/>
        <v>15:09:53.000</v>
      </c>
      <c r="T1931" t="str">
        <f t="shared" si="766"/>
        <v>15:09:53.000</v>
      </c>
      <c r="U1931" t="str">
        <f t="shared" si="762"/>
        <v>A68FCB</v>
      </c>
      <c r="V1931">
        <v>0</v>
      </c>
      <c r="W1931">
        <v>0</v>
      </c>
      <c r="X1931">
        <v>2</v>
      </c>
      <c r="Y1931">
        <v>0</v>
      </c>
      <c r="AA1931">
        <v>1</v>
      </c>
      <c r="AB1931">
        <v>8</v>
      </c>
      <c r="AC1931">
        <v>3</v>
      </c>
      <c r="AD1931">
        <v>0</v>
      </c>
      <c r="AE1931">
        <v>9</v>
      </c>
      <c r="AF1931" t="s">
        <v>138</v>
      </c>
      <c r="AG1931">
        <v>0</v>
      </c>
      <c r="AH1931">
        <v>3</v>
      </c>
      <c r="AI1931">
        <v>2</v>
      </c>
      <c r="AJ1931">
        <v>0</v>
      </c>
      <c r="AK1931" t="s">
        <v>690</v>
      </c>
      <c r="AL1931">
        <v>39.044615999999998</v>
      </c>
      <c r="AM1931" t="s">
        <v>691</v>
      </c>
      <c r="AN1931">
        <v>-121.042299</v>
      </c>
      <c r="AO1931">
        <v>25</v>
      </c>
      <c r="AP1931">
        <v>4300</v>
      </c>
      <c r="AQ1931" t="s">
        <v>131</v>
      </c>
      <c r="AR1931">
        <v>16</v>
      </c>
      <c r="AS1931">
        <v>86</v>
      </c>
      <c r="AT1931">
        <v>384</v>
      </c>
      <c r="BB1931" t="str">
        <f t="shared" si="763"/>
        <v>1200</v>
      </c>
      <c r="BC1931">
        <v>1</v>
      </c>
      <c r="BD1931" t="str">
        <f t="shared" si="764"/>
        <v xml:space="preserve">N52156  </v>
      </c>
      <c r="BE1931">
        <v>1</v>
      </c>
      <c r="BG1931">
        <v>0</v>
      </c>
      <c r="BH1931">
        <v>0</v>
      </c>
      <c r="BI1931">
        <v>0</v>
      </c>
      <c r="BJ1931">
        <v>4375</v>
      </c>
      <c r="BK1931">
        <v>75</v>
      </c>
      <c r="BL1931" t="s">
        <v>188</v>
      </c>
      <c r="BM1931">
        <v>1</v>
      </c>
      <c r="BN1931">
        <v>1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 t="shared" si="767"/>
        <v>15:09:53.219</v>
      </c>
      <c r="CF1931">
        <v>219462638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5</v>
      </c>
      <c r="CY1931">
        <v>7</v>
      </c>
      <c r="CZ1931" t="s">
        <v>133</v>
      </c>
      <c r="DA1931">
        <v>275</v>
      </c>
      <c r="DB1931">
        <v>0</v>
      </c>
      <c r="DC1931" t="s">
        <v>134</v>
      </c>
      <c r="DD1931" t="s">
        <v>135</v>
      </c>
      <c r="DG1931">
        <v>3321085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"05/01/2025 15:09:53.464"</f>
        <v>05/01/2025 15:09:53.464</v>
      </c>
      <c r="C1932" t="str">
        <f t="shared" si="760"/>
        <v>FFDFD3C0</v>
      </c>
      <c r="D1932" t="s">
        <v>124</v>
      </c>
      <c r="E1932" t="str">
        <f>"06"</f>
        <v>06</v>
      </c>
      <c r="F1932">
        <v>2006</v>
      </c>
      <c r="G1932" t="s">
        <v>125</v>
      </c>
      <c r="J1932" t="s">
        <v>126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R1932" t="s">
        <v>127</v>
      </c>
      <c r="S1932" t="str">
        <f t="shared" si="766"/>
        <v>15:09:53.000</v>
      </c>
      <c r="T1932" t="str">
        <f t="shared" si="766"/>
        <v>15:09:53.000</v>
      </c>
      <c r="U1932" t="str">
        <f t="shared" si="762"/>
        <v>A68FCB</v>
      </c>
      <c r="V1932">
        <v>0</v>
      </c>
      <c r="W1932">
        <v>0</v>
      </c>
      <c r="X1932">
        <v>2</v>
      </c>
      <c r="Y1932">
        <v>0</v>
      </c>
      <c r="AA1932">
        <v>1</v>
      </c>
      <c r="AB1932">
        <v>8</v>
      </c>
      <c r="AC1932">
        <v>3</v>
      </c>
      <c r="AD1932">
        <v>0</v>
      </c>
      <c r="AE1932">
        <v>9</v>
      </c>
      <c r="AF1932" t="s">
        <v>138</v>
      </c>
      <c r="AG1932">
        <v>0</v>
      </c>
      <c r="AH1932">
        <v>3</v>
      </c>
      <c r="AI1932">
        <v>2</v>
      </c>
      <c r="AJ1932">
        <v>0</v>
      </c>
      <c r="AK1932" t="s">
        <v>690</v>
      </c>
      <c r="AL1932">
        <v>39.044615999999998</v>
      </c>
      <c r="AM1932" t="s">
        <v>691</v>
      </c>
      <c r="AN1932">
        <v>-121.042299</v>
      </c>
      <c r="AO1932">
        <v>25</v>
      </c>
      <c r="AP1932">
        <v>4300</v>
      </c>
      <c r="AQ1932" t="s">
        <v>131</v>
      </c>
      <c r="AR1932">
        <v>16</v>
      </c>
      <c r="AS1932">
        <v>86</v>
      </c>
      <c r="AT1932">
        <v>384</v>
      </c>
      <c r="BB1932" t="str">
        <f t="shared" si="763"/>
        <v>1200</v>
      </c>
      <c r="BC1932">
        <v>1</v>
      </c>
      <c r="BD1932" t="str">
        <f t="shared" si="764"/>
        <v xml:space="preserve">N52156  </v>
      </c>
      <c r="BE1932">
        <v>1</v>
      </c>
      <c r="BG1932">
        <v>0</v>
      </c>
      <c r="BH1932">
        <v>0</v>
      </c>
      <c r="BI1932">
        <v>0</v>
      </c>
      <c r="BJ1932">
        <v>4375</v>
      </c>
      <c r="BK1932">
        <v>75</v>
      </c>
      <c r="BL1932" t="s">
        <v>188</v>
      </c>
      <c r="BM1932">
        <v>1</v>
      </c>
      <c r="BN1932">
        <v>1</v>
      </c>
      <c r="BO1932">
        <v>0</v>
      </c>
      <c r="BP1932">
        <v>0</v>
      </c>
      <c r="BS1932">
        <v>0</v>
      </c>
      <c r="BT1932">
        <v>0</v>
      </c>
      <c r="BU1932">
        <v>0</v>
      </c>
      <c r="CE1932" t="str">
        <f t="shared" si="767"/>
        <v>15:09:53.219</v>
      </c>
      <c r="CF1932">
        <v>219462638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5</v>
      </c>
      <c r="CY1932">
        <v>7</v>
      </c>
      <c r="CZ1932" t="s">
        <v>133</v>
      </c>
      <c r="DA1932">
        <v>275</v>
      </c>
      <c r="DB1932">
        <v>0</v>
      </c>
      <c r="DC1932" t="s">
        <v>134</v>
      </c>
      <c r="DD1932" t="s">
        <v>135</v>
      </c>
      <c r="DG1932">
        <v>3321085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"05/01/2025 15:09:53.469"</f>
        <v>05/01/2025 15:09:53.469</v>
      </c>
      <c r="C1933" t="str">
        <f t="shared" si="760"/>
        <v>FFDFD3C0</v>
      </c>
      <c r="D1933" t="s">
        <v>145</v>
      </c>
      <c r="E1933" t="str">
        <f>"09"</f>
        <v>09</v>
      </c>
      <c r="H1933">
        <v>51</v>
      </c>
      <c r="I1933" t="s">
        <v>147</v>
      </c>
      <c r="J1933" t="s">
        <v>138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R1933" t="s">
        <v>127</v>
      </c>
      <c r="S1933" t="str">
        <f t="shared" si="766"/>
        <v>15:09:53.000</v>
      </c>
      <c r="T1933" t="str">
        <f t="shared" si="766"/>
        <v>15:09:53.000</v>
      </c>
      <c r="U1933" t="str">
        <f t="shared" si="762"/>
        <v>A68FCB</v>
      </c>
      <c r="V1933">
        <v>0</v>
      </c>
      <c r="W1933">
        <v>0</v>
      </c>
      <c r="X1933">
        <v>2</v>
      </c>
      <c r="Y1933">
        <v>0</v>
      </c>
      <c r="AA1933">
        <v>1</v>
      </c>
      <c r="AB1933">
        <v>8</v>
      </c>
      <c r="AC1933">
        <v>3</v>
      </c>
      <c r="AD1933">
        <v>0</v>
      </c>
      <c r="AE1933">
        <v>9</v>
      </c>
      <c r="AF1933" t="s">
        <v>138</v>
      </c>
      <c r="AG1933">
        <v>0</v>
      </c>
      <c r="AH1933">
        <v>3</v>
      </c>
      <c r="AI1933">
        <v>2</v>
      </c>
      <c r="AJ1933">
        <v>0</v>
      </c>
      <c r="AK1933" t="s">
        <v>690</v>
      </c>
      <c r="AL1933">
        <v>39.044615999999998</v>
      </c>
      <c r="AM1933" t="s">
        <v>691</v>
      </c>
      <c r="AN1933">
        <v>-121.042299</v>
      </c>
      <c r="AO1933">
        <v>25</v>
      </c>
      <c r="AP1933">
        <v>4300</v>
      </c>
      <c r="AQ1933" t="s">
        <v>131</v>
      </c>
      <c r="AR1933">
        <v>16</v>
      </c>
      <c r="AS1933">
        <v>86</v>
      </c>
      <c r="AT1933">
        <v>384</v>
      </c>
      <c r="BB1933" t="str">
        <f t="shared" si="763"/>
        <v>1200</v>
      </c>
      <c r="BC1933">
        <v>1</v>
      </c>
      <c r="BD1933" t="str">
        <f t="shared" si="764"/>
        <v xml:space="preserve">N52156  </v>
      </c>
      <c r="BE1933">
        <v>1</v>
      </c>
      <c r="BG1933">
        <v>0</v>
      </c>
      <c r="BH1933">
        <v>0</v>
      </c>
      <c r="BI1933">
        <v>0</v>
      </c>
      <c r="BJ1933">
        <v>4375</v>
      </c>
      <c r="BK1933">
        <v>75</v>
      </c>
      <c r="BL1933" t="s">
        <v>188</v>
      </c>
      <c r="BM1933">
        <v>1</v>
      </c>
      <c r="BN1933">
        <v>1</v>
      </c>
      <c r="BO1933">
        <v>0</v>
      </c>
      <c r="BP1933">
        <v>0</v>
      </c>
      <c r="BS1933">
        <v>0</v>
      </c>
      <c r="BT1933">
        <v>0</v>
      </c>
      <c r="BU1933">
        <v>0</v>
      </c>
      <c r="CE1933" t="str">
        <f t="shared" si="767"/>
        <v>15:09:53.219</v>
      </c>
      <c r="CF1933">
        <v>219462638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133</v>
      </c>
      <c r="DA1933">
        <v>275</v>
      </c>
      <c r="DB1933">
        <v>0</v>
      </c>
      <c r="DC1933" t="s">
        <v>134</v>
      </c>
      <c r="DD1933" t="s">
        <v>135</v>
      </c>
      <c r="DG1933">
        <v>3321085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"05/01/2025 15:09:54.866"</f>
        <v>05/01/2025 15:09:54.866</v>
      </c>
      <c r="C1934" t="str">
        <f t="shared" si="760"/>
        <v>FFDFD3C0</v>
      </c>
      <c r="D1934" t="s">
        <v>145</v>
      </c>
      <c r="E1934" t="str">
        <f>"05"</f>
        <v>05</v>
      </c>
      <c r="H1934">
        <v>47</v>
      </c>
      <c r="I1934" t="s">
        <v>146</v>
      </c>
      <c r="J1934" t="s">
        <v>138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R1934" t="s">
        <v>127</v>
      </c>
      <c r="S1934" t="str">
        <f t="shared" ref="S1934:T1939" si="768">"15:09:54.000"</f>
        <v>15:09:54.000</v>
      </c>
      <c r="T1934" t="str">
        <f t="shared" si="768"/>
        <v>15:09:54.000</v>
      </c>
      <c r="U1934" t="str">
        <f t="shared" si="762"/>
        <v>A68FCB</v>
      </c>
      <c r="V1934">
        <v>0</v>
      </c>
      <c r="W1934">
        <v>0</v>
      </c>
      <c r="X1934">
        <v>2</v>
      </c>
      <c r="Y1934">
        <v>0</v>
      </c>
      <c r="AA1934">
        <v>1</v>
      </c>
      <c r="AB1934">
        <v>8</v>
      </c>
      <c r="AC1934">
        <v>3</v>
      </c>
      <c r="AD1934">
        <v>0</v>
      </c>
      <c r="AE1934">
        <v>9</v>
      </c>
      <c r="AF1934" t="s">
        <v>138</v>
      </c>
      <c r="AG1934">
        <v>0</v>
      </c>
      <c r="AH1934">
        <v>3</v>
      </c>
      <c r="AI1934">
        <v>2</v>
      </c>
      <c r="AJ1934">
        <v>0</v>
      </c>
      <c r="AK1934" t="s">
        <v>692</v>
      </c>
      <c r="AL1934">
        <v>39.045023999999998</v>
      </c>
      <c r="AM1934" t="s">
        <v>693</v>
      </c>
      <c r="AN1934">
        <v>-121.042192</v>
      </c>
      <c r="AO1934">
        <v>25</v>
      </c>
      <c r="AP1934">
        <v>4400</v>
      </c>
      <c r="AQ1934" t="s">
        <v>131</v>
      </c>
      <c r="AR1934">
        <v>16</v>
      </c>
      <c r="AS1934">
        <v>86</v>
      </c>
      <c r="AT1934">
        <v>384</v>
      </c>
      <c r="BB1934" t="str">
        <f t="shared" si="763"/>
        <v>1200</v>
      </c>
      <c r="BC1934">
        <v>1</v>
      </c>
      <c r="BD1934" t="str">
        <f t="shared" si="764"/>
        <v xml:space="preserve">N52156  </v>
      </c>
      <c r="BE1934">
        <v>1</v>
      </c>
      <c r="BG1934">
        <v>0</v>
      </c>
      <c r="BH1934">
        <v>0</v>
      </c>
      <c r="BI1934">
        <v>0</v>
      </c>
      <c r="BJ1934">
        <v>4375</v>
      </c>
      <c r="BK1934">
        <v>-25</v>
      </c>
      <c r="BL1934" t="s">
        <v>188</v>
      </c>
      <c r="BM1934">
        <v>1</v>
      </c>
      <c r="BN1934">
        <v>1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 t="shared" ref="CE1934:CE1939" si="769">"15:09:54.671"</f>
        <v>15:09:54.671</v>
      </c>
      <c r="CF1934">
        <v>670963867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5</v>
      </c>
      <c r="CY1934">
        <v>7</v>
      </c>
      <c r="CZ1934" t="s">
        <v>133</v>
      </c>
      <c r="DA1934">
        <v>275</v>
      </c>
      <c r="DB1934">
        <v>0</v>
      </c>
      <c r="DC1934" t="s">
        <v>134</v>
      </c>
      <c r="DD1934" t="s">
        <v>135</v>
      </c>
      <c r="DG1934">
        <v>3321098</v>
      </c>
      <c r="DI1934">
        <v>1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"05/01/2025 15:09:54.866"</f>
        <v>05/01/2025 15:09:54.866</v>
      </c>
      <c r="C1935" t="str">
        <f t="shared" si="760"/>
        <v>FFDFD3C0</v>
      </c>
      <c r="D1935" t="s">
        <v>124</v>
      </c>
      <c r="E1935" t="str">
        <f>"06"</f>
        <v>06</v>
      </c>
      <c r="F1935">
        <v>2006</v>
      </c>
      <c r="G1935" t="s">
        <v>125</v>
      </c>
      <c r="J1935" t="s">
        <v>126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R1935" t="s">
        <v>127</v>
      </c>
      <c r="S1935" t="str">
        <f t="shared" si="768"/>
        <v>15:09:54.000</v>
      </c>
      <c r="T1935" t="str">
        <f t="shared" si="768"/>
        <v>15:09:54.000</v>
      </c>
      <c r="U1935" t="str">
        <f t="shared" si="762"/>
        <v>A68FCB</v>
      </c>
      <c r="V1935">
        <v>0</v>
      </c>
      <c r="W1935">
        <v>0</v>
      </c>
      <c r="X1935">
        <v>2</v>
      </c>
      <c r="Y1935">
        <v>0</v>
      </c>
      <c r="AA1935">
        <v>1</v>
      </c>
      <c r="AB1935">
        <v>8</v>
      </c>
      <c r="AC1935">
        <v>3</v>
      </c>
      <c r="AD1935">
        <v>0</v>
      </c>
      <c r="AE1935">
        <v>9</v>
      </c>
      <c r="AF1935" t="s">
        <v>138</v>
      </c>
      <c r="AG1935">
        <v>0</v>
      </c>
      <c r="AH1935">
        <v>3</v>
      </c>
      <c r="AI1935">
        <v>2</v>
      </c>
      <c r="AJ1935">
        <v>0</v>
      </c>
      <c r="AK1935" t="s">
        <v>692</v>
      </c>
      <c r="AL1935">
        <v>39.045023999999998</v>
      </c>
      <c r="AM1935" t="s">
        <v>693</v>
      </c>
      <c r="AN1935">
        <v>-121.042192</v>
      </c>
      <c r="AO1935">
        <v>25</v>
      </c>
      <c r="AP1935">
        <v>4400</v>
      </c>
      <c r="AQ1935" t="s">
        <v>131</v>
      </c>
      <c r="AR1935">
        <v>16</v>
      </c>
      <c r="AS1935">
        <v>86</v>
      </c>
      <c r="AT1935">
        <v>384</v>
      </c>
      <c r="BB1935" t="str">
        <f t="shared" si="763"/>
        <v>1200</v>
      </c>
      <c r="BC1935">
        <v>1</v>
      </c>
      <c r="BD1935" t="str">
        <f t="shared" si="764"/>
        <v xml:space="preserve">N52156  </v>
      </c>
      <c r="BE1935">
        <v>1</v>
      </c>
      <c r="BG1935">
        <v>0</v>
      </c>
      <c r="BH1935">
        <v>0</v>
      </c>
      <c r="BI1935">
        <v>0</v>
      </c>
      <c r="BJ1935">
        <v>4375</v>
      </c>
      <c r="BK1935">
        <v>-25</v>
      </c>
      <c r="BL1935" t="s">
        <v>188</v>
      </c>
      <c r="BM1935">
        <v>1</v>
      </c>
      <c r="BN1935">
        <v>1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 t="shared" si="769"/>
        <v>15:09:54.671</v>
      </c>
      <c r="CF1935">
        <v>670963867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5</v>
      </c>
      <c r="CY1935">
        <v>7</v>
      </c>
      <c r="CZ1935" t="s">
        <v>133</v>
      </c>
      <c r="DA1935">
        <v>275</v>
      </c>
      <c r="DB1935">
        <v>0</v>
      </c>
      <c r="DC1935" t="s">
        <v>134</v>
      </c>
      <c r="DD1935" t="s">
        <v>135</v>
      </c>
      <c r="DG1935">
        <v>3321098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"05/01/2025 15:09:54.871"</f>
        <v>05/01/2025 15:09:54.871</v>
      </c>
      <c r="C1936" t="str">
        <f t="shared" si="760"/>
        <v>FFDFD3C0</v>
      </c>
      <c r="D1936" t="s">
        <v>145</v>
      </c>
      <c r="E1936" t="str">
        <f>"09"</f>
        <v>09</v>
      </c>
      <c r="H1936">
        <v>51</v>
      </c>
      <c r="I1936" t="s">
        <v>147</v>
      </c>
      <c r="J1936" t="s">
        <v>138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R1936" t="s">
        <v>127</v>
      </c>
      <c r="S1936" t="str">
        <f t="shared" si="768"/>
        <v>15:09:54.000</v>
      </c>
      <c r="T1936" t="str">
        <f t="shared" si="768"/>
        <v>15:09:54.000</v>
      </c>
      <c r="U1936" t="str">
        <f t="shared" si="762"/>
        <v>A68FCB</v>
      </c>
      <c r="V1936">
        <v>0</v>
      </c>
      <c r="W1936">
        <v>0</v>
      </c>
      <c r="X1936">
        <v>2</v>
      </c>
      <c r="Y1936">
        <v>0</v>
      </c>
      <c r="AA1936">
        <v>1</v>
      </c>
      <c r="AB1936">
        <v>8</v>
      </c>
      <c r="AC1936">
        <v>3</v>
      </c>
      <c r="AD1936">
        <v>0</v>
      </c>
      <c r="AE1936">
        <v>9</v>
      </c>
      <c r="AF1936" t="s">
        <v>138</v>
      </c>
      <c r="AG1936">
        <v>0</v>
      </c>
      <c r="AH1936">
        <v>3</v>
      </c>
      <c r="AI1936">
        <v>2</v>
      </c>
      <c r="AJ1936">
        <v>0</v>
      </c>
      <c r="AK1936" t="s">
        <v>692</v>
      </c>
      <c r="AL1936">
        <v>39.045023999999998</v>
      </c>
      <c r="AM1936" t="s">
        <v>693</v>
      </c>
      <c r="AN1936">
        <v>-121.042192</v>
      </c>
      <c r="AO1936">
        <v>25</v>
      </c>
      <c r="AP1936">
        <v>4400</v>
      </c>
      <c r="AQ1936" t="s">
        <v>131</v>
      </c>
      <c r="AR1936">
        <v>16</v>
      </c>
      <c r="AS1936">
        <v>86</v>
      </c>
      <c r="AT1936">
        <v>384</v>
      </c>
      <c r="BB1936" t="str">
        <f t="shared" si="763"/>
        <v>1200</v>
      </c>
      <c r="BC1936">
        <v>1</v>
      </c>
      <c r="BD1936" t="str">
        <f t="shared" si="764"/>
        <v xml:space="preserve">N52156  </v>
      </c>
      <c r="BE1936">
        <v>1</v>
      </c>
      <c r="BG1936">
        <v>0</v>
      </c>
      <c r="BH1936">
        <v>0</v>
      </c>
      <c r="BI1936">
        <v>0</v>
      </c>
      <c r="BJ1936">
        <v>4375</v>
      </c>
      <c r="BK1936">
        <v>-25</v>
      </c>
      <c r="BL1936" t="s">
        <v>188</v>
      </c>
      <c r="BM1936">
        <v>1</v>
      </c>
      <c r="BN1936">
        <v>1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 t="shared" si="769"/>
        <v>15:09:54.671</v>
      </c>
      <c r="CF1936">
        <v>670963867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133</v>
      </c>
      <c r="DA1936">
        <v>275</v>
      </c>
      <c r="DB1936">
        <v>0</v>
      </c>
      <c r="DC1936" t="s">
        <v>134</v>
      </c>
      <c r="DD1936" t="s">
        <v>135</v>
      </c>
      <c r="DG1936">
        <v>3321098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"05/01/2025 15:09:54.877"</f>
        <v>05/01/2025 15:09:54.877</v>
      </c>
      <c r="C1937" t="str">
        <f t="shared" si="760"/>
        <v>FFDFD3C0</v>
      </c>
      <c r="D1937" t="s">
        <v>143</v>
      </c>
      <c r="E1937" t="str">
        <f>"05"</f>
        <v>05</v>
      </c>
      <c r="H1937">
        <v>172</v>
      </c>
      <c r="I1937" t="s">
        <v>141</v>
      </c>
      <c r="J1937" t="s">
        <v>144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R1937" t="s">
        <v>127</v>
      </c>
      <c r="S1937" t="str">
        <f t="shared" si="768"/>
        <v>15:09:54.000</v>
      </c>
      <c r="T1937" t="str">
        <f t="shared" si="768"/>
        <v>15:09:54.000</v>
      </c>
      <c r="U1937" t="str">
        <f t="shared" si="762"/>
        <v>A68FCB</v>
      </c>
      <c r="V1937">
        <v>0</v>
      </c>
      <c r="W1937">
        <v>0</v>
      </c>
      <c r="X1937">
        <v>2</v>
      </c>
      <c r="Y1937">
        <v>0</v>
      </c>
      <c r="AA1937">
        <v>1</v>
      </c>
      <c r="AB1937">
        <v>8</v>
      </c>
      <c r="AC1937">
        <v>3</v>
      </c>
      <c r="AD1937">
        <v>0</v>
      </c>
      <c r="AE1937">
        <v>9</v>
      </c>
      <c r="AF1937" t="s">
        <v>138</v>
      </c>
      <c r="AG1937">
        <v>0</v>
      </c>
      <c r="AH1937">
        <v>3</v>
      </c>
      <c r="AI1937">
        <v>2</v>
      </c>
      <c r="AJ1937">
        <v>0</v>
      </c>
      <c r="AK1937" t="s">
        <v>692</v>
      </c>
      <c r="AL1937">
        <v>39.045023999999998</v>
      </c>
      <c r="AM1937" t="s">
        <v>693</v>
      </c>
      <c r="AN1937">
        <v>-121.042192</v>
      </c>
      <c r="AO1937">
        <v>25</v>
      </c>
      <c r="AP1937">
        <v>4400</v>
      </c>
      <c r="AQ1937" t="s">
        <v>131</v>
      </c>
      <c r="AR1937">
        <v>16</v>
      </c>
      <c r="AS1937">
        <v>86</v>
      </c>
      <c r="AT1937">
        <v>384</v>
      </c>
      <c r="BB1937" t="str">
        <f t="shared" si="763"/>
        <v>1200</v>
      </c>
      <c r="BC1937">
        <v>1</v>
      </c>
      <c r="BD1937" t="str">
        <f t="shared" si="764"/>
        <v xml:space="preserve">N52156  </v>
      </c>
      <c r="BE1937">
        <v>1</v>
      </c>
      <c r="BG1937">
        <v>0</v>
      </c>
      <c r="BH1937">
        <v>0</v>
      </c>
      <c r="BI1937">
        <v>0</v>
      </c>
      <c r="BJ1937">
        <v>4375</v>
      </c>
      <c r="BK1937">
        <v>-25</v>
      </c>
      <c r="BL1937" t="s">
        <v>188</v>
      </c>
      <c r="BM1937">
        <v>1</v>
      </c>
      <c r="BN1937">
        <v>1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 t="shared" si="769"/>
        <v>15:09:54.671</v>
      </c>
      <c r="CF1937">
        <v>670963867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5</v>
      </c>
      <c r="CY1937">
        <v>7</v>
      </c>
      <c r="CZ1937" t="s">
        <v>133</v>
      </c>
      <c r="DA1937">
        <v>275</v>
      </c>
      <c r="DB1937">
        <v>0</v>
      </c>
      <c r="DC1937" t="s">
        <v>134</v>
      </c>
      <c r="DD1937" t="s">
        <v>135</v>
      </c>
      <c r="DG1937">
        <v>3321098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"05/01/2025 15:09:54.879"</f>
        <v>05/01/2025 15:09:54.879</v>
      </c>
      <c r="C1938" t="str">
        <f t="shared" si="760"/>
        <v>FFDFD3C0</v>
      </c>
      <c r="D1938" t="s">
        <v>136</v>
      </c>
      <c r="E1938" t="str">
        <f>"20"</f>
        <v>20</v>
      </c>
      <c r="H1938">
        <v>400</v>
      </c>
      <c r="I1938" t="s">
        <v>137</v>
      </c>
      <c r="J1938" t="s">
        <v>138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R1938" t="s">
        <v>127</v>
      </c>
      <c r="S1938" t="str">
        <f t="shared" si="768"/>
        <v>15:09:54.000</v>
      </c>
      <c r="T1938" t="str">
        <f t="shared" si="768"/>
        <v>15:09:54.000</v>
      </c>
      <c r="U1938" t="str">
        <f t="shared" si="762"/>
        <v>A68FCB</v>
      </c>
      <c r="V1938">
        <v>0</v>
      </c>
      <c r="W1938">
        <v>0</v>
      </c>
      <c r="X1938">
        <v>2</v>
      </c>
      <c r="Y1938">
        <v>0</v>
      </c>
      <c r="AA1938">
        <v>1</v>
      </c>
      <c r="AB1938">
        <v>8</v>
      </c>
      <c r="AC1938">
        <v>3</v>
      </c>
      <c r="AD1938">
        <v>0</v>
      </c>
      <c r="AE1938">
        <v>9</v>
      </c>
      <c r="AF1938" t="s">
        <v>138</v>
      </c>
      <c r="AG1938">
        <v>0</v>
      </c>
      <c r="AH1938">
        <v>3</v>
      </c>
      <c r="AI1938">
        <v>2</v>
      </c>
      <c r="AJ1938">
        <v>0</v>
      </c>
      <c r="AK1938" t="s">
        <v>692</v>
      </c>
      <c r="AL1938">
        <v>39.045023999999998</v>
      </c>
      <c r="AM1938" t="s">
        <v>693</v>
      </c>
      <c r="AN1938">
        <v>-121.042192</v>
      </c>
      <c r="AO1938">
        <v>25</v>
      </c>
      <c r="AP1938">
        <v>4400</v>
      </c>
      <c r="AQ1938" t="s">
        <v>131</v>
      </c>
      <c r="AR1938">
        <v>16</v>
      </c>
      <c r="AS1938">
        <v>86</v>
      </c>
      <c r="AT1938">
        <v>384</v>
      </c>
      <c r="BB1938" t="str">
        <f t="shared" si="763"/>
        <v>1200</v>
      </c>
      <c r="BC1938">
        <v>1</v>
      </c>
      <c r="BD1938" t="str">
        <f t="shared" si="764"/>
        <v xml:space="preserve">N52156  </v>
      </c>
      <c r="BE1938">
        <v>1</v>
      </c>
      <c r="BG1938">
        <v>0</v>
      </c>
      <c r="BH1938">
        <v>0</v>
      </c>
      <c r="BI1938">
        <v>0</v>
      </c>
      <c r="BJ1938">
        <v>4375</v>
      </c>
      <c r="BK1938">
        <v>-25</v>
      </c>
      <c r="BL1938" t="s">
        <v>188</v>
      </c>
      <c r="BM1938">
        <v>1</v>
      </c>
      <c r="BN1938">
        <v>1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 t="shared" si="769"/>
        <v>15:09:54.671</v>
      </c>
      <c r="CF1938">
        <v>670963867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133</v>
      </c>
      <c r="DA1938">
        <v>275</v>
      </c>
      <c r="DB1938">
        <v>0</v>
      </c>
      <c r="DC1938" t="s">
        <v>134</v>
      </c>
      <c r="DD1938" t="s">
        <v>135</v>
      </c>
      <c r="DG1938">
        <v>3321098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"05/01/2025 15:09:54.908"</f>
        <v>05/01/2025 15:09:54.908</v>
      </c>
      <c r="C1939" t="str">
        <f t="shared" si="760"/>
        <v>FFDFD3C0</v>
      </c>
      <c r="D1939" t="s">
        <v>140</v>
      </c>
      <c r="E1939" t="str">
        <f>"13"</f>
        <v>13</v>
      </c>
      <c r="F1939">
        <v>1019</v>
      </c>
      <c r="G1939" t="s">
        <v>141</v>
      </c>
      <c r="J1939" t="s">
        <v>142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R1939" t="s">
        <v>127</v>
      </c>
      <c r="S1939" t="str">
        <f t="shared" si="768"/>
        <v>15:09:54.000</v>
      </c>
      <c r="T1939" t="str">
        <f t="shared" si="768"/>
        <v>15:09:54.000</v>
      </c>
      <c r="U1939" t="str">
        <f t="shared" si="762"/>
        <v>A68FCB</v>
      </c>
      <c r="V1939">
        <v>0</v>
      </c>
      <c r="W1939">
        <v>0</v>
      </c>
      <c r="X1939">
        <v>2</v>
      </c>
      <c r="Y1939">
        <v>0</v>
      </c>
      <c r="AA1939">
        <v>1</v>
      </c>
      <c r="AB1939">
        <v>8</v>
      </c>
      <c r="AC1939">
        <v>3</v>
      </c>
      <c r="AD1939">
        <v>0</v>
      </c>
      <c r="AE1939">
        <v>9</v>
      </c>
      <c r="AF1939" t="s">
        <v>138</v>
      </c>
      <c r="AG1939">
        <v>0</v>
      </c>
      <c r="AH1939">
        <v>3</v>
      </c>
      <c r="AI1939">
        <v>2</v>
      </c>
      <c r="AJ1939">
        <v>0</v>
      </c>
      <c r="AK1939" t="s">
        <v>692</v>
      </c>
      <c r="AL1939">
        <v>39.045023999999998</v>
      </c>
      <c r="AM1939" t="s">
        <v>693</v>
      </c>
      <c r="AN1939">
        <v>-121.042192</v>
      </c>
      <c r="AO1939">
        <v>25</v>
      </c>
      <c r="AP1939">
        <v>4400</v>
      </c>
      <c r="AQ1939" t="s">
        <v>131</v>
      </c>
      <c r="AR1939">
        <v>16</v>
      </c>
      <c r="AS1939">
        <v>86</v>
      </c>
      <c r="AT1939">
        <v>384</v>
      </c>
      <c r="BB1939" t="str">
        <f t="shared" si="763"/>
        <v>1200</v>
      </c>
      <c r="BC1939">
        <v>1</v>
      </c>
      <c r="BD1939" t="str">
        <f t="shared" si="764"/>
        <v xml:space="preserve">N52156  </v>
      </c>
      <c r="BE1939">
        <v>1</v>
      </c>
      <c r="BG1939">
        <v>0</v>
      </c>
      <c r="BH1939">
        <v>0</v>
      </c>
      <c r="BI1939">
        <v>0</v>
      </c>
      <c r="BJ1939">
        <v>4375</v>
      </c>
      <c r="BK1939">
        <v>-25</v>
      </c>
      <c r="BL1939" t="s">
        <v>188</v>
      </c>
      <c r="BM1939">
        <v>1</v>
      </c>
      <c r="BN1939">
        <v>1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 t="shared" si="769"/>
        <v>15:09:54.671</v>
      </c>
      <c r="CF1939">
        <v>670963867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5</v>
      </c>
      <c r="CY1939">
        <v>7</v>
      </c>
      <c r="CZ1939" t="s">
        <v>133</v>
      </c>
      <c r="DA1939">
        <v>275</v>
      </c>
      <c r="DB1939">
        <v>0</v>
      </c>
      <c r="DC1939" t="s">
        <v>134</v>
      </c>
      <c r="DD1939" t="s">
        <v>135</v>
      </c>
      <c r="DG1939">
        <v>3321098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"05/01/2025 15:09:55.710"</f>
        <v>05/01/2025 15:09:55.710</v>
      </c>
      <c r="C1940" t="str">
        <f t="shared" si="760"/>
        <v>FFDFD3C0</v>
      </c>
      <c r="D1940" t="s">
        <v>140</v>
      </c>
      <c r="E1940" t="str">
        <f>"13"</f>
        <v>13</v>
      </c>
      <c r="F1940">
        <v>1019</v>
      </c>
      <c r="G1940" t="s">
        <v>141</v>
      </c>
      <c r="J1940" t="s">
        <v>142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R1940" t="s">
        <v>127</v>
      </c>
      <c r="S1940" t="str">
        <f t="shared" ref="S1940:T1945" si="770">"15:09:55.000"</f>
        <v>15:09:55.000</v>
      </c>
      <c r="T1940" t="str">
        <f t="shared" si="770"/>
        <v>15:09:55.000</v>
      </c>
      <c r="U1940" t="str">
        <f t="shared" si="762"/>
        <v>A68FCB</v>
      </c>
      <c r="V1940">
        <v>0</v>
      </c>
      <c r="W1940">
        <v>0</v>
      </c>
      <c r="X1940">
        <v>2</v>
      </c>
      <c r="Y1940">
        <v>0</v>
      </c>
      <c r="AA1940">
        <v>1</v>
      </c>
      <c r="AB1940">
        <v>8</v>
      </c>
      <c r="AC1940">
        <v>3</v>
      </c>
      <c r="AD1940">
        <v>0</v>
      </c>
      <c r="AE1940">
        <v>9</v>
      </c>
      <c r="AF1940" t="s">
        <v>138</v>
      </c>
      <c r="AG1940">
        <v>0</v>
      </c>
      <c r="AH1940">
        <v>3</v>
      </c>
      <c r="AI1940">
        <v>2</v>
      </c>
      <c r="AJ1940">
        <v>0</v>
      </c>
      <c r="AK1940" t="s">
        <v>694</v>
      </c>
      <c r="AL1940">
        <v>39.045431999999998</v>
      </c>
      <c r="AM1940" t="s">
        <v>695</v>
      </c>
      <c r="AN1940">
        <v>-121.042106</v>
      </c>
      <c r="AO1940">
        <v>25</v>
      </c>
      <c r="AP1940">
        <v>4400</v>
      </c>
      <c r="AQ1940" t="s">
        <v>131</v>
      </c>
      <c r="AR1940">
        <v>15</v>
      </c>
      <c r="AS1940">
        <v>87</v>
      </c>
      <c r="AT1940">
        <v>384</v>
      </c>
      <c r="BB1940" t="str">
        <f t="shared" si="763"/>
        <v>1200</v>
      </c>
      <c r="BC1940">
        <v>1</v>
      </c>
      <c r="BD1940" t="str">
        <f t="shared" si="764"/>
        <v xml:space="preserve">N52156  </v>
      </c>
      <c r="BE1940">
        <v>1</v>
      </c>
      <c r="BG1940">
        <v>0</v>
      </c>
      <c r="BH1940">
        <v>0</v>
      </c>
      <c r="BI1940">
        <v>0</v>
      </c>
      <c r="BJ1940">
        <v>4375</v>
      </c>
      <c r="BK1940">
        <v>-25</v>
      </c>
      <c r="BL1940" t="s">
        <v>188</v>
      </c>
      <c r="BM1940">
        <v>1</v>
      </c>
      <c r="BN1940">
        <v>1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 t="shared" ref="CE1940:CE1945" si="771">"15:09:55.500"</f>
        <v>15:09:55.500</v>
      </c>
      <c r="CF1940">
        <v>500213474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4</v>
      </c>
      <c r="CY1940">
        <v>7</v>
      </c>
      <c r="CZ1940" t="s">
        <v>133</v>
      </c>
      <c r="DA1940">
        <v>275</v>
      </c>
      <c r="DB1940">
        <v>0</v>
      </c>
      <c r="DC1940" t="s">
        <v>134</v>
      </c>
      <c r="DD1940" t="s">
        <v>135</v>
      </c>
      <c r="DG1940">
        <v>3321108</v>
      </c>
      <c r="DI1940">
        <v>1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"05/01/2025 15:09:55.717"</f>
        <v>05/01/2025 15:09:55.717</v>
      </c>
      <c r="C1941" t="str">
        <f t="shared" si="760"/>
        <v>FFDFD3C0</v>
      </c>
      <c r="D1941" t="s">
        <v>145</v>
      </c>
      <c r="E1941" t="str">
        <f>"05"</f>
        <v>05</v>
      </c>
      <c r="H1941">
        <v>47</v>
      </c>
      <c r="I1941" t="s">
        <v>146</v>
      </c>
      <c r="J1941" t="s">
        <v>138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R1941" t="s">
        <v>127</v>
      </c>
      <c r="S1941" t="str">
        <f t="shared" si="770"/>
        <v>15:09:55.000</v>
      </c>
      <c r="T1941" t="str">
        <f t="shared" si="770"/>
        <v>15:09:55.000</v>
      </c>
      <c r="U1941" t="str">
        <f t="shared" si="762"/>
        <v>A68FCB</v>
      </c>
      <c r="V1941">
        <v>0</v>
      </c>
      <c r="W1941">
        <v>0</v>
      </c>
      <c r="X1941">
        <v>2</v>
      </c>
      <c r="Y1941">
        <v>0</v>
      </c>
      <c r="AA1941">
        <v>1</v>
      </c>
      <c r="AB1941">
        <v>8</v>
      </c>
      <c r="AC1941">
        <v>3</v>
      </c>
      <c r="AD1941">
        <v>0</v>
      </c>
      <c r="AE1941">
        <v>9</v>
      </c>
      <c r="AF1941" t="s">
        <v>138</v>
      </c>
      <c r="AG1941">
        <v>0</v>
      </c>
      <c r="AH1941">
        <v>3</v>
      </c>
      <c r="AI1941">
        <v>2</v>
      </c>
      <c r="AJ1941">
        <v>0</v>
      </c>
      <c r="AK1941" t="s">
        <v>694</v>
      </c>
      <c r="AL1941">
        <v>39.045431999999998</v>
      </c>
      <c r="AM1941" t="s">
        <v>695</v>
      </c>
      <c r="AN1941">
        <v>-121.042106</v>
      </c>
      <c r="AO1941">
        <v>25</v>
      </c>
      <c r="AP1941">
        <v>4400</v>
      </c>
      <c r="AQ1941" t="s">
        <v>131</v>
      </c>
      <c r="AR1941">
        <v>15</v>
      </c>
      <c r="AS1941">
        <v>87</v>
      </c>
      <c r="AT1941">
        <v>384</v>
      </c>
      <c r="BB1941" t="str">
        <f t="shared" si="763"/>
        <v>1200</v>
      </c>
      <c r="BC1941">
        <v>1</v>
      </c>
      <c r="BD1941" t="str">
        <f t="shared" si="764"/>
        <v xml:space="preserve">N52156  </v>
      </c>
      <c r="BE1941">
        <v>1</v>
      </c>
      <c r="BG1941">
        <v>0</v>
      </c>
      <c r="BH1941">
        <v>0</v>
      </c>
      <c r="BI1941">
        <v>0</v>
      </c>
      <c r="BJ1941">
        <v>4375</v>
      </c>
      <c r="BK1941">
        <v>-25</v>
      </c>
      <c r="BL1941" t="s">
        <v>188</v>
      </c>
      <c r="BM1941">
        <v>1</v>
      </c>
      <c r="BN1941">
        <v>1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 t="shared" si="771"/>
        <v>15:09:55.500</v>
      </c>
      <c r="CF1941">
        <v>500213474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4</v>
      </c>
      <c r="CY1941">
        <v>7</v>
      </c>
      <c r="CZ1941" t="s">
        <v>133</v>
      </c>
      <c r="DA1941">
        <v>275</v>
      </c>
      <c r="DB1941">
        <v>0</v>
      </c>
      <c r="DC1941" t="s">
        <v>134</v>
      </c>
      <c r="DD1941" t="s">
        <v>135</v>
      </c>
      <c r="DG1941">
        <v>3321108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"05/01/2025 15:09:55.718"</f>
        <v>05/01/2025 15:09:55.718</v>
      </c>
      <c r="C1942" t="str">
        <f t="shared" si="760"/>
        <v>FFDFD3C0</v>
      </c>
      <c r="D1942" t="s">
        <v>124</v>
      </c>
      <c r="E1942" t="str">
        <f>"06"</f>
        <v>06</v>
      </c>
      <c r="F1942">
        <v>2006</v>
      </c>
      <c r="G1942" t="s">
        <v>125</v>
      </c>
      <c r="J1942" t="s">
        <v>126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R1942" t="s">
        <v>127</v>
      </c>
      <c r="S1942" t="str">
        <f t="shared" si="770"/>
        <v>15:09:55.000</v>
      </c>
      <c r="T1942" t="str">
        <f t="shared" si="770"/>
        <v>15:09:55.000</v>
      </c>
      <c r="U1942" t="str">
        <f t="shared" si="762"/>
        <v>A68FCB</v>
      </c>
      <c r="V1942">
        <v>0</v>
      </c>
      <c r="W1942">
        <v>0</v>
      </c>
      <c r="X1942">
        <v>2</v>
      </c>
      <c r="Y1942">
        <v>0</v>
      </c>
      <c r="AA1942">
        <v>1</v>
      </c>
      <c r="AB1942">
        <v>8</v>
      </c>
      <c r="AC1942">
        <v>3</v>
      </c>
      <c r="AD1942">
        <v>0</v>
      </c>
      <c r="AE1942">
        <v>9</v>
      </c>
      <c r="AF1942" t="s">
        <v>138</v>
      </c>
      <c r="AG1942">
        <v>0</v>
      </c>
      <c r="AH1942">
        <v>3</v>
      </c>
      <c r="AI1942">
        <v>2</v>
      </c>
      <c r="AJ1942">
        <v>0</v>
      </c>
      <c r="AK1942" t="s">
        <v>694</v>
      </c>
      <c r="AL1942">
        <v>39.045431999999998</v>
      </c>
      <c r="AM1942" t="s">
        <v>695</v>
      </c>
      <c r="AN1942">
        <v>-121.042106</v>
      </c>
      <c r="AO1942">
        <v>25</v>
      </c>
      <c r="AP1942">
        <v>4400</v>
      </c>
      <c r="AQ1942" t="s">
        <v>131</v>
      </c>
      <c r="AR1942">
        <v>15</v>
      </c>
      <c r="AS1942">
        <v>87</v>
      </c>
      <c r="AT1942">
        <v>384</v>
      </c>
      <c r="BB1942" t="str">
        <f t="shared" si="763"/>
        <v>1200</v>
      </c>
      <c r="BC1942">
        <v>1</v>
      </c>
      <c r="BD1942" t="str">
        <f t="shared" si="764"/>
        <v xml:space="preserve">N52156  </v>
      </c>
      <c r="BE1942">
        <v>1</v>
      </c>
      <c r="BG1942">
        <v>0</v>
      </c>
      <c r="BH1942">
        <v>0</v>
      </c>
      <c r="BI1942">
        <v>0</v>
      </c>
      <c r="BJ1942">
        <v>4375</v>
      </c>
      <c r="BK1942">
        <v>-25</v>
      </c>
      <c r="BL1942" t="s">
        <v>188</v>
      </c>
      <c r="BM1942">
        <v>1</v>
      </c>
      <c r="BN1942">
        <v>1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 t="shared" si="771"/>
        <v>15:09:55.500</v>
      </c>
      <c r="CF1942">
        <v>500213474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4</v>
      </c>
      <c r="CY1942">
        <v>7</v>
      </c>
      <c r="CZ1942" t="s">
        <v>133</v>
      </c>
      <c r="DA1942">
        <v>275</v>
      </c>
      <c r="DB1942">
        <v>0</v>
      </c>
      <c r="DC1942" t="s">
        <v>134</v>
      </c>
      <c r="DD1942" t="s">
        <v>135</v>
      </c>
      <c r="DG1942">
        <v>3321108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"05/01/2025 15:09:55.722"</f>
        <v>05/01/2025 15:09:55.722</v>
      </c>
      <c r="C1943" t="str">
        <f t="shared" si="760"/>
        <v>FFDFD3C0</v>
      </c>
      <c r="D1943" t="s">
        <v>145</v>
      </c>
      <c r="E1943" t="str">
        <f>"09"</f>
        <v>09</v>
      </c>
      <c r="H1943">
        <v>51</v>
      </c>
      <c r="I1943" t="s">
        <v>147</v>
      </c>
      <c r="J1943" t="s">
        <v>138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R1943" t="s">
        <v>127</v>
      </c>
      <c r="S1943" t="str">
        <f t="shared" si="770"/>
        <v>15:09:55.000</v>
      </c>
      <c r="T1943" t="str">
        <f t="shared" si="770"/>
        <v>15:09:55.000</v>
      </c>
      <c r="U1943" t="str">
        <f t="shared" si="762"/>
        <v>A68FCB</v>
      </c>
      <c r="V1943">
        <v>0</v>
      </c>
      <c r="W1943">
        <v>0</v>
      </c>
      <c r="X1943">
        <v>2</v>
      </c>
      <c r="Y1943">
        <v>0</v>
      </c>
      <c r="AA1943">
        <v>1</v>
      </c>
      <c r="AB1943">
        <v>8</v>
      </c>
      <c r="AC1943">
        <v>3</v>
      </c>
      <c r="AD1943">
        <v>0</v>
      </c>
      <c r="AE1943">
        <v>9</v>
      </c>
      <c r="AF1943" t="s">
        <v>138</v>
      </c>
      <c r="AG1943">
        <v>0</v>
      </c>
      <c r="AH1943">
        <v>3</v>
      </c>
      <c r="AI1943">
        <v>2</v>
      </c>
      <c r="AJ1943">
        <v>0</v>
      </c>
      <c r="AK1943" t="s">
        <v>694</v>
      </c>
      <c r="AL1943">
        <v>39.045431999999998</v>
      </c>
      <c r="AM1943" t="s">
        <v>695</v>
      </c>
      <c r="AN1943">
        <v>-121.042106</v>
      </c>
      <c r="AO1943">
        <v>25</v>
      </c>
      <c r="AP1943">
        <v>4400</v>
      </c>
      <c r="AQ1943" t="s">
        <v>131</v>
      </c>
      <c r="AR1943">
        <v>15</v>
      </c>
      <c r="AS1943">
        <v>87</v>
      </c>
      <c r="AT1943">
        <v>384</v>
      </c>
      <c r="BB1943" t="str">
        <f t="shared" si="763"/>
        <v>1200</v>
      </c>
      <c r="BC1943">
        <v>1</v>
      </c>
      <c r="BD1943" t="str">
        <f t="shared" si="764"/>
        <v xml:space="preserve">N52156  </v>
      </c>
      <c r="BE1943">
        <v>1</v>
      </c>
      <c r="BG1943">
        <v>0</v>
      </c>
      <c r="BH1943">
        <v>0</v>
      </c>
      <c r="BI1943">
        <v>0</v>
      </c>
      <c r="BJ1943">
        <v>4375</v>
      </c>
      <c r="BK1943">
        <v>-25</v>
      </c>
      <c r="BL1943" t="s">
        <v>188</v>
      </c>
      <c r="BM1943">
        <v>1</v>
      </c>
      <c r="BN1943">
        <v>1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 t="shared" si="771"/>
        <v>15:09:55.500</v>
      </c>
      <c r="CF1943">
        <v>500213474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4</v>
      </c>
      <c r="CY1943">
        <v>7</v>
      </c>
      <c r="CZ1943" t="s">
        <v>133</v>
      </c>
      <c r="DA1943">
        <v>275</v>
      </c>
      <c r="DB1943">
        <v>0</v>
      </c>
      <c r="DC1943" t="s">
        <v>134</v>
      </c>
      <c r="DD1943" t="s">
        <v>135</v>
      </c>
      <c r="DG1943">
        <v>3321108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"05/01/2025 15:09:55.728"</f>
        <v>05/01/2025 15:09:55.728</v>
      </c>
      <c r="C1944" t="str">
        <f t="shared" si="760"/>
        <v>FFDFD3C0</v>
      </c>
      <c r="D1944" t="s">
        <v>143</v>
      </c>
      <c r="E1944" t="str">
        <f>"05"</f>
        <v>05</v>
      </c>
      <c r="H1944">
        <v>172</v>
      </c>
      <c r="I1944" t="s">
        <v>141</v>
      </c>
      <c r="J1944" t="s">
        <v>144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R1944" t="s">
        <v>127</v>
      </c>
      <c r="S1944" t="str">
        <f t="shared" si="770"/>
        <v>15:09:55.000</v>
      </c>
      <c r="T1944" t="str">
        <f t="shared" si="770"/>
        <v>15:09:55.000</v>
      </c>
      <c r="U1944" t="str">
        <f t="shared" si="762"/>
        <v>A68FCB</v>
      </c>
      <c r="V1944">
        <v>0</v>
      </c>
      <c r="W1944">
        <v>0</v>
      </c>
      <c r="X1944">
        <v>2</v>
      </c>
      <c r="Y1944">
        <v>0</v>
      </c>
      <c r="AA1944">
        <v>1</v>
      </c>
      <c r="AB1944">
        <v>8</v>
      </c>
      <c r="AC1944">
        <v>3</v>
      </c>
      <c r="AD1944">
        <v>0</v>
      </c>
      <c r="AE1944">
        <v>9</v>
      </c>
      <c r="AF1944" t="s">
        <v>138</v>
      </c>
      <c r="AG1944">
        <v>0</v>
      </c>
      <c r="AH1944">
        <v>3</v>
      </c>
      <c r="AI1944">
        <v>2</v>
      </c>
      <c r="AJ1944">
        <v>0</v>
      </c>
      <c r="AK1944" t="s">
        <v>694</v>
      </c>
      <c r="AL1944">
        <v>39.045431999999998</v>
      </c>
      <c r="AM1944" t="s">
        <v>695</v>
      </c>
      <c r="AN1944">
        <v>-121.042106</v>
      </c>
      <c r="AO1944">
        <v>25</v>
      </c>
      <c r="AP1944">
        <v>4400</v>
      </c>
      <c r="AQ1944" t="s">
        <v>131</v>
      </c>
      <c r="AR1944">
        <v>15</v>
      </c>
      <c r="AS1944">
        <v>87</v>
      </c>
      <c r="AT1944">
        <v>384</v>
      </c>
      <c r="BB1944" t="str">
        <f t="shared" si="763"/>
        <v>1200</v>
      </c>
      <c r="BC1944">
        <v>1</v>
      </c>
      <c r="BD1944" t="str">
        <f t="shared" si="764"/>
        <v xml:space="preserve">N52156  </v>
      </c>
      <c r="BE1944">
        <v>1</v>
      </c>
      <c r="BG1944">
        <v>0</v>
      </c>
      <c r="BH1944">
        <v>0</v>
      </c>
      <c r="BI1944">
        <v>0</v>
      </c>
      <c r="BJ1944">
        <v>4375</v>
      </c>
      <c r="BK1944">
        <v>-25</v>
      </c>
      <c r="BL1944" t="s">
        <v>188</v>
      </c>
      <c r="BM1944">
        <v>1</v>
      </c>
      <c r="BN1944">
        <v>1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 t="shared" si="771"/>
        <v>15:09:55.500</v>
      </c>
      <c r="CF1944">
        <v>500213474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4</v>
      </c>
      <c r="CY1944">
        <v>7</v>
      </c>
      <c r="CZ1944" t="s">
        <v>133</v>
      </c>
      <c r="DA1944">
        <v>275</v>
      </c>
      <c r="DB1944">
        <v>0</v>
      </c>
      <c r="DC1944" t="s">
        <v>134</v>
      </c>
      <c r="DD1944" t="s">
        <v>135</v>
      </c>
      <c r="DG1944">
        <v>3321108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"05/01/2025 15:09:55.730"</f>
        <v>05/01/2025 15:09:55.730</v>
      </c>
      <c r="C1945" t="str">
        <f t="shared" si="760"/>
        <v>FFDFD3C0</v>
      </c>
      <c r="D1945" t="s">
        <v>136</v>
      </c>
      <c r="E1945" t="str">
        <f>"20"</f>
        <v>20</v>
      </c>
      <c r="H1945">
        <v>400</v>
      </c>
      <c r="I1945" t="s">
        <v>137</v>
      </c>
      <c r="J1945" t="s">
        <v>138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R1945" t="s">
        <v>127</v>
      </c>
      <c r="S1945" t="str">
        <f t="shared" si="770"/>
        <v>15:09:55.000</v>
      </c>
      <c r="T1945" t="str">
        <f t="shared" si="770"/>
        <v>15:09:55.000</v>
      </c>
      <c r="U1945" t="str">
        <f t="shared" si="762"/>
        <v>A68FCB</v>
      </c>
      <c r="V1945">
        <v>0</v>
      </c>
      <c r="W1945">
        <v>0</v>
      </c>
      <c r="X1945">
        <v>2</v>
      </c>
      <c r="Y1945">
        <v>0</v>
      </c>
      <c r="AA1945">
        <v>1</v>
      </c>
      <c r="AB1945">
        <v>8</v>
      </c>
      <c r="AC1945">
        <v>3</v>
      </c>
      <c r="AD1945">
        <v>0</v>
      </c>
      <c r="AE1945">
        <v>9</v>
      </c>
      <c r="AF1945" t="s">
        <v>138</v>
      </c>
      <c r="AG1945">
        <v>0</v>
      </c>
      <c r="AH1945">
        <v>3</v>
      </c>
      <c r="AI1945">
        <v>2</v>
      </c>
      <c r="AJ1945">
        <v>0</v>
      </c>
      <c r="AK1945" t="s">
        <v>694</v>
      </c>
      <c r="AL1945">
        <v>39.045431999999998</v>
      </c>
      <c r="AM1945" t="s">
        <v>695</v>
      </c>
      <c r="AN1945">
        <v>-121.042106</v>
      </c>
      <c r="AO1945">
        <v>25</v>
      </c>
      <c r="AP1945">
        <v>4400</v>
      </c>
      <c r="AQ1945" t="s">
        <v>131</v>
      </c>
      <c r="AR1945">
        <v>15</v>
      </c>
      <c r="AS1945">
        <v>87</v>
      </c>
      <c r="AT1945">
        <v>384</v>
      </c>
      <c r="BB1945" t="str">
        <f t="shared" si="763"/>
        <v>1200</v>
      </c>
      <c r="BC1945">
        <v>1</v>
      </c>
      <c r="BD1945" t="str">
        <f t="shared" si="764"/>
        <v xml:space="preserve">N52156  </v>
      </c>
      <c r="BE1945">
        <v>1</v>
      </c>
      <c r="BG1945">
        <v>0</v>
      </c>
      <c r="BH1945">
        <v>0</v>
      </c>
      <c r="BI1945">
        <v>0</v>
      </c>
      <c r="BJ1945">
        <v>4375</v>
      </c>
      <c r="BK1945">
        <v>-25</v>
      </c>
      <c r="BL1945" t="s">
        <v>188</v>
      </c>
      <c r="BM1945">
        <v>1</v>
      </c>
      <c r="BN1945">
        <v>1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 t="shared" si="771"/>
        <v>15:09:55.500</v>
      </c>
      <c r="CF1945">
        <v>500213474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4</v>
      </c>
      <c r="CY1945">
        <v>7</v>
      </c>
      <c r="CZ1945" t="s">
        <v>133</v>
      </c>
      <c r="DA1945">
        <v>275</v>
      </c>
      <c r="DB1945">
        <v>0</v>
      </c>
      <c r="DC1945" t="s">
        <v>134</v>
      </c>
      <c r="DD1945" t="s">
        <v>135</v>
      </c>
      <c r="DG1945">
        <v>3321108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"05/01/2025 15:09:56.974"</f>
        <v>05/01/2025 15:09:56.974</v>
      </c>
      <c r="C1946" t="str">
        <f t="shared" si="760"/>
        <v>FFDFD3C0</v>
      </c>
      <c r="D1946" t="s">
        <v>145</v>
      </c>
      <c r="E1946" t="str">
        <f>"09"</f>
        <v>09</v>
      </c>
      <c r="H1946">
        <v>51</v>
      </c>
      <c r="I1946" t="s">
        <v>147</v>
      </c>
      <c r="J1946" t="s">
        <v>138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R1946" t="s">
        <v>127</v>
      </c>
      <c r="S1946" t="str">
        <f t="shared" ref="S1946:T1951" si="772">"15:09:56.000"</f>
        <v>15:09:56.000</v>
      </c>
      <c r="T1946" t="str">
        <f t="shared" si="772"/>
        <v>15:09:56.000</v>
      </c>
      <c r="U1946" t="str">
        <f t="shared" si="762"/>
        <v>A68FCB</v>
      </c>
      <c r="V1946">
        <v>0</v>
      </c>
      <c r="W1946">
        <v>0</v>
      </c>
      <c r="X1946">
        <v>2</v>
      </c>
      <c r="Y1946">
        <v>0</v>
      </c>
      <c r="AA1946">
        <v>1</v>
      </c>
      <c r="AB1946">
        <v>8</v>
      </c>
      <c r="AC1946">
        <v>3</v>
      </c>
      <c r="AD1946">
        <v>0</v>
      </c>
      <c r="AE1946">
        <v>9</v>
      </c>
      <c r="AF1946" t="s">
        <v>138</v>
      </c>
      <c r="AG1946">
        <v>0</v>
      </c>
      <c r="AH1946">
        <v>3</v>
      </c>
      <c r="AI1946">
        <v>2</v>
      </c>
      <c r="AJ1946">
        <v>0</v>
      </c>
      <c r="AK1946" t="s">
        <v>696</v>
      </c>
      <c r="AL1946">
        <v>39.045839000000001</v>
      </c>
      <c r="AM1946" t="s">
        <v>697</v>
      </c>
      <c r="AN1946">
        <v>-121.04201999999999</v>
      </c>
      <c r="AO1946">
        <v>25</v>
      </c>
      <c r="AP1946">
        <v>4400</v>
      </c>
      <c r="AQ1946" t="s">
        <v>131</v>
      </c>
      <c r="AR1946">
        <v>13</v>
      </c>
      <c r="AS1946">
        <v>87</v>
      </c>
      <c r="AT1946">
        <v>320</v>
      </c>
      <c r="BB1946" t="str">
        <f t="shared" si="763"/>
        <v>1200</v>
      </c>
      <c r="BC1946">
        <v>1</v>
      </c>
      <c r="BD1946" t="str">
        <f t="shared" si="764"/>
        <v xml:space="preserve">N52156  </v>
      </c>
      <c r="BE1946">
        <v>1</v>
      </c>
      <c r="BG1946">
        <v>0</v>
      </c>
      <c r="BH1946">
        <v>0</v>
      </c>
      <c r="BI1946">
        <v>0</v>
      </c>
      <c r="BJ1946">
        <v>4375</v>
      </c>
      <c r="BK1946">
        <v>-25</v>
      </c>
      <c r="BL1946" t="s">
        <v>188</v>
      </c>
      <c r="BM1946">
        <v>1</v>
      </c>
      <c r="BN1946">
        <v>1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 t="shared" ref="CE1946:CE1951" si="773">"15:09:56.761"</f>
        <v>15:09:56.761</v>
      </c>
      <c r="CF1946">
        <v>761214249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5</v>
      </c>
      <c r="CY1946">
        <v>7</v>
      </c>
      <c r="CZ1946" t="s">
        <v>133</v>
      </c>
      <c r="DA1946">
        <v>275</v>
      </c>
      <c r="DB1946">
        <v>0</v>
      </c>
      <c r="DC1946" t="s">
        <v>134</v>
      </c>
      <c r="DD1946" t="s">
        <v>135</v>
      </c>
      <c r="DG1946">
        <v>3321119</v>
      </c>
      <c r="DI1946">
        <v>1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"05/01/2025 15:09:56.981"</f>
        <v>05/01/2025 15:09:56.981</v>
      </c>
      <c r="C1947" t="str">
        <f t="shared" si="760"/>
        <v>FFDFD3C0</v>
      </c>
      <c r="D1947" t="s">
        <v>143</v>
      </c>
      <c r="E1947" t="str">
        <f>"05"</f>
        <v>05</v>
      </c>
      <c r="H1947">
        <v>172</v>
      </c>
      <c r="I1947" t="s">
        <v>141</v>
      </c>
      <c r="J1947" t="s">
        <v>144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R1947" t="s">
        <v>127</v>
      </c>
      <c r="S1947" t="str">
        <f t="shared" si="772"/>
        <v>15:09:56.000</v>
      </c>
      <c r="T1947" t="str">
        <f t="shared" si="772"/>
        <v>15:09:56.000</v>
      </c>
      <c r="U1947" t="str">
        <f t="shared" si="762"/>
        <v>A68FCB</v>
      </c>
      <c r="V1947">
        <v>0</v>
      </c>
      <c r="W1947">
        <v>0</v>
      </c>
      <c r="X1947">
        <v>2</v>
      </c>
      <c r="Y1947">
        <v>0</v>
      </c>
      <c r="AA1947">
        <v>1</v>
      </c>
      <c r="AB1947">
        <v>8</v>
      </c>
      <c r="AC1947">
        <v>3</v>
      </c>
      <c r="AD1947">
        <v>0</v>
      </c>
      <c r="AE1947">
        <v>9</v>
      </c>
      <c r="AF1947" t="s">
        <v>138</v>
      </c>
      <c r="AG1947">
        <v>0</v>
      </c>
      <c r="AH1947">
        <v>3</v>
      </c>
      <c r="AI1947">
        <v>2</v>
      </c>
      <c r="AJ1947">
        <v>0</v>
      </c>
      <c r="AK1947" t="s">
        <v>696</v>
      </c>
      <c r="AL1947">
        <v>39.045839000000001</v>
      </c>
      <c r="AM1947" t="s">
        <v>697</v>
      </c>
      <c r="AN1947">
        <v>-121.04201999999999</v>
      </c>
      <c r="AO1947">
        <v>25</v>
      </c>
      <c r="AP1947">
        <v>4400</v>
      </c>
      <c r="AQ1947" t="s">
        <v>131</v>
      </c>
      <c r="AR1947">
        <v>13</v>
      </c>
      <c r="AS1947">
        <v>87</v>
      </c>
      <c r="AT1947">
        <v>320</v>
      </c>
      <c r="BB1947" t="str">
        <f t="shared" si="763"/>
        <v>1200</v>
      </c>
      <c r="BC1947">
        <v>1</v>
      </c>
      <c r="BD1947" t="str">
        <f t="shared" si="764"/>
        <v xml:space="preserve">N52156  </v>
      </c>
      <c r="BE1947">
        <v>1</v>
      </c>
      <c r="BG1947">
        <v>0</v>
      </c>
      <c r="BH1947">
        <v>0</v>
      </c>
      <c r="BI1947">
        <v>0</v>
      </c>
      <c r="BJ1947">
        <v>4375</v>
      </c>
      <c r="BK1947">
        <v>-25</v>
      </c>
      <c r="BL1947" t="s">
        <v>188</v>
      </c>
      <c r="BM1947">
        <v>1</v>
      </c>
      <c r="BN1947">
        <v>1</v>
      </c>
      <c r="BO1947">
        <v>0</v>
      </c>
      <c r="BP1947">
        <v>0</v>
      </c>
      <c r="BS1947">
        <v>0</v>
      </c>
      <c r="BT1947">
        <v>0</v>
      </c>
      <c r="BU1947">
        <v>0</v>
      </c>
      <c r="CE1947" t="str">
        <f t="shared" si="773"/>
        <v>15:09:56.761</v>
      </c>
      <c r="CF1947">
        <v>761214249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5</v>
      </c>
      <c r="CY1947">
        <v>7</v>
      </c>
      <c r="CZ1947" t="s">
        <v>133</v>
      </c>
      <c r="DA1947">
        <v>275</v>
      </c>
      <c r="DB1947">
        <v>0</v>
      </c>
      <c r="DC1947" t="s">
        <v>134</v>
      </c>
      <c r="DD1947" t="s">
        <v>135</v>
      </c>
      <c r="DG1947">
        <v>3321119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"05/01/2025 15:09:56.983"</f>
        <v>05/01/2025 15:09:56.983</v>
      </c>
      <c r="C1948" t="str">
        <f t="shared" si="760"/>
        <v>FFDFD3C0</v>
      </c>
      <c r="D1948" t="s">
        <v>136</v>
      </c>
      <c r="E1948" t="str">
        <f>"20"</f>
        <v>20</v>
      </c>
      <c r="H1948">
        <v>400</v>
      </c>
      <c r="I1948" t="s">
        <v>137</v>
      </c>
      <c r="J1948" t="s">
        <v>138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R1948" t="s">
        <v>127</v>
      </c>
      <c r="S1948" t="str">
        <f t="shared" si="772"/>
        <v>15:09:56.000</v>
      </c>
      <c r="T1948" t="str">
        <f t="shared" si="772"/>
        <v>15:09:56.000</v>
      </c>
      <c r="U1948" t="str">
        <f t="shared" si="762"/>
        <v>A68FCB</v>
      </c>
      <c r="V1948">
        <v>0</v>
      </c>
      <c r="W1948">
        <v>0</v>
      </c>
      <c r="X1948">
        <v>2</v>
      </c>
      <c r="Y1948">
        <v>0</v>
      </c>
      <c r="AA1948">
        <v>1</v>
      </c>
      <c r="AB1948">
        <v>8</v>
      </c>
      <c r="AC1948">
        <v>3</v>
      </c>
      <c r="AD1948">
        <v>0</v>
      </c>
      <c r="AE1948">
        <v>9</v>
      </c>
      <c r="AF1948" t="s">
        <v>138</v>
      </c>
      <c r="AG1948">
        <v>0</v>
      </c>
      <c r="AH1948">
        <v>3</v>
      </c>
      <c r="AI1948">
        <v>2</v>
      </c>
      <c r="AJ1948">
        <v>0</v>
      </c>
      <c r="AK1948" t="s">
        <v>696</v>
      </c>
      <c r="AL1948">
        <v>39.045839000000001</v>
      </c>
      <c r="AM1948" t="s">
        <v>697</v>
      </c>
      <c r="AN1948">
        <v>-121.04201999999999</v>
      </c>
      <c r="AO1948">
        <v>25</v>
      </c>
      <c r="AP1948">
        <v>4400</v>
      </c>
      <c r="AQ1948" t="s">
        <v>131</v>
      </c>
      <c r="AR1948">
        <v>13</v>
      </c>
      <c r="AS1948">
        <v>87</v>
      </c>
      <c r="AT1948">
        <v>320</v>
      </c>
      <c r="BB1948" t="str">
        <f t="shared" si="763"/>
        <v>1200</v>
      </c>
      <c r="BC1948">
        <v>1</v>
      </c>
      <c r="BD1948" t="str">
        <f t="shared" si="764"/>
        <v xml:space="preserve">N52156  </v>
      </c>
      <c r="BE1948">
        <v>1</v>
      </c>
      <c r="BG1948">
        <v>0</v>
      </c>
      <c r="BH1948">
        <v>0</v>
      </c>
      <c r="BI1948">
        <v>0</v>
      </c>
      <c r="BJ1948">
        <v>4375</v>
      </c>
      <c r="BK1948">
        <v>-25</v>
      </c>
      <c r="BL1948" t="s">
        <v>188</v>
      </c>
      <c r="BM1948">
        <v>1</v>
      </c>
      <c r="BN1948">
        <v>1</v>
      </c>
      <c r="BO1948">
        <v>0</v>
      </c>
      <c r="BP1948">
        <v>0</v>
      </c>
      <c r="BS1948">
        <v>0</v>
      </c>
      <c r="BT1948">
        <v>0</v>
      </c>
      <c r="BU1948">
        <v>0</v>
      </c>
      <c r="CE1948" t="str">
        <f t="shared" si="773"/>
        <v>15:09:56.761</v>
      </c>
      <c r="CF1948">
        <v>761214249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5</v>
      </c>
      <c r="CY1948">
        <v>7</v>
      </c>
      <c r="CZ1948" t="s">
        <v>133</v>
      </c>
      <c r="DA1948">
        <v>275</v>
      </c>
      <c r="DB1948">
        <v>0</v>
      </c>
      <c r="DC1948" t="s">
        <v>134</v>
      </c>
      <c r="DD1948" t="s">
        <v>135</v>
      </c>
      <c r="DG1948">
        <v>3321119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"05/01/2025 15:09:57.011"</f>
        <v>05/01/2025 15:09:57.011</v>
      </c>
      <c r="C1949" t="str">
        <f t="shared" si="760"/>
        <v>FFDFD3C0</v>
      </c>
      <c r="D1949" t="s">
        <v>140</v>
      </c>
      <c r="E1949" t="str">
        <f>"13"</f>
        <v>13</v>
      </c>
      <c r="F1949">
        <v>1019</v>
      </c>
      <c r="G1949" t="s">
        <v>141</v>
      </c>
      <c r="J1949" t="s">
        <v>142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R1949" t="s">
        <v>127</v>
      </c>
      <c r="S1949" t="str">
        <f t="shared" si="772"/>
        <v>15:09:56.000</v>
      </c>
      <c r="T1949" t="str">
        <f t="shared" si="772"/>
        <v>15:09:56.000</v>
      </c>
      <c r="U1949" t="str">
        <f t="shared" si="762"/>
        <v>A68FCB</v>
      </c>
      <c r="V1949">
        <v>0</v>
      </c>
      <c r="W1949">
        <v>0</v>
      </c>
      <c r="X1949">
        <v>2</v>
      </c>
      <c r="Y1949">
        <v>0</v>
      </c>
      <c r="AA1949">
        <v>1</v>
      </c>
      <c r="AB1949">
        <v>8</v>
      </c>
      <c r="AC1949">
        <v>3</v>
      </c>
      <c r="AD1949">
        <v>0</v>
      </c>
      <c r="AE1949">
        <v>9</v>
      </c>
      <c r="AF1949" t="s">
        <v>138</v>
      </c>
      <c r="AG1949">
        <v>0</v>
      </c>
      <c r="AH1949">
        <v>3</v>
      </c>
      <c r="AI1949">
        <v>2</v>
      </c>
      <c r="AJ1949">
        <v>0</v>
      </c>
      <c r="AK1949" t="s">
        <v>696</v>
      </c>
      <c r="AL1949">
        <v>39.045839000000001</v>
      </c>
      <c r="AM1949" t="s">
        <v>697</v>
      </c>
      <c r="AN1949">
        <v>-121.04201999999999</v>
      </c>
      <c r="AO1949">
        <v>25</v>
      </c>
      <c r="AP1949">
        <v>4400</v>
      </c>
      <c r="AQ1949" t="s">
        <v>131</v>
      </c>
      <c r="AR1949">
        <v>13</v>
      </c>
      <c r="AS1949">
        <v>87</v>
      </c>
      <c r="AT1949">
        <v>320</v>
      </c>
      <c r="BB1949" t="str">
        <f t="shared" si="763"/>
        <v>1200</v>
      </c>
      <c r="BC1949">
        <v>1</v>
      </c>
      <c r="BD1949" t="str">
        <f t="shared" si="764"/>
        <v xml:space="preserve">N52156  </v>
      </c>
      <c r="BE1949">
        <v>1</v>
      </c>
      <c r="BG1949">
        <v>0</v>
      </c>
      <c r="BH1949">
        <v>0</v>
      </c>
      <c r="BI1949">
        <v>0</v>
      </c>
      <c r="BJ1949">
        <v>4375</v>
      </c>
      <c r="BK1949">
        <v>-25</v>
      </c>
      <c r="BL1949" t="s">
        <v>188</v>
      </c>
      <c r="BM1949">
        <v>1</v>
      </c>
      <c r="BN1949">
        <v>1</v>
      </c>
      <c r="BO1949">
        <v>0</v>
      </c>
      <c r="BP1949">
        <v>0</v>
      </c>
      <c r="BS1949">
        <v>0</v>
      </c>
      <c r="BT1949">
        <v>0</v>
      </c>
      <c r="BU1949">
        <v>0</v>
      </c>
      <c r="CE1949" t="str">
        <f t="shared" si="773"/>
        <v>15:09:56.761</v>
      </c>
      <c r="CF1949">
        <v>761214249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5</v>
      </c>
      <c r="CY1949">
        <v>7</v>
      </c>
      <c r="CZ1949" t="s">
        <v>133</v>
      </c>
      <c r="DA1949">
        <v>275</v>
      </c>
      <c r="DB1949">
        <v>0</v>
      </c>
      <c r="DC1949" t="s">
        <v>134</v>
      </c>
      <c r="DD1949" t="s">
        <v>135</v>
      </c>
      <c r="DG1949">
        <v>3321119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"05/01/2025 15:09:57.020"</f>
        <v>05/01/2025 15:09:57.020</v>
      </c>
      <c r="C1950" t="str">
        <f t="shared" si="760"/>
        <v>FFDFD3C0</v>
      </c>
      <c r="D1950" t="s">
        <v>145</v>
      </c>
      <c r="E1950" t="str">
        <f>"05"</f>
        <v>05</v>
      </c>
      <c r="H1950">
        <v>47</v>
      </c>
      <c r="I1950" t="s">
        <v>146</v>
      </c>
      <c r="J1950" t="s">
        <v>138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R1950" t="s">
        <v>127</v>
      </c>
      <c r="S1950" t="str">
        <f t="shared" si="772"/>
        <v>15:09:56.000</v>
      </c>
      <c r="T1950" t="str">
        <f t="shared" si="772"/>
        <v>15:09:56.000</v>
      </c>
      <c r="U1950" t="str">
        <f t="shared" si="762"/>
        <v>A68FCB</v>
      </c>
      <c r="V1950">
        <v>0</v>
      </c>
      <c r="W1950">
        <v>0</v>
      </c>
      <c r="X1950">
        <v>2</v>
      </c>
      <c r="Y1950">
        <v>0</v>
      </c>
      <c r="AA1950">
        <v>1</v>
      </c>
      <c r="AB1950">
        <v>8</v>
      </c>
      <c r="AC1950">
        <v>3</v>
      </c>
      <c r="AD1950">
        <v>0</v>
      </c>
      <c r="AE1950">
        <v>9</v>
      </c>
      <c r="AF1950" t="s">
        <v>138</v>
      </c>
      <c r="AG1950">
        <v>0</v>
      </c>
      <c r="AH1950">
        <v>3</v>
      </c>
      <c r="AI1950">
        <v>2</v>
      </c>
      <c r="AJ1950">
        <v>0</v>
      </c>
      <c r="AK1950" t="s">
        <v>696</v>
      </c>
      <c r="AL1950">
        <v>39.045839000000001</v>
      </c>
      <c r="AM1950" t="s">
        <v>697</v>
      </c>
      <c r="AN1950">
        <v>-121.04201999999999</v>
      </c>
      <c r="AO1950">
        <v>25</v>
      </c>
      <c r="AP1950">
        <v>4400</v>
      </c>
      <c r="AQ1950" t="s">
        <v>131</v>
      </c>
      <c r="AR1950">
        <v>13</v>
      </c>
      <c r="AS1950">
        <v>87</v>
      </c>
      <c r="AT1950">
        <v>320</v>
      </c>
      <c r="BB1950" t="str">
        <f t="shared" si="763"/>
        <v>1200</v>
      </c>
      <c r="BC1950">
        <v>1</v>
      </c>
      <c r="BD1950" t="str">
        <f t="shared" si="764"/>
        <v xml:space="preserve">N52156  </v>
      </c>
      <c r="BE1950">
        <v>1</v>
      </c>
      <c r="BG1950">
        <v>0</v>
      </c>
      <c r="BH1950">
        <v>0</v>
      </c>
      <c r="BI1950">
        <v>0</v>
      </c>
      <c r="BJ1950">
        <v>4375</v>
      </c>
      <c r="BK1950">
        <v>-25</v>
      </c>
      <c r="BL1950" t="s">
        <v>188</v>
      </c>
      <c r="BM1950">
        <v>1</v>
      </c>
      <c r="BN1950">
        <v>1</v>
      </c>
      <c r="BO1950">
        <v>0</v>
      </c>
      <c r="BP1950">
        <v>0</v>
      </c>
      <c r="BS1950">
        <v>0</v>
      </c>
      <c r="BT1950">
        <v>0</v>
      </c>
      <c r="BU1950">
        <v>0</v>
      </c>
      <c r="CE1950" t="str">
        <f t="shared" si="773"/>
        <v>15:09:56.761</v>
      </c>
      <c r="CF1950">
        <v>761214249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5</v>
      </c>
      <c r="CY1950">
        <v>7</v>
      </c>
      <c r="CZ1950" t="s">
        <v>133</v>
      </c>
      <c r="DA1950">
        <v>275</v>
      </c>
      <c r="DB1950">
        <v>0</v>
      </c>
      <c r="DC1950" t="s">
        <v>134</v>
      </c>
      <c r="DD1950" t="s">
        <v>135</v>
      </c>
      <c r="DG1950">
        <v>3321119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"05/01/2025 15:09:57.020"</f>
        <v>05/01/2025 15:09:57.020</v>
      </c>
      <c r="C1951" t="str">
        <f t="shared" si="760"/>
        <v>FFDFD3C0</v>
      </c>
      <c r="D1951" t="s">
        <v>124</v>
      </c>
      <c r="E1951" t="str">
        <f>"06"</f>
        <v>06</v>
      </c>
      <c r="F1951">
        <v>2006</v>
      </c>
      <c r="G1951" t="s">
        <v>125</v>
      </c>
      <c r="J1951" t="s">
        <v>126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R1951" t="s">
        <v>127</v>
      </c>
      <c r="S1951" t="str">
        <f t="shared" si="772"/>
        <v>15:09:56.000</v>
      </c>
      <c r="T1951" t="str">
        <f t="shared" si="772"/>
        <v>15:09:56.000</v>
      </c>
      <c r="U1951" t="str">
        <f t="shared" si="762"/>
        <v>A68FCB</v>
      </c>
      <c r="V1951">
        <v>0</v>
      </c>
      <c r="W1951">
        <v>0</v>
      </c>
      <c r="X1951">
        <v>2</v>
      </c>
      <c r="Y1951">
        <v>0</v>
      </c>
      <c r="AA1951">
        <v>1</v>
      </c>
      <c r="AB1951">
        <v>8</v>
      </c>
      <c r="AC1951">
        <v>3</v>
      </c>
      <c r="AD1951">
        <v>0</v>
      </c>
      <c r="AE1951">
        <v>9</v>
      </c>
      <c r="AF1951" t="s">
        <v>138</v>
      </c>
      <c r="AG1951">
        <v>0</v>
      </c>
      <c r="AH1951">
        <v>3</v>
      </c>
      <c r="AI1951">
        <v>2</v>
      </c>
      <c r="AJ1951">
        <v>0</v>
      </c>
      <c r="AK1951" t="s">
        <v>696</v>
      </c>
      <c r="AL1951">
        <v>39.045839000000001</v>
      </c>
      <c r="AM1951" t="s">
        <v>697</v>
      </c>
      <c r="AN1951">
        <v>-121.04201999999999</v>
      </c>
      <c r="AO1951">
        <v>25</v>
      </c>
      <c r="AP1951">
        <v>4400</v>
      </c>
      <c r="AQ1951" t="s">
        <v>131</v>
      </c>
      <c r="AR1951">
        <v>13</v>
      </c>
      <c r="AS1951">
        <v>87</v>
      </c>
      <c r="AT1951">
        <v>320</v>
      </c>
      <c r="BB1951" t="str">
        <f t="shared" si="763"/>
        <v>1200</v>
      </c>
      <c r="BC1951">
        <v>1</v>
      </c>
      <c r="BD1951" t="str">
        <f t="shared" si="764"/>
        <v xml:space="preserve">N52156  </v>
      </c>
      <c r="BE1951">
        <v>1</v>
      </c>
      <c r="BG1951">
        <v>0</v>
      </c>
      <c r="BH1951">
        <v>0</v>
      </c>
      <c r="BI1951">
        <v>0</v>
      </c>
      <c r="BJ1951">
        <v>4375</v>
      </c>
      <c r="BK1951">
        <v>-25</v>
      </c>
      <c r="BL1951" t="s">
        <v>188</v>
      </c>
      <c r="BM1951">
        <v>1</v>
      </c>
      <c r="BN1951">
        <v>1</v>
      </c>
      <c r="BO1951">
        <v>0</v>
      </c>
      <c r="BP1951">
        <v>0</v>
      </c>
      <c r="BS1951">
        <v>0</v>
      </c>
      <c r="BT1951">
        <v>0</v>
      </c>
      <c r="BU1951">
        <v>0</v>
      </c>
      <c r="CE1951" t="str">
        <f t="shared" si="773"/>
        <v>15:09:56.761</v>
      </c>
      <c r="CF1951">
        <v>761214249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5</v>
      </c>
      <c r="CY1951">
        <v>7</v>
      </c>
      <c r="CZ1951" t="s">
        <v>133</v>
      </c>
      <c r="DA1951">
        <v>275</v>
      </c>
      <c r="DB1951">
        <v>0</v>
      </c>
      <c r="DC1951" t="s">
        <v>134</v>
      </c>
      <c r="DD1951" t="s">
        <v>135</v>
      </c>
      <c r="DG1951">
        <v>3321119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"05/01/2025 15:09:58.013"</f>
        <v>05/01/2025 15:09:58.013</v>
      </c>
      <c r="C1952" t="str">
        <f t="shared" si="760"/>
        <v>FFDFD3C0</v>
      </c>
      <c r="D1952" t="s">
        <v>140</v>
      </c>
      <c r="E1952" t="str">
        <f>"13"</f>
        <v>13</v>
      </c>
      <c r="F1952">
        <v>1019</v>
      </c>
      <c r="G1952" t="s">
        <v>141</v>
      </c>
      <c r="J1952" t="s">
        <v>142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R1952" t="s">
        <v>127</v>
      </c>
      <c r="S1952" t="str">
        <f t="shared" ref="S1952:T1957" si="774">"15:09:57.000"</f>
        <v>15:09:57.000</v>
      </c>
      <c r="T1952" t="str">
        <f t="shared" si="774"/>
        <v>15:09:57.000</v>
      </c>
      <c r="U1952" t="str">
        <f t="shared" si="762"/>
        <v>A68FCB</v>
      </c>
      <c r="V1952">
        <v>0</v>
      </c>
      <c r="W1952">
        <v>0</v>
      </c>
      <c r="X1952">
        <v>2</v>
      </c>
      <c r="Y1952">
        <v>0</v>
      </c>
      <c r="AA1952">
        <v>1</v>
      </c>
      <c r="AB1952">
        <v>8</v>
      </c>
      <c r="AC1952">
        <v>3</v>
      </c>
      <c r="AD1952">
        <v>0</v>
      </c>
      <c r="AE1952">
        <v>9</v>
      </c>
      <c r="AF1952" t="s">
        <v>138</v>
      </c>
      <c r="AG1952">
        <v>0</v>
      </c>
      <c r="AH1952">
        <v>3</v>
      </c>
      <c r="AI1952">
        <v>2</v>
      </c>
      <c r="AJ1952">
        <v>0</v>
      </c>
      <c r="AK1952" t="s">
        <v>698</v>
      </c>
      <c r="AL1952">
        <v>39.046225999999997</v>
      </c>
      <c r="AM1952" t="s">
        <v>699</v>
      </c>
      <c r="AN1952">
        <v>-121.041934</v>
      </c>
      <c r="AO1952">
        <v>25</v>
      </c>
      <c r="AP1952">
        <v>4400</v>
      </c>
      <c r="AQ1952" t="s">
        <v>131</v>
      </c>
      <c r="AR1952">
        <v>12</v>
      </c>
      <c r="AS1952">
        <v>88</v>
      </c>
      <c r="AT1952">
        <v>320</v>
      </c>
      <c r="BB1952" t="str">
        <f t="shared" si="763"/>
        <v>1200</v>
      </c>
      <c r="BC1952">
        <v>1</v>
      </c>
      <c r="BD1952" t="str">
        <f t="shared" si="764"/>
        <v xml:space="preserve">N52156  </v>
      </c>
      <c r="BE1952">
        <v>1</v>
      </c>
      <c r="BG1952">
        <v>0</v>
      </c>
      <c r="BH1952">
        <v>0</v>
      </c>
      <c r="BI1952">
        <v>0</v>
      </c>
      <c r="BJ1952">
        <v>4375</v>
      </c>
      <c r="BK1952">
        <v>-25</v>
      </c>
      <c r="BL1952" t="s">
        <v>188</v>
      </c>
      <c r="BM1952">
        <v>1</v>
      </c>
      <c r="BN1952">
        <v>1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 t="shared" ref="CE1952:CE1957" si="775">"15:09:57.792"</f>
        <v>15:09:57.792</v>
      </c>
      <c r="CF1952">
        <v>792464370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4</v>
      </c>
      <c r="CY1952">
        <v>7</v>
      </c>
      <c r="CZ1952" t="s">
        <v>133</v>
      </c>
      <c r="DA1952">
        <v>275</v>
      </c>
      <c r="DB1952">
        <v>0</v>
      </c>
      <c r="DC1952" t="s">
        <v>134</v>
      </c>
      <c r="DD1952" t="s">
        <v>135</v>
      </c>
      <c r="DG1952">
        <v>3321129</v>
      </c>
      <c r="DI1952">
        <v>1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"05/01/2025 15:09:58.021"</f>
        <v>05/01/2025 15:09:58.021</v>
      </c>
      <c r="C1953" t="str">
        <f t="shared" si="760"/>
        <v>FFDFD3C0</v>
      </c>
      <c r="D1953" t="s">
        <v>145</v>
      </c>
      <c r="E1953" t="str">
        <f>"05"</f>
        <v>05</v>
      </c>
      <c r="H1953">
        <v>47</v>
      </c>
      <c r="I1953" t="s">
        <v>146</v>
      </c>
      <c r="J1953" t="s">
        <v>138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R1953" t="s">
        <v>127</v>
      </c>
      <c r="S1953" t="str">
        <f t="shared" si="774"/>
        <v>15:09:57.000</v>
      </c>
      <c r="T1953" t="str">
        <f t="shared" si="774"/>
        <v>15:09:57.000</v>
      </c>
      <c r="U1953" t="str">
        <f t="shared" si="762"/>
        <v>A68FCB</v>
      </c>
      <c r="V1953">
        <v>0</v>
      </c>
      <c r="W1953">
        <v>0</v>
      </c>
      <c r="X1953">
        <v>2</v>
      </c>
      <c r="Y1953">
        <v>0</v>
      </c>
      <c r="AA1953">
        <v>1</v>
      </c>
      <c r="AB1953">
        <v>8</v>
      </c>
      <c r="AC1953">
        <v>3</v>
      </c>
      <c r="AD1953">
        <v>0</v>
      </c>
      <c r="AE1953">
        <v>9</v>
      </c>
      <c r="AF1953" t="s">
        <v>138</v>
      </c>
      <c r="AG1953">
        <v>0</v>
      </c>
      <c r="AH1953">
        <v>3</v>
      </c>
      <c r="AI1953">
        <v>2</v>
      </c>
      <c r="AJ1953">
        <v>0</v>
      </c>
      <c r="AK1953" t="s">
        <v>698</v>
      </c>
      <c r="AL1953">
        <v>39.046225999999997</v>
      </c>
      <c r="AM1953" t="s">
        <v>699</v>
      </c>
      <c r="AN1953">
        <v>-121.041934</v>
      </c>
      <c r="AO1953">
        <v>25</v>
      </c>
      <c r="AP1953">
        <v>4400</v>
      </c>
      <c r="AQ1953" t="s">
        <v>131</v>
      </c>
      <c r="AR1953">
        <v>12</v>
      </c>
      <c r="AS1953">
        <v>88</v>
      </c>
      <c r="AT1953">
        <v>320</v>
      </c>
      <c r="BB1953" t="str">
        <f t="shared" si="763"/>
        <v>1200</v>
      </c>
      <c r="BC1953">
        <v>1</v>
      </c>
      <c r="BD1953" t="str">
        <f t="shared" si="764"/>
        <v xml:space="preserve">N52156  </v>
      </c>
      <c r="BE1953">
        <v>1</v>
      </c>
      <c r="BG1953">
        <v>0</v>
      </c>
      <c r="BH1953">
        <v>0</v>
      </c>
      <c r="BI1953">
        <v>0</v>
      </c>
      <c r="BJ1953">
        <v>4375</v>
      </c>
      <c r="BK1953">
        <v>-25</v>
      </c>
      <c r="BL1953" t="s">
        <v>188</v>
      </c>
      <c r="BM1953">
        <v>1</v>
      </c>
      <c r="BN1953">
        <v>1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 t="shared" si="775"/>
        <v>15:09:57.792</v>
      </c>
      <c r="CF1953">
        <v>792464370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4</v>
      </c>
      <c r="CY1953">
        <v>7</v>
      </c>
      <c r="CZ1953" t="s">
        <v>133</v>
      </c>
      <c r="DA1953">
        <v>275</v>
      </c>
      <c r="DB1953">
        <v>0</v>
      </c>
      <c r="DC1953" t="s">
        <v>134</v>
      </c>
      <c r="DD1953" t="s">
        <v>135</v>
      </c>
      <c r="DG1953">
        <v>3321129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"05/01/2025 15:09:58.022"</f>
        <v>05/01/2025 15:09:58.022</v>
      </c>
      <c r="C1954" t="str">
        <f t="shared" si="760"/>
        <v>FFDFD3C0</v>
      </c>
      <c r="D1954" t="s">
        <v>124</v>
      </c>
      <c r="E1954" t="str">
        <f>"06"</f>
        <v>06</v>
      </c>
      <c r="F1954">
        <v>2006</v>
      </c>
      <c r="G1954" t="s">
        <v>125</v>
      </c>
      <c r="J1954" t="s">
        <v>126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R1954" t="s">
        <v>127</v>
      </c>
      <c r="S1954" t="str">
        <f t="shared" si="774"/>
        <v>15:09:57.000</v>
      </c>
      <c r="T1954" t="str">
        <f t="shared" si="774"/>
        <v>15:09:57.000</v>
      </c>
      <c r="U1954" t="str">
        <f t="shared" si="762"/>
        <v>A68FCB</v>
      </c>
      <c r="V1954">
        <v>0</v>
      </c>
      <c r="W1954">
        <v>0</v>
      </c>
      <c r="X1954">
        <v>2</v>
      </c>
      <c r="Y1954">
        <v>0</v>
      </c>
      <c r="AA1954">
        <v>1</v>
      </c>
      <c r="AB1954">
        <v>8</v>
      </c>
      <c r="AC1954">
        <v>3</v>
      </c>
      <c r="AD1954">
        <v>0</v>
      </c>
      <c r="AE1954">
        <v>9</v>
      </c>
      <c r="AF1954" t="s">
        <v>138</v>
      </c>
      <c r="AG1954">
        <v>0</v>
      </c>
      <c r="AH1954">
        <v>3</v>
      </c>
      <c r="AI1954">
        <v>2</v>
      </c>
      <c r="AJ1954">
        <v>0</v>
      </c>
      <c r="AK1954" t="s">
        <v>698</v>
      </c>
      <c r="AL1954">
        <v>39.046225999999997</v>
      </c>
      <c r="AM1954" t="s">
        <v>699</v>
      </c>
      <c r="AN1954">
        <v>-121.041934</v>
      </c>
      <c r="AO1954">
        <v>25</v>
      </c>
      <c r="AP1954">
        <v>4400</v>
      </c>
      <c r="AQ1954" t="s">
        <v>131</v>
      </c>
      <c r="AR1954">
        <v>12</v>
      </c>
      <c r="AS1954">
        <v>88</v>
      </c>
      <c r="AT1954">
        <v>320</v>
      </c>
      <c r="BB1954" t="str">
        <f t="shared" si="763"/>
        <v>1200</v>
      </c>
      <c r="BC1954">
        <v>1</v>
      </c>
      <c r="BD1954" t="str">
        <f t="shared" si="764"/>
        <v xml:space="preserve">N52156  </v>
      </c>
      <c r="BE1954">
        <v>1</v>
      </c>
      <c r="BG1954">
        <v>0</v>
      </c>
      <c r="BH1954">
        <v>0</v>
      </c>
      <c r="BI1954">
        <v>0</v>
      </c>
      <c r="BJ1954">
        <v>4375</v>
      </c>
      <c r="BK1954">
        <v>-25</v>
      </c>
      <c r="BL1954" t="s">
        <v>188</v>
      </c>
      <c r="BM1954">
        <v>1</v>
      </c>
      <c r="BN1954">
        <v>1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 t="shared" si="775"/>
        <v>15:09:57.792</v>
      </c>
      <c r="CF1954">
        <v>792464370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4</v>
      </c>
      <c r="CY1954">
        <v>7</v>
      </c>
      <c r="CZ1954" t="s">
        <v>133</v>
      </c>
      <c r="DA1954">
        <v>275</v>
      </c>
      <c r="DB1954">
        <v>0</v>
      </c>
      <c r="DC1954" t="s">
        <v>134</v>
      </c>
      <c r="DD1954" t="s">
        <v>135</v>
      </c>
      <c r="DG1954">
        <v>3321129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"05/01/2025 15:09:58.026"</f>
        <v>05/01/2025 15:09:58.026</v>
      </c>
      <c r="C1955" t="str">
        <f t="shared" si="760"/>
        <v>FFDFD3C0</v>
      </c>
      <c r="D1955" t="s">
        <v>145</v>
      </c>
      <c r="E1955" t="str">
        <f>"09"</f>
        <v>09</v>
      </c>
      <c r="H1955">
        <v>51</v>
      </c>
      <c r="I1955" t="s">
        <v>147</v>
      </c>
      <c r="J1955" t="s">
        <v>138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R1955" t="s">
        <v>127</v>
      </c>
      <c r="S1955" t="str">
        <f t="shared" si="774"/>
        <v>15:09:57.000</v>
      </c>
      <c r="T1955" t="str">
        <f t="shared" si="774"/>
        <v>15:09:57.000</v>
      </c>
      <c r="U1955" t="str">
        <f t="shared" si="762"/>
        <v>A68FCB</v>
      </c>
      <c r="V1955">
        <v>0</v>
      </c>
      <c r="W1955">
        <v>0</v>
      </c>
      <c r="X1955">
        <v>2</v>
      </c>
      <c r="Y1955">
        <v>0</v>
      </c>
      <c r="AA1955">
        <v>1</v>
      </c>
      <c r="AB1955">
        <v>8</v>
      </c>
      <c r="AC1955">
        <v>3</v>
      </c>
      <c r="AD1955">
        <v>0</v>
      </c>
      <c r="AE1955">
        <v>9</v>
      </c>
      <c r="AF1955" t="s">
        <v>138</v>
      </c>
      <c r="AG1955">
        <v>0</v>
      </c>
      <c r="AH1955">
        <v>3</v>
      </c>
      <c r="AI1955">
        <v>2</v>
      </c>
      <c r="AJ1955">
        <v>0</v>
      </c>
      <c r="AK1955" t="s">
        <v>698</v>
      </c>
      <c r="AL1955">
        <v>39.046225999999997</v>
      </c>
      <c r="AM1955" t="s">
        <v>699</v>
      </c>
      <c r="AN1955">
        <v>-121.041934</v>
      </c>
      <c r="AO1955">
        <v>25</v>
      </c>
      <c r="AP1955">
        <v>4400</v>
      </c>
      <c r="AQ1955" t="s">
        <v>131</v>
      </c>
      <c r="AR1955">
        <v>12</v>
      </c>
      <c r="AS1955">
        <v>88</v>
      </c>
      <c r="AT1955">
        <v>320</v>
      </c>
      <c r="BB1955" t="str">
        <f t="shared" si="763"/>
        <v>1200</v>
      </c>
      <c r="BC1955">
        <v>1</v>
      </c>
      <c r="BD1955" t="str">
        <f t="shared" si="764"/>
        <v xml:space="preserve">N52156  </v>
      </c>
      <c r="BE1955">
        <v>1</v>
      </c>
      <c r="BG1955">
        <v>0</v>
      </c>
      <c r="BH1955">
        <v>0</v>
      </c>
      <c r="BI1955">
        <v>0</v>
      </c>
      <c r="BJ1955">
        <v>4375</v>
      </c>
      <c r="BK1955">
        <v>-25</v>
      </c>
      <c r="BL1955" t="s">
        <v>188</v>
      </c>
      <c r="BM1955">
        <v>1</v>
      </c>
      <c r="BN1955">
        <v>1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 t="shared" si="775"/>
        <v>15:09:57.792</v>
      </c>
      <c r="CF1955">
        <v>792464370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4</v>
      </c>
      <c r="CY1955">
        <v>7</v>
      </c>
      <c r="CZ1955" t="s">
        <v>133</v>
      </c>
      <c r="DA1955">
        <v>275</v>
      </c>
      <c r="DB1955">
        <v>0</v>
      </c>
      <c r="DC1955" t="s">
        <v>134</v>
      </c>
      <c r="DD1955" t="s">
        <v>135</v>
      </c>
      <c r="DG1955">
        <v>3321129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"05/01/2025 15:09:58.033"</f>
        <v>05/01/2025 15:09:58.033</v>
      </c>
      <c r="C1956" t="str">
        <f t="shared" si="760"/>
        <v>FFDFD3C0</v>
      </c>
      <c r="D1956" t="s">
        <v>143</v>
      </c>
      <c r="E1956" t="str">
        <f>"05"</f>
        <v>05</v>
      </c>
      <c r="H1956">
        <v>172</v>
      </c>
      <c r="I1956" t="s">
        <v>141</v>
      </c>
      <c r="J1956" t="s">
        <v>144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R1956" t="s">
        <v>127</v>
      </c>
      <c r="S1956" t="str">
        <f t="shared" si="774"/>
        <v>15:09:57.000</v>
      </c>
      <c r="T1956" t="str">
        <f t="shared" si="774"/>
        <v>15:09:57.000</v>
      </c>
      <c r="U1956" t="str">
        <f t="shared" si="762"/>
        <v>A68FCB</v>
      </c>
      <c r="V1956">
        <v>0</v>
      </c>
      <c r="W1956">
        <v>0</v>
      </c>
      <c r="X1956">
        <v>2</v>
      </c>
      <c r="Y1956">
        <v>0</v>
      </c>
      <c r="AA1956">
        <v>1</v>
      </c>
      <c r="AB1956">
        <v>8</v>
      </c>
      <c r="AC1956">
        <v>3</v>
      </c>
      <c r="AD1956">
        <v>0</v>
      </c>
      <c r="AE1956">
        <v>9</v>
      </c>
      <c r="AF1956" t="s">
        <v>138</v>
      </c>
      <c r="AG1956">
        <v>0</v>
      </c>
      <c r="AH1956">
        <v>3</v>
      </c>
      <c r="AI1956">
        <v>2</v>
      </c>
      <c r="AJ1956">
        <v>0</v>
      </c>
      <c r="AK1956" t="s">
        <v>698</v>
      </c>
      <c r="AL1956">
        <v>39.046225999999997</v>
      </c>
      <c r="AM1956" t="s">
        <v>699</v>
      </c>
      <c r="AN1956">
        <v>-121.041934</v>
      </c>
      <c r="AO1956">
        <v>25</v>
      </c>
      <c r="AP1956">
        <v>4400</v>
      </c>
      <c r="AQ1956" t="s">
        <v>131</v>
      </c>
      <c r="AR1956">
        <v>12</v>
      </c>
      <c r="AS1956">
        <v>88</v>
      </c>
      <c r="AT1956">
        <v>320</v>
      </c>
      <c r="BB1956" t="str">
        <f t="shared" si="763"/>
        <v>1200</v>
      </c>
      <c r="BC1956">
        <v>1</v>
      </c>
      <c r="BD1956" t="str">
        <f t="shared" si="764"/>
        <v xml:space="preserve">N52156  </v>
      </c>
      <c r="BE1956">
        <v>1</v>
      </c>
      <c r="BG1956">
        <v>0</v>
      </c>
      <c r="BH1956">
        <v>0</v>
      </c>
      <c r="BI1956">
        <v>0</v>
      </c>
      <c r="BJ1956">
        <v>4375</v>
      </c>
      <c r="BK1956">
        <v>-25</v>
      </c>
      <c r="BL1956" t="s">
        <v>188</v>
      </c>
      <c r="BM1956">
        <v>1</v>
      </c>
      <c r="BN1956">
        <v>1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 t="shared" si="775"/>
        <v>15:09:57.792</v>
      </c>
      <c r="CF1956">
        <v>792464370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4</v>
      </c>
      <c r="CY1956">
        <v>7</v>
      </c>
      <c r="CZ1956" t="s">
        <v>133</v>
      </c>
      <c r="DA1956">
        <v>275</v>
      </c>
      <c r="DB1956">
        <v>0</v>
      </c>
      <c r="DC1956" t="s">
        <v>134</v>
      </c>
      <c r="DD1956" t="s">
        <v>135</v>
      </c>
      <c r="DG1956">
        <v>3321129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"05/01/2025 15:09:58.034"</f>
        <v>05/01/2025 15:09:58.034</v>
      </c>
      <c r="C1957" t="str">
        <f t="shared" si="760"/>
        <v>FFDFD3C0</v>
      </c>
      <c r="D1957" t="s">
        <v>136</v>
      </c>
      <c r="E1957" t="str">
        <f>"20"</f>
        <v>20</v>
      </c>
      <c r="H1957">
        <v>400</v>
      </c>
      <c r="I1957" t="s">
        <v>137</v>
      </c>
      <c r="J1957" t="s">
        <v>138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R1957" t="s">
        <v>127</v>
      </c>
      <c r="S1957" t="str">
        <f t="shared" si="774"/>
        <v>15:09:57.000</v>
      </c>
      <c r="T1957" t="str">
        <f t="shared" si="774"/>
        <v>15:09:57.000</v>
      </c>
      <c r="U1957" t="str">
        <f t="shared" si="762"/>
        <v>A68FCB</v>
      </c>
      <c r="V1957">
        <v>0</v>
      </c>
      <c r="W1957">
        <v>0</v>
      </c>
      <c r="X1957">
        <v>2</v>
      </c>
      <c r="Y1957">
        <v>0</v>
      </c>
      <c r="AA1957">
        <v>1</v>
      </c>
      <c r="AB1957">
        <v>8</v>
      </c>
      <c r="AC1957">
        <v>3</v>
      </c>
      <c r="AD1957">
        <v>0</v>
      </c>
      <c r="AE1957">
        <v>9</v>
      </c>
      <c r="AF1957" t="s">
        <v>138</v>
      </c>
      <c r="AG1957">
        <v>0</v>
      </c>
      <c r="AH1957">
        <v>3</v>
      </c>
      <c r="AI1957">
        <v>2</v>
      </c>
      <c r="AJ1957">
        <v>0</v>
      </c>
      <c r="AK1957" t="s">
        <v>698</v>
      </c>
      <c r="AL1957">
        <v>39.046225999999997</v>
      </c>
      <c r="AM1957" t="s">
        <v>699</v>
      </c>
      <c r="AN1957">
        <v>-121.041934</v>
      </c>
      <c r="AO1957">
        <v>25</v>
      </c>
      <c r="AP1957">
        <v>4400</v>
      </c>
      <c r="AQ1957" t="s">
        <v>131</v>
      </c>
      <c r="AR1957">
        <v>12</v>
      </c>
      <c r="AS1957">
        <v>88</v>
      </c>
      <c r="AT1957">
        <v>320</v>
      </c>
      <c r="BB1957" t="str">
        <f t="shared" si="763"/>
        <v>1200</v>
      </c>
      <c r="BC1957">
        <v>1</v>
      </c>
      <c r="BD1957" t="str">
        <f t="shared" si="764"/>
        <v xml:space="preserve">N52156  </v>
      </c>
      <c r="BE1957">
        <v>1</v>
      </c>
      <c r="BG1957">
        <v>0</v>
      </c>
      <c r="BH1957">
        <v>0</v>
      </c>
      <c r="BI1957">
        <v>0</v>
      </c>
      <c r="BJ1957">
        <v>4375</v>
      </c>
      <c r="BK1957">
        <v>-25</v>
      </c>
      <c r="BL1957" t="s">
        <v>188</v>
      </c>
      <c r="BM1957">
        <v>1</v>
      </c>
      <c r="BN1957">
        <v>1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 t="shared" si="775"/>
        <v>15:09:57.792</v>
      </c>
      <c r="CF1957">
        <v>792464370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4</v>
      </c>
      <c r="CY1957">
        <v>7</v>
      </c>
      <c r="CZ1957" t="s">
        <v>133</v>
      </c>
      <c r="DA1957">
        <v>275</v>
      </c>
      <c r="DB1957">
        <v>0</v>
      </c>
      <c r="DC1957" t="s">
        <v>134</v>
      </c>
      <c r="DD1957" t="s">
        <v>135</v>
      </c>
      <c r="DG1957">
        <v>3321129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"05/01/2025 15:09:58.664"</f>
        <v>05/01/2025 15:09:58.664</v>
      </c>
      <c r="C1958" t="str">
        <f t="shared" si="760"/>
        <v>FFDFD3C0</v>
      </c>
      <c r="D1958" t="s">
        <v>140</v>
      </c>
      <c r="E1958" t="str">
        <f>"13"</f>
        <v>13</v>
      </c>
      <c r="F1958">
        <v>1019</v>
      </c>
      <c r="G1958" t="s">
        <v>141</v>
      </c>
      <c r="J1958" t="s">
        <v>142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R1958" t="s">
        <v>127</v>
      </c>
      <c r="S1958" t="str">
        <f t="shared" ref="S1958:T1963" si="776">"15:09:58.000"</f>
        <v>15:09:58.000</v>
      </c>
      <c r="T1958" t="str">
        <f t="shared" si="776"/>
        <v>15:09:58.000</v>
      </c>
      <c r="U1958" t="str">
        <f t="shared" si="762"/>
        <v>A68FCB</v>
      </c>
      <c r="V1958">
        <v>0</v>
      </c>
      <c r="W1958">
        <v>0</v>
      </c>
      <c r="X1958">
        <v>2</v>
      </c>
      <c r="Y1958">
        <v>0</v>
      </c>
      <c r="AA1958">
        <v>1</v>
      </c>
      <c r="AB1958">
        <v>8</v>
      </c>
      <c r="AC1958">
        <v>3</v>
      </c>
      <c r="AD1958">
        <v>0</v>
      </c>
      <c r="AE1958">
        <v>9</v>
      </c>
      <c r="AF1958" t="s">
        <v>138</v>
      </c>
      <c r="AG1958">
        <v>0</v>
      </c>
      <c r="AH1958">
        <v>3</v>
      </c>
      <c r="AI1958">
        <v>2</v>
      </c>
      <c r="AJ1958">
        <v>0</v>
      </c>
      <c r="AK1958" t="s">
        <v>700</v>
      </c>
      <c r="AL1958">
        <v>39.046655000000001</v>
      </c>
      <c r="AM1958" t="s">
        <v>701</v>
      </c>
      <c r="AN1958">
        <v>-121.041849</v>
      </c>
      <c r="AO1958">
        <v>25</v>
      </c>
      <c r="AP1958">
        <v>4400</v>
      </c>
      <c r="AQ1958" t="s">
        <v>131</v>
      </c>
      <c r="AR1958">
        <v>11</v>
      </c>
      <c r="AS1958">
        <v>89</v>
      </c>
      <c r="AT1958">
        <v>320</v>
      </c>
      <c r="BB1958" t="str">
        <f t="shared" si="763"/>
        <v>1200</v>
      </c>
      <c r="BC1958">
        <v>1</v>
      </c>
      <c r="BD1958" t="str">
        <f t="shared" si="764"/>
        <v xml:space="preserve">N52156  </v>
      </c>
      <c r="BE1958">
        <v>1</v>
      </c>
      <c r="BG1958">
        <v>0</v>
      </c>
      <c r="BH1958">
        <v>0</v>
      </c>
      <c r="BI1958">
        <v>0</v>
      </c>
      <c r="BJ1958">
        <v>4375</v>
      </c>
      <c r="BK1958">
        <v>-25</v>
      </c>
      <c r="BL1958" t="s">
        <v>188</v>
      </c>
      <c r="BM1958">
        <v>1</v>
      </c>
      <c r="BN1958">
        <v>1</v>
      </c>
      <c r="BO1958">
        <v>0</v>
      </c>
      <c r="BP1958">
        <v>0</v>
      </c>
      <c r="BS1958">
        <v>0</v>
      </c>
      <c r="BT1958">
        <v>0</v>
      </c>
      <c r="BU1958">
        <v>0</v>
      </c>
      <c r="CE1958" t="str">
        <f t="shared" ref="CE1958:CE1963" si="777">"15:09:58.463"</f>
        <v>15:09:58.463</v>
      </c>
      <c r="CF1958">
        <v>462963656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4</v>
      </c>
      <c r="CY1958">
        <v>7</v>
      </c>
      <c r="CZ1958" t="s">
        <v>133</v>
      </c>
      <c r="DA1958">
        <v>275</v>
      </c>
      <c r="DB1958">
        <v>0</v>
      </c>
      <c r="DC1958" t="s">
        <v>134</v>
      </c>
      <c r="DD1958" t="s">
        <v>135</v>
      </c>
      <c r="DG1958">
        <v>3321134</v>
      </c>
      <c r="DI1958">
        <v>1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"05/01/2025 15:09:58.685"</f>
        <v>05/01/2025 15:09:58.685</v>
      </c>
      <c r="C1959" t="str">
        <f t="shared" si="760"/>
        <v>FFDFD3C0</v>
      </c>
      <c r="D1959" t="s">
        <v>136</v>
      </c>
      <c r="E1959" t="str">
        <f>"20"</f>
        <v>20</v>
      </c>
      <c r="H1959">
        <v>400</v>
      </c>
      <c r="I1959" t="s">
        <v>137</v>
      </c>
      <c r="J1959" t="s">
        <v>138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R1959" t="s">
        <v>127</v>
      </c>
      <c r="S1959" t="str">
        <f t="shared" si="776"/>
        <v>15:09:58.000</v>
      </c>
      <c r="T1959" t="str">
        <f t="shared" si="776"/>
        <v>15:09:58.000</v>
      </c>
      <c r="U1959" t="str">
        <f t="shared" si="762"/>
        <v>A68FCB</v>
      </c>
      <c r="V1959">
        <v>0</v>
      </c>
      <c r="W1959">
        <v>0</v>
      </c>
      <c r="X1959">
        <v>2</v>
      </c>
      <c r="Y1959">
        <v>0</v>
      </c>
      <c r="AA1959">
        <v>1</v>
      </c>
      <c r="AB1959">
        <v>8</v>
      </c>
      <c r="AC1959">
        <v>3</v>
      </c>
      <c r="AD1959">
        <v>0</v>
      </c>
      <c r="AE1959">
        <v>9</v>
      </c>
      <c r="AF1959" t="s">
        <v>138</v>
      </c>
      <c r="AG1959">
        <v>0</v>
      </c>
      <c r="AH1959">
        <v>3</v>
      </c>
      <c r="AI1959">
        <v>2</v>
      </c>
      <c r="AJ1959">
        <v>0</v>
      </c>
      <c r="AK1959" t="s">
        <v>700</v>
      </c>
      <c r="AL1959">
        <v>39.046655000000001</v>
      </c>
      <c r="AM1959" t="s">
        <v>701</v>
      </c>
      <c r="AN1959">
        <v>-121.041849</v>
      </c>
      <c r="AO1959">
        <v>25</v>
      </c>
      <c r="AP1959">
        <v>4400</v>
      </c>
      <c r="AQ1959" t="s">
        <v>131</v>
      </c>
      <c r="AR1959">
        <v>11</v>
      </c>
      <c r="AS1959">
        <v>89</v>
      </c>
      <c r="AT1959">
        <v>320</v>
      </c>
      <c r="BB1959" t="str">
        <f t="shared" si="763"/>
        <v>1200</v>
      </c>
      <c r="BC1959">
        <v>1</v>
      </c>
      <c r="BD1959" t="str">
        <f t="shared" si="764"/>
        <v xml:space="preserve">N52156  </v>
      </c>
      <c r="BE1959">
        <v>1</v>
      </c>
      <c r="BG1959">
        <v>0</v>
      </c>
      <c r="BH1959">
        <v>0</v>
      </c>
      <c r="BI1959">
        <v>0</v>
      </c>
      <c r="BJ1959">
        <v>4375</v>
      </c>
      <c r="BK1959">
        <v>-25</v>
      </c>
      <c r="BL1959" t="s">
        <v>188</v>
      </c>
      <c r="BM1959">
        <v>1</v>
      </c>
      <c r="BN1959">
        <v>1</v>
      </c>
      <c r="BO1959">
        <v>0</v>
      </c>
      <c r="BP1959">
        <v>0</v>
      </c>
      <c r="BS1959">
        <v>0</v>
      </c>
      <c r="BT1959">
        <v>0</v>
      </c>
      <c r="BU1959">
        <v>0</v>
      </c>
      <c r="CE1959" t="str">
        <f t="shared" si="777"/>
        <v>15:09:58.463</v>
      </c>
      <c r="CF1959">
        <v>462963656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4</v>
      </c>
      <c r="CY1959">
        <v>7</v>
      </c>
      <c r="CZ1959" t="s">
        <v>133</v>
      </c>
      <c r="DA1959">
        <v>275</v>
      </c>
      <c r="DB1959">
        <v>0</v>
      </c>
      <c r="DC1959" t="s">
        <v>134</v>
      </c>
      <c r="DD1959" t="s">
        <v>135</v>
      </c>
      <c r="DG1959">
        <v>3321134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"05/01/2025 15:09:58.672"</f>
        <v>05/01/2025 15:09:58.672</v>
      </c>
      <c r="C1960" t="str">
        <f t="shared" si="760"/>
        <v>FFDFD3C0</v>
      </c>
      <c r="D1960" t="s">
        <v>145</v>
      </c>
      <c r="E1960" t="str">
        <f>"05"</f>
        <v>05</v>
      </c>
      <c r="H1960">
        <v>47</v>
      </c>
      <c r="I1960" t="s">
        <v>146</v>
      </c>
      <c r="J1960" t="s">
        <v>138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R1960" t="s">
        <v>127</v>
      </c>
      <c r="S1960" t="str">
        <f t="shared" si="776"/>
        <v>15:09:58.000</v>
      </c>
      <c r="T1960" t="str">
        <f t="shared" si="776"/>
        <v>15:09:58.000</v>
      </c>
      <c r="U1960" t="str">
        <f t="shared" si="762"/>
        <v>A68FCB</v>
      </c>
      <c r="V1960">
        <v>0</v>
      </c>
      <c r="W1960">
        <v>0</v>
      </c>
      <c r="X1960">
        <v>2</v>
      </c>
      <c r="Y1960">
        <v>0</v>
      </c>
      <c r="AA1960">
        <v>1</v>
      </c>
      <c r="AB1960">
        <v>8</v>
      </c>
      <c r="AC1960">
        <v>3</v>
      </c>
      <c r="AD1960">
        <v>0</v>
      </c>
      <c r="AE1960">
        <v>9</v>
      </c>
      <c r="AF1960" t="s">
        <v>138</v>
      </c>
      <c r="AG1960">
        <v>0</v>
      </c>
      <c r="AH1960">
        <v>3</v>
      </c>
      <c r="AI1960">
        <v>2</v>
      </c>
      <c r="AJ1960">
        <v>0</v>
      </c>
      <c r="AK1960" t="s">
        <v>700</v>
      </c>
      <c r="AL1960">
        <v>39.046655000000001</v>
      </c>
      <c r="AM1960" t="s">
        <v>701</v>
      </c>
      <c r="AN1960">
        <v>-121.041849</v>
      </c>
      <c r="AO1960">
        <v>25</v>
      </c>
      <c r="AP1960">
        <v>4400</v>
      </c>
      <c r="AQ1960" t="s">
        <v>131</v>
      </c>
      <c r="AR1960">
        <v>11</v>
      </c>
      <c r="AS1960">
        <v>89</v>
      </c>
      <c r="AT1960">
        <v>320</v>
      </c>
      <c r="BB1960" t="str">
        <f t="shared" si="763"/>
        <v>1200</v>
      </c>
      <c r="BC1960">
        <v>1</v>
      </c>
      <c r="BD1960" t="str">
        <f t="shared" si="764"/>
        <v xml:space="preserve">N52156  </v>
      </c>
      <c r="BE1960">
        <v>1</v>
      </c>
      <c r="BG1960">
        <v>0</v>
      </c>
      <c r="BH1960">
        <v>0</v>
      </c>
      <c r="BI1960">
        <v>0</v>
      </c>
      <c r="BJ1960">
        <v>4375</v>
      </c>
      <c r="BK1960">
        <v>-25</v>
      </c>
      <c r="BL1960" t="s">
        <v>188</v>
      </c>
      <c r="BM1960">
        <v>1</v>
      </c>
      <c r="BN1960">
        <v>1</v>
      </c>
      <c r="BO1960">
        <v>0</v>
      </c>
      <c r="BP1960">
        <v>0</v>
      </c>
      <c r="BS1960">
        <v>0</v>
      </c>
      <c r="BT1960">
        <v>0</v>
      </c>
      <c r="BU1960">
        <v>0</v>
      </c>
      <c r="CE1960" t="str">
        <f t="shared" si="777"/>
        <v>15:09:58.463</v>
      </c>
      <c r="CF1960">
        <v>462963656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4</v>
      </c>
      <c r="CY1960">
        <v>7</v>
      </c>
      <c r="CZ1960" t="s">
        <v>133</v>
      </c>
      <c r="DA1960">
        <v>275</v>
      </c>
      <c r="DB1960">
        <v>0</v>
      </c>
      <c r="DC1960" t="s">
        <v>134</v>
      </c>
      <c r="DD1960" t="s">
        <v>135</v>
      </c>
      <c r="DG1960">
        <v>3321134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"05/01/2025 15:09:58.683"</f>
        <v>05/01/2025 15:09:58.683</v>
      </c>
      <c r="C1961" t="str">
        <f t="shared" si="760"/>
        <v>FFDFD3C0</v>
      </c>
      <c r="D1961" t="s">
        <v>143</v>
      </c>
      <c r="E1961" t="str">
        <f>"05"</f>
        <v>05</v>
      </c>
      <c r="H1961">
        <v>172</v>
      </c>
      <c r="I1961" t="s">
        <v>141</v>
      </c>
      <c r="J1961" t="s">
        <v>144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R1961" t="s">
        <v>127</v>
      </c>
      <c r="S1961" t="str">
        <f t="shared" si="776"/>
        <v>15:09:58.000</v>
      </c>
      <c r="T1961" t="str">
        <f t="shared" si="776"/>
        <v>15:09:58.000</v>
      </c>
      <c r="U1961" t="str">
        <f t="shared" si="762"/>
        <v>A68FCB</v>
      </c>
      <c r="V1961">
        <v>0</v>
      </c>
      <c r="W1961">
        <v>0</v>
      </c>
      <c r="X1961">
        <v>2</v>
      </c>
      <c r="Y1961">
        <v>0</v>
      </c>
      <c r="AA1961">
        <v>1</v>
      </c>
      <c r="AB1961">
        <v>8</v>
      </c>
      <c r="AC1961">
        <v>3</v>
      </c>
      <c r="AD1961">
        <v>0</v>
      </c>
      <c r="AE1961">
        <v>9</v>
      </c>
      <c r="AF1961" t="s">
        <v>138</v>
      </c>
      <c r="AG1961">
        <v>0</v>
      </c>
      <c r="AH1961">
        <v>3</v>
      </c>
      <c r="AI1961">
        <v>2</v>
      </c>
      <c r="AJ1961">
        <v>0</v>
      </c>
      <c r="AK1961" t="s">
        <v>700</v>
      </c>
      <c r="AL1961">
        <v>39.046655000000001</v>
      </c>
      <c r="AM1961" t="s">
        <v>701</v>
      </c>
      <c r="AN1961">
        <v>-121.041849</v>
      </c>
      <c r="AO1961">
        <v>25</v>
      </c>
      <c r="AP1961">
        <v>4400</v>
      </c>
      <c r="AQ1961" t="s">
        <v>131</v>
      </c>
      <c r="AR1961">
        <v>11</v>
      </c>
      <c r="AS1961">
        <v>89</v>
      </c>
      <c r="AT1961">
        <v>320</v>
      </c>
      <c r="BB1961" t="str">
        <f t="shared" si="763"/>
        <v>1200</v>
      </c>
      <c r="BC1961">
        <v>1</v>
      </c>
      <c r="BD1961" t="str">
        <f t="shared" si="764"/>
        <v xml:space="preserve">N52156  </v>
      </c>
      <c r="BE1961">
        <v>1</v>
      </c>
      <c r="BG1961">
        <v>0</v>
      </c>
      <c r="BH1961">
        <v>0</v>
      </c>
      <c r="BI1961">
        <v>0</v>
      </c>
      <c r="BJ1961">
        <v>4375</v>
      </c>
      <c r="BK1961">
        <v>-25</v>
      </c>
      <c r="BL1961" t="s">
        <v>188</v>
      </c>
      <c r="BM1961">
        <v>1</v>
      </c>
      <c r="BN1961">
        <v>1</v>
      </c>
      <c r="BO1961">
        <v>0</v>
      </c>
      <c r="BP1961">
        <v>0</v>
      </c>
      <c r="BS1961">
        <v>0</v>
      </c>
      <c r="BT1961">
        <v>0</v>
      </c>
      <c r="BU1961">
        <v>0</v>
      </c>
      <c r="CE1961" t="str">
        <f t="shared" si="777"/>
        <v>15:09:58.463</v>
      </c>
      <c r="CF1961">
        <v>462963656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4</v>
      </c>
      <c r="CY1961">
        <v>7</v>
      </c>
      <c r="CZ1961" t="s">
        <v>133</v>
      </c>
      <c r="DA1961">
        <v>275</v>
      </c>
      <c r="DB1961">
        <v>0</v>
      </c>
      <c r="DC1961" t="s">
        <v>134</v>
      </c>
      <c r="DD1961" t="s">
        <v>135</v>
      </c>
      <c r="DG1961">
        <v>3321134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"05/01/2025 15:09:58.673"</f>
        <v>05/01/2025 15:09:58.673</v>
      </c>
      <c r="C1962" t="str">
        <f t="shared" si="760"/>
        <v>FFDFD3C0</v>
      </c>
      <c r="D1962" t="s">
        <v>124</v>
      </c>
      <c r="E1962" t="str">
        <f>"06"</f>
        <v>06</v>
      </c>
      <c r="F1962">
        <v>2006</v>
      </c>
      <c r="G1962" t="s">
        <v>125</v>
      </c>
      <c r="J1962" t="s">
        <v>126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R1962" t="s">
        <v>127</v>
      </c>
      <c r="S1962" t="str">
        <f t="shared" si="776"/>
        <v>15:09:58.000</v>
      </c>
      <c r="T1962" t="str">
        <f t="shared" si="776"/>
        <v>15:09:58.000</v>
      </c>
      <c r="U1962" t="str">
        <f t="shared" si="762"/>
        <v>A68FCB</v>
      </c>
      <c r="V1962">
        <v>0</v>
      </c>
      <c r="W1962">
        <v>0</v>
      </c>
      <c r="X1962">
        <v>2</v>
      </c>
      <c r="Y1962">
        <v>0</v>
      </c>
      <c r="AA1962">
        <v>1</v>
      </c>
      <c r="AB1962">
        <v>8</v>
      </c>
      <c r="AC1962">
        <v>3</v>
      </c>
      <c r="AD1962">
        <v>0</v>
      </c>
      <c r="AE1962">
        <v>9</v>
      </c>
      <c r="AF1962" t="s">
        <v>138</v>
      </c>
      <c r="AG1962">
        <v>0</v>
      </c>
      <c r="AH1962">
        <v>3</v>
      </c>
      <c r="AI1962">
        <v>2</v>
      </c>
      <c r="AJ1962">
        <v>0</v>
      </c>
      <c r="AK1962" t="s">
        <v>700</v>
      </c>
      <c r="AL1962">
        <v>39.046655000000001</v>
      </c>
      <c r="AM1962" t="s">
        <v>701</v>
      </c>
      <c r="AN1962">
        <v>-121.041849</v>
      </c>
      <c r="AO1962">
        <v>25</v>
      </c>
      <c r="AP1962">
        <v>4400</v>
      </c>
      <c r="AQ1962" t="s">
        <v>131</v>
      </c>
      <c r="AR1962">
        <v>11</v>
      </c>
      <c r="AS1962">
        <v>89</v>
      </c>
      <c r="AT1962">
        <v>320</v>
      </c>
      <c r="BB1962" t="str">
        <f t="shared" si="763"/>
        <v>1200</v>
      </c>
      <c r="BC1962">
        <v>1</v>
      </c>
      <c r="BD1962" t="str">
        <f t="shared" si="764"/>
        <v xml:space="preserve">N52156  </v>
      </c>
      <c r="BE1962">
        <v>1</v>
      </c>
      <c r="BG1962">
        <v>0</v>
      </c>
      <c r="BH1962">
        <v>0</v>
      </c>
      <c r="BI1962">
        <v>0</v>
      </c>
      <c r="BJ1962">
        <v>4375</v>
      </c>
      <c r="BK1962">
        <v>-25</v>
      </c>
      <c r="BL1962" t="s">
        <v>188</v>
      </c>
      <c r="BM1962">
        <v>1</v>
      </c>
      <c r="BN1962">
        <v>1</v>
      </c>
      <c r="BO1962">
        <v>0</v>
      </c>
      <c r="BP1962">
        <v>0</v>
      </c>
      <c r="BS1962">
        <v>0</v>
      </c>
      <c r="BT1962">
        <v>0</v>
      </c>
      <c r="BU1962">
        <v>0</v>
      </c>
      <c r="CE1962" t="str">
        <f t="shared" si="777"/>
        <v>15:09:58.463</v>
      </c>
      <c r="CF1962">
        <v>462963656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4</v>
      </c>
      <c r="CY1962">
        <v>7</v>
      </c>
      <c r="CZ1962" t="s">
        <v>133</v>
      </c>
      <c r="DA1962">
        <v>275</v>
      </c>
      <c r="DB1962">
        <v>0</v>
      </c>
      <c r="DC1962" t="s">
        <v>134</v>
      </c>
      <c r="DD1962" t="s">
        <v>135</v>
      </c>
      <c r="DG1962">
        <v>3321134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"05/01/2025 15:09:58.677"</f>
        <v>05/01/2025 15:09:58.677</v>
      </c>
      <c r="C1963" t="str">
        <f t="shared" si="760"/>
        <v>FFDFD3C0</v>
      </c>
      <c r="D1963" t="s">
        <v>145</v>
      </c>
      <c r="E1963" t="str">
        <f>"09"</f>
        <v>09</v>
      </c>
      <c r="H1963">
        <v>51</v>
      </c>
      <c r="I1963" t="s">
        <v>147</v>
      </c>
      <c r="J1963" t="s">
        <v>138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R1963" t="s">
        <v>127</v>
      </c>
      <c r="S1963" t="str">
        <f t="shared" si="776"/>
        <v>15:09:58.000</v>
      </c>
      <c r="T1963" t="str">
        <f t="shared" si="776"/>
        <v>15:09:58.000</v>
      </c>
      <c r="U1963" t="str">
        <f t="shared" si="762"/>
        <v>A68FCB</v>
      </c>
      <c r="V1963">
        <v>0</v>
      </c>
      <c r="W1963">
        <v>0</v>
      </c>
      <c r="X1963">
        <v>2</v>
      </c>
      <c r="Y1963">
        <v>0</v>
      </c>
      <c r="AA1963">
        <v>1</v>
      </c>
      <c r="AB1963">
        <v>8</v>
      </c>
      <c r="AC1963">
        <v>3</v>
      </c>
      <c r="AD1963">
        <v>0</v>
      </c>
      <c r="AE1963">
        <v>9</v>
      </c>
      <c r="AF1963" t="s">
        <v>138</v>
      </c>
      <c r="AG1963">
        <v>0</v>
      </c>
      <c r="AH1963">
        <v>3</v>
      </c>
      <c r="AI1963">
        <v>2</v>
      </c>
      <c r="AJ1963">
        <v>0</v>
      </c>
      <c r="AK1963" t="s">
        <v>700</v>
      </c>
      <c r="AL1963">
        <v>39.046655000000001</v>
      </c>
      <c r="AM1963" t="s">
        <v>701</v>
      </c>
      <c r="AN1963">
        <v>-121.041849</v>
      </c>
      <c r="AO1963">
        <v>25</v>
      </c>
      <c r="AP1963">
        <v>4400</v>
      </c>
      <c r="AQ1963" t="s">
        <v>131</v>
      </c>
      <c r="AR1963">
        <v>11</v>
      </c>
      <c r="AS1963">
        <v>89</v>
      </c>
      <c r="AT1963">
        <v>320</v>
      </c>
      <c r="BB1963" t="str">
        <f t="shared" si="763"/>
        <v>1200</v>
      </c>
      <c r="BC1963">
        <v>1</v>
      </c>
      <c r="BD1963" t="str">
        <f t="shared" si="764"/>
        <v xml:space="preserve">N52156  </v>
      </c>
      <c r="BE1963">
        <v>1</v>
      </c>
      <c r="BG1963">
        <v>0</v>
      </c>
      <c r="BH1963">
        <v>0</v>
      </c>
      <c r="BI1963">
        <v>0</v>
      </c>
      <c r="BJ1963">
        <v>4375</v>
      </c>
      <c r="BK1963">
        <v>-25</v>
      </c>
      <c r="BL1963" t="s">
        <v>188</v>
      </c>
      <c r="BM1963">
        <v>1</v>
      </c>
      <c r="BN1963">
        <v>1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 t="shared" si="777"/>
        <v>15:09:58.463</v>
      </c>
      <c r="CF1963">
        <v>462963656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4</v>
      </c>
      <c r="CY1963">
        <v>7</v>
      </c>
      <c r="CZ1963" t="s">
        <v>133</v>
      </c>
      <c r="DA1963">
        <v>275</v>
      </c>
      <c r="DB1963">
        <v>0</v>
      </c>
      <c r="DC1963" t="s">
        <v>134</v>
      </c>
      <c r="DD1963" t="s">
        <v>135</v>
      </c>
      <c r="DG1963">
        <v>3321134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"05/01/2025 15:09:59.516"</f>
        <v>05/01/2025 15:09:59.516</v>
      </c>
      <c r="C1964" t="str">
        <f t="shared" si="760"/>
        <v>FFDFD3C0</v>
      </c>
      <c r="D1964" t="s">
        <v>140</v>
      </c>
      <c r="E1964" t="str">
        <f>"13"</f>
        <v>13</v>
      </c>
      <c r="F1964">
        <v>1019</v>
      </c>
      <c r="G1964" t="s">
        <v>141</v>
      </c>
      <c r="J1964" t="s">
        <v>142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R1964" t="s">
        <v>127</v>
      </c>
      <c r="S1964" t="str">
        <f t="shared" ref="S1964:T1969" si="778">"15:09:59.000"</f>
        <v>15:09:59.000</v>
      </c>
      <c r="T1964" t="str">
        <f t="shared" si="778"/>
        <v>15:09:59.000</v>
      </c>
      <c r="U1964" t="str">
        <f t="shared" si="762"/>
        <v>A68FCB</v>
      </c>
      <c r="V1964">
        <v>0</v>
      </c>
      <c r="W1964">
        <v>0</v>
      </c>
      <c r="X1964">
        <v>2</v>
      </c>
      <c r="Y1964">
        <v>0</v>
      </c>
      <c r="AA1964">
        <v>1</v>
      </c>
      <c r="AB1964">
        <v>8</v>
      </c>
      <c r="AC1964">
        <v>3</v>
      </c>
      <c r="AD1964">
        <v>0</v>
      </c>
      <c r="AE1964">
        <v>9</v>
      </c>
      <c r="AF1964" t="s">
        <v>138</v>
      </c>
      <c r="AG1964">
        <v>0</v>
      </c>
      <c r="AH1964">
        <v>3</v>
      </c>
      <c r="AI1964">
        <v>2</v>
      </c>
      <c r="AJ1964">
        <v>0</v>
      </c>
      <c r="AK1964" t="s">
        <v>702</v>
      </c>
      <c r="AL1964">
        <v>39.047061999999997</v>
      </c>
      <c r="AM1964" t="s">
        <v>703</v>
      </c>
      <c r="AN1964">
        <v>-121.04180599999999</v>
      </c>
      <c r="AO1964">
        <v>25</v>
      </c>
      <c r="AP1964">
        <v>4400</v>
      </c>
      <c r="AQ1964" t="s">
        <v>131</v>
      </c>
      <c r="AR1964">
        <v>9</v>
      </c>
      <c r="AS1964">
        <v>90</v>
      </c>
      <c r="AT1964">
        <v>320</v>
      </c>
      <c r="BB1964" t="str">
        <f t="shared" si="763"/>
        <v>1200</v>
      </c>
      <c r="BC1964">
        <v>1</v>
      </c>
      <c r="BD1964" t="str">
        <f t="shared" si="764"/>
        <v xml:space="preserve">N52156  </v>
      </c>
      <c r="BE1964">
        <v>1</v>
      </c>
      <c r="BG1964">
        <v>0</v>
      </c>
      <c r="BH1964">
        <v>0</v>
      </c>
      <c r="BI1964">
        <v>0</v>
      </c>
      <c r="BJ1964">
        <v>4400</v>
      </c>
      <c r="BK1964">
        <v>0</v>
      </c>
      <c r="BL1964" t="s">
        <v>188</v>
      </c>
      <c r="BM1964">
        <v>1</v>
      </c>
      <c r="BN1964">
        <v>1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 t="shared" ref="CE1964:CE1969" si="779">"15:09:59.296"</f>
        <v>15:09:59.296</v>
      </c>
      <c r="CF1964">
        <v>295713261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4</v>
      </c>
      <c r="CY1964">
        <v>7</v>
      </c>
      <c r="CZ1964" t="s">
        <v>133</v>
      </c>
      <c r="DA1964">
        <v>275</v>
      </c>
      <c r="DB1964">
        <v>0</v>
      </c>
      <c r="DC1964" t="s">
        <v>134</v>
      </c>
      <c r="DD1964" t="s">
        <v>135</v>
      </c>
      <c r="DG1964">
        <v>3321140</v>
      </c>
      <c r="DI1964">
        <v>1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"05/01/2025 15:09:59.524"</f>
        <v>05/01/2025 15:09:59.524</v>
      </c>
      <c r="C1965" t="str">
        <f t="shared" si="760"/>
        <v>FFDFD3C0</v>
      </c>
      <c r="D1965" t="s">
        <v>145</v>
      </c>
      <c r="E1965" t="str">
        <f>"05"</f>
        <v>05</v>
      </c>
      <c r="H1965">
        <v>47</v>
      </c>
      <c r="I1965" t="s">
        <v>146</v>
      </c>
      <c r="J1965" t="s">
        <v>138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R1965" t="s">
        <v>127</v>
      </c>
      <c r="S1965" t="str">
        <f t="shared" si="778"/>
        <v>15:09:59.000</v>
      </c>
      <c r="T1965" t="str">
        <f t="shared" si="778"/>
        <v>15:09:59.000</v>
      </c>
      <c r="U1965" t="str">
        <f t="shared" si="762"/>
        <v>A68FCB</v>
      </c>
      <c r="V1965">
        <v>0</v>
      </c>
      <c r="W1965">
        <v>0</v>
      </c>
      <c r="X1965">
        <v>2</v>
      </c>
      <c r="Y1965">
        <v>0</v>
      </c>
      <c r="AA1965">
        <v>1</v>
      </c>
      <c r="AB1965">
        <v>8</v>
      </c>
      <c r="AC1965">
        <v>3</v>
      </c>
      <c r="AD1965">
        <v>0</v>
      </c>
      <c r="AE1965">
        <v>9</v>
      </c>
      <c r="AF1965" t="s">
        <v>138</v>
      </c>
      <c r="AG1965">
        <v>0</v>
      </c>
      <c r="AH1965">
        <v>3</v>
      </c>
      <c r="AI1965">
        <v>2</v>
      </c>
      <c r="AJ1965">
        <v>0</v>
      </c>
      <c r="AK1965" t="s">
        <v>702</v>
      </c>
      <c r="AL1965">
        <v>39.047061999999997</v>
      </c>
      <c r="AM1965" t="s">
        <v>703</v>
      </c>
      <c r="AN1965">
        <v>-121.04180599999999</v>
      </c>
      <c r="AO1965">
        <v>25</v>
      </c>
      <c r="AP1965">
        <v>4400</v>
      </c>
      <c r="AQ1965" t="s">
        <v>131</v>
      </c>
      <c r="AR1965">
        <v>9</v>
      </c>
      <c r="AS1965">
        <v>90</v>
      </c>
      <c r="AT1965">
        <v>320</v>
      </c>
      <c r="BB1965" t="str">
        <f t="shared" si="763"/>
        <v>1200</v>
      </c>
      <c r="BC1965">
        <v>1</v>
      </c>
      <c r="BD1965" t="str">
        <f t="shared" si="764"/>
        <v xml:space="preserve">N52156  </v>
      </c>
      <c r="BE1965">
        <v>1</v>
      </c>
      <c r="BG1965">
        <v>0</v>
      </c>
      <c r="BH1965">
        <v>0</v>
      </c>
      <c r="BI1965">
        <v>0</v>
      </c>
      <c r="BJ1965">
        <v>4400</v>
      </c>
      <c r="BK1965">
        <v>0</v>
      </c>
      <c r="BL1965" t="s">
        <v>188</v>
      </c>
      <c r="BM1965">
        <v>1</v>
      </c>
      <c r="BN1965">
        <v>1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 t="shared" si="779"/>
        <v>15:09:59.296</v>
      </c>
      <c r="CF1965">
        <v>295713261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4</v>
      </c>
      <c r="CY1965">
        <v>7</v>
      </c>
      <c r="CZ1965" t="s">
        <v>133</v>
      </c>
      <c r="DA1965">
        <v>275</v>
      </c>
      <c r="DB1965">
        <v>0</v>
      </c>
      <c r="DC1965" t="s">
        <v>134</v>
      </c>
      <c r="DD1965" t="s">
        <v>135</v>
      </c>
      <c r="DG1965">
        <v>3321140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"05/01/2025 15:09:59.525"</f>
        <v>05/01/2025 15:09:59.525</v>
      </c>
      <c r="C1966" t="str">
        <f t="shared" si="760"/>
        <v>FFDFD3C0</v>
      </c>
      <c r="D1966" t="s">
        <v>124</v>
      </c>
      <c r="E1966" t="str">
        <f>"06"</f>
        <v>06</v>
      </c>
      <c r="F1966">
        <v>2006</v>
      </c>
      <c r="G1966" t="s">
        <v>125</v>
      </c>
      <c r="J1966" t="s">
        <v>126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R1966" t="s">
        <v>127</v>
      </c>
      <c r="S1966" t="str">
        <f t="shared" si="778"/>
        <v>15:09:59.000</v>
      </c>
      <c r="T1966" t="str">
        <f t="shared" si="778"/>
        <v>15:09:59.000</v>
      </c>
      <c r="U1966" t="str">
        <f t="shared" si="762"/>
        <v>A68FCB</v>
      </c>
      <c r="V1966">
        <v>0</v>
      </c>
      <c r="W1966">
        <v>0</v>
      </c>
      <c r="X1966">
        <v>2</v>
      </c>
      <c r="Y1966">
        <v>0</v>
      </c>
      <c r="AA1966">
        <v>1</v>
      </c>
      <c r="AB1966">
        <v>8</v>
      </c>
      <c r="AC1966">
        <v>3</v>
      </c>
      <c r="AD1966">
        <v>0</v>
      </c>
      <c r="AE1966">
        <v>9</v>
      </c>
      <c r="AF1966" t="s">
        <v>138</v>
      </c>
      <c r="AG1966">
        <v>0</v>
      </c>
      <c r="AH1966">
        <v>3</v>
      </c>
      <c r="AI1966">
        <v>2</v>
      </c>
      <c r="AJ1966">
        <v>0</v>
      </c>
      <c r="AK1966" t="s">
        <v>702</v>
      </c>
      <c r="AL1966">
        <v>39.047061999999997</v>
      </c>
      <c r="AM1966" t="s">
        <v>703</v>
      </c>
      <c r="AN1966">
        <v>-121.04180599999999</v>
      </c>
      <c r="AO1966">
        <v>25</v>
      </c>
      <c r="AP1966">
        <v>4400</v>
      </c>
      <c r="AQ1966" t="s">
        <v>131</v>
      </c>
      <c r="AR1966">
        <v>9</v>
      </c>
      <c r="AS1966">
        <v>90</v>
      </c>
      <c r="AT1966">
        <v>320</v>
      </c>
      <c r="BB1966" t="str">
        <f t="shared" si="763"/>
        <v>1200</v>
      </c>
      <c r="BC1966">
        <v>1</v>
      </c>
      <c r="BD1966" t="str">
        <f t="shared" si="764"/>
        <v xml:space="preserve">N52156  </v>
      </c>
      <c r="BE1966">
        <v>1</v>
      </c>
      <c r="BG1966">
        <v>0</v>
      </c>
      <c r="BH1966">
        <v>0</v>
      </c>
      <c r="BI1966">
        <v>0</v>
      </c>
      <c r="BJ1966">
        <v>4400</v>
      </c>
      <c r="BK1966">
        <v>0</v>
      </c>
      <c r="BL1966" t="s">
        <v>188</v>
      </c>
      <c r="BM1966">
        <v>1</v>
      </c>
      <c r="BN1966">
        <v>1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 t="shared" si="779"/>
        <v>15:09:59.296</v>
      </c>
      <c r="CF1966">
        <v>295713261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4</v>
      </c>
      <c r="CY1966">
        <v>7</v>
      </c>
      <c r="CZ1966" t="s">
        <v>133</v>
      </c>
      <c r="DA1966">
        <v>275</v>
      </c>
      <c r="DB1966">
        <v>0</v>
      </c>
      <c r="DC1966" t="s">
        <v>134</v>
      </c>
      <c r="DD1966" t="s">
        <v>135</v>
      </c>
      <c r="DG1966">
        <v>3321140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"05/01/2025 15:09:59.529"</f>
        <v>05/01/2025 15:09:59.529</v>
      </c>
      <c r="C1967" t="str">
        <f t="shared" si="760"/>
        <v>FFDFD3C0</v>
      </c>
      <c r="D1967" t="s">
        <v>145</v>
      </c>
      <c r="E1967" t="str">
        <f>"09"</f>
        <v>09</v>
      </c>
      <c r="H1967">
        <v>51</v>
      </c>
      <c r="I1967" t="s">
        <v>147</v>
      </c>
      <c r="J1967" t="s">
        <v>138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R1967" t="s">
        <v>127</v>
      </c>
      <c r="S1967" t="str">
        <f t="shared" si="778"/>
        <v>15:09:59.000</v>
      </c>
      <c r="T1967" t="str">
        <f t="shared" si="778"/>
        <v>15:09:59.000</v>
      </c>
      <c r="U1967" t="str">
        <f t="shared" si="762"/>
        <v>A68FCB</v>
      </c>
      <c r="V1967">
        <v>0</v>
      </c>
      <c r="W1967">
        <v>0</v>
      </c>
      <c r="X1967">
        <v>2</v>
      </c>
      <c r="Y1967">
        <v>0</v>
      </c>
      <c r="AA1967">
        <v>1</v>
      </c>
      <c r="AB1967">
        <v>8</v>
      </c>
      <c r="AC1967">
        <v>3</v>
      </c>
      <c r="AD1967">
        <v>0</v>
      </c>
      <c r="AE1967">
        <v>9</v>
      </c>
      <c r="AF1967" t="s">
        <v>138</v>
      </c>
      <c r="AG1967">
        <v>0</v>
      </c>
      <c r="AH1967">
        <v>3</v>
      </c>
      <c r="AI1967">
        <v>2</v>
      </c>
      <c r="AJ1967">
        <v>0</v>
      </c>
      <c r="AK1967" t="s">
        <v>702</v>
      </c>
      <c r="AL1967">
        <v>39.047061999999997</v>
      </c>
      <c r="AM1967" t="s">
        <v>703</v>
      </c>
      <c r="AN1967">
        <v>-121.04180599999999</v>
      </c>
      <c r="AO1967">
        <v>25</v>
      </c>
      <c r="AP1967">
        <v>4400</v>
      </c>
      <c r="AQ1967" t="s">
        <v>131</v>
      </c>
      <c r="AR1967">
        <v>9</v>
      </c>
      <c r="AS1967">
        <v>90</v>
      </c>
      <c r="AT1967">
        <v>320</v>
      </c>
      <c r="BB1967" t="str">
        <f t="shared" si="763"/>
        <v>1200</v>
      </c>
      <c r="BC1967">
        <v>1</v>
      </c>
      <c r="BD1967" t="str">
        <f t="shared" si="764"/>
        <v xml:space="preserve">N52156  </v>
      </c>
      <c r="BE1967">
        <v>1</v>
      </c>
      <c r="BG1967">
        <v>0</v>
      </c>
      <c r="BH1967">
        <v>0</v>
      </c>
      <c r="BI1967">
        <v>0</v>
      </c>
      <c r="BJ1967">
        <v>4400</v>
      </c>
      <c r="BK1967">
        <v>0</v>
      </c>
      <c r="BL1967" t="s">
        <v>188</v>
      </c>
      <c r="BM1967">
        <v>1</v>
      </c>
      <c r="BN1967">
        <v>1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 t="shared" si="779"/>
        <v>15:09:59.296</v>
      </c>
      <c r="CF1967">
        <v>295713261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4</v>
      </c>
      <c r="CY1967">
        <v>7</v>
      </c>
      <c r="CZ1967" t="s">
        <v>133</v>
      </c>
      <c r="DA1967">
        <v>275</v>
      </c>
      <c r="DB1967">
        <v>0</v>
      </c>
      <c r="DC1967" t="s">
        <v>134</v>
      </c>
      <c r="DD1967" t="s">
        <v>135</v>
      </c>
      <c r="DG1967">
        <v>3321140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"05/01/2025 15:09:59.535"</f>
        <v>05/01/2025 15:09:59.535</v>
      </c>
      <c r="C1968" t="str">
        <f t="shared" si="760"/>
        <v>FFDFD3C0</v>
      </c>
      <c r="D1968" t="s">
        <v>143</v>
      </c>
      <c r="E1968" t="str">
        <f>"05"</f>
        <v>05</v>
      </c>
      <c r="H1968">
        <v>172</v>
      </c>
      <c r="I1968" t="s">
        <v>141</v>
      </c>
      <c r="J1968" t="s">
        <v>144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R1968" t="s">
        <v>127</v>
      </c>
      <c r="S1968" t="str">
        <f t="shared" si="778"/>
        <v>15:09:59.000</v>
      </c>
      <c r="T1968" t="str">
        <f t="shared" si="778"/>
        <v>15:09:59.000</v>
      </c>
      <c r="U1968" t="str">
        <f t="shared" si="762"/>
        <v>A68FCB</v>
      </c>
      <c r="V1968">
        <v>0</v>
      </c>
      <c r="W1968">
        <v>0</v>
      </c>
      <c r="X1968">
        <v>2</v>
      </c>
      <c r="Y1968">
        <v>0</v>
      </c>
      <c r="AA1968">
        <v>1</v>
      </c>
      <c r="AB1968">
        <v>8</v>
      </c>
      <c r="AC1968">
        <v>3</v>
      </c>
      <c r="AD1968">
        <v>0</v>
      </c>
      <c r="AE1968">
        <v>9</v>
      </c>
      <c r="AF1968" t="s">
        <v>138</v>
      </c>
      <c r="AG1968">
        <v>0</v>
      </c>
      <c r="AH1968">
        <v>3</v>
      </c>
      <c r="AI1968">
        <v>2</v>
      </c>
      <c r="AJ1968">
        <v>0</v>
      </c>
      <c r="AK1968" t="s">
        <v>702</v>
      </c>
      <c r="AL1968">
        <v>39.047061999999997</v>
      </c>
      <c r="AM1968" t="s">
        <v>703</v>
      </c>
      <c r="AN1968">
        <v>-121.04180599999999</v>
      </c>
      <c r="AO1968">
        <v>25</v>
      </c>
      <c r="AP1968">
        <v>4400</v>
      </c>
      <c r="AQ1968" t="s">
        <v>131</v>
      </c>
      <c r="AR1968">
        <v>9</v>
      </c>
      <c r="AS1968">
        <v>90</v>
      </c>
      <c r="AT1968">
        <v>320</v>
      </c>
      <c r="BB1968" t="str">
        <f t="shared" si="763"/>
        <v>1200</v>
      </c>
      <c r="BC1968">
        <v>1</v>
      </c>
      <c r="BD1968" t="str">
        <f t="shared" si="764"/>
        <v xml:space="preserve">N52156  </v>
      </c>
      <c r="BE1968">
        <v>1</v>
      </c>
      <c r="BG1968">
        <v>0</v>
      </c>
      <c r="BH1968">
        <v>0</v>
      </c>
      <c r="BI1968">
        <v>0</v>
      </c>
      <c r="BJ1968">
        <v>4400</v>
      </c>
      <c r="BK1968">
        <v>0</v>
      </c>
      <c r="BL1968" t="s">
        <v>188</v>
      </c>
      <c r="BM1968">
        <v>1</v>
      </c>
      <c r="BN1968">
        <v>1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 t="shared" si="779"/>
        <v>15:09:59.296</v>
      </c>
      <c r="CF1968">
        <v>295713261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4</v>
      </c>
      <c r="CY1968">
        <v>7</v>
      </c>
      <c r="CZ1968" t="s">
        <v>133</v>
      </c>
      <c r="DA1968">
        <v>275</v>
      </c>
      <c r="DB1968">
        <v>0</v>
      </c>
      <c r="DC1968" t="s">
        <v>134</v>
      </c>
      <c r="DD1968" t="s">
        <v>135</v>
      </c>
      <c r="DG1968">
        <v>3321140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"05/01/2025 15:09:59.537"</f>
        <v>05/01/2025 15:09:59.537</v>
      </c>
      <c r="C1969" t="str">
        <f t="shared" si="760"/>
        <v>FFDFD3C0</v>
      </c>
      <c r="D1969" t="s">
        <v>136</v>
      </c>
      <c r="E1969" t="str">
        <f>"20"</f>
        <v>20</v>
      </c>
      <c r="H1969">
        <v>400</v>
      </c>
      <c r="I1969" t="s">
        <v>137</v>
      </c>
      <c r="J1969" t="s">
        <v>138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R1969" t="s">
        <v>127</v>
      </c>
      <c r="S1969" t="str">
        <f t="shared" si="778"/>
        <v>15:09:59.000</v>
      </c>
      <c r="T1969" t="str">
        <f t="shared" si="778"/>
        <v>15:09:59.000</v>
      </c>
      <c r="U1969" t="str">
        <f t="shared" si="762"/>
        <v>A68FCB</v>
      </c>
      <c r="V1969">
        <v>0</v>
      </c>
      <c r="W1969">
        <v>0</v>
      </c>
      <c r="X1969">
        <v>2</v>
      </c>
      <c r="Y1969">
        <v>0</v>
      </c>
      <c r="AA1969">
        <v>1</v>
      </c>
      <c r="AB1969">
        <v>8</v>
      </c>
      <c r="AC1969">
        <v>3</v>
      </c>
      <c r="AD1969">
        <v>0</v>
      </c>
      <c r="AE1969">
        <v>9</v>
      </c>
      <c r="AF1969" t="s">
        <v>138</v>
      </c>
      <c r="AG1969">
        <v>0</v>
      </c>
      <c r="AH1969">
        <v>3</v>
      </c>
      <c r="AI1969">
        <v>2</v>
      </c>
      <c r="AJ1969">
        <v>0</v>
      </c>
      <c r="AK1969" t="s">
        <v>702</v>
      </c>
      <c r="AL1969">
        <v>39.047061999999997</v>
      </c>
      <c r="AM1969" t="s">
        <v>703</v>
      </c>
      <c r="AN1969">
        <v>-121.04180599999999</v>
      </c>
      <c r="AO1969">
        <v>25</v>
      </c>
      <c r="AP1969">
        <v>4400</v>
      </c>
      <c r="AQ1969" t="s">
        <v>131</v>
      </c>
      <c r="AR1969">
        <v>9</v>
      </c>
      <c r="AS1969">
        <v>90</v>
      </c>
      <c r="AT1969">
        <v>320</v>
      </c>
      <c r="BB1969" t="str">
        <f t="shared" si="763"/>
        <v>1200</v>
      </c>
      <c r="BC1969">
        <v>1</v>
      </c>
      <c r="BD1969" t="str">
        <f t="shared" si="764"/>
        <v xml:space="preserve">N52156  </v>
      </c>
      <c r="BE1969">
        <v>1</v>
      </c>
      <c r="BG1969">
        <v>0</v>
      </c>
      <c r="BH1969">
        <v>0</v>
      </c>
      <c r="BI1969">
        <v>0</v>
      </c>
      <c r="BJ1969">
        <v>4400</v>
      </c>
      <c r="BK1969">
        <v>0</v>
      </c>
      <c r="BL1969" t="s">
        <v>188</v>
      </c>
      <c r="BM1969">
        <v>1</v>
      </c>
      <c r="BN1969">
        <v>1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 t="shared" si="779"/>
        <v>15:09:59.296</v>
      </c>
      <c r="CF1969">
        <v>295713261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4</v>
      </c>
      <c r="CY1969">
        <v>7</v>
      </c>
      <c r="CZ1969" t="s">
        <v>133</v>
      </c>
      <c r="DA1969">
        <v>275</v>
      </c>
      <c r="DB1969">
        <v>0</v>
      </c>
      <c r="DC1969" t="s">
        <v>134</v>
      </c>
      <c r="DD1969" t="s">
        <v>135</v>
      </c>
      <c r="DG1969">
        <v>3321140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"05/01/2025 15:10:01.190"</f>
        <v>05/01/2025 15:10:01.190</v>
      </c>
      <c r="C1970" t="str">
        <f t="shared" si="760"/>
        <v>FFDFD3C0</v>
      </c>
      <c r="D1970" t="s">
        <v>136</v>
      </c>
      <c r="E1970" t="str">
        <f>"20"</f>
        <v>20</v>
      </c>
      <c r="H1970">
        <v>400</v>
      </c>
      <c r="I1970" t="s">
        <v>137</v>
      </c>
      <c r="J1970" t="s">
        <v>138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R1970" t="s">
        <v>127</v>
      </c>
      <c r="S1970" t="str">
        <f t="shared" ref="S1970:T1975" si="780">"15:10:00.000"</f>
        <v>15:10:00.000</v>
      </c>
      <c r="T1970" t="str">
        <f t="shared" si="780"/>
        <v>15:10:00.000</v>
      </c>
      <c r="U1970" t="str">
        <f t="shared" si="762"/>
        <v>A68FCB</v>
      </c>
      <c r="V1970">
        <v>0</v>
      </c>
      <c r="W1970">
        <v>0</v>
      </c>
      <c r="X1970">
        <v>2</v>
      </c>
      <c r="Y1970">
        <v>0</v>
      </c>
      <c r="AA1970">
        <v>1</v>
      </c>
      <c r="AB1970">
        <v>8</v>
      </c>
      <c r="AC1970">
        <v>3</v>
      </c>
      <c r="AD1970">
        <v>0</v>
      </c>
      <c r="AE1970">
        <v>9</v>
      </c>
      <c r="AF1970" t="s">
        <v>138</v>
      </c>
      <c r="AG1970">
        <v>0</v>
      </c>
      <c r="AH1970">
        <v>3</v>
      </c>
      <c r="AI1970">
        <v>2</v>
      </c>
      <c r="AJ1970">
        <v>0</v>
      </c>
      <c r="AK1970" t="s">
        <v>704</v>
      </c>
      <c r="AL1970">
        <v>39.047469999999997</v>
      </c>
      <c r="AM1970" t="s">
        <v>705</v>
      </c>
      <c r="AN1970">
        <v>-121.041741</v>
      </c>
      <c r="AO1970">
        <v>25</v>
      </c>
      <c r="AP1970">
        <v>4400</v>
      </c>
      <c r="AQ1970" t="s">
        <v>131</v>
      </c>
      <c r="AR1970">
        <v>6</v>
      </c>
      <c r="AS1970">
        <v>91</v>
      </c>
      <c r="AT1970">
        <v>320</v>
      </c>
      <c r="BB1970" t="str">
        <f t="shared" si="763"/>
        <v>1200</v>
      </c>
      <c r="BC1970">
        <v>1</v>
      </c>
      <c r="BD1970" t="str">
        <f t="shared" si="764"/>
        <v xml:space="preserve">N52156  </v>
      </c>
      <c r="BE1970">
        <v>1</v>
      </c>
      <c r="BG1970">
        <v>0</v>
      </c>
      <c r="BH1970">
        <v>0</v>
      </c>
      <c r="BI1970">
        <v>0</v>
      </c>
      <c r="BJ1970">
        <v>4400</v>
      </c>
      <c r="BK1970">
        <v>0</v>
      </c>
      <c r="BL1970" t="s">
        <v>188</v>
      </c>
      <c r="BM1970">
        <v>1</v>
      </c>
      <c r="BN1970">
        <v>1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 t="shared" ref="CE1970:CE1975" si="781">"15:10:00.976"</f>
        <v>15:10:00.976</v>
      </c>
      <c r="CF1970">
        <v>975780590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3</v>
      </c>
      <c r="CY1970">
        <v>7</v>
      </c>
      <c r="CZ1970" t="s">
        <v>133</v>
      </c>
      <c r="DA1970">
        <v>276</v>
      </c>
      <c r="DB1970">
        <v>0</v>
      </c>
      <c r="DC1970" t="s">
        <v>402</v>
      </c>
      <c r="DD1970" t="s">
        <v>403</v>
      </c>
      <c r="DG1970">
        <v>1626506</v>
      </c>
      <c r="DI1970">
        <v>1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"05/01/2025 15:10:01.191"</f>
        <v>05/01/2025 15:10:01.191</v>
      </c>
      <c r="C1971" t="str">
        <f t="shared" si="760"/>
        <v>FFDFD3C0</v>
      </c>
      <c r="D1971" t="s">
        <v>143</v>
      </c>
      <c r="E1971" t="str">
        <f>"05"</f>
        <v>05</v>
      </c>
      <c r="H1971">
        <v>172</v>
      </c>
      <c r="I1971" t="s">
        <v>141</v>
      </c>
      <c r="J1971" t="s">
        <v>144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R1971" t="s">
        <v>127</v>
      </c>
      <c r="S1971" t="str">
        <f t="shared" si="780"/>
        <v>15:10:00.000</v>
      </c>
      <c r="T1971" t="str">
        <f t="shared" si="780"/>
        <v>15:10:00.000</v>
      </c>
      <c r="U1971" t="str">
        <f t="shared" si="762"/>
        <v>A68FCB</v>
      </c>
      <c r="V1971">
        <v>0</v>
      </c>
      <c r="W1971">
        <v>0</v>
      </c>
      <c r="X1971">
        <v>2</v>
      </c>
      <c r="Y1971">
        <v>0</v>
      </c>
      <c r="AA1971">
        <v>1</v>
      </c>
      <c r="AB1971">
        <v>8</v>
      </c>
      <c r="AC1971">
        <v>3</v>
      </c>
      <c r="AD1971">
        <v>0</v>
      </c>
      <c r="AE1971">
        <v>9</v>
      </c>
      <c r="AF1971" t="s">
        <v>138</v>
      </c>
      <c r="AG1971">
        <v>0</v>
      </c>
      <c r="AH1971">
        <v>3</v>
      </c>
      <c r="AI1971">
        <v>2</v>
      </c>
      <c r="AJ1971">
        <v>0</v>
      </c>
      <c r="AK1971" t="s">
        <v>704</v>
      </c>
      <c r="AL1971">
        <v>39.047469999999997</v>
      </c>
      <c r="AM1971" t="s">
        <v>705</v>
      </c>
      <c r="AN1971">
        <v>-121.041741</v>
      </c>
      <c r="AO1971">
        <v>25</v>
      </c>
      <c r="AP1971">
        <v>4400</v>
      </c>
      <c r="AQ1971" t="s">
        <v>131</v>
      </c>
      <c r="AR1971">
        <v>6</v>
      </c>
      <c r="AS1971">
        <v>91</v>
      </c>
      <c r="AT1971">
        <v>320</v>
      </c>
      <c r="BB1971" t="str">
        <f t="shared" si="763"/>
        <v>1200</v>
      </c>
      <c r="BC1971">
        <v>1</v>
      </c>
      <c r="BD1971" t="str">
        <f t="shared" si="764"/>
        <v xml:space="preserve">N52156  </v>
      </c>
      <c r="BE1971">
        <v>1</v>
      </c>
      <c r="BG1971">
        <v>0</v>
      </c>
      <c r="BH1971">
        <v>0</v>
      </c>
      <c r="BI1971">
        <v>0</v>
      </c>
      <c r="BJ1971">
        <v>4400</v>
      </c>
      <c r="BK1971">
        <v>0</v>
      </c>
      <c r="BL1971" t="s">
        <v>188</v>
      </c>
      <c r="BM1971">
        <v>1</v>
      </c>
      <c r="BN1971">
        <v>1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 t="shared" si="781"/>
        <v>15:10:00.976</v>
      </c>
      <c r="CF1971">
        <v>975780590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3</v>
      </c>
      <c r="CY1971">
        <v>7</v>
      </c>
      <c r="CZ1971" t="s">
        <v>133</v>
      </c>
      <c r="DA1971">
        <v>276</v>
      </c>
      <c r="DB1971">
        <v>0</v>
      </c>
      <c r="DC1971" t="s">
        <v>402</v>
      </c>
      <c r="DD1971" t="s">
        <v>403</v>
      </c>
      <c r="DG1971">
        <v>1626506</v>
      </c>
      <c r="DI1971">
        <v>1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"05/01/2025 15:10:01.218"</f>
        <v>05/01/2025 15:10:01.218</v>
      </c>
      <c r="C1972" t="str">
        <f t="shared" si="760"/>
        <v>FFDFD3C0</v>
      </c>
      <c r="D1972" t="s">
        <v>140</v>
      </c>
      <c r="E1972" t="str">
        <f>"13"</f>
        <v>13</v>
      </c>
      <c r="F1972">
        <v>1019</v>
      </c>
      <c r="G1972" t="s">
        <v>141</v>
      </c>
      <c r="J1972" t="s">
        <v>142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R1972" t="s">
        <v>127</v>
      </c>
      <c r="S1972" t="str">
        <f t="shared" si="780"/>
        <v>15:10:00.000</v>
      </c>
      <c r="T1972" t="str">
        <f t="shared" si="780"/>
        <v>15:10:00.000</v>
      </c>
      <c r="U1972" t="str">
        <f t="shared" si="762"/>
        <v>A68FCB</v>
      </c>
      <c r="V1972">
        <v>0</v>
      </c>
      <c r="W1972">
        <v>0</v>
      </c>
      <c r="X1972">
        <v>2</v>
      </c>
      <c r="Y1972">
        <v>0</v>
      </c>
      <c r="AA1972">
        <v>1</v>
      </c>
      <c r="AB1972">
        <v>8</v>
      </c>
      <c r="AC1972">
        <v>3</v>
      </c>
      <c r="AD1972">
        <v>0</v>
      </c>
      <c r="AE1972">
        <v>9</v>
      </c>
      <c r="AF1972" t="s">
        <v>138</v>
      </c>
      <c r="AG1972">
        <v>0</v>
      </c>
      <c r="AH1972">
        <v>3</v>
      </c>
      <c r="AI1972">
        <v>2</v>
      </c>
      <c r="AJ1972">
        <v>0</v>
      </c>
      <c r="AK1972" t="s">
        <v>704</v>
      </c>
      <c r="AL1972">
        <v>39.047469999999997</v>
      </c>
      <c r="AM1972" t="s">
        <v>705</v>
      </c>
      <c r="AN1972">
        <v>-121.041741</v>
      </c>
      <c r="AO1972">
        <v>25</v>
      </c>
      <c r="AP1972">
        <v>4400</v>
      </c>
      <c r="AQ1972" t="s">
        <v>131</v>
      </c>
      <c r="AR1972">
        <v>6</v>
      </c>
      <c r="AS1972">
        <v>91</v>
      </c>
      <c r="AT1972">
        <v>320</v>
      </c>
      <c r="BB1972" t="str">
        <f t="shared" si="763"/>
        <v>1200</v>
      </c>
      <c r="BC1972">
        <v>1</v>
      </c>
      <c r="BD1972" t="str">
        <f t="shared" si="764"/>
        <v xml:space="preserve">N52156  </v>
      </c>
      <c r="BE1972">
        <v>1</v>
      </c>
      <c r="BG1972">
        <v>0</v>
      </c>
      <c r="BH1972">
        <v>0</v>
      </c>
      <c r="BI1972">
        <v>0</v>
      </c>
      <c r="BJ1972">
        <v>4400</v>
      </c>
      <c r="BK1972">
        <v>0</v>
      </c>
      <c r="BL1972" t="s">
        <v>188</v>
      </c>
      <c r="BM1972">
        <v>1</v>
      </c>
      <c r="BN1972">
        <v>1</v>
      </c>
      <c r="BO1972">
        <v>0</v>
      </c>
      <c r="BP1972">
        <v>0</v>
      </c>
      <c r="BS1972">
        <v>0</v>
      </c>
      <c r="BT1972">
        <v>0</v>
      </c>
      <c r="BU1972">
        <v>0</v>
      </c>
      <c r="CE1972" t="str">
        <f t="shared" si="781"/>
        <v>15:10:00.976</v>
      </c>
      <c r="CF1972">
        <v>975780590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3</v>
      </c>
      <c r="CY1972">
        <v>7</v>
      </c>
      <c r="CZ1972" t="s">
        <v>133</v>
      </c>
      <c r="DA1972">
        <v>276</v>
      </c>
      <c r="DB1972">
        <v>0</v>
      </c>
      <c r="DC1972" t="s">
        <v>402</v>
      </c>
      <c r="DD1972" t="s">
        <v>403</v>
      </c>
      <c r="DG1972">
        <v>1626506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"05/01/2025 15:10:01.227"</f>
        <v>05/01/2025 15:10:01.227</v>
      </c>
      <c r="C1973" t="str">
        <f t="shared" si="760"/>
        <v>FFDFD3C0</v>
      </c>
      <c r="D1973" t="s">
        <v>124</v>
      </c>
      <c r="E1973" t="str">
        <f>"06"</f>
        <v>06</v>
      </c>
      <c r="F1973">
        <v>2006</v>
      </c>
      <c r="G1973" t="s">
        <v>125</v>
      </c>
      <c r="J1973" t="s">
        <v>126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R1973" t="s">
        <v>127</v>
      </c>
      <c r="S1973" t="str">
        <f t="shared" si="780"/>
        <v>15:10:00.000</v>
      </c>
      <c r="T1973" t="str">
        <f t="shared" si="780"/>
        <v>15:10:00.000</v>
      </c>
      <c r="U1973" t="str">
        <f t="shared" si="762"/>
        <v>A68FCB</v>
      </c>
      <c r="V1973">
        <v>0</v>
      </c>
      <c r="W1973">
        <v>0</v>
      </c>
      <c r="X1973">
        <v>2</v>
      </c>
      <c r="Y1973">
        <v>0</v>
      </c>
      <c r="AA1973">
        <v>1</v>
      </c>
      <c r="AB1973">
        <v>8</v>
      </c>
      <c r="AC1973">
        <v>3</v>
      </c>
      <c r="AD1973">
        <v>0</v>
      </c>
      <c r="AE1973">
        <v>9</v>
      </c>
      <c r="AF1973" t="s">
        <v>138</v>
      </c>
      <c r="AG1973">
        <v>0</v>
      </c>
      <c r="AH1973">
        <v>3</v>
      </c>
      <c r="AI1973">
        <v>2</v>
      </c>
      <c r="AJ1973">
        <v>0</v>
      </c>
      <c r="AK1973" t="s">
        <v>704</v>
      </c>
      <c r="AL1973">
        <v>39.047469999999997</v>
      </c>
      <c r="AM1973" t="s">
        <v>705</v>
      </c>
      <c r="AN1973">
        <v>-121.041741</v>
      </c>
      <c r="AO1973">
        <v>25</v>
      </c>
      <c r="AP1973">
        <v>4400</v>
      </c>
      <c r="AQ1973" t="s">
        <v>131</v>
      </c>
      <c r="AR1973">
        <v>6</v>
      </c>
      <c r="AS1973">
        <v>91</v>
      </c>
      <c r="AT1973">
        <v>320</v>
      </c>
      <c r="BB1973" t="str">
        <f t="shared" si="763"/>
        <v>1200</v>
      </c>
      <c r="BC1973">
        <v>1</v>
      </c>
      <c r="BD1973" t="str">
        <f t="shared" si="764"/>
        <v xml:space="preserve">N52156  </v>
      </c>
      <c r="BE1973">
        <v>1</v>
      </c>
      <c r="BG1973">
        <v>0</v>
      </c>
      <c r="BH1973">
        <v>0</v>
      </c>
      <c r="BI1973">
        <v>0</v>
      </c>
      <c r="BJ1973">
        <v>4400</v>
      </c>
      <c r="BK1973">
        <v>0</v>
      </c>
      <c r="BL1973" t="s">
        <v>188</v>
      </c>
      <c r="BM1973">
        <v>1</v>
      </c>
      <c r="BN1973">
        <v>1</v>
      </c>
      <c r="BO1973">
        <v>0</v>
      </c>
      <c r="BP1973">
        <v>0</v>
      </c>
      <c r="BS1973">
        <v>0</v>
      </c>
      <c r="BT1973">
        <v>0</v>
      </c>
      <c r="BU1973">
        <v>0</v>
      </c>
      <c r="CE1973" t="str">
        <f t="shared" si="781"/>
        <v>15:10:00.976</v>
      </c>
      <c r="CF1973">
        <v>975780590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3</v>
      </c>
      <c r="CY1973">
        <v>7</v>
      </c>
      <c r="CZ1973" t="s">
        <v>133</v>
      </c>
      <c r="DA1973">
        <v>276</v>
      </c>
      <c r="DB1973">
        <v>0</v>
      </c>
      <c r="DC1973" t="s">
        <v>402</v>
      </c>
      <c r="DD1973" t="s">
        <v>403</v>
      </c>
      <c r="DG1973">
        <v>1626506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"05/01/2025 15:10:01.228"</f>
        <v>05/01/2025 15:10:01.228</v>
      </c>
      <c r="C1974" t="str">
        <f t="shared" si="760"/>
        <v>FFDFD3C0</v>
      </c>
      <c r="D1974" t="s">
        <v>145</v>
      </c>
      <c r="E1974" t="str">
        <f>"05"</f>
        <v>05</v>
      </c>
      <c r="H1974">
        <v>47</v>
      </c>
      <c r="I1974" t="s">
        <v>146</v>
      </c>
      <c r="J1974" t="s">
        <v>138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R1974" t="s">
        <v>127</v>
      </c>
      <c r="S1974" t="str">
        <f t="shared" si="780"/>
        <v>15:10:00.000</v>
      </c>
      <c r="T1974" t="str">
        <f t="shared" si="780"/>
        <v>15:10:00.000</v>
      </c>
      <c r="U1974" t="str">
        <f t="shared" si="762"/>
        <v>A68FCB</v>
      </c>
      <c r="V1974">
        <v>0</v>
      </c>
      <c r="W1974">
        <v>0</v>
      </c>
      <c r="X1974">
        <v>2</v>
      </c>
      <c r="Y1974">
        <v>0</v>
      </c>
      <c r="AA1974">
        <v>1</v>
      </c>
      <c r="AB1974">
        <v>8</v>
      </c>
      <c r="AC1974">
        <v>3</v>
      </c>
      <c r="AD1974">
        <v>0</v>
      </c>
      <c r="AE1974">
        <v>9</v>
      </c>
      <c r="AF1974" t="s">
        <v>138</v>
      </c>
      <c r="AG1974">
        <v>0</v>
      </c>
      <c r="AH1974">
        <v>3</v>
      </c>
      <c r="AI1974">
        <v>2</v>
      </c>
      <c r="AJ1974">
        <v>0</v>
      </c>
      <c r="AK1974" t="s">
        <v>704</v>
      </c>
      <c r="AL1974">
        <v>39.047469999999997</v>
      </c>
      <c r="AM1974" t="s">
        <v>705</v>
      </c>
      <c r="AN1974">
        <v>-121.041741</v>
      </c>
      <c r="AO1974">
        <v>25</v>
      </c>
      <c r="AP1974">
        <v>4400</v>
      </c>
      <c r="AQ1974" t="s">
        <v>131</v>
      </c>
      <c r="AR1974">
        <v>6</v>
      </c>
      <c r="AS1974">
        <v>91</v>
      </c>
      <c r="AT1974">
        <v>320</v>
      </c>
      <c r="BB1974" t="str">
        <f t="shared" si="763"/>
        <v>1200</v>
      </c>
      <c r="BC1974">
        <v>1</v>
      </c>
      <c r="BD1974" t="str">
        <f t="shared" si="764"/>
        <v xml:space="preserve">N52156  </v>
      </c>
      <c r="BE1974">
        <v>1</v>
      </c>
      <c r="BG1974">
        <v>0</v>
      </c>
      <c r="BH1974">
        <v>0</v>
      </c>
      <c r="BI1974">
        <v>0</v>
      </c>
      <c r="BJ1974">
        <v>4400</v>
      </c>
      <c r="BK1974">
        <v>0</v>
      </c>
      <c r="BL1974" t="s">
        <v>188</v>
      </c>
      <c r="BM1974">
        <v>1</v>
      </c>
      <c r="BN1974">
        <v>1</v>
      </c>
      <c r="BO1974">
        <v>0</v>
      </c>
      <c r="BP1974">
        <v>0</v>
      </c>
      <c r="BS1974">
        <v>0</v>
      </c>
      <c r="BT1974">
        <v>0</v>
      </c>
      <c r="BU1974">
        <v>0</v>
      </c>
      <c r="CE1974" t="str">
        <f t="shared" si="781"/>
        <v>15:10:00.976</v>
      </c>
      <c r="CF1974">
        <v>975780590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3</v>
      </c>
      <c r="CY1974">
        <v>7</v>
      </c>
      <c r="CZ1974" t="s">
        <v>133</v>
      </c>
      <c r="DA1974">
        <v>276</v>
      </c>
      <c r="DB1974">
        <v>0</v>
      </c>
      <c r="DC1974" t="s">
        <v>402</v>
      </c>
      <c r="DD1974" t="s">
        <v>403</v>
      </c>
      <c r="DG1974">
        <v>1626506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"05/01/2025 15:10:01.231"</f>
        <v>05/01/2025 15:10:01.231</v>
      </c>
      <c r="C1975" t="str">
        <f t="shared" si="760"/>
        <v>FFDFD3C0</v>
      </c>
      <c r="D1975" t="s">
        <v>145</v>
      </c>
      <c r="E1975" t="str">
        <f>"09"</f>
        <v>09</v>
      </c>
      <c r="H1975">
        <v>51</v>
      </c>
      <c r="I1975" t="s">
        <v>147</v>
      </c>
      <c r="J1975" t="s">
        <v>138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R1975" t="s">
        <v>127</v>
      </c>
      <c r="S1975" t="str">
        <f t="shared" si="780"/>
        <v>15:10:00.000</v>
      </c>
      <c r="T1975" t="str">
        <f t="shared" si="780"/>
        <v>15:10:00.000</v>
      </c>
      <c r="U1975" t="str">
        <f t="shared" si="762"/>
        <v>A68FCB</v>
      </c>
      <c r="V1975">
        <v>0</v>
      </c>
      <c r="W1975">
        <v>0</v>
      </c>
      <c r="X1975">
        <v>2</v>
      </c>
      <c r="Y1975">
        <v>0</v>
      </c>
      <c r="AA1975">
        <v>1</v>
      </c>
      <c r="AB1975">
        <v>8</v>
      </c>
      <c r="AC1975">
        <v>3</v>
      </c>
      <c r="AD1975">
        <v>0</v>
      </c>
      <c r="AE1975">
        <v>9</v>
      </c>
      <c r="AF1975" t="s">
        <v>138</v>
      </c>
      <c r="AG1975">
        <v>0</v>
      </c>
      <c r="AH1975">
        <v>3</v>
      </c>
      <c r="AI1975">
        <v>2</v>
      </c>
      <c r="AJ1975">
        <v>0</v>
      </c>
      <c r="AK1975" t="s">
        <v>704</v>
      </c>
      <c r="AL1975">
        <v>39.047469999999997</v>
      </c>
      <c r="AM1975" t="s">
        <v>705</v>
      </c>
      <c r="AN1975">
        <v>-121.041741</v>
      </c>
      <c r="AO1975">
        <v>25</v>
      </c>
      <c r="AP1975">
        <v>4400</v>
      </c>
      <c r="AQ1975" t="s">
        <v>131</v>
      </c>
      <c r="AR1975">
        <v>6</v>
      </c>
      <c r="AS1975">
        <v>91</v>
      </c>
      <c r="AT1975">
        <v>320</v>
      </c>
      <c r="BB1975" t="str">
        <f t="shared" si="763"/>
        <v>1200</v>
      </c>
      <c r="BC1975">
        <v>1</v>
      </c>
      <c r="BD1975" t="str">
        <f t="shared" si="764"/>
        <v xml:space="preserve">N52156  </v>
      </c>
      <c r="BE1975">
        <v>1</v>
      </c>
      <c r="BG1975">
        <v>0</v>
      </c>
      <c r="BH1975">
        <v>0</v>
      </c>
      <c r="BI1975">
        <v>0</v>
      </c>
      <c r="BJ1975">
        <v>4400</v>
      </c>
      <c r="BK1975">
        <v>0</v>
      </c>
      <c r="BL1975" t="s">
        <v>188</v>
      </c>
      <c r="BM1975">
        <v>1</v>
      </c>
      <c r="BN1975">
        <v>1</v>
      </c>
      <c r="BO1975">
        <v>0</v>
      </c>
      <c r="BP1975">
        <v>0</v>
      </c>
      <c r="BS1975">
        <v>0</v>
      </c>
      <c r="BT1975">
        <v>0</v>
      </c>
      <c r="BU1975">
        <v>0</v>
      </c>
      <c r="CE1975" t="str">
        <f t="shared" si="781"/>
        <v>15:10:00.976</v>
      </c>
      <c r="CF1975">
        <v>975780590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3</v>
      </c>
      <c r="CY1975">
        <v>7</v>
      </c>
      <c r="CZ1975" t="s">
        <v>133</v>
      </c>
      <c r="DA1975">
        <v>276</v>
      </c>
      <c r="DB1975">
        <v>0</v>
      </c>
      <c r="DC1975" t="s">
        <v>402</v>
      </c>
      <c r="DD1975" t="s">
        <v>403</v>
      </c>
      <c r="DG1975">
        <v>1626506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"05/01/2025 15:10:01.829"</f>
        <v>05/01/2025 15:10:01.829</v>
      </c>
      <c r="C1976" t="str">
        <f t="shared" si="760"/>
        <v>FFDFD3C0</v>
      </c>
      <c r="D1976" t="s">
        <v>124</v>
      </c>
      <c r="E1976" t="str">
        <f>"06"</f>
        <v>06</v>
      </c>
      <c r="F1976">
        <v>2006</v>
      </c>
      <c r="G1976" t="s">
        <v>125</v>
      </c>
      <c r="J1976" t="s">
        <v>126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R1976" t="s">
        <v>127</v>
      </c>
      <c r="S1976" t="str">
        <f t="shared" ref="S1976:T1981" si="782">"15:10:01.000"</f>
        <v>15:10:01.000</v>
      </c>
      <c r="T1976" t="str">
        <f t="shared" si="782"/>
        <v>15:10:01.000</v>
      </c>
      <c r="U1976" t="str">
        <f t="shared" si="762"/>
        <v>A68FCB</v>
      </c>
      <c r="V1976">
        <v>0</v>
      </c>
      <c r="W1976">
        <v>0</v>
      </c>
      <c r="X1976">
        <v>2</v>
      </c>
      <c r="Y1976">
        <v>0</v>
      </c>
      <c r="AA1976">
        <v>1</v>
      </c>
      <c r="AB1976">
        <v>8</v>
      </c>
      <c r="AC1976">
        <v>3</v>
      </c>
      <c r="AD1976">
        <v>0</v>
      </c>
      <c r="AE1976">
        <v>9</v>
      </c>
      <c r="AF1976" t="s">
        <v>138</v>
      </c>
      <c r="AG1976">
        <v>0</v>
      </c>
      <c r="AH1976">
        <v>3</v>
      </c>
      <c r="AI1976">
        <v>2</v>
      </c>
      <c r="AJ1976">
        <v>0</v>
      </c>
      <c r="AK1976" t="s">
        <v>706</v>
      </c>
      <c r="AL1976">
        <v>39.047899000000001</v>
      </c>
      <c r="AM1976" t="s">
        <v>707</v>
      </c>
      <c r="AN1976">
        <v>-121.041698</v>
      </c>
      <c r="AO1976">
        <v>25</v>
      </c>
      <c r="AP1976">
        <v>4400</v>
      </c>
      <c r="AQ1976" t="s">
        <v>131</v>
      </c>
      <c r="AR1976">
        <v>6</v>
      </c>
      <c r="AS1976">
        <v>91</v>
      </c>
      <c r="AT1976">
        <v>256</v>
      </c>
      <c r="BB1976" t="str">
        <f t="shared" si="763"/>
        <v>1200</v>
      </c>
      <c r="BC1976">
        <v>1</v>
      </c>
      <c r="BD1976" t="str">
        <f t="shared" si="764"/>
        <v xml:space="preserve">N52156  </v>
      </c>
      <c r="BE1976">
        <v>1</v>
      </c>
      <c r="BG1976">
        <v>0</v>
      </c>
      <c r="BH1976">
        <v>0</v>
      </c>
      <c r="BI1976">
        <v>0</v>
      </c>
      <c r="BJ1976">
        <v>4425</v>
      </c>
      <c r="BK1976">
        <v>25</v>
      </c>
      <c r="BL1976" t="s">
        <v>188</v>
      </c>
      <c r="BM1976">
        <v>1</v>
      </c>
      <c r="BN1976">
        <v>1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 t="shared" ref="CE1976:CE1981" si="783">"15:10:01.610"</f>
        <v>15:10:01.610</v>
      </c>
      <c r="CF1976">
        <v>609714188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4</v>
      </c>
      <c r="CY1976">
        <v>7</v>
      </c>
      <c r="CZ1976" t="s">
        <v>133</v>
      </c>
      <c r="DA1976">
        <v>275</v>
      </c>
      <c r="DB1976">
        <v>0</v>
      </c>
      <c r="DC1976" t="s">
        <v>134</v>
      </c>
      <c r="DD1976" t="s">
        <v>135</v>
      </c>
      <c r="DG1976">
        <v>3321163</v>
      </c>
      <c r="DI1976">
        <v>1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"05/01/2025 15:10:01.829"</f>
        <v>05/01/2025 15:10:01.829</v>
      </c>
      <c r="C1977" t="str">
        <f t="shared" si="760"/>
        <v>FFDFD3C0</v>
      </c>
      <c r="D1977" t="s">
        <v>145</v>
      </c>
      <c r="E1977" t="str">
        <f>"05"</f>
        <v>05</v>
      </c>
      <c r="H1977">
        <v>47</v>
      </c>
      <c r="I1977" t="s">
        <v>146</v>
      </c>
      <c r="J1977" t="s">
        <v>138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R1977" t="s">
        <v>127</v>
      </c>
      <c r="S1977" t="str">
        <f t="shared" si="782"/>
        <v>15:10:01.000</v>
      </c>
      <c r="T1977" t="str">
        <f t="shared" si="782"/>
        <v>15:10:01.000</v>
      </c>
      <c r="U1977" t="str">
        <f t="shared" si="762"/>
        <v>A68FCB</v>
      </c>
      <c r="V1977">
        <v>0</v>
      </c>
      <c r="W1977">
        <v>0</v>
      </c>
      <c r="X1977">
        <v>2</v>
      </c>
      <c r="Y1977">
        <v>0</v>
      </c>
      <c r="AA1977">
        <v>1</v>
      </c>
      <c r="AB1977">
        <v>8</v>
      </c>
      <c r="AC1977">
        <v>3</v>
      </c>
      <c r="AD1977">
        <v>0</v>
      </c>
      <c r="AE1977">
        <v>9</v>
      </c>
      <c r="AF1977" t="s">
        <v>138</v>
      </c>
      <c r="AG1977">
        <v>0</v>
      </c>
      <c r="AH1977">
        <v>3</v>
      </c>
      <c r="AI1977">
        <v>2</v>
      </c>
      <c r="AJ1977">
        <v>0</v>
      </c>
      <c r="AK1977" t="s">
        <v>706</v>
      </c>
      <c r="AL1977">
        <v>39.047899000000001</v>
      </c>
      <c r="AM1977" t="s">
        <v>707</v>
      </c>
      <c r="AN1977">
        <v>-121.041698</v>
      </c>
      <c r="AO1977">
        <v>25</v>
      </c>
      <c r="AP1977">
        <v>4400</v>
      </c>
      <c r="AQ1977" t="s">
        <v>131</v>
      </c>
      <c r="AR1977">
        <v>6</v>
      </c>
      <c r="AS1977">
        <v>91</v>
      </c>
      <c r="AT1977">
        <v>256</v>
      </c>
      <c r="BB1977" t="str">
        <f t="shared" si="763"/>
        <v>1200</v>
      </c>
      <c r="BC1977">
        <v>1</v>
      </c>
      <c r="BD1977" t="str">
        <f t="shared" si="764"/>
        <v xml:space="preserve">N52156  </v>
      </c>
      <c r="BE1977">
        <v>1</v>
      </c>
      <c r="BG1977">
        <v>0</v>
      </c>
      <c r="BH1977">
        <v>0</v>
      </c>
      <c r="BI1977">
        <v>0</v>
      </c>
      <c r="BJ1977">
        <v>4425</v>
      </c>
      <c r="BK1977">
        <v>25</v>
      </c>
      <c r="BL1977" t="s">
        <v>188</v>
      </c>
      <c r="BM1977">
        <v>1</v>
      </c>
      <c r="BN1977">
        <v>1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 t="shared" si="783"/>
        <v>15:10:01.610</v>
      </c>
      <c r="CF1977">
        <v>609714188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4</v>
      </c>
      <c r="CY1977">
        <v>7</v>
      </c>
      <c r="CZ1977" t="s">
        <v>133</v>
      </c>
      <c r="DA1977">
        <v>275</v>
      </c>
      <c r="DB1977">
        <v>0</v>
      </c>
      <c r="DC1977" t="s">
        <v>134</v>
      </c>
      <c r="DD1977" t="s">
        <v>135</v>
      </c>
      <c r="DG1977">
        <v>3321163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"05/01/2025 15:10:01.833"</f>
        <v>05/01/2025 15:10:01.833</v>
      </c>
      <c r="C1978" t="str">
        <f t="shared" si="760"/>
        <v>FFDFD3C0</v>
      </c>
      <c r="D1978" t="s">
        <v>145</v>
      </c>
      <c r="E1978" t="str">
        <f>"09"</f>
        <v>09</v>
      </c>
      <c r="H1978">
        <v>51</v>
      </c>
      <c r="I1978" t="s">
        <v>147</v>
      </c>
      <c r="J1978" t="s">
        <v>138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R1978" t="s">
        <v>127</v>
      </c>
      <c r="S1978" t="str">
        <f t="shared" si="782"/>
        <v>15:10:01.000</v>
      </c>
      <c r="T1978" t="str">
        <f t="shared" si="782"/>
        <v>15:10:01.000</v>
      </c>
      <c r="U1978" t="str">
        <f t="shared" si="762"/>
        <v>A68FCB</v>
      </c>
      <c r="V1978">
        <v>0</v>
      </c>
      <c r="W1978">
        <v>0</v>
      </c>
      <c r="X1978">
        <v>2</v>
      </c>
      <c r="Y1978">
        <v>0</v>
      </c>
      <c r="AA1978">
        <v>1</v>
      </c>
      <c r="AB1978">
        <v>8</v>
      </c>
      <c r="AC1978">
        <v>3</v>
      </c>
      <c r="AD1978">
        <v>0</v>
      </c>
      <c r="AE1978">
        <v>9</v>
      </c>
      <c r="AF1978" t="s">
        <v>138</v>
      </c>
      <c r="AG1978">
        <v>0</v>
      </c>
      <c r="AH1978">
        <v>3</v>
      </c>
      <c r="AI1978">
        <v>2</v>
      </c>
      <c r="AJ1978">
        <v>0</v>
      </c>
      <c r="AK1978" t="s">
        <v>706</v>
      </c>
      <c r="AL1978">
        <v>39.047899000000001</v>
      </c>
      <c r="AM1978" t="s">
        <v>707</v>
      </c>
      <c r="AN1978">
        <v>-121.041698</v>
      </c>
      <c r="AO1978">
        <v>25</v>
      </c>
      <c r="AP1978">
        <v>4400</v>
      </c>
      <c r="AQ1978" t="s">
        <v>131</v>
      </c>
      <c r="AR1978">
        <v>6</v>
      </c>
      <c r="AS1978">
        <v>91</v>
      </c>
      <c r="AT1978">
        <v>256</v>
      </c>
      <c r="BB1978" t="str">
        <f t="shared" si="763"/>
        <v>1200</v>
      </c>
      <c r="BC1978">
        <v>1</v>
      </c>
      <c r="BD1978" t="str">
        <f t="shared" si="764"/>
        <v xml:space="preserve">N52156  </v>
      </c>
      <c r="BE1978">
        <v>1</v>
      </c>
      <c r="BG1978">
        <v>0</v>
      </c>
      <c r="BH1978">
        <v>0</v>
      </c>
      <c r="BI1978">
        <v>0</v>
      </c>
      <c r="BJ1978">
        <v>4425</v>
      </c>
      <c r="BK1978">
        <v>25</v>
      </c>
      <c r="BL1978" t="s">
        <v>188</v>
      </c>
      <c r="BM1978">
        <v>1</v>
      </c>
      <c r="BN1978">
        <v>1</v>
      </c>
      <c r="BO1978">
        <v>0</v>
      </c>
      <c r="BP1978">
        <v>0</v>
      </c>
      <c r="BS1978">
        <v>0</v>
      </c>
      <c r="BT1978">
        <v>0</v>
      </c>
      <c r="BU1978">
        <v>0</v>
      </c>
      <c r="CE1978" t="str">
        <f t="shared" si="783"/>
        <v>15:10:01.610</v>
      </c>
      <c r="CF1978">
        <v>609714188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4</v>
      </c>
      <c r="CY1978">
        <v>7</v>
      </c>
      <c r="CZ1978" t="s">
        <v>133</v>
      </c>
      <c r="DA1978">
        <v>275</v>
      </c>
      <c r="DB1978">
        <v>0</v>
      </c>
      <c r="DC1978" t="s">
        <v>134</v>
      </c>
      <c r="DD1978" t="s">
        <v>135</v>
      </c>
      <c r="DG1978">
        <v>3321163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"05/01/2025 15:10:01.841"</f>
        <v>05/01/2025 15:10:01.841</v>
      </c>
      <c r="C1979" t="str">
        <f t="shared" si="760"/>
        <v>FFDFD3C0</v>
      </c>
      <c r="D1979" t="s">
        <v>136</v>
      </c>
      <c r="E1979" t="str">
        <f>"20"</f>
        <v>20</v>
      </c>
      <c r="H1979">
        <v>400</v>
      </c>
      <c r="I1979" t="s">
        <v>137</v>
      </c>
      <c r="J1979" t="s">
        <v>138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R1979" t="s">
        <v>127</v>
      </c>
      <c r="S1979" t="str">
        <f t="shared" si="782"/>
        <v>15:10:01.000</v>
      </c>
      <c r="T1979" t="str">
        <f t="shared" si="782"/>
        <v>15:10:01.000</v>
      </c>
      <c r="U1979" t="str">
        <f t="shared" si="762"/>
        <v>A68FCB</v>
      </c>
      <c r="V1979">
        <v>0</v>
      </c>
      <c r="W1979">
        <v>0</v>
      </c>
      <c r="X1979">
        <v>2</v>
      </c>
      <c r="Y1979">
        <v>0</v>
      </c>
      <c r="AA1979">
        <v>1</v>
      </c>
      <c r="AB1979">
        <v>8</v>
      </c>
      <c r="AC1979">
        <v>3</v>
      </c>
      <c r="AD1979">
        <v>0</v>
      </c>
      <c r="AE1979">
        <v>9</v>
      </c>
      <c r="AF1979" t="s">
        <v>138</v>
      </c>
      <c r="AG1979">
        <v>0</v>
      </c>
      <c r="AH1979">
        <v>3</v>
      </c>
      <c r="AI1979">
        <v>2</v>
      </c>
      <c r="AJ1979">
        <v>0</v>
      </c>
      <c r="AK1979" t="s">
        <v>706</v>
      </c>
      <c r="AL1979">
        <v>39.047899000000001</v>
      </c>
      <c r="AM1979" t="s">
        <v>707</v>
      </c>
      <c r="AN1979">
        <v>-121.041698</v>
      </c>
      <c r="AO1979">
        <v>25</v>
      </c>
      <c r="AP1979">
        <v>4400</v>
      </c>
      <c r="AQ1979" t="s">
        <v>131</v>
      </c>
      <c r="AR1979">
        <v>6</v>
      </c>
      <c r="AS1979">
        <v>91</v>
      </c>
      <c r="AT1979">
        <v>256</v>
      </c>
      <c r="BB1979" t="str">
        <f t="shared" si="763"/>
        <v>1200</v>
      </c>
      <c r="BC1979">
        <v>1</v>
      </c>
      <c r="BD1979" t="str">
        <f t="shared" si="764"/>
        <v xml:space="preserve">N52156  </v>
      </c>
      <c r="BE1979">
        <v>1</v>
      </c>
      <c r="BG1979">
        <v>0</v>
      </c>
      <c r="BH1979">
        <v>0</v>
      </c>
      <c r="BI1979">
        <v>0</v>
      </c>
      <c r="BJ1979">
        <v>4425</v>
      </c>
      <c r="BK1979">
        <v>25</v>
      </c>
      <c r="BL1979" t="s">
        <v>188</v>
      </c>
      <c r="BM1979">
        <v>1</v>
      </c>
      <c r="BN1979">
        <v>1</v>
      </c>
      <c r="BO1979">
        <v>0</v>
      </c>
      <c r="BP1979">
        <v>0</v>
      </c>
      <c r="BS1979">
        <v>0</v>
      </c>
      <c r="BT1979">
        <v>0</v>
      </c>
      <c r="BU1979">
        <v>0</v>
      </c>
      <c r="CE1979" t="str">
        <f t="shared" si="783"/>
        <v>15:10:01.610</v>
      </c>
      <c r="CF1979">
        <v>609714188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4</v>
      </c>
      <c r="CY1979">
        <v>7</v>
      </c>
      <c r="CZ1979" t="s">
        <v>133</v>
      </c>
      <c r="DA1979">
        <v>275</v>
      </c>
      <c r="DB1979">
        <v>0</v>
      </c>
      <c r="DC1979" t="s">
        <v>134</v>
      </c>
      <c r="DD1979" t="s">
        <v>135</v>
      </c>
      <c r="DG1979">
        <v>3321163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"05/01/2025 15:10:01.842"</f>
        <v>05/01/2025 15:10:01.842</v>
      </c>
      <c r="C1980" t="str">
        <f t="shared" si="760"/>
        <v>FFDFD3C0</v>
      </c>
      <c r="D1980" t="s">
        <v>143</v>
      </c>
      <c r="E1980" t="str">
        <f>"05"</f>
        <v>05</v>
      </c>
      <c r="H1980">
        <v>172</v>
      </c>
      <c r="I1980" t="s">
        <v>141</v>
      </c>
      <c r="J1980" t="s">
        <v>144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R1980" t="s">
        <v>127</v>
      </c>
      <c r="S1980" t="str">
        <f t="shared" si="782"/>
        <v>15:10:01.000</v>
      </c>
      <c r="T1980" t="str">
        <f t="shared" si="782"/>
        <v>15:10:01.000</v>
      </c>
      <c r="U1980" t="str">
        <f t="shared" si="762"/>
        <v>A68FCB</v>
      </c>
      <c r="V1980">
        <v>0</v>
      </c>
      <c r="W1980">
        <v>0</v>
      </c>
      <c r="X1980">
        <v>2</v>
      </c>
      <c r="Y1980">
        <v>0</v>
      </c>
      <c r="AA1980">
        <v>1</v>
      </c>
      <c r="AB1980">
        <v>8</v>
      </c>
      <c r="AC1980">
        <v>3</v>
      </c>
      <c r="AD1980">
        <v>0</v>
      </c>
      <c r="AE1980">
        <v>9</v>
      </c>
      <c r="AF1980" t="s">
        <v>138</v>
      </c>
      <c r="AG1980">
        <v>0</v>
      </c>
      <c r="AH1980">
        <v>3</v>
      </c>
      <c r="AI1980">
        <v>2</v>
      </c>
      <c r="AJ1980">
        <v>0</v>
      </c>
      <c r="AK1980" t="s">
        <v>706</v>
      </c>
      <c r="AL1980">
        <v>39.047899000000001</v>
      </c>
      <c r="AM1980" t="s">
        <v>707</v>
      </c>
      <c r="AN1980">
        <v>-121.041698</v>
      </c>
      <c r="AO1980">
        <v>25</v>
      </c>
      <c r="AP1980">
        <v>4400</v>
      </c>
      <c r="AQ1980" t="s">
        <v>131</v>
      </c>
      <c r="AR1980">
        <v>6</v>
      </c>
      <c r="AS1980">
        <v>91</v>
      </c>
      <c r="AT1980">
        <v>256</v>
      </c>
      <c r="BB1980" t="str">
        <f t="shared" si="763"/>
        <v>1200</v>
      </c>
      <c r="BC1980">
        <v>1</v>
      </c>
      <c r="BD1980" t="str">
        <f t="shared" si="764"/>
        <v xml:space="preserve">N52156  </v>
      </c>
      <c r="BE1980">
        <v>1</v>
      </c>
      <c r="BG1980">
        <v>0</v>
      </c>
      <c r="BH1980">
        <v>0</v>
      </c>
      <c r="BI1980">
        <v>0</v>
      </c>
      <c r="BJ1980">
        <v>4425</v>
      </c>
      <c r="BK1980">
        <v>25</v>
      </c>
      <c r="BL1980" t="s">
        <v>188</v>
      </c>
      <c r="BM1980">
        <v>1</v>
      </c>
      <c r="BN1980">
        <v>1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 t="shared" si="783"/>
        <v>15:10:01.610</v>
      </c>
      <c r="CF1980">
        <v>609714188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4</v>
      </c>
      <c r="CY1980">
        <v>7</v>
      </c>
      <c r="CZ1980" t="s">
        <v>133</v>
      </c>
      <c r="DA1980">
        <v>275</v>
      </c>
      <c r="DB1980">
        <v>0</v>
      </c>
      <c r="DC1980" t="s">
        <v>134</v>
      </c>
      <c r="DD1980" t="s">
        <v>135</v>
      </c>
      <c r="DG1980">
        <v>3321163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"05/01/2025 15:10:01.870"</f>
        <v>05/01/2025 15:10:01.870</v>
      </c>
      <c r="C1981" t="str">
        <f t="shared" si="760"/>
        <v>FFDFD3C0</v>
      </c>
      <c r="D1981" t="s">
        <v>140</v>
      </c>
      <c r="E1981" t="str">
        <f>"13"</f>
        <v>13</v>
      </c>
      <c r="F1981">
        <v>1019</v>
      </c>
      <c r="G1981" t="s">
        <v>141</v>
      </c>
      <c r="J1981" t="s">
        <v>142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R1981" t="s">
        <v>127</v>
      </c>
      <c r="S1981" t="str">
        <f t="shared" si="782"/>
        <v>15:10:01.000</v>
      </c>
      <c r="T1981" t="str">
        <f t="shared" si="782"/>
        <v>15:10:01.000</v>
      </c>
      <c r="U1981" t="str">
        <f t="shared" si="762"/>
        <v>A68FCB</v>
      </c>
      <c r="V1981">
        <v>0</v>
      </c>
      <c r="W1981">
        <v>0</v>
      </c>
      <c r="X1981">
        <v>2</v>
      </c>
      <c r="Y1981">
        <v>0</v>
      </c>
      <c r="AA1981">
        <v>1</v>
      </c>
      <c r="AB1981">
        <v>8</v>
      </c>
      <c r="AC1981">
        <v>3</v>
      </c>
      <c r="AD1981">
        <v>0</v>
      </c>
      <c r="AE1981">
        <v>9</v>
      </c>
      <c r="AF1981" t="s">
        <v>138</v>
      </c>
      <c r="AG1981">
        <v>0</v>
      </c>
      <c r="AH1981">
        <v>3</v>
      </c>
      <c r="AI1981">
        <v>2</v>
      </c>
      <c r="AJ1981">
        <v>0</v>
      </c>
      <c r="AK1981" t="s">
        <v>706</v>
      </c>
      <c r="AL1981">
        <v>39.047899000000001</v>
      </c>
      <c r="AM1981" t="s">
        <v>707</v>
      </c>
      <c r="AN1981">
        <v>-121.041698</v>
      </c>
      <c r="AO1981">
        <v>25</v>
      </c>
      <c r="AP1981">
        <v>4400</v>
      </c>
      <c r="AQ1981" t="s">
        <v>131</v>
      </c>
      <c r="AR1981">
        <v>6</v>
      </c>
      <c r="AS1981">
        <v>91</v>
      </c>
      <c r="AT1981">
        <v>256</v>
      </c>
      <c r="BB1981" t="str">
        <f t="shared" si="763"/>
        <v>1200</v>
      </c>
      <c r="BC1981">
        <v>1</v>
      </c>
      <c r="BD1981" t="str">
        <f t="shared" si="764"/>
        <v xml:space="preserve">N52156  </v>
      </c>
      <c r="BE1981">
        <v>1</v>
      </c>
      <c r="BG1981">
        <v>0</v>
      </c>
      <c r="BH1981">
        <v>0</v>
      </c>
      <c r="BI1981">
        <v>0</v>
      </c>
      <c r="BJ1981">
        <v>4425</v>
      </c>
      <c r="BK1981">
        <v>25</v>
      </c>
      <c r="BL1981" t="s">
        <v>188</v>
      </c>
      <c r="BM1981">
        <v>1</v>
      </c>
      <c r="BN1981">
        <v>1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 t="shared" si="783"/>
        <v>15:10:01.610</v>
      </c>
      <c r="CF1981">
        <v>609714188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4</v>
      </c>
      <c r="CY1981">
        <v>7</v>
      </c>
      <c r="CZ1981" t="s">
        <v>133</v>
      </c>
      <c r="DA1981">
        <v>275</v>
      </c>
      <c r="DB1981">
        <v>0</v>
      </c>
      <c r="DC1981" t="s">
        <v>134</v>
      </c>
      <c r="DD1981" t="s">
        <v>135</v>
      </c>
      <c r="DG1981">
        <v>3321163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"05/01/2025 15:10:02.721"</f>
        <v>05/01/2025 15:10:02.721</v>
      </c>
      <c r="C1982" t="str">
        <f t="shared" si="760"/>
        <v>FFDFD3C0</v>
      </c>
      <c r="D1982" t="s">
        <v>140</v>
      </c>
      <c r="E1982" t="str">
        <f>"13"</f>
        <v>13</v>
      </c>
      <c r="F1982">
        <v>1019</v>
      </c>
      <c r="G1982" t="s">
        <v>141</v>
      </c>
      <c r="J1982" t="s">
        <v>142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R1982" t="s">
        <v>127</v>
      </c>
      <c r="S1982" t="str">
        <f t="shared" ref="S1982:T1987" si="784">"15:10:02.000"</f>
        <v>15:10:02.000</v>
      </c>
      <c r="T1982" t="str">
        <f t="shared" si="784"/>
        <v>15:10:02.000</v>
      </c>
      <c r="U1982" t="str">
        <f t="shared" si="762"/>
        <v>A68FCB</v>
      </c>
      <c r="V1982">
        <v>0</v>
      </c>
      <c r="W1982">
        <v>0</v>
      </c>
      <c r="X1982">
        <v>2</v>
      </c>
      <c r="Y1982">
        <v>0</v>
      </c>
      <c r="AA1982">
        <v>1</v>
      </c>
      <c r="AB1982">
        <v>8</v>
      </c>
      <c r="AC1982">
        <v>3</v>
      </c>
      <c r="AD1982">
        <v>0</v>
      </c>
      <c r="AE1982">
        <v>9</v>
      </c>
      <c r="AF1982" t="s">
        <v>138</v>
      </c>
      <c r="AG1982">
        <v>0</v>
      </c>
      <c r="AH1982">
        <v>3</v>
      </c>
      <c r="AI1982">
        <v>2</v>
      </c>
      <c r="AJ1982">
        <v>0</v>
      </c>
      <c r="AK1982" t="s">
        <v>708</v>
      </c>
      <c r="AL1982">
        <v>39.048327999999998</v>
      </c>
      <c r="AM1982" t="s">
        <v>709</v>
      </c>
      <c r="AN1982">
        <v>-121.041656</v>
      </c>
      <c r="AO1982">
        <v>25</v>
      </c>
      <c r="AP1982">
        <v>4400</v>
      </c>
      <c r="AQ1982" t="s">
        <v>131</v>
      </c>
      <c r="AR1982">
        <v>5</v>
      </c>
      <c r="AS1982">
        <v>91</v>
      </c>
      <c r="AT1982">
        <v>256</v>
      </c>
      <c r="BB1982" t="str">
        <f t="shared" si="763"/>
        <v>1200</v>
      </c>
      <c r="BC1982">
        <v>1</v>
      </c>
      <c r="BD1982" t="str">
        <f t="shared" si="764"/>
        <v xml:space="preserve">N52156  </v>
      </c>
      <c r="BE1982">
        <v>1</v>
      </c>
      <c r="BG1982">
        <v>0</v>
      </c>
      <c r="BH1982">
        <v>0</v>
      </c>
      <c r="BI1982">
        <v>0</v>
      </c>
      <c r="BJ1982">
        <v>4425</v>
      </c>
      <c r="BK1982">
        <v>25</v>
      </c>
      <c r="BL1982" t="s">
        <v>188</v>
      </c>
      <c r="BM1982">
        <v>1</v>
      </c>
      <c r="BN1982">
        <v>1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 t="shared" ref="CE1982:CE1987" si="785">"15:10:02.500"</f>
        <v>15:10:02.500</v>
      </c>
      <c r="CF1982">
        <v>499714017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4</v>
      </c>
      <c r="CY1982">
        <v>7</v>
      </c>
      <c r="CZ1982" t="s">
        <v>133</v>
      </c>
      <c r="DA1982">
        <v>275</v>
      </c>
      <c r="DB1982">
        <v>0</v>
      </c>
      <c r="DC1982" t="s">
        <v>134</v>
      </c>
      <c r="DD1982" t="s">
        <v>135</v>
      </c>
      <c r="DG1982">
        <v>3321168</v>
      </c>
      <c r="DI1982">
        <v>1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"05/01/2025 15:10:02.731"</f>
        <v>05/01/2025 15:10:02.731</v>
      </c>
      <c r="C1983" t="str">
        <f t="shared" si="760"/>
        <v>FFDFD3C0</v>
      </c>
      <c r="D1983" t="s">
        <v>145</v>
      </c>
      <c r="E1983" t="str">
        <f>"05"</f>
        <v>05</v>
      </c>
      <c r="H1983">
        <v>47</v>
      </c>
      <c r="I1983" t="s">
        <v>146</v>
      </c>
      <c r="J1983" t="s">
        <v>138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R1983" t="s">
        <v>127</v>
      </c>
      <c r="S1983" t="str">
        <f t="shared" si="784"/>
        <v>15:10:02.000</v>
      </c>
      <c r="T1983" t="str">
        <f t="shared" si="784"/>
        <v>15:10:02.000</v>
      </c>
      <c r="U1983" t="str">
        <f t="shared" si="762"/>
        <v>A68FCB</v>
      </c>
      <c r="V1983">
        <v>0</v>
      </c>
      <c r="W1983">
        <v>0</v>
      </c>
      <c r="X1983">
        <v>2</v>
      </c>
      <c r="Y1983">
        <v>0</v>
      </c>
      <c r="AA1983">
        <v>1</v>
      </c>
      <c r="AB1983">
        <v>8</v>
      </c>
      <c r="AC1983">
        <v>3</v>
      </c>
      <c r="AD1983">
        <v>0</v>
      </c>
      <c r="AE1983">
        <v>9</v>
      </c>
      <c r="AF1983" t="s">
        <v>138</v>
      </c>
      <c r="AG1983">
        <v>0</v>
      </c>
      <c r="AH1983">
        <v>3</v>
      </c>
      <c r="AI1983">
        <v>2</v>
      </c>
      <c r="AJ1983">
        <v>0</v>
      </c>
      <c r="AK1983" t="s">
        <v>708</v>
      </c>
      <c r="AL1983">
        <v>39.048327999999998</v>
      </c>
      <c r="AM1983" t="s">
        <v>709</v>
      </c>
      <c r="AN1983">
        <v>-121.041656</v>
      </c>
      <c r="AO1983">
        <v>25</v>
      </c>
      <c r="AP1983">
        <v>4400</v>
      </c>
      <c r="AQ1983" t="s">
        <v>131</v>
      </c>
      <c r="AR1983">
        <v>5</v>
      </c>
      <c r="AS1983">
        <v>91</v>
      </c>
      <c r="AT1983">
        <v>256</v>
      </c>
      <c r="BB1983" t="str">
        <f t="shared" si="763"/>
        <v>1200</v>
      </c>
      <c r="BC1983">
        <v>1</v>
      </c>
      <c r="BD1983" t="str">
        <f t="shared" si="764"/>
        <v xml:space="preserve">N52156  </v>
      </c>
      <c r="BE1983">
        <v>1</v>
      </c>
      <c r="BG1983">
        <v>0</v>
      </c>
      <c r="BH1983">
        <v>0</v>
      </c>
      <c r="BI1983">
        <v>0</v>
      </c>
      <c r="BJ1983">
        <v>4425</v>
      </c>
      <c r="BK1983">
        <v>25</v>
      </c>
      <c r="BL1983" t="s">
        <v>188</v>
      </c>
      <c r="BM1983">
        <v>1</v>
      </c>
      <c r="BN1983">
        <v>1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 t="shared" si="785"/>
        <v>15:10:02.500</v>
      </c>
      <c r="CF1983">
        <v>499714017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4</v>
      </c>
      <c r="CY1983">
        <v>7</v>
      </c>
      <c r="CZ1983" t="s">
        <v>133</v>
      </c>
      <c r="DA1983">
        <v>275</v>
      </c>
      <c r="DB1983">
        <v>0</v>
      </c>
      <c r="DC1983" t="s">
        <v>134</v>
      </c>
      <c r="DD1983" t="s">
        <v>135</v>
      </c>
      <c r="DG1983">
        <v>3321168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"05/01/2025 15:10:02.730"</f>
        <v>05/01/2025 15:10:02.730</v>
      </c>
      <c r="C1984" t="str">
        <f t="shared" si="760"/>
        <v>FFDFD3C0</v>
      </c>
      <c r="D1984" t="s">
        <v>124</v>
      </c>
      <c r="E1984" t="str">
        <f>"06"</f>
        <v>06</v>
      </c>
      <c r="F1984">
        <v>2006</v>
      </c>
      <c r="G1984" t="s">
        <v>125</v>
      </c>
      <c r="J1984" t="s">
        <v>126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R1984" t="s">
        <v>127</v>
      </c>
      <c r="S1984" t="str">
        <f t="shared" si="784"/>
        <v>15:10:02.000</v>
      </c>
      <c r="T1984" t="str">
        <f t="shared" si="784"/>
        <v>15:10:02.000</v>
      </c>
      <c r="U1984" t="str">
        <f t="shared" si="762"/>
        <v>A68FCB</v>
      </c>
      <c r="V1984">
        <v>0</v>
      </c>
      <c r="W1984">
        <v>0</v>
      </c>
      <c r="X1984">
        <v>2</v>
      </c>
      <c r="Y1984">
        <v>0</v>
      </c>
      <c r="AA1984">
        <v>1</v>
      </c>
      <c r="AB1984">
        <v>8</v>
      </c>
      <c r="AC1984">
        <v>3</v>
      </c>
      <c r="AD1984">
        <v>0</v>
      </c>
      <c r="AE1984">
        <v>9</v>
      </c>
      <c r="AF1984" t="s">
        <v>138</v>
      </c>
      <c r="AG1984">
        <v>0</v>
      </c>
      <c r="AH1984">
        <v>3</v>
      </c>
      <c r="AI1984">
        <v>2</v>
      </c>
      <c r="AJ1984">
        <v>0</v>
      </c>
      <c r="AK1984" t="s">
        <v>708</v>
      </c>
      <c r="AL1984">
        <v>39.048327999999998</v>
      </c>
      <c r="AM1984" t="s">
        <v>709</v>
      </c>
      <c r="AN1984">
        <v>-121.041656</v>
      </c>
      <c r="AO1984">
        <v>25</v>
      </c>
      <c r="AP1984">
        <v>4400</v>
      </c>
      <c r="AQ1984" t="s">
        <v>131</v>
      </c>
      <c r="AR1984">
        <v>5</v>
      </c>
      <c r="AS1984">
        <v>91</v>
      </c>
      <c r="AT1984">
        <v>256</v>
      </c>
      <c r="BB1984" t="str">
        <f t="shared" si="763"/>
        <v>1200</v>
      </c>
      <c r="BC1984">
        <v>1</v>
      </c>
      <c r="BD1984" t="str">
        <f t="shared" si="764"/>
        <v xml:space="preserve">N52156  </v>
      </c>
      <c r="BE1984">
        <v>1</v>
      </c>
      <c r="BG1984">
        <v>0</v>
      </c>
      <c r="BH1984">
        <v>0</v>
      </c>
      <c r="BI1984">
        <v>0</v>
      </c>
      <c r="BJ1984">
        <v>4425</v>
      </c>
      <c r="BK1984">
        <v>25</v>
      </c>
      <c r="BL1984" t="s">
        <v>188</v>
      </c>
      <c r="BM1984">
        <v>1</v>
      </c>
      <c r="BN1984">
        <v>1</v>
      </c>
      <c r="BO1984">
        <v>0</v>
      </c>
      <c r="BP1984">
        <v>0</v>
      </c>
      <c r="BS1984">
        <v>0</v>
      </c>
      <c r="BT1984">
        <v>0</v>
      </c>
      <c r="BU1984">
        <v>0</v>
      </c>
      <c r="CE1984" t="str">
        <f t="shared" si="785"/>
        <v>15:10:02.500</v>
      </c>
      <c r="CF1984">
        <v>499714017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4</v>
      </c>
      <c r="CY1984">
        <v>7</v>
      </c>
      <c r="CZ1984" t="s">
        <v>133</v>
      </c>
      <c r="DA1984">
        <v>275</v>
      </c>
      <c r="DB1984">
        <v>0</v>
      </c>
      <c r="DC1984" t="s">
        <v>134</v>
      </c>
      <c r="DD1984" t="s">
        <v>135</v>
      </c>
      <c r="DG1984">
        <v>3321168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"05/01/2025 15:10:02.734"</f>
        <v>05/01/2025 15:10:02.734</v>
      </c>
      <c r="C1985" t="str">
        <f t="shared" si="760"/>
        <v>FFDFD3C0</v>
      </c>
      <c r="D1985" t="s">
        <v>145</v>
      </c>
      <c r="E1985" t="str">
        <f>"09"</f>
        <v>09</v>
      </c>
      <c r="H1985">
        <v>51</v>
      </c>
      <c r="I1985" t="s">
        <v>147</v>
      </c>
      <c r="J1985" t="s">
        <v>138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R1985" t="s">
        <v>127</v>
      </c>
      <c r="S1985" t="str">
        <f t="shared" si="784"/>
        <v>15:10:02.000</v>
      </c>
      <c r="T1985" t="str">
        <f t="shared" si="784"/>
        <v>15:10:02.000</v>
      </c>
      <c r="U1985" t="str">
        <f t="shared" si="762"/>
        <v>A68FCB</v>
      </c>
      <c r="V1985">
        <v>0</v>
      </c>
      <c r="W1985">
        <v>0</v>
      </c>
      <c r="X1985">
        <v>2</v>
      </c>
      <c r="Y1985">
        <v>0</v>
      </c>
      <c r="AA1985">
        <v>1</v>
      </c>
      <c r="AB1985">
        <v>8</v>
      </c>
      <c r="AC1985">
        <v>3</v>
      </c>
      <c r="AD1985">
        <v>0</v>
      </c>
      <c r="AE1985">
        <v>9</v>
      </c>
      <c r="AF1985" t="s">
        <v>138</v>
      </c>
      <c r="AG1985">
        <v>0</v>
      </c>
      <c r="AH1985">
        <v>3</v>
      </c>
      <c r="AI1985">
        <v>2</v>
      </c>
      <c r="AJ1985">
        <v>0</v>
      </c>
      <c r="AK1985" t="s">
        <v>708</v>
      </c>
      <c r="AL1985">
        <v>39.048327999999998</v>
      </c>
      <c r="AM1985" t="s">
        <v>709</v>
      </c>
      <c r="AN1985">
        <v>-121.041656</v>
      </c>
      <c r="AO1985">
        <v>25</v>
      </c>
      <c r="AP1985">
        <v>4400</v>
      </c>
      <c r="AQ1985" t="s">
        <v>131</v>
      </c>
      <c r="AR1985">
        <v>5</v>
      </c>
      <c r="AS1985">
        <v>91</v>
      </c>
      <c r="AT1985">
        <v>256</v>
      </c>
      <c r="BB1985" t="str">
        <f t="shared" si="763"/>
        <v>1200</v>
      </c>
      <c r="BC1985">
        <v>1</v>
      </c>
      <c r="BD1985" t="str">
        <f t="shared" si="764"/>
        <v xml:space="preserve">N52156  </v>
      </c>
      <c r="BE1985">
        <v>1</v>
      </c>
      <c r="BG1985">
        <v>0</v>
      </c>
      <c r="BH1985">
        <v>0</v>
      </c>
      <c r="BI1985">
        <v>0</v>
      </c>
      <c r="BJ1985">
        <v>4425</v>
      </c>
      <c r="BK1985">
        <v>25</v>
      </c>
      <c r="BL1985" t="s">
        <v>188</v>
      </c>
      <c r="BM1985">
        <v>1</v>
      </c>
      <c r="BN1985">
        <v>1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 t="shared" si="785"/>
        <v>15:10:02.500</v>
      </c>
      <c r="CF1985">
        <v>499714017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4</v>
      </c>
      <c r="CY1985">
        <v>7</v>
      </c>
      <c r="CZ1985" t="s">
        <v>133</v>
      </c>
      <c r="DA1985">
        <v>275</v>
      </c>
      <c r="DB1985">
        <v>0</v>
      </c>
      <c r="DC1985" t="s">
        <v>134</v>
      </c>
      <c r="DD1985" t="s">
        <v>135</v>
      </c>
      <c r="DG1985">
        <v>3321168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"05/01/2025 15:10:02.743"</f>
        <v>05/01/2025 15:10:02.743</v>
      </c>
      <c r="C1986" t="str">
        <f t="shared" ref="C1986:C2049" si="786">"FFDFD3C0"</f>
        <v>FFDFD3C0</v>
      </c>
      <c r="D1986" t="s">
        <v>136</v>
      </c>
      <c r="E1986" t="str">
        <f>"20"</f>
        <v>20</v>
      </c>
      <c r="H1986">
        <v>400</v>
      </c>
      <c r="I1986" t="s">
        <v>137</v>
      </c>
      <c r="J1986" t="s">
        <v>138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R1986" t="s">
        <v>127</v>
      </c>
      <c r="S1986" t="str">
        <f t="shared" si="784"/>
        <v>15:10:02.000</v>
      </c>
      <c r="T1986" t="str">
        <f t="shared" si="784"/>
        <v>15:10:02.000</v>
      </c>
      <c r="U1986" t="str">
        <f t="shared" ref="U1986:U2049" si="787">"A68FCB"</f>
        <v>A68FCB</v>
      </c>
      <c r="V1986">
        <v>0</v>
      </c>
      <c r="W1986">
        <v>0</v>
      </c>
      <c r="X1986">
        <v>2</v>
      </c>
      <c r="Y1986">
        <v>0</v>
      </c>
      <c r="AA1986">
        <v>1</v>
      </c>
      <c r="AB1986">
        <v>8</v>
      </c>
      <c r="AC1986">
        <v>3</v>
      </c>
      <c r="AD1986">
        <v>0</v>
      </c>
      <c r="AE1986">
        <v>9</v>
      </c>
      <c r="AF1986" t="s">
        <v>138</v>
      </c>
      <c r="AG1986">
        <v>0</v>
      </c>
      <c r="AH1986">
        <v>3</v>
      </c>
      <c r="AI1986">
        <v>2</v>
      </c>
      <c r="AJ1986">
        <v>0</v>
      </c>
      <c r="AK1986" t="s">
        <v>708</v>
      </c>
      <c r="AL1986">
        <v>39.048327999999998</v>
      </c>
      <c r="AM1986" t="s">
        <v>709</v>
      </c>
      <c r="AN1986">
        <v>-121.041656</v>
      </c>
      <c r="AO1986">
        <v>25</v>
      </c>
      <c r="AP1986">
        <v>4400</v>
      </c>
      <c r="AQ1986" t="s">
        <v>131</v>
      </c>
      <c r="AR1986">
        <v>5</v>
      </c>
      <c r="AS1986">
        <v>91</v>
      </c>
      <c r="AT1986">
        <v>256</v>
      </c>
      <c r="BB1986" t="str">
        <f t="shared" ref="BB1986:BB2049" si="788">"1200"</f>
        <v>1200</v>
      </c>
      <c r="BC1986">
        <v>1</v>
      </c>
      <c r="BD1986" t="str">
        <f t="shared" ref="BD1986:BD2049" si="789">"N52156  "</f>
        <v xml:space="preserve">N52156  </v>
      </c>
      <c r="BE1986">
        <v>1</v>
      </c>
      <c r="BG1986">
        <v>0</v>
      </c>
      <c r="BH1986">
        <v>0</v>
      </c>
      <c r="BI1986">
        <v>0</v>
      </c>
      <c r="BJ1986">
        <v>4425</v>
      </c>
      <c r="BK1986">
        <v>25</v>
      </c>
      <c r="BL1986" t="s">
        <v>188</v>
      </c>
      <c r="BM1986">
        <v>1</v>
      </c>
      <c r="BN1986">
        <v>1</v>
      </c>
      <c r="BO1986">
        <v>0</v>
      </c>
      <c r="BP1986">
        <v>0</v>
      </c>
      <c r="BS1986">
        <v>0</v>
      </c>
      <c r="BT1986">
        <v>0</v>
      </c>
      <c r="BU1986">
        <v>0</v>
      </c>
      <c r="CE1986" t="str">
        <f t="shared" si="785"/>
        <v>15:10:02.500</v>
      </c>
      <c r="CF1986">
        <v>499714017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4</v>
      </c>
      <c r="CY1986">
        <v>7</v>
      </c>
      <c r="CZ1986" t="s">
        <v>133</v>
      </c>
      <c r="DA1986">
        <v>275</v>
      </c>
      <c r="DB1986">
        <v>0</v>
      </c>
      <c r="DC1986" t="s">
        <v>134</v>
      </c>
      <c r="DD1986" t="s">
        <v>135</v>
      </c>
      <c r="DG1986">
        <v>3321168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"05/01/2025 15:10:02.743"</f>
        <v>05/01/2025 15:10:02.743</v>
      </c>
      <c r="C1987" t="str">
        <f t="shared" si="786"/>
        <v>FFDFD3C0</v>
      </c>
      <c r="D1987" t="s">
        <v>143</v>
      </c>
      <c r="E1987" t="str">
        <f>"05"</f>
        <v>05</v>
      </c>
      <c r="H1987">
        <v>172</v>
      </c>
      <c r="I1987" t="s">
        <v>141</v>
      </c>
      <c r="J1987" t="s">
        <v>144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R1987" t="s">
        <v>127</v>
      </c>
      <c r="S1987" t="str">
        <f t="shared" si="784"/>
        <v>15:10:02.000</v>
      </c>
      <c r="T1987" t="str">
        <f t="shared" si="784"/>
        <v>15:10:02.000</v>
      </c>
      <c r="U1987" t="str">
        <f t="shared" si="787"/>
        <v>A68FCB</v>
      </c>
      <c r="V1987">
        <v>0</v>
      </c>
      <c r="W1987">
        <v>0</v>
      </c>
      <c r="X1987">
        <v>2</v>
      </c>
      <c r="Y1987">
        <v>0</v>
      </c>
      <c r="AA1987">
        <v>1</v>
      </c>
      <c r="AB1987">
        <v>8</v>
      </c>
      <c r="AC1987">
        <v>3</v>
      </c>
      <c r="AD1987">
        <v>0</v>
      </c>
      <c r="AE1987">
        <v>9</v>
      </c>
      <c r="AF1987" t="s">
        <v>138</v>
      </c>
      <c r="AG1987">
        <v>0</v>
      </c>
      <c r="AH1987">
        <v>3</v>
      </c>
      <c r="AI1987">
        <v>2</v>
      </c>
      <c r="AJ1987">
        <v>0</v>
      </c>
      <c r="AK1987" t="s">
        <v>708</v>
      </c>
      <c r="AL1987">
        <v>39.048327999999998</v>
      </c>
      <c r="AM1987" t="s">
        <v>709</v>
      </c>
      <c r="AN1987">
        <v>-121.041656</v>
      </c>
      <c r="AO1987">
        <v>25</v>
      </c>
      <c r="AP1987">
        <v>4400</v>
      </c>
      <c r="AQ1987" t="s">
        <v>131</v>
      </c>
      <c r="AR1987">
        <v>5</v>
      </c>
      <c r="AS1987">
        <v>91</v>
      </c>
      <c r="AT1987">
        <v>256</v>
      </c>
      <c r="BB1987" t="str">
        <f t="shared" si="788"/>
        <v>1200</v>
      </c>
      <c r="BC1987">
        <v>1</v>
      </c>
      <c r="BD1987" t="str">
        <f t="shared" si="789"/>
        <v xml:space="preserve">N52156  </v>
      </c>
      <c r="BE1987">
        <v>1</v>
      </c>
      <c r="BG1987">
        <v>0</v>
      </c>
      <c r="BH1987">
        <v>0</v>
      </c>
      <c r="BI1987">
        <v>0</v>
      </c>
      <c r="BJ1987">
        <v>4425</v>
      </c>
      <c r="BK1987">
        <v>25</v>
      </c>
      <c r="BL1987" t="s">
        <v>188</v>
      </c>
      <c r="BM1987">
        <v>1</v>
      </c>
      <c r="BN1987">
        <v>1</v>
      </c>
      <c r="BO1987">
        <v>0</v>
      </c>
      <c r="BP1987">
        <v>0</v>
      </c>
      <c r="BS1987">
        <v>0</v>
      </c>
      <c r="BT1987">
        <v>0</v>
      </c>
      <c r="BU1987">
        <v>0</v>
      </c>
      <c r="CE1987" t="str">
        <f t="shared" si="785"/>
        <v>15:10:02.500</v>
      </c>
      <c r="CF1987">
        <v>499714017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4</v>
      </c>
      <c r="CY1987">
        <v>7</v>
      </c>
      <c r="CZ1987" t="s">
        <v>133</v>
      </c>
      <c r="DA1987">
        <v>275</v>
      </c>
      <c r="DB1987">
        <v>0</v>
      </c>
      <c r="DC1987" t="s">
        <v>134</v>
      </c>
      <c r="DD1987" t="s">
        <v>135</v>
      </c>
      <c r="DG1987">
        <v>3321168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"05/01/2025 15:10:04.173"</f>
        <v>05/01/2025 15:10:04.173</v>
      </c>
      <c r="C1988" t="str">
        <f t="shared" si="786"/>
        <v>FFDFD3C0</v>
      </c>
      <c r="D1988" t="s">
        <v>140</v>
      </c>
      <c r="E1988" t="str">
        <f>"13"</f>
        <v>13</v>
      </c>
      <c r="F1988">
        <v>1019</v>
      </c>
      <c r="G1988" t="s">
        <v>141</v>
      </c>
      <c r="J1988" t="s">
        <v>142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R1988" t="s">
        <v>127</v>
      </c>
      <c r="S1988" t="str">
        <f t="shared" ref="S1988:T1993" si="790">"15:10:03.000"</f>
        <v>15:10:03.000</v>
      </c>
      <c r="T1988" t="str">
        <f t="shared" si="790"/>
        <v>15:10:03.000</v>
      </c>
      <c r="U1988" t="str">
        <f t="shared" si="787"/>
        <v>A68FCB</v>
      </c>
      <c r="V1988">
        <v>0</v>
      </c>
      <c r="W1988">
        <v>0</v>
      </c>
      <c r="X1988">
        <v>2</v>
      </c>
      <c r="Y1988">
        <v>0</v>
      </c>
      <c r="AA1988">
        <v>1</v>
      </c>
      <c r="AB1988">
        <v>8</v>
      </c>
      <c r="AC1988">
        <v>3</v>
      </c>
      <c r="AD1988">
        <v>0</v>
      </c>
      <c r="AE1988">
        <v>9</v>
      </c>
      <c r="AF1988" t="s">
        <v>138</v>
      </c>
      <c r="AG1988">
        <v>0</v>
      </c>
      <c r="AH1988">
        <v>3</v>
      </c>
      <c r="AI1988">
        <v>2</v>
      </c>
      <c r="AJ1988">
        <v>0</v>
      </c>
      <c r="AK1988" t="s">
        <v>710</v>
      </c>
      <c r="AL1988">
        <v>39.048735999999998</v>
      </c>
      <c r="AM1988" t="s">
        <v>711</v>
      </c>
      <c r="AN1988">
        <v>-121.041613</v>
      </c>
      <c r="AO1988">
        <v>25</v>
      </c>
      <c r="AP1988">
        <v>4400</v>
      </c>
      <c r="AQ1988" t="s">
        <v>131</v>
      </c>
      <c r="AR1988">
        <v>4</v>
      </c>
      <c r="AS1988">
        <v>91</v>
      </c>
      <c r="AT1988">
        <v>320</v>
      </c>
      <c r="BB1988" t="str">
        <f t="shared" si="788"/>
        <v>1200</v>
      </c>
      <c r="BC1988">
        <v>1</v>
      </c>
      <c r="BD1988" t="str">
        <f t="shared" si="789"/>
        <v xml:space="preserve">N52156  </v>
      </c>
      <c r="BE1988">
        <v>1</v>
      </c>
      <c r="BG1988">
        <v>0</v>
      </c>
      <c r="BH1988">
        <v>0</v>
      </c>
      <c r="BI1988">
        <v>0</v>
      </c>
      <c r="BJ1988">
        <v>4425</v>
      </c>
      <c r="BK1988">
        <v>25</v>
      </c>
      <c r="BL1988" t="s">
        <v>188</v>
      </c>
      <c r="BM1988">
        <v>1</v>
      </c>
      <c r="BN1988">
        <v>1</v>
      </c>
      <c r="BO1988">
        <v>0</v>
      </c>
      <c r="BP1988">
        <v>0</v>
      </c>
      <c r="BS1988">
        <v>0</v>
      </c>
      <c r="BT1988">
        <v>0</v>
      </c>
      <c r="BU1988">
        <v>0</v>
      </c>
      <c r="CE1988" t="str">
        <f t="shared" ref="CE1988:CE1993" si="791">"15:10:03.935"</f>
        <v>15:10:03.935</v>
      </c>
      <c r="CF1988">
        <v>934715165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4</v>
      </c>
      <c r="CY1988">
        <v>7</v>
      </c>
      <c r="CZ1988" t="s">
        <v>133</v>
      </c>
      <c r="DA1988">
        <v>275</v>
      </c>
      <c r="DB1988">
        <v>0</v>
      </c>
      <c r="DC1988" t="s">
        <v>134</v>
      </c>
      <c r="DD1988" t="s">
        <v>135</v>
      </c>
      <c r="DG1988">
        <v>3321182</v>
      </c>
      <c r="DI1988">
        <v>1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"05/01/2025 15:10:04.183"</f>
        <v>05/01/2025 15:10:04.183</v>
      </c>
      <c r="C1989" t="str">
        <f t="shared" si="786"/>
        <v>FFDFD3C0</v>
      </c>
      <c r="D1989" t="s">
        <v>124</v>
      </c>
      <c r="E1989" t="str">
        <f>"06"</f>
        <v>06</v>
      </c>
      <c r="F1989">
        <v>2006</v>
      </c>
      <c r="G1989" t="s">
        <v>125</v>
      </c>
      <c r="J1989" t="s">
        <v>126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R1989" t="s">
        <v>127</v>
      </c>
      <c r="S1989" t="str">
        <f t="shared" si="790"/>
        <v>15:10:03.000</v>
      </c>
      <c r="T1989" t="str">
        <f t="shared" si="790"/>
        <v>15:10:03.000</v>
      </c>
      <c r="U1989" t="str">
        <f t="shared" si="787"/>
        <v>A68FCB</v>
      </c>
      <c r="V1989">
        <v>0</v>
      </c>
      <c r="W1989">
        <v>0</v>
      </c>
      <c r="X1989">
        <v>2</v>
      </c>
      <c r="Y1989">
        <v>0</v>
      </c>
      <c r="AA1989">
        <v>1</v>
      </c>
      <c r="AB1989">
        <v>8</v>
      </c>
      <c r="AC1989">
        <v>3</v>
      </c>
      <c r="AD1989">
        <v>0</v>
      </c>
      <c r="AE1989">
        <v>9</v>
      </c>
      <c r="AF1989" t="s">
        <v>138</v>
      </c>
      <c r="AG1989">
        <v>0</v>
      </c>
      <c r="AH1989">
        <v>3</v>
      </c>
      <c r="AI1989">
        <v>2</v>
      </c>
      <c r="AJ1989">
        <v>0</v>
      </c>
      <c r="AK1989" t="s">
        <v>710</v>
      </c>
      <c r="AL1989">
        <v>39.048735999999998</v>
      </c>
      <c r="AM1989" t="s">
        <v>711</v>
      </c>
      <c r="AN1989">
        <v>-121.041613</v>
      </c>
      <c r="AO1989">
        <v>25</v>
      </c>
      <c r="AP1989">
        <v>4400</v>
      </c>
      <c r="AQ1989" t="s">
        <v>131</v>
      </c>
      <c r="AR1989">
        <v>4</v>
      </c>
      <c r="AS1989">
        <v>91</v>
      </c>
      <c r="AT1989">
        <v>320</v>
      </c>
      <c r="BB1989" t="str">
        <f t="shared" si="788"/>
        <v>1200</v>
      </c>
      <c r="BC1989">
        <v>1</v>
      </c>
      <c r="BD1989" t="str">
        <f t="shared" si="789"/>
        <v xml:space="preserve">N52156  </v>
      </c>
      <c r="BE1989">
        <v>1</v>
      </c>
      <c r="BG1989">
        <v>0</v>
      </c>
      <c r="BH1989">
        <v>0</v>
      </c>
      <c r="BI1989">
        <v>0</v>
      </c>
      <c r="BJ1989">
        <v>4425</v>
      </c>
      <c r="BK1989">
        <v>25</v>
      </c>
      <c r="BL1989" t="s">
        <v>188</v>
      </c>
      <c r="BM1989">
        <v>1</v>
      </c>
      <c r="BN1989">
        <v>1</v>
      </c>
      <c r="BO1989">
        <v>0</v>
      </c>
      <c r="BP1989">
        <v>0</v>
      </c>
      <c r="BS1989">
        <v>0</v>
      </c>
      <c r="BT1989">
        <v>0</v>
      </c>
      <c r="BU1989">
        <v>0</v>
      </c>
      <c r="CE1989" t="str">
        <f t="shared" si="791"/>
        <v>15:10:03.935</v>
      </c>
      <c r="CF1989">
        <v>934715165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4</v>
      </c>
      <c r="CY1989">
        <v>7</v>
      </c>
      <c r="CZ1989" t="s">
        <v>133</v>
      </c>
      <c r="DA1989">
        <v>275</v>
      </c>
      <c r="DB1989">
        <v>0</v>
      </c>
      <c r="DC1989" t="s">
        <v>134</v>
      </c>
      <c r="DD1989" t="s">
        <v>135</v>
      </c>
      <c r="DG1989">
        <v>3321182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"05/01/2025 15:10:04.183"</f>
        <v>05/01/2025 15:10:04.183</v>
      </c>
      <c r="C1990" t="str">
        <f t="shared" si="786"/>
        <v>FFDFD3C0</v>
      </c>
      <c r="D1990" t="s">
        <v>145</v>
      </c>
      <c r="E1990" t="str">
        <f>"05"</f>
        <v>05</v>
      </c>
      <c r="H1990">
        <v>47</v>
      </c>
      <c r="I1990" t="s">
        <v>146</v>
      </c>
      <c r="J1990" t="s">
        <v>138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R1990" t="s">
        <v>127</v>
      </c>
      <c r="S1990" t="str">
        <f t="shared" si="790"/>
        <v>15:10:03.000</v>
      </c>
      <c r="T1990" t="str">
        <f t="shared" si="790"/>
        <v>15:10:03.000</v>
      </c>
      <c r="U1990" t="str">
        <f t="shared" si="787"/>
        <v>A68FCB</v>
      </c>
      <c r="V1990">
        <v>0</v>
      </c>
      <c r="W1990">
        <v>0</v>
      </c>
      <c r="X1990">
        <v>2</v>
      </c>
      <c r="Y1990">
        <v>0</v>
      </c>
      <c r="AA1990">
        <v>1</v>
      </c>
      <c r="AB1990">
        <v>8</v>
      </c>
      <c r="AC1990">
        <v>3</v>
      </c>
      <c r="AD1990">
        <v>0</v>
      </c>
      <c r="AE1990">
        <v>9</v>
      </c>
      <c r="AF1990" t="s">
        <v>138</v>
      </c>
      <c r="AG1990">
        <v>0</v>
      </c>
      <c r="AH1990">
        <v>3</v>
      </c>
      <c r="AI1990">
        <v>2</v>
      </c>
      <c r="AJ1990">
        <v>0</v>
      </c>
      <c r="AK1990" t="s">
        <v>710</v>
      </c>
      <c r="AL1990">
        <v>39.048735999999998</v>
      </c>
      <c r="AM1990" t="s">
        <v>711</v>
      </c>
      <c r="AN1990">
        <v>-121.041613</v>
      </c>
      <c r="AO1990">
        <v>25</v>
      </c>
      <c r="AP1990">
        <v>4400</v>
      </c>
      <c r="AQ1990" t="s">
        <v>131</v>
      </c>
      <c r="AR1990">
        <v>4</v>
      </c>
      <c r="AS1990">
        <v>91</v>
      </c>
      <c r="AT1990">
        <v>320</v>
      </c>
      <c r="BB1990" t="str">
        <f t="shared" si="788"/>
        <v>1200</v>
      </c>
      <c r="BC1990">
        <v>1</v>
      </c>
      <c r="BD1990" t="str">
        <f t="shared" si="789"/>
        <v xml:space="preserve">N52156  </v>
      </c>
      <c r="BE1990">
        <v>1</v>
      </c>
      <c r="BG1990">
        <v>0</v>
      </c>
      <c r="BH1990">
        <v>0</v>
      </c>
      <c r="BI1990">
        <v>0</v>
      </c>
      <c r="BJ1990">
        <v>4425</v>
      </c>
      <c r="BK1990">
        <v>25</v>
      </c>
      <c r="BL1990" t="s">
        <v>188</v>
      </c>
      <c r="BM1990">
        <v>1</v>
      </c>
      <c r="BN1990">
        <v>1</v>
      </c>
      <c r="BO1990">
        <v>0</v>
      </c>
      <c r="BP1990">
        <v>0</v>
      </c>
      <c r="BS1990">
        <v>0</v>
      </c>
      <c r="BT1990">
        <v>0</v>
      </c>
      <c r="BU1990">
        <v>0</v>
      </c>
      <c r="CE1990" t="str">
        <f t="shared" si="791"/>
        <v>15:10:03.935</v>
      </c>
      <c r="CF1990">
        <v>934715165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4</v>
      </c>
      <c r="CY1990">
        <v>7</v>
      </c>
      <c r="CZ1990" t="s">
        <v>133</v>
      </c>
      <c r="DA1990">
        <v>275</v>
      </c>
      <c r="DB1990">
        <v>0</v>
      </c>
      <c r="DC1990" t="s">
        <v>134</v>
      </c>
      <c r="DD1990" t="s">
        <v>135</v>
      </c>
      <c r="DG1990">
        <v>3321182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"05/01/2025 15:10:04.187"</f>
        <v>05/01/2025 15:10:04.187</v>
      </c>
      <c r="C1991" t="str">
        <f t="shared" si="786"/>
        <v>FFDFD3C0</v>
      </c>
      <c r="D1991" t="s">
        <v>145</v>
      </c>
      <c r="E1991" t="str">
        <f>"09"</f>
        <v>09</v>
      </c>
      <c r="H1991">
        <v>51</v>
      </c>
      <c r="I1991" t="s">
        <v>147</v>
      </c>
      <c r="J1991" t="s">
        <v>138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R1991" t="s">
        <v>127</v>
      </c>
      <c r="S1991" t="str">
        <f t="shared" si="790"/>
        <v>15:10:03.000</v>
      </c>
      <c r="T1991" t="str">
        <f t="shared" si="790"/>
        <v>15:10:03.000</v>
      </c>
      <c r="U1991" t="str">
        <f t="shared" si="787"/>
        <v>A68FCB</v>
      </c>
      <c r="V1991">
        <v>0</v>
      </c>
      <c r="W1991">
        <v>0</v>
      </c>
      <c r="X1991">
        <v>2</v>
      </c>
      <c r="Y1991">
        <v>0</v>
      </c>
      <c r="AA1991">
        <v>1</v>
      </c>
      <c r="AB1991">
        <v>8</v>
      </c>
      <c r="AC1991">
        <v>3</v>
      </c>
      <c r="AD1991">
        <v>0</v>
      </c>
      <c r="AE1991">
        <v>9</v>
      </c>
      <c r="AF1991" t="s">
        <v>138</v>
      </c>
      <c r="AG1991">
        <v>0</v>
      </c>
      <c r="AH1991">
        <v>3</v>
      </c>
      <c r="AI1991">
        <v>2</v>
      </c>
      <c r="AJ1991">
        <v>0</v>
      </c>
      <c r="AK1991" t="s">
        <v>710</v>
      </c>
      <c r="AL1991">
        <v>39.048735999999998</v>
      </c>
      <c r="AM1991" t="s">
        <v>711</v>
      </c>
      <c r="AN1991">
        <v>-121.041613</v>
      </c>
      <c r="AO1991">
        <v>25</v>
      </c>
      <c r="AP1991">
        <v>4400</v>
      </c>
      <c r="AQ1991" t="s">
        <v>131</v>
      </c>
      <c r="AR1991">
        <v>4</v>
      </c>
      <c r="AS1991">
        <v>91</v>
      </c>
      <c r="AT1991">
        <v>320</v>
      </c>
      <c r="BB1991" t="str">
        <f t="shared" si="788"/>
        <v>1200</v>
      </c>
      <c r="BC1991">
        <v>1</v>
      </c>
      <c r="BD1991" t="str">
        <f t="shared" si="789"/>
        <v xml:space="preserve">N52156  </v>
      </c>
      <c r="BE1991">
        <v>1</v>
      </c>
      <c r="BG1991">
        <v>0</v>
      </c>
      <c r="BH1991">
        <v>0</v>
      </c>
      <c r="BI1991">
        <v>0</v>
      </c>
      <c r="BJ1991">
        <v>4425</v>
      </c>
      <c r="BK1991">
        <v>25</v>
      </c>
      <c r="BL1991" t="s">
        <v>188</v>
      </c>
      <c r="BM1991">
        <v>1</v>
      </c>
      <c r="BN1991">
        <v>1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 t="shared" si="791"/>
        <v>15:10:03.935</v>
      </c>
      <c r="CF1991">
        <v>934715165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4</v>
      </c>
      <c r="CY1991">
        <v>7</v>
      </c>
      <c r="CZ1991" t="s">
        <v>133</v>
      </c>
      <c r="DA1991">
        <v>275</v>
      </c>
      <c r="DB1991">
        <v>0</v>
      </c>
      <c r="DC1991" t="s">
        <v>134</v>
      </c>
      <c r="DD1991" t="s">
        <v>135</v>
      </c>
      <c r="DG1991">
        <v>3321182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"05/01/2025 15:10:04.195"</f>
        <v>05/01/2025 15:10:04.195</v>
      </c>
      <c r="C1992" t="str">
        <f t="shared" si="786"/>
        <v>FFDFD3C0</v>
      </c>
      <c r="D1992" t="s">
        <v>136</v>
      </c>
      <c r="E1992" t="str">
        <f>"20"</f>
        <v>20</v>
      </c>
      <c r="H1992">
        <v>400</v>
      </c>
      <c r="I1992" t="s">
        <v>137</v>
      </c>
      <c r="J1992" t="s">
        <v>138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R1992" t="s">
        <v>127</v>
      </c>
      <c r="S1992" t="str">
        <f t="shared" si="790"/>
        <v>15:10:03.000</v>
      </c>
      <c r="T1992" t="str">
        <f t="shared" si="790"/>
        <v>15:10:03.000</v>
      </c>
      <c r="U1992" t="str">
        <f t="shared" si="787"/>
        <v>A68FCB</v>
      </c>
      <c r="V1992">
        <v>0</v>
      </c>
      <c r="W1992">
        <v>0</v>
      </c>
      <c r="X1992">
        <v>2</v>
      </c>
      <c r="Y1992">
        <v>0</v>
      </c>
      <c r="AA1992">
        <v>1</v>
      </c>
      <c r="AB1992">
        <v>8</v>
      </c>
      <c r="AC1992">
        <v>3</v>
      </c>
      <c r="AD1992">
        <v>0</v>
      </c>
      <c r="AE1992">
        <v>9</v>
      </c>
      <c r="AF1992" t="s">
        <v>138</v>
      </c>
      <c r="AG1992">
        <v>0</v>
      </c>
      <c r="AH1992">
        <v>3</v>
      </c>
      <c r="AI1992">
        <v>2</v>
      </c>
      <c r="AJ1992">
        <v>0</v>
      </c>
      <c r="AK1992" t="s">
        <v>710</v>
      </c>
      <c r="AL1992">
        <v>39.048735999999998</v>
      </c>
      <c r="AM1992" t="s">
        <v>711</v>
      </c>
      <c r="AN1992">
        <v>-121.041613</v>
      </c>
      <c r="AO1992">
        <v>25</v>
      </c>
      <c r="AP1992">
        <v>4400</v>
      </c>
      <c r="AQ1992" t="s">
        <v>131</v>
      </c>
      <c r="AR1992">
        <v>4</v>
      </c>
      <c r="AS1992">
        <v>91</v>
      </c>
      <c r="AT1992">
        <v>320</v>
      </c>
      <c r="BB1992" t="str">
        <f t="shared" si="788"/>
        <v>1200</v>
      </c>
      <c r="BC1992">
        <v>1</v>
      </c>
      <c r="BD1992" t="str">
        <f t="shared" si="789"/>
        <v xml:space="preserve">N52156  </v>
      </c>
      <c r="BE1992">
        <v>1</v>
      </c>
      <c r="BG1992">
        <v>0</v>
      </c>
      <c r="BH1992">
        <v>0</v>
      </c>
      <c r="BI1992">
        <v>0</v>
      </c>
      <c r="BJ1992">
        <v>4425</v>
      </c>
      <c r="BK1992">
        <v>25</v>
      </c>
      <c r="BL1992" t="s">
        <v>188</v>
      </c>
      <c r="BM1992">
        <v>1</v>
      </c>
      <c r="BN1992">
        <v>1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 t="shared" si="791"/>
        <v>15:10:03.935</v>
      </c>
      <c r="CF1992">
        <v>934715165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4</v>
      </c>
      <c r="CY1992">
        <v>7</v>
      </c>
      <c r="CZ1992" t="s">
        <v>133</v>
      </c>
      <c r="DA1992">
        <v>275</v>
      </c>
      <c r="DB1992">
        <v>0</v>
      </c>
      <c r="DC1992" t="s">
        <v>134</v>
      </c>
      <c r="DD1992" t="s">
        <v>135</v>
      </c>
      <c r="DG1992">
        <v>3321182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"05/01/2025 15:10:04.195"</f>
        <v>05/01/2025 15:10:04.195</v>
      </c>
      <c r="C1993" t="str">
        <f t="shared" si="786"/>
        <v>FFDFD3C0</v>
      </c>
      <c r="D1993" t="s">
        <v>143</v>
      </c>
      <c r="E1993" t="str">
        <f>"05"</f>
        <v>05</v>
      </c>
      <c r="H1993">
        <v>172</v>
      </c>
      <c r="I1993" t="s">
        <v>141</v>
      </c>
      <c r="J1993" t="s">
        <v>144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R1993" t="s">
        <v>127</v>
      </c>
      <c r="S1993" t="str">
        <f t="shared" si="790"/>
        <v>15:10:03.000</v>
      </c>
      <c r="T1993" t="str">
        <f t="shared" si="790"/>
        <v>15:10:03.000</v>
      </c>
      <c r="U1993" t="str">
        <f t="shared" si="787"/>
        <v>A68FCB</v>
      </c>
      <c r="V1993">
        <v>0</v>
      </c>
      <c r="W1993">
        <v>0</v>
      </c>
      <c r="X1993">
        <v>2</v>
      </c>
      <c r="Y1993">
        <v>0</v>
      </c>
      <c r="AA1993">
        <v>1</v>
      </c>
      <c r="AB1993">
        <v>8</v>
      </c>
      <c r="AC1993">
        <v>3</v>
      </c>
      <c r="AD1993">
        <v>0</v>
      </c>
      <c r="AE1993">
        <v>9</v>
      </c>
      <c r="AF1993" t="s">
        <v>138</v>
      </c>
      <c r="AG1993">
        <v>0</v>
      </c>
      <c r="AH1993">
        <v>3</v>
      </c>
      <c r="AI1993">
        <v>2</v>
      </c>
      <c r="AJ1993">
        <v>0</v>
      </c>
      <c r="AK1993" t="s">
        <v>710</v>
      </c>
      <c r="AL1993">
        <v>39.048735999999998</v>
      </c>
      <c r="AM1993" t="s">
        <v>711</v>
      </c>
      <c r="AN1993">
        <v>-121.041613</v>
      </c>
      <c r="AO1993">
        <v>25</v>
      </c>
      <c r="AP1993">
        <v>4400</v>
      </c>
      <c r="AQ1993" t="s">
        <v>131</v>
      </c>
      <c r="AR1993">
        <v>4</v>
      </c>
      <c r="AS1993">
        <v>91</v>
      </c>
      <c r="AT1993">
        <v>320</v>
      </c>
      <c r="BB1993" t="str">
        <f t="shared" si="788"/>
        <v>1200</v>
      </c>
      <c r="BC1993">
        <v>1</v>
      </c>
      <c r="BD1993" t="str">
        <f t="shared" si="789"/>
        <v xml:space="preserve">N52156  </v>
      </c>
      <c r="BE1993">
        <v>1</v>
      </c>
      <c r="BG1993">
        <v>0</v>
      </c>
      <c r="BH1993">
        <v>0</v>
      </c>
      <c r="BI1993">
        <v>0</v>
      </c>
      <c r="BJ1993">
        <v>4425</v>
      </c>
      <c r="BK1993">
        <v>25</v>
      </c>
      <c r="BL1993" t="s">
        <v>188</v>
      </c>
      <c r="BM1993">
        <v>1</v>
      </c>
      <c r="BN1993">
        <v>1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 t="shared" si="791"/>
        <v>15:10:03.935</v>
      </c>
      <c r="CF1993">
        <v>934715165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4</v>
      </c>
      <c r="CY1993">
        <v>7</v>
      </c>
      <c r="CZ1993" t="s">
        <v>133</v>
      </c>
      <c r="DA1993">
        <v>275</v>
      </c>
      <c r="DB1993">
        <v>0</v>
      </c>
      <c r="DC1993" t="s">
        <v>134</v>
      </c>
      <c r="DD1993" t="s">
        <v>135</v>
      </c>
      <c r="DG1993">
        <v>3321182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"05/01/2025 15:10:05.035"</f>
        <v>05/01/2025 15:10:05.035</v>
      </c>
      <c r="C1994" t="str">
        <f t="shared" si="786"/>
        <v>FFDFD3C0</v>
      </c>
      <c r="D1994" t="s">
        <v>145</v>
      </c>
      <c r="E1994" t="str">
        <f>"05"</f>
        <v>05</v>
      </c>
      <c r="H1994">
        <v>47</v>
      </c>
      <c r="I1994" t="s">
        <v>146</v>
      </c>
      <c r="J1994" t="s">
        <v>138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R1994" t="s">
        <v>127</v>
      </c>
      <c r="S1994" t="str">
        <f t="shared" ref="S1994:T1999" si="792">"15:10:04.000"</f>
        <v>15:10:04.000</v>
      </c>
      <c r="T1994" t="str">
        <f t="shared" si="792"/>
        <v>15:10:04.000</v>
      </c>
      <c r="U1994" t="str">
        <f t="shared" si="787"/>
        <v>A68FCB</v>
      </c>
      <c r="V1994">
        <v>0</v>
      </c>
      <c r="W1994">
        <v>0</v>
      </c>
      <c r="X1994">
        <v>2</v>
      </c>
      <c r="Y1994">
        <v>0</v>
      </c>
      <c r="AA1994">
        <v>1</v>
      </c>
      <c r="AB1994">
        <v>8</v>
      </c>
      <c r="AC1994">
        <v>3</v>
      </c>
      <c r="AD1994">
        <v>0</v>
      </c>
      <c r="AE1994">
        <v>9</v>
      </c>
      <c r="AF1994" t="s">
        <v>138</v>
      </c>
      <c r="AG1994">
        <v>0</v>
      </c>
      <c r="AH1994">
        <v>3</v>
      </c>
      <c r="AI1994">
        <v>2</v>
      </c>
      <c r="AJ1994">
        <v>0</v>
      </c>
      <c r="AK1994" t="s">
        <v>712</v>
      </c>
      <c r="AL1994">
        <v>39.049187000000003</v>
      </c>
      <c r="AM1994" t="s">
        <v>713</v>
      </c>
      <c r="AN1994">
        <v>-121.041591</v>
      </c>
      <c r="AO1994">
        <v>25</v>
      </c>
      <c r="AP1994">
        <v>4400</v>
      </c>
      <c r="AQ1994" t="s">
        <v>131</v>
      </c>
      <c r="AR1994">
        <v>3</v>
      </c>
      <c r="AS1994">
        <v>90</v>
      </c>
      <c r="AT1994">
        <v>384</v>
      </c>
      <c r="BB1994" t="str">
        <f t="shared" si="788"/>
        <v>1200</v>
      </c>
      <c r="BC1994">
        <v>1</v>
      </c>
      <c r="BD1994" t="str">
        <f t="shared" si="789"/>
        <v xml:space="preserve">N52156  </v>
      </c>
      <c r="BE1994">
        <v>1</v>
      </c>
      <c r="BG1994">
        <v>0</v>
      </c>
      <c r="BH1994">
        <v>0</v>
      </c>
      <c r="BI1994">
        <v>0</v>
      </c>
      <c r="BJ1994">
        <v>4425</v>
      </c>
      <c r="BK1994">
        <v>25</v>
      </c>
      <c r="BL1994" t="s">
        <v>188</v>
      </c>
      <c r="BM1994">
        <v>1</v>
      </c>
      <c r="BN1994">
        <v>1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 t="shared" ref="CE1994:CE1999" si="793">"15:10:04.834"</f>
        <v>15:10:04.834</v>
      </c>
      <c r="CF1994">
        <v>834464971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4</v>
      </c>
      <c r="CY1994">
        <v>7</v>
      </c>
      <c r="CZ1994" t="s">
        <v>133</v>
      </c>
      <c r="DA1994">
        <v>275</v>
      </c>
      <c r="DB1994">
        <v>0</v>
      </c>
      <c r="DC1994" t="s">
        <v>134</v>
      </c>
      <c r="DD1994" t="s">
        <v>135</v>
      </c>
      <c r="DG1994">
        <v>3321189</v>
      </c>
      <c r="DI1994">
        <v>1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"05/01/2025 15:10:05.035"</f>
        <v>05/01/2025 15:10:05.035</v>
      </c>
      <c r="C1995" t="str">
        <f t="shared" si="786"/>
        <v>FFDFD3C0</v>
      </c>
      <c r="D1995" t="s">
        <v>124</v>
      </c>
      <c r="E1995" t="str">
        <f>"06"</f>
        <v>06</v>
      </c>
      <c r="F1995">
        <v>2006</v>
      </c>
      <c r="G1995" t="s">
        <v>125</v>
      </c>
      <c r="J1995" t="s">
        <v>126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R1995" t="s">
        <v>127</v>
      </c>
      <c r="S1995" t="str">
        <f t="shared" si="792"/>
        <v>15:10:04.000</v>
      </c>
      <c r="T1995" t="str">
        <f t="shared" si="792"/>
        <v>15:10:04.000</v>
      </c>
      <c r="U1995" t="str">
        <f t="shared" si="787"/>
        <v>A68FCB</v>
      </c>
      <c r="V1995">
        <v>0</v>
      </c>
      <c r="W1995">
        <v>0</v>
      </c>
      <c r="X1995">
        <v>2</v>
      </c>
      <c r="Y1995">
        <v>0</v>
      </c>
      <c r="AA1995">
        <v>1</v>
      </c>
      <c r="AB1995">
        <v>8</v>
      </c>
      <c r="AC1995">
        <v>3</v>
      </c>
      <c r="AD1995">
        <v>0</v>
      </c>
      <c r="AE1995">
        <v>9</v>
      </c>
      <c r="AF1995" t="s">
        <v>138</v>
      </c>
      <c r="AG1995">
        <v>0</v>
      </c>
      <c r="AH1995">
        <v>3</v>
      </c>
      <c r="AI1995">
        <v>2</v>
      </c>
      <c r="AJ1995">
        <v>0</v>
      </c>
      <c r="AK1995" t="s">
        <v>712</v>
      </c>
      <c r="AL1995">
        <v>39.049187000000003</v>
      </c>
      <c r="AM1995" t="s">
        <v>713</v>
      </c>
      <c r="AN1995">
        <v>-121.041591</v>
      </c>
      <c r="AO1995">
        <v>25</v>
      </c>
      <c r="AP1995">
        <v>4400</v>
      </c>
      <c r="AQ1995" t="s">
        <v>131</v>
      </c>
      <c r="AR1995">
        <v>3</v>
      </c>
      <c r="AS1995">
        <v>90</v>
      </c>
      <c r="AT1995">
        <v>384</v>
      </c>
      <c r="BB1995" t="str">
        <f t="shared" si="788"/>
        <v>1200</v>
      </c>
      <c r="BC1995">
        <v>1</v>
      </c>
      <c r="BD1995" t="str">
        <f t="shared" si="789"/>
        <v xml:space="preserve">N52156  </v>
      </c>
      <c r="BE1995">
        <v>1</v>
      </c>
      <c r="BG1995">
        <v>0</v>
      </c>
      <c r="BH1995">
        <v>0</v>
      </c>
      <c r="BI1995">
        <v>0</v>
      </c>
      <c r="BJ1995">
        <v>4425</v>
      </c>
      <c r="BK1995">
        <v>25</v>
      </c>
      <c r="BL1995" t="s">
        <v>188</v>
      </c>
      <c r="BM1995">
        <v>1</v>
      </c>
      <c r="BN1995">
        <v>1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 t="shared" si="793"/>
        <v>15:10:04.834</v>
      </c>
      <c r="CF1995">
        <v>834464971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4</v>
      </c>
      <c r="CY1995">
        <v>7</v>
      </c>
      <c r="CZ1995" t="s">
        <v>133</v>
      </c>
      <c r="DA1995">
        <v>275</v>
      </c>
      <c r="DB1995">
        <v>0</v>
      </c>
      <c r="DC1995" t="s">
        <v>134</v>
      </c>
      <c r="DD1995" t="s">
        <v>135</v>
      </c>
      <c r="DG1995">
        <v>3321189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"05/01/2025 15:10:05.038"</f>
        <v>05/01/2025 15:10:05.038</v>
      </c>
      <c r="C1996" t="str">
        <f t="shared" si="786"/>
        <v>FFDFD3C0</v>
      </c>
      <c r="D1996" t="s">
        <v>145</v>
      </c>
      <c r="E1996" t="str">
        <f>"09"</f>
        <v>09</v>
      </c>
      <c r="H1996">
        <v>51</v>
      </c>
      <c r="I1996" t="s">
        <v>147</v>
      </c>
      <c r="J1996" t="s">
        <v>138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R1996" t="s">
        <v>127</v>
      </c>
      <c r="S1996" t="str">
        <f t="shared" si="792"/>
        <v>15:10:04.000</v>
      </c>
      <c r="T1996" t="str">
        <f t="shared" si="792"/>
        <v>15:10:04.000</v>
      </c>
      <c r="U1996" t="str">
        <f t="shared" si="787"/>
        <v>A68FCB</v>
      </c>
      <c r="V1996">
        <v>0</v>
      </c>
      <c r="W1996">
        <v>0</v>
      </c>
      <c r="X1996">
        <v>2</v>
      </c>
      <c r="Y1996">
        <v>0</v>
      </c>
      <c r="AA1996">
        <v>1</v>
      </c>
      <c r="AB1996">
        <v>8</v>
      </c>
      <c r="AC1996">
        <v>3</v>
      </c>
      <c r="AD1996">
        <v>0</v>
      </c>
      <c r="AE1996">
        <v>9</v>
      </c>
      <c r="AF1996" t="s">
        <v>138</v>
      </c>
      <c r="AG1996">
        <v>0</v>
      </c>
      <c r="AH1996">
        <v>3</v>
      </c>
      <c r="AI1996">
        <v>2</v>
      </c>
      <c r="AJ1996">
        <v>0</v>
      </c>
      <c r="AK1996" t="s">
        <v>712</v>
      </c>
      <c r="AL1996">
        <v>39.049187000000003</v>
      </c>
      <c r="AM1996" t="s">
        <v>713</v>
      </c>
      <c r="AN1996">
        <v>-121.041591</v>
      </c>
      <c r="AO1996">
        <v>25</v>
      </c>
      <c r="AP1996">
        <v>4400</v>
      </c>
      <c r="AQ1996" t="s">
        <v>131</v>
      </c>
      <c r="AR1996">
        <v>3</v>
      </c>
      <c r="AS1996">
        <v>90</v>
      </c>
      <c r="AT1996">
        <v>384</v>
      </c>
      <c r="BB1996" t="str">
        <f t="shared" si="788"/>
        <v>1200</v>
      </c>
      <c r="BC1996">
        <v>1</v>
      </c>
      <c r="BD1996" t="str">
        <f t="shared" si="789"/>
        <v xml:space="preserve">N52156  </v>
      </c>
      <c r="BE1996">
        <v>1</v>
      </c>
      <c r="BG1996">
        <v>0</v>
      </c>
      <c r="BH1996">
        <v>0</v>
      </c>
      <c r="BI1996">
        <v>0</v>
      </c>
      <c r="BJ1996">
        <v>4425</v>
      </c>
      <c r="BK1996">
        <v>25</v>
      </c>
      <c r="BL1996" t="s">
        <v>188</v>
      </c>
      <c r="BM1996">
        <v>1</v>
      </c>
      <c r="BN1996">
        <v>1</v>
      </c>
      <c r="BO1996">
        <v>0</v>
      </c>
      <c r="BP1996">
        <v>0</v>
      </c>
      <c r="BS1996">
        <v>0</v>
      </c>
      <c r="BT1996">
        <v>0</v>
      </c>
      <c r="BU1996">
        <v>0</v>
      </c>
      <c r="CE1996" t="str">
        <f t="shared" si="793"/>
        <v>15:10:04.834</v>
      </c>
      <c r="CF1996">
        <v>834464971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4</v>
      </c>
      <c r="CY1996">
        <v>7</v>
      </c>
      <c r="CZ1996" t="s">
        <v>133</v>
      </c>
      <c r="DA1996">
        <v>275</v>
      </c>
      <c r="DB1996">
        <v>0</v>
      </c>
      <c r="DC1996" t="s">
        <v>134</v>
      </c>
      <c r="DD1996" t="s">
        <v>135</v>
      </c>
      <c r="DG1996">
        <v>3321189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"05/01/2025 15:10:05.047"</f>
        <v>05/01/2025 15:10:05.047</v>
      </c>
      <c r="C1997" t="str">
        <f t="shared" si="786"/>
        <v>FFDFD3C0</v>
      </c>
      <c r="D1997" t="s">
        <v>143</v>
      </c>
      <c r="E1997" t="str">
        <f>"05"</f>
        <v>05</v>
      </c>
      <c r="H1997">
        <v>172</v>
      </c>
      <c r="I1997" t="s">
        <v>141</v>
      </c>
      <c r="J1997" t="s">
        <v>144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R1997" t="s">
        <v>127</v>
      </c>
      <c r="S1997" t="str">
        <f t="shared" si="792"/>
        <v>15:10:04.000</v>
      </c>
      <c r="T1997" t="str">
        <f t="shared" si="792"/>
        <v>15:10:04.000</v>
      </c>
      <c r="U1997" t="str">
        <f t="shared" si="787"/>
        <v>A68FCB</v>
      </c>
      <c r="V1997">
        <v>0</v>
      </c>
      <c r="W1997">
        <v>0</v>
      </c>
      <c r="X1997">
        <v>2</v>
      </c>
      <c r="Y1997">
        <v>0</v>
      </c>
      <c r="AA1997">
        <v>1</v>
      </c>
      <c r="AB1997">
        <v>8</v>
      </c>
      <c r="AC1997">
        <v>3</v>
      </c>
      <c r="AD1997">
        <v>0</v>
      </c>
      <c r="AE1997">
        <v>9</v>
      </c>
      <c r="AF1997" t="s">
        <v>138</v>
      </c>
      <c r="AG1997">
        <v>0</v>
      </c>
      <c r="AH1997">
        <v>3</v>
      </c>
      <c r="AI1997">
        <v>2</v>
      </c>
      <c r="AJ1997">
        <v>0</v>
      </c>
      <c r="AK1997" t="s">
        <v>712</v>
      </c>
      <c r="AL1997">
        <v>39.049187000000003</v>
      </c>
      <c r="AM1997" t="s">
        <v>713</v>
      </c>
      <c r="AN1997">
        <v>-121.041591</v>
      </c>
      <c r="AO1997">
        <v>25</v>
      </c>
      <c r="AP1997">
        <v>4400</v>
      </c>
      <c r="AQ1997" t="s">
        <v>131</v>
      </c>
      <c r="AR1997">
        <v>3</v>
      </c>
      <c r="AS1997">
        <v>90</v>
      </c>
      <c r="AT1997">
        <v>384</v>
      </c>
      <c r="BB1997" t="str">
        <f t="shared" si="788"/>
        <v>1200</v>
      </c>
      <c r="BC1997">
        <v>1</v>
      </c>
      <c r="BD1997" t="str">
        <f t="shared" si="789"/>
        <v xml:space="preserve">N52156  </v>
      </c>
      <c r="BE1997">
        <v>1</v>
      </c>
      <c r="BG1997">
        <v>0</v>
      </c>
      <c r="BH1997">
        <v>0</v>
      </c>
      <c r="BI1997">
        <v>0</v>
      </c>
      <c r="BJ1997">
        <v>4425</v>
      </c>
      <c r="BK1997">
        <v>25</v>
      </c>
      <c r="BL1997" t="s">
        <v>188</v>
      </c>
      <c r="BM1997">
        <v>1</v>
      </c>
      <c r="BN1997">
        <v>1</v>
      </c>
      <c r="BO1997">
        <v>0</v>
      </c>
      <c r="BP1997">
        <v>0</v>
      </c>
      <c r="BS1997">
        <v>0</v>
      </c>
      <c r="BT1997">
        <v>0</v>
      </c>
      <c r="BU1997">
        <v>0</v>
      </c>
      <c r="CE1997" t="str">
        <f t="shared" si="793"/>
        <v>15:10:04.834</v>
      </c>
      <c r="CF1997">
        <v>834464971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4</v>
      </c>
      <c r="CY1997">
        <v>7</v>
      </c>
      <c r="CZ1997" t="s">
        <v>133</v>
      </c>
      <c r="DA1997">
        <v>275</v>
      </c>
      <c r="DB1997">
        <v>0</v>
      </c>
      <c r="DC1997" t="s">
        <v>134</v>
      </c>
      <c r="DD1997" t="s">
        <v>135</v>
      </c>
      <c r="DG1997">
        <v>3321189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"05/01/2025 15:10:05.047"</f>
        <v>05/01/2025 15:10:05.047</v>
      </c>
      <c r="C1998" t="str">
        <f t="shared" si="786"/>
        <v>FFDFD3C0</v>
      </c>
      <c r="D1998" t="s">
        <v>136</v>
      </c>
      <c r="E1998" t="str">
        <f>"20"</f>
        <v>20</v>
      </c>
      <c r="H1998">
        <v>400</v>
      </c>
      <c r="I1998" t="s">
        <v>137</v>
      </c>
      <c r="J1998" t="s">
        <v>138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R1998" t="s">
        <v>127</v>
      </c>
      <c r="S1998" t="str">
        <f t="shared" si="792"/>
        <v>15:10:04.000</v>
      </c>
      <c r="T1998" t="str">
        <f t="shared" si="792"/>
        <v>15:10:04.000</v>
      </c>
      <c r="U1998" t="str">
        <f t="shared" si="787"/>
        <v>A68FCB</v>
      </c>
      <c r="V1998">
        <v>0</v>
      </c>
      <c r="W1998">
        <v>0</v>
      </c>
      <c r="X1998">
        <v>2</v>
      </c>
      <c r="Y1998">
        <v>0</v>
      </c>
      <c r="AA1998">
        <v>1</v>
      </c>
      <c r="AB1998">
        <v>8</v>
      </c>
      <c r="AC1998">
        <v>3</v>
      </c>
      <c r="AD1998">
        <v>0</v>
      </c>
      <c r="AE1998">
        <v>9</v>
      </c>
      <c r="AF1998" t="s">
        <v>138</v>
      </c>
      <c r="AG1998">
        <v>0</v>
      </c>
      <c r="AH1998">
        <v>3</v>
      </c>
      <c r="AI1998">
        <v>2</v>
      </c>
      <c r="AJ1998">
        <v>0</v>
      </c>
      <c r="AK1998" t="s">
        <v>712</v>
      </c>
      <c r="AL1998">
        <v>39.049187000000003</v>
      </c>
      <c r="AM1998" t="s">
        <v>713</v>
      </c>
      <c r="AN1998">
        <v>-121.041591</v>
      </c>
      <c r="AO1998">
        <v>25</v>
      </c>
      <c r="AP1998">
        <v>4400</v>
      </c>
      <c r="AQ1998" t="s">
        <v>131</v>
      </c>
      <c r="AR1998">
        <v>3</v>
      </c>
      <c r="AS1998">
        <v>90</v>
      </c>
      <c r="AT1998">
        <v>384</v>
      </c>
      <c r="BB1998" t="str">
        <f t="shared" si="788"/>
        <v>1200</v>
      </c>
      <c r="BC1998">
        <v>1</v>
      </c>
      <c r="BD1998" t="str">
        <f t="shared" si="789"/>
        <v xml:space="preserve">N52156  </v>
      </c>
      <c r="BE1998">
        <v>1</v>
      </c>
      <c r="BG1998">
        <v>0</v>
      </c>
      <c r="BH1998">
        <v>0</v>
      </c>
      <c r="BI1998">
        <v>0</v>
      </c>
      <c r="BJ1998">
        <v>4425</v>
      </c>
      <c r="BK1998">
        <v>25</v>
      </c>
      <c r="BL1998" t="s">
        <v>188</v>
      </c>
      <c r="BM1998">
        <v>1</v>
      </c>
      <c r="BN1998">
        <v>1</v>
      </c>
      <c r="BO1998">
        <v>0</v>
      </c>
      <c r="BP1998">
        <v>0</v>
      </c>
      <c r="BS1998">
        <v>0</v>
      </c>
      <c r="BT1998">
        <v>0</v>
      </c>
      <c r="BU1998">
        <v>0</v>
      </c>
      <c r="CE1998" t="str">
        <f t="shared" si="793"/>
        <v>15:10:04.834</v>
      </c>
      <c r="CF1998">
        <v>834464971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4</v>
      </c>
      <c r="CY1998">
        <v>7</v>
      </c>
      <c r="CZ1998" t="s">
        <v>133</v>
      </c>
      <c r="DA1998">
        <v>275</v>
      </c>
      <c r="DB1998">
        <v>0</v>
      </c>
      <c r="DC1998" t="s">
        <v>134</v>
      </c>
      <c r="DD1998" t="s">
        <v>135</v>
      </c>
      <c r="DG1998">
        <v>3321189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"05/01/2025 15:10:05.075"</f>
        <v>05/01/2025 15:10:05.075</v>
      </c>
      <c r="C1999" t="str">
        <f t="shared" si="786"/>
        <v>FFDFD3C0</v>
      </c>
      <c r="D1999" t="s">
        <v>140</v>
      </c>
      <c r="E1999" t="str">
        <f>"13"</f>
        <v>13</v>
      </c>
      <c r="F1999">
        <v>1019</v>
      </c>
      <c r="G1999" t="s">
        <v>141</v>
      </c>
      <c r="J1999" t="s">
        <v>142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R1999" t="s">
        <v>127</v>
      </c>
      <c r="S1999" t="str">
        <f t="shared" si="792"/>
        <v>15:10:04.000</v>
      </c>
      <c r="T1999" t="str">
        <f t="shared" si="792"/>
        <v>15:10:04.000</v>
      </c>
      <c r="U1999" t="str">
        <f t="shared" si="787"/>
        <v>A68FCB</v>
      </c>
      <c r="V1999">
        <v>0</v>
      </c>
      <c r="W1999">
        <v>0</v>
      </c>
      <c r="X1999">
        <v>2</v>
      </c>
      <c r="Y1999">
        <v>0</v>
      </c>
      <c r="AA1999">
        <v>1</v>
      </c>
      <c r="AB1999">
        <v>8</v>
      </c>
      <c r="AC1999">
        <v>3</v>
      </c>
      <c r="AD1999">
        <v>0</v>
      </c>
      <c r="AE1999">
        <v>9</v>
      </c>
      <c r="AF1999" t="s">
        <v>138</v>
      </c>
      <c r="AG1999">
        <v>0</v>
      </c>
      <c r="AH1999">
        <v>3</v>
      </c>
      <c r="AI1999">
        <v>2</v>
      </c>
      <c r="AJ1999">
        <v>0</v>
      </c>
      <c r="AK1999" t="s">
        <v>712</v>
      </c>
      <c r="AL1999">
        <v>39.049187000000003</v>
      </c>
      <c r="AM1999" t="s">
        <v>713</v>
      </c>
      <c r="AN1999">
        <v>-121.041591</v>
      </c>
      <c r="AO1999">
        <v>25</v>
      </c>
      <c r="AP1999">
        <v>4400</v>
      </c>
      <c r="AQ1999" t="s">
        <v>131</v>
      </c>
      <c r="AR1999">
        <v>3</v>
      </c>
      <c r="AS1999">
        <v>90</v>
      </c>
      <c r="AT1999">
        <v>384</v>
      </c>
      <c r="BB1999" t="str">
        <f t="shared" si="788"/>
        <v>1200</v>
      </c>
      <c r="BC1999">
        <v>1</v>
      </c>
      <c r="BD1999" t="str">
        <f t="shared" si="789"/>
        <v xml:space="preserve">N52156  </v>
      </c>
      <c r="BE1999">
        <v>1</v>
      </c>
      <c r="BG1999">
        <v>0</v>
      </c>
      <c r="BH1999">
        <v>0</v>
      </c>
      <c r="BI1999">
        <v>0</v>
      </c>
      <c r="BJ1999">
        <v>4425</v>
      </c>
      <c r="BK1999">
        <v>25</v>
      </c>
      <c r="BL1999" t="s">
        <v>188</v>
      </c>
      <c r="BM1999">
        <v>1</v>
      </c>
      <c r="BN1999">
        <v>1</v>
      </c>
      <c r="BO1999">
        <v>0</v>
      </c>
      <c r="BP1999">
        <v>0</v>
      </c>
      <c r="BS1999">
        <v>0</v>
      </c>
      <c r="BT1999">
        <v>0</v>
      </c>
      <c r="BU1999">
        <v>0</v>
      </c>
      <c r="CE1999" t="str">
        <f t="shared" si="793"/>
        <v>15:10:04.834</v>
      </c>
      <c r="CF1999">
        <v>834464971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4</v>
      </c>
      <c r="CY1999">
        <v>7</v>
      </c>
      <c r="CZ1999" t="s">
        <v>133</v>
      </c>
      <c r="DA1999">
        <v>275</v>
      </c>
      <c r="DB1999">
        <v>0</v>
      </c>
      <c r="DC1999" t="s">
        <v>134</v>
      </c>
      <c r="DD1999" t="s">
        <v>135</v>
      </c>
      <c r="DG1999">
        <v>3321189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"05/01/2025 15:10:05.486"</f>
        <v>05/01/2025 15:10:05.486</v>
      </c>
      <c r="C2000" t="str">
        <f t="shared" si="786"/>
        <v>FFDFD3C0</v>
      </c>
      <c r="D2000" t="s">
        <v>145</v>
      </c>
      <c r="E2000" t="str">
        <f>"05"</f>
        <v>05</v>
      </c>
      <c r="H2000">
        <v>47</v>
      </c>
      <c r="I2000" t="s">
        <v>146</v>
      </c>
      <c r="J2000" t="s">
        <v>138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R2000" t="s">
        <v>127</v>
      </c>
      <c r="S2000" t="str">
        <f t="shared" ref="S2000:T2005" si="794">"15:10:05.000"</f>
        <v>15:10:05.000</v>
      </c>
      <c r="T2000" t="str">
        <f t="shared" si="794"/>
        <v>15:10:05.000</v>
      </c>
      <c r="U2000" t="str">
        <f t="shared" si="787"/>
        <v>A68FCB</v>
      </c>
      <c r="V2000">
        <v>0</v>
      </c>
      <c r="W2000">
        <v>0</v>
      </c>
      <c r="X2000">
        <v>2</v>
      </c>
      <c r="Y2000">
        <v>0</v>
      </c>
      <c r="AA2000">
        <v>1</v>
      </c>
      <c r="AB2000">
        <v>8</v>
      </c>
      <c r="AC2000">
        <v>3</v>
      </c>
      <c r="AD2000">
        <v>0</v>
      </c>
      <c r="AE2000">
        <v>9</v>
      </c>
      <c r="AF2000" t="s">
        <v>138</v>
      </c>
      <c r="AG2000">
        <v>0</v>
      </c>
      <c r="AH2000">
        <v>3</v>
      </c>
      <c r="AI2000">
        <v>2</v>
      </c>
      <c r="AJ2000">
        <v>0</v>
      </c>
      <c r="AK2000" t="s">
        <v>714</v>
      </c>
      <c r="AL2000">
        <v>39.049593999999999</v>
      </c>
      <c r="AM2000" t="s">
        <v>715</v>
      </c>
      <c r="AN2000">
        <v>-121.04156999999999</v>
      </c>
      <c r="AO2000">
        <v>25</v>
      </c>
      <c r="AP2000">
        <v>4400</v>
      </c>
      <c r="AQ2000" t="s">
        <v>131</v>
      </c>
      <c r="AR2000">
        <v>3</v>
      </c>
      <c r="AS2000">
        <v>91</v>
      </c>
      <c r="AT2000">
        <v>384</v>
      </c>
      <c r="BB2000" t="str">
        <f t="shared" si="788"/>
        <v>1200</v>
      </c>
      <c r="BC2000">
        <v>1</v>
      </c>
      <c r="BD2000" t="str">
        <f t="shared" si="789"/>
        <v xml:space="preserve">N52156  </v>
      </c>
      <c r="BE2000">
        <v>1</v>
      </c>
      <c r="BG2000">
        <v>0</v>
      </c>
      <c r="BH2000">
        <v>0</v>
      </c>
      <c r="BI2000">
        <v>0</v>
      </c>
      <c r="BJ2000">
        <v>4425</v>
      </c>
      <c r="BK2000">
        <v>25</v>
      </c>
      <c r="BL2000" t="s">
        <v>188</v>
      </c>
      <c r="BM2000">
        <v>1</v>
      </c>
      <c r="BN2000">
        <v>1</v>
      </c>
      <c r="BO2000">
        <v>0</v>
      </c>
      <c r="BP2000">
        <v>0</v>
      </c>
      <c r="BS2000">
        <v>0</v>
      </c>
      <c r="BT2000">
        <v>0</v>
      </c>
      <c r="BU2000">
        <v>0</v>
      </c>
      <c r="CE2000" t="str">
        <f t="shared" ref="CE2000:CE2005" si="795">"15:10:05.270"</f>
        <v>15:10:05.270</v>
      </c>
      <c r="CF2000">
        <v>269963546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3</v>
      </c>
      <c r="CY2000">
        <v>7</v>
      </c>
      <c r="CZ2000" t="s">
        <v>133</v>
      </c>
      <c r="DA2000">
        <v>275</v>
      </c>
      <c r="DB2000">
        <v>0</v>
      </c>
      <c r="DC2000" t="s">
        <v>134</v>
      </c>
      <c r="DD2000" t="s">
        <v>135</v>
      </c>
      <c r="DG2000">
        <v>3321195</v>
      </c>
      <c r="DI2000">
        <v>1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"05/01/2025 15:10:05.485"</f>
        <v>05/01/2025 15:10:05.485</v>
      </c>
      <c r="C2001" t="str">
        <f t="shared" si="786"/>
        <v>FFDFD3C0</v>
      </c>
      <c r="D2001" t="s">
        <v>124</v>
      </c>
      <c r="E2001" t="str">
        <f>"06"</f>
        <v>06</v>
      </c>
      <c r="F2001">
        <v>2006</v>
      </c>
      <c r="G2001" t="s">
        <v>125</v>
      </c>
      <c r="J2001" t="s">
        <v>126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R2001" t="s">
        <v>127</v>
      </c>
      <c r="S2001" t="str">
        <f t="shared" si="794"/>
        <v>15:10:05.000</v>
      </c>
      <c r="T2001" t="str">
        <f t="shared" si="794"/>
        <v>15:10:05.000</v>
      </c>
      <c r="U2001" t="str">
        <f t="shared" si="787"/>
        <v>A68FCB</v>
      </c>
      <c r="V2001">
        <v>0</v>
      </c>
      <c r="W2001">
        <v>0</v>
      </c>
      <c r="X2001">
        <v>2</v>
      </c>
      <c r="Y2001">
        <v>0</v>
      </c>
      <c r="AA2001">
        <v>1</v>
      </c>
      <c r="AB2001">
        <v>8</v>
      </c>
      <c r="AC2001">
        <v>3</v>
      </c>
      <c r="AD2001">
        <v>0</v>
      </c>
      <c r="AE2001">
        <v>9</v>
      </c>
      <c r="AF2001" t="s">
        <v>138</v>
      </c>
      <c r="AG2001">
        <v>0</v>
      </c>
      <c r="AH2001">
        <v>3</v>
      </c>
      <c r="AI2001">
        <v>2</v>
      </c>
      <c r="AJ2001">
        <v>0</v>
      </c>
      <c r="AK2001" t="s">
        <v>714</v>
      </c>
      <c r="AL2001">
        <v>39.049593999999999</v>
      </c>
      <c r="AM2001" t="s">
        <v>715</v>
      </c>
      <c r="AN2001">
        <v>-121.04156999999999</v>
      </c>
      <c r="AO2001">
        <v>25</v>
      </c>
      <c r="AP2001">
        <v>4400</v>
      </c>
      <c r="AQ2001" t="s">
        <v>131</v>
      </c>
      <c r="AR2001">
        <v>3</v>
      </c>
      <c r="AS2001">
        <v>91</v>
      </c>
      <c r="AT2001">
        <v>384</v>
      </c>
      <c r="BB2001" t="str">
        <f t="shared" si="788"/>
        <v>1200</v>
      </c>
      <c r="BC2001">
        <v>1</v>
      </c>
      <c r="BD2001" t="str">
        <f t="shared" si="789"/>
        <v xml:space="preserve">N52156  </v>
      </c>
      <c r="BE2001">
        <v>1</v>
      </c>
      <c r="BG2001">
        <v>0</v>
      </c>
      <c r="BH2001">
        <v>0</v>
      </c>
      <c r="BI2001">
        <v>0</v>
      </c>
      <c r="BJ2001">
        <v>4425</v>
      </c>
      <c r="BK2001">
        <v>25</v>
      </c>
      <c r="BL2001" t="s">
        <v>188</v>
      </c>
      <c r="BM2001">
        <v>1</v>
      </c>
      <c r="BN2001">
        <v>1</v>
      </c>
      <c r="BO2001">
        <v>0</v>
      </c>
      <c r="BP2001">
        <v>0</v>
      </c>
      <c r="BS2001">
        <v>0</v>
      </c>
      <c r="BT2001">
        <v>0</v>
      </c>
      <c r="BU2001">
        <v>0</v>
      </c>
      <c r="CE2001" t="str">
        <f t="shared" si="795"/>
        <v>15:10:05.270</v>
      </c>
      <c r="CF2001">
        <v>269963546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3</v>
      </c>
      <c r="CY2001">
        <v>7</v>
      </c>
      <c r="CZ2001" t="s">
        <v>133</v>
      </c>
      <c r="DA2001">
        <v>275</v>
      </c>
      <c r="DB2001">
        <v>0</v>
      </c>
      <c r="DC2001" t="s">
        <v>134</v>
      </c>
      <c r="DD2001" t="s">
        <v>135</v>
      </c>
      <c r="DG2001">
        <v>3321195</v>
      </c>
      <c r="DI2001">
        <v>1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"05/01/2025 15:10:05.489"</f>
        <v>05/01/2025 15:10:05.489</v>
      </c>
      <c r="C2002" t="str">
        <f t="shared" si="786"/>
        <v>FFDFD3C0</v>
      </c>
      <c r="D2002" t="s">
        <v>145</v>
      </c>
      <c r="E2002" t="str">
        <f>"09"</f>
        <v>09</v>
      </c>
      <c r="H2002">
        <v>51</v>
      </c>
      <c r="I2002" t="s">
        <v>147</v>
      </c>
      <c r="J2002" t="s">
        <v>138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R2002" t="s">
        <v>127</v>
      </c>
      <c r="S2002" t="str">
        <f t="shared" si="794"/>
        <v>15:10:05.000</v>
      </c>
      <c r="T2002" t="str">
        <f t="shared" si="794"/>
        <v>15:10:05.000</v>
      </c>
      <c r="U2002" t="str">
        <f t="shared" si="787"/>
        <v>A68FCB</v>
      </c>
      <c r="V2002">
        <v>0</v>
      </c>
      <c r="W2002">
        <v>0</v>
      </c>
      <c r="X2002">
        <v>2</v>
      </c>
      <c r="Y2002">
        <v>0</v>
      </c>
      <c r="AA2002">
        <v>1</v>
      </c>
      <c r="AB2002">
        <v>8</v>
      </c>
      <c r="AC2002">
        <v>3</v>
      </c>
      <c r="AD2002">
        <v>0</v>
      </c>
      <c r="AE2002">
        <v>9</v>
      </c>
      <c r="AF2002" t="s">
        <v>138</v>
      </c>
      <c r="AG2002">
        <v>0</v>
      </c>
      <c r="AH2002">
        <v>3</v>
      </c>
      <c r="AI2002">
        <v>2</v>
      </c>
      <c r="AJ2002">
        <v>0</v>
      </c>
      <c r="AK2002" t="s">
        <v>714</v>
      </c>
      <c r="AL2002">
        <v>39.049593999999999</v>
      </c>
      <c r="AM2002" t="s">
        <v>715</v>
      </c>
      <c r="AN2002">
        <v>-121.04156999999999</v>
      </c>
      <c r="AO2002">
        <v>25</v>
      </c>
      <c r="AP2002">
        <v>4400</v>
      </c>
      <c r="AQ2002" t="s">
        <v>131</v>
      </c>
      <c r="AR2002">
        <v>3</v>
      </c>
      <c r="AS2002">
        <v>91</v>
      </c>
      <c r="AT2002">
        <v>384</v>
      </c>
      <c r="BB2002" t="str">
        <f t="shared" si="788"/>
        <v>1200</v>
      </c>
      <c r="BC2002">
        <v>1</v>
      </c>
      <c r="BD2002" t="str">
        <f t="shared" si="789"/>
        <v xml:space="preserve">N52156  </v>
      </c>
      <c r="BE2002">
        <v>1</v>
      </c>
      <c r="BG2002">
        <v>0</v>
      </c>
      <c r="BH2002">
        <v>0</v>
      </c>
      <c r="BI2002">
        <v>0</v>
      </c>
      <c r="BJ2002">
        <v>4425</v>
      </c>
      <c r="BK2002">
        <v>25</v>
      </c>
      <c r="BL2002" t="s">
        <v>188</v>
      </c>
      <c r="BM2002">
        <v>1</v>
      </c>
      <c r="BN2002">
        <v>1</v>
      </c>
      <c r="BO2002">
        <v>0</v>
      </c>
      <c r="BP2002">
        <v>0</v>
      </c>
      <c r="BS2002">
        <v>0</v>
      </c>
      <c r="BT2002">
        <v>0</v>
      </c>
      <c r="BU2002">
        <v>0</v>
      </c>
      <c r="CE2002" t="str">
        <f t="shared" si="795"/>
        <v>15:10:05.270</v>
      </c>
      <c r="CF2002">
        <v>269963546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3</v>
      </c>
      <c r="CY2002">
        <v>7</v>
      </c>
      <c r="CZ2002" t="s">
        <v>133</v>
      </c>
      <c r="DA2002">
        <v>275</v>
      </c>
      <c r="DB2002">
        <v>0</v>
      </c>
      <c r="DC2002" t="s">
        <v>134</v>
      </c>
      <c r="DD2002" t="s">
        <v>135</v>
      </c>
      <c r="DG2002">
        <v>3321195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"05/01/2025 15:10:05.497"</f>
        <v>05/01/2025 15:10:05.497</v>
      </c>
      <c r="C2003" t="str">
        <f t="shared" si="786"/>
        <v>FFDFD3C0</v>
      </c>
      <c r="D2003" t="s">
        <v>143</v>
      </c>
      <c r="E2003" t="str">
        <f>"05"</f>
        <v>05</v>
      </c>
      <c r="H2003">
        <v>172</v>
      </c>
      <c r="I2003" t="s">
        <v>141</v>
      </c>
      <c r="J2003" t="s">
        <v>144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R2003" t="s">
        <v>127</v>
      </c>
      <c r="S2003" t="str">
        <f t="shared" si="794"/>
        <v>15:10:05.000</v>
      </c>
      <c r="T2003" t="str">
        <f t="shared" si="794"/>
        <v>15:10:05.000</v>
      </c>
      <c r="U2003" t="str">
        <f t="shared" si="787"/>
        <v>A68FCB</v>
      </c>
      <c r="V2003">
        <v>0</v>
      </c>
      <c r="W2003">
        <v>0</v>
      </c>
      <c r="X2003">
        <v>2</v>
      </c>
      <c r="Y2003">
        <v>0</v>
      </c>
      <c r="AA2003">
        <v>1</v>
      </c>
      <c r="AB2003">
        <v>8</v>
      </c>
      <c r="AC2003">
        <v>3</v>
      </c>
      <c r="AD2003">
        <v>0</v>
      </c>
      <c r="AE2003">
        <v>9</v>
      </c>
      <c r="AF2003" t="s">
        <v>138</v>
      </c>
      <c r="AG2003">
        <v>0</v>
      </c>
      <c r="AH2003">
        <v>3</v>
      </c>
      <c r="AI2003">
        <v>2</v>
      </c>
      <c r="AJ2003">
        <v>0</v>
      </c>
      <c r="AK2003" t="s">
        <v>714</v>
      </c>
      <c r="AL2003">
        <v>39.049593999999999</v>
      </c>
      <c r="AM2003" t="s">
        <v>715</v>
      </c>
      <c r="AN2003">
        <v>-121.04156999999999</v>
      </c>
      <c r="AO2003">
        <v>25</v>
      </c>
      <c r="AP2003">
        <v>4400</v>
      </c>
      <c r="AQ2003" t="s">
        <v>131</v>
      </c>
      <c r="AR2003">
        <v>3</v>
      </c>
      <c r="AS2003">
        <v>91</v>
      </c>
      <c r="AT2003">
        <v>384</v>
      </c>
      <c r="BB2003" t="str">
        <f t="shared" si="788"/>
        <v>1200</v>
      </c>
      <c r="BC2003">
        <v>1</v>
      </c>
      <c r="BD2003" t="str">
        <f t="shared" si="789"/>
        <v xml:space="preserve">N52156  </v>
      </c>
      <c r="BE2003">
        <v>1</v>
      </c>
      <c r="BG2003">
        <v>0</v>
      </c>
      <c r="BH2003">
        <v>0</v>
      </c>
      <c r="BI2003">
        <v>0</v>
      </c>
      <c r="BJ2003">
        <v>4425</v>
      </c>
      <c r="BK2003">
        <v>25</v>
      </c>
      <c r="BL2003" t="s">
        <v>188</v>
      </c>
      <c r="BM2003">
        <v>1</v>
      </c>
      <c r="BN2003">
        <v>1</v>
      </c>
      <c r="BO2003">
        <v>0</v>
      </c>
      <c r="BP2003">
        <v>0</v>
      </c>
      <c r="BS2003">
        <v>0</v>
      </c>
      <c r="BT2003">
        <v>0</v>
      </c>
      <c r="BU2003">
        <v>0</v>
      </c>
      <c r="CE2003" t="str">
        <f t="shared" si="795"/>
        <v>15:10:05.270</v>
      </c>
      <c r="CF2003">
        <v>269963546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3</v>
      </c>
      <c r="CY2003">
        <v>7</v>
      </c>
      <c r="CZ2003" t="s">
        <v>133</v>
      </c>
      <c r="DA2003">
        <v>275</v>
      </c>
      <c r="DB2003">
        <v>0</v>
      </c>
      <c r="DC2003" t="s">
        <v>134</v>
      </c>
      <c r="DD2003" t="s">
        <v>135</v>
      </c>
      <c r="DG2003">
        <v>3321195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"05/01/2025 15:10:05.497"</f>
        <v>05/01/2025 15:10:05.497</v>
      </c>
      <c r="C2004" t="str">
        <f t="shared" si="786"/>
        <v>FFDFD3C0</v>
      </c>
      <c r="D2004" t="s">
        <v>136</v>
      </c>
      <c r="E2004" t="str">
        <f>"20"</f>
        <v>20</v>
      </c>
      <c r="H2004">
        <v>400</v>
      </c>
      <c r="I2004" t="s">
        <v>137</v>
      </c>
      <c r="J2004" t="s">
        <v>138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R2004" t="s">
        <v>127</v>
      </c>
      <c r="S2004" t="str">
        <f t="shared" si="794"/>
        <v>15:10:05.000</v>
      </c>
      <c r="T2004" t="str">
        <f t="shared" si="794"/>
        <v>15:10:05.000</v>
      </c>
      <c r="U2004" t="str">
        <f t="shared" si="787"/>
        <v>A68FCB</v>
      </c>
      <c r="V2004">
        <v>0</v>
      </c>
      <c r="W2004">
        <v>0</v>
      </c>
      <c r="X2004">
        <v>2</v>
      </c>
      <c r="Y2004">
        <v>0</v>
      </c>
      <c r="AA2004">
        <v>1</v>
      </c>
      <c r="AB2004">
        <v>8</v>
      </c>
      <c r="AC2004">
        <v>3</v>
      </c>
      <c r="AD2004">
        <v>0</v>
      </c>
      <c r="AE2004">
        <v>9</v>
      </c>
      <c r="AF2004" t="s">
        <v>138</v>
      </c>
      <c r="AG2004">
        <v>0</v>
      </c>
      <c r="AH2004">
        <v>3</v>
      </c>
      <c r="AI2004">
        <v>2</v>
      </c>
      <c r="AJ2004">
        <v>0</v>
      </c>
      <c r="AK2004" t="s">
        <v>714</v>
      </c>
      <c r="AL2004">
        <v>39.049593999999999</v>
      </c>
      <c r="AM2004" t="s">
        <v>715</v>
      </c>
      <c r="AN2004">
        <v>-121.04156999999999</v>
      </c>
      <c r="AO2004">
        <v>25</v>
      </c>
      <c r="AP2004">
        <v>4400</v>
      </c>
      <c r="AQ2004" t="s">
        <v>131</v>
      </c>
      <c r="AR2004">
        <v>3</v>
      </c>
      <c r="AS2004">
        <v>91</v>
      </c>
      <c r="AT2004">
        <v>384</v>
      </c>
      <c r="BB2004" t="str">
        <f t="shared" si="788"/>
        <v>1200</v>
      </c>
      <c r="BC2004">
        <v>1</v>
      </c>
      <c r="BD2004" t="str">
        <f t="shared" si="789"/>
        <v xml:space="preserve">N52156  </v>
      </c>
      <c r="BE2004">
        <v>1</v>
      </c>
      <c r="BG2004">
        <v>0</v>
      </c>
      <c r="BH2004">
        <v>0</v>
      </c>
      <c r="BI2004">
        <v>0</v>
      </c>
      <c r="BJ2004">
        <v>4425</v>
      </c>
      <c r="BK2004">
        <v>25</v>
      </c>
      <c r="BL2004" t="s">
        <v>188</v>
      </c>
      <c r="BM2004">
        <v>1</v>
      </c>
      <c r="BN2004">
        <v>1</v>
      </c>
      <c r="BO2004">
        <v>0</v>
      </c>
      <c r="BP2004">
        <v>0</v>
      </c>
      <c r="BS2004">
        <v>0</v>
      </c>
      <c r="BT2004">
        <v>0</v>
      </c>
      <c r="BU2004">
        <v>0</v>
      </c>
      <c r="CE2004" t="str">
        <f t="shared" si="795"/>
        <v>15:10:05.270</v>
      </c>
      <c r="CF2004">
        <v>269963546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3</v>
      </c>
      <c r="CY2004">
        <v>7</v>
      </c>
      <c r="CZ2004" t="s">
        <v>133</v>
      </c>
      <c r="DA2004">
        <v>275</v>
      </c>
      <c r="DB2004">
        <v>0</v>
      </c>
      <c r="DC2004" t="s">
        <v>134</v>
      </c>
      <c r="DD2004" t="s">
        <v>135</v>
      </c>
      <c r="DG2004">
        <v>3321195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"05/01/2025 15:10:05.526"</f>
        <v>05/01/2025 15:10:05.526</v>
      </c>
      <c r="C2005" t="str">
        <f t="shared" si="786"/>
        <v>FFDFD3C0</v>
      </c>
      <c r="D2005" t="s">
        <v>140</v>
      </c>
      <c r="E2005" t="str">
        <f>"13"</f>
        <v>13</v>
      </c>
      <c r="F2005">
        <v>1019</v>
      </c>
      <c r="G2005" t="s">
        <v>141</v>
      </c>
      <c r="J2005" t="s">
        <v>142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R2005" t="s">
        <v>127</v>
      </c>
      <c r="S2005" t="str">
        <f t="shared" si="794"/>
        <v>15:10:05.000</v>
      </c>
      <c r="T2005" t="str">
        <f t="shared" si="794"/>
        <v>15:10:05.000</v>
      </c>
      <c r="U2005" t="str">
        <f t="shared" si="787"/>
        <v>A68FCB</v>
      </c>
      <c r="V2005">
        <v>0</v>
      </c>
      <c r="W2005">
        <v>0</v>
      </c>
      <c r="X2005">
        <v>2</v>
      </c>
      <c r="Y2005">
        <v>0</v>
      </c>
      <c r="AA2005">
        <v>1</v>
      </c>
      <c r="AB2005">
        <v>8</v>
      </c>
      <c r="AC2005">
        <v>3</v>
      </c>
      <c r="AD2005">
        <v>0</v>
      </c>
      <c r="AE2005">
        <v>9</v>
      </c>
      <c r="AF2005" t="s">
        <v>138</v>
      </c>
      <c r="AG2005">
        <v>0</v>
      </c>
      <c r="AH2005">
        <v>3</v>
      </c>
      <c r="AI2005">
        <v>2</v>
      </c>
      <c r="AJ2005">
        <v>0</v>
      </c>
      <c r="AK2005" t="s">
        <v>714</v>
      </c>
      <c r="AL2005">
        <v>39.049593999999999</v>
      </c>
      <c r="AM2005" t="s">
        <v>715</v>
      </c>
      <c r="AN2005">
        <v>-121.04156999999999</v>
      </c>
      <c r="AO2005">
        <v>25</v>
      </c>
      <c r="AP2005">
        <v>4400</v>
      </c>
      <c r="AQ2005" t="s">
        <v>131</v>
      </c>
      <c r="AR2005">
        <v>3</v>
      </c>
      <c r="AS2005">
        <v>91</v>
      </c>
      <c r="AT2005">
        <v>384</v>
      </c>
      <c r="BB2005" t="str">
        <f t="shared" si="788"/>
        <v>1200</v>
      </c>
      <c r="BC2005">
        <v>1</v>
      </c>
      <c r="BD2005" t="str">
        <f t="shared" si="789"/>
        <v xml:space="preserve">N52156  </v>
      </c>
      <c r="BE2005">
        <v>1</v>
      </c>
      <c r="BG2005">
        <v>0</v>
      </c>
      <c r="BH2005">
        <v>0</v>
      </c>
      <c r="BI2005">
        <v>0</v>
      </c>
      <c r="BJ2005">
        <v>4425</v>
      </c>
      <c r="BK2005">
        <v>25</v>
      </c>
      <c r="BL2005" t="s">
        <v>188</v>
      </c>
      <c r="BM2005">
        <v>1</v>
      </c>
      <c r="BN2005">
        <v>1</v>
      </c>
      <c r="BO2005">
        <v>0</v>
      </c>
      <c r="BP2005">
        <v>0</v>
      </c>
      <c r="BS2005">
        <v>0</v>
      </c>
      <c r="BT2005">
        <v>0</v>
      </c>
      <c r="BU2005">
        <v>0</v>
      </c>
      <c r="CE2005" t="str">
        <f t="shared" si="795"/>
        <v>15:10:05.270</v>
      </c>
      <c r="CF2005">
        <v>269963546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3</v>
      </c>
      <c r="CY2005">
        <v>7</v>
      </c>
      <c r="CZ2005" t="s">
        <v>133</v>
      </c>
      <c r="DA2005">
        <v>275</v>
      </c>
      <c r="DB2005">
        <v>0</v>
      </c>
      <c r="DC2005" t="s">
        <v>134</v>
      </c>
      <c r="DD2005" t="s">
        <v>135</v>
      </c>
      <c r="DG2005">
        <v>3321195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"05/01/2025 15:10:06.586"</f>
        <v>05/01/2025 15:10:06.586</v>
      </c>
      <c r="C2006" t="str">
        <f t="shared" si="786"/>
        <v>FFDFD3C0</v>
      </c>
      <c r="D2006" t="s">
        <v>124</v>
      </c>
      <c r="E2006" t="str">
        <f>"06"</f>
        <v>06</v>
      </c>
      <c r="F2006">
        <v>2006</v>
      </c>
      <c r="G2006" t="s">
        <v>125</v>
      </c>
      <c r="J2006" t="s">
        <v>126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R2006" t="s">
        <v>127</v>
      </c>
      <c r="S2006" t="str">
        <f t="shared" ref="S2006:T2011" si="796">"15:10:06.000"</f>
        <v>15:10:06.000</v>
      </c>
      <c r="T2006" t="str">
        <f t="shared" si="796"/>
        <v>15:10:06.000</v>
      </c>
      <c r="U2006" t="str">
        <f t="shared" si="787"/>
        <v>A68FCB</v>
      </c>
      <c r="V2006">
        <v>0</v>
      </c>
      <c r="W2006">
        <v>0</v>
      </c>
      <c r="X2006">
        <v>2</v>
      </c>
      <c r="Y2006">
        <v>0</v>
      </c>
      <c r="AA2006">
        <v>1</v>
      </c>
      <c r="AB2006">
        <v>8</v>
      </c>
      <c r="AC2006">
        <v>3</v>
      </c>
      <c r="AD2006">
        <v>0</v>
      </c>
      <c r="AE2006">
        <v>9</v>
      </c>
      <c r="AF2006" t="s">
        <v>138</v>
      </c>
      <c r="AG2006">
        <v>0</v>
      </c>
      <c r="AH2006">
        <v>3</v>
      </c>
      <c r="AI2006">
        <v>2</v>
      </c>
      <c r="AJ2006">
        <v>0</v>
      </c>
      <c r="AK2006" t="s">
        <v>716</v>
      </c>
      <c r="AL2006">
        <v>39.050024000000001</v>
      </c>
      <c r="AM2006" t="s">
        <v>717</v>
      </c>
      <c r="AN2006">
        <v>-121.04154800000001</v>
      </c>
      <c r="AO2006">
        <v>25</v>
      </c>
      <c r="AP2006">
        <v>4400</v>
      </c>
      <c r="AQ2006" t="s">
        <v>131</v>
      </c>
      <c r="AR2006">
        <v>2</v>
      </c>
      <c r="AS2006">
        <v>91</v>
      </c>
      <c r="AT2006">
        <v>384</v>
      </c>
      <c r="BB2006" t="str">
        <f t="shared" si="788"/>
        <v>1200</v>
      </c>
      <c r="BC2006">
        <v>1</v>
      </c>
      <c r="BD2006" t="str">
        <f t="shared" si="789"/>
        <v xml:space="preserve">N52156  </v>
      </c>
      <c r="BE2006">
        <v>1</v>
      </c>
      <c r="BG2006">
        <v>0</v>
      </c>
      <c r="BH2006">
        <v>0</v>
      </c>
      <c r="BI2006">
        <v>0</v>
      </c>
      <c r="BJ2006">
        <v>4425</v>
      </c>
      <c r="BK2006">
        <v>25</v>
      </c>
      <c r="BL2006" t="s">
        <v>188</v>
      </c>
      <c r="BM2006">
        <v>1</v>
      </c>
      <c r="BN2006">
        <v>1</v>
      </c>
      <c r="BO2006">
        <v>0</v>
      </c>
      <c r="BP2006">
        <v>0</v>
      </c>
      <c r="BS2006">
        <v>0</v>
      </c>
      <c r="BT2006">
        <v>0</v>
      </c>
      <c r="BU2006">
        <v>0</v>
      </c>
      <c r="CE2006" t="str">
        <f t="shared" ref="CE2006:CE2011" si="797">"15:10:06.379"</f>
        <v>15:10:06.379</v>
      </c>
      <c r="CF2006">
        <v>379463931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4</v>
      </c>
      <c r="CY2006">
        <v>7</v>
      </c>
      <c r="CZ2006" t="s">
        <v>133</v>
      </c>
      <c r="DA2006">
        <v>275</v>
      </c>
      <c r="DB2006">
        <v>0</v>
      </c>
      <c r="DC2006" t="s">
        <v>134</v>
      </c>
      <c r="DD2006" t="s">
        <v>135</v>
      </c>
      <c r="DG2006">
        <v>3321206</v>
      </c>
      <c r="DI2006">
        <v>1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"05/01/2025 15:10:06.588"</f>
        <v>05/01/2025 15:10:06.588</v>
      </c>
      <c r="C2007" t="str">
        <f t="shared" si="786"/>
        <v>FFDFD3C0</v>
      </c>
      <c r="D2007" t="s">
        <v>145</v>
      </c>
      <c r="E2007" t="str">
        <f>"05"</f>
        <v>05</v>
      </c>
      <c r="H2007">
        <v>47</v>
      </c>
      <c r="I2007" t="s">
        <v>146</v>
      </c>
      <c r="J2007" t="s">
        <v>138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R2007" t="s">
        <v>127</v>
      </c>
      <c r="S2007" t="str">
        <f t="shared" si="796"/>
        <v>15:10:06.000</v>
      </c>
      <c r="T2007" t="str">
        <f t="shared" si="796"/>
        <v>15:10:06.000</v>
      </c>
      <c r="U2007" t="str">
        <f t="shared" si="787"/>
        <v>A68FCB</v>
      </c>
      <c r="V2007">
        <v>0</v>
      </c>
      <c r="W2007">
        <v>0</v>
      </c>
      <c r="X2007">
        <v>2</v>
      </c>
      <c r="Y2007">
        <v>0</v>
      </c>
      <c r="AA2007">
        <v>1</v>
      </c>
      <c r="AB2007">
        <v>8</v>
      </c>
      <c r="AC2007">
        <v>3</v>
      </c>
      <c r="AD2007">
        <v>0</v>
      </c>
      <c r="AE2007">
        <v>9</v>
      </c>
      <c r="AF2007" t="s">
        <v>138</v>
      </c>
      <c r="AG2007">
        <v>0</v>
      </c>
      <c r="AH2007">
        <v>3</v>
      </c>
      <c r="AI2007">
        <v>2</v>
      </c>
      <c r="AJ2007">
        <v>0</v>
      </c>
      <c r="AK2007" t="s">
        <v>716</v>
      </c>
      <c r="AL2007">
        <v>39.050024000000001</v>
      </c>
      <c r="AM2007" t="s">
        <v>717</v>
      </c>
      <c r="AN2007">
        <v>-121.04154800000001</v>
      </c>
      <c r="AO2007">
        <v>25</v>
      </c>
      <c r="AP2007">
        <v>4400</v>
      </c>
      <c r="AQ2007" t="s">
        <v>131</v>
      </c>
      <c r="AR2007">
        <v>2</v>
      </c>
      <c r="AS2007">
        <v>91</v>
      </c>
      <c r="AT2007">
        <v>384</v>
      </c>
      <c r="BB2007" t="str">
        <f t="shared" si="788"/>
        <v>1200</v>
      </c>
      <c r="BC2007">
        <v>1</v>
      </c>
      <c r="BD2007" t="str">
        <f t="shared" si="789"/>
        <v xml:space="preserve">N52156  </v>
      </c>
      <c r="BE2007">
        <v>1</v>
      </c>
      <c r="BG2007">
        <v>0</v>
      </c>
      <c r="BH2007">
        <v>0</v>
      </c>
      <c r="BI2007">
        <v>0</v>
      </c>
      <c r="BJ2007">
        <v>4425</v>
      </c>
      <c r="BK2007">
        <v>25</v>
      </c>
      <c r="BL2007" t="s">
        <v>188</v>
      </c>
      <c r="BM2007">
        <v>1</v>
      </c>
      <c r="BN2007">
        <v>1</v>
      </c>
      <c r="BO2007">
        <v>0</v>
      </c>
      <c r="BP2007">
        <v>0</v>
      </c>
      <c r="BS2007">
        <v>0</v>
      </c>
      <c r="BT2007">
        <v>0</v>
      </c>
      <c r="BU2007">
        <v>0</v>
      </c>
      <c r="CE2007" t="str">
        <f t="shared" si="797"/>
        <v>15:10:06.379</v>
      </c>
      <c r="CF2007">
        <v>379463931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4</v>
      </c>
      <c r="CY2007">
        <v>7</v>
      </c>
      <c r="CZ2007" t="s">
        <v>133</v>
      </c>
      <c r="DA2007">
        <v>275</v>
      </c>
      <c r="DB2007">
        <v>0</v>
      </c>
      <c r="DC2007" t="s">
        <v>134</v>
      </c>
      <c r="DD2007" t="s">
        <v>135</v>
      </c>
      <c r="DG2007">
        <v>3321206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"05/01/2025 15:10:06.591"</f>
        <v>05/01/2025 15:10:06.591</v>
      </c>
      <c r="C2008" t="str">
        <f t="shared" si="786"/>
        <v>FFDFD3C0</v>
      </c>
      <c r="D2008" t="s">
        <v>145</v>
      </c>
      <c r="E2008" t="str">
        <f>"09"</f>
        <v>09</v>
      </c>
      <c r="H2008">
        <v>51</v>
      </c>
      <c r="I2008" t="s">
        <v>147</v>
      </c>
      <c r="J2008" t="s">
        <v>138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R2008" t="s">
        <v>127</v>
      </c>
      <c r="S2008" t="str">
        <f t="shared" si="796"/>
        <v>15:10:06.000</v>
      </c>
      <c r="T2008" t="str">
        <f t="shared" si="796"/>
        <v>15:10:06.000</v>
      </c>
      <c r="U2008" t="str">
        <f t="shared" si="787"/>
        <v>A68FCB</v>
      </c>
      <c r="V2008">
        <v>0</v>
      </c>
      <c r="W2008">
        <v>0</v>
      </c>
      <c r="X2008">
        <v>2</v>
      </c>
      <c r="Y2008">
        <v>0</v>
      </c>
      <c r="AA2008">
        <v>1</v>
      </c>
      <c r="AB2008">
        <v>8</v>
      </c>
      <c r="AC2008">
        <v>3</v>
      </c>
      <c r="AD2008">
        <v>0</v>
      </c>
      <c r="AE2008">
        <v>9</v>
      </c>
      <c r="AF2008" t="s">
        <v>138</v>
      </c>
      <c r="AG2008">
        <v>0</v>
      </c>
      <c r="AH2008">
        <v>3</v>
      </c>
      <c r="AI2008">
        <v>2</v>
      </c>
      <c r="AJ2008">
        <v>0</v>
      </c>
      <c r="AK2008" t="s">
        <v>716</v>
      </c>
      <c r="AL2008">
        <v>39.050024000000001</v>
      </c>
      <c r="AM2008" t="s">
        <v>717</v>
      </c>
      <c r="AN2008">
        <v>-121.04154800000001</v>
      </c>
      <c r="AO2008">
        <v>25</v>
      </c>
      <c r="AP2008">
        <v>4400</v>
      </c>
      <c r="AQ2008" t="s">
        <v>131</v>
      </c>
      <c r="AR2008">
        <v>2</v>
      </c>
      <c r="AS2008">
        <v>91</v>
      </c>
      <c r="AT2008">
        <v>384</v>
      </c>
      <c r="BB2008" t="str">
        <f t="shared" si="788"/>
        <v>1200</v>
      </c>
      <c r="BC2008">
        <v>1</v>
      </c>
      <c r="BD2008" t="str">
        <f t="shared" si="789"/>
        <v xml:space="preserve">N52156  </v>
      </c>
      <c r="BE2008">
        <v>1</v>
      </c>
      <c r="BG2008">
        <v>0</v>
      </c>
      <c r="BH2008">
        <v>0</v>
      </c>
      <c r="BI2008">
        <v>0</v>
      </c>
      <c r="BJ2008">
        <v>4425</v>
      </c>
      <c r="BK2008">
        <v>25</v>
      </c>
      <c r="BL2008" t="s">
        <v>188</v>
      </c>
      <c r="BM2008">
        <v>1</v>
      </c>
      <c r="BN2008">
        <v>1</v>
      </c>
      <c r="BO2008">
        <v>0</v>
      </c>
      <c r="BP2008">
        <v>0</v>
      </c>
      <c r="BS2008">
        <v>0</v>
      </c>
      <c r="BT2008">
        <v>0</v>
      </c>
      <c r="BU2008">
        <v>0</v>
      </c>
      <c r="CE2008" t="str">
        <f t="shared" si="797"/>
        <v>15:10:06.379</v>
      </c>
      <c r="CF2008">
        <v>379463931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4</v>
      </c>
      <c r="CY2008">
        <v>7</v>
      </c>
      <c r="CZ2008" t="s">
        <v>133</v>
      </c>
      <c r="DA2008">
        <v>275</v>
      </c>
      <c r="DB2008">
        <v>0</v>
      </c>
      <c r="DC2008" t="s">
        <v>134</v>
      </c>
      <c r="DD2008" t="s">
        <v>135</v>
      </c>
      <c r="DG2008">
        <v>3321206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"05/01/2025 15:10:06.599"</f>
        <v>05/01/2025 15:10:06.599</v>
      </c>
      <c r="C2009" t="str">
        <f t="shared" si="786"/>
        <v>FFDFD3C0</v>
      </c>
      <c r="D2009" t="s">
        <v>136</v>
      </c>
      <c r="E2009" t="str">
        <f>"20"</f>
        <v>20</v>
      </c>
      <c r="H2009">
        <v>400</v>
      </c>
      <c r="I2009" t="s">
        <v>137</v>
      </c>
      <c r="J2009" t="s">
        <v>138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R2009" t="s">
        <v>127</v>
      </c>
      <c r="S2009" t="str">
        <f t="shared" si="796"/>
        <v>15:10:06.000</v>
      </c>
      <c r="T2009" t="str">
        <f t="shared" si="796"/>
        <v>15:10:06.000</v>
      </c>
      <c r="U2009" t="str">
        <f t="shared" si="787"/>
        <v>A68FCB</v>
      </c>
      <c r="V2009">
        <v>0</v>
      </c>
      <c r="W2009">
        <v>0</v>
      </c>
      <c r="X2009">
        <v>2</v>
      </c>
      <c r="Y2009">
        <v>0</v>
      </c>
      <c r="AA2009">
        <v>1</v>
      </c>
      <c r="AB2009">
        <v>8</v>
      </c>
      <c r="AC2009">
        <v>3</v>
      </c>
      <c r="AD2009">
        <v>0</v>
      </c>
      <c r="AE2009">
        <v>9</v>
      </c>
      <c r="AF2009" t="s">
        <v>138</v>
      </c>
      <c r="AG2009">
        <v>0</v>
      </c>
      <c r="AH2009">
        <v>3</v>
      </c>
      <c r="AI2009">
        <v>2</v>
      </c>
      <c r="AJ2009">
        <v>0</v>
      </c>
      <c r="AK2009" t="s">
        <v>716</v>
      </c>
      <c r="AL2009">
        <v>39.050024000000001</v>
      </c>
      <c r="AM2009" t="s">
        <v>717</v>
      </c>
      <c r="AN2009">
        <v>-121.04154800000001</v>
      </c>
      <c r="AO2009">
        <v>25</v>
      </c>
      <c r="AP2009">
        <v>4400</v>
      </c>
      <c r="AQ2009" t="s">
        <v>131</v>
      </c>
      <c r="AR2009">
        <v>2</v>
      </c>
      <c r="AS2009">
        <v>91</v>
      </c>
      <c r="AT2009">
        <v>384</v>
      </c>
      <c r="BB2009" t="str">
        <f t="shared" si="788"/>
        <v>1200</v>
      </c>
      <c r="BC2009">
        <v>1</v>
      </c>
      <c r="BD2009" t="str">
        <f t="shared" si="789"/>
        <v xml:space="preserve">N52156  </v>
      </c>
      <c r="BE2009">
        <v>1</v>
      </c>
      <c r="BG2009">
        <v>0</v>
      </c>
      <c r="BH2009">
        <v>0</v>
      </c>
      <c r="BI2009">
        <v>0</v>
      </c>
      <c r="BJ2009">
        <v>4425</v>
      </c>
      <c r="BK2009">
        <v>25</v>
      </c>
      <c r="BL2009" t="s">
        <v>188</v>
      </c>
      <c r="BM2009">
        <v>1</v>
      </c>
      <c r="BN2009">
        <v>1</v>
      </c>
      <c r="BO2009">
        <v>0</v>
      </c>
      <c r="BP2009">
        <v>0</v>
      </c>
      <c r="BS2009">
        <v>0</v>
      </c>
      <c r="BT2009">
        <v>0</v>
      </c>
      <c r="BU2009">
        <v>0</v>
      </c>
      <c r="CE2009" t="str">
        <f t="shared" si="797"/>
        <v>15:10:06.379</v>
      </c>
      <c r="CF2009">
        <v>379463931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4</v>
      </c>
      <c r="CY2009">
        <v>7</v>
      </c>
      <c r="CZ2009" t="s">
        <v>133</v>
      </c>
      <c r="DA2009">
        <v>275</v>
      </c>
      <c r="DB2009">
        <v>0</v>
      </c>
      <c r="DC2009" t="s">
        <v>134</v>
      </c>
      <c r="DD2009" t="s">
        <v>135</v>
      </c>
      <c r="DG2009">
        <v>3321206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"05/01/2025 15:10:06.599"</f>
        <v>05/01/2025 15:10:06.599</v>
      </c>
      <c r="C2010" t="str">
        <f t="shared" si="786"/>
        <v>FFDFD3C0</v>
      </c>
      <c r="D2010" t="s">
        <v>143</v>
      </c>
      <c r="E2010" t="str">
        <f>"05"</f>
        <v>05</v>
      </c>
      <c r="H2010">
        <v>172</v>
      </c>
      <c r="I2010" t="s">
        <v>141</v>
      </c>
      <c r="J2010" t="s">
        <v>144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R2010" t="s">
        <v>127</v>
      </c>
      <c r="S2010" t="str">
        <f t="shared" si="796"/>
        <v>15:10:06.000</v>
      </c>
      <c r="T2010" t="str">
        <f t="shared" si="796"/>
        <v>15:10:06.000</v>
      </c>
      <c r="U2010" t="str">
        <f t="shared" si="787"/>
        <v>A68FCB</v>
      </c>
      <c r="V2010">
        <v>0</v>
      </c>
      <c r="W2010">
        <v>0</v>
      </c>
      <c r="X2010">
        <v>2</v>
      </c>
      <c r="Y2010">
        <v>0</v>
      </c>
      <c r="AA2010">
        <v>1</v>
      </c>
      <c r="AB2010">
        <v>8</v>
      </c>
      <c r="AC2010">
        <v>3</v>
      </c>
      <c r="AD2010">
        <v>0</v>
      </c>
      <c r="AE2010">
        <v>9</v>
      </c>
      <c r="AF2010" t="s">
        <v>138</v>
      </c>
      <c r="AG2010">
        <v>0</v>
      </c>
      <c r="AH2010">
        <v>3</v>
      </c>
      <c r="AI2010">
        <v>2</v>
      </c>
      <c r="AJ2010">
        <v>0</v>
      </c>
      <c r="AK2010" t="s">
        <v>716</v>
      </c>
      <c r="AL2010">
        <v>39.050024000000001</v>
      </c>
      <c r="AM2010" t="s">
        <v>717</v>
      </c>
      <c r="AN2010">
        <v>-121.04154800000001</v>
      </c>
      <c r="AO2010">
        <v>25</v>
      </c>
      <c r="AP2010">
        <v>4400</v>
      </c>
      <c r="AQ2010" t="s">
        <v>131</v>
      </c>
      <c r="AR2010">
        <v>2</v>
      </c>
      <c r="AS2010">
        <v>91</v>
      </c>
      <c r="AT2010">
        <v>384</v>
      </c>
      <c r="BB2010" t="str">
        <f t="shared" si="788"/>
        <v>1200</v>
      </c>
      <c r="BC2010">
        <v>1</v>
      </c>
      <c r="BD2010" t="str">
        <f t="shared" si="789"/>
        <v xml:space="preserve">N52156  </v>
      </c>
      <c r="BE2010">
        <v>1</v>
      </c>
      <c r="BG2010">
        <v>0</v>
      </c>
      <c r="BH2010">
        <v>0</v>
      </c>
      <c r="BI2010">
        <v>0</v>
      </c>
      <c r="BJ2010">
        <v>4425</v>
      </c>
      <c r="BK2010">
        <v>25</v>
      </c>
      <c r="BL2010" t="s">
        <v>188</v>
      </c>
      <c r="BM2010">
        <v>1</v>
      </c>
      <c r="BN2010">
        <v>1</v>
      </c>
      <c r="BO2010">
        <v>0</v>
      </c>
      <c r="BP2010">
        <v>0</v>
      </c>
      <c r="BS2010">
        <v>0</v>
      </c>
      <c r="BT2010">
        <v>0</v>
      </c>
      <c r="BU2010">
        <v>0</v>
      </c>
      <c r="CE2010" t="str">
        <f t="shared" si="797"/>
        <v>15:10:06.379</v>
      </c>
      <c r="CF2010">
        <v>379463931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4</v>
      </c>
      <c r="CY2010">
        <v>7</v>
      </c>
      <c r="CZ2010" t="s">
        <v>133</v>
      </c>
      <c r="DA2010">
        <v>275</v>
      </c>
      <c r="DB2010">
        <v>0</v>
      </c>
      <c r="DC2010" t="s">
        <v>134</v>
      </c>
      <c r="DD2010" t="s">
        <v>135</v>
      </c>
      <c r="DG2010">
        <v>3321206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"05/01/2025 15:10:06.628"</f>
        <v>05/01/2025 15:10:06.628</v>
      </c>
      <c r="C2011" t="str">
        <f t="shared" si="786"/>
        <v>FFDFD3C0</v>
      </c>
      <c r="D2011" t="s">
        <v>140</v>
      </c>
      <c r="E2011" t="str">
        <f>"13"</f>
        <v>13</v>
      </c>
      <c r="F2011">
        <v>1019</v>
      </c>
      <c r="G2011" t="s">
        <v>141</v>
      </c>
      <c r="J2011" t="s">
        <v>142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R2011" t="s">
        <v>127</v>
      </c>
      <c r="S2011" t="str">
        <f t="shared" si="796"/>
        <v>15:10:06.000</v>
      </c>
      <c r="T2011" t="str">
        <f t="shared" si="796"/>
        <v>15:10:06.000</v>
      </c>
      <c r="U2011" t="str">
        <f t="shared" si="787"/>
        <v>A68FCB</v>
      </c>
      <c r="V2011">
        <v>0</v>
      </c>
      <c r="W2011">
        <v>0</v>
      </c>
      <c r="X2011">
        <v>2</v>
      </c>
      <c r="Y2011">
        <v>0</v>
      </c>
      <c r="AA2011">
        <v>1</v>
      </c>
      <c r="AB2011">
        <v>8</v>
      </c>
      <c r="AC2011">
        <v>3</v>
      </c>
      <c r="AD2011">
        <v>0</v>
      </c>
      <c r="AE2011">
        <v>9</v>
      </c>
      <c r="AF2011" t="s">
        <v>138</v>
      </c>
      <c r="AG2011">
        <v>0</v>
      </c>
      <c r="AH2011">
        <v>3</v>
      </c>
      <c r="AI2011">
        <v>2</v>
      </c>
      <c r="AJ2011">
        <v>0</v>
      </c>
      <c r="AK2011" t="s">
        <v>716</v>
      </c>
      <c r="AL2011">
        <v>39.050024000000001</v>
      </c>
      <c r="AM2011" t="s">
        <v>717</v>
      </c>
      <c r="AN2011">
        <v>-121.04154800000001</v>
      </c>
      <c r="AO2011">
        <v>25</v>
      </c>
      <c r="AP2011">
        <v>4400</v>
      </c>
      <c r="AQ2011" t="s">
        <v>131</v>
      </c>
      <c r="AR2011">
        <v>2</v>
      </c>
      <c r="AS2011">
        <v>91</v>
      </c>
      <c r="AT2011">
        <v>384</v>
      </c>
      <c r="BB2011" t="str">
        <f t="shared" si="788"/>
        <v>1200</v>
      </c>
      <c r="BC2011">
        <v>1</v>
      </c>
      <c r="BD2011" t="str">
        <f t="shared" si="789"/>
        <v xml:space="preserve">N52156  </v>
      </c>
      <c r="BE2011">
        <v>1</v>
      </c>
      <c r="BG2011">
        <v>0</v>
      </c>
      <c r="BH2011">
        <v>0</v>
      </c>
      <c r="BI2011">
        <v>0</v>
      </c>
      <c r="BJ2011">
        <v>4425</v>
      </c>
      <c r="BK2011">
        <v>25</v>
      </c>
      <c r="BL2011" t="s">
        <v>188</v>
      </c>
      <c r="BM2011">
        <v>1</v>
      </c>
      <c r="BN2011">
        <v>1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 t="shared" si="797"/>
        <v>15:10:06.379</v>
      </c>
      <c r="CF2011">
        <v>379463931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4</v>
      </c>
      <c r="CY2011">
        <v>7</v>
      </c>
      <c r="CZ2011" t="s">
        <v>133</v>
      </c>
      <c r="DA2011">
        <v>275</v>
      </c>
      <c r="DB2011">
        <v>0</v>
      </c>
      <c r="DC2011" t="s">
        <v>134</v>
      </c>
      <c r="DD2011" t="s">
        <v>135</v>
      </c>
      <c r="DG2011">
        <v>3321206</v>
      </c>
      <c r="DI2011">
        <v>1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"05/01/2025 15:10:07.830"</f>
        <v>05/01/2025 15:10:07.830</v>
      </c>
      <c r="C2012" t="str">
        <f t="shared" si="786"/>
        <v>FFDFD3C0</v>
      </c>
      <c r="D2012" t="s">
        <v>140</v>
      </c>
      <c r="E2012" t="str">
        <f>"13"</f>
        <v>13</v>
      </c>
      <c r="F2012">
        <v>1019</v>
      </c>
      <c r="G2012" t="s">
        <v>141</v>
      </c>
      <c r="J2012" t="s">
        <v>142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R2012" t="s">
        <v>127</v>
      </c>
      <c r="S2012" t="str">
        <f t="shared" ref="S2012:T2017" si="798">"15:10:07.000"</f>
        <v>15:10:07.000</v>
      </c>
      <c r="T2012" t="str">
        <f t="shared" si="798"/>
        <v>15:10:07.000</v>
      </c>
      <c r="U2012" t="str">
        <f t="shared" si="787"/>
        <v>A68FCB</v>
      </c>
      <c r="V2012">
        <v>0</v>
      </c>
      <c r="W2012">
        <v>0</v>
      </c>
      <c r="X2012">
        <v>2</v>
      </c>
      <c r="Y2012">
        <v>0</v>
      </c>
      <c r="AA2012">
        <v>1</v>
      </c>
      <c r="AB2012">
        <v>8</v>
      </c>
      <c r="AC2012">
        <v>3</v>
      </c>
      <c r="AD2012">
        <v>0</v>
      </c>
      <c r="AE2012">
        <v>9</v>
      </c>
      <c r="AF2012" t="s">
        <v>138</v>
      </c>
      <c r="AG2012">
        <v>0</v>
      </c>
      <c r="AH2012">
        <v>3</v>
      </c>
      <c r="AI2012">
        <v>2</v>
      </c>
      <c r="AJ2012">
        <v>0</v>
      </c>
      <c r="AK2012" t="s">
        <v>718</v>
      </c>
      <c r="AL2012">
        <v>39.050452999999997</v>
      </c>
      <c r="AM2012" t="s">
        <v>717</v>
      </c>
      <c r="AN2012">
        <v>-121.04154800000001</v>
      </c>
      <c r="AO2012">
        <v>25</v>
      </c>
      <c r="AP2012">
        <v>4400</v>
      </c>
      <c r="AQ2012" t="s">
        <v>131</v>
      </c>
      <c r="AR2012">
        <v>0</v>
      </c>
      <c r="AS2012">
        <v>91</v>
      </c>
      <c r="AT2012">
        <v>320</v>
      </c>
      <c r="BB2012" t="str">
        <f t="shared" si="788"/>
        <v>1200</v>
      </c>
      <c r="BC2012">
        <v>1</v>
      </c>
      <c r="BD2012" t="str">
        <f t="shared" si="789"/>
        <v xml:space="preserve">N52156  </v>
      </c>
      <c r="BE2012">
        <v>1</v>
      </c>
      <c r="BG2012">
        <v>0</v>
      </c>
      <c r="BH2012">
        <v>0</v>
      </c>
      <c r="BI2012">
        <v>0</v>
      </c>
      <c r="BJ2012">
        <v>4450</v>
      </c>
      <c r="BK2012">
        <v>50</v>
      </c>
      <c r="BL2012" t="s">
        <v>188</v>
      </c>
      <c r="BM2012">
        <v>1</v>
      </c>
      <c r="BN2012">
        <v>1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 t="shared" ref="CE2012:CE2017" si="799">"15:10:07.615"</f>
        <v>15:10:07.615</v>
      </c>
      <c r="CF2012">
        <v>615214854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3</v>
      </c>
      <c r="CY2012">
        <v>7</v>
      </c>
      <c r="CZ2012" t="s">
        <v>133</v>
      </c>
      <c r="DA2012">
        <v>275</v>
      </c>
      <c r="DB2012">
        <v>0</v>
      </c>
      <c r="DC2012" t="s">
        <v>134</v>
      </c>
      <c r="DD2012" t="s">
        <v>135</v>
      </c>
      <c r="DG2012">
        <v>3321218</v>
      </c>
      <c r="DI2012">
        <v>1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"05/01/2025 15:10:07.840"</f>
        <v>05/01/2025 15:10:07.840</v>
      </c>
      <c r="C2013" t="str">
        <f t="shared" si="786"/>
        <v>FFDFD3C0</v>
      </c>
      <c r="D2013" t="s">
        <v>145</v>
      </c>
      <c r="E2013" t="str">
        <f>"05"</f>
        <v>05</v>
      </c>
      <c r="H2013">
        <v>47</v>
      </c>
      <c r="I2013" t="s">
        <v>146</v>
      </c>
      <c r="J2013" t="s">
        <v>138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R2013" t="s">
        <v>127</v>
      </c>
      <c r="S2013" t="str">
        <f t="shared" si="798"/>
        <v>15:10:07.000</v>
      </c>
      <c r="T2013" t="str">
        <f t="shared" si="798"/>
        <v>15:10:07.000</v>
      </c>
      <c r="U2013" t="str">
        <f t="shared" si="787"/>
        <v>A68FCB</v>
      </c>
      <c r="V2013">
        <v>0</v>
      </c>
      <c r="W2013">
        <v>0</v>
      </c>
      <c r="X2013">
        <v>2</v>
      </c>
      <c r="Y2013">
        <v>0</v>
      </c>
      <c r="AA2013">
        <v>1</v>
      </c>
      <c r="AB2013">
        <v>8</v>
      </c>
      <c r="AC2013">
        <v>3</v>
      </c>
      <c r="AD2013">
        <v>0</v>
      </c>
      <c r="AE2013">
        <v>9</v>
      </c>
      <c r="AF2013" t="s">
        <v>138</v>
      </c>
      <c r="AG2013">
        <v>0</v>
      </c>
      <c r="AH2013">
        <v>3</v>
      </c>
      <c r="AI2013">
        <v>2</v>
      </c>
      <c r="AJ2013">
        <v>0</v>
      </c>
      <c r="AK2013" t="s">
        <v>718</v>
      </c>
      <c r="AL2013">
        <v>39.050452999999997</v>
      </c>
      <c r="AM2013" t="s">
        <v>717</v>
      </c>
      <c r="AN2013">
        <v>-121.04154800000001</v>
      </c>
      <c r="AO2013">
        <v>25</v>
      </c>
      <c r="AP2013">
        <v>4400</v>
      </c>
      <c r="AQ2013" t="s">
        <v>131</v>
      </c>
      <c r="AR2013">
        <v>0</v>
      </c>
      <c r="AS2013">
        <v>91</v>
      </c>
      <c r="AT2013">
        <v>320</v>
      </c>
      <c r="BB2013" t="str">
        <f t="shared" si="788"/>
        <v>1200</v>
      </c>
      <c r="BC2013">
        <v>1</v>
      </c>
      <c r="BD2013" t="str">
        <f t="shared" si="789"/>
        <v xml:space="preserve">N52156  </v>
      </c>
      <c r="BE2013">
        <v>1</v>
      </c>
      <c r="BG2013">
        <v>0</v>
      </c>
      <c r="BH2013">
        <v>0</v>
      </c>
      <c r="BI2013">
        <v>0</v>
      </c>
      <c r="BJ2013">
        <v>4450</v>
      </c>
      <c r="BK2013">
        <v>50</v>
      </c>
      <c r="BL2013" t="s">
        <v>188</v>
      </c>
      <c r="BM2013">
        <v>1</v>
      </c>
      <c r="BN2013">
        <v>1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 t="shared" si="799"/>
        <v>15:10:07.615</v>
      </c>
      <c r="CF2013">
        <v>615214854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3</v>
      </c>
      <c r="CY2013">
        <v>7</v>
      </c>
      <c r="CZ2013" t="s">
        <v>133</v>
      </c>
      <c r="DA2013">
        <v>275</v>
      </c>
      <c r="DB2013">
        <v>0</v>
      </c>
      <c r="DC2013" t="s">
        <v>134</v>
      </c>
      <c r="DD2013" t="s">
        <v>135</v>
      </c>
      <c r="DG2013">
        <v>3321218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"05/01/2025 15:10:07.839"</f>
        <v>05/01/2025 15:10:07.839</v>
      </c>
      <c r="C2014" t="str">
        <f t="shared" si="786"/>
        <v>FFDFD3C0</v>
      </c>
      <c r="D2014" t="s">
        <v>124</v>
      </c>
      <c r="E2014" t="str">
        <f>"06"</f>
        <v>06</v>
      </c>
      <c r="F2014">
        <v>2006</v>
      </c>
      <c r="G2014" t="s">
        <v>125</v>
      </c>
      <c r="J2014" t="s">
        <v>126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R2014" t="s">
        <v>127</v>
      </c>
      <c r="S2014" t="str">
        <f t="shared" si="798"/>
        <v>15:10:07.000</v>
      </c>
      <c r="T2014" t="str">
        <f t="shared" si="798"/>
        <v>15:10:07.000</v>
      </c>
      <c r="U2014" t="str">
        <f t="shared" si="787"/>
        <v>A68FCB</v>
      </c>
      <c r="V2014">
        <v>0</v>
      </c>
      <c r="W2014">
        <v>0</v>
      </c>
      <c r="X2014">
        <v>2</v>
      </c>
      <c r="Y2014">
        <v>0</v>
      </c>
      <c r="AA2014">
        <v>1</v>
      </c>
      <c r="AB2014">
        <v>8</v>
      </c>
      <c r="AC2014">
        <v>3</v>
      </c>
      <c r="AD2014">
        <v>0</v>
      </c>
      <c r="AE2014">
        <v>9</v>
      </c>
      <c r="AF2014" t="s">
        <v>138</v>
      </c>
      <c r="AG2014">
        <v>0</v>
      </c>
      <c r="AH2014">
        <v>3</v>
      </c>
      <c r="AI2014">
        <v>2</v>
      </c>
      <c r="AJ2014">
        <v>0</v>
      </c>
      <c r="AK2014" t="s">
        <v>718</v>
      </c>
      <c r="AL2014">
        <v>39.050452999999997</v>
      </c>
      <c r="AM2014" t="s">
        <v>717</v>
      </c>
      <c r="AN2014">
        <v>-121.04154800000001</v>
      </c>
      <c r="AO2014">
        <v>25</v>
      </c>
      <c r="AP2014">
        <v>4400</v>
      </c>
      <c r="AQ2014" t="s">
        <v>131</v>
      </c>
      <c r="AR2014">
        <v>0</v>
      </c>
      <c r="AS2014">
        <v>91</v>
      </c>
      <c r="AT2014">
        <v>320</v>
      </c>
      <c r="BB2014" t="str">
        <f t="shared" si="788"/>
        <v>1200</v>
      </c>
      <c r="BC2014">
        <v>1</v>
      </c>
      <c r="BD2014" t="str">
        <f t="shared" si="789"/>
        <v xml:space="preserve">N52156  </v>
      </c>
      <c r="BE2014">
        <v>1</v>
      </c>
      <c r="BG2014">
        <v>0</v>
      </c>
      <c r="BH2014">
        <v>0</v>
      </c>
      <c r="BI2014">
        <v>0</v>
      </c>
      <c r="BJ2014">
        <v>4450</v>
      </c>
      <c r="BK2014">
        <v>50</v>
      </c>
      <c r="BL2014" t="s">
        <v>188</v>
      </c>
      <c r="BM2014">
        <v>1</v>
      </c>
      <c r="BN2014">
        <v>1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 t="shared" si="799"/>
        <v>15:10:07.615</v>
      </c>
      <c r="CF2014">
        <v>615214854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3</v>
      </c>
      <c r="CY2014">
        <v>7</v>
      </c>
      <c r="CZ2014" t="s">
        <v>133</v>
      </c>
      <c r="DA2014">
        <v>275</v>
      </c>
      <c r="DB2014">
        <v>0</v>
      </c>
      <c r="DC2014" t="s">
        <v>134</v>
      </c>
      <c r="DD2014" t="s">
        <v>135</v>
      </c>
      <c r="DG2014">
        <v>3321218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"05/01/2025 15:10:07.843"</f>
        <v>05/01/2025 15:10:07.843</v>
      </c>
      <c r="C2015" t="str">
        <f t="shared" si="786"/>
        <v>FFDFD3C0</v>
      </c>
      <c r="D2015" t="s">
        <v>145</v>
      </c>
      <c r="E2015" t="str">
        <f>"09"</f>
        <v>09</v>
      </c>
      <c r="H2015">
        <v>51</v>
      </c>
      <c r="I2015" t="s">
        <v>147</v>
      </c>
      <c r="J2015" t="s">
        <v>138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R2015" t="s">
        <v>127</v>
      </c>
      <c r="S2015" t="str">
        <f t="shared" si="798"/>
        <v>15:10:07.000</v>
      </c>
      <c r="T2015" t="str">
        <f t="shared" si="798"/>
        <v>15:10:07.000</v>
      </c>
      <c r="U2015" t="str">
        <f t="shared" si="787"/>
        <v>A68FCB</v>
      </c>
      <c r="V2015">
        <v>0</v>
      </c>
      <c r="W2015">
        <v>0</v>
      </c>
      <c r="X2015">
        <v>2</v>
      </c>
      <c r="Y2015">
        <v>0</v>
      </c>
      <c r="AA2015">
        <v>1</v>
      </c>
      <c r="AB2015">
        <v>8</v>
      </c>
      <c r="AC2015">
        <v>3</v>
      </c>
      <c r="AD2015">
        <v>0</v>
      </c>
      <c r="AE2015">
        <v>9</v>
      </c>
      <c r="AF2015" t="s">
        <v>138</v>
      </c>
      <c r="AG2015">
        <v>0</v>
      </c>
      <c r="AH2015">
        <v>3</v>
      </c>
      <c r="AI2015">
        <v>2</v>
      </c>
      <c r="AJ2015">
        <v>0</v>
      </c>
      <c r="AK2015" t="s">
        <v>718</v>
      </c>
      <c r="AL2015">
        <v>39.050452999999997</v>
      </c>
      <c r="AM2015" t="s">
        <v>717</v>
      </c>
      <c r="AN2015">
        <v>-121.04154800000001</v>
      </c>
      <c r="AO2015">
        <v>25</v>
      </c>
      <c r="AP2015">
        <v>4400</v>
      </c>
      <c r="AQ2015" t="s">
        <v>131</v>
      </c>
      <c r="AR2015">
        <v>0</v>
      </c>
      <c r="AS2015">
        <v>91</v>
      </c>
      <c r="AT2015">
        <v>320</v>
      </c>
      <c r="BB2015" t="str">
        <f t="shared" si="788"/>
        <v>1200</v>
      </c>
      <c r="BC2015">
        <v>1</v>
      </c>
      <c r="BD2015" t="str">
        <f t="shared" si="789"/>
        <v xml:space="preserve">N52156  </v>
      </c>
      <c r="BE2015">
        <v>1</v>
      </c>
      <c r="BG2015">
        <v>0</v>
      </c>
      <c r="BH2015">
        <v>0</v>
      </c>
      <c r="BI2015">
        <v>0</v>
      </c>
      <c r="BJ2015">
        <v>4450</v>
      </c>
      <c r="BK2015">
        <v>50</v>
      </c>
      <c r="BL2015" t="s">
        <v>188</v>
      </c>
      <c r="BM2015">
        <v>1</v>
      </c>
      <c r="BN2015">
        <v>1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 t="shared" si="799"/>
        <v>15:10:07.615</v>
      </c>
      <c r="CF2015">
        <v>615214854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3</v>
      </c>
      <c r="CY2015">
        <v>7</v>
      </c>
      <c r="CZ2015" t="s">
        <v>133</v>
      </c>
      <c r="DA2015">
        <v>275</v>
      </c>
      <c r="DB2015">
        <v>0</v>
      </c>
      <c r="DC2015" t="s">
        <v>134</v>
      </c>
      <c r="DD2015" t="s">
        <v>135</v>
      </c>
      <c r="DG2015">
        <v>3321218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"05/01/2025 15:10:07.851"</f>
        <v>05/01/2025 15:10:07.851</v>
      </c>
      <c r="C2016" t="str">
        <f t="shared" si="786"/>
        <v>FFDFD3C0</v>
      </c>
      <c r="D2016" t="s">
        <v>136</v>
      </c>
      <c r="E2016" t="str">
        <f>"20"</f>
        <v>20</v>
      </c>
      <c r="H2016">
        <v>400</v>
      </c>
      <c r="I2016" t="s">
        <v>137</v>
      </c>
      <c r="J2016" t="s">
        <v>138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R2016" t="s">
        <v>127</v>
      </c>
      <c r="S2016" t="str">
        <f t="shared" si="798"/>
        <v>15:10:07.000</v>
      </c>
      <c r="T2016" t="str">
        <f t="shared" si="798"/>
        <v>15:10:07.000</v>
      </c>
      <c r="U2016" t="str">
        <f t="shared" si="787"/>
        <v>A68FCB</v>
      </c>
      <c r="V2016">
        <v>0</v>
      </c>
      <c r="W2016">
        <v>0</v>
      </c>
      <c r="X2016">
        <v>2</v>
      </c>
      <c r="Y2016">
        <v>0</v>
      </c>
      <c r="AA2016">
        <v>1</v>
      </c>
      <c r="AB2016">
        <v>8</v>
      </c>
      <c r="AC2016">
        <v>3</v>
      </c>
      <c r="AD2016">
        <v>0</v>
      </c>
      <c r="AE2016">
        <v>9</v>
      </c>
      <c r="AF2016" t="s">
        <v>138</v>
      </c>
      <c r="AG2016">
        <v>0</v>
      </c>
      <c r="AH2016">
        <v>3</v>
      </c>
      <c r="AI2016">
        <v>2</v>
      </c>
      <c r="AJ2016">
        <v>0</v>
      </c>
      <c r="AK2016" t="s">
        <v>718</v>
      </c>
      <c r="AL2016">
        <v>39.050452999999997</v>
      </c>
      <c r="AM2016" t="s">
        <v>717</v>
      </c>
      <c r="AN2016">
        <v>-121.04154800000001</v>
      </c>
      <c r="AO2016">
        <v>25</v>
      </c>
      <c r="AP2016">
        <v>4400</v>
      </c>
      <c r="AQ2016" t="s">
        <v>131</v>
      </c>
      <c r="AR2016">
        <v>0</v>
      </c>
      <c r="AS2016">
        <v>91</v>
      </c>
      <c r="AT2016">
        <v>320</v>
      </c>
      <c r="BB2016" t="str">
        <f t="shared" si="788"/>
        <v>1200</v>
      </c>
      <c r="BC2016">
        <v>1</v>
      </c>
      <c r="BD2016" t="str">
        <f t="shared" si="789"/>
        <v xml:space="preserve">N52156  </v>
      </c>
      <c r="BE2016">
        <v>1</v>
      </c>
      <c r="BG2016">
        <v>0</v>
      </c>
      <c r="BH2016">
        <v>0</v>
      </c>
      <c r="BI2016">
        <v>0</v>
      </c>
      <c r="BJ2016">
        <v>4450</v>
      </c>
      <c r="BK2016">
        <v>50</v>
      </c>
      <c r="BL2016" t="s">
        <v>188</v>
      </c>
      <c r="BM2016">
        <v>1</v>
      </c>
      <c r="BN2016">
        <v>1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 t="shared" si="799"/>
        <v>15:10:07.615</v>
      </c>
      <c r="CF2016">
        <v>615214854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3</v>
      </c>
      <c r="CY2016">
        <v>7</v>
      </c>
      <c r="CZ2016" t="s">
        <v>133</v>
      </c>
      <c r="DA2016">
        <v>275</v>
      </c>
      <c r="DB2016">
        <v>0</v>
      </c>
      <c r="DC2016" t="s">
        <v>134</v>
      </c>
      <c r="DD2016" t="s">
        <v>135</v>
      </c>
      <c r="DG2016">
        <v>3321218</v>
      </c>
      <c r="DI2016">
        <v>1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"05/01/2025 15:10:07.851"</f>
        <v>05/01/2025 15:10:07.851</v>
      </c>
      <c r="C2017" t="str">
        <f t="shared" si="786"/>
        <v>FFDFD3C0</v>
      </c>
      <c r="D2017" t="s">
        <v>143</v>
      </c>
      <c r="E2017" t="str">
        <f>"05"</f>
        <v>05</v>
      </c>
      <c r="H2017">
        <v>172</v>
      </c>
      <c r="I2017" t="s">
        <v>141</v>
      </c>
      <c r="J2017" t="s">
        <v>144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R2017" t="s">
        <v>127</v>
      </c>
      <c r="S2017" t="str">
        <f t="shared" si="798"/>
        <v>15:10:07.000</v>
      </c>
      <c r="T2017" t="str">
        <f t="shared" si="798"/>
        <v>15:10:07.000</v>
      </c>
      <c r="U2017" t="str">
        <f t="shared" si="787"/>
        <v>A68FCB</v>
      </c>
      <c r="V2017">
        <v>0</v>
      </c>
      <c r="W2017">
        <v>0</v>
      </c>
      <c r="X2017">
        <v>2</v>
      </c>
      <c r="Y2017">
        <v>0</v>
      </c>
      <c r="AA2017">
        <v>1</v>
      </c>
      <c r="AB2017">
        <v>8</v>
      </c>
      <c r="AC2017">
        <v>3</v>
      </c>
      <c r="AD2017">
        <v>0</v>
      </c>
      <c r="AE2017">
        <v>9</v>
      </c>
      <c r="AF2017" t="s">
        <v>138</v>
      </c>
      <c r="AG2017">
        <v>0</v>
      </c>
      <c r="AH2017">
        <v>3</v>
      </c>
      <c r="AI2017">
        <v>2</v>
      </c>
      <c r="AJ2017">
        <v>0</v>
      </c>
      <c r="AK2017" t="s">
        <v>718</v>
      </c>
      <c r="AL2017">
        <v>39.050452999999997</v>
      </c>
      <c r="AM2017" t="s">
        <v>717</v>
      </c>
      <c r="AN2017">
        <v>-121.04154800000001</v>
      </c>
      <c r="AO2017">
        <v>25</v>
      </c>
      <c r="AP2017">
        <v>4400</v>
      </c>
      <c r="AQ2017" t="s">
        <v>131</v>
      </c>
      <c r="AR2017">
        <v>0</v>
      </c>
      <c r="AS2017">
        <v>91</v>
      </c>
      <c r="AT2017">
        <v>320</v>
      </c>
      <c r="BB2017" t="str">
        <f t="shared" si="788"/>
        <v>1200</v>
      </c>
      <c r="BC2017">
        <v>1</v>
      </c>
      <c r="BD2017" t="str">
        <f t="shared" si="789"/>
        <v xml:space="preserve">N52156  </v>
      </c>
      <c r="BE2017">
        <v>1</v>
      </c>
      <c r="BG2017">
        <v>0</v>
      </c>
      <c r="BH2017">
        <v>0</v>
      </c>
      <c r="BI2017">
        <v>0</v>
      </c>
      <c r="BJ2017">
        <v>4450</v>
      </c>
      <c r="BK2017">
        <v>50</v>
      </c>
      <c r="BL2017" t="s">
        <v>188</v>
      </c>
      <c r="BM2017">
        <v>1</v>
      </c>
      <c r="BN2017">
        <v>1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 t="shared" si="799"/>
        <v>15:10:07.615</v>
      </c>
      <c r="CF2017">
        <v>615214854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3</v>
      </c>
      <c r="CY2017">
        <v>7</v>
      </c>
      <c r="CZ2017" t="s">
        <v>133</v>
      </c>
      <c r="DA2017">
        <v>275</v>
      </c>
      <c r="DB2017">
        <v>0</v>
      </c>
      <c r="DC2017" t="s">
        <v>134</v>
      </c>
      <c r="DD2017" t="s">
        <v>135</v>
      </c>
      <c r="DG2017">
        <v>3321218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"05/01/2025 15:10:09.182"</f>
        <v>05/01/2025 15:10:09.182</v>
      </c>
      <c r="C2018" t="str">
        <f t="shared" si="786"/>
        <v>FFDFD3C0</v>
      </c>
      <c r="D2018" t="s">
        <v>140</v>
      </c>
      <c r="E2018" t="str">
        <f>"13"</f>
        <v>13</v>
      </c>
      <c r="F2018">
        <v>1019</v>
      </c>
      <c r="G2018" t="s">
        <v>141</v>
      </c>
      <c r="J2018" t="s">
        <v>142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R2018" t="s">
        <v>127</v>
      </c>
      <c r="S2018" t="str">
        <f t="shared" ref="S2018:T2023" si="800">"15:10:08.000"</f>
        <v>15:10:08.000</v>
      </c>
      <c r="T2018" t="str">
        <f t="shared" si="800"/>
        <v>15:10:08.000</v>
      </c>
      <c r="U2018" t="str">
        <f t="shared" si="787"/>
        <v>A68FCB</v>
      </c>
      <c r="V2018">
        <v>0</v>
      </c>
      <c r="W2018">
        <v>0</v>
      </c>
      <c r="X2018">
        <v>2</v>
      </c>
      <c r="Y2018">
        <v>0</v>
      </c>
      <c r="AA2018">
        <v>1</v>
      </c>
      <c r="AB2018">
        <v>8</v>
      </c>
      <c r="AC2018">
        <v>3</v>
      </c>
      <c r="AD2018">
        <v>0</v>
      </c>
      <c r="AE2018">
        <v>9</v>
      </c>
      <c r="AF2018" t="s">
        <v>138</v>
      </c>
      <c r="AG2018">
        <v>0</v>
      </c>
      <c r="AH2018">
        <v>3</v>
      </c>
      <c r="AI2018">
        <v>2</v>
      </c>
      <c r="AJ2018">
        <v>0</v>
      </c>
      <c r="AK2018" t="s">
        <v>719</v>
      </c>
      <c r="AL2018">
        <v>39.05086</v>
      </c>
      <c r="AM2018" t="s">
        <v>720</v>
      </c>
      <c r="AN2018">
        <v>-121.041527</v>
      </c>
      <c r="AO2018">
        <v>25</v>
      </c>
      <c r="AP2018">
        <v>4400</v>
      </c>
      <c r="AQ2018" t="s">
        <v>131</v>
      </c>
      <c r="AR2018">
        <v>0</v>
      </c>
      <c r="AS2018">
        <v>92</v>
      </c>
      <c r="AT2018">
        <v>192</v>
      </c>
      <c r="BB2018" t="str">
        <f t="shared" si="788"/>
        <v>1200</v>
      </c>
      <c r="BC2018">
        <v>1</v>
      </c>
      <c r="BD2018" t="str">
        <f t="shared" si="789"/>
        <v xml:space="preserve">N52156  </v>
      </c>
      <c r="BE2018">
        <v>1</v>
      </c>
      <c r="BG2018">
        <v>0</v>
      </c>
      <c r="BH2018">
        <v>0</v>
      </c>
      <c r="BI2018">
        <v>0</v>
      </c>
      <c r="BJ2018">
        <v>4450</v>
      </c>
      <c r="BK2018">
        <v>50</v>
      </c>
      <c r="BL2018" t="s">
        <v>188</v>
      </c>
      <c r="BM2018">
        <v>1</v>
      </c>
      <c r="BN2018">
        <v>1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 t="shared" ref="CE2018:CE2023" si="801">"15:10:08.935"</f>
        <v>15:10:08.935</v>
      </c>
      <c r="CF2018">
        <v>934715754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3</v>
      </c>
      <c r="CY2018">
        <v>7</v>
      </c>
      <c r="CZ2018" t="s">
        <v>133</v>
      </c>
      <c r="DA2018">
        <v>275</v>
      </c>
      <c r="DB2018">
        <v>0</v>
      </c>
      <c r="DC2018" t="s">
        <v>134</v>
      </c>
      <c r="DD2018" t="s">
        <v>135</v>
      </c>
      <c r="DG2018">
        <v>3321229</v>
      </c>
      <c r="DI2018">
        <v>1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"05/01/2025 15:10:09.191"</f>
        <v>05/01/2025 15:10:09.191</v>
      </c>
      <c r="C2019" t="str">
        <f t="shared" si="786"/>
        <v>FFDFD3C0</v>
      </c>
      <c r="D2019" t="s">
        <v>124</v>
      </c>
      <c r="E2019" t="str">
        <f>"06"</f>
        <v>06</v>
      </c>
      <c r="F2019">
        <v>2006</v>
      </c>
      <c r="G2019" t="s">
        <v>125</v>
      </c>
      <c r="J2019" t="s">
        <v>126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R2019" t="s">
        <v>127</v>
      </c>
      <c r="S2019" t="str">
        <f t="shared" si="800"/>
        <v>15:10:08.000</v>
      </c>
      <c r="T2019" t="str">
        <f t="shared" si="800"/>
        <v>15:10:08.000</v>
      </c>
      <c r="U2019" t="str">
        <f t="shared" si="787"/>
        <v>A68FCB</v>
      </c>
      <c r="V2019">
        <v>0</v>
      </c>
      <c r="W2019">
        <v>0</v>
      </c>
      <c r="X2019">
        <v>2</v>
      </c>
      <c r="Y2019">
        <v>0</v>
      </c>
      <c r="AA2019">
        <v>1</v>
      </c>
      <c r="AB2019">
        <v>8</v>
      </c>
      <c r="AC2019">
        <v>3</v>
      </c>
      <c r="AD2019">
        <v>0</v>
      </c>
      <c r="AE2019">
        <v>9</v>
      </c>
      <c r="AF2019" t="s">
        <v>138</v>
      </c>
      <c r="AG2019">
        <v>0</v>
      </c>
      <c r="AH2019">
        <v>3</v>
      </c>
      <c r="AI2019">
        <v>2</v>
      </c>
      <c r="AJ2019">
        <v>0</v>
      </c>
      <c r="AK2019" t="s">
        <v>719</v>
      </c>
      <c r="AL2019">
        <v>39.05086</v>
      </c>
      <c r="AM2019" t="s">
        <v>720</v>
      </c>
      <c r="AN2019">
        <v>-121.041527</v>
      </c>
      <c r="AO2019">
        <v>25</v>
      </c>
      <c r="AP2019">
        <v>4400</v>
      </c>
      <c r="AQ2019" t="s">
        <v>131</v>
      </c>
      <c r="AR2019">
        <v>0</v>
      </c>
      <c r="AS2019">
        <v>92</v>
      </c>
      <c r="AT2019">
        <v>192</v>
      </c>
      <c r="BB2019" t="str">
        <f t="shared" si="788"/>
        <v>1200</v>
      </c>
      <c r="BC2019">
        <v>1</v>
      </c>
      <c r="BD2019" t="str">
        <f t="shared" si="789"/>
        <v xml:space="preserve">N52156  </v>
      </c>
      <c r="BE2019">
        <v>1</v>
      </c>
      <c r="BG2019">
        <v>0</v>
      </c>
      <c r="BH2019">
        <v>0</v>
      </c>
      <c r="BI2019">
        <v>0</v>
      </c>
      <c r="BJ2019">
        <v>4450</v>
      </c>
      <c r="BK2019">
        <v>50</v>
      </c>
      <c r="BL2019" t="s">
        <v>188</v>
      </c>
      <c r="BM2019">
        <v>1</v>
      </c>
      <c r="BN2019">
        <v>1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 t="shared" si="801"/>
        <v>15:10:08.935</v>
      </c>
      <c r="CF2019">
        <v>934715754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3</v>
      </c>
      <c r="CY2019">
        <v>7</v>
      </c>
      <c r="CZ2019" t="s">
        <v>133</v>
      </c>
      <c r="DA2019">
        <v>275</v>
      </c>
      <c r="DB2019">
        <v>0</v>
      </c>
      <c r="DC2019" t="s">
        <v>134</v>
      </c>
      <c r="DD2019" t="s">
        <v>135</v>
      </c>
      <c r="DG2019">
        <v>3321229</v>
      </c>
      <c r="DI2019">
        <v>1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"05/01/2025 15:10:09.193"</f>
        <v>05/01/2025 15:10:09.193</v>
      </c>
      <c r="C2020" t="str">
        <f t="shared" si="786"/>
        <v>FFDFD3C0</v>
      </c>
      <c r="D2020" t="s">
        <v>145</v>
      </c>
      <c r="E2020" t="str">
        <f>"05"</f>
        <v>05</v>
      </c>
      <c r="H2020">
        <v>47</v>
      </c>
      <c r="I2020" t="s">
        <v>146</v>
      </c>
      <c r="J2020" t="s">
        <v>138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R2020" t="s">
        <v>127</v>
      </c>
      <c r="S2020" t="str">
        <f t="shared" si="800"/>
        <v>15:10:08.000</v>
      </c>
      <c r="T2020" t="str">
        <f t="shared" si="800"/>
        <v>15:10:08.000</v>
      </c>
      <c r="U2020" t="str">
        <f t="shared" si="787"/>
        <v>A68FCB</v>
      </c>
      <c r="V2020">
        <v>0</v>
      </c>
      <c r="W2020">
        <v>0</v>
      </c>
      <c r="X2020">
        <v>2</v>
      </c>
      <c r="Y2020">
        <v>0</v>
      </c>
      <c r="AA2020">
        <v>1</v>
      </c>
      <c r="AB2020">
        <v>8</v>
      </c>
      <c r="AC2020">
        <v>3</v>
      </c>
      <c r="AD2020">
        <v>0</v>
      </c>
      <c r="AE2020">
        <v>9</v>
      </c>
      <c r="AF2020" t="s">
        <v>138</v>
      </c>
      <c r="AG2020">
        <v>0</v>
      </c>
      <c r="AH2020">
        <v>3</v>
      </c>
      <c r="AI2020">
        <v>2</v>
      </c>
      <c r="AJ2020">
        <v>0</v>
      </c>
      <c r="AK2020" t="s">
        <v>719</v>
      </c>
      <c r="AL2020">
        <v>39.05086</v>
      </c>
      <c r="AM2020" t="s">
        <v>720</v>
      </c>
      <c r="AN2020">
        <v>-121.041527</v>
      </c>
      <c r="AO2020">
        <v>25</v>
      </c>
      <c r="AP2020">
        <v>4400</v>
      </c>
      <c r="AQ2020" t="s">
        <v>131</v>
      </c>
      <c r="AR2020">
        <v>0</v>
      </c>
      <c r="AS2020">
        <v>92</v>
      </c>
      <c r="AT2020">
        <v>192</v>
      </c>
      <c r="BB2020" t="str">
        <f t="shared" si="788"/>
        <v>1200</v>
      </c>
      <c r="BC2020">
        <v>1</v>
      </c>
      <c r="BD2020" t="str">
        <f t="shared" si="789"/>
        <v xml:space="preserve">N52156  </v>
      </c>
      <c r="BE2020">
        <v>1</v>
      </c>
      <c r="BG2020">
        <v>0</v>
      </c>
      <c r="BH2020">
        <v>0</v>
      </c>
      <c r="BI2020">
        <v>0</v>
      </c>
      <c r="BJ2020">
        <v>4450</v>
      </c>
      <c r="BK2020">
        <v>50</v>
      </c>
      <c r="BL2020" t="s">
        <v>188</v>
      </c>
      <c r="BM2020">
        <v>1</v>
      </c>
      <c r="BN2020">
        <v>1</v>
      </c>
      <c r="BO2020">
        <v>0</v>
      </c>
      <c r="BP2020">
        <v>0</v>
      </c>
      <c r="BS2020">
        <v>0</v>
      </c>
      <c r="BT2020">
        <v>0</v>
      </c>
      <c r="BU2020">
        <v>0</v>
      </c>
      <c r="CE2020" t="str">
        <f t="shared" si="801"/>
        <v>15:10:08.935</v>
      </c>
      <c r="CF2020">
        <v>934715754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3</v>
      </c>
      <c r="CY2020">
        <v>7</v>
      </c>
      <c r="CZ2020" t="s">
        <v>133</v>
      </c>
      <c r="DA2020">
        <v>275</v>
      </c>
      <c r="DB2020">
        <v>0</v>
      </c>
      <c r="DC2020" t="s">
        <v>134</v>
      </c>
      <c r="DD2020" t="s">
        <v>135</v>
      </c>
      <c r="DG2020">
        <v>3321229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"05/01/2025 15:10:09.196"</f>
        <v>05/01/2025 15:10:09.196</v>
      </c>
      <c r="C2021" t="str">
        <f t="shared" si="786"/>
        <v>FFDFD3C0</v>
      </c>
      <c r="D2021" t="s">
        <v>145</v>
      </c>
      <c r="E2021" t="str">
        <f>"09"</f>
        <v>09</v>
      </c>
      <c r="H2021">
        <v>51</v>
      </c>
      <c r="I2021" t="s">
        <v>147</v>
      </c>
      <c r="J2021" t="s">
        <v>138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R2021" t="s">
        <v>127</v>
      </c>
      <c r="S2021" t="str">
        <f t="shared" si="800"/>
        <v>15:10:08.000</v>
      </c>
      <c r="T2021" t="str">
        <f t="shared" si="800"/>
        <v>15:10:08.000</v>
      </c>
      <c r="U2021" t="str">
        <f t="shared" si="787"/>
        <v>A68FCB</v>
      </c>
      <c r="V2021">
        <v>0</v>
      </c>
      <c r="W2021">
        <v>0</v>
      </c>
      <c r="X2021">
        <v>2</v>
      </c>
      <c r="Y2021">
        <v>0</v>
      </c>
      <c r="AA2021">
        <v>1</v>
      </c>
      <c r="AB2021">
        <v>8</v>
      </c>
      <c r="AC2021">
        <v>3</v>
      </c>
      <c r="AD2021">
        <v>0</v>
      </c>
      <c r="AE2021">
        <v>9</v>
      </c>
      <c r="AF2021" t="s">
        <v>138</v>
      </c>
      <c r="AG2021">
        <v>0</v>
      </c>
      <c r="AH2021">
        <v>3</v>
      </c>
      <c r="AI2021">
        <v>2</v>
      </c>
      <c r="AJ2021">
        <v>0</v>
      </c>
      <c r="AK2021" t="s">
        <v>719</v>
      </c>
      <c r="AL2021">
        <v>39.05086</v>
      </c>
      <c r="AM2021" t="s">
        <v>720</v>
      </c>
      <c r="AN2021">
        <v>-121.041527</v>
      </c>
      <c r="AO2021">
        <v>25</v>
      </c>
      <c r="AP2021">
        <v>4400</v>
      </c>
      <c r="AQ2021" t="s">
        <v>131</v>
      </c>
      <c r="AR2021">
        <v>0</v>
      </c>
      <c r="AS2021">
        <v>92</v>
      </c>
      <c r="AT2021">
        <v>192</v>
      </c>
      <c r="BB2021" t="str">
        <f t="shared" si="788"/>
        <v>1200</v>
      </c>
      <c r="BC2021">
        <v>1</v>
      </c>
      <c r="BD2021" t="str">
        <f t="shared" si="789"/>
        <v xml:space="preserve">N52156  </v>
      </c>
      <c r="BE2021">
        <v>1</v>
      </c>
      <c r="BG2021">
        <v>0</v>
      </c>
      <c r="BH2021">
        <v>0</v>
      </c>
      <c r="BI2021">
        <v>0</v>
      </c>
      <c r="BJ2021">
        <v>4450</v>
      </c>
      <c r="BK2021">
        <v>50</v>
      </c>
      <c r="BL2021" t="s">
        <v>188</v>
      </c>
      <c r="BM2021">
        <v>1</v>
      </c>
      <c r="BN2021">
        <v>1</v>
      </c>
      <c r="BO2021">
        <v>0</v>
      </c>
      <c r="BP2021">
        <v>0</v>
      </c>
      <c r="BS2021">
        <v>0</v>
      </c>
      <c r="BT2021">
        <v>0</v>
      </c>
      <c r="BU2021">
        <v>0</v>
      </c>
      <c r="CE2021" t="str">
        <f t="shared" si="801"/>
        <v>15:10:08.935</v>
      </c>
      <c r="CF2021">
        <v>934715754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3</v>
      </c>
      <c r="CY2021">
        <v>7</v>
      </c>
      <c r="CZ2021" t="s">
        <v>133</v>
      </c>
      <c r="DA2021">
        <v>275</v>
      </c>
      <c r="DB2021">
        <v>0</v>
      </c>
      <c r="DC2021" t="s">
        <v>134</v>
      </c>
      <c r="DD2021" t="s">
        <v>135</v>
      </c>
      <c r="DG2021">
        <v>3321229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"05/01/2025 15:10:09.204"</f>
        <v>05/01/2025 15:10:09.204</v>
      </c>
      <c r="C2022" t="str">
        <f t="shared" si="786"/>
        <v>FFDFD3C0</v>
      </c>
      <c r="D2022" t="s">
        <v>136</v>
      </c>
      <c r="E2022" t="str">
        <f>"20"</f>
        <v>20</v>
      </c>
      <c r="H2022">
        <v>400</v>
      </c>
      <c r="I2022" t="s">
        <v>137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R2022" t="s">
        <v>127</v>
      </c>
      <c r="S2022" t="str">
        <f t="shared" si="800"/>
        <v>15:10:08.000</v>
      </c>
      <c r="T2022" t="str">
        <f t="shared" si="800"/>
        <v>15:10:08.000</v>
      </c>
      <c r="U2022" t="str">
        <f t="shared" si="787"/>
        <v>A68FCB</v>
      </c>
      <c r="V2022">
        <v>0</v>
      </c>
      <c r="W2022">
        <v>0</v>
      </c>
      <c r="X2022">
        <v>2</v>
      </c>
      <c r="Y2022">
        <v>0</v>
      </c>
      <c r="AA2022">
        <v>1</v>
      </c>
      <c r="AB2022">
        <v>8</v>
      </c>
      <c r="AC2022">
        <v>3</v>
      </c>
      <c r="AD2022">
        <v>0</v>
      </c>
      <c r="AE2022">
        <v>9</v>
      </c>
      <c r="AF2022" t="s">
        <v>138</v>
      </c>
      <c r="AG2022">
        <v>0</v>
      </c>
      <c r="AH2022">
        <v>3</v>
      </c>
      <c r="AI2022">
        <v>2</v>
      </c>
      <c r="AJ2022">
        <v>0</v>
      </c>
      <c r="AK2022" t="s">
        <v>719</v>
      </c>
      <c r="AL2022">
        <v>39.05086</v>
      </c>
      <c r="AM2022" t="s">
        <v>720</v>
      </c>
      <c r="AN2022">
        <v>-121.041527</v>
      </c>
      <c r="AO2022">
        <v>25</v>
      </c>
      <c r="AP2022">
        <v>4400</v>
      </c>
      <c r="AQ2022" t="s">
        <v>131</v>
      </c>
      <c r="AR2022">
        <v>0</v>
      </c>
      <c r="AS2022">
        <v>92</v>
      </c>
      <c r="AT2022">
        <v>192</v>
      </c>
      <c r="BB2022" t="str">
        <f t="shared" si="788"/>
        <v>1200</v>
      </c>
      <c r="BC2022">
        <v>1</v>
      </c>
      <c r="BD2022" t="str">
        <f t="shared" si="789"/>
        <v xml:space="preserve">N52156  </v>
      </c>
      <c r="BE2022">
        <v>1</v>
      </c>
      <c r="BG2022">
        <v>0</v>
      </c>
      <c r="BH2022">
        <v>0</v>
      </c>
      <c r="BI2022">
        <v>0</v>
      </c>
      <c r="BJ2022">
        <v>4450</v>
      </c>
      <c r="BK2022">
        <v>50</v>
      </c>
      <c r="BL2022" t="s">
        <v>188</v>
      </c>
      <c r="BM2022">
        <v>1</v>
      </c>
      <c r="BN2022">
        <v>1</v>
      </c>
      <c r="BO2022">
        <v>0</v>
      </c>
      <c r="BP2022">
        <v>0</v>
      </c>
      <c r="BS2022">
        <v>0</v>
      </c>
      <c r="BT2022">
        <v>0</v>
      </c>
      <c r="BU2022">
        <v>0</v>
      </c>
      <c r="CE2022" t="str">
        <f t="shared" si="801"/>
        <v>15:10:08.935</v>
      </c>
      <c r="CF2022">
        <v>934715754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3</v>
      </c>
      <c r="CY2022">
        <v>7</v>
      </c>
      <c r="CZ2022" t="s">
        <v>133</v>
      </c>
      <c r="DA2022">
        <v>275</v>
      </c>
      <c r="DB2022">
        <v>0</v>
      </c>
      <c r="DC2022" t="s">
        <v>134</v>
      </c>
      <c r="DD2022" t="s">
        <v>135</v>
      </c>
      <c r="DG2022">
        <v>3321229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"05/01/2025 15:10:09.203"</f>
        <v>05/01/2025 15:10:09.203</v>
      </c>
      <c r="C2023" t="str">
        <f t="shared" si="786"/>
        <v>FFDFD3C0</v>
      </c>
      <c r="D2023" t="s">
        <v>143</v>
      </c>
      <c r="E2023" t="str">
        <f>"05"</f>
        <v>05</v>
      </c>
      <c r="H2023">
        <v>172</v>
      </c>
      <c r="I2023" t="s">
        <v>141</v>
      </c>
      <c r="J2023" t="s">
        <v>144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R2023" t="s">
        <v>127</v>
      </c>
      <c r="S2023" t="str">
        <f t="shared" si="800"/>
        <v>15:10:08.000</v>
      </c>
      <c r="T2023" t="str">
        <f t="shared" si="800"/>
        <v>15:10:08.000</v>
      </c>
      <c r="U2023" t="str">
        <f t="shared" si="787"/>
        <v>A68FCB</v>
      </c>
      <c r="V2023">
        <v>0</v>
      </c>
      <c r="W2023">
        <v>0</v>
      </c>
      <c r="X2023">
        <v>2</v>
      </c>
      <c r="Y2023">
        <v>0</v>
      </c>
      <c r="AA2023">
        <v>1</v>
      </c>
      <c r="AB2023">
        <v>8</v>
      </c>
      <c r="AC2023">
        <v>3</v>
      </c>
      <c r="AD2023">
        <v>0</v>
      </c>
      <c r="AE2023">
        <v>9</v>
      </c>
      <c r="AF2023" t="s">
        <v>138</v>
      </c>
      <c r="AG2023">
        <v>0</v>
      </c>
      <c r="AH2023">
        <v>3</v>
      </c>
      <c r="AI2023">
        <v>2</v>
      </c>
      <c r="AJ2023">
        <v>0</v>
      </c>
      <c r="AK2023" t="s">
        <v>719</v>
      </c>
      <c r="AL2023">
        <v>39.05086</v>
      </c>
      <c r="AM2023" t="s">
        <v>720</v>
      </c>
      <c r="AN2023">
        <v>-121.041527</v>
      </c>
      <c r="AO2023">
        <v>25</v>
      </c>
      <c r="AP2023">
        <v>4400</v>
      </c>
      <c r="AQ2023" t="s">
        <v>131</v>
      </c>
      <c r="AR2023">
        <v>0</v>
      </c>
      <c r="AS2023">
        <v>92</v>
      </c>
      <c r="AT2023">
        <v>192</v>
      </c>
      <c r="BB2023" t="str">
        <f t="shared" si="788"/>
        <v>1200</v>
      </c>
      <c r="BC2023">
        <v>1</v>
      </c>
      <c r="BD2023" t="str">
        <f t="shared" si="789"/>
        <v xml:space="preserve">N52156  </v>
      </c>
      <c r="BE2023">
        <v>1</v>
      </c>
      <c r="BG2023">
        <v>0</v>
      </c>
      <c r="BH2023">
        <v>0</v>
      </c>
      <c r="BI2023">
        <v>0</v>
      </c>
      <c r="BJ2023">
        <v>4450</v>
      </c>
      <c r="BK2023">
        <v>50</v>
      </c>
      <c r="BL2023" t="s">
        <v>188</v>
      </c>
      <c r="BM2023">
        <v>1</v>
      </c>
      <c r="BN2023">
        <v>1</v>
      </c>
      <c r="BO2023">
        <v>0</v>
      </c>
      <c r="BP2023">
        <v>0</v>
      </c>
      <c r="BS2023">
        <v>0</v>
      </c>
      <c r="BT2023">
        <v>0</v>
      </c>
      <c r="BU2023">
        <v>0</v>
      </c>
      <c r="CE2023" t="str">
        <f t="shared" si="801"/>
        <v>15:10:08.935</v>
      </c>
      <c r="CF2023">
        <v>934715754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3</v>
      </c>
      <c r="CY2023">
        <v>7</v>
      </c>
      <c r="CZ2023" t="s">
        <v>133</v>
      </c>
      <c r="DA2023">
        <v>275</v>
      </c>
      <c r="DB2023">
        <v>0</v>
      </c>
      <c r="DC2023" t="s">
        <v>134</v>
      </c>
      <c r="DD2023" t="s">
        <v>135</v>
      </c>
      <c r="DG2023">
        <v>3321229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"05/01/2025 15:10:09.783"</f>
        <v>05/01/2025 15:10:09.783</v>
      </c>
      <c r="C2024" t="str">
        <f t="shared" si="786"/>
        <v>FFDFD3C0</v>
      </c>
      <c r="D2024" t="s">
        <v>140</v>
      </c>
      <c r="E2024" t="str">
        <f>"13"</f>
        <v>13</v>
      </c>
      <c r="F2024">
        <v>1019</v>
      </c>
      <c r="G2024" t="s">
        <v>141</v>
      </c>
      <c r="J2024" t="s">
        <v>142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R2024" t="s">
        <v>127</v>
      </c>
      <c r="S2024" t="str">
        <f t="shared" ref="S2024:T2029" si="802">"15:10:09.000"</f>
        <v>15:10:09.000</v>
      </c>
      <c r="T2024" t="str">
        <f t="shared" si="802"/>
        <v>15:10:09.000</v>
      </c>
      <c r="U2024" t="str">
        <f t="shared" si="787"/>
        <v>A68FCB</v>
      </c>
      <c r="V2024">
        <v>0</v>
      </c>
      <c r="W2024">
        <v>0</v>
      </c>
      <c r="X2024">
        <v>2</v>
      </c>
      <c r="Y2024">
        <v>0</v>
      </c>
      <c r="AA2024">
        <v>1</v>
      </c>
      <c r="AB2024">
        <v>8</v>
      </c>
      <c r="AC2024">
        <v>3</v>
      </c>
      <c r="AD2024">
        <v>0</v>
      </c>
      <c r="AE2024">
        <v>9</v>
      </c>
      <c r="AF2024" t="s">
        <v>138</v>
      </c>
      <c r="AG2024">
        <v>0</v>
      </c>
      <c r="AH2024">
        <v>3</v>
      </c>
      <c r="AI2024">
        <v>2</v>
      </c>
      <c r="AJ2024">
        <v>0</v>
      </c>
      <c r="AK2024" t="s">
        <v>721</v>
      </c>
      <c r="AL2024">
        <v>39.051268</v>
      </c>
      <c r="AM2024" t="s">
        <v>717</v>
      </c>
      <c r="AN2024">
        <v>-121.04154800000001</v>
      </c>
      <c r="AO2024">
        <v>25</v>
      </c>
      <c r="AP2024">
        <v>4400</v>
      </c>
      <c r="AQ2024" t="s">
        <v>131</v>
      </c>
      <c r="AR2024">
        <v>0</v>
      </c>
      <c r="AS2024">
        <v>92</v>
      </c>
      <c r="AT2024">
        <v>128</v>
      </c>
      <c r="BB2024" t="str">
        <f t="shared" si="788"/>
        <v>1200</v>
      </c>
      <c r="BC2024">
        <v>1</v>
      </c>
      <c r="BD2024" t="str">
        <f t="shared" si="789"/>
        <v xml:space="preserve">N52156  </v>
      </c>
      <c r="BE2024">
        <v>1</v>
      </c>
      <c r="BG2024">
        <v>0</v>
      </c>
      <c r="BH2024">
        <v>0</v>
      </c>
      <c r="BI2024">
        <v>0</v>
      </c>
      <c r="BJ2024">
        <v>4475</v>
      </c>
      <c r="BK2024">
        <v>75</v>
      </c>
      <c r="BL2024" t="s">
        <v>188</v>
      </c>
      <c r="BM2024">
        <v>1</v>
      </c>
      <c r="BN2024">
        <v>1</v>
      </c>
      <c r="BO2024">
        <v>0</v>
      </c>
      <c r="BP2024">
        <v>0</v>
      </c>
      <c r="BS2024">
        <v>0</v>
      </c>
      <c r="BT2024">
        <v>0</v>
      </c>
      <c r="BU2024">
        <v>0</v>
      </c>
      <c r="CE2024" t="str">
        <f t="shared" ref="CE2024:CE2029" si="803">"15:10:09.571"</f>
        <v>15:10:09.571</v>
      </c>
      <c r="CF2024">
        <v>570530970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3</v>
      </c>
      <c r="CY2024">
        <v>7</v>
      </c>
      <c r="CZ2024" t="s">
        <v>133</v>
      </c>
      <c r="DA2024">
        <v>276</v>
      </c>
      <c r="DB2024">
        <v>0</v>
      </c>
      <c r="DC2024" t="s">
        <v>402</v>
      </c>
      <c r="DD2024" t="s">
        <v>403</v>
      </c>
      <c r="DG2024">
        <v>1626597</v>
      </c>
      <c r="DI2024">
        <v>1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"05/01/2025 15:10:09.792"</f>
        <v>05/01/2025 15:10:09.792</v>
      </c>
      <c r="C2025" t="str">
        <f t="shared" si="786"/>
        <v>FFDFD3C0</v>
      </c>
      <c r="D2025" t="s">
        <v>124</v>
      </c>
      <c r="E2025" t="str">
        <f>"06"</f>
        <v>06</v>
      </c>
      <c r="F2025">
        <v>2006</v>
      </c>
      <c r="G2025" t="s">
        <v>125</v>
      </c>
      <c r="J2025" t="s">
        <v>126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R2025" t="s">
        <v>127</v>
      </c>
      <c r="S2025" t="str">
        <f t="shared" si="802"/>
        <v>15:10:09.000</v>
      </c>
      <c r="T2025" t="str">
        <f t="shared" si="802"/>
        <v>15:10:09.000</v>
      </c>
      <c r="U2025" t="str">
        <f t="shared" si="787"/>
        <v>A68FCB</v>
      </c>
      <c r="V2025">
        <v>0</v>
      </c>
      <c r="W2025">
        <v>0</v>
      </c>
      <c r="X2025">
        <v>2</v>
      </c>
      <c r="Y2025">
        <v>0</v>
      </c>
      <c r="AA2025">
        <v>1</v>
      </c>
      <c r="AB2025">
        <v>8</v>
      </c>
      <c r="AC2025">
        <v>3</v>
      </c>
      <c r="AD2025">
        <v>0</v>
      </c>
      <c r="AE2025">
        <v>9</v>
      </c>
      <c r="AF2025" t="s">
        <v>138</v>
      </c>
      <c r="AG2025">
        <v>0</v>
      </c>
      <c r="AH2025">
        <v>3</v>
      </c>
      <c r="AI2025">
        <v>2</v>
      </c>
      <c r="AJ2025">
        <v>0</v>
      </c>
      <c r="AK2025" t="s">
        <v>721</v>
      </c>
      <c r="AL2025">
        <v>39.051268</v>
      </c>
      <c r="AM2025" t="s">
        <v>717</v>
      </c>
      <c r="AN2025">
        <v>-121.04154800000001</v>
      </c>
      <c r="AO2025">
        <v>25</v>
      </c>
      <c r="AP2025">
        <v>4400</v>
      </c>
      <c r="AQ2025" t="s">
        <v>131</v>
      </c>
      <c r="AR2025">
        <v>0</v>
      </c>
      <c r="AS2025">
        <v>92</v>
      </c>
      <c r="AT2025">
        <v>128</v>
      </c>
      <c r="BB2025" t="str">
        <f t="shared" si="788"/>
        <v>1200</v>
      </c>
      <c r="BC2025">
        <v>1</v>
      </c>
      <c r="BD2025" t="str">
        <f t="shared" si="789"/>
        <v xml:space="preserve">N52156  </v>
      </c>
      <c r="BE2025">
        <v>1</v>
      </c>
      <c r="BG2025">
        <v>0</v>
      </c>
      <c r="BH2025">
        <v>0</v>
      </c>
      <c r="BI2025">
        <v>0</v>
      </c>
      <c r="BJ2025">
        <v>4475</v>
      </c>
      <c r="BK2025">
        <v>75</v>
      </c>
      <c r="BL2025" t="s">
        <v>188</v>
      </c>
      <c r="BM2025">
        <v>1</v>
      </c>
      <c r="BN2025">
        <v>1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 t="shared" si="803"/>
        <v>15:10:09.571</v>
      </c>
      <c r="CF2025">
        <v>570530970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3</v>
      </c>
      <c r="CY2025">
        <v>7</v>
      </c>
      <c r="CZ2025" t="s">
        <v>133</v>
      </c>
      <c r="DA2025">
        <v>276</v>
      </c>
      <c r="DB2025">
        <v>0</v>
      </c>
      <c r="DC2025" t="s">
        <v>402</v>
      </c>
      <c r="DD2025" t="s">
        <v>403</v>
      </c>
      <c r="DG2025">
        <v>1626597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"05/01/2025 15:10:09.794"</f>
        <v>05/01/2025 15:10:09.794</v>
      </c>
      <c r="C2026" t="str">
        <f t="shared" si="786"/>
        <v>FFDFD3C0</v>
      </c>
      <c r="D2026" t="s">
        <v>145</v>
      </c>
      <c r="E2026" t="str">
        <f>"05"</f>
        <v>05</v>
      </c>
      <c r="H2026">
        <v>47</v>
      </c>
      <c r="I2026" t="s">
        <v>146</v>
      </c>
      <c r="J2026" t="s">
        <v>138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R2026" t="s">
        <v>127</v>
      </c>
      <c r="S2026" t="str">
        <f t="shared" si="802"/>
        <v>15:10:09.000</v>
      </c>
      <c r="T2026" t="str">
        <f t="shared" si="802"/>
        <v>15:10:09.000</v>
      </c>
      <c r="U2026" t="str">
        <f t="shared" si="787"/>
        <v>A68FCB</v>
      </c>
      <c r="V2026">
        <v>0</v>
      </c>
      <c r="W2026">
        <v>0</v>
      </c>
      <c r="X2026">
        <v>2</v>
      </c>
      <c r="Y2026">
        <v>0</v>
      </c>
      <c r="AA2026">
        <v>1</v>
      </c>
      <c r="AB2026">
        <v>8</v>
      </c>
      <c r="AC2026">
        <v>3</v>
      </c>
      <c r="AD2026">
        <v>0</v>
      </c>
      <c r="AE2026">
        <v>9</v>
      </c>
      <c r="AF2026" t="s">
        <v>138</v>
      </c>
      <c r="AG2026">
        <v>0</v>
      </c>
      <c r="AH2026">
        <v>3</v>
      </c>
      <c r="AI2026">
        <v>2</v>
      </c>
      <c r="AJ2026">
        <v>0</v>
      </c>
      <c r="AK2026" t="s">
        <v>721</v>
      </c>
      <c r="AL2026">
        <v>39.051268</v>
      </c>
      <c r="AM2026" t="s">
        <v>717</v>
      </c>
      <c r="AN2026">
        <v>-121.04154800000001</v>
      </c>
      <c r="AO2026">
        <v>25</v>
      </c>
      <c r="AP2026">
        <v>4400</v>
      </c>
      <c r="AQ2026" t="s">
        <v>131</v>
      </c>
      <c r="AR2026">
        <v>0</v>
      </c>
      <c r="AS2026">
        <v>92</v>
      </c>
      <c r="AT2026">
        <v>128</v>
      </c>
      <c r="BB2026" t="str">
        <f t="shared" si="788"/>
        <v>1200</v>
      </c>
      <c r="BC2026">
        <v>1</v>
      </c>
      <c r="BD2026" t="str">
        <f t="shared" si="789"/>
        <v xml:space="preserve">N52156  </v>
      </c>
      <c r="BE2026">
        <v>1</v>
      </c>
      <c r="BG2026">
        <v>0</v>
      </c>
      <c r="BH2026">
        <v>0</v>
      </c>
      <c r="BI2026">
        <v>0</v>
      </c>
      <c r="BJ2026">
        <v>4475</v>
      </c>
      <c r="BK2026">
        <v>75</v>
      </c>
      <c r="BL2026" t="s">
        <v>188</v>
      </c>
      <c r="BM2026">
        <v>1</v>
      </c>
      <c r="BN2026">
        <v>1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 t="shared" si="803"/>
        <v>15:10:09.571</v>
      </c>
      <c r="CF2026">
        <v>570530970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3</v>
      </c>
      <c r="CY2026">
        <v>7</v>
      </c>
      <c r="CZ2026" t="s">
        <v>133</v>
      </c>
      <c r="DA2026">
        <v>276</v>
      </c>
      <c r="DB2026">
        <v>0</v>
      </c>
      <c r="DC2026" t="s">
        <v>402</v>
      </c>
      <c r="DD2026" t="s">
        <v>403</v>
      </c>
      <c r="DG2026">
        <v>1626597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"05/01/2025 15:10:09.797"</f>
        <v>05/01/2025 15:10:09.797</v>
      </c>
      <c r="C2027" t="str">
        <f t="shared" si="786"/>
        <v>FFDFD3C0</v>
      </c>
      <c r="D2027" t="s">
        <v>145</v>
      </c>
      <c r="E2027" t="str">
        <f>"09"</f>
        <v>09</v>
      </c>
      <c r="H2027">
        <v>51</v>
      </c>
      <c r="I2027" t="s">
        <v>147</v>
      </c>
      <c r="J2027" t="s">
        <v>138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R2027" t="s">
        <v>127</v>
      </c>
      <c r="S2027" t="str">
        <f t="shared" si="802"/>
        <v>15:10:09.000</v>
      </c>
      <c r="T2027" t="str">
        <f t="shared" si="802"/>
        <v>15:10:09.000</v>
      </c>
      <c r="U2027" t="str">
        <f t="shared" si="787"/>
        <v>A68FCB</v>
      </c>
      <c r="V2027">
        <v>0</v>
      </c>
      <c r="W2027">
        <v>0</v>
      </c>
      <c r="X2027">
        <v>2</v>
      </c>
      <c r="Y2027">
        <v>0</v>
      </c>
      <c r="AA2027">
        <v>1</v>
      </c>
      <c r="AB2027">
        <v>8</v>
      </c>
      <c r="AC2027">
        <v>3</v>
      </c>
      <c r="AD2027">
        <v>0</v>
      </c>
      <c r="AE2027">
        <v>9</v>
      </c>
      <c r="AF2027" t="s">
        <v>138</v>
      </c>
      <c r="AG2027">
        <v>0</v>
      </c>
      <c r="AH2027">
        <v>3</v>
      </c>
      <c r="AI2027">
        <v>2</v>
      </c>
      <c r="AJ2027">
        <v>0</v>
      </c>
      <c r="AK2027" t="s">
        <v>721</v>
      </c>
      <c r="AL2027">
        <v>39.051268</v>
      </c>
      <c r="AM2027" t="s">
        <v>717</v>
      </c>
      <c r="AN2027">
        <v>-121.04154800000001</v>
      </c>
      <c r="AO2027">
        <v>25</v>
      </c>
      <c r="AP2027">
        <v>4400</v>
      </c>
      <c r="AQ2027" t="s">
        <v>131</v>
      </c>
      <c r="AR2027">
        <v>0</v>
      </c>
      <c r="AS2027">
        <v>92</v>
      </c>
      <c r="AT2027">
        <v>128</v>
      </c>
      <c r="BB2027" t="str">
        <f t="shared" si="788"/>
        <v>1200</v>
      </c>
      <c r="BC2027">
        <v>1</v>
      </c>
      <c r="BD2027" t="str">
        <f t="shared" si="789"/>
        <v xml:space="preserve">N52156  </v>
      </c>
      <c r="BE2027">
        <v>1</v>
      </c>
      <c r="BG2027">
        <v>0</v>
      </c>
      <c r="BH2027">
        <v>0</v>
      </c>
      <c r="BI2027">
        <v>0</v>
      </c>
      <c r="BJ2027">
        <v>4475</v>
      </c>
      <c r="BK2027">
        <v>75</v>
      </c>
      <c r="BL2027" t="s">
        <v>188</v>
      </c>
      <c r="BM2027">
        <v>1</v>
      </c>
      <c r="BN2027">
        <v>1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 t="shared" si="803"/>
        <v>15:10:09.571</v>
      </c>
      <c r="CF2027">
        <v>570530970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3</v>
      </c>
      <c r="CY2027">
        <v>7</v>
      </c>
      <c r="CZ2027" t="s">
        <v>133</v>
      </c>
      <c r="DA2027">
        <v>276</v>
      </c>
      <c r="DB2027">
        <v>0</v>
      </c>
      <c r="DC2027" t="s">
        <v>402</v>
      </c>
      <c r="DD2027" t="s">
        <v>403</v>
      </c>
      <c r="DG2027">
        <v>1626597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"05/01/2025 15:10:09.805"</f>
        <v>05/01/2025 15:10:09.805</v>
      </c>
      <c r="C2028" t="str">
        <f t="shared" si="786"/>
        <v>FFDFD3C0</v>
      </c>
      <c r="D2028" t="s">
        <v>136</v>
      </c>
      <c r="E2028" t="str">
        <f>"20"</f>
        <v>20</v>
      </c>
      <c r="H2028">
        <v>400</v>
      </c>
      <c r="I2028" t="s">
        <v>137</v>
      </c>
      <c r="J2028" t="s">
        <v>138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R2028" t="s">
        <v>127</v>
      </c>
      <c r="S2028" t="str">
        <f t="shared" si="802"/>
        <v>15:10:09.000</v>
      </c>
      <c r="T2028" t="str">
        <f t="shared" si="802"/>
        <v>15:10:09.000</v>
      </c>
      <c r="U2028" t="str">
        <f t="shared" si="787"/>
        <v>A68FCB</v>
      </c>
      <c r="V2028">
        <v>0</v>
      </c>
      <c r="W2028">
        <v>0</v>
      </c>
      <c r="X2028">
        <v>2</v>
      </c>
      <c r="Y2028">
        <v>0</v>
      </c>
      <c r="AA2028">
        <v>1</v>
      </c>
      <c r="AB2028">
        <v>8</v>
      </c>
      <c r="AC2028">
        <v>3</v>
      </c>
      <c r="AD2028">
        <v>0</v>
      </c>
      <c r="AE2028">
        <v>9</v>
      </c>
      <c r="AF2028" t="s">
        <v>138</v>
      </c>
      <c r="AG2028">
        <v>0</v>
      </c>
      <c r="AH2028">
        <v>3</v>
      </c>
      <c r="AI2028">
        <v>2</v>
      </c>
      <c r="AJ2028">
        <v>0</v>
      </c>
      <c r="AK2028" t="s">
        <v>721</v>
      </c>
      <c r="AL2028">
        <v>39.051268</v>
      </c>
      <c r="AM2028" t="s">
        <v>717</v>
      </c>
      <c r="AN2028">
        <v>-121.04154800000001</v>
      </c>
      <c r="AO2028">
        <v>25</v>
      </c>
      <c r="AP2028">
        <v>4400</v>
      </c>
      <c r="AQ2028" t="s">
        <v>131</v>
      </c>
      <c r="AR2028">
        <v>0</v>
      </c>
      <c r="AS2028">
        <v>92</v>
      </c>
      <c r="AT2028">
        <v>128</v>
      </c>
      <c r="BB2028" t="str">
        <f t="shared" si="788"/>
        <v>1200</v>
      </c>
      <c r="BC2028">
        <v>1</v>
      </c>
      <c r="BD2028" t="str">
        <f t="shared" si="789"/>
        <v xml:space="preserve">N52156  </v>
      </c>
      <c r="BE2028">
        <v>1</v>
      </c>
      <c r="BG2028">
        <v>0</v>
      </c>
      <c r="BH2028">
        <v>0</v>
      </c>
      <c r="BI2028">
        <v>0</v>
      </c>
      <c r="BJ2028">
        <v>4475</v>
      </c>
      <c r="BK2028">
        <v>75</v>
      </c>
      <c r="BL2028" t="s">
        <v>188</v>
      </c>
      <c r="BM2028">
        <v>1</v>
      </c>
      <c r="BN2028">
        <v>1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 t="shared" si="803"/>
        <v>15:10:09.571</v>
      </c>
      <c r="CF2028">
        <v>570530970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3</v>
      </c>
      <c r="CY2028">
        <v>7</v>
      </c>
      <c r="CZ2028" t="s">
        <v>133</v>
      </c>
      <c r="DA2028">
        <v>276</v>
      </c>
      <c r="DB2028">
        <v>0</v>
      </c>
      <c r="DC2028" t="s">
        <v>402</v>
      </c>
      <c r="DD2028" t="s">
        <v>403</v>
      </c>
      <c r="DG2028">
        <v>1626597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"05/01/2025 15:10:09.804"</f>
        <v>05/01/2025 15:10:09.804</v>
      </c>
      <c r="C2029" t="str">
        <f t="shared" si="786"/>
        <v>FFDFD3C0</v>
      </c>
      <c r="D2029" t="s">
        <v>143</v>
      </c>
      <c r="E2029" t="str">
        <f>"05"</f>
        <v>05</v>
      </c>
      <c r="H2029">
        <v>172</v>
      </c>
      <c r="I2029" t="s">
        <v>141</v>
      </c>
      <c r="J2029" t="s">
        <v>144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R2029" t="s">
        <v>127</v>
      </c>
      <c r="S2029" t="str">
        <f t="shared" si="802"/>
        <v>15:10:09.000</v>
      </c>
      <c r="T2029" t="str">
        <f t="shared" si="802"/>
        <v>15:10:09.000</v>
      </c>
      <c r="U2029" t="str">
        <f t="shared" si="787"/>
        <v>A68FCB</v>
      </c>
      <c r="V2029">
        <v>0</v>
      </c>
      <c r="W2029">
        <v>0</v>
      </c>
      <c r="X2029">
        <v>2</v>
      </c>
      <c r="Y2029">
        <v>0</v>
      </c>
      <c r="AA2029">
        <v>1</v>
      </c>
      <c r="AB2029">
        <v>8</v>
      </c>
      <c r="AC2029">
        <v>3</v>
      </c>
      <c r="AD2029">
        <v>0</v>
      </c>
      <c r="AE2029">
        <v>9</v>
      </c>
      <c r="AF2029" t="s">
        <v>138</v>
      </c>
      <c r="AG2029">
        <v>0</v>
      </c>
      <c r="AH2029">
        <v>3</v>
      </c>
      <c r="AI2029">
        <v>2</v>
      </c>
      <c r="AJ2029">
        <v>0</v>
      </c>
      <c r="AK2029" t="s">
        <v>721</v>
      </c>
      <c r="AL2029">
        <v>39.051268</v>
      </c>
      <c r="AM2029" t="s">
        <v>717</v>
      </c>
      <c r="AN2029">
        <v>-121.04154800000001</v>
      </c>
      <c r="AO2029">
        <v>25</v>
      </c>
      <c r="AP2029">
        <v>4400</v>
      </c>
      <c r="AQ2029" t="s">
        <v>131</v>
      </c>
      <c r="AR2029">
        <v>0</v>
      </c>
      <c r="AS2029">
        <v>92</v>
      </c>
      <c r="AT2029">
        <v>128</v>
      </c>
      <c r="BB2029" t="str">
        <f t="shared" si="788"/>
        <v>1200</v>
      </c>
      <c r="BC2029">
        <v>1</v>
      </c>
      <c r="BD2029" t="str">
        <f t="shared" si="789"/>
        <v xml:space="preserve">N52156  </v>
      </c>
      <c r="BE2029">
        <v>1</v>
      </c>
      <c r="BG2029">
        <v>0</v>
      </c>
      <c r="BH2029">
        <v>0</v>
      </c>
      <c r="BI2029">
        <v>0</v>
      </c>
      <c r="BJ2029">
        <v>4475</v>
      </c>
      <c r="BK2029">
        <v>75</v>
      </c>
      <c r="BL2029" t="s">
        <v>188</v>
      </c>
      <c r="BM2029">
        <v>1</v>
      </c>
      <c r="BN2029">
        <v>1</v>
      </c>
      <c r="BO2029">
        <v>0</v>
      </c>
      <c r="BP2029">
        <v>0</v>
      </c>
      <c r="BS2029">
        <v>0</v>
      </c>
      <c r="BT2029">
        <v>0</v>
      </c>
      <c r="BU2029">
        <v>0</v>
      </c>
      <c r="CE2029" t="str">
        <f t="shared" si="803"/>
        <v>15:10:09.571</v>
      </c>
      <c r="CF2029">
        <v>570530970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3</v>
      </c>
      <c r="CY2029">
        <v>7</v>
      </c>
      <c r="CZ2029" t="s">
        <v>133</v>
      </c>
      <c r="DA2029">
        <v>276</v>
      </c>
      <c r="DB2029">
        <v>0</v>
      </c>
      <c r="DC2029" t="s">
        <v>402</v>
      </c>
      <c r="DD2029" t="s">
        <v>403</v>
      </c>
      <c r="DG2029">
        <v>1626597</v>
      </c>
      <c r="DI2029">
        <v>1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"05/01/2025 15:10:10.534"</f>
        <v>05/01/2025 15:10:10.534</v>
      </c>
      <c r="C2030" t="str">
        <f t="shared" si="786"/>
        <v>FFDFD3C0</v>
      </c>
      <c r="D2030" t="s">
        <v>140</v>
      </c>
      <c r="E2030" t="str">
        <f>"13"</f>
        <v>13</v>
      </c>
      <c r="F2030">
        <v>1019</v>
      </c>
      <c r="G2030" t="s">
        <v>141</v>
      </c>
      <c r="J2030" t="s">
        <v>142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R2030" t="s">
        <v>127</v>
      </c>
      <c r="S2030" t="str">
        <f t="shared" ref="S2030:T2035" si="804">"15:10:10.000"</f>
        <v>15:10:10.000</v>
      </c>
      <c r="T2030" t="str">
        <f t="shared" si="804"/>
        <v>15:10:10.000</v>
      </c>
      <c r="U2030" t="str">
        <f t="shared" si="787"/>
        <v>A68FCB</v>
      </c>
      <c r="V2030">
        <v>0</v>
      </c>
      <c r="W2030">
        <v>0</v>
      </c>
      <c r="X2030">
        <v>2</v>
      </c>
      <c r="Y2030">
        <v>0</v>
      </c>
      <c r="AA2030">
        <v>1</v>
      </c>
      <c r="AB2030">
        <v>8</v>
      </c>
      <c r="AC2030">
        <v>3</v>
      </c>
      <c r="AD2030">
        <v>0</v>
      </c>
      <c r="AE2030">
        <v>9</v>
      </c>
      <c r="AF2030" t="s">
        <v>138</v>
      </c>
      <c r="AG2030">
        <v>0</v>
      </c>
      <c r="AH2030">
        <v>3</v>
      </c>
      <c r="AI2030">
        <v>2</v>
      </c>
      <c r="AJ2030">
        <v>0</v>
      </c>
      <c r="AK2030" t="s">
        <v>722</v>
      </c>
      <c r="AL2030">
        <v>39.051696999999997</v>
      </c>
      <c r="AM2030" t="s">
        <v>717</v>
      </c>
      <c r="AN2030">
        <v>-121.04154800000001</v>
      </c>
      <c r="AO2030">
        <v>25</v>
      </c>
      <c r="AP2030">
        <v>4400</v>
      </c>
      <c r="AQ2030" t="s">
        <v>131</v>
      </c>
      <c r="AR2030">
        <v>0</v>
      </c>
      <c r="AS2030">
        <v>92</v>
      </c>
      <c r="AT2030">
        <v>128</v>
      </c>
      <c r="BB2030" t="str">
        <f t="shared" si="788"/>
        <v>1200</v>
      </c>
      <c r="BC2030">
        <v>1</v>
      </c>
      <c r="BD2030" t="str">
        <f t="shared" si="789"/>
        <v xml:space="preserve">N52156  </v>
      </c>
      <c r="BE2030">
        <v>1</v>
      </c>
      <c r="BG2030">
        <v>0</v>
      </c>
      <c r="BH2030">
        <v>0</v>
      </c>
      <c r="BI2030">
        <v>0</v>
      </c>
      <c r="BJ2030">
        <v>4475</v>
      </c>
      <c r="BK2030">
        <v>75</v>
      </c>
      <c r="BL2030" t="s">
        <v>188</v>
      </c>
      <c r="BM2030">
        <v>1</v>
      </c>
      <c r="BN2030">
        <v>1</v>
      </c>
      <c r="BO2030">
        <v>0</v>
      </c>
      <c r="BP2030">
        <v>0</v>
      </c>
      <c r="BS2030">
        <v>0</v>
      </c>
      <c r="BT2030">
        <v>0</v>
      </c>
      <c r="BU2030">
        <v>0</v>
      </c>
      <c r="CE2030" t="str">
        <f t="shared" ref="CE2030:CE2035" si="805">"15:10:10.299"</f>
        <v>15:10:10.299</v>
      </c>
      <c r="CF2030">
        <v>299464195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3</v>
      </c>
      <c r="CY2030">
        <v>7</v>
      </c>
      <c r="CZ2030" t="s">
        <v>133</v>
      </c>
      <c r="DA2030">
        <v>275</v>
      </c>
      <c r="DB2030">
        <v>0</v>
      </c>
      <c r="DC2030" t="s">
        <v>134</v>
      </c>
      <c r="DD2030" t="s">
        <v>135</v>
      </c>
      <c r="DG2030">
        <v>3321240</v>
      </c>
      <c r="DI2030">
        <v>1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"05/01/2025 15:10:10.545"</f>
        <v>05/01/2025 15:10:10.545</v>
      </c>
      <c r="C2031" t="str">
        <f t="shared" si="786"/>
        <v>FFDFD3C0</v>
      </c>
      <c r="D2031" t="s">
        <v>145</v>
      </c>
      <c r="E2031" t="str">
        <f>"05"</f>
        <v>05</v>
      </c>
      <c r="H2031">
        <v>47</v>
      </c>
      <c r="I2031" t="s">
        <v>146</v>
      </c>
      <c r="J2031" t="s">
        <v>138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R2031" t="s">
        <v>127</v>
      </c>
      <c r="S2031" t="str">
        <f t="shared" si="804"/>
        <v>15:10:10.000</v>
      </c>
      <c r="T2031" t="str">
        <f t="shared" si="804"/>
        <v>15:10:10.000</v>
      </c>
      <c r="U2031" t="str">
        <f t="shared" si="787"/>
        <v>A68FCB</v>
      </c>
      <c r="V2031">
        <v>0</v>
      </c>
      <c r="W2031">
        <v>0</v>
      </c>
      <c r="X2031">
        <v>2</v>
      </c>
      <c r="Y2031">
        <v>0</v>
      </c>
      <c r="AA2031">
        <v>1</v>
      </c>
      <c r="AB2031">
        <v>8</v>
      </c>
      <c r="AC2031">
        <v>3</v>
      </c>
      <c r="AD2031">
        <v>0</v>
      </c>
      <c r="AE2031">
        <v>9</v>
      </c>
      <c r="AF2031" t="s">
        <v>138</v>
      </c>
      <c r="AG2031">
        <v>0</v>
      </c>
      <c r="AH2031">
        <v>3</v>
      </c>
      <c r="AI2031">
        <v>2</v>
      </c>
      <c r="AJ2031">
        <v>0</v>
      </c>
      <c r="AK2031" t="s">
        <v>722</v>
      </c>
      <c r="AL2031">
        <v>39.051696999999997</v>
      </c>
      <c r="AM2031" t="s">
        <v>717</v>
      </c>
      <c r="AN2031">
        <v>-121.04154800000001</v>
      </c>
      <c r="AO2031">
        <v>25</v>
      </c>
      <c r="AP2031">
        <v>4400</v>
      </c>
      <c r="AQ2031" t="s">
        <v>131</v>
      </c>
      <c r="AR2031">
        <v>0</v>
      </c>
      <c r="AS2031">
        <v>92</v>
      </c>
      <c r="AT2031">
        <v>128</v>
      </c>
      <c r="BB2031" t="str">
        <f t="shared" si="788"/>
        <v>1200</v>
      </c>
      <c r="BC2031">
        <v>1</v>
      </c>
      <c r="BD2031" t="str">
        <f t="shared" si="789"/>
        <v xml:space="preserve">N52156  </v>
      </c>
      <c r="BE2031">
        <v>1</v>
      </c>
      <c r="BG2031">
        <v>0</v>
      </c>
      <c r="BH2031">
        <v>0</v>
      </c>
      <c r="BI2031">
        <v>0</v>
      </c>
      <c r="BJ2031">
        <v>4475</v>
      </c>
      <c r="BK2031">
        <v>75</v>
      </c>
      <c r="BL2031" t="s">
        <v>188</v>
      </c>
      <c r="BM2031">
        <v>1</v>
      </c>
      <c r="BN2031">
        <v>1</v>
      </c>
      <c r="BO2031">
        <v>0</v>
      </c>
      <c r="BP2031">
        <v>0</v>
      </c>
      <c r="BS2031">
        <v>0</v>
      </c>
      <c r="BT2031">
        <v>0</v>
      </c>
      <c r="BU2031">
        <v>0</v>
      </c>
      <c r="CE2031" t="str">
        <f t="shared" si="805"/>
        <v>15:10:10.299</v>
      </c>
      <c r="CF2031">
        <v>299464195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3</v>
      </c>
      <c r="CY2031">
        <v>7</v>
      </c>
      <c r="CZ2031" t="s">
        <v>133</v>
      </c>
      <c r="DA2031">
        <v>275</v>
      </c>
      <c r="DB2031">
        <v>0</v>
      </c>
      <c r="DC2031" t="s">
        <v>134</v>
      </c>
      <c r="DD2031" t="s">
        <v>135</v>
      </c>
      <c r="DG2031">
        <v>3321240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"05/01/2025 15:10:10.543"</f>
        <v>05/01/2025 15:10:10.543</v>
      </c>
      <c r="C2032" t="str">
        <f t="shared" si="786"/>
        <v>FFDFD3C0</v>
      </c>
      <c r="D2032" t="s">
        <v>124</v>
      </c>
      <c r="E2032" t="str">
        <f>"06"</f>
        <v>06</v>
      </c>
      <c r="F2032">
        <v>2006</v>
      </c>
      <c r="G2032" t="s">
        <v>125</v>
      </c>
      <c r="J2032" t="s">
        <v>126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R2032" t="s">
        <v>127</v>
      </c>
      <c r="S2032" t="str">
        <f t="shared" si="804"/>
        <v>15:10:10.000</v>
      </c>
      <c r="T2032" t="str">
        <f t="shared" si="804"/>
        <v>15:10:10.000</v>
      </c>
      <c r="U2032" t="str">
        <f t="shared" si="787"/>
        <v>A68FCB</v>
      </c>
      <c r="V2032">
        <v>0</v>
      </c>
      <c r="W2032">
        <v>0</v>
      </c>
      <c r="X2032">
        <v>2</v>
      </c>
      <c r="Y2032">
        <v>0</v>
      </c>
      <c r="AA2032">
        <v>1</v>
      </c>
      <c r="AB2032">
        <v>8</v>
      </c>
      <c r="AC2032">
        <v>3</v>
      </c>
      <c r="AD2032">
        <v>0</v>
      </c>
      <c r="AE2032">
        <v>9</v>
      </c>
      <c r="AF2032" t="s">
        <v>138</v>
      </c>
      <c r="AG2032">
        <v>0</v>
      </c>
      <c r="AH2032">
        <v>3</v>
      </c>
      <c r="AI2032">
        <v>2</v>
      </c>
      <c r="AJ2032">
        <v>0</v>
      </c>
      <c r="AK2032" t="s">
        <v>722</v>
      </c>
      <c r="AL2032">
        <v>39.051696999999997</v>
      </c>
      <c r="AM2032" t="s">
        <v>717</v>
      </c>
      <c r="AN2032">
        <v>-121.04154800000001</v>
      </c>
      <c r="AO2032">
        <v>25</v>
      </c>
      <c r="AP2032">
        <v>4400</v>
      </c>
      <c r="AQ2032" t="s">
        <v>131</v>
      </c>
      <c r="AR2032">
        <v>0</v>
      </c>
      <c r="AS2032">
        <v>92</v>
      </c>
      <c r="AT2032">
        <v>128</v>
      </c>
      <c r="BB2032" t="str">
        <f t="shared" si="788"/>
        <v>1200</v>
      </c>
      <c r="BC2032">
        <v>1</v>
      </c>
      <c r="BD2032" t="str">
        <f t="shared" si="789"/>
        <v xml:space="preserve">N52156  </v>
      </c>
      <c r="BE2032">
        <v>1</v>
      </c>
      <c r="BG2032">
        <v>0</v>
      </c>
      <c r="BH2032">
        <v>0</v>
      </c>
      <c r="BI2032">
        <v>0</v>
      </c>
      <c r="BJ2032">
        <v>4475</v>
      </c>
      <c r="BK2032">
        <v>75</v>
      </c>
      <c r="BL2032" t="s">
        <v>188</v>
      </c>
      <c r="BM2032">
        <v>1</v>
      </c>
      <c r="BN2032">
        <v>1</v>
      </c>
      <c r="BO2032">
        <v>0</v>
      </c>
      <c r="BP2032">
        <v>0</v>
      </c>
      <c r="BS2032">
        <v>0</v>
      </c>
      <c r="BT2032">
        <v>0</v>
      </c>
      <c r="BU2032">
        <v>0</v>
      </c>
      <c r="CE2032" t="str">
        <f t="shared" si="805"/>
        <v>15:10:10.299</v>
      </c>
      <c r="CF2032">
        <v>299464195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3</v>
      </c>
      <c r="CY2032">
        <v>7</v>
      </c>
      <c r="CZ2032" t="s">
        <v>133</v>
      </c>
      <c r="DA2032">
        <v>275</v>
      </c>
      <c r="DB2032">
        <v>0</v>
      </c>
      <c r="DC2032" t="s">
        <v>134</v>
      </c>
      <c r="DD2032" t="s">
        <v>135</v>
      </c>
      <c r="DG2032">
        <v>3321240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"05/01/2025 15:10:10.549"</f>
        <v>05/01/2025 15:10:10.549</v>
      </c>
      <c r="C2033" t="str">
        <f t="shared" si="786"/>
        <v>FFDFD3C0</v>
      </c>
      <c r="D2033" t="s">
        <v>145</v>
      </c>
      <c r="E2033" t="str">
        <f>"09"</f>
        <v>09</v>
      </c>
      <c r="H2033">
        <v>51</v>
      </c>
      <c r="I2033" t="s">
        <v>147</v>
      </c>
      <c r="J2033" t="s">
        <v>138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R2033" t="s">
        <v>127</v>
      </c>
      <c r="S2033" t="str">
        <f t="shared" si="804"/>
        <v>15:10:10.000</v>
      </c>
      <c r="T2033" t="str">
        <f t="shared" si="804"/>
        <v>15:10:10.000</v>
      </c>
      <c r="U2033" t="str">
        <f t="shared" si="787"/>
        <v>A68FCB</v>
      </c>
      <c r="V2033">
        <v>0</v>
      </c>
      <c r="W2033">
        <v>0</v>
      </c>
      <c r="X2033">
        <v>2</v>
      </c>
      <c r="Y2033">
        <v>0</v>
      </c>
      <c r="AA2033">
        <v>1</v>
      </c>
      <c r="AB2033">
        <v>8</v>
      </c>
      <c r="AC2033">
        <v>3</v>
      </c>
      <c r="AD2033">
        <v>0</v>
      </c>
      <c r="AE2033">
        <v>9</v>
      </c>
      <c r="AF2033" t="s">
        <v>138</v>
      </c>
      <c r="AG2033">
        <v>0</v>
      </c>
      <c r="AH2033">
        <v>3</v>
      </c>
      <c r="AI2033">
        <v>2</v>
      </c>
      <c r="AJ2033">
        <v>0</v>
      </c>
      <c r="AK2033" t="s">
        <v>722</v>
      </c>
      <c r="AL2033">
        <v>39.051696999999997</v>
      </c>
      <c r="AM2033" t="s">
        <v>717</v>
      </c>
      <c r="AN2033">
        <v>-121.04154800000001</v>
      </c>
      <c r="AO2033">
        <v>25</v>
      </c>
      <c r="AP2033">
        <v>4400</v>
      </c>
      <c r="AQ2033" t="s">
        <v>131</v>
      </c>
      <c r="AR2033">
        <v>0</v>
      </c>
      <c r="AS2033">
        <v>92</v>
      </c>
      <c r="AT2033">
        <v>128</v>
      </c>
      <c r="BB2033" t="str">
        <f t="shared" si="788"/>
        <v>1200</v>
      </c>
      <c r="BC2033">
        <v>1</v>
      </c>
      <c r="BD2033" t="str">
        <f t="shared" si="789"/>
        <v xml:space="preserve">N52156  </v>
      </c>
      <c r="BE2033">
        <v>1</v>
      </c>
      <c r="BG2033">
        <v>0</v>
      </c>
      <c r="BH2033">
        <v>0</v>
      </c>
      <c r="BI2033">
        <v>0</v>
      </c>
      <c r="BJ2033">
        <v>4475</v>
      </c>
      <c r="BK2033">
        <v>75</v>
      </c>
      <c r="BL2033" t="s">
        <v>188</v>
      </c>
      <c r="BM2033">
        <v>1</v>
      </c>
      <c r="BN2033">
        <v>1</v>
      </c>
      <c r="BO2033">
        <v>0</v>
      </c>
      <c r="BP2033">
        <v>0</v>
      </c>
      <c r="BS2033">
        <v>0</v>
      </c>
      <c r="BT2033">
        <v>0</v>
      </c>
      <c r="BU2033">
        <v>0</v>
      </c>
      <c r="CE2033" t="str">
        <f t="shared" si="805"/>
        <v>15:10:10.299</v>
      </c>
      <c r="CF2033">
        <v>299464195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3</v>
      </c>
      <c r="CY2033">
        <v>7</v>
      </c>
      <c r="CZ2033" t="s">
        <v>133</v>
      </c>
      <c r="DA2033">
        <v>275</v>
      </c>
      <c r="DB2033">
        <v>0</v>
      </c>
      <c r="DC2033" t="s">
        <v>134</v>
      </c>
      <c r="DD2033" t="s">
        <v>135</v>
      </c>
      <c r="DG2033">
        <v>3321240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"05/01/2025 15:10:10.556"</f>
        <v>05/01/2025 15:10:10.556</v>
      </c>
      <c r="C2034" t="str">
        <f t="shared" si="786"/>
        <v>FFDFD3C0</v>
      </c>
      <c r="D2034" t="s">
        <v>143</v>
      </c>
      <c r="E2034" t="str">
        <f>"05"</f>
        <v>05</v>
      </c>
      <c r="H2034">
        <v>172</v>
      </c>
      <c r="I2034" t="s">
        <v>141</v>
      </c>
      <c r="J2034" t="s">
        <v>144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R2034" t="s">
        <v>127</v>
      </c>
      <c r="S2034" t="str">
        <f t="shared" si="804"/>
        <v>15:10:10.000</v>
      </c>
      <c r="T2034" t="str">
        <f t="shared" si="804"/>
        <v>15:10:10.000</v>
      </c>
      <c r="U2034" t="str">
        <f t="shared" si="787"/>
        <v>A68FCB</v>
      </c>
      <c r="V2034">
        <v>0</v>
      </c>
      <c r="W2034">
        <v>0</v>
      </c>
      <c r="X2034">
        <v>2</v>
      </c>
      <c r="Y2034">
        <v>0</v>
      </c>
      <c r="AA2034">
        <v>1</v>
      </c>
      <c r="AB2034">
        <v>8</v>
      </c>
      <c r="AC2034">
        <v>3</v>
      </c>
      <c r="AD2034">
        <v>0</v>
      </c>
      <c r="AE2034">
        <v>9</v>
      </c>
      <c r="AF2034" t="s">
        <v>138</v>
      </c>
      <c r="AG2034">
        <v>0</v>
      </c>
      <c r="AH2034">
        <v>3</v>
      </c>
      <c r="AI2034">
        <v>2</v>
      </c>
      <c r="AJ2034">
        <v>0</v>
      </c>
      <c r="AK2034" t="s">
        <v>722</v>
      </c>
      <c r="AL2034">
        <v>39.051696999999997</v>
      </c>
      <c r="AM2034" t="s">
        <v>717</v>
      </c>
      <c r="AN2034">
        <v>-121.04154800000001</v>
      </c>
      <c r="AO2034">
        <v>25</v>
      </c>
      <c r="AP2034">
        <v>4400</v>
      </c>
      <c r="AQ2034" t="s">
        <v>131</v>
      </c>
      <c r="AR2034">
        <v>0</v>
      </c>
      <c r="AS2034">
        <v>92</v>
      </c>
      <c r="AT2034">
        <v>128</v>
      </c>
      <c r="BB2034" t="str">
        <f t="shared" si="788"/>
        <v>1200</v>
      </c>
      <c r="BC2034">
        <v>1</v>
      </c>
      <c r="BD2034" t="str">
        <f t="shared" si="789"/>
        <v xml:space="preserve">N52156  </v>
      </c>
      <c r="BE2034">
        <v>1</v>
      </c>
      <c r="BG2034">
        <v>0</v>
      </c>
      <c r="BH2034">
        <v>0</v>
      </c>
      <c r="BI2034">
        <v>0</v>
      </c>
      <c r="BJ2034">
        <v>4475</v>
      </c>
      <c r="BK2034">
        <v>75</v>
      </c>
      <c r="BL2034" t="s">
        <v>188</v>
      </c>
      <c r="BM2034">
        <v>1</v>
      </c>
      <c r="BN2034">
        <v>1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 t="shared" si="805"/>
        <v>15:10:10.299</v>
      </c>
      <c r="CF2034">
        <v>299464195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3</v>
      </c>
      <c r="CY2034">
        <v>7</v>
      </c>
      <c r="CZ2034" t="s">
        <v>133</v>
      </c>
      <c r="DA2034">
        <v>275</v>
      </c>
      <c r="DB2034">
        <v>0</v>
      </c>
      <c r="DC2034" t="s">
        <v>134</v>
      </c>
      <c r="DD2034" t="s">
        <v>135</v>
      </c>
      <c r="DG2034">
        <v>3321240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"05/01/2025 15:10:10.556"</f>
        <v>05/01/2025 15:10:10.556</v>
      </c>
      <c r="C2035" t="str">
        <f t="shared" si="786"/>
        <v>FFDFD3C0</v>
      </c>
      <c r="D2035" t="s">
        <v>136</v>
      </c>
      <c r="E2035" t="str">
        <f>"20"</f>
        <v>20</v>
      </c>
      <c r="H2035">
        <v>400</v>
      </c>
      <c r="I2035" t="s">
        <v>137</v>
      </c>
      <c r="J2035" t="s">
        <v>138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R2035" t="s">
        <v>127</v>
      </c>
      <c r="S2035" t="str">
        <f t="shared" si="804"/>
        <v>15:10:10.000</v>
      </c>
      <c r="T2035" t="str">
        <f t="shared" si="804"/>
        <v>15:10:10.000</v>
      </c>
      <c r="U2035" t="str">
        <f t="shared" si="787"/>
        <v>A68FCB</v>
      </c>
      <c r="V2035">
        <v>0</v>
      </c>
      <c r="W2035">
        <v>0</v>
      </c>
      <c r="X2035">
        <v>2</v>
      </c>
      <c r="Y2035">
        <v>0</v>
      </c>
      <c r="AA2035">
        <v>1</v>
      </c>
      <c r="AB2035">
        <v>8</v>
      </c>
      <c r="AC2035">
        <v>3</v>
      </c>
      <c r="AD2035">
        <v>0</v>
      </c>
      <c r="AE2035">
        <v>9</v>
      </c>
      <c r="AF2035" t="s">
        <v>138</v>
      </c>
      <c r="AG2035">
        <v>0</v>
      </c>
      <c r="AH2035">
        <v>3</v>
      </c>
      <c r="AI2035">
        <v>2</v>
      </c>
      <c r="AJ2035">
        <v>0</v>
      </c>
      <c r="AK2035" t="s">
        <v>722</v>
      </c>
      <c r="AL2035">
        <v>39.051696999999997</v>
      </c>
      <c r="AM2035" t="s">
        <v>717</v>
      </c>
      <c r="AN2035">
        <v>-121.04154800000001</v>
      </c>
      <c r="AO2035">
        <v>25</v>
      </c>
      <c r="AP2035">
        <v>4400</v>
      </c>
      <c r="AQ2035" t="s">
        <v>131</v>
      </c>
      <c r="AR2035">
        <v>0</v>
      </c>
      <c r="AS2035">
        <v>92</v>
      </c>
      <c r="AT2035">
        <v>128</v>
      </c>
      <c r="BB2035" t="str">
        <f t="shared" si="788"/>
        <v>1200</v>
      </c>
      <c r="BC2035">
        <v>1</v>
      </c>
      <c r="BD2035" t="str">
        <f t="shared" si="789"/>
        <v xml:space="preserve">N52156  </v>
      </c>
      <c r="BE2035">
        <v>1</v>
      </c>
      <c r="BG2035">
        <v>0</v>
      </c>
      <c r="BH2035">
        <v>0</v>
      </c>
      <c r="BI2035">
        <v>0</v>
      </c>
      <c r="BJ2035">
        <v>4475</v>
      </c>
      <c r="BK2035">
        <v>75</v>
      </c>
      <c r="BL2035" t="s">
        <v>188</v>
      </c>
      <c r="BM2035">
        <v>1</v>
      </c>
      <c r="BN2035">
        <v>1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 t="shared" si="805"/>
        <v>15:10:10.299</v>
      </c>
      <c r="CF2035">
        <v>299464195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3</v>
      </c>
      <c r="CY2035">
        <v>7</v>
      </c>
      <c r="CZ2035" t="s">
        <v>133</v>
      </c>
      <c r="DA2035">
        <v>275</v>
      </c>
      <c r="DB2035">
        <v>0</v>
      </c>
      <c r="DC2035" t="s">
        <v>134</v>
      </c>
      <c r="DD2035" t="s">
        <v>135</v>
      </c>
      <c r="DG2035">
        <v>3321240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"05/01/2025 15:10:11.747"</f>
        <v>05/01/2025 15:10:11.747</v>
      </c>
      <c r="C2036" t="str">
        <f t="shared" si="786"/>
        <v>FFDFD3C0</v>
      </c>
      <c r="D2036" t="s">
        <v>145</v>
      </c>
      <c r="E2036" t="str">
        <f>"05"</f>
        <v>05</v>
      </c>
      <c r="H2036">
        <v>47</v>
      </c>
      <c r="I2036" t="s">
        <v>146</v>
      </c>
      <c r="J2036" t="s">
        <v>138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R2036" t="s">
        <v>127</v>
      </c>
      <c r="S2036" t="str">
        <f t="shared" ref="S2036:T2041" si="806">"15:10:11.000"</f>
        <v>15:10:11.000</v>
      </c>
      <c r="T2036" t="str">
        <f t="shared" si="806"/>
        <v>15:10:11.000</v>
      </c>
      <c r="U2036" t="str">
        <f t="shared" si="787"/>
        <v>A68FCB</v>
      </c>
      <c r="V2036">
        <v>0</v>
      </c>
      <c r="W2036">
        <v>0</v>
      </c>
      <c r="X2036">
        <v>2</v>
      </c>
      <c r="Y2036">
        <v>0</v>
      </c>
      <c r="AA2036">
        <v>1</v>
      </c>
      <c r="AB2036">
        <v>8</v>
      </c>
      <c r="AC2036">
        <v>3</v>
      </c>
      <c r="AD2036">
        <v>0</v>
      </c>
      <c r="AE2036">
        <v>9</v>
      </c>
      <c r="AF2036" t="s">
        <v>138</v>
      </c>
      <c r="AG2036">
        <v>0</v>
      </c>
      <c r="AH2036">
        <v>3</v>
      </c>
      <c r="AI2036">
        <v>2</v>
      </c>
      <c r="AJ2036">
        <v>0</v>
      </c>
      <c r="AK2036" t="s">
        <v>723</v>
      </c>
      <c r="AL2036">
        <v>39.052148000000003</v>
      </c>
      <c r="AM2036" t="s">
        <v>720</v>
      </c>
      <c r="AN2036">
        <v>-121.041527</v>
      </c>
      <c r="AO2036">
        <v>25</v>
      </c>
      <c r="AP2036">
        <v>4400</v>
      </c>
      <c r="AQ2036" t="s">
        <v>131</v>
      </c>
      <c r="AR2036">
        <v>0</v>
      </c>
      <c r="AS2036">
        <v>92</v>
      </c>
      <c r="AT2036">
        <v>128</v>
      </c>
      <c r="BB2036" t="str">
        <f t="shared" si="788"/>
        <v>1200</v>
      </c>
      <c r="BC2036">
        <v>1</v>
      </c>
      <c r="BD2036" t="str">
        <f t="shared" si="789"/>
        <v xml:space="preserve">N52156  </v>
      </c>
      <c r="BE2036">
        <v>1</v>
      </c>
      <c r="BG2036">
        <v>0</v>
      </c>
      <c r="BH2036">
        <v>0</v>
      </c>
      <c r="BI2036">
        <v>0</v>
      </c>
      <c r="BJ2036">
        <v>4475</v>
      </c>
      <c r="BK2036">
        <v>75</v>
      </c>
      <c r="BL2036" t="s">
        <v>188</v>
      </c>
      <c r="BM2036">
        <v>1</v>
      </c>
      <c r="BN2036">
        <v>1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 t="shared" ref="CE2036:CE2041" si="807">"15:10:11.535"</f>
        <v>15:10:11.535</v>
      </c>
      <c r="CF2036">
        <v>535464820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3</v>
      </c>
      <c r="CY2036">
        <v>7</v>
      </c>
      <c r="CZ2036" t="s">
        <v>133</v>
      </c>
      <c r="DA2036">
        <v>275</v>
      </c>
      <c r="DB2036">
        <v>0</v>
      </c>
      <c r="DC2036" t="s">
        <v>134</v>
      </c>
      <c r="DD2036" t="s">
        <v>135</v>
      </c>
      <c r="DG2036">
        <v>3321252</v>
      </c>
      <c r="DI2036">
        <v>1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"05/01/2025 15:10:11.751"</f>
        <v>05/01/2025 15:10:11.751</v>
      </c>
      <c r="C2037" t="str">
        <f t="shared" si="786"/>
        <v>FFDFD3C0</v>
      </c>
      <c r="D2037" t="s">
        <v>145</v>
      </c>
      <c r="E2037" t="str">
        <f>"09"</f>
        <v>09</v>
      </c>
      <c r="H2037">
        <v>51</v>
      </c>
      <c r="I2037" t="s">
        <v>147</v>
      </c>
      <c r="J2037" t="s">
        <v>138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R2037" t="s">
        <v>127</v>
      </c>
      <c r="S2037" t="str">
        <f t="shared" si="806"/>
        <v>15:10:11.000</v>
      </c>
      <c r="T2037" t="str">
        <f t="shared" si="806"/>
        <v>15:10:11.000</v>
      </c>
      <c r="U2037" t="str">
        <f t="shared" si="787"/>
        <v>A68FCB</v>
      </c>
      <c r="V2037">
        <v>0</v>
      </c>
      <c r="W2037">
        <v>0</v>
      </c>
      <c r="X2037">
        <v>2</v>
      </c>
      <c r="Y2037">
        <v>0</v>
      </c>
      <c r="AA2037">
        <v>1</v>
      </c>
      <c r="AB2037">
        <v>8</v>
      </c>
      <c r="AC2037">
        <v>3</v>
      </c>
      <c r="AD2037">
        <v>0</v>
      </c>
      <c r="AE2037">
        <v>9</v>
      </c>
      <c r="AF2037" t="s">
        <v>138</v>
      </c>
      <c r="AG2037">
        <v>0</v>
      </c>
      <c r="AH2037">
        <v>3</v>
      </c>
      <c r="AI2037">
        <v>2</v>
      </c>
      <c r="AJ2037">
        <v>0</v>
      </c>
      <c r="AK2037" t="s">
        <v>723</v>
      </c>
      <c r="AL2037">
        <v>39.052148000000003</v>
      </c>
      <c r="AM2037" t="s">
        <v>720</v>
      </c>
      <c r="AN2037">
        <v>-121.041527</v>
      </c>
      <c r="AO2037">
        <v>25</v>
      </c>
      <c r="AP2037">
        <v>4400</v>
      </c>
      <c r="AQ2037" t="s">
        <v>131</v>
      </c>
      <c r="AR2037">
        <v>0</v>
      </c>
      <c r="AS2037">
        <v>92</v>
      </c>
      <c r="AT2037">
        <v>128</v>
      </c>
      <c r="BB2037" t="str">
        <f t="shared" si="788"/>
        <v>1200</v>
      </c>
      <c r="BC2037">
        <v>1</v>
      </c>
      <c r="BD2037" t="str">
        <f t="shared" si="789"/>
        <v xml:space="preserve">N52156  </v>
      </c>
      <c r="BE2037">
        <v>1</v>
      </c>
      <c r="BG2037">
        <v>0</v>
      </c>
      <c r="BH2037">
        <v>0</v>
      </c>
      <c r="BI2037">
        <v>0</v>
      </c>
      <c r="BJ2037">
        <v>4475</v>
      </c>
      <c r="BK2037">
        <v>75</v>
      </c>
      <c r="BL2037" t="s">
        <v>188</v>
      </c>
      <c r="BM2037">
        <v>1</v>
      </c>
      <c r="BN2037">
        <v>1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 t="shared" si="807"/>
        <v>15:10:11.535</v>
      </c>
      <c r="CF2037">
        <v>535464820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3</v>
      </c>
      <c r="CY2037">
        <v>7</v>
      </c>
      <c r="CZ2037" t="s">
        <v>133</v>
      </c>
      <c r="DA2037">
        <v>275</v>
      </c>
      <c r="DB2037">
        <v>0</v>
      </c>
      <c r="DC2037" t="s">
        <v>134</v>
      </c>
      <c r="DD2037" t="s">
        <v>135</v>
      </c>
      <c r="DG2037">
        <v>3321252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"05/01/2025 15:10:11.758"</f>
        <v>05/01/2025 15:10:11.758</v>
      </c>
      <c r="C2038" t="str">
        <f t="shared" si="786"/>
        <v>FFDFD3C0</v>
      </c>
      <c r="D2038" t="s">
        <v>136</v>
      </c>
      <c r="E2038" t="str">
        <f>"20"</f>
        <v>20</v>
      </c>
      <c r="H2038">
        <v>400</v>
      </c>
      <c r="I2038" t="s">
        <v>137</v>
      </c>
      <c r="J2038" t="s">
        <v>138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R2038" t="s">
        <v>127</v>
      </c>
      <c r="S2038" t="str">
        <f t="shared" si="806"/>
        <v>15:10:11.000</v>
      </c>
      <c r="T2038" t="str">
        <f t="shared" si="806"/>
        <v>15:10:11.000</v>
      </c>
      <c r="U2038" t="str">
        <f t="shared" si="787"/>
        <v>A68FCB</v>
      </c>
      <c r="V2038">
        <v>0</v>
      </c>
      <c r="W2038">
        <v>0</v>
      </c>
      <c r="X2038">
        <v>2</v>
      </c>
      <c r="Y2038">
        <v>0</v>
      </c>
      <c r="AA2038">
        <v>1</v>
      </c>
      <c r="AB2038">
        <v>8</v>
      </c>
      <c r="AC2038">
        <v>3</v>
      </c>
      <c r="AD2038">
        <v>0</v>
      </c>
      <c r="AE2038">
        <v>9</v>
      </c>
      <c r="AF2038" t="s">
        <v>138</v>
      </c>
      <c r="AG2038">
        <v>0</v>
      </c>
      <c r="AH2038">
        <v>3</v>
      </c>
      <c r="AI2038">
        <v>2</v>
      </c>
      <c r="AJ2038">
        <v>0</v>
      </c>
      <c r="AK2038" t="s">
        <v>723</v>
      </c>
      <c r="AL2038">
        <v>39.052148000000003</v>
      </c>
      <c r="AM2038" t="s">
        <v>720</v>
      </c>
      <c r="AN2038">
        <v>-121.041527</v>
      </c>
      <c r="AO2038">
        <v>25</v>
      </c>
      <c r="AP2038">
        <v>4400</v>
      </c>
      <c r="AQ2038" t="s">
        <v>131</v>
      </c>
      <c r="AR2038">
        <v>0</v>
      </c>
      <c r="AS2038">
        <v>92</v>
      </c>
      <c r="AT2038">
        <v>128</v>
      </c>
      <c r="BB2038" t="str">
        <f t="shared" si="788"/>
        <v>1200</v>
      </c>
      <c r="BC2038">
        <v>1</v>
      </c>
      <c r="BD2038" t="str">
        <f t="shared" si="789"/>
        <v xml:space="preserve">N52156  </v>
      </c>
      <c r="BE2038">
        <v>1</v>
      </c>
      <c r="BG2038">
        <v>0</v>
      </c>
      <c r="BH2038">
        <v>0</v>
      </c>
      <c r="BI2038">
        <v>0</v>
      </c>
      <c r="BJ2038">
        <v>4475</v>
      </c>
      <c r="BK2038">
        <v>75</v>
      </c>
      <c r="BL2038" t="s">
        <v>188</v>
      </c>
      <c r="BM2038">
        <v>1</v>
      </c>
      <c r="BN2038">
        <v>1</v>
      </c>
      <c r="BO2038">
        <v>0</v>
      </c>
      <c r="BP2038">
        <v>0</v>
      </c>
      <c r="BS2038">
        <v>0</v>
      </c>
      <c r="BT2038">
        <v>0</v>
      </c>
      <c r="BU2038">
        <v>0</v>
      </c>
      <c r="CE2038" t="str">
        <f t="shared" si="807"/>
        <v>15:10:11.535</v>
      </c>
      <c r="CF2038">
        <v>535464820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3</v>
      </c>
      <c r="CY2038">
        <v>7</v>
      </c>
      <c r="CZ2038" t="s">
        <v>133</v>
      </c>
      <c r="DA2038">
        <v>275</v>
      </c>
      <c r="DB2038">
        <v>0</v>
      </c>
      <c r="DC2038" t="s">
        <v>134</v>
      </c>
      <c r="DD2038" t="s">
        <v>135</v>
      </c>
      <c r="DG2038">
        <v>3321252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"05/01/2025 15:10:11.758"</f>
        <v>05/01/2025 15:10:11.758</v>
      </c>
      <c r="C2039" t="str">
        <f t="shared" si="786"/>
        <v>FFDFD3C0</v>
      </c>
      <c r="D2039" t="s">
        <v>143</v>
      </c>
      <c r="E2039" t="str">
        <f>"05"</f>
        <v>05</v>
      </c>
      <c r="H2039">
        <v>172</v>
      </c>
      <c r="I2039" t="s">
        <v>141</v>
      </c>
      <c r="J2039" t="s">
        <v>144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R2039" t="s">
        <v>127</v>
      </c>
      <c r="S2039" t="str">
        <f t="shared" si="806"/>
        <v>15:10:11.000</v>
      </c>
      <c r="T2039" t="str">
        <f t="shared" si="806"/>
        <v>15:10:11.000</v>
      </c>
      <c r="U2039" t="str">
        <f t="shared" si="787"/>
        <v>A68FCB</v>
      </c>
      <c r="V2039">
        <v>0</v>
      </c>
      <c r="W2039">
        <v>0</v>
      </c>
      <c r="X2039">
        <v>2</v>
      </c>
      <c r="Y2039">
        <v>0</v>
      </c>
      <c r="AA2039">
        <v>1</v>
      </c>
      <c r="AB2039">
        <v>8</v>
      </c>
      <c r="AC2039">
        <v>3</v>
      </c>
      <c r="AD2039">
        <v>0</v>
      </c>
      <c r="AE2039">
        <v>9</v>
      </c>
      <c r="AF2039" t="s">
        <v>138</v>
      </c>
      <c r="AG2039">
        <v>0</v>
      </c>
      <c r="AH2039">
        <v>3</v>
      </c>
      <c r="AI2039">
        <v>2</v>
      </c>
      <c r="AJ2039">
        <v>0</v>
      </c>
      <c r="AK2039" t="s">
        <v>723</v>
      </c>
      <c r="AL2039">
        <v>39.052148000000003</v>
      </c>
      <c r="AM2039" t="s">
        <v>720</v>
      </c>
      <c r="AN2039">
        <v>-121.041527</v>
      </c>
      <c r="AO2039">
        <v>25</v>
      </c>
      <c r="AP2039">
        <v>4400</v>
      </c>
      <c r="AQ2039" t="s">
        <v>131</v>
      </c>
      <c r="AR2039">
        <v>0</v>
      </c>
      <c r="AS2039">
        <v>92</v>
      </c>
      <c r="AT2039">
        <v>128</v>
      </c>
      <c r="BB2039" t="str">
        <f t="shared" si="788"/>
        <v>1200</v>
      </c>
      <c r="BC2039">
        <v>1</v>
      </c>
      <c r="BD2039" t="str">
        <f t="shared" si="789"/>
        <v xml:space="preserve">N52156  </v>
      </c>
      <c r="BE2039">
        <v>1</v>
      </c>
      <c r="BG2039">
        <v>0</v>
      </c>
      <c r="BH2039">
        <v>0</v>
      </c>
      <c r="BI2039">
        <v>0</v>
      </c>
      <c r="BJ2039">
        <v>4475</v>
      </c>
      <c r="BK2039">
        <v>75</v>
      </c>
      <c r="BL2039" t="s">
        <v>188</v>
      </c>
      <c r="BM2039">
        <v>1</v>
      </c>
      <c r="BN2039">
        <v>1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 t="shared" si="807"/>
        <v>15:10:11.535</v>
      </c>
      <c r="CF2039">
        <v>535464820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3</v>
      </c>
      <c r="CY2039">
        <v>7</v>
      </c>
      <c r="CZ2039" t="s">
        <v>133</v>
      </c>
      <c r="DA2039">
        <v>275</v>
      </c>
      <c r="DB2039">
        <v>0</v>
      </c>
      <c r="DC2039" t="s">
        <v>134</v>
      </c>
      <c r="DD2039" t="s">
        <v>135</v>
      </c>
      <c r="DG2039">
        <v>3321252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"05/01/2025 15:10:11.786"</f>
        <v>05/01/2025 15:10:11.786</v>
      </c>
      <c r="C2040" t="str">
        <f t="shared" si="786"/>
        <v>FFDFD3C0</v>
      </c>
      <c r="D2040" t="s">
        <v>140</v>
      </c>
      <c r="E2040" t="str">
        <f>"13"</f>
        <v>13</v>
      </c>
      <c r="F2040">
        <v>1019</v>
      </c>
      <c r="G2040" t="s">
        <v>141</v>
      </c>
      <c r="J2040" t="s">
        <v>142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R2040" t="s">
        <v>127</v>
      </c>
      <c r="S2040" t="str">
        <f t="shared" si="806"/>
        <v>15:10:11.000</v>
      </c>
      <c r="T2040" t="str">
        <f t="shared" si="806"/>
        <v>15:10:11.000</v>
      </c>
      <c r="U2040" t="str">
        <f t="shared" si="787"/>
        <v>A68FCB</v>
      </c>
      <c r="V2040">
        <v>0</v>
      </c>
      <c r="W2040">
        <v>0</v>
      </c>
      <c r="X2040">
        <v>2</v>
      </c>
      <c r="Y2040">
        <v>0</v>
      </c>
      <c r="AA2040">
        <v>1</v>
      </c>
      <c r="AB2040">
        <v>8</v>
      </c>
      <c r="AC2040">
        <v>3</v>
      </c>
      <c r="AD2040">
        <v>0</v>
      </c>
      <c r="AE2040">
        <v>9</v>
      </c>
      <c r="AF2040" t="s">
        <v>138</v>
      </c>
      <c r="AG2040">
        <v>0</v>
      </c>
      <c r="AH2040">
        <v>3</v>
      </c>
      <c r="AI2040">
        <v>2</v>
      </c>
      <c r="AJ2040">
        <v>0</v>
      </c>
      <c r="AK2040" t="s">
        <v>723</v>
      </c>
      <c r="AL2040">
        <v>39.052148000000003</v>
      </c>
      <c r="AM2040" t="s">
        <v>720</v>
      </c>
      <c r="AN2040">
        <v>-121.041527</v>
      </c>
      <c r="AO2040">
        <v>25</v>
      </c>
      <c r="AP2040">
        <v>4400</v>
      </c>
      <c r="AQ2040" t="s">
        <v>131</v>
      </c>
      <c r="AR2040">
        <v>0</v>
      </c>
      <c r="AS2040">
        <v>92</v>
      </c>
      <c r="AT2040">
        <v>128</v>
      </c>
      <c r="BB2040" t="str">
        <f t="shared" si="788"/>
        <v>1200</v>
      </c>
      <c r="BC2040">
        <v>1</v>
      </c>
      <c r="BD2040" t="str">
        <f t="shared" si="789"/>
        <v xml:space="preserve">N52156  </v>
      </c>
      <c r="BE2040">
        <v>1</v>
      </c>
      <c r="BG2040">
        <v>0</v>
      </c>
      <c r="BH2040">
        <v>0</v>
      </c>
      <c r="BI2040">
        <v>0</v>
      </c>
      <c r="BJ2040">
        <v>4475</v>
      </c>
      <c r="BK2040">
        <v>75</v>
      </c>
      <c r="BL2040" t="s">
        <v>188</v>
      </c>
      <c r="BM2040">
        <v>1</v>
      </c>
      <c r="BN2040">
        <v>1</v>
      </c>
      <c r="BO2040">
        <v>0</v>
      </c>
      <c r="BP2040">
        <v>0</v>
      </c>
      <c r="BS2040">
        <v>0</v>
      </c>
      <c r="BT2040">
        <v>0</v>
      </c>
      <c r="BU2040">
        <v>0</v>
      </c>
      <c r="CE2040" t="str">
        <f t="shared" si="807"/>
        <v>15:10:11.535</v>
      </c>
      <c r="CF2040">
        <v>535464820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3</v>
      </c>
      <c r="CY2040">
        <v>7</v>
      </c>
      <c r="CZ2040" t="s">
        <v>133</v>
      </c>
      <c r="DA2040">
        <v>275</v>
      </c>
      <c r="DB2040">
        <v>0</v>
      </c>
      <c r="DC2040" t="s">
        <v>134</v>
      </c>
      <c r="DD2040" t="s">
        <v>135</v>
      </c>
      <c r="DG2040">
        <v>3321252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"05/01/2025 15:10:11.795"</f>
        <v>05/01/2025 15:10:11.795</v>
      </c>
      <c r="C2041" t="str">
        <f t="shared" si="786"/>
        <v>FFDFD3C0</v>
      </c>
      <c r="D2041" t="s">
        <v>124</v>
      </c>
      <c r="E2041" t="str">
        <f>"06"</f>
        <v>06</v>
      </c>
      <c r="F2041">
        <v>2006</v>
      </c>
      <c r="G2041" t="s">
        <v>125</v>
      </c>
      <c r="J2041" t="s">
        <v>126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R2041" t="s">
        <v>127</v>
      </c>
      <c r="S2041" t="str">
        <f t="shared" si="806"/>
        <v>15:10:11.000</v>
      </c>
      <c r="T2041" t="str">
        <f t="shared" si="806"/>
        <v>15:10:11.000</v>
      </c>
      <c r="U2041" t="str">
        <f t="shared" si="787"/>
        <v>A68FCB</v>
      </c>
      <c r="V2041">
        <v>0</v>
      </c>
      <c r="W2041">
        <v>0</v>
      </c>
      <c r="X2041">
        <v>2</v>
      </c>
      <c r="Y2041">
        <v>0</v>
      </c>
      <c r="AA2041">
        <v>1</v>
      </c>
      <c r="AB2041">
        <v>8</v>
      </c>
      <c r="AC2041">
        <v>3</v>
      </c>
      <c r="AD2041">
        <v>0</v>
      </c>
      <c r="AE2041">
        <v>9</v>
      </c>
      <c r="AF2041" t="s">
        <v>138</v>
      </c>
      <c r="AG2041">
        <v>0</v>
      </c>
      <c r="AH2041">
        <v>3</v>
      </c>
      <c r="AI2041">
        <v>2</v>
      </c>
      <c r="AJ2041">
        <v>0</v>
      </c>
      <c r="AK2041" t="s">
        <v>723</v>
      </c>
      <c r="AL2041">
        <v>39.052148000000003</v>
      </c>
      <c r="AM2041" t="s">
        <v>720</v>
      </c>
      <c r="AN2041">
        <v>-121.041527</v>
      </c>
      <c r="AO2041">
        <v>25</v>
      </c>
      <c r="AP2041">
        <v>4400</v>
      </c>
      <c r="AQ2041" t="s">
        <v>131</v>
      </c>
      <c r="AR2041">
        <v>0</v>
      </c>
      <c r="AS2041">
        <v>92</v>
      </c>
      <c r="AT2041">
        <v>128</v>
      </c>
      <c r="BB2041" t="str">
        <f t="shared" si="788"/>
        <v>1200</v>
      </c>
      <c r="BC2041">
        <v>1</v>
      </c>
      <c r="BD2041" t="str">
        <f t="shared" si="789"/>
        <v xml:space="preserve">N52156  </v>
      </c>
      <c r="BE2041">
        <v>1</v>
      </c>
      <c r="BG2041">
        <v>0</v>
      </c>
      <c r="BH2041">
        <v>0</v>
      </c>
      <c r="BI2041">
        <v>0</v>
      </c>
      <c r="BJ2041">
        <v>4475</v>
      </c>
      <c r="BK2041">
        <v>75</v>
      </c>
      <c r="BL2041" t="s">
        <v>188</v>
      </c>
      <c r="BM2041">
        <v>1</v>
      </c>
      <c r="BN2041">
        <v>1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 t="shared" si="807"/>
        <v>15:10:11.535</v>
      </c>
      <c r="CF2041">
        <v>535464820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3</v>
      </c>
      <c r="CY2041">
        <v>7</v>
      </c>
      <c r="CZ2041" t="s">
        <v>133</v>
      </c>
      <c r="DA2041">
        <v>275</v>
      </c>
      <c r="DB2041">
        <v>0</v>
      </c>
      <c r="DC2041" t="s">
        <v>134</v>
      </c>
      <c r="DD2041" t="s">
        <v>135</v>
      </c>
      <c r="DG2041">
        <v>3321252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"05/01/2025 15:10:12.487"</f>
        <v>05/01/2025 15:10:12.487</v>
      </c>
      <c r="C2042" t="str">
        <f t="shared" si="786"/>
        <v>FFDFD3C0</v>
      </c>
      <c r="D2042" t="s">
        <v>140</v>
      </c>
      <c r="E2042" t="str">
        <f>"13"</f>
        <v>13</v>
      </c>
      <c r="F2042">
        <v>1019</v>
      </c>
      <c r="G2042" t="s">
        <v>141</v>
      </c>
      <c r="J2042" t="s">
        <v>142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R2042" t="s">
        <v>127</v>
      </c>
      <c r="S2042" t="str">
        <f t="shared" ref="S2042:T2047" si="808">"15:10:12.000"</f>
        <v>15:10:12.000</v>
      </c>
      <c r="T2042" t="str">
        <f t="shared" si="808"/>
        <v>15:10:12.000</v>
      </c>
      <c r="U2042" t="str">
        <f t="shared" si="787"/>
        <v>A68FCB</v>
      </c>
      <c r="V2042">
        <v>0</v>
      </c>
      <c r="W2042">
        <v>0</v>
      </c>
      <c r="X2042">
        <v>2</v>
      </c>
      <c r="Y2042">
        <v>0</v>
      </c>
      <c r="AA2042">
        <v>1</v>
      </c>
      <c r="AB2042">
        <v>8</v>
      </c>
      <c r="AC2042">
        <v>3</v>
      </c>
      <c r="AD2042">
        <v>0</v>
      </c>
      <c r="AE2042">
        <v>9</v>
      </c>
      <c r="AF2042" t="s">
        <v>138</v>
      </c>
      <c r="AG2042">
        <v>0</v>
      </c>
      <c r="AH2042">
        <v>3</v>
      </c>
      <c r="AI2042">
        <v>2</v>
      </c>
      <c r="AJ2042">
        <v>0</v>
      </c>
      <c r="AK2042" t="s">
        <v>724</v>
      </c>
      <c r="AL2042">
        <v>39.052556000000003</v>
      </c>
      <c r="AM2042" t="s">
        <v>720</v>
      </c>
      <c r="AN2042">
        <v>-121.041527</v>
      </c>
      <c r="AO2042">
        <v>25</v>
      </c>
      <c r="AP2042">
        <v>4500</v>
      </c>
      <c r="AQ2042" t="s">
        <v>131</v>
      </c>
      <c r="AR2042">
        <v>0</v>
      </c>
      <c r="AS2042">
        <v>92</v>
      </c>
      <c r="AT2042">
        <v>192</v>
      </c>
      <c r="BB2042" t="str">
        <f t="shared" si="788"/>
        <v>1200</v>
      </c>
      <c r="BC2042">
        <v>1</v>
      </c>
      <c r="BD2042" t="str">
        <f t="shared" si="789"/>
        <v xml:space="preserve">N52156  </v>
      </c>
      <c r="BE2042">
        <v>1</v>
      </c>
      <c r="BG2042">
        <v>0</v>
      </c>
      <c r="BH2042">
        <v>0</v>
      </c>
      <c r="BI2042">
        <v>0</v>
      </c>
      <c r="BJ2042">
        <v>4475</v>
      </c>
      <c r="BK2042">
        <v>-25</v>
      </c>
      <c r="BL2042" t="s">
        <v>188</v>
      </c>
      <c r="BM2042">
        <v>1</v>
      </c>
      <c r="BN2042">
        <v>1</v>
      </c>
      <c r="BO2042">
        <v>0</v>
      </c>
      <c r="BP2042">
        <v>0</v>
      </c>
      <c r="BS2042">
        <v>0</v>
      </c>
      <c r="BT2042">
        <v>0</v>
      </c>
      <c r="BU2042">
        <v>0</v>
      </c>
      <c r="CE2042" t="str">
        <f t="shared" ref="CE2042:CE2047" si="809">"15:10:12.275"</f>
        <v>15:10:12.275</v>
      </c>
      <c r="CF2042">
        <v>274714268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3</v>
      </c>
      <c r="CY2042">
        <v>7</v>
      </c>
      <c r="CZ2042" t="s">
        <v>133</v>
      </c>
      <c r="DA2042">
        <v>275</v>
      </c>
      <c r="DB2042">
        <v>0</v>
      </c>
      <c r="DC2042" t="s">
        <v>134</v>
      </c>
      <c r="DD2042" t="s">
        <v>135</v>
      </c>
      <c r="DG2042">
        <v>3321261</v>
      </c>
      <c r="DI2042">
        <v>1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"05/01/2025 15:10:12.497"</f>
        <v>05/01/2025 15:10:12.497</v>
      </c>
      <c r="C2043" t="str">
        <f t="shared" si="786"/>
        <v>FFDFD3C0</v>
      </c>
      <c r="D2043" t="s">
        <v>124</v>
      </c>
      <c r="E2043" t="str">
        <f>"06"</f>
        <v>06</v>
      </c>
      <c r="F2043">
        <v>2006</v>
      </c>
      <c r="G2043" t="s">
        <v>125</v>
      </c>
      <c r="J2043" t="s">
        <v>126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R2043" t="s">
        <v>127</v>
      </c>
      <c r="S2043" t="str">
        <f t="shared" si="808"/>
        <v>15:10:12.000</v>
      </c>
      <c r="T2043" t="str">
        <f t="shared" si="808"/>
        <v>15:10:12.000</v>
      </c>
      <c r="U2043" t="str">
        <f t="shared" si="787"/>
        <v>A68FCB</v>
      </c>
      <c r="V2043">
        <v>0</v>
      </c>
      <c r="W2043">
        <v>0</v>
      </c>
      <c r="X2043">
        <v>2</v>
      </c>
      <c r="Y2043">
        <v>0</v>
      </c>
      <c r="AA2043">
        <v>1</v>
      </c>
      <c r="AB2043">
        <v>8</v>
      </c>
      <c r="AC2043">
        <v>3</v>
      </c>
      <c r="AD2043">
        <v>0</v>
      </c>
      <c r="AE2043">
        <v>9</v>
      </c>
      <c r="AF2043" t="s">
        <v>138</v>
      </c>
      <c r="AG2043">
        <v>0</v>
      </c>
      <c r="AH2043">
        <v>3</v>
      </c>
      <c r="AI2043">
        <v>2</v>
      </c>
      <c r="AJ2043">
        <v>0</v>
      </c>
      <c r="AK2043" t="s">
        <v>724</v>
      </c>
      <c r="AL2043">
        <v>39.052556000000003</v>
      </c>
      <c r="AM2043" t="s">
        <v>720</v>
      </c>
      <c r="AN2043">
        <v>-121.041527</v>
      </c>
      <c r="AO2043">
        <v>25</v>
      </c>
      <c r="AP2043">
        <v>4500</v>
      </c>
      <c r="AQ2043" t="s">
        <v>131</v>
      </c>
      <c r="AR2043">
        <v>0</v>
      </c>
      <c r="AS2043">
        <v>92</v>
      </c>
      <c r="AT2043">
        <v>192</v>
      </c>
      <c r="BB2043" t="str">
        <f t="shared" si="788"/>
        <v>1200</v>
      </c>
      <c r="BC2043">
        <v>1</v>
      </c>
      <c r="BD2043" t="str">
        <f t="shared" si="789"/>
        <v xml:space="preserve">N52156  </v>
      </c>
      <c r="BE2043">
        <v>1</v>
      </c>
      <c r="BG2043">
        <v>0</v>
      </c>
      <c r="BH2043">
        <v>0</v>
      </c>
      <c r="BI2043">
        <v>0</v>
      </c>
      <c r="BJ2043">
        <v>4475</v>
      </c>
      <c r="BK2043">
        <v>-25</v>
      </c>
      <c r="BL2043" t="s">
        <v>188</v>
      </c>
      <c r="BM2043">
        <v>1</v>
      </c>
      <c r="BN2043">
        <v>1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 t="shared" si="809"/>
        <v>15:10:12.275</v>
      </c>
      <c r="CF2043">
        <v>274714268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3</v>
      </c>
      <c r="CY2043">
        <v>7</v>
      </c>
      <c r="CZ2043" t="s">
        <v>133</v>
      </c>
      <c r="DA2043">
        <v>275</v>
      </c>
      <c r="DB2043">
        <v>0</v>
      </c>
      <c r="DC2043" t="s">
        <v>134</v>
      </c>
      <c r="DD2043" t="s">
        <v>135</v>
      </c>
      <c r="DG2043">
        <v>3321261</v>
      </c>
      <c r="DI2043">
        <v>1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"05/01/2025 15:10:12.499"</f>
        <v>05/01/2025 15:10:12.499</v>
      </c>
      <c r="C2044" t="str">
        <f t="shared" si="786"/>
        <v>FFDFD3C0</v>
      </c>
      <c r="D2044" t="s">
        <v>145</v>
      </c>
      <c r="E2044" t="str">
        <f>"05"</f>
        <v>05</v>
      </c>
      <c r="H2044">
        <v>47</v>
      </c>
      <c r="I2044" t="s">
        <v>146</v>
      </c>
      <c r="J2044" t="s">
        <v>138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R2044" t="s">
        <v>127</v>
      </c>
      <c r="S2044" t="str">
        <f t="shared" si="808"/>
        <v>15:10:12.000</v>
      </c>
      <c r="T2044" t="str">
        <f t="shared" si="808"/>
        <v>15:10:12.000</v>
      </c>
      <c r="U2044" t="str">
        <f t="shared" si="787"/>
        <v>A68FCB</v>
      </c>
      <c r="V2044">
        <v>0</v>
      </c>
      <c r="W2044">
        <v>0</v>
      </c>
      <c r="X2044">
        <v>2</v>
      </c>
      <c r="Y2044">
        <v>0</v>
      </c>
      <c r="AA2044">
        <v>1</v>
      </c>
      <c r="AB2044">
        <v>8</v>
      </c>
      <c r="AC2044">
        <v>3</v>
      </c>
      <c r="AD2044">
        <v>0</v>
      </c>
      <c r="AE2044">
        <v>9</v>
      </c>
      <c r="AF2044" t="s">
        <v>138</v>
      </c>
      <c r="AG2044">
        <v>0</v>
      </c>
      <c r="AH2044">
        <v>3</v>
      </c>
      <c r="AI2044">
        <v>2</v>
      </c>
      <c r="AJ2044">
        <v>0</v>
      </c>
      <c r="AK2044" t="s">
        <v>724</v>
      </c>
      <c r="AL2044">
        <v>39.052556000000003</v>
      </c>
      <c r="AM2044" t="s">
        <v>720</v>
      </c>
      <c r="AN2044">
        <v>-121.041527</v>
      </c>
      <c r="AO2044">
        <v>25</v>
      </c>
      <c r="AP2044">
        <v>4500</v>
      </c>
      <c r="AQ2044" t="s">
        <v>131</v>
      </c>
      <c r="AR2044">
        <v>0</v>
      </c>
      <c r="AS2044">
        <v>92</v>
      </c>
      <c r="AT2044">
        <v>192</v>
      </c>
      <c r="BB2044" t="str">
        <f t="shared" si="788"/>
        <v>1200</v>
      </c>
      <c r="BC2044">
        <v>1</v>
      </c>
      <c r="BD2044" t="str">
        <f t="shared" si="789"/>
        <v xml:space="preserve">N52156  </v>
      </c>
      <c r="BE2044">
        <v>1</v>
      </c>
      <c r="BG2044">
        <v>0</v>
      </c>
      <c r="BH2044">
        <v>0</v>
      </c>
      <c r="BI2044">
        <v>0</v>
      </c>
      <c r="BJ2044">
        <v>4475</v>
      </c>
      <c r="BK2044">
        <v>-25</v>
      </c>
      <c r="BL2044" t="s">
        <v>188</v>
      </c>
      <c r="BM2044">
        <v>1</v>
      </c>
      <c r="BN2044">
        <v>1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 t="shared" si="809"/>
        <v>15:10:12.275</v>
      </c>
      <c r="CF2044">
        <v>274714268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3</v>
      </c>
      <c r="CY2044">
        <v>7</v>
      </c>
      <c r="CZ2044" t="s">
        <v>133</v>
      </c>
      <c r="DA2044">
        <v>275</v>
      </c>
      <c r="DB2044">
        <v>0</v>
      </c>
      <c r="DC2044" t="s">
        <v>134</v>
      </c>
      <c r="DD2044" t="s">
        <v>135</v>
      </c>
      <c r="DG2044">
        <v>3321261</v>
      </c>
      <c r="DI2044">
        <v>1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"05/01/2025 15:10:12.502"</f>
        <v>05/01/2025 15:10:12.502</v>
      </c>
      <c r="C2045" t="str">
        <f t="shared" si="786"/>
        <v>FFDFD3C0</v>
      </c>
      <c r="D2045" t="s">
        <v>145</v>
      </c>
      <c r="E2045" t="str">
        <f>"09"</f>
        <v>09</v>
      </c>
      <c r="H2045">
        <v>51</v>
      </c>
      <c r="I2045" t="s">
        <v>147</v>
      </c>
      <c r="J2045" t="s">
        <v>138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R2045" t="s">
        <v>127</v>
      </c>
      <c r="S2045" t="str">
        <f t="shared" si="808"/>
        <v>15:10:12.000</v>
      </c>
      <c r="T2045" t="str">
        <f t="shared" si="808"/>
        <v>15:10:12.000</v>
      </c>
      <c r="U2045" t="str">
        <f t="shared" si="787"/>
        <v>A68FCB</v>
      </c>
      <c r="V2045">
        <v>0</v>
      </c>
      <c r="W2045">
        <v>0</v>
      </c>
      <c r="X2045">
        <v>2</v>
      </c>
      <c r="Y2045">
        <v>0</v>
      </c>
      <c r="AA2045">
        <v>1</v>
      </c>
      <c r="AB2045">
        <v>8</v>
      </c>
      <c r="AC2045">
        <v>3</v>
      </c>
      <c r="AD2045">
        <v>0</v>
      </c>
      <c r="AE2045">
        <v>9</v>
      </c>
      <c r="AF2045" t="s">
        <v>138</v>
      </c>
      <c r="AG2045">
        <v>0</v>
      </c>
      <c r="AH2045">
        <v>3</v>
      </c>
      <c r="AI2045">
        <v>2</v>
      </c>
      <c r="AJ2045">
        <v>0</v>
      </c>
      <c r="AK2045" t="s">
        <v>724</v>
      </c>
      <c r="AL2045">
        <v>39.052556000000003</v>
      </c>
      <c r="AM2045" t="s">
        <v>720</v>
      </c>
      <c r="AN2045">
        <v>-121.041527</v>
      </c>
      <c r="AO2045">
        <v>25</v>
      </c>
      <c r="AP2045">
        <v>4500</v>
      </c>
      <c r="AQ2045" t="s">
        <v>131</v>
      </c>
      <c r="AR2045">
        <v>0</v>
      </c>
      <c r="AS2045">
        <v>92</v>
      </c>
      <c r="AT2045">
        <v>192</v>
      </c>
      <c r="BB2045" t="str">
        <f t="shared" si="788"/>
        <v>1200</v>
      </c>
      <c r="BC2045">
        <v>1</v>
      </c>
      <c r="BD2045" t="str">
        <f t="shared" si="789"/>
        <v xml:space="preserve">N52156  </v>
      </c>
      <c r="BE2045">
        <v>1</v>
      </c>
      <c r="BG2045">
        <v>0</v>
      </c>
      <c r="BH2045">
        <v>0</v>
      </c>
      <c r="BI2045">
        <v>0</v>
      </c>
      <c r="BJ2045">
        <v>4475</v>
      </c>
      <c r="BK2045">
        <v>-25</v>
      </c>
      <c r="BL2045" t="s">
        <v>188</v>
      </c>
      <c r="BM2045">
        <v>1</v>
      </c>
      <c r="BN2045">
        <v>1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 t="shared" si="809"/>
        <v>15:10:12.275</v>
      </c>
      <c r="CF2045">
        <v>274714268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3</v>
      </c>
      <c r="CY2045">
        <v>7</v>
      </c>
      <c r="CZ2045" t="s">
        <v>133</v>
      </c>
      <c r="DA2045">
        <v>275</v>
      </c>
      <c r="DB2045">
        <v>0</v>
      </c>
      <c r="DC2045" t="s">
        <v>134</v>
      </c>
      <c r="DD2045" t="s">
        <v>135</v>
      </c>
      <c r="DG2045">
        <v>3321261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"05/01/2025 15:10:12.509"</f>
        <v>05/01/2025 15:10:12.509</v>
      </c>
      <c r="C2046" t="str">
        <f t="shared" si="786"/>
        <v>FFDFD3C0</v>
      </c>
      <c r="D2046" t="s">
        <v>143</v>
      </c>
      <c r="E2046" t="str">
        <f>"05"</f>
        <v>05</v>
      </c>
      <c r="H2046">
        <v>172</v>
      </c>
      <c r="I2046" t="s">
        <v>141</v>
      </c>
      <c r="J2046" t="s">
        <v>144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R2046" t="s">
        <v>127</v>
      </c>
      <c r="S2046" t="str">
        <f t="shared" si="808"/>
        <v>15:10:12.000</v>
      </c>
      <c r="T2046" t="str">
        <f t="shared" si="808"/>
        <v>15:10:12.000</v>
      </c>
      <c r="U2046" t="str">
        <f t="shared" si="787"/>
        <v>A68FCB</v>
      </c>
      <c r="V2046">
        <v>0</v>
      </c>
      <c r="W2046">
        <v>0</v>
      </c>
      <c r="X2046">
        <v>2</v>
      </c>
      <c r="Y2046">
        <v>0</v>
      </c>
      <c r="AA2046">
        <v>1</v>
      </c>
      <c r="AB2046">
        <v>8</v>
      </c>
      <c r="AC2046">
        <v>3</v>
      </c>
      <c r="AD2046">
        <v>0</v>
      </c>
      <c r="AE2046">
        <v>9</v>
      </c>
      <c r="AF2046" t="s">
        <v>138</v>
      </c>
      <c r="AG2046">
        <v>0</v>
      </c>
      <c r="AH2046">
        <v>3</v>
      </c>
      <c r="AI2046">
        <v>2</v>
      </c>
      <c r="AJ2046">
        <v>0</v>
      </c>
      <c r="AK2046" t="s">
        <v>724</v>
      </c>
      <c r="AL2046">
        <v>39.052556000000003</v>
      </c>
      <c r="AM2046" t="s">
        <v>720</v>
      </c>
      <c r="AN2046">
        <v>-121.041527</v>
      </c>
      <c r="AO2046">
        <v>25</v>
      </c>
      <c r="AP2046">
        <v>4500</v>
      </c>
      <c r="AQ2046" t="s">
        <v>131</v>
      </c>
      <c r="AR2046">
        <v>0</v>
      </c>
      <c r="AS2046">
        <v>92</v>
      </c>
      <c r="AT2046">
        <v>192</v>
      </c>
      <c r="BB2046" t="str">
        <f t="shared" si="788"/>
        <v>1200</v>
      </c>
      <c r="BC2046">
        <v>1</v>
      </c>
      <c r="BD2046" t="str">
        <f t="shared" si="789"/>
        <v xml:space="preserve">N52156  </v>
      </c>
      <c r="BE2046">
        <v>1</v>
      </c>
      <c r="BG2046">
        <v>0</v>
      </c>
      <c r="BH2046">
        <v>0</v>
      </c>
      <c r="BI2046">
        <v>0</v>
      </c>
      <c r="BJ2046">
        <v>4475</v>
      </c>
      <c r="BK2046">
        <v>-25</v>
      </c>
      <c r="BL2046" t="s">
        <v>188</v>
      </c>
      <c r="BM2046">
        <v>1</v>
      </c>
      <c r="BN2046">
        <v>1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 t="shared" si="809"/>
        <v>15:10:12.275</v>
      </c>
      <c r="CF2046">
        <v>274714268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3</v>
      </c>
      <c r="CY2046">
        <v>7</v>
      </c>
      <c r="CZ2046" t="s">
        <v>133</v>
      </c>
      <c r="DA2046">
        <v>275</v>
      </c>
      <c r="DB2046">
        <v>0</v>
      </c>
      <c r="DC2046" t="s">
        <v>134</v>
      </c>
      <c r="DD2046" t="s">
        <v>135</v>
      </c>
      <c r="DG2046">
        <v>3321261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"05/01/2025 15:10:12.509"</f>
        <v>05/01/2025 15:10:12.509</v>
      </c>
      <c r="C2047" t="str">
        <f t="shared" si="786"/>
        <v>FFDFD3C0</v>
      </c>
      <c r="D2047" t="s">
        <v>136</v>
      </c>
      <c r="E2047" t="str">
        <f>"20"</f>
        <v>20</v>
      </c>
      <c r="H2047">
        <v>400</v>
      </c>
      <c r="I2047" t="s">
        <v>137</v>
      </c>
      <c r="J2047" t="s">
        <v>138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R2047" t="s">
        <v>127</v>
      </c>
      <c r="S2047" t="str">
        <f t="shared" si="808"/>
        <v>15:10:12.000</v>
      </c>
      <c r="T2047" t="str">
        <f t="shared" si="808"/>
        <v>15:10:12.000</v>
      </c>
      <c r="U2047" t="str">
        <f t="shared" si="787"/>
        <v>A68FCB</v>
      </c>
      <c r="V2047">
        <v>0</v>
      </c>
      <c r="W2047">
        <v>0</v>
      </c>
      <c r="X2047">
        <v>2</v>
      </c>
      <c r="Y2047">
        <v>0</v>
      </c>
      <c r="AA2047">
        <v>1</v>
      </c>
      <c r="AB2047">
        <v>8</v>
      </c>
      <c r="AC2047">
        <v>3</v>
      </c>
      <c r="AD2047">
        <v>0</v>
      </c>
      <c r="AE2047">
        <v>9</v>
      </c>
      <c r="AF2047" t="s">
        <v>138</v>
      </c>
      <c r="AG2047">
        <v>0</v>
      </c>
      <c r="AH2047">
        <v>3</v>
      </c>
      <c r="AI2047">
        <v>2</v>
      </c>
      <c r="AJ2047">
        <v>0</v>
      </c>
      <c r="AK2047" t="s">
        <v>724</v>
      </c>
      <c r="AL2047">
        <v>39.052556000000003</v>
      </c>
      <c r="AM2047" t="s">
        <v>720</v>
      </c>
      <c r="AN2047">
        <v>-121.041527</v>
      </c>
      <c r="AO2047">
        <v>25</v>
      </c>
      <c r="AP2047">
        <v>4500</v>
      </c>
      <c r="AQ2047" t="s">
        <v>131</v>
      </c>
      <c r="AR2047">
        <v>0</v>
      </c>
      <c r="AS2047">
        <v>92</v>
      </c>
      <c r="AT2047">
        <v>192</v>
      </c>
      <c r="BB2047" t="str">
        <f t="shared" si="788"/>
        <v>1200</v>
      </c>
      <c r="BC2047">
        <v>1</v>
      </c>
      <c r="BD2047" t="str">
        <f t="shared" si="789"/>
        <v xml:space="preserve">N52156  </v>
      </c>
      <c r="BE2047">
        <v>1</v>
      </c>
      <c r="BG2047">
        <v>0</v>
      </c>
      <c r="BH2047">
        <v>0</v>
      </c>
      <c r="BI2047">
        <v>0</v>
      </c>
      <c r="BJ2047">
        <v>4475</v>
      </c>
      <c r="BK2047">
        <v>-25</v>
      </c>
      <c r="BL2047" t="s">
        <v>188</v>
      </c>
      <c r="BM2047">
        <v>1</v>
      </c>
      <c r="BN2047">
        <v>1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 t="shared" si="809"/>
        <v>15:10:12.275</v>
      </c>
      <c r="CF2047">
        <v>274714268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3</v>
      </c>
      <c r="CY2047">
        <v>7</v>
      </c>
      <c r="CZ2047" t="s">
        <v>133</v>
      </c>
      <c r="DA2047">
        <v>275</v>
      </c>
      <c r="DB2047">
        <v>0</v>
      </c>
      <c r="DC2047" t="s">
        <v>134</v>
      </c>
      <c r="DD2047" t="s">
        <v>135</v>
      </c>
      <c r="DG2047">
        <v>3321261</v>
      </c>
      <c r="DI2047">
        <v>1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"05/01/2025 15:10:13.939"</f>
        <v>05/01/2025 15:10:13.939</v>
      </c>
      <c r="C2048" t="str">
        <f t="shared" si="786"/>
        <v>FFDFD3C0</v>
      </c>
      <c r="D2048" t="s">
        <v>140</v>
      </c>
      <c r="E2048" t="str">
        <f>"13"</f>
        <v>13</v>
      </c>
      <c r="F2048">
        <v>1019</v>
      </c>
      <c r="G2048" t="s">
        <v>141</v>
      </c>
      <c r="J2048" t="s">
        <v>142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R2048" t="s">
        <v>127</v>
      </c>
      <c r="S2048" t="str">
        <f t="shared" ref="S2048:T2053" si="810">"15:10:13.000"</f>
        <v>15:10:13.000</v>
      </c>
      <c r="T2048" t="str">
        <f t="shared" si="810"/>
        <v>15:10:13.000</v>
      </c>
      <c r="U2048" t="str">
        <f t="shared" si="787"/>
        <v>A68FCB</v>
      </c>
      <c r="V2048">
        <v>0</v>
      </c>
      <c r="W2048">
        <v>0</v>
      </c>
      <c r="X2048">
        <v>2</v>
      </c>
      <c r="Y2048">
        <v>0</v>
      </c>
      <c r="AA2048">
        <v>1</v>
      </c>
      <c r="AB2048">
        <v>8</v>
      </c>
      <c r="AC2048">
        <v>3</v>
      </c>
      <c r="AD2048">
        <v>0</v>
      </c>
      <c r="AE2048">
        <v>9</v>
      </c>
      <c r="AF2048" t="s">
        <v>138</v>
      </c>
      <c r="AG2048">
        <v>0</v>
      </c>
      <c r="AH2048">
        <v>3</v>
      </c>
      <c r="AI2048">
        <v>2</v>
      </c>
      <c r="AJ2048">
        <v>0</v>
      </c>
      <c r="AK2048" t="s">
        <v>725</v>
      </c>
      <c r="AL2048">
        <v>39.052985</v>
      </c>
      <c r="AM2048" t="s">
        <v>720</v>
      </c>
      <c r="AN2048">
        <v>-121.041527</v>
      </c>
      <c r="AO2048">
        <v>25</v>
      </c>
      <c r="AP2048">
        <v>4400</v>
      </c>
      <c r="AQ2048" t="s">
        <v>131</v>
      </c>
      <c r="AR2048">
        <v>1</v>
      </c>
      <c r="AS2048">
        <v>91</v>
      </c>
      <c r="AT2048">
        <v>256</v>
      </c>
      <c r="BB2048" t="str">
        <f t="shared" si="788"/>
        <v>1200</v>
      </c>
      <c r="BC2048">
        <v>1</v>
      </c>
      <c r="BD2048" t="str">
        <f t="shared" si="789"/>
        <v xml:space="preserve">N52156  </v>
      </c>
      <c r="BE2048">
        <v>1</v>
      </c>
      <c r="BG2048">
        <v>0</v>
      </c>
      <c r="BH2048">
        <v>0</v>
      </c>
      <c r="BI2048">
        <v>0</v>
      </c>
      <c r="BJ2048">
        <v>4475</v>
      </c>
      <c r="BK2048">
        <v>75</v>
      </c>
      <c r="BL2048" t="s">
        <v>188</v>
      </c>
      <c r="BM2048">
        <v>1</v>
      </c>
      <c r="BN2048">
        <v>1</v>
      </c>
      <c r="BO2048">
        <v>0</v>
      </c>
      <c r="BP2048">
        <v>0</v>
      </c>
      <c r="BS2048">
        <v>0</v>
      </c>
      <c r="BT2048">
        <v>0</v>
      </c>
      <c r="BU2048">
        <v>0</v>
      </c>
      <c r="CE2048" t="str">
        <f t="shared" ref="CE2048:CE2053" si="811">"15:10:13.711"</f>
        <v>15:10:13.711</v>
      </c>
      <c r="CF2048">
        <v>710781869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3</v>
      </c>
      <c r="CY2048">
        <v>7</v>
      </c>
      <c r="CZ2048" t="s">
        <v>133</v>
      </c>
      <c r="DA2048">
        <v>276</v>
      </c>
      <c r="DB2048">
        <v>0</v>
      </c>
      <c r="DC2048" t="s">
        <v>402</v>
      </c>
      <c r="DD2048" t="s">
        <v>403</v>
      </c>
      <c r="DG2048">
        <v>1626639</v>
      </c>
      <c r="DI2048">
        <v>1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"05/01/2025 15:10:13.949"</f>
        <v>05/01/2025 15:10:13.949</v>
      </c>
      <c r="C2049" t="str">
        <f t="shared" si="786"/>
        <v>FFDFD3C0</v>
      </c>
      <c r="D2049" t="s">
        <v>124</v>
      </c>
      <c r="E2049" t="str">
        <f>"06"</f>
        <v>06</v>
      </c>
      <c r="F2049">
        <v>2006</v>
      </c>
      <c r="G2049" t="s">
        <v>125</v>
      </c>
      <c r="J2049" t="s">
        <v>126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R2049" t="s">
        <v>127</v>
      </c>
      <c r="S2049" t="str">
        <f t="shared" si="810"/>
        <v>15:10:13.000</v>
      </c>
      <c r="T2049" t="str">
        <f t="shared" si="810"/>
        <v>15:10:13.000</v>
      </c>
      <c r="U2049" t="str">
        <f t="shared" si="787"/>
        <v>A68FCB</v>
      </c>
      <c r="V2049">
        <v>0</v>
      </c>
      <c r="W2049">
        <v>0</v>
      </c>
      <c r="X2049">
        <v>2</v>
      </c>
      <c r="Y2049">
        <v>0</v>
      </c>
      <c r="AA2049">
        <v>1</v>
      </c>
      <c r="AB2049">
        <v>8</v>
      </c>
      <c r="AC2049">
        <v>3</v>
      </c>
      <c r="AD2049">
        <v>0</v>
      </c>
      <c r="AE2049">
        <v>9</v>
      </c>
      <c r="AF2049" t="s">
        <v>138</v>
      </c>
      <c r="AG2049">
        <v>0</v>
      </c>
      <c r="AH2049">
        <v>3</v>
      </c>
      <c r="AI2049">
        <v>2</v>
      </c>
      <c r="AJ2049">
        <v>0</v>
      </c>
      <c r="AK2049" t="s">
        <v>725</v>
      </c>
      <c r="AL2049">
        <v>39.052985</v>
      </c>
      <c r="AM2049" t="s">
        <v>720</v>
      </c>
      <c r="AN2049">
        <v>-121.041527</v>
      </c>
      <c r="AO2049">
        <v>25</v>
      </c>
      <c r="AP2049">
        <v>4400</v>
      </c>
      <c r="AQ2049" t="s">
        <v>131</v>
      </c>
      <c r="AR2049">
        <v>1</v>
      </c>
      <c r="AS2049">
        <v>91</v>
      </c>
      <c r="AT2049">
        <v>256</v>
      </c>
      <c r="BB2049" t="str">
        <f t="shared" si="788"/>
        <v>1200</v>
      </c>
      <c r="BC2049">
        <v>1</v>
      </c>
      <c r="BD2049" t="str">
        <f t="shared" si="789"/>
        <v xml:space="preserve">N52156  </v>
      </c>
      <c r="BE2049">
        <v>1</v>
      </c>
      <c r="BG2049">
        <v>0</v>
      </c>
      <c r="BH2049">
        <v>0</v>
      </c>
      <c r="BI2049">
        <v>0</v>
      </c>
      <c r="BJ2049">
        <v>4475</v>
      </c>
      <c r="BK2049">
        <v>75</v>
      </c>
      <c r="BL2049" t="s">
        <v>188</v>
      </c>
      <c r="BM2049">
        <v>1</v>
      </c>
      <c r="BN2049">
        <v>1</v>
      </c>
      <c r="BO2049">
        <v>0</v>
      </c>
      <c r="BP2049">
        <v>0</v>
      </c>
      <c r="BS2049">
        <v>0</v>
      </c>
      <c r="BT2049">
        <v>0</v>
      </c>
      <c r="BU2049">
        <v>0</v>
      </c>
      <c r="CE2049" t="str">
        <f t="shared" si="811"/>
        <v>15:10:13.711</v>
      </c>
      <c r="CF2049">
        <v>710781869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3</v>
      </c>
      <c r="CY2049">
        <v>7</v>
      </c>
      <c r="CZ2049" t="s">
        <v>133</v>
      </c>
      <c r="DA2049">
        <v>276</v>
      </c>
      <c r="DB2049">
        <v>0</v>
      </c>
      <c r="DC2049" t="s">
        <v>402</v>
      </c>
      <c r="DD2049" t="s">
        <v>403</v>
      </c>
      <c r="DG2049">
        <v>1626639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"05/01/2025 15:10:13.955"</f>
        <v>05/01/2025 15:10:13.955</v>
      </c>
      <c r="C2050" t="str">
        <f t="shared" ref="C2050:C2113" si="812">"FFDFD3C0"</f>
        <v>FFDFD3C0</v>
      </c>
      <c r="D2050" t="s">
        <v>145</v>
      </c>
      <c r="E2050" t="str">
        <f>"09"</f>
        <v>09</v>
      </c>
      <c r="H2050">
        <v>51</v>
      </c>
      <c r="I2050" t="s">
        <v>147</v>
      </c>
      <c r="J2050" t="s">
        <v>138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R2050" t="s">
        <v>127</v>
      </c>
      <c r="S2050" t="str">
        <f t="shared" si="810"/>
        <v>15:10:13.000</v>
      </c>
      <c r="T2050" t="str">
        <f t="shared" si="810"/>
        <v>15:10:13.000</v>
      </c>
      <c r="U2050" t="str">
        <f t="shared" ref="U2050:U2113" si="813">"A68FCB"</f>
        <v>A68FCB</v>
      </c>
      <c r="V2050">
        <v>0</v>
      </c>
      <c r="W2050">
        <v>0</v>
      </c>
      <c r="X2050">
        <v>2</v>
      </c>
      <c r="Y2050">
        <v>0</v>
      </c>
      <c r="AA2050">
        <v>1</v>
      </c>
      <c r="AB2050">
        <v>8</v>
      </c>
      <c r="AC2050">
        <v>3</v>
      </c>
      <c r="AD2050">
        <v>0</v>
      </c>
      <c r="AE2050">
        <v>9</v>
      </c>
      <c r="AF2050" t="s">
        <v>138</v>
      </c>
      <c r="AG2050">
        <v>0</v>
      </c>
      <c r="AH2050">
        <v>3</v>
      </c>
      <c r="AI2050">
        <v>2</v>
      </c>
      <c r="AJ2050">
        <v>0</v>
      </c>
      <c r="AK2050" t="s">
        <v>725</v>
      </c>
      <c r="AL2050">
        <v>39.052985</v>
      </c>
      <c r="AM2050" t="s">
        <v>720</v>
      </c>
      <c r="AN2050">
        <v>-121.041527</v>
      </c>
      <c r="AO2050">
        <v>25</v>
      </c>
      <c r="AP2050">
        <v>4400</v>
      </c>
      <c r="AQ2050" t="s">
        <v>131</v>
      </c>
      <c r="AR2050">
        <v>1</v>
      </c>
      <c r="AS2050">
        <v>91</v>
      </c>
      <c r="AT2050">
        <v>256</v>
      </c>
      <c r="BB2050" t="str">
        <f t="shared" ref="BB2050:BB2113" si="814">"1200"</f>
        <v>1200</v>
      </c>
      <c r="BC2050">
        <v>1</v>
      </c>
      <c r="BD2050" t="str">
        <f t="shared" ref="BD2050:BD2113" si="815">"N52156  "</f>
        <v xml:space="preserve">N52156  </v>
      </c>
      <c r="BE2050">
        <v>1</v>
      </c>
      <c r="BG2050">
        <v>0</v>
      </c>
      <c r="BH2050">
        <v>0</v>
      </c>
      <c r="BI2050">
        <v>0</v>
      </c>
      <c r="BJ2050">
        <v>4475</v>
      </c>
      <c r="BK2050">
        <v>75</v>
      </c>
      <c r="BL2050" t="s">
        <v>188</v>
      </c>
      <c r="BM2050">
        <v>1</v>
      </c>
      <c r="BN2050">
        <v>1</v>
      </c>
      <c r="BO2050">
        <v>0</v>
      </c>
      <c r="BP2050">
        <v>0</v>
      </c>
      <c r="BS2050">
        <v>0</v>
      </c>
      <c r="BT2050">
        <v>0</v>
      </c>
      <c r="BU2050">
        <v>0</v>
      </c>
      <c r="CE2050" t="str">
        <f t="shared" si="811"/>
        <v>15:10:13.711</v>
      </c>
      <c r="CF2050">
        <v>710781869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3</v>
      </c>
      <c r="CY2050">
        <v>7</v>
      </c>
      <c r="CZ2050" t="s">
        <v>133</v>
      </c>
      <c r="DA2050">
        <v>276</v>
      </c>
      <c r="DB2050">
        <v>0</v>
      </c>
      <c r="DC2050" t="s">
        <v>402</v>
      </c>
      <c r="DD2050" t="s">
        <v>403</v>
      </c>
      <c r="DG2050">
        <v>1626639</v>
      </c>
      <c r="DI2050">
        <v>1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"05/01/2025 15:10:13.952"</f>
        <v>05/01/2025 15:10:13.952</v>
      </c>
      <c r="C2051" t="str">
        <f t="shared" si="812"/>
        <v>FFDFD3C0</v>
      </c>
      <c r="D2051" t="s">
        <v>145</v>
      </c>
      <c r="E2051" t="str">
        <f>"05"</f>
        <v>05</v>
      </c>
      <c r="H2051">
        <v>47</v>
      </c>
      <c r="I2051" t="s">
        <v>146</v>
      </c>
      <c r="J2051" t="s">
        <v>138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R2051" t="s">
        <v>127</v>
      </c>
      <c r="S2051" t="str">
        <f t="shared" si="810"/>
        <v>15:10:13.000</v>
      </c>
      <c r="T2051" t="str">
        <f t="shared" si="810"/>
        <v>15:10:13.000</v>
      </c>
      <c r="U2051" t="str">
        <f t="shared" si="813"/>
        <v>A68FCB</v>
      </c>
      <c r="V2051">
        <v>0</v>
      </c>
      <c r="W2051">
        <v>0</v>
      </c>
      <c r="X2051">
        <v>2</v>
      </c>
      <c r="Y2051">
        <v>0</v>
      </c>
      <c r="AA2051">
        <v>1</v>
      </c>
      <c r="AB2051">
        <v>8</v>
      </c>
      <c r="AC2051">
        <v>3</v>
      </c>
      <c r="AD2051">
        <v>0</v>
      </c>
      <c r="AE2051">
        <v>9</v>
      </c>
      <c r="AF2051" t="s">
        <v>138</v>
      </c>
      <c r="AG2051">
        <v>0</v>
      </c>
      <c r="AH2051">
        <v>3</v>
      </c>
      <c r="AI2051">
        <v>2</v>
      </c>
      <c r="AJ2051">
        <v>0</v>
      </c>
      <c r="AK2051" t="s">
        <v>725</v>
      </c>
      <c r="AL2051">
        <v>39.052985</v>
      </c>
      <c r="AM2051" t="s">
        <v>720</v>
      </c>
      <c r="AN2051">
        <v>-121.041527</v>
      </c>
      <c r="AO2051">
        <v>25</v>
      </c>
      <c r="AP2051">
        <v>4400</v>
      </c>
      <c r="AQ2051" t="s">
        <v>131</v>
      </c>
      <c r="AR2051">
        <v>1</v>
      </c>
      <c r="AS2051">
        <v>91</v>
      </c>
      <c r="AT2051">
        <v>256</v>
      </c>
      <c r="BB2051" t="str">
        <f t="shared" si="814"/>
        <v>1200</v>
      </c>
      <c r="BC2051">
        <v>1</v>
      </c>
      <c r="BD2051" t="str">
        <f t="shared" si="815"/>
        <v xml:space="preserve">N52156  </v>
      </c>
      <c r="BE2051">
        <v>1</v>
      </c>
      <c r="BG2051">
        <v>0</v>
      </c>
      <c r="BH2051">
        <v>0</v>
      </c>
      <c r="BI2051">
        <v>0</v>
      </c>
      <c r="BJ2051">
        <v>4475</v>
      </c>
      <c r="BK2051">
        <v>75</v>
      </c>
      <c r="BL2051" t="s">
        <v>188</v>
      </c>
      <c r="BM2051">
        <v>1</v>
      </c>
      <c r="BN2051">
        <v>1</v>
      </c>
      <c r="BO2051">
        <v>0</v>
      </c>
      <c r="BP2051">
        <v>0</v>
      </c>
      <c r="BS2051">
        <v>0</v>
      </c>
      <c r="BT2051">
        <v>0</v>
      </c>
      <c r="BU2051">
        <v>0</v>
      </c>
      <c r="CE2051" t="str">
        <f t="shared" si="811"/>
        <v>15:10:13.711</v>
      </c>
      <c r="CF2051">
        <v>710781869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3</v>
      </c>
      <c r="CY2051">
        <v>7</v>
      </c>
      <c r="CZ2051" t="s">
        <v>133</v>
      </c>
      <c r="DA2051">
        <v>276</v>
      </c>
      <c r="DB2051">
        <v>0</v>
      </c>
      <c r="DC2051" t="s">
        <v>402</v>
      </c>
      <c r="DD2051" t="s">
        <v>403</v>
      </c>
      <c r="DG2051">
        <v>1626639</v>
      </c>
      <c r="DI2051">
        <v>1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"05/01/2025 15:10:13.961"</f>
        <v>05/01/2025 15:10:13.961</v>
      </c>
      <c r="C2052" t="str">
        <f t="shared" si="812"/>
        <v>FFDFD3C0</v>
      </c>
      <c r="D2052" t="s">
        <v>143</v>
      </c>
      <c r="E2052" t="str">
        <f>"05"</f>
        <v>05</v>
      </c>
      <c r="H2052">
        <v>172</v>
      </c>
      <c r="I2052" t="s">
        <v>141</v>
      </c>
      <c r="J2052" t="s">
        <v>144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R2052" t="s">
        <v>127</v>
      </c>
      <c r="S2052" t="str">
        <f t="shared" si="810"/>
        <v>15:10:13.000</v>
      </c>
      <c r="T2052" t="str">
        <f t="shared" si="810"/>
        <v>15:10:13.000</v>
      </c>
      <c r="U2052" t="str">
        <f t="shared" si="813"/>
        <v>A68FCB</v>
      </c>
      <c r="V2052">
        <v>0</v>
      </c>
      <c r="W2052">
        <v>0</v>
      </c>
      <c r="X2052">
        <v>2</v>
      </c>
      <c r="Y2052">
        <v>0</v>
      </c>
      <c r="AA2052">
        <v>1</v>
      </c>
      <c r="AB2052">
        <v>8</v>
      </c>
      <c r="AC2052">
        <v>3</v>
      </c>
      <c r="AD2052">
        <v>0</v>
      </c>
      <c r="AE2052">
        <v>9</v>
      </c>
      <c r="AF2052" t="s">
        <v>138</v>
      </c>
      <c r="AG2052">
        <v>0</v>
      </c>
      <c r="AH2052">
        <v>3</v>
      </c>
      <c r="AI2052">
        <v>2</v>
      </c>
      <c r="AJ2052">
        <v>0</v>
      </c>
      <c r="AK2052" t="s">
        <v>725</v>
      </c>
      <c r="AL2052">
        <v>39.052985</v>
      </c>
      <c r="AM2052" t="s">
        <v>720</v>
      </c>
      <c r="AN2052">
        <v>-121.041527</v>
      </c>
      <c r="AO2052">
        <v>25</v>
      </c>
      <c r="AP2052">
        <v>4400</v>
      </c>
      <c r="AQ2052" t="s">
        <v>131</v>
      </c>
      <c r="AR2052">
        <v>1</v>
      </c>
      <c r="AS2052">
        <v>91</v>
      </c>
      <c r="AT2052">
        <v>256</v>
      </c>
      <c r="BB2052" t="str">
        <f t="shared" si="814"/>
        <v>1200</v>
      </c>
      <c r="BC2052">
        <v>1</v>
      </c>
      <c r="BD2052" t="str">
        <f t="shared" si="815"/>
        <v xml:space="preserve">N52156  </v>
      </c>
      <c r="BE2052">
        <v>1</v>
      </c>
      <c r="BG2052">
        <v>0</v>
      </c>
      <c r="BH2052">
        <v>0</v>
      </c>
      <c r="BI2052">
        <v>0</v>
      </c>
      <c r="BJ2052">
        <v>4475</v>
      </c>
      <c r="BK2052">
        <v>75</v>
      </c>
      <c r="BL2052" t="s">
        <v>188</v>
      </c>
      <c r="BM2052">
        <v>1</v>
      </c>
      <c r="BN2052">
        <v>1</v>
      </c>
      <c r="BO2052">
        <v>0</v>
      </c>
      <c r="BP2052">
        <v>0</v>
      </c>
      <c r="BS2052">
        <v>0</v>
      </c>
      <c r="BT2052">
        <v>0</v>
      </c>
      <c r="BU2052">
        <v>0</v>
      </c>
      <c r="CE2052" t="str">
        <f t="shared" si="811"/>
        <v>15:10:13.711</v>
      </c>
      <c r="CF2052">
        <v>710781869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3</v>
      </c>
      <c r="CY2052">
        <v>7</v>
      </c>
      <c r="CZ2052" t="s">
        <v>133</v>
      </c>
      <c r="DA2052">
        <v>276</v>
      </c>
      <c r="DB2052">
        <v>0</v>
      </c>
      <c r="DC2052" t="s">
        <v>402</v>
      </c>
      <c r="DD2052" t="s">
        <v>403</v>
      </c>
      <c r="DG2052">
        <v>1626639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"05/01/2025 15:10:13.961"</f>
        <v>05/01/2025 15:10:13.961</v>
      </c>
      <c r="C2053" t="str">
        <f t="shared" si="812"/>
        <v>FFDFD3C0</v>
      </c>
      <c r="D2053" t="s">
        <v>136</v>
      </c>
      <c r="E2053" t="str">
        <f>"20"</f>
        <v>20</v>
      </c>
      <c r="H2053">
        <v>400</v>
      </c>
      <c r="I2053" t="s">
        <v>137</v>
      </c>
      <c r="J2053" t="s">
        <v>138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R2053" t="s">
        <v>127</v>
      </c>
      <c r="S2053" t="str">
        <f t="shared" si="810"/>
        <v>15:10:13.000</v>
      </c>
      <c r="T2053" t="str">
        <f t="shared" si="810"/>
        <v>15:10:13.000</v>
      </c>
      <c r="U2053" t="str">
        <f t="shared" si="813"/>
        <v>A68FCB</v>
      </c>
      <c r="V2053">
        <v>0</v>
      </c>
      <c r="W2053">
        <v>0</v>
      </c>
      <c r="X2053">
        <v>2</v>
      </c>
      <c r="Y2053">
        <v>0</v>
      </c>
      <c r="AA2053">
        <v>1</v>
      </c>
      <c r="AB2053">
        <v>8</v>
      </c>
      <c r="AC2053">
        <v>3</v>
      </c>
      <c r="AD2053">
        <v>0</v>
      </c>
      <c r="AE2053">
        <v>9</v>
      </c>
      <c r="AF2053" t="s">
        <v>138</v>
      </c>
      <c r="AG2053">
        <v>0</v>
      </c>
      <c r="AH2053">
        <v>3</v>
      </c>
      <c r="AI2053">
        <v>2</v>
      </c>
      <c r="AJ2053">
        <v>0</v>
      </c>
      <c r="AK2053" t="s">
        <v>725</v>
      </c>
      <c r="AL2053">
        <v>39.052985</v>
      </c>
      <c r="AM2053" t="s">
        <v>720</v>
      </c>
      <c r="AN2053">
        <v>-121.041527</v>
      </c>
      <c r="AO2053">
        <v>25</v>
      </c>
      <c r="AP2053">
        <v>4400</v>
      </c>
      <c r="AQ2053" t="s">
        <v>131</v>
      </c>
      <c r="AR2053">
        <v>1</v>
      </c>
      <c r="AS2053">
        <v>91</v>
      </c>
      <c r="AT2053">
        <v>256</v>
      </c>
      <c r="BB2053" t="str">
        <f t="shared" si="814"/>
        <v>1200</v>
      </c>
      <c r="BC2053">
        <v>1</v>
      </c>
      <c r="BD2053" t="str">
        <f t="shared" si="815"/>
        <v xml:space="preserve">N52156  </v>
      </c>
      <c r="BE2053">
        <v>1</v>
      </c>
      <c r="BG2053">
        <v>0</v>
      </c>
      <c r="BH2053">
        <v>0</v>
      </c>
      <c r="BI2053">
        <v>0</v>
      </c>
      <c r="BJ2053">
        <v>4475</v>
      </c>
      <c r="BK2053">
        <v>75</v>
      </c>
      <c r="BL2053" t="s">
        <v>188</v>
      </c>
      <c r="BM2053">
        <v>1</v>
      </c>
      <c r="BN2053">
        <v>1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 t="shared" si="811"/>
        <v>15:10:13.711</v>
      </c>
      <c r="CF2053">
        <v>710781869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3</v>
      </c>
      <c r="CY2053">
        <v>7</v>
      </c>
      <c r="CZ2053" t="s">
        <v>133</v>
      </c>
      <c r="DA2053">
        <v>276</v>
      </c>
      <c r="DB2053">
        <v>0</v>
      </c>
      <c r="DC2053" t="s">
        <v>402</v>
      </c>
      <c r="DD2053" t="s">
        <v>403</v>
      </c>
      <c r="DG2053">
        <v>1626639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"05/01/2025 15:10:14.891"</f>
        <v>05/01/2025 15:10:14.891</v>
      </c>
      <c r="C2054" t="str">
        <f t="shared" si="812"/>
        <v>FFDFD3C0</v>
      </c>
      <c r="D2054" t="s">
        <v>140</v>
      </c>
      <c r="E2054" t="str">
        <f>"13"</f>
        <v>13</v>
      </c>
      <c r="F2054">
        <v>1019</v>
      </c>
      <c r="G2054" t="s">
        <v>141</v>
      </c>
      <c r="J2054" t="s">
        <v>142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R2054" t="s">
        <v>127</v>
      </c>
      <c r="S2054" t="str">
        <f t="shared" ref="S2054:T2059" si="816">"15:10:14.000"</f>
        <v>15:10:14.000</v>
      </c>
      <c r="T2054" t="str">
        <f t="shared" si="816"/>
        <v>15:10:14.000</v>
      </c>
      <c r="U2054" t="str">
        <f t="shared" si="813"/>
        <v>A68FCB</v>
      </c>
      <c r="V2054">
        <v>0</v>
      </c>
      <c r="W2054">
        <v>0</v>
      </c>
      <c r="X2054">
        <v>2</v>
      </c>
      <c r="Y2054">
        <v>0</v>
      </c>
      <c r="AA2054">
        <v>1</v>
      </c>
      <c r="AB2054">
        <v>8</v>
      </c>
      <c r="AC2054">
        <v>3</v>
      </c>
      <c r="AD2054">
        <v>0</v>
      </c>
      <c r="AE2054">
        <v>9</v>
      </c>
      <c r="AF2054" t="s">
        <v>138</v>
      </c>
      <c r="AG2054">
        <v>0</v>
      </c>
      <c r="AH2054">
        <v>3</v>
      </c>
      <c r="AI2054">
        <v>2</v>
      </c>
      <c r="AJ2054">
        <v>0</v>
      </c>
      <c r="AK2054" t="s">
        <v>726</v>
      </c>
      <c r="AL2054">
        <v>39.053413999999997</v>
      </c>
      <c r="AM2054" t="s">
        <v>727</v>
      </c>
      <c r="AN2054">
        <v>-121.041505</v>
      </c>
      <c r="AO2054">
        <v>25</v>
      </c>
      <c r="AP2054">
        <v>4400</v>
      </c>
      <c r="AQ2054" t="s">
        <v>131</v>
      </c>
      <c r="AR2054">
        <v>1</v>
      </c>
      <c r="AS2054">
        <v>90</v>
      </c>
      <c r="AT2054">
        <v>320</v>
      </c>
      <c r="BB2054" t="str">
        <f t="shared" si="814"/>
        <v>1200</v>
      </c>
      <c r="BC2054">
        <v>1</v>
      </c>
      <c r="BD2054" t="str">
        <f t="shared" si="815"/>
        <v xml:space="preserve">N52156  </v>
      </c>
      <c r="BE2054">
        <v>1</v>
      </c>
      <c r="BG2054">
        <v>0</v>
      </c>
      <c r="BH2054">
        <v>0</v>
      </c>
      <c r="BI2054">
        <v>0</v>
      </c>
      <c r="BJ2054">
        <v>4475</v>
      </c>
      <c r="BK2054">
        <v>75</v>
      </c>
      <c r="BL2054" t="s">
        <v>188</v>
      </c>
      <c r="BM2054">
        <v>1</v>
      </c>
      <c r="BN2054">
        <v>1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 t="shared" ref="CE2054:CE2059" si="817">"15:10:14.660"</f>
        <v>15:10:14.660</v>
      </c>
      <c r="CF2054">
        <v>660031874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3</v>
      </c>
      <c r="CY2054">
        <v>7</v>
      </c>
      <c r="CZ2054" t="s">
        <v>133</v>
      </c>
      <c r="DA2054">
        <v>276</v>
      </c>
      <c r="DB2054">
        <v>0</v>
      </c>
      <c r="DC2054" t="s">
        <v>402</v>
      </c>
      <c r="DD2054" t="s">
        <v>403</v>
      </c>
      <c r="DG2054">
        <v>1626650</v>
      </c>
      <c r="DI2054">
        <v>1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"05/01/2025 15:10:14.901"</f>
        <v>05/01/2025 15:10:14.901</v>
      </c>
      <c r="C2055" t="str">
        <f t="shared" si="812"/>
        <v>FFDFD3C0</v>
      </c>
      <c r="D2055" t="s">
        <v>124</v>
      </c>
      <c r="E2055" t="str">
        <f>"06"</f>
        <v>06</v>
      </c>
      <c r="F2055">
        <v>2006</v>
      </c>
      <c r="G2055" t="s">
        <v>125</v>
      </c>
      <c r="J2055" t="s">
        <v>126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R2055" t="s">
        <v>127</v>
      </c>
      <c r="S2055" t="str">
        <f t="shared" si="816"/>
        <v>15:10:14.000</v>
      </c>
      <c r="T2055" t="str">
        <f t="shared" si="816"/>
        <v>15:10:14.000</v>
      </c>
      <c r="U2055" t="str">
        <f t="shared" si="813"/>
        <v>A68FCB</v>
      </c>
      <c r="V2055">
        <v>0</v>
      </c>
      <c r="W2055">
        <v>0</v>
      </c>
      <c r="X2055">
        <v>2</v>
      </c>
      <c r="Y2055">
        <v>0</v>
      </c>
      <c r="AA2055">
        <v>1</v>
      </c>
      <c r="AB2055">
        <v>8</v>
      </c>
      <c r="AC2055">
        <v>3</v>
      </c>
      <c r="AD2055">
        <v>0</v>
      </c>
      <c r="AE2055">
        <v>9</v>
      </c>
      <c r="AF2055" t="s">
        <v>138</v>
      </c>
      <c r="AG2055">
        <v>0</v>
      </c>
      <c r="AH2055">
        <v>3</v>
      </c>
      <c r="AI2055">
        <v>2</v>
      </c>
      <c r="AJ2055">
        <v>0</v>
      </c>
      <c r="AK2055" t="s">
        <v>726</v>
      </c>
      <c r="AL2055">
        <v>39.053413999999997</v>
      </c>
      <c r="AM2055" t="s">
        <v>727</v>
      </c>
      <c r="AN2055">
        <v>-121.041505</v>
      </c>
      <c r="AO2055">
        <v>25</v>
      </c>
      <c r="AP2055">
        <v>4400</v>
      </c>
      <c r="AQ2055" t="s">
        <v>131</v>
      </c>
      <c r="AR2055">
        <v>1</v>
      </c>
      <c r="AS2055">
        <v>90</v>
      </c>
      <c r="AT2055">
        <v>320</v>
      </c>
      <c r="BB2055" t="str">
        <f t="shared" si="814"/>
        <v>1200</v>
      </c>
      <c r="BC2055">
        <v>1</v>
      </c>
      <c r="BD2055" t="str">
        <f t="shared" si="815"/>
        <v xml:space="preserve">N52156  </v>
      </c>
      <c r="BE2055">
        <v>1</v>
      </c>
      <c r="BG2055">
        <v>0</v>
      </c>
      <c r="BH2055">
        <v>0</v>
      </c>
      <c r="BI2055">
        <v>0</v>
      </c>
      <c r="BJ2055">
        <v>4475</v>
      </c>
      <c r="BK2055">
        <v>75</v>
      </c>
      <c r="BL2055" t="s">
        <v>188</v>
      </c>
      <c r="BM2055">
        <v>1</v>
      </c>
      <c r="BN2055">
        <v>1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 t="shared" si="817"/>
        <v>15:10:14.660</v>
      </c>
      <c r="CF2055">
        <v>660031874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3</v>
      </c>
      <c r="CY2055">
        <v>7</v>
      </c>
      <c r="CZ2055" t="s">
        <v>133</v>
      </c>
      <c r="DA2055">
        <v>276</v>
      </c>
      <c r="DB2055">
        <v>0</v>
      </c>
      <c r="DC2055" t="s">
        <v>402</v>
      </c>
      <c r="DD2055" t="s">
        <v>403</v>
      </c>
      <c r="DG2055">
        <v>1626650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"05/01/2025 15:10:14.903"</f>
        <v>05/01/2025 15:10:14.903</v>
      </c>
      <c r="C2056" t="str">
        <f t="shared" si="812"/>
        <v>FFDFD3C0</v>
      </c>
      <c r="D2056" t="s">
        <v>145</v>
      </c>
      <c r="E2056" t="str">
        <f>"05"</f>
        <v>05</v>
      </c>
      <c r="H2056">
        <v>47</v>
      </c>
      <c r="I2056" t="s">
        <v>146</v>
      </c>
      <c r="J2056" t="s">
        <v>138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R2056" t="s">
        <v>127</v>
      </c>
      <c r="S2056" t="str">
        <f t="shared" si="816"/>
        <v>15:10:14.000</v>
      </c>
      <c r="T2056" t="str">
        <f t="shared" si="816"/>
        <v>15:10:14.000</v>
      </c>
      <c r="U2056" t="str">
        <f t="shared" si="813"/>
        <v>A68FCB</v>
      </c>
      <c r="V2056">
        <v>0</v>
      </c>
      <c r="W2056">
        <v>0</v>
      </c>
      <c r="X2056">
        <v>2</v>
      </c>
      <c r="Y2056">
        <v>0</v>
      </c>
      <c r="AA2056">
        <v>1</v>
      </c>
      <c r="AB2056">
        <v>8</v>
      </c>
      <c r="AC2056">
        <v>3</v>
      </c>
      <c r="AD2056">
        <v>0</v>
      </c>
      <c r="AE2056">
        <v>9</v>
      </c>
      <c r="AF2056" t="s">
        <v>138</v>
      </c>
      <c r="AG2056">
        <v>0</v>
      </c>
      <c r="AH2056">
        <v>3</v>
      </c>
      <c r="AI2056">
        <v>2</v>
      </c>
      <c r="AJ2056">
        <v>0</v>
      </c>
      <c r="AK2056" t="s">
        <v>726</v>
      </c>
      <c r="AL2056">
        <v>39.053413999999997</v>
      </c>
      <c r="AM2056" t="s">
        <v>727</v>
      </c>
      <c r="AN2056">
        <v>-121.041505</v>
      </c>
      <c r="AO2056">
        <v>25</v>
      </c>
      <c r="AP2056">
        <v>4400</v>
      </c>
      <c r="AQ2056" t="s">
        <v>131</v>
      </c>
      <c r="AR2056">
        <v>1</v>
      </c>
      <c r="AS2056">
        <v>90</v>
      </c>
      <c r="AT2056">
        <v>320</v>
      </c>
      <c r="BB2056" t="str">
        <f t="shared" si="814"/>
        <v>1200</v>
      </c>
      <c r="BC2056">
        <v>1</v>
      </c>
      <c r="BD2056" t="str">
        <f t="shared" si="815"/>
        <v xml:space="preserve">N52156  </v>
      </c>
      <c r="BE2056">
        <v>1</v>
      </c>
      <c r="BG2056">
        <v>0</v>
      </c>
      <c r="BH2056">
        <v>0</v>
      </c>
      <c r="BI2056">
        <v>0</v>
      </c>
      <c r="BJ2056">
        <v>4475</v>
      </c>
      <c r="BK2056">
        <v>75</v>
      </c>
      <c r="BL2056" t="s">
        <v>188</v>
      </c>
      <c r="BM2056">
        <v>1</v>
      </c>
      <c r="BN2056">
        <v>1</v>
      </c>
      <c r="BO2056">
        <v>0</v>
      </c>
      <c r="BP2056">
        <v>0</v>
      </c>
      <c r="BS2056">
        <v>0</v>
      </c>
      <c r="BT2056">
        <v>0</v>
      </c>
      <c r="BU2056">
        <v>0</v>
      </c>
      <c r="CE2056" t="str">
        <f t="shared" si="817"/>
        <v>15:10:14.660</v>
      </c>
      <c r="CF2056">
        <v>660031874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3</v>
      </c>
      <c r="CY2056">
        <v>7</v>
      </c>
      <c r="CZ2056" t="s">
        <v>133</v>
      </c>
      <c r="DA2056">
        <v>276</v>
      </c>
      <c r="DB2056">
        <v>0</v>
      </c>
      <c r="DC2056" t="s">
        <v>402</v>
      </c>
      <c r="DD2056" t="s">
        <v>403</v>
      </c>
      <c r="DG2056">
        <v>1626650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"05/01/2025 15:10:14.907"</f>
        <v>05/01/2025 15:10:14.907</v>
      </c>
      <c r="C2057" t="str">
        <f t="shared" si="812"/>
        <v>FFDFD3C0</v>
      </c>
      <c r="D2057" t="s">
        <v>145</v>
      </c>
      <c r="E2057" t="str">
        <f>"09"</f>
        <v>09</v>
      </c>
      <c r="H2057">
        <v>51</v>
      </c>
      <c r="I2057" t="s">
        <v>147</v>
      </c>
      <c r="J2057" t="s">
        <v>138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R2057" t="s">
        <v>127</v>
      </c>
      <c r="S2057" t="str">
        <f t="shared" si="816"/>
        <v>15:10:14.000</v>
      </c>
      <c r="T2057" t="str">
        <f t="shared" si="816"/>
        <v>15:10:14.000</v>
      </c>
      <c r="U2057" t="str">
        <f t="shared" si="813"/>
        <v>A68FCB</v>
      </c>
      <c r="V2057">
        <v>0</v>
      </c>
      <c r="W2057">
        <v>0</v>
      </c>
      <c r="X2057">
        <v>2</v>
      </c>
      <c r="Y2057">
        <v>0</v>
      </c>
      <c r="AA2057">
        <v>1</v>
      </c>
      <c r="AB2057">
        <v>8</v>
      </c>
      <c r="AC2057">
        <v>3</v>
      </c>
      <c r="AD2057">
        <v>0</v>
      </c>
      <c r="AE2057">
        <v>9</v>
      </c>
      <c r="AF2057" t="s">
        <v>138</v>
      </c>
      <c r="AG2057">
        <v>0</v>
      </c>
      <c r="AH2057">
        <v>3</v>
      </c>
      <c r="AI2057">
        <v>2</v>
      </c>
      <c r="AJ2057">
        <v>0</v>
      </c>
      <c r="AK2057" t="s">
        <v>726</v>
      </c>
      <c r="AL2057">
        <v>39.053413999999997</v>
      </c>
      <c r="AM2057" t="s">
        <v>727</v>
      </c>
      <c r="AN2057">
        <v>-121.041505</v>
      </c>
      <c r="AO2057">
        <v>25</v>
      </c>
      <c r="AP2057">
        <v>4400</v>
      </c>
      <c r="AQ2057" t="s">
        <v>131</v>
      </c>
      <c r="AR2057">
        <v>1</v>
      </c>
      <c r="AS2057">
        <v>90</v>
      </c>
      <c r="AT2057">
        <v>320</v>
      </c>
      <c r="BB2057" t="str">
        <f t="shared" si="814"/>
        <v>1200</v>
      </c>
      <c r="BC2057">
        <v>1</v>
      </c>
      <c r="BD2057" t="str">
        <f t="shared" si="815"/>
        <v xml:space="preserve">N52156  </v>
      </c>
      <c r="BE2057">
        <v>1</v>
      </c>
      <c r="BG2057">
        <v>0</v>
      </c>
      <c r="BH2057">
        <v>0</v>
      </c>
      <c r="BI2057">
        <v>0</v>
      </c>
      <c r="BJ2057">
        <v>4475</v>
      </c>
      <c r="BK2057">
        <v>75</v>
      </c>
      <c r="BL2057" t="s">
        <v>188</v>
      </c>
      <c r="BM2057">
        <v>1</v>
      </c>
      <c r="BN2057">
        <v>1</v>
      </c>
      <c r="BO2057">
        <v>0</v>
      </c>
      <c r="BP2057">
        <v>0</v>
      </c>
      <c r="BS2057">
        <v>0</v>
      </c>
      <c r="BT2057">
        <v>0</v>
      </c>
      <c r="BU2057">
        <v>0</v>
      </c>
      <c r="CE2057" t="str">
        <f t="shared" si="817"/>
        <v>15:10:14.660</v>
      </c>
      <c r="CF2057">
        <v>660031874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3</v>
      </c>
      <c r="CY2057">
        <v>7</v>
      </c>
      <c r="CZ2057" t="s">
        <v>133</v>
      </c>
      <c r="DA2057">
        <v>276</v>
      </c>
      <c r="DB2057">
        <v>0</v>
      </c>
      <c r="DC2057" t="s">
        <v>402</v>
      </c>
      <c r="DD2057" t="s">
        <v>403</v>
      </c>
      <c r="DG2057">
        <v>1626650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"05/01/2025 15:10:14.913"</f>
        <v>05/01/2025 15:10:14.913</v>
      </c>
      <c r="C2058" t="str">
        <f t="shared" si="812"/>
        <v>FFDFD3C0</v>
      </c>
      <c r="D2058" t="s">
        <v>136</v>
      </c>
      <c r="E2058" t="str">
        <f>"20"</f>
        <v>20</v>
      </c>
      <c r="H2058">
        <v>400</v>
      </c>
      <c r="I2058" t="s">
        <v>137</v>
      </c>
      <c r="J2058" t="s">
        <v>138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R2058" t="s">
        <v>127</v>
      </c>
      <c r="S2058" t="str">
        <f t="shared" si="816"/>
        <v>15:10:14.000</v>
      </c>
      <c r="T2058" t="str">
        <f t="shared" si="816"/>
        <v>15:10:14.000</v>
      </c>
      <c r="U2058" t="str">
        <f t="shared" si="813"/>
        <v>A68FCB</v>
      </c>
      <c r="V2058">
        <v>0</v>
      </c>
      <c r="W2058">
        <v>0</v>
      </c>
      <c r="X2058">
        <v>2</v>
      </c>
      <c r="Y2058">
        <v>0</v>
      </c>
      <c r="AA2058">
        <v>1</v>
      </c>
      <c r="AB2058">
        <v>8</v>
      </c>
      <c r="AC2058">
        <v>3</v>
      </c>
      <c r="AD2058">
        <v>0</v>
      </c>
      <c r="AE2058">
        <v>9</v>
      </c>
      <c r="AF2058" t="s">
        <v>138</v>
      </c>
      <c r="AG2058">
        <v>0</v>
      </c>
      <c r="AH2058">
        <v>3</v>
      </c>
      <c r="AI2058">
        <v>2</v>
      </c>
      <c r="AJ2058">
        <v>0</v>
      </c>
      <c r="AK2058" t="s">
        <v>726</v>
      </c>
      <c r="AL2058">
        <v>39.053413999999997</v>
      </c>
      <c r="AM2058" t="s">
        <v>727</v>
      </c>
      <c r="AN2058">
        <v>-121.041505</v>
      </c>
      <c r="AO2058">
        <v>25</v>
      </c>
      <c r="AP2058">
        <v>4400</v>
      </c>
      <c r="AQ2058" t="s">
        <v>131</v>
      </c>
      <c r="AR2058">
        <v>1</v>
      </c>
      <c r="AS2058">
        <v>90</v>
      </c>
      <c r="AT2058">
        <v>320</v>
      </c>
      <c r="BB2058" t="str">
        <f t="shared" si="814"/>
        <v>1200</v>
      </c>
      <c r="BC2058">
        <v>1</v>
      </c>
      <c r="BD2058" t="str">
        <f t="shared" si="815"/>
        <v xml:space="preserve">N52156  </v>
      </c>
      <c r="BE2058">
        <v>1</v>
      </c>
      <c r="BG2058">
        <v>0</v>
      </c>
      <c r="BH2058">
        <v>0</v>
      </c>
      <c r="BI2058">
        <v>0</v>
      </c>
      <c r="BJ2058">
        <v>4475</v>
      </c>
      <c r="BK2058">
        <v>75</v>
      </c>
      <c r="BL2058" t="s">
        <v>188</v>
      </c>
      <c r="BM2058">
        <v>1</v>
      </c>
      <c r="BN2058">
        <v>1</v>
      </c>
      <c r="BO2058">
        <v>0</v>
      </c>
      <c r="BP2058">
        <v>0</v>
      </c>
      <c r="BS2058">
        <v>0</v>
      </c>
      <c r="BT2058">
        <v>0</v>
      </c>
      <c r="BU2058">
        <v>0</v>
      </c>
      <c r="CE2058" t="str">
        <f t="shared" si="817"/>
        <v>15:10:14.660</v>
      </c>
      <c r="CF2058">
        <v>660031874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3</v>
      </c>
      <c r="CY2058">
        <v>7</v>
      </c>
      <c r="CZ2058" t="s">
        <v>133</v>
      </c>
      <c r="DA2058">
        <v>276</v>
      </c>
      <c r="DB2058">
        <v>0</v>
      </c>
      <c r="DC2058" t="s">
        <v>402</v>
      </c>
      <c r="DD2058" t="s">
        <v>403</v>
      </c>
      <c r="DG2058">
        <v>1626650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"05/01/2025 15:10:14.913"</f>
        <v>05/01/2025 15:10:14.913</v>
      </c>
      <c r="C2059" t="str">
        <f t="shared" si="812"/>
        <v>FFDFD3C0</v>
      </c>
      <c r="D2059" t="s">
        <v>143</v>
      </c>
      <c r="E2059" t="str">
        <f>"05"</f>
        <v>05</v>
      </c>
      <c r="H2059">
        <v>172</v>
      </c>
      <c r="I2059" t="s">
        <v>141</v>
      </c>
      <c r="J2059" t="s">
        <v>144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R2059" t="s">
        <v>127</v>
      </c>
      <c r="S2059" t="str">
        <f t="shared" si="816"/>
        <v>15:10:14.000</v>
      </c>
      <c r="T2059" t="str">
        <f t="shared" si="816"/>
        <v>15:10:14.000</v>
      </c>
      <c r="U2059" t="str">
        <f t="shared" si="813"/>
        <v>A68FCB</v>
      </c>
      <c r="V2059">
        <v>0</v>
      </c>
      <c r="W2059">
        <v>0</v>
      </c>
      <c r="X2059">
        <v>2</v>
      </c>
      <c r="Y2059">
        <v>0</v>
      </c>
      <c r="AA2059">
        <v>1</v>
      </c>
      <c r="AB2059">
        <v>8</v>
      </c>
      <c r="AC2059">
        <v>3</v>
      </c>
      <c r="AD2059">
        <v>0</v>
      </c>
      <c r="AE2059">
        <v>9</v>
      </c>
      <c r="AF2059" t="s">
        <v>138</v>
      </c>
      <c r="AG2059">
        <v>0</v>
      </c>
      <c r="AH2059">
        <v>3</v>
      </c>
      <c r="AI2059">
        <v>2</v>
      </c>
      <c r="AJ2059">
        <v>0</v>
      </c>
      <c r="AK2059" t="s">
        <v>726</v>
      </c>
      <c r="AL2059">
        <v>39.053413999999997</v>
      </c>
      <c r="AM2059" t="s">
        <v>727</v>
      </c>
      <c r="AN2059">
        <v>-121.041505</v>
      </c>
      <c r="AO2059">
        <v>25</v>
      </c>
      <c r="AP2059">
        <v>4400</v>
      </c>
      <c r="AQ2059" t="s">
        <v>131</v>
      </c>
      <c r="AR2059">
        <v>1</v>
      </c>
      <c r="AS2059">
        <v>90</v>
      </c>
      <c r="AT2059">
        <v>320</v>
      </c>
      <c r="BB2059" t="str">
        <f t="shared" si="814"/>
        <v>1200</v>
      </c>
      <c r="BC2059">
        <v>1</v>
      </c>
      <c r="BD2059" t="str">
        <f t="shared" si="815"/>
        <v xml:space="preserve">N52156  </v>
      </c>
      <c r="BE2059">
        <v>1</v>
      </c>
      <c r="BG2059">
        <v>0</v>
      </c>
      <c r="BH2059">
        <v>0</v>
      </c>
      <c r="BI2059">
        <v>0</v>
      </c>
      <c r="BJ2059">
        <v>4475</v>
      </c>
      <c r="BK2059">
        <v>75</v>
      </c>
      <c r="BL2059" t="s">
        <v>188</v>
      </c>
      <c r="BM2059">
        <v>1</v>
      </c>
      <c r="BN2059">
        <v>1</v>
      </c>
      <c r="BO2059">
        <v>0</v>
      </c>
      <c r="BP2059">
        <v>0</v>
      </c>
      <c r="BS2059">
        <v>0</v>
      </c>
      <c r="BT2059">
        <v>0</v>
      </c>
      <c r="BU2059">
        <v>0</v>
      </c>
      <c r="CE2059" t="str">
        <f t="shared" si="817"/>
        <v>15:10:14.660</v>
      </c>
      <c r="CF2059">
        <v>660031874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3</v>
      </c>
      <c r="CY2059">
        <v>7</v>
      </c>
      <c r="CZ2059" t="s">
        <v>133</v>
      </c>
      <c r="DA2059">
        <v>276</v>
      </c>
      <c r="DB2059">
        <v>0</v>
      </c>
      <c r="DC2059" t="s">
        <v>402</v>
      </c>
      <c r="DD2059" t="s">
        <v>403</v>
      </c>
      <c r="DG2059">
        <v>1626650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"05/01/2025 15:10:15.742"</f>
        <v>05/01/2025 15:10:15.742</v>
      </c>
      <c r="C2060" t="str">
        <f t="shared" si="812"/>
        <v>FFDFD3C0</v>
      </c>
      <c r="D2060" t="s">
        <v>140</v>
      </c>
      <c r="E2060" t="str">
        <f>"13"</f>
        <v>13</v>
      </c>
      <c r="F2060">
        <v>1019</v>
      </c>
      <c r="G2060" t="s">
        <v>141</v>
      </c>
      <c r="J2060" t="s">
        <v>142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R2060" t="s">
        <v>127</v>
      </c>
      <c r="S2060" t="str">
        <f t="shared" ref="S2060:T2065" si="818">"15:10:15.000"</f>
        <v>15:10:15.000</v>
      </c>
      <c r="T2060" t="str">
        <f t="shared" si="818"/>
        <v>15:10:15.000</v>
      </c>
      <c r="U2060" t="str">
        <f t="shared" si="813"/>
        <v>A68FCB</v>
      </c>
      <c r="V2060">
        <v>0</v>
      </c>
      <c r="W2060">
        <v>0</v>
      </c>
      <c r="X2060">
        <v>2</v>
      </c>
      <c r="Y2060">
        <v>0</v>
      </c>
      <c r="AA2060">
        <v>1</v>
      </c>
      <c r="AB2060">
        <v>8</v>
      </c>
      <c r="AC2060">
        <v>3</v>
      </c>
      <c r="AD2060">
        <v>0</v>
      </c>
      <c r="AE2060">
        <v>9</v>
      </c>
      <c r="AF2060" t="s">
        <v>138</v>
      </c>
      <c r="AG2060">
        <v>0</v>
      </c>
      <c r="AH2060">
        <v>3</v>
      </c>
      <c r="AI2060">
        <v>2</v>
      </c>
      <c r="AJ2060">
        <v>0</v>
      </c>
      <c r="AK2060" t="s">
        <v>728</v>
      </c>
      <c r="AL2060">
        <v>39.053843000000001</v>
      </c>
      <c r="AM2060" t="s">
        <v>727</v>
      </c>
      <c r="AN2060">
        <v>-121.041505</v>
      </c>
      <c r="AO2060">
        <v>25</v>
      </c>
      <c r="AP2060">
        <v>4500</v>
      </c>
      <c r="AQ2060" t="s">
        <v>131</v>
      </c>
      <c r="AR2060">
        <v>1</v>
      </c>
      <c r="AS2060">
        <v>90</v>
      </c>
      <c r="AT2060">
        <v>384</v>
      </c>
      <c r="BB2060" t="str">
        <f t="shared" si="814"/>
        <v>1200</v>
      </c>
      <c r="BC2060">
        <v>1</v>
      </c>
      <c r="BD2060" t="str">
        <f t="shared" si="815"/>
        <v xml:space="preserve">N52156  </v>
      </c>
      <c r="BE2060">
        <v>1</v>
      </c>
      <c r="BG2060">
        <v>0</v>
      </c>
      <c r="BH2060">
        <v>0</v>
      </c>
      <c r="BI2060">
        <v>0</v>
      </c>
      <c r="BJ2060">
        <v>4500</v>
      </c>
      <c r="BK2060">
        <v>0</v>
      </c>
      <c r="BL2060" t="s">
        <v>188</v>
      </c>
      <c r="BM2060">
        <v>1</v>
      </c>
      <c r="BN2060">
        <v>1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 t="shared" ref="CE2060:CE2065" si="819">"15:10:15.496"</f>
        <v>15:10:15.496</v>
      </c>
      <c r="CF2060">
        <v>496215000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3</v>
      </c>
      <c r="CY2060">
        <v>7</v>
      </c>
      <c r="CZ2060" t="s">
        <v>133</v>
      </c>
      <c r="DA2060">
        <v>275</v>
      </c>
      <c r="DB2060">
        <v>0</v>
      </c>
      <c r="DC2060" t="s">
        <v>134</v>
      </c>
      <c r="DD2060" t="s">
        <v>135</v>
      </c>
      <c r="DG2060">
        <v>3321294</v>
      </c>
      <c r="DI2060">
        <v>1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"05/01/2025 15:10:15.752"</f>
        <v>05/01/2025 15:10:15.752</v>
      </c>
      <c r="C2061" t="str">
        <f t="shared" si="812"/>
        <v>FFDFD3C0</v>
      </c>
      <c r="D2061" t="s">
        <v>124</v>
      </c>
      <c r="E2061" t="str">
        <f>"06"</f>
        <v>06</v>
      </c>
      <c r="F2061">
        <v>2006</v>
      </c>
      <c r="G2061" t="s">
        <v>125</v>
      </c>
      <c r="J2061" t="s">
        <v>126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R2061" t="s">
        <v>127</v>
      </c>
      <c r="S2061" t="str">
        <f t="shared" si="818"/>
        <v>15:10:15.000</v>
      </c>
      <c r="T2061" t="str">
        <f t="shared" si="818"/>
        <v>15:10:15.000</v>
      </c>
      <c r="U2061" t="str">
        <f t="shared" si="813"/>
        <v>A68FCB</v>
      </c>
      <c r="V2061">
        <v>0</v>
      </c>
      <c r="W2061">
        <v>0</v>
      </c>
      <c r="X2061">
        <v>2</v>
      </c>
      <c r="Y2061">
        <v>0</v>
      </c>
      <c r="AA2061">
        <v>1</v>
      </c>
      <c r="AB2061">
        <v>8</v>
      </c>
      <c r="AC2061">
        <v>3</v>
      </c>
      <c r="AD2061">
        <v>0</v>
      </c>
      <c r="AE2061">
        <v>9</v>
      </c>
      <c r="AF2061" t="s">
        <v>138</v>
      </c>
      <c r="AG2061">
        <v>0</v>
      </c>
      <c r="AH2061">
        <v>3</v>
      </c>
      <c r="AI2061">
        <v>2</v>
      </c>
      <c r="AJ2061">
        <v>0</v>
      </c>
      <c r="AK2061" t="s">
        <v>728</v>
      </c>
      <c r="AL2061">
        <v>39.053843000000001</v>
      </c>
      <c r="AM2061" t="s">
        <v>727</v>
      </c>
      <c r="AN2061">
        <v>-121.041505</v>
      </c>
      <c r="AO2061">
        <v>25</v>
      </c>
      <c r="AP2061">
        <v>4500</v>
      </c>
      <c r="AQ2061" t="s">
        <v>131</v>
      </c>
      <c r="AR2061">
        <v>1</v>
      </c>
      <c r="AS2061">
        <v>90</v>
      </c>
      <c r="AT2061">
        <v>384</v>
      </c>
      <c r="BB2061" t="str">
        <f t="shared" si="814"/>
        <v>1200</v>
      </c>
      <c r="BC2061">
        <v>1</v>
      </c>
      <c r="BD2061" t="str">
        <f t="shared" si="815"/>
        <v xml:space="preserve">N52156  </v>
      </c>
      <c r="BE2061">
        <v>1</v>
      </c>
      <c r="BG2061">
        <v>0</v>
      </c>
      <c r="BH2061">
        <v>0</v>
      </c>
      <c r="BI2061">
        <v>0</v>
      </c>
      <c r="BJ2061">
        <v>4500</v>
      </c>
      <c r="BK2061">
        <v>0</v>
      </c>
      <c r="BL2061" t="s">
        <v>188</v>
      </c>
      <c r="BM2061">
        <v>1</v>
      </c>
      <c r="BN2061">
        <v>1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 t="shared" si="819"/>
        <v>15:10:15.496</v>
      </c>
      <c r="CF2061">
        <v>496215000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3</v>
      </c>
      <c r="CY2061">
        <v>7</v>
      </c>
      <c r="CZ2061" t="s">
        <v>133</v>
      </c>
      <c r="DA2061">
        <v>275</v>
      </c>
      <c r="DB2061">
        <v>0</v>
      </c>
      <c r="DC2061" t="s">
        <v>134</v>
      </c>
      <c r="DD2061" t="s">
        <v>135</v>
      </c>
      <c r="DG2061">
        <v>3321294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"05/01/2025 15:10:15.755"</f>
        <v>05/01/2025 15:10:15.755</v>
      </c>
      <c r="C2062" t="str">
        <f t="shared" si="812"/>
        <v>FFDFD3C0</v>
      </c>
      <c r="D2062" t="s">
        <v>145</v>
      </c>
      <c r="E2062" t="str">
        <f>"05"</f>
        <v>05</v>
      </c>
      <c r="H2062">
        <v>47</v>
      </c>
      <c r="I2062" t="s">
        <v>146</v>
      </c>
      <c r="J2062" t="s">
        <v>138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R2062" t="s">
        <v>127</v>
      </c>
      <c r="S2062" t="str">
        <f t="shared" si="818"/>
        <v>15:10:15.000</v>
      </c>
      <c r="T2062" t="str">
        <f t="shared" si="818"/>
        <v>15:10:15.000</v>
      </c>
      <c r="U2062" t="str">
        <f t="shared" si="813"/>
        <v>A68FCB</v>
      </c>
      <c r="V2062">
        <v>0</v>
      </c>
      <c r="W2062">
        <v>0</v>
      </c>
      <c r="X2062">
        <v>2</v>
      </c>
      <c r="Y2062">
        <v>0</v>
      </c>
      <c r="AA2062">
        <v>1</v>
      </c>
      <c r="AB2062">
        <v>8</v>
      </c>
      <c r="AC2062">
        <v>3</v>
      </c>
      <c r="AD2062">
        <v>0</v>
      </c>
      <c r="AE2062">
        <v>9</v>
      </c>
      <c r="AF2062" t="s">
        <v>138</v>
      </c>
      <c r="AG2062">
        <v>0</v>
      </c>
      <c r="AH2062">
        <v>3</v>
      </c>
      <c r="AI2062">
        <v>2</v>
      </c>
      <c r="AJ2062">
        <v>0</v>
      </c>
      <c r="AK2062" t="s">
        <v>728</v>
      </c>
      <c r="AL2062">
        <v>39.053843000000001</v>
      </c>
      <c r="AM2062" t="s">
        <v>727</v>
      </c>
      <c r="AN2062">
        <v>-121.041505</v>
      </c>
      <c r="AO2062">
        <v>25</v>
      </c>
      <c r="AP2062">
        <v>4500</v>
      </c>
      <c r="AQ2062" t="s">
        <v>131</v>
      </c>
      <c r="AR2062">
        <v>1</v>
      </c>
      <c r="AS2062">
        <v>90</v>
      </c>
      <c r="AT2062">
        <v>384</v>
      </c>
      <c r="BB2062" t="str">
        <f t="shared" si="814"/>
        <v>1200</v>
      </c>
      <c r="BC2062">
        <v>1</v>
      </c>
      <c r="BD2062" t="str">
        <f t="shared" si="815"/>
        <v xml:space="preserve">N52156  </v>
      </c>
      <c r="BE2062">
        <v>1</v>
      </c>
      <c r="BG2062">
        <v>0</v>
      </c>
      <c r="BH2062">
        <v>0</v>
      </c>
      <c r="BI2062">
        <v>0</v>
      </c>
      <c r="BJ2062">
        <v>4500</v>
      </c>
      <c r="BK2062">
        <v>0</v>
      </c>
      <c r="BL2062" t="s">
        <v>188</v>
      </c>
      <c r="BM2062">
        <v>1</v>
      </c>
      <c r="BN2062">
        <v>1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 t="shared" si="819"/>
        <v>15:10:15.496</v>
      </c>
      <c r="CF2062">
        <v>496215000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3</v>
      </c>
      <c r="CY2062">
        <v>7</v>
      </c>
      <c r="CZ2062" t="s">
        <v>133</v>
      </c>
      <c r="DA2062">
        <v>275</v>
      </c>
      <c r="DB2062">
        <v>0</v>
      </c>
      <c r="DC2062" t="s">
        <v>134</v>
      </c>
      <c r="DD2062" t="s">
        <v>135</v>
      </c>
      <c r="DG2062">
        <v>3321294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"05/01/2025 15:10:15.759"</f>
        <v>05/01/2025 15:10:15.759</v>
      </c>
      <c r="C2063" t="str">
        <f t="shared" si="812"/>
        <v>FFDFD3C0</v>
      </c>
      <c r="D2063" t="s">
        <v>145</v>
      </c>
      <c r="E2063" t="str">
        <f>"09"</f>
        <v>09</v>
      </c>
      <c r="H2063">
        <v>51</v>
      </c>
      <c r="I2063" t="s">
        <v>147</v>
      </c>
      <c r="J2063" t="s">
        <v>138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R2063" t="s">
        <v>127</v>
      </c>
      <c r="S2063" t="str">
        <f t="shared" si="818"/>
        <v>15:10:15.000</v>
      </c>
      <c r="T2063" t="str">
        <f t="shared" si="818"/>
        <v>15:10:15.000</v>
      </c>
      <c r="U2063" t="str">
        <f t="shared" si="813"/>
        <v>A68FCB</v>
      </c>
      <c r="V2063">
        <v>0</v>
      </c>
      <c r="W2063">
        <v>0</v>
      </c>
      <c r="X2063">
        <v>2</v>
      </c>
      <c r="Y2063">
        <v>0</v>
      </c>
      <c r="AA2063">
        <v>1</v>
      </c>
      <c r="AB2063">
        <v>8</v>
      </c>
      <c r="AC2063">
        <v>3</v>
      </c>
      <c r="AD2063">
        <v>0</v>
      </c>
      <c r="AE2063">
        <v>9</v>
      </c>
      <c r="AF2063" t="s">
        <v>138</v>
      </c>
      <c r="AG2063">
        <v>0</v>
      </c>
      <c r="AH2063">
        <v>3</v>
      </c>
      <c r="AI2063">
        <v>2</v>
      </c>
      <c r="AJ2063">
        <v>0</v>
      </c>
      <c r="AK2063" t="s">
        <v>728</v>
      </c>
      <c r="AL2063">
        <v>39.053843000000001</v>
      </c>
      <c r="AM2063" t="s">
        <v>727</v>
      </c>
      <c r="AN2063">
        <v>-121.041505</v>
      </c>
      <c r="AO2063">
        <v>25</v>
      </c>
      <c r="AP2063">
        <v>4500</v>
      </c>
      <c r="AQ2063" t="s">
        <v>131</v>
      </c>
      <c r="AR2063">
        <v>1</v>
      </c>
      <c r="AS2063">
        <v>90</v>
      </c>
      <c r="AT2063">
        <v>384</v>
      </c>
      <c r="BB2063" t="str">
        <f t="shared" si="814"/>
        <v>1200</v>
      </c>
      <c r="BC2063">
        <v>1</v>
      </c>
      <c r="BD2063" t="str">
        <f t="shared" si="815"/>
        <v xml:space="preserve">N52156  </v>
      </c>
      <c r="BE2063">
        <v>1</v>
      </c>
      <c r="BG2063">
        <v>0</v>
      </c>
      <c r="BH2063">
        <v>0</v>
      </c>
      <c r="BI2063">
        <v>0</v>
      </c>
      <c r="BJ2063">
        <v>4500</v>
      </c>
      <c r="BK2063">
        <v>0</v>
      </c>
      <c r="BL2063" t="s">
        <v>188</v>
      </c>
      <c r="BM2063">
        <v>1</v>
      </c>
      <c r="BN2063">
        <v>1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 t="shared" si="819"/>
        <v>15:10:15.496</v>
      </c>
      <c r="CF2063">
        <v>496215000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3</v>
      </c>
      <c r="CY2063">
        <v>7</v>
      </c>
      <c r="CZ2063" t="s">
        <v>133</v>
      </c>
      <c r="DA2063">
        <v>275</v>
      </c>
      <c r="DB2063">
        <v>0</v>
      </c>
      <c r="DC2063" t="s">
        <v>134</v>
      </c>
      <c r="DD2063" t="s">
        <v>135</v>
      </c>
      <c r="DG2063">
        <v>3321294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"05/01/2025 15:10:15.765"</f>
        <v>05/01/2025 15:10:15.765</v>
      </c>
      <c r="C2064" t="str">
        <f t="shared" si="812"/>
        <v>FFDFD3C0</v>
      </c>
      <c r="D2064" t="s">
        <v>136</v>
      </c>
      <c r="E2064" t="str">
        <f>"20"</f>
        <v>20</v>
      </c>
      <c r="H2064">
        <v>400</v>
      </c>
      <c r="I2064" t="s">
        <v>137</v>
      </c>
      <c r="J2064" t="s">
        <v>138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R2064" t="s">
        <v>127</v>
      </c>
      <c r="S2064" t="str">
        <f t="shared" si="818"/>
        <v>15:10:15.000</v>
      </c>
      <c r="T2064" t="str">
        <f t="shared" si="818"/>
        <v>15:10:15.000</v>
      </c>
      <c r="U2064" t="str">
        <f t="shared" si="813"/>
        <v>A68FCB</v>
      </c>
      <c r="V2064">
        <v>0</v>
      </c>
      <c r="W2064">
        <v>0</v>
      </c>
      <c r="X2064">
        <v>2</v>
      </c>
      <c r="Y2064">
        <v>0</v>
      </c>
      <c r="AA2064">
        <v>1</v>
      </c>
      <c r="AB2064">
        <v>8</v>
      </c>
      <c r="AC2064">
        <v>3</v>
      </c>
      <c r="AD2064">
        <v>0</v>
      </c>
      <c r="AE2064">
        <v>9</v>
      </c>
      <c r="AF2064" t="s">
        <v>138</v>
      </c>
      <c r="AG2064">
        <v>0</v>
      </c>
      <c r="AH2064">
        <v>3</v>
      </c>
      <c r="AI2064">
        <v>2</v>
      </c>
      <c r="AJ2064">
        <v>0</v>
      </c>
      <c r="AK2064" t="s">
        <v>728</v>
      </c>
      <c r="AL2064">
        <v>39.053843000000001</v>
      </c>
      <c r="AM2064" t="s">
        <v>727</v>
      </c>
      <c r="AN2064">
        <v>-121.041505</v>
      </c>
      <c r="AO2064">
        <v>25</v>
      </c>
      <c r="AP2064">
        <v>4500</v>
      </c>
      <c r="AQ2064" t="s">
        <v>131</v>
      </c>
      <c r="AR2064">
        <v>1</v>
      </c>
      <c r="AS2064">
        <v>90</v>
      </c>
      <c r="AT2064">
        <v>384</v>
      </c>
      <c r="BB2064" t="str">
        <f t="shared" si="814"/>
        <v>1200</v>
      </c>
      <c r="BC2064">
        <v>1</v>
      </c>
      <c r="BD2064" t="str">
        <f t="shared" si="815"/>
        <v xml:space="preserve">N52156  </v>
      </c>
      <c r="BE2064">
        <v>1</v>
      </c>
      <c r="BG2064">
        <v>0</v>
      </c>
      <c r="BH2064">
        <v>0</v>
      </c>
      <c r="BI2064">
        <v>0</v>
      </c>
      <c r="BJ2064">
        <v>4500</v>
      </c>
      <c r="BK2064">
        <v>0</v>
      </c>
      <c r="BL2064" t="s">
        <v>188</v>
      </c>
      <c r="BM2064">
        <v>1</v>
      </c>
      <c r="BN2064">
        <v>1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 t="shared" si="819"/>
        <v>15:10:15.496</v>
      </c>
      <c r="CF2064">
        <v>496215000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3</v>
      </c>
      <c r="CY2064">
        <v>7</v>
      </c>
      <c r="CZ2064" t="s">
        <v>133</v>
      </c>
      <c r="DA2064">
        <v>275</v>
      </c>
      <c r="DB2064">
        <v>0</v>
      </c>
      <c r="DC2064" t="s">
        <v>134</v>
      </c>
      <c r="DD2064" t="s">
        <v>135</v>
      </c>
      <c r="DG2064">
        <v>3321294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"05/01/2025 15:10:15.765"</f>
        <v>05/01/2025 15:10:15.765</v>
      </c>
      <c r="C2065" t="str">
        <f t="shared" si="812"/>
        <v>FFDFD3C0</v>
      </c>
      <c r="D2065" t="s">
        <v>143</v>
      </c>
      <c r="E2065" t="str">
        <f>"05"</f>
        <v>05</v>
      </c>
      <c r="H2065">
        <v>172</v>
      </c>
      <c r="I2065" t="s">
        <v>141</v>
      </c>
      <c r="J2065" t="s">
        <v>144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R2065" t="s">
        <v>127</v>
      </c>
      <c r="S2065" t="str">
        <f t="shared" si="818"/>
        <v>15:10:15.000</v>
      </c>
      <c r="T2065" t="str">
        <f t="shared" si="818"/>
        <v>15:10:15.000</v>
      </c>
      <c r="U2065" t="str">
        <f t="shared" si="813"/>
        <v>A68FCB</v>
      </c>
      <c r="V2065">
        <v>0</v>
      </c>
      <c r="W2065">
        <v>0</v>
      </c>
      <c r="X2065">
        <v>2</v>
      </c>
      <c r="Y2065">
        <v>0</v>
      </c>
      <c r="AA2065">
        <v>1</v>
      </c>
      <c r="AB2065">
        <v>8</v>
      </c>
      <c r="AC2065">
        <v>3</v>
      </c>
      <c r="AD2065">
        <v>0</v>
      </c>
      <c r="AE2065">
        <v>9</v>
      </c>
      <c r="AF2065" t="s">
        <v>138</v>
      </c>
      <c r="AG2065">
        <v>0</v>
      </c>
      <c r="AH2065">
        <v>3</v>
      </c>
      <c r="AI2065">
        <v>2</v>
      </c>
      <c r="AJ2065">
        <v>0</v>
      </c>
      <c r="AK2065" t="s">
        <v>728</v>
      </c>
      <c r="AL2065">
        <v>39.053843000000001</v>
      </c>
      <c r="AM2065" t="s">
        <v>727</v>
      </c>
      <c r="AN2065">
        <v>-121.041505</v>
      </c>
      <c r="AO2065">
        <v>25</v>
      </c>
      <c r="AP2065">
        <v>4500</v>
      </c>
      <c r="AQ2065" t="s">
        <v>131</v>
      </c>
      <c r="AR2065">
        <v>1</v>
      </c>
      <c r="AS2065">
        <v>90</v>
      </c>
      <c r="AT2065">
        <v>384</v>
      </c>
      <c r="BB2065" t="str">
        <f t="shared" si="814"/>
        <v>1200</v>
      </c>
      <c r="BC2065">
        <v>1</v>
      </c>
      <c r="BD2065" t="str">
        <f t="shared" si="815"/>
        <v xml:space="preserve">N52156  </v>
      </c>
      <c r="BE2065">
        <v>1</v>
      </c>
      <c r="BG2065">
        <v>0</v>
      </c>
      <c r="BH2065">
        <v>0</v>
      </c>
      <c r="BI2065">
        <v>0</v>
      </c>
      <c r="BJ2065">
        <v>4500</v>
      </c>
      <c r="BK2065">
        <v>0</v>
      </c>
      <c r="BL2065" t="s">
        <v>188</v>
      </c>
      <c r="BM2065">
        <v>1</v>
      </c>
      <c r="BN2065">
        <v>1</v>
      </c>
      <c r="BO2065">
        <v>0</v>
      </c>
      <c r="BP2065">
        <v>0</v>
      </c>
      <c r="BS2065">
        <v>0</v>
      </c>
      <c r="BT2065">
        <v>0</v>
      </c>
      <c r="BU2065">
        <v>0</v>
      </c>
      <c r="CE2065" t="str">
        <f t="shared" si="819"/>
        <v>15:10:15.496</v>
      </c>
      <c r="CF2065">
        <v>496215000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3</v>
      </c>
      <c r="CY2065">
        <v>7</v>
      </c>
      <c r="CZ2065" t="s">
        <v>133</v>
      </c>
      <c r="DA2065">
        <v>275</v>
      </c>
      <c r="DB2065">
        <v>0</v>
      </c>
      <c r="DC2065" t="s">
        <v>134</v>
      </c>
      <c r="DD2065" t="s">
        <v>135</v>
      </c>
      <c r="DG2065">
        <v>3321294</v>
      </c>
      <c r="DI2065">
        <v>1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"05/01/2025 15:10:17.067"</f>
        <v>05/01/2025 15:10:17.067</v>
      </c>
      <c r="C2066" t="str">
        <f t="shared" si="812"/>
        <v>FFDFD3C0</v>
      </c>
      <c r="D2066" t="s">
        <v>136</v>
      </c>
      <c r="E2066" t="str">
        <f>"20"</f>
        <v>20</v>
      </c>
      <c r="H2066">
        <v>400</v>
      </c>
      <c r="I2066" t="s">
        <v>137</v>
      </c>
      <c r="J2066" t="s">
        <v>138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R2066" t="s">
        <v>127</v>
      </c>
      <c r="S2066" t="str">
        <f t="shared" ref="S2066:T2071" si="820">"15:10:16.000"</f>
        <v>15:10:16.000</v>
      </c>
      <c r="T2066" t="str">
        <f t="shared" si="820"/>
        <v>15:10:16.000</v>
      </c>
      <c r="U2066" t="str">
        <f t="shared" si="813"/>
        <v>A68FCB</v>
      </c>
      <c r="V2066">
        <v>0</v>
      </c>
      <c r="W2066">
        <v>0</v>
      </c>
      <c r="X2066">
        <v>2</v>
      </c>
      <c r="Y2066">
        <v>0</v>
      </c>
      <c r="AA2066">
        <v>1</v>
      </c>
      <c r="AB2066">
        <v>8</v>
      </c>
      <c r="AC2066">
        <v>3</v>
      </c>
      <c r="AD2066">
        <v>0</v>
      </c>
      <c r="AE2066">
        <v>9</v>
      </c>
      <c r="AF2066" t="s">
        <v>138</v>
      </c>
      <c r="AG2066">
        <v>0</v>
      </c>
      <c r="AH2066">
        <v>3</v>
      </c>
      <c r="AI2066">
        <v>2</v>
      </c>
      <c r="AJ2066">
        <v>0</v>
      </c>
      <c r="AK2066" t="s">
        <v>729</v>
      </c>
      <c r="AL2066">
        <v>39.054251000000001</v>
      </c>
      <c r="AM2066" t="s">
        <v>730</v>
      </c>
      <c r="AN2066">
        <v>-121.041484</v>
      </c>
      <c r="AO2066">
        <v>25</v>
      </c>
      <c r="AP2066">
        <v>4500</v>
      </c>
      <c r="AQ2066" t="s">
        <v>131</v>
      </c>
      <c r="AR2066">
        <v>0</v>
      </c>
      <c r="AS2066">
        <v>89</v>
      </c>
      <c r="AT2066">
        <v>384</v>
      </c>
      <c r="BB2066" t="str">
        <f t="shared" si="814"/>
        <v>1200</v>
      </c>
      <c r="BC2066">
        <v>1</v>
      </c>
      <c r="BD2066" t="str">
        <f t="shared" si="815"/>
        <v xml:space="preserve">N52156  </v>
      </c>
      <c r="BE2066">
        <v>1</v>
      </c>
      <c r="BG2066">
        <v>0</v>
      </c>
      <c r="BH2066">
        <v>0</v>
      </c>
      <c r="BI2066">
        <v>0</v>
      </c>
      <c r="BJ2066">
        <v>4500</v>
      </c>
      <c r="BK2066">
        <v>0</v>
      </c>
      <c r="BL2066" t="s">
        <v>188</v>
      </c>
      <c r="BM2066">
        <v>1</v>
      </c>
      <c r="BN2066">
        <v>1</v>
      </c>
      <c r="BO2066">
        <v>0</v>
      </c>
      <c r="BP2066">
        <v>0</v>
      </c>
      <c r="BS2066">
        <v>0</v>
      </c>
      <c r="BT2066">
        <v>0</v>
      </c>
      <c r="BU2066">
        <v>0</v>
      </c>
      <c r="CE2066" t="str">
        <f t="shared" ref="CE2066:CE2071" si="821">"15:10:16.855"</f>
        <v>15:10:16.855</v>
      </c>
      <c r="CF2066">
        <v>855282646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3</v>
      </c>
      <c r="CY2066">
        <v>7</v>
      </c>
      <c r="CZ2066" t="s">
        <v>133</v>
      </c>
      <c r="DA2066">
        <v>276</v>
      </c>
      <c r="DB2066">
        <v>0</v>
      </c>
      <c r="DC2066" t="s">
        <v>402</v>
      </c>
      <c r="DD2066" t="s">
        <v>403</v>
      </c>
      <c r="DG2066">
        <v>1626675</v>
      </c>
      <c r="DI2066">
        <v>1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"05/01/2025 15:10:17.067"</f>
        <v>05/01/2025 15:10:17.067</v>
      </c>
      <c r="C2067" t="str">
        <f t="shared" si="812"/>
        <v>FFDFD3C0</v>
      </c>
      <c r="D2067" t="s">
        <v>143</v>
      </c>
      <c r="E2067" t="str">
        <f>"05"</f>
        <v>05</v>
      </c>
      <c r="H2067">
        <v>172</v>
      </c>
      <c r="I2067" t="s">
        <v>141</v>
      </c>
      <c r="J2067" t="s">
        <v>144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R2067" t="s">
        <v>127</v>
      </c>
      <c r="S2067" t="str">
        <f t="shared" si="820"/>
        <v>15:10:16.000</v>
      </c>
      <c r="T2067" t="str">
        <f t="shared" si="820"/>
        <v>15:10:16.000</v>
      </c>
      <c r="U2067" t="str">
        <f t="shared" si="813"/>
        <v>A68FCB</v>
      </c>
      <c r="V2067">
        <v>0</v>
      </c>
      <c r="W2067">
        <v>0</v>
      </c>
      <c r="X2067">
        <v>2</v>
      </c>
      <c r="Y2067">
        <v>0</v>
      </c>
      <c r="AA2067">
        <v>1</v>
      </c>
      <c r="AB2067">
        <v>8</v>
      </c>
      <c r="AC2067">
        <v>3</v>
      </c>
      <c r="AD2067">
        <v>0</v>
      </c>
      <c r="AE2067">
        <v>9</v>
      </c>
      <c r="AF2067" t="s">
        <v>138</v>
      </c>
      <c r="AG2067">
        <v>0</v>
      </c>
      <c r="AH2067">
        <v>3</v>
      </c>
      <c r="AI2067">
        <v>2</v>
      </c>
      <c r="AJ2067">
        <v>0</v>
      </c>
      <c r="AK2067" t="s">
        <v>729</v>
      </c>
      <c r="AL2067">
        <v>39.054251000000001</v>
      </c>
      <c r="AM2067" t="s">
        <v>730</v>
      </c>
      <c r="AN2067">
        <v>-121.041484</v>
      </c>
      <c r="AO2067">
        <v>25</v>
      </c>
      <c r="AP2067">
        <v>4500</v>
      </c>
      <c r="AQ2067" t="s">
        <v>131</v>
      </c>
      <c r="AR2067">
        <v>0</v>
      </c>
      <c r="AS2067">
        <v>89</v>
      </c>
      <c r="AT2067">
        <v>384</v>
      </c>
      <c r="BB2067" t="str">
        <f t="shared" si="814"/>
        <v>1200</v>
      </c>
      <c r="BC2067">
        <v>1</v>
      </c>
      <c r="BD2067" t="str">
        <f t="shared" si="815"/>
        <v xml:space="preserve">N52156  </v>
      </c>
      <c r="BE2067">
        <v>1</v>
      </c>
      <c r="BG2067">
        <v>0</v>
      </c>
      <c r="BH2067">
        <v>0</v>
      </c>
      <c r="BI2067">
        <v>0</v>
      </c>
      <c r="BJ2067">
        <v>4500</v>
      </c>
      <c r="BK2067">
        <v>0</v>
      </c>
      <c r="BL2067" t="s">
        <v>188</v>
      </c>
      <c r="BM2067">
        <v>1</v>
      </c>
      <c r="BN2067">
        <v>1</v>
      </c>
      <c r="BO2067">
        <v>0</v>
      </c>
      <c r="BP2067">
        <v>0</v>
      </c>
      <c r="BS2067">
        <v>0</v>
      </c>
      <c r="BT2067">
        <v>0</v>
      </c>
      <c r="BU2067">
        <v>0</v>
      </c>
      <c r="CE2067" t="str">
        <f t="shared" si="821"/>
        <v>15:10:16.855</v>
      </c>
      <c r="CF2067">
        <v>855282646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3</v>
      </c>
      <c r="CY2067">
        <v>7</v>
      </c>
      <c r="CZ2067" t="s">
        <v>133</v>
      </c>
      <c r="DA2067">
        <v>276</v>
      </c>
      <c r="DB2067">
        <v>0</v>
      </c>
      <c r="DC2067" t="s">
        <v>402</v>
      </c>
      <c r="DD2067" t="s">
        <v>403</v>
      </c>
      <c r="DG2067">
        <v>1626675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"05/01/2025 15:10:17.094"</f>
        <v>05/01/2025 15:10:17.094</v>
      </c>
      <c r="C2068" t="str">
        <f t="shared" si="812"/>
        <v>FFDFD3C0</v>
      </c>
      <c r="D2068" t="s">
        <v>140</v>
      </c>
      <c r="E2068" t="str">
        <f>"13"</f>
        <v>13</v>
      </c>
      <c r="F2068">
        <v>1019</v>
      </c>
      <c r="G2068" t="s">
        <v>141</v>
      </c>
      <c r="J2068" t="s">
        <v>142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R2068" t="s">
        <v>127</v>
      </c>
      <c r="S2068" t="str">
        <f t="shared" si="820"/>
        <v>15:10:16.000</v>
      </c>
      <c r="T2068" t="str">
        <f t="shared" si="820"/>
        <v>15:10:16.000</v>
      </c>
      <c r="U2068" t="str">
        <f t="shared" si="813"/>
        <v>A68FCB</v>
      </c>
      <c r="V2068">
        <v>0</v>
      </c>
      <c r="W2068">
        <v>0</v>
      </c>
      <c r="X2068">
        <v>2</v>
      </c>
      <c r="Y2068">
        <v>0</v>
      </c>
      <c r="AA2068">
        <v>1</v>
      </c>
      <c r="AB2068">
        <v>8</v>
      </c>
      <c r="AC2068">
        <v>3</v>
      </c>
      <c r="AD2068">
        <v>0</v>
      </c>
      <c r="AE2068">
        <v>9</v>
      </c>
      <c r="AF2068" t="s">
        <v>138</v>
      </c>
      <c r="AG2068">
        <v>0</v>
      </c>
      <c r="AH2068">
        <v>3</v>
      </c>
      <c r="AI2068">
        <v>2</v>
      </c>
      <c r="AJ2068">
        <v>0</v>
      </c>
      <c r="AK2068" t="s">
        <v>729</v>
      </c>
      <c r="AL2068">
        <v>39.054251000000001</v>
      </c>
      <c r="AM2068" t="s">
        <v>730</v>
      </c>
      <c r="AN2068">
        <v>-121.041484</v>
      </c>
      <c r="AO2068">
        <v>25</v>
      </c>
      <c r="AP2068">
        <v>4500</v>
      </c>
      <c r="AQ2068" t="s">
        <v>131</v>
      </c>
      <c r="AR2068">
        <v>0</v>
      </c>
      <c r="AS2068">
        <v>89</v>
      </c>
      <c r="AT2068">
        <v>384</v>
      </c>
      <c r="BB2068" t="str">
        <f t="shared" si="814"/>
        <v>1200</v>
      </c>
      <c r="BC2068">
        <v>1</v>
      </c>
      <c r="BD2068" t="str">
        <f t="shared" si="815"/>
        <v xml:space="preserve">N52156  </v>
      </c>
      <c r="BE2068">
        <v>1</v>
      </c>
      <c r="BG2068">
        <v>0</v>
      </c>
      <c r="BH2068">
        <v>0</v>
      </c>
      <c r="BI2068">
        <v>0</v>
      </c>
      <c r="BJ2068">
        <v>4500</v>
      </c>
      <c r="BK2068">
        <v>0</v>
      </c>
      <c r="BL2068" t="s">
        <v>188</v>
      </c>
      <c r="BM2068">
        <v>1</v>
      </c>
      <c r="BN2068">
        <v>1</v>
      </c>
      <c r="BO2068">
        <v>0</v>
      </c>
      <c r="BP2068">
        <v>0</v>
      </c>
      <c r="BS2068">
        <v>0</v>
      </c>
      <c r="BT2068">
        <v>0</v>
      </c>
      <c r="BU2068">
        <v>0</v>
      </c>
      <c r="CE2068" t="str">
        <f t="shared" si="821"/>
        <v>15:10:16.855</v>
      </c>
      <c r="CF2068">
        <v>855282646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3</v>
      </c>
      <c r="CY2068">
        <v>7</v>
      </c>
      <c r="CZ2068" t="s">
        <v>133</v>
      </c>
      <c r="DA2068">
        <v>276</v>
      </c>
      <c r="DB2068">
        <v>0</v>
      </c>
      <c r="DC2068" t="s">
        <v>402</v>
      </c>
      <c r="DD2068" t="s">
        <v>403</v>
      </c>
      <c r="DG2068">
        <v>1626675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"05/01/2025 15:10:17.104"</f>
        <v>05/01/2025 15:10:17.104</v>
      </c>
      <c r="C2069" t="str">
        <f t="shared" si="812"/>
        <v>FFDFD3C0</v>
      </c>
      <c r="D2069" t="s">
        <v>124</v>
      </c>
      <c r="E2069" t="str">
        <f>"06"</f>
        <v>06</v>
      </c>
      <c r="F2069">
        <v>2006</v>
      </c>
      <c r="G2069" t="s">
        <v>125</v>
      </c>
      <c r="J2069" t="s">
        <v>126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R2069" t="s">
        <v>127</v>
      </c>
      <c r="S2069" t="str">
        <f t="shared" si="820"/>
        <v>15:10:16.000</v>
      </c>
      <c r="T2069" t="str">
        <f t="shared" si="820"/>
        <v>15:10:16.000</v>
      </c>
      <c r="U2069" t="str">
        <f t="shared" si="813"/>
        <v>A68FCB</v>
      </c>
      <c r="V2069">
        <v>0</v>
      </c>
      <c r="W2069">
        <v>0</v>
      </c>
      <c r="X2069">
        <v>2</v>
      </c>
      <c r="Y2069">
        <v>0</v>
      </c>
      <c r="AA2069">
        <v>1</v>
      </c>
      <c r="AB2069">
        <v>8</v>
      </c>
      <c r="AC2069">
        <v>3</v>
      </c>
      <c r="AD2069">
        <v>0</v>
      </c>
      <c r="AE2069">
        <v>9</v>
      </c>
      <c r="AF2069" t="s">
        <v>138</v>
      </c>
      <c r="AG2069">
        <v>0</v>
      </c>
      <c r="AH2069">
        <v>3</v>
      </c>
      <c r="AI2069">
        <v>2</v>
      </c>
      <c r="AJ2069">
        <v>0</v>
      </c>
      <c r="AK2069" t="s">
        <v>729</v>
      </c>
      <c r="AL2069">
        <v>39.054251000000001</v>
      </c>
      <c r="AM2069" t="s">
        <v>730</v>
      </c>
      <c r="AN2069">
        <v>-121.041484</v>
      </c>
      <c r="AO2069">
        <v>25</v>
      </c>
      <c r="AP2069">
        <v>4500</v>
      </c>
      <c r="AQ2069" t="s">
        <v>131</v>
      </c>
      <c r="AR2069">
        <v>0</v>
      </c>
      <c r="AS2069">
        <v>89</v>
      </c>
      <c r="AT2069">
        <v>384</v>
      </c>
      <c r="BB2069" t="str">
        <f t="shared" si="814"/>
        <v>1200</v>
      </c>
      <c r="BC2069">
        <v>1</v>
      </c>
      <c r="BD2069" t="str">
        <f t="shared" si="815"/>
        <v xml:space="preserve">N52156  </v>
      </c>
      <c r="BE2069">
        <v>1</v>
      </c>
      <c r="BG2069">
        <v>0</v>
      </c>
      <c r="BH2069">
        <v>0</v>
      </c>
      <c r="BI2069">
        <v>0</v>
      </c>
      <c r="BJ2069">
        <v>4500</v>
      </c>
      <c r="BK2069">
        <v>0</v>
      </c>
      <c r="BL2069" t="s">
        <v>188</v>
      </c>
      <c r="BM2069">
        <v>1</v>
      </c>
      <c r="BN2069">
        <v>1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 t="shared" si="821"/>
        <v>15:10:16.855</v>
      </c>
      <c r="CF2069">
        <v>855282646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3</v>
      </c>
      <c r="CY2069">
        <v>7</v>
      </c>
      <c r="CZ2069" t="s">
        <v>133</v>
      </c>
      <c r="DA2069">
        <v>276</v>
      </c>
      <c r="DB2069">
        <v>0</v>
      </c>
      <c r="DC2069" t="s">
        <v>402</v>
      </c>
      <c r="DD2069" t="s">
        <v>403</v>
      </c>
      <c r="DG2069">
        <v>1626675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"05/01/2025 15:10:17.110"</f>
        <v>05/01/2025 15:10:17.110</v>
      </c>
      <c r="C2070" t="str">
        <f t="shared" si="812"/>
        <v>FFDFD3C0</v>
      </c>
      <c r="D2070" t="s">
        <v>145</v>
      </c>
      <c r="E2070" t="str">
        <f>"09"</f>
        <v>09</v>
      </c>
      <c r="H2070">
        <v>51</v>
      </c>
      <c r="I2070" t="s">
        <v>147</v>
      </c>
      <c r="J2070" t="s">
        <v>138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R2070" t="s">
        <v>127</v>
      </c>
      <c r="S2070" t="str">
        <f t="shared" si="820"/>
        <v>15:10:16.000</v>
      </c>
      <c r="T2070" t="str">
        <f t="shared" si="820"/>
        <v>15:10:16.000</v>
      </c>
      <c r="U2070" t="str">
        <f t="shared" si="813"/>
        <v>A68FCB</v>
      </c>
      <c r="V2070">
        <v>0</v>
      </c>
      <c r="W2070">
        <v>0</v>
      </c>
      <c r="X2070">
        <v>2</v>
      </c>
      <c r="Y2070">
        <v>0</v>
      </c>
      <c r="AA2070">
        <v>1</v>
      </c>
      <c r="AB2070">
        <v>8</v>
      </c>
      <c r="AC2070">
        <v>3</v>
      </c>
      <c r="AD2070">
        <v>0</v>
      </c>
      <c r="AE2070">
        <v>9</v>
      </c>
      <c r="AF2070" t="s">
        <v>138</v>
      </c>
      <c r="AG2070">
        <v>0</v>
      </c>
      <c r="AH2070">
        <v>3</v>
      </c>
      <c r="AI2070">
        <v>2</v>
      </c>
      <c r="AJ2070">
        <v>0</v>
      </c>
      <c r="AK2070" t="s">
        <v>729</v>
      </c>
      <c r="AL2070">
        <v>39.054251000000001</v>
      </c>
      <c r="AM2070" t="s">
        <v>730</v>
      </c>
      <c r="AN2070">
        <v>-121.041484</v>
      </c>
      <c r="AO2070">
        <v>25</v>
      </c>
      <c r="AP2070">
        <v>4500</v>
      </c>
      <c r="AQ2070" t="s">
        <v>131</v>
      </c>
      <c r="AR2070">
        <v>0</v>
      </c>
      <c r="AS2070">
        <v>89</v>
      </c>
      <c r="AT2070">
        <v>384</v>
      </c>
      <c r="BB2070" t="str">
        <f t="shared" si="814"/>
        <v>1200</v>
      </c>
      <c r="BC2070">
        <v>1</v>
      </c>
      <c r="BD2070" t="str">
        <f t="shared" si="815"/>
        <v xml:space="preserve">N52156  </v>
      </c>
      <c r="BE2070">
        <v>1</v>
      </c>
      <c r="BG2070">
        <v>0</v>
      </c>
      <c r="BH2070">
        <v>0</v>
      </c>
      <c r="BI2070">
        <v>0</v>
      </c>
      <c r="BJ2070">
        <v>4500</v>
      </c>
      <c r="BK2070">
        <v>0</v>
      </c>
      <c r="BL2070" t="s">
        <v>188</v>
      </c>
      <c r="BM2070">
        <v>1</v>
      </c>
      <c r="BN2070">
        <v>1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 t="shared" si="821"/>
        <v>15:10:16.855</v>
      </c>
      <c r="CF2070">
        <v>855282646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3</v>
      </c>
      <c r="CY2070">
        <v>7</v>
      </c>
      <c r="CZ2070" t="s">
        <v>133</v>
      </c>
      <c r="DA2070">
        <v>276</v>
      </c>
      <c r="DB2070">
        <v>0</v>
      </c>
      <c r="DC2070" t="s">
        <v>402</v>
      </c>
      <c r="DD2070" t="s">
        <v>403</v>
      </c>
      <c r="DG2070">
        <v>1626675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"05/01/2025 15:10:17.107"</f>
        <v>05/01/2025 15:10:17.107</v>
      </c>
      <c r="C2071" t="str">
        <f t="shared" si="812"/>
        <v>FFDFD3C0</v>
      </c>
      <c r="D2071" t="s">
        <v>145</v>
      </c>
      <c r="E2071" t="str">
        <f>"05"</f>
        <v>05</v>
      </c>
      <c r="H2071">
        <v>47</v>
      </c>
      <c r="I2071" t="s">
        <v>146</v>
      </c>
      <c r="J2071" t="s">
        <v>138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R2071" t="s">
        <v>127</v>
      </c>
      <c r="S2071" t="str">
        <f t="shared" si="820"/>
        <v>15:10:16.000</v>
      </c>
      <c r="T2071" t="str">
        <f t="shared" si="820"/>
        <v>15:10:16.000</v>
      </c>
      <c r="U2071" t="str">
        <f t="shared" si="813"/>
        <v>A68FCB</v>
      </c>
      <c r="V2071">
        <v>0</v>
      </c>
      <c r="W2071">
        <v>0</v>
      </c>
      <c r="X2071">
        <v>2</v>
      </c>
      <c r="Y2071">
        <v>0</v>
      </c>
      <c r="AA2071">
        <v>1</v>
      </c>
      <c r="AB2071">
        <v>8</v>
      </c>
      <c r="AC2071">
        <v>3</v>
      </c>
      <c r="AD2071">
        <v>0</v>
      </c>
      <c r="AE2071">
        <v>9</v>
      </c>
      <c r="AF2071" t="s">
        <v>138</v>
      </c>
      <c r="AG2071">
        <v>0</v>
      </c>
      <c r="AH2071">
        <v>3</v>
      </c>
      <c r="AI2071">
        <v>2</v>
      </c>
      <c r="AJ2071">
        <v>0</v>
      </c>
      <c r="AK2071" t="s">
        <v>729</v>
      </c>
      <c r="AL2071">
        <v>39.054251000000001</v>
      </c>
      <c r="AM2071" t="s">
        <v>730</v>
      </c>
      <c r="AN2071">
        <v>-121.041484</v>
      </c>
      <c r="AO2071">
        <v>25</v>
      </c>
      <c r="AP2071">
        <v>4500</v>
      </c>
      <c r="AQ2071" t="s">
        <v>131</v>
      </c>
      <c r="AR2071">
        <v>0</v>
      </c>
      <c r="AS2071">
        <v>89</v>
      </c>
      <c r="AT2071">
        <v>384</v>
      </c>
      <c r="BB2071" t="str">
        <f t="shared" si="814"/>
        <v>1200</v>
      </c>
      <c r="BC2071">
        <v>1</v>
      </c>
      <c r="BD2071" t="str">
        <f t="shared" si="815"/>
        <v xml:space="preserve">N52156  </v>
      </c>
      <c r="BE2071">
        <v>1</v>
      </c>
      <c r="BG2071">
        <v>0</v>
      </c>
      <c r="BH2071">
        <v>0</v>
      </c>
      <c r="BI2071">
        <v>0</v>
      </c>
      <c r="BJ2071">
        <v>4500</v>
      </c>
      <c r="BK2071">
        <v>0</v>
      </c>
      <c r="BL2071" t="s">
        <v>188</v>
      </c>
      <c r="BM2071">
        <v>1</v>
      </c>
      <c r="BN2071">
        <v>1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 t="shared" si="821"/>
        <v>15:10:16.855</v>
      </c>
      <c r="CF2071">
        <v>855282646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3</v>
      </c>
      <c r="CY2071">
        <v>7</v>
      </c>
      <c r="CZ2071" t="s">
        <v>133</v>
      </c>
      <c r="DA2071">
        <v>276</v>
      </c>
      <c r="DB2071">
        <v>0</v>
      </c>
      <c r="DC2071" t="s">
        <v>402</v>
      </c>
      <c r="DD2071" t="s">
        <v>403</v>
      </c>
      <c r="DG2071">
        <v>1626675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"05/01/2025 15:10:18.106"</f>
        <v>05/01/2025 15:10:18.106</v>
      </c>
      <c r="C2072" t="str">
        <f t="shared" si="812"/>
        <v>FFDFD3C0</v>
      </c>
      <c r="D2072" t="s">
        <v>124</v>
      </c>
      <c r="E2072" t="str">
        <f>"06"</f>
        <v>06</v>
      </c>
      <c r="F2072">
        <v>2006</v>
      </c>
      <c r="G2072" t="s">
        <v>125</v>
      </c>
      <c r="J2072" t="s">
        <v>126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R2072" t="s">
        <v>127</v>
      </c>
      <c r="S2072" t="str">
        <f t="shared" ref="S2072:T2077" si="822">"15:10:17.000"</f>
        <v>15:10:17.000</v>
      </c>
      <c r="T2072" t="str">
        <f t="shared" si="822"/>
        <v>15:10:17.000</v>
      </c>
      <c r="U2072" t="str">
        <f t="shared" si="813"/>
        <v>A68FCB</v>
      </c>
      <c r="V2072">
        <v>0</v>
      </c>
      <c r="W2072">
        <v>0</v>
      </c>
      <c r="X2072">
        <v>2</v>
      </c>
      <c r="Y2072">
        <v>0</v>
      </c>
      <c r="AA2072">
        <v>1</v>
      </c>
      <c r="AB2072">
        <v>8</v>
      </c>
      <c r="AC2072">
        <v>3</v>
      </c>
      <c r="AD2072">
        <v>0</v>
      </c>
      <c r="AE2072">
        <v>9</v>
      </c>
      <c r="AF2072" t="s">
        <v>138</v>
      </c>
      <c r="AG2072">
        <v>0</v>
      </c>
      <c r="AH2072">
        <v>3</v>
      </c>
      <c r="AI2072">
        <v>2</v>
      </c>
      <c r="AJ2072">
        <v>0</v>
      </c>
      <c r="AK2072" t="s">
        <v>731</v>
      </c>
      <c r="AL2072">
        <v>39.054679999999998</v>
      </c>
      <c r="AM2072" t="s">
        <v>730</v>
      </c>
      <c r="AN2072">
        <v>-121.041484</v>
      </c>
      <c r="AO2072">
        <v>25</v>
      </c>
      <c r="AP2072">
        <v>4500</v>
      </c>
      <c r="AQ2072" t="s">
        <v>131</v>
      </c>
      <c r="AR2072">
        <v>0</v>
      </c>
      <c r="AS2072">
        <v>89</v>
      </c>
      <c r="AT2072">
        <v>384</v>
      </c>
      <c r="BB2072" t="str">
        <f t="shared" si="814"/>
        <v>1200</v>
      </c>
      <c r="BC2072">
        <v>1</v>
      </c>
      <c r="BD2072" t="str">
        <f t="shared" si="815"/>
        <v xml:space="preserve">N52156  </v>
      </c>
      <c r="BE2072">
        <v>1</v>
      </c>
      <c r="BG2072">
        <v>0</v>
      </c>
      <c r="BH2072">
        <v>0</v>
      </c>
      <c r="BI2072">
        <v>0</v>
      </c>
      <c r="BJ2072">
        <v>4500</v>
      </c>
      <c r="BK2072">
        <v>0</v>
      </c>
      <c r="BL2072" t="s">
        <v>188</v>
      </c>
      <c r="BM2072">
        <v>1</v>
      </c>
      <c r="BN2072">
        <v>1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 t="shared" ref="CE2072:CE2077" si="823">"15:10:17.892"</f>
        <v>15:10:17.892</v>
      </c>
      <c r="CF2072">
        <v>891716089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3</v>
      </c>
      <c r="CY2072">
        <v>7</v>
      </c>
      <c r="CZ2072" t="s">
        <v>133</v>
      </c>
      <c r="DA2072">
        <v>275</v>
      </c>
      <c r="DB2072">
        <v>0</v>
      </c>
      <c r="DC2072" t="s">
        <v>134</v>
      </c>
      <c r="DD2072" t="s">
        <v>135</v>
      </c>
      <c r="DG2072">
        <v>3321317</v>
      </c>
      <c r="DI2072">
        <v>1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"05/01/2025 15:10:18.109"</f>
        <v>05/01/2025 15:10:18.109</v>
      </c>
      <c r="C2073" t="str">
        <f t="shared" si="812"/>
        <v>FFDFD3C0</v>
      </c>
      <c r="D2073" t="s">
        <v>145</v>
      </c>
      <c r="E2073" t="str">
        <f>"05"</f>
        <v>05</v>
      </c>
      <c r="H2073">
        <v>47</v>
      </c>
      <c r="I2073" t="s">
        <v>146</v>
      </c>
      <c r="J2073" t="s">
        <v>138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R2073" t="s">
        <v>127</v>
      </c>
      <c r="S2073" t="str">
        <f t="shared" si="822"/>
        <v>15:10:17.000</v>
      </c>
      <c r="T2073" t="str">
        <f t="shared" si="822"/>
        <v>15:10:17.000</v>
      </c>
      <c r="U2073" t="str">
        <f t="shared" si="813"/>
        <v>A68FCB</v>
      </c>
      <c r="V2073">
        <v>0</v>
      </c>
      <c r="W2073">
        <v>0</v>
      </c>
      <c r="X2073">
        <v>2</v>
      </c>
      <c r="Y2073">
        <v>0</v>
      </c>
      <c r="AA2073">
        <v>1</v>
      </c>
      <c r="AB2073">
        <v>8</v>
      </c>
      <c r="AC2073">
        <v>3</v>
      </c>
      <c r="AD2073">
        <v>0</v>
      </c>
      <c r="AE2073">
        <v>9</v>
      </c>
      <c r="AF2073" t="s">
        <v>138</v>
      </c>
      <c r="AG2073">
        <v>0</v>
      </c>
      <c r="AH2073">
        <v>3</v>
      </c>
      <c r="AI2073">
        <v>2</v>
      </c>
      <c r="AJ2073">
        <v>0</v>
      </c>
      <c r="AK2073" t="s">
        <v>731</v>
      </c>
      <c r="AL2073">
        <v>39.054679999999998</v>
      </c>
      <c r="AM2073" t="s">
        <v>730</v>
      </c>
      <c r="AN2073">
        <v>-121.041484</v>
      </c>
      <c r="AO2073">
        <v>25</v>
      </c>
      <c r="AP2073">
        <v>4500</v>
      </c>
      <c r="AQ2073" t="s">
        <v>131</v>
      </c>
      <c r="AR2073">
        <v>0</v>
      </c>
      <c r="AS2073">
        <v>89</v>
      </c>
      <c r="AT2073">
        <v>384</v>
      </c>
      <c r="BB2073" t="str">
        <f t="shared" si="814"/>
        <v>1200</v>
      </c>
      <c r="BC2073">
        <v>1</v>
      </c>
      <c r="BD2073" t="str">
        <f t="shared" si="815"/>
        <v xml:space="preserve">N52156  </v>
      </c>
      <c r="BE2073">
        <v>1</v>
      </c>
      <c r="BG2073">
        <v>0</v>
      </c>
      <c r="BH2073">
        <v>0</v>
      </c>
      <c r="BI2073">
        <v>0</v>
      </c>
      <c r="BJ2073">
        <v>4500</v>
      </c>
      <c r="BK2073">
        <v>0</v>
      </c>
      <c r="BL2073" t="s">
        <v>188</v>
      </c>
      <c r="BM2073">
        <v>1</v>
      </c>
      <c r="BN2073">
        <v>1</v>
      </c>
      <c r="BO2073">
        <v>0</v>
      </c>
      <c r="BP2073">
        <v>0</v>
      </c>
      <c r="BS2073">
        <v>0</v>
      </c>
      <c r="BT2073">
        <v>0</v>
      </c>
      <c r="BU2073">
        <v>0</v>
      </c>
      <c r="CE2073" t="str">
        <f t="shared" si="823"/>
        <v>15:10:17.892</v>
      </c>
      <c r="CF2073">
        <v>891716089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3</v>
      </c>
      <c r="CY2073">
        <v>7</v>
      </c>
      <c r="CZ2073" t="s">
        <v>133</v>
      </c>
      <c r="DA2073">
        <v>275</v>
      </c>
      <c r="DB2073">
        <v>0</v>
      </c>
      <c r="DC2073" t="s">
        <v>134</v>
      </c>
      <c r="DD2073" t="s">
        <v>135</v>
      </c>
      <c r="DG2073">
        <v>3321317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"05/01/2025 15:10:18.112"</f>
        <v>05/01/2025 15:10:18.112</v>
      </c>
      <c r="C2074" t="str">
        <f t="shared" si="812"/>
        <v>FFDFD3C0</v>
      </c>
      <c r="D2074" t="s">
        <v>145</v>
      </c>
      <c r="E2074" t="str">
        <f>"09"</f>
        <v>09</v>
      </c>
      <c r="H2074">
        <v>51</v>
      </c>
      <c r="I2074" t="s">
        <v>147</v>
      </c>
      <c r="J2074" t="s">
        <v>138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R2074" t="s">
        <v>127</v>
      </c>
      <c r="S2074" t="str">
        <f t="shared" si="822"/>
        <v>15:10:17.000</v>
      </c>
      <c r="T2074" t="str">
        <f t="shared" si="822"/>
        <v>15:10:17.000</v>
      </c>
      <c r="U2074" t="str">
        <f t="shared" si="813"/>
        <v>A68FCB</v>
      </c>
      <c r="V2074">
        <v>0</v>
      </c>
      <c r="W2074">
        <v>0</v>
      </c>
      <c r="X2074">
        <v>2</v>
      </c>
      <c r="Y2074">
        <v>0</v>
      </c>
      <c r="AA2074">
        <v>1</v>
      </c>
      <c r="AB2074">
        <v>8</v>
      </c>
      <c r="AC2074">
        <v>3</v>
      </c>
      <c r="AD2074">
        <v>0</v>
      </c>
      <c r="AE2074">
        <v>9</v>
      </c>
      <c r="AF2074" t="s">
        <v>138</v>
      </c>
      <c r="AG2074">
        <v>0</v>
      </c>
      <c r="AH2074">
        <v>3</v>
      </c>
      <c r="AI2074">
        <v>2</v>
      </c>
      <c r="AJ2074">
        <v>0</v>
      </c>
      <c r="AK2074" t="s">
        <v>731</v>
      </c>
      <c r="AL2074">
        <v>39.054679999999998</v>
      </c>
      <c r="AM2074" t="s">
        <v>730</v>
      </c>
      <c r="AN2074">
        <v>-121.041484</v>
      </c>
      <c r="AO2074">
        <v>25</v>
      </c>
      <c r="AP2074">
        <v>4500</v>
      </c>
      <c r="AQ2074" t="s">
        <v>131</v>
      </c>
      <c r="AR2074">
        <v>0</v>
      </c>
      <c r="AS2074">
        <v>89</v>
      </c>
      <c r="AT2074">
        <v>384</v>
      </c>
      <c r="BB2074" t="str">
        <f t="shared" si="814"/>
        <v>1200</v>
      </c>
      <c r="BC2074">
        <v>1</v>
      </c>
      <c r="BD2074" t="str">
        <f t="shared" si="815"/>
        <v xml:space="preserve">N52156  </v>
      </c>
      <c r="BE2074">
        <v>1</v>
      </c>
      <c r="BG2074">
        <v>0</v>
      </c>
      <c r="BH2074">
        <v>0</v>
      </c>
      <c r="BI2074">
        <v>0</v>
      </c>
      <c r="BJ2074">
        <v>4500</v>
      </c>
      <c r="BK2074">
        <v>0</v>
      </c>
      <c r="BL2074" t="s">
        <v>188</v>
      </c>
      <c r="BM2074">
        <v>1</v>
      </c>
      <c r="BN2074">
        <v>1</v>
      </c>
      <c r="BO2074">
        <v>0</v>
      </c>
      <c r="BP2074">
        <v>0</v>
      </c>
      <c r="BS2074">
        <v>0</v>
      </c>
      <c r="BT2074">
        <v>0</v>
      </c>
      <c r="BU2074">
        <v>0</v>
      </c>
      <c r="CE2074" t="str">
        <f t="shared" si="823"/>
        <v>15:10:17.892</v>
      </c>
      <c r="CF2074">
        <v>891716089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3</v>
      </c>
      <c r="CY2074">
        <v>7</v>
      </c>
      <c r="CZ2074" t="s">
        <v>133</v>
      </c>
      <c r="DA2074">
        <v>275</v>
      </c>
      <c r="DB2074">
        <v>0</v>
      </c>
      <c r="DC2074" t="s">
        <v>134</v>
      </c>
      <c r="DD2074" t="s">
        <v>135</v>
      </c>
      <c r="DG2074">
        <v>3321317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"05/01/2025 15:10:18.118"</f>
        <v>05/01/2025 15:10:18.118</v>
      </c>
      <c r="C2075" t="str">
        <f t="shared" si="812"/>
        <v>FFDFD3C0</v>
      </c>
      <c r="D2075" t="s">
        <v>136</v>
      </c>
      <c r="E2075" t="str">
        <f>"20"</f>
        <v>20</v>
      </c>
      <c r="H2075">
        <v>400</v>
      </c>
      <c r="I2075" t="s">
        <v>137</v>
      </c>
      <c r="J2075" t="s">
        <v>138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R2075" t="s">
        <v>127</v>
      </c>
      <c r="S2075" t="str">
        <f t="shared" si="822"/>
        <v>15:10:17.000</v>
      </c>
      <c r="T2075" t="str">
        <f t="shared" si="822"/>
        <v>15:10:17.000</v>
      </c>
      <c r="U2075" t="str">
        <f t="shared" si="813"/>
        <v>A68FCB</v>
      </c>
      <c r="V2075">
        <v>0</v>
      </c>
      <c r="W2075">
        <v>0</v>
      </c>
      <c r="X2075">
        <v>2</v>
      </c>
      <c r="Y2075">
        <v>0</v>
      </c>
      <c r="AA2075">
        <v>1</v>
      </c>
      <c r="AB2075">
        <v>8</v>
      </c>
      <c r="AC2075">
        <v>3</v>
      </c>
      <c r="AD2075">
        <v>0</v>
      </c>
      <c r="AE2075">
        <v>9</v>
      </c>
      <c r="AF2075" t="s">
        <v>138</v>
      </c>
      <c r="AG2075">
        <v>0</v>
      </c>
      <c r="AH2075">
        <v>3</v>
      </c>
      <c r="AI2075">
        <v>2</v>
      </c>
      <c r="AJ2075">
        <v>0</v>
      </c>
      <c r="AK2075" t="s">
        <v>731</v>
      </c>
      <c r="AL2075">
        <v>39.054679999999998</v>
      </c>
      <c r="AM2075" t="s">
        <v>730</v>
      </c>
      <c r="AN2075">
        <v>-121.041484</v>
      </c>
      <c r="AO2075">
        <v>25</v>
      </c>
      <c r="AP2075">
        <v>4500</v>
      </c>
      <c r="AQ2075" t="s">
        <v>131</v>
      </c>
      <c r="AR2075">
        <v>0</v>
      </c>
      <c r="AS2075">
        <v>89</v>
      </c>
      <c r="AT2075">
        <v>384</v>
      </c>
      <c r="BB2075" t="str">
        <f t="shared" si="814"/>
        <v>1200</v>
      </c>
      <c r="BC2075">
        <v>1</v>
      </c>
      <c r="BD2075" t="str">
        <f t="shared" si="815"/>
        <v xml:space="preserve">N52156  </v>
      </c>
      <c r="BE2075">
        <v>1</v>
      </c>
      <c r="BG2075">
        <v>0</v>
      </c>
      <c r="BH2075">
        <v>0</v>
      </c>
      <c r="BI2075">
        <v>0</v>
      </c>
      <c r="BJ2075">
        <v>4500</v>
      </c>
      <c r="BK2075">
        <v>0</v>
      </c>
      <c r="BL2075" t="s">
        <v>188</v>
      </c>
      <c r="BM2075">
        <v>1</v>
      </c>
      <c r="BN2075">
        <v>1</v>
      </c>
      <c r="BO2075">
        <v>0</v>
      </c>
      <c r="BP2075">
        <v>0</v>
      </c>
      <c r="BS2075">
        <v>0</v>
      </c>
      <c r="BT2075">
        <v>0</v>
      </c>
      <c r="BU2075">
        <v>0</v>
      </c>
      <c r="CE2075" t="str">
        <f t="shared" si="823"/>
        <v>15:10:17.892</v>
      </c>
      <c r="CF2075">
        <v>891716089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3</v>
      </c>
      <c r="CY2075">
        <v>7</v>
      </c>
      <c r="CZ2075" t="s">
        <v>133</v>
      </c>
      <c r="DA2075">
        <v>275</v>
      </c>
      <c r="DB2075">
        <v>0</v>
      </c>
      <c r="DC2075" t="s">
        <v>134</v>
      </c>
      <c r="DD2075" t="s">
        <v>135</v>
      </c>
      <c r="DG2075">
        <v>3321317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"05/01/2025 15:10:18.119"</f>
        <v>05/01/2025 15:10:18.119</v>
      </c>
      <c r="C2076" t="str">
        <f t="shared" si="812"/>
        <v>FFDFD3C0</v>
      </c>
      <c r="D2076" t="s">
        <v>143</v>
      </c>
      <c r="E2076" t="str">
        <f>"05"</f>
        <v>05</v>
      </c>
      <c r="H2076">
        <v>172</v>
      </c>
      <c r="I2076" t="s">
        <v>141</v>
      </c>
      <c r="J2076" t="s">
        <v>144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R2076" t="s">
        <v>127</v>
      </c>
      <c r="S2076" t="str">
        <f t="shared" si="822"/>
        <v>15:10:17.000</v>
      </c>
      <c r="T2076" t="str">
        <f t="shared" si="822"/>
        <v>15:10:17.000</v>
      </c>
      <c r="U2076" t="str">
        <f t="shared" si="813"/>
        <v>A68FCB</v>
      </c>
      <c r="V2076">
        <v>0</v>
      </c>
      <c r="W2076">
        <v>0</v>
      </c>
      <c r="X2076">
        <v>2</v>
      </c>
      <c r="Y2076">
        <v>0</v>
      </c>
      <c r="AA2076">
        <v>1</v>
      </c>
      <c r="AB2076">
        <v>8</v>
      </c>
      <c r="AC2076">
        <v>3</v>
      </c>
      <c r="AD2076">
        <v>0</v>
      </c>
      <c r="AE2076">
        <v>9</v>
      </c>
      <c r="AF2076" t="s">
        <v>138</v>
      </c>
      <c r="AG2076">
        <v>0</v>
      </c>
      <c r="AH2076">
        <v>3</v>
      </c>
      <c r="AI2076">
        <v>2</v>
      </c>
      <c r="AJ2076">
        <v>0</v>
      </c>
      <c r="AK2076" t="s">
        <v>731</v>
      </c>
      <c r="AL2076">
        <v>39.054679999999998</v>
      </c>
      <c r="AM2076" t="s">
        <v>730</v>
      </c>
      <c r="AN2076">
        <v>-121.041484</v>
      </c>
      <c r="AO2076">
        <v>25</v>
      </c>
      <c r="AP2076">
        <v>4500</v>
      </c>
      <c r="AQ2076" t="s">
        <v>131</v>
      </c>
      <c r="AR2076">
        <v>0</v>
      </c>
      <c r="AS2076">
        <v>89</v>
      </c>
      <c r="AT2076">
        <v>384</v>
      </c>
      <c r="BB2076" t="str">
        <f t="shared" si="814"/>
        <v>1200</v>
      </c>
      <c r="BC2076">
        <v>1</v>
      </c>
      <c r="BD2076" t="str">
        <f t="shared" si="815"/>
        <v xml:space="preserve">N52156  </v>
      </c>
      <c r="BE2076">
        <v>1</v>
      </c>
      <c r="BG2076">
        <v>0</v>
      </c>
      <c r="BH2076">
        <v>0</v>
      </c>
      <c r="BI2076">
        <v>0</v>
      </c>
      <c r="BJ2076">
        <v>4500</v>
      </c>
      <c r="BK2076">
        <v>0</v>
      </c>
      <c r="BL2076" t="s">
        <v>188</v>
      </c>
      <c r="BM2076">
        <v>1</v>
      </c>
      <c r="BN2076">
        <v>1</v>
      </c>
      <c r="BO2076">
        <v>0</v>
      </c>
      <c r="BP2076">
        <v>0</v>
      </c>
      <c r="BS2076">
        <v>0</v>
      </c>
      <c r="BT2076">
        <v>0</v>
      </c>
      <c r="BU2076">
        <v>0</v>
      </c>
      <c r="CE2076" t="str">
        <f t="shared" si="823"/>
        <v>15:10:17.892</v>
      </c>
      <c r="CF2076">
        <v>891716089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3</v>
      </c>
      <c r="CY2076">
        <v>7</v>
      </c>
      <c r="CZ2076" t="s">
        <v>133</v>
      </c>
      <c r="DA2076">
        <v>275</v>
      </c>
      <c r="DB2076">
        <v>0</v>
      </c>
      <c r="DC2076" t="s">
        <v>134</v>
      </c>
      <c r="DD2076" t="s">
        <v>135</v>
      </c>
      <c r="DG2076">
        <v>3321317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"05/01/2025 15:10:18.146"</f>
        <v>05/01/2025 15:10:18.146</v>
      </c>
      <c r="C2077" t="str">
        <f t="shared" si="812"/>
        <v>FFDFD3C0</v>
      </c>
      <c r="D2077" t="s">
        <v>140</v>
      </c>
      <c r="E2077" t="str">
        <f>"13"</f>
        <v>13</v>
      </c>
      <c r="F2077">
        <v>1019</v>
      </c>
      <c r="G2077" t="s">
        <v>141</v>
      </c>
      <c r="J2077" t="s">
        <v>142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R2077" t="s">
        <v>127</v>
      </c>
      <c r="S2077" t="str">
        <f t="shared" si="822"/>
        <v>15:10:17.000</v>
      </c>
      <c r="T2077" t="str">
        <f t="shared" si="822"/>
        <v>15:10:17.000</v>
      </c>
      <c r="U2077" t="str">
        <f t="shared" si="813"/>
        <v>A68FCB</v>
      </c>
      <c r="V2077">
        <v>0</v>
      </c>
      <c r="W2077">
        <v>0</v>
      </c>
      <c r="X2077">
        <v>2</v>
      </c>
      <c r="Y2077">
        <v>0</v>
      </c>
      <c r="AA2077">
        <v>1</v>
      </c>
      <c r="AB2077">
        <v>8</v>
      </c>
      <c r="AC2077">
        <v>3</v>
      </c>
      <c r="AD2077">
        <v>0</v>
      </c>
      <c r="AE2077">
        <v>9</v>
      </c>
      <c r="AF2077" t="s">
        <v>138</v>
      </c>
      <c r="AG2077">
        <v>0</v>
      </c>
      <c r="AH2077">
        <v>3</v>
      </c>
      <c r="AI2077">
        <v>2</v>
      </c>
      <c r="AJ2077">
        <v>0</v>
      </c>
      <c r="AK2077" t="s">
        <v>731</v>
      </c>
      <c r="AL2077">
        <v>39.054679999999998</v>
      </c>
      <c r="AM2077" t="s">
        <v>730</v>
      </c>
      <c r="AN2077">
        <v>-121.041484</v>
      </c>
      <c r="AO2077">
        <v>25</v>
      </c>
      <c r="AP2077">
        <v>4500</v>
      </c>
      <c r="AQ2077" t="s">
        <v>131</v>
      </c>
      <c r="AR2077">
        <v>0</v>
      </c>
      <c r="AS2077">
        <v>89</v>
      </c>
      <c r="AT2077">
        <v>384</v>
      </c>
      <c r="BB2077" t="str">
        <f t="shared" si="814"/>
        <v>1200</v>
      </c>
      <c r="BC2077">
        <v>1</v>
      </c>
      <c r="BD2077" t="str">
        <f t="shared" si="815"/>
        <v xml:space="preserve">N52156  </v>
      </c>
      <c r="BE2077">
        <v>1</v>
      </c>
      <c r="BG2077">
        <v>0</v>
      </c>
      <c r="BH2077">
        <v>0</v>
      </c>
      <c r="BI2077">
        <v>0</v>
      </c>
      <c r="BJ2077">
        <v>4500</v>
      </c>
      <c r="BK2077">
        <v>0</v>
      </c>
      <c r="BL2077" t="s">
        <v>188</v>
      </c>
      <c r="BM2077">
        <v>1</v>
      </c>
      <c r="BN2077">
        <v>1</v>
      </c>
      <c r="BO2077">
        <v>0</v>
      </c>
      <c r="BP2077">
        <v>0</v>
      </c>
      <c r="BS2077">
        <v>0</v>
      </c>
      <c r="BT2077">
        <v>0</v>
      </c>
      <c r="BU2077">
        <v>0</v>
      </c>
      <c r="CE2077" t="str">
        <f t="shared" si="823"/>
        <v>15:10:17.892</v>
      </c>
      <c r="CF2077">
        <v>891716089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3</v>
      </c>
      <c r="CY2077">
        <v>7</v>
      </c>
      <c r="CZ2077" t="s">
        <v>133</v>
      </c>
      <c r="DA2077">
        <v>275</v>
      </c>
      <c r="DB2077">
        <v>0</v>
      </c>
      <c r="DC2077" t="s">
        <v>134</v>
      </c>
      <c r="DD2077" t="s">
        <v>135</v>
      </c>
      <c r="DG2077">
        <v>3321317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"05/01/2025 15:10:19.097"</f>
        <v>05/01/2025 15:10:19.097</v>
      </c>
      <c r="C2078" t="str">
        <f t="shared" si="812"/>
        <v>FFDFD3C0</v>
      </c>
      <c r="D2078" t="s">
        <v>140</v>
      </c>
      <c r="E2078" t="str">
        <f>"13"</f>
        <v>13</v>
      </c>
      <c r="F2078">
        <v>1019</v>
      </c>
      <c r="G2078" t="s">
        <v>141</v>
      </c>
      <c r="J2078" t="s">
        <v>142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R2078" t="s">
        <v>127</v>
      </c>
      <c r="S2078" t="str">
        <f t="shared" ref="S2078:T2083" si="824">"15:10:18.000"</f>
        <v>15:10:18.000</v>
      </c>
      <c r="T2078" t="str">
        <f t="shared" si="824"/>
        <v>15:10:18.000</v>
      </c>
      <c r="U2078" t="str">
        <f t="shared" si="813"/>
        <v>A68FCB</v>
      </c>
      <c r="V2078">
        <v>0</v>
      </c>
      <c r="W2078">
        <v>0</v>
      </c>
      <c r="X2078">
        <v>2</v>
      </c>
      <c r="Y2078">
        <v>0</v>
      </c>
      <c r="AA2078">
        <v>1</v>
      </c>
      <c r="AB2078">
        <v>8</v>
      </c>
      <c r="AC2078">
        <v>3</v>
      </c>
      <c r="AD2078">
        <v>0</v>
      </c>
      <c r="AE2078">
        <v>9</v>
      </c>
      <c r="AF2078" t="s">
        <v>138</v>
      </c>
      <c r="AG2078">
        <v>0</v>
      </c>
      <c r="AH2078">
        <v>3</v>
      </c>
      <c r="AI2078">
        <v>2</v>
      </c>
      <c r="AJ2078">
        <v>0</v>
      </c>
      <c r="AK2078" t="s">
        <v>732</v>
      </c>
      <c r="AL2078">
        <v>39.055109000000002</v>
      </c>
      <c r="AM2078" t="s">
        <v>730</v>
      </c>
      <c r="AN2078">
        <v>-121.041484</v>
      </c>
      <c r="AO2078">
        <v>25</v>
      </c>
      <c r="AP2078">
        <v>4500</v>
      </c>
      <c r="AQ2078" t="s">
        <v>131</v>
      </c>
      <c r="AR2078">
        <v>0</v>
      </c>
      <c r="AS2078">
        <v>89</v>
      </c>
      <c r="AT2078">
        <v>320</v>
      </c>
      <c r="BB2078" t="str">
        <f t="shared" si="814"/>
        <v>1200</v>
      </c>
      <c r="BC2078">
        <v>1</v>
      </c>
      <c r="BD2078" t="str">
        <f t="shared" si="815"/>
        <v xml:space="preserve">N52156  </v>
      </c>
      <c r="BE2078">
        <v>1</v>
      </c>
      <c r="BG2078">
        <v>0</v>
      </c>
      <c r="BH2078">
        <v>0</v>
      </c>
      <c r="BI2078">
        <v>0</v>
      </c>
      <c r="BJ2078">
        <v>4525</v>
      </c>
      <c r="BK2078">
        <v>25</v>
      </c>
      <c r="BL2078" t="s">
        <v>188</v>
      </c>
      <c r="BM2078">
        <v>1</v>
      </c>
      <c r="BN2078">
        <v>1</v>
      </c>
      <c r="BO2078">
        <v>0</v>
      </c>
      <c r="BP2078">
        <v>0</v>
      </c>
      <c r="BS2078">
        <v>0</v>
      </c>
      <c r="BT2078">
        <v>0</v>
      </c>
      <c r="BU2078">
        <v>0</v>
      </c>
      <c r="CE2078" t="str">
        <f t="shared" ref="CE2078:CE2083" si="825">"15:10:18.860"</f>
        <v>15:10:18.860</v>
      </c>
      <c r="CF2078">
        <v>860466080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4</v>
      </c>
      <c r="CY2078">
        <v>7</v>
      </c>
      <c r="CZ2078" t="s">
        <v>133</v>
      </c>
      <c r="DA2078">
        <v>275</v>
      </c>
      <c r="DB2078">
        <v>0</v>
      </c>
      <c r="DC2078" t="s">
        <v>134</v>
      </c>
      <c r="DD2078" t="s">
        <v>135</v>
      </c>
      <c r="DG2078">
        <v>3321324</v>
      </c>
      <c r="DI2078">
        <v>1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"05/01/2025 15:10:19.107"</f>
        <v>05/01/2025 15:10:19.107</v>
      </c>
      <c r="C2079" t="str">
        <f t="shared" si="812"/>
        <v>FFDFD3C0</v>
      </c>
      <c r="D2079" t="s">
        <v>124</v>
      </c>
      <c r="E2079" t="str">
        <f>"06"</f>
        <v>06</v>
      </c>
      <c r="F2079">
        <v>2006</v>
      </c>
      <c r="G2079" t="s">
        <v>125</v>
      </c>
      <c r="J2079" t="s">
        <v>126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R2079" t="s">
        <v>127</v>
      </c>
      <c r="S2079" t="str">
        <f t="shared" si="824"/>
        <v>15:10:18.000</v>
      </c>
      <c r="T2079" t="str">
        <f t="shared" si="824"/>
        <v>15:10:18.000</v>
      </c>
      <c r="U2079" t="str">
        <f t="shared" si="813"/>
        <v>A68FCB</v>
      </c>
      <c r="V2079">
        <v>0</v>
      </c>
      <c r="W2079">
        <v>0</v>
      </c>
      <c r="X2079">
        <v>2</v>
      </c>
      <c r="Y2079">
        <v>0</v>
      </c>
      <c r="AA2079">
        <v>1</v>
      </c>
      <c r="AB2079">
        <v>8</v>
      </c>
      <c r="AC2079">
        <v>3</v>
      </c>
      <c r="AD2079">
        <v>0</v>
      </c>
      <c r="AE2079">
        <v>9</v>
      </c>
      <c r="AF2079" t="s">
        <v>138</v>
      </c>
      <c r="AG2079">
        <v>0</v>
      </c>
      <c r="AH2079">
        <v>3</v>
      </c>
      <c r="AI2079">
        <v>2</v>
      </c>
      <c r="AJ2079">
        <v>0</v>
      </c>
      <c r="AK2079" t="s">
        <v>732</v>
      </c>
      <c r="AL2079">
        <v>39.055109000000002</v>
      </c>
      <c r="AM2079" t="s">
        <v>730</v>
      </c>
      <c r="AN2079">
        <v>-121.041484</v>
      </c>
      <c r="AO2079">
        <v>25</v>
      </c>
      <c r="AP2079">
        <v>4500</v>
      </c>
      <c r="AQ2079" t="s">
        <v>131</v>
      </c>
      <c r="AR2079">
        <v>0</v>
      </c>
      <c r="AS2079">
        <v>89</v>
      </c>
      <c r="AT2079">
        <v>320</v>
      </c>
      <c r="BB2079" t="str">
        <f t="shared" si="814"/>
        <v>1200</v>
      </c>
      <c r="BC2079">
        <v>1</v>
      </c>
      <c r="BD2079" t="str">
        <f t="shared" si="815"/>
        <v xml:space="preserve">N52156  </v>
      </c>
      <c r="BE2079">
        <v>1</v>
      </c>
      <c r="BG2079">
        <v>0</v>
      </c>
      <c r="BH2079">
        <v>0</v>
      </c>
      <c r="BI2079">
        <v>0</v>
      </c>
      <c r="BJ2079">
        <v>4525</v>
      </c>
      <c r="BK2079">
        <v>25</v>
      </c>
      <c r="BL2079" t="s">
        <v>188</v>
      </c>
      <c r="BM2079">
        <v>1</v>
      </c>
      <c r="BN2079">
        <v>1</v>
      </c>
      <c r="BO2079">
        <v>0</v>
      </c>
      <c r="BP2079">
        <v>0</v>
      </c>
      <c r="BS2079">
        <v>0</v>
      </c>
      <c r="BT2079">
        <v>0</v>
      </c>
      <c r="BU2079">
        <v>0</v>
      </c>
      <c r="CE2079" t="str">
        <f t="shared" si="825"/>
        <v>15:10:18.860</v>
      </c>
      <c r="CF2079">
        <v>860466080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4</v>
      </c>
      <c r="CY2079">
        <v>7</v>
      </c>
      <c r="CZ2079" t="s">
        <v>133</v>
      </c>
      <c r="DA2079">
        <v>275</v>
      </c>
      <c r="DB2079">
        <v>0</v>
      </c>
      <c r="DC2079" t="s">
        <v>134</v>
      </c>
      <c r="DD2079" t="s">
        <v>135</v>
      </c>
      <c r="DG2079">
        <v>3321324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"05/01/2025 15:10:19.111"</f>
        <v>05/01/2025 15:10:19.111</v>
      </c>
      <c r="C2080" t="str">
        <f t="shared" si="812"/>
        <v>FFDFD3C0</v>
      </c>
      <c r="D2080" t="s">
        <v>145</v>
      </c>
      <c r="E2080" t="str">
        <f>"05"</f>
        <v>05</v>
      </c>
      <c r="H2080">
        <v>47</v>
      </c>
      <c r="I2080" t="s">
        <v>146</v>
      </c>
      <c r="J2080" t="s">
        <v>138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R2080" t="s">
        <v>127</v>
      </c>
      <c r="S2080" t="str">
        <f t="shared" si="824"/>
        <v>15:10:18.000</v>
      </c>
      <c r="T2080" t="str">
        <f t="shared" si="824"/>
        <v>15:10:18.000</v>
      </c>
      <c r="U2080" t="str">
        <f t="shared" si="813"/>
        <v>A68FCB</v>
      </c>
      <c r="V2080">
        <v>0</v>
      </c>
      <c r="W2080">
        <v>0</v>
      </c>
      <c r="X2080">
        <v>2</v>
      </c>
      <c r="Y2080">
        <v>0</v>
      </c>
      <c r="AA2080">
        <v>1</v>
      </c>
      <c r="AB2080">
        <v>8</v>
      </c>
      <c r="AC2080">
        <v>3</v>
      </c>
      <c r="AD2080">
        <v>0</v>
      </c>
      <c r="AE2080">
        <v>9</v>
      </c>
      <c r="AF2080" t="s">
        <v>138</v>
      </c>
      <c r="AG2080">
        <v>0</v>
      </c>
      <c r="AH2080">
        <v>3</v>
      </c>
      <c r="AI2080">
        <v>2</v>
      </c>
      <c r="AJ2080">
        <v>0</v>
      </c>
      <c r="AK2080" t="s">
        <v>732</v>
      </c>
      <c r="AL2080">
        <v>39.055109000000002</v>
      </c>
      <c r="AM2080" t="s">
        <v>730</v>
      </c>
      <c r="AN2080">
        <v>-121.041484</v>
      </c>
      <c r="AO2080">
        <v>25</v>
      </c>
      <c r="AP2080">
        <v>4500</v>
      </c>
      <c r="AQ2080" t="s">
        <v>131</v>
      </c>
      <c r="AR2080">
        <v>0</v>
      </c>
      <c r="AS2080">
        <v>89</v>
      </c>
      <c r="AT2080">
        <v>320</v>
      </c>
      <c r="BB2080" t="str">
        <f t="shared" si="814"/>
        <v>1200</v>
      </c>
      <c r="BC2080">
        <v>1</v>
      </c>
      <c r="BD2080" t="str">
        <f t="shared" si="815"/>
        <v xml:space="preserve">N52156  </v>
      </c>
      <c r="BE2080">
        <v>1</v>
      </c>
      <c r="BG2080">
        <v>0</v>
      </c>
      <c r="BH2080">
        <v>0</v>
      </c>
      <c r="BI2080">
        <v>0</v>
      </c>
      <c r="BJ2080">
        <v>4525</v>
      </c>
      <c r="BK2080">
        <v>25</v>
      </c>
      <c r="BL2080" t="s">
        <v>188</v>
      </c>
      <c r="BM2080">
        <v>1</v>
      </c>
      <c r="BN2080">
        <v>1</v>
      </c>
      <c r="BO2080">
        <v>0</v>
      </c>
      <c r="BP2080">
        <v>0</v>
      </c>
      <c r="BS2080">
        <v>0</v>
      </c>
      <c r="BT2080">
        <v>0</v>
      </c>
      <c r="BU2080">
        <v>0</v>
      </c>
      <c r="CE2080" t="str">
        <f t="shared" si="825"/>
        <v>15:10:18.860</v>
      </c>
      <c r="CF2080">
        <v>860466080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4</v>
      </c>
      <c r="CY2080">
        <v>7</v>
      </c>
      <c r="CZ2080" t="s">
        <v>133</v>
      </c>
      <c r="DA2080">
        <v>275</v>
      </c>
      <c r="DB2080">
        <v>0</v>
      </c>
      <c r="DC2080" t="s">
        <v>134</v>
      </c>
      <c r="DD2080" t="s">
        <v>135</v>
      </c>
      <c r="DG2080">
        <v>3321324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"05/01/2025 15:10:19.114"</f>
        <v>05/01/2025 15:10:19.114</v>
      </c>
      <c r="C2081" t="str">
        <f t="shared" si="812"/>
        <v>FFDFD3C0</v>
      </c>
      <c r="D2081" t="s">
        <v>145</v>
      </c>
      <c r="E2081" t="str">
        <f>"09"</f>
        <v>09</v>
      </c>
      <c r="H2081">
        <v>51</v>
      </c>
      <c r="I2081" t="s">
        <v>147</v>
      </c>
      <c r="J2081" t="s">
        <v>138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R2081" t="s">
        <v>127</v>
      </c>
      <c r="S2081" t="str">
        <f t="shared" si="824"/>
        <v>15:10:18.000</v>
      </c>
      <c r="T2081" t="str">
        <f t="shared" si="824"/>
        <v>15:10:18.000</v>
      </c>
      <c r="U2081" t="str">
        <f t="shared" si="813"/>
        <v>A68FCB</v>
      </c>
      <c r="V2081">
        <v>0</v>
      </c>
      <c r="W2081">
        <v>0</v>
      </c>
      <c r="X2081">
        <v>2</v>
      </c>
      <c r="Y2081">
        <v>0</v>
      </c>
      <c r="AA2081">
        <v>1</v>
      </c>
      <c r="AB2081">
        <v>8</v>
      </c>
      <c r="AC2081">
        <v>3</v>
      </c>
      <c r="AD2081">
        <v>0</v>
      </c>
      <c r="AE2081">
        <v>9</v>
      </c>
      <c r="AF2081" t="s">
        <v>138</v>
      </c>
      <c r="AG2081">
        <v>0</v>
      </c>
      <c r="AH2081">
        <v>3</v>
      </c>
      <c r="AI2081">
        <v>2</v>
      </c>
      <c r="AJ2081">
        <v>0</v>
      </c>
      <c r="AK2081" t="s">
        <v>732</v>
      </c>
      <c r="AL2081">
        <v>39.055109000000002</v>
      </c>
      <c r="AM2081" t="s">
        <v>730</v>
      </c>
      <c r="AN2081">
        <v>-121.041484</v>
      </c>
      <c r="AO2081">
        <v>25</v>
      </c>
      <c r="AP2081">
        <v>4500</v>
      </c>
      <c r="AQ2081" t="s">
        <v>131</v>
      </c>
      <c r="AR2081">
        <v>0</v>
      </c>
      <c r="AS2081">
        <v>89</v>
      </c>
      <c r="AT2081">
        <v>320</v>
      </c>
      <c r="BB2081" t="str">
        <f t="shared" si="814"/>
        <v>1200</v>
      </c>
      <c r="BC2081">
        <v>1</v>
      </c>
      <c r="BD2081" t="str">
        <f t="shared" si="815"/>
        <v xml:space="preserve">N52156  </v>
      </c>
      <c r="BE2081">
        <v>1</v>
      </c>
      <c r="BG2081">
        <v>0</v>
      </c>
      <c r="BH2081">
        <v>0</v>
      </c>
      <c r="BI2081">
        <v>0</v>
      </c>
      <c r="BJ2081">
        <v>4525</v>
      </c>
      <c r="BK2081">
        <v>25</v>
      </c>
      <c r="BL2081" t="s">
        <v>188</v>
      </c>
      <c r="BM2081">
        <v>1</v>
      </c>
      <c r="BN2081">
        <v>1</v>
      </c>
      <c r="BO2081">
        <v>0</v>
      </c>
      <c r="BP2081">
        <v>0</v>
      </c>
      <c r="BS2081">
        <v>0</v>
      </c>
      <c r="BT2081">
        <v>0</v>
      </c>
      <c r="BU2081">
        <v>0</v>
      </c>
      <c r="CE2081" t="str">
        <f t="shared" si="825"/>
        <v>15:10:18.860</v>
      </c>
      <c r="CF2081">
        <v>860466080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4</v>
      </c>
      <c r="CY2081">
        <v>7</v>
      </c>
      <c r="CZ2081" t="s">
        <v>133</v>
      </c>
      <c r="DA2081">
        <v>275</v>
      </c>
      <c r="DB2081">
        <v>0</v>
      </c>
      <c r="DC2081" t="s">
        <v>134</v>
      </c>
      <c r="DD2081" t="s">
        <v>135</v>
      </c>
      <c r="DG2081">
        <v>3321324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"05/01/2025 15:10:19.120"</f>
        <v>05/01/2025 15:10:19.120</v>
      </c>
      <c r="C2082" t="str">
        <f t="shared" si="812"/>
        <v>FFDFD3C0</v>
      </c>
      <c r="D2082" t="s">
        <v>136</v>
      </c>
      <c r="E2082" t="str">
        <f>"20"</f>
        <v>20</v>
      </c>
      <c r="H2082">
        <v>400</v>
      </c>
      <c r="I2082" t="s">
        <v>137</v>
      </c>
      <c r="J2082" t="s">
        <v>138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R2082" t="s">
        <v>127</v>
      </c>
      <c r="S2082" t="str">
        <f t="shared" si="824"/>
        <v>15:10:18.000</v>
      </c>
      <c r="T2082" t="str">
        <f t="shared" si="824"/>
        <v>15:10:18.000</v>
      </c>
      <c r="U2082" t="str">
        <f t="shared" si="813"/>
        <v>A68FCB</v>
      </c>
      <c r="V2082">
        <v>0</v>
      </c>
      <c r="W2082">
        <v>0</v>
      </c>
      <c r="X2082">
        <v>2</v>
      </c>
      <c r="Y2082">
        <v>0</v>
      </c>
      <c r="AA2082">
        <v>1</v>
      </c>
      <c r="AB2082">
        <v>8</v>
      </c>
      <c r="AC2082">
        <v>3</v>
      </c>
      <c r="AD2082">
        <v>0</v>
      </c>
      <c r="AE2082">
        <v>9</v>
      </c>
      <c r="AF2082" t="s">
        <v>138</v>
      </c>
      <c r="AG2082">
        <v>0</v>
      </c>
      <c r="AH2082">
        <v>3</v>
      </c>
      <c r="AI2082">
        <v>2</v>
      </c>
      <c r="AJ2082">
        <v>0</v>
      </c>
      <c r="AK2082" t="s">
        <v>732</v>
      </c>
      <c r="AL2082">
        <v>39.055109000000002</v>
      </c>
      <c r="AM2082" t="s">
        <v>730</v>
      </c>
      <c r="AN2082">
        <v>-121.041484</v>
      </c>
      <c r="AO2082">
        <v>25</v>
      </c>
      <c r="AP2082">
        <v>4500</v>
      </c>
      <c r="AQ2082" t="s">
        <v>131</v>
      </c>
      <c r="AR2082">
        <v>0</v>
      </c>
      <c r="AS2082">
        <v>89</v>
      </c>
      <c r="AT2082">
        <v>320</v>
      </c>
      <c r="BB2082" t="str">
        <f t="shared" si="814"/>
        <v>1200</v>
      </c>
      <c r="BC2082">
        <v>1</v>
      </c>
      <c r="BD2082" t="str">
        <f t="shared" si="815"/>
        <v xml:space="preserve">N52156  </v>
      </c>
      <c r="BE2082">
        <v>1</v>
      </c>
      <c r="BG2082">
        <v>0</v>
      </c>
      <c r="BH2082">
        <v>0</v>
      </c>
      <c r="BI2082">
        <v>0</v>
      </c>
      <c r="BJ2082">
        <v>4525</v>
      </c>
      <c r="BK2082">
        <v>25</v>
      </c>
      <c r="BL2082" t="s">
        <v>188</v>
      </c>
      <c r="BM2082">
        <v>1</v>
      </c>
      <c r="BN2082">
        <v>1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 t="shared" si="825"/>
        <v>15:10:18.860</v>
      </c>
      <c r="CF2082">
        <v>860466080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4</v>
      </c>
      <c r="CY2082">
        <v>7</v>
      </c>
      <c r="CZ2082" t="s">
        <v>133</v>
      </c>
      <c r="DA2082">
        <v>275</v>
      </c>
      <c r="DB2082">
        <v>0</v>
      </c>
      <c r="DC2082" t="s">
        <v>134</v>
      </c>
      <c r="DD2082" t="s">
        <v>135</v>
      </c>
      <c r="DG2082">
        <v>3321324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"05/01/2025 15:10:19.121"</f>
        <v>05/01/2025 15:10:19.121</v>
      </c>
      <c r="C2083" t="str">
        <f t="shared" si="812"/>
        <v>FFDFD3C0</v>
      </c>
      <c r="D2083" t="s">
        <v>143</v>
      </c>
      <c r="E2083" t="str">
        <f>"05"</f>
        <v>05</v>
      </c>
      <c r="H2083">
        <v>172</v>
      </c>
      <c r="I2083" t="s">
        <v>141</v>
      </c>
      <c r="J2083" t="s">
        <v>144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R2083" t="s">
        <v>127</v>
      </c>
      <c r="S2083" t="str">
        <f t="shared" si="824"/>
        <v>15:10:18.000</v>
      </c>
      <c r="T2083" t="str">
        <f t="shared" si="824"/>
        <v>15:10:18.000</v>
      </c>
      <c r="U2083" t="str">
        <f t="shared" si="813"/>
        <v>A68FCB</v>
      </c>
      <c r="V2083">
        <v>0</v>
      </c>
      <c r="W2083">
        <v>0</v>
      </c>
      <c r="X2083">
        <v>2</v>
      </c>
      <c r="Y2083">
        <v>0</v>
      </c>
      <c r="AA2083">
        <v>1</v>
      </c>
      <c r="AB2083">
        <v>8</v>
      </c>
      <c r="AC2083">
        <v>3</v>
      </c>
      <c r="AD2083">
        <v>0</v>
      </c>
      <c r="AE2083">
        <v>9</v>
      </c>
      <c r="AF2083" t="s">
        <v>138</v>
      </c>
      <c r="AG2083">
        <v>0</v>
      </c>
      <c r="AH2083">
        <v>3</v>
      </c>
      <c r="AI2083">
        <v>2</v>
      </c>
      <c r="AJ2083">
        <v>0</v>
      </c>
      <c r="AK2083" t="s">
        <v>732</v>
      </c>
      <c r="AL2083">
        <v>39.055109000000002</v>
      </c>
      <c r="AM2083" t="s">
        <v>730</v>
      </c>
      <c r="AN2083">
        <v>-121.041484</v>
      </c>
      <c r="AO2083">
        <v>25</v>
      </c>
      <c r="AP2083">
        <v>4500</v>
      </c>
      <c r="AQ2083" t="s">
        <v>131</v>
      </c>
      <c r="AR2083">
        <v>0</v>
      </c>
      <c r="AS2083">
        <v>89</v>
      </c>
      <c r="AT2083">
        <v>320</v>
      </c>
      <c r="BB2083" t="str">
        <f t="shared" si="814"/>
        <v>1200</v>
      </c>
      <c r="BC2083">
        <v>1</v>
      </c>
      <c r="BD2083" t="str">
        <f t="shared" si="815"/>
        <v xml:space="preserve">N52156  </v>
      </c>
      <c r="BE2083">
        <v>1</v>
      </c>
      <c r="BG2083">
        <v>0</v>
      </c>
      <c r="BH2083">
        <v>0</v>
      </c>
      <c r="BI2083">
        <v>0</v>
      </c>
      <c r="BJ2083">
        <v>4525</v>
      </c>
      <c r="BK2083">
        <v>25</v>
      </c>
      <c r="BL2083" t="s">
        <v>188</v>
      </c>
      <c r="BM2083">
        <v>1</v>
      </c>
      <c r="BN2083">
        <v>1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 t="shared" si="825"/>
        <v>15:10:18.860</v>
      </c>
      <c r="CF2083">
        <v>860466080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4</v>
      </c>
      <c r="CY2083">
        <v>7</v>
      </c>
      <c r="CZ2083" t="s">
        <v>133</v>
      </c>
      <c r="DA2083">
        <v>275</v>
      </c>
      <c r="DB2083">
        <v>0</v>
      </c>
      <c r="DC2083" t="s">
        <v>134</v>
      </c>
      <c r="DD2083" t="s">
        <v>135</v>
      </c>
      <c r="DG2083">
        <v>3321324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"05/01/2025 15:10:19.521"</f>
        <v>05/01/2025 15:10:19.521</v>
      </c>
      <c r="C2084" t="str">
        <f t="shared" si="812"/>
        <v>FFDFD3C0</v>
      </c>
      <c r="D2084" t="s">
        <v>136</v>
      </c>
      <c r="E2084" t="str">
        <f>"20"</f>
        <v>20</v>
      </c>
      <c r="H2084">
        <v>400</v>
      </c>
      <c r="I2084" t="s">
        <v>137</v>
      </c>
      <c r="J2084" t="s">
        <v>138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R2084" t="s">
        <v>127</v>
      </c>
      <c r="S2084" t="str">
        <f t="shared" ref="S2084:T2089" si="826">"15:10:19.000"</f>
        <v>15:10:19.000</v>
      </c>
      <c r="T2084" t="str">
        <f t="shared" si="826"/>
        <v>15:10:19.000</v>
      </c>
      <c r="U2084" t="str">
        <f t="shared" si="813"/>
        <v>A68FCB</v>
      </c>
      <c r="V2084">
        <v>0</v>
      </c>
      <c r="W2084">
        <v>0</v>
      </c>
      <c r="X2084">
        <v>2</v>
      </c>
      <c r="Y2084">
        <v>0</v>
      </c>
      <c r="AA2084">
        <v>1</v>
      </c>
      <c r="AB2084">
        <v>8</v>
      </c>
      <c r="AC2084">
        <v>3</v>
      </c>
      <c r="AD2084">
        <v>0</v>
      </c>
      <c r="AE2084">
        <v>9</v>
      </c>
      <c r="AF2084" t="s">
        <v>138</v>
      </c>
      <c r="AG2084">
        <v>0</v>
      </c>
      <c r="AH2084">
        <v>3</v>
      </c>
      <c r="AI2084">
        <v>2</v>
      </c>
      <c r="AJ2084">
        <v>0</v>
      </c>
      <c r="AK2084" t="s">
        <v>733</v>
      </c>
      <c r="AL2084">
        <v>39.055517000000002</v>
      </c>
      <c r="AM2084" t="s">
        <v>730</v>
      </c>
      <c r="AN2084">
        <v>-121.041484</v>
      </c>
      <c r="AO2084">
        <v>25</v>
      </c>
      <c r="AP2084">
        <v>4500</v>
      </c>
      <c r="AQ2084" t="s">
        <v>131</v>
      </c>
      <c r="AR2084">
        <v>0</v>
      </c>
      <c r="AS2084">
        <v>89</v>
      </c>
      <c r="AT2084">
        <v>256</v>
      </c>
      <c r="BB2084" t="str">
        <f t="shared" si="814"/>
        <v>1200</v>
      </c>
      <c r="BC2084">
        <v>1</v>
      </c>
      <c r="BD2084" t="str">
        <f t="shared" si="815"/>
        <v xml:space="preserve">N52156  </v>
      </c>
      <c r="BE2084">
        <v>1</v>
      </c>
      <c r="BG2084">
        <v>0</v>
      </c>
      <c r="BH2084">
        <v>0</v>
      </c>
      <c r="BI2084">
        <v>0</v>
      </c>
      <c r="BJ2084">
        <v>4525</v>
      </c>
      <c r="BK2084">
        <v>25</v>
      </c>
      <c r="BL2084" t="s">
        <v>188</v>
      </c>
      <c r="BM2084">
        <v>1</v>
      </c>
      <c r="BN2084">
        <v>1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 t="shared" ref="CE2084:CE2089" si="827">"15:10:19.297"</f>
        <v>15:10:19.297</v>
      </c>
      <c r="CF2084">
        <v>297031546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3</v>
      </c>
      <c r="CY2084">
        <v>7</v>
      </c>
      <c r="CZ2084" t="s">
        <v>133</v>
      </c>
      <c r="DA2084">
        <v>276</v>
      </c>
      <c r="DB2084">
        <v>0</v>
      </c>
      <c r="DC2084" t="s">
        <v>402</v>
      </c>
      <c r="DD2084" t="s">
        <v>403</v>
      </c>
      <c r="DG2084">
        <v>1626699</v>
      </c>
      <c r="DI2084">
        <v>1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"05/01/2025 15:10:19.522"</f>
        <v>05/01/2025 15:10:19.522</v>
      </c>
      <c r="C2085" t="str">
        <f t="shared" si="812"/>
        <v>FFDFD3C0</v>
      </c>
      <c r="D2085" t="s">
        <v>143</v>
      </c>
      <c r="E2085" t="str">
        <f>"05"</f>
        <v>05</v>
      </c>
      <c r="H2085">
        <v>172</v>
      </c>
      <c r="I2085" t="s">
        <v>141</v>
      </c>
      <c r="J2085" t="s">
        <v>144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R2085" t="s">
        <v>127</v>
      </c>
      <c r="S2085" t="str">
        <f t="shared" si="826"/>
        <v>15:10:19.000</v>
      </c>
      <c r="T2085" t="str">
        <f t="shared" si="826"/>
        <v>15:10:19.000</v>
      </c>
      <c r="U2085" t="str">
        <f t="shared" si="813"/>
        <v>A68FCB</v>
      </c>
      <c r="V2085">
        <v>0</v>
      </c>
      <c r="W2085">
        <v>0</v>
      </c>
      <c r="X2085">
        <v>2</v>
      </c>
      <c r="Y2085">
        <v>0</v>
      </c>
      <c r="AA2085">
        <v>1</v>
      </c>
      <c r="AB2085">
        <v>8</v>
      </c>
      <c r="AC2085">
        <v>3</v>
      </c>
      <c r="AD2085">
        <v>0</v>
      </c>
      <c r="AE2085">
        <v>9</v>
      </c>
      <c r="AF2085" t="s">
        <v>138</v>
      </c>
      <c r="AG2085">
        <v>0</v>
      </c>
      <c r="AH2085">
        <v>3</v>
      </c>
      <c r="AI2085">
        <v>2</v>
      </c>
      <c r="AJ2085">
        <v>0</v>
      </c>
      <c r="AK2085" t="s">
        <v>733</v>
      </c>
      <c r="AL2085">
        <v>39.055517000000002</v>
      </c>
      <c r="AM2085" t="s">
        <v>730</v>
      </c>
      <c r="AN2085">
        <v>-121.041484</v>
      </c>
      <c r="AO2085">
        <v>25</v>
      </c>
      <c r="AP2085">
        <v>4500</v>
      </c>
      <c r="AQ2085" t="s">
        <v>131</v>
      </c>
      <c r="AR2085">
        <v>0</v>
      </c>
      <c r="AS2085">
        <v>89</v>
      </c>
      <c r="AT2085">
        <v>256</v>
      </c>
      <c r="BB2085" t="str">
        <f t="shared" si="814"/>
        <v>1200</v>
      </c>
      <c r="BC2085">
        <v>1</v>
      </c>
      <c r="BD2085" t="str">
        <f t="shared" si="815"/>
        <v xml:space="preserve">N52156  </v>
      </c>
      <c r="BE2085">
        <v>1</v>
      </c>
      <c r="BG2085">
        <v>0</v>
      </c>
      <c r="BH2085">
        <v>0</v>
      </c>
      <c r="BI2085">
        <v>0</v>
      </c>
      <c r="BJ2085">
        <v>4525</v>
      </c>
      <c r="BK2085">
        <v>25</v>
      </c>
      <c r="BL2085" t="s">
        <v>188</v>
      </c>
      <c r="BM2085">
        <v>1</v>
      </c>
      <c r="BN2085">
        <v>1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 t="shared" si="827"/>
        <v>15:10:19.297</v>
      </c>
      <c r="CF2085">
        <v>297031546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3</v>
      </c>
      <c r="CY2085">
        <v>7</v>
      </c>
      <c r="CZ2085" t="s">
        <v>133</v>
      </c>
      <c r="DA2085">
        <v>276</v>
      </c>
      <c r="DB2085">
        <v>0</v>
      </c>
      <c r="DC2085" t="s">
        <v>402</v>
      </c>
      <c r="DD2085" t="s">
        <v>403</v>
      </c>
      <c r="DG2085">
        <v>1626699</v>
      </c>
      <c r="DI2085">
        <v>1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"05/01/2025 15:10:19.548"</f>
        <v>05/01/2025 15:10:19.548</v>
      </c>
      <c r="C2086" t="str">
        <f t="shared" si="812"/>
        <v>FFDFD3C0</v>
      </c>
      <c r="D2086" t="s">
        <v>140</v>
      </c>
      <c r="E2086" t="str">
        <f>"13"</f>
        <v>13</v>
      </c>
      <c r="F2086">
        <v>1019</v>
      </c>
      <c r="G2086" t="s">
        <v>141</v>
      </c>
      <c r="J2086" t="s">
        <v>142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R2086" t="s">
        <v>127</v>
      </c>
      <c r="S2086" t="str">
        <f t="shared" si="826"/>
        <v>15:10:19.000</v>
      </c>
      <c r="T2086" t="str">
        <f t="shared" si="826"/>
        <v>15:10:19.000</v>
      </c>
      <c r="U2086" t="str">
        <f t="shared" si="813"/>
        <v>A68FCB</v>
      </c>
      <c r="V2086">
        <v>0</v>
      </c>
      <c r="W2086">
        <v>0</v>
      </c>
      <c r="X2086">
        <v>2</v>
      </c>
      <c r="Y2086">
        <v>0</v>
      </c>
      <c r="AA2086">
        <v>1</v>
      </c>
      <c r="AB2086">
        <v>8</v>
      </c>
      <c r="AC2086">
        <v>3</v>
      </c>
      <c r="AD2086">
        <v>0</v>
      </c>
      <c r="AE2086">
        <v>9</v>
      </c>
      <c r="AF2086" t="s">
        <v>138</v>
      </c>
      <c r="AG2086">
        <v>0</v>
      </c>
      <c r="AH2086">
        <v>3</v>
      </c>
      <c r="AI2086">
        <v>2</v>
      </c>
      <c r="AJ2086">
        <v>0</v>
      </c>
      <c r="AK2086" t="s">
        <v>733</v>
      </c>
      <c r="AL2086">
        <v>39.055517000000002</v>
      </c>
      <c r="AM2086" t="s">
        <v>730</v>
      </c>
      <c r="AN2086">
        <v>-121.041484</v>
      </c>
      <c r="AO2086">
        <v>25</v>
      </c>
      <c r="AP2086">
        <v>4500</v>
      </c>
      <c r="AQ2086" t="s">
        <v>131</v>
      </c>
      <c r="AR2086">
        <v>0</v>
      </c>
      <c r="AS2086">
        <v>89</v>
      </c>
      <c r="AT2086">
        <v>256</v>
      </c>
      <c r="BB2086" t="str">
        <f t="shared" si="814"/>
        <v>1200</v>
      </c>
      <c r="BC2086">
        <v>1</v>
      </c>
      <c r="BD2086" t="str">
        <f t="shared" si="815"/>
        <v xml:space="preserve">N52156  </v>
      </c>
      <c r="BE2086">
        <v>1</v>
      </c>
      <c r="BG2086">
        <v>0</v>
      </c>
      <c r="BH2086">
        <v>0</v>
      </c>
      <c r="BI2086">
        <v>0</v>
      </c>
      <c r="BJ2086">
        <v>4525</v>
      </c>
      <c r="BK2086">
        <v>25</v>
      </c>
      <c r="BL2086" t="s">
        <v>188</v>
      </c>
      <c r="BM2086">
        <v>1</v>
      </c>
      <c r="BN2086">
        <v>1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 t="shared" si="827"/>
        <v>15:10:19.297</v>
      </c>
      <c r="CF2086">
        <v>297031546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3</v>
      </c>
      <c r="CY2086">
        <v>7</v>
      </c>
      <c r="CZ2086" t="s">
        <v>133</v>
      </c>
      <c r="DA2086">
        <v>276</v>
      </c>
      <c r="DB2086">
        <v>0</v>
      </c>
      <c r="DC2086" t="s">
        <v>402</v>
      </c>
      <c r="DD2086" t="s">
        <v>403</v>
      </c>
      <c r="DG2086">
        <v>1626699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"05/01/2025 15:10:19.558"</f>
        <v>05/01/2025 15:10:19.558</v>
      </c>
      <c r="C2087" t="str">
        <f t="shared" si="812"/>
        <v>FFDFD3C0</v>
      </c>
      <c r="D2087" t="s">
        <v>124</v>
      </c>
      <c r="E2087" t="str">
        <f>"06"</f>
        <v>06</v>
      </c>
      <c r="F2087">
        <v>2006</v>
      </c>
      <c r="G2087" t="s">
        <v>125</v>
      </c>
      <c r="J2087" t="s">
        <v>126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R2087" t="s">
        <v>127</v>
      </c>
      <c r="S2087" t="str">
        <f t="shared" si="826"/>
        <v>15:10:19.000</v>
      </c>
      <c r="T2087" t="str">
        <f t="shared" si="826"/>
        <v>15:10:19.000</v>
      </c>
      <c r="U2087" t="str">
        <f t="shared" si="813"/>
        <v>A68FCB</v>
      </c>
      <c r="V2087">
        <v>0</v>
      </c>
      <c r="W2087">
        <v>0</v>
      </c>
      <c r="X2087">
        <v>2</v>
      </c>
      <c r="Y2087">
        <v>0</v>
      </c>
      <c r="AA2087">
        <v>1</v>
      </c>
      <c r="AB2087">
        <v>8</v>
      </c>
      <c r="AC2087">
        <v>3</v>
      </c>
      <c r="AD2087">
        <v>0</v>
      </c>
      <c r="AE2087">
        <v>9</v>
      </c>
      <c r="AF2087" t="s">
        <v>138</v>
      </c>
      <c r="AG2087">
        <v>0</v>
      </c>
      <c r="AH2087">
        <v>3</v>
      </c>
      <c r="AI2087">
        <v>2</v>
      </c>
      <c r="AJ2087">
        <v>0</v>
      </c>
      <c r="AK2087" t="s">
        <v>733</v>
      </c>
      <c r="AL2087">
        <v>39.055517000000002</v>
      </c>
      <c r="AM2087" t="s">
        <v>730</v>
      </c>
      <c r="AN2087">
        <v>-121.041484</v>
      </c>
      <c r="AO2087">
        <v>25</v>
      </c>
      <c r="AP2087">
        <v>4500</v>
      </c>
      <c r="AQ2087" t="s">
        <v>131</v>
      </c>
      <c r="AR2087">
        <v>0</v>
      </c>
      <c r="AS2087">
        <v>89</v>
      </c>
      <c r="AT2087">
        <v>256</v>
      </c>
      <c r="BB2087" t="str">
        <f t="shared" si="814"/>
        <v>1200</v>
      </c>
      <c r="BC2087">
        <v>1</v>
      </c>
      <c r="BD2087" t="str">
        <f t="shared" si="815"/>
        <v xml:space="preserve">N52156  </v>
      </c>
      <c r="BE2087">
        <v>1</v>
      </c>
      <c r="BG2087">
        <v>0</v>
      </c>
      <c r="BH2087">
        <v>0</v>
      </c>
      <c r="BI2087">
        <v>0</v>
      </c>
      <c r="BJ2087">
        <v>4525</v>
      </c>
      <c r="BK2087">
        <v>25</v>
      </c>
      <c r="BL2087" t="s">
        <v>188</v>
      </c>
      <c r="BM2087">
        <v>1</v>
      </c>
      <c r="BN2087">
        <v>1</v>
      </c>
      <c r="BO2087">
        <v>0</v>
      </c>
      <c r="BP2087">
        <v>0</v>
      </c>
      <c r="BS2087">
        <v>0</v>
      </c>
      <c r="BT2087">
        <v>0</v>
      </c>
      <c r="BU2087">
        <v>0</v>
      </c>
      <c r="CE2087" t="str">
        <f t="shared" si="827"/>
        <v>15:10:19.297</v>
      </c>
      <c r="CF2087">
        <v>297031546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3</v>
      </c>
      <c r="CY2087">
        <v>7</v>
      </c>
      <c r="CZ2087" t="s">
        <v>133</v>
      </c>
      <c r="DA2087">
        <v>276</v>
      </c>
      <c r="DB2087">
        <v>0</v>
      </c>
      <c r="DC2087" t="s">
        <v>402</v>
      </c>
      <c r="DD2087" t="s">
        <v>403</v>
      </c>
      <c r="DG2087">
        <v>1626699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"05/01/2025 15:10:19.562"</f>
        <v>05/01/2025 15:10:19.562</v>
      </c>
      <c r="C2088" t="str">
        <f t="shared" si="812"/>
        <v>FFDFD3C0</v>
      </c>
      <c r="D2088" t="s">
        <v>145</v>
      </c>
      <c r="E2088" t="str">
        <f>"05"</f>
        <v>05</v>
      </c>
      <c r="H2088">
        <v>47</v>
      </c>
      <c r="I2088" t="s">
        <v>146</v>
      </c>
      <c r="J2088" t="s">
        <v>138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R2088" t="s">
        <v>127</v>
      </c>
      <c r="S2088" t="str">
        <f t="shared" si="826"/>
        <v>15:10:19.000</v>
      </c>
      <c r="T2088" t="str">
        <f t="shared" si="826"/>
        <v>15:10:19.000</v>
      </c>
      <c r="U2088" t="str">
        <f t="shared" si="813"/>
        <v>A68FCB</v>
      </c>
      <c r="V2088">
        <v>0</v>
      </c>
      <c r="W2088">
        <v>0</v>
      </c>
      <c r="X2088">
        <v>2</v>
      </c>
      <c r="Y2088">
        <v>0</v>
      </c>
      <c r="AA2088">
        <v>1</v>
      </c>
      <c r="AB2088">
        <v>8</v>
      </c>
      <c r="AC2088">
        <v>3</v>
      </c>
      <c r="AD2088">
        <v>0</v>
      </c>
      <c r="AE2088">
        <v>9</v>
      </c>
      <c r="AF2088" t="s">
        <v>138</v>
      </c>
      <c r="AG2088">
        <v>0</v>
      </c>
      <c r="AH2088">
        <v>3</v>
      </c>
      <c r="AI2088">
        <v>2</v>
      </c>
      <c r="AJ2088">
        <v>0</v>
      </c>
      <c r="AK2088" t="s">
        <v>733</v>
      </c>
      <c r="AL2088">
        <v>39.055517000000002</v>
      </c>
      <c r="AM2088" t="s">
        <v>730</v>
      </c>
      <c r="AN2088">
        <v>-121.041484</v>
      </c>
      <c r="AO2088">
        <v>25</v>
      </c>
      <c r="AP2088">
        <v>4500</v>
      </c>
      <c r="AQ2088" t="s">
        <v>131</v>
      </c>
      <c r="AR2088">
        <v>0</v>
      </c>
      <c r="AS2088">
        <v>89</v>
      </c>
      <c r="AT2088">
        <v>256</v>
      </c>
      <c r="BB2088" t="str">
        <f t="shared" si="814"/>
        <v>1200</v>
      </c>
      <c r="BC2088">
        <v>1</v>
      </c>
      <c r="BD2088" t="str">
        <f t="shared" si="815"/>
        <v xml:space="preserve">N52156  </v>
      </c>
      <c r="BE2088">
        <v>1</v>
      </c>
      <c r="BG2088">
        <v>0</v>
      </c>
      <c r="BH2088">
        <v>0</v>
      </c>
      <c r="BI2088">
        <v>0</v>
      </c>
      <c r="BJ2088">
        <v>4525</v>
      </c>
      <c r="BK2088">
        <v>25</v>
      </c>
      <c r="BL2088" t="s">
        <v>188</v>
      </c>
      <c r="BM2088">
        <v>1</v>
      </c>
      <c r="BN2088">
        <v>1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 t="shared" si="827"/>
        <v>15:10:19.297</v>
      </c>
      <c r="CF2088">
        <v>297031546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3</v>
      </c>
      <c r="CY2088">
        <v>7</v>
      </c>
      <c r="CZ2088" t="s">
        <v>133</v>
      </c>
      <c r="DA2088">
        <v>276</v>
      </c>
      <c r="DB2088">
        <v>0</v>
      </c>
      <c r="DC2088" t="s">
        <v>402</v>
      </c>
      <c r="DD2088" t="s">
        <v>403</v>
      </c>
      <c r="DG2088">
        <v>1626699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"05/01/2025 15:10:19.564"</f>
        <v>05/01/2025 15:10:19.564</v>
      </c>
      <c r="C2089" t="str">
        <f t="shared" si="812"/>
        <v>FFDFD3C0</v>
      </c>
      <c r="D2089" t="s">
        <v>145</v>
      </c>
      <c r="E2089" t="str">
        <f>"09"</f>
        <v>09</v>
      </c>
      <c r="H2089">
        <v>51</v>
      </c>
      <c r="I2089" t="s">
        <v>147</v>
      </c>
      <c r="J2089" t="s">
        <v>138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R2089" t="s">
        <v>127</v>
      </c>
      <c r="S2089" t="str">
        <f t="shared" si="826"/>
        <v>15:10:19.000</v>
      </c>
      <c r="T2089" t="str">
        <f t="shared" si="826"/>
        <v>15:10:19.000</v>
      </c>
      <c r="U2089" t="str">
        <f t="shared" si="813"/>
        <v>A68FCB</v>
      </c>
      <c r="V2089">
        <v>0</v>
      </c>
      <c r="W2089">
        <v>0</v>
      </c>
      <c r="X2089">
        <v>2</v>
      </c>
      <c r="Y2089">
        <v>0</v>
      </c>
      <c r="AA2089">
        <v>1</v>
      </c>
      <c r="AB2089">
        <v>8</v>
      </c>
      <c r="AC2089">
        <v>3</v>
      </c>
      <c r="AD2089">
        <v>0</v>
      </c>
      <c r="AE2089">
        <v>9</v>
      </c>
      <c r="AF2089" t="s">
        <v>138</v>
      </c>
      <c r="AG2089">
        <v>0</v>
      </c>
      <c r="AH2089">
        <v>3</v>
      </c>
      <c r="AI2089">
        <v>2</v>
      </c>
      <c r="AJ2089">
        <v>0</v>
      </c>
      <c r="AK2089" t="s">
        <v>733</v>
      </c>
      <c r="AL2089">
        <v>39.055517000000002</v>
      </c>
      <c r="AM2089" t="s">
        <v>730</v>
      </c>
      <c r="AN2089">
        <v>-121.041484</v>
      </c>
      <c r="AO2089">
        <v>25</v>
      </c>
      <c r="AP2089">
        <v>4500</v>
      </c>
      <c r="AQ2089" t="s">
        <v>131</v>
      </c>
      <c r="AR2089">
        <v>0</v>
      </c>
      <c r="AS2089">
        <v>89</v>
      </c>
      <c r="AT2089">
        <v>256</v>
      </c>
      <c r="BB2089" t="str">
        <f t="shared" si="814"/>
        <v>1200</v>
      </c>
      <c r="BC2089">
        <v>1</v>
      </c>
      <c r="BD2089" t="str">
        <f t="shared" si="815"/>
        <v xml:space="preserve">N52156  </v>
      </c>
      <c r="BE2089">
        <v>1</v>
      </c>
      <c r="BG2089">
        <v>0</v>
      </c>
      <c r="BH2089">
        <v>0</v>
      </c>
      <c r="BI2089">
        <v>0</v>
      </c>
      <c r="BJ2089">
        <v>4525</v>
      </c>
      <c r="BK2089">
        <v>25</v>
      </c>
      <c r="BL2089" t="s">
        <v>188</v>
      </c>
      <c r="BM2089">
        <v>1</v>
      </c>
      <c r="BN2089">
        <v>1</v>
      </c>
      <c r="BO2089">
        <v>0</v>
      </c>
      <c r="BP2089">
        <v>0</v>
      </c>
      <c r="BS2089">
        <v>0</v>
      </c>
      <c r="BT2089">
        <v>0</v>
      </c>
      <c r="BU2089">
        <v>0</v>
      </c>
      <c r="CE2089" t="str">
        <f t="shared" si="827"/>
        <v>15:10:19.297</v>
      </c>
      <c r="CF2089">
        <v>297031546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3</v>
      </c>
      <c r="CY2089">
        <v>7</v>
      </c>
      <c r="CZ2089" t="s">
        <v>133</v>
      </c>
      <c r="DA2089">
        <v>276</v>
      </c>
      <c r="DB2089">
        <v>0</v>
      </c>
      <c r="DC2089" t="s">
        <v>402</v>
      </c>
      <c r="DD2089" t="s">
        <v>403</v>
      </c>
      <c r="DG2089">
        <v>1626699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"05/01/2025 15:10:20.673"</f>
        <v>05/01/2025 15:10:20.673</v>
      </c>
      <c r="C2090" t="str">
        <f t="shared" si="812"/>
        <v>FFDFD3C0</v>
      </c>
      <c r="D2090" t="s">
        <v>136</v>
      </c>
      <c r="E2090" t="str">
        <f>"20"</f>
        <v>20</v>
      </c>
      <c r="H2090">
        <v>400</v>
      </c>
      <c r="I2090" t="s">
        <v>137</v>
      </c>
      <c r="J2090" t="s">
        <v>138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R2090" t="s">
        <v>127</v>
      </c>
      <c r="S2090" t="str">
        <f t="shared" ref="S2090:T2095" si="828">"15:10:20.000"</f>
        <v>15:10:20.000</v>
      </c>
      <c r="T2090" t="str">
        <f t="shared" si="828"/>
        <v>15:10:20.000</v>
      </c>
      <c r="U2090" t="str">
        <f t="shared" si="813"/>
        <v>A68FCB</v>
      </c>
      <c r="V2090">
        <v>0</v>
      </c>
      <c r="W2090">
        <v>0</v>
      </c>
      <c r="X2090">
        <v>2</v>
      </c>
      <c r="Y2090">
        <v>0</v>
      </c>
      <c r="AA2090">
        <v>1</v>
      </c>
      <c r="AB2090">
        <v>8</v>
      </c>
      <c r="AC2090">
        <v>3</v>
      </c>
      <c r="AD2090">
        <v>0</v>
      </c>
      <c r="AE2090">
        <v>9</v>
      </c>
      <c r="AF2090" t="s">
        <v>138</v>
      </c>
      <c r="AG2090">
        <v>0</v>
      </c>
      <c r="AH2090">
        <v>3</v>
      </c>
      <c r="AI2090">
        <v>2</v>
      </c>
      <c r="AJ2090">
        <v>0</v>
      </c>
      <c r="AK2090" t="s">
        <v>734</v>
      </c>
      <c r="AL2090">
        <v>39.055923999999997</v>
      </c>
      <c r="AM2090" t="s">
        <v>730</v>
      </c>
      <c r="AN2090">
        <v>-121.041484</v>
      </c>
      <c r="AO2090">
        <v>25</v>
      </c>
      <c r="AP2090">
        <v>4500</v>
      </c>
      <c r="AQ2090" t="s">
        <v>131</v>
      </c>
      <c r="AR2090">
        <v>-1</v>
      </c>
      <c r="AS2090">
        <v>89</v>
      </c>
      <c r="AT2090">
        <v>192</v>
      </c>
      <c r="BB2090" t="str">
        <f t="shared" si="814"/>
        <v>1200</v>
      </c>
      <c r="BC2090">
        <v>1</v>
      </c>
      <c r="BD2090" t="str">
        <f t="shared" si="815"/>
        <v xml:space="preserve">N52156  </v>
      </c>
      <c r="BE2090">
        <v>1</v>
      </c>
      <c r="BG2090">
        <v>0</v>
      </c>
      <c r="BH2090">
        <v>0</v>
      </c>
      <c r="BI2090">
        <v>0</v>
      </c>
      <c r="BJ2090">
        <v>4525</v>
      </c>
      <c r="BK2090">
        <v>25</v>
      </c>
      <c r="BL2090" t="s">
        <v>188</v>
      </c>
      <c r="BM2090">
        <v>1</v>
      </c>
      <c r="BN2090">
        <v>1</v>
      </c>
      <c r="BO2090">
        <v>0</v>
      </c>
      <c r="BP2090">
        <v>0</v>
      </c>
      <c r="BS2090">
        <v>0</v>
      </c>
      <c r="BT2090">
        <v>0</v>
      </c>
      <c r="BU2090">
        <v>0</v>
      </c>
      <c r="CE2090" t="str">
        <f t="shared" ref="CE2090:CE2095" si="829">"15:10:20.475"</f>
        <v>15:10:20.475</v>
      </c>
      <c r="CF2090">
        <v>475465445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3</v>
      </c>
      <c r="CY2090">
        <v>7</v>
      </c>
      <c r="CZ2090" t="s">
        <v>133</v>
      </c>
      <c r="DA2090">
        <v>275</v>
      </c>
      <c r="DB2090">
        <v>0</v>
      </c>
      <c r="DC2090" t="s">
        <v>134</v>
      </c>
      <c r="DD2090" t="s">
        <v>135</v>
      </c>
      <c r="DG2090">
        <v>3321339</v>
      </c>
      <c r="DI2090">
        <v>1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"05/01/2025 15:10:20.674"</f>
        <v>05/01/2025 15:10:20.674</v>
      </c>
      <c r="C2091" t="str">
        <f t="shared" si="812"/>
        <v>FFDFD3C0</v>
      </c>
      <c r="D2091" t="s">
        <v>143</v>
      </c>
      <c r="E2091" t="str">
        <f>"05"</f>
        <v>05</v>
      </c>
      <c r="H2091">
        <v>172</v>
      </c>
      <c r="I2091" t="s">
        <v>141</v>
      </c>
      <c r="J2091" t="s">
        <v>144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R2091" t="s">
        <v>127</v>
      </c>
      <c r="S2091" t="str">
        <f t="shared" si="828"/>
        <v>15:10:20.000</v>
      </c>
      <c r="T2091" t="str">
        <f t="shared" si="828"/>
        <v>15:10:20.000</v>
      </c>
      <c r="U2091" t="str">
        <f t="shared" si="813"/>
        <v>A68FCB</v>
      </c>
      <c r="V2091">
        <v>0</v>
      </c>
      <c r="W2091">
        <v>0</v>
      </c>
      <c r="X2091">
        <v>2</v>
      </c>
      <c r="Y2091">
        <v>0</v>
      </c>
      <c r="AA2091">
        <v>1</v>
      </c>
      <c r="AB2091">
        <v>8</v>
      </c>
      <c r="AC2091">
        <v>3</v>
      </c>
      <c r="AD2091">
        <v>0</v>
      </c>
      <c r="AE2091">
        <v>9</v>
      </c>
      <c r="AF2091" t="s">
        <v>138</v>
      </c>
      <c r="AG2091">
        <v>0</v>
      </c>
      <c r="AH2091">
        <v>3</v>
      </c>
      <c r="AI2091">
        <v>2</v>
      </c>
      <c r="AJ2091">
        <v>0</v>
      </c>
      <c r="AK2091" t="s">
        <v>734</v>
      </c>
      <c r="AL2091">
        <v>39.055923999999997</v>
      </c>
      <c r="AM2091" t="s">
        <v>730</v>
      </c>
      <c r="AN2091">
        <v>-121.041484</v>
      </c>
      <c r="AO2091">
        <v>25</v>
      </c>
      <c r="AP2091">
        <v>4500</v>
      </c>
      <c r="AQ2091" t="s">
        <v>131</v>
      </c>
      <c r="AR2091">
        <v>-1</v>
      </c>
      <c r="AS2091">
        <v>89</v>
      </c>
      <c r="AT2091">
        <v>192</v>
      </c>
      <c r="BB2091" t="str">
        <f t="shared" si="814"/>
        <v>1200</v>
      </c>
      <c r="BC2091">
        <v>1</v>
      </c>
      <c r="BD2091" t="str">
        <f t="shared" si="815"/>
        <v xml:space="preserve">N52156  </v>
      </c>
      <c r="BE2091">
        <v>1</v>
      </c>
      <c r="BG2091">
        <v>0</v>
      </c>
      <c r="BH2091">
        <v>0</v>
      </c>
      <c r="BI2091">
        <v>0</v>
      </c>
      <c r="BJ2091">
        <v>4525</v>
      </c>
      <c r="BK2091">
        <v>25</v>
      </c>
      <c r="BL2091" t="s">
        <v>188</v>
      </c>
      <c r="BM2091">
        <v>1</v>
      </c>
      <c r="BN2091">
        <v>1</v>
      </c>
      <c r="BO2091">
        <v>0</v>
      </c>
      <c r="BP2091">
        <v>0</v>
      </c>
      <c r="BS2091">
        <v>0</v>
      </c>
      <c r="BT2091">
        <v>0</v>
      </c>
      <c r="BU2091">
        <v>0</v>
      </c>
      <c r="CE2091" t="str">
        <f t="shared" si="829"/>
        <v>15:10:20.475</v>
      </c>
      <c r="CF2091">
        <v>475465445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3</v>
      </c>
      <c r="CY2091">
        <v>7</v>
      </c>
      <c r="CZ2091" t="s">
        <v>133</v>
      </c>
      <c r="DA2091">
        <v>275</v>
      </c>
      <c r="DB2091">
        <v>0</v>
      </c>
      <c r="DC2091" t="s">
        <v>134</v>
      </c>
      <c r="DD2091" t="s">
        <v>135</v>
      </c>
      <c r="DG2091">
        <v>3321339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"05/01/2025 15:10:20.700"</f>
        <v>05/01/2025 15:10:20.700</v>
      </c>
      <c r="C2092" t="str">
        <f t="shared" si="812"/>
        <v>FFDFD3C0</v>
      </c>
      <c r="D2092" t="s">
        <v>140</v>
      </c>
      <c r="E2092" t="str">
        <f>"13"</f>
        <v>13</v>
      </c>
      <c r="F2092">
        <v>1019</v>
      </c>
      <c r="G2092" t="s">
        <v>141</v>
      </c>
      <c r="J2092" t="s">
        <v>142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R2092" t="s">
        <v>127</v>
      </c>
      <c r="S2092" t="str">
        <f t="shared" si="828"/>
        <v>15:10:20.000</v>
      </c>
      <c r="T2092" t="str">
        <f t="shared" si="828"/>
        <v>15:10:20.000</v>
      </c>
      <c r="U2092" t="str">
        <f t="shared" si="813"/>
        <v>A68FCB</v>
      </c>
      <c r="V2092">
        <v>0</v>
      </c>
      <c r="W2092">
        <v>0</v>
      </c>
      <c r="X2092">
        <v>2</v>
      </c>
      <c r="Y2092">
        <v>0</v>
      </c>
      <c r="AA2092">
        <v>1</v>
      </c>
      <c r="AB2092">
        <v>8</v>
      </c>
      <c r="AC2092">
        <v>3</v>
      </c>
      <c r="AD2092">
        <v>0</v>
      </c>
      <c r="AE2092">
        <v>9</v>
      </c>
      <c r="AF2092" t="s">
        <v>138</v>
      </c>
      <c r="AG2092">
        <v>0</v>
      </c>
      <c r="AH2092">
        <v>3</v>
      </c>
      <c r="AI2092">
        <v>2</v>
      </c>
      <c r="AJ2092">
        <v>0</v>
      </c>
      <c r="AK2092" t="s">
        <v>734</v>
      </c>
      <c r="AL2092">
        <v>39.055923999999997</v>
      </c>
      <c r="AM2092" t="s">
        <v>730</v>
      </c>
      <c r="AN2092">
        <v>-121.041484</v>
      </c>
      <c r="AO2092">
        <v>25</v>
      </c>
      <c r="AP2092">
        <v>4500</v>
      </c>
      <c r="AQ2092" t="s">
        <v>131</v>
      </c>
      <c r="AR2092">
        <v>-1</v>
      </c>
      <c r="AS2092">
        <v>89</v>
      </c>
      <c r="AT2092">
        <v>192</v>
      </c>
      <c r="BB2092" t="str">
        <f t="shared" si="814"/>
        <v>1200</v>
      </c>
      <c r="BC2092">
        <v>1</v>
      </c>
      <c r="BD2092" t="str">
        <f t="shared" si="815"/>
        <v xml:space="preserve">N52156  </v>
      </c>
      <c r="BE2092">
        <v>1</v>
      </c>
      <c r="BG2092">
        <v>0</v>
      </c>
      <c r="BH2092">
        <v>0</v>
      </c>
      <c r="BI2092">
        <v>0</v>
      </c>
      <c r="BJ2092">
        <v>4525</v>
      </c>
      <c r="BK2092">
        <v>25</v>
      </c>
      <c r="BL2092" t="s">
        <v>188</v>
      </c>
      <c r="BM2092">
        <v>1</v>
      </c>
      <c r="BN2092">
        <v>1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 t="shared" si="829"/>
        <v>15:10:20.475</v>
      </c>
      <c r="CF2092">
        <v>475465445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3</v>
      </c>
      <c r="CY2092">
        <v>7</v>
      </c>
      <c r="CZ2092" t="s">
        <v>133</v>
      </c>
      <c r="DA2092">
        <v>275</v>
      </c>
      <c r="DB2092">
        <v>0</v>
      </c>
      <c r="DC2092" t="s">
        <v>134</v>
      </c>
      <c r="DD2092" t="s">
        <v>135</v>
      </c>
      <c r="DG2092">
        <v>3321339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"05/01/2025 15:10:20.710"</f>
        <v>05/01/2025 15:10:20.710</v>
      </c>
      <c r="C2093" t="str">
        <f t="shared" si="812"/>
        <v>FFDFD3C0</v>
      </c>
      <c r="D2093" t="s">
        <v>124</v>
      </c>
      <c r="E2093" t="str">
        <f>"06"</f>
        <v>06</v>
      </c>
      <c r="F2093">
        <v>2006</v>
      </c>
      <c r="G2093" t="s">
        <v>125</v>
      </c>
      <c r="J2093" t="s">
        <v>126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R2093" t="s">
        <v>127</v>
      </c>
      <c r="S2093" t="str">
        <f t="shared" si="828"/>
        <v>15:10:20.000</v>
      </c>
      <c r="T2093" t="str">
        <f t="shared" si="828"/>
        <v>15:10:20.000</v>
      </c>
      <c r="U2093" t="str">
        <f t="shared" si="813"/>
        <v>A68FCB</v>
      </c>
      <c r="V2093">
        <v>0</v>
      </c>
      <c r="W2093">
        <v>0</v>
      </c>
      <c r="X2093">
        <v>2</v>
      </c>
      <c r="Y2093">
        <v>0</v>
      </c>
      <c r="AA2093">
        <v>1</v>
      </c>
      <c r="AB2093">
        <v>8</v>
      </c>
      <c r="AC2093">
        <v>3</v>
      </c>
      <c r="AD2093">
        <v>0</v>
      </c>
      <c r="AE2093">
        <v>9</v>
      </c>
      <c r="AF2093" t="s">
        <v>138</v>
      </c>
      <c r="AG2093">
        <v>0</v>
      </c>
      <c r="AH2093">
        <v>3</v>
      </c>
      <c r="AI2093">
        <v>2</v>
      </c>
      <c r="AJ2093">
        <v>0</v>
      </c>
      <c r="AK2093" t="s">
        <v>734</v>
      </c>
      <c r="AL2093">
        <v>39.055923999999997</v>
      </c>
      <c r="AM2093" t="s">
        <v>730</v>
      </c>
      <c r="AN2093">
        <v>-121.041484</v>
      </c>
      <c r="AO2093">
        <v>25</v>
      </c>
      <c r="AP2093">
        <v>4500</v>
      </c>
      <c r="AQ2093" t="s">
        <v>131</v>
      </c>
      <c r="AR2093">
        <v>-1</v>
      </c>
      <c r="AS2093">
        <v>89</v>
      </c>
      <c r="AT2093">
        <v>192</v>
      </c>
      <c r="BB2093" t="str">
        <f t="shared" si="814"/>
        <v>1200</v>
      </c>
      <c r="BC2093">
        <v>1</v>
      </c>
      <c r="BD2093" t="str">
        <f t="shared" si="815"/>
        <v xml:space="preserve">N52156  </v>
      </c>
      <c r="BE2093">
        <v>1</v>
      </c>
      <c r="BG2093">
        <v>0</v>
      </c>
      <c r="BH2093">
        <v>0</v>
      </c>
      <c r="BI2093">
        <v>0</v>
      </c>
      <c r="BJ2093">
        <v>4525</v>
      </c>
      <c r="BK2093">
        <v>25</v>
      </c>
      <c r="BL2093" t="s">
        <v>188</v>
      </c>
      <c r="BM2093">
        <v>1</v>
      </c>
      <c r="BN2093">
        <v>1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 t="shared" si="829"/>
        <v>15:10:20.475</v>
      </c>
      <c r="CF2093">
        <v>475465445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3</v>
      </c>
      <c r="CY2093">
        <v>7</v>
      </c>
      <c r="CZ2093" t="s">
        <v>133</v>
      </c>
      <c r="DA2093">
        <v>275</v>
      </c>
      <c r="DB2093">
        <v>0</v>
      </c>
      <c r="DC2093" t="s">
        <v>134</v>
      </c>
      <c r="DD2093" t="s">
        <v>135</v>
      </c>
      <c r="DG2093">
        <v>3321339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"05/01/2025 15:10:20.714"</f>
        <v>05/01/2025 15:10:20.714</v>
      </c>
      <c r="C2094" t="str">
        <f t="shared" si="812"/>
        <v>FFDFD3C0</v>
      </c>
      <c r="D2094" t="s">
        <v>145</v>
      </c>
      <c r="E2094" t="str">
        <f>"05"</f>
        <v>05</v>
      </c>
      <c r="H2094">
        <v>47</v>
      </c>
      <c r="I2094" t="s">
        <v>146</v>
      </c>
      <c r="J2094" t="s">
        <v>138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R2094" t="s">
        <v>127</v>
      </c>
      <c r="S2094" t="str">
        <f t="shared" si="828"/>
        <v>15:10:20.000</v>
      </c>
      <c r="T2094" t="str">
        <f t="shared" si="828"/>
        <v>15:10:20.000</v>
      </c>
      <c r="U2094" t="str">
        <f t="shared" si="813"/>
        <v>A68FCB</v>
      </c>
      <c r="V2094">
        <v>0</v>
      </c>
      <c r="W2094">
        <v>0</v>
      </c>
      <c r="X2094">
        <v>2</v>
      </c>
      <c r="Y2094">
        <v>0</v>
      </c>
      <c r="AA2094">
        <v>1</v>
      </c>
      <c r="AB2094">
        <v>8</v>
      </c>
      <c r="AC2094">
        <v>3</v>
      </c>
      <c r="AD2094">
        <v>0</v>
      </c>
      <c r="AE2094">
        <v>9</v>
      </c>
      <c r="AF2094" t="s">
        <v>138</v>
      </c>
      <c r="AG2094">
        <v>0</v>
      </c>
      <c r="AH2094">
        <v>3</v>
      </c>
      <c r="AI2094">
        <v>2</v>
      </c>
      <c r="AJ2094">
        <v>0</v>
      </c>
      <c r="AK2094" t="s">
        <v>734</v>
      </c>
      <c r="AL2094">
        <v>39.055923999999997</v>
      </c>
      <c r="AM2094" t="s">
        <v>730</v>
      </c>
      <c r="AN2094">
        <v>-121.041484</v>
      </c>
      <c r="AO2094">
        <v>25</v>
      </c>
      <c r="AP2094">
        <v>4500</v>
      </c>
      <c r="AQ2094" t="s">
        <v>131</v>
      </c>
      <c r="AR2094">
        <v>-1</v>
      </c>
      <c r="AS2094">
        <v>89</v>
      </c>
      <c r="AT2094">
        <v>192</v>
      </c>
      <c r="BB2094" t="str">
        <f t="shared" si="814"/>
        <v>1200</v>
      </c>
      <c r="BC2094">
        <v>1</v>
      </c>
      <c r="BD2094" t="str">
        <f t="shared" si="815"/>
        <v xml:space="preserve">N52156  </v>
      </c>
      <c r="BE2094">
        <v>1</v>
      </c>
      <c r="BG2094">
        <v>0</v>
      </c>
      <c r="BH2094">
        <v>0</v>
      </c>
      <c r="BI2094">
        <v>0</v>
      </c>
      <c r="BJ2094">
        <v>4525</v>
      </c>
      <c r="BK2094">
        <v>25</v>
      </c>
      <c r="BL2094" t="s">
        <v>188</v>
      </c>
      <c r="BM2094">
        <v>1</v>
      </c>
      <c r="BN2094">
        <v>1</v>
      </c>
      <c r="BO2094">
        <v>0</v>
      </c>
      <c r="BP2094">
        <v>0</v>
      </c>
      <c r="BS2094">
        <v>0</v>
      </c>
      <c r="BT2094">
        <v>0</v>
      </c>
      <c r="BU2094">
        <v>0</v>
      </c>
      <c r="CE2094" t="str">
        <f t="shared" si="829"/>
        <v>15:10:20.475</v>
      </c>
      <c r="CF2094">
        <v>475465445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3</v>
      </c>
      <c r="CY2094">
        <v>7</v>
      </c>
      <c r="CZ2094" t="s">
        <v>133</v>
      </c>
      <c r="DA2094">
        <v>275</v>
      </c>
      <c r="DB2094">
        <v>0</v>
      </c>
      <c r="DC2094" t="s">
        <v>134</v>
      </c>
      <c r="DD2094" t="s">
        <v>135</v>
      </c>
      <c r="DG2094">
        <v>3321339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"05/01/2025 15:10:20.716"</f>
        <v>05/01/2025 15:10:20.716</v>
      </c>
      <c r="C2095" t="str">
        <f t="shared" si="812"/>
        <v>FFDFD3C0</v>
      </c>
      <c r="D2095" t="s">
        <v>145</v>
      </c>
      <c r="E2095" t="str">
        <f>"09"</f>
        <v>09</v>
      </c>
      <c r="H2095">
        <v>51</v>
      </c>
      <c r="I2095" t="s">
        <v>147</v>
      </c>
      <c r="J2095" t="s">
        <v>138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R2095" t="s">
        <v>127</v>
      </c>
      <c r="S2095" t="str">
        <f t="shared" si="828"/>
        <v>15:10:20.000</v>
      </c>
      <c r="T2095" t="str">
        <f t="shared" si="828"/>
        <v>15:10:20.000</v>
      </c>
      <c r="U2095" t="str">
        <f t="shared" si="813"/>
        <v>A68FCB</v>
      </c>
      <c r="V2095">
        <v>0</v>
      </c>
      <c r="W2095">
        <v>0</v>
      </c>
      <c r="X2095">
        <v>2</v>
      </c>
      <c r="Y2095">
        <v>0</v>
      </c>
      <c r="AA2095">
        <v>1</v>
      </c>
      <c r="AB2095">
        <v>8</v>
      </c>
      <c r="AC2095">
        <v>3</v>
      </c>
      <c r="AD2095">
        <v>0</v>
      </c>
      <c r="AE2095">
        <v>9</v>
      </c>
      <c r="AF2095" t="s">
        <v>138</v>
      </c>
      <c r="AG2095">
        <v>0</v>
      </c>
      <c r="AH2095">
        <v>3</v>
      </c>
      <c r="AI2095">
        <v>2</v>
      </c>
      <c r="AJ2095">
        <v>0</v>
      </c>
      <c r="AK2095" t="s">
        <v>734</v>
      </c>
      <c r="AL2095">
        <v>39.055923999999997</v>
      </c>
      <c r="AM2095" t="s">
        <v>730</v>
      </c>
      <c r="AN2095">
        <v>-121.041484</v>
      </c>
      <c r="AO2095">
        <v>25</v>
      </c>
      <c r="AP2095">
        <v>4500</v>
      </c>
      <c r="AQ2095" t="s">
        <v>131</v>
      </c>
      <c r="AR2095">
        <v>-1</v>
      </c>
      <c r="AS2095">
        <v>89</v>
      </c>
      <c r="AT2095">
        <v>192</v>
      </c>
      <c r="BB2095" t="str">
        <f t="shared" si="814"/>
        <v>1200</v>
      </c>
      <c r="BC2095">
        <v>1</v>
      </c>
      <c r="BD2095" t="str">
        <f t="shared" si="815"/>
        <v xml:space="preserve">N52156  </v>
      </c>
      <c r="BE2095">
        <v>1</v>
      </c>
      <c r="BG2095">
        <v>0</v>
      </c>
      <c r="BH2095">
        <v>0</v>
      </c>
      <c r="BI2095">
        <v>0</v>
      </c>
      <c r="BJ2095">
        <v>4525</v>
      </c>
      <c r="BK2095">
        <v>25</v>
      </c>
      <c r="BL2095" t="s">
        <v>188</v>
      </c>
      <c r="BM2095">
        <v>1</v>
      </c>
      <c r="BN2095">
        <v>1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 t="shared" si="829"/>
        <v>15:10:20.475</v>
      </c>
      <c r="CF2095">
        <v>475465445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3</v>
      </c>
      <c r="CY2095">
        <v>7</v>
      </c>
      <c r="CZ2095" t="s">
        <v>133</v>
      </c>
      <c r="DA2095">
        <v>275</v>
      </c>
      <c r="DB2095">
        <v>0</v>
      </c>
      <c r="DC2095" t="s">
        <v>134</v>
      </c>
      <c r="DD2095" t="s">
        <v>135</v>
      </c>
      <c r="DG2095">
        <v>3321339</v>
      </c>
      <c r="DI2095">
        <v>1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"05/01/2025 15:10:21.927"</f>
        <v>05/01/2025 15:10:21.927</v>
      </c>
      <c r="C2096" t="str">
        <f t="shared" si="812"/>
        <v>FFDFD3C0</v>
      </c>
      <c r="D2096" t="s">
        <v>143</v>
      </c>
      <c r="E2096" t="str">
        <f>"05"</f>
        <v>05</v>
      </c>
      <c r="H2096">
        <v>172</v>
      </c>
      <c r="I2096" t="s">
        <v>141</v>
      </c>
      <c r="J2096" t="s">
        <v>144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R2096" t="s">
        <v>127</v>
      </c>
      <c r="S2096" t="str">
        <f t="shared" ref="S2096:T2101" si="830">"15:10:21.000"</f>
        <v>15:10:21.000</v>
      </c>
      <c r="T2096" t="str">
        <f t="shared" si="830"/>
        <v>15:10:21.000</v>
      </c>
      <c r="U2096" t="str">
        <f t="shared" si="813"/>
        <v>A68FCB</v>
      </c>
      <c r="V2096">
        <v>0</v>
      </c>
      <c r="W2096">
        <v>0</v>
      </c>
      <c r="X2096">
        <v>2</v>
      </c>
      <c r="Y2096">
        <v>0</v>
      </c>
      <c r="AA2096">
        <v>1</v>
      </c>
      <c r="AB2096">
        <v>8</v>
      </c>
      <c r="AC2096">
        <v>3</v>
      </c>
      <c r="AD2096">
        <v>0</v>
      </c>
      <c r="AE2096">
        <v>9</v>
      </c>
      <c r="AF2096" t="s">
        <v>138</v>
      </c>
      <c r="AG2096">
        <v>0</v>
      </c>
      <c r="AH2096">
        <v>3</v>
      </c>
      <c r="AI2096">
        <v>2</v>
      </c>
      <c r="AJ2096">
        <v>0</v>
      </c>
      <c r="AK2096" t="s">
        <v>735</v>
      </c>
      <c r="AL2096">
        <v>39.056353999999999</v>
      </c>
      <c r="AM2096" t="s">
        <v>730</v>
      </c>
      <c r="AN2096">
        <v>-121.041484</v>
      </c>
      <c r="AO2096">
        <v>25</v>
      </c>
      <c r="AP2096">
        <v>4500</v>
      </c>
      <c r="AQ2096" t="s">
        <v>131</v>
      </c>
      <c r="AR2096">
        <v>-1</v>
      </c>
      <c r="AS2096">
        <v>90</v>
      </c>
      <c r="AT2096">
        <v>128</v>
      </c>
      <c r="BB2096" t="str">
        <f t="shared" si="814"/>
        <v>1200</v>
      </c>
      <c r="BC2096">
        <v>1</v>
      </c>
      <c r="BD2096" t="str">
        <f t="shared" si="815"/>
        <v xml:space="preserve">N52156  </v>
      </c>
      <c r="BE2096">
        <v>1</v>
      </c>
      <c r="BG2096">
        <v>0</v>
      </c>
      <c r="BH2096">
        <v>0</v>
      </c>
      <c r="BI2096">
        <v>0</v>
      </c>
      <c r="BJ2096">
        <v>4525</v>
      </c>
      <c r="BK2096">
        <v>25</v>
      </c>
      <c r="BL2096" t="s">
        <v>188</v>
      </c>
      <c r="BM2096">
        <v>1</v>
      </c>
      <c r="BN2096">
        <v>1</v>
      </c>
      <c r="BO2096">
        <v>0</v>
      </c>
      <c r="BP2096">
        <v>0</v>
      </c>
      <c r="BS2096">
        <v>0</v>
      </c>
      <c r="BT2096">
        <v>0</v>
      </c>
      <c r="BU2096">
        <v>0</v>
      </c>
      <c r="CE2096" t="str">
        <f t="shared" ref="CE2096:CE2101" si="831">"15:10:21.712"</f>
        <v>15:10:21.712</v>
      </c>
      <c r="CF2096">
        <v>711966087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3</v>
      </c>
      <c r="CY2096">
        <v>7</v>
      </c>
      <c r="CZ2096" t="s">
        <v>133</v>
      </c>
      <c r="DA2096">
        <v>275</v>
      </c>
      <c r="DB2096">
        <v>0</v>
      </c>
      <c r="DC2096" t="s">
        <v>134</v>
      </c>
      <c r="DD2096" t="s">
        <v>135</v>
      </c>
      <c r="DG2096">
        <v>3321349</v>
      </c>
      <c r="DI2096">
        <v>1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"05/01/2025 15:10:21.952"</f>
        <v>05/01/2025 15:10:21.952</v>
      </c>
      <c r="C2097" t="str">
        <f t="shared" si="812"/>
        <v>FFDFD3C0</v>
      </c>
      <c r="D2097" t="s">
        <v>140</v>
      </c>
      <c r="E2097" t="str">
        <f>"13"</f>
        <v>13</v>
      </c>
      <c r="F2097">
        <v>1019</v>
      </c>
      <c r="G2097" t="s">
        <v>141</v>
      </c>
      <c r="J2097" t="s">
        <v>142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R2097" t="s">
        <v>127</v>
      </c>
      <c r="S2097" t="str">
        <f t="shared" si="830"/>
        <v>15:10:21.000</v>
      </c>
      <c r="T2097" t="str">
        <f t="shared" si="830"/>
        <v>15:10:21.000</v>
      </c>
      <c r="U2097" t="str">
        <f t="shared" si="813"/>
        <v>A68FCB</v>
      </c>
      <c r="V2097">
        <v>0</v>
      </c>
      <c r="W2097">
        <v>0</v>
      </c>
      <c r="X2097">
        <v>2</v>
      </c>
      <c r="Y2097">
        <v>0</v>
      </c>
      <c r="AA2097">
        <v>1</v>
      </c>
      <c r="AB2097">
        <v>8</v>
      </c>
      <c r="AC2097">
        <v>3</v>
      </c>
      <c r="AD2097">
        <v>0</v>
      </c>
      <c r="AE2097">
        <v>9</v>
      </c>
      <c r="AF2097" t="s">
        <v>138</v>
      </c>
      <c r="AG2097">
        <v>0</v>
      </c>
      <c r="AH2097">
        <v>3</v>
      </c>
      <c r="AI2097">
        <v>2</v>
      </c>
      <c r="AJ2097">
        <v>0</v>
      </c>
      <c r="AK2097" t="s">
        <v>735</v>
      </c>
      <c r="AL2097">
        <v>39.056353999999999</v>
      </c>
      <c r="AM2097" t="s">
        <v>730</v>
      </c>
      <c r="AN2097">
        <v>-121.041484</v>
      </c>
      <c r="AO2097">
        <v>25</v>
      </c>
      <c r="AP2097">
        <v>4500</v>
      </c>
      <c r="AQ2097" t="s">
        <v>131</v>
      </c>
      <c r="AR2097">
        <v>-1</v>
      </c>
      <c r="AS2097">
        <v>90</v>
      </c>
      <c r="AT2097">
        <v>128</v>
      </c>
      <c r="BB2097" t="str">
        <f t="shared" si="814"/>
        <v>1200</v>
      </c>
      <c r="BC2097">
        <v>1</v>
      </c>
      <c r="BD2097" t="str">
        <f t="shared" si="815"/>
        <v xml:space="preserve">N52156  </v>
      </c>
      <c r="BE2097">
        <v>1</v>
      </c>
      <c r="BG2097">
        <v>0</v>
      </c>
      <c r="BH2097">
        <v>0</v>
      </c>
      <c r="BI2097">
        <v>0</v>
      </c>
      <c r="BJ2097">
        <v>4525</v>
      </c>
      <c r="BK2097">
        <v>25</v>
      </c>
      <c r="BL2097" t="s">
        <v>188</v>
      </c>
      <c r="BM2097">
        <v>1</v>
      </c>
      <c r="BN2097">
        <v>1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 t="shared" si="831"/>
        <v>15:10:21.712</v>
      </c>
      <c r="CF2097">
        <v>711966087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3</v>
      </c>
      <c r="CY2097">
        <v>7</v>
      </c>
      <c r="CZ2097" t="s">
        <v>133</v>
      </c>
      <c r="DA2097">
        <v>275</v>
      </c>
      <c r="DB2097">
        <v>0</v>
      </c>
      <c r="DC2097" t="s">
        <v>134</v>
      </c>
      <c r="DD2097" t="s">
        <v>135</v>
      </c>
      <c r="DG2097">
        <v>3321349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"05/01/2025 15:10:21.962"</f>
        <v>05/01/2025 15:10:21.962</v>
      </c>
      <c r="C2098" t="str">
        <f t="shared" si="812"/>
        <v>FFDFD3C0</v>
      </c>
      <c r="D2098" t="s">
        <v>124</v>
      </c>
      <c r="E2098" t="str">
        <f>"06"</f>
        <v>06</v>
      </c>
      <c r="F2098">
        <v>2006</v>
      </c>
      <c r="G2098" t="s">
        <v>125</v>
      </c>
      <c r="J2098" t="s">
        <v>126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R2098" t="s">
        <v>127</v>
      </c>
      <c r="S2098" t="str">
        <f t="shared" si="830"/>
        <v>15:10:21.000</v>
      </c>
      <c r="T2098" t="str">
        <f t="shared" si="830"/>
        <v>15:10:21.000</v>
      </c>
      <c r="U2098" t="str">
        <f t="shared" si="813"/>
        <v>A68FCB</v>
      </c>
      <c r="V2098">
        <v>0</v>
      </c>
      <c r="W2098">
        <v>0</v>
      </c>
      <c r="X2098">
        <v>2</v>
      </c>
      <c r="Y2098">
        <v>0</v>
      </c>
      <c r="AA2098">
        <v>1</v>
      </c>
      <c r="AB2098">
        <v>8</v>
      </c>
      <c r="AC2098">
        <v>3</v>
      </c>
      <c r="AD2098">
        <v>0</v>
      </c>
      <c r="AE2098">
        <v>9</v>
      </c>
      <c r="AF2098" t="s">
        <v>138</v>
      </c>
      <c r="AG2098">
        <v>0</v>
      </c>
      <c r="AH2098">
        <v>3</v>
      </c>
      <c r="AI2098">
        <v>2</v>
      </c>
      <c r="AJ2098">
        <v>0</v>
      </c>
      <c r="AK2098" t="s">
        <v>735</v>
      </c>
      <c r="AL2098">
        <v>39.056353999999999</v>
      </c>
      <c r="AM2098" t="s">
        <v>730</v>
      </c>
      <c r="AN2098">
        <v>-121.041484</v>
      </c>
      <c r="AO2098">
        <v>25</v>
      </c>
      <c r="AP2098">
        <v>4500</v>
      </c>
      <c r="AQ2098" t="s">
        <v>131</v>
      </c>
      <c r="AR2098">
        <v>-1</v>
      </c>
      <c r="AS2098">
        <v>90</v>
      </c>
      <c r="AT2098">
        <v>128</v>
      </c>
      <c r="BB2098" t="str">
        <f t="shared" si="814"/>
        <v>1200</v>
      </c>
      <c r="BC2098">
        <v>1</v>
      </c>
      <c r="BD2098" t="str">
        <f t="shared" si="815"/>
        <v xml:space="preserve">N52156  </v>
      </c>
      <c r="BE2098">
        <v>1</v>
      </c>
      <c r="BG2098">
        <v>0</v>
      </c>
      <c r="BH2098">
        <v>0</v>
      </c>
      <c r="BI2098">
        <v>0</v>
      </c>
      <c r="BJ2098">
        <v>4525</v>
      </c>
      <c r="BK2098">
        <v>25</v>
      </c>
      <c r="BL2098" t="s">
        <v>188</v>
      </c>
      <c r="BM2098">
        <v>1</v>
      </c>
      <c r="BN2098">
        <v>1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 t="shared" si="831"/>
        <v>15:10:21.712</v>
      </c>
      <c r="CF2098">
        <v>711966087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3</v>
      </c>
      <c r="CY2098">
        <v>7</v>
      </c>
      <c r="CZ2098" t="s">
        <v>133</v>
      </c>
      <c r="DA2098">
        <v>275</v>
      </c>
      <c r="DB2098">
        <v>0</v>
      </c>
      <c r="DC2098" t="s">
        <v>134</v>
      </c>
      <c r="DD2098" t="s">
        <v>135</v>
      </c>
      <c r="DG2098">
        <v>3321349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"05/01/2025 15:10:21.968"</f>
        <v>05/01/2025 15:10:21.968</v>
      </c>
      <c r="C2099" t="str">
        <f t="shared" si="812"/>
        <v>FFDFD3C0</v>
      </c>
      <c r="D2099" t="s">
        <v>145</v>
      </c>
      <c r="E2099" t="str">
        <f>"09"</f>
        <v>09</v>
      </c>
      <c r="H2099">
        <v>51</v>
      </c>
      <c r="I2099" t="s">
        <v>147</v>
      </c>
      <c r="J2099" t="s">
        <v>138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R2099" t="s">
        <v>127</v>
      </c>
      <c r="S2099" t="str">
        <f t="shared" si="830"/>
        <v>15:10:21.000</v>
      </c>
      <c r="T2099" t="str">
        <f t="shared" si="830"/>
        <v>15:10:21.000</v>
      </c>
      <c r="U2099" t="str">
        <f t="shared" si="813"/>
        <v>A68FCB</v>
      </c>
      <c r="V2099">
        <v>0</v>
      </c>
      <c r="W2099">
        <v>0</v>
      </c>
      <c r="X2099">
        <v>2</v>
      </c>
      <c r="Y2099">
        <v>0</v>
      </c>
      <c r="AA2099">
        <v>1</v>
      </c>
      <c r="AB2099">
        <v>8</v>
      </c>
      <c r="AC2099">
        <v>3</v>
      </c>
      <c r="AD2099">
        <v>0</v>
      </c>
      <c r="AE2099">
        <v>9</v>
      </c>
      <c r="AF2099" t="s">
        <v>138</v>
      </c>
      <c r="AG2099">
        <v>0</v>
      </c>
      <c r="AH2099">
        <v>3</v>
      </c>
      <c r="AI2099">
        <v>2</v>
      </c>
      <c r="AJ2099">
        <v>0</v>
      </c>
      <c r="AK2099" t="s">
        <v>735</v>
      </c>
      <c r="AL2099">
        <v>39.056353999999999</v>
      </c>
      <c r="AM2099" t="s">
        <v>730</v>
      </c>
      <c r="AN2099">
        <v>-121.041484</v>
      </c>
      <c r="AO2099">
        <v>25</v>
      </c>
      <c r="AP2099">
        <v>4500</v>
      </c>
      <c r="AQ2099" t="s">
        <v>131</v>
      </c>
      <c r="AR2099">
        <v>-1</v>
      </c>
      <c r="AS2099">
        <v>90</v>
      </c>
      <c r="AT2099">
        <v>128</v>
      </c>
      <c r="BB2099" t="str">
        <f t="shared" si="814"/>
        <v>1200</v>
      </c>
      <c r="BC2099">
        <v>1</v>
      </c>
      <c r="BD2099" t="str">
        <f t="shared" si="815"/>
        <v xml:space="preserve">N52156  </v>
      </c>
      <c r="BE2099">
        <v>1</v>
      </c>
      <c r="BG2099">
        <v>0</v>
      </c>
      <c r="BH2099">
        <v>0</v>
      </c>
      <c r="BI2099">
        <v>0</v>
      </c>
      <c r="BJ2099">
        <v>4525</v>
      </c>
      <c r="BK2099">
        <v>25</v>
      </c>
      <c r="BL2099" t="s">
        <v>188</v>
      </c>
      <c r="BM2099">
        <v>1</v>
      </c>
      <c r="BN2099">
        <v>1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 t="shared" si="831"/>
        <v>15:10:21.712</v>
      </c>
      <c r="CF2099">
        <v>711966087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3</v>
      </c>
      <c r="CY2099">
        <v>7</v>
      </c>
      <c r="CZ2099" t="s">
        <v>133</v>
      </c>
      <c r="DA2099">
        <v>275</v>
      </c>
      <c r="DB2099">
        <v>0</v>
      </c>
      <c r="DC2099" t="s">
        <v>134</v>
      </c>
      <c r="DD2099" t="s">
        <v>135</v>
      </c>
      <c r="DG2099">
        <v>3321349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"05/01/2025 15:10:21.965"</f>
        <v>05/01/2025 15:10:21.965</v>
      </c>
      <c r="C2100" t="str">
        <f t="shared" si="812"/>
        <v>FFDFD3C0</v>
      </c>
      <c r="D2100" t="s">
        <v>145</v>
      </c>
      <c r="E2100" t="str">
        <f>"05"</f>
        <v>05</v>
      </c>
      <c r="H2100">
        <v>47</v>
      </c>
      <c r="I2100" t="s">
        <v>146</v>
      </c>
      <c r="J2100" t="s">
        <v>138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R2100" t="s">
        <v>127</v>
      </c>
      <c r="S2100" t="str">
        <f t="shared" si="830"/>
        <v>15:10:21.000</v>
      </c>
      <c r="T2100" t="str">
        <f t="shared" si="830"/>
        <v>15:10:21.000</v>
      </c>
      <c r="U2100" t="str">
        <f t="shared" si="813"/>
        <v>A68FCB</v>
      </c>
      <c r="V2100">
        <v>0</v>
      </c>
      <c r="W2100">
        <v>0</v>
      </c>
      <c r="X2100">
        <v>2</v>
      </c>
      <c r="Y2100">
        <v>0</v>
      </c>
      <c r="AA2100">
        <v>1</v>
      </c>
      <c r="AB2100">
        <v>8</v>
      </c>
      <c r="AC2100">
        <v>3</v>
      </c>
      <c r="AD2100">
        <v>0</v>
      </c>
      <c r="AE2100">
        <v>9</v>
      </c>
      <c r="AF2100" t="s">
        <v>138</v>
      </c>
      <c r="AG2100">
        <v>0</v>
      </c>
      <c r="AH2100">
        <v>3</v>
      </c>
      <c r="AI2100">
        <v>2</v>
      </c>
      <c r="AJ2100">
        <v>0</v>
      </c>
      <c r="AK2100" t="s">
        <v>735</v>
      </c>
      <c r="AL2100">
        <v>39.056353999999999</v>
      </c>
      <c r="AM2100" t="s">
        <v>730</v>
      </c>
      <c r="AN2100">
        <v>-121.041484</v>
      </c>
      <c r="AO2100">
        <v>25</v>
      </c>
      <c r="AP2100">
        <v>4500</v>
      </c>
      <c r="AQ2100" t="s">
        <v>131</v>
      </c>
      <c r="AR2100">
        <v>-1</v>
      </c>
      <c r="AS2100">
        <v>90</v>
      </c>
      <c r="AT2100">
        <v>128</v>
      </c>
      <c r="BB2100" t="str">
        <f t="shared" si="814"/>
        <v>1200</v>
      </c>
      <c r="BC2100">
        <v>1</v>
      </c>
      <c r="BD2100" t="str">
        <f t="shared" si="815"/>
        <v xml:space="preserve">N52156  </v>
      </c>
      <c r="BE2100">
        <v>1</v>
      </c>
      <c r="BG2100">
        <v>0</v>
      </c>
      <c r="BH2100">
        <v>0</v>
      </c>
      <c r="BI2100">
        <v>0</v>
      </c>
      <c r="BJ2100">
        <v>4525</v>
      </c>
      <c r="BK2100">
        <v>25</v>
      </c>
      <c r="BL2100" t="s">
        <v>188</v>
      </c>
      <c r="BM2100">
        <v>1</v>
      </c>
      <c r="BN2100">
        <v>1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 t="shared" si="831"/>
        <v>15:10:21.712</v>
      </c>
      <c r="CF2100">
        <v>711966087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3</v>
      </c>
      <c r="CY2100">
        <v>7</v>
      </c>
      <c r="CZ2100" t="s">
        <v>133</v>
      </c>
      <c r="DA2100">
        <v>275</v>
      </c>
      <c r="DB2100">
        <v>0</v>
      </c>
      <c r="DC2100" t="s">
        <v>134</v>
      </c>
      <c r="DD2100" t="s">
        <v>135</v>
      </c>
      <c r="DG2100">
        <v>3321349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"05/01/2025 15:10:21.975"</f>
        <v>05/01/2025 15:10:21.975</v>
      </c>
      <c r="C2101" t="str">
        <f t="shared" si="812"/>
        <v>FFDFD3C0</v>
      </c>
      <c r="D2101" t="s">
        <v>136</v>
      </c>
      <c r="E2101" t="str">
        <f>"20"</f>
        <v>20</v>
      </c>
      <c r="H2101">
        <v>400</v>
      </c>
      <c r="I2101" t="s">
        <v>137</v>
      </c>
      <c r="J2101" t="s">
        <v>138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R2101" t="s">
        <v>127</v>
      </c>
      <c r="S2101" t="str">
        <f t="shared" si="830"/>
        <v>15:10:21.000</v>
      </c>
      <c r="T2101" t="str">
        <f t="shared" si="830"/>
        <v>15:10:21.000</v>
      </c>
      <c r="U2101" t="str">
        <f t="shared" si="813"/>
        <v>A68FCB</v>
      </c>
      <c r="V2101">
        <v>0</v>
      </c>
      <c r="W2101">
        <v>0</v>
      </c>
      <c r="X2101">
        <v>2</v>
      </c>
      <c r="Y2101">
        <v>0</v>
      </c>
      <c r="AA2101">
        <v>1</v>
      </c>
      <c r="AB2101">
        <v>8</v>
      </c>
      <c r="AC2101">
        <v>3</v>
      </c>
      <c r="AD2101">
        <v>0</v>
      </c>
      <c r="AE2101">
        <v>9</v>
      </c>
      <c r="AF2101" t="s">
        <v>138</v>
      </c>
      <c r="AG2101">
        <v>0</v>
      </c>
      <c r="AH2101">
        <v>3</v>
      </c>
      <c r="AI2101">
        <v>2</v>
      </c>
      <c r="AJ2101">
        <v>0</v>
      </c>
      <c r="AK2101" t="s">
        <v>735</v>
      </c>
      <c r="AL2101">
        <v>39.056353999999999</v>
      </c>
      <c r="AM2101" t="s">
        <v>730</v>
      </c>
      <c r="AN2101">
        <v>-121.041484</v>
      </c>
      <c r="AO2101">
        <v>25</v>
      </c>
      <c r="AP2101">
        <v>4500</v>
      </c>
      <c r="AQ2101" t="s">
        <v>131</v>
      </c>
      <c r="AR2101">
        <v>-1</v>
      </c>
      <c r="AS2101">
        <v>90</v>
      </c>
      <c r="AT2101">
        <v>128</v>
      </c>
      <c r="BB2101" t="str">
        <f t="shared" si="814"/>
        <v>1200</v>
      </c>
      <c r="BC2101">
        <v>1</v>
      </c>
      <c r="BD2101" t="str">
        <f t="shared" si="815"/>
        <v xml:space="preserve">N52156  </v>
      </c>
      <c r="BE2101">
        <v>1</v>
      </c>
      <c r="BG2101">
        <v>0</v>
      </c>
      <c r="BH2101">
        <v>0</v>
      </c>
      <c r="BI2101">
        <v>0</v>
      </c>
      <c r="BJ2101">
        <v>4525</v>
      </c>
      <c r="BK2101">
        <v>25</v>
      </c>
      <c r="BL2101" t="s">
        <v>188</v>
      </c>
      <c r="BM2101">
        <v>1</v>
      </c>
      <c r="BN2101">
        <v>1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 t="shared" si="831"/>
        <v>15:10:21.712</v>
      </c>
      <c r="CF2101">
        <v>711966087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3</v>
      </c>
      <c r="CY2101">
        <v>7</v>
      </c>
      <c r="CZ2101" t="s">
        <v>133</v>
      </c>
      <c r="DA2101">
        <v>275</v>
      </c>
      <c r="DB2101">
        <v>0</v>
      </c>
      <c r="DC2101" t="s">
        <v>134</v>
      </c>
      <c r="DD2101" t="s">
        <v>135</v>
      </c>
      <c r="DG2101">
        <v>3321349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"05/01/2025 15:10:23.104"</f>
        <v>05/01/2025 15:10:23.104</v>
      </c>
      <c r="C2102" t="str">
        <f t="shared" si="812"/>
        <v>FFDFD3C0</v>
      </c>
      <c r="D2102" t="s">
        <v>140</v>
      </c>
      <c r="E2102" t="str">
        <f>"13"</f>
        <v>13</v>
      </c>
      <c r="F2102">
        <v>1019</v>
      </c>
      <c r="G2102" t="s">
        <v>141</v>
      </c>
      <c r="J2102" t="s">
        <v>142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R2102" t="s">
        <v>127</v>
      </c>
      <c r="S2102" t="str">
        <f t="shared" ref="S2102:T2107" si="832">"15:10:22.000"</f>
        <v>15:10:22.000</v>
      </c>
      <c r="T2102" t="str">
        <f t="shared" si="832"/>
        <v>15:10:22.000</v>
      </c>
      <c r="U2102" t="str">
        <f t="shared" si="813"/>
        <v>A68FCB</v>
      </c>
      <c r="V2102">
        <v>0</v>
      </c>
      <c r="W2102">
        <v>0</v>
      </c>
      <c r="X2102">
        <v>2</v>
      </c>
      <c r="Y2102">
        <v>0</v>
      </c>
      <c r="AA2102">
        <v>1</v>
      </c>
      <c r="AB2102">
        <v>8</v>
      </c>
      <c r="AC2102">
        <v>3</v>
      </c>
      <c r="AD2102">
        <v>0</v>
      </c>
      <c r="AE2102">
        <v>9</v>
      </c>
      <c r="AF2102" t="s">
        <v>138</v>
      </c>
      <c r="AG2102">
        <v>0</v>
      </c>
      <c r="AH2102">
        <v>3</v>
      </c>
      <c r="AI2102">
        <v>2</v>
      </c>
      <c r="AJ2102">
        <v>0</v>
      </c>
      <c r="AK2102" t="s">
        <v>736</v>
      </c>
      <c r="AL2102">
        <v>39.056761000000002</v>
      </c>
      <c r="AM2102" t="s">
        <v>727</v>
      </c>
      <c r="AN2102">
        <v>-121.041505</v>
      </c>
      <c r="AO2102">
        <v>25</v>
      </c>
      <c r="AP2102">
        <v>4500</v>
      </c>
      <c r="AQ2102" t="s">
        <v>131</v>
      </c>
      <c r="AR2102">
        <v>-1</v>
      </c>
      <c r="AS2102">
        <v>90</v>
      </c>
      <c r="AT2102">
        <v>64</v>
      </c>
      <c r="BB2102" t="str">
        <f t="shared" si="814"/>
        <v>1200</v>
      </c>
      <c r="BC2102">
        <v>1</v>
      </c>
      <c r="BD2102" t="str">
        <f t="shared" si="815"/>
        <v xml:space="preserve">N52156  </v>
      </c>
      <c r="BE2102">
        <v>1</v>
      </c>
      <c r="BG2102">
        <v>0</v>
      </c>
      <c r="BH2102">
        <v>0</v>
      </c>
      <c r="BI2102">
        <v>0</v>
      </c>
      <c r="BJ2102">
        <v>4525</v>
      </c>
      <c r="BK2102">
        <v>25</v>
      </c>
      <c r="BL2102" t="s">
        <v>188</v>
      </c>
      <c r="BM2102">
        <v>1</v>
      </c>
      <c r="BN2102">
        <v>1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 t="shared" ref="CE2102:CE2107" si="833">"15:10:22.900"</f>
        <v>15:10:22.900</v>
      </c>
      <c r="CF2102">
        <v>900216632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3</v>
      </c>
      <c r="CY2102">
        <v>7</v>
      </c>
      <c r="CZ2102" t="s">
        <v>133</v>
      </c>
      <c r="DA2102">
        <v>275</v>
      </c>
      <c r="DB2102">
        <v>0</v>
      </c>
      <c r="DC2102" t="s">
        <v>134</v>
      </c>
      <c r="DD2102" t="s">
        <v>135</v>
      </c>
      <c r="DG2102">
        <v>3321358</v>
      </c>
      <c r="DI2102">
        <v>1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"05/01/2025 15:10:23.113"</f>
        <v>05/01/2025 15:10:23.113</v>
      </c>
      <c r="C2103" t="str">
        <f t="shared" si="812"/>
        <v>FFDFD3C0</v>
      </c>
      <c r="D2103" t="s">
        <v>124</v>
      </c>
      <c r="E2103" t="str">
        <f>"06"</f>
        <v>06</v>
      </c>
      <c r="F2103">
        <v>2006</v>
      </c>
      <c r="G2103" t="s">
        <v>125</v>
      </c>
      <c r="J2103" t="s">
        <v>126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R2103" t="s">
        <v>127</v>
      </c>
      <c r="S2103" t="str">
        <f t="shared" si="832"/>
        <v>15:10:22.000</v>
      </c>
      <c r="T2103" t="str">
        <f t="shared" si="832"/>
        <v>15:10:22.000</v>
      </c>
      <c r="U2103" t="str">
        <f t="shared" si="813"/>
        <v>A68FCB</v>
      </c>
      <c r="V2103">
        <v>0</v>
      </c>
      <c r="W2103">
        <v>0</v>
      </c>
      <c r="X2103">
        <v>2</v>
      </c>
      <c r="Y2103">
        <v>0</v>
      </c>
      <c r="AA2103">
        <v>1</v>
      </c>
      <c r="AB2103">
        <v>8</v>
      </c>
      <c r="AC2103">
        <v>3</v>
      </c>
      <c r="AD2103">
        <v>0</v>
      </c>
      <c r="AE2103">
        <v>9</v>
      </c>
      <c r="AF2103" t="s">
        <v>138</v>
      </c>
      <c r="AG2103">
        <v>0</v>
      </c>
      <c r="AH2103">
        <v>3</v>
      </c>
      <c r="AI2103">
        <v>2</v>
      </c>
      <c r="AJ2103">
        <v>0</v>
      </c>
      <c r="AK2103" t="s">
        <v>736</v>
      </c>
      <c r="AL2103">
        <v>39.056761000000002</v>
      </c>
      <c r="AM2103" t="s">
        <v>727</v>
      </c>
      <c r="AN2103">
        <v>-121.041505</v>
      </c>
      <c r="AO2103">
        <v>25</v>
      </c>
      <c r="AP2103">
        <v>4500</v>
      </c>
      <c r="AQ2103" t="s">
        <v>131</v>
      </c>
      <c r="AR2103">
        <v>-1</v>
      </c>
      <c r="AS2103">
        <v>90</v>
      </c>
      <c r="AT2103">
        <v>64</v>
      </c>
      <c r="BB2103" t="str">
        <f t="shared" si="814"/>
        <v>1200</v>
      </c>
      <c r="BC2103">
        <v>1</v>
      </c>
      <c r="BD2103" t="str">
        <f t="shared" si="815"/>
        <v xml:space="preserve">N52156  </v>
      </c>
      <c r="BE2103">
        <v>1</v>
      </c>
      <c r="BG2103">
        <v>0</v>
      </c>
      <c r="BH2103">
        <v>0</v>
      </c>
      <c r="BI2103">
        <v>0</v>
      </c>
      <c r="BJ2103">
        <v>4525</v>
      </c>
      <c r="BK2103">
        <v>25</v>
      </c>
      <c r="BL2103" t="s">
        <v>188</v>
      </c>
      <c r="BM2103">
        <v>1</v>
      </c>
      <c r="BN2103">
        <v>1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 t="shared" si="833"/>
        <v>15:10:22.900</v>
      </c>
      <c r="CF2103">
        <v>900216632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3</v>
      </c>
      <c r="CY2103">
        <v>7</v>
      </c>
      <c r="CZ2103" t="s">
        <v>133</v>
      </c>
      <c r="DA2103">
        <v>275</v>
      </c>
      <c r="DB2103">
        <v>0</v>
      </c>
      <c r="DC2103" t="s">
        <v>134</v>
      </c>
      <c r="DD2103" t="s">
        <v>135</v>
      </c>
      <c r="DG2103">
        <v>3321358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"05/01/2025 15:10:23.117"</f>
        <v>05/01/2025 15:10:23.117</v>
      </c>
      <c r="C2104" t="str">
        <f t="shared" si="812"/>
        <v>FFDFD3C0</v>
      </c>
      <c r="D2104" t="s">
        <v>145</v>
      </c>
      <c r="E2104" t="str">
        <f>"05"</f>
        <v>05</v>
      </c>
      <c r="H2104">
        <v>47</v>
      </c>
      <c r="I2104" t="s">
        <v>146</v>
      </c>
      <c r="J2104" t="s">
        <v>138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R2104" t="s">
        <v>127</v>
      </c>
      <c r="S2104" t="str">
        <f t="shared" si="832"/>
        <v>15:10:22.000</v>
      </c>
      <c r="T2104" t="str">
        <f t="shared" si="832"/>
        <v>15:10:22.000</v>
      </c>
      <c r="U2104" t="str">
        <f t="shared" si="813"/>
        <v>A68FCB</v>
      </c>
      <c r="V2104">
        <v>0</v>
      </c>
      <c r="W2104">
        <v>0</v>
      </c>
      <c r="X2104">
        <v>2</v>
      </c>
      <c r="Y2104">
        <v>0</v>
      </c>
      <c r="AA2104">
        <v>1</v>
      </c>
      <c r="AB2104">
        <v>8</v>
      </c>
      <c r="AC2104">
        <v>3</v>
      </c>
      <c r="AD2104">
        <v>0</v>
      </c>
      <c r="AE2104">
        <v>9</v>
      </c>
      <c r="AF2104" t="s">
        <v>138</v>
      </c>
      <c r="AG2104">
        <v>0</v>
      </c>
      <c r="AH2104">
        <v>3</v>
      </c>
      <c r="AI2104">
        <v>2</v>
      </c>
      <c r="AJ2104">
        <v>0</v>
      </c>
      <c r="AK2104" t="s">
        <v>736</v>
      </c>
      <c r="AL2104">
        <v>39.056761000000002</v>
      </c>
      <c r="AM2104" t="s">
        <v>727</v>
      </c>
      <c r="AN2104">
        <v>-121.041505</v>
      </c>
      <c r="AO2104">
        <v>25</v>
      </c>
      <c r="AP2104">
        <v>4500</v>
      </c>
      <c r="AQ2104" t="s">
        <v>131</v>
      </c>
      <c r="AR2104">
        <v>-1</v>
      </c>
      <c r="AS2104">
        <v>90</v>
      </c>
      <c r="AT2104">
        <v>64</v>
      </c>
      <c r="BB2104" t="str">
        <f t="shared" si="814"/>
        <v>1200</v>
      </c>
      <c r="BC2104">
        <v>1</v>
      </c>
      <c r="BD2104" t="str">
        <f t="shared" si="815"/>
        <v xml:space="preserve">N52156  </v>
      </c>
      <c r="BE2104">
        <v>1</v>
      </c>
      <c r="BG2104">
        <v>0</v>
      </c>
      <c r="BH2104">
        <v>0</v>
      </c>
      <c r="BI2104">
        <v>0</v>
      </c>
      <c r="BJ2104">
        <v>4525</v>
      </c>
      <c r="BK2104">
        <v>25</v>
      </c>
      <c r="BL2104" t="s">
        <v>188</v>
      </c>
      <c r="BM2104">
        <v>1</v>
      </c>
      <c r="BN2104">
        <v>1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 t="shared" si="833"/>
        <v>15:10:22.900</v>
      </c>
      <c r="CF2104">
        <v>900216632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3</v>
      </c>
      <c r="CY2104">
        <v>7</v>
      </c>
      <c r="CZ2104" t="s">
        <v>133</v>
      </c>
      <c r="DA2104">
        <v>275</v>
      </c>
      <c r="DB2104">
        <v>0</v>
      </c>
      <c r="DC2104" t="s">
        <v>134</v>
      </c>
      <c r="DD2104" t="s">
        <v>135</v>
      </c>
      <c r="DG2104">
        <v>3321358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"05/01/2025 15:10:23.120"</f>
        <v>05/01/2025 15:10:23.120</v>
      </c>
      <c r="C2105" t="str">
        <f t="shared" si="812"/>
        <v>FFDFD3C0</v>
      </c>
      <c r="D2105" t="s">
        <v>145</v>
      </c>
      <c r="E2105" t="str">
        <f>"09"</f>
        <v>09</v>
      </c>
      <c r="H2105">
        <v>51</v>
      </c>
      <c r="I2105" t="s">
        <v>147</v>
      </c>
      <c r="J2105" t="s">
        <v>138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R2105" t="s">
        <v>127</v>
      </c>
      <c r="S2105" t="str">
        <f t="shared" si="832"/>
        <v>15:10:22.000</v>
      </c>
      <c r="T2105" t="str">
        <f t="shared" si="832"/>
        <v>15:10:22.000</v>
      </c>
      <c r="U2105" t="str">
        <f t="shared" si="813"/>
        <v>A68FCB</v>
      </c>
      <c r="V2105">
        <v>0</v>
      </c>
      <c r="W2105">
        <v>0</v>
      </c>
      <c r="X2105">
        <v>2</v>
      </c>
      <c r="Y2105">
        <v>0</v>
      </c>
      <c r="AA2105">
        <v>1</v>
      </c>
      <c r="AB2105">
        <v>8</v>
      </c>
      <c r="AC2105">
        <v>3</v>
      </c>
      <c r="AD2105">
        <v>0</v>
      </c>
      <c r="AE2105">
        <v>9</v>
      </c>
      <c r="AF2105" t="s">
        <v>138</v>
      </c>
      <c r="AG2105">
        <v>0</v>
      </c>
      <c r="AH2105">
        <v>3</v>
      </c>
      <c r="AI2105">
        <v>2</v>
      </c>
      <c r="AJ2105">
        <v>0</v>
      </c>
      <c r="AK2105" t="s">
        <v>736</v>
      </c>
      <c r="AL2105">
        <v>39.056761000000002</v>
      </c>
      <c r="AM2105" t="s">
        <v>727</v>
      </c>
      <c r="AN2105">
        <v>-121.041505</v>
      </c>
      <c r="AO2105">
        <v>25</v>
      </c>
      <c r="AP2105">
        <v>4500</v>
      </c>
      <c r="AQ2105" t="s">
        <v>131</v>
      </c>
      <c r="AR2105">
        <v>-1</v>
      </c>
      <c r="AS2105">
        <v>90</v>
      </c>
      <c r="AT2105">
        <v>64</v>
      </c>
      <c r="BB2105" t="str">
        <f t="shared" si="814"/>
        <v>1200</v>
      </c>
      <c r="BC2105">
        <v>1</v>
      </c>
      <c r="BD2105" t="str">
        <f t="shared" si="815"/>
        <v xml:space="preserve">N52156  </v>
      </c>
      <c r="BE2105">
        <v>1</v>
      </c>
      <c r="BG2105">
        <v>0</v>
      </c>
      <c r="BH2105">
        <v>0</v>
      </c>
      <c r="BI2105">
        <v>0</v>
      </c>
      <c r="BJ2105">
        <v>4525</v>
      </c>
      <c r="BK2105">
        <v>25</v>
      </c>
      <c r="BL2105" t="s">
        <v>188</v>
      </c>
      <c r="BM2105">
        <v>1</v>
      </c>
      <c r="BN2105">
        <v>1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 t="shared" si="833"/>
        <v>15:10:22.900</v>
      </c>
      <c r="CF2105">
        <v>900216632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3</v>
      </c>
      <c r="CY2105">
        <v>7</v>
      </c>
      <c r="CZ2105" t="s">
        <v>133</v>
      </c>
      <c r="DA2105">
        <v>275</v>
      </c>
      <c r="DB2105">
        <v>0</v>
      </c>
      <c r="DC2105" t="s">
        <v>134</v>
      </c>
      <c r="DD2105" t="s">
        <v>135</v>
      </c>
      <c r="DG2105">
        <v>3321358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"05/01/2025 15:10:23.127"</f>
        <v>05/01/2025 15:10:23.127</v>
      </c>
      <c r="C2106" t="str">
        <f t="shared" si="812"/>
        <v>FFDFD3C0</v>
      </c>
      <c r="D2106" t="s">
        <v>136</v>
      </c>
      <c r="E2106" t="str">
        <f>"20"</f>
        <v>20</v>
      </c>
      <c r="H2106">
        <v>400</v>
      </c>
      <c r="I2106" t="s">
        <v>137</v>
      </c>
      <c r="J2106" t="s">
        <v>138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R2106" t="s">
        <v>127</v>
      </c>
      <c r="S2106" t="str">
        <f t="shared" si="832"/>
        <v>15:10:22.000</v>
      </c>
      <c r="T2106" t="str">
        <f t="shared" si="832"/>
        <v>15:10:22.000</v>
      </c>
      <c r="U2106" t="str">
        <f t="shared" si="813"/>
        <v>A68FCB</v>
      </c>
      <c r="V2106">
        <v>0</v>
      </c>
      <c r="W2106">
        <v>0</v>
      </c>
      <c r="X2106">
        <v>2</v>
      </c>
      <c r="Y2106">
        <v>0</v>
      </c>
      <c r="AA2106">
        <v>1</v>
      </c>
      <c r="AB2106">
        <v>8</v>
      </c>
      <c r="AC2106">
        <v>3</v>
      </c>
      <c r="AD2106">
        <v>0</v>
      </c>
      <c r="AE2106">
        <v>9</v>
      </c>
      <c r="AF2106" t="s">
        <v>138</v>
      </c>
      <c r="AG2106">
        <v>0</v>
      </c>
      <c r="AH2106">
        <v>3</v>
      </c>
      <c r="AI2106">
        <v>2</v>
      </c>
      <c r="AJ2106">
        <v>0</v>
      </c>
      <c r="AK2106" t="s">
        <v>736</v>
      </c>
      <c r="AL2106">
        <v>39.056761000000002</v>
      </c>
      <c r="AM2106" t="s">
        <v>727</v>
      </c>
      <c r="AN2106">
        <v>-121.041505</v>
      </c>
      <c r="AO2106">
        <v>25</v>
      </c>
      <c r="AP2106">
        <v>4500</v>
      </c>
      <c r="AQ2106" t="s">
        <v>131</v>
      </c>
      <c r="AR2106">
        <v>-1</v>
      </c>
      <c r="AS2106">
        <v>90</v>
      </c>
      <c r="AT2106">
        <v>64</v>
      </c>
      <c r="BB2106" t="str">
        <f t="shared" si="814"/>
        <v>1200</v>
      </c>
      <c r="BC2106">
        <v>1</v>
      </c>
      <c r="BD2106" t="str">
        <f t="shared" si="815"/>
        <v xml:space="preserve">N52156  </v>
      </c>
      <c r="BE2106">
        <v>1</v>
      </c>
      <c r="BG2106">
        <v>0</v>
      </c>
      <c r="BH2106">
        <v>0</v>
      </c>
      <c r="BI2106">
        <v>0</v>
      </c>
      <c r="BJ2106">
        <v>4525</v>
      </c>
      <c r="BK2106">
        <v>25</v>
      </c>
      <c r="BL2106" t="s">
        <v>188</v>
      </c>
      <c r="BM2106">
        <v>1</v>
      </c>
      <c r="BN2106">
        <v>1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 t="shared" si="833"/>
        <v>15:10:22.900</v>
      </c>
      <c r="CF2106">
        <v>900216632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3</v>
      </c>
      <c r="CY2106">
        <v>7</v>
      </c>
      <c r="CZ2106" t="s">
        <v>133</v>
      </c>
      <c r="DA2106">
        <v>275</v>
      </c>
      <c r="DB2106">
        <v>0</v>
      </c>
      <c r="DC2106" t="s">
        <v>134</v>
      </c>
      <c r="DD2106" t="s">
        <v>135</v>
      </c>
      <c r="DG2106">
        <v>3321358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"05/01/2025 15:10:23.129"</f>
        <v>05/01/2025 15:10:23.129</v>
      </c>
      <c r="C2107" t="str">
        <f t="shared" si="812"/>
        <v>FFDFD3C0</v>
      </c>
      <c r="D2107" t="s">
        <v>143</v>
      </c>
      <c r="E2107" t="str">
        <f>"05"</f>
        <v>05</v>
      </c>
      <c r="H2107">
        <v>172</v>
      </c>
      <c r="I2107" t="s">
        <v>141</v>
      </c>
      <c r="J2107" t="s">
        <v>144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R2107" t="s">
        <v>127</v>
      </c>
      <c r="S2107" t="str">
        <f t="shared" si="832"/>
        <v>15:10:22.000</v>
      </c>
      <c r="T2107" t="str">
        <f t="shared" si="832"/>
        <v>15:10:22.000</v>
      </c>
      <c r="U2107" t="str">
        <f t="shared" si="813"/>
        <v>A68FCB</v>
      </c>
      <c r="V2107">
        <v>0</v>
      </c>
      <c r="W2107">
        <v>0</v>
      </c>
      <c r="X2107">
        <v>2</v>
      </c>
      <c r="Y2107">
        <v>0</v>
      </c>
      <c r="AA2107">
        <v>1</v>
      </c>
      <c r="AB2107">
        <v>8</v>
      </c>
      <c r="AC2107">
        <v>3</v>
      </c>
      <c r="AD2107">
        <v>0</v>
      </c>
      <c r="AE2107">
        <v>9</v>
      </c>
      <c r="AF2107" t="s">
        <v>138</v>
      </c>
      <c r="AG2107">
        <v>0</v>
      </c>
      <c r="AH2107">
        <v>3</v>
      </c>
      <c r="AI2107">
        <v>2</v>
      </c>
      <c r="AJ2107">
        <v>0</v>
      </c>
      <c r="AK2107" t="s">
        <v>736</v>
      </c>
      <c r="AL2107">
        <v>39.056761000000002</v>
      </c>
      <c r="AM2107" t="s">
        <v>727</v>
      </c>
      <c r="AN2107">
        <v>-121.041505</v>
      </c>
      <c r="AO2107">
        <v>25</v>
      </c>
      <c r="AP2107">
        <v>4500</v>
      </c>
      <c r="AQ2107" t="s">
        <v>131</v>
      </c>
      <c r="AR2107">
        <v>-1</v>
      </c>
      <c r="AS2107">
        <v>90</v>
      </c>
      <c r="AT2107">
        <v>64</v>
      </c>
      <c r="BB2107" t="str">
        <f t="shared" si="814"/>
        <v>1200</v>
      </c>
      <c r="BC2107">
        <v>1</v>
      </c>
      <c r="BD2107" t="str">
        <f t="shared" si="815"/>
        <v xml:space="preserve">N52156  </v>
      </c>
      <c r="BE2107">
        <v>1</v>
      </c>
      <c r="BG2107">
        <v>0</v>
      </c>
      <c r="BH2107">
        <v>0</v>
      </c>
      <c r="BI2107">
        <v>0</v>
      </c>
      <c r="BJ2107">
        <v>4525</v>
      </c>
      <c r="BK2107">
        <v>25</v>
      </c>
      <c r="BL2107" t="s">
        <v>188</v>
      </c>
      <c r="BM2107">
        <v>1</v>
      </c>
      <c r="BN2107">
        <v>1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 t="shared" si="833"/>
        <v>15:10:22.900</v>
      </c>
      <c r="CF2107">
        <v>900216632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3</v>
      </c>
      <c r="CY2107">
        <v>7</v>
      </c>
      <c r="CZ2107" t="s">
        <v>133</v>
      </c>
      <c r="DA2107">
        <v>275</v>
      </c>
      <c r="DB2107">
        <v>0</v>
      </c>
      <c r="DC2107" t="s">
        <v>134</v>
      </c>
      <c r="DD2107" t="s">
        <v>135</v>
      </c>
      <c r="DG2107">
        <v>3321358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"05/01/2025 15:10:24.156"</f>
        <v>05/01/2025 15:10:24.156</v>
      </c>
      <c r="C2108" t="str">
        <f t="shared" si="812"/>
        <v>FFDFD3C0</v>
      </c>
      <c r="D2108" t="s">
        <v>140</v>
      </c>
      <c r="E2108" t="str">
        <f>"13"</f>
        <v>13</v>
      </c>
      <c r="F2108">
        <v>1019</v>
      </c>
      <c r="G2108" t="s">
        <v>141</v>
      </c>
      <c r="J2108" t="s">
        <v>142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R2108" t="s">
        <v>127</v>
      </c>
      <c r="S2108" t="str">
        <f t="shared" ref="S2108:T2113" si="834">"15:10:23.000"</f>
        <v>15:10:23.000</v>
      </c>
      <c r="T2108" t="str">
        <f t="shared" si="834"/>
        <v>15:10:23.000</v>
      </c>
      <c r="U2108" t="str">
        <f t="shared" si="813"/>
        <v>A68FCB</v>
      </c>
      <c r="V2108">
        <v>0</v>
      </c>
      <c r="W2108">
        <v>0</v>
      </c>
      <c r="X2108">
        <v>2</v>
      </c>
      <c r="Y2108">
        <v>0</v>
      </c>
      <c r="AA2108">
        <v>1</v>
      </c>
      <c r="AB2108">
        <v>8</v>
      </c>
      <c r="AC2108">
        <v>3</v>
      </c>
      <c r="AD2108">
        <v>0</v>
      </c>
      <c r="AE2108">
        <v>9</v>
      </c>
      <c r="AF2108" t="s">
        <v>138</v>
      </c>
      <c r="AG2108">
        <v>0</v>
      </c>
      <c r="AH2108">
        <v>3</v>
      </c>
      <c r="AI2108">
        <v>2</v>
      </c>
      <c r="AJ2108">
        <v>0</v>
      </c>
      <c r="AK2108" t="s">
        <v>737</v>
      </c>
      <c r="AL2108">
        <v>39.057189999999999</v>
      </c>
      <c r="AM2108" t="s">
        <v>720</v>
      </c>
      <c r="AN2108">
        <v>-121.041527</v>
      </c>
      <c r="AO2108">
        <v>25</v>
      </c>
      <c r="AP2108">
        <v>4500</v>
      </c>
      <c r="AQ2108" t="s">
        <v>131</v>
      </c>
      <c r="AR2108">
        <v>-1</v>
      </c>
      <c r="AS2108">
        <v>90</v>
      </c>
      <c r="AT2108">
        <v>64</v>
      </c>
      <c r="BB2108" t="str">
        <f t="shared" si="814"/>
        <v>1200</v>
      </c>
      <c r="BC2108">
        <v>1</v>
      </c>
      <c r="BD2108" t="str">
        <f t="shared" si="815"/>
        <v xml:space="preserve">N52156  </v>
      </c>
      <c r="BE2108">
        <v>1</v>
      </c>
      <c r="BG2108">
        <v>0</v>
      </c>
      <c r="BH2108">
        <v>0</v>
      </c>
      <c r="BI2108">
        <v>0</v>
      </c>
      <c r="BJ2108">
        <v>4550</v>
      </c>
      <c r="BK2108">
        <v>50</v>
      </c>
      <c r="BL2108" t="s">
        <v>188</v>
      </c>
      <c r="BM2108">
        <v>1</v>
      </c>
      <c r="BN2108">
        <v>1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 t="shared" ref="CE2108:CE2113" si="835">"15:10:23.936"</f>
        <v>15:10:23.936</v>
      </c>
      <c r="CF2108">
        <v>936284020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3</v>
      </c>
      <c r="CY2108">
        <v>7</v>
      </c>
      <c r="CZ2108" t="s">
        <v>133</v>
      </c>
      <c r="DA2108">
        <v>276</v>
      </c>
      <c r="DB2108">
        <v>0</v>
      </c>
      <c r="DC2108" t="s">
        <v>402</v>
      </c>
      <c r="DD2108" t="s">
        <v>403</v>
      </c>
      <c r="DG2108">
        <v>1626744</v>
      </c>
      <c r="DI2108">
        <v>1</v>
      </c>
      <c r="DJ2108">
        <v>0</v>
      </c>
      <c r="DK2108">
        <v>0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"05/01/2025 15:10:24.165"</f>
        <v>05/01/2025 15:10:24.165</v>
      </c>
      <c r="C2109" t="str">
        <f t="shared" si="812"/>
        <v>FFDFD3C0</v>
      </c>
      <c r="D2109" t="s">
        <v>124</v>
      </c>
      <c r="E2109" t="str">
        <f>"06"</f>
        <v>06</v>
      </c>
      <c r="F2109">
        <v>2006</v>
      </c>
      <c r="G2109" t="s">
        <v>125</v>
      </c>
      <c r="J2109" t="s">
        <v>126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R2109" t="s">
        <v>127</v>
      </c>
      <c r="S2109" t="str">
        <f t="shared" si="834"/>
        <v>15:10:23.000</v>
      </c>
      <c r="T2109" t="str">
        <f t="shared" si="834"/>
        <v>15:10:23.000</v>
      </c>
      <c r="U2109" t="str">
        <f t="shared" si="813"/>
        <v>A68FCB</v>
      </c>
      <c r="V2109">
        <v>0</v>
      </c>
      <c r="W2109">
        <v>0</v>
      </c>
      <c r="X2109">
        <v>2</v>
      </c>
      <c r="Y2109">
        <v>0</v>
      </c>
      <c r="AA2109">
        <v>1</v>
      </c>
      <c r="AB2109">
        <v>8</v>
      </c>
      <c r="AC2109">
        <v>3</v>
      </c>
      <c r="AD2109">
        <v>0</v>
      </c>
      <c r="AE2109">
        <v>9</v>
      </c>
      <c r="AF2109" t="s">
        <v>138</v>
      </c>
      <c r="AG2109">
        <v>0</v>
      </c>
      <c r="AH2109">
        <v>3</v>
      </c>
      <c r="AI2109">
        <v>2</v>
      </c>
      <c r="AJ2109">
        <v>0</v>
      </c>
      <c r="AK2109" t="s">
        <v>737</v>
      </c>
      <c r="AL2109">
        <v>39.057189999999999</v>
      </c>
      <c r="AM2109" t="s">
        <v>720</v>
      </c>
      <c r="AN2109">
        <v>-121.041527</v>
      </c>
      <c r="AO2109">
        <v>25</v>
      </c>
      <c r="AP2109">
        <v>4500</v>
      </c>
      <c r="AQ2109" t="s">
        <v>131</v>
      </c>
      <c r="AR2109">
        <v>-1</v>
      </c>
      <c r="AS2109">
        <v>90</v>
      </c>
      <c r="AT2109">
        <v>64</v>
      </c>
      <c r="BB2109" t="str">
        <f t="shared" si="814"/>
        <v>1200</v>
      </c>
      <c r="BC2109">
        <v>1</v>
      </c>
      <c r="BD2109" t="str">
        <f t="shared" si="815"/>
        <v xml:space="preserve">N52156  </v>
      </c>
      <c r="BE2109">
        <v>1</v>
      </c>
      <c r="BG2109">
        <v>0</v>
      </c>
      <c r="BH2109">
        <v>0</v>
      </c>
      <c r="BI2109">
        <v>0</v>
      </c>
      <c r="BJ2109">
        <v>4550</v>
      </c>
      <c r="BK2109">
        <v>50</v>
      </c>
      <c r="BL2109" t="s">
        <v>188</v>
      </c>
      <c r="BM2109">
        <v>1</v>
      </c>
      <c r="BN2109">
        <v>1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 t="shared" si="835"/>
        <v>15:10:23.936</v>
      </c>
      <c r="CF2109">
        <v>936284020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3</v>
      </c>
      <c r="CY2109">
        <v>7</v>
      </c>
      <c r="CZ2109" t="s">
        <v>133</v>
      </c>
      <c r="DA2109">
        <v>276</v>
      </c>
      <c r="DB2109">
        <v>0</v>
      </c>
      <c r="DC2109" t="s">
        <v>402</v>
      </c>
      <c r="DD2109" t="s">
        <v>403</v>
      </c>
      <c r="DG2109">
        <v>1626744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"05/01/2025 15:10:24.169"</f>
        <v>05/01/2025 15:10:24.169</v>
      </c>
      <c r="C2110" t="str">
        <f t="shared" si="812"/>
        <v>FFDFD3C0</v>
      </c>
      <c r="D2110" t="s">
        <v>145</v>
      </c>
      <c r="E2110" t="str">
        <f>"05"</f>
        <v>05</v>
      </c>
      <c r="H2110">
        <v>47</v>
      </c>
      <c r="I2110" t="s">
        <v>146</v>
      </c>
      <c r="J2110" t="s">
        <v>138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R2110" t="s">
        <v>127</v>
      </c>
      <c r="S2110" t="str">
        <f t="shared" si="834"/>
        <v>15:10:23.000</v>
      </c>
      <c r="T2110" t="str">
        <f t="shared" si="834"/>
        <v>15:10:23.000</v>
      </c>
      <c r="U2110" t="str">
        <f t="shared" si="813"/>
        <v>A68FCB</v>
      </c>
      <c r="V2110">
        <v>0</v>
      </c>
      <c r="W2110">
        <v>0</v>
      </c>
      <c r="X2110">
        <v>2</v>
      </c>
      <c r="Y2110">
        <v>0</v>
      </c>
      <c r="AA2110">
        <v>1</v>
      </c>
      <c r="AB2110">
        <v>8</v>
      </c>
      <c r="AC2110">
        <v>3</v>
      </c>
      <c r="AD2110">
        <v>0</v>
      </c>
      <c r="AE2110">
        <v>9</v>
      </c>
      <c r="AF2110" t="s">
        <v>138</v>
      </c>
      <c r="AG2110">
        <v>0</v>
      </c>
      <c r="AH2110">
        <v>3</v>
      </c>
      <c r="AI2110">
        <v>2</v>
      </c>
      <c r="AJ2110">
        <v>0</v>
      </c>
      <c r="AK2110" t="s">
        <v>737</v>
      </c>
      <c r="AL2110">
        <v>39.057189999999999</v>
      </c>
      <c r="AM2110" t="s">
        <v>720</v>
      </c>
      <c r="AN2110">
        <v>-121.041527</v>
      </c>
      <c r="AO2110">
        <v>25</v>
      </c>
      <c r="AP2110">
        <v>4500</v>
      </c>
      <c r="AQ2110" t="s">
        <v>131</v>
      </c>
      <c r="AR2110">
        <v>-1</v>
      </c>
      <c r="AS2110">
        <v>90</v>
      </c>
      <c r="AT2110">
        <v>64</v>
      </c>
      <c r="BB2110" t="str">
        <f t="shared" si="814"/>
        <v>1200</v>
      </c>
      <c r="BC2110">
        <v>1</v>
      </c>
      <c r="BD2110" t="str">
        <f t="shared" si="815"/>
        <v xml:space="preserve">N52156  </v>
      </c>
      <c r="BE2110">
        <v>1</v>
      </c>
      <c r="BG2110">
        <v>0</v>
      </c>
      <c r="BH2110">
        <v>0</v>
      </c>
      <c r="BI2110">
        <v>0</v>
      </c>
      <c r="BJ2110">
        <v>4550</v>
      </c>
      <c r="BK2110">
        <v>50</v>
      </c>
      <c r="BL2110" t="s">
        <v>188</v>
      </c>
      <c r="BM2110">
        <v>1</v>
      </c>
      <c r="BN2110">
        <v>1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 t="shared" si="835"/>
        <v>15:10:23.936</v>
      </c>
      <c r="CF2110">
        <v>936284020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3</v>
      </c>
      <c r="CY2110">
        <v>7</v>
      </c>
      <c r="CZ2110" t="s">
        <v>133</v>
      </c>
      <c r="DA2110">
        <v>276</v>
      </c>
      <c r="DB2110">
        <v>0</v>
      </c>
      <c r="DC2110" t="s">
        <v>402</v>
      </c>
      <c r="DD2110" t="s">
        <v>403</v>
      </c>
      <c r="DG2110">
        <v>1626744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"05/01/2025 15:10:24.171"</f>
        <v>05/01/2025 15:10:24.171</v>
      </c>
      <c r="C2111" t="str">
        <f t="shared" si="812"/>
        <v>FFDFD3C0</v>
      </c>
      <c r="D2111" t="s">
        <v>145</v>
      </c>
      <c r="E2111" t="str">
        <f>"09"</f>
        <v>09</v>
      </c>
      <c r="H2111">
        <v>51</v>
      </c>
      <c r="I2111" t="s">
        <v>147</v>
      </c>
      <c r="J2111" t="s">
        <v>138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R2111" t="s">
        <v>127</v>
      </c>
      <c r="S2111" t="str">
        <f t="shared" si="834"/>
        <v>15:10:23.000</v>
      </c>
      <c r="T2111" t="str">
        <f t="shared" si="834"/>
        <v>15:10:23.000</v>
      </c>
      <c r="U2111" t="str">
        <f t="shared" si="813"/>
        <v>A68FCB</v>
      </c>
      <c r="V2111">
        <v>0</v>
      </c>
      <c r="W2111">
        <v>0</v>
      </c>
      <c r="X2111">
        <v>2</v>
      </c>
      <c r="Y2111">
        <v>0</v>
      </c>
      <c r="AA2111">
        <v>1</v>
      </c>
      <c r="AB2111">
        <v>8</v>
      </c>
      <c r="AC2111">
        <v>3</v>
      </c>
      <c r="AD2111">
        <v>0</v>
      </c>
      <c r="AE2111">
        <v>9</v>
      </c>
      <c r="AF2111" t="s">
        <v>138</v>
      </c>
      <c r="AG2111">
        <v>0</v>
      </c>
      <c r="AH2111">
        <v>3</v>
      </c>
      <c r="AI2111">
        <v>2</v>
      </c>
      <c r="AJ2111">
        <v>0</v>
      </c>
      <c r="AK2111" t="s">
        <v>737</v>
      </c>
      <c r="AL2111">
        <v>39.057189999999999</v>
      </c>
      <c r="AM2111" t="s">
        <v>720</v>
      </c>
      <c r="AN2111">
        <v>-121.041527</v>
      </c>
      <c r="AO2111">
        <v>25</v>
      </c>
      <c r="AP2111">
        <v>4500</v>
      </c>
      <c r="AQ2111" t="s">
        <v>131</v>
      </c>
      <c r="AR2111">
        <v>-1</v>
      </c>
      <c r="AS2111">
        <v>90</v>
      </c>
      <c r="AT2111">
        <v>64</v>
      </c>
      <c r="BB2111" t="str">
        <f t="shared" si="814"/>
        <v>1200</v>
      </c>
      <c r="BC2111">
        <v>1</v>
      </c>
      <c r="BD2111" t="str">
        <f t="shared" si="815"/>
        <v xml:space="preserve">N52156  </v>
      </c>
      <c r="BE2111">
        <v>1</v>
      </c>
      <c r="BG2111">
        <v>0</v>
      </c>
      <c r="BH2111">
        <v>0</v>
      </c>
      <c r="BI2111">
        <v>0</v>
      </c>
      <c r="BJ2111">
        <v>4550</v>
      </c>
      <c r="BK2111">
        <v>50</v>
      </c>
      <c r="BL2111" t="s">
        <v>188</v>
      </c>
      <c r="BM2111">
        <v>1</v>
      </c>
      <c r="BN2111">
        <v>1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 t="shared" si="835"/>
        <v>15:10:23.936</v>
      </c>
      <c r="CF2111">
        <v>936284020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3</v>
      </c>
      <c r="CY2111">
        <v>7</v>
      </c>
      <c r="CZ2111" t="s">
        <v>133</v>
      </c>
      <c r="DA2111">
        <v>276</v>
      </c>
      <c r="DB2111">
        <v>0</v>
      </c>
      <c r="DC2111" t="s">
        <v>402</v>
      </c>
      <c r="DD2111" t="s">
        <v>403</v>
      </c>
      <c r="DG2111">
        <v>1626744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"05/01/2025 15:10:24.179"</f>
        <v>05/01/2025 15:10:24.179</v>
      </c>
      <c r="C2112" t="str">
        <f t="shared" si="812"/>
        <v>FFDFD3C0</v>
      </c>
      <c r="D2112" t="s">
        <v>136</v>
      </c>
      <c r="E2112" t="str">
        <f>"20"</f>
        <v>20</v>
      </c>
      <c r="H2112">
        <v>400</v>
      </c>
      <c r="I2112" t="s">
        <v>137</v>
      </c>
      <c r="J2112" t="s">
        <v>138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R2112" t="s">
        <v>127</v>
      </c>
      <c r="S2112" t="str">
        <f t="shared" si="834"/>
        <v>15:10:23.000</v>
      </c>
      <c r="T2112" t="str">
        <f t="shared" si="834"/>
        <v>15:10:23.000</v>
      </c>
      <c r="U2112" t="str">
        <f t="shared" si="813"/>
        <v>A68FCB</v>
      </c>
      <c r="V2112">
        <v>0</v>
      </c>
      <c r="W2112">
        <v>0</v>
      </c>
      <c r="X2112">
        <v>2</v>
      </c>
      <c r="Y2112">
        <v>0</v>
      </c>
      <c r="AA2112">
        <v>1</v>
      </c>
      <c r="AB2112">
        <v>8</v>
      </c>
      <c r="AC2112">
        <v>3</v>
      </c>
      <c r="AD2112">
        <v>0</v>
      </c>
      <c r="AE2112">
        <v>9</v>
      </c>
      <c r="AF2112" t="s">
        <v>138</v>
      </c>
      <c r="AG2112">
        <v>0</v>
      </c>
      <c r="AH2112">
        <v>3</v>
      </c>
      <c r="AI2112">
        <v>2</v>
      </c>
      <c r="AJ2112">
        <v>0</v>
      </c>
      <c r="AK2112" t="s">
        <v>737</v>
      </c>
      <c r="AL2112">
        <v>39.057189999999999</v>
      </c>
      <c r="AM2112" t="s">
        <v>720</v>
      </c>
      <c r="AN2112">
        <v>-121.041527</v>
      </c>
      <c r="AO2112">
        <v>25</v>
      </c>
      <c r="AP2112">
        <v>4500</v>
      </c>
      <c r="AQ2112" t="s">
        <v>131</v>
      </c>
      <c r="AR2112">
        <v>-1</v>
      </c>
      <c r="AS2112">
        <v>90</v>
      </c>
      <c r="AT2112">
        <v>64</v>
      </c>
      <c r="BB2112" t="str">
        <f t="shared" si="814"/>
        <v>1200</v>
      </c>
      <c r="BC2112">
        <v>1</v>
      </c>
      <c r="BD2112" t="str">
        <f t="shared" si="815"/>
        <v xml:space="preserve">N52156  </v>
      </c>
      <c r="BE2112">
        <v>1</v>
      </c>
      <c r="BG2112">
        <v>0</v>
      </c>
      <c r="BH2112">
        <v>0</v>
      </c>
      <c r="BI2112">
        <v>0</v>
      </c>
      <c r="BJ2112">
        <v>4550</v>
      </c>
      <c r="BK2112">
        <v>50</v>
      </c>
      <c r="BL2112" t="s">
        <v>188</v>
      </c>
      <c r="BM2112">
        <v>1</v>
      </c>
      <c r="BN2112">
        <v>1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 t="shared" si="835"/>
        <v>15:10:23.936</v>
      </c>
      <c r="CF2112">
        <v>936284020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3</v>
      </c>
      <c r="CY2112">
        <v>7</v>
      </c>
      <c r="CZ2112" t="s">
        <v>133</v>
      </c>
      <c r="DA2112">
        <v>276</v>
      </c>
      <c r="DB2112">
        <v>0</v>
      </c>
      <c r="DC2112" t="s">
        <v>402</v>
      </c>
      <c r="DD2112" t="s">
        <v>403</v>
      </c>
      <c r="DG2112">
        <v>1626744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"05/01/2025 15:10:24.181"</f>
        <v>05/01/2025 15:10:24.181</v>
      </c>
      <c r="C2113" t="str">
        <f t="shared" si="812"/>
        <v>FFDFD3C0</v>
      </c>
      <c r="D2113" t="s">
        <v>143</v>
      </c>
      <c r="E2113" t="str">
        <f>"05"</f>
        <v>05</v>
      </c>
      <c r="H2113">
        <v>172</v>
      </c>
      <c r="I2113" t="s">
        <v>141</v>
      </c>
      <c r="J2113" t="s">
        <v>144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R2113" t="s">
        <v>127</v>
      </c>
      <c r="S2113" t="str">
        <f t="shared" si="834"/>
        <v>15:10:23.000</v>
      </c>
      <c r="T2113" t="str">
        <f t="shared" si="834"/>
        <v>15:10:23.000</v>
      </c>
      <c r="U2113" t="str">
        <f t="shared" si="813"/>
        <v>A68FCB</v>
      </c>
      <c r="V2113">
        <v>0</v>
      </c>
      <c r="W2113">
        <v>0</v>
      </c>
      <c r="X2113">
        <v>2</v>
      </c>
      <c r="Y2113">
        <v>0</v>
      </c>
      <c r="AA2113">
        <v>1</v>
      </c>
      <c r="AB2113">
        <v>8</v>
      </c>
      <c r="AC2113">
        <v>3</v>
      </c>
      <c r="AD2113">
        <v>0</v>
      </c>
      <c r="AE2113">
        <v>9</v>
      </c>
      <c r="AF2113" t="s">
        <v>138</v>
      </c>
      <c r="AG2113">
        <v>0</v>
      </c>
      <c r="AH2113">
        <v>3</v>
      </c>
      <c r="AI2113">
        <v>2</v>
      </c>
      <c r="AJ2113">
        <v>0</v>
      </c>
      <c r="AK2113" t="s">
        <v>737</v>
      </c>
      <c r="AL2113">
        <v>39.057189999999999</v>
      </c>
      <c r="AM2113" t="s">
        <v>720</v>
      </c>
      <c r="AN2113">
        <v>-121.041527</v>
      </c>
      <c r="AO2113">
        <v>25</v>
      </c>
      <c r="AP2113">
        <v>4500</v>
      </c>
      <c r="AQ2113" t="s">
        <v>131</v>
      </c>
      <c r="AR2113">
        <v>-1</v>
      </c>
      <c r="AS2113">
        <v>90</v>
      </c>
      <c r="AT2113">
        <v>64</v>
      </c>
      <c r="BB2113" t="str">
        <f t="shared" si="814"/>
        <v>1200</v>
      </c>
      <c r="BC2113">
        <v>1</v>
      </c>
      <c r="BD2113" t="str">
        <f t="shared" si="815"/>
        <v xml:space="preserve">N52156  </v>
      </c>
      <c r="BE2113">
        <v>1</v>
      </c>
      <c r="BG2113">
        <v>0</v>
      </c>
      <c r="BH2113">
        <v>0</v>
      </c>
      <c r="BI2113">
        <v>0</v>
      </c>
      <c r="BJ2113">
        <v>4550</v>
      </c>
      <c r="BK2113">
        <v>50</v>
      </c>
      <c r="BL2113" t="s">
        <v>188</v>
      </c>
      <c r="BM2113">
        <v>1</v>
      </c>
      <c r="BN2113">
        <v>1</v>
      </c>
      <c r="BO2113">
        <v>0</v>
      </c>
      <c r="BP2113">
        <v>0</v>
      </c>
      <c r="BS2113">
        <v>0</v>
      </c>
      <c r="BT2113">
        <v>0</v>
      </c>
      <c r="BU2113">
        <v>0</v>
      </c>
      <c r="CE2113" t="str">
        <f t="shared" si="835"/>
        <v>15:10:23.936</v>
      </c>
      <c r="CF2113">
        <v>936284020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3</v>
      </c>
      <c r="CY2113">
        <v>7</v>
      </c>
      <c r="CZ2113" t="s">
        <v>133</v>
      </c>
      <c r="DA2113">
        <v>276</v>
      </c>
      <c r="DB2113">
        <v>0</v>
      </c>
      <c r="DC2113" t="s">
        <v>402</v>
      </c>
      <c r="DD2113" t="s">
        <v>403</v>
      </c>
      <c r="DG2113">
        <v>1626744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"05/01/2025 15:10:24.757"</f>
        <v>05/01/2025 15:10:24.757</v>
      </c>
      <c r="C2114" t="str">
        <f t="shared" ref="C2114:C2177" si="836">"FFDFD3C0"</f>
        <v>FFDFD3C0</v>
      </c>
      <c r="D2114" t="s">
        <v>140</v>
      </c>
      <c r="E2114" t="str">
        <f>"13"</f>
        <v>13</v>
      </c>
      <c r="F2114">
        <v>1019</v>
      </c>
      <c r="G2114" t="s">
        <v>141</v>
      </c>
      <c r="J2114" t="s">
        <v>142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R2114" t="s">
        <v>127</v>
      </c>
      <c r="S2114" t="str">
        <f t="shared" ref="S2114:T2119" si="837">"15:10:24.000"</f>
        <v>15:10:24.000</v>
      </c>
      <c r="T2114" t="str">
        <f t="shared" si="837"/>
        <v>15:10:24.000</v>
      </c>
      <c r="U2114" t="str">
        <f t="shared" ref="U2114:U2177" si="838">"A68FCB"</f>
        <v>A68FCB</v>
      </c>
      <c r="V2114">
        <v>0</v>
      </c>
      <c r="W2114">
        <v>0</v>
      </c>
      <c r="X2114">
        <v>2</v>
      </c>
      <c r="Y2114">
        <v>0</v>
      </c>
      <c r="AA2114">
        <v>1</v>
      </c>
      <c r="AB2114">
        <v>8</v>
      </c>
      <c r="AC2114">
        <v>3</v>
      </c>
      <c r="AD2114">
        <v>0</v>
      </c>
      <c r="AE2114">
        <v>9</v>
      </c>
      <c r="AF2114" t="s">
        <v>138</v>
      </c>
      <c r="AG2114">
        <v>0</v>
      </c>
      <c r="AH2114">
        <v>3</v>
      </c>
      <c r="AI2114">
        <v>2</v>
      </c>
      <c r="AJ2114">
        <v>0</v>
      </c>
      <c r="AK2114" t="s">
        <v>738</v>
      </c>
      <c r="AL2114">
        <v>39.057597999999999</v>
      </c>
      <c r="AM2114" t="s">
        <v>720</v>
      </c>
      <c r="AN2114">
        <v>-121.041527</v>
      </c>
      <c r="AO2114">
        <v>25</v>
      </c>
      <c r="AP2114">
        <v>4500</v>
      </c>
      <c r="AQ2114" t="s">
        <v>131</v>
      </c>
      <c r="AR2114">
        <v>-2</v>
      </c>
      <c r="AS2114">
        <v>90</v>
      </c>
      <c r="AT2114">
        <v>64</v>
      </c>
      <c r="BB2114" t="str">
        <f t="shared" ref="BB2114:BB2177" si="839">"1200"</f>
        <v>1200</v>
      </c>
      <c r="BC2114">
        <v>1</v>
      </c>
      <c r="BD2114" t="str">
        <f t="shared" ref="BD2114:BD2177" si="840">"N52156  "</f>
        <v xml:space="preserve">N52156  </v>
      </c>
      <c r="BE2114">
        <v>1</v>
      </c>
      <c r="BG2114">
        <v>0</v>
      </c>
      <c r="BH2114">
        <v>0</v>
      </c>
      <c r="BI2114">
        <v>0</v>
      </c>
      <c r="BJ2114">
        <v>4550</v>
      </c>
      <c r="BK2114">
        <v>50</v>
      </c>
      <c r="BL2114" t="s">
        <v>188</v>
      </c>
      <c r="BM2114">
        <v>1</v>
      </c>
      <c r="BN2114">
        <v>1</v>
      </c>
      <c r="BO2114">
        <v>0</v>
      </c>
      <c r="BP2114">
        <v>0</v>
      </c>
      <c r="BS2114">
        <v>0</v>
      </c>
      <c r="BT2114">
        <v>0</v>
      </c>
      <c r="BU2114">
        <v>0</v>
      </c>
      <c r="CE2114" t="str">
        <f t="shared" ref="CE2114:CE2119" si="841">"15:10:24.534"</f>
        <v>15:10:24.534</v>
      </c>
      <c r="CF2114">
        <v>534283080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3</v>
      </c>
      <c r="CY2114">
        <v>7</v>
      </c>
      <c r="CZ2114" t="s">
        <v>133</v>
      </c>
      <c r="DA2114">
        <v>276</v>
      </c>
      <c r="DB2114">
        <v>0</v>
      </c>
      <c r="DC2114" t="s">
        <v>402</v>
      </c>
      <c r="DD2114" t="s">
        <v>403</v>
      </c>
      <c r="DG2114">
        <v>1626749</v>
      </c>
      <c r="DI2114">
        <v>1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"05/01/2025 15:10:24.766"</f>
        <v>05/01/2025 15:10:24.766</v>
      </c>
      <c r="C2115" t="str">
        <f t="shared" si="836"/>
        <v>FFDFD3C0</v>
      </c>
      <c r="D2115" t="s">
        <v>124</v>
      </c>
      <c r="E2115" t="str">
        <f>"06"</f>
        <v>06</v>
      </c>
      <c r="F2115">
        <v>2006</v>
      </c>
      <c r="G2115" t="s">
        <v>125</v>
      </c>
      <c r="J2115" t="s">
        <v>126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R2115" t="s">
        <v>127</v>
      </c>
      <c r="S2115" t="str">
        <f t="shared" si="837"/>
        <v>15:10:24.000</v>
      </c>
      <c r="T2115" t="str">
        <f t="shared" si="837"/>
        <v>15:10:24.000</v>
      </c>
      <c r="U2115" t="str">
        <f t="shared" si="838"/>
        <v>A68FCB</v>
      </c>
      <c r="V2115">
        <v>0</v>
      </c>
      <c r="W2115">
        <v>0</v>
      </c>
      <c r="X2115">
        <v>2</v>
      </c>
      <c r="Y2115">
        <v>0</v>
      </c>
      <c r="AA2115">
        <v>1</v>
      </c>
      <c r="AB2115">
        <v>8</v>
      </c>
      <c r="AC2115">
        <v>3</v>
      </c>
      <c r="AD2115">
        <v>0</v>
      </c>
      <c r="AE2115">
        <v>9</v>
      </c>
      <c r="AF2115" t="s">
        <v>138</v>
      </c>
      <c r="AG2115">
        <v>0</v>
      </c>
      <c r="AH2115">
        <v>3</v>
      </c>
      <c r="AI2115">
        <v>2</v>
      </c>
      <c r="AJ2115">
        <v>0</v>
      </c>
      <c r="AK2115" t="s">
        <v>738</v>
      </c>
      <c r="AL2115">
        <v>39.057597999999999</v>
      </c>
      <c r="AM2115" t="s">
        <v>720</v>
      </c>
      <c r="AN2115">
        <v>-121.041527</v>
      </c>
      <c r="AO2115">
        <v>25</v>
      </c>
      <c r="AP2115">
        <v>4500</v>
      </c>
      <c r="AQ2115" t="s">
        <v>131</v>
      </c>
      <c r="AR2115">
        <v>-2</v>
      </c>
      <c r="AS2115">
        <v>90</v>
      </c>
      <c r="AT2115">
        <v>64</v>
      </c>
      <c r="BB2115" t="str">
        <f t="shared" si="839"/>
        <v>1200</v>
      </c>
      <c r="BC2115">
        <v>1</v>
      </c>
      <c r="BD2115" t="str">
        <f t="shared" si="840"/>
        <v xml:space="preserve">N52156  </v>
      </c>
      <c r="BE2115">
        <v>1</v>
      </c>
      <c r="BG2115">
        <v>0</v>
      </c>
      <c r="BH2115">
        <v>0</v>
      </c>
      <c r="BI2115">
        <v>0</v>
      </c>
      <c r="BJ2115">
        <v>4550</v>
      </c>
      <c r="BK2115">
        <v>50</v>
      </c>
      <c r="BL2115" t="s">
        <v>188</v>
      </c>
      <c r="BM2115">
        <v>1</v>
      </c>
      <c r="BN2115">
        <v>1</v>
      </c>
      <c r="BO2115">
        <v>0</v>
      </c>
      <c r="BP2115">
        <v>0</v>
      </c>
      <c r="BS2115">
        <v>0</v>
      </c>
      <c r="BT2115">
        <v>0</v>
      </c>
      <c r="BU2115">
        <v>0</v>
      </c>
      <c r="CE2115" t="str">
        <f t="shared" si="841"/>
        <v>15:10:24.534</v>
      </c>
      <c r="CF2115">
        <v>534283080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3</v>
      </c>
      <c r="CY2115">
        <v>7</v>
      </c>
      <c r="CZ2115" t="s">
        <v>133</v>
      </c>
      <c r="DA2115">
        <v>276</v>
      </c>
      <c r="DB2115">
        <v>0</v>
      </c>
      <c r="DC2115" t="s">
        <v>402</v>
      </c>
      <c r="DD2115" t="s">
        <v>403</v>
      </c>
      <c r="DG2115">
        <v>1626749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"05/01/2025 15:10:24.770"</f>
        <v>05/01/2025 15:10:24.770</v>
      </c>
      <c r="C2116" t="str">
        <f t="shared" si="836"/>
        <v>FFDFD3C0</v>
      </c>
      <c r="D2116" t="s">
        <v>145</v>
      </c>
      <c r="E2116" t="str">
        <f>"05"</f>
        <v>05</v>
      </c>
      <c r="H2116">
        <v>47</v>
      </c>
      <c r="I2116" t="s">
        <v>146</v>
      </c>
      <c r="J2116" t="s">
        <v>138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R2116" t="s">
        <v>127</v>
      </c>
      <c r="S2116" t="str">
        <f t="shared" si="837"/>
        <v>15:10:24.000</v>
      </c>
      <c r="T2116" t="str">
        <f t="shared" si="837"/>
        <v>15:10:24.000</v>
      </c>
      <c r="U2116" t="str">
        <f t="shared" si="838"/>
        <v>A68FCB</v>
      </c>
      <c r="V2116">
        <v>0</v>
      </c>
      <c r="W2116">
        <v>0</v>
      </c>
      <c r="X2116">
        <v>2</v>
      </c>
      <c r="Y2116">
        <v>0</v>
      </c>
      <c r="AA2116">
        <v>1</v>
      </c>
      <c r="AB2116">
        <v>8</v>
      </c>
      <c r="AC2116">
        <v>3</v>
      </c>
      <c r="AD2116">
        <v>0</v>
      </c>
      <c r="AE2116">
        <v>9</v>
      </c>
      <c r="AF2116" t="s">
        <v>138</v>
      </c>
      <c r="AG2116">
        <v>0</v>
      </c>
      <c r="AH2116">
        <v>3</v>
      </c>
      <c r="AI2116">
        <v>2</v>
      </c>
      <c r="AJ2116">
        <v>0</v>
      </c>
      <c r="AK2116" t="s">
        <v>738</v>
      </c>
      <c r="AL2116">
        <v>39.057597999999999</v>
      </c>
      <c r="AM2116" t="s">
        <v>720</v>
      </c>
      <c r="AN2116">
        <v>-121.041527</v>
      </c>
      <c r="AO2116">
        <v>25</v>
      </c>
      <c r="AP2116">
        <v>4500</v>
      </c>
      <c r="AQ2116" t="s">
        <v>131</v>
      </c>
      <c r="AR2116">
        <v>-2</v>
      </c>
      <c r="AS2116">
        <v>90</v>
      </c>
      <c r="AT2116">
        <v>64</v>
      </c>
      <c r="BB2116" t="str">
        <f t="shared" si="839"/>
        <v>1200</v>
      </c>
      <c r="BC2116">
        <v>1</v>
      </c>
      <c r="BD2116" t="str">
        <f t="shared" si="840"/>
        <v xml:space="preserve">N52156  </v>
      </c>
      <c r="BE2116">
        <v>1</v>
      </c>
      <c r="BG2116">
        <v>0</v>
      </c>
      <c r="BH2116">
        <v>0</v>
      </c>
      <c r="BI2116">
        <v>0</v>
      </c>
      <c r="BJ2116">
        <v>4550</v>
      </c>
      <c r="BK2116">
        <v>50</v>
      </c>
      <c r="BL2116" t="s">
        <v>188</v>
      </c>
      <c r="BM2116">
        <v>1</v>
      </c>
      <c r="BN2116">
        <v>1</v>
      </c>
      <c r="BO2116">
        <v>0</v>
      </c>
      <c r="BP2116">
        <v>0</v>
      </c>
      <c r="BS2116">
        <v>0</v>
      </c>
      <c r="BT2116">
        <v>0</v>
      </c>
      <c r="BU2116">
        <v>0</v>
      </c>
      <c r="CE2116" t="str">
        <f t="shared" si="841"/>
        <v>15:10:24.534</v>
      </c>
      <c r="CF2116">
        <v>534283080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3</v>
      </c>
      <c r="CY2116">
        <v>7</v>
      </c>
      <c r="CZ2116" t="s">
        <v>133</v>
      </c>
      <c r="DA2116">
        <v>276</v>
      </c>
      <c r="DB2116">
        <v>0</v>
      </c>
      <c r="DC2116" t="s">
        <v>402</v>
      </c>
      <c r="DD2116" t="s">
        <v>403</v>
      </c>
      <c r="DG2116">
        <v>1626749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"05/01/2025 15:10:24.772"</f>
        <v>05/01/2025 15:10:24.772</v>
      </c>
      <c r="C2117" t="str">
        <f t="shared" si="836"/>
        <v>FFDFD3C0</v>
      </c>
      <c r="D2117" t="s">
        <v>145</v>
      </c>
      <c r="E2117" t="str">
        <f>"09"</f>
        <v>09</v>
      </c>
      <c r="H2117">
        <v>51</v>
      </c>
      <c r="I2117" t="s">
        <v>147</v>
      </c>
      <c r="J2117" t="s">
        <v>138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R2117" t="s">
        <v>127</v>
      </c>
      <c r="S2117" t="str">
        <f t="shared" si="837"/>
        <v>15:10:24.000</v>
      </c>
      <c r="T2117" t="str">
        <f t="shared" si="837"/>
        <v>15:10:24.000</v>
      </c>
      <c r="U2117" t="str">
        <f t="shared" si="838"/>
        <v>A68FCB</v>
      </c>
      <c r="V2117">
        <v>0</v>
      </c>
      <c r="W2117">
        <v>0</v>
      </c>
      <c r="X2117">
        <v>2</v>
      </c>
      <c r="Y2117">
        <v>0</v>
      </c>
      <c r="AA2117">
        <v>1</v>
      </c>
      <c r="AB2117">
        <v>8</v>
      </c>
      <c r="AC2117">
        <v>3</v>
      </c>
      <c r="AD2117">
        <v>0</v>
      </c>
      <c r="AE2117">
        <v>9</v>
      </c>
      <c r="AF2117" t="s">
        <v>138</v>
      </c>
      <c r="AG2117">
        <v>0</v>
      </c>
      <c r="AH2117">
        <v>3</v>
      </c>
      <c r="AI2117">
        <v>2</v>
      </c>
      <c r="AJ2117">
        <v>0</v>
      </c>
      <c r="AK2117" t="s">
        <v>738</v>
      </c>
      <c r="AL2117">
        <v>39.057597999999999</v>
      </c>
      <c r="AM2117" t="s">
        <v>720</v>
      </c>
      <c r="AN2117">
        <v>-121.041527</v>
      </c>
      <c r="AO2117">
        <v>25</v>
      </c>
      <c r="AP2117">
        <v>4500</v>
      </c>
      <c r="AQ2117" t="s">
        <v>131</v>
      </c>
      <c r="AR2117">
        <v>-2</v>
      </c>
      <c r="AS2117">
        <v>90</v>
      </c>
      <c r="AT2117">
        <v>64</v>
      </c>
      <c r="BB2117" t="str">
        <f t="shared" si="839"/>
        <v>1200</v>
      </c>
      <c r="BC2117">
        <v>1</v>
      </c>
      <c r="BD2117" t="str">
        <f t="shared" si="840"/>
        <v xml:space="preserve">N52156  </v>
      </c>
      <c r="BE2117">
        <v>1</v>
      </c>
      <c r="BG2117">
        <v>0</v>
      </c>
      <c r="BH2117">
        <v>0</v>
      </c>
      <c r="BI2117">
        <v>0</v>
      </c>
      <c r="BJ2117">
        <v>4550</v>
      </c>
      <c r="BK2117">
        <v>50</v>
      </c>
      <c r="BL2117" t="s">
        <v>188</v>
      </c>
      <c r="BM2117">
        <v>1</v>
      </c>
      <c r="BN2117">
        <v>1</v>
      </c>
      <c r="BO2117">
        <v>0</v>
      </c>
      <c r="BP2117">
        <v>0</v>
      </c>
      <c r="BS2117">
        <v>0</v>
      </c>
      <c r="BT2117">
        <v>0</v>
      </c>
      <c r="BU2117">
        <v>0</v>
      </c>
      <c r="CE2117" t="str">
        <f t="shared" si="841"/>
        <v>15:10:24.534</v>
      </c>
      <c r="CF2117">
        <v>534283080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3</v>
      </c>
      <c r="CY2117">
        <v>7</v>
      </c>
      <c r="CZ2117" t="s">
        <v>133</v>
      </c>
      <c r="DA2117">
        <v>276</v>
      </c>
      <c r="DB2117">
        <v>0</v>
      </c>
      <c r="DC2117" t="s">
        <v>402</v>
      </c>
      <c r="DD2117" t="s">
        <v>403</v>
      </c>
      <c r="DG2117">
        <v>1626749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"05/01/2025 15:10:24.780"</f>
        <v>05/01/2025 15:10:24.780</v>
      </c>
      <c r="C2118" t="str">
        <f t="shared" si="836"/>
        <v>FFDFD3C0</v>
      </c>
      <c r="D2118" t="s">
        <v>136</v>
      </c>
      <c r="E2118" t="str">
        <f>"20"</f>
        <v>20</v>
      </c>
      <c r="H2118">
        <v>400</v>
      </c>
      <c r="I2118" t="s">
        <v>137</v>
      </c>
      <c r="J2118" t="s">
        <v>138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R2118" t="s">
        <v>127</v>
      </c>
      <c r="S2118" t="str">
        <f t="shared" si="837"/>
        <v>15:10:24.000</v>
      </c>
      <c r="T2118" t="str">
        <f t="shared" si="837"/>
        <v>15:10:24.000</v>
      </c>
      <c r="U2118" t="str">
        <f t="shared" si="838"/>
        <v>A68FCB</v>
      </c>
      <c r="V2118">
        <v>0</v>
      </c>
      <c r="W2118">
        <v>0</v>
      </c>
      <c r="X2118">
        <v>2</v>
      </c>
      <c r="Y2118">
        <v>0</v>
      </c>
      <c r="AA2118">
        <v>1</v>
      </c>
      <c r="AB2118">
        <v>8</v>
      </c>
      <c r="AC2118">
        <v>3</v>
      </c>
      <c r="AD2118">
        <v>0</v>
      </c>
      <c r="AE2118">
        <v>9</v>
      </c>
      <c r="AF2118" t="s">
        <v>138</v>
      </c>
      <c r="AG2118">
        <v>0</v>
      </c>
      <c r="AH2118">
        <v>3</v>
      </c>
      <c r="AI2118">
        <v>2</v>
      </c>
      <c r="AJ2118">
        <v>0</v>
      </c>
      <c r="AK2118" t="s">
        <v>738</v>
      </c>
      <c r="AL2118">
        <v>39.057597999999999</v>
      </c>
      <c r="AM2118" t="s">
        <v>720</v>
      </c>
      <c r="AN2118">
        <v>-121.041527</v>
      </c>
      <c r="AO2118">
        <v>25</v>
      </c>
      <c r="AP2118">
        <v>4500</v>
      </c>
      <c r="AQ2118" t="s">
        <v>131</v>
      </c>
      <c r="AR2118">
        <v>-2</v>
      </c>
      <c r="AS2118">
        <v>90</v>
      </c>
      <c r="AT2118">
        <v>64</v>
      </c>
      <c r="BB2118" t="str">
        <f t="shared" si="839"/>
        <v>1200</v>
      </c>
      <c r="BC2118">
        <v>1</v>
      </c>
      <c r="BD2118" t="str">
        <f t="shared" si="840"/>
        <v xml:space="preserve">N52156  </v>
      </c>
      <c r="BE2118">
        <v>1</v>
      </c>
      <c r="BG2118">
        <v>0</v>
      </c>
      <c r="BH2118">
        <v>0</v>
      </c>
      <c r="BI2118">
        <v>0</v>
      </c>
      <c r="BJ2118">
        <v>4550</v>
      </c>
      <c r="BK2118">
        <v>50</v>
      </c>
      <c r="BL2118" t="s">
        <v>188</v>
      </c>
      <c r="BM2118">
        <v>1</v>
      </c>
      <c r="BN2118">
        <v>1</v>
      </c>
      <c r="BO2118">
        <v>0</v>
      </c>
      <c r="BP2118">
        <v>0</v>
      </c>
      <c r="BS2118">
        <v>0</v>
      </c>
      <c r="BT2118">
        <v>0</v>
      </c>
      <c r="BU2118">
        <v>0</v>
      </c>
      <c r="CE2118" t="str">
        <f t="shared" si="841"/>
        <v>15:10:24.534</v>
      </c>
      <c r="CF2118">
        <v>534283080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3</v>
      </c>
      <c r="CY2118">
        <v>7</v>
      </c>
      <c r="CZ2118" t="s">
        <v>133</v>
      </c>
      <c r="DA2118">
        <v>276</v>
      </c>
      <c r="DB2118">
        <v>0</v>
      </c>
      <c r="DC2118" t="s">
        <v>402</v>
      </c>
      <c r="DD2118" t="s">
        <v>403</v>
      </c>
      <c r="DG2118">
        <v>1626749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"05/01/2025 15:10:24.782"</f>
        <v>05/01/2025 15:10:24.782</v>
      </c>
      <c r="C2119" t="str">
        <f t="shared" si="836"/>
        <v>FFDFD3C0</v>
      </c>
      <c r="D2119" t="s">
        <v>143</v>
      </c>
      <c r="E2119" t="str">
        <f>"05"</f>
        <v>05</v>
      </c>
      <c r="H2119">
        <v>172</v>
      </c>
      <c r="I2119" t="s">
        <v>141</v>
      </c>
      <c r="J2119" t="s">
        <v>144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R2119" t="s">
        <v>127</v>
      </c>
      <c r="S2119" t="str">
        <f t="shared" si="837"/>
        <v>15:10:24.000</v>
      </c>
      <c r="T2119" t="str">
        <f t="shared" si="837"/>
        <v>15:10:24.000</v>
      </c>
      <c r="U2119" t="str">
        <f t="shared" si="838"/>
        <v>A68FCB</v>
      </c>
      <c r="V2119">
        <v>0</v>
      </c>
      <c r="W2119">
        <v>0</v>
      </c>
      <c r="X2119">
        <v>2</v>
      </c>
      <c r="Y2119">
        <v>0</v>
      </c>
      <c r="AA2119">
        <v>1</v>
      </c>
      <c r="AB2119">
        <v>8</v>
      </c>
      <c r="AC2119">
        <v>3</v>
      </c>
      <c r="AD2119">
        <v>0</v>
      </c>
      <c r="AE2119">
        <v>9</v>
      </c>
      <c r="AF2119" t="s">
        <v>138</v>
      </c>
      <c r="AG2119">
        <v>0</v>
      </c>
      <c r="AH2119">
        <v>3</v>
      </c>
      <c r="AI2119">
        <v>2</v>
      </c>
      <c r="AJ2119">
        <v>0</v>
      </c>
      <c r="AK2119" t="s">
        <v>738</v>
      </c>
      <c r="AL2119">
        <v>39.057597999999999</v>
      </c>
      <c r="AM2119" t="s">
        <v>720</v>
      </c>
      <c r="AN2119">
        <v>-121.041527</v>
      </c>
      <c r="AO2119">
        <v>25</v>
      </c>
      <c r="AP2119">
        <v>4500</v>
      </c>
      <c r="AQ2119" t="s">
        <v>131</v>
      </c>
      <c r="AR2119">
        <v>-2</v>
      </c>
      <c r="AS2119">
        <v>90</v>
      </c>
      <c r="AT2119">
        <v>64</v>
      </c>
      <c r="BB2119" t="str">
        <f t="shared" si="839"/>
        <v>1200</v>
      </c>
      <c r="BC2119">
        <v>1</v>
      </c>
      <c r="BD2119" t="str">
        <f t="shared" si="840"/>
        <v xml:space="preserve">N52156  </v>
      </c>
      <c r="BE2119">
        <v>1</v>
      </c>
      <c r="BG2119">
        <v>0</v>
      </c>
      <c r="BH2119">
        <v>0</v>
      </c>
      <c r="BI2119">
        <v>0</v>
      </c>
      <c r="BJ2119">
        <v>4550</v>
      </c>
      <c r="BK2119">
        <v>50</v>
      </c>
      <c r="BL2119" t="s">
        <v>188</v>
      </c>
      <c r="BM2119">
        <v>1</v>
      </c>
      <c r="BN2119">
        <v>1</v>
      </c>
      <c r="BO2119">
        <v>0</v>
      </c>
      <c r="BP2119">
        <v>0</v>
      </c>
      <c r="BS2119">
        <v>0</v>
      </c>
      <c r="BT2119">
        <v>0</v>
      </c>
      <c r="BU2119">
        <v>0</v>
      </c>
      <c r="CE2119" t="str">
        <f t="shared" si="841"/>
        <v>15:10:24.534</v>
      </c>
      <c r="CF2119">
        <v>534283080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3</v>
      </c>
      <c r="CY2119">
        <v>7</v>
      </c>
      <c r="CZ2119" t="s">
        <v>133</v>
      </c>
      <c r="DA2119">
        <v>276</v>
      </c>
      <c r="DB2119">
        <v>0</v>
      </c>
      <c r="DC2119" t="s">
        <v>402</v>
      </c>
      <c r="DD2119" t="s">
        <v>403</v>
      </c>
      <c r="DG2119">
        <v>1626749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"05/01/2025 15:10:25.768"</f>
        <v>05/01/2025 15:10:25.768</v>
      </c>
      <c r="C2120" t="str">
        <f t="shared" si="836"/>
        <v>FFDFD3C0</v>
      </c>
      <c r="D2120" t="s">
        <v>124</v>
      </c>
      <c r="E2120" t="str">
        <f>"06"</f>
        <v>06</v>
      </c>
      <c r="F2120">
        <v>2006</v>
      </c>
      <c r="G2120" t="s">
        <v>125</v>
      </c>
      <c r="J2120" t="s">
        <v>126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R2120" t="s">
        <v>127</v>
      </c>
      <c r="S2120" t="str">
        <f t="shared" ref="S2120:T2125" si="842">"15:10:25.000"</f>
        <v>15:10:25.000</v>
      </c>
      <c r="T2120" t="str">
        <f t="shared" si="842"/>
        <v>15:10:25.000</v>
      </c>
      <c r="U2120" t="str">
        <f t="shared" si="838"/>
        <v>A68FCB</v>
      </c>
      <c r="V2120">
        <v>0</v>
      </c>
      <c r="W2120">
        <v>0</v>
      </c>
      <c r="X2120">
        <v>2</v>
      </c>
      <c r="Y2120">
        <v>0</v>
      </c>
      <c r="AA2120">
        <v>1</v>
      </c>
      <c r="AB2120">
        <v>8</v>
      </c>
      <c r="AC2120">
        <v>3</v>
      </c>
      <c r="AD2120">
        <v>0</v>
      </c>
      <c r="AE2120">
        <v>9</v>
      </c>
      <c r="AF2120" t="s">
        <v>138</v>
      </c>
      <c r="AG2120">
        <v>0</v>
      </c>
      <c r="AH2120">
        <v>3</v>
      </c>
      <c r="AI2120">
        <v>2</v>
      </c>
      <c r="AJ2120">
        <v>0</v>
      </c>
      <c r="AK2120" t="s">
        <v>739</v>
      </c>
      <c r="AL2120">
        <v>39.058027000000003</v>
      </c>
      <c r="AM2120" t="s">
        <v>717</v>
      </c>
      <c r="AN2120">
        <v>-121.04154800000001</v>
      </c>
      <c r="AO2120">
        <v>25</v>
      </c>
      <c r="AP2120">
        <v>4500</v>
      </c>
      <c r="AQ2120" t="s">
        <v>131</v>
      </c>
      <c r="AR2120">
        <v>-2</v>
      </c>
      <c r="AS2120">
        <v>90</v>
      </c>
      <c r="AT2120">
        <v>64</v>
      </c>
      <c r="BB2120" t="str">
        <f t="shared" si="839"/>
        <v>1200</v>
      </c>
      <c r="BC2120">
        <v>1</v>
      </c>
      <c r="BD2120" t="str">
        <f t="shared" si="840"/>
        <v xml:space="preserve">N52156  </v>
      </c>
      <c r="BE2120">
        <v>1</v>
      </c>
      <c r="BG2120">
        <v>0</v>
      </c>
      <c r="BH2120">
        <v>0</v>
      </c>
      <c r="BI2120">
        <v>0</v>
      </c>
      <c r="BJ2120">
        <v>4550</v>
      </c>
      <c r="BK2120">
        <v>50</v>
      </c>
      <c r="BL2120" t="s">
        <v>188</v>
      </c>
      <c r="BM2120">
        <v>1</v>
      </c>
      <c r="BN2120">
        <v>1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 t="shared" ref="CE2120:CE2125" si="843">"15:10:25.570"</f>
        <v>15:10:25.570</v>
      </c>
      <c r="CF2120">
        <v>570033305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3</v>
      </c>
      <c r="CY2120">
        <v>7</v>
      </c>
      <c r="CZ2120" t="s">
        <v>133</v>
      </c>
      <c r="DA2120">
        <v>276</v>
      </c>
      <c r="DB2120">
        <v>0</v>
      </c>
      <c r="DC2120" t="s">
        <v>402</v>
      </c>
      <c r="DD2120" t="s">
        <v>403</v>
      </c>
      <c r="DG2120">
        <v>1626758</v>
      </c>
      <c r="DI2120">
        <v>1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"05/01/2025 15:10:25.774"</f>
        <v>05/01/2025 15:10:25.774</v>
      </c>
      <c r="C2121" t="str">
        <f t="shared" si="836"/>
        <v>FFDFD3C0</v>
      </c>
      <c r="D2121" t="s">
        <v>145</v>
      </c>
      <c r="E2121" t="str">
        <f>"09"</f>
        <v>09</v>
      </c>
      <c r="H2121">
        <v>51</v>
      </c>
      <c r="I2121" t="s">
        <v>147</v>
      </c>
      <c r="J2121" t="s">
        <v>138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R2121" t="s">
        <v>127</v>
      </c>
      <c r="S2121" t="str">
        <f t="shared" si="842"/>
        <v>15:10:25.000</v>
      </c>
      <c r="T2121" t="str">
        <f t="shared" si="842"/>
        <v>15:10:25.000</v>
      </c>
      <c r="U2121" t="str">
        <f t="shared" si="838"/>
        <v>A68FCB</v>
      </c>
      <c r="V2121">
        <v>0</v>
      </c>
      <c r="W2121">
        <v>0</v>
      </c>
      <c r="X2121">
        <v>2</v>
      </c>
      <c r="Y2121">
        <v>0</v>
      </c>
      <c r="AA2121">
        <v>1</v>
      </c>
      <c r="AB2121">
        <v>8</v>
      </c>
      <c r="AC2121">
        <v>3</v>
      </c>
      <c r="AD2121">
        <v>0</v>
      </c>
      <c r="AE2121">
        <v>9</v>
      </c>
      <c r="AF2121" t="s">
        <v>138</v>
      </c>
      <c r="AG2121">
        <v>0</v>
      </c>
      <c r="AH2121">
        <v>3</v>
      </c>
      <c r="AI2121">
        <v>2</v>
      </c>
      <c r="AJ2121">
        <v>0</v>
      </c>
      <c r="AK2121" t="s">
        <v>739</v>
      </c>
      <c r="AL2121">
        <v>39.058027000000003</v>
      </c>
      <c r="AM2121" t="s">
        <v>717</v>
      </c>
      <c r="AN2121">
        <v>-121.04154800000001</v>
      </c>
      <c r="AO2121">
        <v>25</v>
      </c>
      <c r="AP2121">
        <v>4500</v>
      </c>
      <c r="AQ2121" t="s">
        <v>131</v>
      </c>
      <c r="AR2121">
        <v>-2</v>
      </c>
      <c r="AS2121">
        <v>90</v>
      </c>
      <c r="AT2121">
        <v>64</v>
      </c>
      <c r="BB2121" t="str">
        <f t="shared" si="839"/>
        <v>1200</v>
      </c>
      <c r="BC2121">
        <v>1</v>
      </c>
      <c r="BD2121" t="str">
        <f t="shared" si="840"/>
        <v xml:space="preserve">N52156  </v>
      </c>
      <c r="BE2121">
        <v>1</v>
      </c>
      <c r="BG2121">
        <v>0</v>
      </c>
      <c r="BH2121">
        <v>0</v>
      </c>
      <c r="BI2121">
        <v>0</v>
      </c>
      <c r="BJ2121">
        <v>4550</v>
      </c>
      <c r="BK2121">
        <v>50</v>
      </c>
      <c r="BL2121" t="s">
        <v>188</v>
      </c>
      <c r="BM2121">
        <v>1</v>
      </c>
      <c r="BN2121">
        <v>1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 t="shared" si="843"/>
        <v>15:10:25.570</v>
      </c>
      <c r="CF2121">
        <v>570033305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3</v>
      </c>
      <c r="CY2121">
        <v>7</v>
      </c>
      <c r="CZ2121" t="s">
        <v>133</v>
      </c>
      <c r="DA2121">
        <v>276</v>
      </c>
      <c r="DB2121">
        <v>0</v>
      </c>
      <c r="DC2121" t="s">
        <v>402</v>
      </c>
      <c r="DD2121" t="s">
        <v>403</v>
      </c>
      <c r="DG2121">
        <v>1626758</v>
      </c>
      <c r="DI2121">
        <v>1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"05/01/2025 15:10:25.772"</f>
        <v>05/01/2025 15:10:25.772</v>
      </c>
      <c r="C2122" t="str">
        <f t="shared" si="836"/>
        <v>FFDFD3C0</v>
      </c>
      <c r="D2122" t="s">
        <v>145</v>
      </c>
      <c r="E2122" t="str">
        <f>"05"</f>
        <v>05</v>
      </c>
      <c r="H2122">
        <v>47</v>
      </c>
      <c r="I2122" t="s">
        <v>146</v>
      </c>
      <c r="J2122" t="s">
        <v>138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R2122" t="s">
        <v>127</v>
      </c>
      <c r="S2122" t="str">
        <f t="shared" si="842"/>
        <v>15:10:25.000</v>
      </c>
      <c r="T2122" t="str">
        <f t="shared" si="842"/>
        <v>15:10:25.000</v>
      </c>
      <c r="U2122" t="str">
        <f t="shared" si="838"/>
        <v>A68FCB</v>
      </c>
      <c r="V2122">
        <v>0</v>
      </c>
      <c r="W2122">
        <v>0</v>
      </c>
      <c r="X2122">
        <v>2</v>
      </c>
      <c r="Y2122">
        <v>0</v>
      </c>
      <c r="AA2122">
        <v>1</v>
      </c>
      <c r="AB2122">
        <v>8</v>
      </c>
      <c r="AC2122">
        <v>3</v>
      </c>
      <c r="AD2122">
        <v>0</v>
      </c>
      <c r="AE2122">
        <v>9</v>
      </c>
      <c r="AF2122" t="s">
        <v>138</v>
      </c>
      <c r="AG2122">
        <v>0</v>
      </c>
      <c r="AH2122">
        <v>3</v>
      </c>
      <c r="AI2122">
        <v>2</v>
      </c>
      <c r="AJ2122">
        <v>0</v>
      </c>
      <c r="AK2122" t="s">
        <v>739</v>
      </c>
      <c r="AL2122">
        <v>39.058027000000003</v>
      </c>
      <c r="AM2122" t="s">
        <v>717</v>
      </c>
      <c r="AN2122">
        <v>-121.04154800000001</v>
      </c>
      <c r="AO2122">
        <v>25</v>
      </c>
      <c r="AP2122">
        <v>4500</v>
      </c>
      <c r="AQ2122" t="s">
        <v>131</v>
      </c>
      <c r="AR2122">
        <v>-2</v>
      </c>
      <c r="AS2122">
        <v>90</v>
      </c>
      <c r="AT2122">
        <v>64</v>
      </c>
      <c r="BB2122" t="str">
        <f t="shared" si="839"/>
        <v>1200</v>
      </c>
      <c r="BC2122">
        <v>1</v>
      </c>
      <c r="BD2122" t="str">
        <f t="shared" si="840"/>
        <v xml:space="preserve">N52156  </v>
      </c>
      <c r="BE2122">
        <v>1</v>
      </c>
      <c r="BG2122">
        <v>0</v>
      </c>
      <c r="BH2122">
        <v>0</v>
      </c>
      <c r="BI2122">
        <v>0</v>
      </c>
      <c r="BJ2122">
        <v>4550</v>
      </c>
      <c r="BK2122">
        <v>50</v>
      </c>
      <c r="BL2122" t="s">
        <v>188</v>
      </c>
      <c r="BM2122">
        <v>1</v>
      </c>
      <c r="BN2122">
        <v>1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 t="shared" si="843"/>
        <v>15:10:25.570</v>
      </c>
      <c r="CF2122">
        <v>570033305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3</v>
      </c>
      <c r="CY2122">
        <v>7</v>
      </c>
      <c r="CZ2122" t="s">
        <v>133</v>
      </c>
      <c r="DA2122">
        <v>276</v>
      </c>
      <c r="DB2122">
        <v>0</v>
      </c>
      <c r="DC2122" t="s">
        <v>402</v>
      </c>
      <c r="DD2122" t="s">
        <v>403</v>
      </c>
      <c r="DG2122">
        <v>1626758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"05/01/2025 15:10:25.782"</f>
        <v>05/01/2025 15:10:25.782</v>
      </c>
      <c r="C2123" t="str">
        <f t="shared" si="836"/>
        <v>FFDFD3C0</v>
      </c>
      <c r="D2123" t="s">
        <v>136</v>
      </c>
      <c r="E2123" t="str">
        <f>"20"</f>
        <v>20</v>
      </c>
      <c r="H2123">
        <v>400</v>
      </c>
      <c r="I2123" t="s">
        <v>137</v>
      </c>
      <c r="J2123" t="s">
        <v>138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R2123" t="s">
        <v>127</v>
      </c>
      <c r="S2123" t="str">
        <f t="shared" si="842"/>
        <v>15:10:25.000</v>
      </c>
      <c r="T2123" t="str">
        <f t="shared" si="842"/>
        <v>15:10:25.000</v>
      </c>
      <c r="U2123" t="str">
        <f t="shared" si="838"/>
        <v>A68FCB</v>
      </c>
      <c r="V2123">
        <v>0</v>
      </c>
      <c r="W2123">
        <v>0</v>
      </c>
      <c r="X2123">
        <v>2</v>
      </c>
      <c r="Y2123">
        <v>0</v>
      </c>
      <c r="AA2123">
        <v>1</v>
      </c>
      <c r="AB2123">
        <v>8</v>
      </c>
      <c r="AC2123">
        <v>3</v>
      </c>
      <c r="AD2123">
        <v>0</v>
      </c>
      <c r="AE2123">
        <v>9</v>
      </c>
      <c r="AF2123" t="s">
        <v>138</v>
      </c>
      <c r="AG2123">
        <v>0</v>
      </c>
      <c r="AH2123">
        <v>3</v>
      </c>
      <c r="AI2123">
        <v>2</v>
      </c>
      <c r="AJ2123">
        <v>0</v>
      </c>
      <c r="AK2123" t="s">
        <v>739</v>
      </c>
      <c r="AL2123">
        <v>39.058027000000003</v>
      </c>
      <c r="AM2123" t="s">
        <v>717</v>
      </c>
      <c r="AN2123">
        <v>-121.04154800000001</v>
      </c>
      <c r="AO2123">
        <v>25</v>
      </c>
      <c r="AP2123">
        <v>4500</v>
      </c>
      <c r="AQ2123" t="s">
        <v>131</v>
      </c>
      <c r="AR2123">
        <v>-2</v>
      </c>
      <c r="AS2123">
        <v>90</v>
      </c>
      <c r="AT2123">
        <v>64</v>
      </c>
      <c r="BB2123" t="str">
        <f t="shared" si="839"/>
        <v>1200</v>
      </c>
      <c r="BC2123">
        <v>1</v>
      </c>
      <c r="BD2123" t="str">
        <f t="shared" si="840"/>
        <v xml:space="preserve">N52156  </v>
      </c>
      <c r="BE2123">
        <v>1</v>
      </c>
      <c r="BG2123">
        <v>0</v>
      </c>
      <c r="BH2123">
        <v>0</v>
      </c>
      <c r="BI2123">
        <v>0</v>
      </c>
      <c r="BJ2123">
        <v>4550</v>
      </c>
      <c r="BK2123">
        <v>50</v>
      </c>
      <c r="BL2123" t="s">
        <v>188</v>
      </c>
      <c r="BM2123">
        <v>1</v>
      </c>
      <c r="BN2123">
        <v>1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 t="shared" si="843"/>
        <v>15:10:25.570</v>
      </c>
      <c r="CF2123">
        <v>570033305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3</v>
      </c>
      <c r="CY2123">
        <v>7</v>
      </c>
      <c r="CZ2123" t="s">
        <v>133</v>
      </c>
      <c r="DA2123">
        <v>276</v>
      </c>
      <c r="DB2123">
        <v>0</v>
      </c>
      <c r="DC2123" t="s">
        <v>402</v>
      </c>
      <c r="DD2123" t="s">
        <v>403</v>
      </c>
      <c r="DG2123">
        <v>1626758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"05/01/2025 15:10:25.784"</f>
        <v>05/01/2025 15:10:25.784</v>
      </c>
      <c r="C2124" t="str">
        <f t="shared" si="836"/>
        <v>FFDFD3C0</v>
      </c>
      <c r="D2124" t="s">
        <v>143</v>
      </c>
      <c r="E2124" t="str">
        <f>"05"</f>
        <v>05</v>
      </c>
      <c r="H2124">
        <v>172</v>
      </c>
      <c r="I2124" t="s">
        <v>141</v>
      </c>
      <c r="J2124" t="s">
        <v>144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R2124" t="s">
        <v>127</v>
      </c>
      <c r="S2124" t="str">
        <f t="shared" si="842"/>
        <v>15:10:25.000</v>
      </c>
      <c r="T2124" t="str">
        <f t="shared" si="842"/>
        <v>15:10:25.000</v>
      </c>
      <c r="U2124" t="str">
        <f t="shared" si="838"/>
        <v>A68FCB</v>
      </c>
      <c r="V2124">
        <v>0</v>
      </c>
      <c r="W2124">
        <v>0</v>
      </c>
      <c r="X2124">
        <v>2</v>
      </c>
      <c r="Y2124">
        <v>0</v>
      </c>
      <c r="AA2124">
        <v>1</v>
      </c>
      <c r="AB2124">
        <v>8</v>
      </c>
      <c r="AC2124">
        <v>3</v>
      </c>
      <c r="AD2124">
        <v>0</v>
      </c>
      <c r="AE2124">
        <v>9</v>
      </c>
      <c r="AF2124" t="s">
        <v>138</v>
      </c>
      <c r="AG2124">
        <v>0</v>
      </c>
      <c r="AH2124">
        <v>3</v>
      </c>
      <c r="AI2124">
        <v>2</v>
      </c>
      <c r="AJ2124">
        <v>0</v>
      </c>
      <c r="AK2124" t="s">
        <v>739</v>
      </c>
      <c r="AL2124">
        <v>39.058027000000003</v>
      </c>
      <c r="AM2124" t="s">
        <v>717</v>
      </c>
      <c r="AN2124">
        <v>-121.04154800000001</v>
      </c>
      <c r="AO2124">
        <v>25</v>
      </c>
      <c r="AP2124">
        <v>4500</v>
      </c>
      <c r="AQ2124" t="s">
        <v>131</v>
      </c>
      <c r="AR2124">
        <v>-2</v>
      </c>
      <c r="AS2124">
        <v>90</v>
      </c>
      <c r="AT2124">
        <v>64</v>
      </c>
      <c r="BB2124" t="str">
        <f t="shared" si="839"/>
        <v>1200</v>
      </c>
      <c r="BC2124">
        <v>1</v>
      </c>
      <c r="BD2124" t="str">
        <f t="shared" si="840"/>
        <v xml:space="preserve">N52156  </v>
      </c>
      <c r="BE2124">
        <v>1</v>
      </c>
      <c r="BG2124">
        <v>0</v>
      </c>
      <c r="BH2124">
        <v>0</v>
      </c>
      <c r="BI2124">
        <v>0</v>
      </c>
      <c r="BJ2124">
        <v>4550</v>
      </c>
      <c r="BK2124">
        <v>50</v>
      </c>
      <c r="BL2124" t="s">
        <v>188</v>
      </c>
      <c r="BM2124">
        <v>1</v>
      </c>
      <c r="BN2124">
        <v>1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 t="shared" si="843"/>
        <v>15:10:25.570</v>
      </c>
      <c r="CF2124">
        <v>570033305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3</v>
      </c>
      <c r="CY2124">
        <v>7</v>
      </c>
      <c r="CZ2124" t="s">
        <v>133</v>
      </c>
      <c r="DA2124">
        <v>276</v>
      </c>
      <c r="DB2124">
        <v>0</v>
      </c>
      <c r="DC2124" t="s">
        <v>402</v>
      </c>
      <c r="DD2124" t="s">
        <v>403</v>
      </c>
      <c r="DG2124">
        <v>1626758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"05/01/2025 15:10:25.809"</f>
        <v>05/01/2025 15:10:25.809</v>
      </c>
      <c r="C2125" t="str">
        <f t="shared" si="836"/>
        <v>FFDFD3C0</v>
      </c>
      <c r="D2125" t="s">
        <v>140</v>
      </c>
      <c r="E2125" t="str">
        <f>"13"</f>
        <v>13</v>
      </c>
      <c r="F2125">
        <v>1019</v>
      </c>
      <c r="G2125" t="s">
        <v>141</v>
      </c>
      <c r="J2125" t="s">
        <v>142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R2125" t="s">
        <v>127</v>
      </c>
      <c r="S2125" t="str">
        <f t="shared" si="842"/>
        <v>15:10:25.000</v>
      </c>
      <c r="T2125" t="str">
        <f t="shared" si="842"/>
        <v>15:10:25.000</v>
      </c>
      <c r="U2125" t="str">
        <f t="shared" si="838"/>
        <v>A68FCB</v>
      </c>
      <c r="V2125">
        <v>0</v>
      </c>
      <c r="W2125">
        <v>0</v>
      </c>
      <c r="X2125">
        <v>2</v>
      </c>
      <c r="Y2125">
        <v>0</v>
      </c>
      <c r="AA2125">
        <v>1</v>
      </c>
      <c r="AB2125">
        <v>8</v>
      </c>
      <c r="AC2125">
        <v>3</v>
      </c>
      <c r="AD2125">
        <v>0</v>
      </c>
      <c r="AE2125">
        <v>9</v>
      </c>
      <c r="AF2125" t="s">
        <v>138</v>
      </c>
      <c r="AG2125">
        <v>0</v>
      </c>
      <c r="AH2125">
        <v>3</v>
      </c>
      <c r="AI2125">
        <v>2</v>
      </c>
      <c r="AJ2125">
        <v>0</v>
      </c>
      <c r="AK2125" t="s">
        <v>739</v>
      </c>
      <c r="AL2125">
        <v>39.058027000000003</v>
      </c>
      <c r="AM2125" t="s">
        <v>717</v>
      </c>
      <c r="AN2125">
        <v>-121.04154800000001</v>
      </c>
      <c r="AO2125">
        <v>25</v>
      </c>
      <c r="AP2125">
        <v>4500</v>
      </c>
      <c r="AQ2125" t="s">
        <v>131</v>
      </c>
      <c r="AR2125">
        <v>-2</v>
      </c>
      <c r="AS2125">
        <v>90</v>
      </c>
      <c r="AT2125">
        <v>64</v>
      </c>
      <c r="BB2125" t="str">
        <f t="shared" si="839"/>
        <v>1200</v>
      </c>
      <c r="BC2125">
        <v>1</v>
      </c>
      <c r="BD2125" t="str">
        <f t="shared" si="840"/>
        <v xml:space="preserve">N52156  </v>
      </c>
      <c r="BE2125">
        <v>1</v>
      </c>
      <c r="BG2125">
        <v>0</v>
      </c>
      <c r="BH2125">
        <v>0</v>
      </c>
      <c r="BI2125">
        <v>0</v>
      </c>
      <c r="BJ2125">
        <v>4550</v>
      </c>
      <c r="BK2125">
        <v>50</v>
      </c>
      <c r="BL2125" t="s">
        <v>188</v>
      </c>
      <c r="BM2125">
        <v>1</v>
      </c>
      <c r="BN2125">
        <v>1</v>
      </c>
      <c r="BO2125">
        <v>0</v>
      </c>
      <c r="BP2125">
        <v>0</v>
      </c>
      <c r="BS2125">
        <v>0</v>
      </c>
      <c r="BT2125">
        <v>0</v>
      </c>
      <c r="BU2125">
        <v>0</v>
      </c>
      <c r="CE2125" t="str">
        <f t="shared" si="843"/>
        <v>15:10:25.570</v>
      </c>
      <c r="CF2125">
        <v>570033305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3</v>
      </c>
      <c r="CY2125">
        <v>7</v>
      </c>
      <c r="CZ2125" t="s">
        <v>133</v>
      </c>
      <c r="DA2125">
        <v>276</v>
      </c>
      <c r="DB2125">
        <v>0</v>
      </c>
      <c r="DC2125" t="s">
        <v>402</v>
      </c>
      <c r="DD2125" t="s">
        <v>403</v>
      </c>
      <c r="DG2125">
        <v>1626758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"05/01/2025 15:10:27.010"</f>
        <v>05/01/2025 15:10:27.010</v>
      </c>
      <c r="C2126" t="str">
        <f t="shared" si="836"/>
        <v>FFDFD3C0</v>
      </c>
      <c r="D2126" t="s">
        <v>140</v>
      </c>
      <c r="E2126" t="str">
        <f>"13"</f>
        <v>13</v>
      </c>
      <c r="F2126">
        <v>1019</v>
      </c>
      <c r="G2126" t="s">
        <v>141</v>
      </c>
      <c r="J2126" t="s">
        <v>142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R2126" t="s">
        <v>127</v>
      </c>
      <c r="S2126" t="str">
        <f t="shared" ref="S2126:T2131" si="844">"15:10:26.000"</f>
        <v>15:10:26.000</v>
      </c>
      <c r="T2126" t="str">
        <f t="shared" si="844"/>
        <v>15:10:26.000</v>
      </c>
      <c r="U2126" t="str">
        <f t="shared" si="838"/>
        <v>A68FCB</v>
      </c>
      <c r="V2126">
        <v>0</v>
      </c>
      <c r="W2126">
        <v>0</v>
      </c>
      <c r="X2126">
        <v>2</v>
      </c>
      <c r="Y2126">
        <v>0</v>
      </c>
      <c r="AA2126">
        <v>1</v>
      </c>
      <c r="AB2126">
        <v>8</v>
      </c>
      <c r="AC2126">
        <v>3</v>
      </c>
      <c r="AD2126">
        <v>0</v>
      </c>
      <c r="AE2126">
        <v>9</v>
      </c>
      <c r="AF2126" t="s">
        <v>138</v>
      </c>
      <c r="AG2126">
        <v>0</v>
      </c>
      <c r="AH2126">
        <v>3</v>
      </c>
      <c r="AI2126">
        <v>2</v>
      </c>
      <c r="AJ2126">
        <v>0</v>
      </c>
      <c r="AK2126" t="s">
        <v>740</v>
      </c>
      <c r="AL2126">
        <v>39.058435000000003</v>
      </c>
      <c r="AM2126" t="s">
        <v>715</v>
      </c>
      <c r="AN2126">
        <v>-121.04156999999999</v>
      </c>
      <c r="AO2126">
        <v>25</v>
      </c>
      <c r="AP2126">
        <v>4500</v>
      </c>
      <c r="AQ2126" t="s">
        <v>131</v>
      </c>
      <c r="AR2126">
        <v>-2</v>
      </c>
      <c r="AS2126">
        <v>90</v>
      </c>
      <c r="AT2126">
        <v>64</v>
      </c>
      <c r="BB2126" t="str">
        <f t="shared" si="839"/>
        <v>1200</v>
      </c>
      <c r="BC2126">
        <v>1</v>
      </c>
      <c r="BD2126" t="str">
        <f t="shared" si="840"/>
        <v xml:space="preserve">N52156  </v>
      </c>
      <c r="BE2126">
        <v>1</v>
      </c>
      <c r="BG2126">
        <v>0</v>
      </c>
      <c r="BH2126">
        <v>0</v>
      </c>
      <c r="BI2126">
        <v>0</v>
      </c>
      <c r="BJ2126">
        <v>4550</v>
      </c>
      <c r="BK2126">
        <v>50</v>
      </c>
      <c r="BL2126" t="s">
        <v>188</v>
      </c>
      <c r="BM2126">
        <v>1</v>
      </c>
      <c r="BN2126">
        <v>1</v>
      </c>
      <c r="BO2126">
        <v>0</v>
      </c>
      <c r="BP2126">
        <v>0</v>
      </c>
      <c r="BS2126">
        <v>0</v>
      </c>
      <c r="BT2126">
        <v>0</v>
      </c>
      <c r="BU2126">
        <v>0</v>
      </c>
      <c r="CE2126" t="str">
        <f t="shared" ref="CE2126:CE2131" si="845">"15:10:26.778"</f>
        <v>15:10:26.778</v>
      </c>
      <c r="CF2126">
        <v>777783987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3</v>
      </c>
      <c r="CY2126">
        <v>7</v>
      </c>
      <c r="CZ2126" t="s">
        <v>133</v>
      </c>
      <c r="DA2126">
        <v>276</v>
      </c>
      <c r="DB2126">
        <v>0</v>
      </c>
      <c r="DC2126" t="s">
        <v>402</v>
      </c>
      <c r="DD2126" t="s">
        <v>403</v>
      </c>
      <c r="DG2126">
        <v>1626772</v>
      </c>
      <c r="DI2126">
        <v>1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"05/01/2025 15:10:27.020"</f>
        <v>05/01/2025 15:10:27.020</v>
      </c>
      <c r="C2127" t="str">
        <f t="shared" si="836"/>
        <v>FFDFD3C0</v>
      </c>
      <c r="D2127" t="s">
        <v>124</v>
      </c>
      <c r="E2127" t="str">
        <f>"06"</f>
        <v>06</v>
      </c>
      <c r="F2127">
        <v>2006</v>
      </c>
      <c r="G2127" t="s">
        <v>125</v>
      </c>
      <c r="J2127" t="s">
        <v>126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R2127" t="s">
        <v>127</v>
      </c>
      <c r="S2127" t="str">
        <f t="shared" si="844"/>
        <v>15:10:26.000</v>
      </c>
      <c r="T2127" t="str">
        <f t="shared" si="844"/>
        <v>15:10:26.000</v>
      </c>
      <c r="U2127" t="str">
        <f t="shared" si="838"/>
        <v>A68FCB</v>
      </c>
      <c r="V2127">
        <v>0</v>
      </c>
      <c r="W2127">
        <v>0</v>
      </c>
      <c r="X2127">
        <v>2</v>
      </c>
      <c r="Y2127">
        <v>0</v>
      </c>
      <c r="AA2127">
        <v>1</v>
      </c>
      <c r="AB2127">
        <v>8</v>
      </c>
      <c r="AC2127">
        <v>3</v>
      </c>
      <c r="AD2127">
        <v>0</v>
      </c>
      <c r="AE2127">
        <v>9</v>
      </c>
      <c r="AF2127" t="s">
        <v>138</v>
      </c>
      <c r="AG2127">
        <v>0</v>
      </c>
      <c r="AH2127">
        <v>3</v>
      </c>
      <c r="AI2127">
        <v>2</v>
      </c>
      <c r="AJ2127">
        <v>0</v>
      </c>
      <c r="AK2127" t="s">
        <v>740</v>
      </c>
      <c r="AL2127">
        <v>39.058435000000003</v>
      </c>
      <c r="AM2127" t="s">
        <v>715</v>
      </c>
      <c r="AN2127">
        <v>-121.04156999999999</v>
      </c>
      <c r="AO2127">
        <v>25</v>
      </c>
      <c r="AP2127">
        <v>4500</v>
      </c>
      <c r="AQ2127" t="s">
        <v>131</v>
      </c>
      <c r="AR2127">
        <v>-2</v>
      </c>
      <c r="AS2127">
        <v>90</v>
      </c>
      <c r="AT2127">
        <v>64</v>
      </c>
      <c r="BB2127" t="str">
        <f t="shared" si="839"/>
        <v>1200</v>
      </c>
      <c r="BC2127">
        <v>1</v>
      </c>
      <c r="BD2127" t="str">
        <f t="shared" si="840"/>
        <v xml:space="preserve">N52156  </v>
      </c>
      <c r="BE2127">
        <v>1</v>
      </c>
      <c r="BG2127">
        <v>0</v>
      </c>
      <c r="BH2127">
        <v>0</v>
      </c>
      <c r="BI2127">
        <v>0</v>
      </c>
      <c r="BJ2127">
        <v>4550</v>
      </c>
      <c r="BK2127">
        <v>50</v>
      </c>
      <c r="BL2127" t="s">
        <v>188</v>
      </c>
      <c r="BM2127">
        <v>1</v>
      </c>
      <c r="BN2127">
        <v>1</v>
      </c>
      <c r="BO2127">
        <v>0</v>
      </c>
      <c r="BP2127">
        <v>0</v>
      </c>
      <c r="BS2127">
        <v>0</v>
      </c>
      <c r="BT2127">
        <v>0</v>
      </c>
      <c r="BU2127">
        <v>0</v>
      </c>
      <c r="CE2127" t="str">
        <f t="shared" si="845"/>
        <v>15:10:26.778</v>
      </c>
      <c r="CF2127">
        <v>777783987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3</v>
      </c>
      <c r="CY2127">
        <v>7</v>
      </c>
      <c r="CZ2127" t="s">
        <v>133</v>
      </c>
      <c r="DA2127">
        <v>276</v>
      </c>
      <c r="DB2127">
        <v>0</v>
      </c>
      <c r="DC2127" t="s">
        <v>402</v>
      </c>
      <c r="DD2127" t="s">
        <v>403</v>
      </c>
      <c r="DG2127">
        <v>1626772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"05/01/2025 15:10:27.024"</f>
        <v>05/01/2025 15:10:27.024</v>
      </c>
      <c r="C2128" t="str">
        <f t="shared" si="836"/>
        <v>FFDFD3C0</v>
      </c>
      <c r="D2128" t="s">
        <v>145</v>
      </c>
      <c r="E2128" t="str">
        <f>"05"</f>
        <v>05</v>
      </c>
      <c r="H2128">
        <v>47</v>
      </c>
      <c r="I2128" t="s">
        <v>146</v>
      </c>
      <c r="J2128" t="s">
        <v>138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R2128" t="s">
        <v>127</v>
      </c>
      <c r="S2128" t="str">
        <f t="shared" si="844"/>
        <v>15:10:26.000</v>
      </c>
      <c r="T2128" t="str">
        <f t="shared" si="844"/>
        <v>15:10:26.000</v>
      </c>
      <c r="U2128" t="str">
        <f t="shared" si="838"/>
        <v>A68FCB</v>
      </c>
      <c r="V2128">
        <v>0</v>
      </c>
      <c r="W2128">
        <v>0</v>
      </c>
      <c r="X2128">
        <v>2</v>
      </c>
      <c r="Y2128">
        <v>0</v>
      </c>
      <c r="AA2128">
        <v>1</v>
      </c>
      <c r="AB2128">
        <v>8</v>
      </c>
      <c r="AC2128">
        <v>3</v>
      </c>
      <c r="AD2128">
        <v>0</v>
      </c>
      <c r="AE2128">
        <v>9</v>
      </c>
      <c r="AF2128" t="s">
        <v>138</v>
      </c>
      <c r="AG2128">
        <v>0</v>
      </c>
      <c r="AH2128">
        <v>3</v>
      </c>
      <c r="AI2128">
        <v>2</v>
      </c>
      <c r="AJ2128">
        <v>0</v>
      </c>
      <c r="AK2128" t="s">
        <v>740</v>
      </c>
      <c r="AL2128">
        <v>39.058435000000003</v>
      </c>
      <c r="AM2128" t="s">
        <v>715</v>
      </c>
      <c r="AN2128">
        <v>-121.04156999999999</v>
      </c>
      <c r="AO2128">
        <v>25</v>
      </c>
      <c r="AP2128">
        <v>4500</v>
      </c>
      <c r="AQ2128" t="s">
        <v>131</v>
      </c>
      <c r="AR2128">
        <v>-2</v>
      </c>
      <c r="AS2128">
        <v>90</v>
      </c>
      <c r="AT2128">
        <v>64</v>
      </c>
      <c r="BB2128" t="str">
        <f t="shared" si="839"/>
        <v>1200</v>
      </c>
      <c r="BC2128">
        <v>1</v>
      </c>
      <c r="BD2128" t="str">
        <f t="shared" si="840"/>
        <v xml:space="preserve">N52156  </v>
      </c>
      <c r="BE2128">
        <v>1</v>
      </c>
      <c r="BG2128">
        <v>0</v>
      </c>
      <c r="BH2128">
        <v>0</v>
      </c>
      <c r="BI2128">
        <v>0</v>
      </c>
      <c r="BJ2128">
        <v>4550</v>
      </c>
      <c r="BK2128">
        <v>50</v>
      </c>
      <c r="BL2128" t="s">
        <v>188</v>
      </c>
      <c r="BM2128">
        <v>1</v>
      </c>
      <c r="BN2128">
        <v>1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 t="shared" si="845"/>
        <v>15:10:26.778</v>
      </c>
      <c r="CF2128">
        <v>777783987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3</v>
      </c>
      <c r="CY2128">
        <v>7</v>
      </c>
      <c r="CZ2128" t="s">
        <v>133</v>
      </c>
      <c r="DA2128">
        <v>276</v>
      </c>
      <c r="DB2128">
        <v>0</v>
      </c>
      <c r="DC2128" t="s">
        <v>402</v>
      </c>
      <c r="DD2128" t="s">
        <v>403</v>
      </c>
      <c r="DG2128">
        <v>1626772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"05/01/2025 15:10:27.026"</f>
        <v>05/01/2025 15:10:27.026</v>
      </c>
      <c r="C2129" t="str">
        <f t="shared" si="836"/>
        <v>FFDFD3C0</v>
      </c>
      <c r="D2129" t="s">
        <v>145</v>
      </c>
      <c r="E2129" t="str">
        <f>"09"</f>
        <v>09</v>
      </c>
      <c r="H2129">
        <v>51</v>
      </c>
      <c r="I2129" t="s">
        <v>147</v>
      </c>
      <c r="J2129" t="s">
        <v>138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R2129" t="s">
        <v>127</v>
      </c>
      <c r="S2129" t="str">
        <f t="shared" si="844"/>
        <v>15:10:26.000</v>
      </c>
      <c r="T2129" t="str">
        <f t="shared" si="844"/>
        <v>15:10:26.000</v>
      </c>
      <c r="U2129" t="str">
        <f t="shared" si="838"/>
        <v>A68FCB</v>
      </c>
      <c r="V2129">
        <v>0</v>
      </c>
      <c r="W2129">
        <v>0</v>
      </c>
      <c r="X2129">
        <v>2</v>
      </c>
      <c r="Y2129">
        <v>0</v>
      </c>
      <c r="AA2129">
        <v>1</v>
      </c>
      <c r="AB2129">
        <v>8</v>
      </c>
      <c r="AC2129">
        <v>3</v>
      </c>
      <c r="AD2129">
        <v>0</v>
      </c>
      <c r="AE2129">
        <v>9</v>
      </c>
      <c r="AF2129" t="s">
        <v>138</v>
      </c>
      <c r="AG2129">
        <v>0</v>
      </c>
      <c r="AH2129">
        <v>3</v>
      </c>
      <c r="AI2129">
        <v>2</v>
      </c>
      <c r="AJ2129">
        <v>0</v>
      </c>
      <c r="AK2129" t="s">
        <v>740</v>
      </c>
      <c r="AL2129">
        <v>39.058435000000003</v>
      </c>
      <c r="AM2129" t="s">
        <v>715</v>
      </c>
      <c r="AN2129">
        <v>-121.04156999999999</v>
      </c>
      <c r="AO2129">
        <v>25</v>
      </c>
      <c r="AP2129">
        <v>4500</v>
      </c>
      <c r="AQ2129" t="s">
        <v>131</v>
      </c>
      <c r="AR2129">
        <v>-2</v>
      </c>
      <c r="AS2129">
        <v>90</v>
      </c>
      <c r="AT2129">
        <v>64</v>
      </c>
      <c r="BB2129" t="str">
        <f t="shared" si="839"/>
        <v>1200</v>
      </c>
      <c r="BC2129">
        <v>1</v>
      </c>
      <c r="BD2129" t="str">
        <f t="shared" si="840"/>
        <v xml:space="preserve">N52156  </v>
      </c>
      <c r="BE2129">
        <v>1</v>
      </c>
      <c r="BG2129">
        <v>0</v>
      </c>
      <c r="BH2129">
        <v>0</v>
      </c>
      <c r="BI2129">
        <v>0</v>
      </c>
      <c r="BJ2129">
        <v>4550</v>
      </c>
      <c r="BK2129">
        <v>50</v>
      </c>
      <c r="BL2129" t="s">
        <v>188</v>
      </c>
      <c r="BM2129">
        <v>1</v>
      </c>
      <c r="BN2129">
        <v>1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 t="shared" si="845"/>
        <v>15:10:26.778</v>
      </c>
      <c r="CF2129">
        <v>777783987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3</v>
      </c>
      <c r="CY2129">
        <v>7</v>
      </c>
      <c r="CZ2129" t="s">
        <v>133</v>
      </c>
      <c r="DA2129">
        <v>276</v>
      </c>
      <c r="DB2129">
        <v>0</v>
      </c>
      <c r="DC2129" t="s">
        <v>402</v>
      </c>
      <c r="DD2129" t="s">
        <v>403</v>
      </c>
      <c r="DG2129">
        <v>1626772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"05/01/2025 15:10:27.034"</f>
        <v>05/01/2025 15:10:27.034</v>
      </c>
      <c r="C2130" t="str">
        <f t="shared" si="836"/>
        <v>FFDFD3C0</v>
      </c>
      <c r="D2130" t="s">
        <v>136</v>
      </c>
      <c r="E2130" t="str">
        <f>"20"</f>
        <v>20</v>
      </c>
      <c r="H2130">
        <v>400</v>
      </c>
      <c r="I2130" t="s">
        <v>137</v>
      </c>
      <c r="J2130" t="s">
        <v>138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R2130" t="s">
        <v>127</v>
      </c>
      <c r="S2130" t="str">
        <f t="shared" si="844"/>
        <v>15:10:26.000</v>
      </c>
      <c r="T2130" t="str">
        <f t="shared" si="844"/>
        <v>15:10:26.000</v>
      </c>
      <c r="U2130" t="str">
        <f t="shared" si="838"/>
        <v>A68FCB</v>
      </c>
      <c r="V2130">
        <v>0</v>
      </c>
      <c r="W2130">
        <v>0</v>
      </c>
      <c r="X2130">
        <v>2</v>
      </c>
      <c r="Y2130">
        <v>0</v>
      </c>
      <c r="AA2130">
        <v>1</v>
      </c>
      <c r="AB2130">
        <v>8</v>
      </c>
      <c r="AC2130">
        <v>3</v>
      </c>
      <c r="AD2130">
        <v>0</v>
      </c>
      <c r="AE2130">
        <v>9</v>
      </c>
      <c r="AF2130" t="s">
        <v>138</v>
      </c>
      <c r="AG2130">
        <v>0</v>
      </c>
      <c r="AH2130">
        <v>3</v>
      </c>
      <c r="AI2130">
        <v>2</v>
      </c>
      <c r="AJ2130">
        <v>0</v>
      </c>
      <c r="AK2130" t="s">
        <v>740</v>
      </c>
      <c r="AL2130">
        <v>39.058435000000003</v>
      </c>
      <c r="AM2130" t="s">
        <v>715</v>
      </c>
      <c r="AN2130">
        <v>-121.04156999999999</v>
      </c>
      <c r="AO2130">
        <v>25</v>
      </c>
      <c r="AP2130">
        <v>4500</v>
      </c>
      <c r="AQ2130" t="s">
        <v>131</v>
      </c>
      <c r="AR2130">
        <v>-2</v>
      </c>
      <c r="AS2130">
        <v>90</v>
      </c>
      <c r="AT2130">
        <v>64</v>
      </c>
      <c r="BB2130" t="str">
        <f t="shared" si="839"/>
        <v>1200</v>
      </c>
      <c r="BC2130">
        <v>1</v>
      </c>
      <c r="BD2130" t="str">
        <f t="shared" si="840"/>
        <v xml:space="preserve">N52156  </v>
      </c>
      <c r="BE2130">
        <v>1</v>
      </c>
      <c r="BG2130">
        <v>0</v>
      </c>
      <c r="BH2130">
        <v>0</v>
      </c>
      <c r="BI2130">
        <v>0</v>
      </c>
      <c r="BJ2130">
        <v>4550</v>
      </c>
      <c r="BK2130">
        <v>50</v>
      </c>
      <c r="BL2130" t="s">
        <v>188</v>
      </c>
      <c r="BM2130">
        <v>1</v>
      </c>
      <c r="BN2130">
        <v>1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 t="shared" si="845"/>
        <v>15:10:26.778</v>
      </c>
      <c r="CF2130">
        <v>777783987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3</v>
      </c>
      <c r="CY2130">
        <v>7</v>
      </c>
      <c r="CZ2130" t="s">
        <v>133</v>
      </c>
      <c r="DA2130">
        <v>276</v>
      </c>
      <c r="DB2130">
        <v>0</v>
      </c>
      <c r="DC2130" t="s">
        <v>402</v>
      </c>
      <c r="DD2130" t="s">
        <v>403</v>
      </c>
      <c r="DG2130">
        <v>1626772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"05/01/2025 15:10:27.036"</f>
        <v>05/01/2025 15:10:27.036</v>
      </c>
      <c r="C2131" t="str">
        <f t="shared" si="836"/>
        <v>FFDFD3C0</v>
      </c>
      <c r="D2131" t="s">
        <v>143</v>
      </c>
      <c r="E2131" t="str">
        <f>"05"</f>
        <v>05</v>
      </c>
      <c r="H2131">
        <v>172</v>
      </c>
      <c r="I2131" t="s">
        <v>141</v>
      </c>
      <c r="J2131" t="s">
        <v>144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R2131" t="s">
        <v>127</v>
      </c>
      <c r="S2131" t="str">
        <f t="shared" si="844"/>
        <v>15:10:26.000</v>
      </c>
      <c r="T2131" t="str">
        <f t="shared" si="844"/>
        <v>15:10:26.000</v>
      </c>
      <c r="U2131" t="str">
        <f t="shared" si="838"/>
        <v>A68FCB</v>
      </c>
      <c r="V2131">
        <v>0</v>
      </c>
      <c r="W2131">
        <v>0</v>
      </c>
      <c r="X2131">
        <v>2</v>
      </c>
      <c r="Y2131">
        <v>0</v>
      </c>
      <c r="AA2131">
        <v>1</v>
      </c>
      <c r="AB2131">
        <v>8</v>
      </c>
      <c r="AC2131">
        <v>3</v>
      </c>
      <c r="AD2131">
        <v>0</v>
      </c>
      <c r="AE2131">
        <v>9</v>
      </c>
      <c r="AF2131" t="s">
        <v>138</v>
      </c>
      <c r="AG2131">
        <v>0</v>
      </c>
      <c r="AH2131">
        <v>3</v>
      </c>
      <c r="AI2131">
        <v>2</v>
      </c>
      <c r="AJ2131">
        <v>0</v>
      </c>
      <c r="AK2131" t="s">
        <v>740</v>
      </c>
      <c r="AL2131">
        <v>39.058435000000003</v>
      </c>
      <c r="AM2131" t="s">
        <v>715</v>
      </c>
      <c r="AN2131">
        <v>-121.04156999999999</v>
      </c>
      <c r="AO2131">
        <v>25</v>
      </c>
      <c r="AP2131">
        <v>4500</v>
      </c>
      <c r="AQ2131" t="s">
        <v>131</v>
      </c>
      <c r="AR2131">
        <v>-2</v>
      </c>
      <c r="AS2131">
        <v>90</v>
      </c>
      <c r="AT2131">
        <v>64</v>
      </c>
      <c r="BB2131" t="str">
        <f t="shared" si="839"/>
        <v>1200</v>
      </c>
      <c r="BC2131">
        <v>1</v>
      </c>
      <c r="BD2131" t="str">
        <f t="shared" si="840"/>
        <v xml:space="preserve">N52156  </v>
      </c>
      <c r="BE2131">
        <v>1</v>
      </c>
      <c r="BG2131">
        <v>0</v>
      </c>
      <c r="BH2131">
        <v>0</v>
      </c>
      <c r="BI2131">
        <v>0</v>
      </c>
      <c r="BJ2131">
        <v>4550</v>
      </c>
      <c r="BK2131">
        <v>50</v>
      </c>
      <c r="BL2131" t="s">
        <v>188</v>
      </c>
      <c r="BM2131">
        <v>1</v>
      </c>
      <c r="BN2131">
        <v>1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 t="shared" si="845"/>
        <v>15:10:26.778</v>
      </c>
      <c r="CF2131">
        <v>777783987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3</v>
      </c>
      <c r="CY2131">
        <v>7</v>
      </c>
      <c r="CZ2131" t="s">
        <v>133</v>
      </c>
      <c r="DA2131">
        <v>276</v>
      </c>
      <c r="DB2131">
        <v>0</v>
      </c>
      <c r="DC2131" t="s">
        <v>402</v>
      </c>
      <c r="DD2131" t="s">
        <v>403</v>
      </c>
      <c r="DG2131">
        <v>1626772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"05/01/2025 15:10:27.611"</f>
        <v>05/01/2025 15:10:27.611</v>
      </c>
      <c r="C2132" t="str">
        <f t="shared" si="836"/>
        <v>FFDFD3C0</v>
      </c>
      <c r="D2132" t="s">
        <v>140</v>
      </c>
      <c r="E2132" t="str">
        <f>"13"</f>
        <v>13</v>
      </c>
      <c r="F2132">
        <v>1019</v>
      </c>
      <c r="G2132" t="s">
        <v>141</v>
      </c>
      <c r="J2132" t="s">
        <v>142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R2132" t="s">
        <v>127</v>
      </c>
      <c r="S2132" t="str">
        <f t="shared" ref="S2132:T2137" si="846">"15:10:27.000"</f>
        <v>15:10:27.000</v>
      </c>
      <c r="T2132" t="str">
        <f t="shared" si="846"/>
        <v>15:10:27.000</v>
      </c>
      <c r="U2132" t="str">
        <f t="shared" si="838"/>
        <v>A68FCB</v>
      </c>
      <c r="V2132">
        <v>0</v>
      </c>
      <c r="W2132">
        <v>0</v>
      </c>
      <c r="X2132">
        <v>2</v>
      </c>
      <c r="Y2132">
        <v>0</v>
      </c>
      <c r="AA2132">
        <v>1</v>
      </c>
      <c r="AB2132">
        <v>8</v>
      </c>
      <c r="AC2132">
        <v>3</v>
      </c>
      <c r="AD2132">
        <v>0</v>
      </c>
      <c r="AE2132">
        <v>9</v>
      </c>
      <c r="AF2132" t="s">
        <v>138</v>
      </c>
      <c r="AG2132">
        <v>0</v>
      </c>
      <c r="AH2132">
        <v>3</v>
      </c>
      <c r="AI2132">
        <v>2</v>
      </c>
      <c r="AJ2132">
        <v>0</v>
      </c>
      <c r="AK2132" t="s">
        <v>741</v>
      </c>
      <c r="AL2132">
        <v>39.058864</v>
      </c>
      <c r="AM2132" t="s">
        <v>715</v>
      </c>
      <c r="AN2132">
        <v>-121.04156999999999</v>
      </c>
      <c r="AO2132">
        <v>25</v>
      </c>
      <c r="AP2132">
        <v>4500</v>
      </c>
      <c r="AQ2132" t="s">
        <v>131</v>
      </c>
      <c r="AR2132">
        <v>-1</v>
      </c>
      <c r="AS2132">
        <v>90</v>
      </c>
      <c r="AT2132">
        <v>64</v>
      </c>
      <c r="BB2132" t="str">
        <f t="shared" si="839"/>
        <v>1200</v>
      </c>
      <c r="BC2132">
        <v>1</v>
      </c>
      <c r="BD2132" t="str">
        <f t="shared" si="840"/>
        <v xml:space="preserve">N52156  </v>
      </c>
      <c r="BE2132">
        <v>1</v>
      </c>
      <c r="BG2132">
        <v>0</v>
      </c>
      <c r="BH2132">
        <v>0</v>
      </c>
      <c r="BI2132">
        <v>0</v>
      </c>
      <c r="BJ2132">
        <v>4550</v>
      </c>
      <c r="BK2132">
        <v>50</v>
      </c>
      <c r="BL2132" t="s">
        <v>188</v>
      </c>
      <c r="BM2132">
        <v>1</v>
      </c>
      <c r="BN2132">
        <v>1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 t="shared" ref="CE2132:CE2137" si="847">"15:10:27.413"</f>
        <v>15:10:27.413</v>
      </c>
      <c r="CF2132">
        <v>413283180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3</v>
      </c>
      <c r="CY2132">
        <v>7</v>
      </c>
      <c r="CZ2132" t="s">
        <v>133</v>
      </c>
      <c r="DA2132">
        <v>276</v>
      </c>
      <c r="DB2132">
        <v>0</v>
      </c>
      <c r="DC2132" t="s">
        <v>402</v>
      </c>
      <c r="DD2132" t="s">
        <v>403</v>
      </c>
      <c r="DG2132">
        <v>1626779</v>
      </c>
      <c r="DI2132">
        <v>1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"05/01/2025 15:10:27.620"</f>
        <v>05/01/2025 15:10:27.620</v>
      </c>
      <c r="C2133" t="str">
        <f t="shared" si="836"/>
        <v>FFDFD3C0</v>
      </c>
      <c r="D2133" t="s">
        <v>124</v>
      </c>
      <c r="E2133" t="str">
        <f>"06"</f>
        <v>06</v>
      </c>
      <c r="F2133">
        <v>2006</v>
      </c>
      <c r="G2133" t="s">
        <v>125</v>
      </c>
      <c r="J2133" t="s">
        <v>126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R2133" t="s">
        <v>127</v>
      </c>
      <c r="S2133" t="str">
        <f t="shared" si="846"/>
        <v>15:10:27.000</v>
      </c>
      <c r="T2133" t="str">
        <f t="shared" si="846"/>
        <v>15:10:27.000</v>
      </c>
      <c r="U2133" t="str">
        <f t="shared" si="838"/>
        <v>A68FCB</v>
      </c>
      <c r="V2133">
        <v>0</v>
      </c>
      <c r="W2133">
        <v>0</v>
      </c>
      <c r="X2133">
        <v>2</v>
      </c>
      <c r="Y2133">
        <v>0</v>
      </c>
      <c r="AA2133">
        <v>1</v>
      </c>
      <c r="AB2133">
        <v>8</v>
      </c>
      <c r="AC2133">
        <v>3</v>
      </c>
      <c r="AD2133">
        <v>0</v>
      </c>
      <c r="AE2133">
        <v>9</v>
      </c>
      <c r="AF2133" t="s">
        <v>138</v>
      </c>
      <c r="AG2133">
        <v>0</v>
      </c>
      <c r="AH2133">
        <v>3</v>
      </c>
      <c r="AI2133">
        <v>2</v>
      </c>
      <c r="AJ2133">
        <v>0</v>
      </c>
      <c r="AK2133" t="s">
        <v>741</v>
      </c>
      <c r="AL2133">
        <v>39.058864</v>
      </c>
      <c r="AM2133" t="s">
        <v>715</v>
      </c>
      <c r="AN2133">
        <v>-121.04156999999999</v>
      </c>
      <c r="AO2133">
        <v>25</v>
      </c>
      <c r="AP2133">
        <v>4500</v>
      </c>
      <c r="AQ2133" t="s">
        <v>131</v>
      </c>
      <c r="AR2133">
        <v>-1</v>
      </c>
      <c r="AS2133">
        <v>90</v>
      </c>
      <c r="AT2133">
        <v>64</v>
      </c>
      <c r="BB2133" t="str">
        <f t="shared" si="839"/>
        <v>1200</v>
      </c>
      <c r="BC2133">
        <v>1</v>
      </c>
      <c r="BD2133" t="str">
        <f t="shared" si="840"/>
        <v xml:space="preserve">N52156  </v>
      </c>
      <c r="BE2133">
        <v>1</v>
      </c>
      <c r="BG2133">
        <v>0</v>
      </c>
      <c r="BH2133">
        <v>0</v>
      </c>
      <c r="BI2133">
        <v>0</v>
      </c>
      <c r="BJ2133">
        <v>4550</v>
      </c>
      <c r="BK2133">
        <v>50</v>
      </c>
      <c r="BL2133" t="s">
        <v>188</v>
      </c>
      <c r="BM2133">
        <v>1</v>
      </c>
      <c r="BN2133">
        <v>1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 t="shared" si="847"/>
        <v>15:10:27.413</v>
      </c>
      <c r="CF2133">
        <v>413283180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3</v>
      </c>
      <c r="CY2133">
        <v>7</v>
      </c>
      <c r="CZ2133" t="s">
        <v>133</v>
      </c>
      <c r="DA2133">
        <v>276</v>
      </c>
      <c r="DB2133">
        <v>0</v>
      </c>
      <c r="DC2133" t="s">
        <v>402</v>
      </c>
      <c r="DD2133" t="s">
        <v>403</v>
      </c>
      <c r="DG2133">
        <v>1626779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"05/01/2025 15:10:27.624"</f>
        <v>05/01/2025 15:10:27.624</v>
      </c>
      <c r="C2134" t="str">
        <f t="shared" si="836"/>
        <v>FFDFD3C0</v>
      </c>
      <c r="D2134" t="s">
        <v>145</v>
      </c>
      <c r="E2134" t="str">
        <f>"05"</f>
        <v>05</v>
      </c>
      <c r="H2134">
        <v>47</v>
      </c>
      <c r="I2134" t="s">
        <v>146</v>
      </c>
      <c r="J2134" t="s">
        <v>138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R2134" t="s">
        <v>127</v>
      </c>
      <c r="S2134" t="str">
        <f t="shared" si="846"/>
        <v>15:10:27.000</v>
      </c>
      <c r="T2134" t="str">
        <f t="shared" si="846"/>
        <v>15:10:27.000</v>
      </c>
      <c r="U2134" t="str">
        <f t="shared" si="838"/>
        <v>A68FCB</v>
      </c>
      <c r="V2134">
        <v>0</v>
      </c>
      <c r="W2134">
        <v>0</v>
      </c>
      <c r="X2134">
        <v>2</v>
      </c>
      <c r="Y2134">
        <v>0</v>
      </c>
      <c r="AA2134">
        <v>1</v>
      </c>
      <c r="AB2134">
        <v>8</v>
      </c>
      <c r="AC2134">
        <v>3</v>
      </c>
      <c r="AD2134">
        <v>0</v>
      </c>
      <c r="AE2134">
        <v>9</v>
      </c>
      <c r="AF2134" t="s">
        <v>138</v>
      </c>
      <c r="AG2134">
        <v>0</v>
      </c>
      <c r="AH2134">
        <v>3</v>
      </c>
      <c r="AI2134">
        <v>2</v>
      </c>
      <c r="AJ2134">
        <v>0</v>
      </c>
      <c r="AK2134" t="s">
        <v>741</v>
      </c>
      <c r="AL2134">
        <v>39.058864</v>
      </c>
      <c r="AM2134" t="s">
        <v>715</v>
      </c>
      <c r="AN2134">
        <v>-121.04156999999999</v>
      </c>
      <c r="AO2134">
        <v>25</v>
      </c>
      <c r="AP2134">
        <v>4500</v>
      </c>
      <c r="AQ2134" t="s">
        <v>131</v>
      </c>
      <c r="AR2134">
        <v>-1</v>
      </c>
      <c r="AS2134">
        <v>90</v>
      </c>
      <c r="AT2134">
        <v>64</v>
      </c>
      <c r="BB2134" t="str">
        <f t="shared" si="839"/>
        <v>1200</v>
      </c>
      <c r="BC2134">
        <v>1</v>
      </c>
      <c r="BD2134" t="str">
        <f t="shared" si="840"/>
        <v xml:space="preserve">N52156  </v>
      </c>
      <c r="BE2134">
        <v>1</v>
      </c>
      <c r="BG2134">
        <v>0</v>
      </c>
      <c r="BH2134">
        <v>0</v>
      </c>
      <c r="BI2134">
        <v>0</v>
      </c>
      <c r="BJ2134">
        <v>4550</v>
      </c>
      <c r="BK2134">
        <v>50</v>
      </c>
      <c r="BL2134" t="s">
        <v>188</v>
      </c>
      <c r="BM2134">
        <v>1</v>
      </c>
      <c r="BN2134">
        <v>1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 t="shared" si="847"/>
        <v>15:10:27.413</v>
      </c>
      <c r="CF2134">
        <v>413283180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3</v>
      </c>
      <c r="CY2134">
        <v>7</v>
      </c>
      <c r="CZ2134" t="s">
        <v>133</v>
      </c>
      <c r="DA2134">
        <v>276</v>
      </c>
      <c r="DB2134">
        <v>0</v>
      </c>
      <c r="DC2134" t="s">
        <v>402</v>
      </c>
      <c r="DD2134" t="s">
        <v>403</v>
      </c>
      <c r="DG2134">
        <v>1626779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"05/01/2025 15:10:27.627"</f>
        <v>05/01/2025 15:10:27.627</v>
      </c>
      <c r="C2135" t="str">
        <f t="shared" si="836"/>
        <v>FFDFD3C0</v>
      </c>
      <c r="D2135" t="s">
        <v>145</v>
      </c>
      <c r="E2135" t="str">
        <f>"09"</f>
        <v>09</v>
      </c>
      <c r="H2135">
        <v>51</v>
      </c>
      <c r="I2135" t="s">
        <v>147</v>
      </c>
      <c r="J2135" t="s">
        <v>138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R2135" t="s">
        <v>127</v>
      </c>
      <c r="S2135" t="str">
        <f t="shared" si="846"/>
        <v>15:10:27.000</v>
      </c>
      <c r="T2135" t="str">
        <f t="shared" si="846"/>
        <v>15:10:27.000</v>
      </c>
      <c r="U2135" t="str">
        <f t="shared" si="838"/>
        <v>A68FCB</v>
      </c>
      <c r="V2135">
        <v>0</v>
      </c>
      <c r="W2135">
        <v>0</v>
      </c>
      <c r="X2135">
        <v>2</v>
      </c>
      <c r="Y2135">
        <v>0</v>
      </c>
      <c r="AA2135">
        <v>1</v>
      </c>
      <c r="AB2135">
        <v>8</v>
      </c>
      <c r="AC2135">
        <v>3</v>
      </c>
      <c r="AD2135">
        <v>0</v>
      </c>
      <c r="AE2135">
        <v>9</v>
      </c>
      <c r="AF2135" t="s">
        <v>138</v>
      </c>
      <c r="AG2135">
        <v>0</v>
      </c>
      <c r="AH2135">
        <v>3</v>
      </c>
      <c r="AI2135">
        <v>2</v>
      </c>
      <c r="AJ2135">
        <v>0</v>
      </c>
      <c r="AK2135" t="s">
        <v>741</v>
      </c>
      <c r="AL2135">
        <v>39.058864</v>
      </c>
      <c r="AM2135" t="s">
        <v>715</v>
      </c>
      <c r="AN2135">
        <v>-121.04156999999999</v>
      </c>
      <c r="AO2135">
        <v>25</v>
      </c>
      <c r="AP2135">
        <v>4500</v>
      </c>
      <c r="AQ2135" t="s">
        <v>131</v>
      </c>
      <c r="AR2135">
        <v>-1</v>
      </c>
      <c r="AS2135">
        <v>90</v>
      </c>
      <c r="AT2135">
        <v>64</v>
      </c>
      <c r="BB2135" t="str">
        <f t="shared" si="839"/>
        <v>1200</v>
      </c>
      <c r="BC2135">
        <v>1</v>
      </c>
      <c r="BD2135" t="str">
        <f t="shared" si="840"/>
        <v xml:space="preserve">N52156  </v>
      </c>
      <c r="BE2135">
        <v>1</v>
      </c>
      <c r="BG2135">
        <v>0</v>
      </c>
      <c r="BH2135">
        <v>0</v>
      </c>
      <c r="BI2135">
        <v>0</v>
      </c>
      <c r="BJ2135">
        <v>4550</v>
      </c>
      <c r="BK2135">
        <v>50</v>
      </c>
      <c r="BL2135" t="s">
        <v>188</v>
      </c>
      <c r="BM2135">
        <v>1</v>
      </c>
      <c r="BN2135">
        <v>1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 t="shared" si="847"/>
        <v>15:10:27.413</v>
      </c>
      <c r="CF2135">
        <v>413283180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3</v>
      </c>
      <c r="CY2135">
        <v>7</v>
      </c>
      <c r="CZ2135" t="s">
        <v>133</v>
      </c>
      <c r="DA2135">
        <v>276</v>
      </c>
      <c r="DB2135">
        <v>0</v>
      </c>
      <c r="DC2135" t="s">
        <v>402</v>
      </c>
      <c r="DD2135" t="s">
        <v>403</v>
      </c>
      <c r="DG2135">
        <v>1626779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"05/01/2025 15:10:27.635"</f>
        <v>05/01/2025 15:10:27.635</v>
      </c>
      <c r="C2136" t="str">
        <f t="shared" si="836"/>
        <v>FFDFD3C0</v>
      </c>
      <c r="D2136" t="s">
        <v>136</v>
      </c>
      <c r="E2136" t="str">
        <f>"20"</f>
        <v>20</v>
      </c>
      <c r="H2136">
        <v>400</v>
      </c>
      <c r="I2136" t="s">
        <v>137</v>
      </c>
      <c r="J2136" t="s">
        <v>138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R2136" t="s">
        <v>127</v>
      </c>
      <c r="S2136" t="str">
        <f t="shared" si="846"/>
        <v>15:10:27.000</v>
      </c>
      <c r="T2136" t="str">
        <f t="shared" si="846"/>
        <v>15:10:27.000</v>
      </c>
      <c r="U2136" t="str">
        <f t="shared" si="838"/>
        <v>A68FCB</v>
      </c>
      <c r="V2136">
        <v>0</v>
      </c>
      <c r="W2136">
        <v>0</v>
      </c>
      <c r="X2136">
        <v>2</v>
      </c>
      <c r="Y2136">
        <v>0</v>
      </c>
      <c r="AA2136">
        <v>1</v>
      </c>
      <c r="AB2136">
        <v>8</v>
      </c>
      <c r="AC2136">
        <v>3</v>
      </c>
      <c r="AD2136">
        <v>0</v>
      </c>
      <c r="AE2136">
        <v>9</v>
      </c>
      <c r="AF2136" t="s">
        <v>138</v>
      </c>
      <c r="AG2136">
        <v>0</v>
      </c>
      <c r="AH2136">
        <v>3</v>
      </c>
      <c r="AI2136">
        <v>2</v>
      </c>
      <c r="AJ2136">
        <v>0</v>
      </c>
      <c r="AK2136" t="s">
        <v>741</v>
      </c>
      <c r="AL2136">
        <v>39.058864</v>
      </c>
      <c r="AM2136" t="s">
        <v>715</v>
      </c>
      <c r="AN2136">
        <v>-121.04156999999999</v>
      </c>
      <c r="AO2136">
        <v>25</v>
      </c>
      <c r="AP2136">
        <v>4500</v>
      </c>
      <c r="AQ2136" t="s">
        <v>131</v>
      </c>
      <c r="AR2136">
        <v>-1</v>
      </c>
      <c r="AS2136">
        <v>90</v>
      </c>
      <c r="AT2136">
        <v>64</v>
      </c>
      <c r="BB2136" t="str">
        <f t="shared" si="839"/>
        <v>1200</v>
      </c>
      <c r="BC2136">
        <v>1</v>
      </c>
      <c r="BD2136" t="str">
        <f t="shared" si="840"/>
        <v xml:space="preserve">N52156  </v>
      </c>
      <c r="BE2136">
        <v>1</v>
      </c>
      <c r="BG2136">
        <v>0</v>
      </c>
      <c r="BH2136">
        <v>0</v>
      </c>
      <c r="BI2136">
        <v>0</v>
      </c>
      <c r="BJ2136">
        <v>4550</v>
      </c>
      <c r="BK2136">
        <v>50</v>
      </c>
      <c r="BL2136" t="s">
        <v>188</v>
      </c>
      <c r="BM2136">
        <v>1</v>
      </c>
      <c r="BN2136">
        <v>1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 t="shared" si="847"/>
        <v>15:10:27.413</v>
      </c>
      <c r="CF2136">
        <v>413283180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3</v>
      </c>
      <c r="CY2136">
        <v>7</v>
      </c>
      <c r="CZ2136" t="s">
        <v>133</v>
      </c>
      <c r="DA2136">
        <v>276</v>
      </c>
      <c r="DB2136">
        <v>0</v>
      </c>
      <c r="DC2136" t="s">
        <v>402</v>
      </c>
      <c r="DD2136" t="s">
        <v>403</v>
      </c>
      <c r="DG2136">
        <v>1626779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"05/01/2025 15:10:27.637"</f>
        <v>05/01/2025 15:10:27.637</v>
      </c>
      <c r="C2137" t="str">
        <f t="shared" si="836"/>
        <v>FFDFD3C0</v>
      </c>
      <c r="D2137" t="s">
        <v>143</v>
      </c>
      <c r="E2137" t="str">
        <f>"05"</f>
        <v>05</v>
      </c>
      <c r="H2137">
        <v>172</v>
      </c>
      <c r="I2137" t="s">
        <v>141</v>
      </c>
      <c r="J2137" t="s">
        <v>144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R2137" t="s">
        <v>127</v>
      </c>
      <c r="S2137" t="str">
        <f t="shared" si="846"/>
        <v>15:10:27.000</v>
      </c>
      <c r="T2137" t="str">
        <f t="shared" si="846"/>
        <v>15:10:27.000</v>
      </c>
      <c r="U2137" t="str">
        <f t="shared" si="838"/>
        <v>A68FCB</v>
      </c>
      <c r="V2137">
        <v>0</v>
      </c>
      <c r="W2137">
        <v>0</v>
      </c>
      <c r="X2137">
        <v>2</v>
      </c>
      <c r="Y2137">
        <v>0</v>
      </c>
      <c r="AA2137">
        <v>1</v>
      </c>
      <c r="AB2137">
        <v>8</v>
      </c>
      <c r="AC2137">
        <v>3</v>
      </c>
      <c r="AD2137">
        <v>0</v>
      </c>
      <c r="AE2137">
        <v>9</v>
      </c>
      <c r="AF2137" t="s">
        <v>138</v>
      </c>
      <c r="AG2137">
        <v>0</v>
      </c>
      <c r="AH2137">
        <v>3</v>
      </c>
      <c r="AI2137">
        <v>2</v>
      </c>
      <c r="AJ2137">
        <v>0</v>
      </c>
      <c r="AK2137" t="s">
        <v>741</v>
      </c>
      <c r="AL2137">
        <v>39.058864</v>
      </c>
      <c r="AM2137" t="s">
        <v>715</v>
      </c>
      <c r="AN2137">
        <v>-121.04156999999999</v>
      </c>
      <c r="AO2137">
        <v>25</v>
      </c>
      <c r="AP2137">
        <v>4500</v>
      </c>
      <c r="AQ2137" t="s">
        <v>131</v>
      </c>
      <c r="AR2137">
        <v>-1</v>
      </c>
      <c r="AS2137">
        <v>90</v>
      </c>
      <c r="AT2137">
        <v>64</v>
      </c>
      <c r="BB2137" t="str">
        <f t="shared" si="839"/>
        <v>1200</v>
      </c>
      <c r="BC2137">
        <v>1</v>
      </c>
      <c r="BD2137" t="str">
        <f t="shared" si="840"/>
        <v xml:space="preserve">N52156  </v>
      </c>
      <c r="BE2137">
        <v>1</v>
      </c>
      <c r="BG2137">
        <v>0</v>
      </c>
      <c r="BH2137">
        <v>0</v>
      </c>
      <c r="BI2137">
        <v>0</v>
      </c>
      <c r="BJ2137">
        <v>4550</v>
      </c>
      <c r="BK2137">
        <v>50</v>
      </c>
      <c r="BL2137" t="s">
        <v>188</v>
      </c>
      <c r="BM2137">
        <v>1</v>
      </c>
      <c r="BN2137">
        <v>1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 t="shared" si="847"/>
        <v>15:10:27.413</v>
      </c>
      <c r="CF2137">
        <v>413283180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3</v>
      </c>
      <c r="CY2137">
        <v>7</v>
      </c>
      <c r="CZ2137" t="s">
        <v>133</v>
      </c>
      <c r="DA2137">
        <v>276</v>
      </c>
      <c r="DB2137">
        <v>0</v>
      </c>
      <c r="DC2137" t="s">
        <v>402</v>
      </c>
      <c r="DD2137" t="s">
        <v>403</v>
      </c>
      <c r="DG2137">
        <v>1626779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"05/01/2025 15:10:29.037"</f>
        <v>05/01/2025 15:10:29.037</v>
      </c>
      <c r="C2138" t="str">
        <f t="shared" si="836"/>
        <v>FFDFD3C0</v>
      </c>
      <c r="D2138" t="s">
        <v>136</v>
      </c>
      <c r="E2138" t="str">
        <f>"20"</f>
        <v>20</v>
      </c>
      <c r="H2138">
        <v>400</v>
      </c>
      <c r="I2138" t="s">
        <v>137</v>
      </c>
      <c r="J2138" t="s">
        <v>138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R2138" t="s">
        <v>127</v>
      </c>
      <c r="S2138" t="str">
        <f t="shared" ref="S2138:T2143" si="848">"15:10:28.000"</f>
        <v>15:10:28.000</v>
      </c>
      <c r="T2138" t="str">
        <f t="shared" si="848"/>
        <v>15:10:28.000</v>
      </c>
      <c r="U2138" t="str">
        <f t="shared" si="838"/>
        <v>A68FCB</v>
      </c>
      <c r="V2138">
        <v>0</v>
      </c>
      <c r="W2138">
        <v>0</v>
      </c>
      <c r="X2138">
        <v>2</v>
      </c>
      <c r="Y2138">
        <v>0</v>
      </c>
      <c r="AA2138">
        <v>1</v>
      </c>
      <c r="AB2138">
        <v>8</v>
      </c>
      <c r="AC2138">
        <v>3</v>
      </c>
      <c r="AD2138">
        <v>0</v>
      </c>
      <c r="AE2138">
        <v>9</v>
      </c>
      <c r="AF2138" t="s">
        <v>138</v>
      </c>
      <c r="AG2138">
        <v>0</v>
      </c>
      <c r="AH2138">
        <v>3</v>
      </c>
      <c r="AI2138">
        <v>2</v>
      </c>
      <c r="AJ2138">
        <v>0</v>
      </c>
      <c r="AK2138" t="s">
        <v>742</v>
      </c>
      <c r="AL2138">
        <v>39.059292999999997</v>
      </c>
      <c r="AM2138" t="s">
        <v>713</v>
      </c>
      <c r="AN2138">
        <v>-121.041591</v>
      </c>
      <c r="AO2138">
        <v>25</v>
      </c>
      <c r="AP2138">
        <v>4500</v>
      </c>
      <c r="AQ2138" t="s">
        <v>131</v>
      </c>
      <c r="AR2138">
        <v>0</v>
      </c>
      <c r="AS2138">
        <v>91</v>
      </c>
      <c r="AT2138">
        <v>64</v>
      </c>
      <c r="BB2138" t="str">
        <f t="shared" si="839"/>
        <v>1200</v>
      </c>
      <c r="BC2138">
        <v>1</v>
      </c>
      <c r="BD2138" t="str">
        <f t="shared" si="840"/>
        <v xml:space="preserve">N52156  </v>
      </c>
      <c r="BE2138">
        <v>1</v>
      </c>
      <c r="BG2138">
        <v>0</v>
      </c>
      <c r="BH2138">
        <v>0</v>
      </c>
      <c r="BI2138">
        <v>0</v>
      </c>
      <c r="BJ2138">
        <v>4550</v>
      </c>
      <c r="BK2138">
        <v>50</v>
      </c>
      <c r="BL2138" t="s">
        <v>188</v>
      </c>
      <c r="BM2138">
        <v>1</v>
      </c>
      <c r="BN2138">
        <v>1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 t="shared" ref="CE2138:CE2143" si="849">"15:10:28.831"</f>
        <v>15:10:28.831</v>
      </c>
      <c r="CF2138">
        <v>831034412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3</v>
      </c>
      <c r="CY2138">
        <v>7</v>
      </c>
      <c r="CZ2138" t="s">
        <v>133</v>
      </c>
      <c r="DA2138">
        <v>276</v>
      </c>
      <c r="DB2138">
        <v>0</v>
      </c>
      <c r="DC2138" t="s">
        <v>402</v>
      </c>
      <c r="DD2138" t="s">
        <v>403</v>
      </c>
      <c r="DG2138">
        <v>1626791</v>
      </c>
      <c r="DI2138">
        <v>1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"05/01/2025 15:10:29.040"</f>
        <v>05/01/2025 15:10:29.040</v>
      </c>
      <c r="C2139" t="str">
        <f t="shared" si="836"/>
        <v>FFDFD3C0</v>
      </c>
      <c r="D2139" t="s">
        <v>143</v>
      </c>
      <c r="E2139" t="str">
        <f>"05"</f>
        <v>05</v>
      </c>
      <c r="H2139">
        <v>172</v>
      </c>
      <c r="I2139" t="s">
        <v>141</v>
      </c>
      <c r="J2139" t="s">
        <v>144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R2139" t="s">
        <v>127</v>
      </c>
      <c r="S2139" t="str">
        <f t="shared" si="848"/>
        <v>15:10:28.000</v>
      </c>
      <c r="T2139" t="str">
        <f t="shared" si="848"/>
        <v>15:10:28.000</v>
      </c>
      <c r="U2139" t="str">
        <f t="shared" si="838"/>
        <v>A68FCB</v>
      </c>
      <c r="V2139">
        <v>0</v>
      </c>
      <c r="W2139">
        <v>0</v>
      </c>
      <c r="X2139">
        <v>2</v>
      </c>
      <c r="Y2139">
        <v>0</v>
      </c>
      <c r="AA2139">
        <v>1</v>
      </c>
      <c r="AB2139">
        <v>8</v>
      </c>
      <c r="AC2139">
        <v>3</v>
      </c>
      <c r="AD2139">
        <v>0</v>
      </c>
      <c r="AE2139">
        <v>9</v>
      </c>
      <c r="AF2139" t="s">
        <v>138</v>
      </c>
      <c r="AG2139">
        <v>0</v>
      </c>
      <c r="AH2139">
        <v>3</v>
      </c>
      <c r="AI2139">
        <v>2</v>
      </c>
      <c r="AJ2139">
        <v>0</v>
      </c>
      <c r="AK2139" t="s">
        <v>742</v>
      </c>
      <c r="AL2139">
        <v>39.059292999999997</v>
      </c>
      <c r="AM2139" t="s">
        <v>713</v>
      </c>
      <c r="AN2139">
        <v>-121.041591</v>
      </c>
      <c r="AO2139">
        <v>25</v>
      </c>
      <c r="AP2139">
        <v>4500</v>
      </c>
      <c r="AQ2139" t="s">
        <v>131</v>
      </c>
      <c r="AR2139">
        <v>0</v>
      </c>
      <c r="AS2139">
        <v>91</v>
      </c>
      <c r="AT2139">
        <v>64</v>
      </c>
      <c r="BB2139" t="str">
        <f t="shared" si="839"/>
        <v>1200</v>
      </c>
      <c r="BC2139">
        <v>1</v>
      </c>
      <c r="BD2139" t="str">
        <f t="shared" si="840"/>
        <v xml:space="preserve">N52156  </v>
      </c>
      <c r="BE2139">
        <v>1</v>
      </c>
      <c r="BG2139">
        <v>0</v>
      </c>
      <c r="BH2139">
        <v>0</v>
      </c>
      <c r="BI2139">
        <v>0</v>
      </c>
      <c r="BJ2139">
        <v>4550</v>
      </c>
      <c r="BK2139">
        <v>50</v>
      </c>
      <c r="BL2139" t="s">
        <v>188</v>
      </c>
      <c r="BM2139">
        <v>1</v>
      </c>
      <c r="BN2139">
        <v>1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 t="shared" si="849"/>
        <v>15:10:28.831</v>
      </c>
      <c r="CF2139">
        <v>831034412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3</v>
      </c>
      <c r="CY2139">
        <v>7</v>
      </c>
      <c r="CZ2139" t="s">
        <v>133</v>
      </c>
      <c r="DA2139">
        <v>276</v>
      </c>
      <c r="DB2139">
        <v>0</v>
      </c>
      <c r="DC2139" t="s">
        <v>402</v>
      </c>
      <c r="DD2139" t="s">
        <v>403</v>
      </c>
      <c r="DG2139">
        <v>1626791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"05/01/2025 15:10:29.063"</f>
        <v>05/01/2025 15:10:29.063</v>
      </c>
      <c r="C2140" t="str">
        <f t="shared" si="836"/>
        <v>FFDFD3C0</v>
      </c>
      <c r="D2140" t="s">
        <v>140</v>
      </c>
      <c r="E2140" t="str">
        <f>"13"</f>
        <v>13</v>
      </c>
      <c r="F2140">
        <v>1019</v>
      </c>
      <c r="G2140" t="s">
        <v>141</v>
      </c>
      <c r="J2140" t="s">
        <v>142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R2140" t="s">
        <v>127</v>
      </c>
      <c r="S2140" t="str">
        <f t="shared" si="848"/>
        <v>15:10:28.000</v>
      </c>
      <c r="T2140" t="str">
        <f t="shared" si="848"/>
        <v>15:10:28.000</v>
      </c>
      <c r="U2140" t="str">
        <f t="shared" si="838"/>
        <v>A68FCB</v>
      </c>
      <c r="V2140">
        <v>0</v>
      </c>
      <c r="W2140">
        <v>0</v>
      </c>
      <c r="X2140">
        <v>2</v>
      </c>
      <c r="Y2140">
        <v>0</v>
      </c>
      <c r="AA2140">
        <v>1</v>
      </c>
      <c r="AB2140">
        <v>8</v>
      </c>
      <c r="AC2140">
        <v>3</v>
      </c>
      <c r="AD2140">
        <v>0</v>
      </c>
      <c r="AE2140">
        <v>9</v>
      </c>
      <c r="AF2140" t="s">
        <v>138</v>
      </c>
      <c r="AG2140">
        <v>0</v>
      </c>
      <c r="AH2140">
        <v>3</v>
      </c>
      <c r="AI2140">
        <v>2</v>
      </c>
      <c r="AJ2140">
        <v>0</v>
      </c>
      <c r="AK2140" t="s">
        <v>742</v>
      </c>
      <c r="AL2140">
        <v>39.059292999999997</v>
      </c>
      <c r="AM2140" t="s">
        <v>713</v>
      </c>
      <c r="AN2140">
        <v>-121.041591</v>
      </c>
      <c r="AO2140">
        <v>25</v>
      </c>
      <c r="AP2140">
        <v>4500</v>
      </c>
      <c r="AQ2140" t="s">
        <v>131</v>
      </c>
      <c r="AR2140">
        <v>0</v>
      </c>
      <c r="AS2140">
        <v>91</v>
      </c>
      <c r="AT2140">
        <v>64</v>
      </c>
      <c r="BB2140" t="str">
        <f t="shared" si="839"/>
        <v>1200</v>
      </c>
      <c r="BC2140">
        <v>1</v>
      </c>
      <c r="BD2140" t="str">
        <f t="shared" si="840"/>
        <v xml:space="preserve">N52156  </v>
      </c>
      <c r="BE2140">
        <v>1</v>
      </c>
      <c r="BG2140">
        <v>0</v>
      </c>
      <c r="BH2140">
        <v>0</v>
      </c>
      <c r="BI2140">
        <v>0</v>
      </c>
      <c r="BJ2140">
        <v>4550</v>
      </c>
      <c r="BK2140">
        <v>50</v>
      </c>
      <c r="BL2140" t="s">
        <v>188</v>
      </c>
      <c r="BM2140">
        <v>1</v>
      </c>
      <c r="BN2140">
        <v>1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 t="shared" si="849"/>
        <v>15:10:28.831</v>
      </c>
      <c r="CF2140">
        <v>831034412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3</v>
      </c>
      <c r="CY2140">
        <v>7</v>
      </c>
      <c r="CZ2140" t="s">
        <v>133</v>
      </c>
      <c r="DA2140">
        <v>276</v>
      </c>
      <c r="DB2140">
        <v>0</v>
      </c>
      <c r="DC2140" t="s">
        <v>402</v>
      </c>
      <c r="DD2140" t="s">
        <v>403</v>
      </c>
      <c r="DG2140">
        <v>1626791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"05/01/2025 15:10:29.073"</f>
        <v>05/01/2025 15:10:29.073</v>
      </c>
      <c r="C2141" t="str">
        <f t="shared" si="836"/>
        <v>FFDFD3C0</v>
      </c>
      <c r="D2141" t="s">
        <v>124</v>
      </c>
      <c r="E2141" t="str">
        <f>"06"</f>
        <v>06</v>
      </c>
      <c r="F2141">
        <v>2006</v>
      </c>
      <c r="G2141" t="s">
        <v>125</v>
      </c>
      <c r="J2141" t="s">
        <v>126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R2141" t="s">
        <v>127</v>
      </c>
      <c r="S2141" t="str">
        <f t="shared" si="848"/>
        <v>15:10:28.000</v>
      </c>
      <c r="T2141" t="str">
        <f t="shared" si="848"/>
        <v>15:10:28.000</v>
      </c>
      <c r="U2141" t="str">
        <f t="shared" si="838"/>
        <v>A68FCB</v>
      </c>
      <c r="V2141">
        <v>0</v>
      </c>
      <c r="W2141">
        <v>0</v>
      </c>
      <c r="X2141">
        <v>2</v>
      </c>
      <c r="Y2141">
        <v>0</v>
      </c>
      <c r="AA2141">
        <v>1</v>
      </c>
      <c r="AB2141">
        <v>8</v>
      </c>
      <c r="AC2141">
        <v>3</v>
      </c>
      <c r="AD2141">
        <v>0</v>
      </c>
      <c r="AE2141">
        <v>9</v>
      </c>
      <c r="AF2141" t="s">
        <v>138</v>
      </c>
      <c r="AG2141">
        <v>0</v>
      </c>
      <c r="AH2141">
        <v>3</v>
      </c>
      <c r="AI2141">
        <v>2</v>
      </c>
      <c r="AJ2141">
        <v>0</v>
      </c>
      <c r="AK2141" t="s">
        <v>742</v>
      </c>
      <c r="AL2141">
        <v>39.059292999999997</v>
      </c>
      <c r="AM2141" t="s">
        <v>713</v>
      </c>
      <c r="AN2141">
        <v>-121.041591</v>
      </c>
      <c r="AO2141">
        <v>25</v>
      </c>
      <c r="AP2141">
        <v>4500</v>
      </c>
      <c r="AQ2141" t="s">
        <v>131</v>
      </c>
      <c r="AR2141">
        <v>0</v>
      </c>
      <c r="AS2141">
        <v>91</v>
      </c>
      <c r="AT2141">
        <v>64</v>
      </c>
      <c r="BB2141" t="str">
        <f t="shared" si="839"/>
        <v>1200</v>
      </c>
      <c r="BC2141">
        <v>1</v>
      </c>
      <c r="BD2141" t="str">
        <f t="shared" si="840"/>
        <v xml:space="preserve">N52156  </v>
      </c>
      <c r="BE2141">
        <v>1</v>
      </c>
      <c r="BG2141">
        <v>0</v>
      </c>
      <c r="BH2141">
        <v>0</v>
      </c>
      <c r="BI2141">
        <v>0</v>
      </c>
      <c r="BJ2141">
        <v>4550</v>
      </c>
      <c r="BK2141">
        <v>50</v>
      </c>
      <c r="BL2141" t="s">
        <v>188</v>
      </c>
      <c r="BM2141">
        <v>1</v>
      </c>
      <c r="BN2141">
        <v>1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 t="shared" si="849"/>
        <v>15:10:28.831</v>
      </c>
      <c r="CF2141">
        <v>831034412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3</v>
      </c>
      <c r="CY2141">
        <v>7</v>
      </c>
      <c r="CZ2141" t="s">
        <v>133</v>
      </c>
      <c r="DA2141">
        <v>276</v>
      </c>
      <c r="DB2141">
        <v>0</v>
      </c>
      <c r="DC2141" t="s">
        <v>402</v>
      </c>
      <c r="DD2141" t="s">
        <v>403</v>
      </c>
      <c r="DG2141">
        <v>1626791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"05/01/2025 15:10:29.078"</f>
        <v>05/01/2025 15:10:29.078</v>
      </c>
      <c r="C2142" t="str">
        <f t="shared" si="836"/>
        <v>FFDFD3C0</v>
      </c>
      <c r="D2142" t="s">
        <v>145</v>
      </c>
      <c r="E2142" t="str">
        <f>"05"</f>
        <v>05</v>
      </c>
      <c r="H2142">
        <v>47</v>
      </c>
      <c r="I2142" t="s">
        <v>146</v>
      </c>
      <c r="J2142" t="s">
        <v>138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R2142" t="s">
        <v>127</v>
      </c>
      <c r="S2142" t="str">
        <f t="shared" si="848"/>
        <v>15:10:28.000</v>
      </c>
      <c r="T2142" t="str">
        <f t="shared" si="848"/>
        <v>15:10:28.000</v>
      </c>
      <c r="U2142" t="str">
        <f t="shared" si="838"/>
        <v>A68FCB</v>
      </c>
      <c r="V2142">
        <v>0</v>
      </c>
      <c r="W2142">
        <v>0</v>
      </c>
      <c r="X2142">
        <v>2</v>
      </c>
      <c r="Y2142">
        <v>0</v>
      </c>
      <c r="AA2142">
        <v>1</v>
      </c>
      <c r="AB2142">
        <v>8</v>
      </c>
      <c r="AC2142">
        <v>3</v>
      </c>
      <c r="AD2142">
        <v>0</v>
      </c>
      <c r="AE2142">
        <v>9</v>
      </c>
      <c r="AF2142" t="s">
        <v>138</v>
      </c>
      <c r="AG2142">
        <v>0</v>
      </c>
      <c r="AH2142">
        <v>3</v>
      </c>
      <c r="AI2142">
        <v>2</v>
      </c>
      <c r="AJ2142">
        <v>0</v>
      </c>
      <c r="AK2142" t="s">
        <v>742</v>
      </c>
      <c r="AL2142">
        <v>39.059292999999997</v>
      </c>
      <c r="AM2142" t="s">
        <v>713</v>
      </c>
      <c r="AN2142">
        <v>-121.041591</v>
      </c>
      <c r="AO2142">
        <v>25</v>
      </c>
      <c r="AP2142">
        <v>4500</v>
      </c>
      <c r="AQ2142" t="s">
        <v>131</v>
      </c>
      <c r="AR2142">
        <v>0</v>
      </c>
      <c r="AS2142">
        <v>91</v>
      </c>
      <c r="AT2142">
        <v>64</v>
      </c>
      <c r="BB2142" t="str">
        <f t="shared" si="839"/>
        <v>1200</v>
      </c>
      <c r="BC2142">
        <v>1</v>
      </c>
      <c r="BD2142" t="str">
        <f t="shared" si="840"/>
        <v xml:space="preserve">N52156  </v>
      </c>
      <c r="BE2142">
        <v>1</v>
      </c>
      <c r="BG2142">
        <v>0</v>
      </c>
      <c r="BH2142">
        <v>0</v>
      </c>
      <c r="BI2142">
        <v>0</v>
      </c>
      <c r="BJ2142">
        <v>4550</v>
      </c>
      <c r="BK2142">
        <v>50</v>
      </c>
      <c r="BL2142" t="s">
        <v>188</v>
      </c>
      <c r="BM2142">
        <v>1</v>
      </c>
      <c r="BN2142">
        <v>1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 t="shared" si="849"/>
        <v>15:10:28.831</v>
      </c>
      <c r="CF2142">
        <v>831034412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3</v>
      </c>
      <c r="CY2142">
        <v>7</v>
      </c>
      <c r="CZ2142" t="s">
        <v>133</v>
      </c>
      <c r="DA2142">
        <v>276</v>
      </c>
      <c r="DB2142">
        <v>0</v>
      </c>
      <c r="DC2142" t="s">
        <v>402</v>
      </c>
      <c r="DD2142" t="s">
        <v>403</v>
      </c>
      <c r="DG2142">
        <v>1626791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"05/01/2025 15:10:29.079"</f>
        <v>05/01/2025 15:10:29.079</v>
      </c>
      <c r="C2143" t="str">
        <f t="shared" si="836"/>
        <v>FFDFD3C0</v>
      </c>
      <c r="D2143" t="s">
        <v>145</v>
      </c>
      <c r="E2143" t="str">
        <f>"09"</f>
        <v>09</v>
      </c>
      <c r="H2143">
        <v>51</v>
      </c>
      <c r="I2143" t="s">
        <v>147</v>
      </c>
      <c r="J2143" t="s">
        <v>138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R2143" t="s">
        <v>127</v>
      </c>
      <c r="S2143" t="str">
        <f t="shared" si="848"/>
        <v>15:10:28.000</v>
      </c>
      <c r="T2143" t="str">
        <f t="shared" si="848"/>
        <v>15:10:28.000</v>
      </c>
      <c r="U2143" t="str">
        <f t="shared" si="838"/>
        <v>A68FCB</v>
      </c>
      <c r="V2143">
        <v>0</v>
      </c>
      <c r="W2143">
        <v>0</v>
      </c>
      <c r="X2143">
        <v>2</v>
      </c>
      <c r="Y2143">
        <v>0</v>
      </c>
      <c r="AA2143">
        <v>1</v>
      </c>
      <c r="AB2143">
        <v>8</v>
      </c>
      <c r="AC2143">
        <v>3</v>
      </c>
      <c r="AD2143">
        <v>0</v>
      </c>
      <c r="AE2143">
        <v>9</v>
      </c>
      <c r="AF2143" t="s">
        <v>138</v>
      </c>
      <c r="AG2143">
        <v>0</v>
      </c>
      <c r="AH2143">
        <v>3</v>
      </c>
      <c r="AI2143">
        <v>2</v>
      </c>
      <c r="AJ2143">
        <v>0</v>
      </c>
      <c r="AK2143" t="s">
        <v>742</v>
      </c>
      <c r="AL2143">
        <v>39.059292999999997</v>
      </c>
      <c r="AM2143" t="s">
        <v>713</v>
      </c>
      <c r="AN2143">
        <v>-121.041591</v>
      </c>
      <c r="AO2143">
        <v>25</v>
      </c>
      <c r="AP2143">
        <v>4500</v>
      </c>
      <c r="AQ2143" t="s">
        <v>131</v>
      </c>
      <c r="AR2143">
        <v>0</v>
      </c>
      <c r="AS2143">
        <v>91</v>
      </c>
      <c r="AT2143">
        <v>64</v>
      </c>
      <c r="BB2143" t="str">
        <f t="shared" si="839"/>
        <v>1200</v>
      </c>
      <c r="BC2143">
        <v>1</v>
      </c>
      <c r="BD2143" t="str">
        <f t="shared" si="840"/>
        <v xml:space="preserve">N52156  </v>
      </c>
      <c r="BE2143">
        <v>1</v>
      </c>
      <c r="BG2143">
        <v>0</v>
      </c>
      <c r="BH2143">
        <v>0</v>
      </c>
      <c r="BI2143">
        <v>0</v>
      </c>
      <c r="BJ2143">
        <v>4550</v>
      </c>
      <c r="BK2143">
        <v>50</v>
      </c>
      <c r="BL2143" t="s">
        <v>188</v>
      </c>
      <c r="BM2143">
        <v>1</v>
      </c>
      <c r="BN2143">
        <v>1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 t="shared" si="849"/>
        <v>15:10:28.831</v>
      </c>
      <c r="CF2143">
        <v>831034412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3</v>
      </c>
      <c r="CY2143">
        <v>7</v>
      </c>
      <c r="CZ2143" t="s">
        <v>133</v>
      </c>
      <c r="DA2143">
        <v>276</v>
      </c>
      <c r="DB2143">
        <v>0</v>
      </c>
      <c r="DC2143" t="s">
        <v>402</v>
      </c>
      <c r="DD2143" t="s">
        <v>403</v>
      </c>
      <c r="DG2143">
        <v>1626791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"05/01/2025 15:10:29.865"</f>
        <v>05/01/2025 15:10:29.865</v>
      </c>
      <c r="C2144" t="str">
        <f t="shared" si="836"/>
        <v>FFDFD3C0</v>
      </c>
      <c r="D2144" t="s">
        <v>140</v>
      </c>
      <c r="E2144" t="str">
        <f>"13"</f>
        <v>13</v>
      </c>
      <c r="F2144">
        <v>1019</v>
      </c>
      <c r="G2144" t="s">
        <v>141</v>
      </c>
      <c r="J2144" t="s">
        <v>142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R2144" t="s">
        <v>127</v>
      </c>
      <c r="S2144" t="str">
        <f t="shared" ref="S2144:T2149" si="850">"15:10:29.000"</f>
        <v>15:10:29.000</v>
      </c>
      <c r="T2144" t="str">
        <f t="shared" si="850"/>
        <v>15:10:29.000</v>
      </c>
      <c r="U2144" t="str">
        <f t="shared" si="838"/>
        <v>A68FCB</v>
      </c>
      <c r="V2144">
        <v>0</v>
      </c>
      <c r="W2144">
        <v>0</v>
      </c>
      <c r="X2144">
        <v>2</v>
      </c>
      <c r="Y2144">
        <v>0</v>
      </c>
      <c r="AA2144">
        <v>1</v>
      </c>
      <c r="AB2144">
        <v>8</v>
      </c>
      <c r="AC2144">
        <v>3</v>
      </c>
      <c r="AD2144">
        <v>0</v>
      </c>
      <c r="AE2144">
        <v>9</v>
      </c>
      <c r="AF2144" t="s">
        <v>138</v>
      </c>
      <c r="AG2144">
        <v>0</v>
      </c>
      <c r="AH2144">
        <v>3</v>
      </c>
      <c r="AI2144">
        <v>2</v>
      </c>
      <c r="AJ2144">
        <v>0</v>
      </c>
      <c r="AK2144" t="s">
        <v>743</v>
      </c>
      <c r="AL2144">
        <v>39.059700999999997</v>
      </c>
      <c r="AM2144" t="s">
        <v>713</v>
      </c>
      <c r="AN2144">
        <v>-121.041591</v>
      </c>
      <c r="AO2144">
        <v>25</v>
      </c>
      <c r="AP2144">
        <v>4500</v>
      </c>
      <c r="AQ2144" t="s">
        <v>131</v>
      </c>
      <c r="AR2144">
        <v>0</v>
      </c>
      <c r="AS2144">
        <v>90</v>
      </c>
      <c r="AT2144">
        <v>64</v>
      </c>
      <c r="BB2144" t="str">
        <f t="shared" si="839"/>
        <v>1200</v>
      </c>
      <c r="BC2144">
        <v>1</v>
      </c>
      <c r="BD2144" t="str">
        <f t="shared" si="840"/>
        <v xml:space="preserve">N52156  </v>
      </c>
      <c r="BE2144">
        <v>1</v>
      </c>
      <c r="BG2144">
        <v>0</v>
      </c>
      <c r="BH2144">
        <v>0</v>
      </c>
      <c r="BI2144">
        <v>0</v>
      </c>
      <c r="BJ2144">
        <v>4550</v>
      </c>
      <c r="BK2144">
        <v>50</v>
      </c>
      <c r="BL2144" t="s">
        <v>188</v>
      </c>
      <c r="BM2144">
        <v>1</v>
      </c>
      <c r="BN2144">
        <v>1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 t="shared" ref="CE2144:CE2149" si="851">"15:10:29.666"</f>
        <v>15:10:29.666</v>
      </c>
      <c r="CF2144">
        <v>666284095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3</v>
      </c>
      <c r="CY2144">
        <v>7</v>
      </c>
      <c r="CZ2144" t="s">
        <v>133</v>
      </c>
      <c r="DA2144">
        <v>276</v>
      </c>
      <c r="DB2144">
        <v>0</v>
      </c>
      <c r="DC2144" t="s">
        <v>402</v>
      </c>
      <c r="DD2144" t="s">
        <v>403</v>
      </c>
      <c r="DG2144">
        <v>1626801</v>
      </c>
      <c r="DI2144">
        <v>1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"05/01/2025 15:10:29.874"</f>
        <v>05/01/2025 15:10:29.874</v>
      </c>
      <c r="C2145" t="str">
        <f t="shared" si="836"/>
        <v>FFDFD3C0</v>
      </c>
      <c r="D2145" t="s">
        <v>124</v>
      </c>
      <c r="E2145" t="str">
        <f>"06"</f>
        <v>06</v>
      </c>
      <c r="F2145">
        <v>2006</v>
      </c>
      <c r="G2145" t="s">
        <v>125</v>
      </c>
      <c r="J2145" t="s">
        <v>126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R2145" t="s">
        <v>127</v>
      </c>
      <c r="S2145" t="str">
        <f t="shared" si="850"/>
        <v>15:10:29.000</v>
      </c>
      <c r="T2145" t="str">
        <f t="shared" si="850"/>
        <v>15:10:29.000</v>
      </c>
      <c r="U2145" t="str">
        <f t="shared" si="838"/>
        <v>A68FCB</v>
      </c>
      <c r="V2145">
        <v>0</v>
      </c>
      <c r="W2145">
        <v>0</v>
      </c>
      <c r="X2145">
        <v>2</v>
      </c>
      <c r="Y2145">
        <v>0</v>
      </c>
      <c r="AA2145">
        <v>1</v>
      </c>
      <c r="AB2145">
        <v>8</v>
      </c>
      <c r="AC2145">
        <v>3</v>
      </c>
      <c r="AD2145">
        <v>0</v>
      </c>
      <c r="AE2145">
        <v>9</v>
      </c>
      <c r="AF2145" t="s">
        <v>138</v>
      </c>
      <c r="AG2145">
        <v>0</v>
      </c>
      <c r="AH2145">
        <v>3</v>
      </c>
      <c r="AI2145">
        <v>2</v>
      </c>
      <c r="AJ2145">
        <v>0</v>
      </c>
      <c r="AK2145" t="s">
        <v>743</v>
      </c>
      <c r="AL2145">
        <v>39.059700999999997</v>
      </c>
      <c r="AM2145" t="s">
        <v>713</v>
      </c>
      <c r="AN2145">
        <v>-121.041591</v>
      </c>
      <c r="AO2145">
        <v>25</v>
      </c>
      <c r="AP2145">
        <v>4500</v>
      </c>
      <c r="AQ2145" t="s">
        <v>131</v>
      </c>
      <c r="AR2145">
        <v>0</v>
      </c>
      <c r="AS2145">
        <v>90</v>
      </c>
      <c r="AT2145">
        <v>64</v>
      </c>
      <c r="BB2145" t="str">
        <f t="shared" si="839"/>
        <v>1200</v>
      </c>
      <c r="BC2145">
        <v>1</v>
      </c>
      <c r="BD2145" t="str">
        <f t="shared" si="840"/>
        <v xml:space="preserve">N52156  </v>
      </c>
      <c r="BE2145">
        <v>1</v>
      </c>
      <c r="BG2145">
        <v>0</v>
      </c>
      <c r="BH2145">
        <v>0</v>
      </c>
      <c r="BI2145">
        <v>0</v>
      </c>
      <c r="BJ2145">
        <v>4550</v>
      </c>
      <c r="BK2145">
        <v>50</v>
      </c>
      <c r="BL2145" t="s">
        <v>188</v>
      </c>
      <c r="BM2145">
        <v>1</v>
      </c>
      <c r="BN2145">
        <v>1</v>
      </c>
      <c r="BO2145">
        <v>0</v>
      </c>
      <c r="BP2145">
        <v>0</v>
      </c>
      <c r="BS2145">
        <v>0</v>
      </c>
      <c r="BT2145">
        <v>0</v>
      </c>
      <c r="BU2145">
        <v>0</v>
      </c>
      <c r="CE2145" t="str">
        <f t="shared" si="851"/>
        <v>15:10:29.666</v>
      </c>
      <c r="CF2145">
        <v>666284095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3</v>
      </c>
      <c r="CY2145">
        <v>7</v>
      </c>
      <c r="CZ2145" t="s">
        <v>133</v>
      </c>
      <c r="DA2145">
        <v>276</v>
      </c>
      <c r="DB2145">
        <v>0</v>
      </c>
      <c r="DC2145" t="s">
        <v>402</v>
      </c>
      <c r="DD2145" t="s">
        <v>403</v>
      </c>
      <c r="DG2145">
        <v>1626801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"05/01/2025 15:10:29.879"</f>
        <v>05/01/2025 15:10:29.879</v>
      </c>
      <c r="C2146" t="str">
        <f t="shared" si="836"/>
        <v>FFDFD3C0</v>
      </c>
      <c r="D2146" t="s">
        <v>145</v>
      </c>
      <c r="E2146" t="str">
        <f>"05"</f>
        <v>05</v>
      </c>
      <c r="H2146">
        <v>47</v>
      </c>
      <c r="I2146" t="s">
        <v>146</v>
      </c>
      <c r="J2146" t="s">
        <v>138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R2146" t="s">
        <v>127</v>
      </c>
      <c r="S2146" t="str">
        <f t="shared" si="850"/>
        <v>15:10:29.000</v>
      </c>
      <c r="T2146" t="str">
        <f t="shared" si="850"/>
        <v>15:10:29.000</v>
      </c>
      <c r="U2146" t="str">
        <f t="shared" si="838"/>
        <v>A68FCB</v>
      </c>
      <c r="V2146">
        <v>0</v>
      </c>
      <c r="W2146">
        <v>0</v>
      </c>
      <c r="X2146">
        <v>2</v>
      </c>
      <c r="Y2146">
        <v>0</v>
      </c>
      <c r="AA2146">
        <v>1</v>
      </c>
      <c r="AB2146">
        <v>8</v>
      </c>
      <c r="AC2146">
        <v>3</v>
      </c>
      <c r="AD2146">
        <v>0</v>
      </c>
      <c r="AE2146">
        <v>9</v>
      </c>
      <c r="AF2146" t="s">
        <v>138</v>
      </c>
      <c r="AG2146">
        <v>0</v>
      </c>
      <c r="AH2146">
        <v>3</v>
      </c>
      <c r="AI2146">
        <v>2</v>
      </c>
      <c r="AJ2146">
        <v>0</v>
      </c>
      <c r="AK2146" t="s">
        <v>743</v>
      </c>
      <c r="AL2146">
        <v>39.059700999999997</v>
      </c>
      <c r="AM2146" t="s">
        <v>713</v>
      </c>
      <c r="AN2146">
        <v>-121.041591</v>
      </c>
      <c r="AO2146">
        <v>25</v>
      </c>
      <c r="AP2146">
        <v>4500</v>
      </c>
      <c r="AQ2146" t="s">
        <v>131</v>
      </c>
      <c r="AR2146">
        <v>0</v>
      </c>
      <c r="AS2146">
        <v>90</v>
      </c>
      <c r="AT2146">
        <v>64</v>
      </c>
      <c r="BB2146" t="str">
        <f t="shared" si="839"/>
        <v>1200</v>
      </c>
      <c r="BC2146">
        <v>1</v>
      </c>
      <c r="BD2146" t="str">
        <f t="shared" si="840"/>
        <v xml:space="preserve">N52156  </v>
      </c>
      <c r="BE2146">
        <v>1</v>
      </c>
      <c r="BG2146">
        <v>0</v>
      </c>
      <c r="BH2146">
        <v>0</v>
      </c>
      <c r="BI2146">
        <v>0</v>
      </c>
      <c r="BJ2146">
        <v>4550</v>
      </c>
      <c r="BK2146">
        <v>50</v>
      </c>
      <c r="BL2146" t="s">
        <v>188</v>
      </c>
      <c r="BM2146">
        <v>1</v>
      </c>
      <c r="BN2146">
        <v>1</v>
      </c>
      <c r="BO2146">
        <v>0</v>
      </c>
      <c r="BP2146">
        <v>0</v>
      </c>
      <c r="BS2146">
        <v>0</v>
      </c>
      <c r="BT2146">
        <v>0</v>
      </c>
      <c r="BU2146">
        <v>0</v>
      </c>
      <c r="CE2146" t="str">
        <f t="shared" si="851"/>
        <v>15:10:29.666</v>
      </c>
      <c r="CF2146">
        <v>666284095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3</v>
      </c>
      <c r="CY2146">
        <v>7</v>
      </c>
      <c r="CZ2146" t="s">
        <v>133</v>
      </c>
      <c r="DA2146">
        <v>276</v>
      </c>
      <c r="DB2146">
        <v>0</v>
      </c>
      <c r="DC2146" t="s">
        <v>402</v>
      </c>
      <c r="DD2146" t="s">
        <v>403</v>
      </c>
      <c r="DG2146">
        <v>1626801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"05/01/2025 15:10:29.881"</f>
        <v>05/01/2025 15:10:29.881</v>
      </c>
      <c r="C2147" t="str">
        <f t="shared" si="836"/>
        <v>FFDFD3C0</v>
      </c>
      <c r="D2147" t="s">
        <v>145</v>
      </c>
      <c r="E2147" t="str">
        <f>"09"</f>
        <v>09</v>
      </c>
      <c r="H2147">
        <v>51</v>
      </c>
      <c r="I2147" t="s">
        <v>147</v>
      </c>
      <c r="J2147" t="s">
        <v>138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R2147" t="s">
        <v>127</v>
      </c>
      <c r="S2147" t="str">
        <f t="shared" si="850"/>
        <v>15:10:29.000</v>
      </c>
      <c r="T2147" t="str">
        <f t="shared" si="850"/>
        <v>15:10:29.000</v>
      </c>
      <c r="U2147" t="str">
        <f t="shared" si="838"/>
        <v>A68FCB</v>
      </c>
      <c r="V2147">
        <v>0</v>
      </c>
      <c r="W2147">
        <v>0</v>
      </c>
      <c r="X2147">
        <v>2</v>
      </c>
      <c r="Y2147">
        <v>0</v>
      </c>
      <c r="AA2147">
        <v>1</v>
      </c>
      <c r="AB2147">
        <v>8</v>
      </c>
      <c r="AC2147">
        <v>3</v>
      </c>
      <c r="AD2147">
        <v>0</v>
      </c>
      <c r="AE2147">
        <v>9</v>
      </c>
      <c r="AF2147" t="s">
        <v>138</v>
      </c>
      <c r="AG2147">
        <v>0</v>
      </c>
      <c r="AH2147">
        <v>3</v>
      </c>
      <c r="AI2147">
        <v>2</v>
      </c>
      <c r="AJ2147">
        <v>0</v>
      </c>
      <c r="AK2147" t="s">
        <v>743</v>
      </c>
      <c r="AL2147">
        <v>39.059700999999997</v>
      </c>
      <c r="AM2147" t="s">
        <v>713</v>
      </c>
      <c r="AN2147">
        <v>-121.041591</v>
      </c>
      <c r="AO2147">
        <v>25</v>
      </c>
      <c r="AP2147">
        <v>4500</v>
      </c>
      <c r="AQ2147" t="s">
        <v>131</v>
      </c>
      <c r="AR2147">
        <v>0</v>
      </c>
      <c r="AS2147">
        <v>90</v>
      </c>
      <c r="AT2147">
        <v>64</v>
      </c>
      <c r="BB2147" t="str">
        <f t="shared" si="839"/>
        <v>1200</v>
      </c>
      <c r="BC2147">
        <v>1</v>
      </c>
      <c r="BD2147" t="str">
        <f t="shared" si="840"/>
        <v xml:space="preserve">N52156  </v>
      </c>
      <c r="BE2147">
        <v>1</v>
      </c>
      <c r="BG2147">
        <v>0</v>
      </c>
      <c r="BH2147">
        <v>0</v>
      </c>
      <c r="BI2147">
        <v>0</v>
      </c>
      <c r="BJ2147">
        <v>4550</v>
      </c>
      <c r="BK2147">
        <v>50</v>
      </c>
      <c r="BL2147" t="s">
        <v>188</v>
      </c>
      <c r="BM2147">
        <v>1</v>
      </c>
      <c r="BN2147">
        <v>1</v>
      </c>
      <c r="BO2147">
        <v>0</v>
      </c>
      <c r="BP2147">
        <v>0</v>
      </c>
      <c r="BS2147">
        <v>0</v>
      </c>
      <c r="BT2147">
        <v>0</v>
      </c>
      <c r="BU2147">
        <v>0</v>
      </c>
      <c r="CE2147" t="str">
        <f t="shared" si="851"/>
        <v>15:10:29.666</v>
      </c>
      <c r="CF2147">
        <v>666284095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3</v>
      </c>
      <c r="CY2147">
        <v>7</v>
      </c>
      <c r="CZ2147" t="s">
        <v>133</v>
      </c>
      <c r="DA2147">
        <v>276</v>
      </c>
      <c r="DB2147">
        <v>0</v>
      </c>
      <c r="DC2147" t="s">
        <v>402</v>
      </c>
      <c r="DD2147" t="s">
        <v>403</v>
      </c>
      <c r="DG2147">
        <v>1626801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"05/01/2025 15:10:29.889"</f>
        <v>05/01/2025 15:10:29.889</v>
      </c>
      <c r="C2148" t="str">
        <f t="shared" si="836"/>
        <v>FFDFD3C0</v>
      </c>
      <c r="D2148" t="s">
        <v>136</v>
      </c>
      <c r="E2148" t="str">
        <f>"20"</f>
        <v>20</v>
      </c>
      <c r="H2148">
        <v>400</v>
      </c>
      <c r="I2148" t="s">
        <v>137</v>
      </c>
      <c r="J2148" t="s">
        <v>138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R2148" t="s">
        <v>127</v>
      </c>
      <c r="S2148" t="str">
        <f t="shared" si="850"/>
        <v>15:10:29.000</v>
      </c>
      <c r="T2148" t="str">
        <f t="shared" si="850"/>
        <v>15:10:29.000</v>
      </c>
      <c r="U2148" t="str">
        <f t="shared" si="838"/>
        <v>A68FCB</v>
      </c>
      <c r="V2148">
        <v>0</v>
      </c>
      <c r="W2148">
        <v>0</v>
      </c>
      <c r="X2148">
        <v>2</v>
      </c>
      <c r="Y2148">
        <v>0</v>
      </c>
      <c r="AA2148">
        <v>1</v>
      </c>
      <c r="AB2148">
        <v>8</v>
      </c>
      <c r="AC2148">
        <v>3</v>
      </c>
      <c r="AD2148">
        <v>0</v>
      </c>
      <c r="AE2148">
        <v>9</v>
      </c>
      <c r="AF2148" t="s">
        <v>138</v>
      </c>
      <c r="AG2148">
        <v>0</v>
      </c>
      <c r="AH2148">
        <v>3</v>
      </c>
      <c r="AI2148">
        <v>2</v>
      </c>
      <c r="AJ2148">
        <v>0</v>
      </c>
      <c r="AK2148" t="s">
        <v>743</v>
      </c>
      <c r="AL2148">
        <v>39.059700999999997</v>
      </c>
      <c r="AM2148" t="s">
        <v>713</v>
      </c>
      <c r="AN2148">
        <v>-121.041591</v>
      </c>
      <c r="AO2148">
        <v>25</v>
      </c>
      <c r="AP2148">
        <v>4500</v>
      </c>
      <c r="AQ2148" t="s">
        <v>131</v>
      </c>
      <c r="AR2148">
        <v>0</v>
      </c>
      <c r="AS2148">
        <v>90</v>
      </c>
      <c r="AT2148">
        <v>64</v>
      </c>
      <c r="BB2148" t="str">
        <f t="shared" si="839"/>
        <v>1200</v>
      </c>
      <c r="BC2148">
        <v>1</v>
      </c>
      <c r="BD2148" t="str">
        <f t="shared" si="840"/>
        <v xml:space="preserve">N52156  </v>
      </c>
      <c r="BE2148">
        <v>1</v>
      </c>
      <c r="BG2148">
        <v>0</v>
      </c>
      <c r="BH2148">
        <v>0</v>
      </c>
      <c r="BI2148">
        <v>0</v>
      </c>
      <c r="BJ2148">
        <v>4550</v>
      </c>
      <c r="BK2148">
        <v>50</v>
      </c>
      <c r="BL2148" t="s">
        <v>188</v>
      </c>
      <c r="BM2148">
        <v>1</v>
      </c>
      <c r="BN2148">
        <v>1</v>
      </c>
      <c r="BO2148">
        <v>0</v>
      </c>
      <c r="BP2148">
        <v>0</v>
      </c>
      <c r="BS2148">
        <v>0</v>
      </c>
      <c r="BT2148">
        <v>0</v>
      </c>
      <c r="BU2148">
        <v>0</v>
      </c>
      <c r="CE2148" t="str">
        <f t="shared" si="851"/>
        <v>15:10:29.666</v>
      </c>
      <c r="CF2148">
        <v>666284095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3</v>
      </c>
      <c r="CY2148">
        <v>7</v>
      </c>
      <c r="CZ2148" t="s">
        <v>133</v>
      </c>
      <c r="DA2148">
        <v>276</v>
      </c>
      <c r="DB2148">
        <v>0</v>
      </c>
      <c r="DC2148" t="s">
        <v>402</v>
      </c>
      <c r="DD2148" t="s">
        <v>403</v>
      </c>
      <c r="DG2148">
        <v>1626801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"05/01/2025 15:10:29.892"</f>
        <v>05/01/2025 15:10:29.892</v>
      </c>
      <c r="C2149" t="str">
        <f t="shared" si="836"/>
        <v>FFDFD3C0</v>
      </c>
      <c r="D2149" t="s">
        <v>143</v>
      </c>
      <c r="E2149" t="str">
        <f>"05"</f>
        <v>05</v>
      </c>
      <c r="H2149">
        <v>172</v>
      </c>
      <c r="I2149" t="s">
        <v>141</v>
      </c>
      <c r="J2149" t="s">
        <v>144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R2149" t="s">
        <v>127</v>
      </c>
      <c r="S2149" t="str">
        <f t="shared" si="850"/>
        <v>15:10:29.000</v>
      </c>
      <c r="T2149" t="str">
        <f t="shared" si="850"/>
        <v>15:10:29.000</v>
      </c>
      <c r="U2149" t="str">
        <f t="shared" si="838"/>
        <v>A68FCB</v>
      </c>
      <c r="V2149">
        <v>0</v>
      </c>
      <c r="W2149">
        <v>0</v>
      </c>
      <c r="X2149">
        <v>2</v>
      </c>
      <c r="Y2149">
        <v>0</v>
      </c>
      <c r="AA2149">
        <v>1</v>
      </c>
      <c r="AB2149">
        <v>8</v>
      </c>
      <c r="AC2149">
        <v>3</v>
      </c>
      <c r="AD2149">
        <v>0</v>
      </c>
      <c r="AE2149">
        <v>9</v>
      </c>
      <c r="AF2149" t="s">
        <v>138</v>
      </c>
      <c r="AG2149">
        <v>0</v>
      </c>
      <c r="AH2149">
        <v>3</v>
      </c>
      <c r="AI2149">
        <v>2</v>
      </c>
      <c r="AJ2149">
        <v>0</v>
      </c>
      <c r="AK2149" t="s">
        <v>743</v>
      </c>
      <c r="AL2149">
        <v>39.059700999999997</v>
      </c>
      <c r="AM2149" t="s">
        <v>713</v>
      </c>
      <c r="AN2149">
        <v>-121.041591</v>
      </c>
      <c r="AO2149">
        <v>25</v>
      </c>
      <c r="AP2149">
        <v>4500</v>
      </c>
      <c r="AQ2149" t="s">
        <v>131</v>
      </c>
      <c r="AR2149">
        <v>0</v>
      </c>
      <c r="AS2149">
        <v>90</v>
      </c>
      <c r="AT2149">
        <v>64</v>
      </c>
      <c r="BB2149" t="str">
        <f t="shared" si="839"/>
        <v>1200</v>
      </c>
      <c r="BC2149">
        <v>1</v>
      </c>
      <c r="BD2149" t="str">
        <f t="shared" si="840"/>
        <v xml:space="preserve">N52156  </v>
      </c>
      <c r="BE2149">
        <v>1</v>
      </c>
      <c r="BG2149">
        <v>0</v>
      </c>
      <c r="BH2149">
        <v>0</v>
      </c>
      <c r="BI2149">
        <v>0</v>
      </c>
      <c r="BJ2149">
        <v>4550</v>
      </c>
      <c r="BK2149">
        <v>50</v>
      </c>
      <c r="BL2149" t="s">
        <v>188</v>
      </c>
      <c r="BM2149">
        <v>1</v>
      </c>
      <c r="BN2149">
        <v>1</v>
      </c>
      <c r="BO2149">
        <v>0</v>
      </c>
      <c r="BP2149">
        <v>0</v>
      </c>
      <c r="BS2149">
        <v>0</v>
      </c>
      <c r="BT2149">
        <v>0</v>
      </c>
      <c r="BU2149">
        <v>0</v>
      </c>
      <c r="CE2149" t="str">
        <f t="shared" si="851"/>
        <v>15:10:29.666</v>
      </c>
      <c r="CF2149">
        <v>666284095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3</v>
      </c>
      <c r="CY2149">
        <v>7</v>
      </c>
      <c r="CZ2149" t="s">
        <v>133</v>
      </c>
      <c r="DA2149">
        <v>276</v>
      </c>
      <c r="DB2149">
        <v>0</v>
      </c>
      <c r="DC2149" t="s">
        <v>402</v>
      </c>
      <c r="DD2149" t="s">
        <v>403</v>
      </c>
      <c r="DG2149">
        <v>1626801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"05/01/2025 15:10:30.516"</f>
        <v>05/01/2025 15:10:30.516</v>
      </c>
      <c r="C2150" t="str">
        <f t="shared" si="836"/>
        <v>FFDFD3C0</v>
      </c>
      <c r="D2150" t="s">
        <v>140</v>
      </c>
      <c r="E2150" t="str">
        <f>"13"</f>
        <v>13</v>
      </c>
      <c r="F2150">
        <v>1019</v>
      </c>
      <c r="G2150" t="s">
        <v>141</v>
      </c>
      <c r="J2150" t="s">
        <v>142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R2150" t="s">
        <v>127</v>
      </c>
      <c r="S2150" t="str">
        <f t="shared" ref="S2150:T2155" si="852">"15:10:30.000"</f>
        <v>15:10:30.000</v>
      </c>
      <c r="T2150" t="str">
        <f t="shared" si="852"/>
        <v>15:10:30.000</v>
      </c>
      <c r="U2150" t="str">
        <f t="shared" si="838"/>
        <v>A68FCB</v>
      </c>
      <c r="V2150">
        <v>0</v>
      </c>
      <c r="W2150">
        <v>0</v>
      </c>
      <c r="X2150">
        <v>2</v>
      </c>
      <c r="Y2150">
        <v>0</v>
      </c>
      <c r="AA2150">
        <v>1</v>
      </c>
      <c r="AB2150">
        <v>8</v>
      </c>
      <c r="AC2150">
        <v>3</v>
      </c>
      <c r="AD2150">
        <v>0</v>
      </c>
      <c r="AE2150">
        <v>9</v>
      </c>
      <c r="AF2150" t="s">
        <v>138</v>
      </c>
      <c r="AG2150">
        <v>0</v>
      </c>
      <c r="AH2150">
        <v>3</v>
      </c>
      <c r="AI2150">
        <v>2</v>
      </c>
      <c r="AJ2150">
        <v>0</v>
      </c>
      <c r="AK2150" t="s">
        <v>744</v>
      </c>
      <c r="AL2150">
        <v>39.060130000000001</v>
      </c>
      <c r="AM2150" t="s">
        <v>713</v>
      </c>
      <c r="AN2150">
        <v>-121.041591</v>
      </c>
      <c r="AO2150">
        <v>25</v>
      </c>
      <c r="AP2150">
        <v>4500</v>
      </c>
      <c r="AQ2150" t="s">
        <v>131</v>
      </c>
      <c r="AR2150">
        <v>0</v>
      </c>
      <c r="AS2150">
        <v>90</v>
      </c>
      <c r="AT2150">
        <v>64</v>
      </c>
      <c r="BB2150" t="str">
        <f t="shared" si="839"/>
        <v>1200</v>
      </c>
      <c r="BC2150">
        <v>1</v>
      </c>
      <c r="BD2150" t="str">
        <f t="shared" si="840"/>
        <v xml:space="preserve">N52156  </v>
      </c>
      <c r="BE2150">
        <v>1</v>
      </c>
      <c r="BG2150">
        <v>0</v>
      </c>
      <c r="BH2150">
        <v>0</v>
      </c>
      <c r="BI2150">
        <v>0</v>
      </c>
      <c r="BJ2150">
        <v>4550</v>
      </c>
      <c r="BK2150">
        <v>50</v>
      </c>
      <c r="BL2150" t="s">
        <v>188</v>
      </c>
      <c r="BM2150">
        <v>1</v>
      </c>
      <c r="BN2150">
        <v>1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 t="shared" ref="CE2150:CE2155" si="853">"15:10:30.294"</f>
        <v>15:10:30.294</v>
      </c>
      <c r="CF2150">
        <v>293783247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3</v>
      </c>
      <c r="CY2150">
        <v>7</v>
      </c>
      <c r="CZ2150" t="s">
        <v>133</v>
      </c>
      <c r="DA2150">
        <v>276</v>
      </c>
      <c r="DB2150">
        <v>0</v>
      </c>
      <c r="DC2150" t="s">
        <v>402</v>
      </c>
      <c r="DD2150" t="s">
        <v>403</v>
      </c>
      <c r="DG2150">
        <v>1626807</v>
      </c>
      <c r="DI2150">
        <v>1</v>
      </c>
      <c r="DJ2150">
        <v>0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"05/01/2025 15:10:30.525"</f>
        <v>05/01/2025 15:10:30.525</v>
      </c>
      <c r="C2151" t="str">
        <f t="shared" si="836"/>
        <v>FFDFD3C0</v>
      </c>
      <c r="D2151" t="s">
        <v>124</v>
      </c>
      <c r="E2151" t="str">
        <f>"06"</f>
        <v>06</v>
      </c>
      <c r="F2151">
        <v>2006</v>
      </c>
      <c r="G2151" t="s">
        <v>125</v>
      </c>
      <c r="J2151" t="s">
        <v>126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R2151" t="s">
        <v>127</v>
      </c>
      <c r="S2151" t="str">
        <f t="shared" si="852"/>
        <v>15:10:30.000</v>
      </c>
      <c r="T2151" t="str">
        <f t="shared" si="852"/>
        <v>15:10:30.000</v>
      </c>
      <c r="U2151" t="str">
        <f t="shared" si="838"/>
        <v>A68FCB</v>
      </c>
      <c r="V2151">
        <v>0</v>
      </c>
      <c r="W2151">
        <v>0</v>
      </c>
      <c r="X2151">
        <v>2</v>
      </c>
      <c r="Y2151">
        <v>0</v>
      </c>
      <c r="AA2151">
        <v>1</v>
      </c>
      <c r="AB2151">
        <v>8</v>
      </c>
      <c r="AC2151">
        <v>3</v>
      </c>
      <c r="AD2151">
        <v>0</v>
      </c>
      <c r="AE2151">
        <v>9</v>
      </c>
      <c r="AF2151" t="s">
        <v>138</v>
      </c>
      <c r="AG2151">
        <v>0</v>
      </c>
      <c r="AH2151">
        <v>3</v>
      </c>
      <c r="AI2151">
        <v>2</v>
      </c>
      <c r="AJ2151">
        <v>0</v>
      </c>
      <c r="AK2151" t="s">
        <v>744</v>
      </c>
      <c r="AL2151">
        <v>39.060130000000001</v>
      </c>
      <c r="AM2151" t="s">
        <v>713</v>
      </c>
      <c r="AN2151">
        <v>-121.041591</v>
      </c>
      <c r="AO2151">
        <v>25</v>
      </c>
      <c r="AP2151">
        <v>4500</v>
      </c>
      <c r="AQ2151" t="s">
        <v>131</v>
      </c>
      <c r="AR2151">
        <v>0</v>
      </c>
      <c r="AS2151">
        <v>90</v>
      </c>
      <c r="AT2151">
        <v>64</v>
      </c>
      <c r="BB2151" t="str">
        <f t="shared" si="839"/>
        <v>1200</v>
      </c>
      <c r="BC2151">
        <v>1</v>
      </c>
      <c r="BD2151" t="str">
        <f t="shared" si="840"/>
        <v xml:space="preserve">N52156  </v>
      </c>
      <c r="BE2151">
        <v>1</v>
      </c>
      <c r="BG2151">
        <v>0</v>
      </c>
      <c r="BH2151">
        <v>0</v>
      </c>
      <c r="BI2151">
        <v>0</v>
      </c>
      <c r="BJ2151">
        <v>4550</v>
      </c>
      <c r="BK2151">
        <v>50</v>
      </c>
      <c r="BL2151" t="s">
        <v>188</v>
      </c>
      <c r="BM2151">
        <v>1</v>
      </c>
      <c r="BN2151">
        <v>1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 t="shared" si="853"/>
        <v>15:10:30.294</v>
      </c>
      <c r="CF2151">
        <v>293783247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3</v>
      </c>
      <c r="CY2151">
        <v>7</v>
      </c>
      <c r="CZ2151" t="s">
        <v>133</v>
      </c>
      <c r="DA2151">
        <v>276</v>
      </c>
      <c r="DB2151">
        <v>0</v>
      </c>
      <c r="DC2151" t="s">
        <v>402</v>
      </c>
      <c r="DD2151" t="s">
        <v>403</v>
      </c>
      <c r="DG2151">
        <v>1626807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"05/01/2025 15:10:30.530"</f>
        <v>05/01/2025 15:10:30.530</v>
      </c>
      <c r="C2152" t="str">
        <f t="shared" si="836"/>
        <v>FFDFD3C0</v>
      </c>
      <c r="D2152" t="s">
        <v>145</v>
      </c>
      <c r="E2152" t="str">
        <f>"05"</f>
        <v>05</v>
      </c>
      <c r="H2152">
        <v>47</v>
      </c>
      <c r="I2152" t="s">
        <v>146</v>
      </c>
      <c r="J2152" t="s">
        <v>138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R2152" t="s">
        <v>127</v>
      </c>
      <c r="S2152" t="str">
        <f t="shared" si="852"/>
        <v>15:10:30.000</v>
      </c>
      <c r="T2152" t="str">
        <f t="shared" si="852"/>
        <v>15:10:30.000</v>
      </c>
      <c r="U2152" t="str">
        <f t="shared" si="838"/>
        <v>A68FCB</v>
      </c>
      <c r="V2152">
        <v>0</v>
      </c>
      <c r="W2152">
        <v>0</v>
      </c>
      <c r="X2152">
        <v>2</v>
      </c>
      <c r="Y2152">
        <v>0</v>
      </c>
      <c r="AA2152">
        <v>1</v>
      </c>
      <c r="AB2152">
        <v>8</v>
      </c>
      <c r="AC2152">
        <v>3</v>
      </c>
      <c r="AD2152">
        <v>0</v>
      </c>
      <c r="AE2152">
        <v>9</v>
      </c>
      <c r="AF2152" t="s">
        <v>138</v>
      </c>
      <c r="AG2152">
        <v>0</v>
      </c>
      <c r="AH2152">
        <v>3</v>
      </c>
      <c r="AI2152">
        <v>2</v>
      </c>
      <c r="AJ2152">
        <v>0</v>
      </c>
      <c r="AK2152" t="s">
        <v>744</v>
      </c>
      <c r="AL2152">
        <v>39.060130000000001</v>
      </c>
      <c r="AM2152" t="s">
        <v>713</v>
      </c>
      <c r="AN2152">
        <v>-121.041591</v>
      </c>
      <c r="AO2152">
        <v>25</v>
      </c>
      <c r="AP2152">
        <v>4500</v>
      </c>
      <c r="AQ2152" t="s">
        <v>131</v>
      </c>
      <c r="AR2152">
        <v>0</v>
      </c>
      <c r="AS2152">
        <v>90</v>
      </c>
      <c r="AT2152">
        <v>64</v>
      </c>
      <c r="BB2152" t="str">
        <f t="shared" si="839"/>
        <v>1200</v>
      </c>
      <c r="BC2152">
        <v>1</v>
      </c>
      <c r="BD2152" t="str">
        <f t="shared" si="840"/>
        <v xml:space="preserve">N52156  </v>
      </c>
      <c r="BE2152">
        <v>1</v>
      </c>
      <c r="BG2152">
        <v>0</v>
      </c>
      <c r="BH2152">
        <v>0</v>
      </c>
      <c r="BI2152">
        <v>0</v>
      </c>
      <c r="BJ2152">
        <v>4550</v>
      </c>
      <c r="BK2152">
        <v>50</v>
      </c>
      <c r="BL2152" t="s">
        <v>188</v>
      </c>
      <c r="BM2152">
        <v>1</v>
      </c>
      <c r="BN2152">
        <v>1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 t="shared" si="853"/>
        <v>15:10:30.294</v>
      </c>
      <c r="CF2152">
        <v>293783247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3</v>
      </c>
      <c r="CY2152">
        <v>7</v>
      </c>
      <c r="CZ2152" t="s">
        <v>133</v>
      </c>
      <c r="DA2152">
        <v>276</v>
      </c>
      <c r="DB2152">
        <v>0</v>
      </c>
      <c r="DC2152" t="s">
        <v>402</v>
      </c>
      <c r="DD2152" t="s">
        <v>403</v>
      </c>
      <c r="DG2152">
        <v>1626807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"05/01/2025 15:10:30.532"</f>
        <v>05/01/2025 15:10:30.532</v>
      </c>
      <c r="C2153" t="str">
        <f t="shared" si="836"/>
        <v>FFDFD3C0</v>
      </c>
      <c r="D2153" t="s">
        <v>145</v>
      </c>
      <c r="E2153" t="str">
        <f>"09"</f>
        <v>09</v>
      </c>
      <c r="H2153">
        <v>51</v>
      </c>
      <c r="I2153" t="s">
        <v>147</v>
      </c>
      <c r="J2153" t="s">
        <v>138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R2153" t="s">
        <v>127</v>
      </c>
      <c r="S2153" t="str">
        <f t="shared" si="852"/>
        <v>15:10:30.000</v>
      </c>
      <c r="T2153" t="str">
        <f t="shared" si="852"/>
        <v>15:10:30.000</v>
      </c>
      <c r="U2153" t="str">
        <f t="shared" si="838"/>
        <v>A68FCB</v>
      </c>
      <c r="V2153">
        <v>0</v>
      </c>
      <c r="W2153">
        <v>0</v>
      </c>
      <c r="X2153">
        <v>2</v>
      </c>
      <c r="Y2153">
        <v>0</v>
      </c>
      <c r="AA2153">
        <v>1</v>
      </c>
      <c r="AB2153">
        <v>8</v>
      </c>
      <c r="AC2153">
        <v>3</v>
      </c>
      <c r="AD2153">
        <v>0</v>
      </c>
      <c r="AE2153">
        <v>9</v>
      </c>
      <c r="AF2153" t="s">
        <v>138</v>
      </c>
      <c r="AG2153">
        <v>0</v>
      </c>
      <c r="AH2153">
        <v>3</v>
      </c>
      <c r="AI2153">
        <v>2</v>
      </c>
      <c r="AJ2153">
        <v>0</v>
      </c>
      <c r="AK2153" t="s">
        <v>744</v>
      </c>
      <c r="AL2153">
        <v>39.060130000000001</v>
      </c>
      <c r="AM2153" t="s">
        <v>713</v>
      </c>
      <c r="AN2153">
        <v>-121.041591</v>
      </c>
      <c r="AO2153">
        <v>25</v>
      </c>
      <c r="AP2153">
        <v>4500</v>
      </c>
      <c r="AQ2153" t="s">
        <v>131</v>
      </c>
      <c r="AR2153">
        <v>0</v>
      </c>
      <c r="AS2153">
        <v>90</v>
      </c>
      <c r="AT2153">
        <v>64</v>
      </c>
      <c r="BB2153" t="str">
        <f t="shared" si="839"/>
        <v>1200</v>
      </c>
      <c r="BC2153">
        <v>1</v>
      </c>
      <c r="BD2153" t="str">
        <f t="shared" si="840"/>
        <v xml:space="preserve">N52156  </v>
      </c>
      <c r="BE2153">
        <v>1</v>
      </c>
      <c r="BG2153">
        <v>0</v>
      </c>
      <c r="BH2153">
        <v>0</v>
      </c>
      <c r="BI2153">
        <v>0</v>
      </c>
      <c r="BJ2153">
        <v>4550</v>
      </c>
      <c r="BK2153">
        <v>50</v>
      </c>
      <c r="BL2153" t="s">
        <v>188</v>
      </c>
      <c r="BM2153">
        <v>1</v>
      </c>
      <c r="BN2153">
        <v>1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 t="shared" si="853"/>
        <v>15:10:30.294</v>
      </c>
      <c r="CF2153">
        <v>293783247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3</v>
      </c>
      <c r="CY2153">
        <v>7</v>
      </c>
      <c r="CZ2153" t="s">
        <v>133</v>
      </c>
      <c r="DA2153">
        <v>276</v>
      </c>
      <c r="DB2153">
        <v>0</v>
      </c>
      <c r="DC2153" t="s">
        <v>402</v>
      </c>
      <c r="DD2153" t="s">
        <v>403</v>
      </c>
      <c r="DG2153">
        <v>1626807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"05/01/2025 15:10:30.540"</f>
        <v>05/01/2025 15:10:30.540</v>
      </c>
      <c r="C2154" t="str">
        <f t="shared" si="836"/>
        <v>FFDFD3C0</v>
      </c>
      <c r="D2154" t="s">
        <v>136</v>
      </c>
      <c r="E2154" t="str">
        <f>"20"</f>
        <v>20</v>
      </c>
      <c r="H2154">
        <v>400</v>
      </c>
      <c r="I2154" t="s">
        <v>137</v>
      </c>
      <c r="J2154" t="s">
        <v>138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R2154" t="s">
        <v>127</v>
      </c>
      <c r="S2154" t="str">
        <f t="shared" si="852"/>
        <v>15:10:30.000</v>
      </c>
      <c r="T2154" t="str">
        <f t="shared" si="852"/>
        <v>15:10:30.000</v>
      </c>
      <c r="U2154" t="str">
        <f t="shared" si="838"/>
        <v>A68FCB</v>
      </c>
      <c r="V2154">
        <v>0</v>
      </c>
      <c r="W2154">
        <v>0</v>
      </c>
      <c r="X2154">
        <v>2</v>
      </c>
      <c r="Y2154">
        <v>0</v>
      </c>
      <c r="AA2154">
        <v>1</v>
      </c>
      <c r="AB2154">
        <v>8</v>
      </c>
      <c r="AC2154">
        <v>3</v>
      </c>
      <c r="AD2154">
        <v>0</v>
      </c>
      <c r="AE2154">
        <v>9</v>
      </c>
      <c r="AF2154" t="s">
        <v>138</v>
      </c>
      <c r="AG2154">
        <v>0</v>
      </c>
      <c r="AH2154">
        <v>3</v>
      </c>
      <c r="AI2154">
        <v>2</v>
      </c>
      <c r="AJ2154">
        <v>0</v>
      </c>
      <c r="AK2154" t="s">
        <v>744</v>
      </c>
      <c r="AL2154">
        <v>39.060130000000001</v>
      </c>
      <c r="AM2154" t="s">
        <v>713</v>
      </c>
      <c r="AN2154">
        <v>-121.041591</v>
      </c>
      <c r="AO2154">
        <v>25</v>
      </c>
      <c r="AP2154">
        <v>4500</v>
      </c>
      <c r="AQ2154" t="s">
        <v>131</v>
      </c>
      <c r="AR2154">
        <v>0</v>
      </c>
      <c r="AS2154">
        <v>90</v>
      </c>
      <c r="AT2154">
        <v>64</v>
      </c>
      <c r="BB2154" t="str">
        <f t="shared" si="839"/>
        <v>1200</v>
      </c>
      <c r="BC2154">
        <v>1</v>
      </c>
      <c r="BD2154" t="str">
        <f t="shared" si="840"/>
        <v xml:space="preserve">N52156  </v>
      </c>
      <c r="BE2154">
        <v>1</v>
      </c>
      <c r="BG2154">
        <v>0</v>
      </c>
      <c r="BH2154">
        <v>0</v>
      </c>
      <c r="BI2154">
        <v>0</v>
      </c>
      <c r="BJ2154">
        <v>4550</v>
      </c>
      <c r="BK2154">
        <v>50</v>
      </c>
      <c r="BL2154" t="s">
        <v>188</v>
      </c>
      <c r="BM2154">
        <v>1</v>
      </c>
      <c r="BN2154">
        <v>1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 t="shared" si="853"/>
        <v>15:10:30.294</v>
      </c>
      <c r="CF2154">
        <v>293783247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3</v>
      </c>
      <c r="CY2154">
        <v>7</v>
      </c>
      <c r="CZ2154" t="s">
        <v>133</v>
      </c>
      <c r="DA2154">
        <v>276</v>
      </c>
      <c r="DB2154">
        <v>0</v>
      </c>
      <c r="DC2154" t="s">
        <v>402</v>
      </c>
      <c r="DD2154" t="s">
        <v>403</v>
      </c>
      <c r="DG2154">
        <v>1626807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"05/01/2025 15:10:30.543"</f>
        <v>05/01/2025 15:10:30.543</v>
      </c>
      <c r="C2155" t="str">
        <f t="shared" si="836"/>
        <v>FFDFD3C0</v>
      </c>
      <c r="D2155" t="s">
        <v>143</v>
      </c>
      <c r="E2155" t="str">
        <f>"05"</f>
        <v>05</v>
      </c>
      <c r="H2155">
        <v>172</v>
      </c>
      <c r="I2155" t="s">
        <v>141</v>
      </c>
      <c r="J2155" t="s">
        <v>144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R2155" t="s">
        <v>127</v>
      </c>
      <c r="S2155" t="str">
        <f t="shared" si="852"/>
        <v>15:10:30.000</v>
      </c>
      <c r="T2155" t="str">
        <f t="shared" si="852"/>
        <v>15:10:30.000</v>
      </c>
      <c r="U2155" t="str">
        <f t="shared" si="838"/>
        <v>A68FCB</v>
      </c>
      <c r="V2155">
        <v>0</v>
      </c>
      <c r="W2155">
        <v>0</v>
      </c>
      <c r="X2155">
        <v>2</v>
      </c>
      <c r="Y2155">
        <v>0</v>
      </c>
      <c r="AA2155">
        <v>1</v>
      </c>
      <c r="AB2155">
        <v>8</v>
      </c>
      <c r="AC2155">
        <v>3</v>
      </c>
      <c r="AD2155">
        <v>0</v>
      </c>
      <c r="AE2155">
        <v>9</v>
      </c>
      <c r="AF2155" t="s">
        <v>138</v>
      </c>
      <c r="AG2155">
        <v>0</v>
      </c>
      <c r="AH2155">
        <v>3</v>
      </c>
      <c r="AI2155">
        <v>2</v>
      </c>
      <c r="AJ2155">
        <v>0</v>
      </c>
      <c r="AK2155" t="s">
        <v>744</v>
      </c>
      <c r="AL2155">
        <v>39.060130000000001</v>
      </c>
      <c r="AM2155" t="s">
        <v>713</v>
      </c>
      <c r="AN2155">
        <v>-121.041591</v>
      </c>
      <c r="AO2155">
        <v>25</v>
      </c>
      <c r="AP2155">
        <v>4500</v>
      </c>
      <c r="AQ2155" t="s">
        <v>131</v>
      </c>
      <c r="AR2155">
        <v>0</v>
      </c>
      <c r="AS2155">
        <v>90</v>
      </c>
      <c r="AT2155">
        <v>64</v>
      </c>
      <c r="BB2155" t="str">
        <f t="shared" si="839"/>
        <v>1200</v>
      </c>
      <c r="BC2155">
        <v>1</v>
      </c>
      <c r="BD2155" t="str">
        <f t="shared" si="840"/>
        <v xml:space="preserve">N52156  </v>
      </c>
      <c r="BE2155">
        <v>1</v>
      </c>
      <c r="BG2155">
        <v>0</v>
      </c>
      <c r="BH2155">
        <v>0</v>
      </c>
      <c r="BI2155">
        <v>0</v>
      </c>
      <c r="BJ2155">
        <v>4550</v>
      </c>
      <c r="BK2155">
        <v>50</v>
      </c>
      <c r="BL2155" t="s">
        <v>188</v>
      </c>
      <c r="BM2155">
        <v>1</v>
      </c>
      <c r="BN2155">
        <v>1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 t="shared" si="853"/>
        <v>15:10:30.294</v>
      </c>
      <c r="CF2155">
        <v>293783247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3</v>
      </c>
      <c r="CY2155">
        <v>7</v>
      </c>
      <c r="CZ2155" t="s">
        <v>133</v>
      </c>
      <c r="DA2155">
        <v>276</v>
      </c>
      <c r="DB2155">
        <v>0</v>
      </c>
      <c r="DC2155" t="s">
        <v>402</v>
      </c>
      <c r="DD2155" t="s">
        <v>403</v>
      </c>
      <c r="DG2155">
        <v>1626807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"05/01/2025 15:10:31.932"</f>
        <v>05/01/2025 15:10:31.932</v>
      </c>
      <c r="C2156" t="str">
        <f t="shared" si="836"/>
        <v>FFDFD3C0</v>
      </c>
      <c r="D2156" t="s">
        <v>145</v>
      </c>
      <c r="E2156" t="str">
        <f>"05"</f>
        <v>05</v>
      </c>
      <c r="H2156">
        <v>47</v>
      </c>
      <c r="I2156" t="s">
        <v>146</v>
      </c>
      <c r="J2156" t="s">
        <v>138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R2156" t="s">
        <v>127</v>
      </c>
      <c r="S2156" t="str">
        <f t="shared" ref="S2156:T2161" si="854">"15:10:31.000"</f>
        <v>15:10:31.000</v>
      </c>
      <c r="T2156" t="str">
        <f t="shared" si="854"/>
        <v>15:10:31.000</v>
      </c>
      <c r="U2156" t="str">
        <f t="shared" si="838"/>
        <v>A68FCB</v>
      </c>
      <c r="V2156">
        <v>0</v>
      </c>
      <c r="W2156">
        <v>0</v>
      </c>
      <c r="X2156">
        <v>2</v>
      </c>
      <c r="Y2156">
        <v>0</v>
      </c>
      <c r="AA2156">
        <v>1</v>
      </c>
      <c r="AB2156">
        <v>8</v>
      </c>
      <c r="AC2156">
        <v>3</v>
      </c>
      <c r="AD2156">
        <v>0</v>
      </c>
      <c r="AE2156">
        <v>9</v>
      </c>
      <c r="AF2156" t="s">
        <v>138</v>
      </c>
      <c r="AG2156">
        <v>0</v>
      </c>
      <c r="AH2156">
        <v>3</v>
      </c>
      <c r="AI2156">
        <v>2</v>
      </c>
      <c r="AJ2156">
        <v>0</v>
      </c>
      <c r="AK2156" t="s">
        <v>745</v>
      </c>
      <c r="AL2156">
        <v>39.060580999999999</v>
      </c>
      <c r="AM2156" t="s">
        <v>715</v>
      </c>
      <c r="AN2156">
        <v>-121.04156999999999</v>
      </c>
      <c r="AO2156">
        <v>25</v>
      </c>
      <c r="AP2156">
        <v>4500</v>
      </c>
      <c r="AQ2156" t="s">
        <v>131</v>
      </c>
      <c r="AR2156">
        <v>1</v>
      </c>
      <c r="AS2156">
        <v>90</v>
      </c>
      <c r="AT2156">
        <v>64</v>
      </c>
      <c r="BB2156" t="str">
        <f t="shared" si="839"/>
        <v>1200</v>
      </c>
      <c r="BC2156">
        <v>1</v>
      </c>
      <c r="BD2156" t="str">
        <f t="shared" si="840"/>
        <v xml:space="preserve">N52156  </v>
      </c>
      <c r="BE2156">
        <v>1</v>
      </c>
      <c r="BG2156">
        <v>0</v>
      </c>
      <c r="BH2156">
        <v>0</v>
      </c>
      <c r="BI2156">
        <v>0</v>
      </c>
      <c r="BJ2156">
        <v>4550</v>
      </c>
      <c r="BK2156">
        <v>50</v>
      </c>
      <c r="BL2156" t="s">
        <v>188</v>
      </c>
      <c r="BM2156">
        <v>1</v>
      </c>
      <c r="BN2156">
        <v>1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 t="shared" ref="CE2156:CE2161" si="855">"15:10:31.729"</f>
        <v>15:10:31.729</v>
      </c>
      <c r="CF2156">
        <v>729216731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3</v>
      </c>
      <c r="CY2156">
        <v>7</v>
      </c>
      <c r="CZ2156" t="s">
        <v>133</v>
      </c>
      <c r="DA2156">
        <v>275</v>
      </c>
      <c r="DB2156">
        <v>0</v>
      </c>
      <c r="DC2156" t="s">
        <v>134</v>
      </c>
      <c r="DD2156" t="s">
        <v>135</v>
      </c>
      <c r="DG2156">
        <v>3321440</v>
      </c>
      <c r="DI2156">
        <v>1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"05/01/2025 15:10:31.934"</f>
        <v>05/01/2025 15:10:31.934</v>
      </c>
      <c r="C2157" t="str">
        <f t="shared" si="836"/>
        <v>FFDFD3C0</v>
      </c>
      <c r="D2157" t="s">
        <v>145</v>
      </c>
      <c r="E2157" t="str">
        <f>"09"</f>
        <v>09</v>
      </c>
      <c r="H2157">
        <v>51</v>
      </c>
      <c r="I2157" t="s">
        <v>147</v>
      </c>
      <c r="J2157" t="s">
        <v>138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R2157" t="s">
        <v>127</v>
      </c>
      <c r="S2157" t="str">
        <f t="shared" si="854"/>
        <v>15:10:31.000</v>
      </c>
      <c r="T2157" t="str">
        <f t="shared" si="854"/>
        <v>15:10:31.000</v>
      </c>
      <c r="U2157" t="str">
        <f t="shared" si="838"/>
        <v>A68FCB</v>
      </c>
      <c r="V2157">
        <v>0</v>
      </c>
      <c r="W2157">
        <v>0</v>
      </c>
      <c r="X2157">
        <v>2</v>
      </c>
      <c r="Y2157">
        <v>0</v>
      </c>
      <c r="AA2157">
        <v>1</v>
      </c>
      <c r="AB2157">
        <v>8</v>
      </c>
      <c r="AC2157">
        <v>3</v>
      </c>
      <c r="AD2157">
        <v>0</v>
      </c>
      <c r="AE2157">
        <v>9</v>
      </c>
      <c r="AF2157" t="s">
        <v>138</v>
      </c>
      <c r="AG2157">
        <v>0</v>
      </c>
      <c r="AH2157">
        <v>3</v>
      </c>
      <c r="AI2157">
        <v>2</v>
      </c>
      <c r="AJ2157">
        <v>0</v>
      </c>
      <c r="AK2157" t="s">
        <v>745</v>
      </c>
      <c r="AL2157">
        <v>39.060580999999999</v>
      </c>
      <c r="AM2157" t="s">
        <v>715</v>
      </c>
      <c r="AN2157">
        <v>-121.04156999999999</v>
      </c>
      <c r="AO2157">
        <v>25</v>
      </c>
      <c r="AP2157">
        <v>4500</v>
      </c>
      <c r="AQ2157" t="s">
        <v>131</v>
      </c>
      <c r="AR2157">
        <v>1</v>
      </c>
      <c r="AS2157">
        <v>90</v>
      </c>
      <c r="AT2157">
        <v>64</v>
      </c>
      <c r="BB2157" t="str">
        <f t="shared" si="839"/>
        <v>1200</v>
      </c>
      <c r="BC2157">
        <v>1</v>
      </c>
      <c r="BD2157" t="str">
        <f t="shared" si="840"/>
        <v xml:space="preserve">N52156  </v>
      </c>
      <c r="BE2157">
        <v>1</v>
      </c>
      <c r="BG2157">
        <v>0</v>
      </c>
      <c r="BH2157">
        <v>0</v>
      </c>
      <c r="BI2157">
        <v>0</v>
      </c>
      <c r="BJ2157">
        <v>4550</v>
      </c>
      <c r="BK2157">
        <v>50</v>
      </c>
      <c r="BL2157" t="s">
        <v>188</v>
      </c>
      <c r="BM2157">
        <v>1</v>
      </c>
      <c r="BN2157">
        <v>1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 t="shared" si="855"/>
        <v>15:10:31.729</v>
      </c>
      <c r="CF2157">
        <v>729216731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3</v>
      </c>
      <c r="CY2157">
        <v>7</v>
      </c>
      <c r="CZ2157" t="s">
        <v>133</v>
      </c>
      <c r="DA2157">
        <v>275</v>
      </c>
      <c r="DB2157">
        <v>0</v>
      </c>
      <c r="DC2157" t="s">
        <v>134</v>
      </c>
      <c r="DD2157" t="s">
        <v>135</v>
      </c>
      <c r="DG2157">
        <v>3321440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"05/01/2025 15:10:31.942"</f>
        <v>05/01/2025 15:10:31.942</v>
      </c>
      <c r="C2158" t="str">
        <f t="shared" si="836"/>
        <v>FFDFD3C0</v>
      </c>
      <c r="D2158" t="s">
        <v>136</v>
      </c>
      <c r="E2158" t="str">
        <f>"20"</f>
        <v>20</v>
      </c>
      <c r="H2158">
        <v>400</v>
      </c>
      <c r="I2158" t="s">
        <v>137</v>
      </c>
      <c r="J2158" t="s">
        <v>138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R2158" t="s">
        <v>127</v>
      </c>
      <c r="S2158" t="str">
        <f t="shared" si="854"/>
        <v>15:10:31.000</v>
      </c>
      <c r="T2158" t="str">
        <f t="shared" si="854"/>
        <v>15:10:31.000</v>
      </c>
      <c r="U2158" t="str">
        <f t="shared" si="838"/>
        <v>A68FCB</v>
      </c>
      <c r="V2158">
        <v>0</v>
      </c>
      <c r="W2158">
        <v>0</v>
      </c>
      <c r="X2158">
        <v>2</v>
      </c>
      <c r="Y2158">
        <v>0</v>
      </c>
      <c r="AA2158">
        <v>1</v>
      </c>
      <c r="AB2158">
        <v>8</v>
      </c>
      <c r="AC2158">
        <v>3</v>
      </c>
      <c r="AD2158">
        <v>0</v>
      </c>
      <c r="AE2158">
        <v>9</v>
      </c>
      <c r="AF2158" t="s">
        <v>138</v>
      </c>
      <c r="AG2158">
        <v>0</v>
      </c>
      <c r="AH2158">
        <v>3</v>
      </c>
      <c r="AI2158">
        <v>2</v>
      </c>
      <c r="AJ2158">
        <v>0</v>
      </c>
      <c r="AK2158" t="s">
        <v>745</v>
      </c>
      <c r="AL2158">
        <v>39.060580999999999</v>
      </c>
      <c r="AM2158" t="s">
        <v>715</v>
      </c>
      <c r="AN2158">
        <v>-121.04156999999999</v>
      </c>
      <c r="AO2158">
        <v>25</v>
      </c>
      <c r="AP2158">
        <v>4500</v>
      </c>
      <c r="AQ2158" t="s">
        <v>131</v>
      </c>
      <c r="AR2158">
        <v>1</v>
      </c>
      <c r="AS2158">
        <v>90</v>
      </c>
      <c r="AT2158">
        <v>64</v>
      </c>
      <c r="BB2158" t="str">
        <f t="shared" si="839"/>
        <v>1200</v>
      </c>
      <c r="BC2158">
        <v>1</v>
      </c>
      <c r="BD2158" t="str">
        <f t="shared" si="840"/>
        <v xml:space="preserve">N52156  </v>
      </c>
      <c r="BE2158">
        <v>1</v>
      </c>
      <c r="BG2158">
        <v>0</v>
      </c>
      <c r="BH2158">
        <v>0</v>
      </c>
      <c r="BI2158">
        <v>0</v>
      </c>
      <c r="BJ2158">
        <v>4550</v>
      </c>
      <c r="BK2158">
        <v>50</v>
      </c>
      <c r="BL2158" t="s">
        <v>188</v>
      </c>
      <c r="BM2158">
        <v>1</v>
      </c>
      <c r="BN2158">
        <v>1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 t="shared" si="855"/>
        <v>15:10:31.729</v>
      </c>
      <c r="CF2158">
        <v>729216731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3</v>
      </c>
      <c r="CY2158">
        <v>7</v>
      </c>
      <c r="CZ2158" t="s">
        <v>133</v>
      </c>
      <c r="DA2158">
        <v>275</v>
      </c>
      <c r="DB2158">
        <v>0</v>
      </c>
      <c r="DC2158" t="s">
        <v>134</v>
      </c>
      <c r="DD2158" t="s">
        <v>135</v>
      </c>
      <c r="DG2158">
        <v>3321440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"05/01/2025 15:10:31.945"</f>
        <v>05/01/2025 15:10:31.945</v>
      </c>
      <c r="C2159" t="str">
        <f t="shared" si="836"/>
        <v>FFDFD3C0</v>
      </c>
      <c r="D2159" t="s">
        <v>143</v>
      </c>
      <c r="E2159" t="str">
        <f>"05"</f>
        <v>05</v>
      </c>
      <c r="H2159">
        <v>172</v>
      </c>
      <c r="I2159" t="s">
        <v>141</v>
      </c>
      <c r="J2159" t="s">
        <v>144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R2159" t="s">
        <v>127</v>
      </c>
      <c r="S2159" t="str">
        <f t="shared" si="854"/>
        <v>15:10:31.000</v>
      </c>
      <c r="T2159" t="str">
        <f t="shared" si="854"/>
        <v>15:10:31.000</v>
      </c>
      <c r="U2159" t="str">
        <f t="shared" si="838"/>
        <v>A68FCB</v>
      </c>
      <c r="V2159">
        <v>0</v>
      </c>
      <c r="W2159">
        <v>0</v>
      </c>
      <c r="X2159">
        <v>2</v>
      </c>
      <c r="Y2159">
        <v>0</v>
      </c>
      <c r="AA2159">
        <v>1</v>
      </c>
      <c r="AB2159">
        <v>8</v>
      </c>
      <c r="AC2159">
        <v>3</v>
      </c>
      <c r="AD2159">
        <v>0</v>
      </c>
      <c r="AE2159">
        <v>9</v>
      </c>
      <c r="AF2159" t="s">
        <v>138</v>
      </c>
      <c r="AG2159">
        <v>0</v>
      </c>
      <c r="AH2159">
        <v>3</v>
      </c>
      <c r="AI2159">
        <v>2</v>
      </c>
      <c r="AJ2159">
        <v>0</v>
      </c>
      <c r="AK2159" t="s">
        <v>745</v>
      </c>
      <c r="AL2159">
        <v>39.060580999999999</v>
      </c>
      <c r="AM2159" t="s">
        <v>715</v>
      </c>
      <c r="AN2159">
        <v>-121.04156999999999</v>
      </c>
      <c r="AO2159">
        <v>25</v>
      </c>
      <c r="AP2159">
        <v>4500</v>
      </c>
      <c r="AQ2159" t="s">
        <v>131</v>
      </c>
      <c r="AR2159">
        <v>1</v>
      </c>
      <c r="AS2159">
        <v>90</v>
      </c>
      <c r="AT2159">
        <v>64</v>
      </c>
      <c r="BB2159" t="str">
        <f t="shared" si="839"/>
        <v>1200</v>
      </c>
      <c r="BC2159">
        <v>1</v>
      </c>
      <c r="BD2159" t="str">
        <f t="shared" si="840"/>
        <v xml:space="preserve">N52156  </v>
      </c>
      <c r="BE2159">
        <v>1</v>
      </c>
      <c r="BG2159">
        <v>0</v>
      </c>
      <c r="BH2159">
        <v>0</v>
      </c>
      <c r="BI2159">
        <v>0</v>
      </c>
      <c r="BJ2159">
        <v>4550</v>
      </c>
      <c r="BK2159">
        <v>50</v>
      </c>
      <c r="BL2159" t="s">
        <v>188</v>
      </c>
      <c r="BM2159">
        <v>1</v>
      </c>
      <c r="BN2159">
        <v>1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 t="shared" si="855"/>
        <v>15:10:31.729</v>
      </c>
      <c r="CF2159">
        <v>729216731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3</v>
      </c>
      <c r="CY2159">
        <v>7</v>
      </c>
      <c r="CZ2159" t="s">
        <v>133</v>
      </c>
      <c r="DA2159">
        <v>275</v>
      </c>
      <c r="DB2159">
        <v>0</v>
      </c>
      <c r="DC2159" t="s">
        <v>134</v>
      </c>
      <c r="DD2159" t="s">
        <v>135</v>
      </c>
      <c r="DG2159">
        <v>3321440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"05/01/2025 15:10:31.968"</f>
        <v>05/01/2025 15:10:31.968</v>
      </c>
      <c r="C2160" t="str">
        <f t="shared" si="836"/>
        <v>FFDFD3C0</v>
      </c>
      <c r="D2160" t="s">
        <v>140</v>
      </c>
      <c r="E2160" t="str">
        <f>"13"</f>
        <v>13</v>
      </c>
      <c r="F2160">
        <v>1019</v>
      </c>
      <c r="G2160" t="s">
        <v>141</v>
      </c>
      <c r="J2160" t="s">
        <v>142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R2160" t="s">
        <v>127</v>
      </c>
      <c r="S2160" t="str">
        <f t="shared" si="854"/>
        <v>15:10:31.000</v>
      </c>
      <c r="T2160" t="str">
        <f t="shared" si="854"/>
        <v>15:10:31.000</v>
      </c>
      <c r="U2160" t="str">
        <f t="shared" si="838"/>
        <v>A68FCB</v>
      </c>
      <c r="V2160">
        <v>0</v>
      </c>
      <c r="W2160">
        <v>0</v>
      </c>
      <c r="X2160">
        <v>2</v>
      </c>
      <c r="Y2160">
        <v>0</v>
      </c>
      <c r="AA2160">
        <v>1</v>
      </c>
      <c r="AB2160">
        <v>8</v>
      </c>
      <c r="AC2160">
        <v>3</v>
      </c>
      <c r="AD2160">
        <v>0</v>
      </c>
      <c r="AE2160">
        <v>9</v>
      </c>
      <c r="AF2160" t="s">
        <v>138</v>
      </c>
      <c r="AG2160">
        <v>0</v>
      </c>
      <c r="AH2160">
        <v>3</v>
      </c>
      <c r="AI2160">
        <v>2</v>
      </c>
      <c r="AJ2160">
        <v>0</v>
      </c>
      <c r="AK2160" t="s">
        <v>745</v>
      </c>
      <c r="AL2160">
        <v>39.060580999999999</v>
      </c>
      <c r="AM2160" t="s">
        <v>715</v>
      </c>
      <c r="AN2160">
        <v>-121.04156999999999</v>
      </c>
      <c r="AO2160">
        <v>25</v>
      </c>
      <c r="AP2160">
        <v>4500</v>
      </c>
      <c r="AQ2160" t="s">
        <v>131</v>
      </c>
      <c r="AR2160">
        <v>1</v>
      </c>
      <c r="AS2160">
        <v>90</v>
      </c>
      <c r="AT2160">
        <v>64</v>
      </c>
      <c r="BB2160" t="str">
        <f t="shared" si="839"/>
        <v>1200</v>
      </c>
      <c r="BC2160">
        <v>1</v>
      </c>
      <c r="BD2160" t="str">
        <f t="shared" si="840"/>
        <v xml:space="preserve">N52156  </v>
      </c>
      <c r="BE2160">
        <v>1</v>
      </c>
      <c r="BG2160">
        <v>0</v>
      </c>
      <c r="BH2160">
        <v>0</v>
      </c>
      <c r="BI2160">
        <v>0</v>
      </c>
      <c r="BJ2160">
        <v>4550</v>
      </c>
      <c r="BK2160">
        <v>50</v>
      </c>
      <c r="BL2160" t="s">
        <v>188</v>
      </c>
      <c r="BM2160">
        <v>1</v>
      </c>
      <c r="BN2160">
        <v>1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 t="shared" si="855"/>
        <v>15:10:31.729</v>
      </c>
      <c r="CF2160">
        <v>729216731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3</v>
      </c>
      <c r="CY2160">
        <v>7</v>
      </c>
      <c r="CZ2160" t="s">
        <v>133</v>
      </c>
      <c r="DA2160">
        <v>275</v>
      </c>
      <c r="DB2160">
        <v>0</v>
      </c>
      <c r="DC2160" t="s">
        <v>134</v>
      </c>
      <c r="DD2160" t="s">
        <v>135</v>
      </c>
      <c r="DG2160">
        <v>3321440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"05/01/2025 15:10:31.977"</f>
        <v>05/01/2025 15:10:31.977</v>
      </c>
      <c r="C2161" t="str">
        <f t="shared" si="836"/>
        <v>FFDFD3C0</v>
      </c>
      <c r="D2161" t="s">
        <v>124</v>
      </c>
      <c r="E2161" t="str">
        <f>"06"</f>
        <v>06</v>
      </c>
      <c r="F2161">
        <v>2006</v>
      </c>
      <c r="G2161" t="s">
        <v>125</v>
      </c>
      <c r="J2161" t="s">
        <v>126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R2161" t="s">
        <v>127</v>
      </c>
      <c r="S2161" t="str">
        <f t="shared" si="854"/>
        <v>15:10:31.000</v>
      </c>
      <c r="T2161" t="str">
        <f t="shared" si="854"/>
        <v>15:10:31.000</v>
      </c>
      <c r="U2161" t="str">
        <f t="shared" si="838"/>
        <v>A68FCB</v>
      </c>
      <c r="V2161">
        <v>0</v>
      </c>
      <c r="W2161">
        <v>0</v>
      </c>
      <c r="X2161">
        <v>2</v>
      </c>
      <c r="Y2161">
        <v>0</v>
      </c>
      <c r="AA2161">
        <v>1</v>
      </c>
      <c r="AB2161">
        <v>8</v>
      </c>
      <c r="AC2161">
        <v>3</v>
      </c>
      <c r="AD2161">
        <v>0</v>
      </c>
      <c r="AE2161">
        <v>9</v>
      </c>
      <c r="AF2161" t="s">
        <v>138</v>
      </c>
      <c r="AG2161">
        <v>0</v>
      </c>
      <c r="AH2161">
        <v>3</v>
      </c>
      <c r="AI2161">
        <v>2</v>
      </c>
      <c r="AJ2161">
        <v>0</v>
      </c>
      <c r="AK2161" t="s">
        <v>745</v>
      </c>
      <c r="AL2161">
        <v>39.060580999999999</v>
      </c>
      <c r="AM2161" t="s">
        <v>715</v>
      </c>
      <c r="AN2161">
        <v>-121.04156999999999</v>
      </c>
      <c r="AO2161">
        <v>25</v>
      </c>
      <c r="AP2161">
        <v>4500</v>
      </c>
      <c r="AQ2161" t="s">
        <v>131</v>
      </c>
      <c r="AR2161">
        <v>1</v>
      </c>
      <c r="AS2161">
        <v>90</v>
      </c>
      <c r="AT2161">
        <v>64</v>
      </c>
      <c r="BB2161" t="str">
        <f t="shared" si="839"/>
        <v>1200</v>
      </c>
      <c r="BC2161">
        <v>1</v>
      </c>
      <c r="BD2161" t="str">
        <f t="shared" si="840"/>
        <v xml:space="preserve">N52156  </v>
      </c>
      <c r="BE2161">
        <v>1</v>
      </c>
      <c r="BG2161">
        <v>0</v>
      </c>
      <c r="BH2161">
        <v>0</v>
      </c>
      <c r="BI2161">
        <v>0</v>
      </c>
      <c r="BJ2161">
        <v>4550</v>
      </c>
      <c r="BK2161">
        <v>50</v>
      </c>
      <c r="BL2161" t="s">
        <v>188</v>
      </c>
      <c r="BM2161">
        <v>1</v>
      </c>
      <c r="BN2161">
        <v>1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 t="shared" si="855"/>
        <v>15:10:31.729</v>
      </c>
      <c r="CF2161">
        <v>729216731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3</v>
      </c>
      <c r="CY2161">
        <v>7</v>
      </c>
      <c r="CZ2161" t="s">
        <v>133</v>
      </c>
      <c r="DA2161">
        <v>275</v>
      </c>
      <c r="DB2161">
        <v>0</v>
      </c>
      <c r="DC2161" t="s">
        <v>134</v>
      </c>
      <c r="DD2161" t="s">
        <v>135</v>
      </c>
      <c r="DG2161">
        <v>3321440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"05/01/2025 15:10:32.578"</f>
        <v>05/01/2025 15:10:32.578</v>
      </c>
      <c r="C2162" t="str">
        <f t="shared" si="836"/>
        <v>FFDFD3C0</v>
      </c>
      <c r="D2162" t="s">
        <v>124</v>
      </c>
      <c r="E2162" t="str">
        <f>"06"</f>
        <v>06</v>
      </c>
      <c r="F2162">
        <v>2006</v>
      </c>
      <c r="G2162" t="s">
        <v>125</v>
      </c>
      <c r="J2162" t="s">
        <v>126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R2162" t="s">
        <v>127</v>
      </c>
      <c r="S2162" t="str">
        <f t="shared" ref="S2162:T2167" si="856">"15:10:32.000"</f>
        <v>15:10:32.000</v>
      </c>
      <c r="T2162" t="str">
        <f t="shared" si="856"/>
        <v>15:10:32.000</v>
      </c>
      <c r="U2162" t="str">
        <f t="shared" si="838"/>
        <v>A68FCB</v>
      </c>
      <c r="V2162">
        <v>0</v>
      </c>
      <c r="W2162">
        <v>0</v>
      </c>
      <c r="X2162">
        <v>2</v>
      </c>
      <c r="Y2162">
        <v>0</v>
      </c>
      <c r="AA2162">
        <v>1</v>
      </c>
      <c r="AB2162">
        <v>8</v>
      </c>
      <c r="AC2162">
        <v>3</v>
      </c>
      <c r="AD2162">
        <v>0</v>
      </c>
      <c r="AE2162">
        <v>9</v>
      </c>
      <c r="AF2162" t="s">
        <v>138</v>
      </c>
      <c r="AG2162">
        <v>0</v>
      </c>
      <c r="AH2162">
        <v>3</v>
      </c>
      <c r="AI2162">
        <v>2</v>
      </c>
      <c r="AJ2162">
        <v>0</v>
      </c>
      <c r="AK2162" t="s">
        <v>746</v>
      </c>
      <c r="AL2162">
        <v>39.060966999999998</v>
      </c>
      <c r="AM2162" t="s">
        <v>713</v>
      </c>
      <c r="AN2162">
        <v>-121.041591</v>
      </c>
      <c r="AO2162">
        <v>25</v>
      </c>
      <c r="AP2162">
        <v>4500</v>
      </c>
      <c r="AQ2162" t="s">
        <v>131</v>
      </c>
      <c r="AR2162">
        <v>1</v>
      </c>
      <c r="AS2162">
        <v>90</v>
      </c>
      <c r="AT2162">
        <v>64</v>
      </c>
      <c r="BB2162" t="str">
        <f t="shared" si="839"/>
        <v>1200</v>
      </c>
      <c r="BC2162">
        <v>1</v>
      </c>
      <c r="BD2162" t="str">
        <f t="shared" si="840"/>
        <v xml:space="preserve">N52156  </v>
      </c>
      <c r="BE2162">
        <v>1</v>
      </c>
      <c r="BG2162">
        <v>0</v>
      </c>
      <c r="BH2162">
        <v>0</v>
      </c>
      <c r="BI2162">
        <v>0</v>
      </c>
      <c r="BJ2162">
        <v>4550</v>
      </c>
      <c r="BK2162">
        <v>50</v>
      </c>
      <c r="BL2162" t="s">
        <v>188</v>
      </c>
      <c r="BM2162">
        <v>1</v>
      </c>
      <c r="BN2162">
        <v>1</v>
      </c>
      <c r="BO2162">
        <v>0</v>
      </c>
      <c r="BP2162">
        <v>0</v>
      </c>
      <c r="BS2162">
        <v>0</v>
      </c>
      <c r="BT2162">
        <v>0</v>
      </c>
      <c r="BU2162">
        <v>0</v>
      </c>
      <c r="CE2162" t="str">
        <f t="shared" ref="CE2162:CE2167" si="857">"15:10:32.366"</f>
        <v>15:10:32.366</v>
      </c>
      <c r="CF2162">
        <v>366215861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3</v>
      </c>
      <c r="CY2162">
        <v>7</v>
      </c>
      <c r="CZ2162" t="s">
        <v>133</v>
      </c>
      <c r="DA2162">
        <v>275</v>
      </c>
      <c r="DB2162">
        <v>0</v>
      </c>
      <c r="DC2162" t="s">
        <v>134</v>
      </c>
      <c r="DD2162" t="s">
        <v>135</v>
      </c>
      <c r="DG2162">
        <v>3321443</v>
      </c>
      <c r="DI2162">
        <v>1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"05/01/2025 15:10:32.583"</f>
        <v>05/01/2025 15:10:32.583</v>
      </c>
      <c r="C2163" t="str">
        <f t="shared" si="836"/>
        <v>FFDFD3C0</v>
      </c>
      <c r="D2163" t="s">
        <v>145</v>
      </c>
      <c r="E2163" t="str">
        <f>"05"</f>
        <v>05</v>
      </c>
      <c r="H2163">
        <v>47</v>
      </c>
      <c r="I2163" t="s">
        <v>146</v>
      </c>
      <c r="J2163" t="s">
        <v>138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R2163" t="s">
        <v>127</v>
      </c>
      <c r="S2163" t="str">
        <f t="shared" si="856"/>
        <v>15:10:32.000</v>
      </c>
      <c r="T2163" t="str">
        <f t="shared" si="856"/>
        <v>15:10:32.000</v>
      </c>
      <c r="U2163" t="str">
        <f t="shared" si="838"/>
        <v>A68FCB</v>
      </c>
      <c r="V2163">
        <v>0</v>
      </c>
      <c r="W2163">
        <v>0</v>
      </c>
      <c r="X2163">
        <v>2</v>
      </c>
      <c r="Y2163">
        <v>0</v>
      </c>
      <c r="AA2163">
        <v>1</v>
      </c>
      <c r="AB2163">
        <v>8</v>
      </c>
      <c r="AC2163">
        <v>3</v>
      </c>
      <c r="AD2163">
        <v>0</v>
      </c>
      <c r="AE2163">
        <v>9</v>
      </c>
      <c r="AF2163" t="s">
        <v>138</v>
      </c>
      <c r="AG2163">
        <v>0</v>
      </c>
      <c r="AH2163">
        <v>3</v>
      </c>
      <c r="AI2163">
        <v>2</v>
      </c>
      <c r="AJ2163">
        <v>0</v>
      </c>
      <c r="AK2163" t="s">
        <v>746</v>
      </c>
      <c r="AL2163">
        <v>39.060966999999998</v>
      </c>
      <c r="AM2163" t="s">
        <v>713</v>
      </c>
      <c r="AN2163">
        <v>-121.041591</v>
      </c>
      <c r="AO2163">
        <v>25</v>
      </c>
      <c r="AP2163">
        <v>4500</v>
      </c>
      <c r="AQ2163" t="s">
        <v>131</v>
      </c>
      <c r="AR2163">
        <v>1</v>
      </c>
      <c r="AS2163">
        <v>90</v>
      </c>
      <c r="AT2163">
        <v>64</v>
      </c>
      <c r="BB2163" t="str">
        <f t="shared" si="839"/>
        <v>1200</v>
      </c>
      <c r="BC2163">
        <v>1</v>
      </c>
      <c r="BD2163" t="str">
        <f t="shared" si="840"/>
        <v xml:space="preserve">N52156  </v>
      </c>
      <c r="BE2163">
        <v>1</v>
      </c>
      <c r="BG2163">
        <v>0</v>
      </c>
      <c r="BH2163">
        <v>0</v>
      </c>
      <c r="BI2163">
        <v>0</v>
      </c>
      <c r="BJ2163">
        <v>4550</v>
      </c>
      <c r="BK2163">
        <v>50</v>
      </c>
      <c r="BL2163" t="s">
        <v>188</v>
      </c>
      <c r="BM2163">
        <v>1</v>
      </c>
      <c r="BN2163">
        <v>1</v>
      </c>
      <c r="BO2163">
        <v>0</v>
      </c>
      <c r="BP2163">
        <v>0</v>
      </c>
      <c r="BS2163">
        <v>0</v>
      </c>
      <c r="BT2163">
        <v>0</v>
      </c>
      <c r="BU2163">
        <v>0</v>
      </c>
      <c r="CE2163" t="str">
        <f t="shared" si="857"/>
        <v>15:10:32.366</v>
      </c>
      <c r="CF2163">
        <v>366215861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3</v>
      </c>
      <c r="CY2163">
        <v>7</v>
      </c>
      <c r="CZ2163" t="s">
        <v>133</v>
      </c>
      <c r="DA2163">
        <v>275</v>
      </c>
      <c r="DB2163">
        <v>0</v>
      </c>
      <c r="DC2163" t="s">
        <v>134</v>
      </c>
      <c r="DD2163" t="s">
        <v>135</v>
      </c>
      <c r="DG2163">
        <v>3321443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"05/01/2025 15:10:32.585"</f>
        <v>05/01/2025 15:10:32.585</v>
      </c>
      <c r="C2164" t="str">
        <f t="shared" si="836"/>
        <v>FFDFD3C0</v>
      </c>
      <c r="D2164" t="s">
        <v>145</v>
      </c>
      <c r="E2164" t="str">
        <f>"09"</f>
        <v>09</v>
      </c>
      <c r="H2164">
        <v>51</v>
      </c>
      <c r="I2164" t="s">
        <v>147</v>
      </c>
      <c r="J2164" t="s">
        <v>138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R2164" t="s">
        <v>127</v>
      </c>
      <c r="S2164" t="str">
        <f t="shared" si="856"/>
        <v>15:10:32.000</v>
      </c>
      <c r="T2164" t="str">
        <f t="shared" si="856"/>
        <v>15:10:32.000</v>
      </c>
      <c r="U2164" t="str">
        <f t="shared" si="838"/>
        <v>A68FCB</v>
      </c>
      <c r="V2164">
        <v>0</v>
      </c>
      <c r="W2164">
        <v>0</v>
      </c>
      <c r="X2164">
        <v>2</v>
      </c>
      <c r="Y2164">
        <v>0</v>
      </c>
      <c r="AA2164">
        <v>1</v>
      </c>
      <c r="AB2164">
        <v>8</v>
      </c>
      <c r="AC2164">
        <v>3</v>
      </c>
      <c r="AD2164">
        <v>0</v>
      </c>
      <c r="AE2164">
        <v>9</v>
      </c>
      <c r="AF2164" t="s">
        <v>138</v>
      </c>
      <c r="AG2164">
        <v>0</v>
      </c>
      <c r="AH2164">
        <v>3</v>
      </c>
      <c r="AI2164">
        <v>2</v>
      </c>
      <c r="AJ2164">
        <v>0</v>
      </c>
      <c r="AK2164" t="s">
        <v>746</v>
      </c>
      <c r="AL2164">
        <v>39.060966999999998</v>
      </c>
      <c r="AM2164" t="s">
        <v>713</v>
      </c>
      <c r="AN2164">
        <v>-121.041591</v>
      </c>
      <c r="AO2164">
        <v>25</v>
      </c>
      <c r="AP2164">
        <v>4500</v>
      </c>
      <c r="AQ2164" t="s">
        <v>131</v>
      </c>
      <c r="AR2164">
        <v>1</v>
      </c>
      <c r="AS2164">
        <v>90</v>
      </c>
      <c r="AT2164">
        <v>64</v>
      </c>
      <c r="BB2164" t="str">
        <f t="shared" si="839"/>
        <v>1200</v>
      </c>
      <c r="BC2164">
        <v>1</v>
      </c>
      <c r="BD2164" t="str">
        <f t="shared" si="840"/>
        <v xml:space="preserve">N52156  </v>
      </c>
      <c r="BE2164">
        <v>1</v>
      </c>
      <c r="BG2164">
        <v>0</v>
      </c>
      <c r="BH2164">
        <v>0</v>
      </c>
      <c r="BI2164">
        <v>0</v>
      </c>
      <c r="BJ2164">
        <v>4550</v>
      </c>
      <c r="BK2164">
        <v>50</v>
      </c>
      <c r="BL2164" t="s">
        <v>188</v>
      </c>
      <c r="BM2164">
        <v>1</v>
      </c>
      <c r="BN2164">
        <v>1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 t="shared" si="857"/>
        <v>15:10:32.366</v>
      </c>
      <c r="CF2164">
        <v>366215861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3</v>
      </c>
      <c r="CY2164">
        <v>7</v>
      </c>
      <c r="CZ2164" t="s">
        <v>133</v>
      </c>
      <c r="DA2164">
        <v>275</v>
      </c>
      <c r="DB2164">
        <v>0</v>
      </c>
      <c r="DC2164" t="s">
        <v>134</v>
      </c>
      <c r="DD2164" t="s">
        <v>135</v>
      </c>
      <c r="DG2164">
        <v>3321443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"05/01/2025 15:10:32.593"</f>
        <v>05/01/2025 15:10:32.593</v>
      </c>
      <c r="C2165" t="str">
        <f t="shared" si="836"/>
        <v>FFDFD3C0</v>
      </c>
      <c r="D2165" t="s">
        <v>136</v>
      </c>
      <c r="E2165" t="str">
        <f>"20"</f>
        <v>20</v>
      </c>
      <c r="H2165">
        <v>400</v>
      </c>
      <c r="I2165" t="s">
        <v>137</v>
      </c>
      <c r="J2165" t="s">
        <v>138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R2165" t="s">
        <v>127</v>
      </c>
      <c r="S2165" t="str">
        <f t="shared" si="856"/>
        <v>15:10:32.000</v>
      </c>
      <c r="T2165" t="str">
        <f t="shared" si="856"/>
        <v>15:10:32.000</v>
      </c>
      <c r="U2165" t="str">
        <f t="shared" si="838"/>
        <v>A68FCB</v>
      </c>
      <c r="V2165">
        <v>0</v>
      </c>
      <c r="W2165">
        <v>0</v>
      </c>
      <c r="X2165">
        <v>2</v>
      </c>
      <c r="Y2165">
        <v>0</v>
      </c>
      <c r="AA2165">
        <v>1</v>
      </c>
      <c r="AB2165">
        <v>8</v>
      </c>
      <c r="AC2165">
        <v>3</v>
      </c>
      <c r="AD2165">
        <v>0</v>
      </c>
      <c r="AE2165">
        <v>9</v>
      </c>
      <c r="AF2165" t="s">
        <v>138</v>
      </c>
      <c r="AG2165">
        <v>0</v>
      </c>
      <c r="AH2165">
        <v>3</v>
      </c>
      <c r="AI2165">
        <v>2</v>
      </c>
      <c r="AJ2165">
        <v>0</v>
      </c>
      <c r="AK2165" t="s">
        <v>746</v>
      </c>
      <c r="AL2165">
        <v>39.060966999999998</v>
      </c>
      <c r="AM2165" t="s">
        <v>713</v>
      </c>
      <c r="AN2165">
        <v>-121.041591</v>
      </c>
      <c r="AO2165">
        <v>25</v>
      </c>
      <c r="AP2165">
        <v>4500</v>
      </c>
      <c r="AQ2165" t="s">
        <v>131</v>
      </c>
      <c r="AR2165">
        <v>1</v>
      </c>
      <c r="AS2165">
        <v>90</v>
      </c>
      <c r="AT2165">
        <v>64</v>
      </c>
      <c r="BB2165" t="str">
        <f t="shared" si="839"/>
        <v>1200</v>
      </c>
      <c r="BC2165">
        <v>1</v>
      </c>
      <c r="BD2165" t="str">
        <f t="shared" si="840"/>
        <v xml:space="preserve">N52156  </v>
      </c>
      <c r="BE2165">
        <v>1</v>
      </c>
      <c r="BG2165">
        <v>0</v>
      </c>
      <c r="BH2165">
        <v>0</v>
      </c>
      <c r="BI2165">
        <v>0</v>
      </c>
      <c r="BJ2165">
        <v>4550</v>
      </c>
      <c r="BK2165">
        <v>50</v>
      </c>
      <c r="BL2165" t="s">
        <v>188</v>
      </c>
      <c r="BM2165">
        <v>1</v>
      </c>
      <c r="BN2165">
        <v>1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 t="shared" si="857"/>
        <v>15:10:32.366</v>
      </c>
      <c r="CF2165">
        <v>366215861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3</v>
      </c>
      <c r="CY2165">
        <v>7</v>
      </c>
      <c r="CZ2165" t="s">
        <v>133</v>
      </c>
      <c r="DA2165">
        <v>275</v>
      </c>
      <c r="DB2165">
        <v>0</v>
      </c>
      <c r="DC2165" t="s">
        <v>134</v>
      </c>
      <c r="DD2165" t="s">
        <v>135</v>
      </c>
      <c r="DG2165">
        <v>3321443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"05/01/2025 15:10:32.596"</f>
        <v>05/01/2025 15:10:32.596</v>
      </c>
      <c r="C2166" t="str">
        <f t="shared" si="836"/>
        <v>FFDFD3C0</v>
      </c>
      <c r="D2166" t="s">
        <v>143</v>
      </c>
      <c r="E2166" t="str">
        <f>"05"</f>
        <v>05</v>
      </c>
      <c r="H2166">
        <v>172</v>
      </c>
      <c r="I2166" t="s">
        <v>141</v>
      </c>
      <c r="J2166" t="s">
        <v>144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R2166" t="s">
        <v>127</v>
      </c>
      <c r="S2166" t="str">
        <f t="shared" si="856"/>
        <v>15:10:32.000</v>
      </c>
      <c r="T2166" t="str">
        <f t="shared" si="856"/>
        <v>15:10:32.000</v>
      </c>
      <c r="U2166" t="str">
        <f t="shared" si="838"/>
        <v>A68FCB</v>
      </c>
      <c r="V2166">
        <v>0</v>
      </c>
      <c r="W2166">
        <v>0</v>
      </c>
      <c r="X2166">
        <v>2</v>
      </c>
      <c r="Y2166">
        <v>0</v>
      </c>
      <c r="AA2166">
        <v>1</v>
      </c>
      <c r="AB2166">
        <v>8</v>
      </c>
      <c r="AC2166">
        <v>3</v>
      </c>
      <c r="AD2166">
        <v>0</v>
      </c>
      <c r="AE2166">
        <v>9</v>
      </c>
      <c r="AF2166" t="s">
        <v>138</v>
      </c>
      <c r="AG2166">
        <v>0</v>
      </c>
      <c r="AH2166">
        <v>3</v>
      </c>
      <c r="AI2166">
        <v>2</v>
      </c>
      <c r="AJ2166">
        <v>0</v>
      </c>
      <c r="AK2166" t="s">
        <v>746</v>
      </c>
      <c r="AL2166">
        <v>39.060966999999998</v>
      </c>
      <c r="AM2166" t="s">
        <v>713</v>
      </c>
      <c r="AN2166">
        <v>-121.041591</v>
      </c>
      <c r="AO2166">
        <v>25</v>
      </c>
      <c r="AP2166">
        <v>4500</v>
      </c>
      <c r="AQ2166" t="s">
        <v>131</v>
      </c>
      <c r="AR2166">
        <v>1</v>
      </c>
      <c r="AS2166">
        <v>90</v>
      </c>
      <c r="AT2166">
        <v>64</v>
      </c>
      <c r="BB2166" t="str">
        <f t="shared" si="839"/>
        <v>1200</v>
      </c>
      <c r="BC2166">
        <v>1</v>
      </c>
      <c r="BD2166" t="str">
        <f t="shared" si="840"/>
        <v xml:space="preserve">N52156  </v>
      </c>
      <c r="BE2166">
        <v>1</v>
      </c>
      <c r="BG2166">
        <v>0</v>
      </c>
      <c r="BH2166">
        <v>0</v>
      </c>
      <c r="BI2166">
        <v>0</v>
      </c>
      <c r="BJ2166">
        <v>4550</v>
      </c>
      <c r="BK2166">
        <v>50</v>
      </c>
      <c r="BL2166" t="s">
        <v>188</v>
      </c>
      <c r="BM2166">
        <v>1</v>
      </c>
      <c r="BN2166">
        <v>1</v>
      </c>
      <c r="BO2166">
        <v>0</v>
      </c>
      <c r="BP2166">
        <v>0</v>
      </c>
      <c r="BS2166">
        <v>0</v>
      </c>
      <c r="BT2166">
        <v>0</v>
      </c>
      <c r="BU2166">
        <v>0</v>
      </c>
      <c r="CE2166" t="str">
        <f t="shared" si="857"/>
        <v>15:10:32.366</v>
      </c>
      <c r="CF2166">
        <v>366215861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3</v>
      </c>
      <c r="CY2166">
        <v>7</v>
      </c>
      <c r="CZ2166" t="s">
        <v>133</v>
      </c>
      <c r="DA2166">
        <v>275</v>
      </c>
      <c r="DB2166">
        <v>0</v>
      </c>
      <c r="DC2166" t="s">
        <v>134</v>
      </c>
      <c r="DD2166" t="s">
        <v>135</v>
      </c>
      <c r="DG2166">
        <v>3321443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"05/01/2025 15:10:32.619"</f>
        <v>05/01/2025 15:10:32.619</v>
      </c>
      <c r="C2167" t="str">
        <f t="shared" si="836"/>
        <v>FFDFD3C0</v>
      </c>
      <c r="D2167" t="s">
        <v>140</v>
      </c>
      <c r="E2167" t="str">
        <f>"13"</f>
        <v>13</v>
      </c>
      <c r="F2167">
        <v>1019</v>
      </c>
      <c r="G2167" t="s">
        <v>141</v>
      </c>
      <c r="J2167" t="s">
        <v>142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R2167" t="s">
        <v>127</v>
      </c>
      <c r="S2167" t="str">
        <f t="shared" si="856"/>
        <v>15:10:32.000</v>
      </c>
      <c r="T2167" t="str">
        <f t="shared" si="856"/>
        <v>15:10:32.000</v>
      </c>
      <c r="U2167" t="str">
        <f t="shared" si="838"/>
        <v>A68FCB</v>
      </c>
      <c r="V2167">
        <v>0</v>
      </c>
      <c r="W2167">
        <v>0</v>
      </c>
      <c r="X2167">
        <v>2</v>
      </c>
      <c r="Y2167">
        <v>0</v>
      </c>
      <c r="AA2167">
        <v>1</v>
      </c>
      <c r="AB2167">
        <v>8</v>
      </c>
      <c r="AC2167">
        <v>3</v>
      </c>
      <c r="AD2167">
        <v>0</v>
      </c>
      <c r="AE2167">
        <v>9</v>
      </c>
      <c r="AF2167" t="s">
        <v>138</v>
      </c>
      <c r="AG2167">
        <v>0</v>
      </c>
      <c r="AH2167">
        <v>3</v>
      </c>
      <c r="AI2167">
        <v>2</v>
      </c>
      <c r="AJ2167">
        <v>0</v>
      </c>
      <c r="AK2167" t="s">
        <v>746</v>
      </c>
      <c r="AL2167">
        <v>39.060966999999998</v>
      </c>
      <c r="AM2167" t="s">
        <v>713</v>
      </c>
      <c r="AN2167">
        <v>-121.041591</v>
      </c>
      <c r="AO2167">
        <v>25</v>
      </c>
      <c r="AP2167">
        <v>4500</v>
      </c>
      <c r="AQ2167" t="s">
        <v>131</v>
      </c>
      <c r="AR2167">
        <v>1</v>
      </c>
      <c r="AS2167">
        <v>90</v>
      </c>
      <c r="AT2167">
        <v>64</v>
      </c>
      <c r="BB2167" t="str">
        <f t="shared" si="839"/>
        <v>1200</v>
      </c>
      <c r="BC2167">
        <v>1</v>
      </c>
      <c r="BD2167" t="str">
        <f t="shared" si="840"/>
        <v xml:space="preserve">N52156  </v>
      </c>
      <c r="BE2167">
        <v>1</v>
      </c>
      <c r="BG2167">
        <v>0</v>
      </c>
      <c r="BH2167">
        <v>0</v>
      </c>
      <c r="BI2167">
        <v>0</v>
      </c>
      <c r="BJ2167">
        <v>4550</v>
      </c>
      <c r="BK2167">
        <v>50</v>
      </c>
      <c r="BL2167" t="s">
        <v>188</v>
      </c>
      <c r="BM2167">
        <v>1</v>
      </c>
      <c r="BN2167">
        <v>1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 t="shared" si="857"/>
        <v>15:10:32.366</v>
      </c>
      <c r="CF2167">
        <v>366215861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3</v>
      </c>
      <c r="CY2167">
        <v>7</v>
      </c>
      <c r="CZ2167" t="s">
        <v>133</v>
      </c>
      <c r="DA2167">
        <v>275</v>
      </c>
      <c r="DB2167">
        <v>0</v>
      </c>
      <c r="DC2167" t="s">
        <v>134</v>
      </c>
      <c r="DD2167" t="s">
        <v>135</v>
      </c>
      <c r="DG2167">
        <v>3321443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"05/01/2025 15:10:33.598"</f>
        <v>05/01/2025 15:10:33.598</v>
      </c>
      <c r="C2168" t="str">
        <f t="shared" si="836"/>
        <v>FFDFD3C0</v>
      </c>
      <c r="D2168" t="s">
        <v>143</v>
      </c>
      <c r="E2168" t="str">
        <f>"05"</f>
        <v>05</v>
      </c>
      <c r="H2168">
        <v>172</v>
      </c>
      <c r="I2168" t="s">
        <v>141</v>
      </c>
      <c r="J2168" t="s">
        <v>144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R2168" t="s">
        <v>127</v>
      </c>
      <c r="S2168" t="str">
        <f t="shared" ref="S2168:T2173" si="858">"15:10:33.000"</f>
        <v>15:10:33.000</v>
      </c>
      <c r="T2168" t="str">
        <f t="shared" si="858"/>
        <v>15:10:33.000</v>
      </c>
      <c r="U2168" t="str">
        <f t="shared" si="838"/>
        <v>A68FCB</v>
      </c>
      <c r="V2168">
        <v>0</v>
      </c>
      <c r="W2168">
        <v>0</v>
      </c>
      <c r="X2168">
        <v>2</v>
      </c>
      <c r="Y2168">
        <v>0</v>
      </c>
      <c r="AA2168">
        <v>1</v>
      </c>
      <c r="AB2168">
        <v>8</v>
      </c>
      <c r="AC2168">
        <v>3</v>
      </c>
      <c r="AD2168">
        <v>0</v>
      </c>
      <c r="AE2168">
        <v>9</v>
      </c>
      <c r="AF2168" t="s">
        <v>138</v>
      </c>
      <c r="AG2168">
        <v>0</v>
      </c>
      <c r="AH2168">
        <v>3</v>
      </c>
      <c r="AI2168">
        <v>2</v>
      </c>
      <c r="AJ2168">
        <v>0</v>
      </c>
      <c r="AK2168" t="s">
        <v>747</v>
      </c>
      <c r="AL2168">
        <v>39.061374999999998</v>
      </c>
      <c r="AM2168" t="s">
        <v>713</v>
      </c>
      <c r="AN2168">
        <v>-121.041591</v>
      </c>
      <c r="AO2168">
        <v>25</v>
      </c>
      <c r="AP2168">
        <v>4500</v>
      </c>
      <c r="AQ2168" t="s">
        <v>131</v>
      </c>
      <c r="AR2168">
        <v>1</v>
      </c>
      <c r="AS2168">
        <v>90</v>
      </c>
      <c r="AT2168">
        <v>128</v>
      </c>
      <c r="BB2168" t="str">
        <f t="shared" si="839"/>
        <v>1200</v>
      </c>
      <c r="BC2168">
        <v>1</v>
      </c>
      <c r="BD2168" t="str">
        <f t="shared" si="840"/>
        <v xml:space="preserve">N52156  </v>
      </c>
      <c r="BE2168">
        <v>1</v>
      </c>
      <c r="BG2168">
        <v>0</v>
      </c>
      <c r="BH2168">
        <v>0</v>
      </c>
      <c r="BI2168">
        <v>0</v>
      </c>
      <c r="BJ2168">
        <v>4550</v>
      </c>
      <c r="BK2168">
        <v>50</v>
      </c>
      <c r="BL2168" t="s">
        <v>188</v>
      </c>
      <c r="BM2168">
        <v>1</v>
      </c>
      <c r="BN2168">
        <v>1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 t="shared" ref="CE2168:CE2173" si="859">"15:10:33.402"</f>
        <v>15:10:33.402</v>
      </c>
      <c r="CF2168">
        <v>401533956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3</v>
      </c>
      <c r="CY2168">
        <v>7</v>
      </c>
      <c r="CZ2168" t="s">
        <v>133</v>
      </c>
      <c r="DA2168">
        <v>276</v>
      </c>
      <c r="DB2168">
        <v>0</v>
      </c>
      <c r="DC2168" t="s">
        <v>402</v>
      </c>
      <c r="DD2168" t="s">
        <v>403</v>
      </c>
      <c r="DG2168">
        <v>1626836</v>
      </c>
      <c r="DI2168">
        <v>1</v>
      </c>
      <c r="DJ2168">
        <v>0</v>
      </c>
      <c r="DK2168">
        <v>0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"05/01/2025 15:10:33.621"</f>
        <v>05/01/2025 15:10:33.621</v>
      </c>
      <c r="C2169" t="str">
        <f t="shared" si="836"/>
        <v>FFDFD3C0</v>
      </c>
      <c r="D2169" t="s">
        <v>140</v>
      </c>
      <c r="E2169" t="str">
        <f>"13"</f>
        <v>13</v>
      </c>
      <c r="F2169">
        <v>1019</v>
      </c>
      <c r="G2169" t="s">
        <v>141</v>
      </c>
      <c r="J2169" t="s">
        <v>142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R2169" t="s">
        <v>127</v>
      </c>
      <c r="S2169" t="str">
        <f t="shared" si="858"/>
        <v>15:10:33.000</v>
      </c>
      <c r="T2169" t="str">
        <f t="shared" si="858"/>
        <v>15:10:33.000</v>
      </c>
      <c r="U2169" t="str">
        <f t="shared" si="838"/>
        <v>A68FCB</v>
      </c>
      <c r="V2169">
        <v>0</v>
      </c>
      <c r="W2169">
        <v>0</v>
      </c>
      <c r="X2169">
        <v>2</v>
      </c>
      <c r="Y2169">
        <v>0</v>
      </c>
      <c r="AA2169">
        <v>1</v>
      </c>
      <c r="AB2169">
        <v>8</v>
      </c>
      <c r="AC2169">
        <v>3</v>
      </c>
      <c r="AD2169">
        <v>0</v>
      </c>
      <c r="AE2169">
        <v>9</v>
      </c>
      <c r="AF2169" t="s">
        <v>138</v>
      </c>
      <c r="AG2169">
        <v>0</v>
      </c>
      <c r="AH2169">
        <v>3</v>
      </c>
      <c r="AI2169">
        <v>2</v>
      </c>
      <c r="AJ2169">
        <v>0</v>
      </c>
      <c r="AK2169" t="s">
        <v>747</v>
      </c>
      <c r="AL2169">
        <v>39.061374999999998</v>
      </c>
      <c r="AM2169" t="s">
        <v>713</v>
      </c>
      <c r="AN2169">
        <v>-121.041591</v>
      </c>
      <c r="AO2169">
        <v>25</v>
      </c>
      <c r="AP2169">
        <v>4500</v>
      </c>
      <c r="AQ2169" t="s">
        <v>131</v>
      </c>
      <c r="AR2169">
        <v>1</v>
      </c>
      <c r="AS2169">
        <v>90</v>
      </c>
      <c r="AT2169">
        <v>128</v>
      </c>
      <c r="BB2169" t="str">
        <f t="shared" si="839"/>
        <v>1200</v>
      </c>
      <c r="BC2169">
        <v>1</v>
      </c>
      <c r="BD2169" t="str">
        <f t="shared" si="840"/>
        <v xml:space="preserve">N52156  </v>
      </c>
      <c r="BE2169">
        <v>1</v>
      </c>
      <c r="BG2169">
        <v>0</v>
      </c>
      <c r="BH2169">
        <v>0</v>
      </c>
      <c r="BI2169">
        <v>0</v>
      </c>
      <c r="BJ2169">
        <v>4550</v>
      </c>
      <c r="BK2169">
        <v>50</v>
      </c>
      <c r="BL2169" t="s">
        <v>188</v>
      </c>
      <c r="BM2169">
        <v>1</v>
      </c>
      <c r="BN2169">
        <v>1</v>
      </c>
      <c r="BO2169">
        <v>0</v>
      </c>
      <c r="BP2169">
        <v>0</v>
      </c>
      <c r="BS2169">
        <v>0</v>
      </c>
      <c r="BT2169">
        <v>0</v>
      </c>
      <c r="BU2169">
        <v>0</v>
      </c>
      <c r="CE2169" t="str">
        <f t="shared" si="859"/>
        <v>15:10:33.402</v>
      </c>
      <c r="CF2169">
        <v>401533956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3</v>
      </c>
      <c r="CY2169">
        <v>7</v>
      </c>
      <c r="CZ2169" t="s">
        <v>133</v>
      </c>
      <c r="DA2169">
        <v>276</v>
      </c>
      <c r="DB2169">
        <v>0</v>
      </c>
      <c r="DC2169" t="s">
        <v>402</v>
      </c>
      <c r="DD2169" t="s">
        <v>403</v>
      </c>
      <c r="DG2169">
        <v>1626836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"05/01/2025 15:10:33.630"</f>
        <v>05/01/2025 15:10:33.630</v>
      </c>
      <c r="C2170" t="str">
        <f t="shared" si="836"/>
        <v>FFDFD3C0</v>
      </c>
      <c r="D2170" t="s">
        <v>124</v>
      </c>
      <c r="E2170" t="str">
        <f>"06"</f>
        <v>06</v>
      </c>
      <c r="F2170">
        <v>2006</v>
      </c>
      <c r="G2170" t="s">
        <v>125</v>
      </c>
      <c r="J2170" t="s">
        <v>126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R2170" t="s">
        <v>127</v>
      </c>
      <c r="S2170" t="str">
        <f t="shared" si="858"/>
        <v>15:10:33.000</v>
      </c>
      <c r="T2170" t="str">
        <f t="shared" si="858"/>
        <v>15:10:33.000</v>
      </c>
      <c r="U2170" t="str">
        <f t="shared" si="838"/>
        <v>A68FCB</v>
      </c>
      <c r="V2170">
        <v>0</v>
      </c>
      <c r="W2170">
        <v>0</v>
      </c>
      <c r="X2170">
        <v>2</v>
      </c>
      <c r="Y2170">
        <v>0</v>
      </c>
      <c r="AA2170">
        <v>1</v>
      </c>
      <c r="AB2170">
        <v>8</v>
      </c>
      <c r="AC2170">
        <v>3</v>
      </c>
      <c r="AD2170">
        <v>0</v>
      </c>
      <c r="AE2170">
        <v>9</v>
      </c>
      <c r="AF2170" t="s">
        <v>138</v>
      </c>
      <c r="AG2170">
        <v>0</v>
      </c>
      <c r="AH2170">
        <v>3</v>
      </c>
      <c r="AI2170">
        <v>2</v>
      </c>
      <c r="AJ2170">
        <v>0</v>
      </c>
      <c r="AK2170" t="s">
        <v>747</v>
      </c>
      <c r="AL2170">
        <v>39.061374999999998</v>
      </c>
      <c r="AM2170" t="s">
        <v>713</v>
      </c>
      <c r="AN2170">
        <v>-121.041591</v>
      </c>
      <c r="AO2170">
        <v>25</v>
      </c>
      <c r="AP2170">
        <v>4500</v>
      </c>
      <c r="AQ2170" t="s">
        <v>131</v>
      </c>
      <c r="AR2170">
        <v>1</v>
      </c>
      <c r="AS2170">
        <v>90</v>
      </c>
      <c r="AT2170">
        <v>128</v>
      </c>
      <c r="BB2170" t="str">
        <f t="shared" si="839"/>
        <v>1200</v>
      </c>
      <c r="BC2170">
        <v>1</v>
      </c>
      <c r="BD2170" t="str">
        <f t="shared" si="840"/>
        <v xml:space="preserve">N52156  </v>
      </c>
      <c r="BE2170">
        <v>1</v>
      </c>
      <c r="BG2170">
        <v>0</v>
      </c>
      <c r="BH2170">
        <v>0</v>
      </c>
      <c r="BI2170">
        <v>0</v>
      </c>
      <c r="BJ2170">
        <v>4550</v>
      </c>
      <c r="BK2170">
        <v>50</v>
      </c>
      <c r="BL2170" t="s">
        <v>188</v>
      </c>
      <c r="BM2170">
        <v>1</v>
      </c>
      <c r="BN2170">
        <v>1</v>
      </c>
      <c r="BO2170">
        <v>0</v>
      </c>
      <c r="BP2170">
        <v>0</v>
      </c>
      <c r="BS2170">
        <v>0</v>
      </c>
      <c r="BT2170">
        <v>0</v>
      </c>
      <c r="BU2170">
        <v>0</v>
      </c>
      <c r="CE2170" t="str">
        <f t="shared" si="859"/>
        <v>15:10:33.402</v>
      </c>
      <c r="CF2170">
        <v>401533956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3</v>
      </c>
      <c r="CY2170">
        <v>7</v>
      </c>
      <c r="CZ2170" t="s">
        <v>133</v>
      </c>
      <c r="DA2170">
        <v>276</v>
      </c>
      <c r="DB2170">
        <v>0</v>
      </c>
      <c r="DC2170" t="s">
        <v>402</v>
      </c>
      <c r="DD2170" t="s">
        <v>403</v>
      </c>
      <c r="DG2170">
        <v>1626836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"05/01/2025 15:10:33.635"</f>
        <v>05/01/2025 15:10:33.635</v>
      </c>
      <c r="C2171" t="str">
        <f t="shared" si="836"/>
        <v>FFDFD3C0</v>
      </c>
      <c r="D2171" t="s">
        <v>145</v>
      </c>
      <c r="E2171" t="str">
        <f>"05"</f>
        <v>05</v>
      </c>
      <c r="H2171">
        <v>47</v>
      </c>
      <c r="I2171" t="s">
        <v>146</v>
      </c>
      <c r="J2171" t="s">
        <v>138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R2171" t="s">
        <v>127</v>
      </c>
      <c r="S2171" t="str">
        <f t="shared" si="858"/>
        <v>15:10:33.000</v>
      </c>
      <c r="T2171" t="str">
        <f t="shared" si="858"/>
        <v>15:10:33.000</v>
      </c>
      <c r="U2171" t="str">
        <f t="shared" si="838"/>
        <v>A68FCB</v>
      </c>
      <c r="V2171">
        <v>0</v>
      </c>
      <c r="W2171">
        <v>0</v>
      </c>
      <c r="X2171">
        <v>2</v>
      </c>
      <c r="Y2171">
        <v>0</v>
      </c>
      <c r="AA2171">
        <v>1</v>
      </c>
      <c r="AB2171">
        <v>8</v>
      </c>
      <c r="AC2171">
        <v>3</v>
      </c>
      <c r="AD2171">
        <v>0</v>
      </c>
      <c r="AE2171">
        <v>9</v>
      </c>
      <c r="AF2171" t="s">
        <v>138</v>
      </c>
      <c r="AG2171">
        <v>0</v>
      </c>
      <c r="AH2171">
        <v>3</v>
      </c>
      <c r="AI2171">
        <v>2</v>
      </c>
      <c r="AJ2171">
        <v>0</v>
      </c>
      <c r="AK2171" t="s">
        <v>747</v>
      </c>
      <c r="AL2171">
        <v>39.061374999999998</v>
      </c>
      <c r="AM2171" t="s">
        <v>713</v>
      </c>
      <c r="AN2171">
        <v>-121.041591</v>
      </c>
      <c r="AO2171">
        <v>25</v>
      </c>
      <c r="AP2171">
        <v>4500</v>
      </c>
      <c r="AQ2171" t="s">
        <v>131</v>
      </c>
      <c r="AR2171">
        <v>1</v>
      </c>
      <c r="AS2171">
        <v>90</v>
      </c>
      <c r="AT2171">
        <v>128</v>
      </c>
      <c r="BB2171" t="str">
        <f t="shared" si="839"/>
        <v>1200</v>
      </c>
      <c r="BC2171">
        <v>1</v>
      </c>
      <c r="BD2171" t="str">
        <f t="shared" si="840"/>
        <v xml:space="preserve">N52156  </v>
      </c>
      <c r="BE2171">
        <v>1</v>
      </c>
      <c r="BG2171">
        <v>0</v>
      </c>
      <c r="BH2171">
        <v>0</v>
      </c>
      <c r="BI2171">
        <v>0</v>
      </c>
      <c r="BJ2171">
        <v>4550</v>
      </c>
      <c r="BK2171">
        <v>50</v>
      </c>
      <c r="BL2171" t="s">
        <v>188</v>
      </c>
      <c r="BM2171">
        <v>1</v>
      </c>
      <c r="BN2171">
        <v>1</v>
      </c>
      <c r="BO2171">
        <v>0</v>
      </c>
      <c r="BP2171">
        <v>0</v>
      </c>
      <c r="BS2171">
        <v>0</v>
      </c>
      <c r="BT2171">
        <v>0</v>
      </c>
      <c r="BU2171">
        <v>0</v>
      </c>
      <c r="CE2171" t="str">
        <f t="shared" si="859"/>
        <v>15:10:33.402</v>
      </c>
      <c r="CF2171">
        <v>401533956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3</v>
      </c>
      <c r="CY2171">
        <v>7</v>
      </c>
      <c r="CZ2171" t="s">
        <v>133</v>
      </c>
      <c r="DA2171">
        <v>276</v>
      </c>
      <c r="DB2171">
        <v>0</v>
      </c>
      <c r="DC2171" t="s">
        <v>402</v>
      </c>
      <c r="DD2171" t="s">
        <v>403</v>
      </c>
      <c r="DG2171">
        <v>1626836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"05/01/2025 15:10:33.637"</f>
        <v>05/01/2025 15:10:33.637</v>
      </c>
      <c r="C2172" t="str">
        <f t="shared" si="836"/>
        <v>FFDFD3C0</v>
      </c>
      <c r="D2172" t="s">
        <v>145</v>
      </c>
      <c r="E2172" t="str">
        <f>"09"</f>
        <v>09</v>
      </c>
      <c r="H2172">
        <v>51</v>
      </c>
      <c r="I2172" t="s">
        <v>147</v>
      </c>
      <c r="J2172" t="s">
        <v>138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R2172" t="s">
        <v>127</v>
      </c>
      <c r="S2172" t="str">
        <f t="shared" si="858"/>
        <v>15:10:33.000</v>
      </c>
      <c r="T2172" t="str">
        <f t="shared" si="858"/>
        <v>15:10:33.000</v>
      </c>
      <c r="U2172" t="str">
        <f t="shared" si="838"/>
        <v>A68FCB</v>
      </c>
      <c r="V2172">
        <v>0</v>
      </c>
      <c r="W2172">
        <v>0</v>
      </c>
      <c r="X2172">
        <v>2</v>
      </c>
      <c r="Y2172">
        <v>0</v>
      </c>
      <c r="AA2172">
        <v>1</v>
      </c>
      <c r="AB2172">
        <v>8</v>
      </c>
      <c r="AC2172">
        <v>3</v>
      </c>
      <c r="AD2172">
        <v>0</v>
      </c>
      <c r="AE2172">
        <v>9</v>
      </c>
      <c r="AF2172" t="s">
        <v>138</v>
      </c>
      <c r="AG2172">
        <v>0</v>
      </c>
      <c r="AH2172">
        <v>3</v>
      </c>
      <c r="AI2172">
        <v>2</v>
      </c>
      <c r="AJ2172">
        <v>0</v>
      </c>
      <c r="AK2172" t="s">
        <v>747</v>
      </c>
      <c r="AL2172">
        <v>39.061374999999998</v>
      </c>
      <c r="AM2172" t="s">
        <v>713</v>
      </c>
      <c r="AN2172">
        <v>-121.041591</v>
      </c>
      <c r="AO2172">
        <v>25</v>
      </c>
      <c r="AP2172">
        <v>4500</v>
      </c>
      <c r="AQ2172" t="s">
        <v>131</v>
      </c>
      <c r="AR2172">
        <v>1</v>
      </c>
      <c r="AS2172">
        <v>90</v>
      </c>
      <c r="AT2172">
        <v>128</v>
      </c>
      <c r="BB2172" t="str">
        <f t="shared" si="839"/>
        <v>1200</v>
      </c>
      <c r="BC2172">
        <v>1</v>
      </c>
      <c r="BD2172" t="str">
        <f t="shared" si="840"/>
        <v xml:space="preserve">N52156  </v>
      </c>
      <c r="BE2172">
        <v>1</v>
      </c>
      <c r="BG2172">
        <v>0</v>
      </c>
      <c r="BH2172">
        <v>0</v>
      </c>
      <c r="BI2172">
        <v>0</v>
      </c>
      <c r="BJ2172">
        <v>4550</v>
      </c>
      <c r="BK2172">
        <v>50</v>
      </c>
      <c r="BL2172" t="s">
        <v>188</v>
      </c>
      <c r="BM2172">
        <v>1</v>
      </c>
      <c r="BN2172">
        <v>1</v>
      </c>
      <c r="BO2172">
        <v>0</v>
      </c>
      <c r="BP2172">
        <v>0</v>
      </c>
      <c r="BS2172">
        <v>0</v>
      </c>
      <c r="BT2172">
        <v>0</v>
      </c>
      <c r="BU2172">
        <v>0</v>
      </c>
      <c r="CE2172" t="str">
        <f t="shared" si="859"/>
        <v>15:10:33.402</v>
      </c>
      <c r="CF2172">
        <v>401533956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3</v>
      </c>
      <c r="CY2172">
        <v>7</v>
      </c>
      <c r="CZ2172" t="s">
        <v>133</v>
      </c>
      <c r="DA2172">
        <v>276</v>
      </c>
      <c r="DB2172">
        <v>0</v>
      </c>
      <c r="DC2172" t="s">
        <v>402</v>
      </c>
      <c r="DD2172" t="s">
        <v>403</v>
      </c>
      <c r="DG2172">
        <v>1626836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"05/01/2025 15:10:33.645"</f>
        <v>05/01/2025 15:10:33.645</v>
      </c>
      <c r="C2173" t="str">
        <f t="shared" si="836"/>
        <v>FFDFD3C0</v>
      </c>
      <c r="D2173" t="s">
        <v>136</v>
      </c>
      <c r="E2173" t="str">
        <f>"20"</f>
        <v>20</v>
      </c>
      <c r="H2173">
        <v>400</v>
      </c>
      <c r="I2173" t="s">
        <v>137</v>
      </c>
      <c r="J2173" t="s">
        <v>138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R2173" t="s">
        <v>127</v>
      </c>
      <c r="S2173" t="str">
        <f t="shared" si="858"/>
        <v>15:10:33.000</v>
      </c>
      <c r="T2173" t="str">
        <f t="shared" si="858"/>
        <v>15:10:33.000</v>
      </c>
      <c r="U2173" t="str">
        <f t="shared" si="838"/>
        <v>A68FCB</v>
      </c>
      <c r="V2173">
        <v>0</v>
      </c>
      <c r="W2173">
        <v>0</v>
      </c>
      <c r="X2173">
        <v>2</v>
      </c>
      <c r="Y2173">
        <v>0</v>
      </c>
      <c r="AA2173">
        <v>1</v>
      </c>
      <c r="AB2173">
        <v>8</v>
      </c>
      <c r="AC2173">
        <v>3</v>
      </c>
      <c r="AD2173">
        <v>0</v>
      </c>
      <c r="AE2173">
        <v>9</v>
      </c>
      <c r="AF2173" t="s">
        <v>138</v>
      </c>
      <c r="AG2173">
        <v>0</v>
      </c>
      <c r="AH2173">
        <v>3</v>
      </c>
      <c r="AI2173">
        <v>2</v>
      </c>
      <c r="AJ2173">
        <v>0</v>
      </c>
      <c r="AK2173" t="s">
        <v>747</v>
      </c>
      <c r="AL2173">
        <v>39.061374999999998</v>
      </c>
      <c r="AM2173" t="s">
        <v>713</v>
      </c>
      <c r="AN2173">
        <v>-121.041591</v>
      </c>
      <c r="AO2173">
        <v>25</v>
      </c>
      <c r="AP2173">
        <v>4500</v>
      </c>
      <c r="AQ2173" t="s">
        <v>131</v>
      </c>
      <c r="AR2173">
        <v>1</v>
      </c>
      <c r="AS2173">
        <v>90</v>
      </c>
      <c r="AT2173">
        <v>128</v>
      </c>
      <c r="BB2173" t="str">
        <f t="shared" si="839"/>
        <v>1200</v>
      </c>
      <c r="BC2173">
        <v>1</v>
      </c>
      <c r="BD2173" t="str">
        <f t="shared" si="840"/>
        <v xml:space="preserve">N52156  </v>
      </c>
      <c r="BE2173">
        <v>1</v>
      </c>
      <c r="BG2173">
        <v>0</v>
      </c>
      <c r="BH2173">
        <v>0</v>
      </c>
      <c r="BI2173">
        <v>0</v>
      </c>
      <c r="BJ2173">
        <v>4550</v>
      </c>
      <c r="BK2173">
        <v>50</v>
      </c>
      <c r="BL2173" t="s">
        <v>188</v>
      </c>
      <c r="BM2173">
        <v>1</v>
      </c>
      <c r="BN2173">
        <v>1</v>
      </c>
      <c r="BO2173">
        <v>0</v>
      </c>
      <c r="BP2173">
        <v>0</v>
      </c>
      <c r="BS2173">
        <v>0</v>
      </c>
      <c r="BT2173">
        <v>0</v>
      </c>
      <c r="BU2173">
        <v>0</v>
      </c>
      <c r="CE2173" t="str">
        <f t="shared" si="859"/>
        <v>15:10:33.402</v>
      </c>
      <c r="CF2173">
        <v>401533956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3</v>
      </c>
      <c r="CY2173">
        <v>7</v>
      </c>
      <c r="CZ2173" t="s">
        <v>133</v>
      </c>
      <c r="DA2173">
        <v>276</v>
      </c>
      <c r="DB2173">
        <v>0</v>
      </c>
      <c r="DC2173" t="s">
        <v>402</v>
      </c>
      <c r="DD2173" t="s">
        <v>403</v>
      </c>
      <c r="DG2173">
        <v>1626836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"05/01/2025 15:10:34.446"</f>
        <v>05/01/2025 15:10:34.446</v>
      </c>
      <c r="C2174" t="str">
        <f t="shared" si="836"/>
        <v>FFDFD3C0</v>
      </c>
      <c r="D2174" t="s">
        <v>136</v>
      </c>
      <c r="E2174" t="str">
        <f>"20"</f>
        <v>20</v>
      </c>
      <c r="H2174">
        <v>400</v>
      </c>
      <c r="I2174" t="s">
        <v>137</v>
      </c>
      <c r="J2174" t="s">
        <v>138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R2174" t="s">
        <v>127</v>
      </c>
      <c r="S2174" t="str">
        <f t="shared" ref="S2174:T2179" si="860">"15:10:34.000"</f>
        <v>15:10:34.000</v>
      </c>
      <c r="T2174" t="str">
        <f t="shared" si="860"/>
        <v>15:10:34.000</v>
      </c>
      <c r="U2174" t="str">
        <f t="shared" si="838"/>
        <v>A68FCB</v>
      </c>
      <c r="V2174">
        <v>0</v>
      </c>
      <c r="W2174">
        <v>0</v>
      </c>
      <c r="X2174">
        <v>2</v>
      </c>
      <c r="Y2174">
        <v>0</v>
      </c>
      <c r="AA2174">
        <v>1</v>
      </c>
      <c r="AB2174">
        <v>8</v>
      </c>
      <c r="AC2174">
        <v>3</v>
      </c>
      <c r="AD2174">
        <v>0</v>
      </c>
      <c r="AE2174">
        <v>9</v>
      </c>
      <c r="AF2174" t="s">
        <v>138</v>
      </c>
      <c r="AG2174">
        <v>0</v>
      </c>
      <c r="AH2174">
        <v>3</v>
      </c>
      <c r="AI2174">
        <v>2</v>
      </c>
      <c r="AJ2174">
        <v>0</v>
      </c>
      <c r="AK2174" t="s">
        <v>748</v>
      </c>
      <c r="AL2174">
        <v>39.061804000000002</v>
      </c>
      <c r="AM2174" t="s">
        <v>715</v>
      </c>
      <c r="AN2174">
        <v>-121.04156999999999</v>
      </c>
      <c r="AO2174">
        <v>25</v>
      </c>
      <c r="AP2174">
        <v>4500</v>
      </c>
      <c r="AQ2174" t="s">
        <v>131</v>
      </c>
      <c r="AR2174">
        <v>2</v>
      </c>
      <c r="AS2174">
        <v>90</v>
      </c>
      <c r="AT2174">
        <v>128</v>
      </c>
      <c r="BB2174" t="str">
        <f t="shared" si="839"/>
        <v>1200</v>
      </c>
      <c r="BC2174">
        <v>1</v>
      </c>
      <c r="BD2174" t="str">
        <f t="shared" si="840"/>
        <v xml:space="preserve">N52156  </v>
      </c>
      <c r="BE2174">
        <v>1</v>
      </c>
      <c r="BG2174">
        <v>0</v>
      </c>
      <c r="BH2174">
        <v>0</v>
      </c>
      <c r="BI2174">
        <v>0</v>
      </c>
      <c r="BJ2174">
        <v>4575</v>
      </c>
      <c r="BK2174">
        <v>75</v>
      </c>
      <c r="BL2174" t="s">
        <v>188</v>
      </c>
      <c r="BM2174">
        <v>1</v>
      </c>
      <c r="BN2174">
        <v>1</v>
      </c>
      <c r="BO2174">
        <v>0</v>
      </c>
      <c r="BP2174">
        <v>0</v>
      </c>
      <c r="BS2174">
        <v>0</v>
      </c>
      <c r="BT2174">
        <v>0</v>
      </c>
      <c r="BU2174">
        <v>0</v>
      </c>
      <c r="CE2174" t="str">
        <f t="shared" ref="CE2174:CE2179" si="861">"15:10:34.249"</f>
        <v>15:10:34.249</v>
      </c>
      <c r="CF2174">
        <v>248533656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3</v>
      </c>
      <c r="CY2174">
        <v>7</v>
      </c>
      <c r="CZ2174" t="s">
        <v>133</v>
      </c>
      <c r="DA2174">
        <v>276</v>
      </c>
      <c r="DB2174">
        <v>0</v>
      </c>
      <c r="DC2174" t="s">
        <v>402</v>
      </c>
      <c r="DD2174" t="s">
        <v>403</v>
      </c>
      <c r="DG2174">
        <v>1626845</v>
      </c>
      <c r="DI2174">
        <v>1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"05/01/2025 15:10:34.450"</f>
        <v>05/01/2025 15:10:34.450</v>
      </c>
      <c r="C2175" t="str">
        <f t="shared" si="836"/>
        <v>FFDFD3C0</v>
      </c>
      <c r="D2175" t="s">
        <v>143</v>
      </c>
      <c r="E2175" t="str">
        <f>"05"</f>
        <v>05</v>
      </c>
      <c r="H2175">
        <v>172</v>
      </c>
      <c r="I2175" t="s">
        <v>141</v>
      </c>
      <c r="J2175" t="s">
        <v>144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R2175" t="s">
        <v>127</v>
      </c>
      <c r="S2175" t="str">
        <f t="shared" si="860"/>
        <v>15:10:34.000</v>
      </c>
      <c r="T2175" t="str">
        <f t="shared" si="860"/>
        <v>15:10:34.000</v>
      </c>
      <c r="U2175" t="str">
        <f t="shared" si="838"/>
        <v>A68FCB</v>
      </c>
      <c r="V2175">
        <v>0</v>
      </c>
      <c r="W2175">
        <v>0</v>
      </c>
      <c r="X2175">
        <v>2</v>
      </c>
      <c r="Y2175">
        <v>0</v>
      </c>
      <c r="AA2175">
        <v>1</v>
      </c>
      <c r="AB2175">
        <v>8</v>
      </c>
      <c r="AC2175">
        <v>3</v>
      </c>
      <c r="AD2175">
        <v>0</v>
      </c>
      <c r="AE2175">
        <v>9</v>
      </c>
      <c r="AF2175" t="s">
        <v>138</v>
      </c>
      <c r="AG2175">
        <v>0</v>
      </c>
      <c r="AH2175">
        <v>3</v>
      </c>
      <c r="AI2175">
        <v>2</v>
      </c>
      <c r="AJ2175">
        <v>0</v>
      </c>
      <c r="AK2175" t="s">
        <v>748</v>
      </c>
      <c r="AL2175">
        <v>39.061804000000002</v>
      </c>
      <c r="AM2175" t="s">
        <v>715</v>
      </c>
      <c r="AN2175">
        <v>-121.04156999999999</v>
      </c>
      <c r="AO2175">
        <v>25</v>
      </c>
      <c r="AP2175">
        <v>4500</v>
      </c>
      <c r="AQ2175" t="s">
        <v>131</v>
      </c>
      <c r="AR2175">
        <v>2</v>
      </c>
      <c r="AS2175">
        <v>90</v>
      </c>
      <c r="AT2175">
        <v>128</v>
      </c>
      <c r="BB2175" t="str">
        <f t="shared" si="839"/>
        <v>1200</v>
      </c>
      <c r="BC2175">
        <v>1</v>
      </c>
      <c r="BD2175" t="str">
        <f t="shared" si="840"/>
        <v xml:space="preserve">N52156  </v>
      </c>
      <c r="BE2175">
        <v>1</v>
      </c>
      <c r="BG2175">
        <v>0</v>
      </c>
      <c r="BH2175">
        <v>0</v>
      </c>
      <c r="BI2175">
        <v>0</v>
      </c>
      <c r="BJ2175">
        <v>4575</v>
      </c>
      <c r="BK2175">
        <v>75</v>
      </c>
      <c r="BL2175" t="s">
        <v>188</v>
      </c>
      <c r="BM2175">
        <v>1</v>
      </c>
      <c r="BN2175">
        <v>1</v>
      </c>
      <c r="BO2175">
        <v>0</v>
      </c>
      <c r="BP2175">
        <v>0</v>
      </c>
      <c r="BS2175">
        <v>0</v>
      </c>
      <c r="BT2175">
        <v>0</v>
      </c>
      <c r="BU2175">
        <v>0</v>
      </c>
      <c r="CE2175" t="str">
        <f t="shared" si="861"/>
        <v>15:10:34.249</v>
      </c>
      <c r="CF2175">
        <v>248533656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3</v>
      </c>
      <c r="CY2175">
        <v>7</v>
      </c>
      <c r="CZ2175" t="s">
        <v>133</v>
      </c>
      <c r="DA2175">
        <v>276</v>
      </c>
      <c r="DB2175">
        <v>0</v>
      </c>
      <c r="DC2175" t="s">
        <v>402</v>
      </c>
      <c r="DD2175" t="s">
        <v>403</v>
      </c>
      <c r="DG2175">
        <v>1626845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"05/01/2025 15:10:34.472"</f>
        <v>05/01/2025 15:10:34.472</v>
      </c>
      <c r="C2176" t="str">
        <f t="shared" si="836"/>
        <v>FFDFD3C0</v>
      </c>
      <c r="D2176" t="s">
        <v>140</v>
      </c>
      <c r="E2176" t="str">
        <f>"13"</f>
        <v>13</v>
      </c>
      <c r="F2176">
        <v>1019</v>
      </c>
      <c r="G2176" t="s">
        <v>141</v>
      </c>
      <c r="J2176" t="s">
        <v>142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R2176" t="s">
        <v>127</v>
      </c>
      <c r="S2176" t="str">
        <f t="shared" si="860"/>
        <v>15:10:34.000</v>
      </c>
      <c r="T2176" t="str">
        <f t="shared" si="860"/>
        <v>15:10:34.000</v>
      </c>
      <c r="U2176" t="str">
        <f t="shared" si="838"/>
        <v>A68FCB</v>
      </c>
      <c r="V2176">
        <v>0</v>
      </c>
      <c r="W2176">
        <v>0</v>
      </c>
      <c r="X2176">
        <v>2</v>
      </c>
      <c r="Y2176">
        <v>0</v>
      </c>
      <c r="AA2176">
        <v>1</v>
      </c>
      <c r="AB2176">
        <v>8</v>
      </c>
      <c r="AC2176">
        <v>3</v>
      </c>
      <c r="AD2176">
        <v>0</v>
      </c>
      <c r="AE2176">
        <v>9</v>
      </c>
      <c r="AF2176" t="s">
        <v>138</v>
      </c>
      <c r="AG2176">
        <v>0</v>
      </c>
      <c r="AH2176">
        <v>3</v>
      </c>
      <c r="AI2176">
        <v>2</v>
      </c>
      <c r="AJ2176">
        <v>0</v>
      </c>
      <c r="AK2176" t="s">
        <v>748</v>
      </c>
      <c r="AL2176">
        <v>39.061804000000002</v>
      </c>
      <c r="AM2176" t="s">
        <v>715</v>
      </c>
      <c r="AN2176">
        <v>-121.04156999999999</v>
      </c>
      <c r="AO2176">
        <v>25</v>
      </c>
      <c r="AP2176">
        <v>4500</v>
      </c>
      <c r="AQ2176" t="s">
        <v>131</v>
      </c>
      <c r="AR2176">
        <v>2</v>
      </c>
      <c r="AS2176">
        <v>90</v>
      </c>
      <c r="AT2176">
        <v>128</v>
      </c>
      <c r="BB2176" t="str">
        <f t="shared" si="839"/>
        <v>1200</v>
      </c>
      <c r="BC2176">
        <v>1</v>
      </c>
      <c r="BD2176" t="str">
        <f t="shared" si="840"/>
        <v xml:space="preserve">N52156  </v>
      </c>
      <c r="BE2176">
        <v>1</v>
      </c>
      <c r="BG2176">
        <v>0</v>
      </c>
      <c r="BH2176">
        <v>0</v>
      </c>
      <c r="BI2176">
        <v>0</v>
      </c>
      <c r="BJ2176">
        <v>4575</v>
      </c>
      <c r="BK2176">
        <v>75</v>
      </c>
      <c r="BL2176" t="s">
        <v>188</v>
      </c>
      <c r="BM2176">
        <v>1</v>
      </c>
      <c r="BN2176">
        <v>1</v>
      </c>
      <c r="BO2176">
        <v>0</v>
      </c>
      <c r="BP2176">
        <v>0</v>
      </c>
      <c r="BS2176">
        <v>0</v>
      </c>
      <c r="BT2176">
        <v>0</v>
      </c>
      <c r="BU2176">
        <v>0</v>
      </c>
      <c r="CE2176" t="str">
        <f t="shared" si="861"/>
        <v>15:10:34.249</v>
      </c>
      <c r="CF2176">
        <v>248533656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3</v>
      </c>
      <c r="CY2176">
        <v>7</v>
      </c>
      <c r="CZ2176" t="s">
        <v>133</v>
      </c>
      <c r="DA2176">
        <v>276</v>
      </c>
      <c r="DB2176">
        <v>0</v>
      </c>
      <c r="DC2176" t="s">
        <v>402</v>
      </c>
      <c r="DD2176" t="s">
        <v>403</v>
      </c>
      <c r="DG2176">
        <v>1626845</v>
      </c>
      <c r="DI2176">
        <v>1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"05/01/2025 15:10:34.481"</f>
        <v>05/01/2025 15:10:34.481</v>
      </c>
      <c r="C2177" t="str">
        <f t="shared" si="836"/>
        <v>FFDFD3C0</v>
      </c>
      <c r="D2177" t="s">
        <v>124</v>
      </c>
      <c r="E2177" t="str">
        <f>"06"</f>
        <v>06</v>
      </c>
      <c r="F2177">
        <v>2006</v>
      </c>
      <c r="G2177" t="s">
        <v>125</v>
      </c>
      <c r="J2177" t="s">
        <v>126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R2177" t="s">
        <v>127</v>
      </c>
      <c r="S2177" t="str">
        <f t="shared" si="860"/>
        <v>15:10:34.000</v>
      </c>
      <c r="T2177" t="str">
        <f t="shared" si="860"/>
        <v>15:10:34.000</v>
      </c>
      <c r="U2177" t="str">
        <f t="shared" si="838"/>
        <v>A68FCB</v>
      </c>
      <c r="V2177">
        <v>0</v>
      </c>
      <c r="W2177">
        <v>0</v>
      </c>
      <c r="X2177">
        <v>2</v>
      </c>
      <c r="Y2177">
        <v>0</v>
      </c>
      <c r="AA2177">
        <v>1</v>
      </c>
      <c r="AB2177">
        <v>8</v>
      </c>
      <c r="AC2177">
        <v>3</v>
      </c>
      <c r="AD2177">
        <v>0</v>
      </c>
      <c r="AE2177">
        <v>9</v>
      </c>
      <c r="AF2177" t="s">
        <v>138</v>
      </c>
      <c r="AG2177">
        <v>0</v>
      </c>
      <c r="AH2177">
        <v>3</v>
      </c>
      <c r="AI2177">
        <v>2</v>
      </c>
      <c r="AJ2177">
        <v>0</v>
      </c>
      <c r="AK2177" t="s">
        <v>748</v>
      </c>
      <c r="AL2177">
        <v>39.061804000000002</v>
      </c>
      <c r="AM2177" t="s">
        <v>715</v>
      </c>
      <c r="AN2177">
        <v>-121.04156999999999</v>
      </c>
      <c r="AO2177">
        <v>25</v>
      </c>
      <c r="AP2177">
        <v>4500</v>
      </c>
      <c r="AQ2177" t="s">
        <v>131</v>
      </c>
      <c r="AR2177">
        <v>2</v>
      </c>
      <c r="AS2177">
        <v>90</v>
      </c>
      <c r="AT2177">
        <v>128</v>
      </c>
      <c r="BB2177" t="str">
        <f t="shared" si="839"/>
        <v>1200</v>
      </c>
      <c r="BC2177">
        <v>1</v>
      </c>
      <c r="BD2177" t="str">
        <f t="shared" si="840"/>
        <v xml:space="preserve">N52156  </v>
      </c>
      <c r="BE2177">
        <v>1</v>
      </c>
      <c r="BG2177">
        <v>0</v>
      </c>
      <c r="BH2177">
        <v>0</v>
      </c>
      <c r="BI2177">
        <v>0</v>
      </c>
      <c r="BJ2177">
        <v>4575</v>
      </c>
      <c r="BK2177">
        <v>75</v>
      </c>
      <c r="BL2177" t="s">
        <v>188</v>
      </c>
      <c r="BM2177">
        <v>1</v>
      </c>
      <c r="BN2177">
        <v>1</v>
      </c>
      <c r="BO2177">
        <v>0</v>
      </c>
      <c r="BP2177">
        <v>0</v>
      </c>
      <c r="BS2177">
        <v>0</v>
      </c>
      <c r="BT2177">
        <v>0</v>
      </c>
      <c r="BU2177">
        <v>0</v>
      </c>
      <c r="CE2177" t="str">
        <f t="shared" si="861"/>
        <v>15:10:34.249</v>
      </c>
      <c r="CF2177">
        <v>248533656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3</v>
      </c>
      <c r="CY2177">
        <v>7</v>
      </c>
      <c r="CZ2177" t="s">
        <v>133</v>
      </c>
      <c r="DA2177">
        <v>276</v>
      </c>
      <c r="DB2177">
        <v>0</v>
      </c>
      <c r="DC2177" t="s">
        <v>402</v>
      </c>
      <c r="DD2177" t="s">
        <v>403</v>
      </c>
      <c r="DG2177">
        <v>1626845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"05/01/2025 15:10:34.486"</f>
        <v>05/01/2025 15:10:34.486</v>
      </c>
      <c r="C2178" t="str">
        <f t="shared" ref="C2178:C2241" si="862">"FFDFD3C0"</f>
        <v>FFDFD3C0</v>
      </c>
      <c r="D2178" t="s">
        <v>145</v>
      </c>
      <c r="E2178" t="str">
        <f>"05"</f>
        <v>05</v>
      </c>
      <c r="H2178">
        <v>47</v>
      </c>
      <c r="I2178" t="s">
        <v>146</v>
      </c>
      <c r="J2178" t="s">
        <v>138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R2178" t="s">
        <v>127</v>
      </c>
      <c r="S2178" t="str">
        <f t="shared" si="860"/>
        <v>15:10:34.000</v>
      </c>
      <c r="T2178" t="str">
        <f t="shared" si="860"/>
        <v>15:10:34.000</v>
      </c>
      <c r="U2178" t="str">
        <f t="shared" ref="U2178:U2241" si="863">"A68FCB"</f>
        <v>A68FCB</v>
      </c>
      <c r="V2178">
        <v>0</v>
      </c>
      <c r="W2178">
        <v>0</v>
      </c>
      <c r="X2178">
        <v>2</v>
      </c>
      <c r="Y2178">
        <v>0</v>
      </c>
      <c r="AA2178">
        <v>1</v>
      </c>
      <c r="AB2178">
        <v>8</v>
      </c>
      <c r="AC2178">
        <v>3</v>
      </c>
      <c r="AD2178">
        <v>0</v>
      </c>
      <c r="AE2178">
        <v>9</v>
      </c>
      <c r="AF2178" t="s">
        <v>138</v>
      </c>
      <c r="AG2178">
        <v>0</v>
      </c>
      <c r="AH2178">
        <v>3</v>
      </c>
      <c r="AI2178">
        <v>2</v>
      </c>
      <c r="AJ2178">
        <v>0</v>
      </c>
      <c r="AK2178" t="s">
        <v>748</v>
      </c>
      <c r="AL2178">
        <v>39.061804000000002</v>
      </c>
      <c r="AM2178" t="s">
        <v>715</v>
      </c>
      <c r="AN2178">
        <v>-121.04156999999999</v>
      </c>
      <c r="AO2178">
        <v>25</v>
      </c>
      <c r="AP2178">
        <v>4500</v>
      </c>
      <c r="AQ2178" t="s">
        <v>131</v>
      </c>
      <c r="AR2178">
        <v>2</v>
      </c>
      <c r="AS2178">
        <v>90</v>
      </c>
      <c r="AT2178">
        <v>128</v>
      </c>
      <c r="BB2178" t="str">
        <f t="shared" ref="BB2178:BB2241" si="864">"1200"</f>
        <v>1200</v>
      </c>
      <c r="BC2178">
        <v>1</v>
      </c>
      <c r="BD2178" t="str">
        <f t="shared" ref="BD2178:BD2241" si="865">"N52156  "</f>
        <v xml:space="preserve">N52156  </v>
      </c>
      <c r="BE2178">
        <v>1</v>
      </c>
      <c r="BG2178">
        <v>0</v>
      </c>
      <c r="BH2178">
        <v>0</v>
      </c>
      <c r="BI2178">
        <v>0</v>
      </c>
      <c r="BJ2178">
        <v>4575</v>
      </c>
      <c r="BK2178">
        <v>75</v>
      </c>
      <c r="BL2178" t="s">
        <v>188</v>
      </c>
      <c r="BM2178">
        <v>1</v>
      </c>
      <c r="BN2178">
        <v>1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 t="shared" si="861"/>
        <v>15:10:34.249</v>
      </c>
      <c r="CF2178">
        <v>248533656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3</v>
      </c>
      <c r="CY2178">
        <v>7</v>
      </c>
      <c r="CZ2178" t="s">
        <v>133</v>
      </c>
      <c r="DA2178">
        <v>276</v>
      </c>
      <c r="DB2178">
        <v>0</v>
      </c>
      <c r="DC2178" t="s">
        <v>402</v>
      </c>
      <c r="DD2178" t="s">
        <v>403</v>
      </c>
      <c r="DG2178">
        <v>1626845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"05/01/2025 15:10:34.488"</f>
        <v>05/01/2025 15:10:34.488</v>
      </c>
      <c r="C2179" t="str">
        <f t="shared" si="862"/>
        <v>FFDFD3C0</v>
      </c>
      <c r="D2179" t="s">
        <v>145</v>
      </c>
      <c r="E2179" t="str">
        <f>"09"</f>
        <v>09</v>
      </c>
      <c r="H2179">
        <v>51</v>
      </c>
      <c r="I2179" t="s">
        <v>147</v>
      </c>
      <c r="J2179" t="s">
        <v>138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R2179" t="s">
        <v>127</v>
      </c>
      <c r="S2179" t="str">
        <f t="shared" si="860"/>
        <v>15:10:34.000</v>
      </c>
      <c r="T2179" t="str">
        <f t="shared" si="860"/>
        <v>15:10:34.000</v>
      </c>
      <c r="U2179" t="str">
        <f t="shared" si="863"/>
        <v>A68FCB</v>
      </c>
      <c r="V2179">
        <v>0</v>
      </c>
      <c r="W2179">
        <v>0</v>
      </c>
      <c r="X2179">
        <v>2</v>
      </c>
      <c r="Y2179">
        <v>0</v>
      </c>
      <c r="AA2179">
        <v>1</v>
      </c>
      <c r="AB2179">
        <v>8</v>
      </c>
      <c r="AC2179">
        <v>3</v>
      </c>
      <c r="AD2179">
        <v>0</v>
      </c>
      <c r="AE2179">
        <v>9</v>
      </c>
      <c r="AF2179" t="s">
        <v>138</v>
      </c>
      <c r="AG2179">
        <v>0</v>
      </c>
      <c r="AH2179">
        <v>3</v>
      </c>
      <c r="AI2179">
        <v>2</v>
      </c>
      <c r="AJ2179">
        <v>0</v>
      </c>
      <c r="AK2179" t="s">
        <v>748</v>
      </c>
      <c r="AL2179">
        <v>39.061804000000002</v>
      </c>
      <c r="AM2179" t="s">
        <v>715</v>
      </c>
      <c r="AN2179">
        <v>-121.04156999999999</v>
      </c>
      <c r="AO2179">
        <v>25</v>
      </c>
      <c r="AP2179">
        <v>4500</v>
      </c>
      <c r="AQ2179" t="s">
        <v>131</v>
      </c>
      <c r="AR2179">
        <v>2</v>
      </c>
      <c r="AS2179">
        <v>90</v>
      </c>
      <c r="AT2179">
        <v>128</v>
      </c>
      <c r="BB2179" t="str">
        <f t="shared" si="864"/>
        <v>1200</v>
      </c>
      <c r="BC2179">
        <v>1</v>
      </c>
      <c r="BD2179" t="str">
        <f t="shared" si="865"/>
        <v xml:space="preserve">N52156  </v>
      </c>
      <c r="BE2179">
        <v>1</v>
      </c>
      <c r="BG2179">
        <v>0</v>
      </c>
      <c r="BH2179">
        <v>0</v>
      </c>
      <c r="BI2179">
        <v>0</v>
      </c>
      <c r="BJ2179">
        <v>4575</v>
      </c>
      <c r="BK2179">
        <v>75</v>
      </c>
      <c r="BL2179" t="s">
        <v>188</v>
      </c>
      <c r="BM2179">
        <v>1</v>
      </c>
      <c r="BN2179">
        <v>1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 t="shared" si="861"/>
        <v>15:10:34.249</v>
      </c>
      <c r="CF2179">
        <v>248533656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3</v>
      </c>
      <c r="CY2179">
        <v>7</v>
      </c>
      <c r="CZ2179" t="s">
        <v>133</v>
      </c>
      <c r="DA2179">
        <v>276</v>
      </c>
      <c r="DB2179">
        <v>0</v>
      </c>
      <c r="DC2179" t="s">
        <v>402</v>
      </c>
      <c r="DD2179" t="s">
        <v>403</v>
      </c>
      <c r="DG2179">
        <v>1626845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"05/01/2025 15:10:35.684"</f>
        <v>05/01/2025 15:10:35.684</v>
      </c>
      <c r="C2180" t="str">
        <f t="shared" si="862"/>
        <v>FFDFD3C0</v>
      </c>
      <c r="D2180" t="s">
        <v>124</v>
      </c>
      <c r="E2180" t="str">
        <f>"06"</f>
        <v>06</v>
      </c>
      <c r="F2180">
        <v>2006</v>
      </c>
      <c r="G2180" t="s">
        <v>125</v>
      </c>
      <c r="J2180" t="s">
        <v>126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R2180" t="s">
        <v>127</v>
      </c>
      <c r="S2180" t="str">
        <f t="shared" ref="S2180:T2185" si="866">"15:10:35.000"</f>
        <v>15:10:35.000</v>
      </c>
      <c r="T2180" t="str">
        <f t="shared" si="866"/>
        <v>15:10:35.000</v>
      </c>
      <c r="U2180" t="str">
        <f t="shared" si="863"/>
        <v>A68FCB</v>
      </c>
      <c r="V2180">
        <v>0</v>
      </c>
      <c r="W2180">
        <v>0</v>
      </c>
      <c r="X2180">
        <v>2</v>
      </c>
      <c r="Y2180">
        <v>0</v>
      </c>
      <c r="AA2180">
        <v>1</v>
      </c>
      <c r="AB2180">
        <v>8</v>
      </c>
      <c r="AC2180">
        <v>3</v>
      </c>
      <c r="AD2180">
        <v>0</v>
      </c>
      <c r="AE2180">
        <v>9</v>
      </c>
      <c r="AF2180" t="s">
        <v>138</v>
      </c>
      <c r="AG2180">
        <v>0</v>
      </c>
      <c r="AH2180">
        <v>3</v>
      </c>
      <c r="AI2180">
        <v>2</v>
      </c>
      <c r="AJ2180">
        <v>0</v>
      </c>
      <c r="AK2180" t="s">
        <v>749</v>
      </c>
      <c r="AL2180">
        <v>39.062212000000002</v>
      </c>
      <c r="AM2180" t="s">
        <v>717</v>
      </c>
      <c r="AN2180">
        <v>-121.04154800000001</v>
      </c>
      <c r="AO2180">
        <v>25</v>
      </c>
      <c r="AP2180">
        <v>4500</v>
      </c>
      <c r="AQ2180" t="s">
        <v>131</v>
      </c>
      <c r="AR2180">
        <v>2</v>
      </c>
      <c r="AS2180">
        <v>90</v>
      </c>
      <c r="AT2180">
        <v>128</v>
      </c>
      <c r="BB2180" t="str">
        <f t="shared" si="864"/>
        <v>1200</v>
      </c>
      <c r="BC2180">
        <v>1</v>
      </c>
      <c r="BD2180" t="str">
        <f t="shared" si="865"/>
        <v xml:space="preserve">N52156  </v>
      </c>
      <c r="BE2180">
        <v>1</v>
      </c>
      <c r="BG2180">
        <v>0</v>
      </c>
      <c r="BH2180">
        <v>0</v>
      </c>
      <c r="BI2180">
        <v>0</v>
      </c>
      <c r="BJ2180">
        <v>4575</v>
      </c>
      <c r="BK2180">
        <v>75</v>
      </c>
      <c r="BL2180" t="s">
        <v>188</v>
      </c>
      <c r="BM2180">
        <v>1</v>
      </c>
      <c r="BN2180">
        <v>1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 t="shared" ref="CE2180:CE2185" si="867">"15:10:35.484"</f>
        <v>15:10:35.484</v>
      </c>
      <c r="CF2180">
        <v>484216554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3</v>
      </c>
      <c r="CY2180">
        <v>7</v>
      </c>
      <c r="CZ2180" t="s">
        <v>133</v>
      </c>
      <c r="DA2180">
        <v>275</v>
      </c>
      <c r="DB2180">
        <v>0</v>
      </c>
      <c r="DC2180" t="s">
        <v>134</v>
      </c>
      <c r="DD2180" t="s">
        <v>135</v>
      </c>
      <c r="DG2180">
        <v>3321470</v>
      </c>
      <c r="DI2180">
        <v>1</v>
      </c>
      <c r="DJ2180">
        <v>0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"05/01/2025 15:10:35.688"</f>
        <v>05/01/2025 15:10:35.688</v>
      </c>
      <c r="C2181" t="str">
        <f t="shared" si="862"/>
        <v>FFDFD3C0</v>
      </c>
      <c r="D2181" t="s">
        <v>145</v>
      </c>
      <c r="E2181" t="str">
        <f>"05"</f>
        <v>05</v>
      </c>
      <c r="H2181">
        <v>47</v>
      </c>
      <c r="I2181" t="s">
        <v>146</v>
      </c>
      <c r="J2181" t="s">
        <v>138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R2181" t="s">
        <v>127</v>
      </c>
      <c r="S2181" t="str">
        <f t="shared" si="866"/>
        <v>15:10:35.000</v>
      </c>
      <c r="T2181" t="str">
        <f t="shared" si="866"/>
        <v>15:10:35.000</v>
      </c>
      <c r="U2181" t="str">
        <f t="shared" si="863"/>
        <v>A68FCB</v>
      </c>
      <c r="V2181">
        <v>0</v>
      </c>
      <c r="W2181">
        <v>0</v>
      </c>
      <c r="X2181">
        <v>2</v>
      </c>
      <c r="Y2181">
        <v>0</v>
      </c>
      <c r="AA2181">
        <v>1</v>
      </c>
      <c r="AB2181">
        <v>8</v>
      </c>
      <c r="AC2181">
        <v>3</v>
      </c>
      <c r="AD2181">
        <v>0</v>
      </c>
      <c r="AE2181">
        <v>9</v>
      </c>
      <c r="AF2181" t="s">
        <v>138</v>
      </c>
      <c r="AG2181">
        <v>0</v>
      </c>
      <c r="AH2181">
        <v>3</v>
      </c>
      <c r="AI2181">
        <v>2</v>
      </c>
      <c r="AJ2181">
        <v>0</v>
      </c>
      <c r="AK2181" t="s">
        <v>749</v>
      </c>
      <c r="AL2181">
        <v>39.062212000000002</v>
      </c>
      <c r="AM2181" t="s">
        <v>717</v>
      </c>
      <c r="AN2181">
        <v>-121.04154800000001</v>
      </c>
      <c r="AO2181">
        <v>25</v>
      </c>
      <c r="AP2181">
        <v>4500</v>
      </c>
      <c r="AQ2181" t="s">
        <v>131</v>
      </c>
      <c r="AR2181">
        <v>2</v>
      </c>
      <c r="AS2181">
        <v>90</v>
      </c>
      <c r="AT2181">
        <v>128</v>
      </c>
      <c r="BB2181" t="str">
        <f t="shared" si="864"/>
        <v>1200</v>
      </c>
      <c r="BC2181">
        <v>1</v>
      </c>
      <c r="BD2181" t="str">
        <f t="shared" si="865"/>
        <v xml:space="preserve">N52156  </v>
      </c>
      <c r="BE2181">
        <v>1</v>
      </c>
      <c r="BG2181">
        <v>0</v>
      </c>
      <c r="BH2181">
        <v>0</v>
      </c>
      <c r="BI2181">
        <v>0</v>
      </c>
      <c r="BJ2181">
        <v>4575</v>
      </c>
      <c r="BK2181">
        <v>75</v>
      </c>
      <c r="BL2181" t="s">
        <v>188</v>
      </c>
      <c r="BM2181">
        <v>1</v>
      </c>
      <c r="BN2181">
        <v>1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 t="shared" si="867"/>
        <v>15:10:35.484</v>
      </c>
      <c r="CF2181">
        <v>484216554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3</v>
      </c>
      <c r="CY2181">
        <v>7</v>
      </c>
      <c r="CZ2181" t="s">
        <v>133</v>
      </c>
      <c r="DA2181">
        <v>275</v>
      </c>
      <c r="DB2181">
        <v>0</v>
      </c>
      <c r="DC2181" t="s">
        <v>134</v>
      </c>
      <c r="DD2181" t="s">
        <v>135</v>
      </c>
      <c r="DG2181">
        <v>3321470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"05/01/2025 15:10:35.690"</f>
        <v>05/01/2025 15:10:35.690</v>
      </c>
      <c r="C2182" t="str">
        <f t="shared" si="862"/>
        <v>FFDFD3C0</v>
      </c>
      <c r="D2182" t="s">
        <v>145</v>
      </c>
      <c r="E2182" t="str">
        <f>"09"</f>
        <v>09</v>
      </c>
      <c r="H2182">
        <v>51</v>
      </c>
      <c r="I2182" t="s">
        <v>147</v>
      </c>
      <c r="J2182" t="s">
        <v>138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R2182" t="s">
        <v>127</v>
      </c>
      <c r="S2182" t="str">
        <f t="shared" si="866"/>
        <v>15:10:35.000</v>
      </c>
      <c r="T2182" t="str">
        <f t="shared" si="866"/>
        <v>15:10:35.000</v>
      </c>
      <c r="U2182" t="str">
        <f t="shared" si="863"/>
        <v>A68FCB</v>
      </c>
      <c r="V2182">
        <v>0</v>
      </c>
      <c r="W2182">
        <v>0</v>
      </c>
      <c r="X2182">
        <v>2</v>
      </c>
      <c r="Y2182">
        <v>0</v>
      </c>
      <c r="AA2182">
        <v>1</v>
      </c>
      <c r="AB2182">
        <v>8</v>
      </c>
      <c r="AC2182">
        <v>3</v>
      </c>
      <c r="AD2182">
        <v>0</v>
      </c>
      <c r="AE2182">
        <v>9</v>
      </c>
      <c r="AF2182" t="s">
        <v>138</v>
      </c>
      <c r="AG2182">
        <v>0</v>
      </c>
      <c r="AH2182">
        <v>3</v>
      </c>
      <c r="AI2182">
        <v>2</v>
      </c>
      <c r="AJ2182">
        <v>0</v>
      </c>
      <c r="AK2182" t="s">
        <v>749</v>
      </c>
      <c r="AL2182">
        <v>39.062212000000002</v>
      </c>
      <c r="AM2182" t="s">
        <v>717</v>
      </c>
      <c r="AN2182">
        <v>-121.04154800000001</v>
      </c>
      <c r="AO2182">
        <v>25</v>
      </c>
      <c r="AP2182">
        <v>4500</v>
      </c>
      <c r="AQ2182" t="s">
        <v>131</v>
      </c>
      <c r="AR2182">
        <v>2</v>
      </c>
      <c r="AS2182">
        <v>90</v>
      </c>
      <c r="AT2182">
        <v>128</v>
      </c>
      <c r="BB2182" t="str">
        <f t="shared" si="864"/>
        <v>1200</v>
      </c>
      <c r="BC2182">
        <v>1</v>
      </c>
      <c r="BD2182" t="str">
        <f t="shared" si="865"/>
        <v xml:space="preserve">N52156  </v>
      </c>
      <c r="BE2182">
        <v>1</v>
      </c>
      <c r="BG2182">
        <v>0</v>
      </c>
      <c r="BH2182">
        <v>0</v>
      </c>
      <c r="BI2182">
        <v>0</v>
      </c>
      <c r="BJ2182">
        <v>4575</v>
      </c>
      <c r="BK2182">
        <v>75</v>
      </c>
      <c r="BL2182" t="s">
        <v>188</v>
      </c>
      <c r="BM2182">
        <v>1</v>
      </c>
      <c r="BN2182">
        <v>1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 t="shared" si="867"/>
        <v>15:10:35.484</v>
      </c>
      <c r="CF2182">
        <v>484216554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3</v>
      </c>
      <c r="CY2182">
        <v>7</v>
      </c>
      <c r="CZ2182" t="s">
        <v>133</v>
      </c>
      <c r="DA2182">
        <v>275</v>
      </c>
      <c r="DB2182">
        <v>0</v>
      </c>
      <c r="DC2182" t="s">
        <v>134</v>
      </c>
      <c r="DD2182" t="s">
        <v>135</v>
      </c>
      <c r="DG2182">
        <v>3321470</v>
      </c>
      <c r="DI2182">
        <v>1</v>
      </c>
      <c r="DJ2182">
        <v>0</v>
      </c>
      <c r="DK2182">
        <v>1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"05/01/2025 15:10:35.699"</f>
        <v>05/01/2025 15:10:35.699</v>
      </c>
      <c r="C2183" t="str">
        <f t="shared" si="862"/>
        <v>FFDFD3C0</v>
      </c>
      <c r="D2183" t="s">
        <v>136</v>
      </c>
      <c r="E2183" t="str">
        <f>"20"</f>
        <v>20</v>
      </c>
      <c r="H2183">
        <v>400</v>
      </c>
      <c r="I2183" t="s">
        <v>137</v>
      </c>
      <c r="J2183" t="s">
        <v>138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R2183" t="s">
        <v>127</v>
      </c>
      <c r="S2183" t="str">
        <f t="shared" si="866"/>
        <v>15:10:35.000</v>
      </c>
      <c r="T2183" t="str">
        <f t="shared" si="866"/>
        <v>15:10:35.000</v>
      </c>
      <c r="U2183" t="str">
        <f t="shared" si="863"/>
        <v>A68FCB</v>
      </c>
      <c r="V2183">
        <v>0</v>
      </c>
      <c r="W2183">
        <v>0</v>
      </c>
      <c r="X2183">
        <v>2</v>
      </c>
      <c r="Y2183">
        <v>0</v>
      </c>
      <c r="AA2183">
        <v>1</v>
      </c>
      <c r="AB2183">
        <v>8</v>
      </c>
      <c r="AC2183">
        <v>3</v>
      </c>
      <c r="AD2183">
        <v>0</v>
      </c>
      <c r="AE2183">
        <v>9</v>
      </c>
      <c r="AF2183" t="s">
        <v>138</v>
      </c>
      <c r="AG2183">
        <v>0</v>
      </c>
      <c r="AH2183">
        <v>3</v>
      </c>
      <c r="AI2183">
        <v>2</v>
      </c>
      <c r="AJ2183">
        <v>0</v>
      </c>
      <c r="AK2183" t="s">
        <v>749</v>
      </c>
      <c r="AL2183">
        <v>39.062212000000002</v>
      </c>
      <c r="AM2183" t="s">
        <v>717</v>
      </c>
      <c r="AN2183">
        <v>-121.04154800000001</v>
      </c>
      <c r="AO2183">
        <v>25</v>
      </c>
      <c r="AP2183">
        <v>4500</v>
      </c>
      <c r="AQ2183" t="s">
        <v>131</v>
      </c>
      <c r="AR2183">
        <v>2</v>
      </c>
      <c r="AS2183">
        <v>90</v>
      </c>
      <c r="AT2183">
        <v>128</v>
      </c>
      <c r="BB2183" t="str">
        <f t="shared" si="864"/>
        <v>1200</v>
      </c>
      <c r="BC2183">
        <v>1</v>
      </c>
      <c r="BD2183" t="str">
        <f t="shared" si="865"/>
        <v xml:space="preserve">N52156  </v>
      </c>
      <c r="BE2183">
        <v>1</v>
      </c>
      <c r="BG2183">
        <v>0</v>
      </c>
      <c r="BH2183">
        <v>0</v>
      </c>
      <c r="BI2183">
        <v>0</v>
      </c>
      <c r="BJ2183">
        <v>4575</v>
      </c>
      <c r="BK2183">
        <v>75</v>
      </c>
      <c r="BL2183" t="s">
        <v>188</v>
      </c>
      <c r="BM2183">
        <v>1</v>
      </c>
      <c r="BN2183">
        <v>1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 t="shared" si="867"/>
        <v>15:10:35.484</v>
      </c>
      <c r="CF2183">
        <v>484216554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3</v>
      </c>
      <c r="CY2183">
        <v>7</v>
      </c>
      <c r="CZ2183" t="s">
        <v>133</v>
      </c>
      <c r="DA2183">
        <v>275</v>
      </c>
      <c r="DB2183">
        <v>0</v>
      </c>
      <c r="DC2183" t="s">
        <v>134</v>
      </c>
      <c r="DD2183" t="s">
        <v>135</v>
      </c>
      <c r="DG2183">
        <v>3321470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"05/01/2025 15:10:35.702"</f>
        <v>05/01/2025 15:10:35.702</v>
      </c>
      <c r="C2184" t="str">
        <f t="shared" si="862"/>
        <v>FFDFD3C0</v>
      </c>
      <c r="D2184" t="s">
        <v>143</v>
      </c>
      <c r="E2184" t="str">
        <f>"05"</f>
        <v>05</v>
      </c>
      <c r="H2184">
        <v>172</v>
      </c>
      <c r="I2184" t="s">
        <v>141</v>
      </c>
      <c r="J2184" t="s">
        <v>144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R2184" t="s">
        <v>127</v>
      </c>
      <c r="S2184" t="str">
        <f t="shared" si="866"/>
        <v>15:10:35.000</v>
      </c>
      <c r="T2184" t="str">
        <f t="shared" si="866"/>
        <v>15:10:35.000</v>
      </c>
      <c r="U2184" t="str">
        <f t="shared" si="863"/>
        <v>A68FCB</v>
      </c>
      <c r="V2184">
        <v>0</v>
      </c>
      <c r="W2184">
        <v>0</v>
      </c>
      <c r="X2184">
        <v>2</v>
      </c>
      <c r="Y2184">
        <v>0</v>
      </c>
      <c r="AA2184">
        <v>1</v>
      </c>
      <c r="AB2184">
        <v>8</v>
      </c>
      <c r="AC2184">
        <v>3</v>
      </c>
      <c r="AD2184">
        <v>0</v>
      </c>
      <c r="AE2184">
        <v>9</v>
      </c>
      <c r="AF2184" t="s">
        <v>138</v>
      </c>
      <c r="AG2184">
        <v>0</v>
      </c>
      <c r="AH2184">
        <v>3</v>
      </c>
      <c r="AI2184">
        <v>2</v>
      </c>
      <c r="AJ2184">
        <v>0</v>
      </c>
      <c r="AK2184" t="s">
        <v>749</v>
      </c>
      <c r="AL2184">
        <v>39.062212000000002</v>
      </c>
      <c r="AM2184" t="s">
        <v>717</v>
      </c>
      <c r="AN2184">
        <v>-121.04154800000001</v>
      </c>
      <c r="AO2184">
        <v>25</v>
      </c>
      <c r="AP2184">
        <v>4500</v>
      </c>
      <c r="AQ2184" t="s">
        <v>131</v>
      </c>
      <c r="AR2184">
        <v>2</v>
      </c>
      <c r="AS2184">
        <v>90</v>
      </c>
      <c r="AT2184">
        <v>128</v>
      </c>
      <c r="BB2184" t="str">
        <f t="shared" si="864"/>
        <v>1200</v>
      </c>
      <c r="BC2184">
        <v>1</v>
      </c>
      <c r="BD2184" t="str">
        <f t="shared" si="865"/>
        <v xml:space="preserve">N52156  </v>
      </c>
      <c r="BE2184">
        <v>1</v>
      </c>
      <c r="BG2184">
        <v>0</v>
      </c>
      <c r="BH2184">
        <v>0</v>
      </c>
      <c r="BI2184">
        <v>0</v>
      </c>
      <c r="BJ2184">
        <v>4575</v>
      </c>
      <c r="BK2184">
        <v>75</v>
      </c>
      <c r="BL2184" t="s">
        <v>188</v>
      </c>
      <c r="BM2184">
        <v>1</v>
      </c>
      <c r="BN2184">
        <v>1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 t="shared" si="867"/>
        <v>15:10:35.484</v>
      </c>
      <c r="CF2184">
        <v>484216554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3</v>
      </c>
      <c r="CY2184">
        <v>7</v>
      </c>
      <c r="CZ2184" t="s">
        <v>133</v>
      </c>
      <c r="DA2184">
        <v>275</v>
      </c>
      <c r="DB2184">
        <v>0</v>
      </c>
      <c r="DC2184" t="s">
        <v>134</v>
      </c>
      <c r="DD2184" t="s">
        <v>135</v>
      </c>
      <c r="DG2184">
        <v>3321470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"05/01/2025 15:10:35.725"</f>
        <v>05/01/2025 15:10:35.725</v>
      </c>
      <c r="C2185" t="str">
        <f t="shared" si="862"/>
        <v>FFDFD3C0</v>
      </c>
      <c r="D2185" t="s">
        <v>140</v>
      </c>
      <c r="E2185" t="str">
        <f>"13"</f>
        <v>13</v>
      </c>
      <c r="F2185">
        <v>1019</v>
      </c>
      <c r="G2185" t="s">
        <v>141</v>
      </c>
      <c r="J2185" t="s">
        <v>142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R2185" t="s">
        <v>127</v>
      </c>
      <c r="S2185" t="str">
        <f t="shared" si="866"/>
        <v>15:10:35.000</v>
      </c>
      <c r="T2185" t="str">
        <f t="shared" si="866"/>
        <v>15:10:35.000</v>
      </c>
      <c r="U2185" t="str">
        <f t="shared" si="863"/>
        <v>A68FCB</v>
      </c>
      <c r="V2185">
        <v>0</v>
      </c>
      <c r="W2185">
        <v>0</v>
      </c>
      <c r="X2185">
        <v>2</v>
      </c>
      <c r="Y2185">
        <v>0</v>
      </c>
      <c r="AA2185">
        <v>1</v>
      </c>
      <c r="AB2185">
        <v>8</v>
      </c>
      <c r="AC2185">
        <v>3</v>
      </c>
      <c r="AD2185">
        <v>0</v>
      </c>
      <c r="AE2185">
        <v>9</v>
      </c>
      <c r="AF2185" t="s">
        <v>138</v>
      </c>
      <c r="AG2185">
        <v>0</v>
      </c>
      <c r="AH2185">
        <v>3</v>
      </c>
      <c r="AI2185">
        <v>2</v>
      </c>
      <c r="AJ2185">
        <v>0</v>
      </c>
      <c r="AK2185" t="s">
        <v>749</v>
      </c>
      <c r="AL2185">
        <v>39.062212000000002</v>
      </c>
      <c r="AM2185" t="s">
        <v>717</v>
      </c>
      <c r="AN2185">
        <v>-121.04154800000001</v>
      </c>
      <c r="AO2185">
        <v>25</v>
      </c>
      <c r="AP2185">
        <v>4500</v>
      </c>
      <c r="AQ2185" t="s">
        <v>131</v>
      </c>
      <c r="AR2185">
        <v>2</v>
      </c>
      <c r="AS2185">
        <v>90</v>
      </c>
      <c r="AT2185">
        <v>128</v>
      </c>
      <c r="BB2185" t="str">
        <f t="shared" si="864"/>
        <v>1200</v>
      </c>
      <c r="BC2185">
        <v>1</v>
      </c>
      <c r="BD2185" t="str">
        <f t="shared" si="865"/>
        <v xml:space="preserve">N52156  </v>
      </c>
      <c r="BE2185">
        <v>1</v>
      </c>
      <c r="BG2185">
        <v>0</v>
      </c>
      <c r="BH2185">
        <v>0</v>
      </c>
      <c r="BI2185">
        <v>0</v>
      </c>
      <c r="BJ2185">
        <v>4575</v>
      </c>
      <c r="BK2185">
        <v>75</v>
      </c>
      <c r="BL2185" t="s">
        <v>188</v>
      </c>
      <c r="BM2185">
        <v>1</v>
      </c>
      <c r="BN2185">
        <v>1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 t="shared" si="867"/>
        <v>15:10:35.484</v>
      </c>
      <c r="CF2185">
        <v>484216554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3</v>
      </c>
      <c r="CY2185">
        <v>7</v>
      </c>
      <c r="CZ2185" t="s">
        <v>133</v>
      </c>
      <c r="DA2185">
        <v>275</v>
      </c>
      <c r="DB2185">
        <v>0</v>
      </c>
      <c r="DC2185" t="s">
        <v>134</v>
      </c>
      <c r="DD2185" t="s">
        <v>135</v>
      </c>
      <c r="DG2185">
        <v>3321470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"05/01/2025 15:10:37.143"</f>
        <v>05/01/2025 15:10:37.143</v>
      </c>
      <c r="C2186" t="str">
        <f t="shared" si="862"/>
        <v>FFDFD3C0</v>
      </c>
      <c r="D2186" t="s">
        <v>145</v>
      </c>
      <c r="E2186" t="str">
        <f>"09"</f>
        <v>09</v>
      </c>
      <c r="H2186">
        <v>51</v>
      </c>
      <c r="I2186" t="s">
        <v>147</v>
      </c>
      <c r="J2186" t="s">
        <v>138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R2186" t="s">
        <v>127</v>
      </c>
      <c r="S2186" t="str">
        <f t="shared" ref="S2186:T2191" si="868">"15:10:36.000"</f>
        <v>15:10:36.000</v>
      </c>
      <c r="T2186" t="str">
        <f t="shared" si="868"/>
        <v>15:10:36.000</v>
      </c>
      <c r="U2186" t="str">
        <f t="shared" si="863"/>
        <v>A68FCB</v>
      </c>
      <c r="V2186">
        <v>0</v>
      </c>
      <c r="W2186">
        <v>0</v>
      </c>
      <c r="X2186">
        <v>2</v>
      </c>
      <c r="Y2186">
        <v>0</v>
      </c>
      <c r="AA2186">
        <v>1</v>
      </c>
      <c r="AB2186">
        <v>8</v>
      </c>
      <c r="AC2186">
        <v>3</v>
      </c>
      <c r="AD2186">
        <v>0</v>
      </c>
      <c r="AE2186">
        <v>9</v>
      </c>
      <c r="AF2186" t="s">
        <v>138</v>
      </c>
      <c r="AG2186">
        <v>0</v>
      </c>
      <c r="AH2186">
        <v>3</v>
      </c>
      <c r="AI2186">
        <v>2</v>
      </c>
      <c r="AJ2186">
        <v>0</v>
      </c>
      <c r="AK2186" t="s">
        <v>750</v>
      </c>
      <c r="AL2186">
        <v>39.062640999999999</v>
      </c>
      <c r="AM2186" t="s">
        <v>717</v>
      </c>
      <c r="AN2186">
        <v>-121.04154800000001</v>
      </c>
      <c r="AO2186">
        <v>25</v>
      </c>
      <c r="AP2186">
        <v>4500</v>
      </c>
      <c r="AQ2186" t="s">
        <v>131</v>
      </c>
      <c r="AR2186">
        <v>1</v>
      </c>
      <c r="AS2186">
        <v>90</v>
      </c>
      <c r="AT2186">
        <v>128</v>
      </c>
      <c r="BB2186" t="str">
        <f t="shared" si="864"/>
        <v>1200</v>
      </c>
      <c r="BC2186">
        <v>1</v>
      </c>
      <c r="BD2186" t="str">
        <f t="shared" si="865"/>
        <v xml:space="preserve">N52156  </v>
      </c>
      <c r="BE2186">
        <v>1</v>
      </c>
      <c r="BG2186">
        <v>0</v>
      </c>
      <c r="BH2186">
        <v>0</v>
      </c>
      <c r="BI2186">
        <v>0</v>
      </c>
      <c r="BJ2186">
        <v>4575</v>
      </c>
      <c r="BK2186">
        <v>75</v>
      </c>
      <c r="BL2186" t="s">
        <v>188</v>
      </c>
      <c r="BM2186">
        <v>1</v>
      </c>
      <c r="BN2186">
        <v>1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 t="shared" ref="CE2186:CE2191" si="869">"15:10:36.941"</f>
        <v>15:10:36.941</v>
      </c>
      <c r="CF2186">
        <v>941035966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3</v>
      </c>
      <c r="CY2186">
        <v>7</v>
      </c>
      <c r="CZ2186" t="s">
        <v>133</v>
      </c>
      <c r="DA2186">
        <v>276</v>
      </c>
      <c r="DB2186">
        <v>0</v>
      </c>
      <c r="DC2186" t="s">
        <v>402</v>
      </c>
      <c r="DD2186" t="s">
        <v>403</v>
      </c>
      <c r="DG2186">
        <v>1626871</v>
      </c>
      <c r="DI2186">
        <v>1</v>
      </c>
      <c r="DJ2186">
        <v>0</v>
      </c>
      <c r="DK2186">
        <v>0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"05/01/2025 15:10:37.151"</f>
        <v>05/01/2025 15:10:37.151</v>
      </c>
      <c r="C2187" t="str">
        <f t="shared" si="862"/>
        <v>FFDFD3C0</v>
      </c>
      <c r="D2187" t="s">
        <v>136</v>
      </c>
      <c r="E2187" t="str">
        <f>"20"</f>
        <v>20</v>
      </c>
      <c r="H2187">
        <v>400</v>
      </c>
      <c r="I2187" t="s">
        <v>137</v>
      </c>
      <c r="J2187" t="s">
        <v>138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R2187" t="s">
        <v>127</v>
      </c>
      <c r="S2187" t="str">
        <f t="shared" si="868"/>
        <v>15:10:36.000</v>
      </c>
      <c r="T2187" t="str">
        <f t="shared" si="868"/>
        <v>15:10:36.000</v>
      </c>
      <c r="U2187" t="str">
        <f t="shared" si="863"/>
        <v>A68FCB</v>
      </c>
      <c r="V2187">
        <v>0</v>
      </c>
      <c r="W2187">
        <v>0</v>
      </c>
      <c r="X2187">
        <v>2</v>
      </c>
      <c r="Y2187">
        <v>0</v>
      </c>
      <c r="AA2187">
        <v>1</v>
      </c>
      <c r="AB2187">
        <v>8</v>
      </c>
      <c r="AC2187">
        <v>3</v>
      </c>
      <c r="AD2187">
        <v>0</v>
      </c>
      <c r="AE2187">
        <v>9</v>
      </c>
      <c r="AF2187" t="s">
        <v>138</v>
      </c>
      <c r="AG2187">
        <v>0</v>
      </c>
      <c r="AH2187">
        <v>3</v>
      </c>
      <c r="AI2187">
        <v>2</v>
      </c>
      <c r="AJ2187">
        <v>0</v>
      </c>
      <c r="AK2187" t="s">
        <v>750</v>
      </c>
      <c r="AL2187">
        <v>39.062640999999999</v>
      </c>
      <c r="AM2187" t="s">
        <v>717</v>
      </c>
      <c r="AN2187">
        <v>-121.04154800000001</v>
      </c>
      <c r="AO2187">
        <v>25</v>
      </c>
      <c r="AP2187">
        <v>4500</v>
      </c>
      <c r="AQ2187" t="s">
        <v>131</v>
      </c>
      <c r="AR2187">
        <v>1</v>
      </c>
      <c r="AS2187">
        <v>90</v>
      </c>
      <c r="AT2187">
        <v>128</v>
      </c>
      <c r="BB2187" t="str">
        <f t="shared" si="864"/>
        <v>1200</v>
      </c>
      <c r="BC2187">
        <v>1</v>
      </c>
      <c r="BD2187" t="str">
        <f t="shared" si="865"/>
        <v xml:space="preserve">N52156  </v>
      </c>
      <c r="BE2187">
        <v>1</v>
      </c>
      <c r="BG2187">
        <v>0</v>
      </c>
      <c r="BH2187">
        <v>0</v>
      </c>
      <c r="BI2187">
        <v>0</v>
      </c>
      <c r="BJ2187">
        <v>4575</v>
      </c>
      <c r="BK2187">
        <v>75</v>
      </c>
      <c r="BL2187" t="s">
        <v>188</v>
      </c>
      <c r="BM2187">
        <v>1</v>
      </c>
      <c r="BN2187">
        <v>1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 t="shared" si="869"/>
        <v>15:10:36.941</v>
      </c>
      <c r="CF2187">
        <v>941035966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3</v>
      </c>
      <c r="CY2187">
        <v>7</v>
      </c>
      <c r="CZ2187" t="s">
        <v>133</v>
      </c>
      <c r="DA2187">
        <v>276</v>
      </c>
      <c r="DB2187">
        <v>0</v>
      </c>
      <c r="DC2187" t="s">
        <v>402</v>
      </c>
      <c r="DD2187" t="s">
        <v>403</v>
      </c>
      <c r="DG2187">
        <v>1626871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"05/01/2025 15:10:37.154"</f>
        <v>05/01/2025 15:10:37.154</v>
      </c>
      <c r="C2188" t="str">
        <f t="shared" si="862"/>
        <v>FFDFD3C0</v>
      </c>
      <c r="D2188" t="s">
        <v>143</v>
      </c>
      <c r="E2188" t="str">
        <f>"05"</f>
        <v>05</v>
      </c>
      <c r="H2188">
        <v>172</v>
      </c>
      <c r="I2188" t="s">
        <v>141</v>
      </c>
      <c r="J2188" t="s">
        <v>144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R2188" t="s">
        <v>127</v>
      </c>
      <c r="S2188" t="str">
        <f t="shared" si="868"/>
        <v>15:10:36.000</v>
      </c>
      <c r="T2188" t="str">
        <f t="shared" si="868"/>
        <v>15:10:36.000</v>
      </c>
      <c r="U2188" t="str">
        <f t="shared" si="863"/>
        <v>A68FCB</v>
      </c>
      <c r="V2188">
        <v>0</v>
      </c>
      <c r="W2188">
        <v>0</v>
      </c>
      <c r="X2188">
        <v>2</v>
      </c>
      <c r="Y2188">
        <v>0</v>
      </c>
      <c r="AA2188">
        <v>1</v>
      </c>
      <c r="AB2188">
        <v>8</v>
      </c>
      <c r="AC2188">
        <v>3</v>
      </c>
      <c r="AD2188">
        <v>0</v>
      </c>
      <c r="AE2188">
        <v>9</v>
      </c>
      <c r="AF2188" t="s">
        <v>138</v>
      </c>
      <c r="AG2188">
        <v>0</v>
      </c>
      <c r="AH2188">
        <v>3</v>
      </c>
      <c r="AI2188">
        <v>2</v>
      </c>
      <c r="AJ2188">
        <v>0</v>
      </c>
      <c r="AK2188" t="s">
        <v>750</v>
      </c>
      <c r="AL2188">
        <v>39.062640999999999</v>
      </c>
      <c r="AM2188" t="s">
        <v>717</v>
      </c>
      <c r="AN2188">
        <v>-121.04154800000001</v>
      </c>
      <c r="AO2188">
        <v>25</v>
      </c>
      <c r="AP2188">
        <v>4500</v>
      </c>
      <c r="AQ2188" t="s">
        <v>131</v>
      </c>
      <c r="AR2188">
        <v>1</v>
      </c>
      <c r="AS2188">
        <v>90</v>
      </c>
      <c r="AT2188">
        <v>128</v>
      </c>
      <c r="BB2188" t="str">
        <f t="shared" si="864"/>
        <v>1200</v>
      </c>
      <c r="BC2188">
        <v>1</v>
      </c>
      <c r="BD2188" t="str">
        <f t="shared" si="865"/>
        <v xml:space="preserve">N52156  </v>
      </c>
      <c r="BE2188">
        <v>1</v>
      </c>
      <c r="BG2188">
        <v>0</v>
      </c>
      <c r="BH2188">
        <v>0</v>
      </c>
      <c r="BI2188">
        <v>0</v>
      </c>
      <c r="BJ2188">
        <v>4575</v>
      </c>
      <c r="BK2188">
        <v>75</v>
      </c>
      <c r="BL2188" t="s">
        <v>188</v>
      </c>
      <c r="BM2188">
        <v>1</v>
      </c>
      <c r="BN2188">
        <v>1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 t="shared" si="869"/>
        <v>15:10:36.941</v>
      </c>
      <c r="CF2188">
        <v>941035966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3</v>
      </c>
      <c r="CY2188">
        <v>7</v>
      </c>
      <c r="CZ2188" t="s">
        <v>133</v>
      </c>
      <c r="DA2188">
        <v>276</v>
      </c>
      <c r="DB2188">
        <v>0</v>
      </c>
      <c r="DC2188" t="s">
        <v>402</v>
      </c>
      <c r="DD2188" t="s">
        <v>403</v>
      </c>
      <c r="DG2188">
        <v>1626871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"05/01/2025 15:10:37.177"</f>
        <v>05/01/2025 15:10:37.177</v>
      </c>
      <c r="C2189" t="str">
        <f t="shared" si="862"/>
        <v>FFDFD3C0</v>
      </c>
      <c r="D2189" t="s">
        <v>140</v>
      </c>
      <c r="E2189" t="str">
        <f>"13"</f>
        <v>13</v>
      </c>
      <c r="F2189">
        <v>1019</v>
      </c>
      <c r="G2189" t="s">
        <v>141</v>
      </c>
      <c r="J2189" t="s">
        <v>142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R2189" t="s">
        <v>127</v>
      </c>
      <c r="S2189" t="str">
        <f t="shared" si="868"/>
        <v>15:10:36.000</v>
      </c>
      <c r="T2189" t="str">
        <f t="shared" si="868"/>
        <v>15:10:36.000</v>
      </c>
      <c r="U2189" t="str">
        <f t="shared" si="863"/>
        <v>A68FCB</v>
      </c>
      <c r="V2189">
        <v>0</v>
      </c>
      <c r="W2189">
        <v>0</v>
      </c>
      <c r="X2189">
        <v>2</v>
      </c>
      <c r="Y2189">
        <v>0</v>
      </c>
      <c r="AA2189">
        <v>1</v>
      </c>
      <c r="AB2189">
        <v>8</v>
      </c>
      <c r="AC2189">
        <v>3</v>
      </c>
      <c r="AD2189">
        <v>0</v>
      </c>
      <c r="AE2189">
        <v>9</v>
      </c>
      <c r="AF2189" t="s">
        <v>138</v>
      </c>
      <c r="AG2189">
        <v>0</v>
      </c>
      <c r="AH2189">
        <v>3</v>
      </c>
      <c r="AI2189">
        <v>2</v>
      </c>
      <c r="AJ2189">
        <v>0</v>
      </c>
      <c r="AK2189" t="s">
        <v>750</v>
      </c>
      <c r="AL2189">
        <v>39.062640999999999</v>
      </c>
      <c r="AM2189" t="s">
        <v>717</v>
      </c>
      <c r="AN2189">
        <v>-121.04154800000001</v>
      </c>
      <c r="AO2189">
        <v>25</v>
      </c>
      <c r="AP2189">
        <v>4500</v>
      </c>
      <c r="AQ2189" t="s">
        <v>131</v>
      </c>
      <c r="AR2189">
        <v>1</v>
      </c>
      <c r="AS2189">
        <v>90</v>
      </c>
      <c r="AT2189">
        <v>128</v>
      </c>
      <c r="BB2189" t="str">
        <f t="shared" si="864"/>
        <v>1200</v>
      </c>
      <c r="BC2189">
        <v>1</v>
      </c>
      <c r="BD2189" t="str">
        <f t="shared" si="865"/>
        <v xml:space="preserve">N52156  </v>
      </c>
      <c r="BE2189">
        <v>1</v>
      </c>
      <c r="BG2189">
        <v>0</v>
      </c>
      <c r="BH2189">
        <v>0</v>
      </c>
      <c r="BI2189">
        <v>0</v>
      </c>
      <c r="BJ2189">
        <v>4575</v>
      </c>
      <c r="BK2189">
        <v>75</v>
      </c>
      <c r="BL2189" t="s">
        <v>188</v>
      </c>
      <c r="BM2189">
        <v>1</v>
      </c>
      <c r="BN2189">
        <v>1</v>
      </c>
      <c r="BO2189">
        <v>0</v>
      </c>
      <c r="BP2189">
        <v>0</v>
      </c>
      <c r="BS2189">
        <v>0</v>
      </c>
      <c r="BT2189">
        <v>0</v>
      </c>
      <c r="BU2189">
        <v>0</v>
      </c>
      <c r="CE2189" t="str">
        <f t="shared" si="869"/>
        <v>15:10:36.941</v>
      </c>
      <c r="CF2189">
        <v>941035966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3</v>
      </c>
      <c r="CY2189">
        <v>7</v>
      </c>
      <c r="CZ2189" t="s">
        <v>133</v>
      </c>
      <c r="DA2189">
        <v>276</v>
      </c>
      <c r="DB2189">
        <v>0</v>
      </c>
      <c r="DC2189" t="s">
        <v>402</v>
      </c>
      <c r="DD2189" t="s">
        <v>403</v>
      </c>
      <c r="DG2189">
        <v>1626871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"05/01/2025 15:10:37.186"</f>
        <v>05/01/2025 15:10:37.186</v>
      </c>
      <c r="C2190" t="str">
        <f t="shared" si="862"/>
        <v>FFDFD3C0</v>
      </c>
      <c r="D2190" t="s">
        <v>124</v>
      </c>
      <c r="E2190" t="str">
        <f>"06"</f>
        <v>06</v>
      </c>
      <c r="F2190">
        <v>2006</v>
      </c>
      <c r="G2190" t="s">
        <v>125</v>
      </c>
      <c r="J2190" t="s">
        <v>126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R2190" t="s">
        <v>127</v>
      </c>
      <c r="S2190" t="str">
        <f t="shared" si="868"/>
        <v>15:10:36.000</v>
      </c>
      <c r="T2190" t="str">
        <f t="shared" si="868"/>
        <v>15:10:36.000</v>
      </c>
      <c r="U2190" t="str">
        <f t="shared" si="863"/>
        <v>A68FCB</v>
      </c>
      <c r="V2190">
        <v>0</v>
      </c>
      <c r="W2190">
        <v>0</v>
      </c>
      <c r="X2190">
        <v>2</v>
      </c>
      <c r="Y2190">
        <v>0</v>
      </c>
      <c r="AA2190">
        <v>1</v>
      </c>
      <c r="AB2190">
        <v>8</v>
      </c>
      <c r="AC2190">
        <v>3</v>
      </c>
      <c r="AD2190">
        <v>0</v>
      </c>
      <c r="AE2190">
        <v>9</v>
      </c>
      <c r="AF2190" t="s">
        <v>138</v>
      </c>
      <c r="AG2190">
        <v>0</v>
      </c>
      <c r="AH2190">
        <v>3</v>
      </c>
      <c r="AI2190">
        <v>2</v>
      </c>
      <c r="AJ2190">
        <v>0</v>
      </c>
      <c r="AK2190" t="s">
        <v>750</v>
      </c>
      <c r="AL2190">
        <v>39.062640999999999</v>
      </c>
      <c r="AM2190" t="s">
        <v>717</v>
      </c>
      <c r="AN2190">
        <v>-121.04154800000001</v>
      </c>
      <c r="AO2190">
        <v>25</v>
      </c>
      <c r="AP2190">
        <v>4500</v>
      </c>
      <c r="AQ2190" t="s">
        <v>131</v>
      </c>
      <c r="AR2190">
        <v>1</v>
      </c>
      <c r="AS2190">
        <v>90</v>
      </c>
      <c r="AT2190">
        <v>128</v>
      </c>
      <c r="BB2190" t="str">
        <f t="shared" si="864"/>
        <v>1200</v>
      </c>
      <c r="BC2190">
        <v>1</v>
      </c>
      <c r="BD2190" t="str">
        <f t="shared" si="865"/>
        <v xml:space="preserve">N52156  </v>
      </c>
      <c r="BE2190">
        <v>1</v>
      </c>
      <c r="BG2190">
        <v>0</v>
      </c>
      <c r="BH2190">
        <v>0</v>
      </c>
      <c r="BI2190">
        <v>0</v>
      </c>
      <c r="BJ2190">
        <v>4575</v>
      </c>
      <c r="BK2190">
        <v>75</v>
      </c>
      <c r="BL2190" t="s">
        <v>188</v>
      </c>
      <c r="BM2190">
        <v>1</v>
      </c>
      <c r="BN2190">
        <v>1</v>
      </c>
      <c r="BO2190">
        <v>0</v>
      </c>
      <c r="BP2190">
        <v>0</v>
      </c>
      <c r="BS2190">
        <v>0</v>
      </c>
      <c r="BT2190">
        <v>0</v>
      </c>
      <c r="BU2190">
        <v>0</v>
      </c>
      <c r="CE2190" t="str">
        <f t="shared" si="869"/>
        <v>15:10:36.941</v>
      </c>
      <c r="CF2190">
        <v>941035966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3</v>
      </c>
      <c r="CY2190">
        <v>7</v>
      </c>
      <c r="CZ2190" t="s">
        <v>133</v>
      </c>
      <c r="DA2190">
        <v>276</v>
      </c>
      <c r="DB2190">
        <v>0</v>
      </c>
      <c r="DC2190" t="s">
        <v>402</v>
      </c>
      <c r="DD2190" t="s">
        <v>403</v>
      </c>
      <c r="DG2190">
        <v>1626871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"05/01/2025 15:10:37.191"</f>
        <v>05/01/2025 15:10:37.191</v>
      </c>
      <c r="C2191" t="str">
        <f t="shared" si="862"/>
        <v>FFDFD3C0</v>
      </c>
      <c r="D2191" t="s">
        <v>145</v>
      </c>
      <c r="E2191" t="str">
        <f>"05"</f>
        <v>05</v>
      </c>
      <c r="H2191">
        <v>47</v>
      </c>
      <c r="I2191" t="s">
        <v>146</v>
      </c>
      <c r="J2191" t="s">
        <v>138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R2191" t="s">
        <v>127</v>
      </c>
      <c r="S2191" t="str">
        <f t="shared" si="868"/>
        <v>15:10:36.000</v>
      </c>
      <c r="T2191" t="str">
        <f t="shared" si="868"/>
        <v>15:10:36.000</v>
      </c>
      <c r="U2191" t="str">
        <f t="shared" si="863"/>
        <v>A68FCB</v>
      </c>
      <c r="V2191">
        <v>0</v>
      </c>
      <c r="W2191">
        <v>0</v>
      </c>
      <c r="X2191">
        <v>2</v>
      </c>
      <c r="Y2191">
        <v>0</v>
      </c>
      <c r="AA2191">
        <v>1</v>
      </c>
      <c r="AB2191">
        <v>8</v>
      </c>
      <c r="AC2191">
        <v>3</v>
      </c>
      <c r="AD2191">
        <v>0</v>
      </c>
      <c r="AE2191">
        <v>9</v>
      </c>
      <c r="AF2191" t="s">
        <v>138</v>
      </c>
      <c r="AG2191">
        <v>0</v>
      </c>
      <c r="AH2191">
        <v>3</v>
      </c>
      <c r="AI2191">
        <v>2</v>
      </c>
      <c r="AJ2191">
        <v>0</v>
      </c>
      <c r="AK2191" t="s">
        <v>750</v>
      </c>
      <c r="AL2191">
        <v>39.062640999999999</v>
      </c>
      <c r="AM2191" t="s">
        <v>717</v>
      </c>
      <c r="AN2191">
        <v>-121.04154800000001</v>
      </c>
      <c r="AO2191">
        <v>25</v>
      </c>
      <c r="AP2191">
        <v>4500</v>
      </c>
      <c r="AQ2191" t="s">
        <v>131</v>
      </c>
      <c r="AR2191">
        <v>1</v>
      </c>
      <c r="AS2191">
        <v>90</v>
      </c>
      <c r="AT2191">
        <v>128</v>
      </c>
      <c r="BB2191" t="str">
        <f t="shared" si="864"/>
        <v>1200</v>
      </c>
      <c r="BC2191">
        <v>1</v>
      </c>
      <c r="BD2191" t="str">
        <f t="shared" si="865"/>
        <v xml:space="preserve">N52156  </v>
      </c>
      <c r="BE2191">
        <v>1</v>
      </c>
      <c r="BG2191">
        <v>0</v>
      </c>
      <c r="BH2191">
        <v>0</v>
      </c>
      <c r="BI2191">
        <v>0</v>
      </c>
      <c r="BJ2191">
        <v>4575</v>
      </c>
      <c r="BK2191">
        <v>75</v>
      </c>
      <c r="BL2191" t="s">
        <v>188</v>
      </c>
      <c r="BM2191">
        <v>1</v>
      </c>
      <c r="BN2191">
        <v>1</v>
      </c>
      <c r="BO2191">
        <v>0</v>
      </c>
      <c r="BP2191">
        <v>0</v>
      </c>
      <c r="BS2191">
        <v>0</v>
      </c>
      <c r="BT2191">
        <v>0</v>
      </c>
      <c r="BU2191">
        <v>0</v>
      </c>
      <c r="CE2191" t="str">
        <f t="shared" si="869"/>
        <v>15:10:36.941</v>
      </c>
      <c r="CF2191">
        <v>941035966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3</v>
      </c>
      <c r="CY2191">
        <v>7</v>
      </c>
      <c r="CZ2191" t="s">
        <v>133</v>
      </c>
      <c r="DA2191">
        <v>276</v>
      </c>
      <c r="DB2191">
        <v>0</v>
      </c>
      <c r="DC2191" t="s">
        <v>402</v>
      </c>
      <c r="DD2191" t="s">
        <v>403</v>
      </c>
      <c r="DG2191">
        <v>1626871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"05/01/2025 15:10:37.978"</f>
        <v>05/01/2025 15:10:37.978</v>
      </c>
      <c r="C2192" t="str">
        <f t="shared" si="862"/>
        <v>FFDFD3C0</v>
      </c>
      <c r="D2192" t="s">
        <v>140</v>
      </c>
      <c r="E2192" t="str">
        <f>"13"</f>
        <v>13</v>
      </c>
      <c r="F2192">
        <v>1019</v>
      </c>
      <c r="G2192" t="s">
        <v>141</v>
      </c>
      <c r="J2192" t="s">
        <v>142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R2192" t="s">
        <v>127</v>
      </c>
      <c r="S2192" t="str">
        <f t="shared" ref="S2192:T2197" si="870">"15:10:37.000"</f>
        <v>15:10:37.000</v>
      </c>
      <c r="T2192" t="str">
        <f t="shared" si="870"/>
        <v>15:10:37.000</v>
      </c>
      <c r="U2192" t="str">
        <f t="shared" si="863"/>
        <v>A68FCB</v>
      </c>
      <c r="V2192">
        <v>0</v>
      </c>
      <c r="W2192">
        <v>0</v>
      </c>
      <c r="X2192">
        <v>2</v>
      </c>
      <c r="Y2192">
        <v>0</v>
      </c>
      <c r="AA2192">
        <v>1</v>
      </c>
      <c r="AB2192">
        <v>8</v>
      </c>
      <c r="AC2192">
        <v>3</v>
      </c>
      <c r="AD2192">
        <v>0</v>
      </c>
      <c r="AE2192">
        <v>9</v>
      </c>
      <c r="AF2192" t="s">
        <v>138</v>
      </c>
      <c r="AG2192">
        <v>0</v>
      </c>
      <c r="AH2192">
        <v>3</v>
      </c>
      <c r="AI2192">
        <v>2</v>
      </c>
      <c r="AJ2192">
        <v>0</v>
      </c>
      <c r="AK2192" t="s">
        <v>751</v>
      </c>
      <c r="AL2192">
        <v>39.063091</v>
      </c>
      <c r="AM2192" t="s">
        <v>720</v>
      </c>
      <c r="AN2192">
        <v>-121.041527</v>
      </c>
      <c r="AO2192">
        <v>25</v>
      </c>
      <c r="AP2192">
        <v>4500</v>
      </c>
      <c r="AQ2192" t="s">
        <v>131</v>
      </c>
      <c r="AR2192">
        <v>1</v>
      </c>
      <c r="AS2192">
        <v>90</v>
      </c>
      <c r="AT2192">
        <v>128</v>
      </c>
      <c r="BB2192" t="str">
        <f t="shared" si="864"/>
        <v>1200</v>
      </c>
      <c r="BC2192">
        <v>1</v>
      </c>
      <c r="BD2192" t="str">
        <f t="shared" si="865"/>
        <v xml:space="preserve">N52156  </v>
      </c>
      <c r="BE2192">
        <v>1</v>
      </c>
      <c r="BG2192">
        <v>0</v>
      </c>
      <c r="BH2192">
        <v>0</v>
      </c>
      <c r="BI2192">
        <v>0</v>
      </c>
      <c r="BJ2192">
        <v>4575</v>
      </c>
      <c r="BK2192">
        <v>75</v>
      </c>
      <c r="BL2192" t="s">
        <v>188</v>
      </c>
      <c r="BM2192">
        <v>1</v>
      </c>
      <c r="BN2192">
        <v>1</v>
      </c>
      <c r="BO2192">
        <v>0</v>
      </c>
      <c r="BP2192">
        <v>0</v>
      </c>
      <c r="BS2192">
        <v>0</v>
      </c>
      <c r="BT2192">
        <v>0</v>
      </c>
      <c r="BU2192">
        <v>0</v>
      </c>
      <c r="CE2192" t="str">
        <f t="shared" ref="CE2192:CE2197" si="871">"15:10:37.777"</f>
        <v>15:10:37.777</v>
      </c>
      <c r="CF2192">
        <v>777035687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3</v>
      </c>
      <c r="CY2192">
        <v>7</v>
      </c>
      <c r="CZ2192" t="s">
        <v>133</v>
      </c>
      <c r="DA2192">
        <v>276</v>
      </c>
      <c r="DB2192">
        <v>0</v>
      </c>
      <c r="DC2192" t="s">
        <v>402</v>
      </c>
      <c r="DD2192" t="s">
        <v>403</v>
      </c>
      <c r="DG2192">
        <v>1626879</v>
      </c>
      <c r="DI2192">
        <v>1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"05/01/2025 15:10:37.988"</f>
        <v>05/01/2025 15:10:37.988</v>
      </c>
      <c r="C2193" t="str">
        <f t="shared" si="862"/>
        <v>FFDFD3C0</v>
      </c>
      <c r="D2193" t="s">
        <v>124</v>
      </c>
      <c r="E2193" t="str">
        <f>"06"</f>
        <v>06</v>
      </c>
      <c r="F2193">
        <v>2006</v>
      </c>
      <c r="G2193" t="s">
        <v>125</v>
      </c>
      <c r="J2193" t="s">
        <v>126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R2193" t="s">
        <v>127</v>
      </c>
      <c r="S2193" t="str">
        <f t="shared" si="870"/>
        <v>15:10:37.000</v>
      </c>
      <c r="T2193" t="str">
        <f t="shared" si="870"/>
        <v>15:10:37.000</v>
      </c>
      <c r="U2193" t="str">
        <f t="shared" si="863"/>
        <v>A68FCB</v>
      </c>
      <c r="V2193">
        <v>0</v>
      </c>
      <c r="W2193">
        <v>0</v>
      </c>
      <c r="X2193">
        <v>2</v>
      </c>
      <c r="Y2193">
        <v>0</v>
      </c>
      <c r="AA2193">
        <v>1</v>
      </c>
      <c r="AB2193">
        <v>8</v>
      </c>
      <c r="AC2193">
        <v>3</v>
      </c>
      <c r="AD2193">
        <v>0</v>
      </c>
      <c r="AE2193">
        <v>9</v>
      </c>
      <c r="AF2193" t="s">
        <v>138</v>
      </c>
      <c r="AG2193">
        <v>0</v>
      </c>
      <c r="AH2193">
        <v>3</v>
      </c>
      <c r="AI2193">
        <v>2</v>
      </c>
      <c r="AJ2193">
        <v>0</v>
      </c>
      <c r="AK2193" t="s">
        <v>751</v>
      </c>
      <c r="AL2193">
        <v>39.063091</v>
      </c>
      <c r="AM2193" t="s">
        <v>720</v>
      </c>
      <c r="AN2193">
        <v>-121.041527</v>
      </c>
      <c r="AO2193">
        <v>25</v>
      </c>
      <c r="AP2193">
        <v>4500</v>
      </c>
      <c r="AQ2193" t="s">
        <v>131</v>
      </c>
      <c r="AR2193">
        <v>1</v>
      </c>
      <c r="AS2193">
        <v>90</v>
      </c>
      <c r="AT2193">
        <v>128</v>
      </c>
      <c r="BB2193" t="str">
        <f t="shared" si="864"/>
        <v>1200</v>
      </c>
      <c r="BC2193">
        <v>1</v>
      </c>
      <c r="BD2193" t="str">
        <f t="shared" si="865"/>
        <v xml:space="preserve">N52156  </v>
      </c>
      <c r="BE2193">
        <v>1</v>
      </c>
      <c r="BG2193">
        <v>0</v>
      </c>
      <c r="BH2193">
        <v>0</v>
      </c>
      <c r="BI2193">
        <v>0</v>
      </c>
      <c r="BJ2193">
        <v>4575</v>
      </c>
      <c r="BK2193">
        <v>75</v>
      </c>
      <c r="BL2193" t="s">
        <v>188</v>
      </c>
      <c r="BM2193">
        <v>1</v>
      </c>
      <c r="BN2193">
        <v>1</v>
      </c>
      <c r="BO2193">
        <v>0</v>
      </c>
      <c r="BP2193">
        <v>0</v>
      </c>
      <c r="BS2193">
        <v>0</v>
      </c>
      <c r="BT2193">
        <v>0</v>
      </c>
      <c r="BU2193">
        <v>0</v>
      </c>
      <c r="CE2193" t="str">
        <f t="shared" si="871"/>
        <v>15:10:37.777</v>
      </c>
      <c r="CF2193">
        <v>777035687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3</v>
      </c>
      <c r="CY2193">
        <v>7</v>
      </c>
      <c r="CZ2193" t="s">
        <v>133</v>
      </c>
      <c r="DA2193">
        <v>276</v>
      </c>
      <c r="DB2193">
        <v>0</v>
      </c>
      <c r="DC2193" t="s">
        <v>402</v>
      </c>
      <c r="DD2193" t="s">
        <v>403</v>
      </c>
      <c r="DG2193">
        <v>1626879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"05/01/2025 15:10:37.992"</f>
        <v>05/01/2025 15:10:37.992</v>
      </c>
      <c r="C2194" t="str">
        <f t="shared" si="862"/>
        <v>FFDFD3C0</v>
      </c>
      <c r="D2194" t="s">
        <v>145</v>
      </c>
      <c r="E2194" t="str">
        <f>"05"</f>
        <v>05</v>
      </c>
      <c r="H2194">
        <v>47</v>
      </c>
      <c r="I2194" t="s">
        <v>146</v>
      </c>
      <c r="J2194" t="s">
        <v>138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R2194" t="s">
        <v>127</v>
      </c>
      <c r="S2194" t="str">
        <f t="shared" si="870"/>
        <v>15:10:37.000</v>
      </c>
      <c r="T2194" t="str">
        <f t="shared" si="870"/>
        <v>15:10:37.000</v>
      </c>
      <c r="U2194" t="str">
        <f t="shared" si="863"/>
        <v>A68FCB</v>
      </c>
      <c r="V2194">
        <v>0</v>
      </c>
      <c r="W2194">
        <v>0</v>
      </c>
      <c r="X2194">
        <v>2</v>
      </c>
      <c r="Y2194">
        <v>0</v>
      </c>
      <c r="AA2194">
        <v>1</v>
      </c>
      <c r="AB2194">
        <v>8</v>
      </c>
      <c r="AC2194">
        <v>3</v>
      </c>
      <c r="AD2194">
        <v>0</v>
      </c>
      <c r="AE2194">
        <v>9</v>
      </c>
      <c r="AF2194" t="s">
        <v>138</v>
      </c>
      <c r="AG2194">
        <v>0</v>
      </c>
      <c r="AH2194">
        <v>3</v>
      </c>
      <c r="AI2194">
        <v>2</v>
      </c>
      <c r="AJ2194">
        <v>0</v>
      </c>
      <c r="AK2194" t="s">
        <v>751</v>
      </c>
      <c r="AL2194">
        <v>39.063091</v>
      </c>
      <c r="AM2194" t="s">
        <v>720</v>
      </c>
      <c r="AN2194">
        <v>-121.041527</v>
      </c>
      <c r="AO2194">
        <v>25</v>
      </c>
      <c r="AP2194">
        <v>4500</v>
      </c>
      <c r="AQ2194" t="s">
        <v>131</v>
      </c>
      <c r="AR2194">
        <v>1</v>
      </c>
      <c r="AS2194">
        <v>90</v>
      </c>
      <c r="AT2194">
        <v>128</v>
      </c>
      <c r="BB2194" t="str">
        <f t="shared" si="864"/>
        <v>1200</v>
      </c>
      <c r="BC2194">
        <v>1</v>
      </c>
      <c r="BD2194" t="str">
        <f t="shared" si="865"/>
        <v xml:space="preserve">N52156  </v>
      </c>
      <c r="BE2194">
        <v>1</v>
      </c>
      <c r="BG2194">
        <v>0</v>
      </c>
      <c r="BH2194">
        <v>0</v>
      </c>
      <c r="BI2194">
        <v>0</v>
      </c>
      <c r="BJ2194">
        <v>4575</v>
      </c>
      <c r="BK2194">
        <v>75</v>
      </c>
      <c r="BL2194" t="s">
        <v>188</v>
      </c>
      <c r="BM2194">
        <v>1</v>
      </c>
      <c r="BN2194">
        <v>1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 t="shared" si="871"/>
        <v>15:10:37.777</v>
      </c>
      <c r="CF2194">
        <v>777035687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3</v>
      </c>
      <c r="CY2194">
        <v>7</v>
      </c>
      <c r="CZ2194" t="s">
        <v>133</v>
      </c>
      <c r="DA2194">
        <v>276</v>
      </c>
      <c r="DB2194">
        <v>0</v>
      </c>
      <c r="DC2194" t="s">
        <v>402</v>
      </c>
      <c r="DD2194" t="s">
        <v>403</v>
      </c>
      <c r="DG2194">
        <v>1626879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"05/01/2025 15:10:37.994"</f>
        <v>05/01/2025 15:10:37.994</v>
      </c>
      <c r="C2195" t="str">
        <f t="shared" si="862"/>
        <v>FFDFD3C0</v>
      </c>
      <c r="D2195" t="s">
        <v>145</v>
      </c>
      <c r="E2195" t="str">
        <f>"09"</f>
        <v>09</v>
      </c>
      <c r="H2195">
        <v>51</v>
      </c>
      <c r="I2195" t="s">
        <v>147</v>
      </c>
      <c r="J2195" t="s">
        <v>138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R2195" t="s">
        <v>127</v>
      </c>
      <c r="S2195" t="str">
        <f t="shared" si="870"/>
        <v>15:10:37.000</v>
      </c>
      <c r="T2195" t="str">
        <f t="shared" si="870"/>
        <v>15:10:37.000</v>
      </c>
      <c r="U2195" t="str">
        <f t="shared" si="863"/>
        <v>A68FCB</v>
      </c>
      <c r="V2195">
        <v>0</v>
      </c>
      <c r="W2195">
        <v>0</v>
      </c>
      <c r="X2195">
        <v>2</v>
      </c>
      <c r="Y2195">
        <v>0</v>
      </c>
      <c r="AA2195">
        <v>1</v>
      </c>
      <c r="AB2195">
        <v>8</v>
      </c>
      <c r="AC2195">
        <v>3</v>
      </c>
      <c r="AD2195">
        <v>0</v>
      </c>
      <c r="AE2195">
        <v>9</v>
      </c>
      <c r="AF2195" t="s">
        <v>138</v>
      </c>
      <c r="AG2195">
        <v>0</v>
      </c>
      <c r="AH2195">
        <v>3</v>
      </c>
      <c r="AI2195">
        <v>2</v>
      </c>
      <c r="AJ2195">
        <v>0</v>
      </c>
      <c r="AK2195" t="s">
        <v>751</v>
      </c>
      <c r="AL2195">
        <v>39.063091</v>
      </c>
      <c r="AM2195" t="s">
        <v>720</v>
      </c>
      <c r="AN2195">
        <v>-121.041527</v>
      </c>
      <c r="AO2195">
        <v>25</v>
      </c>
      <c r="AP2195">
        <v>4500</v>
      </c>
      <c r="AQ2195" t="s">
        <v>131</v>
      </c>
      <c r="AR2195">
        <v>1</v>
      </c>
      <c r="AS2195">
        <v>90</v>
      </c>
      <c r="AT2195">
        <v>128</v>
      </c>
      <c r="BB2195" t="str">
        <f t="shared" si="864"/>
        <v>1200</v>
      </c>
      <c r="BC2195">
        <v>1</v>
      </c>
      <c r="BD2195" t="str">
        <f t="shared" si="865"/>
        <v xml:space="preserve">N52156  </v>
      </c>
      <c r="BE2195">
        <v>1</v>
      </c>
      <c r="BG2195">
        <v>0</v>
      </c>
      <c r="BH2195">
        <v>0</v>
      </c>
      <c r="BI2195">
        <v>0</v>
      </c>
      <c r="BJ2195">
        <v>4575</v>
      </c>
      <c r="BK2195">
        <v>75</v>
      </c>
      <c r="BL2195" t="s">
        <v>188</v>
      </c>
      <c r="BM2195">
        <v>1</v>
      </c>
      <c r="BN2195">
        <v>1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 t="shared" si="871"/>
        <v>15:10:37.777</v>
      </c>
      <c r="CF2195">
        <v>777035687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3</v>
      </c>
      <c r="CY2195">
        <v>7</v>
      </c>
      <c r="CZ2195" t="s">
        <v>133</v>
      </c>
      <c r="DA2195">
        <v>276</v>
      </c>
      <c r="DB2195">
        <v>0</v>
      </c>
      <c r="DC2195" t="s">
        <v>402</v>
      </c>
      <c r="DD2195" t="s">
        <v>403</v>
      </c>
      <c r="DG2195">
        <v>1626879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"05/01/2025 15:10:38.002"</f>
        <v>05/01/2025 15:10:38.002</v>
      </c>
      <c r="C2196" t="str">
        <f t="shared" si="862"/>
        <v>FFDFD3C0</v>
      </c>
      <c r="D2196" t="s">
        <v>136</v>
      </c>
      <c r="E2196" t="str">
        <f>"20"</f>
        <v>20</v>
      </c>
      <c r="H2196">
        <v>400</v>
      </c>
      <c r="I2196" t="s">
        <v>137</v>
      </c>
      <c r="J2196" t="s">
        <v>138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R2196" t="s">
        <v>127</v>
      </c>
      <c r="S2196" t="str">
        <f t="shared" si="870"/>
        <v>15:10:37.000</v>
      </c>
      <c r="T2196" t="str">
        <f t="shared" si="870"/>
        <v>15:10:37.000</v>
      </c>
      <c r="U2196" t="str">
        <f t="shared" si="863"/>
        <v>A68FCB</v>
      </c>
      <c r="V2196">
        <v>0</v>
      </c>
      <c r="W2196">
        <v>0</v>
      </c>
      <c r="X2196">
        <v>2</v>
      </c>
      <c r="Y2196">
        <v>0</v>
      </c>
      <c r="AA2196">
        <v>1</v>
      </c>
      <c r="AB2196">
        <v>8</v>
      </c>
      <c r="AC2196">
        <v>3</v>
      </c>
      <c r="AD2196">
        <v>0</v>
      </c>
      <c r="AE2196">
        <v>9</v>
      </c>
      <c r="AF2196" t="s">
        <v>138</v>
      </c>
      <c r="AG2196">
        <v>0</v>
      </c>
      <c r="AH2196">
        <v>3</v>
      </c>
      <c r="AI2196">
        <v>2</v>
      </c>
      <c r="AJ2196">
        <v>0</v>
      </c>
      <c r="AK2196" t="s">
        <v>751</v>
      </c>
      <c r="AL2196">
        <v>39.063091</v>
      </c>
      <c r="AM2196" t="s">
        <v>720</v>
      </c>
      <c r="AN2196">
        <v>-121.041527</v>
      </c>
      <c r="AO2196">
        <v>25</v>
      </c>
      <c r="AP2196">
        <v>4500</v>
      </c>
      <c r="AQ2196" t="s">
        <v>131</v>
      </c>
      <c r="AR2196">
        <v>1</v>
      </c>
      <c r="AS2196">
        <v>90</v>
      </c>
      <c r="AT2196">
        <v>128</v>
      </c>
      <c r="BB2196" t="str">
        <f t="shared" si="864"/>
        <v>1200</v>
      </c>
      <c r="BC2196">
        <v>1</v>
      </c>
      <c r="BD2196" t="str">
        <f t="shared" si="865"/>
        <v xml:space="preserve">N52156  </v>
      </c>
      <c r="BE2196">
        <v>1</v>
      </c>
      <c r="BG2196">
        <v>0</v>
      </c>
      <c r="BH2196">
        <v>0</v>
      </c>
      <c r="BI2196">
        <v>0</v>
      </c>
      <c r="BJ2196">
        <v>4575</v>
      </c>
      <c r="BK2196">
        <v>75</v>
      </c>
      <c r="BL2196" t="s">
        <v>188</v>
      </c>
      <c r="BM2196">
        <v>1</v>
      </c>
      <c r="BN2196">
        <v>1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 t="shared" si="871"/>
        <v>15:10:37.777</v>
      </c>
      <c r="CF2196">
        <v>777035687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3</v>
      </c>
      <c r="CY2196">
        <v>7</v>
      </c>
      <c r="CZ2196" t="s">
        <v>133</v>
      </c>
      <c r="DA2196">
        <v>276</v>
      </c>
      <c r="DB2196">
        <v>0</v>
      </c>
      <c r="DC2196" t="s">
        <v>402</v>
      </c>
      <c r="DD2196" t="s">
        <v>403</v>
      </c>
      <c r="DG2196">
        <v>1626879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"05/01/2025 15:10:38.007"</f>
        <v>05/01/2025 15:10:38.007</v>
      </c>
      <c r="C2197" t="str">
        <f t="shared" si="862"/>
        <v>FFDFD3C0</v>
      </c>
      <c r="D2197" t="s">
        <v>143</v>
      </c>
      <c r="E2197" t="str">
        <f>"05"</f>
        <v>05</v>
      </c>
      <c r="H2197">
        <v>172</v>
      </c>
      <c r="I2197" t="s">
        <v>141</v>
      </c>
      <c r="J2197" t="s">
        <v>144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R2197" t="s">
        <v>127</v>
      </c>
      <c r="S2197" t="str">
        <f t="shared" si="870"/>
        <v>15:10:37.000</v>
      </c>
      <c r="T2197" t="str">
        <f t="shared" si="870"/>
        <v>15:10:37.000</v>
      </c>
      <c r="U2197" t="str">
        <f t="shared" si="863"/>
        <v>A68FCB</v>
      </c>
      <c r="V2197">
        <v>0</v>
      </c>
      <c r="W2197">
        <v>0</v>
      </c>
      <c r="X2197">
        <v>2</v>
      </c>
      <c r="Y2197">
        <v>0</v>
      </c>
      <c r="AA2197">
        <v>1</v>
      </c>
      <c r="AB2197">
        <v>8</v>
      </c>
      <c r="AC2197">
        <v>3</v>
      </c>
      <c r="AD2197">
        <v>0</v>
      </c>
      <c r="AE2197">
        <v>9</v>
      </c>
      <c r="AF2197" t="s">
        <v>138</v>
      </c>
      <c r="AG2197">
        <v>0</v>
      </c>
      <c r="AH2197">
        <v>3</v>
      </c>
      <c r="AI2197">
        <v>2</v>
      </c>
      <c r="AJ2197">
        <v>0</v>
      </c>
      <c r="AK2197" t="s">
        <v>751</v>
      </c>
      <c r="AL2197">
        <v>39.063091</v>
      </c>
      <c r="AM2197" t="s">
        <v>720</v>
      </c>
      <c r="AN2197">
        <v>-121.041527</v>
      </c>
      <c r="AO2197">
        <v>25</v>
      </c>
      <c r="AP2197">
        <v>4500</v>
      </c>
      <c r="AQ2197" t="s">
        <v>131</v>
      </c>
      <c r="AR2197">
        <v>1</v>
      </c>
      <c r="AS2197">
        <v>90</v>
      </c>
      <c r="AT2197">
        <v>128</v>
      </c>
      <c r="BB2197" t="str">
        <f t="shared" si="864"/>
        <v>1200</v>
      </c>
      <c r="BC2197">
        <v>1</v>
      </c>
      <c r="BD2197" t="str">
        <f t="shared" si="865"/>
        <v xml:space="preserve">N52156  </v>
      </c>
      <c r="BE2197">
        <v>1</v>
      </c>
      <c r="BG2197">
        <v>0</v>
      </c>
      <c r="BH2197">
        <v>0</v>
      </c>
      <c r="BI2197">
        <v>0</v>
      </c>
      <c r="BJ2197">
        <v>4575</v>
      </c>
      <c r="BK2197">
        <v>75</v>
      </c>
      <c r="BL2197" t="s">
        <v>188</v>
      </c>
      <c r="BM2197">
        <v>1</v>
      </c>
      <c r="BN2197">
        <v>1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 t="shared" si="871"/>
        <v>15:10:37.777</v>
      </c>
      <c r="CF2197">
        <v>777035687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3</v>
      </c>
      <c r="CY2197">
        <v>7</v>
      </c>
      <c r="CZ2197" t="s">
        <v>133</v>
      </c>
      <c r="DA2197">
        <v>276</v>
      </c>
      <c r="DB2197">
        <v>0</v>
      </c>
      <c r="DC2197" t="s">
        <v>402</v>
      </c>
      <c r="DD2197" t="s">
        <v>403</v>
      </c>
      <c r="DG2197">
        <v>1626879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"05/01/2025 15:10:38.457"</f>
        <v>05/01/2025 15:10:38.457</v>
      </c>
      <c r="C2198" t="str">
        <f t="shared" si="862"/>
        <v>FFDFD3C0</v>
      </c>
      <c r="D2198" t="s">
        <v>143</v>
      </c>
      <c r="E2198" t="str">
        <f>"05"</f>
        <v>05</v>
      </c>
      <c r="H2198">
        <v>172</v>
      </c>
      <c r="I2198" t="s">
        <v>141</v>
      </c>
      <c r="J2198" t="s">
        <v>144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R2198" t="s">
        <v>127</v>
      </c>
      <c r="S2198" t="str">
        <f t="shared" ref="S2198:T2203" si="872">"15:10:38.000"</f>
        <v>15:10:38.000</v>
      </c>
      <c r="T2198" t="str">
        <f t="shared" si="872"/>
        <v>15:10:38.000</v>
      </c>
      <c r="U2198" t="str">
        <f t="shared" si="863"/>
        <v>A68FCB</v>
      </c>
      <c r="V2198">
        <v>0</v>
      </c>
      <c r="W2198">
        <v>0</v>
      </c>
      <c r="X2198">
        <v>2</v>
      </c>
      <c r="Y2198">
        <v>0</v>
      </c>
      <c r="AA2198">
        <v>1</v>
      </c>
      <c r="AB2198">
        <v>8</v>
      </c>
      <c r="AC2198">
        <v>3</v>
      </c>
      <c r="AD2198">
        <v>0</v>
      </c>
      <c r="AE2198">
        <v>9</v>
      </c>
      <c r="AF2198" t="s">
        <v>138</v>
      </c>
      <c r="AG2198">
        <v>0</v>
      </c>
      <c r="AH2198">
        <v>3</v>
      </c>
      <c r="AI2198">
        <v>2</v>
      </c>
      <c r="AJ2198">
        <v>0</v>
      </c>
      <c r="AK2198" t="s">
        <v>752</v>
      </c>
      <c r="AL2198">
        <v>39.063541999999998</v>
      </c>
      <c r="AM2198" t="s">
        <v>720</v>
      </c>
      <c r="AN2198">
        <v>-121.041527</v>
      </c>
      <c r="AO2198">
        <v>25</v>
      </c>
      <c r="AP2198">
        <v>4500</v>
      </c>
      <c r="AQ2198" t="s">
        <v>131</v>
      </c>
      <c r="AR2198">
        <v>1</v>
      </c>
      <c r="AS2198">
        <v>90</v>
      </c>
      <c r="AT2198">
        <v>128</v>
      </c>
      <c r="BB2198" t="str">
        <f t="shared" si="864"/>
        <v>1200</v>
      </c>
      <c r="BC2198">
        <v>1</v>
      </c>
      <c r="BD2198" t="str">
        <f t="shared" si="865"/>
        <v xml:space="preserve">N52156  </v>
      </c>
      <c r="BE2198">
        <v>1</v>
      </c>
      <c r="BG2198">
        <v>0</v>
      </c>
      <c r="BH2198">
        <v>0</v>
      </c>
      <c r="BI2198">
        <v>0</v>
      </c>
      <c r="BJ2198">
        <v>4575</v>
      </c>
      <c r="BK2198">
        <v>75</v>
      </c>
      <c r="BL2198" t="s">
        <v>188</v>
      </c>
      <c r="BM2198">
        <v>1</v>
      </c>
      <c r="BN2198">
        <v>1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 t="shared" ref="CE2198:CE2203" si="873">"15:10:38.244"</f>
        <v>15:10:38.244</v>
      </c>
      <c r="CF2198">
        <v>243966155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4</v>
      </c>
      <c r="CY2198">
        <v>7</v>
      </c>
      <c r="CZ2198" t="s">
        <v>133</v>
      </c>
      <c r="DA2198">
        <v>275</v>
      </c>
      <c r="DB2198">
        <v>0</v>
      </c>
      <c r="DC2198" t="s">
        <v>134</v>
      </c>
      <c r="DD2198" t="s">
        <v>135</v>
      </c>
      <c r="DG2198">
        <v>3321496</v>
      </c>
      <c r="DI2198">
        <v>1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"05/01/2025 15:10:38.479"</f>
        <v>05/01/2025 15:10:38.479</v>
      </c>
      <c r="C2199" t="str">
        <f t="shared" si="862"/>
        <v>FFDFD3C0</v>
      </c>
      <c r="D2199" t="s">
        <v>140</v>
      </c>
      <c r="E2199" t="str">
        <f>"13"</f>
        <v>13</v>
      </c>
      <c r="F2199">
        <v>1019</v>
      </c>
      <c r="G2199" t="s">
        <v>141</v>
      </c>
      <c r="J2199" t="s">
        <v>142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R2199" t="s">
        <v>127</v>
      </c>
      <c r="S2199" t="str">
        <f t="shared" si="872"/>
        <v>15:10:38.000</v>
      </c>
      <c r="T2199" t="str">
        <f t="shared" si="872"/>
        <v>15:10:38.000</v>
      </c>
      <c r="U2199" t="str">
        <f t="shared" si="863"/>
        <v>A68FCB</v>
      </c>
      <c r="V2199">
        <v>0</v>
      </c>
      <c r="W2199">
        <v>0</v>
      </c>
      <c r="X2199">
        <v>2</v>
      </c>
      <c r="Y2199">
        <v>0</v>
      </c>
      <c r="AA2199">
        <v>1</v>
      </c>
      <c r="AB2199">
        <v>8</v>
      </c>
      <c r="AC2199">
        <v>3</v>
      </c>
      <c r="AD2199">
        <v>0</v>
      </c>
      <c r="AE2199">
        <v>9</v>
      </c>
      <c r="AF2199" t="s">
        <v>138</v>
      </c>
      <c r="AG2199">
        <v>0</v>
      </c>
      <c r="AH2199">
        <v>3</v>
      </c>
      <c r="AI2199">
        <v>2</v>
      </c>
      <c r="AJ2199">
        <v>0</v>
      </c>
      <c r="AK2199" t="s">
        <v>752</v>
      </c>
      <c r="AL2199">
        <v>39.063541999999998</v>
      </c>
      <c r="AM2199" t="s">
        <v>720</v>
      </c>
      <c r="AN2199">
        <v>-121.041527</v>
      </c>
      <c r="AO2199">
        <v>25</v>
      </c>
      <c r="AP2199">
        <v>4500</v>
      </c>
      <c r="AQ2199" t="s">
        <v>131</v>
      </c>
      <c r="AR2199">
        <v>1</v>
      </c>
      <c r="AS2199">
        <v>90</v>
      </c>
      <c r="AT2199">
        <v>128</v>
      </c>
      <c r="BB2199" t="str">
        <f t="shared" si="864"/>
        <v>1200</v>
      </c>
      <c r="BC2199">
        <v>1</v>
      </c>
      <c r="BD2199" t="str">
        <f t="shared" si="865"/>
        <v xml:space="preserve">N52156  </v>
      </c>
      <c r="BE2199">
        <v>1</v>
      </c>
      <c r="BG2199">
        <v>0</v>
      </c>
      <c r="BH2199">
        <v>0</v>
      </c>
      <c r="BI2199">
        <v>0</v>
      </c>
      <c r="BJ2199">
        <v>4575</v>
      </c>
      <c r="BK2199">
        <v>75</v>
      </c>
      <c r="BL2199" t="s">
        <v>188</v>
      </c>
      <c r="BM2199">
        <v>1</v>
      </c>
      <c r="BN2199">
        <v>1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 t="shared" si="873"/>
        <v>15:10:38.244</v>
      </c>
      <c r="CF2199">
        <v>243966155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4</v>
      </c>
      <c r="CY2199">
        <v>7</v>
      </c>
      <c r="CZ2199" t="s">
        <v>133</v>
      </c>
      <c r="DA2199">
        <v>275</v>
      </c>
      <c r="DB2199">
        <v>0</v>
      </c>
      <c r="DC2199" t="s">
        <v>134</v>
      </c>
      <c r="DD2199" t="s">
        <v>135</v>
      </c>
      <c r="DG2199">
        <v>3321496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"05/01/2025 15:10:38.488"</f>
        <v>05/01/2025 15:10:38.488</v>
      </c>
      <c r="C2200" t="str">
        <f t="shared" si="862"/>
        <v>FFDFD3C0</v>
      </c>
      <c r="D2200" t="s">
        <v>124</v>
      </c>
      <c r="E2200" t="str">
        <f>"06"</f>
        <v>06</v>
      </c>
      <c r="F2200">
        <v>2006</v>
      </c>
      <c r="G2200" t="s">
        <v>125</v>
      </c>
      <c r="J2200" t="s">
        <v>126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R2200" t="s">
        <v>127</v>
      </c>
      <c r="S2200" t="str">
        <f t="shared" si="872"/>
        <v>15:10:38.000</v>
      </c>
      <c r="T2200" t="str">
        <f t="shared" si="872"/>
        <v>15:10:38.000</v>
      </c>
      <c r="U2200" t="str">
        <f t="shared" si="863"/>
        <v>A68FCB</v>
      </c>
      <c r="V2200">
        <v>0</v>
      </c>
      <c r="W2200">
        <v>0</v>
      </c>
      <c r="X2200">
        <v>2</v>
      </c>
      <c r="Y2200">
        <v>0</v>
      </c>
      <c r="AA2200">
        <v>1</v>
      </c>
      <c r="AB2200">
        <v>8</v>
      </c>
      <c r="AC2200">
        <v>3</v>
      </c>
      <c r="AD2200">
        <v>0</v>
      </c>
      <c r="AE2200">
        <v>9</v>
      </c>
      <c r="AF2200" t="s">
        <v>138</v>
      </c>
      <c r="AG2200">
        <v>0</v>
      </c>
      <c r="AH2200">
        <v>3</v>
      </c>
      <c r="AI2200">
        <v>2</v>
      </c>
      <c r="AJ2200">
        <v>0</v>
      </c>
      <c r="AK2200" t="s">
        <v>752</v>
      </c>
      <c r="AL2200">
        <v>39.063541999999998</v>
      </c>
      <c r="AM2200" t="s">
        <v>720</v>
      </c>
      <c r="AN2200">
        <v>-121.041527</v>
      </c>
      <c r="AO2200">
        <v>25</v>
      </c>
      <c r="AP2200">
        <v>4500</v>
      </c>
      <c r="AQ2200" t="s">
        <v>131</v>
      </c>
      <c r="AR2200">
        <v>1</v>
      </c>
      <c r="AS2200">
        <v>90</v>
      </c>
      <c r="AT2200">
        <v>128</v>
      </c>
      <c r="BB2200" t="str">
        <f t="shared" si="864"/>
        <v>1200</v>
      </c>
      <c r="BC2200">
        <v>1</v>
      </c>
      <c r="BD2200" t="str">
        <f t="shared" si="865"/>
        <v xml:space="preserve">N52156  </v>
      </c>
      <c r="BE2200">
        <v>1</v>
      </c>
      <c r="BG2200">
        <v>0</v>
      </c>
      <c r="BH2200">
        <v>0</v>
      </c>
      <c r="BI2200">
        <v>0</v>
      </c>
      <c r="BJ2200">
        <v>4575</v>
      </c>
      <c r="BK2200">
        <v>75</v>
      </c>
      <c r="BL2200" t="s">
        <v>188</v>
      </c>
      <c r="BM2200">
        <v>1</v>
      </c>
      <c r="BN2200">
        <v>1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 t="shared" si="873"/>
        <v>15:10:38.244</v>
      </c>
      <c r="CF2200">
        <v>243966155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4</v>
      </c>
      <c r="CY2200">
        <v>7</v>
      </c>
      <c r="CZ2200" t="s">
        <v>133</v>
      </c>
      <c r="DA2200">
        <v>275</v>
      </c>
      <c r="DB2200">
        <v>0</v>
      </c>
      <c r="DC2200" t="s">
        <v>134</v>
      </c>
      <c r="DD2200" t="s">
        <v>135</v>
      </c>
      <c r="DG2200">
        <v>3321496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"05/01/2025 15:10:38.493"</f>
        <v>05/01/2025 15:10:38.493</v>
      </c>
      <c r="C2201" t="str">
        <f t="shared" si="862"/>
        <v>FFDFD3C0</v>
      </c>
      <c r="D2201" t="s">
        <v>145</v>
      </c>
      <c r="E2201" t="str">
        <f>"05"</f>
        <v>05</v>
      </c>
      <c r="H2201">
        <v>47</v>
      </c>
      <c r="I2201" t="s">
        <v>146</v>
      </c>
      <c r="J2201" t="s">
        <v>138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R2201" t="s">
        <v>127</v>
      </c>
      <c r="S2201" t="str">
        <f t="shared" si="872"/>
        <v>15:10:38.000</v>
      </c>
      <c r="T2201" t="str">
        <f t="shared" si="872"/>
        <v>15:10:38.000</v>
      </c>
      <c r="U2201" t="str">
        <f t="shared" si="863"/>
        <v>A68FCB</v>
      </c>
      <c r="V2201">
        <v>0</v>
      </c>
      <c r="W2201">
        <v>0</v>
      </c>
      <c r="X2201">
        <v>2</v>
      </c>
      <c r="Y2201">
        <v>0</v>
      </c>
      <c r="AA2201">
        <v>1</v>
      </c>
      <c r="AB2201">
        <v>8</v>
      </c>
      <c r="AC2201">
        <v>3</v>
      </c>
      <c r="AD2201">
        <v>0</v>
      </c>
      <c r="AE2201">
        <v>9</v>
      </c>
      <c r="AF2201" t="s">
        <v>138</v>
      </c>
      <c r="AG2201">
        <v>0</v>
      </c>
      <c r="AH2201">
        <v>3</v>
      </c>
      <c r="AI2201">
        <v>2</v>
      </c>
      <c r="AJ2201">
        <v>0</v>
      </c>
      <c r="AK2201" t="s">
        <v>752</v>
      </c>
      <c r="AL2201">
        <v>39.063541999999998</v>
      </c>
      <c r="AM2201" t="s">
        <v>720</v>
      </c>
      <c r="AN2201">
        <v>-121.041527</v>
      </c>
      <c r="AO2201">
        <v>25</v>
      </c>
      <c r="AP2201">
        <v>4500</v>
      </c>
      <c r="AQ2201" t="s">
        <v>131</v>
      </c>
      <c r="AR2201">
        <v>1</v>
      </c>
      <c r="AS2201">
        <v>90</v>
      </c>
      <c r="AT2201">
        <v>128</v>
      </c>
      <c r="BB2201" t="str">
        <f t="shared" si="864"/>
        <v>1200</v>
      </c>
      <c r="BC2201">
        <v>1</v>
      </c>
      <c r="BD2201" t="str">
        <f t="shared" si="865"/>
        <v xml:space="preserve">N52156  </v>
      </c>
      <c r="BE2201">
        <v>1</v>
      </c>
      <c r="BG2201">
        <v>0</v>
      </c>
      <c r="BH2201">
        <v>0</v>
      </c>
      <c r="BI2201">
        <v>0</v>
      </c>
      <c r="BJ2201">
        <v>4575</v>
      </c>
      <c r="BK2201">
        <v>75</v>
      </c>
      <c r="BL2201" t="s">
        <v>188</v>
      </c>
      <c r="BM2201">
        <v>1</v>
      </c>
      <c r="BN2201">
        <v>1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 t="shared" si="873"/>
        <v>15:10:38.244</v>
      </c>
      <c r="CF2201">
        <v>243966155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4</v>
      </c>
      <c r="CY2201">
        <v>7</v>
      </c>
      <c r="CZ2201" t="s">
        <v>133</v>
      </c>
      <c r="DA2201">
        <v>275</v>
      </c>
      <c r="DB2201">
        <v>0</v>
      </c>
      <c r="DC2201" t="s">
        <v>134</v>
      </c>
      <c r="DD2201" t="s">
        <v>135</v>
      </c>
      <c r="DG2201">
        <v>3321496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"05/01/2025 15:10:38.495"</f>
        <v>05/01/2025 15:10:38.495</v>
      </c>
      <c r="C2202" t="str">
        <f t="shared" si="862"/>
        <v>FFDFD3C0</v>
      </c>
      <c r="D2202" t="s">
        <v>145</v>
      </c>
      <c r="E2202" t="str">
        <f>"09"</f>
        <v>09</v>
      </c>
      <c r="H2202">
        <v>51</v>
      </c>
      <c r="I2202" t="s">
        <v>147</v>
      </c>
      <c r="J2202" t="s">
        <v>138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R2202" t="s">
        <v>127</v>
      </c>
      <c r="S2202" t="str">
        <f t="shared" si="872"/>
        <v>15:10:38.000</v>
      </c>
      <c r="T2202" t="str">
        <f t="shared" si="872"/>
        <v>15:10:38.000</v>
      </c>
      <c r="U2202" t="str">
        <f t="shared" si="863"/>
        <v>A68FCB</v>
      </c>
      <c r="V2202">
        <v>0</v>
      </c>
      <c r="W2202">
        <v>0</v>
      </c>
      <c r="X2202">
        <v>2</v>
      </c>
      <c r="Y2202">
        <v>0</v>
      </c>
      <c r="AA2202">
        <v>1</v>
      </c>
      <c r="AB2202">
        <v>8</v>
      </c>
      <c r="AC2202">
        <v>3</v>
      </c>
      <c r="AD2202">
        <v>0</v>
      </c>
      <c r="AE2202">
        <v>9</v>
      </c>
      <c r="AF2202" t="s">
        <v>138</v>
      </c>
      <c r="AG2202">
        <v>0</v>
      </c>
      <c r="AH2202">
        <v>3</v>
      </c>
      <c r="AI2202">
        <v>2</v>
      </c>
      <c r="AJ2202">
        <v>0</v>
      </c>
      <c r="AK2202" t="s">
        <v>752</v>
      </c>
      <c r="AL2202">
        <v>39.063541999999998</v>
      </c>
      <c r="AM2202" t="s">
        <v>720</v>
      </c>
      <c r="AN2202">
        <v>-121.041527</v>
      </c>
      <c r="AO2202">
        <v>25</v>
      </c>
      <c r="AP2202">
        <v>4500</v>
      </c>
      <c r="AQ2202" t="s">
        <v>131</v>
      </c>
      <c r="AR2202">
        <v>1</v>
      </c>
      <c r="AS2202">
        <v>90</v>
      </c>
      <c r="AT2202">
        <v>128</v>
      </c>
      <c r="BB2202" t="str">
        <f t="shared" si="864"/>
        <v>1200</v>
      </c>
      <c r="BC2202">
        <v>1</v>
      </c>
      <c r="BD2202" t="str">
        <f t="shared" si="865"/>
        <v xml:space="preserve">N52156  </v>
      </c>
      <c r="BE2202">
        <v>1</v>
      </c>
      <c r="BG2202">
        <v>0</v>
      </c>
      <c r="BH2202">
        <v>0</v>
      </c>
      <c r="BI2202">
        <v>0</v>
      </c>
      <c r="BJ2202">
        <v>4575</v>
      </c>
      <c r="BK2202">
        <v>75</v>
      </c>
      <c r="BL2202" t="s">
        <v>188</v>
      </c>
      <c r="BM2202">
        <v>1</v>
      </c>
      <c r="BN2202">
        <v>1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 t="shared" si="873"/>
        <v>15:10:38.244</v>
      </c>
      <c r="CF2202">
        <v>243966155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4</v>
      </c>
      <c r="CY2202">
        <v>7</v>
      </c>
      <c r="CZ2202" t="s">
        <v>133</v>
      </c>
      <c r="DA2202">
        <v>275</v>
      </c>
      <c r="DB2202">
        <v>0</v>
      </c>
      <c r="DC2202" t="s">
        <v>134</v>
      </c>
      <c r="DD2202" t="s">
        <v>135</v>
      </c>
      <c r="DG2202">
        <v>3321496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"05/01/2025 15:10:38.503"</f>
        <v>05/01/2025 15:10:38.503</v>
      </c>
      <c r="C2203" t="str">
        <f t="shared" si="862"/>
        <v>FFDFD3C0</v>
      </c>
      <c r="D2203" t="s">
        <v>136</v>
      </c>
      <c r="E2203" t="str">
        <f>"20"</f>
        <v>20</v>
      </c>
      <c r="H2203">
        <v>400</v>
      </c>
      <c r="I2203" t="s">
        <v>137</v>
      </c>
      <c r="J2203" t="s">
        <v>138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R2203" t="s">
        <v>127</v>
      </c>
      <c r="S2203" t="str">
        <f t="shared" si="872"/>
        <v>15:10:38.000</v>
      </c>
      <c r="T2203" t="str">
        <f t="shared" si="872"/>
        <v>15:10:38.000</v>
      </c>
      <c r="U2203" t="str">
        <f t="shared" si="863"/>
        <v>A68FCB</v>
      </c>
      <c r="V2203">
        <v>0</v>
      </c>
      <c r="W2203">
        <v>0</v>
      </c>
      <c r="X2203">
        <v>2</v>
      </c>
      <c r="Y2203">
        <v>0</v>
      </c>
      <c r="AA2203">
        <v>1</v>
      </c>
      <c r="AB2203">
        <v>8</v>
      </c>
      <c r="AC2203">
        <v>3</v>
      </c>
      <c r="AD2203">
        <v>0</v>
      </c>
      <c r="AE2203">
        <v>9</v>
      </c>
      <c r="AF2203" t="s">
        <v>138</v>
      </c>
      <c r="AG2203">
        <v>0</v>
      </c>
      <c r="AH2203">
        <v>3</v>
      </c>
      <c r="AI2203">
        <v>2</v>
      </c>
      <c r="AJ2203">
        <v>0</v>
      </c>
      <c r="AK2203" t="s">
        <v>752</v>
      </c>
      <c r="AL2203">
        <v>39.063541999999998</v>
      </c>
      <c r="AM2203" t="s">
        <v>720</v>
      </c>
      <c r="AN2203">
        <v>-121.041527</v>
      </c>
      <c r="AO2203">
        <v>25</v>
      </c>
      <c r="AP2203">
        <v>4500</v>
      </c>
      <c r="AQ2203" t="s">
        <v>131</v>
      </c>
      <c r="AR2203">
        <v>1</v>
      </c>
      <c r="AS2203">
        <v>90</v>
      </c>
      <c r="AT2203">
        <v>128</v>
      </c>
      <c r="BB2203" t="str">
        <f t="shared" si="864"/>
        <v>1200</v>
      </c>
      <c r="BC2203">
        <v>1</v>
      </c>
      <c r="BD2203" t="str">
        <f t="shared" si="865"/>
        <v xml:space="preserve">N52156  </v>
      </c>
      <c r="BE2203">
        <v>1</v>
      </c>
      <c r="BG2203">
        <v>0</v>
      </c>
      <c r="BH2203">
        <v>0</v>
      </c>
      <c r="BI2203">
        <v>0</v>
      </c>
      <c r="BJ2203">
        <v>4575</v>
      </c>
      <c r="BK2203">
        <v>75</v>
      </c>
      <c r="BL2203" t="s">
        <v>188</v>
      </c>
      <c r="BM2203">
        <v>1</v>
      </c>
      <c r="BN2203">
        <v>1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 t="shared" si="873"/>
        <v>15:10:38.244</v>
      </c>
      <c r="CF2203">
        <v>243966155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4</v>
      </c>
      <c r="CY2203">
        <v>7</v>
      </c>
      <c r="CZ2203" t="s">
        <v>133</v>
      </c>
      <c r="DA2203">
        <v>275</v>
      </c>
      <c r="DB2203">
        <v>0</v>
      </c>
      <c r="DC2203" t="s">
        <v>134</v>
      </c>
      <c r="DD2203" t="s">
        <v>135</v>
      </c>
      <c r="DG2203">
        <v>3321496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"05/01/2025 15:10:40.091"</f>
        <v>05/01/2025 15:10:40.091</v>
      </c>
      <c r="C2204" t="str">
        <f t="shared" si="862"/>
        <v>FFDFD3C0</v>
      </c>
      <c r="D2204" t="s">
        <v>124</v>
      </c>
      <c r="E2204" t="str">
        <f>"06"</f>
        <v>06</v>
      </c>
      <c r="F2204">
        <v>2006</v>
      </c>
      <c r="G2204" t="s">
        <v>125</v>
      </c>
      <c r="J2204" t="s">
        <v>126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R2204" t="s">
        <v>127</v>
      </c>
      <c r="S2204" t="str">
        <f t="shared" ref="S2204:T2209" si="874">"15:10:39.000"</f>
        <v>15:10:39.000</v>
      </c>
      <c r="T2204" t="str">
        <f t="shared" si="874"/>
        <v>15:10:39.000</v>
      </c>
      <c r="U2204" t="str">
        <f t="shared" si="863"/>
        <v>A68FCB</v>
      </c>
      <c r="V2204">
        <v>0</v>
      </c>
      <c r="W2204">
        <v>0</v>
      </c>
      <c r="X2204">
        <v>2</v>
      </c>
      <c r="Y2204">
        <v>0</v>
      </c>
      <c r="AA2204">
        <v>1</v>
      </c>
      <c r="AB2204">
        <v>8</v>
      </c>
      <c r="AC2204">
        <v>3</v>
      </c>
      <c r="AD2204">
        <v>0</v>
      </c>
      <c r="AE2204">
        <v>9</v>
      </c>
      <c r="AF2204" t="s">
        <v>138</v>
      </c>
      <c r="AG2204">
        <v>0</v>
      </c>
      <c r="AH2204">
        <v>3</v>
      </c>
      <c r="AI2204">
        <v>2</v>
      </c>
      <c r="AJ2204">
        <v>0</v>
      </c>
      <c r="AK2204" t="s">
        <v>753</v>
      </c>
      <c r="AL2204">
        <v>39.063927999999997</v>
      </c>
      <c r="AM2204" t="s">
        <v>730</v>
      </c>
      <c r="AN2204">
        <v>-121.041484</v>
      </c>
      <c r="AO2204">
        <v>25</v>
      </c>
      <c r="AP2204">
        <v>4600</v>
      </c>
      <c r="AQ2204" t="s">
        <v>131</v>
      </c>
      <c r="AR2204">
        <v>2</v>
      </c>
      <c r="AS2204">
        <v>91</v>
      </c>
      <c r="AT2204">
        <v>128</v>
      </c>
      <c r="BB2204" t="str">
        <f t="shared" si="864"/>
        <v>1200</v>
      </c>
      <c r="BC2204">
        <v>1</v>
      </c>
      <c r="BD2204" t="str">
        <f t="shared" si="865"/>
        <v xml:space="preserve">N52156  </v>
      </c>
      <c r="BE2204">
        <v>1</v>
      </c>
      <c r="BG2204">
        <v>0</v>
      </c>
      <c r="BH2204">
        <v>0</v>
      </c>
      <c r="BI2204">
        <v>0</v>
      </c>
      <c r="BJ2204">
        <v>4575</v>
      </c>
      <c r="BK2204">
        <v>-25</v>
      </c>
      <c r="BL2204" t="s">
        <v>188</v>
      </c>
      <c r="BM2204">
        <v>1</v>
      </c>
      <c r="BN2204">
        <v>1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 t="shared" ref="CE2204:CE2209" si="875">"15:10:39.880"</f>
        <v>15:10:39.880</v>
      </c>
      <c r="CF2204">
        <v>880467829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4</v>
      </c>
      <c r="CY2204">
        <v>7</v>
      </c>
      <c r="CZ2204" t="s">
        <v>133</v>
      </c>
      <c r="DA2204">
        <v>275</v>
      </c>
      <c r="DB2204">
        <v>0</v>
      </c>
      <c r="DC2204" t="s">
        <v>134</v>
      </c>
      <c r="DD2204" t="s">
        <v>135</v>
      </c>
      <c r="DG2204">
        <v>3321508</v>
      </c>
      <c r="DI2204">
        <v>1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"05/01/2025 15:10:40.096"</f>
        <v>05/01/2025 15:10:40.096</v>
      </c>
      <c r="C2205" t="str">
        <f t="shared" si="862"/>
        <v>FFDFD3C0</v>
      </c>
      <c r="D2205" t="s">
        <v>145</v>
      </c>
      <c r="E2205" t="str">
        <f>"05"</f>
        <v>05</v>
      </c>
      <c r="H2205">
        <v>47</v>
      </c>
      <c r="I2205" t="s">
        <v>146</v>
      </c>
      <c r="J2205" t="s">
        <v>138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R2205" t="s">
        <v>127</v>
      </c>
      <c r="S2205" t="str">
        <f t="shared" si="874"/>
        <v>15:10:39.000</v>
      </c>
      <c r="T2205" t="str">
        <f t="shared" si="874"/>
        <v>15:10:39.000</v>
      </c>
      <c r="U2205" t="str">
        <f t="shared" si="863"/>
        <v>A68FCB</v>
      </c>
      <c r="V2205">
        <v>0</v>
      </c>
      <c r="W2205">
        <v>0</v>
      </c>
      <c r="X2205">
        <v>2</v>
      </c>
      <c r="Y2205">
        <v>0</v>
      </c>
      <c r="AA2205">
        <v>1</v>
      </c>
      <c r="AB2205">
        <v>8</v>
      </c>
      <c r="AC2205">
        <v>3</v>
      </c>
      <c r="AD2205">
        <v>0</v>
      </c>
      <c r="AE2205">
        <v>9</v>
      </c>
      <c r="AF2205" t="s">
        <v>138</v>
      </c>
      <c r="AG2205">
        <v>0</v>
      </c>
      <c r="AH2205">
        <v>3</v>
      </c>
      <c r="AI2205">
        <v>2</v>
      </c>
      <c r="AJ2205">
        <v>0</v>
      </c>
      <c r="AK2205" t="s">
        <v>753</v>
      </c>
      <c r="AL2205">
        <v>39.063927999999997</v>
      </c>
      <c r="AM2205" t="s">
        <v>730</v>
      </c>
      <c r="AN2205">
        <v>-121.041484</v>
      </c>
      <c r="AO2205">
        <v>25</v>
      </c>
      <c r="AP2205">
        <v>4600</v>
      </c>
      <c r="AQ2205" t="s">
        <v>131</v>
      </c>
      <c r="AR2205">
        <v>2</v>
      </c>
      <c r="AS2205">
        <v>91</v>
      </c>
      <c r="AT2205">
        <v>128</v>
      </c>
      <c r="BB2205" t="str">
        <f t="shared" si="864"/>
        <v>1200</v>
      </c>
      <c r="BC2205">
        <v>1</v>
      </c>
      <c r="BD2205" t="str">
        <f t="shared" si="865"/>
        <v xml:space="preserve">N52156  </v>
      </c>
      <c r="BE2205">
        <v>1</v>
      </c>
      <c r="BG2205">
        <v>0</v>
      </c>
      <c r="BH2205">
        <v>0</v>
      </c>
      <c r="BI2205">
        <v>0</v>
      </c>
      <c r="BJ2205">
        <v>4575</v>
      </c>
      <c r="BK2205">
        <v>-25</v>
      </c>
      <c r="BL2205" t="s">
        <v>188</v>
      </c>
      <c r="BM2205">
        <v>1</v>
      </c>
      <c r="BN2205">
        <v>1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 t="shared" si="875"/>
        <v>15:10:39.880</v>
      </c>
      <c r="CF2205">
        <v>880467829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4</v>
      </c>
      <c r="CY2205">
        <v>7</v>
      </c>
      <c r="CZ2205" t="s">
        <v>133</v>
      </c>
      <c r="DA2205">
        <v>275</v>
      </c>
      <c r="DB2205">
        <v>0</v>
      </c>
      <c r="DC2205" t="s">
        <v>134</v>
      </c>
      <c r="DD2205" t="s">
        <v>135</v>
      </c>
      <c r="DG2205">
        <v>3321508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"05/01/2025 15:10:40.098"</f>
        <v>05/01/2025 15:10:40.098</v>
      </c>
      <c r="C2206" t="str">
        <f t="shared" si="862"/>
        <v>FFDFD3C0</v>
      </c>
      <c r="D2206" t="s">
        <v>145</v>
      </c>
      <c r="E2206" t="str">
        <f>"09"</f>
        <v>09</v>
      </c>
      <c r="H2206">
        <v>51</v>
      </c>
      <c r="I2206" t="s">
        <v>147</v>
      </c>
      <c r="J2206" t="s">
        <v>138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R2206" t="s">
        <v>127</v>
      </c>
      <c r="S2206" t="str">
        <f t="shared" si="874"/>
        <v>15:10:39.000</v>
      </c>
      <c r="T2206" t="str">
        <f t="shared" si="874"/>
        <v>15:10:39.000</v>
      </c>
      <c r="U2206" t="str">
        <f t="shared" si="863"/>
        <v>A68FCB</v>
      </c>
      <c r="V2206">
        <v>0</v>
      </c>
      <c r="W2206">
        <v>0</v>
      </c>
      <c r="X2206">
        <v>2</v>
      </c>
      <c r="Y2206">
        <v>0</v>
      </c>
      <c r="AA2206">
        <v>1</v>
      </c>
      <c r="AB2206">
        <v>8</v>
      </c>
      <c r="AC2206">
        <v>3</v>
      </c>
      <c r="AD2206">
        <v>0</v>
      </c>
      <c r="AE2206">
        <v>9</v>
      </c>
      <c r="AF2206" t="s">
        <v>138</v>
      </c>
      <c r="AG2206">
        <v>0</v>
      </c>
      <c r="AH2206">
        <v>3</v>
      </c>
      <c r="AI2206">
        <v>2</v>
      </c>
      <c r="AJ2206">
        <v>0</v>
      </c>
      <c r="AK2206" t="s">
        <v>753</v>
      </c>
      <c r="AL2206">
        <v>39.063927999999997</v>
      </c>
      <c r="AM2206" t="s">
        <v>730</v>
      </c>
      <c r="AN2206">
        <v>-121.041484</v>
      </c>
      <c r="AO2206">
        <v>25</v>
      </c>
      <c r="AP2206">
        <v>4600</v>
      </c>
      <c r="AQ2206" t="s">
        <v>131</v>
      </c>
      <c r="AR2206">
        <v>2</v>
      </c>
      <c r="AS2206">
        <v>91</v>
      </c>
      <c r="AT2206">
        <v>128</v>
      </c>
      <c r="BB2206" t="str">
        <f t="shared" si="864"/>
        <v>1200</v>
      </c>
      <c r="BC2206">
        <v>1</v>
      </c>
      <c r="BD2206" t="str">
        <f t="shared" si="865"/>
        <v xml:space="preserve">N52156  </v>
      </c>
      <c r="BE2206">
        <v>1</v>
      </c>
      <c r="BG2206">
        <v>0</v>
      </c>
      <c r="BH2206">
        <v>0</v>
      </c>
      <c r="BI2206">
        <v>0</v>
      </c>
      <c r="BJ2206">
        <v>4575</v>
      </c>
      <c r="BK2206">
        <v>-25</v>
      </c>
      <c r="BL2206" t="s">
        <v>188</v>
      </c>
      <c r="BM2206">
        <v>1</v>
      </c>
      <c r="BN2206">
        <v>1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 t="shared" si="875"/>
        <v>15:10:39.880</v>
      </c>
      <c r="CF2206">
        <v>880467829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4</v>
      </c>
      <c r="CY2206">
        <v>7</v>
      </c>
      <c r="CZ2206" t="s">
        <v>133</v>
      </c>
      <c r="DA2206">
        <v>275</v>
      </c>
      <c r="DB2206">
        <v>0</v>
      </c>
      <c r="DC2206" t="s">
        <v>134</v>
      </c>
      <c r="DD2206" t="s">
        <v>135</v>
      </c>
      <c r="DG2206">
        <v>3321508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"05/01/2025 15:10:40.105"</f>
        <v>05/01/2025 15:10:40.105</v>
      </c>
      <c r="C2207" t="str">
        <f t="shared" si="862"/>
        <v>FFDFD3C0</v>
      </c>
      <c r="D2207" t="s">
        <v>136</v>
      </c>
      <c r="E2207" t="str">
        <f>"20"</f>
        <v>20</v>
      </c>
      <c r="H2207">
        <v>400</v>
      </c>
      <c r="I2207" t="s">
        <v>137</v>
      </c>
      <c r="J2207" t="s">
        <v>138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R2207" t="s">
        <v>127</v>
      </c>
      <c r="S2207" t="str">
        <f t="shared" si="874"/>
        <v>15:10:39.000</v>
      </c>
      <c r="T2207" t="str">
        <f t="shared" si="874"/>
        <v>15:10:39.000</v>
      </c>
      <c r="U2207" t="str">
        <f t="shared" si="863"/>
        <v>A68FCB</v>
      </c>
      <c r="V2207">
        <v>0</v>
      </c>
      <c r="W2207">
        <v>0</v>
      </c>
      <c r="X2207">
        <v>2</v>
      </c>
      <c r="Y2207">
        <v>0</v>
      </c>
      <c r="AA2207">
        <v>1</v>
      </c>
      <c r="AB2207">
        <v>8</v>
      </c>
      <c r="AC2207">
        <v>3</v>
      </c>
      <c r="AD2207">
        <v>0</v>
      </c>
      <c r="AE2207">
        <v>9</v>
      </c>
      <c r="AF2207" t="s">
        <v>138</v>
      </c>
      <c r="AG2207">
        <v>0</v>
      </c>
      <c r="AH2207">
        <v>3</v>
      </c>
      <c r="AI2207">
        <v>2</v>
      </c>
      <c r="AJ2207">
        <v>0</v>
      </c>
      <c r="AK2207" t="s">
        <v>753</v>
      </c>
      <c r="AL2207">
        <v>39.063927999999997</v>
      </c>
      <c r="AM2207" t="s">
        <v>730</v>
      </c>
      <c r="AN2207">
        <v>-121.041484</v>
      </c>
      <c r="AO2207">
        <v>25</v>
      </c>
      <c r="AP2207">
        <v>4600</v>
      </c>
      <c r="AQ2207" t="s">
        <v>131</v>
      </c>
      <c r="AR2207">
        <v>2</v>
      </c>
      <c r="AS2207">
        <v>91</v>
      </c>
      <c r="AT2207">
        <v>128</v>
      </c>
      <c r="BB2207" t="str">
        <f t="shared" si="864"/>
        <v>1200</v>
      </c>
      <c r="BC2207">
        <v>1</v>
      </c>
      <c r="BD2207" t="str">
        <f t="shared" si="865"/>
        <v xml:space="preserve">N52156  </v>
      </c>
      <c r="BE2207">
        <v>1</v>
      </c>
      <c r="BG2207">
        <v>0</v>
      </c>
      <c r="BH2207">
        <v>0</v>
      </c>
      <c r="BI2207">
        <v>0</v>
      </c>
      <c r="BJ2207">
        <v>4575</v>
      </c>
      <c r="BK2207">
        <v>-25</v>
      </c>
      <c r="BL2207" t="s">
        <v>188</v>
      </c>
      <c r="BM2207">
        <v>1</v>
      </c>
      <c r="BN2207">
        <v>1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 t="shared" si="875"/>
        <v>15:10:39.880</v>
      </c>
      <c r="CF2207">
        <v>880467829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4</v>
      </c>
      <c r="CY2207">
        <v>7</v>
      </c>
      <c r="CZ2207" t="s">
        <v>133</v>
      </c>
      <c r="DA2207">
        <v>275</v>
      </c>
      <c r="DB2207">
        <v>0</v>
      </c>
      <c r="DC2207" t="s">
        <v>134</v>
      </c>
      <c r="DD2207" t="s">
        <v>135</v>
      </c>
      <c r="DG2207">
        <v>3321508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"05/01/2025 15:10:40.110"</f>
        <v>05/01/2025 15:10:40.110</v>
      </c>
      <c r="C2208" t="str">
        <f t="shared" si="862"/>
        <v>FFDFD3C0</v>
      </c>
      <c r="D2208" t="s">
        <v>143</v>
      </c>
      <c r="E2208" t="str">
        <f>"05"</f>
        <v>05</v>
      </c>
      <c r="H2208">
        <v>172</v>
      </c>
      <c r="I2208" t="s">
        <v>141</v>
      </c>
      <c r="J2208" t="s">
        <v>144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R2208" t="s">
        <v>127</v>
      </c>
      <c r="S2208" t="str">
        <f t="shared" si="874"/>
        <v>15:10:39.000</v>
      </c>
      <c r="T2208" t="str">
        <f t="shared" si="874"/>
        <v>15:10:39.000</v>
      </c>
      <c r="U2208" t="str">
        <f t="shared" si="863"/>
        <v>A68FCB</v>
      </c>
      <c r="V2208">
        <v>0</v>
      </c>
      <c r="W2208">
        <v>0</v>
      </c>
      <c r="X2208">
        <v>2</v>
      </c>
      <c r="Y2208">
        <v>0</v>
      </c>
      <c r="AA2208">
        <v>1</v>
      </c>
      <c r="AB2208">
        <v>8</v>
      </c>
      <c r="AC2208">
        <v>3</v>
      </c>
      <c r="AD2208">
        <v>0</v>
      </c>
      <c r="AE2208">
        <v>9</v>
      </c>
      <c r="AF2208" t="s">
        <v>138</v>
      </c>
      <c r="AG2208">
        <v>0</v>
      </c>
      <c r="AH2208">
        <v>3</v>
      </c>
      <c r="AI2208">
        <v>2</v>
      </c>
      <c r="AJ2208">
        <v>0</v>
      </c>
      <c r="AK2208" t="s">
        <v>753</v>
      </c>
      <c r="AL2208">
        <v>39.063927999999997</v>
      </c>
      <c r="AM2208" t="s">
        <v>730</v>
      </c>
      <c r="AN2208">
        <v>-121.041484</v>
      </c>
      <c r="AO2208">
        <v>25</v>
      </c>
      <c r="AP2208">
        <v>4600</v>
      </c>
      <c r="AQ2208" t="s">
        <v>131</v>
      </c>
      <c r="AR2208">
        <v>2</v>
      </c>
      <c r="AS2208">
        <v>91</v>
      </c>
      <c r="AT2208">
        <v>128</v>
      </c>
      <c r="BB2208" t="str">
        <f t="shared" si="864"/>
        <v>1200</v>
      </c>
      <c r="BC2208">
        <v>1</v>
      </c>
      <c r="BD2208" t="str">
        <f t="shared" si="865"/>
        <v xml:space="preserve">N52156  </v>
      </c>
      <c r="BE2208">
        <v>1</v>
      </c>
      <c r="BG2208">
        <v>0</v>
      </c>
      <c r="BH2208">
        <v>0</v>
      </c>
      <c r="BI2208">
        <v>0</v>
      </c>
      <c r="BJ2208">
        <v>4575</v>
      </c>
      <c r="BK2208">
        <v>-25</v>
      </c>
      <c r="BL2208" t="s">
        <v>188</v>
      </c>
      <c r="BM2208">
        <v>1</v>
      </c>
      <c r="BN2208">
        <v>1</v>
      </c>
      <c r="BO2208">
        <v>0</v>
      </c>
      <c r="BP2208">
        <v>0</v>
      </c>
      <c r="BS2208">
        <v>0</v>
      </c>
      <c r="BT2208">
        <v>0</v>
      </c>
      <c r="BU2208">
        <v>0</v>
      </c>
      <c r="CE2208" t="str">
        <f t="shared" si="875"/>
        <v>15:10:39.880</v>
      </c>
      <c r="CF2208">
        <v>880467829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4</v>
      </c>
      <c r="CY2208">
        <v>7</v>
      </c>
      <c r="CZ2208" t="s">
        <v>133</v>
      </c>
      <c r="DA2208">
        <v>275</v>
      </c>
      <c r="DB2208">
        <v>0</v>
      </c>
      <c r="DC2208" t="s">
        <v>134</v>
      </c>
      <c r="DD2208" t="s">
        <v>135</v>
      </c>
      <c r="DG2208">
        <v>3321508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"05/01/2025 15:10:40.132"</f>
        <v>05/01/2025 15:10:40.132</v>
      </c>
      <c r="C2209" t="str">
        <f t="shared" si="862"/>
        <v>FFDFD3C0</v>
      </c>
      <c r="D2209" t="s">
        <v>140</v>
      </c>
      <c r="E2209" t="str">
        <f>"13"</f>
        <v>13</v>
      </c>
      <c r="F2209">
        <v>1019</v>
      </c>
      <c r="G2209" t="s">
        <v>141</v>
      </c>
      <c r="J2209" t="s">
        <v>142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R2209" t="s">
        <v>127</v>
      </c>
      <c r="S2209" t="str">
        <f t="shared" si="874"/>
        <v>15:10:39.000</v>
      </c>
      <c r="T2209" t="str">
        <f t="shared" si="874"/>
        <v>15:10:39.000</v>
      </c>
      <c r="U2209" t="str">
        <f t="shared" si="863"/>
        <v>A68FCB</v>
      </c>
      <c r="V2209">
        <v>0</v>
      </c>
      <c r="W2209">
        <v>0</v>
      </c>
      <c r="X2209">
        <v>2</v>
      </c>
      <c r="Y2209">
        <v>0</v>
      </c>
      <c r="AA2209">
        <v>1</v>
      </c>
      <c r="AB2209">
        <v>8</v>
      </c>
      <c r="AC2209">
        <v>3</v>
      </c>
      <c r="AD2209">
        <v>0</v>
      </c>
      <c r="AE2209">
        <v>9</v>
      </c>
      <c r="AF2209" t="s">
        <v>138</v>
      </c>
      <c r="AG2209">
        <v>0</v>
      </c>
      <c r="AH2209">
        <v>3</v>
      </c>
      <c r="AI2209">
        <v>2</v>
      </c>
      <c r="AJ2209">
        <v>0</v>
      </c>
      <c r="AK2209" t="s">
        <v>753</v>
      </c>
      <c r="AL2209">
        <v>39.063927999999997</v>
      </c>
      <c r="AM2209" t="s">
        <v>730</v>
      </c>
      <c r="AN2209">
        <v>-121.041484</v>
      </c>
      <c r="AO2209">
        <v>25</v>
      </c>
      <c r="AP2209">
        <v>4600</v>
      </c>
      <c r="AQ2209" t="s">
        <v>131</v>
      </c>
      <c r="AR2209">
        <v>2</v>
      </c>
      <c r="AS2209">
        <v>91</v>
      </c>
      <c r="AT2209">
        <v>128</v>
      </c>
      <c r="BB2209" t="str">
        <f t="shared" si="864"/>
        <v>1200</v>
      </c>
      <c r="BC2209">
        <v>1</v>
      </c>
      <c r="BD2209" t="str">
        <f t="shared" si="865"/>
        <v xml:space="preserve">N52156  </v>
      </c>
      <c r="BE2209">
        <v>1</v>
      </c>
      <c r="BG2209">
        <v>0</v>
      </c>
      <c r="BH2209">
        <v>0</v>
      </c>
      <c r="BI2209">
        <v>0</v>
      </c>
      <c r="BJ2209">
        <v>4575</v>
      </c>
      <c r="BK2209">
        <v>-25</v>
      </c>
      <c r="BL2209" t="s">
        <v>188</v>
      </c>
      <c r="BM2209">
        <v>1</v>
      </c>
      <c r="BN2209">
        <v>1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 t="shared" si="875"/>
        <v>15:10:39.880</v>
      </c>
      <c r="CF2209">
        <v>880467829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4</v>
      </c>
      <c r="CY2209">
        <v>7</v>
      </c>
      <c r="CZ2209" t="s">
        <v>133</v>
      </c>
      <c r="DA2209">
        <v>275</v>
      </c>
      <c r="DB2209">
        <v>0</v>
      </c>
      <c r="DC2209" t="s">
        <v>134</v>
      </c>
      <c r="DD2209" t="s">
        <v>135</v>
      </c>
      <c r="DG2209">
        <v>3321508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"05/01/2025 15:10:40.983"</f>
        <v>05/01/2025 15:10:40.983</v>
      </c>
      <c r="C2210" t="str">
        <f t="shared" si="862"/>
        <v>FFDFD3C0</v>
      </c>
      <c r="D2210" t="s">
        <v>140</v>
      </c>
      <c r="E2210" t="str">
        <f>"13"</f>
        <v>13</v>
      </c>
      <c r="F2210">
        <v>1019</v>
      </c>
      <c r="G2210" t="s">
        <v>141</v>
      </c>
      <c r="J2210" t="s">
        <v>142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R2210" t="s">
        <v>127</v>
      </c>
      <c r="S2210" t="str">
        <f t="shared" ref="S2210:T2215" si="876">"15:10:40.000"</f>
        <v>15:10:40.000</v>
      </c>
      <c r="T2210" t="str">
        <f t="shared" si="876"/>
        <v>15:10:40.000</v>
      </c>
      <c r="U2210" t="str">
        <f t="shared" si="863"/>
        <v>A68FCB</v>
      </c>
      <c r="V2210">
        <v>0</v>
      </c>
      <c r="W2210">
        <v>0</v>
      </c>
      <c r="X2210">
        <v>2</v>
      </c>
      <c r="Y2210">
        <v>0</v>
      </c>
      <c r="AA2210">
        <v>1</v>
      </c>
      <c r="AB2210">
        <v>8</v>
      </c>
      <c r="AC2210">
        <v>3</v>
      </c>
      <c r="AD2210">
        <v>0</v>
      </c>
      <c r="AE2210">
        <v>9</v>
      </c>
      <c r="AF2210" t="s">
        <v>138</v>
      </c>
      <c r="AG2210">
        <v>0</v>
      </c>
      <c r="AH2210">
        <v>3</v>
      </c>
      <c r="AI2210">
        <v>2</v>
      </c>
      <c r="AJ2210">
        <v>0</v>
      </c>
      <c r="AK2210" t="s">
        <v>754</v>
      </c>
      <c r="AL2210">
        <v>39.064357000000001</v>
      </c>
      <c r="AM2210" t="s">
        <v>730</v>
      </c>
      <c r="AN2210">
        <v>-121.041484</v>
      </c>
      <c r="AO2210">
        <v>25</v>
      </c>
      <c r="AP2210">
        <v>4600</v>
      </c>
      <c r="AQ2210" t="s">
        <v>131</v>
      </c>
      <c r="AR2210">
        <v>3</v>
      </c>
      <c r="AS2210">
        <v>90</v>
      </c>
      <c r="AT2210">
        <v>64</v>
      </c>
      <c r="BB2210" t="str">
        <f t="shared" si="864"/>
        <v>1200</v>
      </c>
      <c r="BC2210">
        <v>1</v>
      </c>
      <c r="BD2210" t="str">
        <f t="shared" si="865"/>
        <v xml:space="preserve">N52156  </v>
      </c>
      <c r="BE2210">
        <v>1</v>
      </c>
      <c r="BG2210">
        <v>0</v>
      </c>
      <c r="BH2210">
        <v>0</v>
      </c>
      <c r="BI2210">
        <v>0</v>
      </c>
      <c r="BJ2210">
        <v>4575</v>
      </c>
      <c r="BK2210">
        <v>-25</v>
      </c>
      <c r="BL2210" t="s">
        <v>188</v>
      </c>
      <c r="BM2210">
        <v>1</v>
      </c>
      <c r="BN2210">
        <v>1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 t="shared" ref="CE2210:CE2215" si="877">"15:10:40.757"</f>
        <v>15:10:40.757</v>
      </c>
      <c r="CF2210">
        <v>757217586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4</v>
      </c>
      <c r="CY2210">
        <v>7</v>
      </c>
      <c r="CZ2210" t="s">
        <v>133</v>
      </c>
      <c r="DA2210">
        <v>275</v>
      </c>
      <c r="DB2210">
        <v>0</v>
      </c>
      <c r="DC2210" t="s">
        <v>134</v>
      </c>
      <c r="DD2210" t="s">
        <v>135</v>
      </c>
      <c r="DG2210">
        <v>3321517</v>
      </c>
      <c r="DI2210">
        <v>1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"05/01/2025 15:10:40.993"</f>
        <v>05/01/2025 15:10:40.993</v>
      </c>
      <c r="C2211" t="str">
        <f t="shared" si="862"/>
        <v>FFDFD3C0</v>
      </c>
      <c r="D2211" t="s">
        <v>124</v>
      </c>
      <c r="E2211" t="str">
        <f>"06"</f>
        <v>06</v>
      </c>
      <c r="F2211">
        <v>2006</v>
      </c>
      <c r="G2211" t="s">
        <v>125</v>
      </c>
      <c r="J2211" t="s">
        <v>126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R2211" t="s">
        <v>127</v>
      </c>
      <c r="S2211" t="str">
        <f t="shared" si="876"/>
        <v>15:10:40.000</v>
      </c>
      <c r="T2211" t="str">
        <f t="shared" si="876"/>
        <v>15:10:40.000</v>
      </c>
      <c r="U2211" t="str">
        <f t="shared" si="863"/>
        <v>A68FCB</v>
      </c>
      <c r="V2211">
        <v>0</v>
      </c>
      <c r="W2211">
        <v>0</v>
      </c>
      <c r="X2211">
        <v>2</v>
      </c>
      <c r="Y2211">
        <v>0</v>
      </c>
      <c r="AA2211">
        <v>1</v>
      </c>
      <c r="AB2211">
        <v>8</v>
      </c>
      <c r="AC2211">
        <v>3</v>
      </c>
      <c r="AD2211">
        <v>0</v>
      </c>
      <c r="AE2211">
        <v>9</v>
      </c>
      <c r="AF2211" t="s">
        <v>138</v>
      </c>
      <c r="AG2211">
        <v>0</v>
      </c>
      <c r="AH2211">
        <v>3</v>
      </c>
      <c r="AI2211">
        <v>2</v>
      </c>
      <c r="AJ2211">
        <v>0</v>
      </c>
      <c r="AK2211" t="s">
        <v>754</v>
      </c>
      <c r="AL2211">
        <v>39.064357000000001</v>
      </c>
      <c r="AM2211" t="s">
        <v>730</v>
      </c>
      <c r="AN2211">
        <v>-121.041484</v>
      </c>
      <c r="AO2211">
        <v>25</v>
      </c>
      <c r="AP2211">
        <v>4600</v>
      </c>
      <c r="AQ2211" t="s">
        <v>131</v>
      </c>
      <c r="AR2211">
        <v>3</v>
      </c>
      <c r="AS2211">
        <v>90</v>
      </c>
      <c r="AT2211">
        <v>64</v>
      </c>
      <c r="BB2211" t="str">
        <f t="shared" si="864"/>
        <v>1200</v>
      </c>
      <c r="BC2211">
        <v>1</v>
      </c>
      <c r="BD2211" t="str">
        <f t="shared" si="865"/>
        <v xml:space="preserve">N52156  </v>
      </c>
      <c r="BE2211">
        <v>1</v>
      </c>
      <c r="BG2211">
        <v>0</v>
      </c>
      <c r="BH2211">
        <v>0</v>
      </c>
      <c r="BI2211">
        <v>0</v>
      </c>
      <c r="BJ2211">
        <v>4575</v>
      </c>
      <c r="BK2211">
        <v>-25</v>
      </c>
      <c r="BL2211" t="s">
        <v>188</v>
      </c>
      <c r="BM2211">
        <v>1</v>
      </c>
      <c r="BN2211">
        <v>1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 t="shared" si="877"/>
        <v>15:10:40.757</v>
      </c>
      <c r="CF2211">
        <v>757217586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4</v>
      </c>
      <c r="CY2211">
        <v>7</v>
      </c>
      <c r="CZ2211" t="s">
        <v>133</v>
      </c>
      <c r="DA2211">
        <v>275</v>
      </c>
      <c r="DB2211">
        <v>0</v>
      </c>
      <c r="DC2211" t="s">
        <v>134</v>
      </c>
      <c r="DD2211" t="s">
        <v>135</v>
      </c>
      <c r="DG2211">
        <v>3321517</v>
      </c>
      <c r="DI2211">
        <v>1</v>
      </c>
      <c r="DJ2211">
        <v>0</v>
      </c>
      <c r="DK2211">
        <v>1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"05/01/2025 15:10:40.998"</f>
        <v>05/01/2025 15:10:40.998</v>
      </c>
      <c r="C2212" t="str">
        <f t="shared" si="862"/>
        <v>FFDFD3C0</v>
      </c>
      <c r="D2212" t="s">
        <v>145</v>
      </c>
      <c r="E2212" t="str">
        <f>"05"</f>
        <v>05</v>
      </c>
      <c r="H2212">
        <v>47</v>
      </c>
      <c r="I2212" t="s">
        <v>146</v>
      </c>
      <c r="J2212" t="s">
        <v>138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R2212" t="s">
        <v>127</v>
      </c>
      <c r="S2212" t="str">
        <f t="shared" si="876"/>
        <v>15:10:40.000</v>
      </c>
      <c r="T2212" t="str">
        <f t="shared" si="876"/>
        <v>15:10:40.000</v>
      </c>
      <c r="U2212" t="str">
        <f t="shared" si="863"/>
        <v>A68FCB</v>
      </c>
      <c r="V2212">
        <v>0</v>
      </c>
      <c r="W2212">
        <v>0</v>
      </c>
      <c r="X2212">
        <v>2</v>
      </c>
      <c r="Y2212">
        <v>0</v>
      </c>
      <c r="AA2212">
        <v>1</v>
      </c>
      <c r="AB2212">
        <v>8</v>
      </c>
      <c r="AC2212">
        <v>3</v>
      </c>
      <c r="AD2212">
        <v>0</v>
      </c>
      <c r="AE2212">
        <v>9</v>
      </c>
      <c r="AF2212" t="s">
        <v>138</v>
      </c>
      <c r="AG2212">
        <v>0</v>
      </c>
      <c r="AH2212">
        <v>3</v>
      </c>
      <c r="AI2212">
        <v>2</v>
      </c>
      <c r="AJ2212">
        <v>0</v>
      </c>
      <c r="AK2212" t="s">
        <v>754</v>
      </c>
      <c r="AL2212">
        <v>39.064357000000001</v>
      </c>
      <c r="AM2212" t="s">
        <v>730</v>
      </c>
      <c r="AN2212">
        <v>-121.041484</v>
      </c>
      <c r="AO2212">
        <v>25</v>
      </c>
      <c r="AP2212">
        <v>4600</v>
      </c>
      <c r="AQ2212" t="s">
        <v>131</v>
      </c>
      <c r="AR2212">
        <v>3</v>
      </c>
      <c r="AS2212">
        <v>90</v>
      </c>
      <c r="AT2212">
        <v>64</v>
      </c>
      <c r="BB2212" t="str">
        <f t="shared" si="864"/>
        <v>1200</v>
      </c>
      <c r="BC2212">
        <v>1</v>
      </c>
      <c r="BD2212" t="str">
        <f t="shared" si="865"/>
        <v xml:space="preserve">N52156  </v>
      </c>
      <c r="BE2212">
        <v>1</v>
      </c>
      <c r="BG2212">
        <v>0</v>
      </c>
      <c r="BH2212">
        <v>0</v>
      </c>
      <c r="BI2212">
        <v>0</v>
      </c>
      <c r="BJ2212">
        <v>4575</v>
      </c>
      <c r="BK2212">
        <v>-25</v>
      </c>
      <c r="BL2212" t="s">
        <v>188</v>
      </c>
      <c r="BM2212">
        <v>1</v>
      </c>
      <c r="BN2212">
        <v>1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 t="shared" si="877"/>
        <v>15:10:40.757</v>
      </c>
      <c r="CF2212">
        <v>757217586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4</v>
      </c>
      <c r="CY2212">
        <v>7</v>
      </c>
      <c r="CZ2212" t="s">
        <v>133</v>
      </c>
      <c r="DA2212">
        <v>275</v>
      </c>
      <c r="DB2212">
        <v>0</v>
      </c>
      <c r="DC2212" t="s">
        <v>134</v>
      </c>
      <c r="DD2212" t="s">
        <v>135</v>
      </c>
      <c r="DG2212">
        <v>3321517</v>
      </c>
      <c r="DI2212">
        <v>1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"05/01/2025 15:10:41.000"</f>
        <v>05/01/2025 15:10:41.000</v>
      </c>
      <c r="C2213" t="str">
        <f t="shared" si="862"/>
        <v>FFDFD3C0</v>
      </c>
      <c r="D2213" t="s">
        <v>145</v>
      </c>
      <c r="E2213" t="str">
        <f>"09"</f>
        <v>09</v>
      </c>
      <c r="H2213">
        <v>51</v>
      </c>
      <c r="I2213" t="s">
        <v>147</v>
      </c>
      <c r="J2213" t="s">
        <v>138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R2213" t="s">
        <v>127</v>
      </c>
      <c r="S2213" t="str">
        <f t="shared" si="876"/>
        <v>15:10:40.000</v>
      </c>
      <c r="T2213" t="str">
        <f t="shared" si="876"/>
        <v>15:10:40.000</v>
      </c>
      <c r="U2213" t="str">
        <f t="shared" si="863"/>
        <v>A68FCB</v>
      </c>
      <c r="V2213">
        <v>0</v>
      </c>
      <c r="W2213">
        <v>0</v>
      </c>
      <c r="X2213">
        <v>2</v>
      </c>
      <c r="Y2213">
        <v>0</v>
      </c>
      <c r="AA2213">
        <v>1</v>
      </c>
      <c r="AB2213">
        <v>8</v>
      </c>
      <c r="AC2213">
        <v>3</v>
      </c>
      <c r="AD2213">
        <v>0</v>
      </c>
      <c r="AE2213">
        <v>9</v>
      </c>
      <c r="AF2213" t="s">
        <v>138</v>
      </c>
      <c r="AG2213">
        <v>0</v>
      </c>
      <c r="AH2213">
        <v>3</v>
      </c>
      <c r="AI2213">
        <v>2</v>
      </c>
      <c r="AJ2213">
        <v>0</v>
      </c>
      <c r="AK2213" t="s">
        <v>754</v>
      </c>
      <c r="AL2213">
        <v>39.064357000000001</v>
      </c>
      <c r="AM2213" t="s">
        <v>730</v>
      </c>
      <c r="AN2213">
        <v>-121.041484</v>
      </c>
      <c r="AO2213">
        <v>25</v>
      </c>
      <c r="AP2213">
        <v>4600</v>
      </c>
      <c r="AQ2213" t="s">
        <v>131</v>
      </c>
      <c r="AR2213">
        <v>3</v>
      </c>
      <c r="AS2213">
        <v>90</v>
      </c>
      <c r="AT2213">
        <v>64</v>
      </c>
      <c r="BB2213" t="str">
        <f t="shared" si="864"/>
        <v>1200</v>
      </c>
      <c r="BC2213">
        <v>1</v>
      </c>
      <c r="BD2213" t="str">
        <f t="shared" si="865"/>
        <v xml:space="preserve">N52156  </v>
      </c>
      <c r="BE2213">
        <v>1</v>
      </c>
      <c r="BG2213">
        <v>0</v>
      </c>
      <c r="BH2213">
        <v>0</v>
      </c>
      <c r="BI2213">
        <v>0</v>
      </c>
      <c r="BJ2213">
        <v>4575</v>
      </c>
      <c r="BK2213">
        <v>-25</v>
      </c>
      <c r="BL2213" t="s">
        <v>188</v>
      </c>
      <c r="BM2213">
        <v>1</v>
      </c>
      <c r="BN2213">
        <v>1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 t="shared" si="877"/>
        <v>15:10:40.757</v>
      </c>
      <c r="CF2213">
        <v>757217586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4</v>
      </c>
      <c r="CY2213">
        <v>7</v>
      </c>
      <c r="CZ2213" t="s">
        <v>133</v>
      </c>
      <c r="DA2213">
        <v>275</v>
      </c>
      <c r="DB2213">
        <v>0</v>
      </c>
      <c r="DC2213" t="s">
        <v>134</v>
      </c>
      <c r="DD2213" t="s">
        <v>135</v>
      </c>
      <c r="DG2213">
        <v>3321517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"05/01/2025 15:10:41.006"</f>
        <v>05/01/2025 15:10:41.006</v>
      </c>
      <c r="C2214" t="str">
        <f t="shared" si="862"/>
        <v>FFDFD3C0</v>
      </c>
      <c r="D2214" t="s">
        <v>136</v>
      </c>
      <c r="E2214" t="str">
        <f>"20"</f>
        <v>20</v>
      </c>
      <c r="H2214">
        <v>400</v>
      </c>
      <c r="I2214" t="s">
        <v>137</v>
      </c>
      <c r="J2214" t="s">
        <v>138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R2214" t="s">
        <v>127</v>
      </c>
      <c r="S2214" t="str">
        <f t="shared" si="876"/>
        <v>15:10:40.000</v>
      </c>
      <c r="T2214" t="str">
        <f t="shared" si="876"/>
        <v>15:10:40.000</v>
      </c>
      <c r="U2214" t="str">
        <f t="shared" si="863"/>
        <v>A68FCB</v>
      </c>
      <c r="V2214">
        <v>0</v>
      </c>
      <c r="W2214">
        <v>0</v>
      </c>
      <c r="X2214">
        <v>2</v>
      </c>
      <c r="Y2214">
        <v>0</v>
      </c>
      <c r="AA2214">
        <v>1</v>
      </c>
      <c r="AB2214">
        <v>8</v>
      </c>
      <c r="AC2214">
        <v>3</v>
      </c>
      <c r="AD2214">
        <v>0</v>
      </c>
      <c r="AE2214">
        <v>9</v>
      </c>
      <c r="AF2214" t="s">
        <v>138</v>
      </c>
      <c r="AG2214">
        <v>0</v>
      </c>
      <c r="AH2214">
        <v>3</v>
      </c>
      <c r="AI2214">
        <v>2</v>
      </c>
      <c r="AJ2214">
        <v>0</v>
      </c>
      <c r="AK2214" t="s">
        <v>754</v>
      </c>
      <c r="AL2214">
        <v>39.064357000000001</v>
      </c>
      <c r="AM2214" t="s">
        <v>730</v>
      </c>
      <c r="AN2214">
        <v>-121.041484</v>
      </c>
      <c r="AO2214">
        <v>25</v>
      </c>
      <c r="AP2214">
        <v>4600</v>
      </c>
      <c r="AQ2214" t="s">
        <v>131</v>
      </c>
      <c r="AR2214">
        <v>3</v>
      </c>
      <c r="AS2214">
        <v>90</v>
      </c>
      <c r="AT2214">
        <v>64</v>
      </c>
      <c r="BB2214" t="str">
        <f t="shared" si="864"/>
        <v>1200</v>
      </c>
      <c r="BC2214">
        <v>1</v>
      </c>
      <c r="BD2214" t="str">
        <f t="shared" si="865"/>
        <v xml:space="preserve">N52156  </v>
      </c>
      <c r="BE2214">
        <v>1</v>
      </c>
      <c r="BG2214">
        <v>0</v>
      </c>
      <c r="BH2214">
        <v>0</v>
      </c>
      <c r="BI2214">
        <v>0</v>
      </c>
      <c r="BJ2214">
        <v>4575</v>
      </c>
      <c r="BK2214">
        <v>-25</v>
      </c>
      <c r="BL2214" t="s">
        <v>188</v>
      </c>
      <c r="BM2214">
        <v>1</v>
      </c>
      <c r="BN2214">
        <v>1</v>
      </c>
      <c r="BO2214">
        <v>0</v>
      </c>
      <c r="BP2214">
        <v>0</v>
      </c>
      <c r="BS2214">
        <v>0</v>
      </c>
      <c r="BT2214">
        <v>0</v>
      </c>
      <c r="BU2214">
        <v>0</v>
      </c>
      <c r="CE2214" t="str">
        <f t="shared" si="877"/>
        <v>15:10:40.757</v>
      </c>
      <c r="CF2214">
        <v>757217586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4</v>
      </c>
      <c r="CY2214">
        <v>7</v>
      </c>
      <c r="CZ2214" t="s">
        <v>133</v>
      </c>
      <c r="DA2214">
        <v>275</v>
      </c>
      <c r="DB2214">
        <v>0</v>
      </c>
      <c r="DC2214" t="s">
        <v>134</v>
      </c>
      <c r="DD2214" t="s">
        <v>135</v>
      </c>
      <c r="DG2214">
        <v>3321517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"05/01/2025 15:10:41.011"</f>
        <v>05/01/2025 15:10:41.011</v>
      </c>
      <c r="C2215" t="str">
        <f t="shared" si="862"/>
        <v>FFDFD3C0</v>
      </c>
      <c r="D2215" t="s">
        <v>143</v>
      </c>
      <c r="E2215" t="str">
        <f>"05"</f>
        <v>05</v>
      </c>
      <c r="H2215">
        <v>172</v>
      </c>
      <c r="I2215" t="s">
        <v>141</v>
      </c>
      <c r="J2215" t="s">
        <v>144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R2215" t="s">
        <v>127</v>
      </c>
      <c r="S2215" t="str">
        <f t="shared" si="876"/>
        <v>15:10:40.000</v>
      </c>
      <c r="T2215" t="str">
        <f t="shared" si="876"/>
        <v>15:10:40.000</v>
      </c>
      <c r="U2215" t="str">
        <f t="shared" si="863"/>
        <v>A68FCB</v>
      </c>
      <c r="V2215">
        <v>0</v>
      </c>
      <c r="W2215">
        <v>0</v>
      </c>
      <c r="X2215">
        <v>2</v>
      </c>
      <c r="Y2215">
        <v>0</v>
      </c>
      <c r="AA2215">
        <v>1</v>
      </c>
      <c r="AB2215">
        <v>8</v>
      </c>
      <c r="AC2215">
        <v>3</v>
      </c>
      <c r="AD2215">
        <v>0</v>
      </c>
      <c r="AE2215">
        <v>9</v>
      </c>
      <c r="AF2215" t="s">
        <v>138</v>
      </c>
      <c r="AG2215">
        <v>0</v>
      </c>
      <c r="AH2215">
        <v>3</v>
      </c>
      <c r="AI2215">
        <v>2</v>
      </c>
      <c r="AJ2215">
        <v>0</v>
      </c>
      <c r="AK2215" t="s">
        <v>754</v>
      </c>
      <c r="AL2215">
        <v>39.064357000000001</v>
      </c>
      <c r="AM2215" t="s">
        <v>730</v>
      </c>
      <c r="AN2215">
        <v>-121.041484</v>
      </c>
      <c r="AO2215">
        <v>25</v>
      </c>
      <c r="AP2215">
        <v>4600</v>
      </c>
      <c r="AQ2215" t="s">
        <v>131</v>
      </c>
      <c r="AR2215">
        <v>3</v>
      </c>
      <c r="AS2215">
        <v>90</v>
      </c>
      <c r="AT2215">
        <v>64</v>
      </c>
      <c r="BB2215" t="str">
        <f t="shared" si="864"/>
        <v>1200</v>
      </c>
      <c r="BC2215">
        <v>1</v>
      </c>
      <c r="BD2215" t="str">
        <f t="shared" si="865"/>
        <v xml:space="preserve">N52156  </v>
      </c>
      <c r="BE2215">
        <v>1</v>
      </c>
      <c r="BG2215">
        <v>0</v>
      </c>
      <c r="BH2215">
        <v>0</v>
      </c>
      <c r="BI2215">
        <v>0</v>
      </c>
      <c r="BJ2215">
        <v>4575</v>
      </c>
      <c r="BK2215">
        <v>-25</v>
      </c>
      <c r="BL2215" t="s">
        <v>188</v>
      </c>
      <c r="BM2215">
        <v>1</v>
      </c>
      <c r="BN2215">
        <v>1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 t="shared" si="877"/>
        <v>15:10:40.757</v>
      </c>
      <c r="CF2215">
        <v>757217586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4</v>
      </c>
      <c r="CY2215">
        <v>7</v>
      </c>
      <c r="CZ2215" t="s">
        <v>133</v>
      </c>
      <c r="DA2215">
        <v>275</v>
      </c>
      <c r="DB2215">
        <v>0</v>
      </c>
      <c r="DC2215" t="s">
        <v>134</v>
      </c>
      <c r="DD2215" t="s">
        <v>135</v>
      </c>
      <c r="DG2215">
        <v>3321517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"05/01/2025 15:10:41.999"</f>
        <v>05/01/2025 15:10:41.999</v>
      </c>
      <c r="C2216" t="str">
        <f t="shared" si="862"/>
        <v>FFDFD3C0</v>
      </c>
      <c r="D2216" t="s">
        <v>145</v>
      </c>
      <c r="E2216" t="str">
        <f>"05"</f>
        <v>05</v>
      </c>
      <c r="H2216">
        <v>47</v>
      </c>
      <c r="I2216" t="s">
        <v>146</v>
      </c>
      <c r="J2216" t="s">
        <v>138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R2216" t="s">
        <v>127</v>
      </c>
      <c r="S2216" t="str">
        <f t="shared" ref="S2216:T2221" si="878">"15:10:41.000"</f>
        <v>15:10:41.000</v>
      </c>
      <c r="T2216" t="str">
        <f t="shared" si="878"/>
        <v>15:10:41.000</v>
      </c>
      <c r="U2216" t="str">
        <f t="shared" si="863"/>
        <v>A68FCB</v>
      </c>
      <c r="V2216">
        <v>0</v>
      </c>
      <c r="W2216">
        <v>0</v>
      </c>
      <c r="X2216">
        <v>2</v>
      </c>
      <c r="Y2216">
        <v>0</v>
      </c>
      <c r="AA2216">
        <v>1</v>
      </c>
      <c r="AB2216">
        <v>8</v>
      </c>
      <c r="AC2216">
        <v>3</v>
      </c>
      <c r="AD2216">
        <v>0</v>
      </c>
      <c r="AE2216">
        <v>9</v>
      </c>
      <c r="AF2216" t="s">
        <v>138</v>
      </c>
      <c r="AG2216">
        <v>0</v>
      </c>
      <c r="AH2216">
        <v>3</v>
      </c>
      <c r="AI2216">
        <v>2</v>
      </c>
      <c r="AJ2216">
        <v>0</v>
      </c>
      <c r="AK2216" t="s">
        <v>755</v>
      </c>
      <c r="AL2216">
        <v>39.064765000000001</v>
      </c>
      <c r="AM2216" t="s">
        <v>756</v>
      </c>
      <c r="AN2216">
        <v>-121.041462</v>
      </c>
      <c r="AO2216">
        <v>25</v>
      </c>
      <c r="AP2216">
        <v>4600</v>
      </c>
      <c r="AQ2216" t="s">
        <v>131</v>
      </c>
      <c r="AR2216">
        <v>3</v>
      </c>
      <c r="AS2216">
        <v>90</v>
      </c>
      <c r="AT2216">
        <v>128</v>
      </c>
      <c r="BB2216" t="str">
        <f t="shared" si="864"/>
        <v>1200</v>
      </c>
      <c r="BC2216">
        <v>1</v>
      </c>
      <c r="BD2216" t="str">
        <f t="shared" si="865"/>
        <v xml:space="preserve">N52156  </v>
      </c>
      <c r="BE2216">
        <v>1</v>
      </c>
      <c r="BG2216">
        <v>0</v>
      </c>
      <c r="BH2216">
        <v>0</v>
      </c>
      <c r="BI2216">
        <v>0</v>
      </c>
      <c r="BJ2216">
        <v>4575</v>
      </c>
      <c r="BK2216">
        <v>-25</v>
      </c>
      <c r="BL2216" t="s">
        <v>188</v>
      </c>
      <c r="BM2216">
        <v>1</v>
      </c>
      <c r="BN2216">
        <v>1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 t="shared" ref="CE2216:CE2221" si="879">"15:10:41.794"</f>
        <v>15:10:41.794</v>
      </c>
      <c r="CF2216">
        <v>793967750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4</v>
      </c>
      <c r="CY2216">
        <v>7</v>
      </c>
      <c r="CZ2216" t="s">
        <v>133</v>
      </c>
      <c r="DA2216">
        <v>275</v>
      </c>
      <c r="DB2216">
        <v>0</v>
      </c>
      <c r="DC2216" t="s">
        <v>134</v>
      </c>
      <c r="DD2216" t="s">
        <v>135</v>
      </c>
      <c r="DG2216">
        <v>3321519</v>
      </c>
      <c r="DI2216">
        <v>1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"05/01/2025 15:10:42.002"</f>
        <v>05/01/2025 15:10:42.002</v>
      </c>
      <c r="C2217" t="str">
        <f t="shared" si="862"/>
        <v>FFDFD3C0</v>
      </c>
      <c r="D2217" t="s">
        <v>145</v>
      </c>
      <c r="E2217" t="str">
        <f>"09"</f>
        <v>09</v>
      </c>
      <c r="H2217">
        <v>51</v>
      </c>
      <c r="I2217" t="s">
        <v>147</v>
      </c>
      <c r="J2217" t="s">
        <v>138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R2217" t="s">
        <v>127</v>
      </c>
      <c r="S2217" t="str">
        <f t="shared" si="878"/>
        <v>15:10:41.000</v>
      </c>
      <c r="T2217" t="str">
        <f t="shared" si="878"/>
        <v>15:10:41.000</v>
      </c>
      <c r="U2217" t="str">
        <f t="shared" si="863"/>
        <v>A68FCB</v>
      </c>
      <c r="V2217">
        <v>0</v>
      </c>
      <c r="W2217">
        <v>0</v>
      </c>
      <c r="X2217">
        <v>2</v>
      </c>
      <c r="Y2217">
        <v>0</v>
      </c>
      <c r="AA2217">
        <v>1</v>
      </c>
      <c r="AB2217">
        <v>8</v>
      </c>
      <c r="AC2217">
        <v>3</v>
      </c>
      <c r="AD2217">
        <v>0</v>
      </c>
      <c r="AE2217">
        <v>9</v>
      </c>
      <c r="AF2217" t="s">
        <v>138</v>
      </c>
      <c r="AG2217">
        <v>0</v>
      </c>
      <c r="AH2217">
        <v>3</v>
      </c>
      <c r="AI2217">
        <v>2</v>
      </c>
      <c r="AJ2217">
        <v>0</v>
      </c>
      <c r="AK2217" t="s">
        <v>755</v>
      </c>
      <c r="AL2217">
        <v>39.064765000000001</v>
      </c>
      <c r="AM2217" t="s">
        <v>756</v>
      </c>
      <c r="AN2217">
        <v>-121.041462</v>
      </c>
      <c r="AO2217">
        <v>25</v>
      </c>
      <c r="AP2217">
        <v>4600</v>
      </c>
      <c r="AQ2217" t="s">
        <v>131</v>
      </c>
      <c r="AR2217">
        <v>3</v>
      </c>
      <c r="AS2217">
        <v>90</v>
      </c>
      <c r="AT2217">
        <v>128</v>
      </c>
      <c r="BB2217" t="str">
        <f t="shared" si="864"/>
        <v>1200</v>
      </c>
      <c r="BC2217">
        <v>1</v>
      </c>
      <c r="BD2217" t="str">
        <f t="shared" si="865"/>
        <v xml:space="preserve">N52156  </v>
      </c>
      <c r="BE2217">
        <v>1</v>
      </c>
      <c r="BG2217">
        <v>0</v>
      </c>
      <c r="BH2217">
        <v>0</v>
      </c>
      <c r="BI2217">
        <v>0</v>
      </c>
      <c r="BJ2217">
        <v>4575</v>
      </c>
      <c r="BK2217">
        <v>-25</v>
      </c>
      <c r="BL2217" t="s">
        <v>188</v>
      </c>
      <c r="BM2217">
        <v>1</v>
      </c>
      <c r="BN2217">
        <v>1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 t="shared" si="879"/>
        <v>15:10:41.794</v>
      </c>
      <c r="CF2217">
        <v>793967750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4</v>
      </c>
      <c r="CY2217">
        <v>7</v>
      </c>
      <c r="CZ2217" t="s">
        <v>133</v>
      </c>
      <c r="DA2217">
        <v>275</v>
      </c>
      <c r="DB2217">
        <v>0</v>
      </c>
      <c r="DC2217" t="s">
        <v>134</v>
      </c>
      <c r="DD2217" t="s">
        <v>135</v>
      </c>
      <c r="DG2217">
        <v>3321519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"05/01/2025 15:10:42.008"</f>
        <v>05/01/2025 15:10:42.008</v>
      </c>
      <c r="C2218" t="str">
        <f t="shared" si="862"/>
        <v>FFDFD3C0</v>
      </c>
      <c r="D2218" t="s">
        <v>136</v>
      </c>
      <c r="E2218" t="str">
        <f>"20"</f>
        <v>20</v>
      </c>
      <c r="H2218">
        <v>400</v>
      </c>
      <c r="I2218" t="s">
        <v>137</v>
      </c>
      <c r="J2218" t="s">
        <v>138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R2218" t="s">
        <v>127</v>
      </c>
      <c r="S2218" t="str">
        <f t="shared" si="878"/>
        <v>15:10:41.000</v>
      </c>
      <c r="T2218" t="str">
        <f t="shared" si="878"/>
        <v>15:10:41.000</v>
      </c>
      <c r="U2218" t="str">
        <f t="shared" si="863"/>
        <v>A68FCB</v>
      </c>
      <c r="V2218">
        <v>0</v>
      </c>
      <c r="W2218">
        <v>0</v>
      </c>
      <c r="X2218">
        <v>2</v>
      </c>
      <c r="Y2218">
        <v>0</v>
      </c>
      <c r="AA2218">
        <v>1</v>
      </c>
      <c r="AB2218">
        <v>8</v>
      </c>
      <c r="AC2218">
        <v>3</v>
      </c>
      <c r="AD2218">
        <v>0</v>
      </c>
      <c r="AE2218">
        <v>9</v>
      </c>
      <c r="AF2218" t="s">
        <v>138</v>
      </c>
      <c r="AG2218">
        <v>0</v>
      </c>
      <c r="AH2218">
        <v>3</v>
      </c>
      <c r="AI2218">
        <v>2</v>
      </c>
      <c r="AJ2218">
        <v>0</v>
      </c>
      <c r="AK2218" t="s">
        <v>755</v>
      </c>
      <c r="AL2218">
        <v>39.064765000000001</v>
      </c>
      <c r="AM2218" t="s">
        <v>756</v>
      </c>
      <c r="AN2218">
        <v>-121.041462</v>
      </c>
      <c r="AO2218">
        <v>25</v>
      </c>
      <c r="AP2218">
        <v>4600</v>
      </c>
      <c r="AQ2218" t="s">
        <v>131</v>
      </c>
      <c r="AR2218">
        <v>3</v>
      </c>
      <c r="AS2218">
        <v>90</v>
      </c>
      <c r="AT2218">
        <v>128</v>
      </c>
      <c r="BB2218" t="str">
        <f t="shared" si="864"/>
        <v>1200</v>
      </c>
      <c r="BC2218">
        <v>1</v>
      </c>
      <c r="BD2218" t="str">
        <f t="shared" si="865"/>
        <v xml:space="preserve">N52156  </v>
      </c>
      <c r="BE2218">
        <v>1</v>
      </c>
      <c r="BG2218">
        <v>0</v>
      </c>
      <c r="BH2218">
        <v>0</v>
      </c>
      <c r="BI2218">
        <v>0</v>
      </c>
      <c r="BJ2218">
        <v>4575</v>
      </c>
      <c r="BK2218">
        <v>-25</v>
      </c>
      <c r="BL2218" t="s">
        <v>188</v>
      </c>
      <c r="BM2218">
        <v>1</v>
      </c>
      <c r="BN2218">
        <v>1</v>
      </c>
      <c r="BO2218">
        <v>0</v>
      </c>
      <c r="BP2218">
        <v>0</v>
      </c>
      <c r="BS2218">
        <v>0</v>
      </c>
      <c r="BT2218">
        <v>0</v>
      </c>
      <c r="BU2218">
        <v>0</v>
      </c>
      <c r="CE2218" t="str">
        <f t="shared" si="879"/>
        <v>15:10:41.794</v>
      </c>
      <c r="CF2218">
        <v>793967750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4</v>
      </c>
      <c r="CY2218">
        <v>7</v>
      </c>
      <c r="CZ2218" t="s">
        <v>133</v>
      </c>
      <c r="DA2218">
        <v>275</v>
      </c>
      <c r="DB2218">
        <v>0</v>
      </c>
      <c r="DC2218" t="s">
        <v>134</v>
      </c>
      <c r="DD2218" t="s">
        <v>135</v>
      </c>
      <c r="DG2218">
        <v>3321519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"05/01/2025 15:10:42.013"</f>
        <v>05/01/2025 15:10:42.013</v>
      </c>
      <c r="C2219" t="str">
        <f t="shared" si="862"/>
        <v>FFDFD3C0</v>
      </c>
      <c r="D2219" t="s">
        <v>143</v>
      </c>
      <c r="E2219" t="str">
        <f>"05"</f>
        <v>05</v>
      </c>
      <c r="H2219">
        <v>172</v>
      </c>
      <c r="I2219" t="s">
        <v>141</v>
      </c>
      <c r="J2219" t="s">
        <v>144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R2219" t="s">
        <v>127</v>
      </c>
      <c r="S2219" t="str">
        <f t="shared" si="878"/>
        <v>15:10:41.000</v>
      </c>
      <c r="T2219" t="str">
        <f t="shared" si="878"/>
        <v>15:10:41.000</v>
      </c>
      <c r="U2219" t="str">
        <f t="shared" si="863"/>
        <v>A68FCB</v>
      </c>
      <c r="V2219">
        <v>0</v>
      </c>
      <c r="W2219">
        <v>0</v>
      </c>
      <c r="X2219">
        <v>2</v>
      </c>
      <c r="Y2219">
        <v>0</v>
      </c>
      <c r="AA2219">
        <v>1</v>
      </c>
      <c r="AB2219">
        <v>8</v>
      </c>
      <c r="AC2219">
        <v>3</v>
      </c>
      <c r="AD2219">
        <v>0</v>
      </c>
      <c r="AE2219">
        <v>9</v>
      </c>
      <c r="AF2219" t="s">
        <v>138</v>
      </c>
      <c r="AG2219">
        <v>0</v>
      </c>
      <c r="AH2219">
        <v>3</v>
      </c>
      <c r="AI2219">
        <v>2</v>
      </c>
      <c r="AJ2219">
        <v>0</v>
      </c>
      <c r="AK2219" t="s">
        <v>755</v>
      </c>
      <c r="AL2219">
        <v>39.064765000000001</v>
      </c>
      <c r="AM2219" t="s">
        <v>756</v>
      </c>
      <c r="AN2219">
        <v>-121.041462</v>
      </c>
      <c r="AO2219">
        <v>25</v>
      </c>
      <c r="AP2219">
        <v>4600</v>
      </c>
      <c r="AQ2219" t="s">
        <v>131</v>
      </c>
      <c r="AR2219">
        <v>3</v>
      </c>
      <c r="AS2219">
        <v>90</v>
      </c>
      <c r="AT2219">
        <v>128</v>
      </c>
      <c r="BB2219" t="str">
        <f t="shared" si="864"/>
        <v>1200</v>
      </c>
      <c r="BC2219">
        <v>1</v>
      </c>
      <c r="BD2219" t="str">
        <f t="shared" si="865"/>
        <v xml:space="preserve">N52156  </v>
      </c>
      <c r="BE2219">
        <v>1</v>
      </c>
      <c r="BG2219">
        <v>0</v>
      </c>
      <c r="BH2219">
        <v>0</v>
      </c>
      <c r="BI2219">
        <v>0</v>
      </c>
      <c r="BJ2219">
        <v>4575</v>
      </c>
      <c r="BK2219">
        <v>-25</v>
      </c>
      <c r="BL2219" t="s">
        <v>188</v>
      </c>
      <c r="BM2219">
        <v>1</v>
      </c>
      <c r="BN2219">
        <v>1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 t="shared" si="879"/>
        <v>15:10:41.794</v>
      </c>
      <c r="CF2219">
        <v>793967750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4</v>
      </c>
      <c r="CY2219">
        <v>7</v>
      </c>
      <c r="CZ2219" t="s">
        <v>133</v>
      </c>
      <c r="DA2219">
        <v>275</v>
      </c>
      <c r="DB2219">
        <v>0</v>
      </c>
      <c r="DC2219" t="s">
        <v>134</v>
      </c>
      <c r="DD2219" t="s">
        <v>135</v>
      </c>
      <c r="DG2219">
        <v>3321519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"05/01/2025 15:10:42.036"</f>
        <v>05/01/2025 15:10:42.036</v>
      </c>
      <c r="C2220" t="str">
        <f t="shared" si="862"/>
        <v>FFDFD3C0</v>
      </c>
      <c r="D2220" t="s">
        <v>140</v>
      </c>
      <c r="E2220" t="str">
        <f>"13"</f>
        <v>13</v>
      </c>
      <c r="F2220">
        <v>1019</v>
      </c>
      <c r="G2220" t="s">
        <v>141</v>
      </c>
      <c r="J2220" t="s">
        <v>142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R2220" t="s">
        <v>127</v>
      </c>
      <c r="S2220" t="str">
        <f t="shared" si="878"/>
        <v>15:10:41.000</v>
      </c>
      <c r="T2220" t="str">
        <f t="shared" si="878"/>
        <v>15:10:41.000</v>
      </c>
      <c r="U2220" t="str">
        <f t="shared" si="863"/>
        <v>A68FCB</v>
      </c>
      <c r="V2220">
        <v>0</v>
      </c>
      <c r="W2220">
        <v>0</v>
      </c>
      <c r="X2220">
        <v>2</v>
      </c>
      <c r="Y2220">
        <v>0</v>
      </c>
      <c r="AA2220">
        <v>1</v>
      </c>
      <c r="AB2220">
        <v>8</v>
      </c>
      <c r="AC2220">
        <v>3</v>
      </c>
      <c r="AD2220">
        <v>0</v>
      </c>
      <c r="AE2220">
        <v>9</v>
      </c>
      <c r="AF2220" t="s">
        <v>138</v>
      </c>
      <c r="AG2220">
        <v>0</v>
      </c>
      <c r="AH2220">
        <v>3</v>
      </c>
      <c r="AI2220">
        <v>2</v>
      </c>
      <c r="AJ2220">
        <v>0</v>
      </c>
      <c r="AK2220" t="s">
        <v>755</v>
      </c>
      <c r="AL2220">
        <v>39.064765000000001</v>
      </c>
      <c r="AM2220" t="s">
        <v>756</v>
      </c>
      <c r="AN2220">
        <v>-121.041462</v>
      </c>
      <c r="AO2220">
        <v>25</v>
      </c>
      <c r="AP2220">
        <v>4600</v>
      </c>
      <c r="AQ2220" t="s">
        <v>131</v>
      </c>
      <c r="AR2220">
        <v>3</v>
      </c>
      <c r="AS2220">
        <v>90</v>
      </c>
      <c r="AT2220">
        <v>128</v>
      </c>
      <c r="BB2220" t="str">
        <f t="shared" si="864"/>
        <v>1200</v>
      </c>
      <c r="BC2220">
        <v>1</v>
      </c>
      <c r="BD2220" t="str">
        <f t="shared" si="865"/>
        <v xml:space="preserve">N52156  </v>
      </c>
      <c r="BE2220">
        <v>1</v>
      </c>
      <c r="BG2220">
        <v>0</v>
      </c>
      <c r="BH2220">
        <v>0</v>
      </c>
      <c r="BI2220">
        <v>0</v>
      </c>
      <c r="BJ2220">
        <v>4575</v>
      </c>
      <c r="BK2220">
        <v>-25</v>
      </c>
      <c r="BL2220" t="s">
        <v>188</v>
      </c>
      <c r="BM2220">
        <v>1</v>
      </c>
      <c r="BN2220">
        <v>1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 t="shared" si="879"/>
        <v>15:10:41.794</v>
      </c>
      <c r="CF2220">
        <v>793967750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4</v>
      </c>
      <c r="CY2220">
        <v>7</v>
      </c>
      <c r="CZ2220" t="s">
        <v>133</v>
      </c>
      <c r="DA2220">
        <v>275</v>
      </c>
      <c r="DB2220">
        <v>0</v>
      </c>
      <c r="DC2220" t="s">
        <v>134</v>
      </c>
      <c r="DD2220" t="s">
        <v>135</v>
      </c>
      <c r="DG2220">
        <v>3321519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"05/01/2025 15:10:42.045"</f>
        <v>05/01/2025 15:10:42.045</v>
      </c>
      <c r="C2221" t="str">
        <f t="shared" si="862"/>
        <v>FFDFD3C0</v>
      </c>
      <c r="D2221" t="s">
        <v>124</v>
      </c>
      <c r="E2221" t="str">
        <f>"06"</f>
        <v>06</v>
      </c>
      <c r="F2221">
        <v>2006</v>
      </c>
      <c r="G2221" t="s">
        <v>125</v>
      </c>
      <c r="J2221" t="s">
        <v>126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R2221" t="s">
        <v>127</v>
      </c>
      <c r="S2221" t="str">
        <f t="shared" si="878"/>
        <v>15:10:41.000</v>
      </c>
      <c r="T2221" t="str">
        <f t="shared" si="878"/>
        <v>15:10:41.000</v>
      </c>
      <c r="U2221" t="str">
        <f t="shared" si="863"/>
        <v>A68FCB</v>
      </c>
      <c r="V2221">
        <v>0</v>
      </c>
      <c r="W2221">
        <v>0</v>
      </c>
      <c r="X2221">
        <v>2</v>
      </c>
      <c r="Y2221">
        <v>0</v>
      </c>
      <c r="AA2221">
        <v>1</v>
      </c>
      <c r="AB2221">
        <v>8</v>
      </c>
      <c r="AC2221">
        <v>3</v>
      </c>
      <c r="AD2221">
        <v>0</v>
      </c>
      <c r="AE2221">
        <v>9</v>
      </c>
      <c r="AF2221" t="s">
        <v>138</v>
      </c>
      <c r="AG2221">
        <v>0</v>
      </c>
      <c r="AH2221">
        <v>3</v>
      </c>
      <c r="AI2221">
        <v>2</v>
      </c>
      <c r="AJ2221">
        <v>0</v>
      </c>
      <c r="AK2221" t="s">
        <v>755</v>
      </c>
      <c r="AL2221">
        <v>39.064765000000001</v>
      </c>
      <c r="AM2221" t="s">
        <v>756</v>
      </c>
      <c r="AN2221">
        <v>-121.041462</v>
      </c>
      <c r="AO2221">
        <v>25</v>
      </c>
      <c r="AP2221">
        <v>4600</v>
      </c>
      <c r="AQ2221" t="s">
        <v>131</v>
      </c>
      <c r="AR2221">
        <v>3</v>
      </c>
      <c r="AS2221">
        <v>90</v>
      </c>
      <c r="AT2221">
        <v>128</v>
      </c>
      <c r="BB2221" t="str">
        <f t="shared" si="864"/>
        <v>1200</v>
      </c>
      <c r="BC2221">
        <v>1</v>
      </c>
      <c r="BD2221" t="str">
        <f t="shared" si="865"/>
        <v xml:space="preserve">N52156  </v>
      </c>
      <c r="BE2221">
        <v>1</v>
      </c>
      <c r="BG2221">
        <v>0</v>
      </c>
      <c r="BH2221">
        <v>0</v>
      </c>
      <c r="BI2221">
        <v>0</v>
      </c>
      <c r="BJ2221">
        <v>4575</v>
      </c>
      <c r="BK2221">
        <v>-25</v>
      </c>
      <c r="BL2221" t="s">
        <v>188</v>
      </c>
      <c r="BM2221">
        <v>1</v>
      </c>
      <c r="BN2221">
        <v>1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 t="shared" si="879"/>
        <v>15:10:41.794</v>
      </c>
      <c r="CF2221">
        <v>793967750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4</v>
      </c>
      <c r="CY2221">
        <v>7</v>
      </c>
      <c r="CZ2221" t="s">
        <v>133</v>
      </c>
      <c r="DA2221">
        <v>275</v>
      </c>
      <c r="DB2221">
        <v>0</v>
      </c>
      <c r="DC2221" t="s">
        <v>134</v>
      </c>
      <c r="DD2221" t="s">
        <v>135</v>
      </c>
      <c r="DG2221">
        <v>3321519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"05/01/2025 15:10:42.500"</f>
        <v>05/01/2025 15:10:42.500</v>
      </c>
      <c r="C2222" t="str">
        <f t="shared" si="862"/>
        <v>FFDFD3C0</v>
      </c>
      <c r="D2222" t="s">
        <v>145</v>
      </c>
      <c r="E2222" t="str">
        <f>"05"</f>
        <v>05</v>
      </c>
      <c r="H2222">
        <v>47</v>
      </c>
      <c r="I2222" t="s">
        <v>146</v>
      </c>
      <c r="J2222" t="s">
        <v>138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R2222" t="s">
        <v>127</v>
      </c>
      <c r="S2222" t="str">
        <f t="shared" ref="S2222:T2227" si="880">"15:10:42.000"</f>
        <v>15:10:42.000</v>
      </c>
      <c r="T2222" t="str">
        <f t="shared" si="880"/>
        <v>15:10:42.000</v>
      </c>
      <c r="U2222" t="str">
        <f t="shared" si="863"/>
        <v>A68FCB</v>
      </c>
      <c r="V2222">
        <v>0</v>
      </c>
      <c r="W2222">
        <v>0</v>
      </c>
      <c r="X2222">
        <v>2</v>
      </c>
      <c r="Y2222">
        <v>0</v>
      </c>
      <c r="AA2222">
        <v>1</v>
      </c>
      <c r="AB2222">
        <v>8</v>
      </c>
      <c r="AC2222">
        <v>3</v>
      </c>
      <c r="AD2222">
        <v>0</v>
      </c>
      <c r="AE2222">
        <v>9</v>
      </c>
      <c r="AF2222" t="s">
        <v>138</v>
      </c>
      <c r="AG2222">
        <v>0</v>
      </c>
      <c r="AH2222">
        <v>3</v>
      </c>
      <c r="AI2222">
        <v>2</v>
      </c>
      <c r="AJ2222">
        <v>0</v>
      </c>
      <c r="AK2222" t="s">
        <v>757</v>
      </c>
      <c r="AL2222">
        <v>39.065193999999998</v>
      </c>
      <c r="AM2222" t="s">
        <v>758</v>
      </c>
      <c r="AN2222">
        <v>-121.04144100000001</v>
      </c>
      <c r="AO2222">
        <v>25</v>
      </c>
      <c r="AP2222">
        <v>4600</v>
      </c>
      <c r="AQ2222" t="s">
        <v>131</v>
      </c>
      <c r="AR2222">
        <v>3</v>
      </c>
      <c r="AS2222">
        <v>90</v>
      </c>
      <c r="AT2222">
        <v>128</v>
      </c>
      <c r="BB2222" t="str">
        <f t="shared" si="864"/>
        <v>1200</v>
      </c>
      <c r="BC2222">
        <v>1</v>
      </c>
      <c r="BD2222" t="str">
        <f t="shared" si="865"/>
        <v xml:space="preserve">N52156  </v>
      </c>
      <c r="BE2222">
        <v>1</v>
      </c>
      <c r="BG2222">
        <v>0</v>
      </c>
      <c r="BH2222">
        <v>0</v>
      </c>
      <c r="BI2222">
        <v>0</v>
      </c>
      <c r="BJ2222">
        <v>4600</v>
      </c>
      <c r="BK2222">
        <v>0</v>
      </c>
      <c r="BL2222" t="s">
        <v>188</v>
      </c>
      <c r="BM2222">
        <v>1</v>
      </c>
      <c r="BN2222">
        <v>1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 t="shared" ref="CE2222:CE2227" si="881">"15:10:42.280"</f>
        <v>15:10:42.280</v>
      </c>
      <c r="CF2222">
        <v>280466494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4</v>
      </c>
      <c r="CY2222">
        <v>7</v>
      </c>
      <c r="CZ2222" t="s">
        <v>133</v>
      </c>
      <c r="DA2222">
        <v>275</v>
      </c>
      <c r="DB2222">
        <v>0</v>
      </c>
      <c r="DC2222" t="s">
        <v>134</v>
      </c>
      <c r="DD2222" t="s">
        <v>135</v>
      </c>
      <c r="DG2222">
        <v>3321520</v>
      </c>
      <c r="DI2222">
        <v>1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"05/01/2025 15:10:42.502"</f>
        <v>05/01/2025 15:10:42.502</v>
      </c>
      <c r="C2223" t="str">
        <f t="shared" si="862"/>
        <v>FFDFD3C0</v>
      </c>
      <c r="D2223" t="s">
        <v>145</v>
      </c>
      <c r="E2223" t="str">
        <f>"09"</f>
        <v>09</v>
      </c>
      <c r="H2223">
        <v>51</v>
      </c>
      <c r="I2223" t="s">
        <v>147</v>
      </c>
      <c r="J2223" t="s">
        <v>138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R2223" t="s">
        <v>127</v>
      </c>
      <c r="S2223" t="str">
        <f t="shared" si="880"/>
        <v>15:10:42.000</v>
      </c>
      <c r="T2223" t="str">
        <f t="shared" si="880"/>
        <v>15:10:42.000</v>
      </c>
      <c r="U2223" t="str">
        <f t="shared" si="863"/>
        <v>A68FCB</v>
      </c>
      <c r="V2223">
        <v>0</v>
      </c>
      <c r="W2223">
        <v>0</v>
      </c>
      <c r="X2223">
        <v>2</v>
      </c>
      <c r="Y2223">
        <v>0</v>
      </c>
      <c r="AA2223">
        <v>1</v>
      </c>
      <c r="AB2223">
        <v>8</v>
      </c>
      <c r="AC2223">
        <v>3</v>
      </c>
      <c r="AD2223">
        <v>0</v>
      </c>
      <c r="AE2223">
        <v>9</v>
      </c>
      <c r="AF2223" t="s">
        <v>138</v>
      </c>
      <c r="AG2223">
        <v>0</v>
      </c>
      <c r="AH2223">
        <v>3</v>
      </c>
      <c r="AI2223">
        <v>2</v>
      </c>
      <c r="AJ2223">
        <v>0</v>
      </c>
      <c r="AK2223" t="s">
        <v>757</v>
      </c>
      <c r="AL2223">
        <v>39.065193999999998</v>
      </c>
      <c r="AM2223" t="s">
        <v>758</v>
      </c>
      <c r="AN2223">
        <v>-121.04144100000001</v>
      </c>
      <c r="AO2223">
        <v>25</v>
      </c>
      <c r="AP2223">
        <v>4600</v>
      </c>
      <c r="AQ2223" t="s">
        <v>131</v>
      </c>
      <c r="AR2223">
        <v>3</v>
      </c>
      <c r="AS2223">
        <v>90</v>
      </c>
      <c r="AT2223">
        <v>128</v>
      </c>
      <c r="BB2223" t="str">
        <f t="shared" si="864"/>
        <v>1200</v>
      </c>
      <c r="BC2223">
        <v>1</v>
      </c>
      <c r="BD2223" t="str">
        <f t="shared" si="865"/>
        <v xml:space="preserve">N52156  </v>
      </c>
      <c r="BE2223">
        <v>1</v>
      </c>
      <c r="BG2223">
        <v>0</v>
      </c>
      <c r="BH2223">
        <v>0</v>
      </c>
      <c r="BI2223">
        <v>0</v>
      </c>
      <c r="BJ2223">
        <v>4600</v>
      </c>
      <c r="BK2223">
        <v>0</v>
      </c>
      <c r="BL2223" t="s">
        <v>188</v>
      </c>
      <c r="BM2223">
        <v>1</v>
      </c>
      <c r="BN2223">
        <v>1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 t="shared" si="881"/>
        <v>15:10:42.280</v>
      </c>
      <c r="CF2223">
        <v>280466494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4</v>
      </c>
      <c r="CY2223">
        <v>7</v>
      </c>
      <c r="CZ2223" t="s">
        <v>133</v>
      </c>
      <c r="DA2223">
        <v>275</v>
      </c>
      <c r="DB2223">
        <v>0</v>
      </c>
      <c r="DC2223" t="s">
        <v>134</v>
      </c>
      <c r="DD2223" t="s">
        <v>135</v>
      </c>
      <c r="DG2223">
        <v>3321520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"05/01/2025 15:10:42.509"</f>
        <v>05/01/2025 15:10:42.509</v>
      </c>
      <c r="C2224" t="str">
        <f t="shared" si="862"/>
        <v>FFDFD3C0</v>
      </c>
      <c r="D2224" t="s">
        <v>136</v>
      </c>
      <c r="E2224" t="str">
        <f>"20"</f>
        <v>20</v>
      </c>
      <c r="H2224">
        <v>400</v>
      </c>
      <c r="I2224" t="s">
        <v>137</v>
      </c>
      <c r="J2224" t="s">
        <v>138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R2224" t="s">
        <v>127</v>
      </c>
      <c r="S2224" t="str">
        <f t="shared" si="880"/>
        <v>15:10:42.000</v>
      </c>
      <c r="T2224" t="str">
        <f t="shared" si="880"/>
        <v>15:10:42.000</v>
      </c>
      <c r="U2224" t="str">
        <f t="shared" si="863"/>
        <v>A68FCB</v>
      </c>
      <c r="V2224">
        <v>0</v>
      </c>
      <c r="W2224">
        <v>0</v>
      </c>
      <c r="X2224">
        <v>2</v>
      </c>
      <c r="Y2224">
        <v>0</v>
      </c>
      <c r="AA2224">
        <v>1</v>
      </c>
      <c r="AB2224">
        <v>8</v>
      </c>
      <c r="AC2224">
        <v>3</v>
      </c>
      <c r="AD2224">
        <v>0</v>
      </c>
      <c r="AE2224">
        <v>9</v>
      </c>
      <c r="AF2224" t="s">
        <v>138</v>
      </c>
      <c r="AG2224">
        <v>0</v>
      </c>
      <c r="AH2224">
        <v>3</v>
      </c>
      <c r="AI2224">
        <v>2</v>
      </c>
      <c r="AJ2224">
        <v>0</v>
      </c>
      <c r="AK2224" t="s">
        <v>757</v>
      </c>
      <c r="AL2224">
        <v>39.065193999999998</v>
      </c>
      <c r="AM2224" t="s">
        <v>758</v>
      </c>
      <c r="AN2224">
        <v>-121.04144100000001</v>
      </c>
      <c r="AO2224">
        <v>25</v>
      </c>
      <c r="AP2224">
        <v>4600</v>
      </c>
      <c r="AQ2224" t="s">
        <v>131</v>
      </c>
      <c r="AR2224">
        <v>3</v>
      </c>
      <c r="AS2224">
        <v>90</v>
      </c>
      <c r="AT2224">
        <v>128</v>
      </c>
      <c r="BB2224" t="str">
        <f t="shared" si="864"/>
        <v>1200</v>
      </c>
      <c r="BC2224">
        <v>1</v>
      </c>
      <c r="BD2224" t="str">
        <f t="shared" si="865"/>
        <v xml:space="preserve">N52156  </v>
      </c>
      <c r="BE2224">
        <v>1</v>
      </c>
      <c r="BG2224">
        <v>0</v>
      </c>
      <c r="BH2224">
        <v>0</v>
      </c>
      <c r="BI2224">
        <v>0</v>
      </c>
      <c r="BJ2224">
        <v>4600</v>
      </c>
      <c r="BK2224">
        <v>0</v>
      </c>
      <c r="BL2224" t="s">
        <v>188</v>
      </c>
      <c r="BM2224">
        <v>1</v>
      </c>
      <c r="BN2224">
        <v>1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 t="shared" si="881"/>
        <v>15:10:42.280</v>
      </c>
      <c r="CF2224">
        <v>280466494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4</v>
      </c>
      <c r="CY2224">
        <v>7</v>
      </c>
      <c r="CZ2224" t="s">
        <v>133</v>
      </c>
      <c r="DA2224">
        <v>275</v>
      </c>
      <c r="DB2224">
        <v>0</v>
      </c>
      <c r="DC2224" t="s">
        <v>134</v>
      </c>
      <c r="DD2224" t="s">
        <v>135</v>
      </c>
      <c r="DG2224">
        <v>3321520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"05/01/2025 15:10:42.513"</f>
        <v>05/01/2025 15:10:42.513</v>
      </c>
      <c r="C2225" t="str">
        <f t="shared" si="862"/>
        <v>FFDFD3C0</v>
      </c>
      <c r="D2225" t="s">
        <v>143</v>
      </c>
      <c r="E2225" t="str">
        <f>"05"</f>
        <v>05</v>
      </c>
      <c r="H2225">
        <v>172</v>
      </c>
      <c r="I2225" t="s">
        <v>141</v>
      </c>
      <c r="J2225" t="s">
        <v>144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R2225" t="s">
        <v>127</v>
      </c>
      <c r="S2225" t="str">
        <f t="shared" si="880"/>
        <v>15:10:42.000</v>
      </c>
      <c r="T2225" t="str">
        <f t="shared" si="880"/>
        <v>15:10:42.000</v>
      </c>
      <c r="U2225" t="str">
        <f t="shared" si="863"/>
        <v>A68FCB</v>
      </c>
      <c r="V2225">
        <v>0</v>
      </c>
      <c r="W2225">
        <v>0</v>
      </c>
      <c r="X2225">
        <v>2</v>
      </c>
      <c r="Y2225">
        <v>0</v>
      </c>
      <c r="AA2225">
        <v>1</v>
      </c>
      <c r="AB2225">
        <v>8</v>
      </c>
      <c r="AC2225">
        <v>3</v>
      </c>
      <c r="AD2225">
        <v>0</v>
      </c>
      <c r="AE2225">
        <v>9</v>
      </c>
      <c r="AF2225" t="s">
        <v>138</v>
      </c>
      <c r="AG2225">
        <v>0</v>
      </c>
      <c r="AH2225">
        <v>3</v>
      </c>
      <c r="AI2225">
        <v>2</v>
      </c>
      <c r="AJ2225">
        <v>0</v>
      </c>
      <c r="AK2225" t="s">
        <v>757</v>
      </c>
      <c r="AL2225">
        <v>39.065193999999998</v>
      </c>
      <c r="AM2225" t="s">
        <v>758</v>
      </c>
      <c r="AN2225">
        <v>-121.04144100000001</v>
      </c>
      <c r="AO2225">
        <v>25</v>
      </c>
      <c r="AP2225">
        <v>4600</v>
      </c>
      <c r="AQ2225" t="s">
        <v>131</v>
      </c>
      <c r="AR2225">
        <v>3</v>
      </c>
      <c r="AS2225">
        <v>90</v>
      </c>
      <c r="AT2225">
        <v>128</v>
      </c>
      <c r="BB2225" t="str">
        <f t="shared" si="864"/>
        <v>1200</v>
      </c>
      <c r="BC2225">
        <v>1</v>
      </c>
      <c r="BD2225" t="str">
        <f t="shared" si="865"/>
        <v xml:space="preserve">N52156  </v>
      </c>
      <c r="BE2225">
        <v>1</v>
      </c>
      <c r="BG2225">
        <v>0</v>
      </c>
      <c r="BH2225">
        <v>0</v>
      </c>
      <c r="BI2225">
        <v>0</v>
      </c>
      <c r="BJ2225">
        <v>4600</v>
      </c>
      <c r="BK2225">
        <v>0</v>
      </c>
      <c r="BL2225" t="s">
        <v>188</v>
      </c>
      <c r="BM2225">
        <v>1</v>
      </c>
      <c r="BN2225">
        <v>1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 t="shared" si="881"/>
        <v>15:10:42.280</v>
      </c>
      <c r="CF2225">
        <v>280466494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4</v>
      </c>
      <c r="CY2225">
        <v>7</v>
      </c>
      <c r="CZ2225" t="s">
        <v>133</v>
      </c>
      <c r="DA2225">
        <v>275</v>
      </c>
      <c r="DB2225">
        <v>0</v>
      </c>
      <c r="DC2225" t="s">
        <v>134</v>
      </c>
      <c r="DD2225" t="s">
        <v>135</v>
      </c>
      <c r="DG2225">
        <v>3321520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"05/01/2025 15:10:42.536"</f>
        <v>05/01/2025 15:10:42.536</v>
      </c>
      <c r="C2226" t="str">
        <f t="shared" si="862"/>
        <v>FFDFD3C0</v>
      </c>
      <c r="D2226" t="s">
        <v>140</v>
      </c>
      <c r="E2226" t="str">
        <f>"13"</f>
        <v>13</v>
      </c>
      <c r="F2226">
        <v>1019</v>
      </c>
      <c r="G2226" t="s">
        <v>141</v>
      </c>
      <c r="J2226" t="s">
        <v>142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R2226" t="s">
        <v>127</v>
      </c>
      <c r="S2226" t="str">
        <f t="shared" si="880"/>
        <v>15:10:42.000</v>
      </c>
      <c r="T2226" t="str">
        <f t="shared" si="880"/>
        <v>15:10:42.000</v>
      </c>
      <c r="U2226" t="str">
        <f t="shared" si="863"/>
        <v>A68FCB</v>
      </c>
      <c r="V2226">
        <v>0</v>
      </c>
      <c r="W2226">
        <v>0</v>
      </c>
      <c r="X2226">
        <v>2</v>
      </c>
      <c r="Y2226">
        <v>0</v>
      </c>
      <c r="AA2226">
        <v>1</v>
      </c>
      <c r="AB2226">
        <v>8</v>
      </c>
      <c r="AC2226">
        <v>3</v>
      </c>
      <c r="AD2226">
        <v>0</v>
      </c>
      <c r="AE2226">
        <v>9</v>
      </c>
      <c r="AF2226" t="s">
        <v>138</v>
      </c>
      <c r="AG2226">
        <v>0</v>
      </c>
      <c r="AH2226">
        <v>3</v>
      </c>
      <c r="AI2226">
        <v>2</v>
      </c>
      <c r="AJ2226">
        <v>0</v>
      </c>
      <c r="AK2226" t="s">
        <v>757</v>
      </c>
      <c r="AL2226">
        <v>39.065193999999998</v>
      </c>
      <c r="AM2226" t="s">
        <v>758</v>
      </c>
      <c r="AN2226">
        <v>-121.04144100000001</v>
      </c>
      <c r="AO2226">
        <v>25</v>
      </c>
      <c r="AP2226">
        <v>4600</v>
      </c>
      <c r="AQ2226" t="s">
        <v>131</v>
      </c>
      <c r="AR2226">
        <v>3</v>
      </c>
      <c r="AS2226">
        <v>90</v>
      </c>
      <c r="AT2226">
        <v>128</v>
      </c>
      <c r="BB2226" t="str">
        <f t="shared" si="864"/>
        <v>1200</v>
      </c>
      <c r="BC2226">
        <v>1</v>
      </c>
      <c r="BD2226" t="str">
        <f t="shared" si="865"/>
        <v xml:space="preserve">N52156  </v>
      </c>
      <c r="BE2226">
        <v>1</v>
      </c>
      <c r="BG2226">
        <v>0</v>
      </c>
      <c r="BH2226">
        <v>0</v>
      </c>
      <c r="BI2226">
        <v>0</v>
      </c>
      <c r="BJ2226">
        <v>4600</v>
      </c>
      <c r="BK2226">
        <v>0</v>
      </c>
      <c r="BL2226" t="s">
        <v>188</v>
      </c>
      <c r="BM2226">
        <v>1</v>
      </c>
      <c r="BN2226">
        <v>1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 t="shared" si="881"/>
        <v>15:10:42.280</v>
      </c>
      <c r="CF2226">
        <v>280466494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4</v>
      </c>
      <c r="CY2226">
        <v>7</v>
      </c>
      <c r="CZ2226" t="s">
        <v>133</v>
      </c>
      <c r="DA2226">
        <v>275</v>
      </c>
      <c r="DB2226">
        <v>0</v>
      </c>
      <c r="DC2226" t="s">
        <v>134</v>
      </c>
      <c r="DD2226" t="s">
        <v>135</v>
      </c>
      <c r="DG2226">
        <v>3321520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"05/01/2025 15:10:42.545"</f>
        <v>05/01/2025 15:10:42.545</v>
      </c>
      <c r="C2227" t="str">
        <f t="shared" si="862"/>
        <v>FFDFD3C0</v>
      </c>
      <c r="D2227" t="s">
        <v>124</v>
      </c>
      <c r="E2227" t="str">
        <f>"06"</f>
        <v>06</v>
      </c>
      <c r="F2227">
        <v>2006</v>
      </c>
      <c r="G2227" t="s">
        <v>125</v>
      </c>
      <c r="J2227" t="s">
        <v>126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R2227" t="s">
        <v>127</v>
      </c>
      <c r="S2227" t="str">
        <f t="shared" si="880"/>
        <v>15:10:42.000</v>
      </c>
      <c r="T2227" t="str">
        <f t="shared" si="880"/>
        <v>15:10:42.000</v>
      </c>
      <c r="U2227" t="str">
        <f t="shared" si="863"/>
        <v>A68FCB</v>
      </c>
      <c r="V2227">
        <v>0</v>
      </c>
      <c r="W2227">
        <v>0</v>
      </c>
      <c r="X2227">
        <v>2</v>
      </c>
      <c r="Y2227">
        <v>0</v>
      </c>
      <c r="AA2227">
        <v>1</v>
      </c>
      <c r="AB2227">
        <v>8</v>
      </c>
      <c r="AC2227">
        <v>3</v>
      </c>
      <c r="AD2227">
        <v>0</v>
      </c>
      <c r="AE2227">
        <v>9</v>
      </c>
      <c r="AF2227" t="s">
        <v>138</v>
      </c>
      <c r="AG2227">
        <v>0</v>
      </c>
      <c r="AH2227">
        <v>3</v>
      </c>
      <c r="AI2227">
        <v>2</v>
      </c>
      <c r="AJ2227">
        <v>0</v>
      </c>
      <c r="AK2227" t="s">
        <v>757</v>
      </c>
      <c r="AL2227">
        <v>39.065193999999998</v>
      </c>
      <c r="AM2227" t="s">
        <v>758</v>
      </c>
      <c r="AN2227">
        <v>-121.04144100000001</v>
      </c>
      <c r="AO2227">
        <v>25</v>
      </c>
      <c r="AP2227">
        <v>4600</v>
      </c>
      <c r="AQ2227" t="s">
        <v>131</v>
      </c>
      <c r="AR2227">
        <v>3</v>
      </c>
      <c r="AS2227">
        <v>90</v>
      </c>
      <c r="AT2227">
        <v>128</v>
      </c>
      <c r="BB2227" t="str">
        <f t="shared" si="864"/>
        <v>1200</v>
      </c>
      <c r="BC2227">
        <v>1</v>
      </c>
      <c r="BD2227" t="str">
        <f t="shared" si="865"/>
        <v xml:space="preserve">N52156  </v>
      </c>
      <c r="BE2227">
        <v>1</v>
      </c>
      <c r="BG2227">
        <v>0</v>
      </c>
      <c r="BH2227">
        <v>0</v>
      </c>
      <c r="BI2227">
        <v>0</v>
      </c>
      <c r="BJ2227">
        <v>4600</v>
      </c>
      <c r="BK2227">
        <v>0</v>
      </c>
      <c r="BL2227" t="s">
        <v>188</v>
      </c>
      <c r="BM2227">
        <v>1</v>
      </c>
      <c r="BN2227">
        <v>1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 t="shared" si="881"/>
        <v>15:10:42.280</v>
      </c>
      <c r="CF2227">
        <v>280466494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4</v>
      </c>
      <c r="CY2227">
        <v>7</v>
      </c>
      <c r="CZ2227" t="s">
        <v>133</v>
      </c>
      <c r="DA2227">
        <v>275</v>
      </c>
      <c r="DB2227">
        <v>0</v>
      </c>
      <c r="DC2227" t="s">
        <v>134</v>
      </c>
      <c r="DD2227" t="s">
        <v>135</v>
      </c>
      <c r="DG2227">
        <v>3321520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"05/01/2025 15:10:43.711"</f>
        <v>05/01/2025 15:10:43.711</v>
      </c>
      <c r="C2228" t="str">
        <f t="shared" si="862"/>
        <v>FFDFD3C0</v>
      </c>
      <c r="D2228" t="s">
        <v>136</v>
      </c>
      <c r="E2228" t="str">
        <f>"20"</f>
        <v>20</v>
      </c>
      <c r="H2228">
        <v>400</v>
      </c>
      <c r="I2228" t="s">
        <v>137</v>
      </c>
      <c r="J2228" t="s">
        <v>138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R2228" t="s">
        <v>127</v>
      </c>
      <c r="S2228" t="str">
        <f t="shared" ref="S2228:T2233" si="882">"15:10:43.000"</f>
        <v>15:10:43.000</v>
      </c>
      <c r="T2228" t="str">
        <f t="shared" si="882"/>
        <v>15:10:43.000</v>
      </c>
      <c r="U2228" t="str">
        <f t="shared" si="863"/>
        <v>A68FCB</v>
      </c>
      <c r="V2228">
        <v>0</v>
      </c>
      <c r="W2228">
        <v>0</v>
      </c>
      <c r="X2228">
        <v>2</v>
      </c>
      <c r="Y2228">
        <v>0</v>
      </c>
      <c r="AA2228">
        <v>1</v>
      </c>
      <c r="AB2228">
        <v>8</v>
      </c>
      <c r="AC2228">
        <v>3</v>
      </c>
      <c r="AD2228">
        <v>0</v>
      </c>
      <c r="AE2228">
        <v>9</v>
      </c>
      <c r="AF2228" t="s">
        <v>138</v>
      </c>
      <c r="AG2228">
        <v>0</v>
      </c>
      <c r="AH2228">
        <v>3</v>
      </c>
      <c r="AI2228">
        <v>2</v>
      </c>
      <c r="AJ2228">
        <v>0</v>
      </c>
      <c r="AK2228" t="s">
        <v>759</v>
      </c>
      <c r="AL2228">
        <v>39.065623000000002</v>
      </c>
      <c r="AM2228" t="s">
        <v>760</v>
      </c>
      <c r="AN2228">
        <v>-121.04142</v>
      </c>
      <c r="AO2228">
        <v>25</v>
      </c>
      <c r="AP2228">
        <v>4600</v>
      </c>
      <c r="AQ2228" t="s">
        <v>131</v>
      </c>
      <c r="AR2228">
        <v>2</v>
      </c>
      <c r="AS2228">
        <v>90</v>
      </c>
      <c r="AT2228">
        <v>128</v>
      </c>
      <c r="BB2228" t="str">
        <f t="shared" si="864"/>
        <v>1200</v>
      </c>
      <c r="BC2228">
        <v>1</v>
      </c>
      <c r="BD2228" t="str">
        <f t="shared" si="865"/>
        <v xml:space="preserve">N52156  </v>
      </c>
      <c r="BE2228">
        <v>1</v>
      </c>
      <c r="BG2228">
        <v>0</v>
      </c>
      <c r="BH2228">
        <v>0</v>
      </c>
      <c r="BI2228">
        <v>0</v>
      </c>
      <c r="BJ2228">
        <v>4600</v>
      </c>
      <c r="BK2228">
        <v>0</v>
      </c>
      <c r="BL2228" t="s">
        <v>188</v>
      </c>
      <c r="BM2228">
        <v>1</v>
      </c>
      <c r="BN2228">
        <v>1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 t="shared" ref="CE2228:CE2233" si="883">"15:10:43.518"</f>
        <v>15:10:43.518</v>
      </c>
      <c r="CF2228">
        <v>517717158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4</v>
      </c>
      <c r="CY2228">
        <v>7</v>
      </c>
      <c r="CZ2228" t="s">
        <v>133</v>
      </c>
      <c r="DA2228">
        <v>275</v>
      </c>
      <c r="DB2228">
        <v>0</v>
      </c>
      <c r="DC2228" t="s">
        <v>134</v>
      </c>
      <c r="DD2228" t="s">
        <v>135</v>
      </c>
      <c r="DG2228">
        <v>3321530</v>
      </c>
      <c r="DI2228">
        <v>1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"05/01/2025 15:10:43.716"</f>
        <v>05/01/2025 15:10:43.716</v>
      </c>
      <c r="C2229" t="str">
        <f t="shared" si="862"/>
        <v>FFDFD3C0</v>
      </c>
      <c r="D2229" t="s">
        <v>143</v>
      </c>
      <c r="E2229" t="str">
        <f>"05"</f>
        <v>05</v>
      </c>
      <c r="H2229">
        <v>172</v>
      </c>
      <c r="I2229" t="s">
        <v>141</v>
      </c>
      <c r="J2229" t="s">
        <v>144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R2229" t="s">
        <v>127</v>
      </c>
      <c r="S2229" t="str">
        <f t="shared" si="882"/>
        <v>15:10:43.000</v>
      </c>
      <c r="T2229" t="str">
        <f t="shared" si="882"/>
        <v>15:10:43.000</v>
      </c>
      <c r="U2229" t="str">
        <f t="shared" si="863"/>
        <v>A68FCB</v>
      </c>
      <c r="V2229">
        <v>0</v>
      </c>
      <c r="W2229">
        <v>0</v>
      </c>
      <c r="X2229">
        <v>2</v>
      </c>
      <c r="Y2229">
        <v>0</v>
      </c>
      <c r="AA2229">
        <v>1</v>
      </c>
      <c r="AB2229">
        <v>8</v>
      </c>
      <c r="AC2229">
        <v>3</v>
      </c>
      <c r="AD2229">
        <v>0</v>
      </c>
      <c r="AE2229">
        <v>9</v>
      </c>
      <c r="AF2229" t="s">
        <v>138</v>
      </c>
      <c r="AG2229">
        <v>0</v>
      </c>
      <c r="AH2229">
        <v>3</v>
      </c>
      <c r="AI2229">
        <v>2</v>
      </c>
      <c r="AJ2229">
        <v>0</v>
      </c>
      <c r="AK2229" t="s">
        <v>759</v>
      </c>
      <c r="AL2229">
        <v>39.065623000000002</v>
      </c>
      <c r="AM2229" t="s">
        <v>760</v>
      </c>
      <c r="AN2229">
        <v>-121.04142</v>
      </c>
      <c r="AO2229">
        <v>25</v>
      </c>
      <c r="AP2229">
        <v>4600</v>
      </c>
      <c r="AQ2229" t="s">
        <v>131</v>
      </c>
      <c r="AR2229">
        <v>2</v>
      </c>
      <c r="AS2229">
        <v>90</v>
      </c>
      <c r="AT2229">
        <v>128</v>
      </c>
      <c r="BB2229" t="str">
        <f t="shared" si="864"/>
        <v>1200</v>
      </c>
      <c r="BC2229">
        <v>1</v>
      </c>
      <c r="BD2229" t="str">
        <f t="shared" si="865"/>
        <v xml:space="preserve">N52156  </v>
      </c>
      <c r="BE2229">
        <v>1</v>
      </c>
      <c r="BG2229">
        <v>0</v>
      </c>
      <c r="BH2229">
        <v>0</v>
      </c>
      <c r="BI2229">
        <v>0</v>
      </c>
      <c r="BJ2229">
        <v>4600</v>
      </c>
      <c r="BK2229">
        <v>0</v>
      </c>
      <c r="BL2229" t="s">
        <v>188</v>
      </c>
      <c r="BM2229">
        <v>1</v>
      </c>
      <c r="BN2229">
        <v>1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 t="shared" si="883"/>
        <v>15:10:43.518</v>
      </c>
      <c r="CF2229">
        <v>517717158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4</v>
      </c>
      <c r="CY2229">
        <v>7</v>
      </c>
      <c r="CZ2229" t="s">
        <v>133</v>
      </c>
      <c r="DA2229">
        <v>275</v>
      </c>
      <c r="DB2229">
        <v>0</v>
      </c>
      <c r="DC2229" t="s">
        <v>134</v>
      </c>
      <c r="DD2229" t="s">
        <v>135</v>
      </c>
      <c r="DG2229">
        <v>3321530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"05/01/2025 15:10:43.739"</f>
        <v>05/01/2025 15:10:43.739</v>
      </c>
      <c r="C2230" t="str">
        <f t="shared" si="862"/>
        <v>FFDFD3C0</v>
      </c>
      <c r="D2230" t="s">
        <v>140</v>
      </c>
      <c r="E2230" t="str">
        <f>"13"</f>
        <v>13</v>
      </c>
      <c r="F2230">
        <v>1019</v>
      </c>
      <c r="G2230" t="s">
        <v>141</v>
      </c>
      <c r="J2230" t="s">
        <v>142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R2230" t="s">
        <v>127</v>
      </c>
      <c r="S2230" t="str">
        <f t="shared" si="882"/>
        <v>15:10:43.000</v>
      </c>
      <c r="T2230" t="str">
        <f t="shared" si="882"/>
        <v>15:10:43.000</v>
      </c>
      <c r="U2230" t="str">
        <f t="shared" si="863"/>
        <v>A68FCB</v>
      </c>
      <c r="V2230">
        <v>0</v>
      </c>
      <c r="W2230">
        <v>0</v>
      </c>
      <c r="X2230">
        <v>2</v>
      </c>
      <c r="Y2230">
        <v>0</v>
      </c>
      <c r="AA2230">
        <v>1</v>
      </c>
      <c r="AB2230">
        <v>8</v>
      </c>
      <c r="AC2230">
        <v>3</v>
      </c>
      <c r="AD2230">
        <v>0</v>
      </c>
      <c r="AE2230">
        <v>9</v>
      </c>
      <c r="AF2230" t="s">
        <v>138</v>
      </c>
      <c r="AG2230">
        <v>0</v>
      </c>
      <c r="AH2230">
        <v>3</v>
      </c>
      <c r="AI2230">
        <v>2</v>
      </c>
      <c r="AJ2230">
        <v>0</v>
      </c>
      <c r="AK2230" t="s">
        <v>759</v>
      </c>
      <c r="AL2230">
        <v>39.065623000000002</v>
      </c>
      <c r="AM2230" t="s">
        <v>760</v>
      </c>
      <c r="AN2230">
        <v>-121.04142</v>
      </c>
      <c r="AO2230">
        <v>25</v>
      </c>
      <c r="AP2230">
        <v>4600</v>
      </c>
      <c r="AQ2230" t="s">
        <v>131</v>
      </c>
      <c r="AR2230">
        <v>2</v>
      </c>
      <c r="AS2230">
        <v>90</v>
      </c>
      <c r="AT2230">
        <v>128</v>
      </c>
      <c r="BB2230" t="str">
        <f t="shared" si="864"/>
        <v>1200</v>
      </c>
      <c r="BC2230">
        <v>1</v>
      </c>
      <c r="BD2230" t="str">
        <f t="shared" si="865"/>
        <v xml:space="preserve">N52156  </v>
      </c>
      <c r="BE2230">
        <v>1</v>
      </c>
      <c r="BG2230">
        <v>0</v>
      </c>
      <c r="BH2230">
        <v>0</v>
      </c>
      <c r="BI2230">
        <v>0</v>
      </c>
      <c r="BJ2230">
        <v>4600</v>
      </c>
      <c r="BK2230">
        <v>0</v>
      </c>
      <c r="BL2230" t="s">
        <v>188</v>
      </c>
      <c r="BM2230">
        <v>1</v>
      </c>
      <c r="BN2230">
        <v>1</v>
      </c>
      <c r="BO2230">
        <v>0</v>
      </c>
      <c r="BP2230">
        <v>0</v>
      </c>
      <c r="BS2230">
        <v>0</v>
      </c>
      <c r="BT2230">
        <v>0</v>
      </c>
      <c r="BU2230">
        <v>0</v>
      </c>
      <c r="CE2230" t="str">
        <f t="shared" si="883"/>
        <v>15:10:43.518</v>
      </c>
      <c r="CF2230">
        <v>517717158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4</v>
      </c>
      <c r="CY2230">
        <v>7</v>
      </c>
      <c r="CZ2230" t="s">
        <v>133</v>
      </c>
      <c r="DA2230">
        <v>275</v>
      </c>
      <c r="DB2230">
        <v>0</v>
      </c>
      <c r="DC2230" t="s">
        <v>134</v>
      </c>
      <c r="DD2230" t="s">
        <v>135</v>
      </c>
      <c r="DG2230">
        <v>3321530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"05/01/2025 15:10:43.747"</f>
        <v>05/01/2025 15:10:43.747</v>
      </c>
      <c r="C2231" t="str">
        <f t="shared" si="862"/>
        <v>FFDFD3C0</v>
      </c>
      <c r="D2231" t="s">
        <v>124</v>
      </c>
      <c r="E2231" t="str">
        <f>"06"</f>
        <v>06</v>
      </c>
      <c r="F2231">
        <v>2006</v>
      </c>
      <c r="G2231" t="s">
        <v>125</v>
      </c>
      <c r="J2231" t="s">
        <v>126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R2231" t="s">
        <v>127</v>
      </c>
      <c r="S2231" t="str">
        <f t="shared" si="882"/>
        <v>15:10:43.000</v>
      </c>
      <c r="T2231" t="str">
        <f t="shared" si="882"/>
        <v>15:10:43.000</v>
      </c>
      <c r="U2231" t="str">
        <f t="shared" si="863"/>
        <v>A68FCB</v>
      </c>
      <c r="V2231">
        <v>0</v>
      </c>
      <c r="W2231">
        <v>0</v>
      </c>
      <c r="X2231">
        <v>2</v>
      </c>
      <c r="Y2231">
        <v>0</v>
      </c>
      <c r="AA2231">
        <v>1</v>
      </c>
      <c r="AB2231">
        <v>8</v>
      </c>
      <c r="AC2231">
        <v>3</v>
      </c>
      <c r="AD2231">
        <v>0</v>
      </c>
      <c r="AE2231">
        <v>9</v>
      </c>
      <c r="AF2231" t="s">
        <v>138</v>
      </c>
      <c r="AG2231">
        <v>0</v>
      </c>
      <c r="AH2231">
        <v>3</v>
      </c>
      <c r="AI2231">
        <v>2</v>
      </c>
      <c r="AJ2231">
        <v>0</v>
      </c>
      <c r="AK2231" t="s">
        <v>759</v>
      </c>
      <c r="AL2231">
        <v>39.065623000000002</v>
      </c>
      <c r="AM2231" t="s">
        <v>760</v>
      </c>
      <c r="AN2231">
        <v>-121.04142</v>
      </c>
      <c r="AO2231">
        <v>25</v>
      </c>
      <c r="AP2231">
        <v>4600</v>
      </c>
      <c r="AQ2231" t="s">
        <v>131</v>
      </c>
      <c r="AR2231">
        <v>2</v>
      </c>
      <c r="AS2231">
        <v>90</v>
      </c>
      <c r="AT2231">
        <v>128</v>
      </c>
      <c r="BB2231" t="str">
        <f t="shared" si="864"/>
        <v>1200</v>
      </c>
      <c r="BC2231">
        <v>1</v>
      </c>
      <c r="BD2231" t="str">
        <f t="shared" si="865"/>
        <v xml:space="preserve">N52156  </v>
      </c>
      <c r="BE2231">
        <v>1</v>
      </c>
      <c r="BG2231">
        <v>0</v>
      </c>
      <c r="BH2231">
        <v>0</v>
      </c>
      <c r="BI2231">
        <v>0</v>
      </c>
      <c r="BJ2231">
        <v>4600</v>
      </c>
      <c r="BK2231">
        <v>0</v>
      </c>
      <c r="BL2231" t="s">
        <v>188</v>
      </c>
      <c r="BM2231">
        <v>1</v>
      </c>
      <c r="BN2231">
        <v>1</v>
      </c>
      <c r="BO2231">
        <v>0</v>
      </c>
      <c r="BP2231">
        <v>0</v>
      </c>
      <c r="BS2231">
        <v>0</v>
      </c>
      <c r="BT2231">
        <v>0</v>
      </c>
      <c r="BU2231">
        <v>0</v>
      </c>
      <c r="CE2231" t="str">
        <f t="shared" si="883"/>
        <v>15:10:43.518</v>
      </c>
      <c r="CF2231">
        <v>517717158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4</v>
      </c>
      <c r="CY2231">
        <v>7</v>
      </c>
      <c r="CZ2231" t="s">
        <v>133</v>
      </c>
      <c r="DA2231">
        <v>275</v>
      </c>
      <c r="DB2231">
        <v>0</v>
      </c>
      <c r="DC2231" t="s">
        <v>134</v>
      </c>
      <c r="DD2231" t="s">
        <v>135</v>
      </c>
      <c r="DG2231">
        <v>3321530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"05/01/2025 15:10:43.753"</f>
        <v>05/01/2025 15:10:43.753</v>
      </c>
      <c r="C2232" t="str">
        <f t="shared" si="862"/>
        <v>FFDFD3C0</v>
      </c>
      <c r="D2232" t="s">
        <v>145</v>
      </c>
      <c r="E2232" t="str">
        <f>"05"</f>
        <v>05</v>
      </c>
      <c r="H2232">
        <v>47</v>
      </c>
      <c r="I2232" t="s">
        <v>146</v>
      </c>
      <c r="J2232" t="s">
        <v>138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R2232" t="s">
        <v>127</v>
      </c>
      <c r="S2232" t="str">
        <f t="shared" si="882"/>
        <v>15:10:43.000</v>
      </c>
      <c r="T2232" t="str">
        <f t="shared" si="882"/>
        <v>15:10:43.000</v>
      </c>
      <c r="U2232" t="str">
        <f t="shared" si="863"/>
        <v>A68FCB</v>
      </c>
      <c r="V2232">
        <v>0</v>
      </c>
      <c r="W2232">
        <v>0</v>
      </c>
      <c r="X2232">
        <v>2</v>
      </c>
      <c r="Y2232">
        <v>0</v>
      </c>
      <c r="AA2232">
        <v>1</v>
      </c>
      <c r="AB2232">
        <v>8</v>
      </c>
      <c r="AC2232">
        <v>3</v>
      </c>
      <c r="AD2232">
        <v>0</v>
      </c>
      <c r="AE2232">
        <v>9</v>
      </c>
      <c r="AF2232" t="s">
        <v>138</v>
      </c>
      <c r="AG2232">
        <v>0</v>
      </c>
      <c r="AH2232">
        <v>3</v>
      </c>
      <c r="AI2232">
        <v>2</v>
      </c>
      <c r="AJ2232">
        <v>0</v>
      </c>
      <c r="AK2232" t="s">
        <v>759</v>
      </c>
      <c r="AL2232">
        <v>39.065623000000002</v>
      </c>
      <c r="AM2232" t="s">
        <v>760</v>
      </c>
      <c r="AN2232">
        <v>-121.04142</v>
      </c>
      <c r="AO2232">
        <v>25</v>
      </c>
      <c r="AP2232">
        <v>4600</v>
      </c>
      <c r="AQ2232" t="s">
        <v>131</v>
      </c>
      <c r="AR2232">
        <v>2</v>
      </c>
      <c r="AS2232">
        <v>90</v>
      </c>
      <c r="AT2232">
        <v>128</v>
      </c>
      <c r="BB2232" t="str">
        <f t="shared" si="864"/>
        <v>1200</v>
      </c>
      <c r="BC2232">
        <v>1</v>
      </c>
      <c r="BD2232" t="str">
        <f t="shared" si="865"/>
        <v xml:space="preserve">N52156  </v>
      </c>
      <c r="BE2232">
        <v>1</v>
      </c>
      <c r="BG2232">
        <v>0</v>
      </c>
      <c r="BH2232">
        <v>0</v>
      </c>
      <c r="BI2232">
        <v>0</v>
      </c>
      <c r="BJ2232">
        <v>4600</v>
      </c>
      <c r="BK2232">
        <v>0</v>
      </c>
      <c r="BL2232" t="s">
        <v>188</v>
      </c>
      <c r="BM2232">
        <v>1</v>
      </c>
      <c r="BN2232">
        <v>1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 t="shared" si="883"/>
        <v>15:10:43.518</v>
      </c>
      <c r="CF2232">
        <v>517717158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4</v>
      </c>
      <c r="CY2232">
        <v>7</v>
      </c>
      <c r="CZ2232" t="s">
        <v>133</v>
      </c>
      <c r="DA2232">
        <v>275</v>
      </c>
      <c r="DB2232">
        <v>0</v>
      </c>
      <c r="DC2232" t="s">
        <v>134</v>
      </c>
      <c r="DD2232" t="s">
        <v>135</v>
      </c>
      <c r="DG2232">
        <v>3321530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"05/01/2025 15:10:43.755"</f>
        <v>05/01/2025 15:10:43.755</v>
      </c>
      <c r="C2233" t="str">
        <f t="shared" si="862"/>
        <v>FFDFD3C0</v>
      </c>
      <c r="D2233" t="s">
        <v>145</v>
      </c>
      <c r="E2233" t="str">
        <f>"09"</f>
        <v>09</v>
      </c>
      <c r="H2233">
        <v>51</v>
      </c>
      <c r="I2233" t="s">
        <v>147</v>
      </c>
      <c r="J2233" t="s">
        <v>138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R2233" t="s">
        <v>127</v>
      </c>
      <c r="S2233" t="str">
        <f t="shared" si="882"/>
        <v>15:10:43.000</v>
      </c>
      <c r="T2233" t="str">
        <f t="shared" si="882"/>
        <v>15:10:43.000</v>
      </c>
      <c r="U2233" t="str">
        <f t="shared" si="863"/>
        <v>A68FCB</v>
      </c>
      <c r="V2233">
        <v>0</v>
      </c>
      <c r="W2233">
        <v>0</v>
      </c>
      <c r="X2233">
        <v>2</v>
      </c>
      <c r="Y2233">
        <v>0</v>
      </c>
      <c r="AA2233">
        <v>1</v>
      </c>
      <c r="AB2233">
        <v>8</v>
      </c>
      <c r="AC2233">
        <v>3</v>
      </c>
      <c r="AD2233">
        <v>0</v>
      </c>
      <c r="AE2233">
        <v>9</v>
      </c>
      <c r="AF2233" t="s">
        <v>138</v>
      </c>
      <c r="AG2233">
        <v>0</v>
      </c>
      <c r="AH2233">
        <v>3</v>
      </c>
      <c r="AI2233">
        <v>2</v>
      </c>
      <c r="AJ2233">
        <v>0</v>
      </c>
      <c r="AK2233" t="s">
        <v>759</v>
      </c>
      <c r="AL2233">
        <v>39.065623000000002</v>
      </c>
      <c r="AM2233" t="s">
        <v>760</v>
      </c>
      <c r="AN2233">
        <v>-121.04142</v>
      </c>
      <c r="AO2233">
        <v>25</v>
      </c>
      <c r="AP2233">
        <v>4600</v>
      </c>
      <c r="AQ2233" t="s">
        <v>131</v>
      </c>
      <c r="AR2233">
        <v>2</v>
      </c>
      <c r="AS2233">
        <v>90</v>
      </c>
      <c r="AT2233">
        <v>128</v>
      </c>
      <c r="BB2233" t="str">
        <f t="shared" si="864"/>
        <v>1200</v>
      </c>
      <c r="BC2233">
        <v>1</v>
      </c>
      <c r="BD2233" t="str">
        <f t="shared" si="865"/>
        <v xml:space="preserve">N52156  </v>
      </c>
      <c r="BE2233">
        <v>1</v>
      </c>
      <c r="BG2233">
        <v>0</v>
      </c>
      <c r="BH2233">
        <v>0</v>
      </c>
      <c r="BI2233">
        <v>0</v>
      </c>
      <c r="BJ2233">
        <v>4600</v>
      </c>
      <c r="BK2233">
        <v>0</v>
      </c>
      <c r="BL2233" t="s">
        <v>188</v>
      </c>
      <c r="BM2233">
        <v>1</v>
      </c>
      <c r="BN2233">
        <v>1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 t="shared" si="883"/>
        <v>15:10:43.518</v>
      </c>
      <c r="CF2233">
        <v>517717158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4</v>
      </c>
      <c r="CY2233">
        <v>7</v>
      </c>
      <c r="CZ2233" t="s">
        <v>133</v>
      </c>
      <c r="DA2233">
        <v>275</v>
      </c>
      <c r="DB2233">
        <v>0</v>
      </c>
      <c r="DC2233" t="s">
        <v>134</v>
      </c>
      <c r="DD2233" t="s">
        <v>135</v>
      </c>
      <c r="DG2233">
        <v>3321530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"05/01/2025 15:10:44.841"</f>
        <v>05/01/2025 15:10:44.841</v>
      </c>
      <c r="C2234" t="str">
        <f t="shared" si="862"/>
        <v>FFDFD3C0</v>
      </c>
      <c r="D2234" t="s">
        <v>140</v>
      </c>
      <c r="E2234" t="str">
        <f>"13"</f>
        <v>13</v>
      </c>
      <c r="F2234">
        <v>1019</v>
      </c>
      <c r="G2234" t="s">
        <v>141</v>
      </c>
      <c r="J2234" t="s">
        <v>142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R2234" t="s">
        <v>127</v>
      </c>
      <c r="S2234" t="str">
        <f t="shared" ref="S2234:T2239" si="884">"15:10:44.000"</f>
        <v>15:10:44.000</v>
      </c>
      <c r="T2234" t="str">
        <f t="shared" si="884"/>
        <v>15:10:44.000</v>
      </c>
      <c r="U2234" t="str">
        <f t="shared" si="863"/>
        <v>A68FCB</v>
      </c>
      <c r="V2234">
        <v>0</v>
      </c>
      <c r="W2234">
        <v>0</v>
      </c>
      <c r="X2234">
        <v>2</v>
      </c>
      <c r="Y2234">
        <v>0</v>
      </c>
      <c r="AA2234">
        <v>1</v>
      </c>
      <c r="AB2234">
        <v>8</v>
      </c>
      <c r="AC2234">
        <v>3</v>
      </c>
      <c r="AD2234">
        <v>0</v>
      </c>
      <c r="AE2234">
        <v>9</v>
      </c>
      <c r="AF2234" t="s">
        <v>138</v>
      </c>
      <c r="AG2234">
        <v>0</v>
      </c>
      <c r="AH2234">
        <v>3</v>
      </c>
      <c r="AI2234">
        <v>2</v>
      </c>
      <c r="AJ2234">
        <v>0</v>
      </c>
      <c r="AK2234" t="s">
        <v>761</v>
      </c>
      <c r="AL2234">
        <v>39.066031000000002</v>
      </c>
      <c r="AM2234" t="s">
        <v>762</v>
      </c>
      <c r="AN2234">
        <v>-121.041398</v>
      </c>
      <c r="AO2234">
        <v>25</v>
      </c>
      <c r="AP2234">
        <v>4600</v>
      </c>
      <c r="AQ2234" t="s">
        <v>131</v>
      </c>
      <c r="AR2234">
        <v>2</v>
      </c>
      <c r="AS2234">
        <v>90</v>
      </c>
      <c r="AT2234">
        <v>128</v>
      </c>
      <c r="BB2234" t="str">
        <f t="shared" si="864"/>
        <v>1200</v>
      </c>
      <c r="BC2234">
        <v>1</v>
      </c>
      <c r="BD2234" t="str">
        <f t="shared" si="865"/>
        <v xml:space="preserve">N52156  </v>
      </c>
      <c r="BE2234">
        <v>1</v>
      </c>
      <c r="BG2234">
        <v>0</v>
      </c>
      <c r="BH2234">
        <v>0</v>
      </c>
      <c r="BI2234">
        <v>0</v>
      </c>
      <c r="BJ2234">
        <v>4600</v>
      </c>
      <c r="BK2234">
        <v>0</v>
      </c>
      <c r="BL2234" t="s">
        <v>188</v>
      </c>
      <c r="BM2234">
        <v>1</v>
      </c>
      <c r="BN2234">
        <v>1</v>
      </c>
      <c r="BO2234">
        <v>0</v>
      </c>
      <c r="BP2234">
        <v>0</v>
      </c>
      <c r="BS2234">
        <v>0</v>
      </c>
      <c r="BT2234">
        <v>0</v>
      </c>
      <c r="BU2234">
        <v>0</v>
      </c>
      <c r="CE2234" t="str">
        <f t="shared" ref="CE2234:CE2239" si="885">"15:10:44.614"</f>
        <v>15:10:44.614</v>
      </c>
      <c r="CF2234">
        <v>613967475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4</v>
      </c>
      <c r="CY2234">
        <v>7</v>
      </c>
      <c r="CZ2234" t="s">
        <v>133</v>
      </c>
      <c r="DA2234">
        <v>275</v>
      </c>
      <c r="DB2234">
        <v>0</v>
      </c>
      <c r="DC2234" t="s">
        <v>134</v>
      </c>
      <c r="DD2234" t="s">
        <v>135</v>
      </c>
      <c r="DG2234">
        <v>3321539</v>
      </c>
      <c r="DI2234">
        <v>1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"05/01/2025 15:10:44.850"</f>
        <v>05/01/2025 15:10:44.850</v>
      </c>
      <c r="C2235" t="str">
        <f t="shared" si="862"/>
        <v>FFDFD3C0</v>
      </c>
      <c r="D2235" t="s">
        <v>124</v>
      </c>
      <c r="E2235" t="str">
        <f>"06"</f>
        <v>06</v>
      </c>
      <c r="F2235">
        <v>2006</v>
      </c>
      <c r="G2235" t="s">
        <v>125</v>
      </c>
      <c r="J2235" t="s">
        <v>126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R2235" t="s">
        <v>127</v>
      </c>
      <c r="S2235" t="str">
        <f t="shared" si="884"/>
        <v>15:10:44.000</v>
      </c>
      <c r="T2235" t="str">
        <f t="shared" si="884"/>
        <v>15:10:44.000</v>
      </c>
      <c r="U2235" t="str">
        <f t="shared" si="863"/>
        <v>A68FCB</v>
      </c>
      <c r="V2235">
        <v>0</v>
      </c>
      <c r="W2235">
        <v>0</v>
      </c>
      <c r="X2235">
        <v>2</v>
      </c>
      <c r="Y2235">
        <v>0</v>
      </c>
      <c r="AA2235">
        <v>1</v>
      </c>
      <c r="AB2235">
        <v>8</v>
      </c>
      <c r="AC2235">
        <v>3</v>
      </c>
      <c r="AD2235">
        <v>0</v>
      </c>
      <c r="AE2235">
        <v>9</v>
      </c>
      <c r="AF2235" t="s">
        <v>138</v>
      </c>
      <c r="AG2235">
        <v>0</v>
      </c>
      <c r="AH2235">
        <v>3</v>
      </c>
      <c r="AI2235">
        <v>2</v>
      </c>
      <c r="AJ2235">
        <v>0</v>
      </c>
      <c r="AK2235" t="s">
        <v>761</v>
      </c>
      <c r="AL2235">
        <v>39.066031000000002</v>
      </c>
      <c r="AM2235" t="s">
        <v>762</v>
      </c>
      <c r="AN2235">
        <v>-121.041398</v>
      </c>
      <c r="AO2235">
        <v>25</v>
      </c>
      <c r="AP2235">
        <v>4600</v>
      </c>
      <c r="AQ2235" t="s">
        <v>131</v>
      </c>
      <c r="AR2235">
        <v>2</v>
      </c>
      <c r="AS2235">
        <v>90</v>
      </c>
      <c r="AT2235">
        <v>128</v>
      </c>
      <c r="BB2235" t="str">
        <f t="shared" si="864"/>
        <v>1200</v>
      </c>
      <c r="BC2235">
        <v>1</v>
      </c>
      <c r="BD2235" t="str">
        <f t="shared" si="865"/>
        <v xml:space="preserve">N52156  </v>
      </c>
      <c r="BE2235">
        <v>1</v>
      </c>
      <c r="BG2235">
        <v>0</v>
      </c>
      <c r="BH2235">
        <v>0</v>
      </c>
      <c r="BI2235">
        <v>0</v>
      </c>
      <c r="BJ2235">
        <v>4600</v>
      </c>
      <c r="BK2235">
        <v>0</v>
      </c>
      <c r="BL2235" t="s">
        <v>188</v>
      </c>
      <c r="BM2235">
        <v>1</v>
      </c>
      <c r="BN2235">
        <v>1</v>
      </c>
      <c r="BO2235">
        <v>0</v>
      </c>
      <c r="BP2235">
        <v>0</v>
      </c>
      <c r="BS2235">
        <v>0</v>
      </c>
      <c r="BT2235">
        <v>0</v>
      </c>
      <c r="BU2235">
        <v>0</v>
      </c>
      <c r="CE2235" t="str">
        <f t="shared" si="885"/>
        <v>15:10:44.614</v>
      </c>
      <c r="CF2235">
        <v>613967475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4</v>
      </c>
      <c r="CY2235">
        <v>7</v>
      </c>
      <c r="CZ2235" t="s">
        <v>133</v>
      </c>
      <c r="DA2235">
        <v>275</v>
      </c>
      <c r="DB2235">
        <v>0</v>
      </c>
      <c r="DC2235" t="s">
        <v>134</v>
      </c>
      <c r="DD2235" t="s">
        <v>135</v>
      </c>
      <c r="DG2235">
        <v>3321539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"05/01/2025 15:10:44.856"</f>
        <v>05/01/2025 15:10:44.856</v>
      </c>
      <c r="C2236" t="str">
        <f t="shared" si="862"/>
        <v>FFDFD3C0</v>
      </c>
      <c r="D2236" t="s">
        <v>145</v>
      </c>
      <c r="E2236" t="str">
        <f>"09"</f>
        <v>09</v>
      </c>
      <c r="H2236">
        <v>51</v>
      </c>
      <c r="I2236" t="s">
        <v>147</v>
      </c>
      <c r="J2236" t="s">
        <v>138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R2236" t="s">
        <v>127</v>
      </c>
      <c r="S2236" t="str">
        <f t="shared" si="884"/>
        <v>15:10:44.000</v>
      </c>
      <c r="T2236" t="str">
        <f t="shared" si="884"/>
        <v>15:10:44.000</v>
      </c>
      <c r="U2236" t="str">
        <f t="shared" si="863"/>
        <v>A68FCB</v>
      </c>
      <c r="V2236">
        <v>0</v>
      </c>
      <c r="W2236">
        <v>0</v>
      </c>
      <c r="X2236">
        <v>2</v>
      </c>
      <c r="Y2236">
        <v>0</v>
      </c>
      <c r="AA2236">
        <v>1</v>
      </c>
      <c r="AB2236">
        <v>8</v>
      </c>
      <c r="AC2236">
        <v>3</v>
      </c>
      <c r="AD2236">
        <v>0</v>
      </c>
      <c r="AE2236">
        <v>9</v>
      </c>
      <c r="AF2236" t="s">
        <v>138</v>
      </c>
      <c r="AG2236">
        <v>0</v>
      </c>
      <c r="AH2236">
        <v>3</v>
      </c>
      <c r="AI2236">
        <v>2</v>
      </c>
      <c r="AJ2236">
        <v>0</v>
      </c>
      <c r="AK2236" t="s">
        <v>761</v>
      </c>
      <c r="AL2236">
        <v>39.066031000000002</v>
      </c>
      <c r="AM2236" t="s">
        <v>762</v>
      </c>
      <c r="AN2236">
        <v>-121.041398</v>
      </c>
      <c r="AO2236">
        <v>25</v>
      </c>
      <c r="AP2236">
        <v>4600</v>
      </c>
      <c r="AQ2236" t="s">
        <v>131</v>
      </c>
      <c r="AR2236">
        <v>2</v>
      </c>
      <c r="AS2236">
        <v>90</v>
      </c>
      <c r="AT2236">
        <v>128</v>
      </c>
      <c r="BB2236" t="str">
        <f t="shared" si="864"/>
        <v>1200</v>
      </c>
      <c r="BC2236">
        <v>1</v>
      </c>
      <c r="BD2236" t="str">
        <f t="shared" si="865"/>
        <v xml:space="preserve">N52156  </v>
      </c>
      <c r="BE2236">
        <v>1</v>
      </c>
      <c r="BG2236">
        <v>0</v>
      </c>
      <c r="BH2236">
        <v>0</v>
      </c>
      <c r="BI2236">
        <v>0</v>
      </c>
      <c r="BJ2236">
        <v>4600</v>
      </c>
      <c r="BK2236">
        <v>0</v>
      </c>
      <c r="BL2236" t="s">
        <v>188</v>
      </c>
      <c r="BM2236">
        <v>1</v>
      </c>
      <c r="BN2236">
        <v>1</v>
      </c>
      <c r="BO2236">
        <v>0</v>
      </c>
      <c r="BP2236">
        <v>0</v>
      </c>
      <c r="BS2236">
        <v>0</v>
      </c>
      <c r="BT2236">
        <v>0</v>
      </c>
      <c r="BU2236">
        <v>0</v>
      </c>
      <c r="CE2236" t="str">
        <f t="shared" si="885"/>
        <v>15:10:44.614</v>
      </c>
      <c r="CF2236">
        <v>613967475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4</v>
      </c>
      <c r="CY2236">
        <v>7</v>
      </c>
      <c r="CZ2236" t="s">
        <v>133</v>
      </c>
      <c r="DA2236">
        <v>275</v>
      </c>
      <c r="DB2236">
        <v>0</v>
      </c>
      <c r="DC2236" t="s">
        <v>134</v>
      </c>
      <c r="DD2236" t="s">
        <v>135</v>
      </c>
      <c r="DG2236">
        <v>3321539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"05/01/2025 15:10:44.855"</f>
        <v>05/01/2025 15:10:44.855</v>
      </c>
      <c r="C2237" t="str">
        <f t="shared" si="862"/>
        <v>FFDFD3C0</v>
      </c>
      <c r="D2237" t="s">
        <v>145</v>
      </c>
      <c r="E2237" t="str">
        <f>"05"</f>
        <v>05</v>
      </c>
      <c r="H2237">
        <v>47</v>
      </c>
      <c r="I2237" t="s">
        <v>146</v>
      </c>
      <c r="J2237" t="s">
        <v>138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R2237" t="s">
        <v>127</v>
      </c>
      <c r="S2237" t="str">
        <f t="shared" si="884"/>
        <v>15:10:44.000</v>
      </c>
      <c r="T2237" t="str">
        <f t="shared" si="884"/>
        <v>15:10:44.000</v>
      </c>
      <c r="U2237" t="str">
        <f t="shared" si="863"/>
        <v>A68FCB</v>
      </c>
      <c r="V2237">
        <v>0</v>
      </c>
      <c r="W2237">
        <v>0</v>
      </c>
      <c r="X2237">
        <v>2</v>
      </c>
      <c r="Y2237">
        <v>0</v>
      </c>
      <c r="AA2237">
        <v>1</v>
      </c>
      <c r="AB2237">
        <v>8</v>
      </c>
      <c r="AC2237">
        <v>3</v>
      </c>
      <c r="AD2237">
        <v>0</v>
      </c>
      <c r="AE2237">
        <v>9</v>
      </c>
      <c r="AF2237" t="s">
        <v>138</v>
      </c>
      <c r="AG2237">
        <v>0</v>
      </c>
      <c r="AH2237">
        <v>3</v>
      </c>
      <c r="AI2237">
        <v>2</v>
      </c>
      <c r="AJ2237">
        <v>0</v>
      </c>
      <c r="AK2237" t="s">
        <v>761</v>
      </c>
      <c r="AL2237">
        <v>39.066031000000002</v>
      </c>
      <c r="AM2237" t="s">
        <v>762</v>
      </c>
      <c r="AN2237">
        <v>-121.041398</v>
      </c>
      <c r="AO2237">
        <v>25</v>
      </c>
      <c r="AP2237">
        <v>4600</v>
      </c>
      <c r="AQ2237" t="s">
        <v>131</v>
      </c>
      <c r="AR2237">
        <v>2</v>
      </c>
      <c r="AS2237">
        <v>90</v>
      </c>
      <c r="AT2237">
        <v>128</v>
      </c>
      <c r="BB2237" t="str">
        <f t="shared" si="864"/>
        <v>1200</v>
      </c>
      <c r="BC2237">
        <v>1</v>
      </c>
      <c r="BD2237" t="str">
        <f t="shared" si="865"/>
        <v xml:space="preserve">N52156  </v>
      </c>
      <c r="BE2237">
        <v>1</v>
      </c>
      <c r="BG2237">
        <v>0</v>
      </c>
      <c r="BH2237">
        <v>0</v>
      </c>
      <c r="BI2237">
        <v>0</v>
      </c>
      <c r="BJ2237">
        <v>4600</v>
      </c>
      <c r="BK2237">
        <v>0</v>
      </c>
      <c r="BL2237" t="s">
        <v>188</v>
      </c>
      <c r="BM2237">
        <v>1</v>
      </c>
      <c r="BN2237">
        <v>1</v>
      </c>
      <c r="BO2237">
        <v>0</v>
      </c>
      <c r="BP2237">
        <v>0</v>
      </c>
      <c r="BS2237">
        <v>0</v>
      </c>
      <c r="BT2237">
        <v>0</v>
      </c>
      <c r="BU2237">
        <v>0</v>
      </c>
      <c r="CE2237" t="str">
        <f t="shared" si="885"/>
        <v>15:10:44.614</v>
      </c>
      <c r="CF2237">
        <v>613967475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4</v>
      </c>
      <c r="CY2237">
        <v>7</v>
      </c>
      <c r="CZ2237" t="s">
        <v>133</v>
      </c>
      <c r="DA2237">
        <v>275</v>
      </c>
      <c r="DB2237">
        <v>0</v>
      </c>
      <c r="DC2237" t="s">
        <v>134</v>
      </c>
      <c r="DD2237" t="s">
        <v>135</v>
      </c>
      <c r="DG2237">
        <v>3321539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"05/01/2025 15:10:44.864"</f>
        <v>05/01/2025 15:10:44.864</v>
      </c>
      <c r="C2238" t="str">
        <f t="shared" si="862"/>
        <v>FFDFD3C0</v>
      </c>
      <c r="D2238" t="s">
        <v>136</v>
      </c>
      <c r="E2238" t="str">
        <f>"20"</f>
        <v>20</v>
      </c>
      <c r="H2238">
        <v>400</v>
      </c>
      <c r="I2238" t="s">
        <v>137</v>
      </c>
      <c r="J2238" t="s">
        <v>138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R2238" t="s">
        <v>127</v>
      </c>
      <c r="S2238" t="str">
        <f t="shared" si="884"/>
        <v>15:10:44.000</v>
      </c>
      <c r="T2238" t="str">
        <f t="shared" si="884"/>
        <v>15:10:44.000</v>
      </c>
      <c r="U2238" t="str">
        <f t="shared" si="863"/>
        <v>A68FCB</v>
      </c>
      <c r="V2238">
        <v>0</v>
      </c>
      <c r="W2238">
        <v>0</v>
      </c>
      <c r="X2238">
        <v>2</v>
      </c>
      <c r="Y2238">
        <v>0</v>
      </c>
      <c r="AA2238">
        <v>1</v>
      </c>
      <c r="AB2238">
        <v>8</v>
      </c>
      <c r="AC2238">
        <v>3</v>
      </c>
      <c r="AD2238">
        <v>0</v>
      </c>
      <c r="AE2238">
        <v>9</v>
      </c>
      <c r="AF2238" t="s">
        <v>138</v>
      </c>
      <c r="AG2238">
        <v>0</v>
      </c>
      <c r="AH2238">
        <v>3</v>
      </c>
      <c r="AI2238">
        <v>2</v>
      </c>
      <c r="AJ2238">
        <v>0</v>
      </c>
      <c r="AK2238" t="s">
        <v>761</v>
      </c>
      <c r="AL2238">
        <v>39.066031000000002</v>
      </c>
      <c r="AM2238" t="s">
        <v>762</v>
      </c>
      <c r="AN2238">
        <v>-121.041398</v>
      </c>
      <c r="AO2238">
        <v>25</v>
      </c>
      <c r="AP2238">
        <v>4600</v>
      </c>
      <c r="AQ2238" t="s">
        <v>131</v>
      </c>
      <c r="AR2238">
        <v>2</v>
      </c>
      <c r="AS2238">
        <v>90</v>
      </c>
      <c r="AT2238">
        <v>128</v>
      </c>
      <c r="BB2238" t="str">
        <f t="shared" si="864"/>
        <v>1200</v>
      </c>
      <c r="BC2238">
        <v>1</v>
      </c>
      <c r="BD2238" t="str">
        <f t="shared" si="865"/>
        <v xml:space="preserve">N52156  </v>
      </c>
      <c r="BE2238">
        <v>1</v>
      </c>
      <c r="BG2238">
        <v>0</v>
      </c>
      <c r="BH2238">
        <v>0</v>
      </c>
      <c r="BI2238">
        <v>0</v>
      </c>
      <c r="BJ2238">
        <v>4600</v>
      </c>
      <c r="BK2238">
        <v>0</v>
      </c>
      <c r="BL2238" t="s">
        <v>188</v>
      </c>
      <c r="BM2238">
        <v>1</v>
      </c>
      <c r="BN2238">
        <v>1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 t="shared" si="885"/>
        <v>15:10:44.614</v>
      </c>
      <c r="CF2238">
        <v>613967475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4</v>
      </c>
      <c r="CY2238">
        <v>7</v>
      </c>
      <c r="CZ2238" t="s">
        <v>133</v>
      </c>
      <c r="DA2238">
        <v>275</v>
      </c>
      <c r="DB2238">
        <v>0</v>
      </c>
      <c r="DC2238" t="s">
        <v>134</v>
      </c>
      <c r="DD2238" t="s">
        <v>135</v>
      </c>
      <c r="DG2238">
        <v>3321539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"05/01/2025 15:10:44.868"</f>
        <v>05/01/2025 15:10:44.868</v>
      </c>
      <c r="C2239" t="str">
        <f t="shared" si="862"/>
        <v>FFDFD3C0</v>
      </c>
      <c r="D2239" t="s">
        <v>143</v>
      </c>
      <c r="E2239" t="str">
        <f>"05"</f>
        <v>05</v>
      </c>
      <c r="H2239">
        <v>172</v>
      </c>
      <c r="I2239" t="s">
        <v>141</v>
      </c>
      <c r="J2239" t="s">
        <v>144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R2239" t="s">
        <v>127</v>
      </c>
      <c r="S2239" t="str">
        <f t="shared" si="884"/>
        <v>15:10:44.000</v>
      </c>
      <c r="T2239" t="str">
        <f t="shared" si="884"/>
        <v>15:10:44.000</v>
      </c>
      <c r="U2239" t="str">
        <f t="shared" si="863"/>
        <v>A68FCB</v>
      </c>
      <c r="V2239">
        <v>0</v>
      </c>
      <c r="W2239">
        <v>0</v>
      </c>
      <c r="X2239">
        <v>2</v>
      </c>
      <c r="Y2239">
        <v>0</v>
      </c>
      <c r="AA2239">
        <v>1</v>
      </c>
      <c r="AB2239">
        <v>8</v>
      </c>
      <c r="AC2239">
        <v>3</v>
      </c>
      <c r="AD2239">
        <v>0</v>
      </c>
      <c r="AE2239">
        <v>9</v>
      </c>
      <c r="AF2239" t="s">
        <v>138</v>
      </c>
      <c r="AG2239">
        <v>0</v>
      </c>
      <c r="AH2239">
        <v>3</v>
      </c>
      <c r="AI2239">
        <v>2</v>
      </c>
      <c r="AJ2239">
        <v>0</v>
      </c>
      <c r="AK2239" t="s">
        <v>761</v>
      </c>
      <c r="AL2239">
        <v>39.066031000000002</v>
      </c>
      <c r="AM2239" t="s">
        <v>762</v>
      </c>
      <c r="AN2239">
        <v>-121.041398</v>
      </c>
      <c r="AO2239">
        <v>25</v>
      </c>
      <c r="AP2239">
        <v>4600</v>
      </c>
      <c r="AQ2239" t="s">
        <v>131</v>
      </c>
      <c r="AR2239">
        <v>2</v>
      </c>
      <c r="AS2239">
        <v>90</v>
      </c>
      <c r="AT2239">
        <v>128</v>
      </c>
      <c r="BB2239" t="str">
        <f t="shared" si="864"/>
        <v>1200</v>
      </c>
      <c r="BC2239">
        <v>1</v>
      </c>
      <c r="BD2239" t="str">
        <f t="shared" si="865"/>
        <v xml:space="preserve">N52156  </v>
      </c>
      <c r="BE2239">
        <v>1</v>
      </c>
      <c r="BG2239">
        <v>0</v>
      </c>
      <c r="BH2239">
        <v>0</v>
      </c>
      <c r="BI2239">
        <v>0</v>
      </c>
      <c r="BJ2239">
        <v>4600</v>
      </c>
      <c r="BK2239">
        <v>0</v>
      </c>
      <c r="BL2239" t="s">
        <v>188</v>
      </c>
      <c r="BM2239">
        <v>1</v>
      </c>
      <c r="BN2239">
        <v>1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 t="shared" si="885"/>
        <v>15:10:44.614</v>
      </c>
      <c r="CF2239">
        <v>613967475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4</v>
      </c>
      <c r="CY2239">
        <v>7</v>
      </c>
      <c r="CZ2239" t="s">
        <v>133</v>
      </c>
      <c r="DA2239">
        <v>275</v>
      </c>
      <c r="DB2239">
        <v>0</v>
      </c>
      <c r="DC2239" t="s">
        <v>134</v>
      </c>
      <c r="DD2239" t="s">
        <v>135</v>
      </c>
      <c r="DG2239">
        <v>3321539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"05/01/2025 15:10:45.692"</f>
        <v>05/01/2025 15:10:45.692</v>
      </c>
      <c r="C2240" t="str">
        <f t="shared" si="862"/>
        <v>FFDFD3C0</v>
      </c>
      <c r="D2240" t="s">
        <v>140</v>
      </c>
      <c r="E2240" t="str">
        <f>"13"</f>
        <v>13</v>
      </c>
      <c r="F2240">
        <v>1019</v>
      </c>
      <c r="G2240" t="s">
        <v>141</v>
      </c>
      <c r="J2240" t="s">
        <v>142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R2240" t="s">
        <v>127</v>
      </c>
      <c r="S2240" t="str">
        <f t="shared" ref="S2240:T2245" si="886">"15:10:45.000"</f>
        <v>15:10:45.000</v>
      </c>
      <c r="T2240" t="str">
        <f t="shared" si="886"/>
        <v>15:10:45.000</v>
      </c>
      <c r="U2240" t="str">
        <f t="shared" si="863"/>
        <v>A68FCB</v>
      </c>
      <c r="V2240">
        <v>0</v>
      </c>
      <c r="W2240">
        <v>0</v>
      </c>
      <c r="X2240">
        <v>2</v>
      </c>
      <c r="Y2240">
        <v>0</v>
      </c>
      <c r="AA2240">
        <v>1</v>
      </c>
      <c r="AB2240">
        <v>8</v>
      </c>
      <c r="AC2240">
        <v>3</v>
      </c>
      <c r="AD2240">
        <v>0</v>
      </c>
      <c r="AE2240">
        <v>9</v>
      </c>
      <c r="AF2240" t="s">
        <v>138</v>
      </c>
      <c r="AG2240">
        <v>0</v>
      </c>
      <c r="AH2240">
        <v>3</v>
      </c>
      <c r="AI2240">
        <v>2</v>
      </c>
      <c r="AJ2240">
        <v>0</v>
      </c>
      <c r="AK2240" t="s">
        <v>763</v>
      </c>
      <c r="AL2240">
        <v>39.066439000000003</v>
      </c>
      <c r="AM2240" t="s">
        <v>764</v>
      </c>
      <c r="AN2240">
        <v>-121.041377</v>
      </c>
      <c r="AO2240">
        <v>25</v>
      </c>
      <c r="AP2240">
        <v>4600</v>
      </c>
      <c r="AQ2240" t="s">
        <v>131</v>
      </c>
      <c r="AR2240">
        <v>2</v>
      </c>
      <c r="AS2240">
        <v>90</v>
      </c>
      <c r="AT2240">
        <v>128</v>
      </c>
      <c r="BB2240" t="str">
        <f t="shared" si="864"/>
        <v>1200</v>
      </c>
      <c r="BC2240">
        <v>1</v>
      </c>
      <c r="BD2240" t="str">
        <f t="shared" si="865"/>
        <v xml:space="preserve">N52156  </v>
      </c>
      <c r="BE2240">
        <v>1</v>
      </c>
      <c r="BG2240">
        <v>0</v>
      </c>
      <c r="BH2240">
        <v>0</v>
      </c>
      <c r="BI2240">
        <v>0</v>
      </c>
      <c r="BJ2240">
        <v>4600</v>
      </c>
      <c r="BK2240">
        <v>0</v>
      </c>
      <c r="BL2240" t="s">
        <v>188</v>
      </c>
      <c r="BM2240">
        <v>1</v>
      </c>
      <c r="BN2240">
        <v>1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 t="shared" ref="CE2240:CE2245" si="887">"15:10:45.452"</f>
        <v>15:10:45.452</v>
      </c>
      <c r="CF2240">
        <v>451717108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4</v>
      </c>
      <c r="CY2240">
        <v>7</v>
      </c>
      <c r="CZ2240" t="s">
        <v>133</v>
      </c>
      <c r="DA2240">
        <v>275</v>
      </c>
      <c r="DB2240">
        <v>0</v>
      </c>
      <c r="DC2240" t="s">
        <v>134</v>
      </c>
      <c r="DD2240" t="s">
        <v>135</v>
      </c>
      <c r="DG2240">
        <v>3321549</v>
      </c>
      <c r="DI2240">
        <v>1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"05/01/2025 15:10:45.701"</f>
        <v>05/01/2025 15:10:45.701</v>
      </c>
      <c r="C2241" t="str">
        <f t="shared" si="862"/>
        <v>FFDFD3C0</v>
      </c>
      <c r="D2241" t="s">
        <v>124</v>
      </c>
      <c r="E2241" t="str">
        <f>"06"</f>
        <v>06</v>
      </c>
      <c r="F2241">
        <v>2006</v>
      </c>
      <c r="G2241" t="s">
        <v>125</v>
      </c>
      <c r="J2241" t="s">
        <v>126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R2241" t="s">
        <v>127</v>
      </c>
      <c r="S2241" t="str">
        <f t="shared" si="886"/>
        <v>15:10:45.000</v>
      </c>
      <c r="T2241" t="str">
        <f t="shared" si="886"/>
        <v>15:10:45.000</v>
      </c>
      <c r="U2241" t="str">
        <f t="shared" si="863"/>
        <v>A68FCB</v>
      </c>
      <c r="V2241">
        <v>0</v>
      </c>
      <c r="W2241">
        <v>0</v>
      </c>
      <c r="X2241">
        <v>2</v>
      </c>
      <c r="Y2241">
        <v>0</v>
      </c>
      <c r="AA2241">
        <v>1</v>
      </c>
      <c r="AB2241">
        <v>8</v>
      </c>
      <c r="AC2241">
        <v>3</v>
      </c>
      <c r="AD2241">
        <v>0</v>
      </c>
      <c r="AE2241">
        <v>9</v>
      </c>
      <c r="AF2241" t="s">
        <v>138</v>
      </c>
      <c r="AG2241">
        <v>0</v>
      </c>
      <c r="AH2241">
        <v>3</v>
      </c>
      <c r="AI2241">
        <v>2</v>
      </c>
      <c r="AJ2241">
        <v>0</v>
      </c>
      <c r="AK2241" t="s">
        <v>763</v>
      </c>
      <c r="AL2241">
        <v>39.066439000000003</v>
      </c>
      <c r="AM2241" t="s">
        <v>764</v>
      </c>
      <c r="AN2241">
        <v>-121.041377</v>
      </c>
      <c r="AO2241">
        <v>25</v>
      </c>
      <c r="AP2241">
        <v>4600</v>
      </c>
      <c r="AQ2241" t="s">
        <v>131</v>
      </c>
      <c r="AR2241">
        <v>2</v>
      </c>
      <c r="AS2241">
        <v>90</v>
      </c>
      <c r="AT2241">
        <v>128</v>
      </c>
      <c r="BB2241" t="str">
        <f t="shared" si="864"/>
        <v>1200</v>
      </c>
      <c r="BC2241">
        <v>1</v>
      </c>
      <c r="BD2241" t="str">
        <f t="shared" si="865"/>
        <v xml:space="preserve">N52156  </v>
      </c>
      <c r="BE2241">
        <v>1</v>
      </c>
      <c r="BG2241">
        <v>0</v>
      </c>
      <c r="BH2241">
        <v>0</v>
      </c>
      <c r="BI2241">
        <v>0</v>
      </c>
      <c r="BJ2241">
        <v>4600</v>
      </c>
      <c r="BK2241">
        <v>0</v>
      </c>
      <c r="BL2241" t="s">
        <v>188</v>
      </c>
      <c r="BM2241">
        <v>1</v>
      </c>
      <c r="BN2241">
        <v>1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 t="shared" si="887"/>
        <v>15:10:45.452</v>
      </c>
      <c r="CF2241">
        <v>451717108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4</v>
      </c>
      <c r="CY2241">
        <v>7</v>
      </c>
      <c r="CZ2241" t="s">
        <v>133</v>
      </c>
      <c r="DA2241">
        <v>275</v>
      </c>
      <c r="DB2241">
        <v>0</v>
      </c>
      <c r="DC2241" t="s">
        <v>134</v>
      </c>
      <c r="DD2241" t="s">
        <v>135</v>
      </c>
      <c r="DG2241">
        <v>3321549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"05/01/2025 15:10:45.706"</f>
        <v>05/01/2025 15:10:45.706</v>
      </c>
      <c r="C2242" t="str">
        <f t="shared" ref="C2242:C2305" si="888">"FFDFD3C0"</f>
        <v>FFDFD3C0</v>
      </c>
      <c r="D2242" t="s">
        <v>145</v>
      </c>
      <c r="E2242" t="str">
        <f>"05"</f>
        <v>05</v>
      </c>
      <c r="H2242">
        <v>47</v>
      </c>
      <c r="I2242" t="s">
        <v>146</v>
      </c>
      <c r="J2242" t="s">
        <v>138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R2242" t="s">
        <v>127</v>
      </c>
      <c r="S2242" t="str">
        <f t="shared" si="886"/>
        <v>15:10:45.000</v>
      </c>
      <c r="T2242" t="str">
        <f t="shared" si="886"/>
        <v>15:10:45.000</v>
      </c>
      <c r="U2242" t="str">
        <f t="shared" ref="U2242:U2305" si="889">"A68FCB"</f>
        <v>A68FCB</v>
      </c>
      <c r="V2242">
        <v>0</v>
      </c>
      <c r="W2242">
        <v>0</v>
      </c>
      <c r="X2242">
        <v>2</v>
      </c>
      <c r="Y2242">
        <v>0</v>
      </c>
      <c r="AA2242">
        <v>1</v>
      </c>
      <c r="AB2242">
        <v>8</v>
      </c>
      <c r="AC2242">
        <v>3</v>
      </c>
      <c r="AD2242">
        <v>0</v>
      </c>
      <c r="AE2242">
        <v>9</v>
      </c>
      <c r="AF2242" t="s">
        <v>138</v>
      </c>
      <c r="AG2242">
        <v>0</v>
      </c>
      <c r="AH2242">
        <v>3</v>
      </c>
      <c r="AI2242">
        <v>2</v>
      </c>
      <c r="AJ2242">
        <v>0</v>
      </c>
      <c r="AK2242" t="s">
        <v>763</v>
      </c>
      <c r="AL2242">
        <v>39.066439000000003</v>
      </c>
      <c r="AM2242" t="s">
        <v>764</v>
      </c>
      <c r="AN2242">
        <v>-121.041377</v>
      </c>
      <c r="AO2242">
        <v>25</v>
      </c>
      <c r="AP2242">
        <v>4600</v>
      </c>
      <c r="AQ2242" t="s">
        <v>131</v>
      </c>
      <c r="AR2242">
        <v>2</v>
      </c>
      <c r="AS2242">
        <v>90</v>
      </c>
      <c r="AT2242">
        <v>128</v>
      </c>
      <c r="BB2242" t="str">
        <f t="shared" ref="BB2242:BB2305" si="890">"1200"</f>
        <v>1200</v>
      </c>
      <c r="BC2242">
        <v>1</v>
      </c>
      <c r="BD2242" t="str">
        <f t="shared" ref="BD2242:BD2305" si="891">"N52156  "</f>
        <v xml:space="preserve">N52156  </v>
      </c>
      <c r="BE2242">
        <v>1</v>
      </c>
      <c r="BG2242">
        <v>0</v>
      </c>
      <c r="BH2242">
        <v>0</v>
      </c>
      <c r="BI2242">
        <v>0</v>
      </c>
      <c r="BJ2242">
        <v>4600</v>
      </c>
      <c r="BK2242">
        <v>0</v>
      </c>
      <c r="BL2242" t="s">
        <v>188</v>
      </c>
      <c r="BM2242">
        <v>1</v>
      </c>
      <c r="BN2242">
        <v>1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 t="shared" si="887"/>
        <v>15:10:45.452</v>
      </c>
      <c r="CF2242">
        <v>451717108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4</v>
      </c>
      <c r="CY2242">
        <v>7</v>
      </c>
      <c r="CZ2242" t="s">
        <v>133</v>
      </c>
      <c r="DA2242">
        <v>275</v>
      </c>
      <c r="DB2242">
        <v>0</v>
      </c>
      <c r="DC2242" t="s">
        <v>134</v>
      </c>
      <c r="DD2242" t="s">
        <v>135</v>
      </c>
      <c r="DG2242">
        <v>3321549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"05/01/2025 15:10:45.707"</f>
        <v>05/01/2025 15:10:45.707</v>
      </c>
      <c r="C2243" t="str">
        <f t="shared" si="888"/>
        <v>FFDFD3C0</v>
      </c>
      <c r="D2243" t="s">
        <v>145</v>
      </c>
      <c r="E2243" t="str">
        <f>"09"</f>
        <v>09</v>
      </c>
      <c r="H2243">
        <v>51</v>
      </c>
      <c r="I2243" t="s">
        <v>147</v>
      </c>
      <c r="J2243" t="s">
        <v>138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R2243" t="s">
        <v>127</v>
      </c>
      <c r="S2243" t="str">
        <f t="shared" si="886"/>
        <v>15:10:45.000</v>
      </c>
      <c r="T2243" t="str">
        <f t="shared" si="886"/>
        <v>15:10:45.000</v>
      </c>
      <c r="U2243" t="str">
        <f t="shared" si="889"/>
        <v>A68FCB</v>
      </c>
      <c r="V2243">
        <v>0</v>
      </c>
      <c r="W2243">
        <v>0</v>
      </c>
      <c r="X2243">
        <v>2</v>
      </c>
      <c r="Y2243">
        <v>0</v>
      </c>
      <c r="AA2243">
        <v>1</v>
      </c>
      <c r="AB2243">
        <v>8</v>
      </c>
      <c r="AC2243">
        <v>3</v>
      </c>
      <c r="AD2243">
        <v>0</v>
      </c>
      <c r="AE2243">
        <v>9</v>
      </c>
      <c r="AF2243" t="s">
        <v>138</v>
      </c>
      <c r="AG2243">
        <v>0</v>
      </c>
      <c r="AH2243">
        <v>3</v>
      </c>
      <c r="AI2243">
        <v>2</v>
      </c>
      <c r="AJ2243">
        <v>0</v>
      </c>
      <c r="AK2243" t="s">
        <v>763</v>
      </c>
      <c r="AL2243">
        <v>39.066439000000003</v>
      </c>
      <c r="AM2243" t="s">
        <v>764</v>
      </c>
      <c r="AN2243">
        <v>-121.041377</v>
      </c>
      <c r="AO2243">
        <v>25</v>
      </c>
      <c r="AP2243">
        <v>4600</v>
      </c>
      <c r="AQ2243" t="s">
        <v>131</v>
      </c>
      <c r="AR2243">
        <v>2</v>
      </c>
      <c r="AS2243">
        <v>90</v>
      </c>
      <c r="AT2243">
        <v>128</v>
      </c>
      <c r="BB2243" t="str">
        <f t="shared" si="890"/>
        <v>1200</v>
      </c>
      <c r="BC2243">
        <v>1</v>
      </c>
      <c r="BD2243" t="str">
        <f t="shared" si="891"/>
        <v xml:space="preserve">N52156  </v>
      </c>
      <c r="BE2243">
        <v>1</v>
      </c>
      <c r="BG2243">
        <v>0</v>
      </c>
      <c r="BH2243">
        <v>0</v>
      </c>
      <c r="BI2243">
        <v>0</v>
      </c>
      <c r="BJ2243">
        <v>4600</v>
      </c>
      <c r="BK2243">
        <v>0</v>
      </c>
      <c r="BL2243" t="s">
        <v>188</v>
      </c>
      <c r="BM2243">
        <v>1</v>
      </c>
      <c r="BN2243">
        <v>1</v>
      </c>
      <c r="BO2243">
        <v>0</v>
      </c>
      <c r="BP2243">
        <v>0</v>
      </c>
      <c r="BS2243">
        <v>0</v>
      </c>
      <c r="BT2243">
        <v>0</v>
      </c>
      <c r="BU2243">
        <v>0</v>
      </c>
      <c r="CE2243" t="str">
        <f t="shared" si="887"/>
        <v>15:10:45.452</v>
      </c>
      <c r="CF2243">
        <v>451717108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4</v>
      </c>
      <c r="CY2243">
        <v>7</v>
      </c>
      <c r="CZ2243" t="s">
        <v>133</v>
      </c>
      <c r="DA2243">
        <v>275</v>
      </c>
      <c r="DB2243">
        <v>0</v>
      </c>
      <c r="DC2243" t="s">
        <v>134</v>
      </c>
      <c r="DD2243" t="s">
        <v>135</v>
      </c>
      <c r="DG2243">
        <v>3321549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"05/01/2025 15:10:45.715"</f>
        <v>05/01/2025 15:10:45.715</v>
      </c>
      <c r="C2244" t="str">
        <f t="shared" si="888"/>
        <v>FFDFD3C0</v>
      </c>
      <c r="D2244" t="s">
        <v>136</v>
      </c>
      <c r="E2244" t="str">
        <f>"20"</f>
        <v>20</v>
      </c>
      <c r="H2244">
        <v>400</v>
      </c>
      <c r="I2244" t="s">
        <v>137</v>
      </c>
      <c r="J2244" t="s">
        <v>138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R2244" t="s">
        <v>127</v>
      </c>
      <c r="S2244" t="str">
        <f t="shared" si="886"/>
        <v>15:10:45.000</v>
      </c>
      <c r="T2244" t="str">
        <f t="shared" si="886"/>
        <v>15:10:45.000</v>
      </c>
      <c r="U2244" t="str">
        <f t="shared" si="889"/>
        <v>A68FCB</v>
      </c>
      <c r="V2244">
        <v>0</v>
      </c>
      <c r="W2244">
        <v>0</v>
      </c>
      <c r="X2244">
        <v>2</v>
      </c>
      <c r="Y2244">
        <v>0</v>
      </c>
      <c r="AA2244">
        <v>1</v>
      </c>
      <c r="AB2244">
        <v>8</v>
      </c>
      <c r="AC2244">
        <v>3</v>
      </c>
      <c r="AD2244">
        <v>0</v>
      </c>
      <c r="AE2244">
        <v>9</v>
      </c>
      <c r="AF2244" t="s">
        <v>138</v>
      </c>
      <c r="AG2244">
        <v>0</v>
      </c>
      <c r="AH2244">
        <v>3</v>
      </c>
      <c r="AI2244">
        <v>2</v>
      </c>
      <c r="AJ2244">
        <v>0</v>
      </c>
      <c r="AK2244" t="s">
        <v>763</v>
      </c>
      <c r="AL2244">
        <v>39.066439000000003</v>
      </c>
      <c r="AM2244" t="s">
        <v>764</v>
      </c>
      <c r="AN2244">
        <v>-121.041377</v>
      </c>
      <c r="AO2244">
        <v>25</v>
      </c>
      <c r="AP2244">
        <v>4600</v>
      </c>
      <c r="AQ2244" t="s">
        <v>131</v>
      </c>
      <c r="AR2244">
        <v>2</v>
      </c>
      <c r="AS2244">
        <v>90</v>
      </c>
      <c r="AT2244">
        <v>128</v>
      </c>
      <c r="BB2244" t="str">
        <f t="shared" si="890"/>
        <v>1200</v>
      </c>
      <c r="BC2244">
        <v>1</v>
      </c>
      <c r="BD2244" t="str">
        <f t="shared" si="891"/>
        <v xml:space="preserve">N52156  </v>
      </c>
      <c r="BE2244">
        <v>1</v>
      </c>
      <c r="BG2244">
        <v>0</v>
      </c>
      <c r="BH2244">
        <v>0</v>
      </c>
      <c r="BI2244">
        <v>0</v>
      </c>
      <c r="BJ2244">
        <v>4600</v>
      </c>
      <c r="BK2244">
        <v>0</v>
      </c>
      <c r="BL2244" t="s">
        <v>188</v>
      </c>
      <c r="BM2244">
        <v>1</v>
      </c>
      <c r="BN2244">
        <v>1</v>
      </c>
      <c r="BO2244">
        <v>0</v>
      </c>
      <c r="BP2244">
        <v>0</v>
      </c>
      <c r="BS2244">
        <v>0</v>
      </c>
      <c r="BT2244">
        <v>0</v>
      </c>
      <c r="BU2244">
        <v>0</v>
      </c>
      <c r="CE2244" t="str">
        <f t="shared" si="887"/>
        <v>15:10:45.452</v>
      </c>
      <c r="CF2244">
        <v>451717108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4</v>
      </c>
      <c r="CY2244">
        <v>7</v>
      </c>
      <c r="CZ2244" t="s">
        <v>133</v>
      </c>
      <c r="DA2244">
        <v>275</v>
      </c>
      <c r="DB2244">
        <v>0</v>
      </c>
      <c r="DC2244" t="s">
        <v>134</v>
      </c>
      <c r="DD2244" t="s">
        <v>135</v>
      </c>
      <c r="DG2244">
        <v>3321549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"05/01/2025 15:10:45.720"</f>
        <v>05/01/2025 15:10:45.720</v>
      </c>
      <c r="C2245" t="str">
        <f t="shared" si="888"/>
        <v>FFDFD3C0</v>
      </c>
      <c r="D2245" t="s">
        <v>143</v>
      </c>
      <c r="E2245" t="str">
        <f>"05"</f>
        <v>05</v>
      </c>
      <c r="H2245">
        <v>172</v>
      </c>
      <c r="I2245" t="s">
        <v>141</v>
      </c>
      <c r="J2245" t="s">
        <v>144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R2245" t="s">
        <v>127</v>
      </c>
      <c r="S2245" t="str">
        <f t="shared" si="886"/>
        <v>15:10:45.000</v>
      </c>
      <c r="T2245" t="str">
        <f t="shared" si="886"/>
        <v>15:10:45.000</v>
      </c>
      <c r="U2245" t="str">
        <f t="shared" si="889"/>
        <v>A68FCB</v>
      </c>
      <c r="V2245">
        <v>0</v>
      </c>
      <c r="W2245">
        <v>0</v>
      </c>
      <c r="X2245">
        <v>2</v>
      </c>
      <c r="Y2245">
        <v>0</v>
      </c>
      <c r="AA2245">
        <v>1</v>
      </c>
      <c r="AB2245">
        <v>8</v>
      </c>
      <c r="AC2245">
        <v>3</v>
      </c>
      <c r="AD2245">
        <v>0</v>
      </c>
      <c r="AE2245">
        <v>9</v>
      </c>
      <c r="AF2245" t="s">
        <v>138</v>
      </c>
      <c r="AG2245">
        <v>0</v>
      </c>
      <c r="AH2245">
        <v>3</v>
      </c>
      <c r="AI2245">
        <v>2</v>
      </c>
      <c r="AJ2245">
        <v>0</v>
      </c>
      <c r="AK2245" t="s">
        <v>763</v>
      </c>
      <c r="AL2245">
        <v>39.066439000000003</v>
      </c>
      <c r="AM2245" t="s">
        <v>764</v>
      </c>
      <c r="AN2245">
        <v>-121.041377</v>
      </c>
      <c r="AO2245">
        <v>25</v>
      </c>
      <c r="AP2245">
        <v>4600</v>
      </c>
      <c r="AQ2245" t="s">
        <v>131</v>
      </c>
      <c r="AR2245">
        <v>2</v>
      </c>
      <c r="AS2245">
        <v>90</v>
      </c>
      <c r="AT2245">
        <v>128</v>
      </c>
      <c r="BB2245" t="str">
        <f t="shared" si="890"/>
        <v>1200</v>
      </c>
      <c r="BC2245">
        <v>1</v>
      </c>
      <c r="BD2245" t="str">
        <f t="shared" si="891"/>
        <v xml:space="preserve">N52156  </v>
      </c>
      <c r="BE2245">
        <v>1</v>
      </c>
      <c r="BG2245">
        <v>0</v>
      </c>
      <c r="BH2245">
        <v>0</v>
      </c>
      <c r="BI2245">
        <v>0</v>
      </c>
      <c r="BJ2245">
        <v>4600</v>
      </c>
      <c r="BK2245">
        <v>0</v>
      </c>
      <c r="BL2245" t="s">
        <v>188</v>
      </c>
      <c r="BM2245">
        <v>1</v>
      </c>
      <c r="BN2245">
        <v>1</v>
      </c>
      <c r="BO2245">
        <v>0</v>
      </c>
      <c r="BP2245">
        <v>0</v>
      </c>
      <c r="BS2245">
        <v>0</v>
      </c>
      <c r="BT2245">
        <v>0</v>
      </c>
      <c r="BU2245">
        <v>0</v>
      </c>
      <c r="CE2245" t="str">
        <f t="shared" si="887"/>
        <v>15:10:45.452</v>
      </c>
      <c r="CF2245">
        <v>451717108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4</v>
      </c>
      <c r="CY2245">
        <v>7</v>
      </c>
      <c r="CZ2245" t="s">
        <v>133</v>
      </c>
      <c r="DA2245">
        <v>275</v>
      </c>
      <c r="DB2245">
        <v>0</v>
      </c>
      <c r="DC2245" t="s">
        <v>134</v>
      </c>
      <c r="DD2245" t="s">
        <v>135</v>
      </c>
      <c r="DG2245">
        <v>3321549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"05/01/2025 15:10:46.794"</f>
        <v>05/01/2025 15:10:46.794</v>
      </c>
      <c r="C2246" t="str">
        <f t="shared" si="888"/>
        <v>FFDFD3C0</v>
      </c>
      <c r="D2246" t="s">
        <v>140</v>
      </c>
      <c r="E2246" t="str">
        <f>"13"</f>
        <v>13</v>
      </c>
      <c r="F2246">
        <v>1019</v>
      </c>
      <c r="G2246" t="s">
        <v>141</v>
      </c>
      <c r="J2246" t="s">
        <v>142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R2246" t="s">
        <v>127</v>
      </c>
      <c r="S2246" t="str">
        <f t="shared" ref="S2246:T2251" si="892">"15:10:46.000"</f>
        <v>15:10:46.000</v>
      </c>
      <c r="T2246" t="str">
        <f t="shared" si="892"/>
        <v>15:10:46.000</v>
      </c>
      <c r="U2246" t="str">
        <f t="shared" si="889"/>
        <v>A68FCB</v>
      </c>
      <c r="V2246">
        <v>0</v>
      </c>
      <c r="W2246">
        <v>0</v>
      </c>
      <c r="X2246">
        <v>2</v>
      </c>
      <c r="Y2246">
        <v>0</v>
      </c>
      <c r="AA2246">
        <v>1</v>
      </c>
      <c r="AB2246">
        <v>8</v>
      </c>
      <c r="AC2246">
        <v>3</v>
      </c>
      <c r="AD2246">
        <v>0</v>
      </c>
      <c r="AE2246">
        <v>9</v>
      </c>
      <c r="AF2246" t="s">
        <v>138</v>
      </c>
      <c r="AG2246">
        <v>0</v>
      </c>
      <c r="AH2246">
        <v>3</v>
      </c>
      <c r="AI2246">
        <v>2</v>
      </c>
      <c r="AJ2246">
        <v>0</v>
      </c>
      <c r="AK2246" t="s">
        <v>765</v>
      </c>
      <c r="AL2246">
        <v>39.066867999999999</v>
      </c>
      <c r="AM2246" t="s">
        <v>764</v>
      </c>
      <c r="AN2246">
        <v>-121.041377</v>
      </c>
      <c r="AO2246">
        <v>25</v>
      </c>
      <c r="AP2246">
        <v>4600</v>
      </c>
      <c r="AQ2246" t="s">
        <v>131</v>
      </c>
      <c r="AR2246">
        <v>3</v>
      </c>
      <c r="AS2246">
        <v>90</v>
      </c>
      <c r="AT2246">
        <v>64</v>
      </c>
      <c r="BB2246" t="str">
        <f t="shared" si="890"/>
        <v>1200</v>
      </c>
      <c r="BC2246">
        <v>1</v>
      </c>
      <c r="BD2246" t="str">
        <f t="shared" si="891"/>
        <v xml:space="preserve">N52156  </v>
      </c>
      <c r="BE2246">
        <v>1</v>
      </c>
      <c r="BG2246">
        <v>0</v>
      </c>
      <c r="BH2246">
        <v>0</v>
      </c>
      <c r="BI2246">
        <v>0</v>
      </c>
      <c r="BJ2246">
        <v>4600</v>
      </c>
      <c r="BK2246">
        <v>0</v>
      </c>
      <c r="BL2246" t="s">
        <v>188</v>
      </c>
      <c r="BM2246">
        <v>1</v>
      </c>
      <c r="BN2246">
        <v>1</v>
      </c>
      <c r="BO2246">
        <v>0</v>
      </c>
      <c r="BP2246">
        <v>0</v>
      </c>
      <c r="BS2246">
        <v>0</v>
      </c>
      <c r="BT2246">
        <v>0</v>
      </c>
      <c r="BU2246">
        <v>0</v>
      </c>
      <c r="CE2246" t="str">
        <f t="shared" ref="CE2246:CE2251" si="893">"15:10:46.558"</f>
        <v>15:10:46.558</v>
      </c>
      <c r="CF2246">
        <v>557717479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4</v>
      </c>
      <c r="CY2246">
        <v>7</v>
      </c>
      <c r="CZ2246" t="s">
        <v>133</v>
      </c>
      <c r="DA2246">
        <v>275</v>
      </c>
      <c r="DB2246">
        <v>0</v>
      </c>
      <c r="DC2246" t="s">
        <v>134</v>
      </c>
      <c r="DD2246" t="s">
        <v>135</v>
      </c>
      <c r="DG2246">
        <v>3321554</v>
      </c>
      <c r="DI2246">
        <v>1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"05/01/2025 15:10:46.802"</f>
        <v>05/01/2025 15:10:46.802</v>
      </c>
      <c r="C2247" t="str">
        <f t="shared" si="888"/>
        <v>FFDFD3C0</v>
      </c>
      <c r="D2247" t="s">
        <v>124</v>
      </c>
      <c r="E2247" t="str">
        <f>"06"</f>
        <v>06</v>
      </c>
      <c r="F2247">
        <v>2006</v>
      </c>
      <c r="G2247" t="s">
        <v>125</v>
      </c>
      <c r="J2247" t="s">
        <v>126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R2247" t="s">
        <v>127</v>
      </c>
      <c r="S2247" t="str">
        <f t="shared" si="892"/>
        <v>15:10:46.000</v>
      </c>
      <c r="T2247" t="str">
        <f t="shared" si="892"/>
        <v>15:10:46.000</v>
      </c>
      <c r="U2247" t="str">
        <f t="shared" si="889"/>
        <v>A68FCB</v>
      </c>
      <c r="V2247">
        <v>0</v>
      </c>
      <c r="W2247">
        <v>0</v>
      </c>
      <c r="X2247">
        <v>2</v>
      </c>
      <c r="Y2247">
        <v>0</v>
      </c>
      <c r="AA2247">
        <v>1</v>
      </c>
      <c r="AB2247">
        <v>8</v>
      </c>
      <c r="AC2247">
        <v>3</v>
      </c>
      <c r="AD2247">
        <v>0</v>
      </c>
      <c r="AE2247">
        <v>9</v>
      </c>
      <c r="AF2247" t="s">
        <v>138</v>
      </c>
      <c r="AG2247">
        <v>0</v>
      </c>
      <c r="AH2247">
        <v>3</v>
      </c>
      <c r="AI2247">
        <v>2</v>
      </c>
      <c r="AJ2247">
        <v>0</v>
      </c>
      <c r="AK2247" t="s">
        <v>765</v>
      </c>
      <c r="AL2247">
        <v>39.066867999999999</v>
      </c>
      <c r="AM2247" t="s">
        <v>764</v>
      </c>
      <c r="AN2247">
        <v>-121.041377</v>
      </c>
      <c r="AO2247">
        <v>25</v>
      </c>
      <c r="AP2247">
        <v>4600</v>
      </c>
      <c r="AQ2247" t="s">
        <v>131</v>
      </c>
      <c r="AR2247">
        <v>3</v>
      </c>
      <c r="AS2247">
        <v>90</v>
      </c>
      <c r="AT2247">
        <v>64</v>
      </c>
      <c r="BB2247" t="str">
        <f t="shared" si="890"/>
        <v>1200</v>
      </c>
      <c r="BC2247">
        <v>1</v>
      </c>
      <c r="BD2247" t="str">
        <f t="shared" si="891"/>
        <v xml:space="preserve">N52156  </v>
      </c>
      <c r="BE2247">
        <v>1</v>
      </c>
      <c r="BG2247">
        <v>0</v>
      </c>
      <c r="BH2247">
        <v>0</v>
      </c>
      <c r="BI2247">
        <v>0</v>
      </c>
      <c r="BJ2247">
        <v>4600</v>
      </c>
      <c r="BK2247">
        <v>0</v>
      </c>
      <c r="BL2247" t="s">
        <v>188</v>
      </c>
      <c r="BM2247">
        <v>1</v>
      </c>
      <c r="BN2247">
        <v>1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 t="shared" si="893"/>
        <v>15:10:46.558</v>
      </c>
      <c r="CF2247">
        <v>557717479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4</v>
      </c>
      <c r="CY2247">
        <v>7</v>
      </c>
      <c r="CZ2247" t="s">
        <v>133</v>
      </c>
      <c r="DA2247">
        <v>275</v>
      </c>
      <c r="DB2247">
        <v>0</v>
      </c>
      <c r="DC2247" t="s">
        <v>134</v>
      </c>
      <c r="DD2247" t="s">
        <v>135</v>
      </c>
      <c r="DG2247">
        <v>3321554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"05/01/2025 15:10:46.808"</f>
        <v>05/01/2025 15:10:46.808</v>
      </c>
      <c r="C2248" t="str">
        <f t="shared" si="888"/>
        <v>FFDFD3C0</v>
      </c>
      <c r="D2248" t="s">
        <v>145</v>
      </c>
      <c r="E2248" t="str">
        <f>"05"</f>
        <v>05</v>
      </c>
      <c r="H2248">
        <v>47</v>
      </c>
      <c r="I2248" t="s">
        <v>146</v>
      </c>
      <c r="J2248" t="s">
        <v>138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R2248" t="s">
        <v>127</v>
      </c>
      <c r="S2248" t="str">
        <f t="shared" si="892"/>
        <v>15:10:46.000</v>
      </c>
      <c r="T2248" t="str">
        <f t="shared" si="892"/>
        <v>15:10:46.000</v>
      </c>
      <c r="U2248" t="str">
        <f t="shared" si="889"/>
        <v>A68FCB</v>
      </c>
      <c r="V2248">
        <v>0</v>
      </c>
      <c r="W2248">
        <v>0</v>
      </c>
      <c r="X2248">
        <v>2</v>
      </c>
      <c r="Y2248">
        <v>0</v>
      </c>
      <c r="AA2248">
        <v>1</v>
      </c>
      <c r="AB2248">
        <v>8</v>
      </c>
      <c r="AC2248">
        <v>3</v>
      </c>
      <c r="AD2248">
        <v>0</v>
      </c>
      <c r="AE2248">
        <v>9</v>
      </c>
      <c r="AF2248" t="s">
        <v>138</v>
      </c>
      <c r="AG2248">
        <v>0</v>
      </c>
      <c r="AH2248">
        <v>3</v>
      </c>
      <c r="AI2248">
        <v>2</v>
      </c>
      <c r="AJ2248">
        <v>0</v>
      </c>
      <c r="AK2248" t="s">
        <v>765</v>
      </c>
      <c r="AL2248">
        <v>39.066867999999999</v>
      </c>
      <c r="AM2248" t="s">
        <v>764</v>
      </c>
      <c r="AN2248">
        <v>-121.041377</v>
      </c>
      <c r="AO2248">
        <v>25</v>
      </c>
      <c r="AP2248">
        <v>4600</v>
      </c>
      <c r="AQ2248" t="s">
        <v>131</v>
      </c>
      <c r="AR2248">
        <v>3</v>
      </c>
      <c r="AS2248">
        <v>90</v>
      </c>
      <c r="AT2248">
        <v>64</v>
      </c>
      <c r="BB2248" t="str">
        <f t="shared" si="890"/>
        <v>1200</v>
      </c>
      <c r="BC2248">
        <v>1</v>
      </c>
      <c r="BD2248" t="str">
        <f t="shared" si="891"/>
        <v xml:space="preserve">N52156  </v>
      </c>
      <c r="BE2248">
        <v>1</v>
      </c>
      <c r="BG2248">
        <v>0</v>
      </c>
      <c r="BH2248">
        <v>0</v>
      </c>
      <c r="BI2248">
        <v>0</v>
      </c>
      <c r="BJ2248">
        <v>4600</v>
      </c>
      <c r="BK2248">
        <v>0</v>
      </c>
      <c r="BL2248" t="s">
        <v>188</v>
      </c>
      <c r="BM2248">
        <v>1</v>
      </c>
      <c r="BN2248">
        <v>1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 t="shared" si="893"/>
        <v>15:10:46.558</v>
      </c>
      <c r="CF2248">
        <v>557717479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4</v>
      </c>
      <c r="CY2248">
        <v>7</v>
      </c>
      <c r="CZ2248" t="s">
        <v>133</v>
      </c>
      <c r="DA2248">
        <v>275</v>
      </c>
      <c r="DB2248">
        <v>0</v>
      </c>
      <c r="DC2248" t="s">
        <v>134</v>
      </c>
      <c r="DD2248" t="s">
        <v>135</v>
      </c>
      <c r="DG2248">
        <v>3321554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"05/01/2025 15:10:46.809"</f>
        <v>05/01/2025 15:10:46.809</v>
      </c>
      <c r="C2249" t="str">
        <f t="shared" si="888"/>
        <v>FFDFD3C0</v>
      </c>
      <c r="D2249" t="s">
        <v>145</v>
      </c>
      <c r="E2249" t="str">
        <f>"09"</f>
        <v>09</v>
      </c>
      <c r="H2249">
        <v>51</v>
      </c>
      <c r="I2249" t="s">
        <v>147</v>
      </c>
      <c r="J2249" t="s">
        <v>138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R2249" t="s">
        <v>127</v>
      </c>
      <c r="S2249" t="str">
        <f t="shared" si="892"/>
        <v>15:10:46.000</v>
      </c>
      <c r="T2249" t="str">
        <f t="shared" si="892"/>
        <v>15:10:46.000</v>
      </c>
      <c r="U2249" t="str">
        <f t="shared" si="889"/>
        <v>A68FCB</v>
      </c>
      <c r="V2249">
        <v>0</v>
      </c>
      <c r="W2249">
        <v>0</v>
      </c>
      <c r="X2249">
        <v>2</v>
      </c>
      <c r="Y2249">
        <v>0</v>
      </c>
      <c r="AA2249">
        <v>1</v>
      </c>
      <c r="AB2249">
        <v>8</v>
      </c>
      <c r="AC2249">
        <v>3</v>
      </c>
      <c r="AD2249">
        <v>0</v>
      </c>
      <c r="AE2249">
        <v>9</v>
      </c>
      <c r="AF2249" t="s">
        <v>138</v>
      </c>
      <c r="AG2249">
        <v>0</v>
      </c>
      <c r="AH2249">
        <v>3</v>
      </c>
      <c r="AI2249">
        <v>2</v>
      </c>
      <c r="AJ2249">
        <v>0</v>
      </c>
      <c r="AK2249" t="s">
        <v>765</v>
      </c>
      <c r="AL2249">
        <v>39.066867999999999</v>
      </c>
      <c r="AM2249" t="s">
        <v>764</v>
      </c>
      <c r="AN2249">
        <v>-121.041377</v>
      </c>
      <c r="AO2249">
        <v>25</v>
      </c>
      <c r="AP2249">
        <v>4600</v>
      </c>
      <c r="AQ2249" t="s">
        <v>131</v>
      </c>
      <c r="AR2249">
        <v>3</v>
      </c>
      <c r="AS2249">
        <v>90</v>
      </c>
      <c r="AT2249">
        <v>64</v>
      </c>
      <c r="BB2249" t="str">
        <f t="shared" si="890"/>
        <v>1200</v>
      </c>
      <c r="BC2249">
        <v>1</v>
      </c>
      <c r="BD2249" t="str">
        <f t="shared" si="891"/>
        <v xml:space="preserve">N52156  </v>
      </c>
      <c r="BE2249">
        <v>1</v>
      </c>
      <c r="BG2249">
        <v>0</v>
      </c>
      <c r="BH2249">
        <v>0</v>
      </c>
      <c r="BI2249">
        <v>0</v>
      </c>
      <c r="BJ2249">
        <v>4600</v>
      </c>
      <c r="BK2249">
        <v>0</v>
      </c>
      <c r="BL2249" t="s">
        <v>188</v>
      </c>
      <c r="BM2249">
        <v>1</v>
      </c>
      <c r="BN2249">
        <v>1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 t="shared" si="893"/>
        <v>15:10:46.558</v>
      </c>
      <c r="CF2249">
        <v>557717479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4</v>
      </c>
      <c r="CY2249">
        <v>7</v>
      </c>
      <c r="CZ2249" t="s">
        <v>133</v>
      </c>
      <c r="DA2249">
        <v>275</v>
      </c>
      <c r="DB2249">
        <v>0</v>
      </c>
      <c r="DC2249" t="s">
        <v>134</v>
      </c>
      <c r="DD2249" t="s">
        <v>135</v>
      </c>
      <c r="DG2249">
        <v>3321554</v>
      </c>
      <c r="DI2249">
        <v>1</v>
      </c>
      <c r="DJ2249">
        <v>0</v>
      </c>
      <c r="DK2249">
        <v>1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"05/01/2025 15:10:46.817"</f>
        <v>05/01/2025 15:10:46.817</v>
      </c>
      <c r="C2250" t="str">
        <f t="shared" si="888"/>
        <v>FFDFD3C0</v>
      </c>
      <c r="D2250" t="s">
        <v>136</v>
      </c>
      <c r="E2250" t="str">
        <f>"20"</f>
        <v>20</v>
      </c>
      <c r="H2250">
        <v>400</v>
      </c>
      <c r="I2250" t="s">
        <v>137</v>
      </c>
      <c r="J2250" t="s">
        <v>138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R2250" t="s">
        <v>127</v>
      </c>
      <c r="S2250" t="str">
        <f t="shared" si="892"/>
        <v>15:10:46.000</v>
      </c>
      <c r="T2250" t="str">
        <f t="shared" si="892"/>
        <v>15:10:46.000</v>
      </c>
      <c r="U2250" t="str">
        <f t="shared" si="889"/>
        <v>A68FCB</v>
      </c>
      <c r="V2250">
        <v>0</v>
      </c>
      <c r="W2250">
        <v>0</v>
      </c>
      <c r="X2250">
        <v>2</v>
      </c>
      <c r="Y2250">
        <v>0</v>
      </c>
      <c r="AA2250">
        <v>1</v>
      </c>
      <c r="AB2250">
        <v>8</v>
      </c>
      <c r="AC2250">
        <v>3</v>
      </c>
      <c r="AD2250">
        <v>0</v>
      </c>
      <c r="AE2250">
        <v>9</v>
      </c>
      <c r="AF2250" t="s">
        <v>138</v>
      </c>
      <c r="AG2250">
        <v>0</v>
      </c>
      <c r="AH2250">
        <v>3</v>
      </c>
      <c r="AI2250">
        <v>2</v>
      </c>
      <c r="AJ2250">
        <v>0</v>
      </c>
      <c r="AK2250" t="s">
        <v>765</v>
      </c>
      <c r="AL2250">
        <v>39.066867999999999</v>
      </c>
      <c r="AM2250" t="s">
        <v>764</v>
      </c>
      <c r="AN2250">
        <v>-121.041377</v>
      </c>
      <c r="AO2250">
        <v>25</v>
      </c>
      <c r="AP2250">
        <v>4600</v>
      </c>
      <c r="AQ2250" t="s">
        <v>131</v>
      </c>
      <c r="AR2250">
        <v>3</v>
      </c>
      <c r="AS2250">
        <v>90</v>
      </c>
      <c r="AT2250">
        <v>64</v>
      </c>
      <c r="BB2250" t="str">
        <f t="shared" si="890"/>
        <v>1200</v>
      </c>
      <c r="BC2250">
        <v>1</v>
      </c>
      <c r="BD2250" t="str">
        <f t="shared" si="891"/>
        <v xml:space="preserve">N52156  </v>
      </c>
      <c r="BE2250">
        <v>1</v>
      </c>
      <c r="BG2250">
        <v>0</v>
      </c>
      <c r="BH2250">
        <v>0</v>
      </c>
      <c r="BI2250">
        <v>0</v>
      </c>
      <c r="BJ2250">
        <v>4600</v>
      </c>
      <c r="BK2250">
        <v>0</v>
      </c>
      <c r="BL2250" t="s">
        <v>188</v>
      </c>
      <c r="BM2250">
        <v>1</v>
      </c>
      <c r="BN2250">
        <v>1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 t="shared" si="893"/>
        <v>15:10:46.558</v>
      </c>
      <c r="CF2250">
        <v>557717479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4</v>
      </c>
      <c r="CY2250">
        <v>7</v>
      </c>
      <c r="CZ2250" t="s">
        <v>133</v>
      </c>
      <c r="DA2250">
        <v>275</v>
      </c>
      <c r="DB2250">
        <v>0</v>
      </c>
      <c r="DC2250" t="s">
        <v>134</v>
      </c>
      <c r="DD2250" t="s">
        <v>135</v>
      </c>
      <c r="DG2250">
        <v>3321554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"05/01/2025 15:10:46.822"</f>
        <v>05/01/2025 15:10:46.822</v>
      </c>
      <c r="C2251" t="str">
        <f t="shared" si="888"/>
        <v>FFDFD3C0</v>
      </c>
      <c r="D2251" t="s">
        <v>143</v>
      </c>
      <c r="E2251" t="str">
        <f>"05"</f>
        <v>05</v>
      </c>
      <c r="H2251">
        <v>172</v>
      </c>
      <c r="I2251" t="s">
        <v>141</v>
      </c>
      <c r="J2251" t="s">
        <v>144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R2251" t="s">
        <v>127</v>
      </c>
      <c r="S2251" t="str">
        <f t="shared" si="892"/>
        <v>15:10:46.000</v>
      </c>
      <c r="T2251" t="str">
        <f t="shared" si="892"/>
        <v>15:10:46.000</v>
      </c>
      <c r="U2251" t="str">
        <f t="shared" si="889"/>
        <v>A68FCB</v>
      </c>
      <c r="V2251">
        <v>0</v>
      </c>
      <c r="W2251">
        <v>0</v>
      </c>
      <c r="X2251">
        <v>2</v>
      </c>
      <c r="Y2251">
        <v>0</v>
      </c>
      <c r="AA2251">
        <v>1</v>
      </c>
      <c r="AB2251">
        <v>8</v>
      </c>
      <c r="AC2251">
        <v>3</v>
      </c>
      <c r="AD2251">
        <v>0</v>
      </c>
      <c r="AE2251">
        <v>9</v>
      </c>
      <c r="AF2251" t="s">
        <v>138</v>
      </c>
      <c r="AG2251">
        <v>0</v>
      </c>
      <c r="AH2251">
        <v>3</v>
      </c>
      <c r="AI2251">
        <v>2</v>
      </c>
      <c r="AJ2251">
        <v>0</v>
      </c>
      <c r="AK2251" t="s">
        <v>765</v>
      </c>
      <c r="AL2251">
        <v>39.066867999999999</v>
      </c>
      <c r="AM2251" t="s">
        <v>764</v>
      </c>
      <c r="AN2251">
        <v>-121.041377</v>
      </c>
      <c r="AO2251">
        <v>25</v>
      </c>
      <c r="AP2251">
        <v>4600</v>
      </c>
      <c r="AQ2251" t="s">
        <v>131</v>
      </c>
      <c r="AR2251">
        <v>3</v>
      </c>
      <c r="AS2251">
        <v>90</v>
      </c>
      <c r="AT2251">
        <v>64</v>
      </c>
      <c r="BB2251" t="str">
        <f t="shared" si="890"/>
        <v>1200</v>
      </c>
      <c r="BC2251">
        <v>1</v>
      </c>
      <c r="BD2251" t="str">
        <f t="shared" si="891"/>
        <v xml:space="preserve">N52156  </v>
      </c>
      <c r="BE2251">
        <v>1</v>
      </c>
      <c r="BG2251">
        <v>0</v>
      </c>
      <c r="BH2251">
        <v>0</v>
      </c>
      <c r="BI2251">
        <v>0</v>
      </c>
      <c r="BJ2251">
        <v>4600</v>
      </c>
      <c r="BK2251">
        <v>0</v>
      </c>
      <c r="BL2251" t="s">
        <v>188</v>
      </c>
      <c r="BM2251">
        <v>1</v>
      </c>
      <c r="BN2251">
        <v>1</v>
      </c>
      <c r="BO2251">
        <v>0</v>
      </c>
      <c r="BP2251">
        <v>0</v>
      </c>
      <c r="BS2251">
        <v>0</v>
      </c>
      <c r="BT2251">
        <v>0</v>
      </c>
      <c r="BU2251">
        <v>0</v>
      </c>
      <c r="CE2251" t="str">
        <f t="shared" si="893"/>
        <v>15:10:46.558</v>
      </c>
      <c r="CF2251">
        <v>557717479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4</v>
      </c>
      <c r="CY2251">
        <v>7</v>
      </c>
      <c r="CZ2251" t="s">
        <v>133</v>
      </c>
      <c r="DA2251">
        <v>275</v>
      </c>
      <c r="DB2251">
        <v>0</v>
      </c>
      <c r="DC2251" t="s">
        <v>134</v>
      </c>
      <c r="DD2251" t="s">
        <v>135</v>
      </c>
      <c r="DG2251">
        <v>3321554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"05/01/2025 15:10:47.403"</f>
        <v>05/01/2025 15:10:47.403</v>
      </c>
      <c r="C2252" t="str">
        <f t="shared" si="888"/>
        <v>FFDFD3C0</v>
      </c>
      <c r="D2252" t="s">
        <v>124</v>
      </c>
      <c r="E2252" t="str">
        <f>"06"</f>
        <v>06</v>
      </c>
      <c r="F2252">
        <v>2006</v>
      </c>
      <c r="G2252" t="s">
        <v>125</v>
      </c>
      <c r="J2252" t="s">
        <v>126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R2252" t="s">
        <v>127</v>
      </c>
      <c r="S2252" t="str">
        <f t="shared" ref="S2252:T2257" si="894">"15:10:47.000"</f>
        <v>15:10:47.000</v>
      </c>
      <c r="T2252" t="str">
        <f t="shared" si="894"/>
        <v>15:10:47.000</v>
      </c>
      <c r="U2252" t="str">
        <f t="shared" si="889"/>
        <v>A68FCB</v>
      </c>
      <c r="V2252">
        <v>0</v>
      </c>
      <c r="W2252">
        <v>0</v>
      </c>
      <c r="X2252">
        <v>2</v>
      </c>
      <c r="Y2252">
        <v>0</v>
      </c>
      <c r="AA2252">
        <v>1</v>
      </c>
      <c r="AB2252">
        <v>8</v>
      </c>
      <c r="AC2252">
        <v>3</v>
      </c>
      <c r="AD2252">
        <v>0</v>
      </c>
      <c r="AE2252">
        <v>9</v>
      </c>
      <c r="AF2252" t="s">
        <v>138</v>
      </c>
      <c r="AG2252">
        <v>0</v>
      </c>
      <c r="AH2252">
        <v>3</v>
      </c>
      <c r="AI2252">
        <v>2</v>
      </c>
      <c r="AJ2252">
        <v>0</v>
      </c>
      <c r="AK2252" t="s">
        <v>766</v>
      </c>
      <c r="AL2252">
        <v>39.067297000000003</v>
      </c>
      <c r="AM2252" t="s">
        <v>767</v>
      </c>
      <c r="AN2252">
        <v>-121.041355</v>
      </c>
      <c r="AO2252">
        <v>25</v>
      </c>
      <c r="AP2252">
        <v>4600</v>
      </c>
      <c r="AQ2252" t="s">
        <v>131</v>
      </c>
      <c r="AR2252">
        <v>3</v>
      </c>
      <c r="AS2252">
        <v>90</v>
      </c>
      <c r="AT2252">
        <v>64</v>
      </c>
      <c r="BB2252" t="str">
        <f t="shared" si="890"/>
        <v>1200</v>
      </c>
      <c r="BC2252">
        <v>1</v>
      </c>
      <c r="BD2252" t="str">
        <f t="shared" si="891"/>
        <v xml:space="preserve">N52156  </v>
      </c>
      <c r="BE2252">
        <v>1</v>
      </c>
      <c r="BG2252">
        <v>0</v>
      </c>
      <c r="BH2252">
        <v>0</v>
      </c>
      <c r="BI2252">
        <v>0</v>
      </c>
      <c r="BJ2252">
        <v>4600</v>
      </c>
      <c r="BK2252">
        <v>0</v>
      </c>
      <c r="BL2252" t="s">
        <v>188</v>
      </c>
      <c r="BM2252">
        <v>1</v>
      </c>
      <c r="BN2252">
        <v>1</v>
      </c>
      <c r="BO2252">
        <v>0</v>
      </c>
      <c r="BP2252">
        <v>0</v>
      </c>
      <c r="BS2252">
        <v>0</v>
      </c>
      <c r="BT2252">
        <v>0</v>
      </c>
      <c r="BU2252">
        <v>0</v>
      </c>
      <c r="CE2252" t="str">
        <f t="shared" ref="CE2252:CE2257" si="895">"15:10:47.195"</f>
        <v>15:10:47.195</v>
      </c>
      <c r="CF2252">
        <v>195466602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4</v>
      </c>
      <c r="CY2252">
        <v>7</v>
      </c>
      <c r="CZ2252" t="s">
        <v>133</v>
      </c>
      <c r="DA2252">
        <v>275</v>
      </c>
      <c r="DB2252">
        <v>0</v>
      </c>
      <c r="DC2252" t="s">
        <v>134</v>
      </c>
      <c r="DD2252" t="s">
        <v>135</v>
      </c>
      <c r="DG2252">
        <v>3321558</v>
      </c>
      <c r="DI2252">
        <v>1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"05/01/2025 15:10:47.409"</f>
        <v>05/01/2025 15:10:47.409</v>
      </c>
      <c r="C2253" t="str">
        <f t="shared" si="888"/>
        <v>FFDFD3C0</v>
      </c>
      <c r="D2253" t="s">
        <v>145</v>
      </c>
      <c r="E2253" t="str">
        <f>"05"</f>
        <v>05</v>
      </c>
      <c r="H2253">
        <v>47</v>
      </c>
      <c r="I2253" t="s">
        <v>146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R2253" t="s">
        <v>127</v>
      </c>
      <c r="S2253" t="str">
        <f t="shared" si="894"/>
        <v>15:10:47.000</v>
      </c>
      <c r="T2253" t="str">
        <f t="shared" si="894"/>
        <v>15:10:47.000</v>
      </c>
      <c r="U2253" t="str">
        <f t="shared" si="889"/>
        <v>A68FCB</v>
      </c>
      <c r="V2253">
        <v>0</v>
      </c>
      <c r="W2253">
        <v>0</v>
      </c>
      <c r="X2253">
        <v>2</v>
      </c>
      <c r="Y2253">
        <v>0</v>
      </c>
      <c r="AA2253">
        <v>1</v>
      </c>
      <c r="AB2253">
        <v>8</v>
      </c>
      <c r="AC2253">
        <v>3</v>
      </c>
      <c r="AD2253">
        <v>0</v>
      </c>
      <c r="AE2253">
        <v>9</v>
      </c>
      <c r="AF2253" t="s">
        <v>138</v>
      </c>
      <c r="AG2253">
        <v>0</v>
      </c>
      <c r="AH2253">
        <v>3</v>
      </c>
      <c r="AI2253">
        <v>2</v>
      </c>
      <c r="AJ2253">
        <v>0</v>
      </c>
      <c r="AK2253" t="s">
        <v>766</v>
      </c>
      <c r="AL2253">
        <v>39.067297000000003</v>
      </c>
      <c r="AM2253" t="s">
        <v>767</v>
      </c>
      <c r="AN2253">
        <v>-121.041355</v>
      </c>
      <c r="AO2253">
        <v>25</v>
      </c>
      <c r="AP2253">
        <v>4600</v>
      </c>
      <c r="AQ2253" t="s">
        <v>131</v>
      </c>
      <c r="AR2253">
        <v>3</v>
      </c>
      <c r="AS2253">
        <v>90</v>
      </c>
      <c r="AT2253">
        <v>64</v>
      </c>
      <c r="BB2253" t="str">
        <f t="shared" si="890"/>
        <v>1200</v>
      </c>
      <c r="BC2253">
        <v>1</v>
      </c>
      <c r="BD2253" t="str">
        <f t="shared" si="891"/>
        <v xml:space="preserve">N52156  </v>
      </c>
      <c r="BE2253">
        <v>1</v>
      </c>
      <c r="BG2253">
        <v>0</v>
      </c>
      <c r="BH2253">
        <v>0</v>
      </c>
      <c r="BI2253">
        <v>0</v>
      </c>
      <c r="BJ2253">
        <v>4600</v>
      </c>
      <c r="BK2253">
        <v>0</v>
      </c>
      <c r="BL2253" t="s">
        <v>188</v>
      </c>
      <c r="BM2253">
        <v>1</v>
      </c>
      <c r="BN2253">
        <v>1</v>
      </c>
      <c r="BO2253">
        <v>0</v>
      </c>
      <c r="BP2253">
        <v>0</v>
      </c>
      <c r="BS2253">
        <v>0</v>
      </c>
      <c r="BT2253">
        <v>0</v>
      </c>
      <c r="BU2253">
        <v>0</v>
      </c>
      <c r="CE2253" t="str">
        <f t="shared" si="895"/>
        <v>15:10:47.195</v>
      </c>
      <c r="CF2253">
        <v>195466602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4</v>
      </c>
      <c r="CY2253">
        <v>7</v>
      </c>
      <c r="CZ2253" t="s">
        <v>133</v>
      </c>
      <c r="DA2253">
        <v>275</v>
      </c>
      <c r="DB2253">
        <v>0</v>
      </c>
      <c r="DC2253" t="s">
        <v>134</v>
      </c>
      <c r="DD2253" t="s">
        <v>135</v>
      </c>
      <c r="DG2253">
        <v>3321558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"05/01/2025 15:10:47.410"</f>
        <v>05/01/2025 15:10:47.410</v>
      </c>
      <c r="C2254" t="str">
        <f t="shared" si="888"/>
        <v>FFDFD3C0</v>
      </c>
      <c r="D2254" t="s">
        <v>145</v>
      </c>
      <c r="E2254" t="str">
        <f>"09"</f>
        <v>09</v>
      </c>
      <c r="H2254">
        <v>51</v>
      </c>
      <c r="I2254" t="s">
        <v>147</v>
      </c>
      <c r="J2254" t="s">
        <v>138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R2254" t="s">
        <v>127</v>
      </c>
      <c r="S2254" t="str">
        <f t="shared" si="894"/>
        <v>15:10:47.000</v>
      </c>
      <c r="T2254" t="str">
        <f t="shared" si="894"/>
        <v>15:10:47.000</v>
      </c>
      <c r="U2254" t="str">
        <f t="shared" si="889"/>
        <v>A68FCB</v>
      </c>
      <c r="V2254">
        <v>0</v>
      </c>
      <c r="W2254">
        <v>0</v>
      </c>
      <c r="X2254">
        <v>2</v>
      </c>
      <c r="Y2254">
        <v>0</v>
      </c>
      <c r="AA2254">
        <v>1</v>
      </c>
      <c r="AB2254">
        <v>8</v>
      </c>
      <c r="AC2254">
        <v>3</v>
      </c>
      <c r="AD2254">
        <v>0</v>
      </c>
      <c r="AE2254">
        <v>9</v>
      </c>
      <c r="AF2254" t="s">
        <v>138</v>
      </c>
      <c r="AG2254">
        <v>0</v>
      </c>
      <c r="AH2254">
        <v>3</v>
      </c>
      <c r="AI2254">
        <v>2</v>
      </c>
      <c r="AJ2254">
        <v>0</v>
      </c>
      <c r="AK2254" t="s">
        <v>766</v>
      </c>
      <c r="AL2254">
        <v>39.067297000000003</v>
      </c>
      <c r="AM2254" t="s">
        <v>767</v>
      </c>
      <c r="AN2254">
        <v>-121.041355</v>
      </c>
      <c r="AO2254">
        <v>25</v>
      </c>
      <c r="AP2254">
        <v>4600</v>
      </c>
      <c r="AQ2254" t="s">
        <v>131</v>
      </c>
      <c r="AR2254">
        <v>3</v>
      </c>
      <c r="AS2254">
        <v>90</v>
      </c>
      <c r="AT2254">
        <v>64</v>
      </c>
      <c r="BB2254" t="str">
        <f t="shared" si="890"/>
        <v>1200</v>
      </c>
      <c r="BC2254">
        <v>1</v>
      </c>
      <c r="BD2254" t="str">
        <f t="shared" si="891"/>
        <v xml:space="preserve">N52156  </v>
      </c>
      <c r="BE2254">
        <v>1</v>
      </c>
      <c r="BG2254">
        <v>0</v>
      </c>
      <c r="BH2254">
        <v>0</v>
      </c>
      <c r="BI2254">
        <v>0</v>
      </c>
      <c r="BJ2254">
        <v>4600</v>
      </c>
      <c r="BK2254">
        <v>0</v>
      </c>
      <c r="BL2254" t="s">
        <v>188</v>
      </c>
      <c r="BM2254">
        <v>1</v>
      </c>
      <c r="BN2254">
        <v>1</v>
      </c>
      <c r="BO2254">
        <v>0</v>
      </c>
      <c r="BP2254">
        <v>0</v>
      </c>
      <c r="BS2254">
        <v>0</v>
      </c>
      <c r="BT2254">
        <v>0</v>
      </c>
      <c r="BU2254">
        <v>0</v>
      </c>
      <c r="CE2254" t="str">
        <f t="shared" si="895"/>
        <v>15:10:47.195</v>
      </c>
      <c r="CF2254">
        <v>195466602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4</v>
      </c>
      <c r="CY2254">
        <v>7</v>
      </c>
      <c r="CZ2254" t="s">
        <v>133</v>
      </c>
      <c r="DA2254">
        <v>275</v>
      </c>
      <c r="DB2254">
        <v>0</v>
      </c>
      <c r="DC2254" t="s">
        <v>134</v>
      </c>
      <c r="DD2254" t="s">
        <v>135</v>
      </c>
      <c r="DG2254">
        <v>3321558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"05/01/2025 15:10:47.418"</f>
        <v>05/01/2025 15:10:47.418</v>
      </c>
      <c r="C2255" t="str">
        <f t="shared" si="888"/>
        <v>FFDFD3C0</v>
      </c>
      <c r="D2255" t="s">
        <v>136</v>
      </c>
      <c r="E2255" t="str">
        <f>"20"</f>
        <v>20</v>
      </c>
      <c r="H2255">
        <v>400</v>
      </c>
      <c r="I2255" t="s">
        <v>137</v>
      </c>
      <c r="J2255" t="s">
        <v>138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R2255" t="s">
        <v>127</v>
      </c>
      <c r="S2255" t="str">
        <f t="shared" si="894"/>
        <v>15:10:47.000</v>
      </c>
      <c r="T2255" t="str">
        <f t="shared" si="894"/>
        <v>15:10:47.000</v>
      </c>
      <c r="U2255" t="str">
        <f t="shared" si="889"/>
        <v>A68FCB</v>
      </c>
      <c r="V2255">
        <v>0</v>
      </c>
      <c r="W2255">
        <v>0</v>
      </c>
      <c r="X2255">
        <v>2</v>
      </c>
      <c r="Y2255">
        <v>0</v>
      </c>
      <c r="AA2255">
        <v>1</v>
      </c>
      <c r="AB2255">
        <v>8</v>
      </c>
      <c r="AC2255">
        <v>3</v>
      </c>
      <c r="AD2255">
        <v>0</v>
      </c>
      <c r="AE2255">
        <v>9</v>
      </c>
      <c r="AF2255" t="s">
        <v>138</v>
      </c>
      <c r="AG2255">
        <v>0</v>
      </c>
      <c r="AH2255">
        <v>3</v>
      </c>
      <c r="AI2255">
        <v>2</v>
      </c>
      <c r="AJ2255">
        <v>0</v>
      </c>
      <c r="AK2255" t="s">
        <v>766</v>
      </c>
      <c r="AL2255">
        <v>39.067297000000003</v>
      </c>
      <c r="AM2255" t="s">
        <v>767</v>
      </c>
      <c r="AN2255">
        <v>-121.041355</v>
      </c>
      <c r="AO2255">
        <v>25</v>
      </c>
      <c r="AP2255">
        <v>4600</v>
      </c>
      <c r="AQ2255" t="s">
        <v>131</v>
      </c>
      <c r="AR2255">
        <v>3</v>
      </c>
      <c r="AS2255">
        <v>90</v>
      </c>
      <c r="AT2255">
        <v>64</v>
      </c>
      <c r="BB2255" t="str">
        <f t="shared" si="890"/>
        <v>1200</v>
      </c>
      <c r="BC2255">
        <v>1</v>
      </c>
      <c r="BD2255" t="str">
        <f t="shared" si="891"/>
        <v xml:space="preserve">N52156  </v>
      </c>
      <c r="BE2255">
        <v>1</v>
      </c>
      <c r="BG2255">
        <v>0</v>
      </c>
      <c r="BH2255">
        <v>0</v>
      </c>
      <c r="BI2255">
        <v>0</v>
      </c>
      <c r="BJ2255">
        <v>4600</v>
      </c>
      <c r="BK2255">
        <v>0</v>
      </c>
      <c r="BL2255" t="s">
        <v>188</v>
      </c>
      <c r="BM2255">
        <v>1</v>
      </c>
      <c r="BN2255">
        <v>1</v>
      </c>
      <c r="BO2255">
        <v>0</v>
      </c>
      <c r="BP2255">
        <v>0</v>
      </c>
      <c r="BS2255">
        <v>0</v>
      </c>
      <c r="BT2255">
        <v>0</v>
      </c>
      <c r="BU2255">
        <v>0</v>
      </c>
      <c r="CE2255" t="str">
        <f t="shared" si="895"/>
        <v>15:10:47.195</v>
      </c>
      <c r="CF2255">
        <v>195466602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4</v>
      </c>
      <c r="CY2255">
        <v>7</v>
      </c>
      <c r="CZ2255" t="s">
        <v>133</v>
      </c>
      <c r="DA2255">
        <v>275</v>
      </c>
      <c r="DB2255">
        <v>0</v>
      </c>
      <c r="DC2255" t="s">
        <v>134</v>
      </c>
      <c r="DD2255" t="s">
        <v>135</v>
      </c>
      <c r="DG2255">
        <v>3321558</v>
      </c>
      <c r="DI2255">
        <v>1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"05/01/2025 15:10:47.423"</f>
        <v>05/01/2025 15:10:47.423</v>
      </c>
      <c r="C2256" t="str">
        <f t="shared" si="888"/>
        <v>FFDFD3C0</v>
      </c>
      <c r="D2256" t="s">
        <v>143</v>
      </c>
      <c r="E2256" t="str">
        <f>"05"</f>
        <v>05</v>
      </c>
      <c r="H2256">
        <v>172</v>
      </c>
      <c r="I2256" t="s">
        <v>141</v>
      </c>
      <c r="J2256" t="s">
        <v>144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R2256" t="s">
        <v>127</v>
      </c>
      <c r="S2256" t="str">
        <f t="shared" si="894"/>
        <v>15:10:47.000</v>
      </c>
      <c r="T2256" t="str">
        <f t="shared" si="894"/>
        <v>15:10:47.000</v>
      </c>
      <c r="U2256" t="str">
        <f t="shared" si="889"/>
        <v>A68FCB</v>
      </c>
      <c r="V2256">
        <v>0</v>
      </c>
      <c r="W2256">
        <v>0</v>
      </c>
      <c r="X2256">
        <v>2</v>
      </c>
      <c r="Y2256">
        <v>0</v>
      </c>
      <c r="AA2256">
        <v>1</v>
      </c>
      <c r="AB2256">
        <v>8</v>
      </c>
      <c r="AC2256">
        <v>3</v>
      </c>
      <c r="AD2256">
        <v>0</v>
      </c>
      <c r="AE2256">
        <v>9</v>
      </c>
      <c r="AF2256" t="s">
        <v>138</v>
      </c>
      <c r="AG2256">
        <v>0</v>
      </c>
      <c r="AH2256">
        <v>3</v>
      </c>
      <c r="AI2256">
        <v>2</v>
      </c>
      <c r="AJ2256">
        <v>0</v>
      </c>
      <c r="AK2256" t="s">
        <v>766</v>
      </c>
      <c r="AL2256">
        <v>39.067297000000003</v>
      </c>
      <c r="AM2256" t="s">
        <v>767</v>
      </c>
      <c r="AN2256">
        <v>-121.041355</v>
      </c>
      <c r="AO2256">
        <v>25</v>
      </c>
      <c r="AP2256">
        <v>4600</v>
      </c>
      <c r="AQ2256" t="s">
        <v>131</v>
      </c>
      <c r="AR2256">
        <v>3</v>
      </c>
      <c r="AS2256">
        <v>90</v>
      </c>
      <c r="AT2256">
        <v>64</v>
      </c>
      <c r="BB2256" t="str">
        <f t="shared" si="890"/>
        <v>1200</v>
      </c>
      <c r="BC2256">
        <v>1</v>
      </c>
      <c r="BD2256" t="str">
        <f t="shared" si="891"/>
        <v xml:space="preserve">N52156  </v>
      </c>
      <c r="BE2256">
        <v>1</v>
      </c>
      <c r="BG2256">
        <v>0</v>
      </c>
      <c r="BH2256">
        <v>0</v>
      </c>
      <c r="BI2256">
        <v>0</v>
      </c>
      <c r="BJ2256">
        <v>4600</v>
      </c>
      <c r="BK2256">
        <v>0</v>
      </c>
      <c r="BL2256" t="s">
        <v>188</v>
      </c>
      <c r="BM2256">
        <v>1</v>
      </c>
      <c r="BN2256">
        <v>1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 t="shared" si="895"/>
        <v>15:10:47.195</v>
      </c>
      <c r="CF2256">
        <v>195466602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4</v>
      </c>
      <c r="CY2256">
        <v>7</v>
      </c>
      <c r="CZ2256" t="s">
        <v>133</v>
      </c>
      <c r="DA2256">
        <v>275</v>
      </c>
      <c r="DB2256">
        <v>0</v>
      </c>
      <c r="DC2256" t="s">
        <v>134</v>
      </c>
      <c r="DD2256" t="s">
        <v>135</v>
      </c>
      <c r="DG2256">
        <v>3321558</v>
      </c>
      <c r="DI2256">
        <v>1</v>
      </c>
      <c r="DJ2256">
        <v>0</v>
      </c>
      <c r="DK2256">
        <v>1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"05/01/2025 15:10:47.445"</f>
        <v>05/01/2025 15:10:47.445</v>
      </c>
      <c r="C2257" t="str">
        <f t="shared" si="888"/>
        <v>FFDFD3C0</v>
      </c>
      <c r="D2257" t="s">
        <v>140</v>
      </c>
      <c r="E2257" t="str">
        <f>"13"</f>
        <v>13</v>
      </c>
      <c r="F2257">
        <v>1019</v>
      </c>
      <c r="G2257" t="s">
        <v>141</v>
      </c>
      <c r="J2257" t="s">
        <v>142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R2257" t="s">
        <v>127</v>
      </c>
      <c r="S2257" t="str">
        <f t="shared" si="894"/>
        <v>15:10:47.000</v>
      </c>
      <c r="T2257" t="str">
        <f t="shared" si="894"/>
        <v>15:10:47.000</v>
      </c>
      <c r="U2257" t="str">
        <f t="shared" si="889"/>
        <v>A68FCB</v>
      </c>
      <c r="V2257">
        <v>0</v>
      </c>
      <c r="W2257">
        <v>0</v>
      </c>
      <c r="X2257">
        <v>2</v>
      </c>
      <c r="Y2257">
        <v>0</v>
      </c>
      <c r="AA2257">
        <v>1</v>
      </c>
      <c r="AB2257">
        <v>8</v>
      </c>
      <c r="AC2257">
        <v>3</v>
      </c>
      <c r="AD2257">
        <v>0</v>
      </c>
      <c r="AE2257">
        <v>9</v>
      </c>
      <c r="AF2257" t="s">
        <v>138</v>
      </c>
      <c r="AG2257">
        <v>0</v>
      </c>
      <c r="AH2257">
        <v>3</v>
      </c>
      <c r="AI2257">
        <v>2</v>
      </c>
      <c r="AJ2257">
        <v>0</v>
      </c>
      <c r="AK2257" t="s">
        <v>766</v>
      </c>
      <c r="AL2257">
        <v>39.067297000000003</v>
      </c>
      <c r="AM2257" t="s">
        <v>767</v>
      </c>
      <c r="AN2257">
        <v>-121.041355</v>
      </c>
      <c r="AO2257">
        <v>25</v>
      </c>
      <c r="AP2257">
        <v>4600</v>
      </c>
      <c r="AQ2257" t="s">
        <v>131</v>
      </c>
      <c r="AR2257">
        <v>3</v>
      </c>
      <c r="AS2257">
        <v>90</v>
      </c>
      <c r="AT2257">
        <v>64</v>
      </c>
      <c r="BB2257" t="str">
        <f t="shared" si="890"/>
        <v>1200</v>
      </c>
      <c r="BC2257">
        <v>1</v>
      </c>
      <c r="BD2257" t="str">
        <f t="shared" si="891"/>
        <v xml:space="preserve">N52156  </v>
      </c>
      <c r="BE2257">
        <v>1</v>
      </c>
      <c r="BG2257">
        <v>0</v>
      </c>
      <c r="BH2257">
        <v>0</v>
      </c>
      <c r="BI2257">
        <v>0</v>
      </c>
      <c r="BJ2257">
        <v>4600</v>
      </c>
      <c r="BK2257">
        <v>0</v>
      </c>
      <c r="BL2257" t="s">
        <v>188</v>
      </c>
      <c r="BM2257">
        <v>1</v>
      </c>
      <c r="BN2257">
        <v>1</v>
      </c>
      <c r="BO2257">
        <v>0</v>
      </c>
      <c r="BP2257">
        <v>0</v>
      </c>
      <c r="BS2257">
        <v>0</v>
      </c>
      <c r="BT2257">
        <v>0</v>
      </c>
      <c r="BU2257">
        <v>0</v>
      </c>
      <c r="CE2257" t="str">
        <f t="shared" si="895"/>
        <v>15:10:47.195</v>
      </c>
      <c r="CF2257">
        <v>195466602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4</v>
      </c>
      <c r="CY2257">
        <v>7</v>
      </c>
      <c r="CZ2257" t="s">
        <v>133</v>
      </c>
      <c r="DA2257">
        <v>275</v>
      </c>
      <c r="DB2257">
        <v>0</v>
      </c>
      <c r="DC2257" t="s">
        <v>134</v>
      </c>
      <c r="DD2257" t="s">
        <v>135</v>
      </c>
      <c r="DG2257">
        <v>3321558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"05/01/2025 15:10:49.114"</f>
        <v>05/01/2025 15:10:49.114</v>
      </c>
      <c r="C2258" t="str">
        <f t="shared" si="888"/>
        <v>FFDFD3C0</v>
      </c>
      <c r="D2258" t="s">
        <v>145</v>
      </c>
      <c r="E2258" t="str">
        <f>"09"</f>
        <v>09</v>
      </c>
      <c r="H2258">
        <v>51</v>
      </c>
      <c r="I2258" t="s">
        <v>147</v>
      </c>
      <c r="J2258" t="s">
        <v>138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R2258" t="s">
        <v>127</v>
      </c>
      <c r="S2258" t="str">
        <f t="shared" ref="S2258:T2263" si="896">"15:10:48.000"</f>
        <v>15:10:48.000</v>
      </c>
      <c r="T2258" t="str">
        <f t="shared" si="896"/>
        <v>15:10:48.000</v>
      </c>
      <c r="U2258" t="str">
        <f t="shared" si="889"/>
        <v>A68FCB</v>
      </c>
      <c r="V2258">
        <v>0</v>
      </c>
      <c r="W2258">
        <v>0</v>
      </c>
      <c r="X2258">
        <v>2</v>
      </c>
      <c r="Y2258">
        <v>0</v>
      </c>
      <c r="AA2258">
        <v>1</v>
      </c>
      <c r="AB2258">
        <v>8</v>
      </c>
      <c r="AC2258">
        <v>3</v>
      </c>
      <c r="AD2258">
        <v>0</v>
      </c>
      <c r="AE2258">
        <v>9</v>
      </c>
      <c r="AF2258" t="s">
        <v>138</v>
      </c>
      <c r="AG2258">
        <v>0</v>
      </c>
      <c r="AH2258">
        <v>3</v>
      </c>
      <c r="AI2258">
        <v>2</v>
      </c>
      <c r="AJ2258">
        <v>0</v>
      </c>
      <c r="AK2258" t="s">
        <v>768</v>
      </c>
      <c r="AL2258">
        <v>39.067683000000002</v>
      </c>
      <c r="AM2258" t="s">
        <v>769</v>
      </c>
      <c r="AN2258">
        <v>-121.04133400000001</v>
      </c>
      <c r="AO2258">
        <v>25</v>
      </c>
      <c r="AP2258">
        <v>4600</v>
      </c>
      <c r="AQ2258" t="s">
        <v>131</v>
      </c>
      <c r="AR2258">
        <v>8</v>
      </c>
      <c r="AS2258">
        <v>90</v>
      </c>
      <c r="AT2258">
        <v>64</v>
      </c>
      <c r="BB2258" t="str">
        <f t="shared" si="890"/>
        <v>1200</v>
      </c>
      <c r="BC2258">
        <v>1</v>
      </c>
      <c r="BD2258" t="str">
        <f t="shared" si="891"/>
        <v xml:space="preserve">N52156  </v>
      </c>
      <c r="BE2258">
        <v>1</v>
      </c>
      <c r="BG2258">
        <v>0</v>
      </c>
      <c r="BH2258">
        <v>0</v>
      </c>
      <c r="BI2258">
        <v>0</v>
      </c>
      <c r="BJ2258">
        <v>4600</v>
      </c>
      <c r="BK2258">
        <v>0</v>
      </c>
      <c r="BL2258" t="s">
        <v>188</v>
      </c>
      <c r="BM2258">
        <v>1</v>
      </c>
      <c r="BN2258">
        <v>1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 t="shared" ref="CE2258:CE2263" si="897">"15:10:48.911"</f>
        <v>15:10:48.911</v>
      </c>
      <c r="CF2258">
        <v>910968525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4</v>
      </c>
      <c r="CY2258">
        <v>7</v>
      </c>
      <c r="CZ2258" t="s">
        <v>133</v>
      </c>
      <c r="DA2258">
        <v>275</v>
      </c>
      <c r="DB2258">
        <v>0</v>
      </c>
      <c r="DC2258" t="s">
        <v>134</v>
      </c>
      <c r="DD2258" t="s">
        <v>135</v>
      </c>
      <c r="DG2258">
        <v>3321567</v>
      </c>
      <c r="DI2258">
        <v>1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"05/01/2025 15:10:49.112"</f>
        <v>05/01/2025 15:10:49.112</v>
      </c>
      <c r="C2259" t="str">
        <f t="shared" si="888"/>
        <v>FFDFD3C0</v>
      </c>
      <c r="D2259" t="s">
        <v>145</v>
      </c>
      <c r="E2259" t="str">
        <f>"05"</f>
        <v>05</v>
      </c>
      <c r="H2259">
        <v>47</v>
      </c>
      <c r="I2259" t="s">
        <v>146</v>
      </c>
      <c r="J2259" t="s">
        <v>138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R2259" t="s">
        <v>127</v>
      </c>
      <c r="S2259" t="str">
        <f t="shared" si="896"/>
        <v>15:10:48.000</v>
      </c>
      <c r="T2259" t="str">
        <f t="shared" si="896"/>
        <v>15:10:48.000</v>
      </c>
      <c r="U2259" t="str">
        <f t="shared" si="889"/>
        <v>A68FCB</v>
      </c>
      <c r="V2259">
        <v>0</v>
      </c>
      <c r="W2259">
        <v>0</v>
      </c>
      <c r="X2259">
        <v>2</v>
      </c>
      <c r="Y2259">
        <v>0</v>
      </c>
      <c r="AA2259">
        <v>1</v>
      </c>
      <c r="AB2259">
        <v>8</v>
      </c>
      <c r="AC2259">
        <v>3</v>
      </c>
      <c r="AD2259">
        <v>0</v>
      </c>
      <c r="AE2259">
        <v>9</v>
      </c>
      <c r="AF2259" t="s">
        <v>138</v>
      </c>
      <c r="AG2259">
        <v>0</v>
      </c>
      <c r="AH2259">
        <v>3</v>
      </c>
      <c r="AI2259">
        <v>2</v>
      </c>
      <c r="AJ2259">
        <v>0</v>
      </c>
      <c r="AK2259" t="s">
        <v>768</v>
      </c>
      <c r="AL2259">
        <v>39.067683000000002</v>
      </c>
      <c r="AM2259" t="s">
        <v>769</v>
      </c>
      <c r="AN2259">
        <v>-121.04133400000001</v>
      </c>
      <c r="AO2259">
        <v>25</v>
      </c>
      <c r="AP2259">
        <v>4600</v>
      </c>
      <c r="AQ2259" t="s">
        <v>131</v>
      </c>
      <c r="AR2259">
        <v>8</v>
      </c>
      <c r="AS2259">
        <v>90</v>
      </c>
      <c r="AT2259">
        <v>64</v>
      </c>
      <c r="BB2259" t="str">
        <f t="shared" si="890"/>
        <v>1200</v>
      </c>
      <c r="BC2259">
        <v>1</v>
      </c>
      <c r="BD2259" t="str">
        <f t="shared" si="891"/>
        <v xml:space="preserve">N52156  </v>
      </c>
      <c r="BE2259">
        <v>1</v>
      </c>
      <c r="BG2259">
        <v>0</v>
      </c>
      <c r="BH2259">
        <v>0</v>
      </c>
      <c r="BI2259">
        <v>0</v>
      </c>
      <c r="BJ2259">
        <v>4600</v>
      </c>
      <c r="BK2259">
        <v>0</v>
      </c>
      <c r="BL2259" t="s">
        <v>188</v>
      </c>
      <c r="BM2259">
        <v>1</v>
      </c>
      <c r="BN2259">
        <v>1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 t="shared" si="897"/>
        <v>15:10:48.911</v>
      </c>
      <c r="CF2259">
        <v>910968525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4</v>
      </c>
      <c r="CY2259">
        <v>7</v>
      </c>
      <c r="CZ2259" t="s">
        <v>133</v>
      </c>
      <c r="DA2259">
        <v>275</v>
      </c>
      <c r="DB2259">
        <v>0</v>
      </c>
      <c r="DC2259" t="s">
        <v>134</v>
      </c>
      <c r="DD2259" t="s">
        <v>135</v>
      </c>
      <c r="DG2259">
        <v>3321567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"05/01/2025 15:10:49.121"</f>
        <v>05/01/2025 15:10:49.121</v>
      </c>
      <c r="C2260" t="str">
        <f t="shared" si="888"/>
        <v>FFDFD3C0</v>
      </c>
      <c r="D2260" t="s">
        <v>136</v>
      </c>
      <c r="E2260" t="str">
        <f>"20"</f>
        <v>20</v>
      </c>
      <c r="H2260">
        <v>400</v>
      </c>
      <c r="I2260" t="s">
        <v>137</v>
      </c>
      <c r="J2260" t="s">
        <v>138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R2260" t="s">
        <v>127</v>
      </c>
      <c r="S2260" t="str">
        <f t="shared" si="896"/>
        <v>15:10:48.000</v>
      </c>
      <c r="T2260" t="str">
        <f t="shared" si="896"/>
        <v>15:10:48.000</v>
      </c>
      <c r="U2260" t="str">
        <f t="shared" si="889"/>
        <v>A68FCB</v>
      </c>
      <c r="V2260">
        <v>0</v>
      </c>
      <c r="W2260">
        <v>0</v>
      </c>
      <c r="X2260">
        <v>2</v>
      </c>
      <c r="Y2260">
        <v>0</v>
      </c>
      <c r="AA2260">
        <v>1</v>
      </c>
      <c r="AB2260">
        <v>8</v>
      </c>
      <c r="AC2260">
        <v>3</v>
      </c>
      <c r="AD2260">
        <v>0</v>
      </c>
      <c r="AE2260">
        <v>9</v>
      </c>
      <c r="AF2260" t="s">
        <v>138</v>
      </c>
      <c r="AG2260">
        <v>0</v>
      </c>
      <c r="AH2260">
        <v>3</v>
      </c>
      <c r="AI2260">
        <v>2</v>
      </c>
      <c r="AJ2260">
        <v>0</v>
      </c>
      <c r="AK2260" t="s">
        <v>768</v>
      </c>
      <c r="AL2260">
        <v>39.067683000000002</v>
      </c>
      <c r="AM2260" t="s">
        <v>769</v>
      </c>
      <c r="AN2260">
        <v>-121.04133400000001</v>
      </c>
      <c r="AO2260">
        <v>25</v>
      </c>
      <c r="AP2260">
        <v>4600</v>
      </c>
      <c r="AQ2260" t="s">
        <v>131</v>
      </c>
      <c r="AR2260">
        <v>8</v>
      </c>
      <c r="AS2260">
        <v>90</v>
      </c>
      <c r="AT2260">
        <v>64</v>
      </c>
      <c r="BB2260" t="str">
        <f t="shared" si="890"/>
        <v>1200</v>
      </c>
      <c r="BC2260">
        <v>1</v>
      </c>
      <c r="BD2260" t="str">
        <f t="shared" si="891"/>
        <v xml:space="preserve">N52156  </v>
      </c>
      <c r="BE2260">
        <v>1</v>
      </c>
      <c r="BG2260">
        <v>0</v>
      </c>
      <c r="BH2260">
        <v>0</v>
      </c>
      <c r="BI2260">
        <v>0</v>
      </c>
      <c r="BJ2260">
        <v>4600</v>
      </c>
      <c r="BK2260">
        <v>0</v>
      </c>
      <c r="BL2260" t="s">
        <v>188</v>
      </c>
      <c r="BM2260">
        <v>1</v>
      </c>
      <c r="BN2260">
        <v>1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 t="shared" si="897"/>
        <v>15:10:48.911</v>
      </c>
      <c r="CF2260">
        <v>910968525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4</v>
      </c>
      <c r="CY2260">
        <v>7</v>
      </c>
      <c r="CZ2260" t="s">
        <v>133</v>
      </c>
      <c r="DA2260">
        <v>275</v>
      </c>
      <c r="DB2260">
        <v>0</v>
      </c>
      <c r="DC2260" t="s">
        <v>134</v>
      </c>
      <c r="DD2260" t="s">
        <v>135</v>
      </c>
      <c r="DG2260">
        <v>3321567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"05/01/2025 15:10:49.126"</f>
        <v>05/01/2025 15:10:49.126</v>
      </c>
      <c r="C2261" t="str">
        <f t="shared" si="888"/>
        <v>FFDFD3C0</v>
      </c>
      <c r="D2261" t="s">
        <v>143</v>
      </c>
      <c r="E2261" t="str">
        <f>"05"</f>
        <v>05</v>
      </c>
      <c r="H2261">
        <v>172</v>
      </c>
      <c r="I2261" t="s">
        <v>141</v>
      </c>
      <c r="J2261" t="s">
        <v>144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R2261" t="s">
        <v>127</v>
      </c>
      <c r="S2261" t="str">
        <f t="shared" si="896"/>
        <v>15:10:48.000</v>
      </c>
      <c r="T2261" t="str">
        <f t="shared" si="896"/>
        <v>15:10:48.000</v>
      </c>
      <c r="U2261" t="str">
        <f t="shared" si="889"/>
        <v>A68FCB</v>
      </c>
      <c r="V2261">
        <v>0</v>
      </c>
      <c r="W2261">
        <v>0</v>
      </c>
      <c r="X2261">
        <v>2</v>
      </c>
      <c r="Y2261">
        <v>0</v>
      </c>
      <c r="AA2261">
        <v>1</v>
      </c>
      <c r="AB2261">
        <v>8</v>
      </c>
      <c r="AC2261">
        <v>3</v>
      </c>
      <c r="AD2261">
        <v>0</v>
      </c>
      <c r="AE2261">
        <v>9</v>
      </c>
      <c r="AF2261" t="s">
        <v>138</v>
      </c>
      <c r="AG2261">
        <v>0</v>
      </c>
      <c r="AH2261">
        <v>3</v>
      </c>
      <c r="AI2261">
        <v>2</v>
      </c>
      <c r="AJ2261">
        <v>0</v>
      </c>
      <c r="AK2261" t="s">
        <v>768</v>
      </c>
      <c r="AL2261">
        <v>39.067683000000002</v>
      </c>
      <c r="AM2261" t="s">
        <v>769</v>
      </c>
      <c r="AN2261">
        <v>-121.04133400000001</v>
      </c>
      <c r="AO2261">
        <v>25</v>
      </c>
      <c r="AP2261">
        <v>4600</v>
      </c>
      <c r="AQ2261" t="s">
        <v>131</v>
      </c>
      <c r="AR2261">
        <v>8</v>
      </c>
      <c r="AS2261">
        <v>90</v>
      </c>
      <c r="AT2261">
        <v>64</v>
      </c>
      <c r="BB2261" t="str">
        <f t="shared" si="890"/>
        <v>1200</v>
      </c>
      <c r="BC2261">
        <v>1</v>
      </c>
      <c r="BD2261" t="str">
        <f t="shared" si="891"/>
        <v xml:space="preserve">N52156  </v>
      </c>
      <c r="BE2261">
        <v>1</v>
      </c>
      <c r="BG2261">
        <v>0</v>
      </c>
      <c r="BH2261">
        <v>0</v>
      </c>
      <c r="BI2261">
        <v>0</v>
      </c>
      <c r="BJ2261">
        <v>4600</v>
      </c>
      <c r="BK2261">
        <v>0</v>
      </c>
      <c r="BL2261" t="s">
        <v>188</v>
      </c>
      <c r="BM2261">
        <v>1</v>
      </c>
      <c r="BN2261">
        <v>1</v>
      </c>
      <c r="BO2261">
        <v>0</v>
      </c>
      <c r="BP2261">
        <v>0</v>
      </c>
      <c r="BS2261">
        <v>0</v>
      </c>
      <c r="BT2261">
        <v>0</v>
      </c>
      <c r="BU2261">
        <v>0</v>
      </c>
      <c r="CE2261" t="str">
        <f t="shared" si="897"/>
        <v>15:10:48.911</v>
      </c>
      <c r="CF2261">
        <v>910968525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4</v>
      </c>
      <c r="CY2261">
        <v>7</v>
      </c>
      <c r="CZ2261" t="s">
        <v>133</v>
      </c>
      <c r="DA2261">
        <v>275</v>
      </c>
      <c r="DB2261">
        <v>0</v>
      </c>
      <c r="DC2261" t="s">
        <v>134</v>
      </c>
      <c r="DD2261" t="s">
        <v>135</v>
      </c>
      <c r="DG2261">
        <v>3321567</v>
      </c>
      <c r="DI2261">
        <v>1</v>
      </c>
      <c r="DJ2261">
        <v>0</v>
      </c>
      <c r="DK2261">
        <v>1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"05/01/2025 15:10:49.148"</f>
        <v>05/01/2025 15:10:49.148</v>
      </c>
      <c r="C2262" t="str">
        <f t="shared" si="888"/>
        <v>FFDFD3C0</v>
      </c>
      <c r="D2262" t="s">
        <v>140</v>
      </c>
      <c r="E2262" t="str">
        <f>"13"</f>
        <v>13</v>
      </c>
      <c r="F2262">
        <v>1019</v>
      </c>
      <c r="G2262" t="s">
        <v>141</v>
      </c>
      <c r="J2262" t="s">
        <v>142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R2262" t="s">
        <v>127</v>
      </c>
      <c r="S2262" t="str">
        <f t="shared" si="896"/>
        <v>15:10:48.000</v>
      </c>
      <c r="T2262" t="str">
        <f t="shared" si="896"/>
        <v>15:10:48.000</v>
      </c>
      <c r="U2262" t="str">
        <f t="shared" si="889"/>
        <v>A68FCB</v>
      </c>
      <c r="V2262">
        <v>0</v>
      </c>
      <c r="W2262">
        <v>0</v>
      </c>
      <c r="X2262">
        <v>2</v>
      </c>
      <c r="Y2262">
        <v>0</v>
      </c>
      <c r="AA2262">
        <v>1</v>
      </c>
      <c r="AB2262">
        <v>8</v>
      </c>
      <c r="AC2262">
        <v>3</v>
      </c>
      <c r="AD2262">
        <v>0</v>
      </c>
      <c r="AE2262">
        <v>9</v>
      </c>
      <c r="AF2262" t="s">
        <v>138</v>
      </c>
      <c r="AG2262">
        <v>0</v>
      </c>
      <c r="AH2262">
        <v>3</v>
      </c>
      <c r="AI2262">
        <v>2</v>
      </c>
      <c r="AJ2262">
        <v>0</v>
      </c>
      <c r="AK2262" t="s">
        <v>768</v>
      </c>
      <c r="AL2262">
        <v>39.067683000000002</v>
      </c>
      <c r="AM2262" t="s">
        <v>769</v>
      </c>
      <c r="AN2262">
        <v>-121.04133400000001</v>
      </c>
      <c r="AO2262">
        <v>25</v>
      </c>
      <c r="AP2262">
        <v>4600</v>
      </c>
      <c r="AQ2262" t="s">
        <v>131</v>
      </c>
      <c r="AR2262">
        <v>8</v>
      </c>
      <c r="AS2262">
        <v>90</v>
      </c>
      <c r="AT2262">
        <v>64</v>
      </c>
      <c r="BB2262" t="str">
        <f t="shared" si="890"/>
        <v>1200</v>
      </c>
      <c r="BC2262">
        <v>1</v>
      </c>
      <c r="BD2262" t="str">
        <f t="shared" si="891"/>
        <v xml:space="preserve">N52156  </v>
      </c>
      <c r="BE2262">
        <v>1</v>
      </c>
      <c r="BG2262">
        <v>0</v>
      </c>
      <c r="BH2262">
        <v>0</v>
      </c>
      <c r="BI2262">
        <v>0</v>
      </c>
      <c r="BJ2262">
        <v>4600</v>
      </c>
      <c r="BK2262">
        <v>0</v>
      </c>
      <c r="BL2262" t="s">
        <v>188</v>
      </c>
      <c r="BM2262">
        <v>1</v>
      </c>
      <c r="BN2262">
        <v>1</v>
      </c>
      <c r="BO2262">
        <v>0</v>
      </c>
      <c r="BP2262">
        <v>0</v>
      </c>
      <c r="BS2262">
        <v>0</v>
      </c>
      <c r="BT2262">
        <v>0</v>
      </c>
      <c r="BU2262">
        <v>0</v>
      </c>
      <c r="CE2262" t="str">
        <f t="shared" si="897"/>
        <v>15:10:48.911</v>
      </c>
      <c r="CF2262">
        <v>910968525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4</v>
      </c>
      <c r="CY2262">
        <v>7</v>
      </c>
      <c r="CZ2262" t="s">
        <v>133</v>
      </c>
      <c r="DA2262">
        <v>275</v>
      </c>
      <c r="DB2262">
        <v>0</v>
      </c>
      <c r="DC2262" t="s">
        <v>134</v>
      </c>
      <c r="DD2262" t="s">
        <v>135</v>
      </c>
      <c r="DG2262">
        <v>3321567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"05/01/2025 15:10:49.156"</f>
        <v>05/01/2025 15:10:49.156</v>
      </c>
      <c r="C2263" t="str">
        <f t="shared" si="888"/>
        <v>FFDFD3C0</v>
      </c>
      <c r="D2263" t="s">
        <v>124</v>
      </c>
      <c r="E2263" t="str">
        <f>"06"</f>
        <v>06</v>
      </c>
      <c r="F2263">
        <v>2006</v>
      </c>
      <c r="G2263" t="s">
        <v>125</v>
      </c>
      <c r="J2263" t="s">
        <v>126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R2263" t="s">
        <v>127</v>
      </c>
      <c r="S2263" t="str">
        <f t="shared" si="896"/>
        <v>15:10:48.000</v>
      </c>
      <c r="T2263" t="str">
        <f t="shared" si="896"/>
        <v>15:10:48.000</v>
      </c>
      <c r="U2263" t="str">
        <f t="shared" si="889"/>
        <v>A68FCB</v>
      </c>
      <c r="V2263">
        <v>0</v>
      </c>
      <c r="W2263">
        <v>0</v>
      </c>
      <c r="X2263">
        <v>2</v>
      </c>
      <c r="Y2263">
        <v>0</v>
      </c>
      <c r="AA2263">
        <v>1</v>
      </c>
      <c r="AB2263">
        <v>8</v>
      </c>
      <c r="AC2263">
        <v>3</v>
      </c>
      <c r="AD2263">
        <v>0</v>
      </c>
      <c r="AE2263">
        <v>9</v>
      </c>
      <c r="AF2263" t="s">
        <v>138</v>
      </c>
      <c r="AG2263">
        <v>0</v>
      </c>
      <c r="AH2263">
        <v>3</v>
      </c>
      <c r="AI2263">
        <v>2</v>
      </c>
      <c r="AJ2263">
        <v>0</v>
      </c>
      <c r="AK2263" t="s">
        <v>768</v>
      </c>
      <c r="AL2263">
        <v>39.067683000000002</v>
      </c>
      <c r="AM2263" t="s">
        <v>769</v>
      </c>
      <c r="AN2263">
        <v>-121.04133400000001</v>
      </c>
      <c r="AO2263">
        <v>25</v>
      </c>
      <c r="AP2263">
        <v>4600</v>
      </c>
      <c r="AQ2263" t="s">
        <v>131</v>
      </c>
      <c r="AR2263">
        <v>8</v>
      </c>
      <c r="AS2263">
        <v>90</v>
      </c>
      <c r="AT2263">
        <v>64</v>
      </c>
      <c r="BB2263" t="str">
        <f t="shared" si="890"/>
        <v>1200</v>
      </c>
      <c r="BC2263">
        <v>1</v>
      </c>
      <c r="BD2263" t="str">
        <f t="shared" si="891"/>
        <v xml:space="preserve">N52156  </v>
      </c>
      <c r="BE2263">
        <v>1</v>
      </c>
      <c r="BG2263">
        <v>0</v>
      </c>
      <c r="BH2263">
        <v>0</v>
      </c>
      <c r="BI2263">
        <v>0</v>
      </c>
      <c r="BJ2263">
        <v>4600</v>
      </c>
      <c r="BK2263">
        <v>0</v>
      </c>
      <c r="BL2263" t="s">
        <v>188</v>
      </c>
      <c r="BM2263">
        <v>1</v>
      </c>
      <c r="BN2263">
        <v>1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 t="shared" si="897"/>
        <v>15:10:48.911</v>
      </c>
      <c r="CF2263">
        <v>910968525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4</v>
      </c>
      <c r="CY2263">
        <v>7</v>
      </c>
      <c r="CZ2263" t="s">
        <v>133</v>
      </c>
      <c r="DA2263">
        <v>275</v>
      </c>
      <c r="DB2263">
        <v>0</v>
      </c>
      <c r="DC2263" t="s">
        <v>134</v>
      </c>
      <c r="DD2263" t="s">
        <v>135</v>
      </c>
      <c r="DG2263">
        <v>3321567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"05/01/2025 15:10:49.957"</f>
        <v>05/01/2025 15:10:49.957</v>
      </c>
      <c r="C2264" t="str">
        <f t="shared" si="888"/>
        <v>FFDFD3C0</v>
      </c>
      <c r="D2264" t="s">
        <v>124</v>
      </c>
      <c r="E2264" t="str">
        <f>"06"</f>
        <v>06</v>
      </c>
      <c r="F2264">
        <v>2006</v>
      </c>
      <c r="G2264" t="s">
        <v>125</v>
      </c>
      <c r="J2264" t="s">
        <v>126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R2264" t="s">
        <v>127</v>
      </c>
      <c r="S2264" t="str">
        <f t="shared" ref="S2264:T2269" si="898">"15:10:49.000"</f>
        <v>15:10:49.000</v>
      </c>
      <c r="T2264" t="str">
        <f t="shared" si="898"/>
        <v>15:10:49.000</v>
      </c>
      <c r="U2264" t="str">
        <f t="shared" si="889"/>
        <v>A68FCB</v>
      </c>
      <c r="V2264">
        <v>0</v>
      </c>
      <c r="W2264">
        <v>0</v>
      </c>
      <c r="X2264">
        <v>2</v>
      </c>
      <c r="Y2264">
        <v>0</v>
      </c>
      <c r="AA2264">
        <v>1</v>
      </c>
      <c r="AB2264">
        <v>8</v>
      </c>
      <c r="AC2264">
        <v>3</v>
      </c>
      <c r="AD2264">
        <v>0</v>
      </c>
      <c r="AE2264">
        <v>9</v>
      </c>
      <c r="AF2264" t="s">
        <v>138</v>
      </c>
      <c r="AG2264">
        <v>0</v>
      </c>
      <c r="AH2264">
        <v>3</v>
      </c>
      <c r="AI2264">
        <v>2</v>
      </c>
      <c r="AJ2264">
        <v>0</v>
      </c>
      <c r="AK2264" t="s">
        <v>770</v>
      </c>
      <c r="AL2264">
        <v>39.068111999999999</v>
      </c>
      <c r="AM2264" t="s">
        <v>771</v>
      </c>
      <c r="AN2264">
        <v>-121.041312</v>
      </c>
      <c r="AO2264">
        <v>25</v>
      </c>
      <c r="AP2264">
        <v>4600</v>
      </c>
      <c r="AQ2264" t="s">
        <v>131</v>
      </c>
      <c r="AR2264">
        <v>11</v>
      </c>
      <c r="AS2264">
        <v>89</v>
      </c>
      <c r="AT2264">
        <v>0</v>
      </c>
      <c r="BB2264" t="str">
        <f t="shared" si="890"/>
        <v>1200</v>
      </c>
      <c r="BC2264">
        <v>1</v>
      </c>
      <c r="BD2264" t="str">
        <f t="shared" si="891"/>
        <v xml:space="preserve">N52156  </v>
      </c>
      <c r="BE2264">
        <v>1</v>
      </c>
      <c r="BG2264">
        <v>0</v>
      </c>
      <c r="BH2264">
        <v>0</v>
      </c>
      <c r="BI2264">
        <v>0</v>
      </c>
      <c r="BJ2264">
        <v>4600</v>
      </c>
      <c r="BK2264">
        <v>0</v>
      </c>
      <c r="BL2264" t="s">
        <v>188</v>
      </c>
      <c r="BM2264">
        <v>1</v>
      </c>
      <c r="BN2264">
        <v>1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 t="shared" ref="CE2264:CE2269" si="899">"15:10:49.749"</f>
        <v>15:10:49.749</v>
      </c>
      <c r="CF2264">
        <v>749468197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4</v>
      </c>
      <c r="CY2264">
        <v>7</v>
      </c>
      <c r="CZ2264" t="s">
        <v>133</v>
      </c>
      <c r="DA2264">
        <v>275</v>
      </c>
      <c r="DB2264">
        <v>0</v>
      </c>
      <c r="DC2264" t="s">
        <v>134</v>
      </c>
      <c r="DD2264" t="s">
        <v>135</v>
      </c>
      <c r="DG2264">
        <v>3321571</v>
      </c>
      <c r="DI2264">
        <v>1</v>
      </c>
      <c r="DJ2264">
        <v>0</v>
      </c>
      <c r="DK2264">
        <v>0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"05/01/2025 15:10:49.964"</f>
        <v>05/01/2025 15:10:49.964</v>
      </c>
      <c r="C2265" t="str">
        <f t="shared" si="888"/>
        <v>FFDFD3C0</v>
      </c>
      <c r="D2265" t="s">
        <v>145</v>
      </c>
      <c r="E2265" t="str">
        <f>"05"</f>
        <v>05</v>
      </c>
      <c r="H2265">
        <v>47</v>
      </c>
      <c r="I2265" t="s">
        <v>146</v>
      </c>
      <c r="J2265" t="s">
        <v>138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R2265" t="s">
        <v>127</v>
      </c>
      <c r="S2265" t="str">
        <f t="shared" si="898"/>
        <v>15:10:49.000</v>
      </c>
      <c r="T2265" t="str">
        <f t="shared" si="898"/>
        <v>15:10:49.000</v>
      </c>
      <c r="U2265" t="str">
        <f t="shared" si="889"/>
        <v>A68FCB</v>
      </c>
      <c r="V2265">
        <v>0</v>
      </c>
      <c r="W2265">
        <v>0</v>
      </c>
      <c r="X2265">
        <v>2</v>
      </c>
      <c r="Y2265">
        <v>0</v>
      </c>
      <c r="AA2265">
        <v>1</v>
      </c>
      <c r="AB2265">
        <v>8</v>
      </c>
      <c r="AC2265">
        <v>3</v>
      </c>
      <c r="AD2265">
        <v>0</v>
      </c>
      <c r="AE2265">
        <v>9</v>
      </c>
      <c r="AF2265" t="s">
        <v>138</v>
      </c>
      <c r="AG2265">
        <v>0</v>
      </c>
      <c r="AH2265">
        <v>3</v>
      </c>
      <c r="AI2265">
        <v>2</v>
      </c>
      <c r="AJ2265">
        <v>0</v>
      </c>
      <c r="AK2265" t="s">
        <v>770</v>
      </c>
      <c r="AL2265">
        <v>39.068111999999999</v>
      </c>
      <c r="AM2265" t="s">
        <v>771</v>
      </c>
      <c r="AN2265">
        <v>-121.041312</v>
      </c>
      <c r="AO2265">
        <v>25</v>
      </c>
      <c r="AP2265">
        <v>4600</v>
      </c>
      <c r="AQ2265" t="s">
        <v>131</v>
      </c>
      <c r="AR2265">
        <v>11</v>
      </c>
      <c r="AS2265">
        <v>89</v>
      </c>
      <c r="AT2265">
        <v>0</v>
      </c>
      <c r="BB2265" t="str">
        <f t="shared" si="890"/>
        <v>1200</v>
      </c>
      <c r="BC2265">
        <v>1</v>
      </c>
      <c r="BD2265" t="str">
        <f t="shared" si="891"/>
        <v xml:space="preserve">N52156  </v>
      </c>
      <c r="BE2265">
        <v>1</v>
      </c>
      <c r="BG2265">
        <v>0</v>
      </c>
      <c r="BH2265">
        <v>0</v>
      </c>
      <c r="BI2265">
        <v>0</v>
      </c>
      <c r="BJ2265">
        <v>4600</v>
      </c>
      <c r="BK2265">
        <v>0</v>
      </c>
      <c r="BL2265" t="s">
        <v>188</v>
      </c>
      <c r="BM2265">
        <v>1</v>
      </c>
      <c r="BN2265">
        <v>1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 t="shared" si="899"/>
        <v>15:10:49.749</v>
      </c>
      <c r="CF2265">
        <v>749468197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4</v>
      </c>
      <c r="CY2265">
        <v>7</v>
      </c>
      <c r="CZ2265" t="s">
        <v>133</v>
      </c>
      <c r="DA2265">
        <v>275</v>
      </c>
      <c r="DB2265">
        <v>0</v>
      </c>
      <c r="DC2265" t="s">
        <v>134</v>
      </c>
      <c r="DD2265" t="s">
        <v>135</v>
      </c>
      <c r="DG2265">
        <v>3321571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"05/01/2025 15:10:49.965"</f>
        <v>05/01/2025 15:10:49.965</v>
      </c>
      <c r="C2266" t="str">
        <f t="shared" si="888"/>
        <v>FFDFD3C0</v>
      </c>
      <c r="D2266" t="s">
        <v>145</v>
      </c>
      <c r="E2266" t="str">
        <f>"09"</f>
        <v>09</v>
      </c>
      <c r="H2266">
        <v>51</v>
      </c>
      <c r="I2266" t="s">
        <v>147</v>
      </c>
      <c r="J2266" t="s">
        <v>138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R2266" t="s">
        <v>127</v>
      </c>
      <c r="S2266" t="str">
        <f t="shared" si="898"/>
        <v>15:10:49.000</v>
      </c>
      <c r="T2266" t="str">
        <f t="shared" si="898"/>
        <v>15:10:49.000</v>
      </c>
      <c r="U2266" t="str">
        <f t="shared" si="889"/>
        <v>A68FCB</v>
      </c>
      <c r="V2266">
        <v>0</v>
      </c>
      <c r="W2266">
        <v>0</v>
      </c>
      <c r="X2266">
        <v>2</v>
      </c>
      <c r="Y2266">
        <v>0</v>
      </c>
      <c r="AA2266">
        <v>1</v>
      </c>
      <c r="AB2266">
        <v>8</v>
      </c>
      <c r="AC2266">
        <v>3</v>
      </c>
      <c r="AD2266">
        <v>0</v>
      </c>
      <c r="AE2266">
        <v>9</v>
      </c>
      <c r="AF2266" t="s">
        <v>138</v>
      </c>
      <c r="AG2266">
        <v>0</v>
      </c>
      <c r="AH2266">
        <v>3</v>
      </c>
      <c r="AI2266">
        <v>2</v>
      </c>
      <c r="AJ2266">
        <v>0</v>
      </c>
      <c r="AK2266" t="s">
        <v>770</v>
      </c>
      <c r="AL2266">
        <v>39.068111999999999</v>
      </c>
      <c r="AM2266" t="s">
        <v>771</v>
      </c>
      <c r="AN2266">
        <v>-121.041312</v>
      </c>
      <c r="AO2266">
        <v>25</v>
      </c>
      <c r="AP2266">
        <v>4600</v>
      </c>
      <c r="AQ2266" t="s">
        <v>131</v>
      </c>
      <c r="AR2266">
        <v>11</v>
      </c>
      <c r="AS2266">
        <v>89</v>
      </c>
      <c r="AT2266">
        <v>0</v>
      </c>
      <c r="BB2266" t="str">
        <f t="shared" si="890"/>
        <v>1200</v>
      </c>
      <c r="BC2266">
        <v>1</v>
      </c>
      <c r="BD2266" t="str">
        <f t="shared" si="891"/>
        <v xml:space="preserve">N52156  </v>
      </c>
      <c r="BE2266">
        <v>1</v>
      </c>
      <c r="BG2266">
        <v>0</v>
      </c>
      <c r="BH2266">
        <v>0</v>
      </c>
      <c r="BI2266">
        <v>0</v>
      </c>
      <c r="BJ2266">
        <v>4600</v>
      </c>
      <c r="BK2266">
        <v>0</v>
      </c>
      <c r="BL2266" t="s">
        <v>188</v>
      </c>
      <c r="BM2266">
        <v>1</v>
      </c>
      <c r="BN2266">
        <v>1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 t="shared" si="899"/>
        <v>15:10:49.749</v>
      </c>
      <c r="CF2266">
        <v>749468197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4</v>
      </c>
      <c r="CY2266">
        <v>7</v>
      </c>
      <c r="CZ2266" t="s">
        <v>133</v>
      </c>
      <c r="DA2266">
        <v>275</v>
      </c>
      <c r="DB2266">
        <v>0</v>
      </c>
      <c r="DC2266" t="s">
        <v>134</v>
      </c>
      <c r="DD2266" t="s">
        <v>135</v>
      </c>
      <c r="DG2266">
        <v>3321571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"05/01/2025 15:10:49.972"</f>
        <v>05/01/2025 15:10:49.972</v>
      </c>
      <c r="C2267" t="str">
        <f t="shared" si="888"/>
        <v>FFDFD3C0</v>
      </c>
      <c r="D2267" t="s">
        <v>136</v>
      </c>
      <c r="E2267" t="str">
        <f>"20"</f>
        <v>20</v>
      </c>
      <c r="H2267">
        <v>400</v>
      </c>
      <c r="I2267" t="s">
        <v>137</v>
      </c>
      <c r="J2267" t="s">
        <v>138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R2267" t="s">
        <v>127</v>
      </c>
      <c r="S2267" t="str">
        <f t="shared" si="898"/>
        <v>15:10:49.000</v>
      </c>
      <c r="T2267" t="str">
        <f t="shared" si="898"/>
        <v>15:10:49.000</v>
      </c>
      <c r="U2267" t="str">
        <f t="shared" si="889"/>
        <v>A68FCB</v>
      </c>
      <c r="V2267">
        <v>0</v>
      </c>
      <c r="W2267">
        <v>0</v>
      </c>
      <c r="X2267">
        <v>2</v>
      </c>
      <c r="Y2267">
        <v>0</v>
      </c>
      <c r="AA2267">
        <v>1</v>
      </c>
      <c r="AB2267">
        <v>8</v>
      </c>
      <c r="AC2267">
        <v>3</v>
      </c>
      <c r="AD2267">
        <v>0</v>
      </c>
      <c r="AE2267">
        <v>9</v>
      </c>
      <c r="AF2267" t="s">
        <v>138</v>
      </c>
      <c r="AG2267">
        <v>0</v>
      </c>
      <c r="AH2267">
        <v>3</v>
      </c>
      <c r="AI2267">
        <v>2</v>
      </c>
      <c r="AJ2267">
        <v>0</v>
      </c>
      <c r="AK2267" t="s">
        <v>770</v>
      </c>
      <c r="AL2267">
        <v>39.068111999999999</v>
      </c>
      <c r="AM2267" t="s">
        <v>771</v>
      </c>
      <c r="AN2267">
        <v>-121.041312</v>
      </c>
      <c r="AO2267">
        <v>25</v>
      </c>
      <c r="AP2267">
        <v>4600</v>
      </c>
      <c r="AQ2267" t="s">
        <v>131</v>
      </c>
      <c r="AR2267">
        <v>11</v>
      </c>
      <c r="AS2267">
        <v>89</v>
      </c>
      <c r="AT2267">
        <v>0</v>
      </c>
      <c r="BB2267" t="str">
        <f t="shared" si="890"/>
        <v>1200</v>
      </c>
      <c r="BC2267">
        <v>1</v>
      </c>
      <c r="BD2267" t="str">
        <f t="shared" si="891"/>
        <v xml:space="preserve">N52156  </v>
      </c>
      <c r="BE2267">
        <v>1</v>
      </c>
      <c r="BG2267">
        <v>0</v>
      </c>
      <c r="BH2267">
        <v>0</v>
      </c>
      <c r="BI2267">
        <v>0</v>
      </c>
      <c r="BJ2267">
        <v>4600</v>
      </c>
      <c r="BK2267">
        <v>0</v>
      </c>
      <c r="BL2267" t="s">
        <v>188</v>
      </c>
      <c r="BM2267">
        <v>1</v>
      </c>
      <c r="BN2267">
        <v>1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 t="shared" si="899"/>
        <v>15:10:49.749</v>
      </c>
      <c r="CF2267">
        <v>749468197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4</v>
      </c>
      <c r="CY2267">
        <v>7</v>
      </c>
      <c r="CZ2267" t="s">
        <v>133</v>
      </c>
      <c r="DA2267">
        <v>275</v>
      </c>
      <c r="DB2267">
        <v>0</v>
      </c>
      <c r="DC2267" t="s">
        <v>134</v>
      </c>
      <c r="DD2267" t="s">
        <v>135</v>
      </c>
      <c r="DG2267">
        <v>3321571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"05/01/2025 15:10:49.977"</f>
        <v>05/01/2025 15:10:49.977</v>
      </c>
      <c r="C2268" t="str">
        <f t="shared" si="888"/>
        <v>FFDFD3C0</v>
      </c>
      <c r="D2268" t="s">
        <v>143</v>
      </c>
      <c r="E2268" t="str">
        <f>"05"</f>
        <v>05</v>
      </c>
      <c r="H2268">
        <v>172</v>
      </c>
      <c r="I2268" t="s">
        <v>141</v>
      </c>
      <c r="J2268" t="s">
        <v>144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R2268" t="s">
        <v>127</v>
      </c>
      <c r="S2268" t="str">
        <f t="shared" si="898"/>
        <v>15:10:49.000</v>
      </c>
      <c r="T2268" t="str">
        <f t="shared" si="898"/>
        <v>15:10:49.000</v>
      </c>
      <c r="U2268" t="str">
        <f t="shared" si="889"/>
        <v>A68FCB</v>
      </c>
      <c r="V2268">
        <v>0</v>
      </c>
      <c r="W2268">
        <v>0</v>
      </c>
      <c r="X2268">
        <v>2</v>
      </c>
      <c r="Y2268">
        <v>0</v>
      </c>
      <c r="AA2268">
        <v>1</v>
      </c>
      <c r="AB2268">
        <v>8</v>
      </c>
      <c r="AC2268">
        <v>3</v>
      </c>
      <c r="AD2268">
        <v>0</v>
      </c>
      <c r="AE2268">
        <v>9</v>
      </c>
      <c r="AF2268" t="s">
        <v>138</v>
      </c>
      <c r="AG2268">
        <v>0</v>
      </c>
      <c r="AH2268">
        <v>3</v>
      </c>
      <c r="AI2268">
        <v>2</v>
      </c>
      <c r="AJ2268">
        <v>0</v>
      </c>
      <c r="AK2268" t="s">
        <v>770</v>
      </c>
      <c r="AL2268">
        <v>39.068111999999999</v>
      </c>
      <c r="AM2268" t="s">
        <v>771</v>
      </c>
      <c r="AN2268">
        <v>-121.041312</v>
      </c>
      <c r="AO2268">
        <v>25</v>
      </c>
      <c r="AP2268">
        <v>4600</v>
      </c>
      <c r="AQ2268" t="s">
        <v>131</v>
      </c>
      <c r="AR2268">
        <v>11</v>
      </c>
      <c r="AS2268">
        <v>89</v>
      </c>
      <c r="AT2268">
        <v>0</v>
      </c>
      <c r="BB2268" t="str">
        <f t="shared" si="890"/>
        <v>1200</v>
      </c>
      <c r="BC2268">
        <v>1</v>
      </c>
      <c r="BD2268" t="str">
        <f t="shared" si="891"/>
        <v xml:space="preserve">N52156  </v>
      </c>
      <c r="BE2268">
        <v>1</v>
      </c>
      <c r="BG2268">
        <v>0</v>
      </c>
      <c r="BH2268">
        <v>0</v>
      </c>
      <c r="BI2268">
        <v>0</v>
      </c>
      <c r="BJ2268">
        <v>4600</v>
      </c>
      <c r="BK2268">
        <v>0</v>
      </c>
      <c r="BL2268" t="s">
        <v>188</v>
      </c>
      <c r="BM2268">
        <v>1</v>
      </c>
      <c r="BN2268">
        <v>1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 t="shared" si="899"/>
        <v>15:10:49.749</v>
      </c>
      <c r="CF2268">
        <v>749468197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4</v>
      </c>
      <c r="CY2268">
        <v>7</v>
      </c>
      <c r="CZ2268" t="s">
        <v>133</v>
      </c>
      <c r="DA2268">
        <v>275</v>
      </c>
      <c r="DB2268">
        <v>0</v>
      </c>
      <c r="DC2268" t="s">
        <v>134</v>
      </c>
      <c r="DD2268" t="s">
        <v>135</v>
      </c>
      <c r="DG2268">
        <v>3321571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"05/01/2025 15:10:50.000"</f>
        <v>05/01/2025 15:10:50.000</v>
      </c>
      <c r="C2269" t="str">
        <f t="shared" si="888"/>
        <v>FFDFD3C0</v>
      </c>
      <c r="D2269" t="s">
        <v>140</v>
      </c>
      <c r="E2269" t="str">
        <f>"13"</f>
        <v>13</v>
      </c>
      <c r="F2269">
        <v>1019</v>
      </c>
      <c r="G2269" t="s">
        <v>141</v>
      </c>
      <c r="J2269" t="s">
        <v>142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R2269" t="s">
        <v>127</v>
      </c>
      <c r="S2269" t="str">
        <f t="shared" si="898"/>
        <v>15:10:49.000</v>
      </c>
      <c r="T2269" t="str">
        <f t="shared" si="898"/>
        <v>15:10:49.000</v>
      </c>
      <c r="U2269" t="str">
        <f t="shared" si="889"/>
        <v>A68FCB</v>
      </c>
      <c r="V2269">
        <v>0</v>
      </c>
      <c r="W2269">
        <v>0</v>
      </c>
      <c r="X2269">
        <v>2</v>
      </c>
      <c r="Y2269">
        <v>0</v>
      </c>
      <c r="AA2269">
        <v>1</v>
      </c>
      <c r="AB2269">
        <v>8</v>
      </c>
      <c r="AC2269">
        <v>3</v>
      </c>
      <c r="AD2269">
        <v>0</v>
      </c>
      <c r="AE2269">
        <v>9</v>
      </c>
      <c r="AF2269" t="s">
        <v>138</v>
      </c>
      <c r="AG2269">
        <v>0</v>
      </c>
      <c r="AH2269">
        <v>3</v>
      </c>
      <c r="AI2269">
        <v>2</v>
      </c>
      <c r="AJ2269">
        <v>0</v>
      </c>
      <c r="AK2269" t="s">
        <v>770</v>
      </c>
      <c r="AL2269">
        <v>39.068111999999999</v>
      </c>
      <c r="AM2269" t="s">
        <v>771</v>
      </c>
      <c r="AN2269">
        <v>-121.041312</v>
      </c>
      <c r="AO2269">
        <v>25</v>
      </c>
      <c r="AP2269">
        <v>4600</v>
      </c>
      <c r="AQ2269" t="s">
        <v>131</v>
      </c>
      <c r="AR2269">
        <v>11</v>
      </c>
      <c r="AS2269">
        <v>89</v>
      </c>
      <c r="AT2269">
        <v>0</v>
      </c>
      <c r="BB2269" t="str">
        <f t="shared" si="890"/>
        <v>1200</v>
      </c>
      <c r="BC2269">
        <v>1</v>
      </c>
      <c r="BD2269" t="str">
        <f t="shared" si="891"/>
        <v xml:space="preserve">N52156  </v>
      </c>
      <c r="BE2269">
        <v>1</v>
      </c>
      <c r="BG2269">
        <v>0</v>
      </c>
      <c r="BH2269">
        <v>0</v>
      </c>
      <c r="BI2269">
        <v>0</v>
      </c>
      <c r="BJ2269">
        <v>4600</v>
      </c>
      <c r="BK2269">
        <v>0</v>
      </c>
      <c r="BL2269" t="s">
        <v>188</v>
      </c>
      <c r="BM2269">
        <v>1</v>
      </c>
      <c r="BN2269">
        <v>1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 t="shared" si="899"/>
        <v>15:10:49.749</v>
      </c>
      <c r="CF2269">
        <v>749468197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4</v>
      </c>
      <c r="CY2269">
        <v>7</v>
      </c>
      <c r="CZ2269" t="s">
        <v>133</v>
      </c>
      <c r="DA2269">
        <v>275</v>
      </c>
      <c r="DB2269">
        <v>0</v>
      </c>
      <c r="DC2269" t="s">
        <v>134</v>
      </c>
      <c r="DD2269" t="s">
        <v>135</v>
      </c>
      <c r="DG2269">
        <v>3321571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"05/01/2025 15:10:50.901"</f>
        <v>05/01/2025 15:10:50.901</v>
      </c>
      <c r="C2270" t="str">
        <f t="shared" si="888"/>
        <v>FFDFD3C0</v>
      </c>
      <c r="D2270" t="s">
        <v>140</v>
      </c>
      <c r="E2270" t="str">
        <f>"13"</f>
        <v>13</v>
      </c>
      <c r="F2270">
        <v>1019</v>
      </c>
      <c r="G2270" t="s">
        <v>141</v>
      </c>
      <c r="J2270" t="s">
        <v>142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R2270" t="s">
        <v>127</v>
      </c>
      <c r="S2270" t="str">
        <f t="shared" ref="S2270:T2275" si="900">"15:10:50.000"</f>
        <v>15:10:50.000</v>
      </c>
      <c r="T2270" t="str">
        <f t="shared" si="900"/>
        <v>15:10:50.000</v>
      </c>
      <c r="U2270" t="str">
        <f t="shared" si="889"/>
        <v>A68FCB</v>
      </c>
      <c r="V2270">
        <v>0</v>
      </c>
      <c r="W2270">
        <v>0</v>
      </c>
      <c r="X2270">
        <v>2</v>
      </c>
      <c r="Y2270">
        <v>0</v>
      </c>
      <c r="AA2270">
        <v>1</v>
      </c>
      <c r="AB2270">
        <v>8</v>
      </c>
      <c r="AC2270">
        <v>3</v>
      </c>
      <c r="AD2270">
        <v>0</v>
      </c>
      <c r="AE2270">
        <v>9</v>
      </c>
      <c r="AF2270" t="s">
        <v>138</v>
      </c>
      <c r="AG2270">
        <v>0</v>
      </c>
      <c r="AH2270">
        <v>3</v>
      </c>
      <c r="AI2270">
        <v>2</v>
      </c>
      <c r="AJ2270">
        <v>0</v>
      </c>
      <c r="AK2270" t="s">
        <v>772</v>
      </c>
      <c r="AL2270">
        <v>39.068542000000001</v>
      </c>
      <c r="AM2270" t="s">
        <v>773</v>
      </c>
      <c r="AN2270">
        <v>-121.041248</v>
      </c>
      <c r="AO2270">
        <v>25</v>
      </c>
      <c r="AP2270">
        <v>4600</v>
      </c>
      <c r="AQ2270" t="s">
        <v>131</v>
      </c>
      <c r="AR2270">
        <v>15</v>
      </c>
      <c r="AS2270">
        <v>89</v>
      </c>
      <c r="AT2270">
        <v>0</v>
      </c>
      <c r="BB2270" t="str">
        <f t="shared" si="890"/>
        <v>1200</v>
      </c>
      <c r="BC2270">
        <v>1</v>
      </c>
      <c r="BD2270" t="str">
        <f t="shared" si="891"/>
        <v xml:space="preserve">N52156  </v>
      </c>
      <c r="BE2270">
        <v>1</v>
      </c>
      <c r="BG2270">
        <v>0</v>
      </c>
      <c r="BH2270">
        <v>0</v>
      </c>
      <c r="BI2270">
        <v>0</v>
      </c>
      <c r="BJ2270">
        <v>4600</v>
      </c>
      <c r="BK2270">
        <v>0</v>
      </c>
      <c r="BL2270" t="s">
        <v>188</v>
      </c>
      <c r="BM2270">
        <v>1</v>
      </c>
      <c r="BN2270">
        <v>1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 t="shared" ref="CE2270:CE2275" si="901">"15:10:50.675"</f>
        <v>15:10:50.675</v>
      </c>
      <c r="CF2270">
        <v>674718092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4</v>
      </c>
      <c r="CY2270">
        <v>7</v>
      </c>
      <c r="CZ2270" t="s">
        <v>133</v>
      </c>
      <c r="DA2270">
        <v>275</v>
      </c>
      <c r="DB2270">
        <v>0</v>
      </c>
      <c r="DC2270" t="s">
        <v>134</v>
      </c>
      <c r="DD2270" t="s">
        <v>135</v>
      </c>
      <c r="DG2270">
        <v>3321574</v>
      </c>
      <c r="DI2270">
        <v>1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"05/01/2025 15:10:50.909"</f>
        <v>05/01/2025 15:10:50.909</v>
      </c>
      <c r="C2271" t="str">
        <f t="shared" si="888"/>
        <v>FFDFD3C0</v>
      </c>
      <c r="D2271" t="s">
        <v>124</v>
      </c>
      <c r="E2271" t="str">
        <f>"06"</f>
        <v>06</v>
      </c>
      <c r="F2271">
        <v>2006</v>
      </c>
      <c r="G2271" t="s">
        <v>125</v>
      </c>
      <c r="J2271" t="s">
        <v>126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R2271" t="s">
        <v>127</v>
      </c>
      <c r="S2271" t="str">
        <f t="shared" si="900"/>
        <v>15:10:50.000</v>
      </c>
      <c r="T2271" t="str">
        <f t="shared" si="900"/>
        <v>15:10:50.000</v>
      </c>
      <c r="U2271" t="str">
        <f t="shared" si="889"/>
        <v>A68FCB</v>
      </c>
      <c r="V2271">
        <v>0</v>
      </c>
      <c r="W2271">
        <v>0</v>
      </c>
      <c r="X2271">
        <v>2</v>
      </c>
      <c r="Y2271">
        <v>0</v>
      </c>
      <c r="AA2271">
        <v>1</v>
      </c>
      <c r="AB2271">
        <v>8</v>
      </c>
      <c r="AC2271">
        <v>3</v>
      </c>
      <c r="AD2271">
        <v>0</v>
      </c>
      <c r="AE2271">
        <v>9</v>
      </c>
      <c r="AF2271" t="s">
        <v>138</v>
      </c>
      <c r="AG2271">
        <v>0</v>
      </c>
      <c r="AH2271">
        <v>3</v>
      </c>
      <c r="AI2271">
        <v>2</v>
      </c>
      <c r="AJ2271">
        <v>0</v>
      </c>
      <c r="AK2271" t="s">
        <v>772</v>
      </c>
      <c r="AL2271">
        <v>39.068542000000001</v>
      </c>
      <c r="AM2271" t="s">
        <v>773</v>
      </c>
      <c r="AN2271">
        <v>-121.041248</v>
      </c>
      <c r="AO2271">
        <v>25</v>
      </c>
      <c r="AP2271">
        <v>4600</v>
      </c>
      <c r="AQ2271" t="s">
        <v>131</v>
      </c>
      <c r="AR2271">
        <v>15</v>
      </c>
      <c r="AS2271">
        <v>89</v>
      </c>
      <c r="AT2271">
        <v>0</v>
      </c>
      <c r="BB2271" t="str">
        <f t="shared" si="890"/>
        <v>1200</v>
      </c>
      <c r="BC2271">
        <v>1</v>
      </c>
      <c r="BD2271" t="str">
        <f t="shared" si="891"/>
        <v xml:space="preserve">N52156  </v>
      </c>
      <c r="BE2271">
        <v>1</v>
      </c>
      <c r="BG2271">
        <v>0</v>
      </c>
      <c r="BH2271">
        <v>0</v>
      </c>
      <c r="BI2271">
        <v>0</v>
      </c>
      <c r="BJ2271">
        <v>4600</v>
      </c>
      <c r="BK2271">
        <v>0</v>
      </c>
      <c r="BL2271" t="s">
        <v>188</v>
      </c>
      <c r="BM2271">
        <v>1</v>
      </c>
      <c r="BN2271">
        <v>1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 t="shared" si="901"/>
        <v>15:10:50.675</v>
      </c>
      <c r="CF2271">
        <v>674718092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4</v>
      </c>
      <c r="CY2271">
        <v>7</v>
      </c>
      <c r="CZ2271" t="s">
        <v>133</v>
      </c>
      <c r="DA2271">
        <v>275</v>
      </c>
      <c r="DB2271">
        <v>0</v>
      </c>
      <c r="DC2271" t="s">
        <v>134</v>
      </c>
      <c r="DD2271" t="s">
        <v>135</v>
      </c>
      <c r="DG2271">
        <v>3321574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"05/01/2025 15:10:50.915"</f>
        <v>05/01/2025 15:10:50.915</v>
      </c>
      <c r="C2272" t="str">
        <f t="shared" si="888"/>
        <v>FFDFD3C0</v>
      </c>
      <c r="D2272" t="s">
        <v>145</v>
      </c>
      <c r="E2272" t="str">
        <f>"05"</f>
        <v>05</v>
      </c>
      <c r="H2272">
        <v>47</v>
      </c>
      <c r="I2272" t="s">
        <v>146</v>
      </c>
      <c r="J2272" t="s">
        <v>138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R2272" t="s">
        <v>127</v>
      </c>
      <c r="S2272" t="str">
        <f t="shared" si="900"/>
        <v>15:10:50.000</v>
      </c>
      <c r="T2272" t="str">
        <f t="shared" si="900"/>
        <v>15:10:50.000</v>
      </c>
      <c r="U2272" t="str">
        <f t="shared" si="889"/>
        <v>A68FCB</v>
      </c>
      <c r="V2272">
        <v>0</v>
      </c>
      <c r="W2272">
        <v>0</v>
      </c>
      <c r="X2272">
        <v>2</v>
      </c>
      <c r="Y2272">
        <v>0</v>
      </c>
      <c r="AA2272">
        <v>1</v>
      </c>
      <c r="AB2272">
        <v>8</v>
      </c>
      <c r="AC2272">
        <v>3</v>
      </c>
      <c r="AD2272">
        <v>0</v>
      </c>
      <c r="AE2272">
        <v>9</v>
      </c>
      <c r="AF2272" t="s">
        <v>138</v>
      </c>
      <c r="AG2272">
        <v>0</v>
      </c>
      <c r="AH2272">
        <v>3</v>
      </c>
      <c r="AI2272">
        <v>2</v>
      </c>
      <c r="AJ2272">
        <v>0</v>
      </c>
      <c r="AK2272" t="s">
        <v>772</v>
      </c>
      <c r="AL2272">
        <v>39.068542000000001</v>
      </c>
      <c r="AM2272" t="s">
        <v>773</v>
      </c>
      <c r="AN2272">
        <v>-121.041248</v>
      </c>
      <c r="AO2272">
        <v>25</v>
      </c>
      <c r="AP2272">
        <v>4600</v>
      </c>
      <c r="AQ2272" t="s">
        <v>131</v>
      </c>
      <c r="AR2272">
        <v>15</v>
      </c>
      <c r="AS2272">
        <v>89</v>
      </c>
      <c r="AT2272">
        <v>0</v>
      </c>
      <c r="BB2272" t="str">
        <f t="shared" si="890"/>
        <v>1200</v>
      </c>
      <c r="BC2272">
        <v>1</v>
      </c>
      <c r="BD2272" t="str">
        <f t="shared" si="891"/>
        <v xml:space="preserve">N52156  </v>
      </c>
      <c r="BE2272">
        <v>1</v>
      </c>
      <c r="BG2272">
        <v>0</v>
      </c>
      <c r="BH2272">
        <v>0</v>
      </c>
      <c r="BI2272">
        <v>0</v>
      </c>
      <c r="BJ2272">
        <v>4600</v>
      </c>
      <c r="BK2272">
        <v>0</v>
      </c>
      <c r="BL2272" t="s">
        <v>188</v>
      </c>
      <c r="BM2272">
        <v>1</v>
      </c>
      <c r="BN2272">
        <v>1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 t="shared" si="901"/>
        <v>15:10:50.675</v>
      </c>
      <c r="CF2272">
        <v>674718092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4</v>
      </c>
      <c r="CY2272">
        <v>7</v>
      </c>
      <c r="CZ2272" t="s">
        <v>133</v>
      </c>
      <c r="DA2272">
        <v>275</v>
      </c>
      <c r="DB2272">
        <v>0</v>
      </c>
      <c r="DC2272" t="s">
        <v>134</v>
      </c>
      <c r="DD2272" t="s">
        <v>135</v>
      </c>
      <c r="DG2272">
        <v>3321574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"05/01/2025 15:10:50.917"</f>
        <v>05/01/2025 15:10:50.917</v>
      </c>
      <c r="C2273" t="str">
        <f t="shared" si="888"/>
        <v>FFDFD3C0</v>
      </c>
      <c r="D2273" t="s">
        <v>145</v>
      </c>
      <c r="E2273" t="str">
        <f>"09"</f>
        <v>09</v>
      </c>
      <c r="H2273">
        <v>51</v>
      </c>
      <c r="I2273" t="s">
        <v>147</v>
      </c>
      <c r="J2273" t="s">
        <v>138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R2273" t="s">
        <v>127</v>
      </c>
      <c r="S2273" t="str">
        <f t="shared" si="900"/>
        <v>15:10:50.000</v>
      </c>
      <c r="T2273" t="str">
        <f t="shared" si="900"/>
        <v>15:10:50.000</v>
      </c>
      <c r="U2273" t="str">
        <f t="shared" si="889"/>
        <v>A68FCB</v>
      </c>
      <c r="V2273">
        <v>0</v>
      </c>
      <c r="W2273">
        <v>0</v>
      </c>
      <c r="X2273">
        <v>2</v>
      </c>
      <c r="Y2273">
        <v>0</v>
      </c>
      <c r="AA2273">
        <v>1</v>
      </c>
      <c r="AB2273">
        <v>8</v>
      </c>
      <c r="AC2273">
        <v>3</v>
      </c>
      <c r="AD2273">
        <v>0</v>
      </c>
      <c r="AE2273">
        <v>9</v>
      </c>
      <c r="AF2273" t="s">
        <v>138</v>
      </c>
      <c r="AG2273">
        <v>0</v>
      </c>
      <c r="AH2273">
        <v>3</v>
      </c>
      <c r="AI2273">
        <v>2</v>
      </c>
      <c r="AJ2273">
        <v>0</v>
      </c>
      <c r="AK2273" t="s">
        <v>772</v>
      </c>
      <c r="AL2273">
        <v>39.068542000000001</v>
      </c>
      <c r="AM2273" t="s">
        <v>773</v>
      </c>
      <c r="AN2273">
        <v>-121.041248</v>
      </c>
      <c r="AO2273">
        <v>25</v>
      </c>
      <c r="AP2273">
        <v>4600</v>
      </c>
      <c r="AQ2273" t="s">
        <v>131</v>
      </c>
      <c r="AR2273">
        <v>15</v>
      </c>
      <c r="AS2273">
        <v>89</v>
      </c>
      <c r="AT2273">
        <v>0</v>
      </c>
      <c r="BB2273" t="str">
        <f t="shared" si="890"/>
        <v>1200</v>
      </c>
      <c r="BC2273">
        <v>1</v>
      </c>
      <c r="BD2273" t="str">
        <f t="shared" si="891"/>
        <v xml:space="preserve">N52156  </v>
      </c>
      <c r="BE2273">
        <v>1</v>
      </c>
      <c r="BG2273">
        <v>0</v>
      </c>
      <c r="BH2273">
        <v>0</v>
      </c>
      <c r="BI2273">
        <v>0</v>
      </c>
      <c r="BJ2273">
        <v>4600</v>
      </c>
      <c r="BK2273">
        <v>0</v>
      </c>
      <c r="BL2273" t="s">
        <v>188</v>
      </c>
      <c r="BM2273">
        <v>1</v>
      </c>
      <c r="BN2273">
        <v>1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 t="shared" si="901"/>
        <v>15:10:50.675</v>
      </c>
      <c r="CF2273">
        <v>674718092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4</v>
      </c>
      <c r="CY2273">
        <v>7</v>
      </c>
      <c r="CZ2273" t="s">
        <v>133</v>
      </c>
      <c r="DA2273">
        <v>275</v>
      </c>
      <c r="DB2273">
        <v>0</v>
      </c>
      <c r="DC2273" t="s">
        <v>134</v>
      </c>
      <c r="DD2273" t="s">
        <v>135</v>
      </c>
      <c r="DG2273">
        <v>3321574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"05/01/2025 15:10:50.924"</f>
        <v>05/01/2025 15:10:50.924</v>
      </c>
      <c r="C2274" t="str">
        <f t="shared" si="888"/>
        <v>FFDFD3C0</v>
      </c>
      <c r="D2274" t="s">
        <v>136</v>
      </c>
      <c r="E2274" t="str">
        <f>"20"</f>
        <v>20</v>
      </c>
      <c r="H2274">
        <v>400</v>
      </c>
      <c r="I2274" t="s">
        <v>137</v>
      </c>
      <c r="J2274" t="s">
        <v>138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R2274" t="s">
        <v>127</v>
      </c>
      <c r="S2274" t="str">
        <f t="shared" si="900"/>
        <v>15:10:50.000</v>
      </c>
      <c r="T2274" t="str">
        <f t="shared" si="900"/>
        <v>15:10:50.000</v>
      </c>
      <c r="U2274" t="str">
        <f t="shared" si="889"/>
        <v>A68FCB</v>
      </c>
      <c r="V2274">
        <v>0</v>
      </c>
      <c r="W2274">
        <v>0</v>
      </c>
      <c r="X2274">
        <v>2</v>
      </c>
      <c r="Y2274">
        <v>0</v>
      </c>
      <c r="AA2274">
        <v>1</v>
      </c>
      <c r="AB2274">
        <v>8</v>
      </c>
      <c r="AC2274">
        <v>3</v>
      </c>
      <c r="AD2274">
        <v>0</v>
      </c>
      <c r="AE2274">
        <v>9</v>
      </c>
      <c r="AF2274" t="s">
        <v>138</v>
      </c>
      <c r="AG2274">
        <v>0</v>
      </c>
      <c r="AH2274">
        <v>3</v>
      </c>
      <c r="AI2274">
        <v>2</v>
      </c>
      <c r="AJ2274">
        <v>0</v>
      </c>
      <c r="AK2274" t="s">
        <v>772</v>
      </c>
      <c r="AL2274">
        <v>39.068542000000001</v>
      </c>
      <c r="AM2274" t="s">
        <v>773</v>
      </c>
      <c r="AN2274">
        <v>-121.041248</v>
      </c>
      <c r="AO2274">
        <v>25</v>
      </c>
      <c r="AP2274">
        <v>4600</v>
      </c>
      <c r="AQ2274" t="s">
        <v>131</v>
      </c>
      <c r="AR2274">
        <v>15</v>
      </c>
      <c r="AS2274">
        <v>89</v>
      </c>
      <c r="AT2274">
        <v>0</v>
      </c>
      <c r="BB2274" t="str">
        <f t="shared" si="890"/>
        <v>1200</v>
      </c>
      <c r="BC2274">
        <v>1</v>
      </c>
      <c r="BD2274" t="str">
        <f t="shared" si="891"/>
        <v xml:space="preserve">N52156  </v>
      </c>
      <c r="BE2274">
        <v>1</v>
      </c>
      <c r="BG2274">
        <v>0</v>
      </c>
      <c r="BH2274">
        <v>0</v>
      </c>
      <c r="BI2274">
        <v>0</v>
      </c>
      <c r="BJ2274">
        <v>4600</v>
      </c>
      <c r="BK2274">
        <v>0</v>
      </c>
      <c r="BL2274" t="s">
        <v>188</v>
      </c>
      <c r="BM2274">
        <v>1</v>
      </c>
      <c r="BN2274">
        <v>1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 t="shared" si="901"/>
        <v>15:10:50.675</v>
      </c>
      <c r="CF2274">
        <v>674718092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4</v>
      </c>
      <c r="CY2274">
        <v>7</v>
      </c>
      <c r="CZ2274" t="s">
        <v>133</v>
      </c>
      <c r="DA2274">
        <v>275</v>
      </c>
      <c r="DB2274">
        <v>0</v>
      </c>
      <c r="DC2274" t="s">
        <v>134</v>
      </c>
      <c r="DD2274" t="s">
        <v>135</v>
      </c>
      <c r="DG2274">
        <v>3321574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"05/01/2025 15:10:50.929"</f>
        <v>05/01/2025 15:10:50.929</v>
      </c>
      <c r="C2275" t="str">
        <f t="shared" si="888"/>
        <v>FFDFD3C0</v>
      </c>
      <c r="D2275" t="s">
        <v>143</v>
      </c>
      <c r="E2275" t="str">
        <f>"05"</f>
        <v>05</v>
      </c>
      <c r="H2275">
        <v>172</v>
      </c>
      <c r="I2275" t="s">
        <v>141</v>
      </c>
      <c r="J2275" t="s">
        <v>144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R2275" t="s">
        <v>127</v>
      </c>
      <c r="S2275" t="str">
        <f t="shared" si="900"/>
        <v>15:10:50.000</v>
      </c>
      <c r="T2275" t="str">
        <f t="shared" si="900"/>
        <v>15:10:50.000</v>
      </c>
      <c r="U2275" t="str">
        <f t="shared" si="889"/>
        <v>A68FCB</v>
      </c>
      <c r="V2275">
        <v>0</v>
      </c>
      <c r="W2275">
        <v>0</v>
      </c>
      <c r="X2275">
        <v>2</v>
      </c>
      <c r="Y2275">
        <v>0</v>
      </c>
      <c r="AA2275">
        <v>1</v>
      </c>
      <c r="AB2275">
        <v>8</v>
      </c>
      <c r="AC2275">
        <v>3</v>
      </c>
      <c r="AD2275">
        <v>0</v>
      </c>
      <c r="AE2275">
        <v>9</v>
      </c>
      <c r="AF2275" t="s">
        <v>138</v>
      </c>
      <c r="AG2275">
        <v>0</v>
      </c>
      <c r="AH2275">
        <v>3</v>
      </c>
      <c r="AI2275">
        <v>2</v>
      </c>
      <c r="AJ2275">
        <v>0</v>
      </c>
      <c r="AK2275" t="s">
        <v>772</v>
      </c>
      <c r="AL2275">
        <v>39.068542000000001</v>
      </c>
      <c r="AM2275" t="s">
        <v>773</v>
      </c>
      <c r="AN2275">
        <v>-121.041248</v>
      </c>
      <c r="AO2275">
        <v>25</v>
      </c>
      <c r="AP2275">
        <v>4600</v>
      </c>
      <c r="AQ2275" t="s">
        <v>131</v>
      </c>
      <c r="AR2275">
        <v>15</v>
      </c>
      <c r="AS2275">
        <v>89</v>
      </c>
      <c r="AT2275">
        <v>0</v>
      </c>
      <c r="BB2275" t="str">
        <f t="shared" si="890"/>
        <v>1200</v>
      </c>
      <c r="BC2275">
        <v>1</v>
      </c>
      <c r="BD2275" t="str">
        <f t="shared" si="891"/>
        <v xml:space="preserve">N52156  </v>
      </c>
      <c r="BE2275">
        <v>1</v>
      </c>
      <c r="BG2275">
        <v>0</v>
      </c>
      <c r="BH2275">
        <v>0</v>
      </c>
      <c r="BI2275">
        <v>0</v>
      </c>
      <c r="BJ2275">
        <v>4600</v>
      </c>
      <c r="BK2275">
        <v>0</v>
      </c>
      <c r="BL2275" t="s">
        <v>188</v>
      </c>
      <c r="BM2275">
        <v>1</v>
      </c>
      <c r="BN2275">
        <v>1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 t="shared" si="901"/>
        <v>15:10:50.675</v>
      </c>
      <c r="CF2275">
        <v>674718092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4</v>
      </c>
      <c r="CY2275">
        <v>7</v>
      </c>
      <c r="CZ2275" t="s">
        <v>133</v>
      </c>
      <c r="DA2275">
        <v>275</v>
      </c>
      <c r="DB2275">
        <v>0</v>
      </c>
      <c r="DC2275" t="s">
        <v>134</v>
      </c>
      <c r="DD2275" t="s">
        <v>135</v>
      </c>
      <c r="DG2275">
        <v>3321574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"05/01/2025 15:10:51.517"</f>
        <v>05/01/2025 15:10:51.517</v>
      </c>
      <c r="C2276" t="str">
        <f t="shared" si="888"/>
        <v>FFDFD3C0</v>
      </c>
      <c r="D2276" t="s">
        <v>145</v>
      </c>
      <c r="E2276" t="str">
        <f>"05"</f>
        <v>05</v>
      </c>
      <c r="H2276">
        <v>47</v>
      </c>
      <c r="I2276" t="s">
        <v>146</v>
      </c>
      <c r="J2276" t="s">
        <v>138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R2276" t="s">
        <v>127</v>
      </c>
      <c r="S2276" t="str">
        <f t="shared" ref="S2276:T2281" si="902">"15:10:51.000"</f>
        <v>15:10:51.000</v>
      </c>
      <c r="T2276" t="str">
        <f t="shared" si="902"/>
        <v>15:10:51.000</v>
      </c>
      <c r="U2276" t="str">
        <f t="shared" si="889"/>
        <v>A68FCB</v>
      </c>
      <c r="V2276">
        <v>0</v>
      </c>
      <c r="W2276">
        <v>0</v>
      </c>
      <c r="X2276">
        <v>2</v>
      </c>
      <c r="Y2276">
        <v>0</v>
      </c>
      <c r="AA2276">
        <v>1</v>
      </c>
      <c r="AB2276">
        <v>8</v>
      </c>
      <c r="AC2276">
        <v>3</v>
      </c>
      <c r="AD2276">
        <v>0</v>
      </c>
      <c r="AE2276">
        <v>9</v>
      </c>
      <c r="AF2276" t="s">
        <v>138</v>
      </c>
      <c r="AG2276">
        <v>0</v>
      </c>
      <c r="AH2276">
        <v>3</v>
      </c>
      <c r="AI2276">
        <v>2</v>
      </c>
      <c r="AJ2276">
        <v>0</v>
      </c>
      <c r="AK2276" t="s">
        <v>774</v>
      </c>
      <c r="AL2276">
        <v>39.068949000000003</v>
      </c>
      <c r="AM2276" t="s">
        <v>775</v>
      </c>
      <c r="AN2276">
        <v>-121.041162</v>
      </c>
      <c r="AO2276">
        <v>25</v>
      </c>
      <c r="AP2276">
        <v>4600</v>
      </c>
      <c r="AQ2276" t="s">
        <v>131</v>
      </c>
      <c r="AR2276">
        <v>18</v>
      </c>
      <c r="AS2276">
        <v>88</v>
      </c>
      <c r="AT2276">
        <v>0</v>
      </c>
      <c r="BB2276" t="str">
        <f t="shared" si="890"/>
        <v>1200</v>
      </c>
      <c r="BC2276">
        <v>1</v>
      </c>
      <c r="BD2276" t="str">
        <f t="shared" si="891"/>
        <v xml:space="preserve">N52156  </v>
      </c>
      <c r="BE2276">
        <v>1</v>
      </c>
      <c r="BG2276">
        <v>0</v>
      </c>
      <c r="BH2276">
        <v>0</v>
      </c>
      <c r="BI2276">
        <v>0</v>
      </c>
      <c r="BJ2276">
        <v>4600</v>
      </c>
      <c r="BK2276">
        <v>0</v>
      </c>
      <c r="BL2276" t="s">
        <v>188</v>
      </c>
      <c r="BM2276">
        <v>1</v>
      </c>
      <c r="BN2276">
        <v>1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 t="shared" ref="CE2276:CE2281" si="903">"15:10:51.315"</f>
        <v>15:10:51.315</v>
      </c>
      <c r="CF2276">
        <v>314967237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4</v>
      </c>
      <c r="CY2276">
        <v>7</v>
      </c>
      <c r="CZ2276" t="s">
        <v>133</v>
      </c>
      <c r="DA2276">
        <v>275</v>
      </c>
      <c r="DB2276">
        <v>0</v>
      </c>
      <c r="DC2276" t="s">
        <v>134</v>
      </c>
      <c r="DD2276" t="s">
        <v>135</v>
      </c>
      <c r="DG2276">
        <v>3321580</v>
      </c>
      <c r="DI2276">
        <v>1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"05/01/2025 15:10:51.518"</f>
        <v>05/01/2025 15:10:51.518</v>
      </c>
      <c r="C2277" t="str">
        <f t="shared" si="888"/>
        <v>FFDFD3C0</v>
      </c>
      <c r="D2277" t="s">
        <v>145</v>
      </c>
      <c r="E2277" t="str">
        <f>"09"</f>
        <v>09</v>
      </c>
      <c r="H2277">
        <v>51</v>
      </c>
      <c r="I2277" t="s">
        <v>147</v>
      </c>
      <c r="J2277" t="s">
        <v>138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R2277" t="s">
        <v>127</v>
      </c>
      <c r="S2277" t="str">
        <f t="shared" si="902"/>
        <v>15:10:51.000</v>
      </c>
      <c r="T2277" t="str">
        <f t="shared" si="902"/>
        <v>15:10:51.000</v>
      </c>
      <c r="U2277" t="str">
        <f t="shared" si="889"/>
        <v>A68FCB</v>
      </c>
      <c r="V2277">
        <v>0</v>
      </c>
      <c r="W2277">
        <v>0</v>
      </c>
      <c r="X2277">
        <v>2</v>
      </c>
      <c r="Y2277">
        <v>0</v>
      </c>
      <c r="AA2277">
        <v>1</v>
      </c>
      <c r="AB2277">
        <v>8</v>
      </c>
      <c r="AC2277">
        <v>3</v>
      </c>
      <c r="AD2277">
        <v>0</v>
      </c>
      <c r="AE2277">
        <v>9</v>
      </c>
      <c r="AF2277" t="s">
        <v>138</v>
      </c>
      <c r="AG2277">
        <v>0</v>
      </c>
      <c r="AH2277">
        <v>3</v>
      </c>
      <c r="AI2277">
        <v>2</v>
      </c>
      <c r="AJ2277">
        <v>0</v>
      </c>
      <c r="AK2277" t="s">
        <v>774</v>
      </c>
      <c r="AL2277">
        <v>39.068949000000003</v>
      </c>
      <c r="AM2277" t="s">
        <v>775</v>
      </c>
      <c r="AN2277">
        <v>-121.041162</v>
      </c>
      <c r="AO2277">
        <v>25</v>
      </c>
      <c r="AP2277">
        <v>4600</v>
      </c>
      <c r="AQ2277" t="s">
        <v>131</v>
      </c>
      <c r="AR2277">
        <v>18</v>
      </c>
      <c r="AS2277">
        <v>88</v>
      </c>
      <c r="AT2277">
        <v>0</v>
      </c>
      <c r="BB2277" t="str">
        <f t="shared" si="890"/>
        <v>1200</v>
      </c>
      <c r="BC2277">
        <v>1</v>
      </c>
      <c r="BD2277" t="str">
        <f t="shared" si="891"/>
        <v xml:space="preserve">N52156  </v>
      </c>
      <c r="BE2277">
        <v>1</v>
      </c>
      <c r="BG2277">
        <v>0</v>
      </c>
      <c r="BH2277">
        <v>0</v>
      </c>
      <c r="BI2277">
        <v>0</v>
      </c>
      <c r="BJ2277">
        <v>4600</v>
      </c>
      <c r="BK2277">
        <v>0</v>
      </c>
      <c r="BL2277" t="s">
        <v>188</v>
      </c>
      <c r="BM2277">
        <v>1</v>
      </c>
      <c r="BN2277">
        <v>1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 t="shared" si="903"/>
        <v>15:10:51.315</v>
      </c>
      <c r="CF2277">
        <v>314967237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4</v>
      </c>
      <c r="CY2277">
        <v>7</v>
      </c>
      <c r="CZ2277" t="s">
        <v>133</v>
      </c>
      <c r="DA2277">
        <v>275</v>
      </c>
      <c r="DB2277">
        <v>0</v>
      </c>
      <c r="DC2277" t="s">
        <v>134</v>
      </c>
      <c r="DD2277" t="s">
        <v>135</v>
      </c>
      <c r="DG2277">
        <v>3321580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"05/01/2025 15:10:51.525"</f>
        <v>05/01/2025 15:10:51.525</v>
      </c>
      <c r="C2278" t="str">
        <f t="shared" si="888"/>
        <v>FFDFD3C0</v>
      </c>
      <c r="D2278" t="s">
        <v>136</v>
      </c>
      <c r="E2278" t="str">
        <f>"20"</f>
        <v>20</v>
      </c>
      <c r="H2278">
        <v>400</v>
      </c>
      <c r="I2278" t="s">
        <v>137</v>
      </c>
      <c r="J2278" t="s">
        <v>138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R2278" t="s">
        <v>127</v>
      </c>
      <c r="S2278" t="str">
        <f t="shared" si="902"/>
        <v>15:10:51.000</v>
      </c>
      <c r="T2278" t="str">
        <f t="shared" si="902"/>
        <v>15:10:51.000</v>
      </c>
      <c r="U2278" t="str">
        <f t="shared" si="889"/>
        <v>A68FCB</v>
      </c>
      <c r="V2278">
        <v>0</v>
      </c>
      <c r="W2278">
        <v>0</v>
      </c>
      <c r="X2278">
        <v>2</v>
      </c>
      <c r="Y2278">
        <v>0</v>
      </c>
      <c r="AA2278">
        <v>1</v>
      </c>
      <c r="AB2278">
        <v>8</v>
      </c>
      <c r="AC2278">
        <v>3</v>
      </c>
      <c r="AD2278">
        <v>0</v>
      </c>
      <c r="AE2278">
        <v>9</v>
      </c>
      <c r="AF2278" t="s">
        <v>138</v>
      </c>
      <c r="AG2278">
        <v>0</v>
      </c>
      <c r="AH2278">
        <v>3</v>
      </c>
      <c r="AI2278">
        <v>2</v>
      </c>
      <c r="AJ2278">
        <v>0</v>
      </c>
      <c r="AK2278" t="s">
        <v>774</v>
      </c>
      <c r="AL2278">
        <v>39.068949000000003</v>
      </c>
      <c r="AM2278" t="s">
        <v>775</v>
      </c>
      <c r="AN2278">
        <v>-121.041162</v>
      </c>
      <c r="AO2278">
        <v>25</v>
      </c>
      <c r="AP2278">
        <v>4600</v>
      </c>
      <c r="AQ2278" t="s">
        <v>131</v>
      </c>
      <c r="AR2278">
        <v>18</v>
      </c>
      <c r="AS2278">
        <v>88</v>
      </c>
      <c r="AT2278">
        <v>0</v>
      </c>
      <c r="BB2278" t="str">
        <f t="shared" si="890"/>
        <v>1200</v>
      </c>
      <c r="BC2278">
        <v>1</v>
      </c>
      <c r="BD2278" t="str">
        <f t="shared" si="891"/>
        <v xml:space="preserve">N52156  </v>
      </c>
      <c r="BE2278">
        <v>1</v>
      </c>
      <c r="BG2278">
        <v>0</v>
      </c>
      <c r="BH2278">
        <v>0</v>
      </c>
      <c r="BI2278">
        <v>0</v>
      </c>
      <c r="BJ2278">
        <v>4600</v>
      </c>
      <c r="BK2278">
        <v>0</v>
      </c>
      <c r="BL2278" t="s">
        <v>188</v>
      </c>
      <c r="BM2278">
        <v>1</v>
      </c>
      <c r="BN2278">
        <v>1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 t="shared" si="903"/>
        <v>15:10:51.315</v>
      </c>
      <c r="CF2278">
        <v>314967237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4</v>
      </c>
      <c r="CY2278">
        <v>7</v>
      </c>
      <c r="CZ2278" t="s">
        <v>133</v>
      </c>
      <c r="DA2278">
        <v>275</v>
      </c>
      <c r="DB2278">
        <v>0</v>
      </c>
      <c r="DC2278" t="s">
        <v>134</v>
      </c>
      <c r="DD2278" t="s">
        <v>135</v>
      </c>
      <c r="DG2278">
        <v>3321580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"05/01/2025 15:10:51.531"</f>
        <v>05/01/2025 15:10:51.531</v>
      </c>
      <c r="C2279" t="str">
        <f t="shared" si="888"/>
        <v>FFDFD3C0</v>
      </c>
      <c r="D2279" t="s">
        <v>143</v>
      </c>
      <c r="E2279" t="str">
        <f>"05"</f>
        <v>05</v>
      </c>
      <c r="H2279">
        <v>172</v>
      </c>
      <c r="I2279" t="s">
        <v>141</v>
      </c>
      <c r="J2279" t="s">
        <v>144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R2279" t="s">
        <v>127</v>
      </c>
      <c r="S2279" t="str">
        <f t="shared" si="902"/>
        <v>15:10:51.000</v>
      </c>
      <c r="T2279" t="str">
        <f t="shared" si="902"/>
        <v>15:10:51.000</v>
      </c>
      <c r="U2279" t="str">
        <f t="shared" si="889"/>
        <v>A68FCB</v>
      </c>
      <c r="V2279">
        <v>0</v>
      </c>
      <c r="W2279">
        <v>0</v>
      </c>
      <c r="X2279">
        <v>2</v>
      </c>
      <c r="Y2279">
        <v>0</v>
      </c>
      <c r="AA2279">
        <v>1</v>
      </c>
      <c r="AB2279">
        <v>8</v>
      </c>
      <c r="AC2279">
        <v>3</v>
      </c>
      <c r="AD2279">
        <v>0</v>
      </c>
      <c r="AE2279">
        <v>9</v>
      </c>
      <c r="AF2279" t="s">
        <v>138</v>
      </c>
      <c r="AG2279">
        <v>0</v>
      </c>
      <c r="AH2279">
        <v>3</v>
      </c>
      <c r="AI2279">
        <v>2</v>
      </c>
      <c r="AJ2279">
        <v>0</v>
      </c>
      <c r="AK2279" t="s">
        <v>774</v>
      </c>
      <c r="AL2279">
        <v>39.068949000000003</v>
      </c>
      <c r="AM2279" t="s">
        <v>775</v>
      </c>
      <c r="AN2279">
        <v>-121.041162</v>
      </c>
      <c r="AO2279">
        <v>25</v>
      </c>
      <c r="AP2279">
        <v>4600</v>
      </c>
      <c r="AQ2279" t="s">
        <v>131</v>
      </c>
      <c r="AR2279">
        <v>18</v>
      </c>
      <c r="AS2279">
        <v>88</v>
      </c>
      <c r="AT2279">
        <v>0</v>
      </c>
      <c r="BB2279" t="str">
        <f t="shared" si="890"/>
        <v>1200</v>
      </c>
      <c r="BC2279">
        <v>1</v>
      </c>
      <c r="BD2279" t="str">
        <f t="shared" si="891"/>
        <v xml:space="preserve">N52156  </v>
      </c>
      <c r="BE2279">
        <v>1</v>
      </c>
      <c r="BG2279">
        <v>0</v>
      </c>
      <c r="BH2279">
        <v>0</v>
      </c>
      <c r="BI2279">
        <v>0</v>
      </c>
      <c r="BJ2279">
        <v>4600</v>
      </c>
      <c r="BK2279">
        <v>0</v>
      </c>
      <c r="BL2279" t="s">
        <v>188</v>
      </c>
      <c r="BM2279">
        <v>1</v>
      </c>
      <c r="BN2279">
        <v>1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 t="shared" si="903"/>
        <v>15:10:51.315</v>
      </c>
      <c r="CF2279">
        <v>314967237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4</v>
      </c>
      <c r="CY2279">
        <v>7</v>
      </c>
      <c r="CZ2279" t="s">
        <v>133</v>
      </c>
      <c r="DA2279">
        <v>275</v>
      </c>
      <c r="DB2279">
        <v>0</v>
      </c>
      <c r="DC2279" t="s">
        <v>134</v>
      </c>
      <c r="DD2279" t="s">
        <v>135</v>
      </c>
      <c r="DG2279">
        <v>3321580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"05/01/2025 15:10:51.552"</f>
        <v>05/01/2025 15:10:51.552</v>
      </c>
      <c r="C2280" t="str">
        <f t="shared" si="888"/>
        <v>FFDFD3C0</v>
      </c>
      <c r="D2280" t="s">
        <v>140</v>
      </c>
      <c r="E2280" t="str">
        <f>"13"</f>
        <v>13</v>
      </c>
      <c r="F2280">
        <v>1019</v>
      </c>
      <c r="G2280" t="s">
        <v>141</v>
      </c>
      <c r="J2280" t="s">
        <v>142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R2280" t="s">
        <v>127</v>
      </c>
      <c r="S2280" t="str">
        <f t="shared" si="902"/>
        <v>15:10:51.000</v>
      </c>
      <c r="T2280" t="str">
        <f t="shared" si="902"/>
        <v>15:10:51.000</v>
      </c>
      <c r="U2280" t="str">
        <f t="shared" si="889"/>
        <v>A68FCB</v>
      </c>
      <c r="V2280">
        <v>0</v>
      </c>
      <c r="W2280">
        <v>0</v>
      </c>
      <c r="X2280">
        <v>2</v>
      </c>
      <c r="Y2280">
        <v>0</v>
      </c>
      <c r="AA2280">
        <v>1</v>
      </c>
      <c r="AB2280">
        <v>8</v>
      </c>
      <c r="AC2280">
        <v>3</v>
      </c>
      <c r="AD2280">
        <v>0</v>
      </c>
      <c r="AE2280">
        <v>9</v>
      </c>
      <c r="AF2280" t="s">
        <v>138</v>
      </c>
      <c r="AG2280">
        <v>0</v>
      </c>
      <c r="AH2280">
        <v>3</v>
      </c>
      <c r="AI2280">
        <v>2</v>
      </c>
      <c r="AJ2280">
        <v>0</v>
      </c>
      <c r="AK2280" t="s">
        <v>774</v>
      </c>
      <c r="AL2280">
        <v>39.068949000000003</v>
      </c>
      <c r="AM2280" t="s">
        <v>775</v>
      </c>
      <c r="AN2280">
        <v>-121.041162</v>
      </c>
      <c r="AO2280">
        <v>25</v>
      </c>
      <c r="AP2280">
        <v>4600</v>
      </c>
      <c r="AQ2280" t="s">
        <v>131</v>
      </c>
      <c r="AR2280">
        <v>18</v>
      </c>
      <c r="AS2280">
        <v>88</v>
      </c>
      <c r="AT2280">
        <v>0</v>
      </c>
      <c r="BB2280" t="str">
        <f t="shared" si="890"/>
        <v>1200</v>
      </c>
      <c r="BC2280">
        <v>1</v>
      </c>
      <c r="BD2280" t="str">
        <f t="shared" si="891"/>
        <v xml:space="preserve">N52156  </v>
      </c>
      <c r="BE2280">
        <v>1</v>
      </c>
      <c r="BG2280">
        <v>0</v>
      </c>
      <c r="BH2280">
        <v>0</v>
      </c>
      <c r="BI2280">
        <v>0</v>
      </c>
      <c r="BJ2280">
        <v>4600</v>
      </c>
      <c r="BK2280">
        <v>0</v>
      </c>
      <c r="BL2280" t="s">
        <v>188</v>
      </c>
      <c r="BM2280">
        <v>1</v>
      </c>
      <c r="BN2280">
        <v>1</v>
      </c>
      <c r="BO2280">
        <v>0</v>
      </c>
      <c r="BP2280">
        <v>0</v>
      </c>
      <c r="BS2280">
        <v>0</v>
      </c>
      <c r="BT2280">
        <v>0</v>
      </c>
      <c r="BU2280">
        <v>0</v>
      </c>
      <c r="CE2280" t="str">
        <f t="shared" si="903"/>
        <v>15:10:51.315</v>
      </c>
      <c r="CF2280">
        <v>314967237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4</v>
      </c>
      <c r="CY2280">
        <v>7</v>
      </c>
      <c r="CZ2280" t="s">
        <v>133</v>
      </c>
      <c r="DA2280">
        <v>275</v>
      </c>
      <c r="DB2280">
        <v>0</v>
      </c>
      <c r="DC2280" t="s">
        <v>134</v>
      </c>
      <c r="DD2280" t="s">
        <v>135</v>
      </c>
      <c r="DG2280">
        <v>3321580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"05/01/2025 15:10:51.560"</f>
        <v>05/01/2025 15:10:51.560</v>
      </c>
      <c r="C2281" t="str">
        <f t="shared" si="888"/>
        <v>FFDFD3C0</v>
      </c>
      <c r="D2281" t="s">
        <v>124</v>
      </c>
      <c r="E2281" t="str">
        <f>"06"</f>
        <v>06</v>
      </c>
      <c r="F2281">
        <v>2006</v>
      </c>
      <c r="G2281" t="s">
        <v>125</v>
      </c>
      <c r="J2281" t="s">
        <v>126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R2281" t="s">
        <v>127</v>
      </c>
      <c r="S2281" t="str">
        <f t="shared" si="902"/>
        <v>15:10:51.000</v>
      </c>
      <c r="T2281" t="str">
        <f t="shared" si="902"/>
        <v>15:10:51.000</v>
      </c>
      <c r="U2281" t="str">
        <f t="shared" si="889"/>
        <v>A68FCB</v>
      </c>
      <c r="V2281">
        <v>0</v>
      </c>
      <c r="W2281">
        <v>0</v>
      </c>
      <c r="X2281">
        <v>2</v>
      </c>
      <c r="Y2281">
        <v>0</v>
      </c>
      <c r="AA2281">
        <v>1</v>
      </c>
      <c r="AB2281">
        <v>8</v>
      </c>
      <c r="AC2281">
        <v>3</v>
      </c>
      <c r="AD2281">
        <v>0</v>
      </c>
      <c r="AE2281">
        <v>9</v>
      </c>
      <c r="AF2281" t="s">
        <v>138</v>
      </c>
      <c r="AG2281">
        <v>0</v>
      </c>
      <c r="AH2281">
        <v>3</v>
      </c>
      <c r="AI2281">
        <v>2</v>
      </c>
      <c r="AJ2281">
        <v>0</v>
      </c>
      <c r="AK2281" t="s">
        <v>774</v>
      </c>
      <c r="AL2281">
        <v>39.068949000000003</v>
      </c>
      <c r="AM2281" t="s">
        <v>775</v>
      </c>
      <c r="AN2281">
        <v>-121.041162</v>
      </c>
      <c r="AO2281">
        <v>25</v>
      </c>
      <c r="AP2281">
        <v>4600</v>
      </c>
      <c r="AQ2281" t="s">
        <v>131</v>
      </c>
      <c r="AR2281">
        <v>18</v>
      </c>
      <c r="AS2281">
        <v>88</v>
      </c>
      <c r="AT2281">
        <v>0</v>
      </c>
      <c r="BB2281" t="str">
        <f t="shared" si="890"/>
        <v>1200</v>
      </c>
      <c r="BC2281">
        <v>1</v>
      </c>
      <c r="BD2281" t="str">
        <f t="shared" si="891"/>
        <v xml:space="preserve">N52156  </v>
      </c>
      <c r="BE2281">
        <v>1</v>
      </c>
      <c r="BG2281">
        <v>0</v>
      </c>
      <c r="BH2281">
        <v>0</v>
      </c>
      <c r="BI2281">
        <v>0</v>
      </c>
      <c r="BJ2281">
        <v>4600</v>
      </c>
      <c r="BK2281">
        <v>0</v>
      </c>
      <c r="BL2281" t="s">
        <v>188</v>
      </c>
      <c r="BM2281">
        <v>1</v>
      </c>
      <c r="BN2281">
        <v>1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 t="shared" si="903"/>
        <v>15:10:51.315</v>
      </c>
      <c r="CF2281">
        <v>314967237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4</v>
      </c>
      <c r="CY2281">
        <v>7</v>
      </c>
      <c r="CZ2281" t="s">
        <v>133</v>
      </c>
      <c r="DA2281">
        <v>275</v>
      </c>
      <c r="DB2281">
        <v>0</v>
      </c>
      <c r="DC2281" t="s">
        <v>134</v>
      </c>
      <c r="DD2281" t="s">
        <v>135</v>
      </c>
      <c r="DG2281">
        <v>3321580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"05/01/2025 15:10:52.855"</f>
        <v>05/01/2025 15:10:52.855</v>
      </c>
      <c r="C2282" t="str">
        <f t="shared" si="888"/>
        <v>FFDFD3C0</v>
      </c>
      <c r="D2282" t="s">
        <v>140</v>
      </c>
      <c r="E2282" t="str">
        <f>"13"</f>
        <v>13</v>
      </c>
      <c r="F2282">
        <v>1019</v>
      </c>
      <c r="G2282" t="s">
        <v>141</v>
      </c>
      <c r="J2282" t="s">
        <v>142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R2282" t="s">
        <v>127</v>
      </c>
      <c r="S2282" t="str">
        <f t="shared" ref="S2282:T2287" si="904">"15:10:52.000"</f>
        <v>15:10:52.000</v>
      </c>
      <c r="T2282" t="str">
        <f t="shared" si="904"/>
        <v>15:10:52.000</v>
      </c>
      <c r="U2282" t="str">
        <f t="shared" si="889"/>
        <v>A68FCB</v>
      </c>
      <c r="V2282">
        <v>0</v>
      </c>
      <c r="W2282">
        <v>0</v>
      </c>
      <c r="X2282">
        <v>2</v>
      </c>
      <c r="Y2282">
        <v>0</v>
      </c>
      <c r="AA2282">
        <v>1</v>
      </c>
      <c r="AB2282">
        <v>8</v>
      </c>
      <c r="AC2282">
        <v>3</v>
      </c>
      <c r="AD2282">
        <v>0</v>
      </c>
      <c r="AE2282">
        <v>9</v>
      </c>
      <c r="AF2282" t="s">
        <v>138</v>
      </c>
      <c r="AG2282">
        <v>0</v>
      </c>
      <c r="AH2282">
        <v>3</v>
      </c>
      <c r="AI2282">
        <v>2</v>
      </c>
      <c r="AJ2282">
        <v>0</v>
      </c>
      <c r="AK2282" t="s">
        <v>776</v>
      </c>
      <c r="AL2282">
        <v>39.069356999999997</v>
      </c>
      <c r="AM2282" t="s">
        <v>777</v>
      </c>
      <c r="AN2282">
        <v>-121.041055</v>
      </c>
      <c r="AO2282">
        <v>25</v>
      </c>
      <c r="AP2282">
        <v>4600</v>
      </c>
      <c r="AQ2282" t="s">
        <v>131</v>
      </c>
      <c r="AR2282">
        <v>20</v>
      </c>
      <c r="AS2282">
        <v>87</v>
      </c>
      <c r="AT2282">
        <v>0</v>
      </c>
      <c r="BB2282" t="str">
        <f t="shared" si="890"/>
        <v>1200</v>
      </c>
      <c r="BC2282">
        <v>1</v>
      </c>
      <c r="BD2282" t="str">
        <f t="shared" si="891"/>
        <v xml:space="preserve">N52156  </v>
      </c>
      <c r="BE2282">
        <v>1</v>
      </c>
      <c r="BG2282">
        <v>0</v>
      </c>
      <c r="BH2282">
        <v>0</v>
      </c>
      <c r="BI2282">
        <v>0</v>
      </c>
      <c r="BJ2282">
        <v>4600</v>
      </c>
      <c r="BK2282">
        <v>0</v>
      </c>
      <c r="BL2282" t="s">
        <v>188</v>
      </c>
      <c r="BM2282">
        <v>1</v>
      </c>
      <c r="BN2282">
        <v>1</v>
      </c>
      <c r="BO2282">
        <v>0</v>
      </c>
      <c r="BP2282">
        <v>0</v>
      </c>
      <c r="BS2282">
        <v>0</v>
      </c>
      <c r="BT2282">
        <v>0</v>
      </c>
      <c r="BU2282">
        <v>0</v>
      </c>
      <c r="CE2282" t="str">
        <f t="shared" ref="CE2282:CE2287" si="905">"15:10:52.650"</f>
        <v>15:10:52.650</v>
      </c>
      <c r="CF2282">
        <v>649968423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4</v>
      </c>
      <c r="CY2282">
        <v>7</v>
      </c>
      <c r="CZ2282" t="s">
        <v>133</v>
      </c>
      <c r="DA2282">
        <v>275</v>
      </c>
      <c r="DB2282">
        <v>0</v>
      </c>
      <c r="DC2282" t="s">
        <v>134</v>
      </c>
      <c r="DD2282" t="s">
        <v>135</v>
      </c>
      <c r="DG2282">
        <v>3321583</v>
      </c>
      <c r="DI2282">
        <v>1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"05/01/2025 15:10:52.862"</f>
        <v>05/01/2025 15:10:52.862</v>
      </c>
      <c r="C2283" t="str">
        <f t="shared" si="888"/>
        <v>FFDFD3C0</v>
      </c>
      <c r="D2283" t="s">
        <v>124</v>
      </c>
      <c r="E2283" t="str">
        <f>"06"</f>
        <v>06</v>
      </c>
      <c r="F2283">
        <v>2006</v>
      </c>
      <c r="G2283" t="s">
        <v>125</v>
      </c>
      <c r="J2283" t="s">
        <v>126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R2283" t="s">
        <v>127</v>
      </c>
      <c r="S2283" t="str">
        <f t="shared" si="904"/>
        <v>15:10:52.000</v>
      </c>
      <c r="T2283" t="str">
        <f t="shared" si="904"/>
        <v>15:10:52.000</v>
      </c>
      <c r="U2283" t="str">
        <f t="shared" si="889"/>
        <v>A68FCB</v>
      </c>
      <c r="V2283">
        <v>0</v>
      </c>
      <c r="W2283">
        <v>0</v>
      </c>
      <c r="X2283">
        <v>2</v>
      </c>
      <c r="Y2283">
        <v>0</v>
      </c>
      <c r="AA2283">
        <v>1</v>
      </c>
      <c r="AB2283">
        <v>8</v>
      </c>
      <c r="AC2283">
        <v>3</v>
      </c>
      <c r="AD2283">
        <v>0</v>
      </c>
      <c r="AE2283">
        <v>9</v>
      </c>
      <c r="AF2283" t="s">
        <v>138</v>
      </c>
      <c r="AG2283">
        <v>0</v>
      </c>
      <c r="AH2283">
        <v>3</v>
      </c>
      <c r="AI2283">
        <v>2</v>
      </c>
      <c r="AJ2283">
        <v>0</v>
      </c>
      <c r="AK2283" t="s">
        <v>776</v>
      </c>
      <c r="AL2283">
        <v>39.069356999999997</v>
      </c>
      <c r="AM2283" t="s">
        <v>777</v>
      </c>
      <c r="AN2283">
        <v>-121.041055</v>
      </c>
      <c r="AO2283">
        <v>25</v>
      </c>
      <c r="AP2283">
        <v>4600</v>
      </c>
      <c r="AQ2283" t="s">
        <v>131</v>
      </c>
      <c r="AR2283">
        <v>20</v>
      </c>
      <c r="AS2283">
        <v>87</v>
      </c>
      <c r="AT2283">
        <v>0</v>
      </c>
      <c r="BB2283" t="str">
        <f t="shared" si="890"/>
        <v>1200</v>
      </c>
      <c r="BC2283">
        <v>1</v>
      </c>
      <c r="BD2283" t="str">
        <f t="shared" si="891"/>
        <v xml:space="preserve">N52156  </v>
      </c>
      <c r="BE2283">
        <v>1</v>
      </c>
      <c r="BG2283">
        <v>0</v>
      </c>
      <c r="BH2283">
        <v>0</v>
      </c>
      <c r="BI2283">
        <v>0</v>
      </c>
      <c r="BJ2283">
        <v>4600</v>
      </c>
      <c r="BK2283">
        <v>0</v>
      </c>
      <c r="BL2283" t="s">
        <v>188</v>
      </c>
      <c r="BM2283">
        <v>1</v>
      </c>
      <c r="BN2283">
        <v>1</v>
      </c>
      <c r="BO2283">
        <v>0</v>
      </c>
      <c r="BP2283">
        <v>0</v>
      </c>
      <c r="BS2283">
        <v>0</v>
      </c>
      <c r="BT2283">
        <v>0</v>
      </c>
      <c r="BU2283">
        <v>0</v>
      </c>
      <c r="CE2283" t="str">
        <f t="shared" si="905"/>
        <v>15:10:52.650</v>
      </c>
      <c r="CF2283">
        <v>649968423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4</v>
      </c>
      <c r="CY2283">
        <v>7</v>
      </c>
      <c r="CZ2283" t="s">
        <v>133</v>
      </c>
      <c r="DA2283">
        <v>275</v>
      </c>
      <c r="DB2283">
        <v>0</v>
      </c>
      <c r="DC2283" t="s">
        <v>134</v>
      </c>
      <c r="DD2283" t="s">
        <v>135</v>
      </c>
      <c r="DG2283">
        <v>3321583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"05/01/2025 15:10:52.870"</f>
        <v>05/01/2025 15:10:52.870</v>
      </c>
      <c r="C2284" t="str">
        <f t="shared" si="888"/>
        <v>FFDFD3C0</v>
      </c>
      <c r="D2284" t="s">
        <v>145</v>
      </c>
      <c r="E2284" t="str">
        <f>"09"</f>
        <v>09</v>
      </c>
      <c r="H2284">
        <v>51</v>
      </c>
      <c r="I2284" t="s">
        <v>147</v>
      </c>
      <c r="J2284" t="s">
        <v>138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R2284" t="s">
        <v>127</v>
      </c>
      <c r="S2284" t="str">
        <f t="shared" si="904"/>
        <v>15:10:52.000</v>
      </c>
      <c r="T2284" t="str">
        <f t="shared" si="904"/>
        <v>15:10:52.000</v>
      </c>
      <c r="U2284" t="str">
        <f t="shared" si="889"/>
        <v>A68FCB</v>
      </c>
      <c r="V2284">
        <v>0</v>
      </c>
      <c r="W2284">
        <v>0</v>
      </c>
      <c r="X2284">
        <v>2</v>
      </c>
      <c r="Y2284">
        <v>0</v>
      </c>
      <c r="AA2284">
        <v>1</v>
      </c>
      <c r="AB2284">
        <v>8</v>
      </c>
      <c r="AC2284">
        <v>3</v>
      </c>
      <c r="AD2284">
        <v>0</v>
      </c>
      <c r="AE2284">
        <v>9</v>
      </c>
      <c r="AF2284" t="s">
        <v>138</v>
      </c>
      <c r="AG2284">
        <v>0</v>
      </c>
      <c r="AH2284">
        <v>3</v>
      </c>
      <c r="AI2284">
        <v>2</v>
      </c>
      <c r="AJ2284">
        <v>0</v>
      </c>
      <c r="AK2284" t="s">
        <v>776</v>
      </c>
      <c r="AL2284">
        <v>39.069356999999997</v>
      </c>
      <c r="AM2284" t="s">
        <v>777</v>
      </c>
      <c r="AN2284">
        <v>-121.041055</v>
      </c>
      <c r="AO2284">
        <v>25</v>
      </c>
      <c r="AP2284">
        <v>4600</v>
      </c>
      <c r="AQ2284" t="s">
        <v>131</v>
      </c>
      <c r="AR2284">
        <v>20</v>
      </c>
      <c r="AS2284">
        <v>87</v>
      </c>
      <c r="AT2284">
        <v>0</v>
      </c>
      <c r="BB2284" t="str">
        <f t="shared" si="890"/>
        <v>1200</v>
      </c>
      <c r="BC2284">
        <v>1</v>
      </c>
      <c r="BD2284" t="str">
        <f t="shared" si="891"/>
        <v xml:space="preserve">N52156  </v>
      </c>
      <c r="BE2284">
        <v>1</v>
      </c>
      <c r="BG2284">
        <v>0</v>
      </c>
      <c r="BH2284">
        <v>0</v>
      </c>
      <c r="BI2284">
        <v>0</v>
      </c>
      <c r="BJ2284">
        <v>4600</v>
      </c>
      <c r="BK2284">
        <v>0</v>
      </c>
      <c r="BL2284" t="s">
        <v>188</v>
      </c>
      <c r="BM2284">
        <v>1</v>
      </c>
      <c r="BN2284">
        <v>1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 t="shared" si="905"/>
        <v>15:10:52.650</v>
      </c>
      <c r="CF2284">
        <v>649968423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4</v>
      </c>
      <c r="CY2284">
        <v>7</v>
      </c>
      <c r="CZ2284" t="s">
        <v>133</v>
      </c>
      <c r="DA2284">
        <v>275</v>
      </c>
      <c r="DB2284">
        <v>0</v>
      </c>
      <c r="DC2284" t="s">
        <v>134</v>
      </c>
      <c r="DD2284" t="s">
        <v>135</v>
      </c>
      <c r="DG2284">
        <v>3321583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"05/01/2025 15:10:52.870"</f>
        <v>05/01/2025 15:10:52.870</v>
      </c>
      <c r="C2285" t="str">
        <f t="shared" si="888"/>
        <v>FFDFD3C0</v>
      </c>
      <c r="D2285" t="s">
        <v>145</v>
      </c>
      <c r="E2285" t="str">
        <f>"05"</f>
        <v>05</v>
      </c>
      <c r="H2285">
        <v>47</v>
      </c>
      <c r="I2285" t="s">
        <v>146</v>
      </c>
      <c r="J2285" t="s">
        <v>138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R2285" t="s">
        <v>127</v>
      </c>
      <c r="S2285" t="str">
        <f t="shared" si="904"/>
        <v>15:10:52.000</v>
      </c>
      <c r="T2285" t="str">
        <f t="shared" si="904"/>
        <v>15:10:52.000</v>
      </c>
      <c r="U2285" t="str">
        <f t="shared" si="889"/>
        <v>A68FCB</v>
      </c>
      <c r="V2285">
        <v>0</v>
      </c>
      <c r="W2285">
        <v>0</v>
      </c>
      <c r="X2285">
        <v>2</v>
      </c>
      <c r="Y2285">
        <v>0</v>
      </c>
      <c r="AA2285">
        <v>1</v>
      </c>
      <c r="AB2285">
        <v>8</v>
      </c>
      <c r="AC2285">
        <v>3</v>
      </c>
      <c r="AD2285">
        <v>0</v>
      </c>
      <c r="AE2285">
        <v>9</v>
      </c>
      <c r="AF2285" t="s">
        <v>138</v>
      </c>
      <c r="AG2285">
        <v>0</v>
      </c>
      <c r="AH2285">
        <v>3</v>
      </c>
      <c r="AI2285">
        <v>2</v>
      </c>
      <c r="AJ2285">
        <v>0</v>
      </c>
      <c r="AK2285" t="s">
        <v>776</v>
      </c>
      <c r="AL2285">
        <v>39.069356999999997</v>
      </c>
      <c r="AM2285" t="s">
        <v>777</v>
      </c>
      <c r="AN2285">
        <v>-121.041055</v>
      </c>
      <c r="AO2285">
        <v>25</v>
      </c>
      <c r="AP2285">
        <v>4600</v>
      </c>
      <c r="AQ2285" t="s">
        <v>131</v>
      </c>
      <c r="AR2285">
        <v>20</v>
      </c>
      <c r="AS2285">
        <v>87</v>
      </c>
      <c r="AT2285">
        <v>0</v>
      </c>
      <c r="BB2285" t="str">
        <f t="shared" si="890"/>
        <v>1200</v>
      </c>
      <c r="BC2285">
        <v>1</v>
      </c>
      <c r="BD2285" t="str">
        <f t="shared" si="891"/>
        <v xml:space="preserve">N52156  </v>
      </c>
      <c r="BE2285">
        <v>1</v>
      </c>
      <c r="BG2285">
        <v>0</v>
      </c>
      <c r="BH2285">
        <v>0</v>
      </c>
      <c r="BI2285">
        <v>0</v>
      </c>
      <c r="BJ2285">
        <v>4600</v>
      </c>
      <c r="BK2285">
        <v>0</v>
      </c>
      <c r="BL2285" t="s">
        <v>188</v>
      </c>
      <c r="BM2285">
        <v>1</v>
      </c>
      <c r="BN2285">
        <v>1</v>
      </c>
      <c r="BO2285">
        <v>0</v>
      </c>
      <c r="BP2285">
        <v>0</v>
      </c>
      <c r="BS2285">
        <v>0</v>
      </c>
      <c r="BT2285">
        <v>0</v>
      </c>
      <c r="BU2285">
        <v>0</v>
      </c>
      <c r="CE2285" t="str">
        <f t="shared" si="905"/>
        <v>15:10:52.650</v>
      </c>
      <c r="CF2285">
        <v>649968423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4</v>
      </c>
      <c r="CY2285">
        <v>7</v>
      </c>
      <c r="CZ2285" t="s">
        <v>133</v>
      </c>
      <c r="DA2285">
        <v>275</v>
      </c>
      <c r="DB2285">
        <v>0</v>
      </c>
      <c r="DC2285" t="s">
        <v>134</v>
      </c>
      <c r="DD2285" t="s">
        <v>135</v>
      </c>
      <c r="DG2285">
        <v>3321583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"05/01/2025 15:10:52.877"</f>
        <v>05/01/2025 15:10:52.877</v>
      </c>
      <c r="C2286" t="str">
        <f t="shared" si="888"/>
        <v>FFDFD3C0</v>
      </c>
      <c r="D2286" t="s">
        <v>136</v>
      </c>
      <c r="E2286" t="str">
        <f>"20"</f>
        <v>20</v>
      </c>
      <c r="H2286">
        <v>400</v>
      </c>
      <c r="I2286" t="s">
        <v>137</v>
      </c>
      <c r="J2286" t="s">
        <v>138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R2286" t="s">
        <v>127</v>
      </c>
      <c r="S2286" t="str">
        <f t="shared" si="904"/>
        <v>15:10:52.000</v>
      </c>
      <c r="T2286" t="str">
        <f t="shared" si="904"/>
        <v>15:10:52.000</v>
      </c>
      <c r="U2286" t="str">
        <f t="shared" si="889"/>
        <v>A68FCB</v>
      </c>
      <c r="V2286">
        <v>0</v>
      </c>
      <c r="W2286">
        <v>0</v>
      </c>
      <c r="X2286">
        <v>2</v>
      </c>
      <c r="Y2286">
        <v>0</v>
      </c>
      <c r="AA2286">
        <v>1</v>
      </c>
      <c r="AB2286">
        <v>8</v>
      </c>
      <c r="AC2286">
        <v>3</v>
      </c>
      <c r="AD2286">
        <v>0</v>
      </c>
      <c r="AE2286">
        <v>9</v>
      </c>
      <c r="AF2286" t="s">
        <v>138</v>
      </c>
      <c r="AG2286">
        <v>0</v>
      </c>
      <c r="AH2286">
        <v>3</v>
      </c>
      <c r="AI2286">
        <v>2</v>
      </c>
      <c r="AJ2286">
        <v>0</v>
      </c>
      <c r="AK2286" t="s">
        <v>776</v>
      </c>
      <c r="AL2286">
        <v>39.069356999999997</v>
      </c>
      <c r="AM2286" t="s">
        <v>777</v>
      </c>
      <c r="AN2286">
        <v>-121.041055</v>
      </c>
      <c r="AO2286">
        <v>25</v>
      </c>
      <c r="AP2286">
        <v>4600</v>
      </c>
      <c r="AQ2286" t="s">
        <v>131</v>
      </c>
      <c r="AR2286">
        <v>20</v>
      </c>
      <c r="AS2286">
        <v>87</v>
      </c>
      <c r="AT2286">
        <v>0</v>
      </c>
      <c r="BB2286" t="str">
        <f t="shared" si="890"/>
        <v>1200</v>
      </c>
      <c r="BC2286">
        <v>1</v>
      </c>
      <c r="BD2286" t="str">
        <f t="shared" si="891"/>
        <v xml:space="preserve">N52156  </v>
      </c>
      <c r="BE2286">
        <v>1</v>
      </c>
      <c r="BG2286">
        <v>0</v>
      </c>
      <c r="BH2286">
        <v>0</v>
      </c>
      <c r="BI2286">
        <v>0</v>
      </c>
      <c r="BJ2286">
        <v>4600</v>
      </c>
      <c r="BK2286">
        <v>0</v>
      </c>
      <c r="BL2286" t="s">
        <v>188</v>
      </c>
      <c r="BM2286">
        <v>1</v>
      </c>
      <c r="BN2286">
        <v>1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 t="shared" si="905"/>
        <v>15:10:52.650</v>
      </c>
      <c r="CF2286">
        <v>649968423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4</v>
      </c>
      <c r="CY2286">
        <v>7</v>
      </c>
      <c r="CZ2286" t="s">
        <v>133</v>
      </c>
      <c r="DA2286">
        <v>275</v>
      </c>
      <c r="DB2286">
        <v>0</v>
      </c>
      <c r="DC2286" t="s">
        <v>134</v>
      </c>
      <c r="DD2286" t="s">
        <v>135</v>
      </c>
      <c r="DG2286">
        <v>3321583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"05/01/2025 15:10:52.883"</f>
        <v>05/01/2025 15:10:52.883</v>
      </c>
      <c r="C2287" t="str">
        <f t="shared" si="888"/>
        <v>FFDFD3C0</v>
      </c>
      <c r="D2287" t="s">
        <v>143</v>
      </c>
      <c r="E2287" t="str">
        <f>"05"</f>
        <v>05</v>
      </c>
      <c r="H2287">
        <v>172</v>
      </c>
      <c r="I2287" t="s">
        <v>141</v>
      </c>
      <c r="J2287" t="s">
        <v>144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R2287" t="s">
        <v>127</v>
      </c>
      <c r="S2287" t="str">
        <f t="shared" si="904"/>
        <v>15:10:52.000</v>
      </c>
      <c r="T2287" t="str">
        <f t="shared" si="904"/>
        <v>15:10:52.000</v>
      </c>
      <c r="U2287" t="str">
        <f t="shared" si="889"/>
        <v>A68FCB</v>
      </c>
      <c r="V2287">
        <v>0</v>
      </c>
      <c r="W2287">
        <v>0</v>
      </c>
      <c r="X2287">
        <v>2</v>
      </c>
      <c r="Y2287">
        <v>0</v>
      </c>
      <c r="AA2287">
        <v>1</v>
      </c>
      <c r="AB2287">
        <v>8</v>
      </c>
      <c r="AC2287">
        <v>3</v>
      </c>
      <c r="AD2287">
        <v>0</v>
      </c>
      <c r="AE2287">
        <v>9</v>
      </c>
      <c r="AF2287" t="s">
        <v>138</v>
      </c>
      <c r="AG2287">
        <v>0</v>
      </c>
      <c r="AH2287">
        <v>3</v>
      </c>
      <c r="AI2287">
        <v>2</v>
      </c>
      <c r="AJ2287">
        <v>0</v>
      </c>
      <c r="AK2287" t="s">
        <v>776</v>
      </c>
      <c r="AL2287">
        <v>39.069356999999997</v>
      </c>
      <c r="AM2287" t="s">
        <v>777</v>
      </c>
      <c r="AN2287">
        <v>-121.041055</v>
      </c>
      <c r="AO2287">
        <v>25</v>
      </c>
      <c r="AP2287">
        <v>4600</v>
      </c>
      <c r="AQ2287" t="s">
        <v>131</v>
      </c>
      <c r="AR2287">
        <v>20</v>
      </c>
      <c r="AS2287">
        <v>87</v>
      </c>
      <c r="AT2287">
        <v>0</v>
      </c>
      <c r="BB2287" t="str">
        <f t="shared" si="890"/>
        <v>1200</v>
      </c>
      <c r="BC2287">
        <v>1</v>
      </c>
      <c r="BD2287" t="str">
        <f t="shared" si="891"/>
        <v xml:space="preserve">N52156  </v>
      </c>
      <c r="BE2287">
        <v>1</v>
      </c>
      <c r="BG2287">
        <v>0</v>
      </c>
      <c r="BH2287">
        <v>0</v>
      </c>
      <c r="BI2287">
        <v>0</v>
      </c>
      <c r="BJ2287">
        <v>4600</v>
      </c>
      <c r="BK2287">
        <v>0</v>
      </c>
      <c r="BL2287" t="s">
        <v>188</v>
      </c>
      <c r="BM2287">
        <v>1</v>
      </c>
      <c r="BN2287">
        <v>1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 t="shared" si="905"/>
        <v>15:10:52.650</v>
      </c>
      <c r="CF2287">
        <v>649968423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4</v>
      </c>
      <c r="CY2287">
        <v>7</v>
      </c>
      <c r="CZ2287" t="s">
        <v>133</v>
      </c>
      <c r="DA2287">
        <v>275</v>
      </c>
      <c r="DB2287">
        <v>0</v>
      </c>
      <c r="DC2287" t="s">
        <v>134</v>
      </c>
      <c r="DD2287" t="s">
        <v>135</v>
      </c>
      <c r="DG2287">
        <v>3321583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"05/01/2025 15:10:53.706"</f>
        <v>05/01/2025 15:10:53.706</v>
      </c>
      <c r="C2288" t="str">
        <f t="shared" si="888"/>
        <v>FFDFD3C0</v>
      </c>
      <c r="D2288" t="s">
        <v>140</v>
      </c>
      <c r="E2288" t="str">
        <f>"13"</f>
        <v>13</v>
      </c>
      <c r="F2288">
        <v>1019</v>
      </c>
      <c r="G2288" t="s">
        <v>141</v>
      </c>
      <c r="J2288" t="s">
        <v>142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R2288" t="s">
        <v>127</v>
      </c>
      <c r="S2288" t="str">
        <f t="shared" ref="S2288:T2293" si="906">"15:10:53.000"</f>
        <v>15:10:53.000</v>
      </c>
      <c r="T2288" t="str">
        <f t="shared" si="906"/>
        <v>15:10:53.000</v>
      </c>
      <c r="U2288" t="str">
        <f t="shared" si="889"/>
        <v>A68FCB</v>
      </c>
      <c r="V2288">
        <v>0</v>
      </c>
      <c r="W2288">
        <v>0</v>
      </c>
      <c r="X2288">
        <v>2</v>
      </c>
      <c r="Y2288">
        <v>0</v>
      </c>
      <c r="AA2288">
        <v>1</v>
      </c>
      <c r="AB2288">
        <v>8</v>
      </c>
      <c r="AC2288">
        <v>3</v>
      </c>
      <c r="AD2288">
        <v>0</v>
      </c>
      <c r="AE2288">
        <v>9</v>
      </c>
      <c r="AF2288" t="s">
        <v>138</v>
      </c>
      <c r="AG2288">
        <v>0</v>
      </c>
      <c r="AH2288">
        <v>3</v>
      </c>
      <c r="AI2288">
        <v>2</v>
      </c>
      <c r="AJ2288">
        <v>0</v>
      </c>
      <c r="AK2288" t="s">
        <v>778</v>
      </c>
      <c r="AL2288">
        <v>39.069786000000001</v>
      </c>
      <c r="AM2288" t="s">
        <v>779</v>
      </c>
      <c r="AN2288">
        <v>-121.040926</v>
      </c>
      <c r="AO2288">
        <v>25</v>
      </c>
      <c r="AP2288">
        <v>4600</v>
      </c>
      <c r="AQ2288" t="s">
        <v>131</v>
      </c>
      <c r="AR2288">
        <v>20</v>
      </c>
      <c r="AS2288">
        <v>87</v>
      </c>
      <c r="AT2288">
        <v>0</v>
      </c>
      <c r="BB2288" t="str">
        <f t="shared" si="890"/>
        <v>1200</v>
      </c>
      <c r="BC2288">
        <v>1</v>
      </c>
      <c r="BD2288" t="str">
        <f t="shared" si="891"/>
        <v xml:space="preserve">N52156  </v>
      </c>
      <c r="BE2288">
        <v>1</v>
      </c>
      <c r="BG2288">
        <v>0</v>
      </c>
      <c r="BH2288">
        <v>0</v>
      </c>
      <c r="BI2288">
        <v>0</v>
      </c>
      <c r="BJ2288">
        <v>4600</v>
      </c>
      <c r="BK2288">
        <v>0</v>
      </c>
      <c r="BL2288" t="s">
        <v>188</v>
      </c>
      <c r="BM2288">
        <v>1</v>
      </c>
      <c r="BN2288">
        <v>1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 t="shared" ref="CE2288:CE2293" si="907">"15:10:53.493"</f>
        <v>15:10:53.493</v>
      </c>
      <c r="CF2288">
        <v>493037237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4</v>
      </c>
      <c r="CY2288">
        <v>7</v>
      </c>
      <c r="CZ2288" t="s">
        <v>133</v>
      </c>
      <c r="DA2288">
        <v>276</v>
      </c>
      <c r="DB2288">
        <v>0</v>
      </c>
      <c r="DC2288" t="s">
        <v>402</v>
      </c>
      <c r="DD2288" t="s">
        <v>403</v>
      </c>
      <c r="DG2288">
        <v>1626991</v>
      </c>
      <c r="DI2288">
        <v>1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"05/01/2025 15:10:53.714"</f>
        <v>05/01/2025 15:10:53.714</v>
      </c>
      <c r="C2289" t="str">
        <f t="shared" si="888"/>
        <v>FFDFD3C0</v>
      </c>
      <c r="D2289" t="s">
        <v>124</v>
      </c>
      <c r="E2289" t="str">
        <f>"06"</f>
        <v>06</v>
      </c>
      <c r="F2289">
        <v>2006</v>
      </c>
      <c r="G2289" t="s">
        <v>125</v>
      </c>
      <c r="J2289" t="s">
        <v>126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R2289" t="s">
        <v>127</v>
      </c>
      <c r="S2289" t="str">
        <f t="shared" si="906"/>
        <v>15:10:53.000</v>
      </c>
      <c r="T2289" t="str">
        <f t="shared" si="906"/>
        <v>15:10:53.000</v>
      </c>
      <c r="U2289" t="str">
        <f t="shared" si="889"/>
        <v>A68FCB</v>
      </c>
      <c r="V2289">
        <v>0</v>
      </c>
      <c r="W2289">
        <v>0</v>
      </c>
      <c r="X2289">
        <v>2</v>
      </c>
      <c r="Y2289">
        <v>0</v>
      </c>
      <c r="AA2289">
        <v>1</v>
      </c>
      <c r="AB2289">
        <v>8</v>
      </c>
      <c r="AC2289">
        <v>3</v>
      </c>
      <c r="AD2289">
        <v>0</v>
      </c>
      <c r="AE2289">
        <v>9</v>
      </c>
      <c r="AF2289" t="s">
        <v>138</v>
      </c>
      <c r="AG2289">
        <v>0</v>
      </c>
      <c r="AH2289">
        <v>3</v>
      </c>
      <c r="AI2289">
        <v>2</v>
      </c>
      <c r="AJ2289">
        <v>0</v>
      </c>
      <c r="AK2289" t="s">
        <v>778</v>
      </c>
      <c r="AL2289">
        <v>39.069786000000001</v>
      </c>
      <c r="AM2289" t="s">
        <v>779</v>
      </c>
      <c r="AN2289">
        <v>-121.040926</v>
      </c>
      <c r="AO2289">
        <v>25</v>
      </c>
      <c r="AP2289">
        <v>4600</v>
      </c>
      <c r="AQ2289" t="s">
        <v>131</v>
      </c>
      <c r="AR2289">
        <v>20</v>
      </c>
      <c r="AS2289">
        <v>87</v>
      </c>
      <c r="AT2289">
        <v>0</v>
      </c>
      <c r="BB2289" t="str">
        <f t="shared" si="890"/>
        <v>1200</v>
      </c>
      <c r="BC2289">
        <v>1</v>
      </c>
      <c r="BD2289" t="str">
        <f t="shared" si="891"/>
        <v xml:space="preserve">N52156  </v>
      </c>
      <c r="BE2289">
        <v>1</v>
      </c>
      <c r="BG2289">
        <v>0</v>
      </c>
      <c r="BH2289">
        <v>0</v>
      </c>
      <c r="BI2289">
        <v>0</v>
      </c>
      <c r="BJ2289">
        <v>4600</v>
      </c>
      <c r="BK2289">
        <v>0</v>
      </c>
      <c r="BL2289" t="s">
        <v>188</v>
      </c>
      <c r="BM2289">
        <v>1</v>
      </c>
      <c r="BN2289">
        <v>1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 t="shared" si="907"/>
        <v>15:10:53.493</v>
      </c>
      <c r="CF2289">
        <v>493037237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4</v>
      </c>
      <c r="CY2289">
        <v>7</v>
      </c>
      <c r="CZ2289" t="s">
        <v>133</v>
      </c>
      <c r="DA2289">
        <v>276</v>
      </c>
      <c r="DB2289">
        <v>0</v>
      </c>
      <c r="DC2289" t="s">
        <v>402</v>
      </c>
      <c r="DD2289" t="s">
        <v>403</v>
      </c>
      <c r="DG2289">
        <v>1626991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"05/01/2025 15:10:53.721"</f>
        <v>05/01/2025 15:10:53.721</v>
      </c>
      <c r="C2290" t="str">
        <f t="shared" si="888"/>
        <v>FFDFD3C0</v>
      </c>
      <c r="D2290" t="s">
        <v>145</v>
      </c>
      <c r="E2290" t="str">
        <f>"05"</f>
        <v>05</v>
      </c>
      <c r="H2290">
        <v>47</v>
      </c>
      <c r="I2290" t="s">
        <v>146</v>
      </c>
      <c r="J2290" t="s">
        <v>138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R2290" t="s">
        <v>127</v>
      </c>
      <c r="S2290" t="str">
        <f t="shared" si="906"/>
        <v>15:10:53.000</v>
      </c>
      <c r="T2290" t="str">
        <f t="shared" si="906"/>
        <v>15:10:53.000</v>
      </c>
      <c r="U2290" t="str">
        <f t="shared" si="889"/>
        <v>A68FCB</v>
      </c>
      <c r="V2290">
        <v>0</v>
      </c>
      <c r="W2290">
        <v>0</v>
      </c>
      <c r="X2290">
        <v>2</v>
      </c>
      <c r="Y2290">
        <v>0</v>
      </c>
      <c r="AA2290">
        <v>1</v>
      </c>
      <c r="AB2290">
        <v>8</v>
      </c>
      <c r="AC2290">
        <v>3</v>
      </c>
      <c r="AD2290">
        <v>0</v>
      </c>
      <c r="AE2290">
        <v>9</v>
      </c>
      <c r="AF2290" t="s">
        <v>138</v>
      </c>
      <c r="AG2290">
        <v>0</v>
      </c>
      <c r="AH2290">
        <v>3</v>
      </c>
      <c r="AI2290">
        <v>2</v>
      </c>
      <c r="AJ2290">
        <v>0</v>
      </c>
      <c r="AK2290" t="s">
        <v>778</v>
      </c>
      <c r="AL2290">
        <v>39.069786000000001</v>
      </c>
      <c r="AM2290" t="s">
        <v>779</v>
      </c>
      <c r="AN2290">
        <v>-121.040926</v>
      </c>
      <c r="AO2290">
        <v>25</v>
      </c>
      <c r="AP2290">
        <v>4600</v>
      </c>
      <c r="AQ2290" t="s">
        <v>131</v>
      </c>
      <c r="AR2290">
        <v>20</v>
      </c>
      <c r="AS2290">
        <v>87</v>
      </c>
      <c r="AT2290">
        <v>0</v>
      </c>
      <c r="BB2290" t="str">
        <f t="shared" si="890"/>
        <v>1200</v>
      </c>
      <c r="BC2290">
        <v>1</v>
      </c>
      <c r="BD2290" t="str">
        <f t="shared" si="891"/>
        <v xml:space="preserve">N52156  </v>
      </c>
      <c r="BE2290">
        <v>1</v>
      </c>
      <c r="BG2290">
        <v>0</v>
      </c>
      <c r="BH2290">
        <v>0</v>
      </c>
      <c r="BI2290">
        <v>0</v>
      </c>
      <c r="BJ2290">
        <v>4600</v>
      </c>
      <c r="BK2290">
        <v>0</v>
      </c>
      <c r="BL2290" t="s">
        <v>188</v>
      </c>
      <c r="BM2290">
        <v>1</v>
      </c>
      <c r="BN2290">
        <v>1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 t="shared" si="907"/>
        <v>15:10:53.493</v>
      </c>
      <c r="CF2290">
        <v>493037237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4</v>
      </c>
      <c r="CY2290">
        <v>7</v>
      </c>
      <c r="CZ2290" t="s">
        <v>133</v>
      </c>
      <c r="DA2290">
        <v>276</v>
      </c>
      <c r="DB2290">
        <v>0</v>
      </c>
      <c r="DC2290" t="s">
        <v>402</v>
      </c>
      <c r="DD2290" t="s">
        <v>403</v>
      </c>
      <c r="DG2290">
        <v>1626991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"05/01/2025 15:10:53.722"</f>
        <v>05/01/2025 15:10:53.722</v>
      </c>
      <c r="C2291" t="str">
        <f t="shared" si="888"/>
        <v>FFDFD3C0</v>
      </c>
      <c r="D2291" t="s">
        <v>145</v>
      </c>
      <c r="E2291" t="str">
        <f>"09"</f>
        <v>09</v>
      </c>
      <c r="H2291">
        <v>51</v>
      </c>
      <c r="I2291" t="s">
        <v>147</v>
      </c>
      <c r="J2291" t="s">
        <v>138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R2291" t="s">
        <v>127</v>
      </c>
      <c r="S2291" t="str">
        <f t="shared" si="906"/>
        <v>15:10:53.000</v>
      </c>
      <c r="T2291" t="str">
        <f t="shared" si="906"/>
        <v>15:10:53.000</v>
      </c>
      <c r="U2291" t="str">
        <f t="shared" si="889"/>
        <v>A68FCB</v>
      </c>
      <c r="V2291">
        <v>0</v>
      </c>
      <c r="W2291">
        <v>0</v>
      </c>
      <c r="X2291">
        <v>2</v>
      </c>
      <c r="Y2291">
        <v>0</v>
      </c>
      <c r="AA2291">
        <v>1</v>
      </c>
      <c r="AB2291">
        <v>8</v>
      </c>
      <c r="AC2291">
        <v>3</v>
      </c>
      <c r="AD2291">
        <v>0</v>
      </c>
      <c r="AE2291">
        <v>9</v>
      </c>
      <c r="AF2291" t="s">
        <v>138</v>
      </c>
      <c r="AG2291">
        <v>0</v>
      </c>
      <c r="AH2291">
        <v>3</v>
      </c>
      <c r="AI2291">
        <v>2</v>
      </c>
      <c r="AJ2291">
        <v>0</v>
      </c>
      <c r="AK2291" t="s">
        <v>778</v>
      </c>
      <c r="AL2291">
        <v>39.069786000000001</v>
      </c>
      <c r="AM2291" t="s">
        <v>779</v>
      </c>
      <c r="AN2291">
        <v>-121.040926</v>
      </c>
      <c r="AO2291">
        <v>25</v>
      </c>
      <c r="AP2291">
        <v>4600</v>
      </c>
      <c r="AQ2291" t="s">
        <v>131</v>
      </c>
      <c r="AR2291">
        <v>20</v>
      </c>
      <c r="AS2291">
        <v>87</v>
      </c>
      <c r="AT2291">
        <v>0</v>
      </c>
      <c r="BB2291" t="str">
        <f t="shared" si="890"/>
        <v>1200</v>
      </c>
      <c r="BC2291">
        <v>1</v>
      </c>
      <c r="BD2291" t="str">
        <f t="shared" si="891"/>
        <v xml:space="preserve">N52156  </v>
      </c>
      <c r="BE2291">
        <v>1</v>
      </c>
      <c r="BG2291">
        <v>0</v>
      </c>
      <c r="BH2291">
        <v>0</v>
      </c>
      <c r="BI2291">
        <v>0</v>
      </c>
      <c r="BJ2291">
        <v>4600</v>
      </c>
      <c r="BK2291">
        <v>0</v>
      </c>
      <c r="BL2291" t="s">
        <v>188</v>
      </c>
      <c r="BM2291">
        <v>1</v>
      </c>
      <c r="BN2291">
        <v>1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 t="shared" si="907"/>
        <v>15:10:53.493</v>
      </c>
      <c r="CF2291">
        <v>493037237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4</v>
      </c>
      <c r="CY2291">
        <v>7</v>
      </c>
      <c r="CZ2291" t="s">
        <v>133</v>
      </c>
      <c r="DA2291">
        <v>276</v>
      </c>
      <c r="DB2291">
        <v>0</v>
      </c>
      <c r="DC2291" t="s">
        <v>402</v>
      </c>
      <c r="DD2291" t="s">
        <v>403</v>
      </c>
      <c r="DG2291">
        <v>1626991</v>
      </c>
      <c r="DI2291">
        <v>1</v>
      </c>
      <c r="DJ2291">
        <v>0</v>
      </c>
      <c r="DK2291">
        <v>1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"05/01/2025 15:10:53.729"</f>
        <v>05/01/2025 15:10:53.729</v>
      </c>
      <c r="C2292" t="str">
        <f t="shared" si="888"/>
        <v>FFDFD3C0</v>
      </c>
      <c r="D2292" t="s">
        <v>136</v>
      </c>
      <c r="E2292" t="str">
        <f>"20"</f>
        <v>20</v>
      </c>
      <c r="H2292">
        <v>400</v>
      </c>
      <c r="I2292" t="s">
        <v>137</v>
      </c>
      <c r="J2292" t="s">
        <v>138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R2292" t="s">
        <v>127</v>
      </c>
      <c r="S2292" t="str">
        <f t="shared" si="906"/>
        <v>15:10:53.000</v>
      </c>
      <c r="T2292" t="str">
        <f t="shared" si="906"/>
        <v>15:10:53.000</v>
      </c>
      <c r="U2292" t="str">
        <f t="shared" si="889"/>
        <v>A68FCB</v>
      </c>
      <c r="V2292">
        <v>0</v>
      </c>
      <c r="W2292">
        <v>0</v>
      </c>
      <c r="X2292">
        <v>2</v>
      </c>
      <c r="Y2292">
        <v>0</v>
      </c>
      <c r="AA2292">
        <v>1</v>
      </c>
      <c r="AB2292">
        <v>8</v>
      </c>
      <c r="AC2292">
        <v>3</v>
      </c>
      <c r="AD2292">
        <v>0</v>
      </c>
      <c r="AE2292">
        <v>9</v>
      </c>
      <c r="AF2292" t="s">
        <v>138</v>
      </c>
      <c r="AG2292">
        <v>0</v>
      </c>
      <c r="AH2292">
        <v>3</v>
      </c>
      <c r="AI2292">
        <v>2</v>
      </c>
      <c r="AJ2292">
        <v>0</v>
      </c>
      <c r="AK2292" t="s">
        <v>778</v>
      </c>
      <c r="AL2292">
        <v>39.069786000000001</v>
      </c>
      <c r="AM2292" t="s">
        <v>779</v>
      </c>
      <c r="AN2292">
        <v>-121.040926</v>
      </c>
      <c r="AO2292">
        <v>25</v>
      </c>
      <c r="AP2292">
        <v>4600</v>
      </c>
      <c r="AQ2292" t="s">
        <v>131</v>
      </c>
      <c r="AR2292">
        <v>20</v>
      </c>
      <c r="AS2292">
        <v>87</v>
      </c>
      <c r="AT2292">
        <v>0</v>
      </c>
      <c r="BB2292" t="str">
        <f t="shared" si="890"/>
        <v>1200</v>
      </c>
      <c r="BC2292">
        <v>1</v>
      </c>
      <c r="BD2292" t="str">
        <f t="shared" si="891"/>
        <v xml:space="preserve">N52156  </v>
      </c>
      <c r="BE2292">
        <v>1</v>
      </c>
      <c r="BG2292">
        <v>0</v>
      </c>
      <c r="BH2292">
        <v>0</v>
      </c>
      <c r="BI2292">
        <v>0</v>
      </c>
      <c r="BJ2292">
        <v>4600</v>
      </c>
      <c r="BK2292">
        <v>0</v>
      </c>
      <c r="BL2292" t="s">
        <v>188</v>
      </c>
      <c r="BM2292">
        <v>1</v>
      </c>
      <c r="BN2292">
        <v>1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 t="shared" si="907"/>
        <v>15:10:53.493</v>
      </c>
      <c r="CF2292">
        <v>493037237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4</v>
      </c>
      <c r="CY2292">
        <v>7</v>
      </c>
      <c r="CZ2292" t="s">
        <v>133</v>
      </c>
      <c r="DA2292">
        <v>276</v>
      </c>
      <c r="DB2292">
        <v>0</v>
      </c>
      <c r="DC2292" t="s">
        <v>402</v>
      </c>
      <c r="DD2292" t="s">
        <v>403</v>
      </c>
      <c r="DG2292">
        <v>1626991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"05/01/2025 15:10:53.735"</f>
        <v>05/01/2025 15:10:53.735</v>
      </c>
      <c r="C2293" t="str">
        <f t="shared" si="888"/>
        <v>FFDFD3C0</v>
      </c>
      <c r="D2293" t="s">
        <v>143</v>
      </c>
      <c r="E2293" t="str">
        <f>"05"</f>
        <v>05</v>
      </c>
      <c r="H2293">
        <v>172</v>
      </c>
      <c r="I2293" t="s">
        <v>141</v>
      </c>
      <c r="J2293" t="s">
        <v>144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R2293" t="s">
        <v>127</v>
      </c>
      <c r="S2293" t="str">
        <f t="shared" si="906"/>
        <v>15:10:53.000</v>
      </c>
      <c r="T2293" t="str">
        <f t="shared" si="906"/>
        <v>15:10:53.000</v>
      </c>
      <c r="U2293" t="str">
        <f t="shared" si="889"/>
        <v>A68FCB</v>
      </c>
      <c r="V2293">
        <v>0</v>
      </c>
      <c r="W2293">
        <v>0</v>
      </c>
      <c r="X2293">
        <v>2</v>
      </c>
      <c r="Y2293">
        <v>0</v>
      </c>
      <c r="AA2293">
        <v>1</v>
      </c>
      <c r="AB2293">
        <v>8</v>
      </c>
      <c r="AC2293">
        <v>3</v>
      </c>
      <c r="AD2293">
        <v>0</v>
      </c>
      <c r="AE2293">
        <v>9</v>
      </c>
      <c r="AF2293" t="s">
        <v>138</v>
      </c>
      <c r="AG2293">
        <v>0</v>
      </c>
      <c r="AH2293">
        <v>3</v>
      </c>
      <c r="AI2293">
        <v>2</v>
      </c>
      <c r="AJ2293">
        <v>0</v>
      </c>
      <c r="AK2293" t="s">
        <v>778</v>
      </c>
      <c r="AL2293">
        <v>39.069786000000001</v>
      </c>
      <c r="AM2293" t="s">
        <v>779</v>
      </c>
      <c r="AN2293">
        <v>-121.040926</v>
      </c>
      <c r="AO2293">
        <v>25</v>
      </c>
      <c r="AP2293">
        <v>4600</v>
      </c>
      <c r="AQ2293" t="s">
        <v>131</v>
      </c>
      <c r="AR2293">
        <v>20</v>
      </c>
      <c r="AS2293">
        <v>87</v>
      </c>
      <c r="AT2293">
        <v>0</v>
      </c>
      <c r="BB2293" t="str">
        <f t="shared" si="890"/>
        <v>1200</v>
      </c>
      <c r="BC2293">
        <v>1</v>
      </c>
      <c r="BD2293" t="str">
        <f t="shared" si="891"/>
        <v xml:space="preserve">N52156  </v>
      </c>
      <c r="BE2293">
        <v>1</v>
      </c>
      <c r="BG2293">
        <v>0</v>
      </c>
      <c r="BH2293">
        <v>0</v>
      </c>
      <c r="BI2293">
        <v>0</v>
      </c>
      <c r="BJ2293">
        <v>4600</v>
      </c>
      <c r="BK2293">
        <v>0</v>
      </c>
      <c r="BL2293" t="s">
        <v>188</v>
      </c>
      <c r="BM2293">
        <v>1</v>
      </c>
      <c r="BN2293">
        <v>1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 t="shared" si="907"/>
        <v>15:10:53.493</v>
      </c>
      <c r="CF2293">
        <v>493037237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4</v>
      </c>
      <c r="CY2293">
        <v>7</v>
      </c>
      <c r="CZ2293" t="s">
        <v>133</v>
      </c>
      <c r="DA2293">
        <v>276</v>
      </c>
      <c r="DB2293">
        <v>0</v>
      </c>
      <c r="DC2293" t="s">
        <v>402</v>
      </c>
      <c r="DD2293" t="s">
        <v>403</v>
      </c>
      <c r="DG2293">
        <v>1626991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"05/01/2025 15:10:55.081"</f>
        <v>05/01/2025 15:10:55.081</v>
      </c>
      <c r="C2294" t="str">
        <f t="shared" si="888"/>
        <v>FFDFD3C0</v>
      </c>
      <c r="D2294" t="s">
        <v>136</v>
      </c>
      <c r="E2294" t="str">
        <f>"20"</f>
        <v>20</v>
      </c>
      <c r="H2294">
        <v>400</v>
      </c>
      <c r="I2294" t="s">
        <v>137</v>
      </c>
      <c r="J2294" t="s">
        <v>138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R2294" t="s">
        <v>127</v>
      </c>
      <c r="S2294" t="str">
        <f t="shared" ref="S2294:T2299" si="908">"15:10:54.000"</f>
        <v>15:10:54.000</v>
      </c>
      <c r="T2294" t="str">
        <f t="shared" si="908"/>
        <v>15:10:54.000</v>
      </c>
      <c r="U2294" t="str">
        <f t="shared" si="889"/>
        <v>A68FCB</v>
      </c>
      <c r="V2294">
        <v>0</v>
      </c>
      <c r="W2294">
        <v>0</v>
      </c>
      <c r="X2294">
        <v>2</v>
      </c>
      <c r="Y2294">
        <v>0</v>
      </c>
      <c r="AA2294">
        <v>1</v>
      </c>
      <c r="AB2294">
        <v>8</v>
      </c>
      <c r="AC2294">
        <v>3</v>
      </c>
      <c r="AD2294">
        <v>0</v>
      </c>
      <c r="AE2294">
        <v>9</v>
      </c>
      <c r="AF2294" t="s">
        <v>138</v>
      </c>
      <c r="AG2294">
        <v>0</v>
      </c>
      <c r="AH2294">
        <v>3</v>
      </c>
      <c r="AI2294">
        <v>2</v>
      </c>
      <c r="AJ2294">
        <v>0</v>
      </c>
      <c r="AK2294" t="s">
        <v>780</v>
      </c>
      <c r="AL2294">
        <v>39.070171999999999</v>
      </c>
      <c r="AM2294" t="s">
        <v>781</v>
      </c>
      <c r="AN2294">
        <v>-121.040797</v>
      </c>
      <c r="AO2294">
        <v>25</v>
      </c>
      <c r="AP2294">
        <v>4600</v>
      </c>
      <c r="AQ2294" t="s">
        <v>131</v>
      </c>
      <c r="AR2294">
        <v>19</v>
      </c>
      <c r="AS2294">
        <v>87</v>
      </c>
      <c r="AT2294">
        <v>64</v>
      </c>
      <c r="BB2294" t="str">
        <f t="shared" si="890"/>
        <v>1200</v>
      </c>
      <c r="BC2294">
        <v>1</v>
      </c>
      <c r="BD2294" t="str">
        <f t="shared" si="891"/>
        <v xml:space="preserve">N52156  </v>
      </c>
      <c r="BE2294">
        <v>1</v>
      </c>
      <c r="BG2294">
        <v>0</v>
      </c>
      <c r="BH2294">
        <v>0</v>
      </c>
      <c r="BI2294">
        <v>0</v>
      </c>
      <c r="BJ2294">
        <v>4600</v>
      </c>
      <c r="BK2294">
        <v>0</v>
      </c>
      <c r="BL2294" t="s">
        <v>188</v>
      </c>
      <c r="BM2294">
        <v>1</v>
      </c>
      <c r="BN2294">
        <v>1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 t="shared" ref="CE2294:CE2299" si="909">"15:10:54.838"</f>
        <v>15:10:54.838</v>
      </c>
      <c r="CF2294">
        <v>837538228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4</v>
      </c>
      <c r="CY2294">
        <v>7</v>
      </c>
      <c r="CZ2294" t="s">
        <v>133</v>
      </c>
      <c r="DA2294">
        <v>276</v>
      </c>
      <c r="DB2294">
        <v>0</v>
      </c>
      <c r="DC2294" t="s">
        <v>402</v>
      </c>
      <c r="DD2294" t="s">
        <v>403</v>
      </c>
      <c r="DG2294">
        <v>1626996</v>
      </c>
      <c r="DI2294">
        <v>1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"05/01/2025 15:10:55.087"</f>
        <v>05/01/2025 15:10:55.087</v>
      </c>
      <c r="C2295" t="str">
        <f t="shared" si="888"/>
        <v>FFDFD3C0</v>
      </c>
      <c r="D2295" t="s">
        <v>143</v>
      </c>
      <c r="E2295" t="str">
        <f>"05"</f>
        <v>05</v>
      </c>
      <c r="H2295">
        <v>172</v>
      </c>
      <c r="I2295" t="s">
        <v>141</v>
      </c>
      <c r="J2295" t="s">
        <v>144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R2295" t="s">
        <v>127</v>
      </c>
      <c r="S2295" t="str">
        <f t="shared" si="908"/>
        <v>15:10:54.000</v>
      </c>
      <c r="T2295" t="str">
        <f t="shared" si="908"/>
        <v>15:10:54.000</v>
      </c>
      <c r="U2295" t="str">
        <f t="shared" si="889"/>
        <v>A68FCB</v>
      </c>
      <c r="V2295">
        <v>0</v>
      </c>
      <c r="W2295">
        <v>0</v>
      </c>
      <c r="X2295">
        <v>2</v>
      </c>
      <c r="Y2295">
        <v>0</v>
      </c>
      <c r="AA2295">
        <v>1</v>
      </c>
      <c r="AB2295">
        <v>8</v>
      </c>
      <c r="AC2295">
        <v>3</v>
      </c>
      <c r="AD2295">
        <v>0</v>
      </c>
      <c r="AE2295">
        <v>9</v>
      </c>
      <c r="AF2295" t="s">
        <v>138</v>
      </c>
      <c r="AG2295">
        <v>0</v>
      </c>
      <c r="AH2295">
        <v>3</v>
      </c>
      <c r="AI2295">
        <v>2</v>
      </c>
      <c r="AJ2295">
        <v>0</v>
      </c>
      <c r="AK2295" t="s">
        <v>780</v>
      </c>
      <c r="AL2295">
        <v>39.070171999999999</v>
      </c>
      <c r="AM2295" t="s">
        <v>781</v>
      </c>
      <c r="AN2295">
        <v>-121.040797</v>
      </c>
      <c r="AO2295">
        <v>25</v>
      </c>
      <c r="AP2295">
        <v>4600</v>
      </c>
      <c r="AQ2295" t="s">
        <v>131</v>
      </c>
      <c r="AR2295">
        <v>19</v>
      </c>
      <c r="AS2295">
        <v>87</v>
      </c>
      <c r="AT2295">
        <v>64</v>
      </c>
      <c r="BB2295" t="str">
        <f t="shared" si="890"/>
        <v>1200</v>
      </c>
      <c r="BC2295">
        <v>1</v>
      </c>
      <c r="BD2295" t="str">
        <f t="shared" si="891"/>
        <v xml:space="preserve">N52156  </v>
      </c>
      <c r="BE2295">
        <v>1</v>
      </c>
      <c r="BG2295">
        <v>0</v>
      </c>
      <c r="BH2295">
        <v>0</v>
      </c>
      <c r="BI2295">
        <v>0</v>
      </c>
      <c r="BJ2295">
        <v>4600</v>
      </c>
      <c r="BK2295">
        <v>0</v>
      </c>
      <c r="BL2295" t="s">
        <v>188</v>
      </c>
      <c r="BM2295">
        <v>1</v>
      </c>
      <c r="BN2295">
        <v>1</v>
      </c>
      <c r="BO2295">
        <v>0</v>
      </c>
      <c r="BP2295">
        <v>0</v>
      </c>
      <c r="BS2295">
        <v>0</v>
      </c>
      <c r="BT2295">
        <v>0</v>
      </c>
      <c r="BU2295">
        <v>0</v>
      </c>
      <c r="CE2295" t="str">
        <f t="shared" si="909"/>
        <v>15:10:54.838</v>
      </c>
      <c r="CF2295">
        <v>837538228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4</v>
      </c>
      <c r="CY2295">
        <v>7</v>
      </c>
      <c r="CZ2295" t="s">
        <v>133</v>
      </c>
      <c r="DA2295">
        <v>276</v>
      </c>
      <c r="DB2295">
        <v>0</v>
      </c>
      <c r="DC2295" t="s">
        <v>402</v>
      </c>
      <c r="DD2295" t="s">
        <v>403</v>
      </c>
      <c r="DG2295">
        <v>1626996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"05/01/2025 15:10:55.108"</f>
        <v>05/01/2025 15:10:55.108</v>
      </c>
      <c r="C2296" t="str">
        <f t="shared" si="888"/>
        <v>FFDFD3C0</v>
      </c>
      <c r="D2296" t="s">
        <v>140</v>
      </c>
      <c r="E2296" t="str">
        <f>"13"</f>
        <v>13</v>
      </c>
      <c r="F2296">
        <v>1019</v>
      </c>
      <c r="G2296" t="s">
        <v>141</v>
      </c>
      <c r="J2296" t="s">
        <v>142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R2296" t="s">
        <v>127</v>
      </c>
      <c r="S2296" t="str">
        <f t="shared" si="908"/>
        <v>15:10:54.000</v>
      </c>
      <c r="T2296" t="str">
        <f t="shared" si="908"/>
        <v>15:10:54.000</v>
      </c>
      <c r="U2296" t="str">
        <f t="shared" si="889"/>
        <v>A68FCB</v>
      </c>
      <c r="V2296">
        <v>0</v>
      </c>
      <c r="W2296">
        <v>0</v>
      </c>
      <c r="X2296">
        <v>2</v>
      </c>
      <c r="Y2296">
        <v>0</v>
      </c>
      <c r="AA2296">
        <v>1</v>
      </c>
      <c r="AB2296">
        <v>8</v>
      </c>
      <c r="AC2296">
        <v>3</v>
      </c>
      <c r="AD2296">
        <v>0</v>
      </c>
      <c r="AE2296">
        <v>9</v>
      </c>
      <c r="AF2296" t="s">
        <v>138</v>
      </c>
      <c r="AG2296">
        <v>0</v>
      </c>
      <c r="AH2296">
        <v>3</v>
      </c>
      <c r="AI2296">
        <v>2</v>
      </c>
      <c r="AJ2296">
        <v>0</v>
      </c>
      <c r="AK2296" t="s">
        <v>780</v>
      </c>
      <c r="AL2296">
        <v>39.070171999999999</v>
      </c>
      <c r="AM2296" t="s">
        <v>781</v>
      </c>
      <c r="AN2296">
        <v>-121.040797</v>
      </c>
      <c r="AO2296">
        <v>25</v>
      </c>
      <c r="AP2296">
        <v>4600</v>
      </c>
      <c r="AQ2296" t="s">
        <v>131</v>
      </c>
      <c r="AR2296">
        <v>19</v>
      </c>
      <c r="AS2296">
        <v>87</v>
      </c>
      <c r="AT2296">
        <v>64</v>
      </c>
      <c r="BB2296" t="str">
        <f t="shared" si="890"/>
        <v>1200</v>
      </c>
      <c r="BC2296">
        <v>1</v>
      </c>
      <c r="BD2296" t="str">
        <f t="shared" si="891"/>
        <v xml:space="preserve">N52156  </v>
      </c>
      <c r="BE2296">
        <v>1</v>
      </c>
      <c r="BG2296">
        <v>0</v>
      </c>
      <c r="BH2296">
        <v>0</v>
      </c>
      <c r="BI2296">
        <v>0</v>
      </c>
      <c r="BJ2296">
        <v>4600</v>
      </c>
      <c r="BK2296">
        <v>0</v>
      </c>
      <c r="BL2296" t="s">
        <v>188</v>
      </c>
      <c r="BM2296">
        <v>1</v>
      </c>
      <c r="BN2296">
        <v>1</v>
      </c>
      <c r="BO2296">
        <v>0</v>
      </c>
      <c r="BP2296">
        <v>0</v>
      </c>
      <c r="BS2296">
        <v>0</v>
      </c>
      <c r="BT2296">
        <v>0</v>
      </c>
      <c r="BU2296">
        <v>0</v>
      </c>
      <c r="CE2296" t="str">
        <f t="shared" si="909"/>
        <v>15:10:54.838</v>
      </c>
      <c r="CF2296">
        <v>837538228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4</v>
      </c>
      <c r="CY2296">
        <v>7</v>
      </c>
      <c r="CZ2296" t="s">
        <v>133</v>
      </c>
      <c r="DA2296">
        <v>276</v>
      </c>
      <c r="DB2296">
        <v>0</v>
      </c>
      <c r="DC2296" t="s">
        <v>402</v>
      </c>
      <c r="DD2296" t="s">
        <v>403</v>
      </c>
      <c r="DG2296">
        <v>1626996</v>
      </c>
      <c r="DI2296">
        <v>1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"05/01/2025 15:10:55.116"</f>
        <v>05/01/2025 15:10:55.116</v>
      </c>
      <c r="C2297" t="str">
        <f t="shared" si="888"/>
        <v>FFDFD3C0</v>
      </c>
      <c r="D2297" t="s">
        <v>124</v>
      </c>
      <c r="E2297" t="str">
        <f>"06"</f>
        <v>06</v>
      </c>
      <c r="F2297">
        <v>2006</v>
      </c>
      <c r="G2297" t="s">
        <v>125</v>
      </c>
      <c r="J2297" t="s">
        <v>126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R2297" t="s">
        <v>127</v>
      </c>
      <c r="S2297" t="str">
        <f t="shared" si="908"/>
        <v>15:10:54.000</v>
      </c>
      <c r="T2297" t="str">
        <f t="shared" si="908"/>
        <v>15:10:54.000</v>
      </c>
      <c r="U2297" t="str">
        <f t="shared" si="889"/>
        <v>A68FCB</v>
      </c>
      <c r="V2297">
        <v>0</v>
      </c>
      <c r="W2297">
        <v>0</v>
      </c>
      <c r="X2297">
        <v>2</v>
      </c>
      <c r="Y2297">
        <v>0</v>
      </c>
      <c r="AA2297">
        <v>1</v>
      </c>
      <c r="AB2297">
        <v>8</v>
      </c>
      <c r="AC2297">
        <v>3</v>
      </c>
      <c r="AD2297">
        <v>0</v>
      </c>
      <c r="AE2297">
        <v>9</v>
      </c>
      <c r="AF2297" t="s">
        <v>138</v>
      </c>
      <c r="AG2297">
        <v>0</v>
      </c>
      <c r="AH2297">
        <v>3</v>
      </c>
      <c r="AI2297">
        <v>2</v>
      </c>
      <c r="AJ2297">
        <v>0</v>
      </c>
      <c r="AK2297" t="s">
        <v>780</v>
      </c>
      <c r="AL2297">
        <v>39.070171999999999</v>
      </c>
      <c r="AM2297" t="s">
        <v>781</v>
      </c>
      <c r="AN2297">
        <v>-121.040797</v>
      </c>
      <c r="AO2297">
        <v>25</v>
      </c>
      <c r="AP2297">
        <v>4600</v>
      </c>
      <c r="AQ2297" t="s">
        <v>131</v>
      </c>
      <c r="AR2297">
        <v>19</v>
      </c>
      <c r="AS2297">
        <v>87</v>
      </c>
      <c r="AT2297">
        <v>64</v>
      </c>
      <c r="BB2297" t="str">
        <f t="shared" si="890"/>
        <v>1200</v>
      </c>
      <c r="BC2297">
        <v>1</v>
      </c>
      <c r="BD2297" t="str">
        <f t="shared" si="891"/>
        <v xml:space="preserve">N52156  </v>
      </c>
      <c r="BE2297">
        <v>1</v>
      </c>
      <c r="BG2297">
        <v>0</v>
      </c>
      <c r="BH2297">
        <v>0</v>
      </c>
      <c r="BI2297">
        <v>0</v>
      </c>
      <c r="BJ2297">
        <v>4600</v>
      </c>
      <c r="BK2297">
        <v>0</v>
      </c>
      <c r="BL2297" t="s">
        <v>188</v>
      </c>
      <c r="BM2297">
        <v>1</v>
      </c>
      <c r="BN2297">
        <v>1</v>
      </c>
      <c r="BO2297">
        <v>0</v>
      </c>
      <c r="BP2297">
        <v>0</v>
      </c>
      <c r="BS2297">
        <v>0</v>
      </c>
      <c r="BT2297">
        <v>0</v>
      </c>
      <c r="BU2297">
        <v>0</v>
      </c>
      <c r="CE2297" t="str">
        <f t="shared" si="909"/>
        <v>15:10:54.838</v>
      </c>
      <c r="CF2297">
        <v>837538228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4</v>
      </c>
      <c r="CY2297">
        <v>7</v>
      </c>
      <c r="CZ2297" t="s">
        <v>133</v>
      </c>
      <c r="DA2297">
        <v>276</v>
      </c>
      <c r="DB2297">
        <v>0</v>
      </c>
      <c r="DC2297" t="s">
        <v>402</v>
      </c>
      <c r="DD2297" t="s">
        <v>403</v>
      </c>
      <c r="DG2297">
        <v>1626996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"05/01/2025 15:10:55.124"</f>
        <v>05/01/2025 15:10:55.124</v>
      </c>
      <c r="C2298" t="str">
        <f t="shared" si="888"/>
        <v>FFDFD3C0</v>
      </c>
      <c r="D2298" t="s">
        <v>145</v>
      </c>
      <c r="E2298" t="str">
        <f>"05"</f>
        <v>05</v>
      </c>
      <c r="H2298">
        <v>47</v>
      </c>
      <c r="I2298" t="s">
        <v>146</v>
      </c>
      <c r="J2298" t="s">
        <v>138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R2298" t="s">
        <v>127</v>
      </c>
      <c r="S2298" t="str">
        <f t="shared" si="908"/>
        <v>15:10:54.000</v>
      </c>
      <c r="T2298" t="str">
        <f t="shared" si="908"/>
        <v>15:10:54.000</v>
      </c>
      <c r="U2298" t="str">
        <f t="shared" si="889"/>
        <v>A68FCB</v>
      </c>
      <c r="V2298">
        <v>0</v>
      </c>
      <c r="W2298">
        <v>0</v>
      </c>
      <c r="X2298">
        <v>2</v>
      </c>
      <c r="Y2298">
        <v>0</v>
      </c>
      <c r="AA2298">
        <v>1</v>
      </c>
      <c r="AB2298">
        <v>8</v>
      </c>
      <c r="AC2298">
        <v>3</v>
      </c>
      <c r="AD2298">
        <v>0</v>
      </c>
      <c r="AE2298">
        <v>9</v>
      </c>
      <c r="AF2298" t="s">
        <v>138</v>
      </c>
      <c r="AG2298">
        <v>0</v>
      </c>
      <c r="AH2298">
        <v>3</v>
      </c>
      <c r="AI2298">
        <v>2</v>
      </c>
      <c r="AJ2298">
        <v>0</v>
      </c>
      <c r="AK2298" t="s">
        <v>780</v>
      </c>
      <c r="AL2298">
        <v>39.070171999999999</v>
      </c>
      <c r="AM2298" t="s">
        <v>781</v>
      </c>
      <c r="AN2298">
        <v>-121.040797</v>
      </c>
      <c r="AO2298">
        <v>25</v>
      </c>
      <c r="AP2298">
        <v>4600</v>
      </c>
      <c r="AQ2298" t="s">
        <v>131</v>
      </c>
      <c r="AR2298">
        <v>19</v>
      </c>
      <c r="AS2298">
        <v>87</v>
      </c>
      <c r="AT2298">
        <v>64</v>
      </c>
      <c r="BB2298" t="str">
        <f t="shared" si="890"/>
        <v>1200</v>
      </c>
      <c r="BC2298">
        <v>1</v>
      </c>
      <c r="BD2298" t="str">
        <f t="shared" si="891"/>
        <v xml:space="preserve">N52156  </v>
      </c>
      <c r="BE2298">
        <v>1</v>
      </c>
      <c r="BG2298">
        <v>0</v>
      </c>
      <c r="BH2298">
        <v>0</v>
      </c>
      <c r="BI2298">
        <v>0</v>
      </c>
      <c r="BJ2298">
        <v>4600</v>
      </c>
      <c r="BK2298">
        <v>0</v>
      </c>
      <c r="BL2298" t="s">
        <v>188</v>
      </c>
      <c r="BM2298">
        <v>1</v>
      </c>
      <c r="BN2298">
        <v>1</v>
      </c>
      <c r="BO2298">
        <v>0</v>
      </c>
      <c r="BP2298">
        <v>0</v>
      </c>
      <c r="BS2298">
        <v>0</v>
      </c>
      <c r="BT2298">
        <v>0</v>
      </c>
      <c r="BU2298">
        <v>0</v>
      </c>
      <c r="CE2298" t="str">
        <f t="shared" si="909"/>
        <v>15:10:54.838</v>
      </c>
      <c r="CF2298">
        <v>837538228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4</v>
      </c>
      <c r="CY2298">
        <v>7</v>
      </c>
      <c r="CZ2298" t="s">
        <v>133</v>
      </c>
      <c r="DA2298">
        <v>276</v>
      </c>
      <c r="DB2298">
        <v>0</v>
      </c>
      <c r="DC2298" t="s">
        <v>402</v>
      </c>
      <c r="DD2298" t="s">
        <v>403</v>
      </c>
      <c r="DG2298">
        <v>1626996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"05/01/2025 15:10:55.124"</f>
        <v>05/01/2025 15:10:55.124</v>
      </c>
      <c r="C2299" t="str">
        <f t="shared" si="888"/>
        <v>FFDFD3C0</v>
      </c>
      <c r="D2299" t="s">
        <v>145</v>
      </c>
      <c r="E2299" t="str">
        <f>"09"</f>
        <v>09</v>
      </c>
      <c r="H2299">
        <v>51</v>
      </c>
      <c r="I2299" t="s">
        <v>147</v>
      </c>
      <c r="J2299" t="s">
        <v>138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R2299" t="s">
        <v>127</v>
      </c>
      <c r="S2299" t="str">
        <f t="shared" si="908"/>
        <v>15:10:54.000</v>
      </c>
      <c r="T2299" t="str">
        <f t="shared" si="908"/>
        <v>15:10:54.000</v>
      </c>
      <c r="U2299" t="str">
        <f t="shared" si="889"/>
        <v>A68FCB</v>
      </c>
      <c r="V2299">
        <v>0</v>
      </c>
      <c r="W2299">
        <v>0</v>
      </c>
      <c r="X2299">
        <v>2</v>
      </c>
      <c r="Y2299">
        <v>0</v>
      </c>
      <c r="AA2299">
        <v>1</v>
      </c>
      <c r="AB2299">
        <v>8</v>
      </c>
      <c r="AC2299">
        <v>3</v>
      </c>
      <c r="AD2299">
        <v>0</v>
      </c>
      <c r="AE2299">
        <v>9</v>
      </c>
      <c r="AF2299" t="s">
        <v>138</v>
      </c>
      <c r="AG2299">
        <v>0</v>
      </c>
      <c r="AH2299">
        <v>3</v>
      </c>
      <c r="AI2299">
        <v>2</v>
      </c>
      <c r="AJ2299">
        <v>0</v>
      </c>
      <c r="AK2299" t="s">
        <v>780</v>
      </c>
      <c r="AL2299">
        <v>39.070171999999999</v>
      </c>
      <c r="AM2299" t="s">
        <v>781</v>
      </c>
      <c r="AN2299">
        <v>-121.040797</v>
      </c>
      <c r="AO2299">
        <v>25</v>
      </c>
      <c r="AP2299">
        <v>4600</v>
      </c>
      <c r="AQ2299" t="s">
        <v>131</v>
      </c>
      <c r="AR2299">
        <v>19</v>
      </c>
      <c r="AS2299">
        <v>87</v>
      </c>
      <c r="AT2299">
        <v>64</v>
      </c>
      <c r="BB2299" t="str">
        <f t="shared" si="890"/>
        <v>1200</v>
      </c>
      <c r="BC2299">
        <v>1</v>
      </c>
      <c r="BD2299" t="str">
        <f t="shared" si="891"/>
        <v xml:space="preserve">N52156  </v>
      </c>
      <c r="BE2299">
        <v>1</v>
      </c>
      <c r="BG2299">
        <v>0</v>
      </c>
      <c r="BH2299">
        <v>0</v>
      </c>
      <c r="BI2299">
        <v>0</v>
      </c>
      <c r="BJ2299">
        <v>4600</v>
      </c>
      <c r="BK2299">
        <v>0</v>
      </c>
      <c r="BL2299" t="s">
        <v>188</v>
      </c>
      <c r="BM2299">
        <v>1</v>
      </c>
      <c r="BN2299">
        <v>1</v>
      </c>
      <c r="BO2299">
        <v>0</v>
      </c>
      <c r="BP2299">
        <v>0</v>
      </c>
      <c r="BS2299">
        <v>0</v>
      </c>
      <c r="BT2299">
        <v>0</v>
      </c>
      <c r="BU2299">
        <v>0</v>
      </c>
      <c r="CE2299" t="str">
        <f t="shared" si="909"/>
        <v>15:10:54.838</v>
      </c>
      <c r="CF2299">
        <v>837538228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4</v>
      </c>
      <c r="CY2299">
        <v>7</v>
      </c>
      <c r="CZ2299" t="s">
        <v>133</v>
      </c>
      <c r="DA2299">
        <v>276</v>
      </c>
      <c r="DB2299">
        <v>0</v>
      </c>
      <c r="DC2299" t="s">
        <v>402</v>
      </c>
      <c r="DD2299" t="s">
        <v>403</v>
      </c>
      <c r="DG2299">
        <v>1626996</v>
      </c>
      <c r="DI2299">
        <v>1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"05/01/2025 15:10:55.482"</f>
        <v>05/01/2025 15:10:55.482</v>
      </c>
      <c r="C2300" t="str">
        <f t="shared" si="888"/>
        <v>FFDFD3C0</v>
      </c>
      <c r="D2300" t="s">
        <v>136</v>
      </c>
      <c r="E2300" t="str">
        <f>"20"</f>
        <v>20</v>
      </c>
      <c r="H2300">
        <v>400</v>
      </c>
      <c r="I2300" t="s">
        <v>137</v>
      </c>
      <c r="J2300" t="s">
        <v>138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R2300" t="s">
        <v>127</v>
      </c>
      <c r="S2300" t="str">
        <f t="shared" ref="S2300:T2305" si="910">"15:10:55.000"</f>
        <v>15:10:55.000</v>
      </c>
      <c r="T2300" t="str">
        <f t="shared" si="910"/>
        <v>15:10:55.000</v>
      </c>
      <c r="U2300" t="str">
        <f t="shared" si="889"/>
        <v>A68FCB</v>
      </c>
      <c r="V2300">
        <v>0</v>
      </c>
      <c r="W2300">
        <v>0</v>
      </c>
      <c r="X2300">
        <v>2</v>
      </c>
      <c r="Y2300">
        <v>0</v>
      </c>
      <c r="AA2300">
        <v>1</v>
      </c>
      <c r="AB2300">
        <v>8</v>
      </c>
      <c r="AC2300">
        <v>3</v>
      </c>
      <c r="AD2300">
        <v>0</v>
      </c>
      <c r="AE2300">
        <v>9</v>
      </c>
      <c r="AF2300" t="s">
        <v>138</v>
      </c>
      <c r="AG2300">
        <v>0</v>
      </c>
      <c r="AH2300">
        <v>3</v>
      </c>
      <c r="AI2300">
        <v>2</v>
      </c>
      <c r="AJ2300">
        <v>0</v>
      </c>
      <c r="AK2300" t="s">
        <v>782</v>
      </c>
      <c r="AL2300">
        <v>39.07058</v>
      </c>
      <c r="AM2300" t="s">
        <v>783</v>
      </c>
      <c r="AN2300">
        <v>-121.040668</v>
      </c>
      <c r="AO2300">
        <v>25</v>
      </c>
      <c r="AP2300">
        <v>4600</v>
      </c>
      <c r="AQ2300" t="s">
        <v>131</v>
      </c>
      <c r="AR2300">
        <v>19</v>
      </c>
      <c r="AS2300">
        <v>87</v>
      </c>
      <c r="AT2300">
        <v>64</v>
      </c>
      <c r="BB2300" t="str">
        <f t="shared" si="890"/>
        <v>1200</v>
      </c>
      <c r="BC2300">
        <v>1</v>
      </c>
      <c r="BD2300" t="str">
        <f t="shared" si="891"/>
        <v xml:space="preserve">N52156  </v>
      </c>
      <c r="BE2300">
        <v>1</v>
      </c>
      <c r="BG2300">
        <v>0</v>
      </c>
      <c r="BH2300">
        <v>0</v>
      </c>
      <c r="BI2300">
        <v>0</v>
      </c>
      <c r="BJ2300">
        <v>4625</v>
      </c>
      <c r="BK2300">
        <v>25</v>
      </c>
      <c r="BL2300" t="s">
        <v>188</v>
      </c>
      <c r="BM2300">
        <v>1</v>
      </c>
      <c r="BN2300">
        <v>1</v>
      </c>
      <c r="BO2300">
        <v>0</v>
      </c>
      <c r="BP2300">
        <v>0</v>
      </c>
      <c r="BS2300">
        <v>0</v>
      </c>
      <c r="BT2300">
        <v>0</v>
      </c>
      <c r="BU2300">
        <v>0</v>
      </c>
      <c r="CE2300" t="str">
        <f t="shared" ref="CE2300:CE2305" si="911">"15:10:55.283"</f>
        <v>15:10:55.283</v>
      </c>
      <c r="CF2300">
        <v>283467730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3</v>
      </c>
      <c r="CY2300">
        <v>7</v>
      </c>
      <c r="CZ2300" t="s">
        <v>133</v>
      </c>
      <c r="DA2300">
        <v>275</v>
      </c>
      <c r="DB2300">
        <v>0</v>
      </c>
      <c r="DC2300" t="s">
        <v>134</v>
      </c>
      <c r="DD2300" t="s">
        <v>135</v>
      </c>
      <c r="DG2300">
        <v>3321592</v>
      </c>
      <c r="DI2300">
        <v>1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"05/01/2025 15:10:55.488"</f>
        <v>05/01/2025 15:10:55.488</v>
      </c>
      <c r="C2301" t="str">
        <f t="shared" si="888"/>
        <v>FFDFD3C0</v>
      </c>
      <c r="D2301" t="s">
        <v>143</v>
      </c>
      <c r="E2301" t="str">
        <f>"05"</f>
        <v>05</v>
      </c>
      <c r="H2301">
        <v>172</v>
      </c>
      <c r="I2301" t="s">
        <v>141</v>
      </c>
      <c r="J2301" t="s">
        <v>144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R2301" t="s">
        <v>127</v>
      </c>
      <c r="S2301" t="str">
        <f t="shared" si="910"/>
        <v>15:10:55.000</v>
      </c>
      <c r="T2301" t="str">
        <f t="shared" si="910"/>
        <v>15:10:55.000</v>
      </c>
      <c r="U2301" t="str">
        <f t="shared" si="889"/>
        <v>A68FCB</v>
      </c>
      <c r="V2301">
        <v>0</v>
      </c>
      <c r="W2301">
        <v>0</v>
      </c>
      <c r="X2301">
        <v>2</v>
      </c>
      <c r="Y2301">
        <v>0</v>
      </c>
      <c r="AA2301">
        <v>1</v>
      </c>
      <c r="AB2301">
        <v>8</v>
      </c>
      <c r="AC2301">
        <v>3</v>
      </c>
      <c r="AD2301">
        <v>0</v>
      </c>
      <c r="AE2301">
        <v>9</v>
      </c>
      <c r="AF2301" t="s">
        <v>138</v>
      </c>
      <c r="AG2301">
        <v>0</v>
      </c>
      <c r="AH2301">
        <v>3</v>
      </c>
      <c r="AI2301">
        <v>2</v>
      </c>
      <c r="AJ2301">
        <v>0</v>
      </c>
      <c r="AK2301" t="s">
        <v>782</v>
      </c>
      <c r="AL2301">
        <v>39.07058</v>
      </c>
      <c r="AM2301" t="s">
        <v>783</v>
      </c>
      <c r="AN2301">
        <v>-121.040668</v>
      </c>
      <c r="AO2301">
        <v>25</v>
      </c>
      <c r="AP2301">
        <v>4600</v>
      </c>
      <c r="AQ2301" t="s">
        <v>131</v>
      </c>
      <c r="AR2301">
        <v>19</v>
      </c>
      <c r="AS2301">
        <v>87</v>
      </c>
      <c r="AT2301">
        <v>64</v>
      </c>
      <c r="BB2301" t="str">
        <f t="shared" si="890"/>
        <v>1200</v>
      </c>
      <c r="BC2301">
        <v>1</v>
      </c>
      <c r="BD2301" t="str">
        <f t="shared" si="891"/>
        <v xml:space="preserve">N52156  </v>
      </c>
      <c r="BE2301">
        <v>1</v>
      </c>
      <c r="BG2301">
        <v>0</v>
      </c>
      <c r="BH2301">
        <v>0</v>
      </c>
      <c r="BI2301">
        <v>0</v>
      </c>
      <c r="BJ2301">
        <v>4625</v>
      </c>
      <c r="BK2301">
        <v>25</v>
      </c>
      <c r="BL2301" t="s">
        <v>188</v>
      </c>
      <c r="BM2301">
        <v>1</v>
      </c>
      <c r="BN2301">
        <v>1</v>
      </c>
      <c r="BO2301">
        <v>0</v>
      </c>
      <c r="BP2301">
        <v>0</v>
      </c>
      <c r="BS2301">
        <v>0</v>
      </c>
      <c r="BT2301">
        <v>0</v>
      </c>
      <c r="BU2301">
        <v>0</v>
      </c>
      <c r="CE2301" t="str">
        <f t="shared" si="911"/>
        <v>15:10:55.283</v>
      </c>
      <c r="CF2301">
        <v>283467730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3</v>
      </c>
      <c r="CY2301">
        <v>7</v>
      </c>
      <c r="CZ2301" t="s">
        <v>133</v>
      </c>
      <c r="DA2301">
        <v>275</v>
      </c>
      <c r="DB2301">
        <v>0</v>
      </c>
      <c r="DC2301" t="s">
        <v>134</v>
      </c>
      <c r="DD2301" t="s">
        <v>135</v>
      </c>
      <c r="DG2301">
        <v>3321592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"05/01/2025 15:10:55.509"</f>
        <v>05/01/2025 15:10:55.509</v>
      </c>
      <c r="C2302" t="str">
        <f t="shared" si="888"/>
        <v>FFDFD3C0</v>
      </c>
      <c r="D2302" t="s">
        <v>140</v>
      </c>
      <c r="E2302" t="str">
        <f>"13"</f>
        <v>13</v>
      </c>
      <c r="F2302">
        <v>1019</v>
      </c>
      <c r="G2302" t="s">
        <v>141</v>
      </c>
      <c r="J2302" t="s">
        <v>142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R2302" t="s">
        <v>127</v>
      </c>
      <c r="S2302" t="str">
        <f t="shared" si="910"/>
        <v>15:10:55.000</v>
      </c>
      <c r="T2302" t="str">
        <f t="shared" si="910"/>
        <v>15:10:55.000</v>
      </c>
      <c r="U2302" t="str">
        <f t="shared" si="889"/>
        <v>A68FCB</v>
      </c>
      <c r="V2302">
        <v>0</v>
      </c>
      <c r="W2302">
        <v>0</v>
      </c>
      <c r="X2302">
        <v>2</v>
      </c>
      <c r="Y2302">
        <v>0</v>
      </c>
      <c r="AA2302">
        <v>1</v>
      </c>
      <c r="AB2302">
        <v>8</v>
      </c>
      <c r="AC2302">
        <v>3</v>
      </c>
      <c r="AD2302">
        <v>0</v>
      </c>
      <c r="AE2302">
        <v>9</v>
      </c>
      <c r="AF2302" t="s">
        <v>138</v>
      </c>
      <c r="AG2302">
        <v>0</v>
      </c>
      <c r="AH2302">
        <v>3</v>
      </c>
      <c r="AI2302">
        <v>2</v>
      </c>
      <c r="AJ2302">
        <v>0</v>
      </c>
      <c r="AK2302" t="s">
        <v>782</v>
      </c>
      <c r="AL2302">
        <v>39.07058</v>
      </c>
      <c r="AM2302" t="s">
        <v>783</v>
      </c>
      <c r="AN2302">
        <v>-121.040668</v>
      </c>
      <c r="AO2302">
        <v>25</v>
      </c>
      <c r="AP2302">
        <v>4600</v>
      </c>
      <c r="AQ2302" t="s">
        <v>131</v>
      </c>
      <c r="AR2302">
        <v>19</v>
      </c>
      <c r="AS2302">
        <v>87</v>
      </c>
      <c r="AT2302">
        <v>64</v>
      </c>
      <c r="BB2302" t="str">
        <f t="shared" si="890"/>
        <v>1200</v>
      </c>
      <c r="BC2302">
        <v>1</v>
      </c>
      <c r="BD2302" t="str">
        <f t="shared" si="891"/>
        <v xml:space="preserve">N52156  </v>
      </c>
      <c r="BE2302">
        <v>1</v>
      </c>
      <c r="BG2302">
        <v>0</v>
      </c>
      <c r="BH2302">
        <v>0</v>
      </c>
      <c r="BI2302">
        <v>0</v>
      </c>
      <c r="BJ2302">
        <v>4625</v>
      </c>
      <c r="BK2302">
        <v>25</v>
      </c>
      <c r="BL2302" t="s">
        <v>188</v>
      </c>
      <c r="BM2302">
        <v>1</v>
      </c>
      <c r="BN2302">
        <v>1</v>
      </c>
      <c r="BO2302">
        <v>0</v>
      </c>
      <c r="BP2302">
        <v>0</v>
      </c>
      <c r="BS2302">
        <v>0</v>
      </c>
      <c r="BT2302">
        <v>0</v>
      </c>
      <c r="BU2302">
        <v>0</v>
      </c>
      <c r="CE2302" t="str">
        <f t="shared" si="911"/>
        <v>15:10:55.283</v>
      </c>
      <c r="CF2302">
        <v>283467730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3</v>
      </c>
      <c r="CY2302">
        <v>7</v>
      </c>
      <c r="CZ2302" t="s">
        <v>133</v>
      </c>
      <c r="DA2302">
        <v>275</v>
      </c>
      <c r="DB2302">
        <v>0</v>
      </c>
      <c r="DC2302" t="s">
        <v>134</v>
      </c>
      <c r="DD2302" t="s">
        <v>135</v>
      </c>
      <c r="DG2302">
        <v>3321592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"05/01/2025 15:10:55.516"</f>
        <v>05/01/2025 15:10:55.516</v>
      </c>
      <c r="C2303" t="str">
        <f t="shared" si="888"/>
        <v>FFDFD3C0</v>
      </c>
      <c r="D2303" t="s">
        <v>124</v>
      </c>
      <c r="E2303" t="str">
        <f>"06"</f>
        <v>06</v>
      </c>
      <c r="F2303">
        <v>2006</v>
      </c>
      <c r="G2303" t="s">
        <v>125</v>
      </c>
      <c r="J2303" t="s">
        <v>126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R2303" t="s">
        <v>127</v>
      </c>
      <c r="S2303" t="str">
        <f t="shared" si="910"/>
        <v>15:10:55.000</v>
      </c>
      <c r="T2303" t="str">
        <f t="shared" si="910"/>
        <v>15:10:55.000</v>
      </c>
      <c r="U2303" t="str">
        <f t="shared" si="889"/>
        <v>A68FCB</v>
      </c>
      <c r="V2303">
        <v>0</v>
      </c>
      <c r="W2303">
        <v>0</v>
      </c>
      <c r="X2303">
        <v>2</v>
      </c>
      <c r="Y2303">
        <v>0</v>
      </c>
      <c r="AA2303">
        <v>1</v>
      </c>
      <c r="AB2303">
        <v>8</v>
      </c>
      <c r="AC2303">
        <v>3</v>
      </c>
      <c r="AD2303">
        <v>0</v>
      </c>
      <c r="AE2303">
        <v>9</v>
      </c>
      <c r="AF2303" t="s">
        <v>138</v>
      </c>
      <c r="AG2303">
        <v>0</v>
      </c>
      <c r="AH2303">
        <v>3</v>
      </c>
      <c r="AI2303">
        <v>2</v>
      </c>
      <c r="AJ2303">
        <v>0</v>
      </c>
      <c r="AK2303" t="s">
        <v>782</v>
      </c>
      <c r="AL2303">
        <v>39.07058</v>
      </c>
      <c r="AM2303" t="s">
        <v>783</v>
      </c>
      <c r="AN2303">
        <v>-121.040668</v>
      </c>
      <c r="AO2303">
        <v>25</v>
      </c>
      <c r="AP2303">
        <v>4600</v>
      </c>
      <c r="AQ2303" t="s">
        <v>131</v>
      </c>
      <c r="AR2303">
        <v>19</v>
      </c>
      <c r="AS2303">
        <v>87</v>
      </c>
      <c r="AT2303">
        <v>64</v>
      </c>
      <c r="BB2303" t="str">
        <f t="shared" si="890"/>
        <v>1200</v>
      </c>
      <c r="BC2303">
        <v>1</v>
      </c>
      <c r="BD2303" t="str">
        <f t="shared" si="891"/>
        <v xml:space="preserve">N52156  </v>
      </c>
      <c r="BE2303">
        <v>1</v>
      </c>
      <c r="BG2303">
        <v>0</v>
      </c>
      <c r="BH2303">
        <v>0</v>
      </c>
      <c r="BI2303">
        <v>0</v>
      </c>
      <c r="BJ2303">
        <v>4625</v>
      </c>
      <c r="BK2303">
        <v>25</v>
      </c>
      <c r="BL2303" t="s">
        <v>188</v>
      </c>
      <c r="BM2303">
        <v>1</v>
      </c>
      <c r="BN2303">
        <v>1</v>
      </c>
      <c r="BO2303">
        <v>0</v>
      </c>
      <c r="BP2303">
        <v>0</v>
      </c>
      <c r="BS2303">
        <v>0</v>
      </c>
      <c r="BT2303">
        <v>0</v>
      </c>
      <c r="BU2303">
        <v>0</v>
      </c>
      <c r="CE2303" t="str">
        <f t="shared" si="911"/>
        <v>15:10:55.283</v>
      </c>
      <c r="CF2303">
        <v>283467730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3</v>
      </c>
      <c r="CY2303">
        <v>7</v>
      </c>
      <c r="CZ2303" t="s">
        <v>133</v>
      </c>
      <c r="DA2303">
        <v>275</v>
      </c>
      <c r="DB2303">
        <v>0</v>
      </c>
      <c r="DC2303" t="s">
        <v>134</v>
      </c>
      <c r="DD2303" t="s">
        <v>135</v>
      </c>
      <c r="DG2303">
        <v>3321592</v>
      </c>
      <c r="DI2303">
        <v>1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"05/01/2025 15:10:55.524"</f>
        <v>05/01/2025 15:10:55.524</v>
      </c>
      <c r="C2304" t="str">
        <f t="shared" si="888"/>
        <v>FFDFD3C0</v>
      </c>
      <c r="D2304" t="s">
        <v>145</v>
      </c>
      <c r="E2304" t="str">
        <f>"05"</f>
        <v>05</v>
      </c>
      <c r="H2304">
        <v>47</v>
      </c>
      <c r="I2304" t="s">
        <v>146</v>
      </c>
      <c r="J2304" t="s">
        <v>138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R2304" t="s">
        <v>127</v>
      </c>
      <c r="S2304" t="str">
        <f t="shared" si="910"/>
        <v>15:10:55.000</v>
      </c>
      <c r="T2304" t="str">
        <f t="shared" si="910"/>
        <v>15:10:55.000</v>
      </c>
      <c r="U2304" t="str">
        <f t="shared" si="889"/>
        <v>A68FCB</v>
      </c>
      <c r="V2304">
        <v>0</v>
      </c>
      <c r="W2304">
        <v>0</v>
      </c>
      <c r="X2304">
        <v>2</v>
      </c>
      <c r="Y2304">
        <v>0</v>
      </c>
      <c r="AA2304">
        <v>1</v>
      </c>
      <c r="AB2304">
        <v>8</v>
      </c>
      <c r="AC2304">
        <v>3</v>
      </c>
      <c r="AD2304">
        <v>0</v>
      </c>
      <c r="AE2304">
        <v>9</v>
      </c>
      <c r="AF2304" t="s">
        <v>138</v>
      </c>
      <c r="AG2304">
        <v>0</v>
      </c>
      <c r="AH2304">
        <v>3</v>
      </c>
      <c r="AI2304">
        <v>2</v>
      </c>
      <c r="AJ2304">
        <v>0</v>
      </c>
      <c r="AK2304" t="s">
        <v>782</v>
      </c>
      <c r="AL2304">
        <v>39.07058</v>
      </c>
      <c r="AM2304" t="s">
        <v>783</v>
      </c>
      <c r="AN2304">
        <v>-121.040668</v>
      </c>
      <c r="AO2304">
        <v>25</v>
      </c>
      <c r="AP2304">
        <v>4600</v>
      </c>
      <c r="AQ2304" t="s">
        <v>131</v>
      </c>
      <c r="AR2304">
        <v>19</v>
      </c>
      <c r="AS2304">
        <v>87</v>
      </c>
      <c r="AT2304">
        <v>64</v>
      </c>
      <c r="BB2304" t="str">
        <f t="shared" si="890"/>
        <v>1200</v>
      </c>
      <c r="BC2304">
        <v>1</v>
      </c>
      <c r="BD2304" t="str">
        <f t="shared" si="891"/>
        <v xml:space="preserve">N52156  </v>
      </c>
      <c r="BE2304">
        <v>1</v>
      </c>
      <c r="BG2304">
        <v>0</v>
      </c>
      <c r="BH2304">
        <v>0</v>
      </c>
      <c r="BI2304">
        <v>0</v>
      </c>
      <c r="BJ2304">
        <v>4625</v>
      </c>
      <c r="BK2304">
        <v>25</v>
      </c>
      <c r="BL2304" t="s">
        <v>188</v>
      </c>
      <c r="BM2304">
        <v>1</v>
      </c>
      <c r="BN2304">
        <v>1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 t="shared" si="911"/>
        <v>15:10:55.283</v>
      </c>
      <c r="CF2304">
        <v>283467730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3</v>
      </c>
      <c r="CY2304">
        <v>7</v>
      </c>
      <c r="CZ2304" t="s">
        <v>133</v>
      </c>
      <c r="DA2304">
        <v>275</v>
      </c>
      <c r="DB2304">
        <v>0</v>
      </c>
      <c r="DC2304" t="s">
        <v>134</v>
      </c>
      <c r="DD2304" t="s">
        <v>135</v>
      </c>
      <c r="DG2304">
        <v>3321592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"05/01/2025 15:10:55.524"</f>
        <v>05/01/2025 15:10:55.524</v>
      </c>
      <c r="C2305" t="str">
        <f t="shared" si="888"/>
        <v>FFDFD3C0</v>
      </c>
      <c r="D2305" t="s">
        <v>145</v>
      </c>
      <c r="E2305" t="str">
        <f>"09"</f>
        <v>09</v>
      </c>
      <c r="H2305">
        <v>51</v>
      </c>
      <c r="I2305" t="s">
        <v>147</v>
      </c>
      <c r="J2305" t="s">
        <v>138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R2305" t="s">
        <v>127</v>
      </c>
      <c r="S2305" t="str">
        <f t="shared" si="910"/>
        <v>15:10:55.000</v>
      </c>
      <c r="T2305" t="str">
        <f t="shared" si="910"/>
        <v>15:10:55.000</v>
      </c>
      <c r="U2305" t="str">
        <f t="shared" si="889"/>
        <v>A68FCB</v>
      </c>
      <c r="V2305">
        <v>0</v>
      </c>
      <c r="W2305">
        <v>0</v>
      </c>
      <c r="X2305">
        <v>2</v>
      </c>
      <c r="Y2305">
        <v>0</v>
      </c>
      <c r="AA2305">
        <v>1</v>
      </c>
      <c r="AB2305">
        <v>8</v>
      </c>
      <c r="AC2305">
        <v>3</v>
      </c>
      <c r="AD2305">
        <v>0</v>
      </c>
      <c r="AE2305">
        <v>9</v>
      </c>
      <c r="AF2305" t="s">
        <v>138</v>
      </c>
      <c r="AG2305">
        <v>0</v>
      </c>
      <c r="AH2305">
        <v>3</v>
      </c>
      <c r="AI2305">
        <v>2</v>
      </c>
      <c r="AJ2305">
        <v>0</v>
      </c>
      <c r="AK2305" t="s">
        <v>782</v>
      </c>
      <c r="AL2305">
        <v>39.07058</v>
      </c>
      <c r="AM2305" t="s">
        <v>783</v>
      </c>
      <c r="AN2305">
        <v>-121.040668</v>
      </c>
      <c r="AO2305">
        <v>25</v>
      </c>
      <c r="AP2305">
        <v>4600</v>
      </c>
      <c r="AQ2305" t="s">
        <v>131</v>
      </c>
      <c r="AR2305">
        <v>19</v>
      </c>
      <c r="AS2305">
        <v>87</v>
      </c>
      <c r="AT2305">
        <v>64</v>
      </c>
      <c r="BB2305" t="str">
        <f t="shared" si="890"/>
        <v>1200</v>
      </c>
      <c r="BC2305">
        <v>1</v>
      </c>
      <c r="BD2305" t="str">
        <f t="shared" si="891"/>
        <v xml:space="preserve">N52156  </v>
      </c>
      <c r="BE2305">
        <v>1</v>
      </c>
      <c r="BG2305">
        <v>0</v>
      </c>
      <c r="BH2305">
        <v>0</v>
      </c>
      <c r="BI2305">
        <v>0</v>
      </c>
      <c r="BJ2305">
        <v>4625</v>
      </c>
      <c r="BK2305">
        <v>25</v>
      </c>
      <c r="BL2305" t="s">
        <v>188</v>
      </c>
      <c r="BM2305">
        <v>1</v>
      </c>
      <c r="BN2305">
        <v>1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 t="shared" si="911"/>
        <v>15:10:55.283</v>
      </c>
      <c r="CF2305">
        <v>283467730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3</v>
      </c>
      <c r="CY2305">
        <v>7</v>
      </c>
      <c r="CZ2305" t="s">
        <v>133</v>
      </c>
      <c r="DA2305">
        <v>275</v>
      </c>
      <c r="DB2305">
        <v>0</v>
      </c>
      <c r="DC2305" t="s">
        <v>134</v>
      </c>
      <c r="DD2305" t="s">
        <v>135</v>
      </c>
      <c r="DG2305">
        <v>3321592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"05/01/2025 15:10:56.440"</f>
        <v>05/01/2025 15:10:56.440</v>
      </c>
      <c r="C2306" t="str">
        <f t="shared" ref="C2306:C2369" si="912">"FFDFD3C0"</f>
        <v>FFDFD3C0</v>
      </c>
      <c r="D2306" t="s">
        <v>143</v>
      </c>
      <c r="E2306" t="str">
        <f>"05"</f>
        <v>05</v>
      </c>
      <c r="H2306">
        <v>172</v>
      </c>
      <c r="I2306" t="s">
        <v>141</v>
      </c>
      <c r="J2306" t="s">
        <v>144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R2306" t="s">
        <v>127</v>
      </c>
      <c r="S2306" t="str">
        <f t="shared" ref="S2306:T2311" si="913">"15:10:56.000"</f>
        <v>15:10:56.000</v>
      </c>
      <c r="T2306" t="str">
        <f t="shared" si="913"/>
        <v>15:10:56.000</v>
      </c>
      <c r="U2306" t="str">
        <f t="shared" ref="U2306:U2369" si="914">"A68FCB"</f>
        <v>A68FCB</v>
      </c>
      <c r="V2306">
        <v>0</v>
      </c>
      <c r="W2306">
        <v>0</v>
      </c>
      <c r="X2306">
        <v>2</v>
      </c>
      <c r="Y2306">
        <v>0</v>
      </c>
      <c r="AA2306">
        <v>1</v>
      </c>
      <c r="AB2306">
        <v>8</v>
      </c>
      <c r="AC2306">
        <v>3</v>
      </c>
      <c r="AD2306">
        <v>0</v>
      </c>
      <c r="AE2306">
        <v>9</v>
      </c>
      <c r="AF2306" t="s">
        <v>138</v>
      </c>
      <c r="AG2306">
        <v>0</v>
      </c>
      <c r="AH2306">
        <v>3</v>
      </c>
      <c r="AI2306">
        <v>2</v>
      </c>
      <c r="AJ2306">
        <v>0</v>
      </c>
      <c r="AK2306" t="s">
        <v>784</v>
      </c>
      <c r="AL2306">
        <v>39.070988</v>
      </c>
      <c r="AM2306" t="s">
        <v>785</v>
      </c>
      <c r="AN2306">
        <v>-121.040561</v>
      </c>
      <c r="AO2306">
        <v>25</v>
      </c>
      <c r="AP2306">
        <v>4600</v>
      </c>
      <c r="AQ2306" t="s">
        <v>131</v>
      </c>
      <c r="AR2306">
        <v>18</v>
      </c>
      <c r="AS2306">
        <v>87</v>
      </c>
      <c r="AT2306">
        <v>128</v>
      </c>
      <c r="BB2306" t="str">
        <f t="shared" ref="BB2306:BB2369" si="915">"1200"</f>
        <v>1200</v>
      </c>
      <c r="BC2306">
        <v>1</v>
      </c>
      <c r="BD2306" t="str">
        <f t="shared" ref="BD2306:BD2369" si="916">"N52156  "</f>
        <v xml:space="preserve">N52156  </v>
      </c>
      <c r="BE2306">
        <v>1</v>
      </c>
      <c r="BG2306">
        <v>0</v>
      </c>
      <c r="BH2306">
        <v>0</v>
      </c>
      <c r="BI2306">
        <v>0</v>
      </c>
      <c r="BJ2306">
        <v>4625</v>
      </c>
      <c r="BK2306">
        <v>25</v>
      </c>
      <c r="BL2306" t="s">
        <v>188</v>
      </c>
      <c r="BM2306">
        <v>1</v>
      </c>
      <c r="BN2306">
        <v>1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 t="shared" ref="CE2306:CE2311" si="917">"15:10:56.238"</f>
        <v>15:10:56.238</v>
      </c>
      <c r="CF2306">
        <v>237536912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3</v>
      </c>
      <c r="CY2306">
        <v>7</v>
      </c>
      <c r="CZ2306" t="s">
        <v>133</v>
      </c>
      <c r="DA2306">
        <v>276</v>
      </c>
      <c r="DB2306">
        <v>0</v>
      </c>
      <c r="DC2306" t="s">
        <v>402</v>
      </c>
      <c r="DD2306" t="s">
        <v>403</v>
      </c>
      <c r="DG2306">
        <v>1627000</v>
      </c>
      <c r="DI2306">
        <v>1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"05/01/2025 15:10:56.461"</f>
        <v>05/01/2025 15:10:56.461</v>
      </c>
      <c r="C2307" t="str">
        <f t="shared" si="912"/>
        <v>FFDFD3C0</v>
      </c>
      <c r="D2307" t="s">
        <v>140</v>
      </c>
      <c r="E2307" t="str">
        <f>"13"</f>
        <v>13</v>
      </c>
      <c r="F2307">
        <v>1019</v>
      </c>
      <c r="G2307" t="s">
        <v>141</v>
      </c>
      <c r="J2307" t="s">
        <v>142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R2307" t="s">
        <v>127</v>
      </c>
      <c r="S2307" t="str">
        <f t="shared" si="913"/>
        <v>15:10:56.000</v>
      </c>
      <c r="T2307" t="str">
        <f t="shared" si="913"/>
        <v>15:10:56.000</v>
      </c>
      <c r="U2307" t="str">
        <f t="shared" si="914"/>
        <v>A68FCB</v>
      </c>
      <c r="V2307">
        <v>0</v>
      </c>
      <c r="W2307">
        <v>0</v>
      </c>
      <c r="X2307">
        <v>2</v>
      </c>
      <c r="Y2307">
        <v>0</v>
      </c>
      <c r="AA2307">
        <v>1</v>
      </c>
      <c r="AB2307">
        <v>8</v>
      </c>
      <c r="AC2307">
        <v>3</v>
      </c>
      <c r="AD2307">
        <v>0</v>
      </c>
      <c r="AE2307">
        <v>9</v>
      </c>
      <c r="AF2307" t="s">
        <v>138</v>
      </c>
      <c r="AG2307">
        <v>0</v>
      </c>
      <c r="AH2307">
        <v>3</v>
      </c>
      <c r="AI2307">
        <v>2</v>
      </c>
      <c r="AJ2307">
        <v>0</v>
      </c>
      <c r="AK2307" t="s">
        <v>784</v>
      </c>
      <c r="AL2307">
        <v>39.070988</v>
      </c>
      <c r="AM2307" t="s">
        <v>785</v>
      </c>
      <c r="AN2307">
        <v>-121.040561</v>
      </c>
      <c r="AO2307">
        <v>25</v>
      </c>
      <c r="AP2307">
        <v>4600</v>
      </c>
      <c r="AQ2307" t="s">
        <v>131</v>
      </c>
      <c r="AR2307">
        <v>18</v>
      </c>
      <c r="AS2307">
        <v>87</v>
      </c>
      <c r="AT2307">
        <v>128</v>
      </c>
      <c r="BB2307" t="str">
        <f t="shared" si="915"/>
        <v>1200</v>
      </c>
      <c r="BC2307">
        <v>1</v>
      </c>
      <c r="BD2307" t="str">
        <f t="shared" si="916"/>
        <v xml:space="preserve">N52156  </v>
      </c>
      <c r="BE2307">
        <v>1</v>
      </c>
      <c r="BG2307">
        <v>0</v>
      </c>
      <c r="BH2307">
        <v>0</v>
      </c>
      <c r="BI2307">
        <v>0</v>
      </c>
      <c r="BJ2307">
        <v>4625</v>
      </c>
      <c r="BK2307">
        <v>25</v>
      </c>
      <c r="BL2307" t="s">
        <v>188</v>
      </c>
      <c r="BM2307">
        <v>1</v>
      </c>
      <c r="BN2307">
        <v>1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 t="shared" si="917"/>
        <v>15:10:56.238</v>
      </c>
      <c r="CF2307">
        <v>237536912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3</v>
      </c>
      <c r="CY2307">
        <v>7</v>
      </c>
      <c r="CZ2307" t="s">
        <v>133</v>
      </c>
      <c r="DA2307">
        <v>276</v>
      </c>
      <c r="DB2307">
        <v>0</v>
      </c>
      <c r="DC2307" t="s">
        <v>402</v>
      </c>
      <c r="DD2307" t="s">
        <v>403</v>
      </c>
      <c r="DG2307">
        <v>1627000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"05/01/2025 15:10:56.468"</f>
        <v>05/01/2025 15:10:56.468</v>
      </c>
      <c r="C2308" t="str">
        <f t="shared" si="912"/>
        <v>FFDFD3C0</v>
      </c>
      <c r="D2308" t="s">
        <v>124</v>
      </c>
      <c r="E2308" t="str">
        <f>"06"</f>
        <v>06</v>
      </c>
      <c r="F2308">
        <v>2006</v>
      </c>
      <c r="G2308" t="s">
        <v>125</v>
      </c>
      <c r="J2308" t="s">
        <v>126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R2308" t="s">
        <v>127</v>
      </c>
      <c r="S2308" t="str">
        <f t="shared" si="913"/>
        <v>15:10:56.000</v>
      </c>
      <c r="T2308" t="str">
        <f t="shared" si="913"/>
        <v>15:10:56.000</v>
      </c>
      <c r="U2308" t="str">
        <f t="shared" si="914"/>
        <v>A68FCB</v>
      </c>
      <c r="V2308">
        <v>0</v>
      </c>
      <c r="W2308">
        <v>0</v>
      </c>
      <c r="X2308">
        <v>2</v>
      </c>
      <c r="Y2308">
        <v>0</v>
      </c>
      <c r="AA2308">
        <v>1</v>
      </c>
      <c r="AB2308">
        <v>8</v>
      </c>
      <c r="AC2308">
        <v>3</v>
      </c>
      <c r="AD2308">
        <v>0</v>
      </c>
      <c r="AE2308">
        <v>9</v>
      </c>
      <c r="AF2308" t="s">
        <v>138</v>
      </c>
      <c r="AG2308">
        <v>0</v>
      </c>
      <c r="AH2308">
        <v>3</v>
      </c>
      <c r="AI2308">
        <v>2</v>
      </c>
      <c r="AJ2308">
        <v>0</v>
      </c>
      <c r="AK2308" t="s">
        <v>784</v>
      </c>
      <c r="AL2308">
        <v>39.070988</v>
      </c>
      <c r="AM2308" t="s">
        <v>785</v>
      </c>
      <c r="AN2308">
        <v>-121.040561</v>
      </c>
      <c r="AO2308">
        <v>25</v>
      </c>
      <c r="AP2308">
        <v>4600</v>
      </c>
      <c r="AQ2308" t="s">
        <v>131</v>
      </c>
      <c r="AR2308">
        <v>18</v>
      </c>
      <c r="AS2308">
        <v>87</v>
      </c>
      <c r="AT2308">
        <v>128</v>
      </c>
      <c r="BB2308" t="str">
        <f t="shared" si="915"/>
        <v>1200</v>
      </c>
      <c r="BC2308">
        <v>1</v>
      </c>
      <c r="BD2308" t="str">
        <f t="shared" si="916"/>
        <v xml:space="preserve">N52156  </v>
      </c>
      <c r="BE2308">
        <v>1</v>
      </c>
      <c r="BG2308">
        <v>0</v>
      </c>
      <c r="BH2308">
        <v>0</v>
      </c>
      <c r="BI2308">
        <v>0</v>
      </c>
      <c r="BJ2308">
        <v>4625</v>
      </c>
      <c r="BK2308">
        <v>25</v>
      </c>
      <c r="BL2308" t="s">
        <v>188</v>
      </c>
      <c r="BM2308">
        <v>1</v>
      </c>
      <c r="BN2308">
        <v>1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 t="shared" si="917"/>
        <v>15:10:56.238</v>
      </c>
      <c r="CF2308">
        <v>237536912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3</v>
      </c>
      <c r="CY2308">
        <v>7</v>
      </c>
      <c r="CZ2308" t="s">
        <v>133</v>
      </c>
      <c r="DA2308">
        <v>276</v>
      </c>
      <c r="DB2308">
        <v>0</v>
      </c>
      <c r="DC2308" t="s">
        <v>402</v>
      </c>
      <c r="DD2308" t="s">
        <v>403</v>
      </c>
      <c r="DG2308">
        <v>1627000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"05/01/2025 15:10:56.476"</f>
        <v>05/01/2025 15:10:56.476</v>
      </c>
      <c r="C2309" t="str">
        <f t="shared" si="912"/>
        <v>FFDFD3C0</v>
      </c>
      <c r="D2309" t="s">
        <v>145</v>
      </c>
      <c r="E2309" t="str">
        <f>"05"</f>
        <v>05</v>
      </c>
      <c r="H2309">
        <v>47</v>
      </c>
      <c r="I2309" t="s">
        <v>146</v>
      </c>
      <c r="J2309" t="s">
        <v>138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R2309" t="s">
        <v>127</v>
      </c>
      <c r="S2309" t="str">
        <f t="shared" si="913"/>
        <v>15:10:56.000</v>
      </c>
      <c r="T2309" t="str">
        <f t="shared" si="913"/>
        <v>15:10:56.000</v>
      </c>
      <c r="U2309" t="str">
        <f t="shared" si="914"/>
        <v>A68FCB</v>
      </c>
      <c r="V2309">
        <v>0</v>
      </c>
      <c r="W2309">
        <v>0</v>
      </c>
      <c r="X2309">
        <v>2</v>
      </c>
      <c r="Y2309">
        <v>0</v>
      </c>
      <c r="AA2309">
        <v>1</v>
      </c>
      <c r="AB2309">
        <v>8</v>
      </c>
      <c r="AC2309">
        <v>3</v>
      </c>
      <c r="AD2309">
        <v>0</v>
      </c>
      <c r="AE2309">
        <v>9</v>
      </c>
      <c r="AF2309" t="s">
        <v>138</v>
      </c>
      <c r="AG2309">
        <v>0</v>
      </c>
      <c r="AH2309">
        <v>3</v>
      </c>
      <c r="AI2309">
        <v>2</v>
      </c>
      <c r="AJ2309">
        <v>0</v>
      </c>
      <c r="AK2309" t="s">
        <v>784</v>
      </c>
      <c r="AL2309">
        <v>39.070988</v>
      </c>
      <c r="AM2309" t="s">
        <v>785</v>
      </c>
      <c r="AN2309">
        <v>-121.040561</v>
      </c>
      <c r="AO2309">
        <v>25</v>
      </c>
      <c r="AP2309">
        <v>4600</v>
      </c>
      <c r="AQ2309" t="s">
        <v>131</v>
      </c>
      <c r="AR2309">
        <v>18</v>
      </c>
      <c r="AS2309">
        <v>87</v>
      </c>
      <c r="AT2309">
        <v>128</v>
      </c>
      <c r="BB2309" t="str">
        <f t="shared" si="915"/>
        <v>1200</v>
      </c>
      <c r="BC2309">
        <v>1</v>
      </c>
      <c r="BD2309" t="str">
        <f t="shared" si="916"/>
        <v xml:space="preserve">N52156  </v>
      </c>
      <c r="BE2309">
        <v>1</v>
      </c>
      <c r="BG2309">
        <v>0</v>
      </c>
      <c r="BH2309">
        <v>0</v>
      </c>
      <c r="BI2309">
        <v>0</v>
      </c>
      <c r="BJ2309">
        <v>4625</v>
      </c>
      <c r="BK2309">
        <v>25</v>
      </c>
      <c r="BL2309" t="s">
        <v>188</v>
      </c>
      <c r="BM2309">
        <v>1</v>
      </c>
      <c r="BN2309">
        <v>1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 t="shared" si="917"/>
        <v>15:10:56.238</v>
      </c>
      <c r="CF2309">
        <v>237536912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3</v>
      </c>
      <c r="CY2309">
        <v>7</v>
      </c>
      <c r="CZ2309" t="s">
        <v>133</v>
      </c>
      <c r="DA2309">
        <v>276</v>
      </c>
      <c r="DB2309">
        <v>0</v>
      </c>
      <c r="DC2309" t="s">
        <v>402</v>
      </c>
      <c r="DD2309" t="s">
        <v>403</v>
      </c>
      <c r="DG2309">
        <v>1627000</v>
      </c>
      <c r="DI2309">
        <v>1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"05/01/2025 15:10:56.476"</f>
        <v>05/01/2025 15:10:56.476</v>
      </c>
      <c r="C2310" t="str">
        <f t="shared" si="912"/>
        <v>FFDFD3C0</v>
      </c>
      <c r="D2310" t="s">
        <v>145</v>
      </c>
      <c r="E2310" t="str">
        <f>"09"</f>
        <v>09</v>
      </c>
      <c r="H2310">
        <v>51</v>
      </c>
      <c r="I2310" t="s">
        <v>147</v>
      </c>
      <c r="J2310" t="s">
        <v>138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R2310" t="s">
        <v>127</v>
      </c>
      <c r="S2310" t="str">
        <f t="shared" si="913"/>
        <v>15:10:56.000</v>
      </c>
      <c r="T2310" t="str">
        <f t="shared" si="913"/>
        <v>15:10:56.000</v>
      </c>
      <c r="U2310" t="str">
        <f t="shared" si="914"/>
        <v>A68FCB</v>
      </c>
      <c r="V2310">
        <v>0</v>
      </c>
      <c r="W2310">
        <v>0</v>
      </c>
      <c r="X2310">
        <v>2</v>
      </c>
      <c r="Y2310">
        <v>0</v>
      </c>
      <c r="AA2310">
        <v>1</v>
      </c>
      <c r="AB2310">
        <v>8</v>
      </c>
      <c r="AC2310">
        <v>3</v>
      </c>
      <c r="AD2310">
        <v>0</v>
      </c>
      <c r="AE2310">
        <v>9</v>
      </c>
      <c r="AF2310" t="s">
        <v>138</v>
      </c>
      <c r="AG2310">
        <v>0</v>
      </c>
      <c r="AH2310">
        <v>3</v>
      </c>
      <c r="AI2310">
        <v>2</v>
      </c>
      <c r="AJ2310">
        <v>0</v>
      </c>
      <c r="AK2310" t="s">
        <v>784</v>
      </c>
      <c r="AL2310">
        <v>39.070988</v>
      </c>
      <c r="AM2310" t="s">
        <v>785</v>
      </c>
      <c r="AN2310">
        <v>-121.040561</v>
      </c>
      <c r="AO2310">
        <v>25</v>
      </c>
      <c r="AP2310">
        <v>4600</v>
      </c>
      <c r="AQ2310" t="s">
        <v>131</v>
      </c>
      <c r="AR2310">
        <v>18</v>
      </c>
      <c r="AS2310">
        <v>87</v>
      </c>
      <c r="AT2310">
        <v>128</v>
      </c>
      <c r="BB2310" t="str">
        <f t="shared" si="915"/>
        <v>1200</v>
      </c>
      <c r="BC2310">
        <v>1</v>
      </c>
      <c r="BD2310" t="str">
        <f t="shared" si="916"/>
        <v xml:space="preserve">N52156  </v>
      </c>
      <c r="BE2310">
        <v>1</v>
      </c>
      <c r="BG2310">
        <v>0</v>
      </c>
      <c r="BH2310">
        <v>0</v>
      </c>
      <c r="BI2310">
        <v>0</v>
      </c>
      <c r="BJ2310">
        <v>4625</v>
      </c>
      <c r="BK2310">
        <v>25</v>
      </c>
      <c r="BL2310" t="s">
        <v>188</v>
      </c>
      <c r="BM2310">
        <v>1</v>
      </c>
      <c r="BN2310">
        <v>1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 t="shared" si="917"/>
        <v>15:10:56.238</v>
      </c>
      <c r="CF2310">
        <v>237536912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3</v>
      </c>
      <c r="CY2310">
        <v>7</v>
      </c>
      <c r="CZ2310" t="s">
        <v>133</v>
      </c>
      <c r="DA2310">
        <v>276</v>
      </c>
      <c r="DB2310">
        <v>0</v>
      </c>
      <c r="DC2310" t="s">
        <v>402</v>
      </c>
      <c r="DD2310" t="s">
        <v>403</v>
      </c>
      <c r="DG2310">
        <v>1627000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"05/01/2025 15:10:56.483"</f>
        <v>05/01/2025 15:10:56.483</v>
      </c>
      <c r="C2311" t="str">
        <f t="shared" si="912"/>
        <v>FFDFD3C0</v>
      </c>
      <c r="D2311" t="s">
        <v>136</v>
      </c>
      <c r="E2311" t="str">
        <f>"20"</f>
        <v>20</v>
      </c>
      <c r="H2311">
        <v>400</v>
      </c>
      <c r="I2311" t="s">
        <v>137</v>
      </c>
      <c r="J2311" t="s">
        <v>138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R2311" t="s">
        <v>127</v>
      </c>
      <c r="S2311" t="str">
        <f t="shared" si="913"/>
        <v>15:10:56.000</v>
      </c>
      <c r="T2311" t="str">
        <f t="shared" si="913"/>
        <v>15:10:56.000</v>
      </c>
      <c r="U2311" t="str">
        <f t="shared" si="914"/>
        <v>A68FCB</v>
      </c>
      <c r="V2311">
        <v>0</v>
      </c>
      <c r="W2311">
        <v>0</v>
      </c>
      <c r="X2311">
        <v>2</v>
      </c>
      <c r="Y2311">
        <v>0</v>
      </c>
      <c r="AA2311">
        <v>1</v>
      </c>
      <c r="AB2311">
        <v>8</v>
      </c>
      <c r="AC2311">
        <v>3</v>
      </c>
      <c r="AD2311">
        <v>0</v>
      </c>
      <c r="AE2311">
        <v>9</v>
      </c>
      <c r="AF2311" t="s">
        <v>138</v>
      </c>
      <c r="AG2311">
        <v>0</v>
      </c>
      <c r="AH2311">
        <v>3</v>
      </c>
      <c r="AI2311">
        <v>2</v>
      </c>
      <c r="AJ2311">
        <v>0</v>
      </c>
      <c r="AK2311" t="s">
        <v>784</v>
      </c>
      <c r="AL2311">
        <v>39.070988</v>
      </c>
      <c r="AM2311" t="s">
        <v>785</v>
      </c>
      <c r="AN2311">
        <v>-121.040561</v>
      </c>
      <c r="AO2311">
        <v>25</v>
      </c>
      <c r="AP2311">
        <v>4600</v>
      </c>
      <c r="AQ2311" t="s">
        <v>131</v>
      </c>
      <c r="AR2311">
        <v>18</v>
      </c>
      <c r="AS2311">
        <v>87</v>
      </c>
      <c r="AT2311">
        <v>128</v>
      </c>
      <c r="BB2311" t="str">
        <f t="shared" si="915"/>
        <v>1200</v>
      </c>
      <c r="BC2311">
        <v>1</v>
      </c>
      <c r="BD2311" t="str">
        <f t="shared" si="916"/>
        <v xml:space="preserve">N52156  </v>
      </c>
      <c r="BE2311">
        <v>1</v>
      </c>
      <c r="BG2311">
        <v>0</v>
      </c>
      <c r="BH2311">
        <v>0</v>
      </c>
      <c r="BI2311">
        <v>0</v>
      </c>
      <c r="BJ2311">
        <v>4625</v>
      </c>
      <c r="BK2311">
        <v>25</v>
      </c>
      <c r="BL2311" t="s">
        <v>188</v>
      </c>
      <c r="BM2311">
        <v>1</v>
      </c>
      <c r="BN2311">
        <v>1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 t="shared" si="917"/>
        <v>15:10:56.238</v>
      </c>
      <c r="CF2311">
        <v>237536912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3</v>
      </c>
      <c r="CY2311">
        <v>7</v>
      </c>
      <c r="CZ2311" t="s">
        <v>133</v>
      </c>
      <c r="DA2311">
        <v>276</v>
      </c>
      <c r="DB2311">
        <v>0</v>
      </c>
      <c r="DC2311" t="s">
        <v>402</v>
      </c>
      <c r="DD2311" t="s">
        <v>403</v>
      </c>
      <c r="DG2311">
        <v>1627000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"05/01/2025 15:10:57.713"</f>
        <v>05/01/2025 15:10:57.713</v>
      </c>
      <c r="C2312" t="str">
        <f t="shared" si="912"/>
        <v>FFDFD3C0</v>
      </c>
      <c r="D2312" t="s">
        <v>140</v>
      </c>
      <c r="E2312" t="str">
        <f>"13"</f>
        <v>13</v>
      </c>
      <c r="F2312">
        <v>1019</v>
      </c>
      <c r="G2312" t="s">
        <v>141</v>
      </c>
      <c r="J2312" t="s">
        <v>142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R2312" t="s">
        <v>127</v>
      </c>
      <c r="S2312" t="str">
        <f t="shared" ref="S2312:T2317" si="918">"15:10:57.000"</f>
        <v>15:10:57.000</v>
      </c>
      <c r="T2312" t="str">
        <f t="shared" si="918"/>
        <v>15:10:57.000</v>
      </c>
      <c r="U2312" t="str">
        <f t="shared" si="914"/>
        <v>A68FCB</v>
      </c>
      <c r="V2312">
        <v>0</v>
      </c>
      <c r="W2312">
        <v>0</v>
      </c>
      <c r="X2312">
        <v>2</v>
      </c>
      <c r="Y2312">
        <v>0</v>
      </c>
      <c r="AA2312">
        <v>1</v>
      </c>
      <c r="AB2312">
        <v>8</v>
      </c>
      <c r="AC2312">
        <v>3</v>
      </c>
      <c r="AD2312">
        <v>0</v>
      </c>
      <c r="AE2312">
        <v>9</v>
      </c>
      <c r="AF2312" t="s">
        <v>138</v>
      </c>
      <c r="AG2312">
        <v>0</v>
      </c>
      <c r="AH2312">
        <v>3</v>
      </c>
      <c r="AI2312">
        <v>2</v>
      </c>
      <c r="AJ2312">
        <v>0</v>
      </c>
      <c r="AK2312" t="s">
        <v>786</v>
      </c>
      <c r="AL2312">
        <v>39.071395000000003</v>
      </c>
      <c r="AM2312" t="s">
        <v>787</v>
      </c>
      <c r="AN2312">
        <v>-121.040454</v>
      </c>
      <c r="AO2312">
        <v>25</v>
      </c>
      <c r="AP2312">
        <v>4600</v>
      </c>
      <c r="AQ2312" t="s">
        <v>131</v>
      </c>
      <c r="AR2312">
        <v>16</v>
      </c>
      <c r="AS2312">
        <v>87</v>
      </c>
      <c r="AT2312">
        <v>192</v>
      </c>
      <c r="BB2312" t="str">
        <f t="shared" si="915"/>
        <v>1200</v>
      </c>
      <c r="BC2312">
        <v>1</v>
      </c>
      <c r="BD2312" t="str">
        <f t="shared" si="916"/>
        <v xml:space="preserve">N52156  </v>
      </c>
      <c r="BE2312">
        <v>1</v>
      </c>
      <c r="BG2312">
        <v>0</v>
      </c>
      <c r="BH2312">
        <v>0</v>
      </c>
      <c r="BI2312">
        <v>0</v>
      </c>
      <c r="BJ2312">
        <v>4625</v>
      </c>
      <c r="BK2312">
        <v>25</v>
      </c>
      <c r="BL2312" t="s">
        <v>188</v>
      </c>
      <c r="BM2312">
        <v>1</v>
      </c>
      <c r="BN2312">
        <v>1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 t="shared" ref="CE2312:CE2317" si="919">"15:10:57.486"</f>
        <v>15:10:57.486</v>
      </c>
      <c r="CF2312">
        <v>486037676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3</v>
      </c>
      <c r="CY2312">
        <v>7</v>
      </c>
      <c r="CZ2312" t="s">
        <v>133</v>
      </c>
      <c r="DA2312">
        <v>276</v>
      </c>
      <c r="DB2312">
        <v>0</v>
      </c>
      <c r="DC2312" t="s">
        <v>402</v>
      </c>
      <c r="DD2312" t="s">
        <v>403</v>
      </c>
      <c r="DG2312">
        <v>1627006</v>
      </c>
      <c r="DI2312">
        <v>1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"05/01/2025 15:10:57.720"</f>
        <v>05/01/2025 15:10:57.720</v>
      </c>
      <c r="C2313" t="str">
        <f t="shared" si="912"/>
        <v>FFDFD3C0</v>
      </c>
      <c r="D2313" t="s">
        <v>124</v>
      </c>
      <c r="E2313" t="str">
        <f>"06"</f>
        <v>06</v>
      </c>
      <c r="F2313">
        <v>2006</v>
      </c>
      <c r="G2313" t="s">
        <v>125</v>
      </c>
      <c r="J2313" t="s">
        <v>126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R2313" t="s">
        <v>127</v>
      </c>
      <c r="S2313" t="str">
        <f t="shared" si="918"/>
        <v>15:10:57.000</v>
      </c>
      <c r="T2313" t="str">
        <f t="shared" si="918"/>
        <v>15:10:57.000</v>
      </c>
      <c r="U2313" t="str">
        <f t="shared" si="914"/>
        <v>A68FCB</v>
      </c>
      <c r="V2313">
        <v>0</v>
      </c>
      <c r="W2313">
        <v>0</v>
      </c>
      <c r="X2313">
        <v>2</v>
      </c>
      <c r="Y2313">
        <v>0</v>
      </c>
      <c r="AA2313">
        <v>1</v>
      </c>
      <c r="AB2313">
        <v>8</v>
      </c>
      <c r="AC2313">
        <v>3</v>
      </c>
      <c r="AD2313">
        <v>0</v>
      </c>
      <c r="AE2313">
        <v>9</v>
      </c>
      <c r="AF2313" t="s">
        <v>138</v>
      </c>
      <c r="AG2313">
        <v>0</v>
      </c>
      <c r="AH2313">
        <v>3</v>
      </c>
      <c r="AI2313">
        <v>2</v>
      </c>
      <c r="AJ2313">
        <v>0</v>
      </c>
      <c r="AK2313" t="s">
        <v>786</v>
      </c>
      <c r="AL2313">
        <v>39.071395000000003</v>
      </c>
      <c r="AM2313" t="s">
        <v>787</v>
      </c>
      <c r="AN2313">
        <v>-121.040454</v>
      </c>
      <c r="AO2313">
        <v>25</v>
      </c>
      <c r="AP2313">
        <v>4600</v>
      </c>
      <c r="AQ2313" t="s">
        <v>131</v>
      </c>
      <c r="AR2313">
        <v>16</v>
      </c>
      <c r="AS2313">
        <v>87</v>
      </c>
      <c r="AT2313">
        <v>192</v>
      </c>
      <c r="BB2313" t="str">
        <f t="shared" si="915"/>
        <v>1200</v>
      </c>
      <c r="BC2313">
        <v>1</v>
      </c>
      <c r="BD2313" t="str">
        <f t="shared" si="916"/>
        <v xml:space="preserve">N52156  </v>
      </c>
      <c r="BE2313">
        <v>1</v>
      </c>
      <c r="BG2313">
        <v>0</v>
      </c>
      <c r="BH2313">
        <v>0</v>
      </c>
      <c r="BI2313">
        <v>0</v>
      </c>
      <c r="BJ2313">
        <v>4625</v>
      </c>
      <c r="BK2313">
        <v>25</v>
      </c>
      <c r="BL2313" t="s">
        <v>188</v>
      </c>
      <c r="BM2313">
        <v>1</v>
      </c>
      <c r="BN2313">
        <v>1</v>
      </c>
      <c r="BO2313">
        <v>0</v>
      </c>
      <c r="BP2313">
        <v>0</v>
      </c>
      <c r="BS2313">
        <v>0</v>
      </c>
      <c r="BT2313">
        <v>0</v>
      </c>
      <c r="BU2313">
        <v>0</v>
      </c>
      <c r="CE2313" t="str">
        <f t="shared" si="919"/>
        <v>15:10:57.486</v>
      </c>
      <c r="CF2313">
        <v>486037676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3</v>
      </c>
      <c r="CY2313">
        <v>7</v>
      </c>
      <c r="CZ2313" t="s">
        <v>133</v>
      </c>
      <c r="DA2313">
        <v>276</v>
      </c>
      <c r="DB2313">
        <v>0</v>
      </c>
      <c r="DC2313" t="s">
        <v>402</v>
      </c>
      <c r="DD2313" t="s">
        <v>403</v>
      </c>
      <c r="DG2313">
        <v>1627006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"05/01/2025 15:10:57.728"</f>
        <v>05/01/2025 15:10:57.728</v>
      </c>
      <c r="C2314" t="str">
        <f t="shared" si="912"/>
        <v>FFDFD3C0</v>
      </c>
      <c r="D2314" t="s">
        <v>145</v>
      </c>
      <c r="E2314" t="str">
        <f>"05"</f>
        <v>05</v>
      </c>
      <c r="H2314">
        <v>47</v>
      </c>
      <c r="I2314" t="s">
        <v>146</v>
      </c>
      <c r="J2314" t="s">
        <v>138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R2314" t="s">
        <v>127</v>
      </c>
      <c r="S2314" t="str">
        <f t="shared" si="918"/>
        <v>15:10:57.000</v>
      </c>
      <c r="T2314" t="str">
        <f t="shared" si="918"/>
        <v>15:10:57.000</v>
      </c>
      <c r="U2314" t="str">
        <f t="shared" si="914"/>
        <v>A68FCB</v>
      </c>
      <c r="V2314">
        <v>0</v>
      </c>
      <c r="W2314">
        <v>0</v>
      </c>
      <c r="X2314">
        <v>2</v>
      </c>
      <c r="Y2314">
        <v>0</v>
      </c>
      <c r="AA2314">
        <v>1</v>
      </c>
      <c r="AB2314">
        <v>8</v>
      </c>
      <c r="AC2314">
        <v>3</v>
      </c>
      <c r="AD2314">
        <v>0</v>
      </c>
      <c r="AE2314">
        <v>9</v>
      </c>
      <c r="AF2314" t="s">
        <v>138</v>
      </c>
      <c r="AG2314">
        <v>0</v>
      </c>
      <c r="AH2314">
        <v>3</v>
      </c>
      <c r="AI2314">
        <v>2</v>
      </c>
      <c r="AJ2314">
        <v>0</v>
      </c>
      <c r="AK2314" t="s">
        <v>786</v>
      </c>
      <c r="AL2314">
        <v>39.071395000000003</v>
      </c>
      <c r="AM2314" t="s">
        <v>787</v>
      </c>
      <c r="AN2314">
        <v>-121.040454</v>
      </c>
      <c r="AO2314">
        <v>25</v>
      </c>
      <c r="AP2314">
        <v>4600</v>
      </c>
      <c r="AQ2314" t="s">
        <v>131</v>
      </c>
      <c r="AR2314">
        <v>16</v>
      </c>
      <c r="AS2314">
        <v>87</v>
      </c>
      <c r="AT2314">
        <v>192</v>
      </c>
      <c r="BB2314" t="str">
        <f t="shared" si="915"/>
        <v>1200</v>
      </c>
      <c r="BC2314">
        <v>1</v>
      </c>
      <c r="BD2314" t="str">
        <f t="shared" si="916"/>
        <v xml:space="preserve">N52156  </v>
      </c>
      <c r="BE2314">
        <v>1</v>
      </c>
      <c r="BG2314">
        <v>0</v>
      </c>
      <c r="BH2314">
        <v>0</v>
      </c>
      <c r="BI2314">
        <v>0</v>
      </c>
      <c r="BJ2314">
        <v>4625</v>
      </c>
      <c r="BK2314">
        <v>25</v>
      </c>
      <c r="BL2314" t="s">
        <v>188</v>
      </c>
      <c r="BM2314">
        <v>1</v>
      </c>
      <c r="BN2314">
        <v>1</v>
      </c>
      <c r="BO2314">
        <v>0</v>
      </c>
      <c r="BP2314">
        <v>0</v>
      </c>
      <c r="BS2314">
        <v>0</v>
      </c>
      <c r="BT2314">
        <v>0</v>
      </c>
      <c r="BU2314">
        <v>0</v>
      </c>
      <c r="CE2314" t="str">
        <f t="shared" si="919"/>
        <v>15:10:57.486</v>
      </c>
      <c r="CF2314">
        <v>486037676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3</v>
      </c>
      <c r="CY2314">
        <v>7</v>
      </c>
      <c r="CZ2314" t="s">
        <v>133</v>
      </c>
      <c r="DA2314">
        <v>276</v>
      </c>
      <c r="DB2314">
        <v>0</v>
      </c>
      <c r="DC2314" t="s">
        <v>402</v>
      </c>
      <c r="DD2314" t="s">
        <v>403</v>
      </c>
      <c r="DG2314">
        <v>1627006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"05/01/2025 15:10:57.728"</f>
        <v>05/01/2025 15:10:57.728</v>
      </c>
      <c r="C2315" t="str">
        <f t="shared" si="912"/>
        <v>FFDFD3C0</v>
      </c>
      <c r="D2315" t="s">
        <v>145</v>
      </c>
      <c r="E2315" t="str">
        <f>"09"</f>
        <v>09</v>
      </c>
      <c r="H2315">
        <v>51</v>
      </c>
      <c r="I2315" t="s">
        <v>147</v>
      </c>
      <c r="J2315" t="s">
        <v>138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R2315" t="s">
        <v>127</v>
      </c>
      <c r="S2315" t="str">
        <f t="shared" si="918"/>
        <v>15:10:57.000</v>
      </c>
      <c r="T2315" t="str">
        <f t="shared" si="918"/>
        <v>15:10:57.000</v>
      </c>
      <c r="U2315" t="str">
        <f t="shared" si="914"/>
        <v>A68FCB</v>
      </c>
      <c r="V2315">
        <v>0</v>
      </c>
      <c r="W2315">
        <v>0</v>
      </c>
      <c r="X2315">
        <v>2</v>
      </c>
      <c r="Y2315">
        <v>0</v>
      </c>
      <c r="AA2315">
        <v>1</v>
      </c>
      <c r="AB2315">
        <v>8</v>
      </c>
      <c r="AC2315">
        <v>3</v>
      </c>
      <c r="AD2315">
        <v>0</v>
      </c>
      <c r="AE2315">
        <v>9</v>
      </c>
      <c r="AF2315" t="s">
        <v>138</v>
      </c>
      <c r="AG2315">
        <v>0</v>
      </c>
      <c r="AH2315">
        <v>3</v>
      </c>
      <c r="AI2315">
        <v>2</v>
      </c>
      <c r="AJ2315">
        <v>0</v>
      </c>
      <c r="AK2315" t="s">
        <v>786</v>
      </c>
      <c r="AL2315">
        <v>39.071395000000003</v>
      </c>
      <c r="AM2315" t="s">
        <v>787</v>
      </c>
      <c r="AN2315">
        <v>-121.040454</v>
      </c>
      <c r="AO2315">
        <v>25</v>
      </c>
      <c r="AP2315">
        <v>4600</v>
      </c>
      <c r="AQ2315" t="s">
        <v>131</v>
      </c>
      <c r="AR2315">
        <v>16</v>
      </c>
      <c r="AS2315">
        <v>87</v>
      </c>
      <c r="AT2315">
        <v>192</v>
      </c>
      <c r="BB2315" t="str">
        <f t="shared" si="915"/>
        <v>1200</v>
      </c>
      <c r="BC2315">
        <v>1</v>
      </c>
      <c r="BD2315" t="str">
        <f t="shared" si="916"/>
        <v xml:space="preserve">N52156  </v>
      </c>
      <c r="BE2315">
        <v>1</v>
      </c>
      <c r="BG2315">
        <v>0</v>
      </c>
      <c r="BH2315">
        <v>0</v>
      </c>
      <c r="BI2315">
        <v>0</v>
      </c>
      <c r="BJ2315">
        <v>4625</v>
      </c>
      <c r="BK2315">
        <v>25</v>
      </c>
      <c r="BL2315" t="s">
        <v>188</v>
      </c>
      <c r="BM2315">
        <v>1</v>
      </c>
      <c r="BN2315">
        <v>1</v>
      </c>
      <c r="BO2315">
        <v>0</v>
      </c>
      <c r="BP2315">
        <v>0</v>
      </c>
      <c r="BS2315">
        <v>0</v>
      </c>
      <c r="BT2315">
        <v>0</v>
      </c>
      <c r="BU2315">
        <v>0</v>
      </c>
      <c r="CE2315" t="str">
        <f t="shared" si="919"/>
        <v>15:10:57.486</v>
      </c>
      <c r="CF2315">
        <v>486037676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3</v>
      </c>
      <c r="CY2315">
        <v>7</v>
      </c>
      <c r="CZ2315" t="s">
        <v>133</v>
      </c>
      <c r="DA2315">
        <v>276</v>
      </c>
      <c r="DB2315">
        <v>0</v>
      </c>
      <c r="DC2315" t="s">
        <v>402</v>
      </c>
      <c r="DD2315" t="s">
        <v>403</v>
      </c>
      <c r="DG2315">
        <v>1627006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"05/01/2025 15:10:57.736"</f>
        <v>05/01/2025 15:10:57.736</v>
      </c>
      <c r="C2316" t="str">
        <f t="shared" si="912"/>
        <v>FFDFD3C0</v>
      </c>
      <c r="D2316" t="s">
        <v>136</v>
      </c>
      <c r="E2316" t="str">
        <f>"20"</f>
        <v>20</v>
      </c>
      <c r="H2316">
        <v>400</v>
      </c>
      <c r="I2316" t="s">
        <v>137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R2316" t="s">
        <v>127</v>
      </c>
      <c r="S2316" t="str">
        <f t="shared" si="918"/>
        <v>15:10:57.000</v>
      </c>
      <c r="T2316" t="str">
        <f t="shared" si="918"/>
        <v>15:10:57.000</v>
      </c>
      <c r="U2316" t="str">
        <f t="shared" si="914"/>
        <v>A68FCB</v>
      </c>
      <c r="V2316">
        <v>0</v>
      </c>
      <c r="W2316">
        <v>0</v>
      </c>
      <c r="X2316">
        <v>2</v>
      </c>
      <c r="Y2316">
        <v>0</v>
      </c>
      <c r="AA2316">
        <v>1</v>
      </c>
      <c r="AB2316">
        <v>8</v>
      </c>
      <c r="AC2316">
        <v>3</v>
      </c>
      <c r="AD2316">
        <v>0</v>
      </c>
      <c r="AE2316">
        <v>9</v>
      </c>
      <c r="AF2316" t="s">
        <v>138</v>
      </c>
      <c r="AG2316">
        <v>0</v>
      </c>
      <c r="AH2316">
        <v>3</v>
      </c>
      <c r="AI2316">
        <v>2</v>
      </c>
      <c r="AJ2316">
        <v>0</v>
      </c>
      <c r="AK2316" t="s">
        <v>786</v>
      </c>
      <c r="AL2316">
        <v>39.071395000000003</v>
      </c>
      <c r="AM2316" t="s">
        <v>787</v>
      </c>
      <c r="AN2316">
        <v>-121.040454</v>
      </c>
      <c r="AO2316">
        <v>25</v>
      </c>
      <c r="AP2316">
        <v>4600</v>
      </c>
      <c r="AQ2316" t="s">
        <v>131</v>
      </c>
      <c r="AR2316">
        <v>16</v>
      </c>
      <c r="AS2316">
        <v>87</v>
      </c>
      <c r="AT2316">
        <v>192</v>
      </c>
      <c r="BB2316" t="str">
        <f t="shared" si="915"/>
        <v>1200</v>
      </c>
      <c r="BC2316">
        <v>1</v>
      </c>
      <c r="BD2316" t="str">
        <f t="shared" si="916"/>
        <v xml:space="preserve">N52156  </v>
      </c>
      <c r="BE2316">
        <v>1</v>
      </c>
      <c r="BG2316">
        <v>0</v>
      </c>
      <c r="BH2316">
        <v>0</v>
      </c>
      <c r="BI2316">
        <v>0</v>
      </c>
      <c r="BJ2316">
        <v>4625</v>
      </c>
      <c r="BK2316">
        <v>25</v>
      </c>
      <c r="BL2316" t="s">
        <v>188</v>
      </c>
      <c r="BM2316">
        <v>1</v>
      </c>
      <c r="BN2316">
        <v>1</v>
      </c>
      <c r="BO2316">
        <v>0</v>
      </c>
      <c r="BP2316">
        <v>0</v>
      </c>
      <c r="BS2316">
        <v>0</v>
      </c>
      <c r="BT2316">
        <v>0</v>
      </c>
      <c r="BU2316">
        <v>0</v>
      </c>
      <c r="CE2316" t="str">
        <f t="shared" si="919"/>
        <v>15:10:57.486</v>
      </c>
      <c r="CF2316">
        <v>486037676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3</v>
      </c>
      <c r="CY2316">
        <v>7</v>
      </c>
      <c r="CZ2316" t="s">
        <v>133</v>
      </c>
      <c r="DA2316">
        <v>276</v>
      </c>
      <c r="DB2316">
        <v>0</v>
      </c>
      <c r="DC2316" t="s">
        <v>402</v>
      </c>
      <c r="DD2316" t="s">
        <v>403</v>
      </c>
      <c r="DG2316">
        <v>1627006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"05/01/2025 15:10:57.742"</f>
        <v>05/01/2025 15:10:57.742</v>
      </c>
      <c r="C2317" t="str">
        <f t="shared" si="912"/>
        <v>FFDFD3C0</v>
      </c>
      <c r="D2317" t="s">
        <v>143</v>
      </c>
      <c r="E2317" t="str">
        <f>"05"</f>
        <v>05</v>
      </c>
      <c r="H2317">
        <v>172</v>
      </c>
      <c r="I2317" t="s">
        <v>141</v>
      </c>
      <c r="J2317" t="s">
        <v>144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R2317" t="s">
        <v>127</v>
      </c>
      <c r="S2317" t="str">
        <f t="shared" si="918"/>
        <v>15:10:57.000</v>
      </c>
      <c r="T2317" t="str">
        <f t="shared" si="918"/>
        <v>15:10:57.000</v>
      </c>
      <c r="U2317" t="str">
        <f t="shared" si="914"/>
        <v>A68FCB</v>
      </c>
      <c r="V2317">
        <v>0</v>
      </c>
      <c r="W2317">
        <v>0</v>
      </c>
      <c r="X2317">
        <v>2</v>
      </c>
      <c r="Y2317">
        <v>0</v>
      </c>
      <c r="AA2317">
        <v>1</v>
      </c>
      <c r="AB2317">
        <v>8</v>
      </c>
      <c r="AC2317">
        <v>3</v>
      </c>
      <c r="AD2317">
        <v>0</v>
      </c>
      <c r="AE2317">
        <v>9</v>
      </c>
      <c r="AF2317" t="s">
        <v>138</v>
      </c>
      <c r="AG2317">
        <v>0</v>
      </c>
      <c r="AH2317">
        <v>3</v>
      </c>
      <c r="AI2317">
        <v>2</v>
      </c>
      <c r="AJ2317">
        <v>0</v>
      </c>
      <c r="AK2317" t="s">
        <v>786</v>
      </c>
      <c r="AL2317">
        <v>39.071395000000003</v>
      </c>
      <c r="AM2317" t="s">
        <v>787</v>
      </c>
      <c r="AN2317">
        <v>-121.040454</v>
      </c>
      <c r="AO2317">
        <v>25</v>
      </c>
      <c r="AP2317">
        <v>4600</v>
      </c>
      <c r="AQ2317" t="s">
        <v>131</v>
      </c>
      <c r="AR2317">
        <v>16</v>
      </c>
      <c r="AS2317">
        <v>87</v>
      </c>
      <c r="AT2317">
        <v>192</v>
      </c>
      <c r="BB2317" t="str">
        <f t="shared" si="915"/>
        <v>1200</v>
      </c>
      <c r="BC2317">
        <v>1</v>
      </c>
      <c r="BD2317" t="str">
        <f t="shared" si="916"/>
        <v xml:space="preserve">N52156  </v>
      </c>
      <c r="BE2317">
        <v>1</v>
      </c>
      <c r="BG2317">
        <v>0</v>
      </c>
      <c r="BH2317">
        <v>0</v>
      </c>
      <c r="BI2317">
        <v>0</v>
      </c>
      <c r="BJ2317">
        <v>4625</v>
      </c>
      <c r="BK2317">
        <v>25</v>
      </c>
      <c r="BL2317" t="s">
        <v>188</v>
      </c>
      <c r="BM2317">
        <v>1</v>
      </c>
      <c r="BN2317">
        <v>1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 t="shared" si="919"/>
        <v>15:10:57.486</v>
      </c>
      <c r="CF2317">
        <v>486037676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3</v>
      </c>
      <c r="CY2317">
        <v>7</v>
      </c>
      <c r="CZ2317" t="s">
        <v>133</v>
      </c>
      <c r="DA2317">
        <v>276</v>
      </c>
      <c r="DB2317">
        <v>0</v>
      </c>
      <c r="DC2317" t="s">
        <v>402</v>
      </c>
      <c r="DD2317" t="s">
        <v>403</v>
      </c>
      <c r="DG2317">
        <v>1627006</v>
      </c>
      <c r="DI2317">
        <v>1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"05/01/2025 15:10:59.072"</f>
        <v>05/01/2025 15:10:59.072</v>
      </c>
      <c r="C2318" t="str">
        <f t="shared" si="912"/>
        <v>FFDFD3C0</v>
      </c>
      <c r="D2318" t="s">
        <v>124</v>
      </c>
      <c r="E2318" t="str">
        <f>"06"</f>
        <v>06</v>
      </c>
      <c r="F2318">
        <v>2006</v>
      </c>
      <c r="G2318" t="s">
        <v>125</v>
      </c>
      <c r="J2318" t="s">
        <v>126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R2318" t="s">
        <v>127</v>
      </c>
      <c r="S2318" t="str">
        <f t="shared" ref="S2318:T2323" si="920">"15:10:58.000"</f>
        <v>15:10:58.000</v>
      </c>
      <c r="T2318" t="str">
        <f t="shared" si="920"/>
        <v>15:10:58.000</v>
      </c>
      <c r="U2318" t="str">
        <f t="shared" si="914"/>
        <v>A68FCB</v>
      </c>
      <c r="V2318">
        <v>0</v>
      </c>
      <c r="W2318">
        <v>0</v>
      </c>
      <c r="X2318">
        <v>2</v>
      </c>
      <c r="Y2318">
        <v>0</v>
      </c>
      <c r="AA2318">
        <v>1</v>
      </c>
      <c r="AB2318">
        <v>8</v>
      </c>
      <c r="AC2318">
        <v>3</v>
      </c>
      <c r="AD2318">
        <v>0</v>
      </c>
      <c r="AE2318">
        <v>9</v>
      </c>
      <c r="AF2318" t="s">
        <v>138</v>
      </c>
      <c r="AG2318">
        <v>0</v>
      </c>
      <c r="AH2318">
        <v>3</v>
      </c>
      <c r="AI2318">
        <v>2</v>
      </c>
      <c r="AJ2318">
        <v>0</v>
      </c>
      <c r="AK2318" t="s">
        <v>788</v>
      </c>
      <c r="AL2318">
        <v>39.071781999999999</v>
      </c>
      <c r="AM2318" t="s">
        <v>789</v>
      </c>
      <c r="AN2318">
        <v>-121.040368</v>
      </c>
      <c r="AO2318">
        <v>25</v>
      </c>
      <c r="AP2318">
        <v>4600</v>
      </c>
      <c r="AQ2318" t="s">
        <v>131</v>
      </c>
      <c r="AR2318">
        <v>14</v>
      </c>
      <c r="AS2318">
        <v>87</v>
      </c>
      <c r="AT2318">
        <v>192</v>
      </c>
      <c r="BB2318" t="str">
        <f t="shared" si="915"/>
        <v>1200</v>
      </c>
      <c r="BC2318">
        <v>1</v>
      </c>
      <c r="BD2318" t="str">
        <f t="shared" si="916"/>
        <v xml:space="preserve">N52156  </v>
      </c>
      <c r="BE2318">
        <v>1</v>
      </c>
      <c r="BG2318">
        <v>0</v>
      </c>
      <c r="BH2318">
        <v>0</v>
      </c>
      <c r="BI2318">
        <v>0</v>
      </c>
      <c r="BJ2318">
        <v>4625</v>
      </c>
      <c r="BK2318">
        <v>25</v>
      </c>
      <c r="BL2318" t="s">
        <v>188</v>
      </c>
      <c r="BM2318">
        <v>1</v>
      </c>
      <c r="BN2318">
        <v>1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 t="shared" ref="CE2318:CE2323" si="921">"15:10:58.849"</f>
        <v>15:10:58.849</v>
      </c>
      <c r="CF2318">
        <v>849219470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3</v>
      </c>
      <c r="CY2318">
        <v>7</v>
      </c>
      <c r="CZ2318" t="s">
        <v>133</v>
      </c>
      <c r="DA2318">
        <v>275</v>
      </c>
      <c r="DB2318">
        <v>0</v>
      </c>
      <c r="DC2318" t="s">
        <v>134</v>
      </c>
      <c r="DD2318" t="s">
        <v>135</v>
      </c>
      <c r="DG2318">
        <v>3321606</v>
      </c>
      <c r="DI2318">
        <v>1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>"05/01/2025 15:10:59.065"</f>
        <v>05/01/2025 15:10:59.065</v>
      </c>
      <c r="C2319" t="str">
        <f t="shared" si="912"/>
        <v>FFDFD3C0</v>
      </c>
      <c r="D2319" t="s">
        <v>140</v>
      </c>
      <c r="E2319" t="str">
        <f>"13"</f>
        <v>13</v>
      </c>
      <c r="F2319">
        <v>1019</v>
      </c>
      <c r="G2319" t="s">
        <v>141</v>
      </c>
      <c r="J2319" t="s">
        <v>142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R2319" t="s">
        <v>127</v>
      </c>
      <c r="S2319" t="str">
        <f t="shared" si="920"/>
        <v>15:10:58.000</v>
      </c>
      <c r="T2319" t="str">
        <f t="shared" si="920"/>
        <v>15:10:58.000</v>
      </c>
      <c r="U2319" t="str">
        <f t="shared" si="914"/>
        <v>A68FCB</v>
      </c>
      <c r="V2319">
        <v>0</v>
      </c>
      <c r="W2319">
        <v>0</v>
      </c>
      <c r="X2319">
        <v>2</v>
      </c>
      <c r="Y2319">
        <v>0</v>
      </c>
      <c r="AA2319">
        <v>1</v>
      </c>
      <c r="AB2319">
        <v>8</v>
      </c>
      <c r="AC2319">
        <v>3</v>
      </c>
      <c r="AD2319">
        <v>0</v>
      </c>
      <c r="AE2319">
        <v>9</v>
      </c>
      <c r="AF2319" t="s">
        <v>138</v>
      </c>
      <c r="AG2319">
        <v>0</v>
      </c>
      <c r="AH2319">
        <v>3</v>
      </c>
      <c r="AI2319">
        <v>2</v>
      </c>
      <c r="AJ2319">
        <v>0</v>
      </c>
      <c r="AK2319" t="s">
        <v>788</v>
      </c>
      <c r="AL2319">
        <v>39.071781999999999</v>
      </c>
      <c r="AM2319" t="s">
        <v>789</v>
      </c>
      <c r="AN2319">
        <v>-121.040368</v>
      </c>
      <c r="AO2319">
        <v>25</v>
      </c>
      <c r="AP2319">
        <v>4600</v>
      </c>
      <c r="AQ2319" t="s">
        <v>131</v>
      </c>
      <c r="AR2319">
        <v>14</v>
      </c>
      <c r="AS2319">
        <v>87</v>
      </c>
      <c r="AT2319">
        <v>192</v>
      </c>
      <c r="BB2319" t="str">
        <f t="shared" si="915"/>
        <v>1200</v>
      </c>
      <c r="BC2319">
        <v>1</v>
      </c>
      <c r="BD2319" t="str">
        <f t="shared" si="916"/>
        <v xml:space="preserve">N52156  </v>
      </c>
      <c r="BE2319">
        <v>1</v>
      </c>
      <c r="BG2319">
        <v>0</v>
      </c>
      <c r="BH2319">
        <v>0</v>
      </c>
      <c r="BI2319">
        <v>0</v>
      </c>
      <c r="BJ2319">
        <v>4625</v>
      </c>
      <c r="BK2319">
        <v>25</v>
      </c>
      <c r="BL2319" t="s">
        <v>188</v>
      </c>
      <c r="BM2319">
        <v>1</v>
      </c>
      <c r="BN2319">
        <v>1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 t="shared" si="921"/>
        <v>15:10:58.849</v>
      </c>
      <c r="CF2319">
        <v>849219470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3</v>
      </c>
      <c r="CY2319">
        <v>7</v>
      </c>
      <c r="CZ2319" t="s">
        <v>133</v>
      </c>
      <c r="DA2319">
        <v>275</v>
      </c>
      <c r="DB2319">
        <v>0</v>
      </c>
      <c r="DC2319" t="s">
        <v>134</v>
      </c>
      <c r="DD2319" t="s">
        <v>135</v>
      </c>
      <c r="DG2319">
        <v>3321606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>"05/01/2025 15:10:59.080"</f>
        <v>05/01/2025 15:10:59.080</v>
      </c>
      <c r="C2320" t="str">
        <f t="shared" si="912"/>
        <v>FFDFD3C0</v>
      </c>
      <c r="D2320" t="s">
        <v>145</v>
      </c>
      <c r="E2320" t="str">
        <f>"09"</f>
        <v>09</v>
      </c>
      <c r="H2320">
        <v>51</v>
      </c>
      <c r="I2320" t="s">
        <v>147</v>
      </c>
      <c r="J2320" t="s">
        <v>138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R2320" t="s">
        <v>127</v>
      </c>
      <c r="S2320" t="str">
        <f t="shared" si="920"/>
        <v>15:10:58.000</v>
      </c>
      <c r="T2320" t="str">
        <f t="shared" si="920"/>
        <v>15:10:58.000</v>
      </c>
      <c r="U2320" t="str">
        <f t="shared" si="914"/>
        <v>A68FCB</v>
      </c>
      <c r="V2320">
        <v>0</v>
      </c>
      <c r="W2320">
        <v>0</v>
      </c>
      <c r="X2320">
        <v>2</v>
      </c>
      <c r="Y2320">
        <v>0</v>
      </c>
      <c r="AA2320">
        <v>1</v>
      </c>
      <c r="AB2320">
        <v>8</v>
      </c>
      <c r="AC2320">
        <v>3</v>
      </c>
      <c r="AD2320">
        <v>0</v>
      </c>
      <c r="AE2320">
        <v>9</v>
      </c>
      <c r="AF2320" t="s">
        <v>138</v>
      </c>
      <c r="AG2320">
        <v>0</v>
      </c>
      <c r="AH2320">
        <v>3</v>
      </c>
      <c r="AI2320">
        <v>2</v>
      </c>
      <c r="AJ2320">
        <v>0</v>
      </c>
      <c r="AK2320" t="s">
        <v>788</v>
      </c>
      <c r="AL2320">
        <v>39.071781999999999</v>
      </c>
      <c r="AM2320" t="s">
        <v>789</v>
      </c>
      <c r="AN2320">
        <v>-121.040368</v>
      </c>
      <c r="AO2320">
        <v>25</v>
      </c>
      <c r="AP2320">
        <v>4600</v>
      </c>
      <c r="AQ2320" t="s">
        <v>131</v>
      </c>
      <c r="AR2320">
        <v>14</v>
      </c>
      <c r="AS2320">
        <v>87</v>
      </c>
      <c r="AT2320">
        <v>192</v>
      </c>
      <c r="BB2320" t="str">
        <f t="shared" si="915"/>
        <v>1200</v>
      </c>
      <c r="BC2320">
        <v>1</v>
      </c>
      <c r="BD2320" t="str">
        <f t="shared" si="916"/>
        <v xml:space="preserve">N52156  </v>
      </c>
      <c r="BE2320">
        <v>1</v>
      </c>
      <c r="BG2320">
        <v>0</v>
      </c>
      <c r="BH2320">
        <v>0</v>
      </c>
      <c r="BI2320">
        <v>0</v>
      </c>
      <c r="BJ2320">
        <v>4625</v>
      </c>
      <c r="BK2320">
        <v>25</v>
      </c>
      <c r="BL2320" t="s">
        <v>188</v>
      </c>
      <c r="BM2320">
        <v>1</v>
      </c>
      <c r="BN2320">
        <v>1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 t="shared" si="921"/>
        <v>15:10:58.849</v>
      </c>
      <c r="CF2320">
        <v>849219470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3</v>
      </c>
      <c r="CY2320">
        <v>7</v>
      </c>
      <c r="CZ2320" t="s">
        <v>133</v>
      </c>
      <c r="DA2320">
        <v>275</v>
      </c>
      <c r="DB2320">
        <v>0</v>
      </c>
      <c r="DC2320" t="s">
        <v>134</v>
      </c>
      <c r="DD2320" t="s">
        <v>135</v>
      </c>
      <c r="DG2320">
        <v>3321606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>"05/01/2025 15:10:59.088"</f>
        <v>05/01/2025 15:10:59.088</v>
      </c>
      <c r="C2321" t="str">
        <f t="shared" si="912"/>
        <v>FFDFD3C0</v>
      </c>
      <c r="D2321" t="s">
        <v>136</v>
      </c>
      <c r="E2321" t="str">
        <f>"20"</f>
        <v>20</v>
      </c>
      <c r="H2321">
        <v>400</v>
      </c>
      <c r="I2321" t="s">
        <v>137</v>
      </c>
      <c r="J2321" t="s">
        <v>138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R2321" t="s">
        <v>127</v>
      </c>
      <c r="S2321" t="str">
        <f t="shared" si="920"/>
        <v>15:10:58.000</v>
      </c>
      <c r="T2321" t="str">
        <f t="shared" si="920"/>
        <v>15:10:58.000</v>
      </c>
      <c r="U2321" t="str">
        <f t="shared" si="914"/>
        <v>A68FCB</v>
      </c>
      <c r="V2321">
        <v>0</v>
      </c>
      <c r="W2321">
        <v>0</v>
      </c>
      <c r="X2321">
        <v>2</v>
      </c>
      <c r="Y2321">
        <v>0</v>
      </c>
      <c r="AA2321">
        <v>1</v>
      </c>
      <c r="AB2321">
        <v>8</v>
      </c>
      <c r="AC2321">
        <v>3</v>
      </c>
      <c r="AD2321">
        <v>0</v>
      </c>
      <c r="AE2321">
        <v>9</v>
      </c>
      <c r="AF2321" t="s">
        <v>138</v>
      </c>
      <c r="AG2321">
        <v>0</v>
      </c>
      <c r="AH2321">
        <v>3</v>
      </c>
      <c r="AI2321">
        <v>2</v>
      </c>
      <c r="AJ2321">
        <v>0</v>
      </c>
      <c r="AK2321" t="s">
        <v>788</v>
      </c>
      <c r="AL2321">
        <v>39.071781999999999</v>
      </c>
      <c r="AM2321" t="s">
        <v>789</v>
      </c>
      <c r="AN2321">
        <v>-121.040368</v>
      </c>
      <c r="AO2321">
        <v>25</v>
      </c>
      <c r="AP2321">
        <v>4600</v>
      </c>
      <c r="AQ2321" t="s">
        <v>131</v>
      </c>
      <c r="AR2321">
        <v>14</v>
      </c>
      <c r="AS2321">
        <v>87</v>
      </c>
      <c r="AT2321">
        <v>192</v>
      </c>
      <c r="BB2321" t="str">
        <f t="shared" si="915"/>
        <v>1200</v>
      </c>
      <c r="BC2321">
        <v>1</v>
      </c>
      <c r="BD2321" t="str">
        <f t="shared" si="916"/>
        <v xml:space="preserve">N52156  </v>
      </c>
      <c r="BE2321">
        <v>1</v>
      </c>
      <c r="BG2321">
        <v>0</v>
      </c>
      <c r="BH2321">
        <v>0</v>
      </c>
      <c r="BI2321">
        <v>0</v>
      </c>
      <c r="BJ2321">
        <v>4625</v>
      </c>
      <c r="BK2321">
        <v>25</v>
      </c>
      <c r="BL2321" t="s">
        <v>188</v>
      </c>
      <c r="BM2321">
        <v>1</v>
      </c>
      <c r="BN2321">
        <v>1</v>
      </c>
      <c r="BO2321">
        <v>0</v>
      </c>
      <c r="BP2321">
        <v>0</v>
      </c>
      <c r="BS2321">
        <v>0</v>
      </c>
      <c r="BT2321">
        <v>0</v>
      </c>
      <c r="BU2321">
        <v>0</v>
      </c>
      <c r="CE2321" t="str">
        <f t="shared" si="921"/>
        <v>15:10:58.849</v>
      </c>
      <c r="CF2321">
        <v>849219470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3</v>
      </c>
      <c r="CY2321">
        <v>7</v>
      </c>
      <c r="CZ2321" t="s">
        <v>133</v>
      </c>
      <c r="DA2321">
        <v>275</v>
      </c>
      <c r="DB2321">
        <v>0</v>
      </c>
      <c r="DC2321" t="s">
        <v>134</v>
      </c>
      <c r="DD2321" t="s">
        <v>135</v>
      </c>
      <c r="DG2321">
        <v>3321606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>"05/01/2025 15:10:59.080"</f>
        <v>05/01/2025 15:10:59.080</v>
      </c>
      <c r="C2322" t="str">
        <f t="shared" si="912"/>
        <v>FFDFD3C0</v>
      </c>
      <c r="D2322" t="s">
        <v>145</v>
      </c>
      <c r="E2322" t="str">
        <f>"05"</f>
        <v>05</v>
      </c>
      <c r="H2322">
        <v>47</v>
      </c>
      <c r="I2322" t="s">
        <v>146</v>
      </c>
      <c r="J2322" t="s">
        <v>138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R2322" t="s">
        <v>127</v>
      </c>
      <c r="S2322" t="str">
        <f t="shared" si="920"/>
        <v>15:10:58.000</v>
      </c>
      <c r="T2322" t="str">
        <f t="shared" si="920"/>
        <v>15:10:58.000</v>
      </c>
      <c r="U2322" t="str">
        <f t="shared" si="914"/>
        <v>A68FCB</v>
      </c>
      <c r="V2322">
        <v>0</v>
      </c>
      <c r="W2322">
        <v>0</v>
      </c>
      <c r="X2322">
        <v>2</v>
      </c>
      <c r="Y2322">
        <v>0</v>
      </c>
      <c r="AA2322">
        <v>1</v>
      </c>
      <c r="AB2322">
        <v>8</v>
      </c>
      <c r="AC2322">
        <v>3</v>
      </c>
      <c r="AD2322">
        <v>0</v>
      </c>
      <c r="AE2322">
        <v>9</v>
      </c>
      <c r="AF2322" t="s">
        <v>138</v>
      </c>
      <c r="AG2322">
        <v>0</v>
      </c>
      <c r="AH2322">
        <v>3</v>
      </c>
      <c r="AI2322">
        <v>2</v>
      </c>
      <c r="AJ2322">
        <v>0</v>
      </c>
      <c r="AK2322" t="s">
        <v>788</v>
      </c>
      <c r="AL2322">
        <v>39.071781999999999</v>
      </c>
      <c r="AM2322" t="s">
        <v>789</v>
      </c>
      <c r="AN2322">
        <v>-121.040368</v>
      </c>
      <c r="AO2322">
        <v>25</v>
      </c>
      <c r="AP2322">
        <v>4600</v>
      </c>
      <c r="AQ2322" t="s">
        <v>131</v>
      </c>
      <c r="AR2322">
        <v>14</v>
      </c>
      <c r="AS2322">
        <v>87</v>
      </c>
      <c r="AT2322">
        <v>192</v>
      </c>
      <c r="BB2322" t="str">
        <f t="shared" si="915"/>
        <v>1200</v>
      </c>
      <c r="BC2322">
        <v>1</v>
      </c>
      <c r="BD2322" t="str">
        <f t="shared" si="916"/>
        <v xml:space="preserve">N52156  </v>
      </c>
      <c r="BE2322">
        <v>1</v>
      </c>
      <c r="BG2322">
        <v>0</v>
      </c>
      <c r="BH2322">
        <v>0</v>
      </c>
      <c r="BI2322">
        <v>0</v>
      </c>
      <c r="BJ2322">
        <v>4625</v>
      </c>
      <c r="BK2322">
        <v>25</v>
      </c>
      <c r="BL2322" t="s">
        <v>188</v>
      </c>
      <c r="BM2322">
        <v>1</v>
      </c>
      <c r="BN2322">
        <v>1</v>
      </c>
      <c r="BO2322">
        <v>0</v>
      </c>
      <c r="BP2322">
        <v>0</v>
      </c>
      <c r="BS2322">
        <v>0</v>
      </c>
      <c r="BT2322">
        <v>0</v>
      </c>
      <c r="BU2322">
        <v>0</v>
      </c>
      <c r="CE2322" t="str">
        <f t="shared" si="921"/>
        <v>15:10:58.849</v>
      </c>
      <c r="CF2322">
        <v>849219470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3</v>
      </c>
      <c r="CY2322">
        <v>7</v>
      </c>
      <c r="CZ2322" t="s">
        <v>133</v>
      </c>
      <c r="DA2322">
        <v>275</v>
      </c>
      <c r="DB2322">
        <v>0</v>
      </c>
      <c r="DC2322" t="s">
        <v>134</v>
      </c>
      <c r="DD2322" t="s">
        <v>135</v>
      </c>
      <c r="DG2322">
        <v>3321606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>"05/01/2025 15:10:59.094"</f>
        <v>05/01/2025 15:10:59.094</v>
      </c>
      <c r="C2323" t="str">
        <f t="shared" si="912"/>
        <v>FFDFD3C0</v>
      </c>
      <c r="D2323" t="s">
        <v>143</v>
      </c>
      <c r="E2323" t="str">
        <f>"05"</f>
        <v>05</v>
      </c>
      <c r="H2323">
        <v>172</v>
      </c>
      <c r="I2323" t="s">
        <v>141</v>
      </c>
      <c r="J2323" t="s">
        <v>144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R2323" t="s">
        <v>127</v>
      </c>
      <c r="S2323" t="str">
        <f t="shared" si="920"/>
        <v>15:10:58.000</v>
      </c>
      <c r="T2323" t="str">
        <f t="shared" si="920"/>
        <v>15:10:58.000</v>
      </c>
      <c r="U2323" t="str">
        <f t="shared" si="914"/>
        <v>A68FCB</v>
      </c>
      <c r="V2323">
        <v>0</v>
      </c>
      <c r="W2323">
        <v>0</v>
      </c>
      <c r="X2323">
        <v>2</v>
      </c>
      <c r="Y2323">
        <v>0</v>
      </c>
      <c r="AA2323">
        <v>1</v>
      </c>
      <c r="AB2323">
        <v>8</v>
      </c>
      <c r="AC2323">
        <v>3</v>
      </c>
      <c r="AD2323">
        <v>0</v>
      </c>
      <c r="AE2323">
        <v>9</v>
      </c>
      <c r="AF2323" t="s">
        <v>138</v>
      </c>
      <c r="AG2323">
        <v>0</v>
      </c>
      <c r="AH2323">
        <v>3</v>
      </c>
      <c r="AI2323">
        <v>2</v>
      </c>
      <c r="AJ2323">
        <v>0</v>
      </c>
      <c r="AK2323" t="s">
        <v>788</v>
      </c>
      <c r="AL2323">
        <v>39.071781999999999</v>
      </c>
      <c r="AM2323" t="s">
        <v>789</v>
      </c>
      <c r="AN2323">
        <v>-121.040368</v>
      </c>
      <c r="AO2323">
        <v>25</v>
      </c>
      <c r="AP2323">
        <v>4600</v>
      </c>
      <c r="AQ2323" t="s">
        <v>131</v>
      </c>
      <c r="AR2323">
        <v>14</v>
      </c>
      <c r="AS2323">
        <v>87</v>
      </c>
      <c r="AT2323">
        <v>192</v>
      </c>
      <c r="BB2323" t="str">
        <f t="shared" si="915"/>
        <v>1200</v>
      </c>
      <c r="BC2323">
        <v>1</v>
      </c>
      <c r="BD2323" t="str">
        <f t="shared" si="916"/>
        <v xml:space="preserve">N52156  </v>
      </c>
      <c r="BE2323">
        <v>1</v>
      </c>
      <c r="BG2323">
        <v>0</v>
      </c>
      <c r="BH2323">
        <v>0</v>
      </c>
      <c r="BI2323">
        <v>0</v>
      </c>
      <c r="BJ2323">
        <v>4625</v>
      </c>
      <c r="BK2323">
        <v>25</v>
      </c>
      <c r="BL2323" t="s">
        <v>188</v>
      </c>
      <c r="BM2323">
        <v>1</v>
      </c>
      <c r="BN2323">
        <v>1</v>
      </c>
      <c r="BO2323">
        <v>0</v>
      </c>
      <c r="BP2323">
        <v>0</v>
      </c>
      <c r="BS2323">
        <v>0</v>
      </c>
      <c r="BT2323">
        <v>0</v>
      </c>
      <c r="BU2323">
        <v>0</v>
      </c>
      <c r="CE2323" t="str">
        <f t="shared" si="921"/>
        <v>15:10:58.849</v>
      </c>
      <c r="CF2323">
        <v>849219470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3</v>
      </c>
      <c r="CY2323">
        <v>7</v>
      </c>
      <c r="CZ2323" t="s">
        <v>133</v>
      </c>
      <c r="DA2323">
        <v>275</v>
      </c>
      <c r="DB2323">
        <v>0</v>
      </c>
      <c r="DC2323" t="s">
        <v>134</v>
      </c>
      <c r="DD2323" t="s">
        <v>135</v>
      </c>
      <c r="DG2323">
        <v>3321606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"05/01/2025 15:11:00.117"</f>
        <v>05/01/2025 15:11:00.117</v>
      </c>
      <c r="C2324" t="str">
        <f t="shared" si="912"/>
        <v>FFDFD3C0</v>
      </c>
      <c r="D2324" t="s">
        <v>140</v>
      </c>
      <c r="E2324" t="str">
        <f>"13"</f>
        <v>13</v>
      </c>
      <c r="F2324">
        <v>1019</v>
      </c>
      <c r="G2324" t="s">
        <v>141</v>
      </c>
      <c r="J2324" t="s">
        <v>142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R2324" t="s">
        <v>127</v>
      </c>
      <c r="S2324" t="str">
        <f t="shared" ref="S2324:T2329" si="922">"15:10:59.000"</f>
        <v>15:10:59.000</v>
      </c>
      <c r="T2324" t="str">
        <f t="shared" si="922"/>
        <v>15:10:59.000</v>
      </c>
      <c r="U2324" t="str">
        <f t="shared" si="914"/>
        <v>A68FCB</v>
      </c>
      <c r="V2324">
        <v>0</v>
      </c>
      <c r="W2324">
        <v>0</v>
      </c>
      <c r="X2324">
        <v>2</v>
      </c>
      <c r="Y2324">
        <v>0</v>
      </c>
      <c r="AA2324">
        <v>1</v>
      </c>
      <c r="AB2324">
        <v>8</v>
      </c>
      <c r="AC2324">
        <v>3</v>
      </c>
      <c r="AD2324">
        <v>0</v>
      </c>
      <c r="AE2324">
        <v>9</v>
      </c>
      <c r="AF2324" t="s">
        <v>138</v>
      </c>
      <c r="AG2324">
        <v>0</v>
      </c>
      <c r="AH2324">
        <v>3</v>
      </c>
      <c r="AI2324">
        <v>2</v>
      </c>
      <c r="AJ2324">
        <v>0</v>
      </c>
      <c r="AK2324" t="s">
        <v>790</v>
      </c>
      <c r="AL2324">
        <v>39.072211000000003</v>
      </c>
      <c r="AM2324" t="s">
        <v>791</v>
      </c>
      <c r="AN2324">
        <v>-121.040282</v>
      </c>
      <c r="AO2324">
        <v>25</v>
      </c>
      <c r="AP2324">
        <v>4600</v>
      </c>
      <c r="AQ2324" t="s">
        <v>131</v>
      </c>
      <c r="AR2324">
        <v>15</v>
      </c>
      <c r="AS2324">
        <v>86</v>
      </c>
      <c r="AT2324">
        <v>192</v>
      </c>
      <c r="BB2324" t="str">
        <f t="shared" si="915"/>
        <v>1200</v>
      </c>
      <c r="BC2324">
        <v>1</v>
      </c>
      <c r="BD2324" t="str">
        <f t="shared" si="916"/>
        <v xml:space="preserve">N52156  </v>
      </c>
      <c r="BE2324">
        <v>1</v>
      </c>
      <c r="BG2324">
        <v>0</v>
      </c>
      <c r="BH2324">
        <v>0</v>
      </c>
      <c r="BI2324">
        <v>0</v>
      </c>
      <c r="BJ2324">
        <v>4625</v>
      </c>
      <c r="BK2324">
        <v>25</v>
      </c>
      <c r="BL2324" t="s">
        <v>188</v>
      </c>
      <c r="BM2324">
        <v>1</v>
      </c>
      <c r="BN2324">
        <v>1</v>
      </c>
      <c r="BO2324">
        <v>0</v>
      </c>
      <c r="BP2324">
        <v>0</v>
      </c>
      <c r="BS2324">
        <v>0</v>
      </c>
      <c r="BT2324">
        <v>0</v>
      </c>
      <c r="BU2324">
        <v>0</v>
      </c>
      <c r="CE2324" t="str">
        <f t="shared" ref="CE2324:CE2329" si="923">"15:10:59.900"</f>
        <v>15:10:59.900</v>
      </c>
      <c r="CF2324">
        <v>899789005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4</v>
      </c>
      <c r="CY2324">
        <v>7</v>
      </c>
      <c r="CZ2324" t="s">
        <v>133</v>
      </c>
      <c r="DA2324">
        <v>276</v>
      </c>
      <c r="DB2324">
        <v>0</v>
      </c>
      <c r="DC2324" t="s">
        <v>402</v>
      </c>
      <c r="DD2324" t="s">
        <v>403</v>
      </c>
      <c r="DG2324">
        <v>1627022</v>
      </c>
      <c r="DI2324">
        <v>1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>"05/01/2025 15:11:00.124"</f>
        <v>05/01/2025 15:11:00.124</v>
      </c>
      <c r="C2325" t="str">
        <f t="shared" si="912"/>
        <v>FFDFD3C0</v>
      </c>
      <c r="D2325" t="s">
        <v>124</v>
      </c>
      <c r="E2325" t="str">
        <f>"06"</f>
        <v>06</v>
      </c>
      <c r="F2325">
        <v>2006</v>
      </c>
      <c r="G2325" t="s">
        <v>125</v>
      </c>
      <c r="J2325" t="s">
        <v>126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R2325" t="s">
        <v>127</v>
      </c>
      <c r="S2325" t="str">
        <f t="shared" si="922"/>
        <v>15:10:59.000</v>
      </c>
      <c r="T2325" t="str">
        <f t="shared" si="922"/>
        <v>15:10:59.000</v>
      </c>
      <c r="U2325" t="str">
        <f t="shared" si="914"/>
        <v>A68FCB</v>
      </c>
      <c r="V2325">
        <v>0</v>
      </c>
      <c r="W2325">
        <v>0</v>
      </c>
      <c r="X2325">
        <v>2</v>
      </c>
      <c r="Y2325">
        <v>0</v>
      </c>
      <c r="AA2325">
        <v>1</v>
      </c>
      <c r="AB2325">
        <v>8</v>
      </c>
      <c r="AC2325">
        <v>3</v>
      </c>
      <c r="AD2325">
        <v>0</v>
      </c>
      <c r="AE2325">
        <v>9</v>
      </c>
      <c r="AF2325" t="s">
        <v>138</v>
      </c>
      <c r="AG2325">
        <v>0</v>
      </c>
      <c r="AH2325">
        <v>3</v>
      </c>
      <c r="AI2325">
        <v>2</v>
      </c>
      <c r="AJ2325">
        <v>0</v>
      </c>
      <c r="AK2325" t="s">
        <v>790</v>
      </c>
      <c r="AL2325">
        <v>39.072211000000003</v>
      </c>
      <c r="AM2325" t="s">
        <v>791</v>
      </c>
      <c r="AN2325">
        <v>-121.040282</v>
      </c>
      <c r="AO2325">
        <v>25</v>
      </c>
      <c r="AP2325">
        <v>4600</v>
      </c>
      <c r="AQ2325" t="s">
        <v>131</v>
      </c>
      <c r="AR2325">
        <v>15</v>
      </c>
      <c r="AS2325">
        <v>86</v>
      </c>
      <c r="AT2325">
        <v>192</v>
      </c>
      <c r="BB2325" t="str">
        <f t="shared" si="915"/>
        <v>1200</v>
      </c>
      <c r="BC2325">
        <v>1</v>
      </c>
      <c r="BD2325" t="str">
        <f t="shared" si="916"/>
        <v xml:space="preserve">N52156  </v>
      </c>
      <c r="BE2325">
        <v>1</v>
      </c>
      <c r="BG2325">
        <v>0</v>
      </c>
      <c r="BH2325">
        <v>0</v>
      </c>
      <c r="BI2325">
        <v>0</v>
      </c>
      <c r="BJ2325">
        <v>4625</v>
      </c>
      <c r="BK2325">
        <v>25</v>
      </c>
      <c r="BL2325" t="s">
        <v>188</v>
      </c>
      <c r="BM2325">
        <v>1</v>
      </c>
      <c r="BN2325">
        <v>1</v>
      </c>
      <c r="BO2325">
        <v>0</v>
      </c>
      <c r="BP2325">
        <v>0</v>
      </c>
      <c r="BS2325">
        <v>0</v>
      </c>
      <c r="BT2325">
        <v>0</v>
      </c>
      <c r="BU2325">
        <v>0</v>
      </c>
      <c r="CE2325" t="str">
        <f t="shared" si="923"/>
        <v>15:10:59.900</v>
      </c>
      <c r="CF2325">
        <v>899789005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4</v>
      </c>
      <c r="CY2325">
        <v>7</v>
      </c>
      <c r="CZ2325" t="s">
        <v>133</v>
      </c>
      <c r="DA2325">
        <v>276</v>
      </c>
      <c r="DB2325">
        <v>0</v>
      </c>
      <c r="DC2325" t="s">
        <v>402</v>
      </c>
      <c r="DD2325" t="s">
        <v>403</v>
      </c>
      <c r="DG2325">
        <v>1627022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"05/01/2025 15:11:00.131"</f>
        <v>05/01/2025 15:11:00.131</v>
      </c>
      <c r="C2326" t="str">
        <f t="shared" si="912"/>
        <v>FFDFD3C0</v>
      </c>
      <c r="D2326" t="s">
        <v>145</v>
      </c>
      <c r="E2326" t="str">
        <f>"09"</f>
        <v>09</v>
      </c>
      <c r="H2326">
        <v>51</v>
      </c>
      <c r="I2326" t="s">
        <v>147</v>
      </c>
      <c r="J2326" t="s">
        <v>138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R2326" t="s">
        <v>127</v>
      </c>
      <c r="S2326" t="str">
        <f t="shared" si="922"/>
        <v>15:10:59.000</v>
      </c>
      <c r="T2326" t="str">
        <f t="shared" si="922"/>
        <v>15:10:59.000</v>
      </c>
      <c r="U2326" t="str">
        <f t="shared" si="914"/>
        <v>A68FCB</v>
      </c>
      <c r="V2326">
        <v>0</v>
      </c>
      <c r="W2326">
        <v>0</v>
      </c>
      <c r="X2326">
        <v>2</v>
      </c>
      <c r="Y2326">
        <v>0</v>
      </c>
      <c r="AA2326">
        <v>1</v>
      </c>
      <c r="AB2326">
        <v>8</v>
      </c>
      <c r="AC2326">
        <v>3</v>
      </c>
      <c r="AD2326">
        <v>0</v>
      </c>
      <c r="AE2326">
        <v>9</v>
      </c>
      <c r="AF2326" t="s">
        <v>138</v>
      </c>
      <c r="AG2326">
        <v>0</v>
      </c>
      <c r="AH2326">
        <v>3</v>
      </c>
      <c r="AI2326">
        <v>2</v>
      </c>
      <c r="AJ2326">
        <v>0</v>
      </c>
      <c r="AK2326" t="s">
        <v>790</v>
      </c>
      <c r="AL2326">
        <v>39.072211000000003</v>
      </c>
      <c r="AM2326" t="s">
        <v>791</v>
      </c>
      <c r="AN2326">
        <v>-121.040282</v>
      </c>
      <c r="AO2326">
        <v>25</v>
      </c>
      <c r="AP2326">
        <v>4600</v>
      </c>
      <c r="AQ2326" t="s">
        <v>131</v>
      </c>
      <c r="AR2326">
        <v>15</v>
      </c>
      <c r="AS2326">
        <v>86</v>
      </c>
      <c r="AT2326">
        <v>192</v>
      </c>
      <c r="BB2326" t="str">
        <f t="shared" si="915"/>
        <v>1200</v>
      </c>
      <c r="BC2326">
        <v>1</v>
      </c>
      <c r="BD2326" t="str">
        <f t="shared" si="916"/>
        <v xml:space="preserve">N52156  </v>
      </c>
      <c r="BE2326">
        <v>1</v>
      </c>
      <c r="BG2326">
        <v>0</v>
      </c>
      <c r="BH2326">
        <v>0</v>
      </c>
      <c r="BI2326">
        <v>0</v>
      </c>
      <c r="BJ2326">
        <v>4625</v>
      </c>
      <c r="BK2326">
        <v>25</v>
      </c>
      <c r="BL2326" t="s">
        <v>188</v>
      </c>
      <c r="BM2326">
        <v>1</v>
      </c>
      <c r="BN2326">
        <v>1</v>
      </c>
      <c r="BO2326">
        <v>0</v>
      </c>
      <c r="BP2326">
        <v>0</v>
      </c>
      <c r="BS2326">
        <v>0</v>
      </c>
      <c r="BT2326">
        <v>0</v>
      </c>
      <c r="BU2326">
        <v>0</v>
      </c>
      <c r="CE2326" t="str">
        <f t="shared" si="923"/>
        <v>15:10:59.900</v>
      </c>
      <c r="CF2326">
        <v>899789005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4</v>
      </c>
      <c r="CY2326">
        <v>7</v>
      </c>
      <c r="CZ2326" t="s">
        <v>133</v>
      </c>
      <c r="DA2326">
        <v>276</v>
      </c>
      <c r="DB2326">
        <v>0</v>
      </c>
      <c r="DC2326" t="s">
        <v>402</v>
      </c>
      <c r="DD2326" t="s">
        <v>403</v>
      </c>
      <c r="DG2326">
        <v>1627022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>"05/01/2025 15:11:00.131"</f>
        <v>05/01/2025 15:11:00.131</v>
      </c>
      <c r="C2327" t="str">
        <f t="shared" si="912"/>
        <v>FFDFD3C0</v>
      </c>
      <c r="D2327" t="s">
        <v>145</v>
      </c>
      <c r="E2327" t="str">
        <f>"05"</f>
        <v>05</v>
      </c>
      <c r="H2327">
        <v>47</v>
      </c>
      <c r="I2327" t="s">
        <v>146</v>
      </c>
      <c r="J2327" t="s">
        <v>138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R2327" t="s">
        <v>127</v>
      </c>
      <c r="S2327" t="str">
        <f t="shared" si="922"/>
        <v>15:10:59.000</v>
      </c>
      <c r="T2327" t="str">
        <f t="shared" si="922"/>
        <v>15:10:59.000</v>
      </c>
      <c r="U2327" t="str">
        <f t="shared" si="914"/>
        <v>A68FCB</v>
      </c>
      <c r="V2327">
        <v>0</v>
      </c>
      <c r="W2327">
        <v>0</v>
      </c>
      <c r="X2327">
        <v>2</v>
      </c>
      <c r="Y2327">
        <v>0</v>
      </c>
      <c r="AA2327">
        <v>1</v>
      </c>
      <c r="AB2327">
        <v>8</v>
      </c>
      <c r="AC2327">
        <v>3</v>
      </c>
      <c r="AD2327">
        <v>0</v>
      </c>
      <c r="AE2327">
        <v>9</v>
      </c>
      <c r="AF2327" t="s">
        <v>138</v>
      </c>
      <c r="AG2327">
        <v>0</v>
      </c>
      <c r="AH2327">
        <v>3</v>
      </c>
      <c r="AI2327">
        <v>2</v>
      </c>
      <c r="AJ2327">
        <v>0</v>
      </c>
      <c r="AK2327" t="s">
        <v>790</v>
      </c>
      <c r="AL2327">
        <v>39.072211000000003</v>
      </c>
      <c r="AM2327" t="s">
        <v>791</v>
      </c>
      <c r="AN2327">
        <v>-121.040282</v>
      </c>
      <c r="AO2327">
        <v>25</v>
      </c>
      <c r="AP2327">
        <v>4600</v>
      </c>
      <c r="AQ2327" t="s">
        <v>131</v>
      </c>
      <c r="AR2327">
        <v>15</v>
      </c>
      <c r="AS2327">
        <v>86</v>
      </c>
      <c r="AT2327">
        <v>192</v>
      </c>
      <c r="BB2327" t="str">
        <f t="shared" si="915"/>
        <v>1200</v>
      </c>
      <c r="BC2327">
        <v>1</v>
      </c>
      <c r="BD2327" t="str">
        <f t="shared" si="916"/>
        <v xml:space="preserve">N52156  </v>
      </c>
      <c r="BE2327">
        <v>1</v>
      </c>
      <c r="BG2327">
        <v>0</v>
      </c>
      <c r="BH2327">
        <v>0</v>
      </c>
      <c r="BI2327">
        <v>0</v>
      </c>
      <c r="BJ2327">
        <v>4625</v>
      </c>
      <c r="BK2327">
        <v>25</v>
      </c>
      <c r="BL2327" t="s">
        <v>188</v>
      </c>
      <c r="BM2327">
        <v>1</v>
      </c>
      <c r="BN2327">
        <v>1</v>
      </c>
      <c r="BO2327">
        <v>0</v>
      </c>
      <c r="BP2327">
        <v>0</v>
      </c>
      <c r="BS2327">
        <v>0</v>
      </c>
      <c r="BT2327">
        <v>0</v>
      </c>
      <c r="BU2327">
        <v>0</v>
      </c>
      <c r="CE2327" t="str">
        <f t="shared" si="923"/>
        <v>15:10:59.900</v>
      </c>
      <c r="CF2327">
        <v>899789005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4</v>
      </c>
      <c r="CY2327">
        <v>7</v>
      </c>
      <c r="CZ2327" t="s">
        <v>133</v>
      </c>
      <c r="DA2327">
        <v>276</v>
      </c>
      <c r="DB2327">
        <v>0</v>
      </c>
      <c r="DC2327" t="s">
        <v>402</v>
      </c>
      <c r="DD2327" t="s">
        <v>403</v>
      </c>
      <c r="DG2327">
        <v>1627022</v>
      </c>
      <c r="DI2327">
        <v>1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>"05/01/2025 15:11:00.139"</f>
        <v>05/01/2025 15:11:00.139</v>
      </c>
      <c r="C2328" t="str">
        <f t="shared" si="912"/>
        <v>FFDFD3C0</v>
      </c>
      <c r="D2328" t="s">
        <v>136</v>
      </c>
      <c r="E2328" t="str">
        <f>"20"</f>
        <v>20</v>
      </c>
      <c r="H2328">
        <v>400</v>
      </c>
      <c r="I2328" t="s">
        <v>137</v>
      </c>
      <c r="J2328" t="s">
        <v>138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R2328" t="s">
        <v>127</v>
      </c>
      <c r="S2328" t="str">
        <f t="shared" si="922"/>
        <v>15:10:59.000</v>
      </c>
      <c r="T2328" t="str">
        <f t="shared" si="922"/>
        <v>15:10:59.000</v>
      </c>
      <c r="U2328" t="str">
        <f t="shared" si="914"/>
        <v>A68FCB</v>
      </c>
      <c r="V2328">
        <v>0</v>
      </c>
      <c r="W2328">
        <v>0</v>
      </c>
      <c r="X2328">
        <v>2</v>
      </c>
      <c r="Y2328">
        <v>0</v>
      </c>
      <c r="AA2328">
        <v>1</v>
      </c>
      <c r="AB2328">
        <v>8</v>
      </c>
      <c r="AC2328">
        <v>3</v>
      </c>
      <c r="AD2328">
        <v>0</v>
      </c>
      <c r="AE2328">
        <v>9</v>
      </c>
      <c r="AF2328" t="s">
        <v>138</v>
      </c>
      <c r="AG2328">
        <v>0</v>
      </c>
      <c r="AH2328">
        <v>3</v>
      </c>
      <c r="AI2328">
        <v>2</v>
      </c>
      <c r="AJ2328">
        <v>0</v>
      </c>
      <c r="AK2328" t="s">
        <v>790</v>
      </c>
      <c r="AL2328">
        <v>39.072211000000003</v>
      </c>
      <c r="AM2328" t="s">
        <v>791</v>
      </c>
      <c r="AN2328">
        <v>-121.040282</v>
      </c>
      <c r="AO2328">
        <v>25</v>
      </c>
      <c r="AP2328">
        <v>4600</v>
      </c>
      <c r="AQ2328" t="s">
        <v>131</v>
      </c>
      <c r="AR2328">
        <v>15</v>
      </c>
      <c r="AS2328">
        <v>86</v>
      </c>
      <c r="AT2328">
        <v>192</v>
      </c>
      <c r="BB2328" t="str">
        <f t="shared" si="915"/>
        <v>1200</v>
      </c>
      <c r="BC2328">
        <v>1</v>
      </c>
      <c r="BD2328" t="str">
        <f t="shared" si="916"/>
        <v xml:space="preserve">N52156  </v>
      </c>
      <c r="BE2328">
        <v>1</v>
      </c>
      <c r="BG2328">
        <v>0</v>
      </c>
      <c r="BH2328">
        <v>0</v>
      </c>
      <c r="BI2328">
        <v>0</v>
      </c>
      <c r="BJ2328">
        <v>4625</v>
      </c>
      <c r="BK2328">
        <v>25</v>
      </c>
      <c r="BL2328" t="s">
        <v>188</v>
      </c>
      <c r="BM2328">
        <v>1</v>
      </c>
      <c r="BN2328">
        <v>1</v>
      </c>
      <c r="BO2328">
        <v>0</v>
      </c>
      <c r="BP2328">
        <v>0</v>
      </c>
      <c r="BS2328">
        <v>0</v>
      </c>
      <c r="BT2328">
        <v>0</v>
      </c>
      <c r="BU2328">
        <v>0</v>
      </c>
      <c r="CE2328" t="str">
        <f t="shared" si="923"/>
        <v>15:10:59.900</v>
      </c>
      <c r="CF2328">
        <v>899789005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4</v>
      </c>
      <c r="CY2328">
        <v>7</v>
      </c>
      <c r="CZ2328" t="s">
        <v>133</v>
      </c>
      <c r="DA2328">
        <v>276</v>
      </c>
      <c r="DB2328">
        <v>0</v>
      </c>
      <c r="DC2328" t="s">
        <v>402</v>
      </c>
      <c r="DD2328" t="s">
        <v>403</v>
      </c>
      <c r="DG2328">
        <v>1627022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>"05/01/2025 15:11:00.146"</f>
        <v>05/01/2025 15:11:00.146</v>
      </c>
      <c r="C2329" t="str">
        <f t="shared" si="912"/>
        <v>FFDFD3C0</v>
      </c>
      <c r="D2329" t="s">
        <v>143</v>
      </c>
      <c r="E2329" t="str">
        <f>"05"</f>
        <v>05</v>
      </c>
      <c r="H2329">
        <v>172</v>
      </c>
      <c r="I2329" t="s">
        <v>141</v>
      </c>
      <c r="J2329" t="s">
        <v>144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R2329" t="s">
        <v>127</v>
      </c>
      <c r="S2329" t="str">
        <f t="shared" si="922"/>
        <v>15:10:59.000</v>
      </c>
      <c r="T2329" t="str">
        <f t="shared" si="922"/>
        <v>15:10:59.000</v>
      </c>
      <c r="U2329" t="str">
        <f t="shared" si="914"/>
        <v>A68FCB</v>
      </c>
      <c r="V2329">
        <v>0</v>
      </c>
      <c r="W2329">
        <v>0</v>
      </c>
      <c r="X2329">
        <v>2</v>
      </c>
      <c r="Y2329">
        <v>0</v>
      </c>
      <c r="AA2329">
        <v>1</v>
      </c>
      <c r="AB2329">
        <v>8</v>
      </c>
      <c r="AC2329">
        <v>3</v>
      </c>
      <c r="AD2329">
        <v>0</v>
      </c>
      <c r="AE2329">
        <v>9</v>
      </c>
      <c r="AF2329" t="s">
        <v>138</v>
      </c>
      <c r="AG2329">
        <v>0</v>
      </c>
      <c r="AH2329">
        <v>3</v>
      </c>
      <c r="AI2329">
        <v>2</v>
      </c>
      <c r="AJ2329">
        <v>0</v>
      </c>
      <c r="AK2329" t="s">
        <v>790</v>
      </c>
      <c r="AL2329">
        <v>39.072211000000003</v>
      </c>
      <c r="AM2329" t="s">
        <v>791</v>
      </c>
      <c r="AN2329">
        <v>-121.040282</v>
      </c>
      <c r="AO2329">
        <v>25</v>
      </c>
      <c r="AP2329">
        <v>4600</v>
      </c>
      <c r="AQ2329" t="s">
        <v>131</v>
      </c>
      <c r="AR2329">
        <v>15</v>
      </c>
      <c r="AS2329">
        <v>86</v>
      </c>
      <c r="AT2329">
        <v>192</v>
      </c>
      <c r="BB2329" t="str">
        <f t="shared" si="915"/>
        <v>1200</v>
      </c>
      <c r="BC2329">
        <v>1</v>
      </c>
      <c r="BD2329" t="str">
        <f t="shared" si="916"/>
        <v xml:space="preserve">N52156  </v>
      </c>
      <c r="BE2329">
        <v>1</v>
      </c>
      <c r="BG2329">
        <v>0</v>
      </c>
      <c r="BH2329">
        <v>0</v>
      </c>
      <c r="BI2329">
        <v>0</v>
      </c>
      <c r="BJ2329">
        <v>4625</v>
      </c>
      <c r="BK2329">
        <v>25</v>
      </c>
      <c r="BL2329" t="s">
        <v>188</v>
      </c>
      <c r="BM2329">
        <v>1</v>
      </c>
      <c r="BN2329">
        <v>1</v>
      </c>
      <c r="BO2329">
        <v>0</v>
      </c>
      <c r="BP2329">
        <v>0</v>
      </c>
      <c r="BS2329">
        <v>0</v>
      </c>
      <c r="BT2329">
        <v>0</v>
      </c>
      <c r="BU2329">
        <v>0</v>
      </c>
      <c r="CE2329" t="str">
        <f t="shared" si="923"/>
        <v>15:10:59.900</v>
      </c>
      <c r="CF2329">
        <v>899789005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4</v>
      </c>
      <c r="CY2329">
        <v>7</v>
      </c>
      <c r="CZ2329" t="s">
        <v>133</v>
      </c>
      <c r="DA2329">
        <v>276</v>
      </c>
      <c r="DB2329">
        <v>0</v>
      </c>
      <c r="DC2329" t="s">
        <v>402</v>
      </c>
      <c r="DD2329" t="s">
        <v>403</v>
      </c>
      <c r="DG2329">
        <v>1627022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>"05/01/2025 15:11:00.490"</f>
        <v>05/01/2025 15:11:00.490</v>
      </c>
      <c r="C2330" t="str">
        <f t="shared" si="912"/>
        <v>FFDFD3C0</v>
      </c>
      <c r="D2330" t="s">
        <v>136</v>
      </c>
      <c r="E2330" t="str">
        <f>"20"</f>
        <v>20</v>
      </c>
      <c r="H2330">
        <v>400</v>
      </c>
      <c r="I2330" t="s">
        <v>137</v>
      </c>
      <c r="J2330" t="s">
        <v>138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R2330" t="s">
        <v>127</v>
      </c>
      <c r="S2330" t="str">
        <f t="shared" ref="S2330:T2335" si="924">"15:11:00.000"</f>
        <v>15:11:00.000</v>
      </c>
      <c r="T2330" t="str">
        <f t="shared" si="924"/>
        <v>15:11:00.000</v>
      </c>
      <c r="U2330" t="str">
        <f t="shared" si="914"/>
        <v>A68FCB</v>
      </c>
      <c r="V2330">
        <v>0</v>
      </c>
      <c r="W2330">
        <v>0</v>
      </c>
      <c r="X2330">
        <v>2</v>
      </c>
      <c r="Y2330">
        <v>0</v>
      </c>
      <c r="AA2330">
        <v>1</v>
      </c>
      <c r="AB2330">
        <v>8</v>
      </c>
      <c r="AC2330">
        <v>3</v>
      </c>
      <c r="AD2330">
        <v>0</v>
      </c>
      <c r="AE2330">
        <v>9</v>
      </c>
      <c r="AF2330" t="s">
        <v>138</v>
      </c>
      <c r="AG2330">
        <v>0</v>
      </c>
      <c r="AH2330">
        <v>3</v>
      </c>
      <c r="AI2330">
        <v>2</v>
      </c>
      <c r="AJ2330">
        <v>0</v>
      </c>
      <c r="AK2330" t="s">
        <v>792</v>
      </c>
      <c r="AL2330">
        <v>39.072617999999999</v>
      </c>
      <c r="AM2330" t="s">
        <v>793</v>
      </c>
      <c r="AN2330">
        <v>-121.04019599999999</v>
      </c>
      <c r="AO2330">
        <v>25</v>
      </c>
      <c r="AP2330">
        <v>4600</v>
      </c>
      <c r="AQ2330" t="s">
        <v>131</v>
      </c>
      <c r="AR2330">
        <v>14</v>
      </c>
      <c r="AS2330">
        <v>86</v>
      </c>
      <c r="AT2330">
        <v>192</v>
      </c>
      <c r="BB2330" t="str">
        <f t="shared" si="915"/>
        <v>1200</v>
      </c>
      <c r="BC2330">
        <v>1</v>
      </c>
      <c r="BD2330" t="str">
        <f t="shared" si="916"/>
        <v xml:space="preserve">N52156  </v>
      </c>
      <c r="BE2330">
        <v>1</v>
      </c>
      <c r="BG2330">
        <v>0</v>
      </c>
      <c r="BH2330">
        <v>0</v>
      </c>
      <c r="BI2330">
        <v>0</v>
      </c>
      <c r="BJ2330">
        <v>4650</v>
      </c>
      <c r="BK2330">
        <v>50</v>
      </c>
      <c r="BL2330" t="s">
        <v>188</v>
      </c>
      <c r="BM2330">
        <v>1</v>
      </c>
      <c r="BN2330">
        <v>1</v>
      </c>
      <c r="BO2330">
        <v>0</v>
      </c>
      <c r="BP2330">
        <v>0</v>
      </c>
      <c r="BS2330">
        <v>0</v>
      </c>
      <c r="BT2330">
        <v>0</v>
      </c>
      <c r="BU2330">
        <v>0</v>
      </c>
      <c r="CE2330" t="str">
        <f t="shared" ref="CE2330:CE2335" si="925">"15:11:00.273"</f>
        <v>15:11:00.273</v>
      </c>
      <c r="CF2330">
        <v>272787492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3</v>
      </c>
      <c r="CY2330">
        <v>7</v>
      </c>
      <c r="CZ2330" t="s">
        <v>133</v>
      </c>
      <c r="DA2330">
        <v>276</v>
      </c>
      <c r="DB2330">
        <v>0</v>
      </c>
      <c r="DC2330" t="s">
        <v>402</v>
      </c>
      <c r="DD2330" t="s">
        <v>403</v>
      </c>
      <c r="DG2330">
        <v>1627026</v>
      </c>
      <c r="DI2330">
        <v>1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"05/01/2025 15:11:00.497"</f>
        <v>05/01/2025 15:11:00.497</v>
      </c>
      <c r="C2331" t="str">
        <f t="shared" si="912"/>
        <v>FFDFD3C0</v>
      </c>
      <c r="D2331" t="s">
        <v>143</v>
      </c>
      <c r="E2331" t="str">
        <f>"05"</f>
        <v>05</v>
      </c>
      <c r="H2331">
        <v>172</v>
      </c>
      <c r="I2331" t="s">
        <v>141</v>
      </c>
      <c r="J2331" t="s">
        <v>144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R2331" t="s">
        <v>127</v>
      </c>
      <c r="S2331" t="str">
        <f t="shared" si="924"/>
        <v>15:11:00.000</v>
      </c>
      <c r="T2331" t="str">
        <f t="shared" si="924"/>
        <v>15:11:00.000</v>
      </c>
      <c r="U2331" t="str">
        <f t="shared" si="914"/>
        <v>A68FCB</v>
      </c>
      <c r="V2331">
        <v>0</v>
      </c>
      <c r="W2331">
        <v>0</v>
      </c>
      <c r="X2331">
        <v>2</v>
      </c>
      <c r="Y2331">
        <v>0</v>
      </c>
      <c r="AA2331">
        <v>1</v>
      </c>
      <c r="AB2331">
        <v>8</v>
      </c>
      <c r="AC2331">
        <v>3</v>
      </c>
      <c r="AD2331">
        <v>0</v>
      </c>
      <c r="AE2331">
        <v>9</v>
      </c>
      <c r="AF2331" t="s">
        <v>138</v>
      </c>
      <c r="AG2331">
        <v>0</v>
      </c>
      <c r="AH2331">
        <v>3</v>
      </c>
      <c r="AI2331">
        <v>2</v>
      </c>
      <c r="AJ2331">
        <v>0</v>
      </c>
      <c r="AK2331" t="s">
        <v>792</v>
      </c>
      <c r="AL2331">
        <v>39.072617999999999</v>
      </c>
      <c r="AM2331" t="s">
        <v>793</v>
      </c>
      <c r="AN2331">
        <v>-121.04019599999999</v>
      </c>
      <c r="AO2331">
        <v>25</v>
      </c>
      <c r="AP2331">
        <v>4600</v>
      </c>
      <c r="AQ2331" t="s">
        <v>131</v>
      </c>
      <c r="AR2331">
        <v>14</v>
      </c>
      <c r="AS2331">
        <v>86</v>
      </c>
      <c r="AT2331">
        <v>192</v>
      </c>
      <c r="BB2331" t="str">
        <f t="shared" si="915"/>
        <v>1200</v>
      </c>
      <c r="BC2331">
        <v>1</v>
      </c>
      <c r="BD2331" t="str">
        <f t="shared" si="916"/>
        <v xml:space="preserve">N52156  </v>
      </c>
      <c r="BE2331">
        <v>1</v>
      </c>
      <c r="BG2331">
        <v>0</v>
      </c>
      <c r="BH2331">
        <v>0</v>
      </c>
      <c r="BI2331">
        <v>0</v>
      </c>
      <c r="BJ2331">
        <v>4650</v>
      </c>
      <c r="BK2331">
        <v>50</v>
      </c>
      <c r="BL2331" t="s">
        <v>188</v>
      </c>
      <c r="BM2331">
        <v>1</v>
      </c>
      <c r="BN2331">
        <v>1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 t="shared" si="925"/>
        <v>15:11:00.273</v>
      </c>
      <c r="CF2331">
        <v>272787492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3</v>
      </c>
      <c r="CY2331">
        <v>7</v>
      </c>
      <c r="CZ2331" t="s">
        <v>133</v>
      </c>
      <c r="DA2331">
        <v>276</v>
      </c>
      <c r="DB2331">
        <v>0</v>
      </c>
      <c r="DC2331" t="s">
        <v>402</v>
      </c>
      <c r="DD2331" t="s">
        <v>403</v>
      </c>
      <c r="DG2331">
        <v>1627026</v>
      </c>
      <c r="DI2331">
        <v>1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"05/01/2025 15:11:00.517"</f>
        <v>05/01/2025 15:11:00.517</v>
      </c>
      <c r="C2332" t="str">
        <f t="shared" si="912"/>
        <v>FFDFD3C0</v>
      </c>
      <c r="D2332" t="s">
        <v>140</v>
      </c>
      <c r="E2332" t="str">
        <f>"13"</f>
        <v>13</v>
      </c>
      <c r="F2332">
        <v>1019</v>
      </c>
      <c r="G2332" t="s">
        <v>141</v>
      </c>
      <c r="J2332" t="s">
        <v>142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R2332" t="s">
        <v>127</v>
      </c>
      <c r="S2332" t="str">
        <f t="shared" si="924"/>
        <v>15:11:00.000</v>
      </c>
      <c r="T2332" t="str">
        <f t="shared" si="924"/>
        <v>15:11:00.000</v>
      </c>
      <c r="U2332" t="str">
        <f t="shared" si="914"/>
        <v>A68FCB</v>
      </c>
      <c r="V2332">
        <v>0</v>
      </c>
      <c r="W2332">
        <v>0</v>
      </c>
      <c r="X2332">
        <v>2</v>
      </c>
      <c r="Y2332">
        <v>0</v>
      </c>
      <c r="AA2332">
        <v>1</v>
      </c>
      <c r="AB2332">
        <v>8</v>
      </c>
      <c r="AC2332">
        <v>3</v>
      </c>
      <c r="AD2332">
        <v>0</v>
      </c>
      <c r="AE2332">
        <v>9</v>
      </c>
      <c r="AF2332" t="s">
        <v>138</v>
      </c>
      <c r="AG2332">
        <v>0</v>
      </c>
      <c r="AH2332">
        <v>3</v>
      </c>
      <c r="AI2332">
        <v>2</v>
      </c>
      <c r="AJ2332">
        <v>0</v>
      </c>
      <c r="AK2332" t="s">
        <v>792</v>
      </c>
      <c r="AL2332">
        <v>39.072617999999999</v>
      </c>
      <c r="AM2332" t="s">
        <v>793</v>
      </c>
      <c r="AN2332">
        <v>-121.04019599999999</v>
      </c>
      <c r="AO2332">
        <v>25</v>
      </c>
      <c r="AP2332">
        <v>4600</v>
      </c>
      <c r="AQ2332" t="s">
        <v>131</v>
      </c>
      <c r="AR2332">
        <v>14</v>
      </c>
      <c r="AS2332">
        <v>86</v>
      </c>
      <c r="AT2332">
        <v>192</v>
      </c>
      <c r="BB2332" t="str">
        <f t="shared" si="915"/>
        <v>1200</v>
      </c>
      <c r="BC2332">
        <v>1</v>
      </c>
      <c r="BD2332" t="str">
        <f t="shared" si="916"/>
        <v xml:space="preserve">N52156  </v>
      </c>
      <c r="BE2332">
        <v>1</v>
      </c>
      <c r="BG2332">
        <v>0</v>
      </c>
      <c r="BH2332">
        <v>0</v>
      </c>
      <c r="BI2332">
        <v>0</v>
      </c>
      <c r="BJ2332">
        <v>4650</v>
      </c>
      <c r="BK2332">
        <v>50</v>
      </c>
      <c r="BL2332" t="s">
        <v>188</v>
      </c>
      <c r="BM2332">
        <v>1</v>
      </c>
      <c r="BN2332">
        <v>1</v>
      </c>
      <c r="BO2332">
        <v>0</v>
      </c>
      <c r="BP2332">
        <v>0</v>
      </c>
      <c r="BS2332">
        <v>0</v>
      </c>
      <c r="BT2332">
        <v>0</v>
      </c>
      <c r="BU2332">
        <v>0</v>
      </c>
      <c r="CE2332" t="str">
        <f t="shared" si="925"/>
        <v>15:11:00.273</v>
      </c>
      <c r="CF2332">
        <v>272787492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3</v>
      </c>
      <c r="CY2332">
        <v>7</v>
      </c>
      <c r="CZ2332" t="s">
        <v>133</v>
      </c>
      <c r="DA2332">
        <v>276</v>
      </c>
      <c r="DB2332">
        <v>0</v>
      </c>
      <c r="DC2332" t="s">
        <v>402</v>
      </c>
      <c r="DD2332" t="s">
        <v>403</v>
      </c>
      <c r="DG2332">
        <v>1627026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"05/01/2025 15:11:00.525"</f>
        <v>05/01/2025 15:11:00.525</v>
      </c>
      <c r="C2333" t="str">
        <f t="shared" si="912"/>
        <v>FFDFD3C0</v>
      </c>
      <c r="D2333" t="s">
        <v>124</v>
      </c>
      <c r="E2333" t="str">
        <f>"06"</f>
        <v>06</v>
      </c>
      <c r="F2333">
        <v>2006</v>
      </c>
      <c r="G2333" t="s">
        <v>125</v>
      </c>
      <c r="J2333" t="s">
        <v>126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R2333" t="s">
        <v>127</v>
      </c>
      <c r="S2333" t="str">
        <f t="shared" si="924"/>
        <v>15:11:00.000</v>
      </c>
      <c r="T2333" t="str">
        <f t="shared" si="924"/>
        <v>15:11:00.000</v>
      </c>
      <c r="U2333" t="str">
        <f t="shared" si="914"/>
        <v>A68FCB</v>
      </c>
      <c r="V2333">
        <v>0</v>
      </c>
      <c r="W2333">
        <v>0</v>
      </c>
      <c r="X2333">
        <v>2</v>
      </c>
      <c r="Y2333">
        <v>0</v>
      </c>
      <c r="AA2333">
        <v>1</v>
      </c>
      <c r="AB2333">
        <v>8</v>
      </c>
      <c r="AC2333">
        <v>3</v>
      </c>
      <c r="AD2333">
        <v>0</v>
      </c>
      <c r="AE2333">
        <v>9</v>
      </c>
      <c r="AF2333" t="s">
        <v>138</v>
      </c>
      <c r="AG2333">
        <v>0</v>
      </c>
      <c r="AH2333">
        <v>3</v>
      </c>
      <c r="AI2333">
        <v>2</v>
      </c>
      <c r="AJ2333">
        <v>0</v>
      </c>
      <c r="AK2333" t="s">
        <v>792</v>
      </c>
      <c r="AL2333">
        <v>39.072617999999999</v>
      </c>
      <c r="AM2333" t="s">
        <v>793</v>
      </c>
      <c r="AN2333">
        <v>-121.04019599999999</v>
      </c>
      <c r="AO2333">
        <v>25</v>
      </c>
      <c r="AP2333">
        <v>4600</v>
      </c>
      <c r="AQ2333" t="s">
        <v>131</v>
      </c>
      <c r="AR2333">
        <v>14</v>
      </c>
      <c r="AS2333">
        <v>86</v>
      </c>
      <c r="AT2333">
        <v>192</v>
      </c>
      <c r="BB2333" t="str">
        <f t="shared" si="915"/>
        <v>1200</v>
      </c>
      <c r="BC2333">
        <v>1</v>
      </c>
      <c r="BD2333" t="str">
        <f t="shared" si="916"/>
        <v xml:space="preserve">N52156  </v>
      </c>
      <c r="BE2333">
        <v>1</v>
      </c>
      <c r="BG2333">
        <v>0</v>
      </c>
      <c r="BH2333">
        <v>0</v>
      </c>
      <c r="BI2333">
        <v>0</v>
      </c>
      <c r="BJ2333">
        <v>4650</v>
      </c>
      <c r="BK2333">
        <v>50</v>
      </c>
      <c r="BL2333" t="s">
        <v>188</v>
      </c>
      <c r="BM2333">
        <v>1</v>
      </c>
      <c r="BN2333">
        <v>1</v>
      </c>
      <c r="BO2333">
        <v>0</v>
      </c>
      <c r="BP2333">
        <v>0</v>
      </c>
      <c r="BS2333">
        <v>0</v>
      </c>
      <c r="BT2333">
        <v>0</v>
      </c>
      <c r="BU2333">
        <v>0</v>
      </c>
      <c r="CE2333" t="str">
        <f t="shared" si="925"/>
        <v>15:11:00.273</v>
      </c>
      <c r="CF2333">
        <v>272787492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3</v>
      </c>
      <c r="CY2333">
        <v>7</v>
      </c>
      <c r="CZ2333" t="s">
        <v>133</v>
      </c>
      <c r="DA2333">
        <v>276</v>
      </c>
      <c r="DB2333">
        <v>0</v>
      </c>
      <c r="DC2333" t="s">
        <v>402</v>
      </c>
      <c r="DD2333" t="s">
        <v>403</v>
      </c>
      <c r="DG2333">
        <v>1627026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"05/01/2025 15:11:00.532"</f>
        <v>05/01/2025 15:11:00.532</v>
      </c>
      <c r="C2334" t="str">
        <f t="shared" si="912"/>
        <v>FFDFD3C0</v>
      </c>
      <c r="D2334" t="s">
        <v>145</v>
      </c>
      <c r="E2334" t="str">
        <f>"05"</f>
        <v>05</v>
      </c>
      <c r="H2334">
        <v>47</v>
      </c>
      <c r="I2334" t="s">
        <v>146</v>
      </c>
      <c r="J2334" t="s">
        <v>138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R2334" t="s">
        <v>127</v>
      </c>
      <c r="S2334" t="str">
        <f t="shared" si="924"/>
        <v>15:11:00.000</v>
      </c>
      <c r="T2334" t="str">
        <f t="shared" si="924"/>
        <v>15:11:00.000</v>
      </c>
      <c r="U2334" t="str">
        <f t="shared" si="914"/>
        <v>A68FCB</v>
      </c>
      <c r="V2334">
        <v>0</v>
      </c>
      <c r="W2334">
        <v>0</v>
      </c>
      <c r="X2334">
        <v>2</v>
      </c>
      <c r="Y2334">
        <v>0</v>
      </c>
      <c r="AA2334">
        <v>1</v>
      </c>
      <c r="AB2334">
        <v>8</v>
      </c>
      <c r="AC2334">
        <v>3</v>
      </c>
      <c r="AD2334">
        <v>0</v>
      </c>
      <c r="AE2334">
        <v>9</v>
      </c>
      <c r="AF2334" t="s">
        <v>138</v>
      </c>
      <c r="AG2334">
        <v>0</v>
      </c>
      <c r="AH2334">
        <v>3</v>
      </c>
      <c r="AI2334">
        <v>2</v>
      </c>
      <c r="AJ2334">
        <v>0</v>
      </c>
      <c r="AK2334" t="s">
        <v>792</v>
      </c>
      <c r="AL2334">
        <v>39.072617999999999</v>
      </c>
      <c r="AM2334" t="s">
        <v>793</v>
      </c>
      <c r="AN2334">
        <v>-121.04019599999999</v>
      </c>
      <c r="AO2334">
        <v>25</v>
      </c>
      <c r="AP2334">
        <v>4600</v>
      </c>
      <c r="AQ2334" t="s">
        <v>131</v>
      </c>
      <c r="AR2334">
        <v>14</v>
      </c>
      <c r="AS2334">
        <v>86</v>
      </c>
      <c r="AT2334">
        <v>192</v>
      </c>
      <c r="BB2334" t="str">
        <f t="shared" si="915"/>
        <v>1200</v>
      </c>
      <c r="BC2334">
        <v>1</v>
      </c>
      <c r="BD2334" t="str">
        <f t="shared" si="916"/>
        <v xml:space="preserve">N52156  </v>
      </c>
      <c r="BE2334">
        <v>1</v>
      </c>
      <c r="BG2334">
        <v>0</v>
      </c>
      <c r="BH2334">
        <v>0</v>
      </c>
      <c r="BI2334">
        <v>0</v>
      </c>
      <c r="BJ2334">
        <v>4650</v>
      </c>
      <c r="BK2334">
        <v>50</v>
      </c>
      <c r="BL2334" t="s">
        <v>188</v>
      </c>
      <c r="BM2334">
        <v>1</v>
      </c>
      <c r="BN2334">
        <v>1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 t="shared" si="925"/>
        <v>15:11:00.273</v>
      </c>
      <c r="CF2334">
        <v>272787492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3</v>
      </c>
      <c r="CY2334">
        <v>7</v>
      </c>
      <c r="CZ2334" t="s">
        <v>133</v>
      </c>
      <c r="DA2334">
        <v>276</v>
      </c>
      <c r="DB2334">
        <v>0</v>
      </c>
      <c r="DC2334" t="s">
        <v>402</v>
      </c>
      <c r="DD2334" t="s">
        <v>403</v>
      </c>
      <c r="DG2334">
        <v>1627026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"05/01/2025 15:11:00.533"</f>
        <v>05/01/2025 15:11:00.533</v>
      </c>
      <c r="C2335" t="str">
        <f t="shared" si="912"/>
        <v>FFDFD3C0</v>
      </c>
      <c r="D2335" t="s">
        <v>145</v>
      </c>
      <c r="E2335" t="str">
        <f>"09"</f>
        <v>09</v>
      </c>
      <c r="H2335">
        <v>51</v>
      </c>
      <c r="I2335" t="s">
        <v>147</v>
      </c>
      <c r="J2335" t="s">
        <v>138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R2335" t="s">
        <v>127</v>
      </c>
      <c r="S2335" t="str">
        <f t="shared" si="924"/>
        <v>15:11:00.000</v>
      </c>
      <c r="T2335" t="str">
        <f t="shared" si="924"/>
        <v>15:11:00.000</v>
      </c>
      <c r="U2335" t="str">
        <f t="shared" si="914"/>
        <v>A68FCB</v>
      </c>
      <c r="V2335">
        <v>0</v>
      </c>
      <c r="W2335">
        <v>0</v>
      </c>
      <c r="X2335">
        <v>2</v>
      </c>
      <c r="Y2335">
        <v>0</v>
      </c>
      <c r="AA2335">
        <v>1</v>
      </c>
      <c r="AB2335">
        <v>8</v>
      </c>
      <c r="AC2335">
        <v>3</v>
      </c>
      <c r="AD2335">
        <v>0</v>
      </c>
      <c r="AE2335">
        <v>9</v>
      </c>
      <c r="AF2335" t="s">
        <v>138</v>
      </c>
      <c r="AG2335">
        <v>0</v>
      </c>
      <c r="AH2335">
        <v>3</v>
      </c>
      <c r="AI2335">
        <v>2</v>
      </c>
      <c r="AJ2335">
        <v>0</v>
      </c>
      <c r="AK2335" t="s">
        <v>792</v>
      </c>
      <c r="AL2335">
        <v>39.072617999999999</v>
      </c>
      <c r="AM2335" t="s">
        <v>793</v>
      </c>
      <c r="AN2335">
        <v>-121.04019599999999</v>
      </c>
      <c r="AO2335">
        <v>25</v>
      </c>
      <c r="AP2335">
        <v>4600</v>
      </c>
      <c r="AQ2335" t="s">
        <v>131</v>
      </c>
      <c r="AR2335">
        <v>14</v>
      </c>
      <c r="AS2335">
        <v>86</v>
      </c>
      <c r="AT2335">
        <v>192</v>
      </c>
      <c r="BB2335" t="str">
        <f t="shared" si="915"/>
        <v>1200</v>
      </c>
      <c r="BC2335">
        <v>1</v>
      </c>
      <c r="BD2335" t="str">
        <f t="shared" si="916"/>
        <v xml:space="preserve">N52156  </v>
      </c>
      <c r="BE2335">
        <v>1</v>
      </c>
      <c r="BG2335">
        <v>0</v>
      </c>
      <c r="BH2335">
        <v>0</v>
      </c>
      <c r="BI2335">
        <v>0</v>
      </c>
      <c r="BJ2335">
        <v>4650</v>
      </c>
      <c r="BK2335">
        <v>50</v>
      </c>
      <c r="BL2335" t="s">
        <v>188</v>
      </c>
      <c r="BM2335">
        <v>1</v>
      </c>
      <c r="BN2335">
        <v>1</v>
      </c>
      <c r="BO2335">
        <v>0</v>
      </c>
      <c r="BP2335">
        <v>0</v>
      </c>
      <c r="BS2335">
        <v>0</v>
      </c>
      <c r="BT2335">
        <v>0</v>
      </c>
      <c r="BU2335">
        <v>0</v>
      </c>
      <c r="CE2335" t="str">
        <f t="shared" si="925"/>
        <v>15:11:00.273</v>
      </c>
      <c r="CF2335">
        <v>272787492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3</v>
      </c>
      <c r="CY2335">
        <v>7</v>
      </c>
      <c r="CZ2335" t="s">
        <v>133</v>
      </c>
      <c r="DA2335">
        <v>276</v>
      </c>
      <c r="DB2335">
        <v>0</v>
      </c>
      <c r="DC2335" t="s">
        <v>402</v>
      </c>
      <c r="DD2335" t="s">
        <v>403</v>
      </c>
      <c r="DG2335">
        <v>1627026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"05/01/2025 15:11:01.936"</f>
        <v>05/01/2025 15:11:01.936</v>
      </c>
      <c r="C2336" t="str">
        <f t="shared" si="912"/>
        <v>FFDFD3C0</v>
      </c>
      <c r="D2336" t="s">
        <v>145</v>
      </c>
      <c r="E2336" t="str">
        <f>"05"</f>
        <v>05</v>
      </c>
      <c r="H2336">
        <v>47</v>
      </c>
      <c r="I2336" t="s">
        <v>146</v>
      </c>
      <c r="J2336" t="s">
        <v>138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R2336" t="s">
        <v>127</v>
      </c>
      <c r="S2336" t="str">
        <f t="shared" ref="S2336:T2341" si="926">"15:11:01.000"</f>
        <v>15:11:01.000</v>
      </c>
      <c r="T2336" t="str">
        <f t="shared" si="926"/>
        <v>15:11:01.000</v>
      </c>
      <c r="U2336" t="str">
        <f t="shared" si="914"/>
        <v>A68FCB</v>
      </c>
      <c r="V2336">
        <v>0</v>
      </c>
      <c r="W2336">
        <v>0</v>
      </c>
      <c r="X2336">
        <v>2</v>
      </c>
      <c r="Y2336">
        <v>0</v>
      </c>
      <c r="AA2336">
        <v>1</v>
      </c>
      <c r="AB2336">
        <v>8</v>
      </c>
      <c r="AC2336">
        <v>3</v>
      </c>
      <c r="AD2336">
        <v>0</v>
      </c>
      <c r="AE2336">
        <v>9</v>
      </c>
      <c r="AF2336" t="s">
        <v>138</v>
      </c>
      <c r="AG2336">
        <v>0</v>
      </c>
      <c r="AH2336">
        <v>3</v>
      </c>
      <c r="AI2336">
        <v>2</v>
      </c>
      <c r="AJ2336">
        <v>0</v>
      </c>
      <c r="AK2336" t="s">
        <v>794</v>
      </c>
      <c r="AL2336">
        <v>39.073005000000002</v>
      </c>
      <c r="AM2336" t="s">
        <v>795</v>
      </c>
      <c r="AN2336">
        <v>-121.04008899999999</v>
      </c>
      <c r="AO2336">
        <v>25</v>
      </c>
      <c r="AP2336">
        <v>4600</v>
      </c>
      <c r="AQ2336" t="s">
        <v>131</v>
      </c>
      <c r="AR2336">
        <v>14</v>
      </c>
      <c r="AS2336">
        <v>87</v>
      </c>
      <c r="AT2336">
        <v>192</v>
      </c>
      <c r="BB2336" t="str">
        <f t="shared" si="915"/>
        <v>1200</v>
      </c>
      <c r="BC2336">
        <v>1</v>
      </c>
      <c r="BD2336" t="str">
        <f t="shared" si="916"/>
        <v xml:space="preserve">N52156  </v>
      </c>
      <c r="BE2336">
        <v>1</v>
      </c>
      <c r="BG2336">
        <v>0</v>
      </c>
      <c r="BH2336">
        <v>0</v>
      </c>
      <c r="BI2336">
        <v>0</v>
      </c>
      <c r="BJ2336">
        <v>4650</v>
      </c>
      <c r="BK2336">
        <v>50</v>
      </c>
      <c r="BL2336" t="s">
        <v>188</v>
      </c>
      <c r="BM2336">
        <v>1</v>
      </c>
      <c r="BN2336">
        <v>1</v>
      </c>
      <c r="BO2336">
        <v>0</v>
      </c>
      <c r="BP2336">
        <v>0</v>
      </c>
      <c r="BS2336">
        <v>0</v>
      </c>
      <c r="BT2336">
        <v>0</v>
      </c>
      <c r="BU2336">
        <v>0</v>
      </c>
      <c r="CE2336" t="str">
        <f t="shared" ref="CE2336:CE2341" si="927">"15:11:01.725"</f>
        <v>15:11:01.725</v>
      </c>
      <c r="CF2336">
        <v>725288824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4</v>
      </c>
      <c r="CY2336">
        <v>7</v>
      </c>
      <c r="CZ2336" t="s">
        <v>133</v>
      </c>
      <c r="DA2336">
        <v>276</v>
      </c>
      <c r="DB2336">
        <v>0</v>
      </c>
      <c r="DC2336" t="s">
        <v>402</v>
      </c>
      <c r="DD2336" t="s">
        <v>403</v>
      </c>
      <c r="DG2336">
        <v>1627033</v>
      </c>
      <c r="DI2336">
        <v>1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"05/01/2025 15:11:01.936"</f>
        <v>05/01/2025 15:11:01.936</v>
      </c>
      <c r="C2337" t="str">
        <f t="shared" si="912"/>
        <v>FFDFD3C0</v>
      </c>
      <c r="D2337" t="s">
        <v>145</v>
      </c>
      <c r="E2337" t="str">
        <f>"09"</f>
        <v>09</v>
      </c>
      <c r="H2337">
        <v>51</v>
      </c>
      <c r="I2337" t="s">
        <v>147</v>
      </c>
      <c r="J2337" t="s">
        <v>138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R2337" t="s">
        <v>127</v>
      </c>
      <c r="S2337" t="str">
        <f t="shared" si="926"/>
        <v>15:11:01.000</v>
      </c>
      <c r="T2337" t="str">
        <f t="shared" si="926"/>
        <v>15:11:01.000</v>
      </c>
      <c r="U2337" t="str">
        <f t="shared" si="914"/>
        <v>A68FCB</v>
      </c>
      <c r="V2337">
        <v>0</v>
      </c>
      <c r="W2337">
        <v>0</v>
      </c>
      <c r="X2337">
        <v>2</v>
      </c>
      <c r="Y2337">
        <v>0</v>
      </c>
      <c r="AA2337">
        <v>1</v>
      </c>
      <c r="AB2337">
        <v>8</v>
      </c>
      <c r="AC2337">
        <v>3</v>
      </c>
      <c r="AD2337">
        <v>0</v>
      </c>
      <c r="AE2337">
        <v>9</v>
      </c>
      <c r="AF2337" t="s">
        <v>138</v>
      </c>
      <c r="AG2337">
        <v>0</v>
      </c>
      <c r="AH2337">
        <v>3</v>
      </c>
      <c r="AI2337">
        <v>2</v>
      </c>
      <c r="AJ2337">
        <v>0</v>
      </c>
      <c r="AK2337" t="s">
        <v>794</v>
      </c>
      <c r="AL2337">
        <v>39.073005000000002</v>
      </c>
      <c r="AM2337" t="s">
        <v>795</v>
      </c>
      <c r="AN2337">
        <v>-121.04008899999999</v>
      </c>
      <c r="AO2337">
        <v>25</v>
      </c>
      <c r="AP2337">
        <v>4600</v>
      </c>
      <c r="AQ2337" t="s">
        <v>131</v>
      </c>
      <c r="AR2337">
        <v>14</v>
      </c>
      <c r="AS2337">
        <v>87</v>
      </c>
      <c r="AT2337">
        <v>192</v>
      </c>
      <c r="BB2337" t="str">
        <f t="shared" si="915"/>
        <v>1200</v>
      </c>
      <c r="BC2337">
        <v>1</v>
      </c>
      <c r="BD2337" t="str">
        <f t="shared" si="916"/>
        <v xml:space="preserve">N52156  </v>
      </c>
      <c r="BE2337">
        <v>1</v>
      </c>
      <c r="BG2337">
        <v>0</v>
      </c>
      <c r="BH2337">
        <v>0</v>
      </c>
      <c r="BI2337">
        <v>0</v>
      </c>
      <c r="BJ2337">
        <v>4650</v>
      </c>
      <c r="BK2337">
        <v>50</v>
      </c>
      <c r="BL2337" t="s">
        <v>188</v>
      </c>
      <c r="BM2337">
        <v>1</v>
      </c>
      <c r="BN2337">
        <v>1</v>
      </c>
      <c r="BO2337">
        <v>0</v>
      </c>
      <c r="BP2337">
        <v>0</v>
      </c>
      <c r="BS2337">
        <v>0</v>
      </c>
      <c r="BT2337">
        <v>0</v>
      </c>
      <c r="BU2337">
        <v>0</v>
      </c>
      <c r="CE2337" t="str">
        <f t="shared" si="927"/>
        <v>15:11:01.725</v>
      </c>
      <c r="CF2337">
        <v>725288824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4</v>
      </c>
      <c r="CY2337">
        <v>7</v>
      </c>
      <c r="CZ2337" t="s">
        <v>133</v>
      </c>
      <c r="DA2337">
        <v>276</v>
      </c>
      <c r="DB2337">
        <v>0</v>
      </c>
      <c r="DC2337" t="s">
        <v>402</v>
      </c>
      <c r="DD2337" t="s">
        <v>403</v>
      </c>
      <c r="DG2337">
        <v>1627033</v>
      </c>
      <c r="DI2337">
        <v>1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"05/01/2025 15:11:01.943"</f>
        <v>05/01/2025 15:11:01.943</v>
      </c>
      <c r="C2338" t="str">
        <f t="shared" si="912"/>
        <v>FFDFD3C0</v>
      </c>
      <c r="D2338" t="s">
        <v>136</v>
      </c>
      <c r="E2338" t="str">
        <f>"20"</f>
        <v>20</v>
      </c>
      <c r="H2338">
        <v>400</v>
      </c>
      <c r="I2338" t="s">
        <v>137</v>
      </c>
      <c r="J2338" t="s">
        <v>138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R2338" t="s">
        <v>127</v>
      </c>
      <c r="S2338" t="str">
        <f t="shared" si="926"/>
        <v>15:11:01.000</v>
      </c>
      <c r="T2338" t="str">
        <f t="shared" si="926"/>
        <v>15:11:01.000</v>
      </c>
      <c r="U2338" t="str">
        <f t="shared" si="914"/>
        <v>A68FCB</v>
      </c>
      <c r="V2338">
        <v>0</v>
      </c>
      <c r="W2338">
        <v>0</v>
      </c>
      <c r="X2338">
        <v>2</v>
      </c>
      <c r="Y2338">
        <v>0</v>
      </c>
      <c r="AA2338">
        <v>1</v>
      </c>
      <c r="AB2338">
        <v>8</v>
      </c>
      <c r="AC2338">
        <v>3</v>
      </c>
      <c r="AD2338">
        <v>0</v>
      </c>
      <c r="AE2338">
        <v>9</v>
      </c>
      <c r="AF2338" t="s">
        <v>138</v>
      </c>
      <c r="AG2338">
        <v>0</v>
      </c>
      <c r="AH2338">
        <v>3</v>
      </c>
      <c r="AI2338">
        <v>2</v>
      </c>
      <c r="AJ2338">
        <v>0</v>
      </c>
      <c r="AK2338" t="s">
        <v>794</v>
      </c>
      <c r="AL2338">
        <v>39.073005000000002</v>
      </c>
      <c r="AM2338" t="s">
        <v>795</v>
      </c>
      <c r="AN2338">
        <v>-121.04008899999999</v>
      </c>
      <c r="AO2338">
        <v>25</v>
      </c>
      <c r="AP2338">
        <v>4600</v>
      </c>
      <c r="AQ2338" t="s">
        <v>131</v>
      </c>
      <c r="AR2338">
        <v>14</v>
      </c>
      <c r="AS2338">
        <v>87</v>
      </c>
      <c r="AT2338">
        <v>192</v>
      </c>
      <c r="BB2338" t="str">
        <f t="shared" si="915"/>
        <v>1200</v>
      </c>
      <c r="BC2338">
        <v>1</v>
      </c>
      <c r="BD2338" t="str">
        <f t="shared" si="916"/>
        <v xml:space="preserve">N52156  </v>
      </c>
      <c r="BE2338">
        <v>1</v>
      </c>
      <c r="BG2338">
        <v>0</v>
      </c>
      <c r="BH2338">
        <v>0</v>
      </c>
      <c r="BI2338">
        <v>0</v>
      </c>
      <c r="BJ2338">
        <v>4650</v>
      </c>
      <c r="BK2338">
        <v>50</v>
      </c>
      <c r="BL2338" t="s">
        <v>188</v>
      </c>
      <c r="BM2338">
        <v>1</v>
      </c>
      <c r="BN2338">
        <v>1</v>
      </c>
      <c r="BO2338">
        <v>0</v>
      </c>
      <c r="BP2338">
        <v>0</v>
      </c>
      <c r="BS2338">
        <v>0</v>
      </c>
      <c r="BT2338">
        <v>0</v>
      </c>
      <c r="BU2338">
        <v>0</v>
      </c>
      <c r="CE2338" t="str">
        <f t="shared" si="927"/>
        <v>15:11:01.725</v>
      </c>
      <c r="CF2338">
        <v>725288824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4</v>
      </c>
      <c r="CY2338">
        <v>7</v>
      </c>
      <c r="CZ2338" t="s">
        <v>133</v>
      </c>
      <c r="DA2338">
        <v>276</v>
      </c>
      <c r="DB2338">
        <v>0</v>
      </c>
      <c r="DC2338" t="s">
        <v>402</v>
      </c>
      <c r="DD2338" t="s">
        <v>403</v>
      </c>
      <c r="DG2338">
        <v>1627033</v>
      </c>
      <c r="DI2338">
        <v>1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"05/01/2025 15:11:01.950"</f>
        <v>05/01/2025 15:11:01.950</v>
      </c>
      <c r="C2339" t="str">
        <f t="shared" si="912"/>
        <v>FFDFD3C0</v>
      </c>
      <c r="D2339" t="s">
        <v>143</v>
      </c>
      <c r="E2339" t="str">
        <f>"05"</f>
        <v>05</v>
      </c>
      <c r="H2339">
        <v>172</v>
      </c>
      <c r="I2339" t="s">
        <v>141</v>
      </c>
      <c r="J2339" t="s">
        <v>144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R2339" t="s">
        <v>127</v>
      </c>
      <c r="S2339" t="str">
        <f t="shared" si="926"/>
        <v>15:11:01.000</v>
      </c>
      <c r="T2339" t="str">
        <f t="shared" si="926"/>
        <v>15:11:01.000</v>
      </c>
      <c r="U2339" t="str">
        <f t="shared" si="914"/>
        <v>A68FCB</v>
      </c>
      <c r="V2339">
        <v>0</v>
      </c>
      <c r="W2339">
        <v>0</v>
      </c>
      <c r="X2339">
        <v>2</v>
      </c>
      <c r="Y2339">
        <v>0</v>
      </c>
      <c r="AA2339">
        <v>1</v>
      </c>
      <c r="AB2339">
        <v>8</v>
      </c>
      <c r="AC2339">
        <v>3</v>
      </c>
      <c r="AD2339">
        <v>0</v>
      </c>
      <c r="AE2339">
        <v>9</v>
      </c>
      <c r="AF2339" t="s">
        <v>138</v>
      </c>
      <c r="AG2339">
        <v>0</v>
      </c>
      <c r="AH2339">
        <v>3</v>
      </c>
      <c r="AI2339">
        <v>2</v>
      </c>
      <c r="AJ2339">
        <v>0</v>
      </c>
      <c r="AK2339" t="s">
        <v>794</v>
      </c>
      <c r="AL2339">
        <v>39.073005000000002</v>
      </c>
      <c r="AM2339" t="s">
        <v>795</v>
      </c>
      <c r="AN2339">
        <v>-121.04008899999999</v>
      </c>
      <c r="AO2339">
        <v>25</v>
      </c>
      <c r="AP2339">
        <v>4600</v>
      </c>
      <c r="AQ2339" t="s">
        <v>131</v>
      </c>
      <c r="AR2339">
        <v>14</v>
      </c>
      <c r="AS2339">
        <v>87</v>
      </c>
      <c r="AT2339">
        <v>192</v>
      </c>
      <c r="BB2339" t="str">
        <f t="shared" si="915"/>
        <v>1200</v>
      </c>
      <c r="BC2339">
        <v>1</v>
      </c>
      <c r="BD2339" t="str">
        <f t="shared" si="916"/>
        <v xml:space="preserve">N52156  </v>
      </c>
      <c r="BE2339">
        <v>1</v>
      </c>
      <c r="BG2339">
        <v>0</v>
      </c>
      <c r="BH2339">
        <v>0</v>
      </c>
      <c r="BI2339">
        <v>0</v>
      </c>
      <c r="BJ2339">
        <v>4650</v>
      </c>
      <c r="BK2339">
        <v>50</v>
      </c>
      <c r="BL2339" t="s">
        <v>188</v>
      </c>
      <c r="BM2339">
        <v>1</v>
      </c>
      <c r="BN2339">
        <v>1</v>
      </c>
      <c r="BO2339">
        <v>0</v>
      </c>
      <c r="BP2339">
        <v>0</v>
      </c>
      <c r="BS2339">
        <v>0</v>
      </c>
      <c r="BT2339">
        <v>0</v>
      </c>
      <c r="BU2339">
        <v>0</v>
      </c>
      <c r="CE2339" t="str">
        <f t="shared" si="927"/>
        <v>15:11:01.725</v>
      </c>
      <c r="CF2339">
        <v>725288824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4</v>
      </c>
      <c r="CY2339">
        <v>7</v>
      </c>
      <c r="CZ2339" t="s">
        <v>133</v>
      </c>
      <c r="DA2339">
        <v>276</v>
      </c>
      <c r="DB2339">
        <v>0</v>
      </c>
      <c r="DC2339" t="s">
        <v>402</v>
      </c>
      <c r="DD2339" t="s">
        <v>403</v>
      </c>
      <c r="DG2339">
        <v>1627033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"05/01/2025 15:11:01.970"</f>
        <v>05/01/2025 15:11:01.970</v>
      </c>
      <c r="C2340" t="str">
        <f t="shared" si="912"/>
        <v>FFDFD3C0</v>
      </c>
      <c r="D2340" t="s">
        <v>140</v>
      </c>
      <c r="E2340" t="str">
        <f>"13"</f>
        <v>13</v>
      </c>
      <c r="F2340">
        <v>1019</v>
      </c>
      <c r="G2340" t="s">
        <v>141</v>
      </c>
      <c r="J2340" t="s">
        <v>142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R2340" t="s">
        <v>127</v>
      </c>
      <c r="S2340" t="str">
        <f t="shared" si="926"/>
        <v>15:11:01.000</v>
      </c>
      <c r="T2340" t="str">
        <f t="shared" si="926"/>
        <v>15:11:01.000</v>
      </c>
      <c r="U2340" t="str">
        <f t="shared" si="914"/>
        <v>A68FCB</v>
      </c>
      <c r="V2340">
        <v>0</v>
      </c>
      <c r="W2340">
        <v>0</v>
      </c>
      <c r="X2340">
        <v>2</v>
      </c>
      <c r="Y2340">
        <v>0</v>
      </c>
      <c r="AA2340">
        <v>1</v>
      </c>
      <c r="AB2340">
        <v>8</v>
      </c>
      <c r="AC2340">
        <v>3</v>
      </c>
      <c r="AD2340">
        <v>0</v>
      </c>
      <c r="AE2340">
        <v>9</v>
      </c>
      <c r="AF2340" t="s">
        <v>138</v>
      </c>
      <c r="AG2340">
        <v>0</v>
      </c>
      <c r="AH2340">
        <v>3</v>
      </c>
      <c r="AI2340">
        <v>2</v>
      </c>
      <c r="AJ2340">
        <v>0</v>
      </c>
      <c r="AK2340" t="s">
        <v>794</v>
      </c>
      <c r="AL2340">
        <v>39.073005000000002</v>
      </c>
      <c r="AM2340" t="s">
        <v>795</v>
      </c>
      <c r="AN2340">
        <v>-121.04008899999999</v>
      </c>
      <c r="AO2340">
        <v>25</v>
      </c>
      <c r="AP2340">
        <v>4600</v>
      </c>
      <c r="AQ2340" t="s">
        <v>131</v>
      </c>
      <c r="AR2340">
        <v>14</v>
      </c>
      <c r="AS2340">
        <v>87</v>
      </c>
      <c r="AT2340">
        <v>192</v>
      </c>
      <c r="BB2340" t="str">
        <f t="shared" si="915"/>
        <v>1200</v>
      </c>
      <c r="BC2340">
        <v>1</v>
      </c>
      <c r="BD2340" t="str">
        <f t="shared" si="916"/>
        <v xml:space="preserve">N52156  </v>
      </c>
      <c r="BE2340">
        <v>1</v>
      </c>
      <c r="BG2340">
        <v>0</v>
      </c>
      <c r="BH2340">
        <v>0</v>
      </c>
      <c r="BI2340">
        <v>0</v>
      </c>
      <c r="BJ2340">
        <v>4650</v>
      </c>
      <c r="BK2340">
        <v>50</v>
      </c>
      <c r="BL2340" t="s">
        <v>188</v>
      </c>
      <c r="BM2340">
        <v>1</v>
      </c>
      <c r="BN2340">
        <v>1</v>
      </c>
      <c r="BO2340">
        <v>0</v>
      </c>
      <c r="BP2340">
        <v>0</v>
      </c>
      <c r="BS2340">
        <v>0</v>
      </c>
      <c r="BT2340">
        <v>0</v>
      </c>
      <c r="BU2340">
        <v>0</v>
      </c>
      <c r="CE2340" t="str">
        <f t="shared" si="927"/>
        <v>15:11:01.725</v>
      </c>
      <c r="CF2340">
        <v>725288824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4</v>
      </c>
      <c r="CY2340">
        <v>7</v>
      </c>
      <c r="CZ2340" t="s">
        <v>133</v>
      </c>
      <c r="DA2340">
        <v>276</v>
      </c>
      <c r="DB2340">
        <v>0</v>
      </c>
      <c r="DC2340" t="s">
        <v>402</v>
      </c>
      <c r="DD2340" t="s">
        <v>403</v>
      </c>
      <c r="DG2340">
        <v>1627033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"05/01/2025 15:11:01.977"</f>
        <v>05/01/2025 15:11:01.977</v>
      </c>
      <c r="C2341" t="str">
        <f t="shared" si="912"/>
        <v>FFDFD3C0</v>
      </c>
      <c r="D2341" t="s">
        <v>124</v>
      </c>
      <c r="E2341" t="str">
        <f>"06"</f>
        <v>06</v>
      </c>
      <c r="F2341">
        <v>2006</v>
      </c>
      <c r="G2341" t="s">
        <v>125</v>
      </c>
      <c r="J2341" t="s">
        <v>126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R2341" t="s">
        <v>127</v>
      </c>
      <c r="S2341" t="str">
        <f t="shared" si="926"/>
        <v>15:11:01.000</v>
      </c>
      <c r="T2341" t="str">
        <f t="shared" si="926"/>
        <v>15:11:01.000</v>
      </c>
      <c r="U2341" t="str">
        <f t="shared" si="914"/>
        <v>A68FCB</v>
      </c>
      <c r="V2341">
        <v>0</v>
      </c>
      <c r="W2341">
        <v>0</v>
      </c>
      <c r="X2341">
        <v>2</v>
      </c>
      <c r="Y2341">
        <v>0</v>
      </c>
      <c r="AA2341">
        <v>1</v>
      </c>
      <c r="AB2341">
        <v>8</v>
      </c>
      <c r="AC2341">
        <v>3</v>
      </c>
      <c r="AD2341">
        <v>0</v>
      </c>
      <c r="AE2341">
        <v>9</v>
      </c>
      <c r="AF2341" t="s">
        <v>138</v>
      </c>
      <c r="AG2341">
        <v>0</v>
      </c>
      <c r="AH2341">
        <v>3</v>
      </c>
      <c r="AI2341">
        <v>2</v>
      </c>
      <c r="AJ2341">
        <v>0</v>
      </c>
      <c r="AK2341" t="s">
        <v>794</v>
      </c>
      <c r="AL2341">
        <v>39.073005000000002</v>
      </c>
      <c r="AM2341" t="s">
        <v>795</v>
      </c>
      <c r="AN2341">
        <v>-121.04008899999999</v>
      </c>
      <c r="AO2341">
        <v>25</v>
      </c>
      <c r="AP2341">
        <v>4600</v>
      </c>
      <c r="AQ2341" t="s">
        <v>131</v>
      </c>
      <c r="AR2341">
        <v>14</v>
      </c>
      <c r="AS2341">
        <v>87</v>
      </c>
      <c r="AT2341">
        <v>192</v>
      </c>
      <c r="BB2341" t="str">
        <f t="shared" si="915"/>
        <v>1200</v>
      </c>
      <c r="BC2341">
        <v>1</v>
      </c>
      <c r="BD2341" t="str">
        <f t="shared" si="916"/>
        <v xml:space="preserve">N52156  </v>
      </c>
      <c r="BE2341">
        <v>1</v>
      </c>
      <c r="BG2341">
        <v>0</v>
      </c>
      <c r="BH2341">
        <v>0</v>
      </c>
      <c r="BI2341">
        <v>0</v>
      </c>
      <c r="BJ2341">
        <v>4650</v>
      </c>
      <c r="BK2341">
        <v>50</v>
      </c>
      <c r="BL2341" t="s">
        <v>188</v>
      </c>
      <c r="BM2341">
        <v>1</v>
      </c>
      <c r="BN2341">
        <v>1</v>
      </c>
      <c r="BO2341">
        <v>0</v>
      </c>
      <c r="BP2341">
        <v>0</v>
      </c>
      <c r="BS2341">
        <v>0</v>
      </c>
      <c r="BT2341">
        <v>0</v>
      </c>
      <c r="BU2341">
        <v>0</v>
      </c>
      <c r="CE2341" t="str">
        <f t="shared" si="927"/>
        <v>15:11:01.725</v>
      </c>
      <c r="CF2341">
        <v>725288824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4</v>
      </c>
      <c r="CY2341">
        <v>7</v>
      </c>
      <c r="CZ2341" t="s">
        <v>133</v>
      </c>
      <c r="DA2341">
        <v>276</v>
      </c>
      <c r="DB2341">
        <v>0</v>
      </c>
      <c r="DC2341" t="s">
        <v>402</v>
      </c>
      <c r="DD2341" t="s">
        <v>403</v>
      </c>
      <c r="DG2341">
        <v>1627033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"05/01/2025 15:11:02.701"</f>
        <v>05/01/2025 15:11:02.701</v>
      </c>
      <c r="C2342" t="str">
        <f t="shared" si="912"/>
        <v>FFDFD3C0</v>
      </c>
      <c r="D2342" t="s">
        <v>143</v>
      </c>
      <c r="E2342" t="str">
        <f>"05"</f>
        <v>05</v>
      </c>
      <c r="H2342">
        <v>172</v>
      </c>
      <c r="I2342" t="s">
        <v>141</v>
      </c>
      <c r="J2342" t="s">
        <v>144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R2342" t="s">
        <v>127</v>
      </c>
      <c r="S2342" t="str">
        <f t="shared" ref="S2342:T2347" si="928">"15:11:02.000"</f>
        <v>15:11:02.000</v>
      </c>
      <c r="T2342" t="str">
        <f t="shared" si="928"/>
        <v>15:11:02.000</v>
      </c>
      <c r="U2342" t="str">
        <f t="shared" si="914"/>
        <v>A68FCB</v>
      </c>
      <c r="V2342">
        <v>0</v>
      </c>
      <c r="W2342">
        <v>0</v>
      </c>
      <c r="X2342">
        <v>2</v>
      </c>
      <c r="Y2342">
        <v>0</v>
      </c>
      <c r="AA2342">
        <v>1</v>
      </c>
      <c r="AB2342">
        <v>8</v>
      </c>
      <c r="AC2342">
        <v>3</v>
      </c>
      <c r="AD2342">
        <v>0</v>
      </c>
      <c r="AE2342">
        <v>9</v>
      </c>
      <c r="AF2342" t="s">
        <v>138</v>
      </c>
      <c r="AG2342">
        <v>0</v>
      </c>
      <c r="AH2342">
        <v>3</v>
      </c>
      <c r="AI2342">
        <v>2</v>
      </c>
      <c r="AJ2342">
        <v>0</v>
      </c>
      <c r="AK2342" t="s">
        <v>796</v>
      </c>
      <c r="AL2342">
        <v>39.073433999999999</v>
      </c>
      <c r="AM2342" t="s">
        <v>797</v>
      </c>
      <c r="AN2342">
        <v>-121.040025</v>
      </c>
      <c r="AO2342">
        <v>25</v>
      </c>
      <c r="AP2342">
        <v>4600</v>
      </c>
      <c r="AQ2342" t="s">
        <v>131</v>
      </c>
      <c r="AR2342">
        <v>13</v>
      </c>
      <c r="AS2342">
        <v>87</v>
      </c>
      <c r="AT2342">
        <v>64</v>
      </c>
      <c r="BB2342" t="str">
        <f t="shared" si="915"/>
        <v>1200</v>
      </c>
      <c r="BC2342">
        <v>1</v>
      </c>
      <c r="BD2342" t="str">
        <f t="shared" si="916"/>
        <v xml:space="preserve">N52156  </v>
      </c>
      <c r="BE2342">
        <v>1</v>
      </c>
      <c r="BG2342">
        <v>0</v>
      </c>
      <c r="BH2342">
        <v>0</v>
      </c>
      <c r="BI2342">
        <v>0</v>
      </c>
      <c r="BJ2342">
        <v>4650</v>
      </c>
      <c r="BK2342">
        <v>50</v>
      </c>
      <c r="BL2342" t="s">
        <v>188</v>
      </c>
      <c r="BM2342">
        <v>1</v>
      </c>
      <c r="BN2342">
        <v>1</v>
      </c>
      <c r="BO2342">
        <v>0</v>
      </c>
      <c r="BP2342">
        <v>0</v>
      </c>
      <c r="BS2342">
        <v>0</v>
      </c>
      <c r="BT2342">
        <v>0</v>
      </c>
      <c r="BU2342">
        <v>0</v>
      </c>
      <c r="CE2342" t="str">
        <f t="shared" ref="CE2342:CE2347" si="929">"15:11:02.508"</f>
        <v>15:11:02.508</v>
      </c>
      <c r="CF2342">
        <v>507718974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3</v>
      </c>
      <c r="CY2342">
        <v>7</v>
      </c>
      <c r="CZ2342" t="s">
        <v>133</v>
      </c>
      <c r="DA2342">
        <v>275</v>
      </c>
      <c r="DB2342">
        <v>0</v>
      </c>
      <c r="DC2342" t="s">
        <v>134</v>
      </c>
      <c r="DD2342" t="s">
        <v>135</v>
      </c>
      <c r="DG2342">
        <v>3321627</v>
      </c>
      <c r="DI2342">
        <v>1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"05/01/2025 15:11:02.721"</f>
        <v>05/01/2025 15:11:02.721</v>
      </c>
      <c r="C2343" t="str">
        <f t="shared" si="912"/>
        <v>FFDFD3C0</v>
      </c>
      <c r="D2343" t="s">
        <v>140</v>
      </c>
      <c r="E2343" t="str">
        <f>"13"</f>
        <v>13</v>
      </c>
      <c r="F2343">
        <v>1019</v>
      </c>
      <c r="G2343" t="s">
        <v>141</v>
      </c>
      <c r="J2343" t="s">
        <v>142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R2343" t="s">
        <v>127</v>
      </c>
      <c r="S2343" t="str">
        <f t="shared" si="928"/>
        <v>15:11:02.000</v>
      </c>
      <c r="T2343" t="str">
        <f t="shared" si="928"/>
        <v>15:11:02.000</v>
      </c>
      <c r="U2343" t="str">
        <f t="shared" si="914"/>
        <v>A68FCB</v>
      </c>
      <c r="V2343">
        <v>0</v>
      </c>
      <c r="W2343">
        <v>0</v>
      </c>
      <c r="X2343">
        <v>2</v>
      </c>
      <c r="Y2343">
        <v>0</v>
      </c>
      <c r="AA2343">
        <v>1</v>
      </c>
      <c r="AB2343">
        <v>8</v>
      </c>
      <c r="AC2343">
        <v>3</v>
      </c>
      <c r="AD2343">
        <v>0</v>
      </c>
      <c r="AE2343">
        <v>9</v>
      </c>
      <c r="AF2343" t="s">
        <v>138</v>
      </c>
      <c r="AG2343">
        <v>0</v>
      </c>
      <c r="AH2343">
        <v>3</v>
      </c>
      <c r="AI2343">
        <v>2</v>
      </c>
      <c r="AJ2343">
        <v>0</v>
      </c>
      <c r="AK2343" t="s">
        <v>796</v>
      </c>
      <c r="AL2343">
        <v>39.073433999999999</v>
      </c>
      <c r="AM2343" t="s">
        <v>797</v>
      </c>
      <c r="AN2343">
        <v>-121.040025</v>
      </c>
      <c r="AO2343">
        <v>25</v>
      </c>
      <c r="AP2343">
        <v>4600</v>
      </c>
      <c r="AQ2343" t="s">
        <v>131</v>
      </c>
      <c r="AR2343">
        <v>13</v>
      </c>
      <c r="AS2343">
        <v>87</v>
      </c>
      <c r="AT2343">
        <v>64</v>
      </c>
      <c r="BB2343" t="str">
        <f t="shared" si="915"/>
        <v>1200</v>
      </c>
      <c r="BC2343">
        <v>1</v>
      </c>
      <c r="BD2343" t="str">
        <f t="shared" si="916"/>
        <v xml:space="preserve">N52156  </v>
      </c>
      <c r="BE2343">
        <v>1</v>
      </c>
      <c r="BG2343">
        <v>0</v>
      </c>
      <c r="BH2343">
        <v>0</v>
      </c>
      <c r="BI2343">
        <v>0</v>
      </c>
      <c r="BJ2343">
        <v>4650</v>
      </c>
      <c r="BK2343">
        <v>50</v>
      </c>
      <c r="BL2343" t="s">
        <v>188</v>
      </c>
      <c r="BM2343">
        <v>1</v>
      </c>
      <c r="BN2343">
        <v>1</v>
      </c>
      <c r="BO2343">
        <v>0</v>
      </c>
      <c r="BP2343">
        <v>0</v>
      </c>
      <c r="BS2343">
        <v>0</v>
      </c>
      <c r="BT2343">
        <v>0</v>
      </c>
      <c r="BU2343">
        <v>0</v>
      </c>
      <c r="CE2343" t="str">
        <f t="shared" si="929"/>
        <v>15:11:02.508</v>
      </c>
      <c r="CF2343">
        <v>507718974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3</v>
      </c>
      <c r="CY2343">
        <v>7</v>
      </c>
      <c r="CZ2343" t="s">
        <v>133</v>
      </c>
      <c r="DA2343">
        <v>275</v>
      </c>
      <c r="DB2343">
        <v>0</v>
      </c>
      <c r="DC2343" t="s">
        <v>134</v>
      </c>
      <c r="DD2343" t="s">
        <v>135</v>
      </c>
      <c r="DG2343">
        <v>3321627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"05/01/2025 15:11:02.728"</f>
        <v>05/01/2025 15:11:02.728</v>
      </c>
      <c r="C2344" t="str">
        <f t="shared" si="912"/>
        <v>FFDFD3C0</v>
      </c>
      <c r="D2344" t="s">
        <v>124</v>
      </c>
      <c r="E2344" t="str">
        <f>"06"</f>
        <v>06</v>
      </c>
      <c r="F2344">
        <v>2006</v>
      </c>
      <c r="G2344" t="s">
        <v>125</v>
      </c>
      <c r="J2344" t="s">
        <v>126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R2344" t="s">
        <v>127</v>
      </c>
      <c r="S2344" t="str">
        <f t="shared" si="928"/>
        <v>15:11:02.000</v>
      </c>
      <c r="T2344" t="str">
        <f t="shared" si="928"/>
        <v>15:11:02.000</v>
      </c>
      <c r="U2344" t="str">
        <f t="shared" si="914"/>
        <v>A68FCB</v>
      </c>
      <c r="V2344">
        <v>0</v>
      </c>
      <c r="W2344">
        <v>0</v>
      </c>
      <c r="X2344">
        <v>2</v>
      </c>
      <c r="Y2344">
        <v>0</v>
      </c>
      <c r="AA2344">
        <v>1</v>
      </c>
      <c r="AB2344">
        <v>8</v>
      </c>
      <c r="AC2344">
        <v>3</v>
      </c>
      <c r="AD2344">
        <v>0</v>
      </c>
      <c r="AE2344">
        <v>9</v>
      </c>
      <c r="AF2344" t="s">
        <v>138</v>
      </c>
      <c r="AG2344">
        <v>0</v>
      </c>
      <c r="AH2344">
        <v>3</v>
      </c>
      <c r="AI2344">
        <v>2</v>
      </c>
      <c r="AJ2344">
        <v>0</v>
      </c>
      <c r="AK2344" t="s">
        <v>796</v>
      </c>
      <c r="AL2344">
        <v>39.073433999999999</v>
      </c>
      <c r="AM2344" t="s">
        <v>797</v>
      </c>
      <c r="AN2344">
        <v>-121.040025</v>
      </c>
      <c r="AO2344">
        <v>25</v>
      </c>
      <c r="AP2344">
        <v>4600</v>
      </c>
      <c r="AQ2344" t="s">
        <v>131</v>
      </c>
      <c r="AR2344">
        <v>13</v>
      </c>
      <c r="AS2344">
        <v>87</v>
      </c>
      <c r="AT2344">
        <v>64</v>
      </c>
      <c r="BB2344" t="str">
        <f t="shared" si="915"/>
        <v>1200</v>
      </c>
      <c r="BC2344">
        <v>1</v>
      </c>
      <c r="BD2344" t="str">
        <f t="shared" si="916"/>
        <v xml:space="preserve">N52156  </v>
      </c>
      <c r="BE2344">
        <v>1</v>
      </c>
      <c r="BG2344">
        <v>0</v>
      </c>
      <c r="BH2344">
        <v>0</v>
      </c>
      <c r="BI2344">
        <v>0</v>
      </c>
      <c r="BJ2344">
        <v>4650</v>
      </c>
      <c r="BK2344">
        <v>50</v>
      </c>
      <c r="BL2344" t="s">
        <v>188</v>
      </c>
      <c r="BM2344">
        <v>1</v>
      </c>
      <c r="BN2344">
        <v>1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 t="shared" si="929"/>
        <v>15:11:02.508</v>
      </c>
      <c r="CF2344">
        <v>507718974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3</v>
      </c>
      <c r="CY2344">
        <v>7</v>
      </c>
      <c r="CZ2344" t="s">
        <v>133</v>
      </c>
      <c r="DA2344">
        <v>275</v>
      </c>
      <c r="DB2344">
        <v>0</v>
      </c>
      <c r="DC2344" t="s">
        <v>134</v>
      </c>
      <c r="DD2344" t="s">
        <v>135</v>
      </c>
      <c r="DG2344">
        <v>3321627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"05/01/2025 15:11:02.737"</f>
        <v>05/01/2025 15:11:02.737</v>
      </c>
      <c r="C2345" t="str">
        <f t="shared" si="912"/>
        <v>FFDFD3C0</v>
      </c>
      <c r="D2345" t="s">
        <v>145</v>
      </c>
      <c r="E2345" t="str">
        <f>"05"</f>
        <v>05</v>
      </c>
      <c r="H2345">
        <v>47</v>
      </c>
      <c r="I2345" t="s">
        <v>146</v>
      </c>
      <c r="J2345" t="s">
        <v>138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R2345" t="s">
        <v>127</v>
      </c>
      <c r="S2345" t="str">
        <f t="shared" si="928"/>
        <v>15:11:02.000</v>
      </c>
      <c r="T2345" t="str">
        <f t="shared" si="928"/>
        <v>15:11:02.000</v>
      </c>
      <c r="U2345" t="str">
        <f t="shared" si="914"/>
        <v>A68FCB</v>
      </c>
      <c r="V2345">
        <v>0</v>
      </c>
      <c r="W2345">
        <v>0</v>
      </c>
      <c r="X2345">
        <v>2</v>
      </c>
      <c r="Y2345">
        <v>0</v>
      </c>
      <c r="AA2345">
        <v>1</v>
      </c>
      <c r="AB2345">
        <v>8</v>
      </c>
      <c r="AC2345">
        <v>3</v>
      </c>
      <c r="AD2345">
        <v>0</v>
      </c>
      <c r="AE2345">
        <v>9</v>
      </c>
      <c r="AF2345" t="s">
        <v>138</v>
      </c>
      <c r="AG2345">
        <v>0</v>
      </c>
      <c r="AH2345">
        <v>3</v>
      </c>
      <c r="AI2345">
        <v>2</v>
      </c>
      <c r="AJ2345">
        <v>0</v>
      </c>
      <c r="AK2345" t="s">
        <v>796</v>
      </c>
      <c r="AL2345">
        <v>39.073433999999999</v>
      </c>
      <c r="AM2345" t="s">
        <v>797</v>
      </c>
      <c r="AN2345">
        <v>-121.040025</v>
      </c>
      <c r="AO2345">
        <v>25</v>
      </c>
      <c r="AP2345">
        <v>4600</v>
      </c>
      <c r="AQ2345" t="s">
        <v>131</v>
      </c>
      <c r="AR2345">
        <v>13</v>
      </c>
      <c r="AS2345">
        <v>87</v>
      </c>
      <c r="AT2345">
        <v>64</v>
      </c>
      <c r="BB2345" t="str">
        <f t="shared" si="915"/>
        <v>1200</v>
      </c>
      <c r="BC2345">
        <v>1</v>
      </c>
      <c r="BD2345" t="str">
        <f t="shared" si="916"/>
        <v xml:space="preserve">N52156  </v>
      </c>
      <c r="BE2345">
        <v>1</v>
      </c>
      <c r="BG2345">
        <v>0</v>
      </c>
      <c r="BH2345">
        <v>0</v>
      </c>
      <c r="BI2345">
        <v>0</v>
      </c>
      <c r="BJ2345">
        <v>4650</v>
      </c>
      <c r="BK2345">
        <v>50</v>
      </c>
      <c r="BL2345" t="s">
        <v>188</v>
      </c>
      <c r="BM2345">
        <v>1</v>
      </c>
      <c r="BN2345">
        <v>1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 t="shared" si="929"/>
        <v>15:11:02.508</v>
      </c>
      <c r="CF2345">
        <v>507718974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3</v>
      </c>
      <c r="CY2345">
        <v>7</v>
      </c>
      <c r="CZ2345" t="s">
        <v>133</v>
      </c>
      <c r="DA2345">
        <v>275</v>
      </c>
      <c r="DB2345">
        <v>0</v>
      </c>
      <c r="DC2345" t="s">
        <v>134</v>
      </c>
      <c r="DD2345" t="s">
        <v>135</v>
      </c>
      <c r="DG2345">
        <v>3321627</v>
      </c>
      <c r="DI2345">
        <v>1</v>
      </c>
      <c r="DJ2345">
        <v>0</v>
      </c>
      <c r="DK2345">
        <v>1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"05/01/2025 15:11:02.737"</f>
        <v>05/01/2025 15:11:02.737</v>
      </c>
      <c r="C2346" t="str">
        <f t="shared" si="912"/>
        <v>FFDFD3C0</v>
      </c>
      <c r="D2346" t="s">
        <v>145</v>
      </c>
      <c r="E2346" t="str">
        <f>"09"</f>
        <v>09</v>
      </c>
      <c r="H2346">
        <v>51</v>
      </c>
      <c r="I2346" t="s">
        <v>147</v>
      </c>
      <c r="J2346" t="s">
        <v>138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R2346" t="s">
        <v>127</v>
      </c>
      <c r="S2346" t="str">
        <f t="shared" si="928"/>
        <v>15:11:02.000</v>
      </c>
      <c r="T2346" t="str">
        <f t="shared" si="928"/>
        <v>15:11:02.000</v>
      </c>
      <c r="U2346" t="str">
        <f t="shared" si="914"/>
        <v>A68FCB</v>
      </c>
      <c r="V2346">
        <v>0</v>
      </c>
      <c r="W2346">
        <v>0</v>
      </c>
      <c r="X2346">
        <v>2</v>
      </c>
      <c r="Y2346">
        <v>0</v>
      </c>
      <c r="AA2346">
        <v>1</v>
      </c>
      <c r="AB2346">
        <v>8</v>
      </c>
      <c r="AC2346">
        <v>3</v>
      </c>
      <c r="AD2346">
        <v>0</v>
      </c>
      <c r="AE2346">
        <v>9</v>
      </c>
      <c r="AF2346" t="s">
        <v>138</v>
      </c>
      <c r="AG2346">
        <v>0</v>
      </c>
      <c r="AH2346">
        <v>3</v>
      </c>
      <c r="AI2346">
        <v>2</v>
      </c>
      <c r="AJ2346">
        <v>0</v>
      </c>
      <c r="AK2346" t="s">
        <v>796</v>
      </c>
      <c r="AL2346">
        <v>39.073433999999999</v>
      </c>
      <c r="AM2346" t="s">
        <v>797</v>
      </c>
      <c r="AN2346">
        <v>-121.040025</v>
      </c>
      <c r="AO2346">
        <v>25</v>
      </c>
      <c r="AP2346">
        <v>4600</v>
      </c>
      <c r="AQ2346" t="s">
        <v>131</v>
      </c>
      <c r="AR2346">
        <v>13</v>
      </c>
      <c r="AS2346">
        <v>87</v>
      </c>
      <c r="AT2346">
        <v>64</v>
      </c>
      <c r="BB2346" t="str">
        <f t="shared" si="915"/>
        <v>1200</v>
      </c>
      <c r="BC2346">
        <v>1</v>
      </c>
      <c r="BD2346" t="str">
        <f t="shared" si="916"/>
        <v xml:space="preserve">N52156  </v>
      </c>
      <c r="BE2346">
        <v>1</v>
      </c>
      <c r="BG2346">
        <v>0</v>
      </c>
      <c r="BH2346">
        <v>0</v>
      </c>
      <c r="BI2346">
        <v>0</v>
      </c>
      <c r="BJ2346">
        <v>4650</v>
      </c>
      <c r="BK2346">
        <v>50</v>
      </c>
      <c r="BL2346" t="s">
        <v>188</v>
      </c>
      <c r="BM2346">
        <v>1</v>
      </c>
      <c r="BN2346">
        <v>1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 t="shared" si="929"/>
        <v>15:11:02.508</v>
      </c>
      <c r="CF2346">
        <v>507718974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3</v>
      </c>
      <c r="CY2346">
        <v>7</v>
      </c>
      <c r="CZ2346" t="s">
        <v>133</v>
      </c>
      <c r="DA2346">
        <v>275</v>
      </c>
      <c r="DB2346">
        <v>0</v>
      </c>
      <c r="DC2346" t="s">
        <v>134</v>
      </c>
      <c r="DD2346" t="s">
        <v>135</v>
      </c>
      <c r="DG2346">
        <v>3321627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"05/01/2025 15:11:02.744"</f>
        <v>05/01/2025 15:11:02.744</v>
      </c>
      <c r="C2347" t="str">
        <f t="shared" si="912"/>
        <v>FFDFD3C0</v>
      </c>
      <c r="D2347" t="s">
        <v>136</v>
      </c>
      <c r="E2347" t="str">
        <f>"20"</f>
        <v>20</v>
      </c>
      <c r="H2347">
        <v>400</v>
      </c>
      <c r="I2347" t="s">
        <v>137</v>
      </c>
      <c r="J2347" t="s">
        <v>138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R2347" t="s">
        <v>127</v>
      </c>
      <c r="S2347" t="str">
        <f t="shared" si="928"/>
        <v>15:11:02.000</v>
      </c>
      <c r="T2347" t="str">
        <f t="shared" si="928"/>
        <v>15:11:02.000</v>
      </c>
      <c r="U2347" t="str">
        <f t="shared" si="914"/>
        <v>A68FCB</v>
      </c>
      <c r="V2347">
        <v>0</v>
      </c>
      <c r="W2347">
        <v>0</v>
      </c>
      <c r="X2347">
        <v>2</v>
      </c>
      <c r="Y2347">
        <v>0</v>
      </c>
      <c r="AA2347">
        <v>1</v>
      </c>
      <c r="AB2347">
        <v>8</v>
      </c>
      <c r="AC2347">
        <v>3</v>
      </c>
      <c r="AD2347">
        <v>0</v>
      </c>
      <c r="AE2347">
        <v>9</v>
      </c>
      <c r="AF2347" t="s">
        <v>138</v>
      </c>
      <c r="AG2347">
        <v>0</v>
      </c>
      <c r="AH2347">
        <v>3</v>
      </c>
      <c r="AI2347">
        <v>2</v>
      </c>
      <c r="AJ2347">
        <v>0</v>
      </c>
      <c r="AK2347" t="s">
        <v>796</v>
      </c>
      <c r="AL2347">
        <v>39.073433999999999</v>
      </c>
      <c r="AM2347" t="s">
        <v>797</v>
      </c>
      <c r="AN2347">
        <v>-121.040025</v>
      </c>
      <c r="AO2347">
        <v>25</v>
      </c>
      <c r="AP2347">
        <v>4600</v>
      </c>
      <c r="AQ2347" t="s">
        <v>131</v>
      </c>
      <c r="AR2347">
        <v>13</v>
      </c>
      <c r="AS2347">
        <v>87</v>
      </c>
      <c r="AT2347">
        <v>64</v>
      </c>
      <c r="BB2347" t="str">
        <f t="shared" si="915"/>
        <v>1200</v>
      </c>
      <c r="BC2347">
        <v>1</v>
      </c>
      <c r="BD2347" t="str">
        <f t="shared" si="916"/>
        <v xml:space="preserve">N52156  </v>
      </c>
      <c r="BE2347">
        <v>1</v>
      </c>
      <c r="BG2347">
        <v>0</v>
      </c>
      <c r="BH2347">
        <v>0</v>
      </c>
      <c r="BI2347">
        <v>0</v>
      </c>
      <c r="BJ2347">
        <v>4650</v>
      </c>
      <c r="BK2347">
        <v>50</v>
      </c>
      <c r="BL2347" t="s">
        <v>188</v>
      </c>
      <c r="BM2347">
        <v>1</v>
      </c>
      <c r="BN2347">
        <v>1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 t="shared" si="929"/>
        <v>15:11:02.508</v>
      </c>
      <c r="CF2347">
        <v>507718974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3</v>
      </c>
      <c r="CY2347">
        <v>7</v>
      </c>
      <c r="CZ2347" t="s">
        <v>133</v>
      </c>
      <c r="DA2347">
        <v>275</v>
      </c>
      <c r="DB2347">
        <v>0</v>
      </c>
      <c r="DC2347" t="s">
        <v>134</v>
      </c>
      <c r="DD2347" t="s">
        <v>135</v>
      </c>
      <c r="DG2347">
        <v>3321627</v>
      </c>
      <c r="DI2347">
        <v>1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"05/01/2025 15:11:04.173"</f>
        <v>05/01/2025 15:11:04.173</v>
      </c>
      <c r="C2348" t="str">
        <f t="shared" si="912"/>
        <v>FFDFD3C0</v>
      </c>
      <c r="D2348" t="s">
        <v>140</v>
      </c>
      <c r="E2348" t="str">
        <f>"13"</f>
        <v>13</v>
      </c>
      <c r="F2348">
        <v>1019</v>
      </c>
      <c r="G2348" t="s">
        <v>141</v>
      </c>
      <c r="J2348" t="s">
        <v>142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R2348" t="s">
        <v>127</v>
      </c>
      <c r="S2348" t="str">
        <f t="shared" ref="S2348:T2353" si="930">"15:11:03.000"</f>
        <v>15:11:03.000</v>
      </c>
      <c r="T2348" t="str">
        <f t="shared" si="930"/>
        <v>15:11:03.000</v>
      </c>
      <c r="U2348" t="str">
        <f t="shared" si="914"/>
        <v>A68FCB</v>
      </c>
      <c r="V2348">
        <v>0</v>
      </c>
      <c r="W2348">
        <v>0</v>
      </c>
      <c r="X2348">
        <v>2</v>
      </c>
      <c r="Y2348">
        <v>0</v>
      </c>
      <c r="AA2348">
        <v>1</v>
      </c>
      <c r="AB2348">
        <v>8</v>
      </c>
      <c r="AC2348">
        <v>3</v>
      </c>
      <c r="AD2348">
        <v>0</v>
      </c>
      <c r="AE2348">
        <v>9</v>
      </c>
      <c r="AF2348" t="s">
        <v>138</v>
      </c>
      <c r="AG2348">
        <v>0</v>
      </c>
      <c r="AH2348">
        <v>3</v>
      </c>
      <c r="AI2348">
        <v>2</v>
      </c>
      <c r="AJ2348">
        <v>0</v>
      </c>
      <c r="AK2348" t="s">
        <v>798</v>
      </c>
      <c r="AL2348">
        <v>39.073819999999998</v>
      </c>
      <c r="AM2348" t="s">
        <v>799</v>
      </c>
      <c r="AN2348">
        <v>-121.039939</v>
      </c>
      <c r="AO2348">
        <v>25</v>
      </c>
      <c r="AP2348">
        <v>4600</v>
      </c>
      <c r="AQ2348" t="s">
        <v>131</v>
      </c>
      <c r="AR2348">
        <v>13</v>
      </c>
      <c r="AS2348">
        <v>89</v>
      </c>
      <c r="AT2348">
        <v>-64</v>
      </c>
      <c r="BB2348" t="str">
        <f t="shared" si="915"/>
        <v>1200</v>
      </c>
      <c r="BC2348">
        <v>1</v>
      </c>
      <c r="BD2348" t="str">
        <f t="shared" si="916"/>
        <v xml:space="preserve">N52156  </v>
      </c>
      <c r="BE2348">
        <v>1</v>
      </c>
      <c r="BG2348">
        <v>0</v>
      </c>
      <c r="BH2348">
        <v>0</v>
      </c>
      <c r="BI2348">
        <v>0</v>
      </c>
      <c r="BJ2348">
        <v>4650</v>
      </c>
      <c r="BK2348">
        <v>50</v>
      </c>
      <c r="BL2348" t="s">
        <v>188</v>
      </c>
      <c r="BM2348">
        <v>1</v>
      </c>
      <c r="BN2348">
        <v>1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 t="shared" ref="CE2348:CE2353" si="931">"15:11:03.962"</f>
        <v>15:11:03.962</v>
      </c>
      <c r="CF2348">
        <v>962220277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4</v>
      </c>
      <c r="CY2348">
        <v>7</v>
      </c>
      <c r="CZ2348" t="s">
        <v>133</v>
      </c>
      <c r="DA2348">
        <v>275</v>
      </c>
      <c r="DB2348">
        <v>0</v>
      </c>
      <c r="DC2348" t="s">
        <v>134</v>
      </c>
      <c r="DD2348" t="s">
        <v>135</v>
      </c>
      <c r="DG2348">
        <v>3321636</v>
      </c>
      <c r="DI2348">
        <v>1</v>
      </c>
      <c r="DJ2348">
        <v>0</v>
      </c>
      <c r="DK2348">
        <v>0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"05/01/2025 15:11:04.180"</f>
        <v>05/01/2025 15:11:04.180</v>
      </c>
      <c r="C2349" t="str">
        <f t="shared" si="912"/>
        <v>FFDFD3C0</v>
      </c>
      <c r="D2349" t="s">
        <v>124</v>
      </c>
      <c r="E2349" t="str">
        <f>"06"</f>
        <v>06</v>
      </c>
      <c r="F2349">
        <v>2006</v>
      </c>
      <c r="G2349" t="s">
        <v>125</v>
      </c>
      <c r="J2349" t="s">
        <v>126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R2349" t="s">
        <v>127</v>
      </c>
      <c r="S2349" t="str">
        <f t="shared" si="930"/>
        <v>15:11:03.000</v>
      </c>
      <c r="T2349" t="str">
        <f t="shared" si="930"/>
        <v>15:11:03.000</v>
      </c>
      <c r="U2349" t="str">
        <f t="shared" si="914"/>
        <v>A68FCB</v>
      </c>
      <c r="V2349">
        <v>0</v>
      </c>
      <c r="W2349">
        <v>0</v>
      </c>
      <c r="X2349">
        <v>2</v>
      </c>
      <c r="Y2349">
        <v>0</v>
      </c>
      <c r="AA2349">
        <v>1</v>
      </c>
      <c r="AB2349">
        <v>8</v>
      </c>
      <c r="AC2349">
        <v>3</v>
      </c>
      <c r="AD2349">
        <v>0</v>
      </c>
      <c r="AE2349">
        <v>9</v>
      </c>
      <c r="AF2349" t="s">
        <v>138</v>
      </c>
      <c r="AG2349">
        <v>0</v>
      </c>
      <c r="AH2349">
        <v>3</v>
      </c>
      <c r="AI2349">
        <v>2</v>
      </c>
      <c r="AJ2349">
        <v>0</v>
      </c>
      <c r="AK2349" t="s">
        <v>798</v>
      </c>
      <c r="AL2349">
        <v>39.073819999999998</v>
      </c>
      <c r="AM2349" t="s">
        <v>799</v>
      </c>
      <c r="AN2349">
        <v>-121.039939</v>
      </c>
      <c r="AO2349">
        <v>25</v>
      </c>
      <c r="AP2349">
        <v>4600</v>
      </c>
      <c r="AQ2349" t="s">
        <v>131</v>
      </c>
      <c r="AR2349">
        <v>13</v>
      </c>
      <c r="AS2349">
        <v>89</v>
      </c>
      <c r="AT2349">
        <v>-64</v>
      </c>
      <c r="BB2349" t="str">
        <f t="shared" si="915"/>
        <v>1200</v>
      </c>
      <c r="BC2349">
        <v>1</v>
      </c>
      <c r="BD2349" t="str">
        <f t="shared" si="916"/>
        <v xml:space="preserve">N52156  </v>
      </c>
      <c r="BE2349">
        <v>1</v>
      </c>
      <c r="BG2349">
        <v>0</v>
      </c>
      <c r="BH2349">
        <v>0</v>
      </c>
      <c r="BI2349">
        <v>0</v>
      </c>
      <c r="BJ2349">
        <v>4650</v>
      </c>
      <c r="BK2349">
        <v>50</v>
      </c>
      <c r="BL2349" t="s">
        <v>188</v>
      </c>
      <c r="BM2349">
        <v>1</v>
      </c>
      <c r="BN2349">
        <v>1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 t="shared" si="931"/>
        <v>15:11:03.962</v>
      </c>
      <c r="CF2349">
        <v>962220277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4</v>
      </c>
      <c r="CY2349">
        <v>7</v>
      </c>
      <c r="CZ2349" t="s">
        <v>133</v>
      </c>
      <c r="DA2349">
        <v>275</v>
      </c>
      <c r="DB2349">
        <v>0</v>
      </c>
      <c r="DC2349" t="s">
        <v>134</v>
      </c>
      <c r="DD2349" t="s">
        <v>135</v>
      </c>
      <c r="DG2349">
        <v>3321636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"05/01/2025 15:11:04.189"</f>
        <v>05/01/2025 15:11:04.189</v>
      </c>
      <c r="C2350" t="str">
        <f t="shared" si="912"/>
        <v>FFDFD3C0</v>
      </c>
      <c r="D2350" t="s">
        <v>145</v>
      </c>
      <c r="E2350" t="str">
        <f>"05"</f>
        <v>05</v>
      </c>
      <c r="H2350">
        <v>47</v>
      </c>
      <c r="I2350" t="s">
        <v>146</v>
      </c>
      <c r="J2350" t="s">
        <v>138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R2350" t="s">
        <v>127</v>
      </c>
      <c r="S2350" t="str">
        <f t="shared" si="930"/>
        <v>15:11:03.000</v>
      </c>
      <c r="T2350" t="str">
        <f t="shared" si="930"/>
        <v>15:11:03.000</v>
      </c>
      <c r="U2350" t="str">
        <f t="shared" si="914"/>
        <v>A68FCB</v>
      </c>
      <c r="V2350">
        <v>0</v>
      </c>
      <c r="W2350">
        <v>0</v>
      </c>
      <c r="X2350">
        <v>2</v>
      </c>
      <c r="Y2350">
        <v>0</v>
      </c>
      <c r="AA2350">
        <v>1</v>
      </c>
      <c r="AB2350">
        <v>8</v>
      </c>
      <c r="AC2350">
        <v>3</v>
      </c>
      <c r="AD2350">
        <v>0</v>
      </c>
      <c r="AE2350">
        <v>9</v>
      </c>
      <c r="AF2350" t="s">
        <v>138</v>
      </c>
      <c r="AG2350">
        <v>0</v>
      </c>
      <c r="AH2350">
        <v>3</v>
      </c>
      <c r="AI2350">
        <v>2</v>
      </c>
      <c r="AJ2350">
        <v>0</v>
      </c>
      <c r="AK2350" t="s">
        <v>798</v>
      </c>
      <c r="AL2350">
        <v>39.073819999999998</v>
      </c>
      <c r="AM2350" t="s">
        <v>799</v>
      </c>
      <c r="AN2350">
        <v>-121.039939</v>
      </c>
      <c r="AO2350">
        <v>25</v>
      </c>
      <c r="AP2350">
        <v>4600</v>
      </c>
      <c r="AQ2350" t="s">
        <v>131</v>
      </c>
      <c r="AR2350">
        <v>13</v>
      </c>
      <c r="AS2350">
        <v>89</v>
      </c>
      <c r="AT2350">
        <v>-64</v>
      </c>
      <c r="BB2350" t="str">
        <f t="shared" si="915"/>
        <v>1200</v>
      </c>
      <c r="BC2350">
        <v>1</v>
      </c>
      <c r="BD2350" t="str">
        <f t="shared" si="916"/>
        <v xml:space="preserve">N52156  </v>
      </c>
      <c r="BE2350">
        <v>1</v>
      </c>
      <c r="BG2350">
        <v>0</v>
      </c>
      <c r="BH2350">
        <v>0</v>
      </c>
      <c r="BI2350">
        <v>0</v>
      </c>
      <c r="BJ2350">
        <v>4650</v>
      </c>
      <c r="BK2350">
        <v>50</v>
      </c>
      <c r="BL2350" t="s">
        <v>188</v>
      </c>
      <c r="BM2350">
        <v>1</v>
      </c>
      <c r="BN2350">
        <v>1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 t="shared" si="931"/>
        <v>15:11:03.962</v>
      </c>
      <c r="CF2350">
        <v>962220277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4</v>
      </c>
      <c r="CY2350">
        <v>7</v>
      </c>
      <c r="CZ2350" t="s">
        <v>133</v>
      </c>
      <c r="DA2350">
        <v>275</v>
      </c>
      <c r="DB2350">
        <v>0</v>
      </c>
      <c r="DC2350" t="s">
        <v>134</v>
      </c>
      <c r="DD2350" t="s">
        <v>135</v>
      </c>
      <c r="DG2350">
        <v>3321636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"05/01/2025 15:11:04.189"</f>
        <v>05/01/2025 15:11:04.189</v>
      </c>
      <c r="C2351" t="str">
        <f t="shared" si="912"/>
        <v>FFDFD3C0</v>
      </c>
      <c r="D2351" t="s">
        <v>145</v>
      </c>
      <c r="E2351" t="str">
        <f>"09"</f>
        <v>09</v>
      </c>
      <c r="H2351">
        <v>51</v>
      </c>
      <c r="I2351" t="s">
        <v>147</v>
      </c>
      <c r="J2351" t="s">
        <v>138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R2351" t="s">
        <v>127</v>
      </c>
      <c r="S2351" t="str">
        <f t="shared" si="930"/>
        <v>15:11:03.000</v>
      </c>
      <c r="T2351" t="str">
        <f t="shared" si="930"/>
        <v>15:11:03.000</v>
      </c>
      <c r="U2351" t="str">
        <f t="shared" si="914"/>
        <v>A68FCB</v>
      </c>
      <c r="V2351">
        <v>0</v>
      </c>
      <c r="W2351">
        <v>0</v>
      </c>
      <c r="X2351">
        <v>2</v>
      </c>
      <c r="Y2351">
        <v>0</v>
      </c>
      <c r="AA2351">
        <v>1</v>
      </c>
      <c r="AB2351">
        <v>8</v>
      </c>
      <c r="AC2351">
        <v>3</v>
      </c>
      <c r="AD2351">
        <v>0</v>
      </c>
      <c r="AE2351">
        <v>9</v>
      </c>
      <c r="AF2351" t="s">
        <v>138</v>
      </c>
      <c r="AG2351">
        <v>0</v>
      </c>
      <c r="AH2351">
        <v>3</v>
      </c>
      <c r="AI2351">
        <v>2</v>
      </c>
      <c r="AJ2351">
        <v>0</v>
      </c>
      <c r="AK2351" t="s">
        <v>798</v>
      </c>
      <c r="AL2351">
        <v>39.073819999999998</v>
      </c>
      <c r="AM2351" t="s">
        <v>799</v>
      </c>
      <c r="AN2351">
        <v>-121.039939</v>
      </c>
      <c r="AO2351">
        <v>25</v>
      </c>
      <c r="AP2351">
        <v>4600</v>
      </c>
      <c r="AQ2351" t="s">
        <v>131</v>
      </c>
      <c r="AR2351">
        <v>13</v>
      </c>
      <c r="AS2351">
        <v>89</v>
      </c>
      <c r="AT2351">
        <v>-64</v>
      </c>
      <c r="BB2351" t="str">
        <f t="shared" si="915"/>
        <v>1200</v>
      </c>
      <c r="BC2351">
        <v>1</v>
      </c>
      <c r="BD2351" t="str">
        <f t="shared" si="916"/>
        <v xml:space="preserve">N52156  </v>
      </c>
      <c r="BE2351">
        <v>1</v>
      </c>
      <c r="BG2351">
        <v>0</v>
      </c>
      <c r="BH2351">
        <v>0</v>
      </c>
      <c r="BI2351">
        <v>0</v>
      </c>
      <c r="BJ2351">
        <v>4650</v>
      </c>
      <c r="BK2351">
        <v>50</v>
      </c>
      <c r="BL2351" t="s">
        <v>188</v>
      </c>
      <c r="BM2351">
        <v>1</v>
      </c>
      <c r="BN2351">
        <v>1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 t="shared" si="931"/>
        <v>15:11:03.962</v>
      </c>
      <c r="CF2351">
        <v>962220277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4</v>
      </c>
      <c r="CY2351">
        <v>7</v>
      </c>
      <c r="CZ2351" t="s">
        <v>133</v>
      </c>
      <c r="DA2351">
        <v>275</v>
      </c>
      <c r="DB2351">
        <v>0</v>
      </c>
      <c r="DC2351" t="s">
        <v>134</v>
      </c>
      <c r="DD2351" t="s">
        <v>135</v>
      </c>
      <c r="DG2351">
        <v>3321636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"05/01/2025 15:11:04.197"</f>
        <v>05/01/2025 15:11:04.197</v>
      </c>
      <c r="C2352" t="str">
        <f t="shared" si="912"/>
        <v>FFDFD3C0</v>
      </c>
      <c r="D2352" t="s">
        <v>136</v>
      </c>
      <c r="E2352" t="str">
        <f>"20"</f>
        <v>20</v>
      </c>
      <c r="H2352">
        <v>400</v>
      </c>
      <c r="I2352" t="s">
        <v>137</v>
      </c>
      <c r="J2352" t="s">
        <v>138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R2352" t="s">
        <v>127</v>
      </c>
      <c r="S2352" t="str">
        <f t="shared" si="930"/>
        <v>15:11:03.000</v>
      </c>
      <c r="T2352" t="str">
        <f t="shared" si="930"/>
        <v>15:11:03.000</v>
      </c>
      <c r="U2352" t="str">
        <f t="shared" si="914"/>
        <v>A68FCB</v>
      </c>
      <c r="V2352">
        <v>0</v>
      </c>
      <c r="W2352">
        <v>0</v>
      </c>
      <c r="X2352">
        <v>2</v>
      </c>
      <c r="Y2352">
        <v>0</v>
      </c>
      <c r="AA2352">
        <v>1</v>
      </c>
      <c r="AB2352">
        <v>8</v>
      </c>
      <c r="AC2352">
        <v>3</v>
      </c>
      <c r="AD2352">
        <v>0</v>
      </c>
      <c r="AE2352">
        <v>9</v>
      </c>
      <c r="AF2352" t="s">
        <v>138</v>
      </c>
      <c r="AG2352">
        <v>0</v>
      </c>
      <c r="AH2352">
        <v>3</v>
      </c>
      <c r="AI2352">
        <v>2</v>
      </c>
      <c r="AJ2352">
        <v>0</v>
      </c>
      <c r="AK2352" t="s">
        <v>798</v>
      </c>
      <c r="AL2352">
        <v>39.073819999999998</v>
      </c>
      <c r="AM2352" t="s">
        <v>799</v>
      </c>
      <c r="AN2352">
        <v>-121.039939</v>
      </c>
      <c r="AO2352">
        <v>25</v>
      </c>
      <c r="AP2352">
        <v>4600</v>
      </c>
      <c r="AQ2352" t="s">
        <v>131</v>
      </c>
      <c r="AR2352">
        <v>13</v>
      </c>
      <c r="AS2352">
        <v>89</v>
      </c>
      <c r="AT2352">
        <v>-64</v>
      </c>
      <c r="BB2352" t="str">
        <f t="shared" si="915"/>
        <v>1200</v>
      </c>
      <c r="BC2352">
        <v>1</v>
      </c>
      <c r="BD2352" t="str">
        <f t="shared" si="916"/>
        <v xml:space="preserve">N52156  </v>
      </c>
      <c r="BE2352">
        <v>1</v>
      </c>
      <c r="BG2352">
        <v>0</v>
      </c>
      <c r="BH2352">
        <v>0</v>
      </c>
      <c r="BI2352">
        <v>0</v>
      </c>
      <c r="BJ2352">
        <v>4650</v>
      </c>
      <c r="BK2352">
        <v>50</v>
      </c>
      <c r="BL2352" t="s">
        <v>188</v>
      </c>
      <c r="BM2352">
        <v>1</v>
      </c>
      <c r="BN2352">
        <v>1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 t="shared" si="931"/>
        <v>15:11:03.962</v>
      </c>
      <c r="CF2352">
        <v>962220277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4</v>
      </c>
      <c r="CY2352">
        <v>7</v>
      </c>
      <c r="CZ2352" t="s">
        <v>133</v>
      </c>
      <c r="DA2352">
        <v>275</v>
      </c>
      <c r="DB2352">
        <v>0</v>
      </c>
      <c r="DC2352" t="s">
        <v>134</v>
      </c>
      <c r="DD2352" t="s">
        <v>135</v>
      </c>
      <c r="DG2352">
        <v>3321636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"05/01/2025 15:11:04.203"</f>
        <v>05/01/2025 15:11:04.203</v>
      </c>
      <c r="C2353" t="str">
        <f t="shared" si="912"/>
        <v>FFDFD3C0</v>
      </c>
      <c r="D2353" t="s">
        <v>143</v>
      </c>
      <c r="E2353" t="str">
        <f>"05"</f>
        <v>05</v>
      </c>
      <c r="H2353">
        <v>172</v>
      </c>
      <c r="I2353" t="s">
        <v>141</v>
      </c>
      <c r="J2353" t="s">
        <v>144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R2353" t="s">
        <v>127</v>
      </c>
      <c r="S2353" t="str">
        <f t="shared" si="930"/>
        <v>15:11:03.000</v>
      </c>
      <c r="T2353" t="str">
        <f t="shared" si="930"/>
        <v>15:11:03.000</v>
      </c>
      <c r="U2353" t="str">
        <f t="shared" si="914"/>
        <v>A68FCB</v>
      </c>
      <c r="V2353">
        <v>0</v>
      </c>
      <c r="W2353">
        <v>0</v>
      </c>
      <c r="X2353">
        <v>2</v>
      </c>
      <c r="Y2353">
        <v>0</v>
      </c>
      <c r="AA2353">
        <v>1</v>
      </c>
      <c r="AB2353">
        <v>8</v>
      </c>
      <c r="AC2353">
        <v>3</v>
      </c>
      <c r="AD2353">
        <v>0</v>
      </c>
      <c r="AE2353">
        <v>9</v>
      </c>
      <c r="AF2353" t="s">
        <v>138</v>
      </c>
      <c r="AG2353">
        <v>0</v>
      </c>
      <c r="AH2353">
        <v>3</v>
      </c>
      <c r="AI2353">
        <v>2</v>
      </c>
      <c r="AJ2353">
        <v>0</v>
      </c>
      <c r="AK2353" t="s">
        <v>798</v>
      </c>
      <c r="AL2353">
        <v>39.073819999999998</v>
      </c>
      <c r="AM2353" t="s">
        <v>799</v>
      </c>
      <c r="AN2353">
        <v>-121.039939</v>
      </c>
      <c r="AO2353">
        <v>25</v>
      </c>
      <c r="AP2353">
        <v>4600</v>
      </c>
      <c r="AQ2353" t="s">
        <v>131</v>
      </c>
      <c r="AR2353">
        <v>13</v>
      </c>
      <c r="AS2353">
        <v>89</v>
      </c>
      <c r="AT2353">
        <v>-64</v>
      </c>
      <c r="BB2353" t="str">
        <f t="shared" si="915"/>
        <v>1200</v>
      </c>
      <c r="BC2353">
        <v>1</v>
      </c>
      <c r="BD2353" t="str">
        <f t="shared" si="916"/>
        <v xml:space="preserve">N52156  </v>
      </c>
      <c r="BE2353">
        <v>1</v>
      </c>
      <c r="BG2353">
        <v>0</v>
      </c>
      <c r="BH2353">
        <v>0</v>
      </c>
      <c r="BI2353">
        <v>0</v>
      </c>
      <c r="BJ2353">
        <v>4650</v>
      </c>
      <c r="BK2353">
        <v>50</v>
      </c>
      <c r="BL2353" t="s">
        <v>188</v>
      </c>
      <c r="BM2353">
        <v>1</v>
      </c>
      <c r="BN2353">
        <v>1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 t="shared" si="931"/>
        <v>15:11:03.962</v>
      </c>
      <c r="CF2353">
        <v>962220277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4</v>
      </c>
      <c r="CY2353">
        <v>7</v>
      </c>
      <c r="CZ2353" t="s">
        <v>133</v>
      </c>
      <c r="DA2353">
        <v>275</v>
      </c>
      <c r="DB2353">
        <v>0</v>
      </c>
      <c r="DC2353" t="s">
        <v>134</v>
      </c>
      <c r="DD2353" t="s">
        <v>135</v>
      </c>
      <c r="DG2353">
        <v>3321636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"05/01/2025 15:11:04.975"</f>
        <v>05/01/2025 15:11:04.975</v>
      </c>
      <c r="C2354" t="str">
        <f t="shared" si="912"/>
        <v>FFDFD3C0</v>
      </c>
      <c r="D2354" t="s">
        <v>140</v>
      </c>
      <c r="E2354" t="str">
        <f>"13"</f>
        <v>13</v>
      </c>
      <c r="F2354">
        <v>1019</v>
      </c>
      <c r="G2354" t="s">
        <v>141</v>
      </c>
      <c r="J2354" t="s">
        <v>142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R2354" t="s">
        <v>127</v>
      </c>
      <c r="S2354" t="str">
        <f t="shared" ref="S2354:T2359" si="932">"15:11:04.000"</f>
        <v>15:11:04.000</v>
      </c>
      <c r="T2354" t="str">
        <f t="shared" si="932"/>
        <v>15:11:04.000</v>
      </c>
      <c r="U2354" t="str">
        <f t="shared" si="914"/>
        <v>A68FCB</v>
      </c>
      <c r="V2354">
        <v>0</v>
      </c>
      <c r="W2354">
        <v>0</v>
      </c>
      <c r="X2354">
        <v>2</v>
      </c>
      <c r="Y2354">
        <v>0</v>
      </c>
      <c r="AA2354">
        <v>1</v>
      </c>
      <c r="AB2354">
        <v>8</v>
      </c>
      <c r="AC2354">
        <v>3</v>
      </c>
      <c r="AD2354">
        <v>0</v>
      </c>
      <c r="AE2354">
        <v>9</v>
      </c>
      <c r="AF2354" t="s">
        <v>138</v>
      </c>
      <c r="AG2354">
        <v>0</v>
      </c>
      <c r="AH2354">
        <v>3</v>
      </c>
      <c r="AI2354">
        <v>2</v>
      </c>
      <c r="AJ2354">
        <v>0</v>
      </c>
      <c r="AK2354" t="s">
        <v>800</v>
      </c>
      <c r="AL2354">
        <v>39.074227999999998</v>
      </c>
      <c r="AM2354" t="s">
        <v>801</v>
      </c>
      <c r="AN2354">
        <v>-121.03985299999999</v>
      </c>
      <c r="AO2354">
        <v>25</v>
      </c>
      <c r="AP2354">
        <v>4600</v>
      </c>
      <c r="AQ2354" t="s">
        <v>131</v>
      </c>
      <c r="AR2354">
        <v>13</v>
      </c>
      <c r="AS2354">
        <v>90</v>
      </c>
      <c r="AT2354">
        <v>-192</v>
      </c>
      <c r="BB2354" t="str">
        <f t="shared" si="915"/>
        <v>1200</v>
      </c>
      <c r="BC2354">
        <v>1</v>
      </c>
      <c r="BD2354" t="str">
        <f t="shared" si="916"/>
        <v xml:space="preserve">N52156  </v>
      </c>
      <c r="BE2354">
        <v>1</v>
      </c>
      <c r="BG2354">
        <v>0</v>
      </c>
      <c r="BH2354">
        <v>0</v>
      </c>
      <c r="BI2354">
        <v>0</v>
      </c>
      <c r="BJ2354">
        <v>4650</v>
      </c>
      <c r="BK2354">
        <v>50</v>
      </c>
      <c r="BL2354" t="s">
        <v>188</v>
      </c>
      <c r="BM2354">
        <v>1</v>
      </c>
      <c r="BN2354">
        <v>1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 t="shared" ref="CE2354:CE2359" si="933">"15:11:04.754"</f>
        <v>15:11:04.754</v>
      </c>
      <c r="CF2354">
        <v>753969751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3</v>
      </c>
      <c r="CY2354">
        <v>7</v>
      </c>
      <c r="CZ2354" t="s">
        <v>133</v>
      </c>
      <c r="DA2354">
        <v>275</v>
      </c>
      <c r="DB2354">
        <v>0</v>
      </c>
      <c r="DC2354" t="s">
        <v>134</v>
      </c>
      <c r="DD2354" t="s">
        <v>135</v>
      </c>
      <c r="DG2354">
        <v>3321640</v>
      </c>
      <c r="DI2354">
        <v>1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"05/01/2025 15:11:04.982"</f>
        <v>05/01/2025 15:11:04.982</v>
      </c>
      <c r="C2355" t="str">
        <f t="shared" si="912"/>
        <v>FFDFD3C0</v>
      </c>
      <c r="D2355" t="s">
        <v>124</v>
      </c>
      <c r="E2355" t="str">
        <f>"06"</f>
        <v>06</v>
      </c>
      <c r="F2355">
        <v>2006</v>
      </c>
      <c r="G2355" t="s">
        <v>125</v>
      </c>
      <c r="J2355" t="s">
        <v>126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R2355" t="s">
        <v>127</v>
      </c>
      <c r="S2355" t="str">
        <f t="shared" si="932"/>
        <v>15:11:04.000</v>
      </c>
      <c r="T2355" t="str">
        <f t="shared" si="932"/>
        <v>15:11:04.000</v>
      </c>
      <c r="U2355" t="str">
        <f t="shared" si="914"/>
        <v>A68FCB</v>
      </c>
      <c r="V2355">
        <v>0</v>
      </c>
      <c r="W2355">
        <v>0</v>
      </c>
      <c r="X2355">
        <v>2</v>
      </c>
      <c r="Y2355">
        <v>0</v>
      </c>
      <c r="AA2355">
        <v>1</v>
      </c>
      <c r="AB2355">
        <v>8</v>
      </c>
      <c r="AC2355">
        <v>3</v>
      </c>
      <c r="AD2355">
        <v>0</v>
      </c>
      <c r="AE2355">
        <v>9</v>
      </c>
      <c r="AF2355" t="s">
        <v>138</v>
      </c>
      <c r="AG2355">
        <v>0</v>
      </c>
      <c r="AH2355">
        <v>3</v>
      </c>
      <c r="AI2355">
        <v>2</v>
      </c>
      <c r="AJ2355">
        <v>0</v>
      </c>
      <c r="AK2355" t="s">
        <v>800</v>
      </c>
      <c r="AL2355">
        <v>39.074227999999998</v>
      </c>
      <c r="AM2355" t="s">
        <v>801</v>
      </c>
      <c r="AN2355">
        <v>-121.03985299999999</v>
      </c>
      <c r="AO2355">
        <v>25</v>
      </c>
      <c r="AP2355">
        <v>4600</v>
      </c>
      <c r="AQ2355" t="s">
        <v>131</v>
      </c>
      <c r="AR2355">
        <v>13</v>
      </c>
      <c r="AS2355">
        <v>90</v>
      </c>
      <c r="AT2355">
        <v>-192</v>
      </c>
      <c r="BB2355" t="str">
        <f t="shared" si="915"/>
        <v>1200</v>
      </c>
      <c r="BC2355">
        <v>1</v>
      </c>
      <c r="BD2355" t="str">
        <f t="shared" si="916"/>
        <v xml:space="preserve">N52156  </v>
      </c>
      <c r="BE2355">
        <v>1</v>
      </c>
      <c r="BG2355">
        <v>0</v>
      </c>
      <c r="BH2355">
        <v>0</v>
      </c>
      <c r="BI2355">
        <v>0</v>
      </c>
      <c r="BJ2355">
        <v>4650</v>
      </c>
      <c r="BK2355">
        <v>50</v>
      </c>
      <c r="BL2355" t="s">
        <v>188</v>
      </c>
      <c r="BM2355">
        <v>1</v>
      </c>
      <c r="BN2355">
        <v>1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 t="shared" si="933"/>
        <v>15:11:04.754</v>
      </c>
      <c r="CF2355">
        <v>753969751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3</v>
      </c>
      <c r="CY2355">
        <v>7</v>
      </c>
      <c r="CZ2355" t="s">
        <v>133</v>
      </c>
      <c r="DA2355">
        <v>275</v>
      </c>
      <c r="DB2355">
        <v>0</v>
      </c>
      <c r="DC2355" t="s">
        <v>134</v>
      </c>
      <c r="DD2355" t="s">
        <v>135</v>
      </c>
      <c r="DG2355">
        <v>3321640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"05/01/2025 15:11:04.990"</f>
        <v>05/01/2025 15:11:04.990</v>
      </c>
      <c r="C2356" t="str">
        <f t="shared" si="912"/>
        <v>FFDFD3C0</v>
      </c>
      <c r="D2356" t="s">
        <v>145</v>
      </c>
      <c r="E2356" t="str">
        <f>"05"</f>
        <v>05</v>
      </c>
      <c r="H2356">
        <v>47</v>
      </c>
      <c r="I2356" t="s">
        <v>146</v>
      </c>
      <c r="J2356" t="s">
        <v>138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R2356" t="s">
        <v>127</v>
      </c>
      <c r="S2356" t="str">
        <f t="shared" si="932"/>
        <v>15:11:04.000</v>
      </c>
      <c r="T2356" t="str">
        <f t="shared" si="932"/>
        <v>15:11:04.000</v>
      </c>
      <c r="U2356" t="str">
        <f t="shared" si="914"/>
        <v>A68FCB</v>
      </c>
      <c r="V2356">
        <v>0</v>
      </c>
      <c r="W2356">
        <v>0</v>
      </c>
      <c r="X2356">
        <v>2</v>
      </c>
      <c r="Y2356">
        <v>0</v>
      </c>
      <c r="AA2356">
        <v>1</v>
      </c>
      <c r="AB2356">
        <v>8</v>
      </c>
      <c r="AC2356">
        <v>3</v>
      </c>
      <c r="AD2356">
        <v>0</v>
      </c>
      <c r="AE2356">
        <v>9</v>
      </c>
      <c r="AF2356" t="s">
        <v>138</v>
      </c>
      <c r="AG2356">
        <v>0</v>
      </c>
      <c r="AH2356">
        <v>3</v>
      </c>
      <c r="AI2356">
        <v>2</v>
      </c>
      <c r="AJ2356">
        <v>0</v>
      </c>
      <c r="AK2356" t="s">
        <v>800</v>
      </c>
      <c r="AL2356">
        <v>39.074227999999998</v>
      </c>
      <c r="AM2356" t="s">
        <v>801</v>
      </c>
      <c r="AN2356">
        <v>-121.03985299999999</v>
      </c>
      <c r="AO2356">
        <v>25</v>
      </c>
      <c r="AP2356">
        <v>4600</v>
      </c>
      <c r="AQ2356" t="s">
        <v>131</v>
      </c>
      <c r="AR2356">
        <v>13</v>
      </c>
      <c r="AS2356">
        <v>90</v>
      </c>
      <c r="AT2356">
        <v>-192</v>
      </c>
      <c r="BB2356" t="str">
        <f t="shared" si="915"/>
        <v>1200</v>
      </c>
      <c r="BC2356">
        <v>1</v>
      </c>
      <c r="BD2356" t="str">
        <f t="shared" si="916"/>
        <v xml:space="preserve">N52156  </v>
      </c>
      <c r="BE2356">
        <v>1</v>
      </c>
      <c r="BG2356">
        <v>0</v>
      </c>
      <c r="BH2356">
        <v>0</v>
      </c>
      <c r="BI2356">
        <v>0</v>
      </c>
      <c r="BJ2356">
        <v>4650</v>
      </c>
      <c r="BK2356">
        <v>50</v>
      </c>
      <c r="BL2356" t="s">
        <v>188</v>
      </c>
      <c r="BM2356">
        <v>1</v>
      </c>
      <c r="BN2356">
        <v>1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 t="shared" si="933"/>
        <v>15:11:04.754</v>
      </c>
      <c r="CF2356">
        <v>753969751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3</v>
      </c>
      <c r="CY2356">
        <v>7</v>
      </c>
      <c r="CZ2356" t="s">
        <v>133</v>
      </c>
      <c r="DA2356">
        <v>275</v>
      </c>
      <c r="DB2356">
        <v>0</v>
      </c>
      <c r="DC2356" t="s">
        <v>134</v>
      </c>
      <c r="DD2356" t="s">
        <v>135</v>
      </c>
      <c r="DG2356">
        <v>3321640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"05/01/2025 15:11:04.990"</f>
        <v>05/01/2025 15:11:04.990</v>
      </c>
      <c r="C2357" t="str">
        <f t="shared" si="912"/>
        <v>FFDFD3C0</v>
      </c>
      <c r="D2357" t="s">
        <v>145</v>
      </c>
      <c r="E2357" t="str">
        <f>"09"</f>
        <v>09</v>
      </c>
      <c r="H2357">
        <v>51</v>
      </c>
      <c r="I2357" t="s">
        <v>147</v>
      </c>
      <c r="J2357" t="s">
        <v>138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R2357" t="s">
        <v>127</v>
      </c>
      <c r="S2357" t="str">
        <f t="shared" si="932"/>
        <v>15:11:04.000</v>
      </c>
      <c r="T2357" t="str">
        <f t="shared" si="932"/>
        <v>15:11:04.000</v>
      </c>
      <c r="U2357" t="str">
        <f t="shared" si="914"/>
        <v>A68FCB</v>
      </c>
      <c r="V2357">
        <v>0</v>
      </c>
      <c r="W2357">
        <v>0</v>
      </c>
      <c r="X2357">
        <v>2</v>
      </c>
      <c r="Y2357">
        <v>0</v>
      </c>
      <c r="AA2357">
        <v>1</v>
      </c>
      <c r="AB2357">
        <v>8</v>
      </c>
      <c r="AC2357">
        <v>3</v>
      </c>
      <c r="AD2357">
        <v>0</v>
      </c>
      <c r="AE2357">
        <v>9</v>
      </c>
      <c r="AF2357" t="s">
        <v>138</v>
      </c>
      <c r="AG2357">
        <v>0</v>
      </c>
      <c r="AH2357">
        <v>3</v>
      </c>
      <c r="AI2357">
        <v>2</v>
      </c>
      <c r="AJ2357">
        <v>0</v>
      </c>
      <c r="AK2357" t="s">
        <v>800</v>
      </c>
      <c r="AL2357">
        <v>39.074227999999998</v>
      </c>
      <c r="AM2357" t="s">
        <v>801</v>
      </c>
      <c r="AN2357">
        <v>-121.03985299999999</v>
      </c>
      <c r="AO2357">
        <v>25</v>
      </c>
      <c r="AP2357">
        <v>4600</v>
      </c>
      <c r="AQ2357" t="s">
        <v>131</v>
      </c>
      <c r="AR2357">
        <v>13</v>
      </c>
      <c r="AS2357">
        <v>90</v>
      </c>
      <c r="AT2357">
        <v>-192</v>
      </c>
      <c r="BB2357" t="str">
        <f t="shared" si="915"/>
        <v>1200</v>
      </c>
      <c r="BC2357">
        <v>1</v>
      </c>
      <c r="BD2357" t="str">
        <f t="shared" si="916"/>
        <v xml:space="preserve">N52156  </v>
      </c>
      <c r="BE2357">
        <v>1</v>
      </c>
      <c r="BG2357">
        <v>0</v>
      </c>
      <c r="BH2357">
        <v>0</v>
      </c>
      <c r="BI2357">
        <v>0</v>
      </c>
      <c r="BJ2357">
        <v>4650</v>
      </c>
      <c r="BK2357">
        <v>50</v>
      </c>
      <c r="BL2357" t="s">
        <v>188</v>
      </c>
      <c r="BM2357">
        <v>1</v>
      </c>
      <c r="BN2357">
        <v>1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 t="shared" si="933"/>
        <v>15:11:04.754</v>
      </c>
      <c r="CF2357">
        <v>753969751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3</v>
      </c>
      <c r="CY2357">
        <v>7</v>
      </c>
      <c r="CZ2357" t="s">
        <v>133</v>
      </c>
      <c r="DA2357">
        <v>275</v>
      </c>
      <c r="DB2357">
        <v>0</v>
      </c>
      <c r="DC2357" t="s">
        <v>134</v>
      </c>
      <c r="DD2357" t="s">
        <v>135</v>
      </c>
      <c r="DG2357">
        <v>3321640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"05/01/2025 15:11:04.999"</f>
        <v>05/01/2025 15:11:04.999</v>
      </c>
      <c r="C2358" t="str">
        <f t="shared" si="912"/>
        <v>FFDFD3C0</v>
      </c>
      <c r="D2358" t="s">
        <v>136</v>
      </c>
      <c r="E2358" t="str">
        <f>"20"</f>
        <v>20</v>
      </c>
      <c r="H2358">
        <v>400</v>
      </c>
      <c r="I2358" t="s">
        <v>137</v>
      </c>
      <c r="J2358" t="s">
        <v>138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R2358" t="s">
        <v>127</v>
      </c>
      <c r="S2358" t="str">
        <f t="shared" si="932"/>
        <v>15:11:04.000</v>
      </c>
      <c r="T2358" t="str">
        <f t="shared" si="932"/>
        <v>15:11:04.000</v>
      </c>
      <c r="U2358" t="str">
        <f t="shared" si="914"/>
        <v>A68FCB</v>
      </c>
      <c r="V2358">
        <v>0</v>
      </c>
      <c r="W2358">
        <v>0</v>
      </c>
      <c r="X2358">
        <v>2</v>
      </c>
      <c r="Y2358">
        <v>0</v>
      </c>
      <c r="AA2358">
        <v>1</v>
      </c>
      <c r="AB2358">
        <v>8</v>
      </c>
      <c r="AC2358">
        <v>3</v>
      </c>
      <c r="AD2358">
        <v>0</v>
      </c>
      <c r="AE2358">
        <v>9</v>
      </c>
      <c r="AF2358" t="s">
        <v>138</v>
      </c>
      <c r="AG2358">
        <v>0</v>
      </c>
      <c r="AH2358">
        <v>3</v>
      </c>
      <c r="AI2358">
        <v>2</v>
      </c>
      <c r="AJ2358">
        <v>0</v>
      </c>
      <c r="AK2358" t="s">
        <v>800</v>
      </c>
      <c r="AL2358">
        <v>39.074227999999998</v>
      </c>
      <c r="AM2358" t="s">
        <v>801</v>
      </c>
      <c r="AN2358">
        <v>-121.03985299999999</v>
      </c>
      <c r="AO2358">
        <v>25</v>
      </c>
      <c r="AP2358">
        <v>4600</v>
      </c>
      <c r="AQ2358" t="s">
        <v>131</v>
      </c>
      <c r="AR2358">
        <v>13</v>
      </c>
      <c r="AS2358">
        <v>90</v>
      </c>
      <c r="AT2358">
        <v>-192</v>
      </c>
      <c r="BB2358" t="str">
        <f t="shared" si="915"/>
        <v>1200</v>
      </c>
      <c r="BC2358">
        <v>1</v>
      </c>
      <c r="BD2358" t="str">
        <f t="shared" si="916"/>
        <v xml:space="preserve">N52156  </v>
      </c>
      <c r="BE2358">
        <v>1</v>
      </c>
      <c r="BG2358">
        <v>0</v>
      </c>
      <c r="BH2358">
        <v>0</v>
      </c>
      <c r="BI2358">
        <v>0</v>
      </c>
      <c r="BJ2358">
        <v>4650</v>
      </c>
      <c r="BK2358">
        <v>50</v>
      </c>
      <c r="BL2358" t="s">
        <v>188</v>
      </c>
      <c r="BM2358">
        <v>1</v>
      </c>
      <c r="BN2358">
        <v>1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 t="shared" si="933"/>
        <v>15:11:04.754</v>
      </c>
      <c r="CF2358">
        <v>753969751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3</v>
      </c>
      <c r="CY2358">
        <v>7</v>
      </c>
      <c r="CZ2358" t="s">
        <v>133</v>
      </c>
      <c r="DA2358">
        <v>275</v>
      </c>
      <c r="DB2358">
        <v>0</v>
      </c>
      <c r="DC2358" t="s">
        <v>134</v>
      </c>
      <c r="DD2358" t="s">
        <v>135</v>
      </c>
      <c r="DG2358">
        <v>3321640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"05/01/2025 15:11:05.004"</f>
        <v>05/01/2025 15:11:05.004</v>
      </c>
      <c r="C2359" t="str">
        <f t="shared" si="912"/>
        <v>FFDFD3C0</v>
      </c>
      <c r="D2359" t="s">
        <v>143</v>
      </c>
      <c r="E2359" t="str">
        <f>"05"</f>
        <v>05</v>
      </c>
      <c r="H2359">
        <v>172</v>
      </c>
      <c r="I2359" t="s">
        <v>141</v>
      </c>
      <c r="J2359" t="s">
        <v>144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R2359" t="s">
        <v>127</v>
      </c>
      <c r="S2359" t="str">
        <f t="shared" si="932"/>
        <v>15:11:04.000</v>
      </c>
      <c r="T2359" t="str">
        <f t="shared" si="932"/>
        <v>15:11:04.000</v>
      </c>
      <c r="U2359" t="str">
        <f t="shared" si="914"/>
        <v>A68FCB</v>
      </c>
      <c r="V2359">
        <v>0</v>
      </c>
      <c r="W2359">
        <v>0</v>
      </c>
      <c r="X2359">
        <v>2</v>
      </c>
      <c r="Y2359">
        <v>0</v>
      </c>
      <c r="AA2359">
        <v>1</v>
      </c>
      <c r="AB2359">
        <v>8</v>
      </c>
      <c r="AC2359">
        <v>3</v>
      </c>
      <c r="AD2359">
        <v>0</v>
      </c>
      <c r="AE2359">
        <v>9</v>
      </c>
      <c r="AF2359" t="s">
        <v>138</v>
      </c>
      <c r="AG2359">
        <v>0</v>
      </c>
      <c r="AH2359">
        <v>3</v>
      </c>
      <c r="AI2359">
        <v>2</v>
      </c>
      <c r="AJ2359">
        <v>0</v>
      </c>
      <c r="AK2359" t="s">
        <v>800</v>
      </c>
      <c r="AL2359">
        <v>39.074227999999998</v>
      </c>
      <c r="AM2359" t="s">
        <v>801</v>
      </c>
      <c r="AN2359">
        <v>-121.03985299999999</v>
      </c>
      <c r="AO2359">
        <v>25</v>
      </c>
      <c r="AP2359">
        <v>4600</v>
      </c>
      <c r="AQ2359" t="s">
        <v>131</v>
      </c>
      <c r="AR2359">
        <v>13</v>
      </c>
      <c r="AS2359">
        <v>90</v>
      </c>
      <c r="AT2359">
        <v>-192</v>
      </c>
      <c r="BB2359" t="str">
        <f t="shared" si="915"/>
        <v>1200</v>
      </c>
      <c r="BC2359">
        <v>1</v>
      </c>
      <c r="BD2359" t="str">
        <f t="shared" si="916"/>
        <v xml:space="preserve">N52156  </v>
      </c>
      <c r="BE2359">
        <v>1</v>
      </c>
      <c r="BG2359">
        <v>0</v>
      </c>
      <c r="BH2359">
        <v>0</v>
      </c>
      <c r="BI2359">
        <v>0</v>
      </c>
      <c r="BJ2359">
        <v>4650</v>
      </c>
      <c r="BK2359">
        <v>50</v>
      </c>
      <c r="BL2359" t="s">
        <v>188</v>
      </c>
      <c r="BM2359">
        <v>1</v>
      </c>
      <c r="BN2359">
        <v>1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 t="shared" si="933"/>
        <v>15:11:04.754</v>
      </c>
      <c r="CF2359">
        <v>753969751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3</v>
      </c>
      <c r="CY2359">
        <v>7</v>
      </c>
      <c r="CZ2359" t="s">
        <v>133</v>
      </c>
      <c r="DA2359">
        <v>275</v>
      </c>
      <c r="DB2359">
        <v>0</v>
      </c>
      <c r="DC2359" t="s">
        <v>134</v>
      </c>
      <c r="DD2359" t="s">
        <v>135</v>
      </c>
      <c r="DG2359">
        <v>3321640</v>
      </c>
      <c r="DI2359">
        <v>1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"05/01/2025 15:11:05.826"</f>
        <v>05/01/2025 15:11:05.826</v>
      </c>
      <c r="C2360" t="str">
        <f t="shared" si="912"/>
        <v>FFDFD3C0</v>
      </c>
      <c r="D2360" t="s">
        <v>140</v>
      </c>
      <c r="E2360" t="str">
        <f>"13"</f>
        <v>13</v>
      </c>
      <c r="F2360">
        <v>1019</v>
      </c>
      <c r="G2360" t="s">
        <v>141</v>
      </c>
      <c r="J2360" t="s">
        <v>142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R2360" t="s">
        <v>127</v>
      </c>
      <c r="S2360" t="str">
        <f t="shared" ref="S2360:T2365" si="934">"15:11:05.000"</f>
        <v>15:11:05.000</v>
      </c>
      <c r="T2360" t="str">
        <f t="shared" si="934"/>
        <v>15:11:05.000</v>
      </c>
      <c r="U2360" t="str">
        <f t="shared" si="914"/>
        <v>A68FCB</v>
      </c>
      <c r="V2360">
        <v>0</v>
      </c>
      <c r="W2360">
        <v>0</v>
      </c>
      <c r="X2360">
        <v>2</v>
      </c>
      <c r="Y2360">
        <v>0</v>
      </c>
      <c r="AA2360">
        <v>1</v>
      </c>
      <c r="AB2360">
        <v>8</v>
      </c>
      <c r="AC2360">
        <v>3</v>
      </c>
      <c r="AD2360">
        <v>0</v>
      </c>
      <c r="AE2360">
        <v>9</v>
      </c>
      <c r="AF2360" t="s">
        <v>138</v>
      </c>
      <c r="AG2360">
        <v>0</v>
      </c>
      <c r="AH2360">
        <v>3</v>
      </c>
      <c r="AI2360">
        <v>2</v>
      </c>
      <c r="AJ2360">
        <v>0</v>
      </c>
      <c r="AK2360" t="s">
        <v>802</v>
      </c>
      <c r="AL2360">
        <v>39.074657000000002</v>
      </c>
      <c r="AM2360" t="s">
        <v>803</v>
      </c>
      <c r="AN2360">
        <v>-121.039789</v>
      </c>
      <c r="AO2360">
        <v>25</v>
      </c>
      <c r="AP2360">
        <v>4600</v>
      </c>
      <c r="AQ2360" t="s">
        <v>131</v>
      </c>
      <c r="AR2360">
        <v>13</v>
      </c>
      <c r="AS2360">
        <v>90</v>
      </c>
      <c r="AT2360">
        <v>-256</v>
      </c>
      <c r="BB2360" t="str">
        <f t="shared" si="915"/>
        <v>1200</v>
      </c>
      <c r="BC2360">
        <v>1</v>
      </c>
      <c r="BD2360" t="str">
        <f t="shared" si="916"/>
        <v xml:space="preserve">N52156  </v>
      </c>
      <c r="BE2360">
        <v>1</v>
      </c>
      <c r="BG2360">
        <v>0</v>
      </c>
      <c r="BH2360">
        <v>0</v>
      </c>
      <c r="BI2360">
        <v>0</v>
      </c>
      <c r="BJ2360">
        <v>4650</v>
      </c>
      <c r="BK2360">
        <v>50</v>
      </c>
      <c r="BL2360" t="s">
        <v>188</v>
      </c>
      <c r="BM2360">
        <v>1</v>
      </c>
      <c r="BN2360">
        <v>1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 t="shared" ref="CE2360:CE2365" si="935">"15:11:05.610"</f>
        <v>15:11:05.610</v>
      </c>
      <c r="CF2360">
        <v>610219468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4</v>
      </c>
      <c r="CY2360">
        <v>7</v>
      </c>
      <c r="CZ2360" t="s">
        <v>133</v>
      </c>
      <c r="DA2360">
        <v>275</v>
      </c>
      <c r="DB2360">
        <v>0</v>
      </c>
      <c r="DC2360" t="s">
        <v>134</v>
      </c>
      <c r="DD2360" t="s">
        <v>135</v>
      </c>
      <c r="DG2360">
        <v>3321645</v>
      </c>
      <c r="DI2360">
        <v>1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"05/01/2025 15:11:05.834"</f>
        <v>05/01/2025 15:11:05.834</v>
      </c>
      <c r="C2361" t="str">
        <f t="shared" si="912"/>
        <v>FFDFD3C0</v>
      </c>
      <c r="D2361" t="s">
        <v>124</v>
      </c>
      <c r="E2361" t="str">
        <f>"06"</f>
        <v>06</v>
      </c>
      <c r="F2361">
        <v>2006</v>
      </c>
      <c r="G2361" t="s">
        <v>125</v>
      </c>
      <c r="J2361" t="s">
        <v>126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R2361" t="s">
        <v>127</v>
      </c>
      <c r="S2361" t="str">
        <f t="shared" si="934"/>
        <v>15:11:05.000</v>
      </c>
      <c r="T2361" t="str">
        <f t="shared" si="934"/>
        <v>15:11:05.000</v>
      </c>
      <c r="U2361" t="str">
        <f t="shared" si="914"/>
        <v>A68FCB</v>
      </c>
      <c r="V2361">
        <v>0</v>
      </c>
      <c r="W2361">
        <v>0</v>
      </c>
      <c r="X2361">
        <v>2</v>
      </c>
      <c r="Y2361">
        <v>0</v>
      </c>
      <c r="AA2361">
        <v>1</v>
      </c>
      <c r="AB2361">
        <v>8</v>
      </c>
      <c r="AC2361">
        <v>3</v>
      </c>
      <c r="AD2361">
        <v>0</v>
      </c>
      <c r="AE2361">
        <v>9</v>
      </c>
      <c r="AF2361" t="s">
        <v>138</v>
      </c>
      <c r="AG2361">
        <v>0</v>
      </c>
      <c r="AH2361">
        <v>3</v>
      </c>
      <c r="AI2361">
        <v>2</v>
      </c>
      <c r="AJ2361">
        <v>0</v>
      </c>
      <c r="AK2361" t="s">
        <v>802</v>
      </c>
      <c r="AL2361">
        <v>39.074657000000002</v>
      </c>
      <c r="AM2361" t="s">
        <v>803</v>
      </c>
      <c r="AN2361">
        <v>-121.039789</v>
      </c>
      <c r="AO2361">
        <v>25</v>
      </c>
      <c r="AP2361">
        <v>4600</v>
      </c>
      <c r="AQ2361" t="s">
        <v>131</v>
      </c>
      <c r="AR2361">
        <v>13</v>
      </c>
      <c r="AS2361">
        <v>90</v>
      </c>
      <c r="AT2361">
        <v>-256</v>
      </c>
      <c r="BB2361" t="str">
        <f t="shared" si="915"/>
        <v>1200</v>
      </c>
      <c r="BC2361">
        <v>1</v>
      </c>
      <c r="BD2361" t="str">
        <f t="shared" si="916"/>
        <v xml:space="preserve">N52156  </v>
      </c>
      <c r="BE2361">
        <v>1</v>
      </c>
      <c r="BG2361">
        <v>0</v>
      </c>
      <c r="BH2361">
        <v>0</v>
      </c>
      <c r="BI2361">
        <v>0</v>
      </c>
      <c r="BJ2361">
        <v>4650</v>
      </c>
      <c r="BK2361">
        <v>50</v>
      </c>
      <c r="BL2361" t="s">
        <v>188</v>
      </c>
      <c r="BM2361">
        <v>1</v>
      </c>
      <c r="BN2361">
        <v>1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 t="shared" si="935"/>
        <v>15:11:05.610</v>
      </c>
      <c r="CF2361">
        <v>610219468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4</v>
      </c>
      <c r="CY2361">
        <v>7</v>
      </c>
      <c r="CZ2361" t="s">
        <v>133</v>
      </c>
      <c r="DA2361">
        <v>275</v>
      </c>
      <c r="DB2361">
        <v>0</v>
      </c>
      <c r="DC2361" t="s">
        <v>134</v>
      </c>
      <c r="DD2361" t="s">
        <v>135</v>
      </c>
      <c r="DG2361">
        <v>3321645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"05/01/2025 15:11:05.842"</f>
        <v>05/01/2025 15:11:05.842</v>
      </c>
      <c r="C2362" t="str">
        <f t="shared" si="912"/>
        <v>FFDFD3C0</v>
      </c>
      <c r="D2362" t="s">
        <v>145</v>
      </c>
      <c r="E2362" t="str">
        <f>"09"</f>
        <v>09</v>
      </c>
      <c r="H2362">
        <v>51</v>
      </c>
      <c r="I2362" t="s">
        <v>147</v>
      </c>
      <c r="J2362" t="s">
        <v>138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R2362" t="s">
        <v>127</v>
      </c>
      <c r="S2362" t="str">
        <f t="shared" si="934"/>
        <v>15:11:05.000</v>
      </c>
      <c r="T2362" t="str">
        <f t="shared" si="934"/>
        <v>15:11:05.000</v>
      </c>
      <c r="U2362" t="str">
        <f t="shared" si="914"/>
        <v>A68FCB</v>
      </c>
      <c r="V2362">
        <v>0</v>
      </c>
      <c r="W2362">
        <v>0</v>
      </c>
      <c r="X2362">
        <v>2</v>
      </c>
      <c r="Y2362">
        <v>0</v>
      </c>
      <c r="AA2362">
        <v>1</v>
      </c>
      <c r="AB2362">
        <v>8</v>
      </c>
      <c r="AC2362">
        <v>3</v>
      </c>
      <c r="AD2362">
        <v>0</v>
      </c>
      <c r="AE2362">
        <v>9</v>
      </c>
      <c r="AF2362" t="s">
        <v>138</v>
      </c>
      <c r="AG2362">
        <v>0</v>
      </c>
      <c r="AH2362">
        <v>3</v>
      </c>
      <c r="AI2362">
        <v>2</v>
      </c>
      <c r="AJ2362">
        <v>0</v>
      </c>
      <c r="AK2362" t="s">
        <v>802</v>
      </c>
      <c r="AL2362">
        <v>39.074657000000002</v>
      </c>
      <c r="AM2362" t="s">
        <v>803</v>
      </c>
      <c r="AN2362">
        <v>-121.039789</v>
      </c>
      <c r="AO2362">
        <v>25</v>
      </c>
      <c r="AP2362">
        <v>4600</v>
      </c>
      <c r="AQ2362" t="s">
        <v>131</v>
      </c>
      <c r="AR2362">
        <v>13</v>
      </c>
      <c r="AS2362">
        <v>90</v>
      </c>
      <c r="AT2362">
        <v>-256</v>
      </c>
      <c r="BB2362" t="str">
        <f t="shared" si="915"/>
        <v>1200</v>
      </c>
      <c r="BC2362">
        <v>1</v>
      </c>
      <c r="BD2362" t="str">
        <f t="shared" si="916"/>
        <v xml:space="preserve">N52156  </v>
      </c>
      <c r="BE2362">
        <v>1</v>
      </c>
      <c r="BG2362">
        <v>0</v>
      </c>
      <c r="BH2362">
        <v>0</v>
      </c>
      <c r="BI2362">
        <v>0</v>
      </c>
      <c r="BJ2362">
        <v>4650</v>
      </c>
      <c r="BK2362">
        <v>50</v>
      </c>
      <c r="BL2362" t="s">
        <v>188</v>
      </c>
      <c r="BM2362">
        <v>1</v>
      </c>
      <c r="BN2362">
        <v>1</v>
      </c>
      <c r="BO2362">
        <v>0</v>
      </c>
      <c r="BP2362">
        <v>0</v>
      </c>
      <c r="BS2362">
        <v>0</v>
      </c>
      <c r="BT2362">
        <v>0</v>
      </c>
      <c r="BU2362">
        <v>0</v>
      </c>
      <c r="CE2362" t="str">
        <f t="shared" si="935"/>
        <v>15:11:05.610</v>
      </c>
      <c r="CF2362">
        <v>610219468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4</v>
      </c>
      <c r="CY2362">
        <v>7</v>
      </c>
      <c r="CZ2362" t="s">
        <v>133</v>
      </c>
      <c r="DA2362">
        <v>275</v>
      </c>
      <c r="DB2362">
        <v>0</v>
      </c>
      <c r="DC2362" t="s">
        <v>134</v>
      </c>
      <c r="DD2362" t="s">
        <v>135</v>
      </c>
      <c r="DG2362">
        <v>3321645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"05/01/2025 15:11:05.842"</f>
        <v>05/01/2025 15:11:05.842</v>
      </c>
      <c r="C2363" t="str">
        <f t="shared" si="912"/>
        <v>FFDFD3C0</v>
      </c>
      <c r="D2363" t="s">
        <v>145</v>
      </c>
      <c r="E2363" t="str">
        <f>"05"</f>
        <v>05</v>
      </c>
      <c r="H2363">
        <v>47</v>
      </c>
      <c r="I2363" t="s">
        <v>146</v>
      </c>
      <c r="J2363" t="s">
        <v>138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R2363" t="s">
        <v>127</v>
      </c>
      <c r="S2363" t="str">
        <f t="shared" si="934"/>
        <v>15:11:05.000</v>
      </c>
      <c r="T2363" t="str">
        <f t="shared" si="934"/>
        <v>15:11:05.000</v>
      </c>
      <c r="U2363" t="str">
        <f t="shared" si="914"/>
        <v>A68FCB</v>
      </c>
      <c r="V2363">
        <v>0</v>
      </c>
      <c r="W2363">
        <v>0</v>
      </c>
      <c r="X2363">
        <v>2</v>
      </c>
      <c r="Y2363">
        <v>0</v>
      </c>
      <c r="AA2363">
        <v>1</v>
      </c>
      <c r="AB2363">
        <v>8</v>
      </c>
      <c r="AC2363">
        <v>3</v>
      </c>
      <c r="AD2363">
        <v>0</v>
      </c>
      <c r="AE2363">
        <v>9</v>
      </c>
      <c r="AF2363" t="s">
        <v>138</v>
      </c>
      <c r="AG2363">
        <v>0</v>
      </c>
      <c r="AH2363">
        <v>3</v>
      </c>
      <c r="AI2363">
        <v>2</v>
      </c>
      <c r="AJ2363">
        <v>0</v>
      </c>
      <c r="AK2363" t="s">
        <v>802</v>
      </c>
      <c r="AL2363">
        <v>39.074657000000002</v>
      </c>
      <c r="AM2363" t="s">
        <v>803</v>
      </c>
      <c r="AN2363">
        <v>-121.039789</v>
      </c>
      <c r="AO2363">
        <v>25</v>
      </c>
      <c r="AP2363">
        <v>4600</v>
      </c>
      <c r="AQ2363" t="s">
        <v>131</v>
      </c>
      <c r="AR2363">
        <v>13</v>
      </c>
      <c r="AS2363">
        <v>90</v>
      </c>
      <c r="AT2363">
        <v>-256</v>
      </c>
      <c r="BB2363" t="str">
        <f t="shared" si="915"/>
        <v>1200</v>
      </c>
      <c r="BC2363">
        <v>1</v>
      </c>
      <c r="BD2363" t="str">
        <f t="shared" si="916"/>
        <v xml:space="preserve">N52156  </v>
      </c>
      <c r="BE2363">
        <v>1</v>
      </c>
      <c r="BG2363">
        <v>0</v>
      </c>
      <c r="BH2363">
        <v>0</v>
      </c>
      <c r="BI2363">
        <v>0</v>
      </c>
      <c r="BJ2363">
        <v>4650</v>
      </c>
      <c r="BK2363">
        <v>50</v>
      </c>
      <c r="BL2363" t="s">
        <v>188</v>
      </c>
      <c r="BM2363">
        <v>1</v>
      </c>
      <c r="BN2363">
        <v>1</v>
      </c>
      <c r="BO2363">
        <v>0</v>
      </c>
      <c r="BP2363">
        <v>0</v>
      </c>
      <c r="BS2363">
        <v>0</v>
      </c>
      <c r="BT2363">
        <v>0</v>
      </c>
      <c r="BU2363">
        <v>0</v>
      </c>
      <c r="CE2363" t="str">
        <f t="shared" si="935"/>
        <v>15:11:05.610</v>
      </c>
      <c r="CF2363">
        <v>610219468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4</v>
      </c>
      <c r="CY2363">
        <v>7</v>
      </c>
      <c r="CZ2363" t="s">
        <v>133</v>
      </c>
      <c r="DA2363">
        <v>275</v>
      </c>
      <c r="DB2363">
        <v>0</v>
      </c>
      <c r="DC2363" t="s">
        <v>134</v>
      </c>
      <c r="DD2363" t="s">
        <v>135</v>
      </c>
      <c r="DG2363">
        <v>3321645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"05/01/2025 15:11:05.850"</f>
        <v>05/01/2025 15:11:05.850</v>
      </c>
      <c r="C2364" t="str">
        <f t="shared" si="912"/>
        <v>FFDFD3C0</v>
      </c>
      <c r="D2364" t="s">
        <v>136</v>
      </c>
      <c r="E2364" t="str">
        <f>"20"</f>
        <v>20</v>
      </c>
      <c r="H2364">
        <v>400</v>
      </c>
      <c r="I2364" t="s">
        <v>137</v>
      </c>
      <c r="J2364" t="s">
        <v>138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R2364" t="s">
        <v>127</v>
      </c>
      <c r="S2364" t="str">
        <f t="shared" si="934"/>
        <v>15:11:05.000</v>
      </c>
      <c r="T2364" t="str">
        <f t="shared" si="934"/>
        <v>15:11:05.000</v>
      </c>
      <c r="U2364" t="str">
        <f t="shared" si="914"/>
        <v>A68FCB</v>
      </c>
      <c r="V2364">
        <v>0</v>
      </c>
      <c r="W2364">
        <v>0</v>
      </c>
      <c r="X2364">
        <v>2</v>
      </c>
      <c r="Y2364">
        <v>0</v>
      </c>
      <c r="AA2364">
        <v>1</v>
      </c>
      <c r="AB2364">
        <v>8</v>
      </c>
      <c r="AC2364">
        <v>3</v>
      </c>
      <c r="AD2364">
        <v>0</v>
      </c>
      <c r="AE2364">
        <v>9</v>
      </c>
      <c r="AF2364" t="s">
        <v>138</v>
      </c>
      <c r="AG2364">
        <v>0</v>
      </c>
      <c r="AH2364">
        <v>3</v>
      </c>
      <c r="AI2364">
        <v>2</v>
      </c>
      <c r="AJ2364">
        <v>0</v>
      </c>
      <c r="AK2364" t="s">
        <v>802</v>
      </c>
      <c r="AL2364">
        <v>39.074657000000002</v>
      </c>
      <c r="AM2364" t="s">
        <v>803</v>
      </c>
      <c r="AN2364">
        <v>-121.039789</v>
      </c>
      <c r="AO2364">
        <v>25</v>
      </c>
      <c r="AP2364">
        <v>4600</v>
      </c>
      <c r="AQ2364" t="s">
        <v>131</v>
      </c>
      <c r="AR2364">
        <v>13</v>
      </c>
      <c r="AS2364">
        <v>90</v>
      </c>
      <c r="AT2364">
        <v>-256</v>
      </c>
      <c r="BB2364" t="str">
        <f t="shared" si="915"/>
        <v>1200</v>
      </c>
      <c r="BC2364">
        <v>1</v>
      </c>
      <c r="BD2364" t="str">
        <f t="shared" si="916"/>
        <v xml:space="preserve">N52156  </v>
      </c>
      <c r="BE2364">
        <v>1</v>
      </c>
      <c r="BG2364">
        <v>0</v>
      </c>
      <c r="BH2364">
        <v>0</v>
      </c>
      <c r="BI2364">
        <v>0</v>
      </c>
      <c r="BJ2364">
        <v>4650</v>
      </c>
      <c r="BK2364">
        <v>50</v>
      </c>
      <c r="BL2364" t="s">
        <v>188</v>
      </c>
      <c r="BM2364">
        <v>1</v>
      </c>
      <c r="BN2364">
        <v>1</v>
      </c>
      <c r="BO2364">
        <v>0</v>
      </c>
      <c r="BP2364">
        <v>0</v>
      </c>
      <c r="BS2364">
        <v>0</v>
      </c>
      <c r="BT2364">
        <v>0</v>
      </c>
      <c r="BU2364">
        <v>0</v>
      </c>
      <c r="CE2364" t="str">
        <f t="shared" si="935"/>
        <v>15:11:05.610</v>
      </c>
      <c r="CF2364">
        <v>610219468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4</v>
      </c>
      <c r="CY2364">
        <v>7</v>
      </c>
      <c r="CZ2364" t="s">
        <v>133</v>
      </c>
      <c r="DA2364">
        <v>275</v>
      </c>
      <c r="DB2364">
        <v>0</v>
      </c>
      <c r="DC2364" t="s">
        <v>134</v>
      </c>
      <c r="DD2364" t="s">
        <v>135</v>
      </c>
      <c r="DG2364">
        <v>3321645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"05/01/2025 15:11:05.856"</f>
        <v>05/01/2025 15:11:05.856</v>
      </c>
      <c r="C2365" t="str">
        <f t="shared" si="912"/>
        <v>FFDFD3C0</v>
      </c>
      <c r="D2365" t="s">
        <v>143</v>
      </c>
      <c r="E2365" t="str">
        <f>"05"</f>
        <v>05</v>
      </c>
      <c r="H2365">
        <v>172</v>
      </c>
      <c r="I2365" t="s">
        <v>141</v>
      </c>
      <c r="J2365" t="s">
        <v>144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R2365" t="s">
        <v>127</v>
      </c>
      <c r="S2365" t="str">
        <f t="shared" si="934"/>
        <v>15:11:05.000</v>
      </c>
      <c r="T2365" t="str">
        <f t="shared" si="934"/>
        <v>15:11:05.000</v>
      </c>
      <c r="U2365" t="str">
        <f t="shared" si="914"/>
        <v>A68FCB</v>
      </c>
      <c r="V2365">
        <v>0</v>
      </c>
      <c r="W2365">
        <v>0</v>
      </c>
      <c r="X2365">
        <v>2</v>
      </c>
      <c r="Y2365">
        <v>0</v>
      </c>
      <c r="AA2365">
        <v>1</v>
      </c>
      <c r="AB2365">
        <v>8</v>
      </c>
      <c r="AC2365">
        <v>3</v>
      </c>
      <c r="AD2365">
        <v>0</v>
      </c>
      <c r="AE2365">
        <v>9</v>
      </c>
      <c r="AF2365" t="s">
        <v>138</v>
      </c>
      <c r="AG2365">
        <v>0</v>
      </c>
      <c r="AH2365">
        <v>3</v>
      </c>
      <c r="AI2365">
        <v>2</v>
      </c>
      <c r="AJ2365">
        <v>0</v>
      </c>
      <c r="AK2365" t="s">
        <v>802</v>
      </c>
      <c r="AL2365">
        <v>39.074657000000002</v>
      </c>
      <c r="AM2365" t="s">
        <v>803</v>
      </c>
      <c r="AN2365">
        <v>-121.039789</v>
      </c>
      <c r="AO2365">
        <v>25</v>
      </c>
      <c r="AP2365">
        <v>4600</v>
      </c>
      <c r="AQ2365" t="s">
        <v>131</v>
      </c>
      <c r="AR2365">
        <v>13</v>
      </c>
      <c r="AS2365">
        <v>90</v>
      </c>
      <c r="AT2365">
        <v>-256</v>
      </c>
      <c r="BB2365" t="str">
        <f t="shared" si="915"/>
        <v>1200</v>
      </c>
      <c r="BC2365">
        <v>1</v>
      </c>
      <c r="BD2365" t="str">
        <f t="shared" si="916"/>
        <v xml:space="preserve">N52156  </v>
      </c>
      <c r="BE2365">
        <v>1</v>
      </c>
      <c r="BG2365">
        <v>0</v>
      </c>
      <c r="BH2365">
        <v>0</v>
      </c>
      <c r="BI2365">
        <v>0</v>
      </c>
      <c r="BJ2365">
        <v>4650</v>
      </c>
      <c r="BK2365">
        <v>50</v>
      </c>
      <c r="BL2365" t="s">
        <v>188</v>
      </c>
      <c r="BM2365">
        <v>1</v>
      </c>
      <c r="BN2365">
        <v>1</v>
      </c>
      <c r="BO2365">
        <v>0</v>
      </c>
      <c r="BP2365">
        <v>0</v>
      </c>
      <c r="BS2365">
        <v>0</v>
      </c>
      <c r="BT2365">
        <v>0</v>
      </c>
      <c r="BU2365">
        <v>0</v>
      </c>
      <c r="CE2365" t="str">
        <f t="shared" si="935"/>
        <v>15:11:05.610</v>
      </c>
      <c r="CF2365">
        <v>610219468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4</v>
      </c>
      <c r="CY2365">
        <v>7</v>
      </c>
      <c r="CZ2365" t="s">
        <v>133</v>
      </c>
      <c r="DA2365">
        <v>275</v>
      </c>
      <c r="DB2365">
        <v>0</v>
      </c>
      <c r="DC2365" t="s">
        <v>134</v>
      </c>
      <c r="DD2365" t="s">
        <v>135</v>
      </c>
      <c r="DG2365">
        <v>3321645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"05/01/2025 15:11:06.652"</f>
        <v>05/01/2025 15:11:06.652</v>
      </c>
      <c r="C2366" t="str">
        <f t="shared" si="912"/>
        <v>FFDFD3C0</v>
      </c>
      <c r="D2366" t="s">
        <v>136</v>
      </c>
      <c r="E2366" t="str">
        <f>"20"</f>
        <v>20</v>
      </c>
      <c r="H2366">
        <v>400</v>
      </c>
      <c r="I2366" t="s">
        <v>137</v>
      </c>
      <c r="J2366" t="s">
        <v>138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R2366" t="s">
        <v>127</v>
      </c>
      <c r="S2366" t="str">
        <f t="shared" ref="S2366:T2371" si="936">"15:11:06.000"</f>
        <v>15:11:06.000</v>
      </c>
      <c r="T2366" t="str">
        <f t="shared" si="936"/>
        <v>15:11:06.000</v>
      </c>
      <c r="U2366" t="str">
        <f t="shared" si="914"/>
        <v>A68FCB</v>
      </c>
      <c r="V2366">
        <v>0</v>
      </c>
      <c r="W2366">
        <v>0</v>
      </c>
      <c r="X2366">
        <v>2</v>
      </c>
      <c r="Y2366">
        <v>0</v>
      </c>
      <c r="AA2366">
        <v>1</v>
      </c>
      <c r="AB2366">
        <v>8</v>
      </c>
      <c r="AC2366">
        <v>3</v>
      </c>
      <c r="AD2366">
        <v>0</v>
      </c>
      <c r="AE2366">
        <v>9</v>
      </c>
      <c r="AF2366" t="s">
        <v>138</v>
      </c>
      <c r="AG2366">
        <v>0</v>
      </c>
      <c r="AH2366">
        <v>3</v>
      </c>
      <c r="AI2366">
        <v>2</v>
      </c>
      <c r="AJ2366">
        <v>0</v>
      </c>
      <c r="AK2366" t="s">
        <v>804</v>
      </c>
      <c r="AL2366">
        <v>39.075065000000002</v>
      </c>
      <c r="AM2366" t="s">
        <v>805</v>
      </c>
      <c r="AN2366">
        <v>-121.039703</v>
      </c>
      <c r="AO2366">
        <v>25</v>
      </c>
      <c r="AP2366">
        <v>4600</v>
      </c>
      <c r="AQ2366" t="s">
        <v>131</v>
      </c>
      <c r="AR2366">
        <v>13</v>
      </c>
      <c r="AS2366">
        <v>91</v>
      </c>
      <c r="AT2366">
        <v>-256</v>
      </c>
      <c r="BB2366" t="str">
        <f t="shared" si="915"/>
        <v>1200</v>
      </c>
      <c r="BC2366">
        <v>1</v>
      </c>
      <c r="BD2366" t="str">
        <f t="shared" si="916"/>
        <v xml:space="preserve">N52156  </v>
      </c>
      <c r="BE2366">
        <v>1</v>
      </c>
      <c r="BG2366">
        <v>0</v>
      </c>
      <c r="BH2366">
        <v>0</v>
      </c>
      <c r="BI2366">
        <v>0</v>
      </c>
      <c r="BJ2366">
        <v>4650</v>
      </c>
      <c r="BK2366">
        <v>50</v>
      </c>
      <c r="BL2366" t="s">
        <v>188</v>
      </c>
      <c r="BM2366">
        <v>1</v>
      </c>
      <c r="BN2366">
        <v>1</v>
      </c>
      <c r="BO2366">
        <v>0</v>
      </c>
      <c r="BP2366">
        <v>0</v>
      </c>
      <c r="BS2366">
        <v>0</v>
      </c>
      <c r="BT2366">
        <v>0</v>
      </c>
      <c r="BU2366">
        <v>0</v>
      </c>
      <c r="CE2366" t="str">
        <f t="shared" ref="CE2366:CE2371" si="937">"15:11:06.412"</f>
        <v>15:11:06.412</v>
      </c>
      <c r="CF2366">
        <v>411788625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3</v>
      </c>
      <c r="CY2366">
        <v>7</v>
      </c>
      <c r="CZ2366" t="s">
        <v>133</v>
      </c>
      <c r="DA2366">
        <v>276</v>
      </c>
      <c r="DB2366">
        <v>0</v>
      </c>
      <c r="DC2366" t="s">
        <v>402</v>
      </c>
      <c r="DD2366" t="s">
        <v>403</v>
      </c>
      <c r="DG2366">
        <v>1627071</v>
      </c>
      <c r="DI2366">
        <v>1</v>
      </c>
      <c r="DJ2366">
        <v>0</v>
      </c>
      <c r="DK2366">
        <v>0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"05/01/2025 15:11:06.657"</f>
        <v>05/01/2025 15:11:06.657</v>
      </c>
      <c r="C2367" t="str">
        <f t="shared" si="912"/>
        <v>FFDFD3C0</v>
      </c>
      <c r="D2367" t="s">
        <v>143</v>
      </c>
      <c r="E2367" t="str">
        <f>"05"</f>
        <v>05</v>
      </c>
      <c r="H2367">
        <v>172</v>
      </c>
      <c r="I2367" t="s">
        <v>141</v>
      </c>
      <c r="J2367" t="s">
        <v>144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R2367" t="s">
        <v>127</v>
      </c>
      <c r="S2367" t="str">
        <f t="shared" si="936"/>
        <v>15:11:06.000</v>
      </c>
      <c r="T2367" t="str">
        <f t="shared" si="936"/>
        <v>15:11:06.000</v>
      </c>
      <c r="U2367" t="str">
        <f t="shared" si="914"/>
        <v>A68FCB</v>
      </c>
      <c r="V2367">
        <v>0</v>
      </c>
      <c r="W2367">
        <v>0</v>
      </c>
      <c r="X2367">
        <v>2</v>
      </c>
      <c r="Y2367">
        <v>0</v>
      </c>
      <c r="AA2367">
        <v>1</v>
      </c>
      <c r="AB2367">
        <v>8</v>
      </c>
      <c r="AC2367">
        <v>3</v>
      </c>
      <c r="AD2367">
        <v>0</v>
      </c>
      <c r="AE2367">
        <v>9</v>
      </c>
      <c r="AF2367" t="s">
        <v>138</v>
      </c>
      <c r="AG2367">
        <v>0</v>
      </c>
      <c r="AH2367">
        <v>3</v>
      </c>
      <c r="AI2367">
        <v>2</v>
      </c>
      <c r="AJ2367">
        <v>0</v>
      </c>
      <c r="AK2367" t="s">
        <v>804</v>
      </c>
      <c r="AL2367">
        <v>39.075065000000002</v>
      </c>
      <c r="AM2367" t="s">
        <v>805</v>
      </c>
      <c r="AN2367">
        <v>-121.039703</v>
      </c>
      <c r="AO2367">
        <v>25</v>
      </c>
      <c r="AP2367">
        <v>4600</v>
      </c>
      <c r="AQ2367" t="s">
        <v>131</v>
      </c>
      <c r="AR2367">
        <v>13</v>
      </c>
      <c r="AS2367">
        <v>91</v>
      </c>
      <c r="AT2367">
        <v>-256</v>
      </c>
      <c r="BB2367" t="str">
        <f t="shared" si="915"/>
        <v>1200</v>
      </c>
      <c r="BC2367">
        <v>1</v>
      </c>
      <c r="BD2367" t="str">
        <f t="shared" si="916"/>
        <v xml:space="preserve">N52156  </v>
      </c>
      <c r="BE2367">
        <v>1</v>
      </c>
      <c r="BG2367">
        <v>0</v>
      </c>
      <c r="BH2367">
        <v>0</v>
      </c>
      <c r="BI2367">
        <v>0</v>
      </c>
      <c r="BJ2367">
        <v>4650</v>
      </c>
      <c r="BK2367">
        <v>50</v>
      </c>
      <c r="BL2367" t="s">
        <v>188</v>
      </c>
      <c r="BM2367">
        <v>1</v>
      </c>
      <c r="BN2367">
        <v>1</v>
      </c>
      <c r="BO2367">
        <v>0</v>
      </c>
      <c r="BP2367">
        <v>0</v>
      </c>
      <c r="BS2367">
        <v>0</v>
      </c>
      <c r="BT2367">
        <v>0</v>
      </c>
      <c r="BU2367">
        <v>0</v>
      </c>
      <c r="CE2367" t="str">
        <f t="shared" si="937"/>
        <v>15:11:06.412</v>
      </c>
      <c r="CF2367">
        <v>411788625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3</v>
      </c>
      <c r="CY2367">
        <v>7</v>
      </c>
      <c r="CZ2367" t="s">
        <v>133</v>
      </c>
      <c r="DA2367">
        <v>276</v>
      </c>
      <c r="DB2367">
        <v>0</v>
      </c>
      <c r="DC2367" t="s">
        <v>402</v>
      </c>
      <c r="DD2367" t="s">
        <v>403</v>
      </c>
      <c r="DG2367">
        <v>1627071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>"05/01/2025 15:11:06.677"</f>
        <v>05/01/2025 15:11:06.677</v>
      </c>
      <c r="C2368" t="str">
        <f t="shared" si="912"/>
        <v>FFDFD3C0</v>
      </c>
      <c r="D2368" t="s">
        <v>140</v>
      </c>
      <c r="E2368" t="str">
        <f>"13"</f>
        <v>13</v>
      </c>
      <c r="F2368">
        <v>1019</v>
      </c>
      <c r="G2368" t="s">
        <v>141</v>
      </c>
      <c r="J2368" t="s">
        <v>142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R2368" t="s">
        <v>127</v>
      </c>
      <c r="S2368" t="str">
        <f t="shared" si="936"/>
        <v>15:11:06.000</v>
      </c>
      <c r="T2368" t="str">
        <f t="shared" si="936"/>
        <v>15:11:06.000</v>
      </c>
      <c r="U2368" t="str">
        <f t="shared" si="914"/>
        <v>A68FCB</v>
      </c>
      <c r="V2368">
        <v>0</v>
      </c>
      <c r="W2368">
        <v>0</v>
      </c>
      <c r="X2368">
        <v>2</v>
      </c>
      <c r="Y2368">
        <v>0</v>
      </c>
      <c r="AA2368">
        <v>1</v>
      </c>
      <c r="AB2368">
        <v>8</v>
      </c>
      <c r="AC2368">
        <v>3</v>
      </c>
      <c r="AD2368">
        <v>0</v>
      </c>
      <c r="AE2368">
        <v>9</v>
      </c>
      <c r="AF2368" t="s">
        <v>138</v>
      </c>
      <c r="AG2368">
        <v>0</v>
      </c>
      <c r="AH2368">
        <v>3</v>
      </c>
      <c r="AI2368">
        <v>2</v>
      </c>
      <c r="AJ2368">
        <v>0</v>
      </c>
      <c r="AK2368" t="s">
        <v>804</v>
      </c>
      <c r="AL2368">
        <v>39.075065000000002</v>
      </c>
      <c r="AM2368" t="s">
        <v>805</v>
      </c>
      <c r="AN2368">
        <v>-121.039703</v>
      </c>
      <c r="AO2368">
        <v>25</v>
      </c>
      <c r="AP2368">
        <v>4600</v>
      </c>
      <c r="AQ2368" t="s">
        <v>131</v>
      </c>
      <c r="AR2368">
        <v>13</v>
      </c>
      <c r="AS2368">
        <v>91</v>
      </c>
      <c r="AT2368">
        <v>-256</v>
      </c>
      <c r="BB2368" t="str">
        <f t="shared" si="915"/>
        <v>1200</v>
      </c>
      <c r="BC2368">
        <v>1</v>
      </c>
      <c r="BD2368" t="str">
        <f t="shared" si="916"/>
        <v xml:space="preserve">N52156  </v>
      </c>
      <c r="BE2368">
        <v>1</v>
      </c>
      <c r="BG2368">
        <v>0</v>
      </c>
      <c r="BH2368">
        <v>0</v>
      </c>
      <c r="BI2368">
        <v>0</v>
      </c>
      <c r="BJ2368">
        <v>4650</v>
      </c>
      <c r="BK2368">
        <v>50</v>
      </c>
      <c r="BL2368" t="s">
        <v>188</v>
      </c>
      <c r="BM2368">
        <v>1</v>
      </c>
      <c r="BN2368">
        <v>1</v>
      </c>
      <c r="BO2368">
        <v>0</v>
      </c>
      <c r="BP2368">
        <v>0</v>
      </c>
      <c r="BS2368">
        <v>0</v>
      </c>
      <c r="BT2368">
        <v>0</v>
      </c>
      <c r="BU2368">
        <v>0</v>
      </c>
      <c r="CE2368" t="str">
        <f t="shared" si="937"/>
        <v>15:11:06.412</v>
      </c>
      <c r="CF2368">
        <v>411788625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3</v>
      </c>
      <c r="CY2368">
        <v>7</v>
      </c>
      <c r="CZ2368" t="s">
        <v>133</v>
      </c>
      <c r="DA2368">
        <v>276</v>
      </c>
      <c r="DB2368">
        <v>0</v>
      </c>
      <c r="DC2368" t="s">
        <v>402</v>
      </c>
      <c r="DD2368" t="s">
        <v>403</v>
      </c>
      <c r="DG2368">
        <v>1627071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>"05/01/2025 15:11:06.685"</f>
        <v>05/01/2025 15:11:06.685</v>
      </c>
      <c r="C2369" t="str">
        <f t="shared" si="912"/>
        <v>FFDFD3C0</v>
      </c>
      <c r="D2369" t="s">
        <v>124</v>
      </c>
      <c r="E2369" t="str">
        <f>"06"</f>
        <v>06</v>
      </c>
      <c r="F2369">
        <v>2006</v>
      </c>
      <c r="G2369" t="s">
        <v>125</v>
      </c>
      <c r="J2369" t="s">
        <v>126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R2369" t="s">
        <v>127</v>
      </c>
      <c r="S2369" t="str">
        <f t="shared" si="936"/>
        <v>15:11:06.000</v>
      </c>
      <c r="T2369" t="str">
        <f t="shared" si="936"/>
        <v>15:11:06.000</v>
      </c>
      <c r="U2369" t="str">
        <f t="shared" si="914"/>
        <v>A68FCB</v>
      </c>
      <c r="V2369">
        <v>0</v>
      </c>
      <c r="W2369">
        <v>0</v>
      </c>
      <c r="X2369">
        <v>2</v>
      </c>
      <c r="Y2369">
        <v>0</v>
      </c>
      <c r="AA2369">
        <v>1</v>
      </c>
      <c r="AB2369">
        <v>8</v>
      </c>
      <c r="AC2369">
        <v>3</v>
      </c>
      <c r="AD2369">
        <v>0</v>
      </c>
      <c r="AE2369">
        <v>9</v>
      </c>
      <c r="AF2369" t="s">
        <v>138</v>
      </c>
      <c r="AG2369">
        <v>0</v>
      </c>
      <c r="AH2369">
        <v>3</v>
      </c>
      <c r="AI2369">
        <v>2</v>
      </c>
      <c r="AJ2369">
        <v>0</v>
      </c>
      <c r="AK2369" t="s">
        <v>804</v>
      </c>
      <c r="AL2369">
        <v>39.075065000000002</v>
      </c>
      <c r="AM2369" t="s">
        <v>805</v>
      </c>
      <c r="AN2369">
        <v>-121.039703</v>
      </c>
      <c r="AO2369">
        <v>25</v>
      </c>
      <c r="AP2369">
        <v>4600</v>
      </c>
      <c r="AQ2369" t="s">
        <v>131</v>
      </c>
      <c r="AR2369">
        <v>13</v>
      </c>
      <c r="AS2369">
        <v>91</v>
      </c>
      <c r="AT2369">
        <v>-256</v>
      </c>
      <c r="BB2369" t="str">
        <f t="shared" si="915"/>
        <v>1200</v>
      </c>
      <c r="BC2369">
        <v>1</v>
      </c>
      <c r="BD2369" t="str">
        <f t="shared" si="916"/>
        <v xml:space="preserve">N52156  </v>
      </c>
      <c r="BE2369">
        <v>1</v>
      </c>
      <c r="BG2369">
        <v>0</v>
      </c>
      <c r="BH2369">
        <v>0</v>
      </c>
      <c r="BI2369">
        <v>0</v>
      </c>
      <c r="BJ2369">
        <v>4650</v>
      </c>
      <c r="BK2369">
        <v>50</v>
      </c>
      <c r="BL2369" t="s">
        <v>188</v>
      </c>
      <c r="BM2369">
        <v>1</v>
      </c>
      <c r="BN2369">
        <v>1</v>
      </c>
      <c r="BO2369">
        <v>0</v>
      </c>
      <c r="BP2369">
        <v>0</v>
      </c>
      <c r="BS2369">
        <v>0</v>
      </c>
      <c r="BT2369">
        <v>0</v>
      </c>
      <c r="BU2369">
        <v>0</v>
      </c>
      <c r="CE2369" t="str">
        <f t="shared" si="937"/>
        <v>15:11:06.412</v>
      </c>
      <c r="CF2369">
        <v>411788625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3</v>
      </c>
      <c r="CY2369">
        <v>7</v>
      </c>
      <c r="CZ2369" t="s">
        <v>133</v>
      </c>
      <c r="DA2369">
        <v>276</v>
      </c>
      <c r="DB2369">
        <v>0</v>
      </c>
      <c r="DC2369" t="s">
        <v>402</v>
      </c>
      <c r="DD2369" t="s">
        <v>403</v>
      </c>
      <c r="DG2369">
        <v>1627071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>"05/01/2025 15:11:06.693"</f>
        <v>05/01/2025 15:11:06.693</v>
      </c>
      <c r="C2370" t="str">
        <f t="shared" ref="C2370:C2433" si="938">"FFDFD3C0"</f>
        <v>FFDFD3C0</v>
      </c>
      <c r="D2370" t="s">
        <v>145</v>
      </c>
      <c r="E2370" t="str">
        <f>"05"</f>
        <v>05</v>
      </c>
      <c r="H2370">
        <v>47</v>
      </c>
      <c r="I2370" t="s">
        <v>146</v>
      </c>
      <c r="J2370" t="s">
        <v>138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R2370" t="s">
        <v>127</v>
      </c>
      <c r="S2370" t="str">
        <f t="shared" si="936"/>
        <v>15:11:06.000</v>
      </c>
      <c r="T2370" t="str">
        <f t="shared" si="936"/>
        <v>15:11:06.000</v>
      </c>
      <c r="U2370" t="str">
        <f t="shared" ref="U2370:U2433" si="939">"A68FCB"</f>
        <v>A68FCB</v>
      </c>
      <c r="V2370">
        <v>0</v>
      </c>
      <c r="W2370">
        <v>0</v>
      </c>
      <c r="X2370">
        <v>2</v>
      </c>
      <c r="Y2370">
        <v>0</v>
      </c>
      <c r="AA2370">
        <v>1</v>
      </c>
      <c r="AB2370">
        <v>8</v>
      </c>
      <c r="AC2370">
        <v>3</v>
      </c>
      <c r="AD2370">
        <v>0</v>
      </c>
      <c r="AE2370">
        <v>9</v>
      </c>
      <c r="AF2370" t="s">
        <v>138</v>
      </c>
      <c r="AG2370">
        <v>0</v>
      </c>
      <c r="AH2370">
        <v>3</v>
      </c>
      <c r="AI2370">
        <v>2</v>
      </c>
      <c r="AJ2370">
        <v>0</v>
      </c>
      <c r="AK2370" t="s">
        <v>804</v>
      </c>
      <c r="AL2370">
        <v>39.075065000000002</v>
      </c>
      <c r="AM2370" t="s">
        <v>805</v>
      </c>
      <c r="AN2370">
        <v>-121.039703</v>
      </c>
      <c r="AO2370">
        <v>25</v>
      </c>
      <c r="AP2370">
        <v>4600</v>
      </c>
      <c r="AQ2370" t="s">
        <v>131</v>
      </c>
      <c r="AR2370">
        <v>13</v>
      </c>
      <c r="AS2370">
        <v>91</v>
      </c>
      <c r="AT2370">
        <v>-256</v>
      </c>
      <c r="BB2370" t="str">
        <f t="shared" ref="BB2370:BB2433" si="940">"1200"</f>
        <v>1200</v>
      </c>
      <c r="BC2370">
        <v>1</v>
      </c>
      <c r="BD2370" t="str">
        <f t="shared" ref="BD2370:BD2433" si="941">"N52156  "</f>
        <v xml:space="preserve">N52156  </v>
      </c>
      <c r="BE2370">
        <v>1</v>
      </c>
      <c r="BG2370">
        <v>0</v>
      </c>
      <c r="BH2370">
        <v>0</v>
      </c>
      <c r="BI2370">
        <v>0</v>
      </c>
      <c r="BJ2370">
        <v>4650</v>
      </c>
      <c r="BK2370">
        <v>50</v>
      </c>
      <c r="BL2370" t="s">
        <v>188</v>
      </c>
      <c r="BM2370">
        <v>1</v>
      </c>
      <c r="BN2370">
        <v>1</v>
      </c>
      <c r="BO2370">
        <v>0</v>
      </c>
      <c r="BP2370">
        <v>0</v>
      </c>
      <c r="BS2370">
        <v>0</v>
      </c>
      <c r="BT2370">
        <v>0</v>
      </c>
      <c r="BU2370">
        <v>0</v>
      </c>
      <c r="CE2370" t="str">
        <f t="shared" si="937"/>
        <v>15:11:06.412</v>
      </c>
      <c r="CF2370">
        <v>411788625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3</v>
      </c>
      <c r="CY2370">
        <v>7</v>
      </c>
      <c r="CZ2370" t="s">
        <v>133</v>
      </c>
      <c r="DA2370">
        <v>276</v>
      </c>
      <c r="DB2370">
        <v>0</v>
      </c>
      <c r="DC2370" t="s">
        <v>402</v>
      </c>
      <c r="DD2370" t="s">
        <v>403</v>
      </c>
      <c r="DG2370">
        <v>1627071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"05/01/2025 15:11:06.693"</f>
        <v>05/01/2025 15:11:06.693</v>
      </c>
      <c r="C2371" t="str">
        <f t="shared" si="938"/>
        <v>FFDFD3C0</v>
      </c>
      <c r="D2371" t="s">
        <v>145</v>
      </c>
      <c r="E2371" t="str">
        <f>"09"</f>
        <v>09</v>
      </c>
      <c r="H2371">
        <v>51</v>
      </c>
      <c r="I2371" t="s">
        <v>147</v>
      </c>
      <c r="J2371" t="s">
        <v>138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R2371" t="s">
        <v>127</v>
      </c>
      <c r="S2371" t="str">
        <f t="shared" si="936"/>
        <v>15:11:06.000</v>
      </c>
      <c r="T2371" t="str">
        <f t="shared" si="936"/>
        <v>15:11:06.000</v>
      </c>
      <c r="U2371" t="str">
        <f t="shared" si="939"/>
        <v>A68FCB</v>
      </c>
      <c r="V2371">
        <v>0</v>
      </c>
      <c r="W2371">
        <v>0</v>
      </c>
      <c r="X2371">
        <v>2</v>
      </c>
      <c r="Y2371">
        <v>0</v>
      </c>
      <c r="AA2371">
        <v>1</v>
      </c>
      <c r="AB2371">
        <v>8</v>
      </c>
      <c r="AC2371">
        <v>3</v>
      </c>
      <c r="AD2371">
        <v>0</v>
      </c>
      <c r="AE2371">
        <v>9</v>
      </c>
      <c r="AF2371" t="s">
        <v>138</v>
      </c>
      <c r="AG2371">
        <v>0</v>
      </c>
      <c r="AH2371">
        <v>3</v>
      </c>
      <c r="AI2371">
        <v>2</v>
      </c>
      <c r="AJ2371">
        <v>0</v>
      </c>
      <c r="AK2371" t="s">
        <v>804</v>
      </c>
      <c r="AL2371">
        <v>39.075065000000002</v>
      </c>
      <c r="AM2371" t="s">
        <v>805</v>
      </c>
      <c r="AN2371">
        <v>-121.039703</v>
      </c>
      <c r="AO2371">
        <v>25</v>
      </c>
      <c r="AP2371">
        <v>4600</v>
      </c>
      <c r="AQ2371" t="s">
        <v>131</v>
      </c>
      <c r="AR2371">
        <v>13</v>
      </c>
      <c r="AS2371">
        <v>91</v>
      </c>
      <c r="AT2371">
        <v>-256</v>
      </c>
      <c r="BB2371" t="str">
        <f t="shared" si="940"/>
        <v>1200</v>
      </c>
      <c r="BC2371">
        <v>1</v>
      </c>
      <c r="BD2371" t="str">
        <f t="shared" si="941"/>
        <v xml:space="preserve">N52156  </v>
      </c>
      <c r="BE2371">
        <v>1</v>
      </c>
      <c r="BG2371">
        <v>0</v>
      </c>
      <c r="BH2371">
        <v>0</v>
      </c>
      <c r="BI2371">
        <v>0</v>
      </c>
      <c r="BJ2371">
        <v>4650</v>
      </c>
      <c r="BK2371">
        <v>50</v>
      </c>
      <c r="BL2371" t="s">
        <v>188</v>
      </c>
      <c r="BM2371">
        <v>1</v>
      </c>
      <c r="BN2371">
        <v>1</v>
      </c>
      <c r="BO2371">
        <v>0</v>
      </c>
      <c r="BP2371">
        <v>0</v>
      </c>
      <c r="BS2371">
        <v>0</v>
      </c>
      <c r="BT2371">
        <v>0</v>
      </c>
      <c r="BU2371">
        <v>0</v>
      </c>
      <c r="CE2371" t="str">
        <f t="shared" si="937"/>
        <v>15:11:06.412</v>
      </c>
      <c r="CF2371">
        <v>411788625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3</v>
      </c>
      <c r="CY2371">
        <v>7</v>
      </c>
      <c r="CZ2371" t="s">
        <v>133</v>
      </c>
      <c r="DA2371">
        <v>276</v>
      </c>
      <c r="DB2371">
        <v>0</v>
      </c>
      <c r="DC2371" t="s">
        <v>402</v>
      </c>
      <c r="DD2371" t="s">
        <v>403</v>
      </c>
      <c r="DG2371">
        <v>1627071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"05/01/2025 15:11:08.080"</f>
        <v>05/01/2025 15:11:08.080</v>
      </c>
      <c r="C2372" t="str">
        <f t="shared" si="938"/>
        <v>FFDFD3C0</v>
      </c>
      <c r="D2372" t="s">
        <v>140</v>
      </c>
      <c r="E2372" t="str">
        <f>"13"</f>
        <v>13</v>
      </c>
      <c r="F2372">
        <v>1019</v>
      </c>
      <c r="G2372" t="s">
        <v>141</v>
      </c>
      <c r="J2372" t="s">
        <v>142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R2372" t="s">
        <v>127</v>
      </c>
      <c r="S2372" t="str">
        <f t="shared" ref="S2372:T2377" si="942">"15:11:07.000"</f>
        <v>15:11:07.000</v>
      </c>
      <c r="T2372" t="str">
        <f t="shared" si="942"/>
        <v>15:11:07.000</v>
      </c>
      <c r="U2372" t="str">
        <f t="shared" si="939"/>
        <v>A68FCB</v>
      </c>
      <c r="V2372">
        <v>0</v>
      </c>
      <c r="W2372">
        <v>0</v>
      </c>
      <c r="X2372">
        <v>2</v>
      </c>
      <c r="Y2372">
        <v>0</v>
      </c>
      <c r="AA2372">
        <v>1</v>
      </c>
      <c r="AB2372">
        <v>8</v>
      </c>
      <c r="AC2372">
        <v>3</v>
      </c>
      <c r="AD2372">
        <v>0</v>
      </c>
      <c r="AE2372">
        <v>9</v>
      </c>
      <c r="AF2372" t="s">
        <v>138</v>
      </c>
      <c r="AG2372">
        <v>0</v>
      </c>
      <c r="AH2372">
        <v>3</v>
      </c>
      <c r="AI2372">
        <v>2</v>
      </c>
      <c r="AJ2372">
        <v>0</v>
      </c>
      <c r="AK2372" t="s">
        <v>806</v>
      </c>
      <c r="AL2372">
        <v>39.075493999999999</v>
      </c>
      <c r="AM2372" t="s">
        <v>807</v>
      </c>
      <c r="AN2372">
        <v>-121.03961700000001</v>
      </c>
      <c r="AO2372">
        <v>25</v>
      </c>
      <c r="AP2372">
        <v>4600</v>
      </c>
      <c r="AQ2372" t="s">
        <v>131</v>
      </c>
      <c r="AR2372">
        <v>11</v>
      </c>
      <c r="AS2372">
        <v>92</v>
      </c>
      <c r="AT2372">
        <v>-256</v>
      </c>
      <c r="BB2372" t="str">
        <f t="shared" si="940"/>
        <v>1200</v>
      </c>
      <c r="BC2372">
        <v>1</v>
      </c>
      <c r="BD2372" t="str">
        <f t="shared" si="941"/>
        <v xml:space="preserve">N52156  </v>
      </c>
      <c r="BE2372">
        <v>1</v>
      </c>
      <c r="BG2372">
        <v>0</v>
      </c>
      <c r="BH2372">
        <v>0</v>
      </c>
      <c r="BI2372">
        <v>0</v>
      </c>
      <c r="BJ2372">
        <v>4650</v>
      </c>
      <c r="BK2372">
        <v>50</v>
      </c>
      <c r="BL2372" t="s">
        <v>188</v>
      </c>
      <c r="BM2372">
        <v>1</v>
      </c>
      <c r="BN2372">
        <v>1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 t="shared" ref="CE2372:CE2377" si="943">"15:11:07.870"</f>
        <v>15:11:07.870</v>
      </c>
      <c r="CF2372">
        <v>869970315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4</v>
      </c>
      <c r="CY2372">
        <v>7</v>
      </c>
      <c r="CZ2372" t="s">
        <v>133</v>
      </c>
      <c r="DA2372">
        <v>275</v>
      </c>
      <c r="DB2372">
        <v>0</v>
      </c>
      <c r="DC2372" t="s">
        <v>134</v>
      </c>
      <c r="DD2372" t="s">
        <v>135</v>
      </c>
      <c r="DG2372">
        <v>3321660</v>
      </c>
      <c r="DI2372">
        <v>1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"05/01/2025 15:11:08.087"</f>
        <v>05/01/2025 15:11:08.087</v>
      </c>
      <c r="C2373" t="str">
        <f t="shared" si="938"/>
        <v>FFDFD3C0</v>
      </c>
      <c r="D2373" t="s">
        <v>124</v>
      </c>
      <c r="E2373" t="str">
        <f>"06"</f>
        <v>06</v>
      </c>
      <c r="F2373">
        <v>2006</v>
      </c>
      <c r="G2373" t="s">
        <v>125</v>
      </c>
      <c r="J2373" t="s">
        <v>126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R2373" t="s">
        <v>127</v>
      </c>
      <c r="S2373" t="str">
        <f t="shared" si="942"/>
        <v>15:11:07.000</v>
      </c>
      <c r="T2373" t="str">
        <f t="shared" si="942"/>
        <v>15:11:07.000</v>
      </c>
      <c r="U2373" t="str">
        <f t="shared" si="939"/>
        <v>A68FCB</v>
      </c>
      <c r="V2373">
        <v>0</v>
      </c>
      <c r="W2373">
        <v>0</v>
      </c>
      <c r="X2373">
        <v>2</v>
      </c>
      <c r="Y2373">
        <v>0</v>
      </c>
      <c r="AA2373">
        <v>1</v>
      </c>
      <c r="AB2373">
        <v>8</v>
      </c>
      <c r="AC2373">
        <v>3</v>
      </c>
      <c r="AD2373">
        <v>0</v>
      </c>
      <c r="AE2373">
        <v>9</v>
      </c>
      <c r="AF2373" t="s">
        <v>138</v>
      </c>
      <c r="AG2373">
        <v>0</v>
      </c>
      <c r="AH2373">
        <v>3</v>
      </c>
      <c r="AI2373">
        <v>2</v>
      </c>
      <c r="AJ2373">
        <v>0</v>
      </c>
      <c r="AK2373" t="s">
        <v>806</v>
      </c>
      <c r="AL2373">
        <v>39.075493999999999</v>
      </c>
      <c r="AM2373" t="s">
        <v>807</v>
      </c>
      <c r="AN2373">
        <v>-121.03961700000001</v>
      </c>
      <c r="AO2373">
        <v>25</v>
      </c>
      <c r="AP2373">
        <v>4600</v>
      </c>
      <c r="AQ2373" t="s">
        <v>131</v>
      </c>
      <c r="AR2373">
        <v>11</v>
      </c>
      <c r="AS2373">
        <v>92</v>
      </c>
      <c r="AT2373">
        <v>-256</v>
      </c>
      <c r="BB2373" t="str">
        <f t="shared" si="940"/>
        <v>1200</v>
      </c>
      <c r="BC2373">
        <v>1</v>
      </c>
      <c r="BD2373" t="str">
        <f t="shared" si="941"/>
        <v xml:space="preserve">N52156  </v>
      </c>
      <c r="BE2373">
        <v>1</v>
      </c>
      <c r="BG2373">
        <v>0</v>
      </c>
      <c r="BH2373">
        <v>0</v>
      </c>
      <c r="BI2373">
        <v>0</v>
      </c>
      <c r="BJ2373">
        <v>4650</v>
      </c>
      <c r="BK2373">
        <v>50</v>
      </c>
      <c r="BL2373" t="s">
        <v>188</v>
      </c>
      <c r="BM2373">
        <v>1</v>
      </c>
      <c r="BN2373">
        <v>1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 t="shared" si="943"/>
        <v>15:11:07.870</v>
      </c>
      <c r="CF2373">
        <v>869970315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4</v>
      </c>
      <c r="CY2373">
        <v>7</v>
      </c>
      <c r="CZ2373" t="s">
        <v>133</v>
      </c>
      <c r="DA2373">
        <v>275</v>
      </c>
      <c r="DB2373">
        <v>0</v>
      </c>
      <c r="DC2373" t="s">
        <v>134</v>
      </c>
      <c r="DD2373" t="s">
        <v>135</v>
      </c>
      <c r="DG2373">
        <v>3321660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"05/01/2025 15:11:08.095"</f>
        <v>05/01/2025 15:11:08.095</v>
      </c>
      <c r="C2374" t="str">
        <f t="shared" si="938"/>
        <v>FFDFD3C0</v>
      </c>
      <c r="D2374" t="s">
        <v>145</v>
      </c>
      <c r="E2374" t="str">
        <f>"05"</f>
        <v>05</v>
      </c>
      <c r="H2374">
        <v>47</v>
      </c>
      <c r="I2374" t="s">
        <v>146</v>
      </c>
      <c r="J2374" t="s">
        <v>138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R2374" t="s">
        <v>127</v>
      </c>
      <c r="S2374" t="str">
        <f t="shared" si="942"/>
        <v>15:11:07.000</v>
      </c>
      <c r="T2374" t="str">
        <f t="shared" si="942"/>
        <v>15:11:07.000</v>
      </c>
      <c r="U2374" t="str">
        <f t="shared" si="939"/>
        <v>A68FCB</v>
      </c>
      <c r="V2374">
        <v>0</v>
      </c>
      <c r="W2374">
        <v>0</v>
      </c>
      <c r="X2374">
        <v>2</v>
      </c>
      <c r="Y2374">
        <v>0</v>
      </c>
      <c r="AA2374">
        <v>1</v>
      </c>
      <c r="AB2374">
        <v>8</v>
      </c>
      <c r="AC2374">
        <v>3</v>
      </c>
      <c r="AD2374">
        <v>0</v>
      </c>
      <c r="AE2374">
        <v>9</v>
      </c>
      <c r="AF2374" t="s">
        <v>138</v>
      </c>
      <c r="AG2374">
        <v>0</v>
      </c>
      <c r="AH2374">
        <v>3</v>
      </c>
      <c r="AI2374">
        <v>2</v>
      </c>
      <c r="AJ2374">
        <v>0</v>
      </c>
      <c r="AK2374" t="s">
        <v>806</v>
      </c>
      <c r="AL2374">
        <v>39.075493999999999</v>
      </c>
      <c r="AM2374" t="s">
        <v>807</v>
      </c>
      <c r="AN2374">
        <v>-121.03961700000001</v>
      </c>
      <c r="AO2374">
        <v>25</v>
      </c>
      <c r="AP2374">
        <v>4600</v>
      </c>
      <c r="AQ2374" t="s">
        <v>131</v>
      </c>
      <c r="AR2374">
        <v>11</v>
      </c>
      <c r="AS2374">
        <v>92</v>
      </c>
      <c r="AT2374">
        <v>-256</v>
      </c>
      <c r="BB2374" t="str">
        <f t="shared" si="940"/>
        <v>1200</v>
      </c>
      <c r="BC2374">
        <v>1</v>
      </c>
      <c r="BD2374" t="str">
        <f t="shared" si="941"/>
        <v xml:space="preserve">N52156  </v>
      </c>
      <c r="BE2374">
        <v>1</v>
      </c>
      <c r="BG2374">
        <v>0</v>
      </c>
      <c r="BH2374">
        <v>0</v>
      </c>
      <c r="BI2374">
        <v>0</v>
      </c>
      <c r="BJ2374">
        <v>4650</v>
      </c>
      <c r="BK2374">
        <v>50</v>
      </c>
      <c r="BL2374" t="s">
        <v>188</v>
      </c>
      <c r="BM2374">
        <v>1</v>
      </c>
      <c r="BN2374">
        <v>1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 t="shared" si="943"/>
        <v>15:11:07.870</v>
      </c>
      <c r="CF2374">
        <v>869970315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4</v>
      </c>
      <c r="CY2374">
        <v>7</v>
      </c>
      <c r="CZ2374" t="s">
        <v>133</v>
      </c>
      <c r="DA2374">
        <v>275</v>
      </c>
      <c r="DB2374">
        <v>0</v>
      </c>
      <c r="DC2374" t="s">
        <v>134</v>
      </c>
      <c r="DD2374" t="s">
        <v>135</v>
      </c>
      <c r="DG2374">
        <v>3321660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"05/01/2025 15:11:08.095"</f>
        <v>05/01/2025 15:11:08.095</v>
      </c>
      <c r="C2375" t="str">
        <f t="shared" si="938"/>
        <v>FFDFD3C0</v>
      </c>
      <c r="D2375" t="s">
        <v>145</v>
      </c>
      <c r="E2375" t="str">
        <f>"09"</f>
        <v>09</v>
      </c>
      <c r="H2375">
        <v>51</v>
      </c>
      <c r="I2375" t="s">
        <v>147</v>
      </c>
      <c r="J2375" t="s">
        <v>138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R2375" t="s">
        <v>127</v>
      </c>
      <c r="S2375" t="str">
        <f t="shared" si="942"/>
        <v>15:11:07.000</v>
      </c>
      <c r="T2375" t="str">
        <f t="shared" si="942"/>
        <v>15:11:07.000</v>
      </c>
      <c r="U2375" t="str">
        <f t="shared" si="939"/>
        <v>A68FCB</v>
      </c>
      <c r="V2375">
        <v>0</v>
      </c>
      <c r="W2375">
        <v>0</v>
      </c>
      <c r="X2375">
        <v>2</v>
      </c>
      <c r="Y2375">
        <v>0</v>
      </c>
      <c r="AA2375">
        <v>1</v>
      </c>
      <c r="AB2375">
        <v>8</v>
      </c>
      <c r="AC2375">
        <v>3</v>
      </c>
      <c r="AD2375">
        <v>0</v>
      </c>
      <c r="AE2375">
        <v>9</v>
      </c>
      <c r="AF2375" t="s">
        <v>138</v>
      </c>
      <c r="AG2375">
        <v>0</v>
      </c>
      <c r="AH2375">
        <v>3</v>
      </c>
      <c r="AI2375">
        <v>2</v>
      </c>
      <c r="AJ2375">
        <v>0</v>
      </c>
      <c r="AK2375" t="s">
        <v>806</v>
      </c>
      <c r="AL2375">
        <v>39.075493999999999</v>
      </c>
      <c r="AM2375" t="s">
        <v>807</v>
      </c>
      <c r="AN2375">
        <v>-121.03961700000001</v>
      </c>
      <c r="AO2375">
        <v>25</v>
      </c>
      <c r="AP2375">
        <v>4600</v>
      </c>
      <c r="AQ2375" t="s">
        <v>131</v>
      </c>
      <c r="AR2375">
        <v>11</v>
      </c>
      <c r="AS2375">
        <v>92</v>
      </c>
      <c r="AT2375">
        <v>-256</v>
      </c>
      <c r="BB2375" t="str">
        <f t="shared" si="940"/>
        <v>1200</v>
      </c>
      <c r="BC2375">
        <v>1</v>
      </c>
      <c r="BD2375" t="str">
        <f t="shared" si="941"/>
        <v xml:space="preserve">N52156  </v>
      </c>
      <c r="BE2375">
        <v>1</v>
      </c>
      <c r="BG2375">
        <v>0</v>
      </c>
      <c r="BH2375">
        <v>0</v>
      </c>
      <c r="BI2375">
        <v>0</v>
      </c>
      <c r="BJ2375">
        <v>4650</v>
      </c>
      <c r="BK2375">
        <v>50</v>
      </c>
      <c r="BL2375" t="s">
        <v>188</v>
      </c>
      <c r="BM2375">
        <v>1</v>
      </c>
      <c r="BN2375">
        <v>1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 t="shared" si="943"/>
        <v>15:11:07.870</v>
      </c>
      <c r="CF2375">
        <v>869970315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4</v>
      </c>
      <c r="CY2375">
        <v>7</v>
      </c>
      <c r="CZ2375" t="s">
        <v>133</v>
      </c>
      <c r="DA2375">
        <v>275</v>
      </c>
      <c r="DB2375">
        <v>0</v>
      </c>
      <c r="DC2375" t="s">
        <v>134</v>
      </c>
      <c r="DD2375" t="s">
        <v>135</v>
      </c>
      <c r="DG2375">
        <v>3321660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"05/01/2025 15:11:08.104"</f>
        <v>05/01/2025 15:11:08.104</v>
      </c>
      <c r="C2376" t="str">
        <f t="shared" si="938"/>
        <v>FFDFD3C0</v>
      </c>
      <c r="D2376" t="s">
        <v>136</v>
      </c>
      <c r="E2376" t="str">
        <f>"20"</f>
        <v>20</v>
      </c>
      <c r="H2376">
        <v>400</v>
      </c>
      <c r="I2376" t="s">
        <v>137</v>
      </c>
      <c r="J2376" t="s">
        <v>138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R2376" t="s">
        <v>127</v>
      </c>
      <c r="S2376" t="str">
        <f t="shared" si="942"/>
        <v>15:11:07.000</v>
      </c>
      <c r="T2376" t="str">
        <f t="shared" si="942"/>
        <v>15:11:07.000</v>
      </c>
      <c r="U2376" t="str">
        <f t="shared" si="939"/>
        <v>A68FCB</v>
      </c>
      <c r="V2376">
        <v>0</v>
      </c>
      <c r="W2376">
        <v>0</v>
      </c>
      <c r="X2376">
        <v>2</v>
      </c>
      <c r="Y2376">
        <v>0</v>
      </c>
      <c r="AA2376">
        <v>1</v>
      </c>
      <c r="AB2376">
        <v>8</v>
      </c>
      <c r="AC2376">
        <v>3</v>
      </c>
      <c r="AD2376">
        <v>0</v>
      </c>
      <c r="AE2376">
        <v>9</v>
      </c>
      <c r="AF2376" t="s">
        <v>138</v>
      </c>
      <c r="AG2376">
        <v>0</v>
      </c>
      <c r="AH2376">
        <v>3</v>
      </c>
      <c r="AI2376">
        <v>2</v>
      </c>
      <c r="AJ2376">
        <v>0</v>
      </c>
      <c r="AK2376" t="s">
        <v>806</v>
      </c>
      <c r="AL2376">
        <v>39.075493999999999</v>
      </c>
      <c r="AM2376" t="s">
        <v>807</v>
      </c>
      <c r="AN2376">
        <v>-121.03961700000001</v>
      </c>
      <c r="AO2376">
        <v>25</v>
      </c>
      <c r="AP2376">
        <v>4600</v>
      </c>
      <c r="AQ2376" t="s">
        <v>131</v>
      </c>
      <c r="AR2376">
        <v>11</v>
      </c>
      <c r="AS2376">
        <v>92</v>
      </c>
      <c r="AT2376">
        <v>-256</v>
      </c>
      <c r="BB2376" t="str">
        <f t="shared" si="940"/>
        <v>1200</v>
      </c>
      <c r="BC2376">
        <v>1</v>
      </c>
      <c r="BD2376" t="str">
        <f t="shared" si="941"/>
        <v xml:space="preserve">N52156  </v>
      </c>
      <c r="BE2376">
        <v>1</v>
      </c>
      <c r="BG2376">
        <v>0</v>
      </c>
      <c r="BH2376">
        <v>0</v>
      </c>
      <c r="BI2376">
        <v>0</v>
      </c>
      <c r="BJ2376">
        <v>4650</v>
      </c>
      <c r="BK2376">
        <v>50</v>
      </c>
      <c r="BL2376" t="s">
        <v>188</v>
      </c>
      <c r="BM2376">
        <v>1</v>
      </c>
      <c r="BN2376">
        <v>1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 t="shared" si="943"/>
        <v>15:11:07.870</v>
      </c>
      <c r="CF2376">
        <v>869970315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4</v>
      </c>
      <c r="CY2376">
        <v>7</v>
      </c>
      <c r="CZ2376" t="s">
        <v>133</v>
      </c>
      <c r="DA2376">
        <v>275</v>
      </c>
      <c r="DB2376">
        <v>0</v>
      </c>
      <c r="DC2376" t="s">
        <v>134</v>
      </c>
      <c r="DD2376" t="s">
        <v>135</v>
      </c>
      <c r="DG2376">
        <v>3321660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"05/01/2025 15:11:08.110"</f>
        <v>05/01/2025 15:11:08.110</v>
      </c>
      <c r="C2377" t="str">
        <f t="shared" si="938"/>
        <v>FFDFD3C0</v>
      </c>
      <c r="D2377" t="s">
        <v>143</v>
      </c>
      <c r="E2377" t="str">
        <f>"05"</f>
        <v>05</v>
      </c>
      <c r="H2377">
        <v>172</v>
      </c>
      <c r="I2377" t="s">
        <v>141</v>
      </c>
      <c r="J2377" t="s">
        <v>144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R2377" t="s">
        <v>127</v>
      </c>
      <c r="S2377" t="str">
        <f t="shared" si="942"/>
        <v>15:11:07.000</v>
      </c>
      <c r="T2377" t="str">
        <f t="shared" si="942"/>
        <v>15:11:07.000</v>
      </c>
      <c r="U2377" t="str">
        <f t="shared" si="939"/>
        <v>A68FCB</v>
      </c>
      <c r="V2377">
        <v>0</v>
      </c>
      <c r="W2377">
        <v>0</v>
      </c>
      <c r="X2377">
        <v>2</v>
      </c>
      <c r="Y2377">
        <v>0</v>
      </c>
      <c r="AA2377">
        <v>1</v>
      </c>
      <c r="AB2377">
        <v>8</v>
      </c>
      <c r="AC2377">
        <v>3</v>
      </c>
      <c r="AD2377">
        <v>0</v>
      </c>
      <c r="AE2377">
        <v>9</v>
      </c>
      <c r="AF2377" t="s">
        <v>138</v>
      </c>
      <c r="AG2377">
        <v>0</v>
      </c>
      <c r="AH2377">
        <v>3</v>
      </c>
      <c r="AI2377">
        <v>2</v>
      </c>
      <c r="AJ2377">
        <v>0</v>
      </c>
      <c r="AK2377" t="s">
        <v>806</v>
      </c>
      <c r="AL2377">
        <v>39.075493999999999</v>
      </c>
      <c r="AM2377" t="s">
        <v>807</v>
      </c>
      <c r="AN2377">
        <v>-121.03961700000001</v>
      </c>
      <c r="AO2377">
        <v>25</v>
      </c>
      <c r="AP2377">
        <v>4600</v>
      </c>
      <c r="AQ2377" t="s">
        <v>131</v>
      </c>
      <c r="AR2377">
        <v>11</v>
      </c>
      <c r="AS2377">
        <v>92</v>
      </c>
      <c r="AT2377">
        <v>-256</v>
      </c>
      <c r="BB2377" t="str">
        <f t="shared" si="940"/>
        <v>1200</v>
      </c>
      <c r="BC2377">
        <v>1</v>
      </c>
      <c r="BD2377" t="str">
        <f t="shared" si="941"/>
        <v xml:space="preserve">N52156  </v>
      </c>
      <c r="BE2377">
        <v>1</v>
      </c>
      <c r="BG2377">
        <v>0</v>
      </c>
      <c r="BH2377">
        <v>0</v>
      </c>
      <c r="BI2377">
        <v>0</v>
      </c>
      <c r="BJ2377">
        <v>4650</v>
      </c>
      <c r="BK2377">
        <v>50</v>
      </c>
      <c r="BL2377" t="s">
        <v>188</v>
      </c>
      <c r="BM2377">
        <v>1</v>
      </c>
      <c r="BN2377">
        <v>1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 t="shared" si="943"/>
        <v>15:11:07.870</v>
      </c>
      <c r="CF2377">
        <v>869970315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4</v>
      </c>
      <c r="CY2377">
        <v>7</v>
      </c>
      <c r="CZ2377" t="s">
        <v>133</v>
      </c>
      <c r="DA2377">
        <v>275</v>
      </c>
      <c r="DB2377">
        <v>0</v>
      </c>
      <c r="DC2377" t="s">
        <v>134</v>
      </c>
      <c r="DD2377" t="s">
        <v>135</v>
      </c>
      <c r="DG2377">
        <v>3321660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"05/01/2025 15:11:08.681"</f>
        <v>05/01/2025 15:11:08.681</v>
      </c>
      <c r="C2378" t="str">
        <f t="shared" si="938"/>
        <v>FFDFD3C0</v>
      </c>
      <c r="D2378" t="s">
        <v>140</v>
      </c>
      <c r="E2378" t="str">
        <f>"13"</f>
        <v>13</v>
      </c>
      <c r="F2378">
        <v>1019</v>
      </c>
      <c r="G2378" t="s">
        <v>141</v>
      </c>
      <c r="J2378" t="s">
        <v>142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R2378" t="s">
        <v>127</v>
      </c>
      <c r="S2378" t="str">
        <f t="shared" ref="S2378:T2383" si="944">"15:11:08.000"</f>
        <v>15:11:08.000</v>
      </c>
      <c r="T2378" t="str">
        <f t="shared" si="944"/>
        <v>15:11:08.000</v>
      </c>
      <c r="U2378" t="str">
        <f t="shared" si="939"/>
        <v>A68FCB</v>
      </c>
      <c r="V2378">
        <v>0</v>
      </c>
      <c r="W2378">
        <v>0</v>
      </c>
      <c r="X2378">
        <v>2</v>
      </c>
      <c r="Y2378">
        <v>0</v>
      </c>
      <c r="AA2378">
        <v>1</v>
      </c>
      <c r="AB2378">
        <v>8</v>
      </c>
      <c r="AC2378">
        <v>3</v>
      </c>
      <c r="AD2378">
        <v>0</v>
      </c>
      <c r="AE2378">
        <v>9</v>
      </c>
      <c r="AF2378" t="s">
        <v>138</v>
      </c>
      <c r="AG2378">
        <v>0</v>
      </c>
      <c r="AH2378">
        <v>3</v>
      </c>
      <c r="AI2378">
        <v>2</v>
      </c>
      <c r="AJ2378">
        <v>0</v>
      </c>
      <c r="AK2378" t="s">
        <v>808</v>
      </c>
      <c r="AL2378">
        <v>39.075923000000003</v>
      </c>
      <c r="AM2378" t="s">
        <v>809</v>
      </c>
      <c r="AN2378">
        <v>-121.039531</v>
      </c>
      <c r="AO2378">
        <v>25</v>
      </c>
      <c r="AP2378">
        <v>4600</v>
      </c>
      <c r="AQ2378" t="s">
        <v>131</v>
      </c>
      <c r="AR2378">
        <v>11</v>
      </c>
      <c r="AS2378">
        <v>92</v>
      </c>
      <c r="AT2378">
        <v>-192</v>
      </c>
      <c r="BB2378" t="str">
        <f t="shared" si="940"/>
        <v>1200</v>
      </c>
      <c r="BC2378">
        <v>1</v>
      </c>
      <c r="BD2378" t="str">
        <f t="shared" si="941"/>
        <v xml:space="preserve">N52156  </v>
      </c>
      <c r="BE2378">
        <v>1</v>
      </c>
      <c r="BG2378">
        <v>0</v>
      </c>
      <c r="BH2378">
        <v>0</v>
      </c>
      <c r="BI2378">
        <v>0</v>
      </c>
      <c r="BJ2378">
        <v>4625</v>
      </c>
      <c r="BK2378">
        <v>25</v>
      </c>
      <c r="BL2378" t="s">
        <v>188</v>
      </c>
      <c r="BM2378">
        <v>1</v>
      </c>
      <c r="BN2378">
        <v>1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 t="shared" ref="CE2378:CE2383" si="945">"15:11:08.481"</f>
        <v>15:11:08.481</v>
      </c>
      <c r="CF2378">
        <v>481469403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3</v>
      </c>
      <c r="CY2378">
        <v>7</v>
      </c>
      <c r="CZ2378" t="s">
        <v>133</v>
      </c>
      <c r="DA2378">
        <v>275</v>
      </c>
      <c r="DB2378">
        <v>0</v>
      </c>
      <c r="DC2378" t="s">
        <v>134</v>
      </c>
      <c r="DD2378" t="s">
        <v>135</v>
      </c>
      <c r="DG2378">
        <v>3321664</v>
      </c>
      <c r="DI2378">
        <v>1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"05/01/2025 15:11:08.689"</f>
        <v>05/01/2025 15:11:08.689</v>
      </c>
      <c r="C2379" t="str">
        <f t="shared" si="938"/>
        <v>FFDFD3C0</v>
      </c>
      <c r="D2379" t="s">
        <v>124</v>
      </c>
      <c r="E2379" t="str">
        <f>"06"</f>
        <v>06</v>
      </c>
      <c r="F2379">
        <v>2006</v>
      </c>
      <c r="G2379" t="s">
        <v>125</v>
      </c>
      <c r="J2379" t="s">
        <v>126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R2379" t="s">
        <v>127</v>
      </c>
      <c r="S2379" t="str">
        <f t="shared" si="944"/>
        <v>15:11:08.000</v>
      </c>
      <c r="T2379" t="str">
        <f t="shared" si="944"/>
        <v>15:11:08.000</v>
      </c>
      <c r="U2379" t="str">
        <f t="shared" si="939"/>
        <v>A68FCB</v>
      </c>
      <c r="V2379">
        <v>0</v>
      </c>
      <c r="W2379">
        <v>0</v>
      </c>
      <c r="X2379">
        <v>2</v>
      </c>
      <c r="Y2379">
        <v>0</v>
      </c>
      <c r="AA2379">
        <v>1</v>
      </c>
      <c r="AB2379">
        <v>8</v>
      </c>
      <c r="AC2379">
        <v>3</v>
      </c>
      <c r="AD2379">
        <v>0</v>
      </c>
      <c r="AE2379">
        <v>9</v>
      </c>
      <c r="AF2379" t="s">
        <v>138</v>
      </c>
      <c r="AG2379">
        <v>0</v>
      </c>
      <c r="AH2379">
        <v>3</v>
      </c>
      <c r="AI2379">
        <v>2</v>
      </c>
      <c r="AJ2379">
        <v>0</v>
      </c>
      <c r="AK2379" t="s">
        <v>808</v>
      </c>
      <c r="AL2379">
        <v>39.075923000000003</v>
      </c>
      <c r="AM2379" t="s">
        <v>809</v>
      </c>
      <c r="AN2379">
        <v>-121.039531</v>
      </c>
      <c r="AO2379">
        <v>25</v>
      </c>
      <c r="AP2379">
        <v>4600</v>
      </c>
      <c r="AQ2379" t="s">
        <v>131</v>
      </c>
      <c r="AR2379">
        <v>11</v>
      </c>
      <c r="AS2379">
        <v>92</v>
      </c>
      <c r="AT2379">
        <v>-192</v>
      </c>
      <c r="BB2379" t="str">
        <f t="shared" si="940"/>
        <v>1200</v>
      </c>
      <c r="BC2379">
        <v>1</v>
      </c>
      <c r="BD2379" t="str">
        <f t="shared" si="941"/>
        <v xml:space="preserve">N52156  </v>
      </c>
      <c r="BE2379">
        <v>1</v>
      </c>
      <c r="BG2379">
        <v>0</v>
      </c>
      <c r="BH2379">
        <v>0</v>
      </c>
      <c r="BI2379">
        <v>0</v>
      </c>
      <c r="BJ2379">
        <v>4625</v>
      </c>
      <c r="BK2379">
        <v>25</v>
      </c>
      <c r="BL2379" t="s">
        <v>188</v>
      </c>
      <c r="BM2379">
        <v>1</v>
      </c>
      <c r="BN2379">
        <v>1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 t="shared" si="945"/>
        <v>15:11:08.481</v>
      </c>
      <c r="CF2379">
        <v>481469403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3</v>
      </c>
      <c r="CY2379">
        <v>7</v>
      </c>
      <c r="CZ2379" t="s">
        <v>133</v>
      </c>
      <c r="DA2379">
        <v>275</v>
      </c>
      <c r="DB2379">
        <v>0</v>
      </c>
      <c r="DC2379" t="s">
        <v>134</v>
      </c>
      <c r="DD2379" t="s">
        <v>135</v>
      </c>
      <c r="DG2379">
        <v>3321664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"05/01/2025 15:11:08.696"</f>
        <v>05/01/2025 15:11:08.696</v>
      </c>
      <c r="C2380" t="str">
        <f t="shared" si="938"/>
        <v>FFDFD3C0</v>
      </c>
      <c r="D2380" t="s">
        <v>145</v>
      </c>
      <c r="E2380" t="str">
        <f>"09"</f>
        <v>09</v>
      </c>
      <c r="H2380">
        <v>51</v>
      </c>
      <c r="I2380" t="s">
        <v>147</v>
      </c>
      <c r="J2380" t="s">
        <v>138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R2380" t="s">
        <v>127</v>
      </c>
      <c r="S2380" t="str">
        <f t="shared" si="944"/>
        <v>15:11:08.000</v>
      </c>
      <c r="T2380" t="str">
        <f t="shared" si="944"/>
        <v>15:11:08.000</v>
      </c>
      <c r="U2380" t="str">
        <f t="shared" si="939"/>
        <v>A68FCB</v>
      </c>
      <c r="V2380">
        <v>0</v>
      </c>
      <c r="W2380">
        <v>0</v>
      </c>
      <c r="X2380">
        <v>2</v>
      </c>
      <c r="Y2380">
        <v>0</v>
      </c>
      <c r="AA2380">
        <v>1</v>
      </c>
      <c r="AB2380">
        <v>8</v>
      </c>
      <c r="AC2380">
        <v>3</v>
      </c>
      <c r="AD2380">
        <v>0</v>
      </c>
      <c r="AE2380">
        <v>9</v>
      </c>
      <c r="AF2380" t="s">
        <v>138</v>
      </c>
      <c r="AG2380">
        <v>0</v>
      </c>
      <c r="AH2380">
        <v>3</v>
      </c>
      <c r="AI2380">
        <v>2</v>
      </c>
      <c r="AJ2380">
        <v>0</v>
      </c>
      <c r="AK2380" t="s">
        <v>808</v>
      </c>
      <c r="AL2380">
        <v>39.075923000000003</v>
      </c>
      <c r="AM2380" t="s">
        <v>809</v>
      </c>
      <c r="AN2380">
        <v>-121.039531</v>
      </c>
      <c r="AO2380">
        <v>25</v>
      </c>
      <c r="AP2380">
        <v>4600</v>
      </c>
      <c r="AQ2380" t="s">
        <v>131</v>
      </c>
      <c r="AR2380">
        <v>11</v>
      </c>
      <c r="AS2380">
        <v>92</v>
      </c>
      <c r="AT2380">
        <v>-192</v>
      </c>
      <c r="BB2380" t="str">
        <f t="shared" si="940"/>
        <v>1200</v>
      </c>
      <c r="BC2380">
        <v>1</v>
      </c>
      <c r="BD2380" t="str">
        <f t="shared" si="941"/>
        <v xml:space="preserve">N52156  </v>
      </c>
      <c r="BE2380">
        <v>1</v>
      </c>
      <c r="BG2380">
        <v>0</v>
      </c>
      <c r="BH2380">
        <v>0</v>
      </c>
      <c r="BI2380">
        <v>0</v>
      </c>
      <c r="BJ2380">
        <v>4625</v>
      </c>
      <c r="BK2380">
        <v>25</v>
      </c>
      <c r="BL2380" t="s">
        <v>188</v>
      </c>
      <c r="BM2380">
        <v>1</v>
      </c>
      <c r="BN2380">
        <v>1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 t="shared" si="945"/>
        <v>15:11:08.481</v>
      </c>
      <c r="CF2380">
        <v>481469403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3</v>
      </c>
      <c r="CY2380">
        <v>7</v>
      </c>
      <c r="CZ2380" t="s">
        <v>133</v>
      </c>
      <c r="DA2380">
        <v>275</v>
      </c>
      <c r="DB2380">
        <v>0</v>
      </c>
      <c r="DC2380" t="s">
        <v>134</v>
      </c>
      <c r="DD2380" t="s">
        <v>135</v>
      </c>
      <c r="DG2380">
        <v>3321664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"05/01/2025 15:11:08.696"</f>
        <v>05/01/2025 15:11:08.696</v>
      </c>
      <c r="C2381" t="str">
        <f t="shared" si="938"/>
        <v>FFDFD3C0</v>
      </c>
      <c r="D2381" t="s">
        <v>145</v>
      </c>
      <c r="E2381" t="str">
        <f>"05"</f>
        <v>05</v>
      </c>
      <c r="H2381">
        <v>47</v>
      </c>
      <c r="I2381" t="s">
        <v>146</v>
      </c>
      <c r="J2381" t="s">
        <v>138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R2381" t="s">
        <v>127</v>
      </c>
      <c r="S2381" t="str">
        <f t="shared" si="944"/>
        <v>15:11:08.000</v>
      </c>
      <c r="T2381" t="str">
        <f t="shared" si="944"/>
        <v>15:11:08.000</v>
      </c>
      <c r="U2381" t="str">
        <f t="shared" si="939"/>
        <v>A68FCB</v>
      </c>
      <c r="V2381">
        <v>0</v>
      </c>
      <c r="W2381">
        <v>0</v>
      </c>
      <c r="X2381">
        <v>2</v>
      </c>
      <c r="Y2381">
        <v>0</v>
      </c>
      <c r="AA2381">
        <v>1</v>
      </c>
      <c r="AB2381">
        <v>8</v>
      </c>
      <c r="AC2381">
        <v>3</v>
      </c>
      <c r="AD2381">
        <v>0</v>
      </c>
      <c r="AE2381">
        <v>9</v>
      </c>
      <c r="AF2381" t="s">
        <v>138</v>
      </c>
      <c r="AG2381">
        <v>0</v>
      </c>
      <c r="AH2381">
        <v>3</v>
      </c>
      <c r="AI2381">
        <v>2</v>
      </c>
      <c r="AJ2381">
        <v>0</v>
      </c>
      <c r="AK2381" t="s">
        <v>808</v>
      </c>
      <c r="AL2381">
        <v>39.075923000000003</v>
      </c>
      <c r="AM2381" t="s">
        <v>809</v>
      </c>
      <c r="AN2381">
        <v>-121.039531</v>
      </c>
      <c r="AO2381">
        <v>25</v>
      </c>
      <c r="AP2381">
        <v>4600</v>
      </c>
      <c r="AQ2381" t="s">
        <v>131</v>
      </c>
      <c r="AR2381">
        <v>11</v>
      </c>
      <c r="AS2381">
        <v>92</v>
      </c>
      <c r="AT2381">
        <v>-192</v>
      </c>
      <c r="BB2381" t="str">
        <f t="shared" si="940"/>
        <v>1200</v>
      </c>
      <c r="BC2381">
        <v>1</v>
      </c>
      <c r="BD2381" t="str">
        <f t="shared" si="941"/>
        <v xml:space="preserve">N52156  </v>
      </c>
      <c r="BE2381">
        <v>1</v>
      </c>
      <c r="BG2381">
        <v>0</v>
      </c>
      <c r="BH2381">
        <v>0</v>
      </c>
      <c r="BI2381">
        <v>0</v>
      </c>
      <c r="BJ2381">
        <v>4625</v>
      </c>
      <c r="BK2381">
        <v>25</v>
      </c>
      <c r="BL2381" t="s">
        <v>188</v>
      </c>
      <c r="BM2381">
        <v>1</v>
      </c>
      <c r="BN2381">
        <v>1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 t="shared" si="945"/>
        <v>15:11:08.481</v>
      </c>
      <c r="CF2381">
        <v>481469403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3</v>
      </c>
      <c r="CY2381">
        <v>7</v>
      </c>
      <c r="CZ2381" t="s">
        <v>133</v>
      </c>
      <c r="DA2381">
        <v>275</v>
      </c>
      <c r="DB2381">
        <v>0</v>
      </c>
      <c r="DC2381" t="s">
        <v>134</v>
      </c>
      <c r="DD2381" t="s">
        <v>135</v>
      </c>
      <c r="DG2381">
        <v>3321664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"05/01/2025 15:11:08.705"</f>
        <v>05/01/2025 15:11:08.705</v>
      </c>
      <c r="C2382" t="str">
        <f t="shared" si="938"/>
        <v>FFDFD3C0</v>
      </c>
      <c r="D2382" t="s">
        <v>136</v>
      </c>
      <c r="E2382" t="str">
        <f>"20"</f>
        <v>20</v>
      </c>
      <c r="H2382">
        <v>400</v>
      </c>
      <c r="I2382" t="s">
        <v>137</v>
      </c>
      <c r="J2382" t="s">
        <v>138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R2382" t="s">
        <v>127</v>
      </c>
      <c r="S2382" t="str">
        <f t="shared" si="944"/>
        <v>15:11:08.000</v>
      </c>
      <c r="T2382" t="str">
        <f t="shared" si="944"/>
        <v>15:11:08.000</v>
      </c>
      <c r="U2382" t="str">
        <f t="shared" si="939"/>
        <v>A68FCB</v>
      </c>
      <c r="V2382">
        <v>0</v>
      </c>
      <c r="W2382">
        <v>0</v>
      </c>
      <c r="X2382">
        <v>2</v>
      </c>
      <c r="Y2382">
        <v>0</v>
      </c>
      <c r="AA2382">
        <v>1</v>
      </c>
      <c r="AB2382">
        <v>8</v>
      </c>
      <c r="AC2382">
        <v>3</v>
      </c>
      <c r="AD2382">
        <v>0</v>
      </c>
      <c r="AE2382">
        <v>9</v>
      </c>
      <c r="AF2382" t="s">
        <v>138</v>
      </c>
      <c r="AG2382">
        <v>0</v>
      </c>
      <c r="AH2382">
        <v>3</v>
      </c>
      <c r="AI2382">
        <v>2</v>
      </c>
      <c r="AJ2382">
        <v>0</v>
      </c>
      <c r="AK2382" t="s">
        <v>808</v>
      </c>
      <c r="AL2382">
        <v>39.075923000000003</v>
      </c>
      <c r="AM2382" t="s">
        <v>809</v>
      </c>
      <c r="AN2382">
        <v>-121.039531</v>
      </c>
      <c r="AO2382">
        <v>25</v>
      </c>
      <c r="AP2382">
        <v>4600</v>
      </c>
      <c r="AQ2382" t="s">
        <v>131</v>
      </c>
      <c r="AR2382">
        <v>11</v>
      </c>
      <c r="AS2382">
        <v>92</v>
      </c>
      <c r="AT2382">
        <v>-192</v>
      </c>
      <c r="BB2382" t="str">
        <f t="shared" si="940"/>
        <v>1200</v>
      </c>
      <c r="BC2382">
        <v>1</v>
      </c>
      <c r="BD2382" t="str">
        <f t="shared" si="941"/>
        <v xml:space="preserve">N52156  </v>
      </c>
      <c r="BE2382">
        <v>1</v>
      </c>
      <c r="BG2382">
        <v>0</v>
      </c>
      <c r="BH2382">
        <v>0</v>
      </c>
      <c r="BI2382">
        <v>0</v>
      </c>
      <c r="BJ2382">
        <v>4625</v>
      </c>
      <c r="BK2382">
        <v>25</v>
      </c>
      <c r="BL2382" t="s">
        <v>188</v>
      </c>
      <c r="BM2382">
        <v>1</v>
      </c>
      <c r="BN2382">
        <v>1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 t="shared" si="945"/>
        <v>15:11:08.481</v>
      </c>
      <c r="CF2382">
        <v>481469403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3</v>
      </c>
      <c r="CY2382">
        <v>7</v>
      </c>
      <c r="CZ2382" t="s">
        <v>133</v>
      </c>
      <c r="DA2382">
        <v>275</v>
      </c>
      <c r="DB2382">
        <v>0</v>
      </c>
      <c r="DC2382" t="s">
        <v>134</v>
      </c>
      <c r="DD2382" t="s">
        <v>135</v>
      </c>
      <c r="DG2382">
        <v>3321664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"05/01/2025 15:11:08.711"</f>
        <v>05/01/2025 15:11:08.711</v>
      </c>
      <c r="C2383" t="str">
        <f t="shared" si="938"/>
        <v>FFDFD3C0</v>
      </c>
      <c r="D2383" t="s">
        <v>143</v>
      </c>
      <c r="E2383" t="str">
        <f>"05"</f>
        <v>05</v>
      </c>
      <c r="H2383">
        <v>172</v>
      </c>
      <c r="I2383" t="s">
        <v>141</v>
      </c>
      <c r="J2383" t="s">
        <v>144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R2383" t="s">
        <v>127</v>
      </c>
      <c r="S2383" t="str">
        <f t="shared" si="944"/>
        <v>15:11:08.000</v>
      </c>
      <c r="T2383" t="str">
        <f t="shared" si="944"/>
        <v>15:11:08.000</v>
      </c>
      <c r="U2383" t="str">
        <f t="shared" si="939"/>
        <v>A68FCB</v>
      </c>
      <c r="V2383">
        <v>0</v>
      </c>
      <c r="W2383">
        <v>0</v>
      </c>
      <c r="X2383">
        <v>2</v>
      </c>
      <c r="Y2383">
        <v>0</v>
      </c>
      <c r="AA2383">
        <v>1</v>
      </c>
      <c r="AB2383">
        <v>8</v>
      </c>
      <c r="AC2383">
        <v>3</v>
      </c>
      <c r="AD2383">
        <v>0</v>
      </c>
      <c r="AE2383">
        <v>9</v>
      </c>
      <c r="AF2383" t="s">
        <v>138</v>
      </c>
      <c r="AG2383">
        <v>0</v>
      </c>
      <c r="AH2383">
        <v>3</v>
      </c>
      <c r="AI2383">
        <v>2</v>
      </c>
      <c r="AJ2383">
        <v>0</v>
      </c>
      <c r="AK2383" t="s">
        <v>808</v>
      </c>
      <c r="AL2383">
        <v>39.075923000000003</v>
      </c>
      <c r="AM2383" t="s">
        <v>809</v>
      </c>
      <c r="AN2383">
        <v>-121.039531</v>
      </c>
      <c r="AO2383">
        <v>25</v>
      </c>
      <c r="AP2383">
        <v>4600</v>
      </c>
      <c r="AQ2383" t="s">
        <v>131</v>
      </c>
      <c r="AR2383">
        <v>11</v>
      </c>
      <c r="AS2383">
        <v>92</v>
      </c>
      <c r="AT2383">
        <v>-192</v>
      </c>
      <c r="BB2383" t="str">
        <f t="shared" si="940"/>
        <v>1200</v>
      </c>
      <c r="BC2383">
        <v>1</v>
      </c>
      <c r="BD2383" t="str">
        <f t="shared" si="941"/>
        <v xml:space="preserve">N52156  </v>
      </c>
      <c r="BE2383">
        <v>1</v>
      </c>
      <c r="BG2383">
        <v>0</v>
      </c>
      <c r="BH2383">
        <v>0</v>
      </c>
      <c r="BI2383">
        <v>0</v>
      </c>
      <c r="BJ2383">
        <v>4625</v>
      </c>
      <c r="BK2383">
        <v>25</v>
      </c>
      <c r="BL2383" t="s">
        <v>188</v>
      </c>
      <c r="BM2383">
        <v>1</v>
      </c>
      <c r="BN2383">
        <v>1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 t="shared" si="945"/>
        <v>15:11:08.481</v>
      </c>
      <c r="CF2383">
        <v>481469403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3</v>
      </c>
      <c r="CY2383">
        <v>7</v>
      </c>
      <c r="CZ2383" t="s">
        <v>133</v>
      </c>
      <c r="DA2383">
        <v>275</v>
      </c>
      <c r="DB2383">
        <v>0</v>
      </c>
      <c r="DC2383" t="s">
        <v>134</v>
      </c>
      <c r="DD2383" t="s">
        <v>135</v>
      </c>
      <c r="DG2383">
        <v>3321664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"05/01/2025 15:11:09.940"</f>
        <v>05/01/2025 15:11:09.940</v>
      </c>
      <c r="C2384" t="str">
        <f t="shared" si="938"/>
        <v>FFDFD3C0</v>
      </c>
      <c r="D2384" t="s">
        <v>124</v>
      </c>
      <c r="E2384" t="str">
        <f>"06"</f>
        <v>06</v>
      </c>
      <c r="F2384">
        <v>2006</v>
      </c>
      <c r="G2384" t="s">
        <v>125</v>
      </c>
      <c r="J2384" t="s">
        <v>126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R2384" t="s">
        <v>127</v>
      </c>
      <c r="S2384" t="str">
        <f t="shared" ref="S2384:T2389" si="946">"15:11:09.000"</f>
        <v>15:11:09.000</v>
      </c>
      <c r="T2384" t="str">
        <f t="shared" si="946"/>
        <v>15:11:09.000</v>
      </c>
      <c r="U2384" t="str">
        <f t="shared" si="939"/>
        <v>A68FCB</v>
      </c>
      <c r="V2384">
        <v>0</v>
      </c>
      <c r="W2384">
        <v>0</v>
      </c>
      <c r="X2384">
        <v>2</v>
      </c>
      <c r="Y2384">
        <v>0</v>
      </c>
      <c r="AA2384">
        <v>1</v>
      </c>
      <c r="AB2384">
        <v>8</v>
      </c>
      <c r="AC2384">
        <v>3</v>
      </c>
      <c r="AD2384">
        <v>0</v>
      </c>
      <c r="AE2384">
        <v>9</v>
      </c>
      <c r="AF2384" t="s">
        <v>138</v>
      </c>
      <c r="AG2384">
        <v>0</v>
      </c>
      <c r="AH2384">
        <v>3</v>
      </c>
      <c r="AI2384">
        <v>2</v>
      </c>
      <c r="AJ2384">
        <v>0</v>
      </c>
      <c r="AK2384" t="s">
        <v>810</v>
      </c>
      <c r="AL2384">
        <v>39.076331000000003</v>
      </c>
      <c r="AM2384" t="s">
        <v>811</v>
      </c>
      <c r="AN2384">
        <v>-121.039467</v>
      </c>
      <c r="AO2384">
        <v>25</v>
      </c>
      <c r="AP2384">
        <v>4600</v>
      </c>
      <c r="AQ2384" t="s">
        <v>131</v>
      </c>
      <c r="AR2384">
        <v>12</v>
      </c>
      <c r="AS2384">
        <v>91</v>
      </c>
      <c r="AT2384">
        <v>-64</v>
      </c>
      <c r="BB2384" t="str">
        <f t="shared" si="940"/>
        <v>1200</v>
      </c>
      <c r="BC2384">
        <v>1</v>
      </c>
      <c r="BD2384" t="str">
        <f t="shared" si="941"/>
        <v xml:space="preserve">N52156  </v>
      </c>
      <c r="BE2384">
        <v>1</v>
      </c>
      <c r="BG2384">
        <v>0</v>
      </c>
      <c r="BH2384">
        <v>0</v>
      </c>
      <c r="BI2384">
        <v>0</v>
      </c>
      <c r="BJ2384">
        <v>4625</v>
      </c>
      <c r="BK2384">
        <v>25</v>
      </c>
      <c r="BL2384" t="s">
        <v>188</v>
      </c>
      <c r="BM2384">
        <v>1</v>
      </c>
      <c r="BN2384">
        <v>1</v>
      </c>
      <c r="BO2384">
        <v>0</v>
      </c>
      <c r="BP2384">
        <v>0</v>
      </c>
      <c r="BS2384">
        <v>0</v>
      </c>
      <c r="BT2384">
        <v>0</v>
      </c>
      <c r="BU2384">
        <v>0</v>
      </c>
      <c r="CE2384" t="str">
        <f t="shared" ref="CE2384:CE2389" si="947">"15:11:09.742"</f>
        <v>15:11:09.742</v>
      </c>
      <c r="CF2384">
        <v>741539882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3</v>
      </c>
      <c r="CY2384">
        <v>7</v>
      </c>
      <c r="CZ2384" t="s">
        <v>133</v>
      </c>
      <c r="DA2384">
        <v>276</v>
      </c>
      <c r="DB2384">
        <v>0</v>
      </c>
      <c r="DC2384" t="s">
        <v>402</v>
      </c>
      <c r="DD2384" t="s">
        <v>403</v>
      </c>
      <c r="DG2384">
        <v>1627101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"05/01/2025 15:11:09.948"</f>
        <v>05/01/2025 15:11:09.948</v>
      </c>
      <c r="C2385" t="str">
        <f t="shared" si="938"/>
        <v>FFDFD3C0</v>
      </c>
      <c r="D2385" t="s">
        <v>145</v>
      </c>
      <c r="E2385" t="str">
        <f>"09"</f>
        <v>09</v>
      </c>
      <c r="H2385">
        <v>51</v>
      </c>
      <c r="I2385" t="s">
        <v>147</v>
      </c>
      <c r="J2385" t="s">
        <v>138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R2385" t="s">
        <v>127</v>
      </c>
      <c r="S2385" t="str">
        <f t="shared" si="946"/>
        <v>15:11:09.000</v>
      </c>
      <c r="T2385" t="str">
        <f t="shared" si="946"/>
        <v>15:11:09.000</v>
      </c>
      <c r="U2385" t="str">
        <f t="shared" si="939"/>
        <v>A68FCB</v>
      </c>
      <c r="V2385">
        <v>0</v>
      </c>
      <c r="W2385">
        <v>0</v>
      </c>
      <c r="X2385">
        <v>2</v>
      </c>
      <c r="Y2385">
        <v>0</v>
      </c>
      <c r="AA2385">
        <v>1</v>
      </c>
      <c r="AB2385">
        <v>8</v>
      </c>
      <c r="AC2385">
        <v>3</v>
      </c>
      <c r="AD2385">
        <v>0</v>
      </c>
      <c r="AE2385">
        <v>9</v>
      </c>
      <c r="AF2385" t="s">
        <v>138</v>
      </c>
      <c r="AG2385">
        <v>0</v>
      </c>
      <c r="AH2385">
        <v>3</v>
      </c>
      <c r="AI2385">
        <v>2</v>
      </c>
      <c r="AJ2385">
        <v>0</v>
      </c>
      <c r="AK2385" t="s">
        <v>810</v>
      </c>
      <c r="AL2385">
        <v>39.076331000000003</v>
      </c>
      <c r="AM2385" t="s">
        <v>811</v>
      </c>
      <c r="AN2385">
        <v>-121.039467</v>
      </c>
      <c r="AO2385">
        <v>25</v>
      </c>
      <c r="AP2385">
        <v>4600</v>
      </c>
      <c r="AQ2385" t="s">
        <v>131</v>
      </c>
      <c r="AR2385">
        <v>12</v>
      </c>
      <c r="AS2385">
        <v>91</v>
      </c>
      <c r="AT2385">
        <v>-64</v>
      </c>
      <c r="BB2385" t="str">
        <f t="shared" si="940"/>
        <v>1200</v>
      </c>
      <c r="BC2385">
        <v>1</v>
      </c>
      <c r="BD2385" t="str">
        <f t="shared" si="941"/>
        <v xml:space="preserve">N52156  </v>
      </c>
      <c r="BE2385">
        <v>1</v>
      </c>
      <c r="BG2385">
        <v>0</v>
      </c>
      <c r="BH2385">
        <v>0</v>
      </c>
      <c r="BI2385">
        <v>0</v>
      </c>
      <c r="BJ2385">
        <v>4625</v>
      </c>
      <c r="BK2385">
        <v>25</v>
      </c>
      <c r="BL2385" t="s">
        <v>188</v>
      </c>
      <c r="BM2385">
        <v>1</v>
      </c>
      <c r="BN2385">
        <v>1</v>
      </c>
      <c r="BO2385">
        <v>0</v>
      </c>
      <c r="BP2385">
        <v>0</v>
      </c>
      <c r="BS2385">
        <v>0</v>
      </c>
      <c r="BT2385">
        <v>0</v>
      </c>
      <c r="BU2385">
        <v>0</v>
      </c>
      <c r="CE2385" t="str">
        <f t="shared" si="947"/>
        <v>15:11:09.742</v>
      </c>
      <c r="CF2385">
        <v>741539882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3</v>
      </c>
      <c r="CY2385">
        <v>7</v>
      </c>
      <c r="CZ2385" t="s">
        <v>133</v>
      </c>
      <c r="DA2385">
        <v>276</v>
      </c>
      <c r="DB2385">
        <v>0</v>
      </c>
      <c r="DC2385" t="s">
        <v>402</v>
      </c>
      <c r="DD2385" t="s">
        <v>403</v>
      </c>
      <c r="DG2385">
        <v>1627101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"05/01/2025 15:11:09.948"</f>
        <v>05/01/2025 15:11:09.948</v>
      </c>
      <c r="C2386" t="str">
        <f t="shared" si="938"/>
        <v>FFDFD3C0</v>
      </c>
      <c r="D2386" t="s">
        <v>145</v>
      </c>
      <c r="E2386" t="str">
        <f>"05"</f>
        <v>05</v>
      </c>
      <c r="H2386">
        <v>47</v>
      </c>
      <c r="I2386" t="s">
        <v>146</v>
      </c>
      <c r="J2386" t="s">
        <v>138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R2386" t="s">
        <v>127</v>
      </c>
      <c r="S2386" t="str">
        <f t="shared" si="946"/>
        <v>15:11:09.000</v>
      </c>
      <c r="T2386" t="str">
        <f t="shared" si="946"/>
        <v>15:11:09.000</v>
      </c>
      <c r="U2386" t="str">
        <f t="shared" si="939"/>
        <v>A68FCB</v>
      </c>
      <c r="V2386">
        <v>0</v>
      </c>
      <c r="W2386">
        <v>0</v>
      </c>
      <c r="X2386">
        <v>2</v>
      </c>
      <c r="Y2386">
        <v>0</v>
      </c>
      <c r="AA2386">
        <v>1</v>
      </c>
      <c r="AB2386">
        <v>8</v>
      </c>
      <c r="AC2386">
        <v>3</v>
      </c>
      <c r="AD2386">
        <v>0</v>
      </c>
      <c r="AE2386">
        <v>9</v>
      </c>
      <c r="AF2386" t="s">
        <v>138</v>
      </c>
      <c r="AG2386">
        <v>0</v>
      </c>
      <c r="AH2386">
        <v>3</v>
      </c>
      <c r="AI2386">
        <v>2</v>
      </c>
      <c r="AJ2386">
        <v>0</v>
      </c>
      <c r="AK2386" t="s">
        <v>810</v>
      </c>
      <c r="AL2386">
        <v>39.076331000000003</v>
      </c>
      <c r="AM2386" t="s">
        <v>811</v>
      </c>
      <c r="AN2386">
        <v>-121.039467</v>
      </c>
      <c r="AO2386">
        <v>25</v>
      </c>
      <c r="AP2386">
        <v>4600</v>
      </c>
      <c r="AQ2386" t="s">
        <v>131</v>
      </c>
      <c r="AR2386">
        <v>12</v>
      </c>
      <c r="AS2386">
        <v>91</v>
      </c>
      <c r="AT2386">
        <v>-64</v>
      </c>
      <c r="BB2386" t="str">
        <f t="shared" si="940"/>
        <v>1200</v>
      </c>
      <c r="BC2386">
        <v>1</v>
      </c>
      <c r="BD2386" t="str">
        <f t="shared" si="941"/>
        <v xml:space="preserve">N52156  </v>
      </c>
      <c r="BE2386">
        <v>1</v>
      </c>
      <c r="BG2386">
        <v>0</v>
      </c>
      <c r="BH2386">
        <v>0</v>
      </c>
      <c r="BI2386">
        <v>0</v>
      </c>
      <c r="BJ2386">
        <v>4625</v>
      </c>
      <c r="BK2386">
        <v>25</v>
      </c>
      <c r="BL2386" t="s">
        <v>188</v>
      </c>
      <c r="BM2386">
        <v>1</v>
      </c>
      <c r="BN2386">
        <v>1</v>
      </c>
      <c r="BO2386">
        <v>0</v>
      </c>
      <c r="BP2386">
        <v>0</v>
      </c>
      <c r="BS2386">
        <v>0</v>
      </c>
      <c r="BT2386">
        <v>0</v>
      </c>
      <c r="BU2386">
        <v>0</v>
      </c>
      <c r="CE2386" t="str">
        <f t="shared" si="947"/>
        <v>15:11:09.742</v>
      </c>
      <c r="CF2386">
        <v>741539882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3</v>
      </c>
      <c r="CY2386">
        <v>7</v>
      </c>
      <c r="CZ2386" t="s">
        <v>133</v>
      </c>
      <c r="DA2386">
        <v>276</v>
      </c>
      <c r="DB2386">
        <v>0</v>
      </c>
      <c r="DC2386" t="s">
        <v>402</v>
      </c>
      <c r="DD2386" t="s">
        <v>403</v>
      </c>
      <c r="DG2386">
        <v>1627101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"05/01/2025 15:11:09.957"</f>
        <v>05/01/2025 15:11:09.957</v>
      </c>
      <c r="C2387" t="str">
        <f t="shared" si="938"/>
        <v>FFDFD3C0</v>
      </c>
      <c r="D2387" t="s">
        <v>136</v>
      </c>
      <c r="E2387" t="str">
        <f>"20"</f>
        <v>20</v>
      </c>
      <c r="H2387">
        <v>400</v>
      </c>
      <c r="I2387" t="s">
        <v>137</v>
      </c>
      <c r="J2387" t="s">
        <v>138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R2387" t="s">
        <v>127</v>
      </c>
      <c r="S2387" t="str">
        <f t="shared" si="946"/>
        <v>15:11:09.000</v>
      </c>
      <c r="T2387" t="str">
        <f t="shared" si="946"/>
        <v>15:11:09.000</v>
      </c>
      <c r="U2387" t="str">
        <f t="shared" si="939"/>
        <v>A68FCB</v>
      </c>
      <c r="V2387">
        <v>0</v>
      </c>
      <c r="W2387">
        <v>0</v>
      </c>
      <c r="X2387">
        <v>2</v>
      </c>
      <c r="Y2387">
        <v>0</v>
      </c>
      <c r="AA2387">
        <v>1</v>
      </c>
      <c r="AB2387">
        <v>8</v>
      </c>
      <c r="AC2387">
        <v>3</v>
      </c>
      <c r="AD2387">
        <v>0</v>
      </c>
      <c r="AE2387">
        <v>9</v>
      </c>
      <c r="AF2387" t="s">
        <v>138</v>
      </c>
      <c r="AG2387">
        <v>0</v>
      </c>
      <c r="AH2387">
        <v>3</v>
      </c>
      <c r="AI2387">
        <v>2</v>
      </c>
      <c r="AJ2387">
        <v>0</v>
      </c>
      <c r="AK2387" t="s">
        <v>810</v>
      </c>
      <c r="AL2387">
        <v>39.076331000000003</v>
      </c>
      <c r="AM2387" t="s">
        <v>811</v>
      </c>
      <c r="AN2387">
        <v>-121.039467</v>
      </c>
      <c r="AO2387">
        <v>25</v>
      </c>
      <c r="AP2387">
        <v>4600</v>
      </c>
      <c r="AQ2387" t="s">
        <v>131</v>
      </c>
      <c r="AR2387">
        <v>12</v>
      </c>
      <c r="AS2387">
        <v>91</v>
      </c>
      <c r="AT2387">
        <v>-64</v>
      </c>
      <c r="BB2387" t="str">
        <f t="shared" si="940"/>
        <v>1200</v>
      </c>
      <c r="BC2387">
        <v>1</v>
      </c>
      <c r="BD2387" t="str">
        <f t="shared" si="941"/>
        <v xml:space="preserve">N52156  </v>
      </c>
      <c r="BE2387">
        <v>1</v>
      </c>
      <c r="BG2387">
        <v>0</v>
      </c>
      <c r="BH2387">
        <v>0</v>
      </c>
      <c r="BI2387">
        <v>0</v>
      </c>
      <c r="BJ2387">
        <v>4625</v>
      </c>
      <c r="BK2387">
        <v>25</v>
      </c>
      <c r="BL2387" t="s">
        <v>188</v>
      </c>
      <c r="BM2387">
        <v>1</v>
      </c>
      <c r="BN2387">
        <v>1</v>
      </c>
      <c r="BO2387">
        <v>0</v>
      </c>
      <c r="BP2387">
        <v>0</v>
      </c>
      <c r="BS2387">
        <v>0</v>
      </c>
      <c r="BT2387">
        <v>0</v>
      </c>
      <c r="BU2387">
        <v>0</v>
      </c>
      <c r="CE2387" t="str">
        <f t="shared" si="947"/>
        <v>15:11:09.742</v>
      </c>
      <c r="CF2387">
        <v>741539882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3</v>
      </c>
      <c r="CY2387">
        <v>7</v>
      </c>
      <c r="CZ2387" t="s">
        <v>133</v>
      </c>
      <c r="DA2387">
        <v>276</v>
      </c>
      <c r="DB2387">
        <v>0</v>
      </c>
      <c r="DC2387" t="s">
        <v>402</v>
      </c>
      <c r="DD2387" t="s">
        <v>403</v>
      </c>
      <c r="DG2387">
        <v>1627101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"05/01/2025 15:11:09.963"</f>
        <v>05/01/2025 15:11:09.963</v>
      </c>
      <c r="C2388" t="str">
        <f t="shared" si="938"/>
        <v>FFDFD3C0</v>
      </c>
      <c r="D2388" t="s">
        <v>143</v>
      </c>
      <c r="E2388" t="str">
        <f>"05"</f>
        <v>05</v>
      </c>
      <c r="H2388">
        <v>172</v>
      </c>
      <c r="I2388" t="s">
        <v>141</v>
      </c>
      <c r="J2388" t="s">
        <v>144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R2388" t="s">
        <v>127</v>
      </c>
      <c r="S2388" t="str">
        <f t="shared" si="946"/>
        <v>15:11:09.000</v>
      </c>
      <c r="T2388" t="str">
        <f t="shared" si="946"/>
        <v>15:11:09.000</v>
      </c>
      <c r="U2388" t="str">
        <f t="shared" si="939"/>
        <v>A68FCB</v>
      </c>
      <c r="V2388">
        <v>0</v>
      </c>
      <c r="W2388">
        <v>0</v>
      </c>
      <c r="X2388">
        <v>2</v>
      </c>
      <c r="Y2388">
        <v>0</v>
      </c>
      <c r="AA2388">
        <v>1</v>
      </c>
      <c r="AB2388">
        <v>8</v>
      </c>
      <c r="AC2388">
        <v>3</v>
      </c>
      <c r="AD2388">
        <v>0</v>
      </c>
      <c r="AE2388">
        <v>9</v>
      </c>
      <c r="AF2388" t="s">
        <v>138</v>
      </c>
      <c r="AG2388">
        <v>0</v>
      </c>
      <c r="AH2388">
        <v>3</v>
      </c>
      <c r="AI2388">
        <v>2</v>
      </c>
      <c r="AJ2388">
        <v>0</v>
      </c>
      <c r="AK2388" t="s">
        <v>810</v>
      </c>
      <c r="AL2388">
        <v>39.076331000000003</v>
      </c>
      <c r="AM2388" t="s">
        <v>811</v>
      </c>
      <c r="AN2388">
        <v>-121.039467</v>
      </c>
      <c r="AO2388">
        <v>25</v>
      </c>
      <c r="AP2388">
        <v>4600</v>
      </c>
      <c r="AQ2388" t="s">
        <v>131</v>
      </c>
      <c r="AR2388">
        <v>12</v>
      </c>
      <c r="AS2388">
        <v>91</v>
      </c>
      <c r="AT2388">
        <v>-64</v>
      </c>
      <c r="BB2388" t="str">
        <f t="shared" si="940"/>
        <v>1200</v>
      </c>
      <c r="BC2388">
        <v>1</v>
      </c>
      <c r="BD2388" t="str">
        <f t="shared" si="941"/>
        <v xml:space="preserve">N52156  </v>
      </c>
      <c r="BE2388">
        <v>1</v>
      </c>
      <c r="BG2388">
        <v>0</v>
      </c>
      <c r="BH2388">
        <v>0</v>
      </c>
      <c r="BI2388">
        <v>0</v>
      </c>
      <c r="BJ2388">
        <v>4625</v>
      </c>
      <c r="BK2388">
        <v>25</v>
      </c>
      <c r="BL2388" t="s">
        <v>188</v>
      </c>
      <c r="BM2388">
        <v>1</v>
      </c>
      <c r="BN2388">
        <v>1</v>
      </c>
      <c r="BO2388">
        <v>0</v>
      </c>
      <c r="BP2388">
        <v>0</v>
      </c>
      <c r="BS2388">
        <v>0</v>
      </c>
      <c r="BT2388">
        <v>0</v>
      </c>
      <c r="BU2388">
        <v>0</v>
      </c>
      <c r="CE2388" t="str">
        <f t="shared" si="947"/>
        <v>15:11:09.742</v>
      </c>
      <c r="CF2388">
        <v>741539882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3</v>
      </c>
      <c r="CY2388">
        <v>7</v>
      </c>
      <c r="CZ2388" t="s">
        <v>133</v>
      </c>
      <c r="DA2388">
        <v>276</v>
      </c>
      <c r="DB2388">
        <v>0</v>
      </c>
      <c r="DC2388" t="s">
        <v>402</v>
      </c>
      <c r="DD2388" t="s">
        <v>403</v>
      </c>
      <c r="DG2388">
        <v>1627101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"05/01/2025 15:11:09.983"</f>
        <v>05/01/2025 15:11:09.983</v>
      </c>
      <c r="C2389" t="str">
        <f t="shared" si="938"/>
        <v>FFDFD3C0</v>
      </c>
      <c r="D2389" t="s">
        <v>140</v>
      </c>
      <c r="E2389" t="str">
        <f>"13"</f>
        <v>13</v>
      </c>
      <c r="F2389">
        <v>1019</v>
      </c>
      <c r="G2389" t="s">
        <v>141</v>
      </c>
      <c r="J2389" t="s">
        <v>142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R2389" t="s">
        <v>127</v>
      </c>
      <c r="S2389" t="str">
        <f t="shared" si="946"/>
        <v>15:11:09.000</v>
      </c>
      <c r="T2389" t="str">
        <f t="shared" si="946"/>
        <v>15:11:09.000</v>
      </c>
      <c r="U2389" t="str">
        <f t="shared" si="939"/>
        <v>A68FCB</v>
      </c>
      <c r="V2389">
        <v>0</v>
      </c>
      <c r="W2389">
        <v>0</v>
      </c>
      <c r="X2389">
        <v>2</v>
      </c>
      <c r="Y2389">
        <v>0</v>
      </c>
      <c r="AA2389">
        <v>1</v>
      </c>
      <c r="AB2389">
        <v>8</v>
      </c>
      <c r="AC2389">
        <v>3</v>
      </c>
      <c r="AD2389">
        <v>0</v>
      </c>
      <c r="AE2389">
        <v>9</v>
      </c>
      <c r="AF2389" t="s">
        <v>138</v>
      </c>
      <c r="AG2389">
        <v>0</v>
      </c>
      <c r="AH2389">
        <v>3</v>
      </c>
      <c r="AI2389">
        <v>2</v>
      </c>
      <c r="AJ2389">
        <v>0</v>
      </c>
      <c r="AK2389" t="s">
        <v>810</v>
      </c>
      <c r="AL2389">
        <v>39.076331000000003</v>
      </c>
      <c r="AM2389" t="s">
        <v>811</v>
      </c>
      <c r="AN2389">
        <v>-121.039467</v>
      </c>
      <c r="AO2389">
        <v>25</v>
      </c>
      <c r="AP2389">
        <v>4600</v>
      </c>
      <c r="AQ2389" t="s">
        <v>131</v>
      </c>
      <c r="AR2389">
        <v>12</v>
      </c>
      <c r="AS2389">
        <v>91</v>
      </c>
      <c r="AT2389">
        <v>-64</v>
      </c>
      <c r="BB2389" t="str">
        <f t="shared" si="940"/>
        <v>1200</v>
      </c>
      <c r="BC2389">
        <v>1</v>
      </c>
      <c r="BD2389" t="str">
        <f t="shared" si="941"/>
        <v xml:space="preserve">N52156  </v>
      </c>
      <c r="BE2389">
        <v>1</v>
      </c>
      <c r="BG2389">
        <v>0</v>
      </c>
      <c r="BH2389">
        <v>0</v>
      </c>
      <c r="BI2389">
        <v>0</v>
      </c>
      <c r="BJ2389">
        <v>4625</v>
      </c>
      <c r="BK2389">
        <v>25</v>
      </c>
      <c r="BL2389" t="s">
        <v>188</v>
      </c>
      <c r="BM2389">
        <v>1</v>
      </c>
      <c r="BN2389">
        <v>1</v>
      </c>
      <c r="BO2389">
        <v>0</v>
      </c>
      <c r="BP2389">
        <v>0</v>
      </c>
      <c r="BS2389">
        <v>0</v>
      </c>
      <c r="BT2389">
        <v>0</v>
      </c>
      <c r="BU2389">
        <v>0</v>
      </c>
      <c r="CE2389" t="str">
        <f t="shared" si="947"/>
        <v>15:11:09.742</v>
      </c>
      <c r="CF2389">
        <v>741539882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3</v>
      </c>
      <c r="CY2389">
        <v>7</v>
      </c>
      <c r="CZ2389" t="s">
        <v>133</v>
      </c>
      <c r="DA2389">
        <v>276</v>
      </c>
      <c r="DB2389">
        <v>0</v>
      </c>
      <c r="DC2389" t="s">
        <v>402</v>
      </c>
      <c r="DD2389" t="s">
        <v>403</v>
      </c>
      <c r="DG2389">
        <v>1627101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"05/01/2025 15:11:10.984"</f>
        <v>05/01/2025 15:11:10.984</v>
      </c>
      <c r="C2390" t="str">
        <f t="shared" si="938"/>
        <v>FFDFD3C0</v>
      </c>
      <c r="D2390" t="s">
        <v>140</v>
      </c>
      <c r="E2390" t="str">
        <f>"13"</f>
        <v>13</v>
      </c>
      <c r="F2390">
        <v>1019</v>
      </c>
      <c r="G2390" t="s">
        <v>141</v>
      </c>
      <c r="J2390" t="s">
        <v>142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R2390" t="s">
        <v>127</v>
      </c>
      <c r="S2390" t="str">
        <f t="shared" ref="S2390:T2395" si="948">"15:11:10.000"</f>
        <v>15:11:10.000</v>
      </c>
      <c r="T2390" t="str">
        <f t="shared" si="948"/>
        <v>15:11:10.000</v>
      </c>
      <c r="U2390" t="str">
        <f t="shared" si="939"/>
        <v>A68FCB</v>
      </c>
      <c r="V2390">
        <v>0</v>
      </c>
      <c r="W2390">
        <v>0</v>
      </c>
      <c r="X2390">
        <v>2</v>
      </c>
      <c r="Y2390">
        <v>0</v>
      </c>
      <c r="AA2390">
        <v>1</v>
      </c>
      <c r="AB2390">
        <v>8</v>
      </c>
      <c r="AC2390">
        <v>3</v>
      </c>
      <c r="AD2390">
        <v>0</v>
      </c>
      <c r="AE2390">
        <v>9</v>
      </c>
      <c r="AF2390" t="s">
        <v>138</v>
      </c>
      <c r="AG2390">
        <v>0</v>
      </c>
      <c r="AH2390">
        <v>3</v>
      </c>
      <c r="AI2390">
        <v>2</v>
      </c>
      <c r="AJ2390">
        <v>0</v>
      </c>
      <c r="AK2390" t="s">
        <v>812</v>
      </c>
      <c r="AL2390">
        <v>39.076780999999997</v>
      </c>
      <c r="AM2390" t="s">
        <v>813</v>
      </c>
      <c r="AN2390">
        <v>-121.039402</v>
      </c>
      <c r="AO2390">
        <v>25</v>
      </c>
      <c r="AP2390">
        <v>4600</v>
      </c>
      <c r="AQ2390" t="s">
        <v>131</v>
      </c>
      <c r="AR2390">
        <v>12</v>
      </c>
      <c r="AS2390">
        <v>90</v>
      </c>
      <c r="AT2390">
        <v>0</v>
      </c>
      <c r="BB2390" t="str">
        <f t="shared" si="940"/>
        <v>1200</v>
      </c>
      <c r="BC2390">
        <v>1</v>
      </c>
      <c r="BD2390" t="str">
        <f t="shared" si="941"/>
        <v xml:space="preserve">N52156  </v>
      </c>
      <c r="BE2390">
        <v>1</v>
      </c>
      <c r="BG2390">
        <v>0</v>
      </c>
      <c r="BH2390">
        <v>0</v>
      </c>
      <c r="BI2390">
        <v>0</v>
      </c>
      <c r="BJ2390">
        <v>4625</v>
      </c>
      <c r="BK2390">
        <v>25</v>
      </c>
      <c r="BL2390" t="s">
        <v>188</v>
      </c>
      <c r="BM2390">
        <v>1</v>
      </c>
      <c r="BN2390">
        <v>1</v>
      </c>
      <c r="BO2390">
        <v>0</v>
      </c>
      <c r="BP2390">
        <v>0</v>
      </c>
      <c r="BS2390">
        <v>0</v>
      </c>
      <c r="BT2390">
        <v>0</v>
      </c>
      <c r="BU2390">
        <v>0</v>
      </c>
      <c r="CE2390" t="str">
        <f t="shared" ref="CE2390:CE2395" si="949">"15:11:10.763"</f>
        <v>15:11:10.763</v>
      </c>
      <c r="CF2390">
        <v>762970383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3</v>
      </c>
      <c r="CY2390">
        <v>7</v>
      </c>
      <c r="CZ2390" t="s">
        <v>133</v>
      </c>
      <c r="DA2390">
        <v>275</v>
      </c>
      <c r="DB2390">
        <v>0</v>
      </c>
      <c r="DC2390" t="s">
        <v>134</v>
      </c>
      <c r="DD2390" t="s">
        <v>135</v>
      </c>
      <c r="DG2390">
        <v>3321679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>"05/01/2025 15:11:10.992"</f>
        <v>05/01/2025 15:11:10.992</v>
      </c>
      <c r="C2391" t="str">
        <f t="shared" si="938"/>
        <v>FFDFD3C0</v>
      </c>
      <c r="D2391" t="s">
        <v>124</v>
      </c>
      <c r="E2391" t="str">
        <f>"06"</f>
        <v>06</v>
      </c>
      <c r="F2391">
        <v>2006</v>
      </c>
      <c r="G2391" t="s">
        <v>125</v>
      </c>
      <c r="J2391" t="s">
        <v>126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R2391" t="s">
        <v>127</v>
      </c>
      <c r="S2391" t="str">
        <f t="shared" si="948"/>
        <v>15:11:10.000</v>
      </c>
      <c r="T2391" t="str">
        <f t="shared" si="948"/>
        <v>15:11:10.000</v>
      </c>
      <c r="U2391" t="str">
        <f t="shared" si="939"/>
        <v>A68FCB</v>
      </c>
      <c r="V2391">
        <v>0</v>
      </c>
      <c r="W2391">
        <v>0</v>
      </c>
      <c r="X2391">
        <v>2</v>
      </c>
      <c r="Y2391">
        <v>0</v>
      </c>
      <c r="AA2391">
        <v>1</v>
      </c>
      <c r="AB2391">
        <v>8</v>
      </c>
      <c r="AC2391">
        <v>3</v>
      </c>
      <c r="AD2391">
        <v>0</v>
      </c>
      <c r="AE2391">
        <v>9</v>
      </c>
      <c r="AF2391" t="s">
        <v>138</v>
      </c>
      <c r="AG2391">
        <v>0</v>
      </c>
      <c r="AH2391">
        <v>3</v>
      </c>
      <c r="AI2391">
        <v>2</v>
      </c>
      <c r="AJ2391">
        <v>0</v>
      </c>
      <c r="AK2391" t="s">
        <v>812</v>
      </c>
      <c r="AL2391">
        <v>39.076780999999997</v>
      </c>
      <c r="AM2391" t="s">
        <v>813</v>
      </c>
      <c r="AN2391">
        <v>-121.039402</v>
      </c>
      <c r="AO2391">
        <v>25</v>
      </c>
      <c r="AP2391">
        <v>4600</v>
      </c>
      <c r="AQ2391" t="s">
        <v>131</v>
      </c>
      <c r="AR2391">
        <v>12</v>
      </c>
      <c r="AS2391">
        <v>90</v>
      </c>
      <c r="AT2391">
        <v>0</v>
      </c>
      <c r="BB2391" t="str">
        <f t="shared" si="940"/>
        <v>1200</v>
      </c>
      <c r="BC2391">
        <v>1</v>
      </c>
      <c r="BD2391" t="str">
        <f t="shared" si="941"/>
        <v xml:space="preserve">N52156  </v>
      </c>
      <c r="BE2391">
        <v>1</v>
      </c>
      <c r="BG2391">
        <v>0</v>
      </c>
      <c r="BH2391">
        <v>0</v>
      </c>
      <c r="BI2391">
        <v>0</v>
      </c>
      <c r="BJ2391">
        <v>4625</v>
      </c>
      <c r="BK2391">
        <v>25</v>
      </c>
      <c r="BL2391" t="s">
        <v>188</v>
      </c>
      <c r="BM2391">
        <v>1</v>
      </c>
      <c r="BN2391">
        <v>1</v>
      </c>
      <c r="BO2391">
        <v>0</v>
      </c>
      <c r="BP2391">
        <v>0</v>
      </c>
      <c r="BS2391">
        <v>0</v>
      </c>
      <c r="BT2391">
        <v>0</v>
      </c>
      <c r="BU2391">
        <v>0</v>
      </c>
      <c r="CE2391" t="str">
        <f t="shared" si="949"/>
        <v>15:11:10.763</v>
      </c>
      <c r="CF2391">
        <v>762970383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3</v>
      </c>
      <c r="CY2391">
        <v>7</v>
      </c>
      <c r="CZ2391" t="s">
        <v>133</v>
      </c>
      <c r="DA2391">
        <v>275</v>
      </c>
      <c r="DB2391">
        <v>0</v>
      </c>
      <c r="DC2391" t="s">
        <v>134</v>
      </c>
      <c r="DD2391" t="s">
        <v>135</v>
      </c>
      <c r="DG2391">
        <v>3321679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>"05/01/2025 15:11:10.999"</f>
        <v>05/01/2025 15:11:10.999</v>
      </c>
      <c r="C2392" t="str">
        <f t="shared" si="938"/>
        <v>FFDFD3C0</v>
      </c>
      <c r="D2392" t="s">
        <v>145</v>
      </c>
      <c r="E2392" t="str">
        <f>"09"</f>
        <v>09</v>
      </c>
      <c r="H2392">
        <v>51</v>
      </c>
      <c r="I2392" t="s">
        <v>147</v>
      </c>
      <c r="J2392" t="s">
        <v>138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R2392" t="s">
        <v>127</v>
      </c>
      <c r="S2392" t="str">
        <f t="shared" si="948"/>
        <v>15:11:10.000</v>
      </c>
      <c r="T2392" t="str">
        <f t="shared" si="948"/>
        <v>15:11:10.000</v>
      </c>
      <c r="U2392" t="str">
        <f t="shared" si="939"/>
        <v>A68FCB</v>
      </c>
      <c r="V2392">
        <v>0</v>
      </c>
      <c r="W2392">
        <v>0</v>
      </c>
      <c r="X2392">
        <v>2</v>
      </c>
      <c r="Y2392">
        <v>0</v>
      </c>
      <c r="AA2392">
        <v>1</v>
      </c>
      <c r="AB2392">
        <v>8</v>
      </c>
      <c r="AC2392">
        <v>3</v>
      </c>
      <c r="AD2392">
        <v>0</v>
      </c>
      <c r="AE2392">
        <v>9</v>
      </c>
      <c r="AF2392" t="s">
        <v>138</v>
      </c>
      <c r="AG2392">
        <v>0</v>
      </c>
      <c r="AH2392">
        <v>3</v>
      </c>
      <c r="AI2392">
        <v>2</v>
      </c>
      <c r="AJ2392">
        <v>0</v>
      </c>
      <c r="AK2392" t="s">
        <v>812</v>
      </c>
      <c r="AL2392">
        <v>39.076780999999997</v>
      </c>
      <c r="AM2392" t="s">
        <v>813</v>
      </c>
      <c r="AN2392">
        <v>-121.039402</v>
      </c>
      <c r="AO2392">
        <v>25</v>
      </c>
      <c r="AP2392">
        <v>4600</v>
      </c>
      <c r="AQ2392" t="s">
        <v>131</v>
      </c>
      <c r="AR2392">
        <v>12</v>
      </c>
      <c r="AS2392">
        <v>90</v>
      </c>
      <c r="AT2392">
        <v>0</v>
      </c>
      <c r="BB2392" t="str">
        <f t="shared" si="940"/>
        <v>1200</v>
      </c>
      <c r="BC2392">
        <v>1</v>
      </c>
      <c r="BD2392" t="str">
        <f t="shared" si="941"/>
        <v xml:space="preserve">N52156  </v>
      </c>
      <c r="BE2392">
        <v>1</v>
      </c>
      <c r="BG2392">
        <v>0</v>
      </c>
      <c r="BH2392">
        <v>0</v>
      </c>
      <c r="BI2392">
        <v>0</v>
      </c>
      <c r="BJ2392">
        <v>4625</v>
      </c>
      <c r="BK2392">
        <v>25</v>
      </c>
      <c r="BL2392" t="s">
        <v>188</v>
      </c>
      <c r="BM2392">
        <v>1</v>
      </c>
      <c r="BN2392">
        <v>1</v>
      </c>
      <c r="BO2392">
        <v>0</v>
      </c>
      <c r="BP2392">
        <v>0</v>
      </c>
      <c r="BS2392">
        <v>0</v>
      </c>
      <c r="BT2392">
        <v>0</v>
      </c>
      <c r="BU2392">
        <v>0</v>
      </c>
      <c r="CE2392" t="str">
        <f t="shared" si="949"/>
        <v>15:11:10.763</v>
      </c>
      <c r="CF2392">
        <v>762970383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3</v>
      </c>
      <c r="CY2392">
        <v>7</v>
      </c>
      <c r="CZ2392" t="s">
        <v>133</v>
      </c>
      <c r="DA2392">
        <v>275</v>
      </c>
      <c r="DB2392">
        <v>0</v>
      </c>
      <c r="DC2392" t="s">
        <v>134</v>
      </c>
      <c r="DD2392" t="s">
        <v>135</v>
      </c>
      <c r="DG2392">
        <v>3321679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>"05/01/2025 15:11:10.999"</f>
        <v>05/01/2025 15:11:10.999</v>
      </c>
      <c r="C2393" t="str">
        <f t="shared" si="938"/>
        <v>FFDFD3C0</v>
      </c>
      <c r="D2393" t="s">
        <v>145</v>
      </c>
      <c r="E2393" t="str">
        <f>"05"</f>
        <v>05</v>
      </c>
      <c r="H2393">
        <v>47</v>
      </c>
      <c r="I2393" t="s">
        <v>146</v>
      </c>
      <c r="J2393" t="s">
        <v>138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R2393" t="s">
        <v>127</v>
      </c>
      <c r="S2393" t="str">
        <f t="shared" si="948"/>
        <v>15:11:10.000</v>
      </c>
      <c r="T2393" t="str">
        <f t="shared" si="948"/>
        <v>15:11:10.000</v>
      </c>
      <c r="U2393" t="str">
        <f t="shared" si="939"/>
        <v>A68FCB</v>
      </c>
      <c r="V2393">
        <v>0</v>
      </c>
      <c r="W2393">
        <v>0</v>
      </c>
      <c r="X2393">
        <v>2</v>
      </c>
      <c r="Y2393">
        <v>0</v>
      </c>
      <c r="AA2393">
        <v>1</v>
      </c>
      <c r="AB2393">
        <v>8</v>
      </c>
      <c r="AC2393">
        <v>3</v>
      </c>
      <c r="AD2393">
        <v>0</v>
      </c>
      <c r="AE2393">
        <v>9</v>
      </c>
      <c r="AF2393" t="s">
        <v>138</v>
      </c>
      <c r="AG2393">
        <v>0</v>
      </c>
      <c r="AH2393">
        <v>3</v>
      </c>
      <c r="AI2393">
        <v>2</v>
      </c>
      <c r="AJ2393">
        <v>0</v>
      </c>
      <c r="AK2393" t="s">
        <v>812</v>
      </c>
      <c r="AL2393">
        <v>39.076780999999997</v>
      </c>
      <c r="AM2393" t="s">
        <v>813</v>
      </c>
      <c r="AN2393">
        <v>-121.039402</v>
      </c>
      <c r="AO2393">
        <v>25</v>
      </c>
      <c r="AP2393">
        <v>4600</v>
      </c>
      <c r="AQ2393" t="s">
        <v>131</v>
      </c>
      <c r="AR2393">
        <v>12</v>
      </c>
      <c r="AS2393">
        <v>90</v>
      </c>
      <c r="AT2393">
        <v>0</v>
      </c>
      <c r="BB2393" t="str">
        <f t="shared" si="940"/>
        <v>1200</v>
      </c>
      <c r="BC2393">
        <v>1</v>
      </c>
      <c r="BD2393" t="str">
        <f t="shared" si="941"/>
        <v xml:space="preserve">N52156  </v>
      </c>
      <c r="BE2393">
        <v>1</v>
      </c>
      <c r="BG2393">
        <v>0</v>
      </c>
      <c r="BH2393">
        <v>0</v>
      </c>
      <c r="BI2393">
        <v>0</v>
      </c>
      <c r="BJ2393">
        <v>4625</v>
      </c>
      <c r="BK2393">
        <v>25</v>
      </c>
      <c r="BL2393" t="s">
        <v>188</v>
      </c>
      <c r="BM2393">
        <v>1</v>
      </c>
      <c r="BN2393">
        <v>1</v>
      </c>
      <c r="BO2393">
        <v>0</v>
      </c>
      <c r="BP2393">
        <v>0</v>
      </c>
      <c r="BS2393">
        <v>0</v>
      </c>
      <c r="BT2393">
        <v>0</v>
      </c>
      <c r="BU2393">
        <v>0</v>
      </c>
      <c r="CE2393" t="str">
        <f t="shared" si="949"/>
        <v>15:11:10.763</v>
      </c>
      <c r="CF2393">
        <v>762970383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3</v>
      </c>
      <c r="CY2393">
        <v>7</v>
      </c>
      <c r="CZ2393" t="s">
        <v>133</v>
      </c>
      <c r="DA2393">
        <v>275</v>
      </c>
      <c r="DB2393">
        <v>0</v>
      </c>
      <c r="DC2393" t="s">
        <v>134</v>
      </c>
      <c r="DD2393" t="s">
        <v>135</v>
      </c>
      <c r="DG2393">
        <v>3321679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"05/01/2025 15:11:11.009"</f>
        <v>05/01/2025 15:11:11.009</v>
      </c>
      <c r="C2394" t="str">
        <f t="shared" si="938"/>
        <v>FFDFD3C0</v>
      </c>
      <c r="D2394" t="s">
        <v>136</v>
      </c>
      <c r="E2394" t="str">
        <f>"20"</f>
        <v>20</v>
      </c>
      <c r="H2394">
        <v>400</v>
      </c>
      <c r="I2394" t="s">
        <v>137</v>
      </c>
      <c r="J2394" t="s">
        <v>138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R2394" t="s">
        <v>127</v>
      </c>
      <c r="S2394" t="str">
        <f t="shared" si="948"/>
        <v>15:11:10.000</v>
      </c>
      <c r="T2394" t="str">
        <f t="shared" si="948"/>
        <v>15:11:10.000</v>
      </c>
      <c r="U2394" t="str">
        <f t="shared" si="939"/>
        <v>A68FCB</v>
      </c>
      <c r="V2394">
        <v>0</v>
      </c>
      <c r="W2394">
        <v>0</v>
      </c>
      <c r="X2394">
        <v>2</v>
      </c>
      <c r="Y2394">
        <v>0</v>
      </c>
      <c r="AA2394">
        <v>1</v>
      </c>
      <c r="AB2394">
        <v>8</v>
      </c>
      <c r="AC2394">
        <v>3</v>
      </c>
      <c r="AD2394">
        <v>0</v>
      </c>
      <c r="AE2394">
        <v>9</v>
      </c>
      <c r="AF2394" t="s">
        <v>138</v>
      </c>
      <c r="AG2394">
        <v>0</v>
      </c>
      <c r="AH2394">
        <v>3</v>
      </c>
      <c r="AI2394">
        <v>2</v>
      </c>
      <c r="AJ2394">
        <v>0</v>
      </c>
      <c r="AK2394" t="s">
        <v>812</v>
      </c>
      <c r="AL2394">
        <v>39.076780999999997</v>
      </c>
      <c r="AM2394" t="s">
        <v>813</v>
      </c>
      <c r="AN2394">
        <v>-121.039402</v>
      </c>
      <c r="AO2394">
        <v>25</v>
      </c>
      <c r="AP2394">
        <v>4600</v>
      </c>
      <c r="AQ2394" t="s">
        <v>131</v>
      </c>
      <c r="AR2394">
        <v>12</v>
      </c>
      <c r="AS2394">
        <v>90</v>
      </c>
      <c r="AT2394">
        <v>0</v>
      </c>
      <c r="BB2394" t="str">
        <f t="shared" si="940"/>
        <v>1200</v>
      </c>
      <c r="BC2394">
        <v>1</v>
      </c>
      <c r="BD2394" t="str">
        <f t="shared" si="941"/>
        <v xml:space="preserve">N52156  </v>
      </c>
      <c r="BE2394">
        <v>1</v>
      </c>
      <c r="BG2394">
        <v>0</v>
      </c>
      <c r="BH2394">
        <v>0</v>
      </c>
      <c r="BI2394">
        <v>0</v>
      </c>
      <c r="BJ2394">
        <v>4625</v>
      </c>
      <c r="BK2394">
        <v>25</v>
      </c>
      <c r="BL2394" t="s">
        <v>188</v>
      </c>
      <c r="BM2394">
        <v>1</v>
      </c>
      <c r="BN2394">
        <v>1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 t="shared" si="949"/>
        <v>15:11:10.763</v>
      </c>
      <c r="CF2394">
        <v>762970383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3</v>
      </c>
      <c r="CY2394">
        <v>7</v>
      </c>
      <c r="CZ2394" t="s">
        <v>133</v>
      </c>
      <c r="DA2394">
        <v>275</v>
      </c>
      <c r="DB2394">
        <v>0</v>
      </c>
      <c r="DC2394" t="s">
        <v>134</v>
      </c>
      <c r="DD2394" t="s">
        <v>135</v>
      </c>
      <c r="DG2394">
        <v>3321679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"05/01/2025 15:11:11.015"</f>
        <v>05/01/2025 15:11:11.015</v>
      </c>
      <c r="C2395" t="str">
        <f t="shared" si="938"/>
        <v>FFDFD3C0</v>
      </c>
      <c r="D2395" t="s">
        <v>143</v>
      </c>
      <c r="E2395" t="str">
        <f>"05"</f>
        <v>05</v>
      </c>
      <c r="H2395">
        <v>172</v>
      </c>
      <c r="I2395" t="s">
        <v>141</v>
      </c>
      <c r="J2395" t="s">
        <v>144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R2395" t="s">
        <v>127</v>
      </c>
      <c r="S2395" t="str">
        <f t="shared" si="948"/>
        <v>15:11:10.000</v>
      </c>
      <c r="T2395" t="str">
        <f t="shared" si="948"/>
        <v>15:11:10.000</v>
      </c>
      <c r="U2395" t="str">
        <f t="shared" si="939"/>
        <v>A68FCB</v>
      </c>
      <c r="V2395">
        <v>0</v>
      </c>
      <c r="W2395">
        <v>0</v>
      </c>
      <c r="X2395">
        <v>2</v>
      </c>
      <c r="Y2395">
        <v>0</v>
      </c>
      <c r="AA2395">
        <v>1</v>
      </c>
      <c r="AB2395">
        <v>8</v>
      </c>
      <c r="AC2395">
        <v>3</v>
      </c>
      <c r="AD2395">
        <v>0</v>
      </c>
      <c r="AE2395">
        <v>9</v>
      </c>
      <c r="AF2395" t="s">
        <v>138</v>
      </c>
      <c r="AG2395">
        <v>0</v>
      </c>
      <c r="AH2395">
        <v>3</v>
      </c>
      <c r="AI2395">
        <v>2</v>
      </c>
      <c r="AJ2395">
        <v>0</v>
      </c>
      <c r="AK2395" t="s">
        <v>812</v>
      </c>
      <c r="AL2395">
        <v>39.076780999999997</v>
      </c>
      <c r="AM2395" t="s">
        <v>813</v>
      </c>
      <c r="AN2395">
        <v>-121.039402</v>
      </c>
      <c r="AO2395">
        <v>25</v>
      </c>
      <c r="AP2395">
        <v>4600</v>
      </c>
      <c r="AQ2395" t="s">
        <v>131</v>
      </c>
      <c r="AR2395">
        <v>12</v>
      </c>
      <c r="AS2395">
        <v>90</v>
      </c>
      <c r="AT2395">
        <v>0</v>
      </c>
      <c r="BB2395" t="str">
        <f t="shared" si="940"/>
        <v>1200</v>
      </c>
      <c r="BC2395">
        <v>1</v>
      </c>
      <c r="BD2395" t="str">
        <f t="shared" si="941"/>
        <v xml:space="preserve">N52156  </v>
      </c>
      <c r="BE2395">
        <v>1</v>
      </c>
      <c r="BG2395">
        <v>0</v>
      </c>
      <c r="BH2395">
        <v>0</v>
      </c>
      <c r="BI2395">
        <v>0</v>
      </c>
      <c r="BJ2395">
        <v>4625</v>
      </c>
      <c r="BK2395">
        <v>25</v>
      </c>
      <c r="BL2395" t="s">
        <v>188</v>
      </c>
      <c r="BM2395">
        <v>1</v>
      </c>
      <c r="BN2395">
        <v>1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 t="shared" si="949"/>
        <v>15:11:10.763</v>
      </c>
      <c r="CF2395">
        <v>762970383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3</v>
      </c>
      <c r="CY2395">
        <v>7</v>
      </c>
      <c r="CZ2395" t="s">
        <v>133</v>
      </c>
      <c r="DA2395">
        <v>275</v>
      </c>
      <c r="DB2395">
        <v>0</v>
      </c>
      <c r="DC2395" t="s">
        <v>134</v>
      </c>
      <c r="DD2395" t="s">
        <v>135</v>
      </c>
      <c r="DG2395">
        <v>3321679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"05/01/2025 15:11:11.836"</f>
        <v>05/01/2025 15:11:11.836</v>
      </c>
      <c r="C2396" t="str">
        <f t="shared" si="938"/>
        <v>FFDFD3C0</v>
      </c>
      <c r="D2396" t="s">
        <v>140</v>
      </c>
      <c r="E2396" t="str">
        <f>"13"</f>
        <v>13</v>
      </c>
      <c r="F2396">
        <v>1019</v>
      </c>
      <c r="G2396" t="s">
        <v>141</v>
      </c>
      <c r="J2396" t="s">
        <v>142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R2396" t="s">
        <v>127</v>
      </c>
      <c r="S2396" t="str">
        <f t="shared" ref="S2396:T2401" si="950">"15:11:11.000"</f>
        <v>15:11:11.000</v>
      </c>
      <c r="T2396" t="str">
        <f t="shared" si="950"/>
        <v>15:11:11.000</v>
      </c>
      <c r="U2396" t="str">
        <f t="shared" si="939"/>
        <v>A68FCB</v>
      </c>
      <c r="V2396">
        <v>0</v>
      </c>
      <c r="W2396">
        <v>0</v>
      </c>
      <c r="X2396">
        <v>2</v>
      </c>
      <c r="Y2396">
        <v>0</v>
      </c>
      <c r="AA2396">
        <v>1</v>
      </c>
      <c r="AB2396">
        <v>8</v>
      </c>
      <c r="AC2396">
        <v>3</v>
      </c>
      <c r="AD2396">
        <v>0</v>
      </c>
      <c r="AE2396">
        <v>9</v>
      </c>
      <c r="AF2396" t="s">
        <v>138</v>
      </c>
      <c r="AG2396">
        <v>0</v>
      </c>
      <c r="AH2396">
        <v>3</v>
      </c>
      <c r="AI2396">
        <v>2</v>
      </c>
      <c r="AJ2396">
        <v>0</v>
      </c>
      <c r="AK2396" t="s">
        <v>814</v>
      </c>
      <c r="AL2396">
        <v>39.077188999999997</v>
      </c>
      <c r="AM2396" t="s">
        <v>815</v>
      </c>
      <c r="AN2396">
        <v>-121.039317</v>
      </c>
      <c r="AO2396">
        <v>25</v>
      </c>
      <c r="AP2396">
        <v>4600</v>
      </c>
      <c r="AQ2396" t="s">
        <v>131</v>
      </c>
      <c r="AR2396">
        <v>12</v>
      </c>
      <c r="AS2396">
        <v>90</v>
      </c>
      <c r="AT2396">
        <v>128</v>
      </c>
      <c r="BB2396" t="str">
        <f t="shared" si="940"/>
        <v>1200</v>
      </c>
      <c r="BC2396">
        <v>1</v>
      </c>
      <c r="BD2396" t="str">
        <f t="shared" si="941"/>
        <v xml:space="preserve">N52156  </v>
      </c>
      <c r="BE2396">
        <v>1</v>
      </c>
      <c r="BG2396">
        <v>0</v>
      </c>
      <c r="BH2396">
        <v>0</v>
      </c>
      <c r="BI2396">
        <v>0</v>
      </c>
      <c r="BJ2396">
        <v>4625</v>
      </c>
      <c r="BK2396">
        <v>25</v>
      </c>
      <c r="BL2396" t="s">
        <v>188</v>
      </c>
      <c r="BM2396">
        <v>1</v>
      </c>
      <c r="BN2396">
        <v>1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 t="shared" ref="CE2396:CE2401" si="951">"15:11:11.625"</f>
        <v>15:11:11.625</v>
      </c>
      <c r="CF2396">
        <v>624720038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3</v>
      </c>
      <c r="CY2396">
        <v>7</v>
      </c>
      <c r="CZ2396" t="s">
        <v>133</v>
      </c>
      <c r="DA2396">
        <v>275</v>
      </c>
      <c r="DB2396">
        <v>0</v>
      </c>
      <c r="DC2396" t="s">
        <v>134</v>
      </c>
      <c r="DD2396" t="s">
        <v>135</v>
      </c>
      <c r="DG2396">
        <v>3321686</v>
      </c>
      <c r="DI2396">
        <v>1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"05/01/2025 15:11:11.843"</f>
        <v>05/01/2025 15:11:11.843</v>
      </c>
      <c r="C2397" t="str">
        <f t="shared" si="938"/>
        <v>FFDFD3C0</v>
      </c>
      <c r="D2397" t="s">
        <v>124</v>
      </c>
      <c r="E2397" t="str">
        <f>"06"</f>
        <v>06</v>
      </c>
      <c r="F2397">
        <v>2006</v>
      </c>
      <c r="G2397" t="s">
        <v>125</v>
      </c>
      <c r="J2397" t="s">
        <v>126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R2397" t="s">
        <v>127</v>
      </c>
      <c r="S2397" t="str">
        <f t="shared" si="950"/>
        <v>15:11:11.000</v>
      </c>
      <c r="T2397" t="str">
        <f t="shared" si="950"/>
        <v>15:11:11.000</v>
      </c>
      <c r="U2397" t="str">
        <f t="shared" si="939"/>
        <v>A68FCB</v>
      </c>
      <c r="V2397">
        <v>0</v>
      </c>
      <c r="W2397">
        <v>0</v>
      </c>
      <c r="X2397">
        <v>2</v>
      </c>
      <c r="Y2397">
        <v>0</v>
      </c>
      <c r="AA2397">
        <v>1</v>
      </c>
      <c r="AB2397">
        <v>8</v>
      </c>
      <c r="AC2397">
        <v>3</v>
      </c>
      <c r="AD2397">
        <v>0</v>
      </c>
      <c r="AE2397">
        <v>9</v>
      </c>
      <c r="AF2397" t="s">
        <v>138</v>
      </c>
      <c r="AG2397">
        <v>0</v>
      </c>
      <c r="AH2397">
        <v>3</v>
      </c>
      <c r="AI2397">
        <v>2</v>
      </c>
      <c r="AJ2397">
        <v>0</v>
      </c>
      <c r="AK2397" t="s">
        <v>814</v>
      </c>
      <c r="AL2397">
        <v>39.077188999999997</v>
      </c>
      <c r="AM2397" t="s">
        <v>815</v>
      </c>
      <c r="AN2397">
        <v>-121.039317</v>
      </c>
      <c r="AO2397">
        <v>25</v>
      </c>
      <c r="AP2397">
        <v>4600</v>
      </c>
      <c r="AQ2397" t="s">
        <v>131</v>
      </c>
      <c r="AR2397">
        <v>12</v>
      </c>
      <c r="AS2397">
        <v>90</v>
      </c>
      <c r="AT2397">
        <v>128</v>
      </c>
      <c r="BB2397" t="str">
        <f t="shared" si="940"/>
        <v>1200</v>
      </c>
      <c r="BC2397">
        <v>1</v>
      </c>
      <c r="BD2397" t="str">
        <f t="shared" si="941"/>
        <v xml:space="preserve">N52156  </v>
      </c>
      <c r="BE2397">
        <v>1</v>
      </c>
      <c r="BG2397">
        <v>0</v>
      </c>
      <c r="BH2397">
        <v>0</v>
      </c>
      <c r="BI2397">
        <v>0</v>
      </c>
      <c r="BJ2397">
        <v>4625</v>
      </c>
      <c r="BK2397">
        <v>25</v>
      </c>
      <c r="BL2397" t="s">
        <v>188</v>
      </c>
      <c r="BM2397">
        <v>1</v>
      </c>
      <c r="BN2397">
        <v>1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 t="shared" si="951"/>
        <v>15:11:11.625</v>
      </c>
      <c r="CF2397">
        <v>624720038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3</v>
      </c>
      <c r="CY2397">
        <v>7</v>
      </c>
      <c r="CZ2397" t="s">
        <v>133</v>
      </c>
      <c r="DA2397">
        <v>275</v>
      </c>
      <c r="DB2397">
        <v>0</v>
      </c>
      <c r="DC2397" t="s">
        <v>134</v>
      </c>
      <c r="DD2397" t="s">
        <v>135</v>
      </c>
      <c r="DG2397">
        <v>3321686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"05/01/2025 15:11:11.851"</f>
        <v>05/01/2025 15:11:11.851</v>
      </c>
      <c r="C2398" t="str">
        <f t="shared" si="938"/>
        <v>FFDFD3C0</v>
      </c>
      <c r="D2398" t="s">
        <v>145</v>
      </c>
      <c r="E2398" t="str">
        <f>"09"</f>
        <v>09</v>
      </c>
      <c r="H2398">
        <v>51</v>
      </c>
      <c r="I2398" t="s">
        <v>147</v>
      </c>
      <c r="J2398" t="s">
        <v>138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R2398" t="s">
        <v>127</v>
      </c>
      <c r="S2398" t="str">
        <f t="shared" si="950"/>
        <v>15:11:11.000</v>
      </c>
      <c r="T2398" t="str">
        <f t="shared" si="950"/>
        <v>15:11:11.000</v>
      </c>
      <c r="U2398" t="str">
        <f t="shared" si="939"/>
        <v>A68FCB</v>
      </c>
      <c r="V2398">
        <v>0</v>
      </c>
      <c r="W2398">
        <v>0</v>
      </c>
      <c r="X2398">
        <v>2</v>
      </c>
      <c r="Y2398">
        <v>0</v>
      </c>
      <c r="AA2398">
        <v>1</v>
      </c>
      <c r="AB2398">
        <v>8</v>
      </c>
      <c r="AC2398">
        <v>3</v>
      </c>
      <c r="AD2398">
        <v>0</v>
      </c>
      <c r="AE2398">
        <v>9</v>
      </c>
      <c r="AF2398" t="s">
        <v>138</v>
      </c>
      <c r="AG2398">
        <v>0</v>
      </c>
      <c r="AH2398">
        <v>3</v>
      </c>
      <c r="AI2398">
        <v>2</v>
      </c>
      <c r="AJ2398">
        <v>0</v>
      </c>
      <c r="AK2398" t="s">
        <v>814</v>
      </c>
      <c r="AL2398">
        <v>39.077188999999997</v>
      </c>
      <c r="AM2398" t="s">
        <v>815</v>
      </c>
      <c r="AN2398">
        <v>-121.039317</v>
      </c>
      <c r="AO2398">
        <v>25</v>
      </c>
      <c r="AP2398">
        <v>4600</v>
      </c>
      <c r="AQ2398" t="s">
        <v>131</v>
      </c>
      <c r="AR2398">
        <v>12</v>
      </c>
      <c r="AS2398">
        <v>90</v>
      </c>
      <c r="AT2398">
        <v>128</v>
      </c>
      <c r="BB2398" t="str">
        <f t="shared" si="940"/>
        <v>1200</v>
      </c>
      <c r="BC2398">
        <v>1</v>
      </c>
      <c r="BD2398" t="str">
        <f t="shared" si="941"/>
        <v xml:space="preserve">N52156  </v>
      </c>
      <c r="BE2398">
        <v>1</v>
      </c>
      <c r="BG2398">
        <v>0</v>
      </c>
      <c r="BH2398">
        <v>0</v>
      </c>
      <c r="BI2398">
        <v>0</v>
      </c>
      <c r="BJ2398">
        <v>4625</v>
      </c>
      <c r="BK2398">
        <v>25</v>
      </c>
      <c r="BL2398" t="s">
        <v>188</v>
      </c>
      <c r="BM2398">
        <v>1</v>
      </c>
      <c r="BN2398">
        <v>1</v>
      </c>
      <c r="BO2398">
        <v>0</v>
      </c>
      <c r="BP2398">
        <v>0</v>
      </c>
      <c r="BS2398">
        <v>0</v>
      </c>
      <c r="BT2398">
        <v>0</v>
      </c>
      <c r="BU2398">
        <v>0</v>
      </c>
      <c r="CE2398" t="str">
        <f t="shared" si="951"/>
        <v>15:11:11.625</v>
      </c>
      <c r="CF2398">
        <v>624720038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3</v>
      </c>
      <c r="CY2398">
        <v>7</v>
      </c>
      <c r="CZ2398" t="s">
        <v>133</v>
      </c>
      <c r="DA2398">
        <v>275</v>
      </c>
      <c r="DB2398">
        <v>0</v>
      </c>
      <c r="DC2398" t="s">
        <v>134</v>
      </c>
      <c r="DD2398" t="s">
        <v>135</v>
      </c>
      <c r="DG2398">
        <v>3321686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"05/01/2025 15:11:11.851"</f>
        <v>05/01/2025 15:11:11.851</v>
      </c>
      <c r="C2399" t="str">
        <f t="shared" si="938"/>
        <v>FFDFD3C0</v>
      </c>
      <c r="D2399" t="s">
        <v>145</v>
      </c>
      <c r="E2399" t="str">
        <f>"05"</f>
        <v>05</v>
      </c>
      <c r="H2399">
        <v>47</v>
      </c>
      <c r="I2399" t="s">
        <v>146</v>
      </c>
      <c r="J2399" t="s">
        <v>138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R2399" t="s">
        <v>127</v>
      </c>
      <c r="S2399" t="str">
        <f t="shared" si="950"/>
        <v>15:11:11.000</v>
      </c>
      <c r="T2399" t="str">
        <f t="shared" si="950"/>
        <v>15:11:11.000</v>
      </c>
      <c r="U2399" t="str">
        <f t="shared" si="939"/>
        <v>A68FCB</v>
      </c>
      <c r="V2399">
        <v>0</v>
      </c>
      <c r="W2399">
        <v>0</v>
      </c>
      <c r="X2399">
        <v>2</v>
      </c>
      <c r="Y2399">
        <v>0</v>
      </c>
      <c r="AA2399">
        <v>1</v>
      </c>
      <c r="AB2399">
        <v>8</v>
      </c>
      <c r="AC2399">
        <v>3</v>
      </c>
      <c r="AD2399">
        <v>0</v>
      </c>
      <c r="AE2399">
        <v>9</v>
      </c>
      <c r="AF2399" t="s">
        <v>138</v>
      </c>
      <c r="AG2399">
        <v>0</v>
      </c>
      <c r="AH2399">
        <v>3</v>
      </c>
      <c r="AI2399">
        <v>2</v>
      </c>
      <c r="AJ2399">
        <v>0</v>
      </c>
      <c r="AK2399" t="s">
        <v>814</v>
      </c>
      <c r="AL2399">
        <v>39.077188999999997</v>
      </c>
      <c r="AM2399" t="s">
        <v>815</v>
      </c>
      <c r="AN2399">
        <v>-121.039317</v>
      </c>
      <c r="AO2399">
        <v>25</v>
      </c>
      <c r="AP2399">
        <v>4600</v>
      </c>
      <c r="AQ2399" t="s">
        <v>131</v>
      </c>
      <c r="AR2399">
        <v>12</v>
      </c>
      <c r="AS2399">
        <v>90</v>
      </c>
      <c r="AT2399">
        <v>128</v>
      </c>
      <c r="BB2399" t="str">
        <f t="shared" si="940"/>
        <v>1200</v>
      </c>
      <c r="BC2399">
        <v>1</v>
      </c>
      <c r="BD2399" t="str">
        <f t="shared" si="941"/>
        <v xml:space="preserve">N52156  </v>
      </c>
      <c r="BE2399">
        <v>1</v>
      </c>
      <c r="BG2399">
        <v>0</v>
      </c>
      <c r="BH2399">
        <v>0</v>
      </c>
      <c r="BI2399">
        <v>0</v>
      </c>
      <c r="BJ2399">
        <v>4625</v>
      </c>
      <c r="BK2399">
        <v>25</v>
      </c>
      <c r="BL2399" t="s">
        <v>188</v>
      </c>
      <c r="BM2399">
        <v>1</v>
      </c>
      <c r="BN2399">
        <v>1</v>
      </c>
      <c r="BO2399">
        <v>0</v>
      </c>
      <c r="BP2399">
        <v>0</v>
      </c>
      <c r="BS2399">
        <v>0</v>
      </c>
      <c r="BT2399">
        <v>0</v>
      </c>
      <c r="BU2399">
        <v>0</v>
      </c>
      <c r="CE2399" t="str">
        <f t="shared" si="951"/>
        <v>15:11:11.625</v>
      </c>
      <c r="CF2399">
        <v>624720038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3</v>
      </c>
      <c r="CY2399">
        <v>7</v>
      </c>
      <c r="CZ2399" t="s">
        <v>133</v>
      </c>
      <c r="DA2399">
        <v>275</v>
      </c>
      <c r="DB2399">
        <v>0</v>
      </c>
      <c r="DC2399" t="s">
        <v>134</v>
      </c>
      <c r="DD2399" t="s">
        <v>135</v>
      </c>
      <c r="DG2399">
        <v>3321686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"05/01/2025 15:11:11.860"</f>
        <v>05/01/2025 15:11:11.860</v>
      </c>
      <c r="C2400" t="str">
        <f t="shared" si="938"/>
        <v>FFDFD3C0</v>
      </c>
      <c r="D2400" t="s">
        <v>136</v>
      </c>
      <c r="E2400" t="str">
        <f>"20"</f>
        <v>20</v>
      </c>
      <c r="H2400">
        <v>400</v>
      </c>
      <c r="I2400" t="s">
        <v>137</v>
      </c>
      <c r="J2400" t="s">
        <v>138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R2400" t="s">
        <v>127</v>
      </c>
      <c r="S2400" t="str">
        <f t="shared" si="950"/>
        <v>15:11:11.000</v>
      </c>
      <c r="T2400" t="str">
        <f t="shared" si="950"/>
        <v>15:11:11.000</v>
      </c>
      <c r="U2400" t="str">
        <f t="shared" si="939"/>
        <v>A68FCB</v>
      </c>
      <c r="V2400">
        <v>0</v>
      </c>
      <c r="W2400">
        <v>0</v>
      </c>
      <c r="X2400">
        <v>2</v>
      </c>
      <c r="Y2400">
        <v>0</v>
      </c>
      <c r="AA2400">
        <v>1</v>
      </c>
      <c r="AB2400">
        <v>8</v>
      </c>
      <c r="AC2400">
        <v>3</v>
      </c>
      <c r="AD2400">
        <v>0</v>
      </c>
      <c r="AE2400">
        <v>9</v>
      </c>
      <c r="AF2400" t="s">
        <v>138</v>
      </c>
      <c r="AG2400">
        <v>0</v>
      </c>
      <c r="AH2400">
        <v>3</v>
      </c>
      <c r="AI2400">
        <v>2</v>
      </c>
      <c r="AJ2400">
        <v>0</v>
      </c>
      <c r="AK2400" t="s">
        <v>814</v>
      </c>
      <c r="AL2400">
        <v>39.077188999999997</v>
      </c>
      <c r="AM2400" t="s">
        <v>815</v>
      </c>
      <c r="AN2400">
        <v>-121.039317</v>
      </c>
      <c r="AO2400">
        <v>25</v>
      </c>
      <c r="AP2400">
        <v>4600</v>
      </c>
      <c r="AQ2400" t="s">
        <v>131</v>
      </c>
      <c r="AR2400">
        <v>12</v>
      </c>
      <c r="AS2400">
        <v>90</v>
      </c>
      <c r="AT2400">
        <v>128</v>
      </c>
      <c r="BB2400" t="str">
        <f t="shared" si="940"/>
        <v>1200</v>
      </c>
      <c r="BC2400">
        <v>1</v>
      </c>
      <c r="BD2400" t="str">
        <f t="shared" si="941"/>
        <v xml:space="preserve">N52156  </v>
      </c>
      <c r="BE2400">
        <v>1</v>
      </c>
      <c r="BG2400">
        <v>0</v>
      </c>
      <c r="BH2400">
        <v>0</v>
      </c>
      <c r="BI2400">
        <v>0</v>
      </c>
      <c r="BJ2400">
        <v>4625</v>
      </c>
      <c r="BK2400">
        <v>25</v>
      </c>
      <c r="BL2400" t="s">
        <v>188</v>
      </c>
      <c r="BM2400">
        <v>1</v>
      </c>
      <c r="BN2400">
        <v>1</v>
      </c>
      <c r="BO2400">
        <v>0</v>
      </c>
      <c r="BP2400">
        <v>0</v>
      </c>
      <c r="BS2400">
        <v>0</v>
      </c>
      <c r="BT2400">
        <v>0</v>
      </c>
      <c r="BU2400">
        <v>0</v>
      </c>
      <c r="CE2400" t="str">
        <f t="shared" si="951"/>
        <v>15:11:11.625</v>
      </c>
      <c r="CF2400">
        <v>624720038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3</v>
      </c>
      <c r="CY2400">
        <v>7</v>
      </c>
      <c r="CZ2400" t="s">
        <v>133</v>
      </c>
      <c r="DA2400">
        <v>275</v>
      </c>
      <c r="DB2400">
        <v>0</v>
      </c>
      <c r="DC2400" t="s">
        <v>134</v>
      </c>
      <c r="DD2400" t="s">
        <v>135</v>
      </c>
      <c r="DG2400">
        <v>3321686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"05/01/2025 15:11:11.866"</f>
        <v>05/01/2025 15:11:11.866</v>
      </c>
      <c r="C2401" t="str">
        <f t="shared" si="938"/>
        <v>FFDFD3C0</v>
      </c>
      <c r="D2401" t="s">
        <v>143</v>
      </c>
      <c r="E2401" t="str">
        <f>"05"</f>
        <v>05</v>
      </c>
      <c r="H2401">
        <v>172</v>
      </c>
      <c r="I2401" t="s">
        <v>141</v>
      </c>
      <c r="J2401" t="s">
        <v>144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R2401" t="s">
        <v>127</v>
      </c>
      <c r="S2401" t="str">
        <f t="shared" si="950"/>
        <v>15:11:11.000</v>
      </c>
      <c r="T2401" t="str">
        <f t="shared" si="950"/>
        <v>15:11:11.000</v>
      </c>
      <c r="U2401" t="str">
        <f t="shared" si="939"/>
        <v>A68FCB</v>
      </c>
      <c r="V2401">
        <v>0</v>
      </c>
      <c r="W2401">
        <v>0</v>
      </c>
      <c r="X2401">
        <v>2</v>
      </c>
      <c r="Y2401">
        <v>0</v>
      </c>
      <c r="AA2401">
        <v>1</v>
      </c>
      <c r="AB2401">
        <v>8</v>
      </c>
      <c r="AC2401">
        <v>3</v>
      </c>
      <c r="AD2401">
        <v>0</v>
      </c>
      <c r="AE2401">
        <v>9</v>
      </c>
      <c r="AF2401" t="s">
        <v>138</v>
      </c>
      <c r="AG2401">
        <v>0</v>
      </c>
      <c r="AH2401">
        <v>3</v>
      </c>
      <c r="AI2401">
        <v>2</v>
      </c>
      <c r="AJ2401">
        <v>0</v>
      </c>
      <c r="AK2401" t="s">
        <v>814</v>
      </c>
      <c r="AL2401">
        <v>39.077188999999997</v>
      </c>
      <c r="AM2401" t="s">
        <v>815</v>
      </c>
      <c r="AN2401">
        <v>-121.039317</v>
      </c>
      <c r="AO2401">
        <v>25</v>
      </c>
      <c r="AP2401">
        <v>4600</v>
      </c>
      <c r="AQ2401" t="s">
        <v>131</v>
      </c>
      <c r="AR2401">
        <v>12</v>
      </c>
      <c r="AS2401">
        <v>90</v>
      </c>
      <c r="AT2401">
        <v>128</v>
      </c>
      <c r="BB2401" t="str">
        <f t="shared" si="940"/>
        <v>1200</v>
      </c>
      <c r="BC2401">
        <v>1</v>
      </c>
      <c r="BD2401" t="str">
        <f t="shared" si="941"/>
        <v xml:space="preserve">N52156  </v>
      </c>
      <c r="BE2401">
        <v>1</v>
      </c>
      <c r="BG2401">
        <v>0</v>
      </c>
      <c r="BH2401">
        <v>0</v>
      </c>
      <c r="BI2401">
        <v>0</v>
      </c>
      <c r="BJ2401">
        <v>4625</v>
      </c>
      <c r="BK2401">
        <v>25</v>
      </c>
      <c r="BL2401" t="s">
        <v>188</v>
      </c>
      <c r="BM2401">
        <v>1</v>
      </c>
      <c r="BN2401">
        <v>1</v>
      </c>
      <c r="BO2401">
        <v>0</v>
      </c>
      <c r="BP2401">
        <v>0</v>
      </c>
      <c r="BS2401">
        <v>0</v>
      </c>
      <c r="BT2401">
        <v>0</v>
      </c>
      <c r="BU2401">
        <v>0</v>
      </c>
      <c r="CE2401" t="str">
        <f t="shared" si="951"/>
        <v>15:11:11.625</v>
      </c>
      <c r="CF2401">
        <v>624720038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3</v>
      </c>
      <c r="CY2401">
        <v>7</v>
      </c>
      <c r="CZ2401" t="s">
        <v>133</v>
      </c>
      <c r="DA2401">
        <v>275</v>
      </c>
      <c r="DB2401">
        <v>0</v>
      </c>
      <c r="DC2401" t="s">
        <v>134</v>
      </c>
      <c r="DD2401" t="s">
        <v>135</v>
      </c>
      <c r="DG2401">
        <v>3321686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"05/01/2025 15:11:13.087"</f>
        <v>05/01/2025 15:11:13.087</v>
      </c>
      <c r="C2402" t="str">
        <f t="shared" si="938"/>
        <v>FFDFD3C0</v>
      </c>
      <c r="D2402" t="s">
        <v>140</v>
      </c>
      <c r="E2402" t="str">
        <f>"13"</f>
        <v>13</v>
      </c>
      <c r="F2402">
        <v>1019</v>
      </c>
      <c r="G2402" t="s">
        <v>141</v>
      </c>
      <c r="J2402" t="s">
        <v>142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R2402" t="s">
        <v>127</v>
      </c>
      <c r="S2402" t="str">
        <f t="shared" ref="S2402:T2407" si="952">"15:11:12.000"</f>
        <v>15:11:12.000</v>
      </c>
      <c r="T2402" t="str">
        <f t="shared" si="952"/>
        <v>15:11:12.000</v>
      </c>
      <c r="U2402" t="str">
        <f t="shared" si="939"/>
        <v>A68FCB</v>
      </c>
      <c r="V2402">
        <v>0</v>
      </c>
      <c r="W2402">
        <v>0</v>
      </c>
      <c r="X2402">
        <v>2</v>
      </c>
      <c r="Y2402">
        <v>0</v>
      </c>
      <c r="AA2402">
        <v>1</v>
      </c>
      <c r="AB2402">
        <v>8</v>
      </c>
      <c r="AC2402">
        <v>3</v>
      </c>
      <c r="AD2402">
        <v>0</v>
      </c>
      <c r="AE2402">
        <v>9</v>
      </c>
      <c r="AF2402" t="s">
        <v>138</v>
      </c>
      <c r="AG2402">
        <v>0</v>
      </c>
      <c r="AH2402">
        <v>3</v>
      </c>
      <c r="AI2402">
        <v>2</v>
      </c>
      <c r="AJ2402">
        <v>0</v>
      </c>
      <c r="AK2402" t="s">
        <v>816</v>
      </c>
      <c r="AL2402">
        <v>39.077618000000001</v>
      </c>
      <c r="AM2402" t="s">
        <v>817</v>
      </c>
      <c r="AN2402">
        <v>-121.039252</v>
      </c>
      <c r="AO2402">
        <v>25</v>
      </c>
      <c r="AP2402">
        <v>4600</v>
      </c>
      <c r="AQ2402" t="s">
        <v>131</v>
      </c>
      <c r="AR2402">
        <v>11</v>
      </c>
      <c r="AS2402">
        <v>88</v>
      </c>
      <c r="AT2402">
        <v>256</v>
      </c>
      <c r="BB2402" t="str">
        <f t="shared" si="940"/>
        <v>1200</v>
      </c>
      <c r="BC2402">
        <v>1</v>
      </c>
      <c r="BD2402" t="str">
        <f t="shared" si="941"/>
        <v xml:space="preserve">N52156  </v>
      </c>
      <c r="BE2402">
        <v>1</v>
      </c>
      <c r="BG2402">
        <v>0</v>
      </c>
      <c r="BH2402">
        <v>0</v>
      </c>
      <c r="BI2402">
        <v>0</v>
      </c>
      <c r="BJ2402">
        <v>4625</v>
      </c>
      <c r="BK2402">
        <v>25</v>
      </c>
      <c r="BL2402" t="s">
        <v>188</v>
      </c>
      <c r="BM2402">
        <v>1</v>
      </c>
      <c r="BN2402">
        <v>1</v>
      </c>
      <c r="BO2402">
        <v>0</v>
      </c>
      <c r="BP2402">
        <v>0</v>
      </c>
      <c r="BS2402">
        <v>0</v>
      </c>
      <c r="BT2402">
        <v>0</v>
      </c>
      <c r="BU2402">
        <v>0</v>
      </c>
      <c r="CE2402" t="str">
        <f t="shared" ref="CE2402:CE2407" si="953">"15:11:12.856"</f>
        <v>15:11:12.856</v>
      </c>
      <c r="CF2402">
        <v>855790599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3</v>
      </c>
      <c r="CY2402">
        <v>7</v>
      </c>
      <c r="CZ2402" t="s">
        <v>133</v>
      </c>
      <c r="DA2402">
        <v>276</v>
      </c>
      <c r="DB2402">
        <v>0</v>
      </c>
      <c r="DC2402" t="s">
        <v>402</v>
      </c>
      <c r="DD2402" t="s">
        <v>403</v>
      </c>
      <c r="DG2402">
        <v>1627127</v>
      </c>
      <c r="DI2402">
        <v>1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"05/01/2025 15:11:13.095"</f>
        <v>05/01/2025 15:11:13.095</v>
      </c>
      <c r="C2403" t="str">
        <f t="shared" si="938"/>
        <v>FFDFD3C0</v>
      </c>
      <c r="D2403" t="s">
        <v>124</v>
      </c>
      <c r="E2403" t="str">
        <f>"06"</f>
        <v>06</v>
      </c>
      <c r="F2403">
        <v>2006</v>
      </c>
      <c r="G2403" t="s">
        <v>125</v>
      </c>
      <c r="J2403" t="s">
        <v>126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R2403" t="s">
        <v>127</v>
      </c>
      <c r="S2403" t="str">
        <f t="shared" si="952"/>
        <v>15:11:12.000</v>
      </c>
      <c r="T2403" t="str">
        <f t="shared" si="952"/>
        <v>15:11:12.000</v>
      </c>
      <c r="U2403" t="str">
        <f t="shared" si="939"/>
        <v>A68FCB</v>
      </c>
      <c r="V2403">
        <v>0</v>
      </c>
      <c r="W2403">
        <v>0</v>
      </c>
      <c r="X2403">
        <v>2</v>
      </c>
      <c r="Y2403">
        <v>0</v>
      </c>
      <c r="AA2403">
        <v>1</v>
      </c>
      <c r="AB2403">
        <v>8</v>
      </c>
      <c r="AC2403">
        <v>3</v>
      </c>
      <c r="AD2403">
        <v>0</v>
      </c>
      <c r="AE2403">
        <v>9</v>
      </c>
      <c r="AF2403" t="s">
        <v>138</v>
      </c>
      <c r="AG2403">
        <v>0</v>
      </c>
      <c r="AH2403">
        <v>3</v>
      </c>
      <c r="AI2403">
        <v>2</v>
      </c>
      <c r="AJ2403">
        <v>0</v>
      </c>
      <c r="AK2403" t="s">
        <v>816</v>
      </c>
      <c r="AL2403">
        <v>39.077618000000001</v>
      </c>
      <c r="AM2403" t="s">
        <v>817</v>
      </c>
      <c r="AN2403">
        <v>-121.039252</v>
      </c>
      <c r="AO2403">
        <v>25</v>
      </c>
      <c r="AP2403">
        <v>4600</v>
      </c>
      <c r="AQ2403" t="s">
        <v>131</v>
      </c>
      <c r="AR2403">
        <v>11</v>
      </c>
      <c r="AS2403">
        <v>88</v>
      </c>
      <c r="AT2403">
        <v>256</v>
      </c>
      <c r="BB2403" t="str">
        <f t="shared" si="940"/>
        <v>1200</v>
      </c>
      <c r="BC2403">
        <v>1</v>
      </c>
      <c r="BD2403" t="str">
        <f t="shared" si="941"/>
        <v xml:space="preserve">N52156  </v>
      </c>
      <c r="BE2403">
        <v>1</v>
      </c>
      <c r="BG2403">
        <v>0</v>
      </c>
      <c r="BH2403">
        <v>0</v>
      </c>
      <c r="BI2403">
        <v>0</v>
      </c>
      <c r="BJ2403">
        <v>4625</v>
      </c>
      <c r="BK2403">
        <v>25</v>
      </c>
      <c r="BL2403" t="s">
        <v>188</v>
      </c>
      <c r="BM2403">
        <v>1</v>
      </c>
      <c r="BN2403">
        <v>1</v>
      </c>
      <c r="BO2403">
        <v>0</v>
      </c>
      <c r="BP2403">
        <v>0</v>
      </c>
      <c r="BS2403">
        <v>0</v>
      </c>
      <c r="BT2403">
        <v>0</v>
      </c>
      <c r="BU2403">
        <v>0</v>
      </c>
      <c r="CE2403" t="str">
        <f t="shared" si="953"/>
        <v>15:11:12.856</v>
      </c>
      <c r="CF2403">
        <v>855790599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3</v>
      </c>
      <c r="CY2403">
        <v>7</v>
      </c>
      <c r="CZ2403" t="s">
        <v>133</v>
      </c>
      <c r="DA2403">
        <v>276</v>
      </c>
      <c r="DB2403">
        <v>0</v>
      </c>
      <c r="DC2403" t="s">
        <v>402</v>
      </c>
      <c r="DD2403" t="s">
        <v>403</v>
      </c>
      <c r="DG2403">
        <v>1627127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"05/01/2025 15:11:13.103"</f>
        <v>05/01/2025 15:11:13.103</v>
      </c>
      <c r="C2404" t="str">
        <f t="shared" si="938"/>
        <v>FFDFD3C0</v>
      </c>
      <c r="D2404" t="s">
        <v>145</v>
      </c>
      <c r="E2404" t="str">
        <f>"09"</f>
        <v>09</v>
      </c>
      <c r="H2404">
        <v>51</v>
      </c>
      <c r="I2404" t="s">
        <v>147</v>
      </c>
      <c r="J2404" t="s">
        <v>138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R2404" t="s">
        <v>127</v>
      </c>
      <c r="S2404" t="str">
        <f t="shared" si="952"/>
        <v>15:11:12.000</v>
      </c>
      <c r="T2404" t="str">
        <f t="shared" si="952"/>
        <v>15:11:12.000</v>
      </c>
      <c r="U2404" t="str">
        <f t="shared" si="939"/>
        <v>A68FCB</v>
      </c>
      <c r="V2404">
        <v>0</v>
      </c>
      <c r="W2404">
        <v>0</v>
      </c>
      <c r="X2404">
        <v>2</v>
      </c>
      <c r="Y2404">
        <v>0</v>
      </c>
      <c r="AA2404">
        <v>1</v>
      </c>
      <c r="AB2404">
        <v>8</v>
      </c>
      <c r="AC2404">
        <v>3</v>
      </c>
      <c r="AD2404">
        <v>0</v>
      </c>
      <c r="AE2404">
        <v>9</v>
      </c>
      <c r="AF2404" t="s">
        <v>138</v>
      </c>
      <c r="AG2404">
        <v>0</v>
      </c>
      <c r="AH2404">
        <v>3</v>
      </c>
      <c r="AI2404">
        <v>2</v>
      </c>
      <c r="AJ2404">
        <v>0</v>
      </c>
      <c r="AK2404" t="s">
        <v>816</v>
      </c>
      <c r="AL2404">
        <v>39.077618000000001</v>
      </c>
      <c r="AM2404" t="s">
        <v>817</v>
      </c>
      <c r="AN2404">
        <v>-121.039252</v>
      </c>
      <c r="AO2404">
        <v>25</v>
      </c>
      <c r="AP2404">
        <v>4600</v>
      </c>
      <c r="AQ2404" t="s">
        <v>131</v>
      </c>
      <c r="AR2404">
        <v>11</v>
      </c>
      <c r="AS2404">
        <v>88</v>
      </c>
      <c r="AT2404">
        <v>256</v>
      </c>
      <c r="BB2404" t="str">
        <f t="shared" si="940"/>
        <v>1200</v>
      </c>
      <c r="BC2404">
        <v>1</v>
      </c>
      <c r="BD2404" t="str">
        <f t="shared" si="941"/>
        <v xml:space="preserve">N52156  </v>
      </c>
      <c r="BE2404">
        <v>1</v>
      </c>
      <c r="BG2404">
        <v>0</v>
      </c>
      <c r="BH2404">
        <v>0</v>
      </c>
      <c r="BI2404">
        <v>0</v>
      </c>
      <c r="BJ2404">
        <v>4625</v>
      </c>
      <c r="BK2404">
        <v>25</v>
      </c>
      <c r="BL2404" t="s">
        <v>188</v>
      </c>
      <c r="BM2404">
        <v>1</v>
      </c>
      <c r="BN2404">
        <v>1</v>
      </c>
      <c r="BO2404">
        <v>0</v>
      </c>
      <c r="BP2404">
        <v>0</v>
      </c>
      <c r="BS2404">
        <v>0</v>
      </c>
      <c r="BT2404">
        <v>0</v>
      </c>
      <c r="BU2404">
        <v>0</v>
      </c>
      <c r="CE2404" t="str">
        <f t="shared" si="953"/>
        <v>15:11:12.856</v>
      </c>
      <c r="CF2404">
        <v>855790599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3</v>
      </c>
      <c r="CY2404">
        <v>7</v>
      </c>
      <c r="CZ2404" t="s">
        <v>133</v>
      </c>
      <c r="DA2404">
        <v>276</v>
      </c>
      <c r="DB2404">
        <v>0</v>
      </c>
      <c r="DC2404" t="s">
        <v>402</v>
      </c>
      <c r="DD2404" t="s">
        <v>403</v>
      </c>
      <c r="DG2404">
        <v>1627127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"05/01/2025 15:11:13.103"</f>
        <v>05/01/2025 15:11:13.103</v>
      </c>
      <c r="C2405" t="str">
        <f t="shared" si="938"/>
        <v>FFDFD3C0</v>
      </c>
      <c r="D2405" t="s">
        <v>145</v>
      </c>
      <c r="E2405" t="str">
        <f>"05"</f>
        <v>05</v>
      </c>
      <c r="H2405">
        <v>47</v>
      </c>
      <c r="I2405" t="s">
        <v>146</v>
      </c>
      <c r="J2405" t="s">
        <v>138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R2405" t="s">
        <v>127</v>
      </c>
      <c r="S2405" t="str">
        <f t="shared" si="952"/>
        <v>15:11:12.000</v>
      </c>
      <c r="T2405" t="str">
        <f t="shared" si="952"/>
        <v>15:11:12.000</v>
      </c>
      <c r="U2405" t="str">
        <f t="shared" si="939"/>
        <v>A68FCB</v>
      </c>
      <c r="V2405">
        <v>0</v>
      </c>
      <c r="W2405">
        <v>0</v>
      </c>
      <c r="X2405">
        <v>2</v>
      </c>
      <c r="Y2405">
        <v>0</v>
      </c>
      <c r="AA2405">
        <v>1</v>
      </c>
      <c r="AB2405">
        <v>8</v>
      </c>
      <c r="AC2405">
        <v>3</v>
      </c>
      <c r="AD2405">
        <v>0</v>
      </c>
      <c r="AE2405">
        <v>9</v>
      </c>
      <c r="AF2405" t="s">
        <v>138</v>
      </c>
      <c r="AG2405">
        <v>0</v>
      </c>
      <c r="AH2405">
        <v>3</v>
      </c>
      <c r="AI2405">
        <v>2</v>
      </c>
      <c r="AJ2405">
        <v>0</v>
      </c>
      <c r="AK2405" t="s">
        <v>816</v>
      </c>
      <c r="AL2405">
        <v>39.077618000000001</v>
      </c>
      <c r="AM2405" t="s">
        <v>817</v>
      </c>
      <c r="AN2405">
        <v>-121.039252</v>
      </c>
      <c r="AO2405">
        <v>25</v>
      </c>
      <c r="AP2405">
        <v>4600</v>
      </c>
      <c r="AQ2405" t="s">
        <v>131</v>
      </c>
      <c r="AR2405">
        <v>11</v>
      </c>
      <c r="AS2405">
        <v>88</v>
      </c>
      <c r="AT2405">
        <v>256</v>
      </c>
      <c r="BB2405" t="str">
        <f t="shared" si="940"/>
        <v>1200</v>
      </c>
      <c r="BC2405">
        <v>1</v>
      </c>
      <c r="BD2405" t="str">
        <f t="shared" si="941"/>
        <v xml:space="preserve">N52156  </v>
      </c>
      <c r="BE2405">
        <v>1</v>
      </c>
      <c r="BG2405">
        <v>0</v>
      </c>
      <c r="BH2405">
        <v>0</v>
      </c>
      <c r="BI2405">
        <v>0</v>
      </c>
      <c r="BJ2405">
        <v>4625</v>
      </c>
      <c r="BK2405">
        <v>25</v>
      </c>
      <c r="BL2405" t="s">
        <v>188</v>
      </c>
      <c r="BM2405">
        <v>1</v>
      </c>
      <c r="BN2405">
        <v>1</v>
      </c>
      <c r="BO2405">
        <v>0</v>
      </c>
      <c r="BP2405">
        <v>0</v>
      </c>
      <c r="BS2405">
        <v>0</v>
      </c>
      <c r="BT2405">
        <v>0</v>
      </c>
      <c r="BU2405">
        <v>0</v>
      </c>
      <c r="CE2405" t="str">
        <f t="shared" si="953"/>
        <v>15:11:12.856</v>
      </c>
      <c r="CF2405">
        <v>855790599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3</v>
      </c>
      <c r="CY2405">
        <v>7</v>
      </c>
      <c r="CZ2405" t="s">
        <v>133</v>
      </c>
      <c r="DA2405">
        <v>276</v>
      </c>
      <c r="DB2405">
        <v>0</v>
      </c>
      <c r="DC2405" t="s">
        <v>402</v>
      </c>
      <c r="DD2405" t="s">
        <v>403</v>
      </c>
      <c r="DG2405">
        <v>1627127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"05/01/2025 15:11:13.112"</f>
        <v>05/01/2025 15:11:13.112</v>
      </c>
      <c r="C2406" t="str">
        <f t="shared" si="938"/>
        <v>FFDFD3C0</v>
      </c>
      <c r="D2406" t="s">
        <v>136</v>
      </c>
      <c r="E2406" t="str">
        <f>"20"</f>
        <v>20</v>
      </c>
      <c r="H2406">
        <v>400</v>
      </c>
      <c r="I2406" t="s">
        <v>137</v>
      </c>
      <c r="J2406" t="s">
        <v>138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R2406" t="s">
        <v>127</v>
      </c>
      <c r="S2406" t="str">
        <f t="shared" si="952"/>
        <v>15:11:12.000</v>
      </c>
      <c r="T2406" t="str">
        <f t="shared" si="952"/>
        <v>15:11:12.000</v>
      </c>
      <c r="U2406" t="str">
        <f t="shared" si="939"/>
        <v>A68FCB</v>
      </c>
      <c r="V2406">
        <v>0</v>
      </c>
      <c r="W2406">
        <v>0</v>
      </c>
      <c r="X2406">
        <v>2</v>
      </c>
      <c r="Y2406">
        <v>0</v>
      </c>
      <c r="AA2406">
        <v>1</v>
      </c>
      <c r="AB2406">
        <v>8</v>
      </c>
      <c r="AC2406">
        <v>3</v>
      </c>
      <c r="AD2406">
        <v>0</v>
      </c>
      <c r="AE2406">
        <v>9</v>
      </c>
      <c r="AF2406" t="s">
        <v>138</v>
      </c>
      <c r="AG2406">
        <v>0</v>
      </c>
      <c r="AH2406">
        <v>3</v>
      </c>
      <c r="AI2406">
        <v>2</v>
      </c>
      <c r="AJ2406">
        <v>0</v>
      </c>
      <c r="AK2406" t="s">
        <v>816</v>
      </c>
      <c r="AL2406">
        <v>39.077618000000001</v>
      </c>
      <c r="AM2406" t="s">
        <v>817</v>
      </c>
      <c r="AN2406">
        <v>-121.039252</v>
      </c>
      <c r="AO2406">
        <v>25</v>
      </c>
      <c r="AP2406">
        <v>4600</v>
      </c>
      <c r="AQ2406" t="s">
        <v>131</v>
      </c>
      <c r="AR2406">
        <v>11</v>
      </c>
      <c r="AS2406">
        <v>88</v>
      </c>
      <c r="AT2406">
        <v>256</v>
      </c>
      <c r="BB2406" t="str">
        <f t="shared" si="940"/>
        <v>1200</v>
      </c>
      <c r="BC2406">
        <v>1</v>
      </c>
      <c r="BD2406" t="str">
        <f t="shared" si="941"/>
        <v xml:space="preserve">N52156  </v>
      </c>
      <c r="BE2406">
        <v>1</v>
      </c>
      <c r="BG2406">
        <v>0</v>
      </c>
      <c r="BH2406">
        <v>0</v>
      </c>
      <c r="BI2406">
        <v>0</v>
      </c>
      <c r="BJ2406">
        <v>4625</v>
      </c>
      <c r="BK2406">
        <v>25</v>
      </c>
      <c r="BL2406" t="s">
        <v>188</v>
      </c>
      <c r="BM2406">
        <v>1</v>
      </c>
      <c r="BN2406">
        <v>1</v>
      </c>
      <c r="BO2406">
        <v>0</v>
      </c>
      <c r="BP2406">
        <v>0</v>
      </c>
      <c r="BS2406">
        <v>0</v>
      </c>
      <c r="BT2406">
        <v>0</v>
      </c>
      <c r="BU2406">
        <v>0</v>
      </c>
      <c r="CE2406" t="str">
        <f t="shared" si="953"/>
        <v>15:11:12.856</v>
      </c>
      <c r="CF2406">
        <v>855790599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3</v>
      </c>
      <c r="CY2406">
        <v>7</v>
      </c>
      <c r="CZ2406" t="s">
        <v>133</v>
      </c>
      <c r="DA2406">
        <v>276</v>
      </c>
      <c r="DB2406">
        <v>0</v>
      </c>
      <c r="DC2406" t="s">
        <v>402</v>
      </c>
      <c r="DD2406" t="s">
        <v>403</v>
      </c>
      <c r="DG2406">
        <v>1627127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"05/01/2025 15:11:13.118"</f>
        <v>05/01/2025 15:11:13.118</v>
      </c>
      <c r="C2407" t="str">
        <f t="shared" si="938"/>
        <v>FFDFD3C0</v>
      </c>
      <c r="D2407" t="s">
        <v>143</v>
      </c>
      <c r="E2407" t="str">
        <f>"05"</f>
        <v>05</v>
      </c>
      <c r="H2407">
        <v>172</v>
      </c>
      <c r="I2407" t="s">
        <v>141</v>
      </c>
      <c r="J2407" t="s">
        <v>144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R2407" t="s">
        <v>127</v>
      </c>
      <c r="S2407" t="str">
        <f t="shared" si="952"/>
        <v>15:11:12.000</v>
      </c>
      <c r="T2407" t="str">
        <f t="shared" si="952"/>
        <v>15:11:12.000</v>
      </c>
      <c r="U2407" t="str">
        <f t="shared" si="939"/>
        <v>A68FCB</v>
      </c>
      <c r="V2407">
        <v>0</v>
      </c>
      <c r="W2407">
        <v>0</v>
      </c>
      <c r="X2407">
        <v>2</v>
      </c>
      <c r="Y2407">
        <v>0</v>
      </c>
      <c r="AA2407">
        <v>1</v>
      </c>
      <c r="AB2407">
        <v>8</v>
      </c>
      <c r="AC2407">
        <v>3</v>
      </c>
      <c r="AD2407">
        <v>0</v>
      </c>
      <c r="AE2407">
        <v>9</v>
      </c>
      <c r="AF2407" t="s">
        <v>138</v>
      </c>
      <c r="AG2407">
        <v>0</v>
      </c>
      <c r="AH2407">
        <v>3</v>
      </c>
      <c r="AI2407">
        <v>2</v>
      </c>
      <c r="AJ2407">
        <v>0</v>
      </c>
      <c r="AK2407" t="s">
        <v>816</v>
      </c>
      <c r="AL2407">
        <v>39.077618000000001</v>
      </c>
      <c r="AM2407" t="s">
        <v>817</v>
      </c>
      <c r="AN2407">
        <v>-121.039252</v>
      </c>
      <c r="AO2407">
        <v>25</v>
      </c>
      <c r="AP2407">
        <v>4600</v>
      </c>
      <c r="AQ2407" t="s">
        <v>131</v>
      </c>
      <c r="AR2407">
        <v>11</v>
      </c>
      <c r="AS2407">
        <v>88</v>
      </c>
      <c r="AT2407">
        <v>256</v>
      </c>
      <c r="BB2407" t="str">
        <f t="shared" si="940"/>
        <v>1200</v>
      </c>
      <c r="BC2407">
        <v>1</v>
      </c>
      <c r="BD2407" t="str">
        <f t="shared" si="941"/>
        <v xml:space="preserve">N52156  </v>
      </c>
      <c r="BE2407">
        <v>1</v>
      </c>
      <c r="BG2407">
        <v>0</v>
      </c>
      <c r="BH2407">
        <v>0</v>
      </c>
      <c r="BI2407">
        <v>0</v>
      </c>
      <c r="BJ2407">
        <v>4625</v>
      </c>
      <c r="BK2407">
        <v>25</v>
      </c>
      <c r="BL2407" t="s">
        <v>188</v>
      </c>
      <c r="BM2407">
        <v>1</v>
      </c>
      <c r="BN2407">
        <v>1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 t="shared" si="953"/>
        <v>15:11:12.856</v>
      </c>
      <c r="CF2407">
        <v>855790599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3</v>
      </c>
      <c r="CY2407">
        <v>7</v>
      </c>
      <c r="CZ2407" t="s">
        <v>133</v>
      </c>
      <c r="DA2407">
        <v>276</v>
      </c>
      <c r="DB2407">
        <v>0</v>
      </c>
      <c r="DC2407" t="s">
        <v>402</v>
      </c>
      <c r="DD2407" t="s">
        <v>403</v>
      </c>
      <c r="DG2407">
        <v>1627127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"05/01/2025 15:11:13.719"</f>
        <v>05/01/2025 15:11:13.719</v>
      </c>
      <c r="C2408" t="str">
        <f t="shared" si="938"/>
        <v>FFDFD3C0</v>
      </c>
      <c r="D2408" t="s">
        <v>143</v>
      </c>
      <c r="E2408" t="str">
        <f>"05"</f>
        <v>05</v>
      </c>
      <c r="H2408">
        <v>172</v>
      </c>
      <c r="I2408" t="s">
        <v>141</v>
      </c>
      <c r="J2408" t="s">
        <v>144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R2408" t="s">
        <v>127</v>
      </c>
      <c r="S2408" t="str">
        <f t="shared" ref="S2408:T2413" si="954">"15:11:13.000"</f>
        <v>15:11:13.000</v>
      </c>
      <c r="T2408" t="str">
        <f t="shared" si="954"/>
        <v>15:11:13.000</v>
      </c>
      <c r="U2408" t="str">
        <f t="shared" si="939"/>
        <v>A68FCB</v>
      </c>
      <c r="V2408">
        <v>0</v>
      </c>
      <c r="W2408">
        <v>0</v>
      </c>
      <c r="X2408">
        <v>2</v>
      </c>
      <c r="Y2408">
        <v>0</v>
      </c>
      <c r="AA2408">
        <v>1</v>
      </c>
      <c r="AB2408">
        <v>8</v>
      </c>
      <c r="AC2408">
        <v>3</v>
      </c>
      <c r="AD2408">
        <v>0</v>
      </c>
      <c r="AE2408">
        <v>9</v>
      </c>
      <c r="AF2408" t="s">
        <v>138</v>
      </c>
      <c r="AG2408">
        <v>0</v>
      </c>
      <c r="AH2408">
        <v>3</v>
      </c>
      <c r="AI2408">
        <v>2</v>
      </c>
      <c r="AJ2408">
        <v>0</v>
      </c>
      <c r="AK2408" t="s">
        <v>818</v>
      </c>
      <c r="AL2408">
        <v>39.078026000000001</v>
      </c>
      <c r="AM2408" t="s">
        <v>819</v>
      </c>
      <c r="AN2408">
        <v>-121.03916599999999</v>
      </c>
      <c r="AO2408">
        <v>25</v>
      </c>
      <c r="AP2408">
        <v>4600</v>
      </c>
      <c r="AQ2408" t="s">
        <v>131</v>
      </c>
      <c r="AR2408">
        <v>12</v>
      </c>
      <c r="AS2408">
        <v>87</v>
      </c>
      <c r="AT2408">
        <v>320</v>
      </c>
      <c r="BB2408" t="str">
        <f t="shared" si="940"/>
        <v>1200</v>
      </c>
      <c r="BC2408">
        <v>1</v>
      </c>
      <c r="BD2408" t="str">
        <f t="shared" si="941"/>
        <v xml:space="preserve">N52156  </v>
      </c>
      <c r="BE2408">
        <v>1</v>
      </c>
      <c r="BG2408">
        <v>0</v>
      </c>
      <c r="BH2408">
        <v>0</v>
      </c>
      <c r="BI2408">
        <v>0</v>
      </c>
      <c r="BJ2408">
        <v>4650</v>
      </c>
      <c r="BK2408">
        <v>50</v>
      </c>
      <c r="BL2408" t="s">
        <v>188</v>
      </c>
      <c r="BM2408">
        <v>1</v>
      </c>
      <c r="BN2408">
        <v>1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 t="shared" ref="CE2408:CE2413" si="955">"15:11:13.519"</f>
        <v>15:11:13.519</v>
      </c>
      <c r="CF2408">
        <v>519039839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3</v>
      </c>
      <c r="CY2408">
        <v>7</v>
      </c>
      <c r="CZ2408" t="s">
        <v>133</v>
      </c>
      <c r="DA2408">
        <v>276</v>
      </c>
      <c r="DB2408">
        <v>0</v>
      </c>
      <c r="DC2408" t="s">
        <v>402</v>
      </c>
      <c r="DD2408" t="s">
        <v>403</v>
      </c>
      <c r="DG2408">
        <v>1627133</v>
      </c>
      <c r="DI2408">
        <v>1</v>
      </c>
      <c r="DJ2408">
        <v>0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"05/01/2025 15:11:13.738"</f>
        <v>05/01/2025 15:11:13.738</v>
      </c>
      <c r="C2409" t="str">
        <f t="shared" si="938"/>
        <v>FFDFD3C0</v>
      </c>
      <c r="D2409" t="s">
        <v>140</v>
      </c>
      <c r="E2409" t="str">
        <f>"13"</f>
        <v>13</v>
      </c>
      <c r="F2409">
        <v>1019</v>
      </c>
      <c r="G2409" t="s">
        <v>141</v>
      </c>
      <c r="J2409" t="s">
        <v>142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R2409" t="s">
        <v>127</v>
      </c>
      <c r="S2409" t="str">
        <f t="shared" si="954"/>
        <v>15:11:13.000</v>
      </c>
      <c r="T2409" t="str">
        <f t="shared" si="954"/>
        <v>15:11:13.000</v>
      </c>
      <c r="U2409" t="str">
        <f t="shared" si="939"/>
        <v>A68FCB</v>
      </c>
      <c r="V2409">
        <v>0</v>
      </c>
      <c r="W2409">
        <v>0</v>
      </c>
      <c r="X2409">
        <v>2</v>
      </c>
      <c r="Y2409">
        <v>0</v>
      </c>
      <c r="AA2409">
        <v>1</v>
      </c>
      <c r="AB2409">
        <v>8</v>
      </c>
      <c r="AC2409">
        <v>3</v>
      </c>
      <c r="AD2409">
        <v>0</v>
      </c>
      <c r="AE2409">
        <v>9</v>
      </c>
      <c r="AF2409" t="s">
        <v>138</v>
      </c>
      <c r="AG2409">
        <v>0</v>
      </c>
      <c r="AH2409">
        <v>3</v>
      </c>
      <c r="AI2409">
        <v>2</v>
      </c>
      <c r="AJ2409">
        <v>0</v>
      </c>
      <c r="AK2409" t="s">
        <v>818</v>
      </c>
      <c r="AL2409">
        <v>39.078026000000001</v>
      </c>
      <c r="AM2409" t="s">
        <v>819</v>
      </c>
      <c r="AN2409">
        <v>-121.03916599999999</v>
      </c>
      <c r="AO2409">
        <v>25</v>
      </c>
      <c r="AP2409">
        <v>4600</v>
      </c>
      <c r="AQ2409" t="s">
        <v>131</v>
      </c>
      <c r="AR2409">
        <v>12</v>
      </c>
      <c r="AS2409">
        <v>87</v>
      </c>
      <c r="AT2409">
        <v>320</v>
      </c>
      <c r="BB2409" t="str">
        <f t="shared" si="940"/>
        <v>1200</v>
      </c>
      <c r="BC2409">
        <v>1</v>
      </c>
      <c r="BD2409" t="str">
        <f t="shared" si="941"/>
        <v xml:space="preserve">N52156  </v>
      </c>
      <c r="BE2409">
        <v>1</v>
      </c>
      <c r="BG2409">
        <v>0</v>
      </c>
      <c r="BH2409">
        <v>0</v>
      </c>
      <c r="BI2409">
        <v>0</v>
      </c>
      <c r="BJ2409">
        <v>4650</v>
      </c>
      <c r="BK2409">
        <v>50</v>
      </c>
      <c r="BL2409" t="s">
        <v>188</v>
      </c>
      <c r="BM2409">
        <v>1</v>
      </c>
      <c r="BN2409">
        <v>1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 t="shared" si="955"/>
        <v>15:11:13.519</v>
      </c>
      <c r="CF2409">
        <v>519039839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3</v>
      </c>
      <c r="CY2409">
        <v>7</v>
      </c>
      <c r="CZ2409" t="s">
        <v>133</v>
      </c>
      <c r="DA2409">
        <v>276</v>
      </c>
      <c r="DB2409">
        <v>0</v>
      </c>
      <c r="DC2409" t="s">
        <v>402</v>
      </c>
      <c r="DD2409" t="s">
        <v>403</v>
      </c>
      <c r="DG2409">
        <v>1627133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"05/01/2025 15:11:13.746"</f>
        <v>05/01/2025 15:11:13.746</v>
      </c>
      <c r="C2410" t="str">
        <f t="shared" si="938"/>
        <v>FFDFD3C0</v>
      </c>
      <c r="D2410" t="s">
        <v>124</v>
      </c>
      <c r="E2410" t="str">
        <f>"06"</f>
        <v>06</v>
      </c>
      <c r="F2410">
        <v>2006</v>
      </c>
      <c r="G2410" t="s">
        <v>125</v>
      </c>
      <c r="J2410" t="s">
        <v>126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R2410" t="s">
        <v>127</v>
      </c>
      <c r="S2410" t="str">
        <f t="shared" si="954"/>
        <v>15:11:13.000</v>
      </c>
      <c r="T2410" t="str">
        <f t="shared" si="954"/>
        <v>15:11:13.000</v>
      </c>
      <c r="U2410" t="str">
        <f t="shared" si="939"/>
        <v>A68FCB</v>
      </c>
      <c r="V2410">
        <v>0</v>
      </c>
      <c r="W2410">
        <v>0</v>
      </c>
      <c r="X2410">
        <v>2</v>
      </c>
      <c r="Y2410">
        <v>0</v>
      </c>
      <c r="AA2410">
        <v>1</v>
      </c>
      <c r="AB2410">
        <v>8</v>
      </c>
      <c r="AC2410">
        <v>3</v>
      </c>
      <c r="AD2410">
        <v>0</v>
      </c>
      <c r="AE2410">
        <v>9</v>
      </c>
      <c r="AF2410" t="s">
        <v>138</v>
      </c>
      <c r="AG2410">
        <v>0</v>
      </c>
      <c r="AH2410">
        <v>3</v>
      </c>
      <c r="AI2410">
        <v>2</v>
      </c>
      <c r="AJ2410">
        <v>0</v>
      </c>
      <c r="AK2410" t="s">
        <v>818</v>
      </c>
      <c r="AL2410">
        <v>39.078026000000001</v>
      </c>
      <c r="AM2410" t="s">
        <v>819</v>
      </c>
      <c r="AN2410">
        <v>-121.03916599999999</v>
      </c>
      <c r="AO2410">
        <v>25</v>
      </c>
      <c r="AP2410">
        <v>4600</v>
      </c>
      <c r="AQ2410" t="s">
        <v>131</v>
      </c>
      <c r="AR2410">
        <v>12</v>
      </c>
      <c r="AS2410">
        <v>87</v>
      </c>
      <c r="AT2410">
        <v>320</v>
      </c>
      <c r="BB2410" t="str">
        <f t="shared" si="940"/>
        <v>1200</v>
      </c>
      <c r="BC2410">
        <v>1</v>
      </c>
      <c r="BD2410" t="str">
        <f t="shared" si="941"/>
        <v xml:space="preserve">N52156  </v>
      </c>
      <c r="BE2410">
        <v>1</v>
      </c>
      <c r="BG2410">
        <v>0</v>
      </c>
      <c r="BH2410">
        <v>0</v>
      </c>
      <c r="BI2410">
        <v>0</v>
      </c>
      <c r="BJ2410">
        <v>4650</v>
      </c>
      <c r="BK2410">
        <v>50</v>
      </c>
      <c r="BL2410" t="s">
        <v>188</v>
      </c>
      <c r="BM2410">
        <v>1</v>
      </c>
      <c r="BN2410">
        <v>1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 t="shared" si="955"/>
        <v>15:11:13.519</v>
      </c>
      <c r="CF2410">
        <v>519039839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3</v>
      </c>
      <c r="CY2410">
        <v>7</v>
      </c>
      <c r="CZ2410" t="s">
        <v>133</v>
      </c>
      <c r="DA2410">
        <v>276</v>
      </c>
      <c r="DB2410">
        <v>0</v>
      </c>
      <c r="DC2410" t="s">
        <v>402</v>
      </c>
      <c r="DD2410" t="s">
        <v>403</v>
      </c>
      <c r="DG2410">
        <v>1627133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"05/01/2025 15:11:13.754"</f>
        <v>05/01/2025 15:11:13.754</v>
      </c>
      <c r="C2411" t="str">
        <f t="shared" si="938"/>
        <v>FFDFD3C0</v>
      </c>
      <c r="D2411" t="s">
        <v>145</v>
      </c>
      <c r="E2411" t="str">
        <f>"05"</f>
        <v>05</v>
      </c>
      <c r="H2411">
        <v>47</v>
      </c>
      <c r="I2411" t="s">
        <v>146</v>
      </c>
      <c r="J2411" t="s">
        <v>138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R2411" t="s">
        <v>127</v>
      </c>
      <c r="S2411" t="str">
        <f t="shared" si="954"/>
        <v>15:11:13.000</v>
      </c>
      <c r="T2411" t="str">
        <f t="shared" si="954"/>
        <v>15:11:13.000</v>
      </c>
      <c r="U2411" t="str">
        <f t="shared" si="939"/>
        <v>A68FCB</v>
      </c>
      <c r="V2411">
        <v>0</v>
      </c>
      <c r="W2411">
        <v>0</v>
      </c>
      <c r="X2411">
        <v>2</v>
      </c>
      <c r="Y2411">
        <v>0</v>
      </c>
      <c r="AA2411">
        <v>1</v>
      </c>
      <c r="AB2411">
        <v>8</v>
      </c>
      <c r="AC2411">
        <v>3</v>
      </c>
      <c r="AD2411">
        <v>0</v>
      </c>
      <c r="AE2411">
        <v>9</v>
      </c>
      <c r="AF2411" t="s">
        <v>138</v>
      </c>
      <c r="AG2411">
        <v>0</v>
      </c>
      <c r="AH2411">
        <v>3</v>
      </c>
      <c r="AI2411">
        <v>2</v>
      </c>
      <c r="AJ2411">
        <v>0</v>
      </c>
      <c r="AK2411" t="s">
        <v>818</v>
      </c>
      <c r="AL2411">
        <v>39.078026000000001</v>
      </c>
      <c r="AM2411" t="s">
        <v>819</v>
      </c>
      <c r="AN2411">
        <v>-121.03916599999999</v>
      </c>
      <c r="AO2411">
        <v>25</v>
      </c>
      <c r="AP2411">
        <v>4600</v>
      </c>
      <c r="AQ2411" t="s">
        <v>131</v>
      </c>
      <c r="AR2411">
        <v>12</v>
      </c>
      <c r="AS2411">
        <v>87</v>
      </c>
      <c r="AT2411">
        <v>320</v>
      </c>
      <c r="BB2411" t="str">
        <f t="shared" si="940"/>
        <v>1200</v>
      </c>
      <c r="BC2411">
        <v>1</v>
      </c>
      <c r="BD2411" t="str">
        <f t="shared" si="941"/>
        <v xml:space="preserve">N52156  </v>
      </c>
      <c r="BE2411">
        <v>1</v>
      </c>
      <c r="BG2411">
        <v>0</v>
      </c>
      <c r="BH2411">
        <v>0</v>
      </c>
      <c r="BI2411">
        <v>0</v>
      </c>
      <c r="BJ2411">
        <v>4650</v>
      </c>
      <c r="BK2411">
        <v>50</v>
      </c>
      <c r="BL2411" t="s">
        <v>188</v>
      </c>
      <c r="BM2411">
        <v>1</v>
      </c>
      <c r="BN2411">
        <v>1</v>
      </c>
      <c r="BO2411">
        <v>0</v>
      </c>
      <c r="BP2411">
        <v>0</v>
      </c>
      <c r="BS2411">
        <v>0</v>
      </c>
      <c r="BT2411">
        <v>0</v>
      </c>
      <c r="BU2411">
        <v>0</v>
      </c>
      <c r="CE2411" t="str">
        <f t="shared" si="955"/>
        <v>15:11:13.519</v>
      </c>
      <c r="CF2411">
        <v>519039839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3</v>
      </c>
      <c r="CY2411">
        <v>7</v>
      </c>
      <c r="CZ2411" t="s">
        <v>133</v>
      </c>
      <c r="DA2411">
        <v>276</v>
      </c>
      <c r="DB2411">
        <v>0</v>
      </c>
      <c r="DC2411" t="s">
        <v>402</v>
      </c>
      <c r="DD2411" t="s">
        <v>403</v>
      </c>
      <c r="DG2411">
        <v>1627133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"05/01/2025 15:11:13.754"</f>
        <v>05/01/2025 15:11:13.754</v>
      </c>
      <c r="C2412" t="str">
        <f t="shared" si="938"/>
        <v>FFDFD3C0</v>
      </c>
      <c r="D2412" t="s">
        <v>145</v>
      </c>
      <c r="E2412" t="str">
        <f>"09"</f>
        <v>09</v>
      </c>
      <c r="H2412">
        <v>51</v>
      </c>
      <c r="I2412" t="s">
        <v>147</v>
      </c>
      <c r="J2412" t="s">
        <v>138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R2412" t="s">
        <v>127</v>
      </c>
      <c r="S2412" t="str">
        <f t="shared" si="954"/>
        <v>15:11:13.000</v>
      </c>
      <c r="T2412" t="str">
        <f t="shared" si="954"/>
        <v>15:11:13.000</v>
      </c>
      <c r="U2412" t="str">
        <f t="shared" si="939"/>
        <v>A68FCB</v>
      </c>
      <c r="V2412">
        <v>0</v>
      </c>
      <c r="W2412">
        <v>0</v>
      </c>
      <c r="X2412">
        <v>2</v>
      </c>
      <c r="Y2412">
        <v>0</v>
      </c>
      <c r="AA2412">
        <v>1</v>
      </c>
      <c r="AB2412">
        <v>8</v>
      </c>
      <c r="AC2412">
        <v>3</v>
      </c>
      <c r="AD2412">
        <v>0</v>
      </c>
      <c r="AE2412">
        <v>9</v>
      </c>
      <c r="AF2412" t="s">
        <v>138</v>
      </c>
      <c r="AG2412">
        <v>0</v>
      </c>
      <c r="AH2412">
        <v>3</v>
      </c>
      <c r="AI2412">
        <v>2</v>
      </c>
      <c r="AJ2412">
        <v>0</v>
      </c>
      <c r="AK2412" t="s">
        <v>818</v>
      </c>
      <c r="AL2412">
        <v>39.078026000000001</v>
      </c>
      <c r="AM2412" t="s">
        <v>819</v>
      </c>
      <c r="AN2412">
        <v>-121.03916599999999</v>
      </c>
      <c r="AO2412">
        <v>25</v>
      </c>
      <c r="AP2412">
        <v>4600</v>
      </c>
      <c r="AQ2412" t="s">
        <v>131</v>
      </c>
      <c r="AR2412">
        <v>12</v>
      </c>
      <c r="AS2412">
        <v>87</v>
      </c>
      <c r="AT2412">
        <v>320</v>
      </c>
      <c r="BB2412" t="str">
        <f t="shared" si="940"/>
        <v>1200</v>
      </c>
      <c r="BC2412">
        <v>1</v>
      </c>
      <c r="BD2412" t="str">
        <f t="shared" si="941"/>
        <v xml:space="preserve">N52156  </v>
      </c>
      <c r="BE2412">
        <v>1</v>
      </c>
      <c r="BG2412">
        <v>0</v>
      </c>
      <c r="BH2412">
        <v>0</v>
      </c>
      <c r="BI2412">
        <v>0</v>
      </c>
      <c r="BJ2412">
        <v>4650</v>
      </c>
      <c r="BK2412">
        <v>50</v>
      </c>
      <c r="BL2412" t="s">
        <v>188</v>
      </c>
      <c r="BM2412">
        <v>1</v>
      </c>
      <c r="BN2412">
        <v>1</v>
      </c>
      <c r="BO2412">
        <v>0</v>
      </c>
      <c r="BP2412">
        <v>0</v>
      </c>
      <c r="BS2412">
        <v>0</v>
      </c>
      <c r="BT2412">
        <v>0</v>
      </c>
      <c r="BU2412">
        <v>0</v>
      </c>
      <c r="CE2412" t="str">
        <f t="shared" si="955"/>
        <v>15:11:13.519</v>
      </c>
      <c r="CF2412">
        <v>519039839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3</v>
      </c>
      <c r="CY2412">
        <v>7</v>
      </c>
      <c r="CZ2412" t="s">
        <v>133</v>
      </c>
      <c r="DA2412">
        <v>276</v>
      </c>
      <c r="DB2412">
        <v>0</v>
      </c>
      <c r="DC2412" t="s">
        <v>402</v>
      </c>
      <c r="DD2412" t="s">
        <v>403</v>
      </c>
      <c r="DG2412">
        <v>1627133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"05/01/2025 15:11:13.763"</f>
        <v>05/01/2025 15:11:13.763</v>
      </c>
      <c r="C2413" t="str">
        <f t="shared" si="938"/>
        <v>FFDFD3C0</v>
      </c>
      <c r="D2413" t="s">
        <v>136</v>
      </c>
      <c r="E2413" t="str">
        <f>"20"</f>
        <v>20</v>
      </c>
      <c r="H2413">
        <v>400</v>
      </c>
      <c r="I2413" t="s">
        <v>137</v>
      </c>
      <c r="J2413" t="s">
        <v>138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R2413" t="s">
        <v>127</v>
      </c>
      <c r="S2413" t="str">
        <f t="shared" si="954"/>
        <v>15:11:13.000</v>
      </c>
      <c r="T2413" t="str">
        <f t="shared" si="954"/>
        <v>15:11:13.000</v>
      </c>
      <c r="U2413" t="str">
        <f t="shared" si="939"/>
        <v>A68FCB</v>
      </c>
      <c r="V2413">
        <v>0</v>
      </c>
      <c r="W2413">
        <v>0</v>
      </c>
      <c r="X2413">
        <v>2</v>
      </c>
      <c r="Y2413">
        <v>0</v>
      </c>
      <c r="AA2413">
        <v>1</v>
      </c>
      <c r="AB2413">
        <v>8</v>
      </c>
      <c r="AC2413">
        <v>3</v>
      </c>
      <c r="AD2413">
        <v>0</v>
      </c>
      <c r="AE2413">
        <v>9</v>
      </c>
      <c r="AF2413" t="s">
        <v>138</v>
      </c>
      <c r="AG2413">
        <v>0</v>
      </c>
      <c r="AH2413">
        <v>3</v>
      </c>
      <c r="AI2413">
        <v>2</v>
      </c>
      <c r="AJ2413">
        <v>0</v>
      </c>
      <c r="AK2413" t="s">
        <v>818</v>
      </c>
      <c r="AL2413">
        <v>39.078026000000001</v>
      </c>
      <c r="AM2413" t="s">
        <v>819</v>
      </c>
      <c r="AN2413">
        <v>-121.03916599999999</v>
      </c>
      <c r="AO2413">
        <v>25</v>
      </c>
      <c r="AP2413">
        <v>4600</v>
      </c>
      <c r="AQ2413" t="s">
        <v>131</v>
      </c>
      <c r="AR2413">
        <v>12</v>
      </c>
      <c r="AS2413">
        <v>87</v>
      </c>
      <c r="AT2413">
        <v>320</v>
      </c>
      <c r="BB2413" t="str">
        <f t="shared" si="940"/>
        <v>1200</v>
      </c>
      <c r="BC2413">
        <v>1</v>
      </c>
      <c r="BD2413" t="str">
        <f t="shared" si="941"/>
        <v xml:space="preserve">N52156  </v>
      </c>
      <c r="BE2413">
        <v>1</v>
      </c>
      <c r="BG2413">
        <v>0</v>
      </c>
      <c r="BH2413">
        <v>0</v>
      </c>
      <c r="BI2413">
        <v>0</v>
      </c>
      <c r="BJ2413">
        <v>4650</v>
      </c>
      <c r="BK2413">
        <v>50</v>
      </c>
      <c r="BL2413" t="s">
        <v>188</v>
      </c>
      <c r="BM2413">
        <v>1</v>
      </c>
      <c r="BN2413">
        <v>1</v>
      </c>
      <c r="BO2413">
        <v>0</v>
      </c>
      <c r="BP2413">
        <v>0</v>
      </c>
      <c r="BS2413">
        <v>0</v>
      </c>
      <c r="BT2413">
        <v>0</v>
      </c>
      <c r="BU2413">
        <v>0</v>
      </c>
      <c r="CE2413" t="str">
        <f t="shared" si="955"/>
        <v>15:11:13.519</v>
      </c>
      <c r="CF2413">
        <v>519039839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3</v>
      </c>
      <c r="CY2413">
        <v>7</v>
      </c>
      <c r="CZ2413" t="s">
        <v>133</v>
      </c>
      <c r="DA2413">
        <v>276</v>
      </c>
      <c r="DB2413">
        <v>0</v>
      </c>
      <c r="DC2413" t="s">
        <v>402</v>
      </c>
      <c r="DD2413" t="s">
        <v>403</v>
      </c>
      <c r="DG2413">
        <v>1627133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"05/01/2025 15:11:15.157"</f>
        <v>05/01/2025 15:11:15.157</v>
      </c>
      <c r="C2414" t="str">
        <f t="shared" si="938"/>
        <v>FFDFD3C0</v>
      </c>
      <c r="D2414" t="s">
        <v>145</v>
      </c>
      <c r="E2414" t="str">
        <f>"09"</f>
        <v>09</v>
      </c>
      <c r="H2414">
        <v>51</v>
      </c>
      <c r="I2414" t="s">
        <v>147</v>
      </c>
      <c r="J2414" t="s">
        <v>138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R2414" t="s">
        <v>127</v>
      </c>
      <c r="S2414" t="str">
        <f t="shared" ref="S2414:T2419" si="956">"15:11:14.000"</f>
        <v>15:11:14.000</v>
      </c>
      <c r="T2414" t="str">
        <f t="shared" si="956"/>
        <v>15:11:14.000</v>
      </c>
      <c r="U2414" t="str">
        <f t="shared" si="939"/>
        <v>A68FCB</v>
      </c>
      <c r="V2414">
        <v>0</v>
      </c>
      <c r="W2414">
        <v>0</v>
      </c>
      <c r="X2414">
        <v>2</v>
      </c>
      <c r="Y2414">
        <v>0</v>
      </c>
      <c r="AA2414">
        <v>1</v>
      </c>
      <c r="AB2414">
        <v>8</v>
      </c>
      <c r="AC2414">
        <v>3</v>
      </c>
      <c r="AD2414">
        <v>0</v>
      </c>
      <c r="AE2414">
        <v>9</v>
      </c>
      <c r="AF2414" t="s">
        <v>138</v>
      </c>
      <c r="AG2414">
        <v>0</v>
      </c>
      <c r="AH2414">
        <v>3</v>
      </c>
      <c r="AI2414">
        <v>2</v>
      </c>
      <c r="AJ2414">
        <v>0</v>
      </c>
      <c r="AK2414" t="s">
        <v>820</v>
      </c>
      <c r="AL2414">
        <v>39.078434000000001</v>
      </c>
      <c r="AM2414" t="s">
        <v>821</v>
      </c>
      <c r="AN2414">
        <v>-121.039124</v>
      </c>
      <c r="AO2414">
        <v>25</v>
      </c>
      <c r="AP2414">
        <v>4600</v>
      </c>
      <c r="AQ2414" t="s">
        <v>131</v>
      </c>
      <c r="AR2414">
        <v>12</v>
      </c>
      <c r="AS2414">
        <v>86</v>
      </c>
      <c r="AT2414">
        <v>384</v>
      </c>
      <c r="BB2414" t="str">
        <f t="shared" si="940"/>
        <v>1200</v>
      </c>
      <c r="BC2414">
        <v>1</v>
      </c>
      <c r="BD2414" t="str">
        <f t="shared" si="941"/>
        <v xml:space="preserve">N52156  </v>
      </c>
      <c r="BE2414">
        <v>1</v>
      </c>
      <c r="BG2414">
        <v>0</v>
      </c>
      <c r="BH2414">
        <v>0</v>
      </c>
      <c r="BI2414">
        <v>0</v>
      </c>
      <c r="BJ2414">
        <v>4650</v>
      </c>
      <c r="BK2414">
        <v>50</v>
      </c>
      <c r="BL2414" t="s">
        <v>188</v>
      </c>
      <c r="BM2414">
        <v>1</v>
      </c>
      <c r="BN2414">
        <v>1</v>
      </c>
      <c r="BO2414">
        <v>0</v>
      </c>
      <c r="BP2414">
        <v>0</v>
      </c>
      <c r="BS2414">
        <v>0</v>
      </c>
      <c r="BT2414">
        <v>0</v>
      </c>
      <c r="BU2414">
        <v>0</v>
      </c>
      <c r="CE2414" t="str">
        <f t="shared" ref="CE2414:CE2419" si="957">"15:11:14.960"</f>
        <v>15:11:14.960</v>
      </c>
      <c r="CF2414">
        <v>959721196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3</v>
      </c>
      <c r="CY2414">
        <v>7</v>
      </c>
      <c r="CZ2414" t="s">
        <v>133</v>
      </c>
      <c r="DA2414">
        <v>275</v>
      </c>
      <c r="DB2414">
        <v>0</v>
      </c>
      <c r="DC2414" t="s">
        <v>134</v>
      </c>
      <c r="DD2414" t="s">
        <v>135</v>
      </c>
      <c r="DG2414">
        <v>3321702</v>
      </c>
      <c r="DI2414">
        <v>1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"05/01/2025 15:11:15.157"</f>
        <v>05/01/2025 15:11:15.157</v>
      </c>
      <c r="C2415" t="str">
        <f t="shared" si="938"/>
        <v>FFDFD3C0</v>
      </c>
      <c r="D2415" t="s">
        <v>145</v>
      </c>
      <c r="E2415" t="str">
        <f>"05"</f>
        <v>05</v>
      </c>
      <c r="H2415">
        <v>47</v>
      </c>
      <c r="I2415" t="s">
        <v>146</v>
      </c>
      <c r="J2415" t="s">
        <v>138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R2415" t="s">
        <v>127</v>
      </c>
      <c r="S2415" t="str">
        <f t="shared" si="956"/>
        <v>15:11:14.000</v>
      </c>
      <c r="T2415" t="str">
        <f t="shared" si="956"/>
        <v>15:11:14.000</v>
      </c>
      <c r="U2415" t="str">
        <f t="shared" si="939"/>
        <v>A68FCB</v>
      </c>
      <c r="V2415">
        <v>0</v>
      </c>
      <c r="W2415">
        <v>0</v>
      </c>
      <c r="X2415">
        <v>2</v>
      </c>
      <c r="Y2415">
        <v>0</v>
      </c>
      <c r="AA2415">
        <v>1</v>
      </c>
      <c r="AB2415">
        <v>8</v>
      </c>
      <c r="AC2415">
        <v>3</v>
      </c>
      <c r="AD2415">
        <v>0</v>
      </c>
      <c r="AE2415">
        <v>9</v>
      </c>
      <c r="AF2415" t="s">
        <v>138</v>
      </c>
      <c r="AG2415">
        <v>0</v>
      </c>
      <c r="AH2415">
        <v>3</v>
      </c>
      <c r="AI2415">
        <v>2</v>
      </c>
      <c r="AJ2415">
        <v>0</v>
      </c>
      <c r="AK2415" t="s">
        <v>820</v>
      </c>
      <c r="AL2415">
        <v>39.078434000000001</v>
      </c>
      <c r="AM2415" t="s">
        <v>821</v>
      </c>
      <c r="AN2415">
        <v>-121.039124</v>
      </c>
      <c r="AO2415">
        <v>25</v>
      </c>
      <c r="AP2415">
        <v>4600</v>
      </c>
      <c r="AQ2415" t="s">
        <v>131</v>
      </c>
      <c r="AR2415">
        <v>12</v>
      </c>
      <c r="AS2415">
        <v>86</v>
      </c>
      <c r="AT2415">
        <v>384</v>
      </c>
      <c r="BB2415" t="str">
        <f t="shared" si="940"/>
        <v>1200</v>
      </c>
      <c r="BC2415">
        <v>1</v>
      </c>
      <c r="BD2415" t="str">
        <f t="shared" si="941"/>
        <v xml:space="preserve">N52156  </v>
      </c>
      <c r="BE2415">
        <v>1</v>
      </c>
      <c r="BG2415">
        <v>0</v>
      </c>
      <c r="BH2415">
        <v>0</v>
      </c>
      <c r="BI2415">
        <v>0</v>
      </c>
      <c r="BJ2415">
        <v>4650</v>
      </c>
      <c r="BK2415">
        <v>50</v>
      </c>
      <c r="BL2415" t="s">
        <v>188</v>
      </c>
      <c r="BM2415">
        <v>1</v>
      </c>
      <c r="BN2415">
        <v>1</v>
      </c>
      <c r="BO2415">
        <v>0</v>
      </c>
      <c r="BP2415">
        <v>0</v>
      </c>
      <c r="BS2415">
        <v>0</v>
      </c>
      <c r="BT2415">
        <v>0</v>
      </c>
      <c r="BU2415">
        <v>0</v>
      </c>
      <c r="CE2415" t="str">
        <f t="shared" si="957"/>
        <v>15:11:14.960</v>
      </c>
      <c r="CF2415">
        <v>959721196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3</v>
      </c>
      <c r="CY2415">
        <v>7</v>
      </c>
      <c r="CZ2415" t="s">
        <v>133</v>
      </c>
      <c r="DA2415">
        <v>275</v>
      </c>
      <c r="DB2415">
        <v>0</v>
      </c>
      <c r="DC2415" t="s">
        <v>134</v>
      </c>
      <c r="DD2415" t="s">
        <v>135</v>
      </c>
      <c r="DG2415">
        <v>3321702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"05/01/2025 15:11:15.166"</f>
        <v>05/01/2025 15:11:15.166</v>
      </c>
      <c r="C2416" t="str">
        <f t="shared" si="938"/>
        <v>FFDFD3C0</v>
      </c>
      <c r="D2416" t="s">
        <v>136</v>
      </c>
      <c r="E2416" t="str">
        <f>"20"</f>
        <v>20</v>
      </c>
      <c r="H2416">
        <v>400</v>
      </c>
      <c r="I2416" t="s">
        <v>137</v>
      </c>
      <c r="J2416" t="s">
        <v>138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R2416" t="s">
        <v>127</v>
      </c>
      <c r="S2416" t="str">
        <f t="shared" si="956"/>
        <v>15:11:14.000</v>
      </c>
      <c r="T2416" t="str">
        <f t="shared" si="956"/>
        <v>15:11:14.000</v>
      </c>
      <c r="U2416" t="str">
        <f t="shared" si="939"/>
        <v>A68FCB</v>
      </c>
      <c r="V2416">
        <v>0</v>
      </c>
      <c r="W2416">
        <v>0</v>
      </c>
      <c r="X2416">
        <v>2</v>
      </c>
      <c r="Y2416">
        <v>0</v>
      </c>
      <c r="AA2416">
        <v>1</v>
      </c>
      <c r="AB2416">
        <v>8</v>
      </c>
      <c r="AC2416">
        <v>3</v>
      </c>
      <c r="AD2416">
        <v>0</v>
      </c>
      <c r="AE2416">
        <v>9</v>
      </c>
      <c r="AF2416" t="s">
        <v>138</v>
      </c>
      <c r="AG2416">
        <v>0</v>
      </c>
      <c r="AH2416">
        <v>3</v>
      </c>
      <c r="AI2416">
        <v>2</v>
      </c>
      <c r="AJ2416">
        <v>0</v>
      </c>
      <c r="AK2416" t="s">
        <v>820</v>
      </c>
      <c r="AL2416">
        <v>39.078434000000001</v>
      </c>
      <c r="AM2416" t="s">
        <v>821</v>
      </c>
      <c r="AN2416">
        <v>-121.039124</v>
      </c>
      <c r="AO2416">
        <v>25</v>
      </c>
      <c r="AP2416">
        <v>4600</v>
      </c>
      <c r="AQ2416" t="s">
        <v>131</v>
      </c>
      <c r="AR2416">
        <v>12</v>
      </c>
      <c r="AS2416">
        <v>86</v>
      </c>
      <c r="AT2416">
        <v>384</v>
      </c>
      <c r="BB2416" t="str">
        <f t="shared" si="940"/>
        <v>1200</v>
      </c>
      <c r="BC2416">
        <v>1</v>
      </c>
      <c r="BD2416" t="str">
        <f t="shared" si="941"/>
        <v xml:space="preserve">N52156  </v>
      </c>
      <c r="BE2416">
        <v>1</v>
      </c>
      <c r="BG2416">
        <v>0</v>
      </c>
      <c r="BH2416">
        <v>0</v>
      </c>
      <c r="BI2416">
        <v>0</v>
      </c>
      <c r="BJ2416">
        <v>4650</v>
      </c>
      <c r="BK2416">
        <v>50</v>
      </c>
      <c r="BL2416" t="s">
        <v>188</v>
      </c>
      <c r="BM2416">
        <v>1</v>
      </c>
      <c r="BN2416">
        <v>1</v>
      </c>
      <c r="BO2416">
        <v>0</v>
      </c>
      <c r="BP2416">
        <v>0</v>
      </c>
      <c r="BS2416">
        <v>0</v>
      </c>
      <c r="BT2416">
        <v>0</v>
      </c>
      <c r="BU2416">
        <v>0</v>
      </c>
      <c r="CE2416" t="str">
        <f t="shared" si="957"/>
        <v>15:11:14.960</v>
      </c>
      <c r="CF2416">
        <v>959721196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3</v>
      </c>
      <c r="CY2416">
        <v>7</v>
      </c>
      <c r="CZ2416" t="s">
        <v>133</v>
      </c>
      <c r="DA2416">
        <v>275</v>
      </c>
      <c r="DB2416">
        <v>0</v>
      </c>
      <c r="DC2416" t="s">
        <v>134</v>
      </c>
      <c r="DD2416" t="s">
        <v>135</v>
      </c>
      <c r="DG2416">
        <v>3321702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"05/01/2025 15:11:15.172"</f>
        <v>05/01/2025 15:11:15.172</v>
      </c>
      <c r="C2417" t="str">
        <f t="shared" si="938"/>
        <v>FFDFD3C0</v>
      </c>
      <c r="D2417" t="s">
        <v>143</v>
      </c>
      <c r="E2417" t="str">
        <f>"05"</f>
        <v>05</v>
      </c>
      <c r="H2417">
        <v>172</v>
      </c>
      <c r="I2417" t="s">
        <v>141</v>
      </c>
      <c r="J2417" t="s">
        <v>144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R2417" t="s">
        <v>127</v>
      </c>
      <c r="S2417" t="str">
        <f t="shared" si="956"/>
        <v>15:11:14.000</v>
      </c>
      <c r="T2417" t="str">
        <f t="shared" si="956"/>
        <v>15:11:14.000</v>
      </c>
      <c r="U2417" t="str">
        <f t="shared" si="939"/>
        <v>A68FCB</v>
      </c>
      <c r="V2417">
        <v>0</v>
      </c>
      <c r="W2417">
        <v>0</v>
      </c>
      <c r="X2417">
        <v>2</v>
      </c>
      <c r="Y2417">
        <v>0</v>
      </c>
      <c r="AA2417">
        <v>1</v>
      </c>
      <c r="AB2417">
        <v>8</v>
      </c>
      <c r="AC2417">
        <v>3</v>
      </c>
      <c r="AD2417">
        <v>0</v>
      </c>
      <c r="AE2417">
        <v>9</v>
      </c>
      <c r="AF2417" t="s">
        <v>138</v>
      </c>
      <c r="AG2417">
        <v>0</v>
      </c>
      <c r="AH2417">
        <v>3</v>
      </c>
      <c r="AI2417">
        <v>2</v>
      </c>
      <c r="AJ2417">
        <v>0</v>
      </c>
      <c r="AK2417" t="s">
        <v>820</v>
      </c>
      <c r="AL2417">
        <v>39.078434000000001</v>
      </c>
      <c r="AM2417" t="s">
        <v>821</v>
      </c>
      <c r="AN2417">
        <v>-121.039124</v>
      </c>
      <c r="AO2417">
        <v>25</v>
      </c>
      <c r="AP2417">
        <v>4600</v>
      </c>
      <c r="AQ2417" t="s">
        <v>131</v>
      </c>
      <c r="AR2417">
        <v>12</v>
      </c>
      <c r="AS2417">
        <v>86</v>
      </c>
      <c r="AT2417">
        <v>384</v>
      </c>
      <c r="BB2417" t="str">
        <f t="shared" si="940"/>
        <v>1200</v>
      </c>
      <c r="BC2417">
        <v>1</v>
      </c>
      <c r="BD2417" t="str">
        <f t="shared" si="941"/>
        <v xml:space="preserve">N52156  </v>
      </c>
      <c r="BE2417">
        <v>1</v>
      </c>
      <c r="BG2417">
        <v>0</v>
      </c>
      <c r="BH2417">
        <v>0</v>
      </c>
      <c r="BI2417">
        <v>0</v>
      </c>
      <c r="BJ2417">
        <v>4650</v>
      </c>
      <c r="BK2417">
        <v>50</v>
      </c>
      <c r="BL2417" t="s">
        <v>188</v>
      </c>
      <c r="BM2417">
        <v>1</v>
      </c>
      <c r="BN2417">
        <v>1</v>
      </c>
      <c r="BO2417">
        <v>0</v>
      </c>
      <c r="BP2417">
        <v>0</v>
      </c>
      <c r="BS2417">
        <v>0</v>
      </c>
      <c r="BT2417">
        <v>0</v>
      </c>
      <c r="BU2417">
        <v>0</v>
      </c>
      <c r="CE2417" t="str">
        <f t="shared" si="957"/>
        <v>15:11:14.960</v>
      </c>
      <c r="CF2417">
        <v>959721196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3</v>
      </c>
      <c r="CY2417">
        <v>7</v>
      </c>
      <c r="CZ2417" t="s">
        <v>133</v>
      </c>
      <c r="DA2417">
        <v>275</v>
      </c>
      <c r="DB2417">
        <v>0</v>
      </c>
      <c r="DC2417" t="s">
        <v>134</v>
      </c>
      <c r="DD2417" t="s">
        <v>135</v>
      </c>
      <c r="DG2417">
        <v>3321702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"05/01/2025 15:11:15.191"</f>
        <v>05/01/2025 15:11:15.191</v>
      </c>
      <c r="C2418" t="str">
        <f t="shared" si="938"/>
        <v>FFDFD3C0</v>
      </c>
      <c r="D2418" t="s">
        <v>140</v>
      </c>
      <c r="E2418" t="str">
        <f>"13"</f>
        <v>13</v>
      </c>
      <c r="F2418">
        <v>1019</v>
      </c>
      <c r="G2418" t="s">
        <v>141</v>
      </c>
      <c r="J2418" t="s">
        <v>142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R2418" t="s">
        <v>127</v>
      </c>
      <c r="S2418" t="str">
        <f t="shared" si="956"/>
        <v>15:11:14.000</v>
      </c>
      <c r="T2418" t="str">
        <f t="shared" si="956"/>
        <v>15:11:14.000</v>
      </c>
      <c r="U2418" t="str">
        <f t="shared" si="939"/>
        <v>A68FCB</v>
      </c>
      <c r="V2418">
        <v>0</v>
      </c>
      <c r="W2418">
        <v>0</v>
      </c>
      <c r="X2418">
        <v>2</v>
      </c>
      <c r="Y2418">
        <v>0</v>
      </c>
      <c r="AA2418">
        <v>1</v>
      </c>
      <c r="AB2418">
        <v>8</v>
      </c>
      <c r="AC2418">
        <v>3</v>
      </c>
      <c r="AD2418">
        <v>0</v>
      </c>
      <c r="AE2418">
        <v>9</v>
      </c>
      <c r="AF2418" t="s">
        <v>138</v>
      </c>
      <c r="AG2418">
        <v>0</v>
      </c>
      <c r="AH2418">
        <v>3</v>
      </c>
      <c r="AI2418">
        <v>2</v>
      </c>
      <c r="AJ2418">
        <v>0</v>
      </c>
      <c r="AK2418" t="s">
        <v>820</v>
      </c>
      <c r="AL2418">
        <v>39.078434000000001</v>
      </c>
      <c r="AM2418" t="s">
        <v>821</v>
      </c>
      <c r="AN2418">
        <v>-121.039124</v>
      </c>
      <c r="AO2418">
        <v>25</v>
      </c>
      <c r="AP2418">
        <v>4600</v>
      </c>
      <c r="AQ2418" t="s">
        <v>131</v>
      </c>
      <c r="AR2418">
        <v>12</v>
      </c>
      <c r="AS2418">
        <v>86</v>
      </c>
      <c r="AT2418">
        <v>384</v>
      </c>
      <c r="BB2418" t="str">
        <f t="shared" si="940"/>
        <v>1200</v>
      </c>
      <c r="BC2418">
        <v>1</v>
      </c>
      <c r="BD2418" t="str">
        <f t="shared" si="941"/>
        <v xml:space="preserve">N52156  </v>
      </c>
      <c r="BE2418">
        <v>1</v>
      </c>
      <c r="BG2418">
        <v>0</v>
      </c>
      <c r="BH2418">
        <v>0</v>
      </c>
      <c r="BI2418">
        <v>0</v>
      </c>
      <c r="BJ2418">
        <v>4650</v>
      </c>
      <c r="BK2418">
        <v>50</v>
      </c>
      <c r="BL2418" t="s">
        <v>188</v>
      </c>
      <c r="BM2418">
        <v>1</v>
      </c>
      <c r="BN2418">
        <v>1</v>
      </c>
      <c r="BO2418">
        <v>0</v>
      </c>
      <c r="BP2418">
        <v>0</v>
      </c>
      <c r="BS2418">
        <v>0</v>
      </c>
      <c r="BT2418">
        <v>0</v>
      </c>
      <c r="BU2418">
        <v>0</v>
      </c>
      <c r="CE2418" t="str">
        <f t="shared" si="957"/>
        <v>15:11:14.960</v>
      </c>
      <c r="CF2418">
        <v>959721196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3</v>
      </c>
      <c r="CY2418">
        <v>7</v>
      </c>
      <c r="CZ2418" t="s">
        <v>133</v>
      </c>
      <c r="DA2418">
        <v>275</v>
      </c>
      <c r="DB2418">
        <v>0</v>
      </c>
      <c r="DC2418" t="s">
        <v>134</v>
      </c>
      <c r="DD2418" t="s">
        <v>135</v>
      </c>
      <c r="DG2418">
        <v>3321702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"05/01/2025 15:11:15.199"</f>
        <v>05/01/2025 15:11:15.199</v>
      </c>
      <c r="C2419" t="str">
        <f t="shared" si="938"/>
        <v>FFDFD3C0</v>
      </c>
      <c r="D2419" t="s">
        <v>124</v>
      </c>
      <c r="E2419" t="str">
        <f>"06"</f>
        <v>06</v>
      </c>
      <c r="F2419">
        <v>2006</v>
      </c>
      <c r="G2419" t="s">
        <v>125</v>
      </c>
      <c r="J2419" t="s">
        <v>126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R2419" t="s">
        <v>127</v>
      </c>
      <c r="S2419" t="str">
        <f t="shared" si="956"/>
        <v>15:11:14.000</v>
      </c>
      <c r="T2419" t="str">
        <f t="shared" si="956"/>
        <v>15:11:14.000</v>
      </c>
      <c r="U2419" t="str">
        <f t="shared" si="939"/>
        <v>A68FCB</v>
      </c>
      <c r="V2419">
        <v>0</v>
      </c>
      <c r="W2419">
        <v>0</v>
      </c>
      <c r="X2419">
        <v>2</v>
      </c>
      <c r="Y2419">
        <v>0</v>
      </c>
      <c r="AA2419">
        <v>1</v>
      </c>
      <c r="AB2419">
        <v>8</v>
      </c>
      <c r="AC2419">
        <v>3</v>
      </c>
      <c r="AD2419">
        <v>0</v>
      </c>
      <c r="AE2419">
        <v>9</v>
      </c>
      <c r="AF2419" t="s">
        <v>138</v>
      </c>
      <c r="AG2419">
        <v>0</v>
      </c>
      <c r="AH2419">
        <v>3</v>
      </c>
      <c r="AI2419">
        <v>2</v>
      </c>
      <c r="AJ2419">
        <v>0</v>
      </c>
      <c r="AK2419" t="s">
        <v>820</v>
      </c>
      <c r="AL2419">
        <v>39.078434000000001</v>
      </c>
      <c r="AM2419" t="s">
        <v>821</v>
      </c>
      <c r="AN2419">
        <v>-121.039124</v>
      </c>
      <c r="AO2419">
        <v>25</v>
      </c>
      <c r="AP2419">
        <v>4600</v>
      </c>
      <c r="AQ2419" t="s">
        <v>131</v>
      </c>
      <c r="AR2419">
        <v>12</v>
      </c>
      <c r="AS2419">
        <v>86</v>
      </c>
      <c r="AT2419">
        <v>384</v>
      </c>
      <c r="BB2419" t="str">
        <f t="shared" si="940"/>
        <v>1200</v>
      </c>
      <c r="BC2419">
        <v>1</v>
      </c>
      <c r="BD2419" t="str">
        <f t="shared" si="941"/>
        <v xml:space="preserve">N52156  </v>
      </c>
      <c r="BE2419">
        <v>1</v>
      </c>
      <c r="BG2419">
        <v>0</v>
      </c>
      <c r="BH2419">
        <v>0</v>
      </c>
      <c r="BI2419">
        <v>0</v>
      </c>
      <c r="BJ2419">
        <v>4650</v>
      </c>
      <c r="BK2419">
        <v>50</v>
      </c>
      <c r="BL2419" t="s">
        <v>188</v>
      </c>
      <c r="BM2419">
        <v>1</v>
      </c>
      <c r="BN2419">
        <v>1</v>
      </c>
      <c r="BO2419">
        <v>0</v>
      </c>
      <c r="BP2419">
        <v>0</v>
      </c>
      <c r="BS2419">
        <v>0</v>
      </c>
      <c r="BT2419">
        <v>0</v>
      </c>
      <c r="BU2419">
        <v>0</v>
      </c>
      <c r="CE2419" t="str">
        <f t="shared" si="957"/>
        <v>15:11:14.960</v>
      </c>
      <c r="CF2419">
        <v>959721196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3</v>
      </c>
      <c r="CY2419">
        <v>7</v>
      </c>
      <c r="CZ2419" t="s">
        <v>133</v>
      </c>
      <c r="DA2419">
        <v>275</v>
      </c>
      <c r="DB2419">
        <v>0</v>
      </c>
      <c r="DC2419" t="s">
        <v>134</v>
      </c>
      <c r="DD2419" t="s">
        <v>135</v>
      </c>
      <c r="DG2419">
        <v>3321702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"05/01/2025 15:11:15.842"</f>
        <v>05/01/2025 15:11:15.842</v>
      </c>
      <c r="C2420" t="str">
        <f t="shared" si="938"/>
        <v>FFDFD3C0</v>
      </c>
      <c r="D2420" t="s">
        <v>140</v>
      </c>
      <c r="E2420" t="str">
        <f>"13"</f>
        <v>13</v>
      </c>
      <c r="F2420">
        <v>1019</v>
      </c>
      <c r="G2420" t="s">
        <v>141</v>
      </c>
      <c r="J2420" t="s">
        <v>142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R2420" t="s">
        <v>127</v>
      </c>
      <c r="S2420" t="str">
        <f t="shared" ref="S2420:T2425" si="958">"15:11:15.000"</f>
        <v>15:11:15.000</v>
      </c>
      <c r="T2420" t="str">
        <f t="shared" si="958"/>
        <v>15:11:15.000</v>
      </c>
      <c r="U2420" t="str">
        <f t="shared" si="939"/>
        <v>A68FCB</v>
      </c>
      <c r="V2420">
        <v>0</v>
      </c>
      <c r="W2420">
        <v>0</v>
      </c>
      <c r="X2420">
        <v>2</v>
      </c>
      <c r="Y2420">
        <v>0</v>
      </c>
      <c r="AA2420">
        <v>1</v>
      </c>
      <c r="AB2420">
        <v>8</v>
      </c>
      <c r="AC2420">
        <v>3</v>
      </c>
      <c r="AD2420">
        <v>0</v>
      </c>
      <c r="AE2420">
        <v>9</v>
      </c>
      <c r="AF2420" t="s">
        <v>138</v>
      </c>
      <c r="AG2420">
        <v>0</v>
      </c>
      <c r="AH2420">
        <v>3</v>
      </c>
      <c r="AI2420">
        <v>2</v>
      </c>
      <c r="AJ2420">
        <v>0</v>
      </c>
      <c r="AK2420" t="s">
        <v>822</v>
      </c>
      <c r="AL2420">
        <v>39.078840999999997</v>
      </c>
      <c r="AM2420" t="s">
        <v>823</v>
      </c>
      <c r="AN2420">
        <v>-121.03903800000001</v>
      </c>
      <c r="AO2420">
        <v>25</v>
      </c>
      <c r="AP2420">
        <v>4600</v>
      </c>
      <c r="AQ2420" t="s">
        <v>131</v>
      </c>
      <c r="AR2420">
        <v>12</v>
      </c>
      <c r="AS2420">
        <v>85</v>
      </c>
      <c r="AT2420">
        <v>384</v>
      </c>
      <c r="BB2420" t="str">
        <f t="shared" si="940"/>
        <v>1200</v>
      </c>
      <c r="BC2420">
        <v>1</v>
      </c>
      <c r="BD2420" t="str">
        <f t="shared" si="941"/>
        <v xml:space="preserve">N52156  </v>
      </c>
      <c r="BE2420">
        <v>1</v>
      </c>
      <c r="BG2420">
        <v>0</v>
      </c>
      <c r="BH2420">
        <v>0</v>
      </c>
      <c r="BI2420">
        <v>0</v>
      </c>
      <c r="BJ2420">
        <v>4650</v>
      </c>
      <c r="BK2420">
        <v>50</v>
      </c>
      <c r="BL2420" t="s">
        <v>188</v>
      </c>
      <c r="BM2420">
        <v>1</v>
      </c>
      <c r="BN2420">
        <v>1</v>
      </c>
      <c r="BO2420">
        <v>0</v>
      </c>
      <c r="BP2420">
        <v>0</v>
      </c>
      <c r="BS2420">
        <v>0</v>
      </c>
      <c r="BT2420">
        <v>0</v>
      </c>
      <c r="BU2420">
        <v>0</v>
      </c>
      <c r="CE2420" t="str">
        <f t="shared" ref="CE2420:CE2425" si="959">"15:11:15.625"</f>
        <v>15:11:15.625</v>
      </c>
      <c r="CF2420">
        <v>624720395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3</v>
      </c>
      <c r="CY2420">
        <v>7</v>
      </c>
      <c r="CZ2420" t="s">
        <v>133</v>
      </c>
      <c r="DA2420">
        <v>275</v>
      </c>
      <c r="DB2420">
        <v>0</v>
      </c>
      <c r="DC2420" t="s">
        <v>134</v>
      </c>
      <c r="DD2420" t="s">
        <v>135</v>
      </c>
      <c r="DG2420">
        <v>3321706</v>
      </c>
      <c r="DI2420">
        <v>1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"05/01/2025 15:11:15.850"</f>
        <v>05/01/2025 15:11:15.850</v>
      </c>
      <c r="C2421" t="str">
        <f t="shared" si="938"/>
        <v>FFDFD3C0</v>
      </c>
      <c r="D2421" t="s">
        <v>124</v>
      </c>
      <c r="E2421" t="str">
        <f>"06"</f>
        <v>06</v>
      </c>
      <c r="F2421">
        <v>2006</v>
      </c>
      <c r="G2421" t="s">
        <v>125</v>
      </c>
      <c r="J2421" t="s">
        <v>126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R2421" t="s">
        <v>127</v>
      </c>
      <c r="S2421" t="str">
        <f t="shared" si="958"/>
        <v>15:11:15.000</v>
      </c>
      <c r="T2421" t="str">
        <f t="shared" si="958"/>
        <v>15:11:15.000</v>
      </c>
      <c r="U2421" t="str">
        <f t="shared" si="939"/>
        <v>A68FCB</v>
      </c>
      <c r="V2421">
        <v>0</v>
      </c>
      <c r="W2421">
        <v>0</v>
      </c>
      <c r="X2421">
        <v>2</v>
      </c>
      <c r="Y2421">
        <v>0</v>
      </c>
      <c r="AA2421">
        <v>1</v>
      </c>
      <c r="AB2421">
        <v>8</v>
      </c>
      <c r="AC2421">
        <v>3</v>
      </c>
      <c r="AD2421">
        <v>0</v>
      </c>
      <c r="AE2421">
        <v>9</v>
      </c>
      <c r="AF2421" t="s">
        <v>138</v>
      </c>
      <c r="AG2421">
        <v>0</v>
      </c>
      <c r="AH2421">
        <v>3</v>
      </c>
      <c r="AI2421">
        <v>2</v>
      </c>
      <c r="AJ2421">
        <v>0</v>
      </c>
      <c r="AK2421" t="s">
        <v>822</v>
      </c>
      <c r="AL2421">
        <v>39.078840999999997</v>
      </c>
      <c r="AM2421" t="s">
        <v>823</v>
      </c>
      <c r="AN2421">
        <v>-121.03903800000001</v>
      </c>
      <c r="AO2421">
        <v>25</v>
      </c>
      <c r="AP2421">
        <v>4600</v>
      </c>
      <c r="AQ2421" t="s">
        <v>131</v>
      </c>
      <c r="AR2421">
        <v>12</v>
      </c>
      <c r="AS2421">
        <v>85</v>
      </c>
      <c r="AT2421">
        <v>384</v>
      </c>
      <c r="BB2421" t="str">
        <f t="shared" si="940"/>
        <v>1200</v>
      </c>
      <c r="BC2421">
        <v>1</v>
      </c>
      <c r="BD2421" t="str">
        <f t="shared" si="941"/>
        <v xml:space="preserve">N52156  </v>
      </c>
      <c r="BE2421">
        <v>1</v>
      </c>
      <c r="BG2421">
        <v>0</v>
      </c>
      <c r="BH2421">
        <v>0</v>
      </c>
      <c r="BI2421">
        <v>0</v>
      </c>
      <c r="BJ2421">
        <v>4650</v>
      </c>
      <c r="BK2421">
        <v>50</v>
      </c>
      <c r="BL2421" t="s">
        <v>188</v>
      </c>
      <c r="BM2421">
        <v>1</v>
      </c>
      <c r="BN2421">
        <v>1</v>
      </c>
      <c r="BO2421">
        <v>0</v>
      </c>
      <c r="BP2421">
        <v>0</v>
      </c>
      <c r="BS2421">
        <v>0</v>
      </c>
      <c r="BT2421">
        <v>0</v>
      </c>
      <c r="BU2421">
        <v>0</v>
      </c>
      <c r="CE2421" t="str">
        <f t="shared" si="959"/>
        <v>15:11:15.625</v>
      </c>
      <c r="CF2421">
        <v>624720395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3</v>
      </c>
      <c r="CY2421">
        <v>7</v>
      </c>
      <c r="CZ2421" t="s">
        <v>133</v>
      </c>
      <c r="DA2421">
        <v>275</v>
      </c>
      <c r="DB2421">
        <v>0</v>
      </c>
      <c r="DC2421" t="s">
        <v>134</v>
      </c>
      <c r="DD2421" t="s">
        <v>135</v>
      </c>
      <c r="DG2421">
        <v>3321706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"05/01/2025 15:11:15.858"</f>
        <v>05/01/2025 15:11:15.858</v>
      </c>
      <c r="C2422" t="str">
        <f t="shared" si="938"/>
        <v>FFDFD3C0</v>
      </c>
      <c r="D2422" t="s">
        <v>145</v>
      </c>
      <c r="E2422" t="str">
        <f>"09"</f>
        <v>09</v>
      </c>
      <c r="H2422">
        <v>51</v>
      </c>
      <c r="I2422" t="s">
        <v>147</v>
      </c>
      <c r="J2422" t="s">
        <v>138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R2422" t="s">
        <v>127</v>
      </c>
      <c r="S2422" t="str">
        <f t="shared" si="958"/>
        <v>15:11:15.000</v>
      </c>
      <c r="T2422" t="str">
        <f t="shared" si="958"/>
        <v>15:11:15.000</v>
      </c>
      <c r="U2422" t="str">
        <f t="shared" si="939"/>
        <v>A68FCB</v>
      </c>
      <c r="V2422">
        <v>0</v>
      </c>
      <c r="W2422">
        <v>0</v>
      </c>
      <c r="X2422">
        <v>2</v>
      </c>
      <c r="Y2422">
        <v>0</v>
      </c>
      <c r="AA2422">
        <v>1</v>
      </c>
      <c r="AB2422">
        <v>8</v>
      </c>
      <c r="AC2422">
        <v>3</v>
      </c>
      <c r="AD2422">
        <v>0</v>
      </c>
      <c r="AE2422">
        <v>9</v>
      </c>
      <c r="AF2422" t="s">
        <v>138</v>
      </c>
      <c r="AG2422">
        <v>0</v>
      </c>
      <c r="AH2422">
        <v>3</v>
      </c>
      <c r="AI2422">
        <v>2</v>
      </c>
      <c r="AJ2422">
        <v>0</v>
      </c>
      <c r="AK2422" t="s">
        <v>822</v>
      </c>
      <c r="AL2422">
        <v>39.078840999999997</v>
      </c>
      <c r="AM2422" t="s">
        <v>823</v>
      </c>
      <c r="AN2422">
        <v>-121.03903800000001</v>
      </c>
      <c r="AO2422">
        <v>25</v>
      </c>
      <c r="AP2422">
        <v>4600</v>
      </c>
      <c r="AQ2422" t="s">
        <v>131</v>
      </c>
      <c r="AR2422">
        <v>12</v>
      </c>
      <c r="AS2422">
        <v>85</v>
      </c>
      <c r="AT2422">
        <v>384</v>
      </c>
      <c r="BB2422" t="str">
        <f t="shared" si="940"/>
        <v>1200</v>
      </c>
      <c r="BC2422">
        <v>1</v>
      </c>
      <c r="BD2422" t="str">
        <f t="shared" si="941"/>
        <v xml:space="preserve">N52156  </v>
      </c>
      <c r="BE2422">
        <v>1</v>
      </c>
      <c r="BG2422">
        <v>0</v>
      </c>
      <c r="BH2422">
        <v>0</v>
      </c>
      <c r="BI2422">
        <v>0</v>
      </c>
      <c r="BJ2422">
        <v>4650</v>
      </c>
      <c r="BK2422">
        <v>50</v>
      </c>
      <c r="BL2422" t="s">
        <v>188</v>
      </c>
      <c r="BM2422">
        <v>1</v>
      </c>
      <c r="BN2422">
        <v>1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 t="shared" si="959"/>
        <v>15:11:15.625</v>
      </c>
      <c r="CF2422">
        <v>624720395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3</v>
      </c>
      <c r="CY2422">
        <v>7</v>
      </c>
      <c r="CZ2422" t="s">
        <v>133</v>
      </c>
      <c r="DA2422">
        <v>275</v>
      </c>
      <c r="DB2422">
        <v>0</v>
      </c>
      <c r="DC2422" t="s">
        <v>134</v>
      </c>
      <c r="DD2422" t="s">
        <v>135</v>
      </c>
      <c r="DG2422">
        <v>3321706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"05/01/2025 15:11:15.858"</f>
        <v>05/01/2025 15:11:15.858</v>
      </c>
      <c r="C2423" t="str">
        <f t="shared" si="938"/>
        <v>FFDFD3C0</v>
      </c>
      <c r="D2423" t="s">
        <v>145</v>
      </c>
      <c r="E2423" t="str">
        <f>"05"</f>
        <v>05</v>
      </c>
      <c r="H2423">
        <v>47</v>
      </c>
      <c r="I2423" t="s">
        <v>146</v>
      </c>
      <c r="J2423" t="s">
        <v>138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R2423" t="s">
        <v>127</v>
      </c>
      <c r="S2423" t="str">
        <f t="shared" si="958"/>
        <v>15:11:15.000</v>
      </c>
      <c r="T2423" t="str">
        <f t="shared" si="958"/>
        <v>15:11:15.000</v>
      </c>
      <c r="U2423" t="str">
        <f t="shared" si="939"/>
        <v>A68FCB</v>
      </c>
      <c r="V2423">
        <v>0</v>
      </c>
      <c r="W2423">
        <v>0</v>
      </c>
      <c r="X2423">
        <v>2</v>
      </c>
      <c r="Y2423">
        <v>0</v>
      </c>
      <c r="AA2423">
        <v>1</v>
      </c>
      <c r="AB2423">
        <v>8</v>
      </c>
      <c r="AC2423">
        <v>3</v>
      </c>
      <c r="AD2423">
        <v>0</v>
      </c>
      <c r="AE2423">
        <v>9</v>
      </c>
      <c r="AF2423" t="s">
        <v>138</v>
      </c>
      <c r="AG2423">
        <v>0</v>
      </c>
      <c r="AH2423">
        <v>3</v>
      </c>
      <c r="AI2423">
        <v>2</v>
      </c>
      <c r="AJ2423">
        <v>0</v>
      </c>
      <c r="AK2423" t="s">
        <v>822</v>
      </c>
      <c r="AL2423">
        <v>39.078840999999997</v>
      </c>
      <c r="AM2423" t="s">
        <v>823</v>
      </c>
      <c r="AN2423">
        <v>-121.03903800000001</v>
      </c>
      <c r="AO2423">
        <v>25</v>
      </c>
      <c r="AP2423">
        <v>4600</v>
      </c>
      <c r="AQ2423" t="s">
        <v>131</v>
      </c>
      <c r="AR2423">
        <v>12</v>
      </c>
      <c r="AS2423">
        <v>85</v>
      </c>
      <c r="AT2423">
        <v>384</v>
      </c>
      <c r="BB2423" t="str">
        <f t="shared" si="940"/>
        <v>1200</v>
      </c>
      <c r="BC2423">
        <v>1</v>
      </c>
      <c r="BD2423" t="str">
        <f t="shared" si="941"/>
        <v xml:space="preserve">N52156  </v>
      </c>
      <c r="BE2423">
        <v>1</v>
      </c>
      <c r="BG2423">
        <v>0</v>
      </c>
      <c r="BH2423">
        <v>0</v>
      </c>
      <c r="BI2423">
        <v>0</v>
      </c>
      <c r="BJ2423">
        <v>4650</v>
      </c>
      <c r="BK2423">
        <v>50</v>
      </c>
      <c r="BL2423" t="s">
        <v>188</v>
      </c>
      <c r="BM2423">
        <v>1</v>
      </c>
      <c r="BN2423">
        <v>1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 t="shared" si="959"/>
        <v>15:11:15.625</v>
      </c>
      <c r="CF2423">
        <v>624720395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3</v>
      </c>
      <c r="CY2423">
        <v>7</v>
      </c>
      <c r="CZ2423" t="s">
        <v>133</v>
      </c>
      <c r="DA2423">
        <v>275</v>
      </c>
      <c r="DB2423">
        <v>0</v>
      </c>
      <c r="DC2423" t="s">
        <v>134</v>
      </c>
      <c r="DD2423" t="s">
        <v>135</v>
      </c>
      <c r="DG2423">
        <v>3321706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"05/01/2025 15:11:15.867"</f>
        <v>05/01/2025 15:11:15.867</v>
      </c>
      <c r="C2424" t="str">
        <f t="shared" si="938"/>
        <v>FFDFD3C0</v>
      </c>
      <c r="D2424" t="s">
        <v>136</v>
      </c>
      <c r="E2424" t="str">
        <f>"20"</f>
        <v>20</v>
      </c>
      <c r="H2424">
        <v>400</v>
      </c>
      <c r="I2424" t="s">
        <v>137</v>
      </c>
      <c r="J2424" t="s">
        <v>138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R2424" t="s">
        <v>127</v>
      </c>
      <c r="S2424" t="str">
        <f t="shared" si="958"/>
        <v>15:11:15.000</v>
      </c>
      <c r="T2424" t="str">
        <f t="shared" si="958"/>
        <v>15:11:15.000</v>
      </c>
      <c r="U2424" t="str">
        <f t="shared" si="939"/>
        <v>A68FCB</v>
      </c>
      <c r="V2424">
        <v>0</v>
      </c>
      <c r="W2424">
        <v>0</v>
      </c>
      <c r="X2424">
        <v>2</v>
      </c>
      <c r="Y2424">
        <v>0</v>
      </c>
      <c r="AA2424">
        <v>1</v>
      </c>
      <c r="AB2424">
        <v>8</v>
      </c>
      <c r="AC2424">
        <v>3</v>
      </c>
      <c r="AD2424">
        <v>0</v>
      </c>
      <c r="AE2424">
        <v>9</v>
      </c>
      <c r="AF2424" t="s">
        <v>138</v>
      </c>
      <c r="AG2424">
        <v>0</v>
      </c>
      <c r="AH2424">
        <v>3</v>
      </c>
      <c r="AI2424">
        <v>2</v>
      </c>
      <c r="AJ2424">
        <v>0</v>
      </c>
      <c r="AK2424" t="s">
        <v>822</v>
      </c>
      <c r="AL2424">
        <v>39.078840999999997</v>
      </c>
      <c r="AM2424" t="s">
        <v>823</v>
      </c>
      <c r="AN2424">
        <v>-121.03903800000001</v>
      </c>
      <c r="AO2424">
        <v>25</v>
      </c>
      <c r="AP2424">
        <v>4600</v>
      </c>
      <c r="AQ2424" t="s">
        <v>131</v>
      </c>
      <c r="AR2424">
        <v>12</v>
      </c>
      <c r="AS2424">
        <v>85</v>
      </c>
      <c r="AT2424">
        <v>384</v>
      </c>
      <c r="BB2424" t="str">
        <f t="shared" si="940"/>
        <v>1200</v>
      </c>
      <c r="BC2424">
        <v>1</v>
      </c>
      <c r="BD2424" t="str">
        <f t="shared" si="941"/>
        <v xml:space="preserve">N52156  </v>
      </c>
      <c r="BE2424">
        <v>1</v>
      </c>
      <c r="BG2424">
        <v>0</v>
      </c>
      <c r="BH2424">
        <v>0</v>
      </c>
      <c r="BI2424">
        <v>0</v>
      </c>
      <c r="BJ2424">
        <v>4650</v>
      </c>
      <c r="BK2424">
        <v>50</v>
      </c>
      <c r="BL2424" t="s">
        <v>188</v>
      </c>
      <c r="BM2424">
        <v>1</v>
      </c>
      <c r="BN2424">
        <v>1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 t="shared" si="959"/>
        <v>15:11:15.625</v>
      </c>
      <c r="CF2424">
        <v>624720395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3</v>
      </c>
      <c r="CY2424">
        <v>7</v>
      </c>
      <c r="CZ2424" t="s">
        <v>133</v>
      </c>
      <c r="DA2424">
        <v>275</v>
      </c>
      <c r="DB2424">
        <v>0</v>
      </c>
      <c r="DC2424" t="s">
        <v>134</v>
      </c>
      <c r="DD2424" t="s">
        <v>135</v>
      </c>
      <c r="DG2424">
        <v>3321706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"05/01/2025 15:11:15.873"</f>
        <v>05/01/2025 15:11:15.873</v>
      </c>
      <c r="C2425" t="str">
        <f t="shared" si="938"/>
        <v>FFDFD3C0</v>
      </c>
      <c r="D2425" t="s">
        <v>143</v>
      </c>
      <c r="E2425" t="str">
        <f>"05"</f>
        <v>05</v>
      </c>
      <c r="H2425">
        <v>172</v>
      </c>
      <c r="I2425" t="s">
        <v>141</v>
      </c>
      <c r="J2425" t="s">
        <v>144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R2425" t="s">
        <v>127</v>
      </c>
      <c r="S2425" t="str">
        <f t="shared" si="958"/>
        <v>15:11:15.000</v>
      </c>
      <c r="T2425" t="str">
        <f t="shared" si="958"/>
        <v>15:11:15.000</v>
      </c>
      <c r="U2425" t="str">
        <f t="shared" si="939"/>
        <v>A68FCB</v>
      </c>
      <c r="V2425">
        <v>0</v>
      </c>
      <c r="W2425">
        <v>0</v>
      </c>
      <c r="X2425">
        <v>2</v>
      </c>
      <c r="Y2425">
        <v>0</v>
      </c>
      <c r="AA2425">
        <v>1</v>
      </c>
      <c r="AB2425">
        <v>8</v>
      </c>
      <c r="AC2425">
        <v>3</v>
      </c>
      <c r="AD2425">
        <v>0</v>
      </c>
      <c r="AE2425">
        <v>9</v>
      </c>
      <c r="AF2425" t="s">
        <v>138</v>
      </c>
      <c r="AG2425">
        <v>0</v>
      </c>
      <c r="AH2425">
        <v>3</v>
      </c>
      <c r="AI2425">
        <v>2</v>
      </c>
      <c r="AJ2425">
        <v>0</v>
      </c>
      <c r="AK2425" t="s">
        <v>822</v>
      </c>
      <c r="AL2425">
        <v>39.078840999999997</v>
      </c>
      <c r="AM2425" t="s">
        <v>823</v>
      </c>
      <c r="AN2425">
        <v>-121.03903800000001</v>
      </c>
      <c r="AO2425">
        <v>25</v>
      </c>
      <c r="AP2425">
        <v>4600</v>
      </c>
      <c r="AQ2425" t="s">
        <v>131</v>
      </c>
      <c r="AR2425">
        <v>12</v>
      </c>
      <c r="AS2425">
        <v>85</v>
      </c>
      <c r="AT2425">
        <v>384</v>
      </c>
      <c r="BB2425" t="str">
        <f t="shared" si="940"/>
        <v>1200</v>
      </c>
      <c r="BC2425">
        <v>1</v>
      </c>
      <c r="BD2425" t="str">
        <f t="shared" si="941"/>
        <v xml:space="preserve">N52156  </v>
      </c>
      <c r="BE2425">
        <v>1</v>
      </c>
      <c r="BG2425">
        <v>0</v>
      </c>
      <c r="BH2425">
        <v>0</v>
      </c>
      <c r="BI2425">
        <v>0</v>
      </c>
      <c r="BJ2425">
        <v>4650</v>
      </c>
      <c r="BK2425">
        <v>50</v>
      </c>
      <c r="BL2425" t="s">
        <v>188</v>
      </c>
      <c r="BM2425">
        <v>1</v>
      </c>
      <c r="BN2425">
        <v>1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 t="shared" si="959"/>
        <v>15:11:15.625</v>
      </c>
      <c r="CF2425">
        <v>624720395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3</v>
      </c>
      <c r="CY2425">
        <v>7</v>
      </c>
      <c r="CZ2425" t="s">
        <v>133</v>
      </c>
      <c r="DA2425">
        <v>275</v>
      </c>
      <c r="DB2425">
        <v>0</v>
      </c>
      <c r="DC2425" t="s">
        <v>134</v>
      </c>
      <c r="DD2425" t="s">
        <v>135</v>
      </c>
      <c r="DG2425">
        <v>3321706</v>
      </c>
      <c r="DI2425">
        <v>1</v>
      </c>
      <c r="DJ2425">
        <v>0</v>
      </c>
      <c r="DK2425">
        <v>1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"05/01/2025 15:11:17.095"</f>
        <v>05/01/2025 15:11:17.095</v>
      </c>
      <c r="C2426" t="str">
        <f t="shared" si="938"/>
        <v>FFDFD3C0</v>
      </c>
      <c r="D2426" t="s">
        <v>140</v>
      </c>
      <c r="E2426" t="str">
        <f>"13"</f>
        <v>13</v>
      </c>
      <c r="F2426">
        <v>1019</v>
      </c>
      <c r="G2426" t="s">
        <v>141</v>
      </c>
      <c r="J2426" t="s">
        <v>142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R2426" t="s">
        <v>127</v>
      </c>
      <c r="S2426" t="str">
        <f t="shared" ref="S2426:T2431" si="960">"15:11:16.000"</f>
        <v>15:11:16.000</v>
      </c>
      <c r="T2426" t="str">
        <f t="shared" si="960"/>
        <v>15:11:16.000</v>
      </c>
      <c r="U2426" t="str">
        <f t="shared" si="939"/>
        <v>A68FCB</v>
      </c>
      <c r="V2426">
        <v>0</v>
      </c>
      <c r="W2426">
        <v>0</v>
      </c>
      <c r="X2426">
        <v>2</v>
      </c>
      <c r="Y2426">
        <v>0</v>
      </c>
      <c r="AA2426">
        <v>1</v>
      </c>
      <c r="AB2426">
        <v>8</v>
      </c>
      <c r="AC2426">
        <v>3</v>
      </c>
      <c r="AD2426">
        <v>0</v>
      </c>
      <c r="AE2426">
        <v>9</v>
      </c>
      <c r="AF2426" t="s">
        <v>138</v>
      </c>
      <c r="AG2426">
        <v>0</v>
      </c>
      <c r="AH2426">
        <v>3</v>
      </c>
      <c r="AI2426">
        <v>2</v>
      </c>
      <c r="AJ2426">
        <v>0</v>
      </c>
      <c r="AK2426" t="s">
        <v>824</v>
      </c>
      <c r="AL2426">
        <v>39.079248999999997</v>
      </c>
      <c r="AM2426" t="s">
        <v>825</v>
      </c>
      <c r="AN2426">
        <v>-121.038973</v>
      </c>
      <c r="AO2426">
        <v>25</v>
      </c>
      <c r="AP2426">
        <v>4600</v>
      </c>
      <c r="AQ2426" t="s">
        <v>131</v>
      </c>
      <c r="AR2426">
        <v>12</v>
      </c>
      <c r="AS2426">
        <v>84</v>
      </c>
      <c r="AT2426">
        <v>384</v>
      </c>
      <c r="BB2426" t="str">
        <f t="shared" si="940"/>
        <v>1200</v>
      </c>
      <c r="BC2426">
        <v>1</v>
      </c>
      <c r="BD2426" t="str">
        <f t="shared" si="941"/>
        <v xml:space="preserve">N52156  </v>
      </c>
      <c r="BE2426">
        <v>1</v>
      </c>
      <c r="BG2426">
        <v>0</v>
      </c>
      <c r="BH2426">
        <v>0</v>
      </c>
      <c r="BI2426">
        <v>0</v>
      </c>
      <c r="BJ2426">
        <v>4650</v>
      </c>
      <c r="BK2426">
        <v>50</v>
      </c>
      <c r="BL2426" t="s">
        <v>188</v>
      </c>
      <c r="BM2426">
        <v>1</v>
      </c>
      <c r="BN2426">
        <v>1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 t="shared" ref="CE2426:CE2431" si="961">"15:11:16.875"</f>
        <v>15:11:16.875</v>
      </c>
      <c r="CF2426">
        <v>874791175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3</v>
      </c>
      <c r="CY2426">
        <v>7</v>
      </c>
      <c r="CZ2426" t="s">
        <v>133</v>
      </c>
      <c r="DA2426">
        <v>276</v>
      </c>
      <c r="DB2426">
        <v>0</v>
      </c>
      <c r="DC2426" t="s">
        <v>402</v>
      </c>
      <c r="DD2426" t="s">
        <v>403</v>
      </c>
      <c r="DG2426">
        <v>1627161</v>
      </c>
      <c r="DI2426">
        <v>1</v>
      </c>
      <c r="DJ2426">
        <v>0</v>
      </c>
      <c r="DK2426">
        <v>0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"05/01/2025 15:11:17.102"</f>
        <v>05/01/2025 15:11:17.102</v>
      </c>
      <c r="C2427" t="str">
        <f t="shared" si="938"/>
        <v>FFDFD3C0</v>
      </c>
      <c r="D2427" t="s">
        <v>124</v>
      </c>
      <c r="E2427" t="str">
        <f>"06"</f>
        <v>06</v>
      </c>
      <c r="F2427">
        <v>2006</v>
      </c>
      <c r="G2427" t="s">
        <v>125</v>
      </c>
      <c r="J2427" t="s">
        <v>126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R2427" t="s">
        <v>127</v>
      </c>
      <c r="S2427" t="str">
        <f t="shared" si="960"/>
        <v>15:11:16.000</v>
      </c>
      <c r="T2427" t="str">
        <f t="shared" si="960"/>
        <v>15:11:16.000</v>
      </c>
      <c r="U2427" t="str">
        <f t="shared" si="939"/>
        <v>A68FCB</v>
      </c>
      <c r="V2427">
        <v>0</v>
      </c>
      <c r="W2427">
        <v>0</v>
      </c>
      <c r="X2427">
        <v>2</v>
      </c>
      <c r="Y2427">
        <v>0</v>
      </c>
      <c r="AA2427">
        <v>1</v>
      </c>
      <c r="AB2427">
        <v>8</v>
      </c>
      <c r="AC2427">
        <v>3</v>
      </c>
      <c r="AD2427">
        <v>0</v>
      </c>
      <c r="AE2427">
        <v>9</v>
      </c>
      <c r="AF2427" t="s">
        <v>138</v>
      </c>
      <c r="AG2427">
        <v>0</v>
      </c>
      <c r="AH2427">
        <v>3</v>
      </c>
      <c r="AI2427">
        <v>2</v>
      </c>
      <c r="AJ2427">
        <v>0</v>
      </c>
      <c r="AK2427" t="s">
        <v>824</v>
      </c>
      <c r="AL2427">
        <v>39.079248999999997</v>
      </c>
      <c r="AM2427" t="s">
        <v>825</v>
      </c>
      <c r="AN2427">
        <v>-121.038973</v>
      </c>
      <c r="AO2427">
        <v>25</v>
      </c>
      <c r="AP2427">
        <v>4600</v>
      </c>
      <c r="AQ2427" t="s">
        <v>131</v>
      </c>
      <c r="AR2427">
        <v>12</v>
      </c>
      <c r="AS2427">
        <v>84</v>
      </c>
      <c r="AT2427">
        <v>384</v>
      </c>
      <c r="BB2427" t="str">
        <f t="shared" si="940"/>
        <v>1200</v>
      </c>
      <c r="BC2427">
        <v>1</v>
      </c>
      <c r="BD2427" t="str">
        <f t="shared" si="941"/>
        <v xml:space="preserve">N52156  </v>
      </c>
      <c r="BE2427">
        <v>1</v>
      </c>
      <c r="BG2427">
        <v>0</v>
      </c>
      <c r="BH2427">
        <v>0</v>
      </c>
      <c r="BI2427">
        <v>0</v>
      </c>
      <c r="BJ2427">
        <v>4650</v>
      </c>
      <c r="BK2427">
        <v>50</v>
      </c>
      <c r="BL2427" t="s">
        <v>188</v>
      </c>
      <c r="BM2427">
        <v>1</v>
      </c>
      <c r="BN2427">
        <v>1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 t="shared" si="961"/>
        <v>15:11:16.875</v>
      </c>
      <c r="CF2427">
        <v>874791175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3</v>
      </c>
      <c r="CY2427">
        <v>7</v>
      </c>
      <c r="CZ2427" t="s">
        <v>133</v>
      </c>
      <c r="DA2427">
        <v>276</v>
      </c>
      <c r="DB2427">
        <v>0</v>
      </c>
      <c r="DC2427" t="s">
        <v>402</v>
      </c>
      <c r="DD2427" t="s">
        <v>403</v>
      </c>
      <c r="DG2427">
        <v>1627161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"05/01/2025 15:11:17.110"</f>
        <v>05/01/2025 15:11:17.110</v>
      </c>
      <c r="C2428" t="str">
        <f t="shared" si="938"/>
        <v>FFDFD3C0</v>
      </c>
      <c r="D2428" t="s">
        <v>145</v>
      </c>
      <c r="E2428" t="str">
        <f>"09"</f>
        <v>09</v>
      </c>
      <c r="H2428">
        <v>51</v>
      </c>
      <c r="I2428" t="s">
        <v>147</v>
      </c>
      <c r="J2428" t="s">
        <v>138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R2428" t="s">
        <v>127</v>
      </c>
      <c r="S2428" t="str">
        <f t="shared" si="960"/>
        <v>15:11:16.000</v>
      </c>
      <c r="T2428" t="str">
        <f t="shared" si="960"/>
        <v>15:11:16.000</v>
      </c>
      <c r="U2428" t="str">
        <f t="shared" si="939"/>
        <v>A68FCB</v>
      </c>
      <c r="V2428">
        <v>0</v>
      </c>
      <c r="W2428">
        <v>0</v>
      </c>
      <c r="X2428">
        <v>2</v>
      </c>
      <c r="Y2428">
        <v>0</v>
      </c>
      <c r="AA2428">
        <v>1</v>
      </c>
      <c r="AB2428">
        <v>8</v>
      </c>
      <c r="AC2428">
        <v>3</v>
      </c>
      <c r="AD2428">
        <v>0</v>
      </c>
      <c r="AE2428">
        <v>9</v>
      </c>
      <c r="AF2428" t="s">
        <v>138</v>
      </c>
      <c r="AG2428">
        <v>0</v>
      </c>
      <c r="AH2428">
        <v>3</v>
      </c>
      <c r="AI2428">
        <v>2</v>
      </c>
      <c r="AJ2428">
        <v>0</v>
      </c>
      <c r="AK2428" t="s">
        <v>824</v>
      </c>
      <c r="AL2428">
        <v>39.079248999999997</v>
      </c>
      <c r="AM2428" t="s">
        <v>825</v>
      </c>
      <c r="AN2428">
        <v>-121.038973</v>
      </c>
      <c r="AO2428">
        <v>25</v>
      </c>
      <c r="AP2428">
        <v>4600</v>
      </c>
      <c r="AQ2428" t="s">
        <v>131</v>
      </c>
      <c r="AR2428">
        <v>12</v>
      </c>
      <c r="AS2428">
        <v>84</v>
      </c>
      <c r="AT2428">
        <v>384</v>
      </c>
      <c r="BB2428" t="str">
        <f t="shared" si="940"/>
        <v>1200</v>
      </c>
      <c r="BC2428">
        <v>1</v>
      </c>
      <c r="BD2428" t="str">
        <f t="shared" si="941"/>
        <v xml:space="preserve">N52156  </v>
      </c>
      <c r="BE2428">
        <v>1</v>
      </c>
      <c r="BG2428">
        <v>0</v>
      </c>
      <c r="BH2428">
        <v>0</v>
      </c>
      <c r="BI2428">
        <v>0</v>
      </c>
      <c r="BJ2428">
        <v>4650</v>
      </c>
      <c r="BK2428">
        <v>50</v>
      </c>
      <c r="BL2428" t="s">
        <v>188</v>
      </c>
      <c r="BM2428">
        <v>1</v>
      </c>
      <c r="BN2428">
        <v>1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 t="shared" si="961"/>
        <v>15:11:16.875</v>
      </c>
      <c r="CF2428">
        <v>874791175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3</v>
      </c>
      <c r="CY2428">
        <v>7</v>
      </c>
      <c r="CZ2428" t="s">
        <v>133</v>
      </c>
      <c r="DA2428">
        <v>276</v>
      </c>
      <c r="DB2428">
        <v>0</v>
      </c>
      <c r="DC2428" t="s">
        <v>402</v>
      </c>
      <c r="DD2428" t="s">
        <v>403</v>
      </c>
      <c r="DG2428">
        <v>1627161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"05/01/2025 15:11:17.111"</f>
        <v>05/01/2025 15:11:17.111</v>
      </c>
      <c r="C2429" t="str">
        <f t="shared" si="938"/>
        <v>FFDFD3C0</v>
      </c>
      <c r="D2429" t="s">
        <v>145</v>
      </c>
      <c r="E2429" t="str">
        <f>"05"</f>
        <v>05</v>
      </c>
      <c r="H2429">
        <v>47</v>
      </c>
      <c r="I2429" t="s">
        <v>146</v>
      </c>
      <c r="J2429" t="s">
        <v>138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R2429" t="s">
        <v>127</v>
      </c>
      <c r="S2429" t="str">
        <f t="shared" si="960"/>
        <v>15:11:16.000</v>
      </c>
      <c r="T2429" t="str">
        <f t="shared" si="960"/>
        <v>15:11:16.000</v>
      </c>
      <c r="U2429" t="str">
        <f t="shared" si="939"/>
        <v>A68FCB</v>
      </c>
      <c r="V2429">
        <v>0</v>
      </c>
      <c r="W2429">
        <v>0</v>
      </c>
      <c r="X2429">
        <v>2</v>
      </c>
      <c r="Y2429">
        <v>0</v>
      </c>
      <c r="AA2429">
        <v>1</v>
      </c>
      <c r="AB2429">
        <v>8</v>
      </c>
      <c r="AC2429">
        <v>3</v>
      </c>
      <c r="AD2429">
        <v>0</v>
      </c>
      <c r="AE2429">
        <v>9</v>
      </c>
      <c r="AF2429" t="s">
        <v>138</v>
      </c>
      <c r="AG2429">
        <v>0</v>
      </c>
      <c r="AH2429">
        <v>3</v>
      </c>
      <c r="AI2429">
        <v>2</v>
      </c>
      <c r="AJ2429">
        <v>0</v>
      </c>
      <c r="AK2429" t="s">
        <v>824</v>
      </c>
      <c r="AL2429">
        <v>39.079248999999997</v>
      </c>
      <c r="AM2429" t="s">
        <v>825</v>
      </c>
      <c r="AN2429">
        <v>-121.038973</v>
      </c>
      <c r="AO2429">
        <v>25</v>
      </c>
      <c r="AP2429">
        <v>4600</v>
      </c>
      <c r="AQ2429" t="s">
        <v>131</v>
      </c>
      <c r="AR2429">
        <v>12</v>
      </c>
      <c r="AS2429">
        <v>84</v>
      </c>
      <c r="AT2429">
        <v>384</v>
      </c>
      <c r="BB2429" t="str">
        <f t="shared" si="940"/>
        <v>1200</v>
      </c>
      <c r="BC2429">
        <v>1</v>
      </c>
      <c r="BD2429" t="str">
        <f t="shared" si="941"/>
        <v xml:space="preserve">N52156  </v>
      </c>
      <c r="BE2429">
        <v>1</v>
      </c>
      <c r="BG2429">
        <v>0</v>
      </c>
      <c r="BH2429">
        <v>0</v>
      </c>
      <c r="BI2429">
        <v>0</v>
      </c>
      <c r="BJ2429">
        <v>4650</v>
      </c>
      <c r="BK2429">
        <v>50</v>
      </c>
      <c r="BL2429" t="s">
        <v>188</v>
      </c>
      <c r="BM2429">
        <v>1</v>
      </c>
      <c r="BN2429">
        <v>1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 t="shared" si="961"/>
        <v>15:11:16.875</v>
      </c>
      <c r="CF2429">
        <v>874791175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3</v>
      </c>
      <c r="CY2429">
        <v>7</v>
      </c>
      <c r="CZ2429" t="s">
        <v>133</v>
      </c>
      <c r="DA2429">
        <v>276</v>
      </c>
      <c r="DB2429">
        <v>0</v>
      </c>
      <c r="DC2429" t="s">
        <v>402</v>
      </c>
      <c r="DD2429" t="s">
        <v>403</v>
      </c>
      <c r="DG2429">
        <v>1627161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"05/01/2025 15:11:17.119"</f>
        <v>05/01/2025 15:11:17.119</v>
      </c>
      <c r="C2430" t="str">
        <f t="shared" si="938"/>
        <v>FFDFD3C0</v>
      </c>
      <c r="D2430" t="s">
        <v>136</v>
      </c>
      <c r="E2430" t="str">
        <f>"20"</f>
        <v>20</v>
      </c>
      <c r="H2430">
        <v>400</v>
      </c>
      <c r="I2430" t="s">
        <v>137</v>
      </c>
      <c r="J2430" t="s">
        <v>138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R2430" t="s">
        <v>127</v>
      </c>
      <c r="S2430" t="str">
        <f t="shared" si="960"/>
        <v>15:11:16.000</v>
      </c>
      <c r="T2430" t="str">
        <f t="shared" si="960"/>
        <v>15:11:16.000</v>
      </c>
      <c r="U2430" t="str">
        <f t="shared" si="939"/>
        <v>A68FCB</v>
      </c>
      <c r="V2430">
        <v>0</v>
      </c>
      <c r="W2430">
        <v>0</v>
      </c>
      <c r="X2430">
        <v>2</v>
      </c>
      <c r="Y2430">
        <v>0</v>
      </c>
      <c r="AA2430">
        <v>1</v>
      </c>
      <c r="AB2430">
        <v>8</v>
      </c>
      <c r="AC2430">
        <v>3</v>
      </c>
      <c r="AD2430">
        <v>0</v>
      </c>
      <c r="AE2430">
        <v>9</v>
      </c>
      <c r="AF2430" t="s">
        <v>138</v>
      </c>
      <c r="AG2430">
        <v>0</v>
      </c>
      <c r="AH2430">
        <v>3</v>
      </c>
      <c r="AI2430">
        <v>2</v>
      </c>
      <c r="AJ2430">
        <v>0</v>
      </c>
      <c r="AK2430" t="s">
        <v>824</v>
      </c>
      <c r="AL2430">
        <v>39.079248999999997</v>
      </c>
      <c r="AM2430" t="s">
        <v>825</v>
      </c>
      <c r="AN2430">
        <v>-121.038973</v>
      </c>
      <c r="AO2430">
        <v>25</v>
      </c>
      <c r="AP2430">
        <v>4600</v>
      </c>
      <c r="AQ2430" t="s">
        <v>131</v>
      </c>
      <c r="AR2430">
        <v>12</v>
      </c>
      <c r="AS2430">
        <v>84</v>
      </c>
      <c r="AT2430">
        <v>384</v>
      </c>
      <c r="BB2430" t="str">
        <f t="shared" si="940"/>
        <v>1200</v>
      </c>
      <c r="BC2430">
        <v>1</v>
      </c>
      <c r="BD2430" t="str">
        <f t="shared" si="941"/>
        <v xml:space="preserve">N52156  </v>
      </c>
      <c r="BE2430">
        <v>1</v>
      </c>
      <c r="BG2430">
        <v>0</v>
      </c>
      <c r="BH2430">
        <v>0</v>
      </c>
      <c r="BI2430">
        <v>0</v>
      </c>
      <c r="BJ2430">
        <v>4650</v>
      </c>
      <c r="BK2430">
        <v>50</v>
      </c>
      <c r="BL2430" t="s">
        <v>188</v>
      </c>
      <c r="BM2430">
        <v>1</v>
      </c>
      <c r="BN2430">
        <v>1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 t="shared" si="961"/>
        <v>15:11:16.875</v>
      </c>
      <c r="CF2430">
        <v>874791175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3</v>
      </c>
      <c r="CY2430">
        <v>7</v>
      </c>
      <c r="CZ2430" t="s">
        <v>133</v>
      </c>
      <c r="DA2430">
        <v>276</v>
      </c>
      <c r="DB2430">
        <v>0</v>
      </c>
      <c r="DC2430" t="s">
        <v>402</v>
      </c>
      <c r="DD2430" t="s">
        <v>403</v>
      </c>
      <c r="DG2430">
        <v>1627161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"05/01/2025 15:11:17.125"</f>
        <v>05/01/2025 15:11:17.125</v>
      </c>
      <c r="C2431" t="str">
        <f t="shared" si="938"/>
        <v>FFDFD3C0</v>
      </c>
      <c r="D2431" t="s">
        <v>143</v>
      </c>
      <c r="E2431" t="str">
        <f>"05"</f>
        <v>05</v>
      </c>
      <c r="H2431">
        <v>172</v>
      </c>
      <c r="I2431" t="s">
        <v>141</v>
      </c>
      <c r="J2431" t="s">
        <v>144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R2431" t="s">
        <v>127</v>
      </c>
      <c r="S2431" t="str">
        <f t="shared" si="960"/>
        <v>15:11:16.000</v>
      </c>
      <c r="T2431" t="str">
        <f t="shared" si="960"/>
        <v>15:11:16.000</v>
      </c>
      <c r="U2431" t="str">
        <f t="shared" si="939"/>
        <v>A68FCB</v>
      </c>
      <c r="V2431">
        <v>0</v>
      </c>
      <c r="W2431">
        <v>0</v>
      </c>
      <c r="X2431">
        <v>2</v>
      </c>
      <c r="Y2431">
        <v>0</v>
      </c>
      <c r="AA2431">
        <v>1</v>
      </c>
      <c r="AB2431">
        <v>8</v>
      </c>
      <c r="AC2431">
        <v>3</v>
      </c>
      <c r="AD2431">
        <v>0</v>
      </c>
      <c r="AE2431">
        <v>9</v>
      </c>
      <c r="AF2431" t="s">
        <v>138</v>
      </c>
      <c r="AG2431">
        <v>0</v>
      </c>
      <c r="AH2431">
        <v>3</v>
      </c>
      <c r="AI2431">
        <v>2</v>
      </c>
      <c r="AJ2431">
        <v>0</v>
      </c>
      <c r="AK2431" t="s">
        <v>824</v>
      </c>
      <c r="AL2431">
        <v>39.079248999999997</v>
      </c>
      <c r="AM2431" t="s">
        <v>825</v>
      </c>
      <c r="AN2431">
        <v>-121.038973</v>
      </c>
      <c r="AO2431">
        <v>25</v>
      </c>
      <c r="AP2431">
        <v>4600</v>
      </c>
      <c r="AQ2431" t="s">
        <v>131</v>
      </c>
      <c r="AR2431">
        <v>12</v>
      </c>
      <c r="AS2431">
        <v>84</v>
      </c>
      <c r="AT2431">
        <v>384</v>
      </c>
      <c r="BB2431" t="str">
        <f t="shared" si="940"/>
        <v>1200</v>
      </c>
      <c r="BC2431">
        <v>1</v>
      </c>
      <c r="BD2431" t="str">
        <f t="shared" si="941"/>
        <v xml:space="preserve">N52156  </v>
      </c>
      <c r="BE2431">
        <v>1</v>
      </c>
      <c r="BG2431">
        <v>0</v>
      </c>
      <c r="BH2431">
        <v>0</v>
      </c>
      <c r="BI2431">
        <v>0</v>
      </c>
      <c r="BJ2431">
        <v>4650</v>
      </c>
      <c r="BK2431">
        <v>50</v>
      </c>
      <c r="BL2431" t="s">
        <v>188</v>
      </c>
      <c r="BM2431">
        <v>1</v>
      </c>
      <c r="BN2431">
        <v>1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 t="shared" si="961"/>
        <v>15:11:16.875</v>
      </c>
      <c r="CF2431">
        <v>874791175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3</v>
      </c>
      <c r="CY2431">
        <v>7</v>
      </c>
      <c r="CZ2431" t="s">
        <v>133</v>
      </c>
      <c r="DA2431">
        <v>276</v>
      </c>
      <c r="DB2431">
        <v>0</v>
      </c>
      <c r="DC2431" t="s">
        <v>402</v>
      </c>
      <c r="DD2431" t="s">
        <v>403</v>
      </c>
      <c r="DG2431">
        <v>1627161</v>
      </c>
      <c r="DI2431">
        <v>1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"05/01/2025 15:11:17.745"</f>
        <v>05/01/2025 15:11:17.745</v>
      </c>
      <c r="C2432" t="str">
        <f t="shared" si="938"/>
        <v>FFDFD3C0</v>
      </c>
      <c r="D2432" t="s">
        <v>140</v>
      </c>
      <c r="E2432" t="str">
        <f>"13"</f>
        <v>13</v>
      </c>
      <c r="F2432">
        <v>1019</v>
      </c>
      <c r="G2432" t="s">
        <v>141</v>
      </c>
      <c r="J2432" t="s">
        <v>142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R2432" t="s">
        <v>127</v>
      </c>
      <c r="S2432" t="str">
        <f t="shared" ref="S2432:T2437" si="962">"15:11:17.000"</f>
        <v>15:11:17.000</v>
      </c>
      <c r="T2432" t="str">
        <f t="shared" si="962"/>
        <v>15:11:17.000</v>
      </c>
      <c r="U2432" t="str">
        <f t="shared" si="939"/>
        <v>A68FCB</v>
      </c>
      <c r="V2432">
        <v>0</v>
      </c>
      <c r="W2432">
        <v>0</v>
      </c>
      <c r="X2432">
        <v>2</v>
      </c>
      <c r="Y2432">
        <v>0</v>
      </c>
      <c r="AA2432">
        <v>1</v>
      </c>
      <c r="AB2432">
        <v>8</v>
      </c>
      <c r="AC2432">
        <v>3</v>
      </c>
      <c r="AD2432">
        <v>0</v>
      </c>
      <c r="AE2432">
        <v>9</v>
      </c>
      <c r="AF2432" t="s">
        <v>138</v>
      </c>
      <c r="AG2432">
        <v>0</v>
      </c>
      <c r="AH2432">
        <v>3</v>
      </c>
      <c r="AI2432">
        <v>2</v>
      </c>
      <c r="AJ2432">
        <v>0</v>
      </c>
      <c r="AK2432" t="s">
        <v>826</v>
      </c>
      <c r="AL2432">
        <v>39.079635000000003</v>
      </c>
      <c r="AM2432" t="s">
        <v>827</v>
      </c>
      <c r="AN2432">
        <v>-121.038888</v>
      </c>
      <c r="AO2432">
        <v>25</v>
      </c>
      <c r="AP2432">
        <v>4600</v>
      </c>
      <c r="AQ2432" t="s">
        <v>131</v>
      </c>
      <c r="AR2432">
        <v>12</v>
      </c>
      <c r="AS2432">
        <v>84</v>
      </c>
      <c r="AT2432">
        <v>320</v>
      </c>
      <c r="BB2432" t="str">
        <f t="shared" si="940"/>
        <v>1200</v>
      </c>
      <c r="BC2432">
        <v>1</v>
      </c>
      <c r="BD2432" t="str">
        <f t="shared" si="941"/>
        <v xml:space="preserve">N52156  </v>
      </c>
      <c r="BE2432">
        <v>1</v>
      </c>
      <c r="BG2432">
        <v>0</v>
      </c>
      <c r="BH2432">
        <v>0</v>
      </c>
      <c r="BI2432">
        <v>0</v>
      </c>
      <c r="BJ2432">
        <v>4650</v>
      </c>
      <c r="BK2432">
        <v>50</v>
      </c>
      <c r="BL2432" t="s">
        <v>188</v>
      </c>
      <c r="BM2432">
        <v>1</v>
      </c>
      <c r="BN2432">
        <v>1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 t="shared" ref="CE2432:CE2437" si="963">"15:11:17.542"</f>
        <v>15:11:17.542</v>
      </c>
      <c r="CF2432">
        <v>541540400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3</v>
      </c>
      <c r="CY2432">
        <v>7</v>
      </c>
      <c r="CZ2432" t="s">
        <v>133</v>
      </c>
      <c r="DA2432">
        <v>276</v>
      </c>
      <c r="DB2432">
        <v>0</v>
      </c>
      <c r="DC2432" t="s">
        <v>402</v>
      </c>
      <c r="DD2432" t="s">
        <v>403</v>
      </c>
      <c r="DG2432">
        <v>1627166</v>
      </c>
      <c r="DI2432">
        <v>1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"05/01/2025 15:11:17.753"</f>
        <v>05/01/2025 15:11:17.753</v>
      </c>
      <c r="C2433" t="str">
        <f t="shared" si="938"/>
        <v>FFDFD3C0</v>
      </c>
      <c r="D2433" t="s">
        <v>124</v>
      </c>
      <c r="E2433" t="str">
        <f>"06"</f>
        <v>06</v>
      </c>
      <c r="F2433">
        <v>2006</v>
      </c>
      <c r="G2433" t="s">
        <v>125</v>
      </c>
      <c r="J2433" t="s">
        <v>126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R2433" t="s">
        <v>127</v>
      </c>
      <c r="S2433" t="str">
        <f t="shared" si="962"/>
        <v>15:11:17.000</v>
      </c>
      <c r="T2433" t="str">
        <f t="shared" si="962"/>
        <v>15:11:17.000</v>
      </c>
      <c r="U2433" t="str">
        <f t="shared" si="939"/>
        <v>A68FCB</v>
      </c>
      <c r="V2433">
        <v>0</v>
      </c>
      <c r="W2433">
        <v>0</v>
      </c>
      <c r="X2433">
        <v>2</v>
      </c>
      <c r="Y2433">
        <v>0</v>
      </c>
      <c r="AA2433">
        <v>1</v>
      </c>
      <c r="AB2433">
        <v>8</v>
      </c>
      <c r="AC2433">
        <v>3</v>
      </c>
      <c r="AD2433">
        <v>0</v>
      </c>
      <c r="AE2433">
        <v>9</v>
      </c>
      <c r="AF2433" t="s">
        <v>138</v>
      </c>
      <c r="AG2433">
        <v>0</v>
      </c>
      <c r="AH2433">
        <v>3</v>
      </c>
      <c r="AI2433">
        <v>2</v>
      </c>
      <c r="AJ2433">
        <v>0</v>
      </c>
      <c r="AK2433" t="s">
        <v>826</v>
      </c>
      <c r="AL2433">
        <v>39.079635000000003</v>
      </c>
      <c r="AM2433" t="s">
        <v>827</v>
      </c>
      <c r="AN2433">
        <v>-121.038888</v>
      </c>
      <c r="AO2433">
        <v>25</v>
      </c>
      <c r="AP2433">
        <v>4600</v>
      </c>
      <c r="AQ2433" t="s">
        <v>131</v>
      </c>
      <c r="AR2433">
        <v>12</v>
      </c>
      <c r="AS2433">
        <v>84</v>
      </c>
      <c r="AT2433">
        <v>320</v>
      </c>
      <c r="BB2433" t="str">
        <f t="shared" si="940"/>
        <v>1200</v>
      </c>
      <c r="BC2433">
        <v>1</v>
      </c>
      <c r="BD2433" t="str">
        <f t="shared" si="941"/>
        <v xml:space="preserve">N52156  </v>
      </c>
      <c r="BE2433">
        <v>1</v>
      </c>
      <c r="BG2433">
        <v>0</v>
      </c>
      <c r="BH2433">
        <v>0</v>
      </c>
      <c r="BI2433">
        <v>0</v>
      </c>
      <c r="BJ2433">
        <v>4650</v>
      </c>
      <c r="BK2433">
        <v>50</v>
      </c>
      <c r="BL2433" t="s">
        <v>188</v>
      </c>
      <c r="BM2433">
        <v>1</v>
      </c>
      <c r="BN2433">
        <v>1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 t="shared" si="963"/>
        <v>15:11:17.542</v>
      </c>
      <c r="CF2433">
        <v>541540400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3</v>
      </c>
      <c r="CY2433">
        <v>7</v>
      </c>
      <c r="CZ2433" t="s">
        <v>133</v>
      </c>
      <c r="DA2433">
        <v>276</v>
      </c>
      <c r="DB2433">
        <v>0</v>
      </c>
      <c r="DC2433" t="s">
        <v>402</v>
      </c>
      <c r="DD2433" t="s">
        <v>403</v>
      </c>
      <c r="DG2433">
        <v>1627166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"05/01/2025 15:11:17.761"</f>
        <v>05/01/2025 15:11:17.761</v>
      </c>
      <c r="C2434" t="str">
        <f t="shared" ref="C2434:C2497" si="964">"FFDFD3C0"</f>
        <v>FFDFD3C0</v>
      </c>
      <c r="D2434" t="s">
        <v>145</v>
      </c>
      <c r="E2434" t="str">
        <f>"09"</f>
        <v>09</v>
      </c>
      <c r="H2434">
        <v>51</v>
      </c>
      <c r="I2434" t="s">
        <v>147</v>
      </c>
      <c r="J2434" t="s">
        <v>138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R2434" t="s">
        <v>127</v>
      </c>
      <c r="S2434" t="str">
        <f t="shared" si="962"/>
        <v>15:11:17.000</v>
      </c>
      <c r="T2434" t="str">
        <f t="shared" si="962"/>
        <v>15:11:17.000</v>
      </c>
      <c r="U2434" t="str">
        <f t="shared" ref="U2434:U2497" si="965">"A68FCB"</f>
        <v>A68FCB</v>
      </c>
      <c r="V2434">
        <v>0</v>
      </c>
      <c r="W2434">
        <v>0</v>
      </c>
      <c r="X2434">
        <v>2</v>
      </c>
      <c r="Y2434">
        <v>0</v>
      </c>
      <c r="AA2434">
        <v>1</v>
      </c>
      <c r="AB2434">
        <v>8</v>
      </c>
      <c r="AC2434">
        <v>3</v>
      </c>
      <c r="AD2434">
        <v>0</v>
      </c>
      <c r="AE2434">
        <v>9</v>
      </c>
      <c r="AF2434" t="s">
        <v>138</v>
      </c>
      <c r="AG2434">
        <v>0</v>
      </c>
      <c r="AH2434">
        <v>3</v>
      </c>
      <c r="AI2434">
        <v>2</v>
      </c>
      <c r="AJ2434">
        <v>0</v>
      </c>
      <c r="AK2434" t="s">
        <v>826</v>
      </c>
      <c r="AL2434">
        <v>39.079635000000003</v>
      </c>
      <c r="AM2434" t="s">
        <v>827</v>
      </c>
      <c r="AN2434">
        <v>-121.038888</v>
      </c>
      <c r="AO2434">
        <v>25</v>
      </c>
      <c r="AP2434">
        <v>4600</v>
      </c>
      <c r="AQ2434" t="s">
        <v>131</v>
      </c>
      <c r="AR2434">
        <v>12</v>
      </c>
      <c r="AS2434">
        <v>84</v>
      </c>
      <c r="AT2434">
        <v>320</v>
      </c>
      <c r="BB2434" t="str">
        <f t="shared" ref="BB2434:BB2497" si="966">"1200"</f>
        <v>1200</v>
      </c>
      <c r="BC2434">
        <v>1</v>
      </c>
      <c r="BD2434" t="str">
        <f t="shared" ref="BD2434:BD2497" si="967">"N52156  "</f>
        <v xml:space="preserve">N52156  </v>
      </c>
      <c r="BE2434">
        <v>1</v>
      </c>
      <c r="BG2434">
        <v>0</v>
      </c>
      <c r="BH2434">
        <v>0</v>
      </c>
      <c r="BI2434">
        <v>0</v>
      </c>
      <c r="BJ2434">
        <v>4650</v>
      </c>
      <c r="BK2434">
        <v>50</v>
      </c>
      <c r="BL2434" t="s">
        <v>188</v>
      </c>
      <c r="BM2434">
        <v>1</v>
      </c>
      <c r="BN2434">
        <v>1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 t="shared" si="963"/>
        <v>15:11:17.542</v>
      </c>
      <c r="CF2434">
        <v>541540400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3</v>
      </c>
      <c r="CY2434">
        <v>7</v>
      </c>
      <c r="CZ2434" t="s">
        <v>133</v>
      </c>
      <c r="DA2434">
        <v>276</v>
      </c>
      <c r="DB2434">
        <v>0</v>
      </c>
      <c r="DC2434" t="s">
        <v>402</v>
      </c>
      <c r="DD2434" t="s">
        <v>403</v>
      </c>
      <c r="DG2434">
        <v>1627166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"05/01/2025 15:11:17.762"</f>
        <v>05/01/2025 15:11:17.762</v>
      </c>
      <c r="C2435" t="str">
        <f t="shared" si="964"/>
        <v>FFDFD3C0</v>
      </c>
      <c r="D2435" t="s">
        <v>145</v>
      </c>
      <c r="E2435" t="str">
        <f>"05"</f>
        <v>05</v>
      </c>
      <c r="H2435">
        <v>47</v>
      </c>
      <c r="I2435" t="s">
        <v>146</v>
      </c>
      <c r="J2435" t="s">
        <v>138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R2435" t="s">
        <v>127</v>
      </c>
      <c r="S2435" t="str">
        <f t="shared" si="962"/>
        <v>15:11:17.000</v>
      </c>
      <c r="T2435" t="str">
        <f t="shared" si="962"/>
        <v>15:11:17.000</v>
      </c>
      <c r="U2435" t="str">
        <f t="shared" si="965"/>
        <v>A68FCB</v>
      </c>
      <c r="V2435">
        <v>0</v>
      </c>
      <c r="W2435">
        <v>0</v>
      </c>
      <c r="X2435">
        <v>2</v>
      </c>
      <c r="Y2435">
        <v>0</v>
      </c>
      <c r="AA2435">
        <v>1</v>
      </c>
      <c r="AB2435">
        <v>8</v>
      </c>
      <c r="AC2435">
        <v>3</v>
      </c>
      <c r="AD2435">
        <v>0</v>
      </c>
      <c r="AE2435">
        <v>9</v>
      </c>
      <c r="AF2435" t="s">
        <v>138</v>
      </c>
      <c r="AG2435">
        <v>0</v>
      </c>
      <c r="AH2435">
        <v>3</v>
      </c>
      <c r="AI2435">
        <v>2</v>
      </c>
      <c r="AJ2435">
        <v>0</v>
      </c>
      <c r="AK2435" t="s">
        <v>826</v>
      </c>
      <c r="AL2435">
        <v>39.079635000000003</v>
      </c>
      <c r="AM2435" t="s">
        <v>827</v>
      </c>
      <c r="AN2435">
        <v>-121.038888</v>
      </c>
      <c r="AO2435">
        <v>25</v>
      </c>
      <c r="AP2435">
        <v>4600</v>
      </c>
      <c r="AQ2435" t="s">
        <v>131</v>
      </c>
      <c r="AR2435">
        <v>12</v>
      </c>
      <c r="AS2435">
        <v>84</v>
      </c>
      <c r="AT2435">
        <v>320</v>
      </c>
      <c r="BB2435" t="str">
        <f t="shared" si="966"/>
        <v>1200</v>
      </c>
      <c r="BC2435">
        <v>1</v>
      </c>
      <c r="BD2435" t="str">
        <f t="shared" si="967"/>
        <v xml:space="preserve">N52156  </v>
      </c>
      <c r="BE2435">
        <v>1</v>
      </c>
      <c r="BG2435">
        <v>0</v>
      </c>
      <c r="BH2435">
        <v>0</v>
      </c>
      <c r="BI2435">
        <v>0</v>
      </c>
      <c r="BJ2435">
        <v>4650</v>
      </c>
      <c r="BK2435">
        <v>50</v>
      </c>
      <c r="BL2435" t="s">
        <v>188</v>
      </c>
      <c r="BM2435">
        <v>1</v>
      </c>
      <c r="BN2435">
        <v>1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 t="shared" si="963"/>
        <v>15:11:17.542</v>
      </c>
      <c r="CF2435">
        <v>541540400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3</v>
      </c>
      <c r="CY2435">
        <v>7</v>
      </c>
      <c r="CZ2435" t="s">
        <v>133</v>
      </c>
      <c r="DA2435">
        <v>276</v>
      </c>
      <c r="DB2435">
        <v>0</v>
      </c>
      <c r="DC2435" t="s">
        <v>402</v>
      </c>
      <c r="DD2435" t="s">
        <v>403</v>
      </c>
      <c r="DG2435">
        <v>1627166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"05/01/2025 15:11:17.770"</f>
        <v>05/01/2025 15:11:17.770</v>
      </c>
      <c r="C2436" t="str">
        <f t="shared" si="964"/>
        <v>FFDFD3C0</v>
      </c>
      <c r="D2436" t="s">
        <v>136</v>
      </c>
      <c r="E2436" t="str">
        <f>"20"</f>
        <v>20</v>
      </c>
      <c r="H2436">
        <v>400</v>
      </c>
      <c r="I2436" t="s">
        <v>137</v>
      </c>
      <c r="J2436" t="s">
        <v>138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R2436" t="s">
        <v>127</v>
      </c>
      <c r="S2436" t="str">
        <f t="shared" si="962"/>
        <v>15:11:17.000</v>
      </c>
      <c r="T2436" t="str">
        <f t="shared" si="962"/>
        <v>15:11:17.000</v>
      </c>
      <c r="U2436" t="str">
        <f t="shared" si="965"/>
        <v>A68FCB</v>
      </c>
      <c r="V2436">
        <v>0</v>
      </c>
      <c r="W2436">
        <v>0</v>
      </c>
      <c r="X2436">
        <v>2</v>
      </c>
      <c r="Y2436">
        <v>0</v>
      </c>
      <c r="AA2436">
        <v>1</v>
      </c>
      <c r="AB2436">
        <v>8</v>
      </c>
      <c r="AC2436">
        <v>3</v>
      </c>
      <c r="AD2436">
        <v>0</v>
      </c>
      <c r="AE2436">
        <v>9</v>
      </c>
      <c r="AF2436" t="s">
        <v>138</v>
      </c>
      <c r="AG2436">
        <v>0</v>
      </c>
      <c r="AH2436">
        <v>3</v>
      </c>
      <c r="AI2436">
        <v>2</v>
      </c>
      <c r="AJ2436">
        <v>0</v>
      </c>
      <c r="AK2436" t="s">
        <v>826</v>
      </c>
      <c r="AL2436">
        <v>39.079635000000003</v>
      </c>
      <c r="AM2436" t="s">
        <v>827</v>
      </c>
      <c r="AN2436">
        <v>-121.038888</v>
      </c>
      <c r="AO2436">
        <v>25</v>
      </c>
      <c r="AP2436">
        <v>4600</v>
      </c>
      <c r="AQ2436" t="s">
        <v>131</v>
      </c>
      <c r="AR2436">
        <v>12</v>
      </c>
      <c r="AS2436">
        <v>84</v>
      </c>
      <c r="AT2436">
        <v>320</v>
      </c>
      <c r="BB2436" t="str">
        <f t="shared" si="966"/>
        <v>1200</v>
      </c>
      <c r="BC2436">
        <v>1</v>
      </c>
      <c r="BD2436" t="str">
        <f t="shared" si="967"/>
        <v xml:space="preserve">N52156  </v>
      </c>
      <c r="BE2436">
        <v>1</v>
      </c>
      <c r="BG2436">
        <v>0</v>
      </c>
      <c r="BH2436">
        <v>0</v>
      </c>
      <c r="BI2436">
        <v>0</v>
      </c>
      <c r="BJ2436">
        <v>4650</v>
      </c>
      <c r="BK2436">
        <v>50</v>
      </c>
      <c r="BL2436" t="s">
        <v>188</v>
      </c>
      <c r="BM2436">
        <v>1</v>
      </c>
      <c r="BN2436">
        <v>1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 t="shared" si="963"/>
        <v>15:11:17.542</v>
      </c>
      <c r="CF2436">
        <v>541540400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3</v>
      </c>
      <c r="CY2436">
        <v>7</v>
      </c>
      <c r="CZ2436" t="s">
        <v>133</v>
      </c>
      <c r="DA2436">
        <v>276</v>
      </c>
      <c r="DB2436">
        <v>0</v>
      </c>
      <c r="DC2436" t="s">
        <v>402</v>
      </c>
      <c r="DD2436" t="s">
        <v>403</v>
      </c>
      <c r="DG2436">
        <v>1627166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"05/01/2025 15:11:17.777"</f>
        <v>05/01/2025 15:11:17.777</v>
      </c>
      <c r="C2437" t="str">
        <f t="shared" si="964"/>
        <v>FFDFD3C0</v>
      </c>
      <c r="D2437" t="s">
        <v>143</v>
      </c>
      <c r="E2437" t="str">
        <f>"05"</f>
        <v>05</v>
      </c>
      <c r="H2437">
        <v>172</v>
      </c>
      <c r="I2437" t="s">
        <v>141</v>
      </c>
      <c r="J2437" t="s">
        <v>144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R2437" t="s">
        <v>127</v>
      </c>
      <c r="S2437" t="str">
        <f t="shared" si="962"/>
        <v>15:11:17.000</v>
      </c>
      <c r="T2437" t="str">
        <f t="shared" si="962"/>
        <v>15:11:17.000</v>
      </c>
      <c r="U2437" t="str">
        <f t="shared" si="965"/>
        <v>A68FCB</v>
      </c>
      <c r="V2437">
        <v>0</v>
      </c>
      <c r="W2437">
        <v>0</v>
      </c>
      <c r="X2437">
        <v>2</v>
      </c>
      <c r="Y2437">
        <v>0</v>
      </c>
      <c r="AA2437">
        <v>1</v>
      </c>
      <c r="AB2437">
        <v>8</v>
      </c>
      <c r="AC2437">
        <v>3</v>
      </c>
      <c r="AD2437">
        <v>0</v>
      </c>
      <c r="AE2437">
        <v>9</v>
      </c>
      <c r="AF2437" t="s">
        <v>138</v>
      </c>
      <c r="AG2437">
        <v>0</v>
      </c>
      <c r="AH2437">
        <v>3</v>
      </c>
      <c r="AI2437">
        <v>2</v>
      </c>
      <c r="AJ2437">
        <v>0</v>
      </c>
      <c r="AK2437" t="s">
        <v>826</v>
      </c>
      <c r="AL2437">
        <v>39.079635000000003</v>
      </c>
      <c r="AM2437" t="s">
        <v>827</v>
      </c>
      <c r="AN2437">
        <v>-121.038888</v>
      </c>
      <c r="AO2437">
        <v>25</v>
      </c>
      <c r="AP2437">
        <v>4600</v>
      </c>
      <c r="AQ2437" t="s">
        <v>131</v>
      </c>
      <c r="AR2437">
        <v>12</v>
      </c>
      <c r="AS2437">
        <v>84</v>
      </c>
      <c r="AT2437">
        <v>320</v>
      </c>
      <c r="BB2437" t="str">
        <f t="shared" si="966"/>
        <v>1200</v>
      </c>
      <c r="BC2437">
        <v>1</v>
      </c>
      <c r="BD2437" t="str">
        <f t="shared" si="967"/>
        <v xml:space="preserve">N52156  </v>
      </c>
      <c r="BE2437">
        <v>1</v>
      </c>
      <c r="BG2437">
        <v>0</v>
      </c>
      <c r="BH2437">
        <v>0</v>
      </c>
      <c r="BI2437">
        <v>0</v>
      </c>
      <c r="BJ2437">
        <v>4650</v>
      </c>
      <c r="BK2437">
        <v>50</v>
      </c>
      <c r="BL2437" t="s">
        <v>188</v>
      </c>
      <c r="BM2437">
        <v>1</v>
      </c>
      <c r="BN2437">
        <v>1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 t="shared" si="963"/>
        <v>15:11:17.542</v>
      </c>
      <c r="CF2437">
        <v>541540400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3</v>
      </c>
      <c r="CY2437">
        <v>7</v>
      </c>
      <c r="CZ2437" t="s">
        <v>133</v>
      </c>
      <c r="DA2437">
        <v>276</v>
      </c>
      <c r="DB2437">
        <v>0</v>
      </c>
      <c r="DC2437" t="s">
        <v>402</v>
      </c>
      <c r="DD2437" t="s">
        <v>403</v>
      </c>
      <c r="DG2437">
        <v>1627166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"05/01/2025 15:11:18.798"</f>
        <v>05/01/2025 15:11:18.798</v>
      </c>
      <c r="C2438" t="str">
        <f t="shared" si="964"/>
        <v>FFDFD3C0</v>
      </c>
      <c r="D2438" t="s">
        <v>140</v>
      </c>
      <c r="E2438" t="str">
        <f>"13"</f>
        <v>13</v>
      </c>
      <c r="F2438">
        <v>1019</v>
      </c>
      <c r="G2438" t="s">
        <v>141</v>
      </c>
      <c r="J2438" t="s">
        <v>142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R2438" t="s">
        <v>127</v>
      </c>
      <c r="S2438" t="str">
        <f t="shared" ref="S2438:T2443" si="968">"15:11:18.000"</f>
        <v>15:11:18.000</v>
      </c>
      <c r="T2438" t="str">
        <f t="shared" si="968"/>
        <v>15:11:18.000</v>
      </c>
      <c r="U2438" t="str">
        <f t="shared" si="965"/>
        <v>A68FCB</v>
      </c>
      <c r="V2438">
        <v>0</v>
      </c>
      <c r="W2438">
        <v>0</v>
      </c>
      <c r="X2438">
        <v>2</v>
      </c>
      <c r="Y2438">
        <v>0</v>
      </c>
      <c r="AA2438">
        <v>1</v>
      </c>
      <c r="AB2438">
        <v>8</v>
      </c>
      <c r="AC2438">
        <v>3</v>
      </c>
      <c r="AD2438">
        <v>0</v>
      </c>
      <c r="AE2438">
        <v>9</v>
      </c>
      <c r="AF2438" t="s">
        <v>138</v>
      </c>
      <c r="AG2438">
        <v>0</v>
      </c>
      <c r="AH2438">
        <v>3</v>
      </c>
      <c r="AI2438">
        <v>2</v>
      </c>
      <c r="AJ2438">
        <v>0</v>
      </c>
      <c r="AK2438" t="s">
        <v>828</v>
      </c>
      <c r="AL2438">
        <v>39.080021000000002</v>
      </c>
      <c r="AM2438" t="s">
        <v>829</v>
      </c>
      <c r="AN2438">
        <v>-121.03882299999999</v>
      </c>
      <c r="AO2438">
        <v>25</v>
      </c>
      <c r="AP2438">
        <v>4600</v>
      </c>
      <c r="AQ2438" t="s">
        <v>131</v>
      </c>
      <c r="AR2438">
        <v>12</v>
      </c>
      <c r="AS2438">
        <v>84</v>
      </c>
      <c r="AT2438">
        <v>192</v>
      </c>
      <c r="BB2438" t="str">
        <f t="shared" si="966"/>
        <v>1200</v>
      </c>
      <c r="BC2438">
        <v>1</v>
      </c>
      <c r="BD2438" t="str">
        <f t="shared" si="967"/>
        <v xml:space="preserve">N52156  </v>
      </c>
      <c r="BE2438">
        <v>1</v>
      </c>
      <c r="BG2438">
        <v>0</v>
      </c>
      <c r="BH2438">
        <v>0</v>
      </c>
      <c r="BI2438">
        <v>0</v>
      </c>
      <c r="BJ2438">
        <v>4650</v>
      </c>
      <c r="BK2438">
        <v>50</v>
      </c>
      <c r="BL2438" t="s">
        <v>188</v>
      </c>
      <c r="BM2438">
        <v>1</v>
      </c>
      <c r="BN2438">
        <v>1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 t="shared" ref="CE2438:CE2443" si="969">"15:11:18.601"</f>
        <v>15:11:18.601</v>
      </c>
      <c r="CF2438">
        <v>600720596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3</v>
      </c>
      <c r="CY2438">
        <v>7</v>
      </c>
      <c r="CZ2438" t="s">
        <v>133</v>
      </c>
      <c r="DA2438">
        <v>275</v>
      </c>
      <c r="DB2438">
        <v>0</v>
      </c>
      <c r="DC2438" t="s">
        <v>134</v>
      </c>
      <c r="DD2438" t="s">
        <v>135</v>
      </c>
      <c r="DG2438">
        <v>3321724</v>
      </c>
      <c r="DI2438">
        <v>1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"05/01/2025 15:11:18.804"</f>
        <v>05/01/2025 15:11:18.804</v>
      </c>
      <c r="C2439" t="str">
        <f t="shared" si="964"/>
        <v>FFDFD3C0</v>
      </c>
      <c r="D2439" t="s">
        <v>124</v>
      </c>
      <c r="E2439" t="str">
        <f>"06"</f>
        <v>06</v>
      </c>
      <c r="F2439">
        <v>2006</v>
      </c>
      <c r="G2439" t="s">
        <v>125</v>
      </c>
      <c r="J2439" t="s">
        <v>126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R2439" t="s">
        <v>127</v>
      </c>
      <c r="S2439" t="str">
        <f t="shared" si="968"/>
        <v>15:11:18.000</v>
      </c>
      <c r="T2439" t="str">
        <f t="shared" si="968"/>
        <v>15:11:18.000</v>
      </c>
      <c r="U2439" t="str">
        <f t="shared" si="965"/>
        <v>A68FCB</v>
      </c>
      <c r="V2439">
        <v>0</v>
      </c>
      <c r="W2439">
        <v>0</v>
      </c>
      <c r="X2439">
        <v>2</v>
      </c>
      <c r="Y2439">
        <v>0</v>
      </c>
      <c r="AA2439">
        <v>1</v>
      </c>
      <c r="AB2439">
        <v>8</v>
      </c>
      <c r="AC2439">
        <v>3</v>
      </c>
      <c r="AD2439">
        <v>0</v>
      </c>
      <c r="AE2439">
        <v>9</v>
      </c>
      <c r="AF2439" t="s">
        <v>138</v>
      </c>
      <c r="AG2439">
        <v>0</v>
      </c>
      <c r="AH2439">
        <v>3</v>
      </c>
      <c r="AI2439">
        <v>2</v>
      </c>
      <c r="AJ2439">
        <v>0</v>
      </c>
      <c r="AK2439" t="s">
        <v>828</v>
      </c>
      <c r="AL2439">
        <v>39.080021000000002</v>
      </c>
      <c r="AM2439" t="s">
        <v>829</v>
      </c>
      <c r="AN2439">
        <v>-121.03882299999999</v>
      </c>
      <c r="AO2439">
        <v>25</v>
      </c>
      <c r="AP2439">
        <v>4600</v>
      </c>
      <c r="AQ2439" t="s">
        <v>131</v>
      </c>
      <c r="AR2439">
        <v>12</v>
      </c>
      <c r="AS2439">
        <v>84</v>
      </c>
      <c r="AT2439">
        <v>192</v>
      </c>
      <c r="BB2439" t="str">
        <f t="shared" si="966"/>
        <v>1200</v>
      </c>
      <c r="BC2439">
        <v>1</v>
      </c>
      <c r="BD2439" t="str">
        <f t="shared" si="967"/>
        <v xml:space="preserve">N52156  </v>
      </c>
      <c r="BE2439">
        <v>1</v>
      </c>
      <c r="BG2439">
        <v>0</v>
      </c>
      <c r="BH2439">
        <v>0</v>
      </c>
      <c r="BI2439">
        <v>0</v>
      </c>
      <c r="BJ2439">
        <v>4650</v>
      </c>
      <c r="BK2439">
        <v>50</v>
      </c>
      <c r="BL2439" t="s">
        <v>188</v>
      </c>
      <c r="BM2439">
        <v>1</v>
      </c>
      <c r="BN2439">
        <v>1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 t="shared" si="969"/>
        <v>15:11:18.601</v>
      </c>
      <c r="CF2439">
        <v>600720596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3</v>
      </c>
      <c r="CY2439">
        <v>7</v>
      </c>
      <c r="CZ2439" t="s">
        <v>133</v>
      </c>
      <c r="DA2439">
        <v>275</v>
      </c>
      <c r="DB2439">
        <v>0</v>
      </c>
      <c r="DC2439" t="s">
        <v>134</v>
      </c>
      <c r="DD2439" t="s">
        <v>135</v>
      </c>
      <c r="DG2439">
        <v>3321724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"05/01/2025 15:11:18.813"</f>
        <v>05/01/2025 15:11:18.813</v>
      </c>
      <c r="C2440" t="str">
        <f t="shared" si="964"/>
        <v>FFDFD3C0</v>
      </c>
      <c r="D2440" t="s">
        <v>145</v>
      </c>
      <c r="E2440" t="str">
        <f>"09"</f>
        <v>09</v>
      </c>
      <c r="H2440">
        <v>51</v>
      </c>
      <c r="I2440" t="s">
        <v>147</v>
      </c>
      <c r="J2440" t="s">
        <v>138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R2440" t="s">
        <v>127</v>
      </c>
      <c r="S2440" t="str">
        <f t="shared" si="968"/>
        <v>15:11:18.000</v>
      </c>
      <c r="T2440" t="str">
        <f t="shared" si="968"/>
        <v>15:11:18.000</v>
      </c>
      <c r="U2440" t="str">
        <f t="shared" si="965"/>
        <v>A68FCB</v>
      </c>
      <c r="V2440">
        <v>0</v>
      </c>
      <c r="W2440">
        <v>0</v>
      </c>
      <c r="X2440">
        <v>2</v>
      </c>
      <c r="Y2440">
        <v>0</v>
      </c>
      <c r="AA2440">
        <v>1</v>
      </c>
      <c r="AB2440">
        <v>8</v>
      </c>
      <c r="AC2440">
        <v>3</v>
      </c>
      <c r="AD2440">
        <v>0</v>
      </c>
      <c r="AE2440">
        <v>9</v>
      </c>
      <c r="AF2440" t="s">
        <v>138</v>
      </c>
      <c r="AG2440">
        <v>0</v>
      </c>
      <c r="AH2440">
        <v>3</v>
      </c>
      <c r="AI2440">
        <v>2</v>
      </c>
      <c r="AJ2440">
        <v>0</v>
      </c>
      <c r="AK2440" t="s">
        <v>828</v>
      </c>
      <c r="AL2440">
        <v>39.080021000000002</v>
      </c>
      <c r="AM2440" t="s">
        <v>829</v>
      </c>
      <c r="AN2440">
        <v>-121.03882299999999</v>
      </c>
      <c r="AO2440">
        <v>25</v>
      </c>
      <c r="AP2440">
        <v>4600</v>
      </c>
      <c r="AQ2440" t="s">
        <v>131</v>
      </c>
      <c r="AR2440">
        <v>12</v>
      </c>
      <c r="AS2440">
        <v>84</v>
      </c>
      <c r="AT2440">
        <v>192</v>
      </c>
      <c r="BB2440" t="str">
        <f t="shared" si="966"/>
        <v>1200</v>
      </c>
      <c r="BC2440">
        <v>1</v>
      </c>
      <c r="BD2440" t="str">
        <f t="shared" si="967"/>
        <v xml:space="preserve">N52156  </v>
      </c>
      <c r="BE2440">
        <v>1</v>
      </c>
      <c r="BG2440">
        <v>0</v>
      </c>
      <c r="BH2440">
        <v>0</v>
      </c>
      <c r="BI2440">
        <v>0</v>
      </c>
      <c r="BJ2440">
        <v>4650</v>
      </c>
      <c r="BK2440">
        <v>50</v>
      </c>
      <c r="BL2440" t="s">
        <v>188</v>
      </c>
      <c r="BM2440">
        <v>1</v>
      </c>
      <c r="BN2440">
        <v>1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 t="shared" si="969"/>
        <v>15:11:18.601</v>
      </c>
      <c r="CF2440">
        <v>600720596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3</v>
      </c>
      <c r="CY2440">
        <v>7</v>
      </c>
      <c r="CZ2440" t="s">
        <v>133</v>
      </c>
      <c r="DA2440">
        <v>275</v>
      </c>
      <c r="DB2440">
        <v>0</v>
      </c>
      <c r="DC2440" t="s">
        <v>134</v>
      </c>
      <c r="DD2440" t="s">
        <v>135</v>
      </c>
      <c r="DG2440">
        <v>3321724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"05/01/2025 15:11:18.813"</f>
        <v>05/01/2025 15:11:18.813</v>
      </c>
      <c r="C2441" t="str">
        <f t="shared" si="964"/>
        <v>FFDFD3C0</v>
      </c>
      <c r="D2441" t="s">
        <v>145</v>
      </c>
      <c r="E2441" t="str">
        <f>"05"</f>
        <v>05</v>
      </c>
      <c r="H2441">
        <v>47</v>
      </c>
      <c r="I2441" t="s">
        <v>146</v>
      </c>
      <c r="J2441" t="s">
        <v>138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R2441" t="s">
        <v>127</v>
      </c>
      <c r="S2441" t="str">
        <f t="shared" si="968"/>
        <v>15:11:18.000</v>
      </c>
      <c r="T2441" t="str">
        <f t="shared" si="968"/>
        <v>15:11:18.000</v>
      </c>
      <c r="U2441" t="str">
        <f t="shared" si="965"/>
        <v>A68FCB</v>
      </c>
      <c r="V2441">
        <v>0</v>
      </c>
      <c r="W2441">
        <v>0</v>
      </c>
      <c r="X2441">
        <v>2</v>
      </c>
      <c r="Y2441">
        <v>0</v>
      </c>
      <c r="AA2441">
        <v>1</v>
      </c>
      <c r="AB2441">
        <v>8</v>
      </c>
      <c r="AC2441">
        <v>3</v>
      </c>
      <c r="AD2441">
        <v>0</v>
      </c>
      <c r="AE2441">
        <v>9</v>
      </c>
      <c r="AF2441" t="s">
        <v>138</v>
      </c>
      <c r="AG2441">
        <v>0</v>
      </c>
      <c r="AH2441">
        <v>3</v>
      </c>
      <c r="AI2441">
        <v>2</v>
      </c>
      <c r="AJ2441">
        <v>0</v>
      </c>
      <c r="AK2441" t="s">
        <v>828</v>
      </c>
      <c r="AL2441">
        <v>39.080021000000002</v>
      </c>
      <c r="AM2441" t="s">
        <v>829</v>
      </c>
      <c r="AN2441">
        <v>-121.03882299999999</v>
      </c>
      <c r="AO2441">
        <v>25</v>
      </c>
      <c r="AP2441">
        <v>4600</v>
      </c>
      <c r="AQ2441" t="s">
        <v>131</v>
      </c>
      <c r="AR2441">
        <v>12</v>
      </c>
      <c r="AS2441">
        <v>84</v>
      </c>
      <c r="AT2441">
        <v>192</v>
      </c>
      <c r="BB2441" t="str">
        <f t="shared" si="966"/>
        <v>1200</v>
      </c>
      <c r="BC2441">
        <v>1</v>
      </c>
      <c r="BD2441" t="str">
        <f t="shared" si="967"/>
        <v xml:space="preserve">N52156  </v>
      </c>
      <c r="BE2441">
        <v>1</v>
      </c>
      <c r="BG2441">
        <v>0</v>
      </c>
      <c r="BH2441">
        <v>0</v>
      </c>
      <c r="BI2441">
        <v>0</v>
      </c>
      <c r="BJ2441">
        <v>4650</v>
      </c>
      <c r="BK2441">
        <v>50</v>
      </c>
      <c r="BL2441" t="s">
        <v>188</v>
      </c>
      <c r="BM2441">
        <v>1</v>
      </c>
      <c r="BN2441">
        <v>1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 t="shared" si="969"/>
        <v>15:11:18.601</v>
      </c>
      <c r="CF2441">
        <v>600720596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3</v>
      </c>
      <c r="CY2441">
        <v>7</v>
      </c>
      <c r="CZ2441" t="s">
        <v>133</v>
      </c>
      <c r="DA2441">
        <v>275</v>
      </c>
      <c r="DB2441">
        <v>0</v>
      </c>
      <c r="DC2441" t="s">
        <v>134</v>
      </c>
      <c r="DD2441" t="s">
        <v>135</v>
      </c>
      <c r="DG2441">
        <v>3321724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"05/01/2025 15:11:18.822"</f>
        <v>05/01/2025 15:11:18.822</v>
      </c>
      <c r="C2442" t="str">
        <f t="shared" si="964"/>
        <v>FFDFD3C0</v>
      </c>
      <c r="D2442" t="s">
        <v>136</v>
      </c>
      <c r="E2442" t="str">
        <f>"20"</f>
        <v>20</v>
      </c>
      <c r="H2442">
        <v>400</v>
      </c>
      <c r="I2442" t="s">
        <v>137</v>
      </c>
      <c r="J2442" t="s">
        <v>138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R2442" t="s">
        <v>127</v>
      </c>
      <c r="S2442" t="str">
        <f t="shared" si="968"/>
        <v>15:11:18.000</v>
      </c>
      <c r="T2442" t="str">
        <f t="shared" si="968"/>
        <v>15:11:18.000</v>
      </c>
      <c r="U2442" t="str">
        <f t="shared" si="965"/>
        <v>A68FCB</v>
      </c>
      <c r="V2442">
        <v>0</v>
      </c>
      <c r="W2442">
        <v>0</v>
      </c>
      <c r="X2442">
        <v>2</v>
      </c>
      <c r="Y2442">
        <v>0</v>
      </c>
      <c r="AA2442">
        <v>1</v>
      </c>
      <c r="AB2442">
        <v>8</v>
      </c>
      <c r="AC2442">
        <v>3</v>
      </c>
      <c r="AD2442">
        <v>0</v>
      </c>
      <c r="AE2442">
        <v>9</v>
      </c>
      <c r="AF2442" t="s">
        <v>138</v>
      </c>
      <c r="AG2442">
        <v>0</v>
      </c>
      <c r="AH2442">
        <v>3</v>
      </c>
      <c r="AI2442">
        <v>2</v>
      </c>
      <c r="AJ2442">
        <v>0</v>
      </c>
      <c r="AK2442" t="s">
        <v>828</v>
      </c>
      <c r="AL2442">
        <v>39.080021000000002</v>
      </c>
      <c r="AM2442" t="s">
        <v>829</v>
      </c>
      <c r="AN2442">
        <v>-121.03882299999999</v>
      </c>
      <c r="AO2442">
        <v>25</v>
      </c>
      <c r="AP2442">
        <v>4600</v>
      </c>
      <c r="AQ2442" t="s">
        <v>131</v>
      </c>
      <c r="AR2442">
        <v>12</v>
      </c>
      <c r="AS2442">
        <v>84</v>
      </c>
      <c r="AT2442">
        <v>192</v>
      </c>
      <c r="BB2442" t="str">
        <f t="shared" si="966"/>
        <v>1200</v>
      </c>
      <c r="BC2442">
        <v>1</v>
      </c>
      <c r="BD2442" t="str">
        <f t="shared" si="967"/>
        <v xml:space="preserve">N52156  </v>
      </c>
      <c r="BE2442">
        <v>1</v>
      </c>
      <c r="BG2442">
        <v>0</v>
      </c>
      <c r="BH2442">
        <v>0</v>
      </c>
      <c r="BI2442">
        <v>0</v>
      </c>
      <c r="BJ2442">
        <v>4650</v>
      </c>
      <c r="BK2442">
        <v>50</v>
      </c>
      <c r="BL2442" t="s">
        <v>188</v>
      </c>
      <c r="BM2442">
        <v>1</v>
      </c>
      <c r="BN2442">
        <v>1</v>
      </c>
      <c r="BO2442">
        <v>0</v>
      </c>
      <c r="BP2442">
        <v>0</v>
      </c>
      <c r="BS2442">
        <v>0</v>
      </c>
      <c r="BT2442">
        <v>0</v>
      </c>
      <c r="BU2442">
        <v>0</v>
      </c>
      <c r="CE2442" t="str">
        <f t="shared" si="969"/>
        <v>15:11:18.601</v>
      </c>
      <c r="CF2442">
        <v>600720596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3</v>
      </c>
      <c r="CY2442">
        <v>7</v>
      </c>
      <c r="CZ2442" t="s">
        <v>133</v>
      </c>
      <c r="DA2442">
        <v>275</v>
      </c>
      <c r="DB2442">
        <v>0</v>
      </c>
      <c r="DC2442" t="s">
        <v>134</v>
      </c>
      <c r="DD2442" t="s">
        <v>135</v>
      </c>
      <c r="DG2442">
        <v>3321724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"05/01/2025 15:11:18.828"</f>
        <v>05/01/2025 15:11:18.828</v>
      </c>
      <c r="C2443" t="str">
        <f t="shared" si="964"/>
        <v>FFDFD3C0</v>
      </c>
      <c r="D2443" t="s">
        <v>143</v>
      </c>
      <c r="E2443" t="str">
        <f>"05"</f>
        <v>05</v>
      </c>
      <c r="H2443">
        <v>172</v>
      </c>
      <c r="I2443" t="s">
        <v>141</v>
      </c>
      <c r="J2443" t="s">
        <v>144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R2443" t="s">
        <v>127</v>
      </c>
      <c r="S2443" t="str">
        <f t="shared" si="968"/>
        <v>15:11:18.000</v>
      </c>
      <c r="T2443" t="str">
        <f t="shared" si="968"/>
        <v>15:11:18.000</v>
      </c>
      <c r="U2443" t="str">
        <f t="shared" si="965"/>
        <v>A68FCB</v>
      </c>
      <c r="V2443">
        <v>0</v>
      </c>
      <c r="W2443">
        <v>0</v>
      </c>
      <c r="X2443">
        <v>2</v>
      </c>
      <c r="Y2443">
        <v>0</v>
      </c>
      <c r="AA2443">
        <v>1</v>
      </c>
      <c r="AB2443">
        <v>8</v>
      </c>
      <c r="AC2443">
        <v>3</v>
      </c>
      <c r="AD2443">
        <v>0</v>
      </c>
      <c r="AE2443">
        <v>9</v>
      </c>
      <c r="AF2443" t="s">
        <v>138</v>
      </c>
      <c r="AG2443">
        <v>0</v>
      </c>
      <c r="AH2443">
        <v>3</v>
      </c>
      <c r="AI2443">
        <v>2</v>
      </c>
      <c r="AJ2443">
        <v>0</v>
      </c>
      <c r="AK2443" t="s">
        <v>828</v>
      </c>
      <c r="AL2443">
        <v>39.080021000000002</v>
      </c>
      <c r="AM2443" t="s">
        <v>829</v>
      </c>
      <c r="AN2443">
        <v>-121.03882299999999</v>
      </c>
      <c r="AO2443">
        <v>25</v>
      </c>
      <c r="AP2443">
        <v>4600</v>
      </c>
      <c r="AQ2443" t="s">
        <v>131</v>
      </c>
      <c r="AR2443">
        <v>12</v>
      </c>
      <c r="AS2443">
        <v>84</v>
      </c>
      <c r="AT2443">
        <v>192</v>
      </c>
      <c r="BB2443" t="str">
        <f t="shared" si="966"/>
        <v>1200</v>
      </c>
      <c r="BC2443">
        <v>1</v>
      </c>
      <c r="BD2443" t="str">
        <f t="shared" si="967"/>
        <v xml:space="preserve">N52156  </v>
      </c>
      <c r="BE2443">
        <v>1</v>
      </c>
      <c r="BG2443">
        <v>0</v>
      </c>
      <c r="BH2443">
        <v>0</v>
      </c>
      <c r="BI2443">
        <v>0</v>
      </c>
      <c r="BJ2443">
        <v>4650</v>
      </c>
      <c r="BK2443">
        <v>50</v>
      </c>
      <c r="BL2443" t="s">
        <v>188</v>
      </c>
      <c r="BM2443">
        <v>1</v>
      </c>
      <c r="BN2443">
        <v>1</v>
      </c>
      <c r="BO2443">
        <v>0</v>
      </c>
      <c r="BP2443">
        <v>0</v>
      </c>
      <c r="BS2443">
        <v>0</v>
      </c>
      <c r="BT2443">
        <v>0</v>
      </c>
      <c r="BU2443">
        <v>0</v>
      </c>
      <c r="CE2443" t="str">
        <f t="shared" si="969"/>
        <v>15:11:18.601</v>
      </c>
      <c r="CF2443">
        <v>600720596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3</v>
      </c>
      <c r="CY2443">
        <v>7</v>
      </c>
      <c r="CZ2443" t="s">
        <v>133</v>
      </c>
      <c r="DA2443">
        <v>275</v>
      </c>
      <c r="DB2443">
        <v>0</v>
      </c>
      <c r="DC2443" t="s">
        <v>134</v>
      </c>
      <c r="DD2443" t="s">
        <v>135</v>
      </c>
      <c r="DG2443">
        <v>3321724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"05/01/2025 15:11:19.473"</f>
        <v>05/01/2025 15:11:19.473</v>
      </c>
      <c r="C2444" t="str">
        <f t="shared" si="964"/>
        <v>FFDFD3C0</v>
      </c>
      <c r="D2444" t="s">
        <v>136</v>
      </c>
      <c r="E2444" t="str">
        <f>"20"</f>
        <v>20</v>
      </c>
      <c r="H2444">
        <v>400</v>
      </c>
      <c r="I2444" t="s">
        <v>137</v>
      </c>
      <c r="J2444" t="s">
        <v>138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R2444" t="s">
        <v>127</v>
      </c>
      <c r="S2444" t="str">
        <f t="shared" ref="S2444:T2449" si="970">"15:11:19.000"</f>
        <v>15:11:19.000</v>
      </c>
      <c r="T2444" t="str">
        <f t="shared" si="970"/>
        <v>15:11:19.000</v>
      </c>
      <c r="U2444" t="str">
        <f t="shared" si="965"/>
        <v>A68FCB</v>
      </c>
      <c r="V2444">
        <v>0</v>
      </c>
      <c r="W2444">
        <v>0</v>
      </c>
      <c r="X2444">
        <v>2</v>
      </c>
      <c r="Y2444">
        <v>0</v>
      </c>
      <c r="AA2444">
        <v>1</v>
      </c>
      <c r="AB2444">
        <v>8</v>
      </c>
      <c r="AC2444">
        <v>3</v>
      </c>
      <c r="AD2444">
        <v>0</v>
      </c>
      <c r="AE2444">
        <v>9</v>
      </c>
      <c r="AF2444" t="s">
        <v>138</v>
      </c>
      <c r="AG2444">
        <v>0</v>
      </c>
      <c r="AH2444">
        <v>3</v>
      </c>
      <c r="AI2444">
        <v>2</v>
      </c>
      <c r="AJ2444">
        <v>0</v>
      </c>
      <c r="AK2444" t="s">
        <v>830</v>
      </c>
      <c r="AL2444">
        <v>39.080429000000002</v>
      </c>
      <c r="AM2444" t="s">
        <v>831</v>
      </c>
      <c r="AN2444">
        <v>-121.038737</v>
      </c>
      <c r="AO2444">
        <v>25</v>
      </c>
      <c r="AP2444">
        <v>4600</v>
      </c>
      <c r="AQ2444" t="s">
        <v>131</v>
      </c>
      <c r="AR2444">
        <v>12</v>
      </c>
      <c r="AS2444">
        <v>83</v>
      </c>
      <c r="AT2444">
        <v>128</v>
      </c>
      <c r="BB2444" t="str">
        <f t="shared" si="966"/>
        <v>1200</v>
      </c>
      <c r="BC2444">
        <v>1</v>
      </c>
      <c r="BD2444" t="str">
        <f t="shared" si="967"/>
        <v xml:space="preserve">N52156  </v>
      </c>
      <c r="BE2444">
        <v>1</v>
      </c>
      <c r="BG2444">
        <v>0</v>
      </c>
      <c r="BH2444">
        <v>0</v>
      </c>
      <c r="BI2444">
        <v>0</v>
      </c>
      <c r="BJ2444">
        <v>4675</v>
      </c>
      <c r="BK2444">
        <v>75</v>
      </c>
      <c r="BL2444" t="s">
        <v>188</v>
      </c>
      <c r="BM2444">
        <v>1</v>
      </c>
      <c r="BN2444">
        <v>1</v>
      </c>
      <c r="BO2444">
        <v>0</v>
      </c>
      <c r="BP2444">
        <v>0</v>
      </c>
      <c r="BS2444">
        <v>0</v>
      </c>
      <c r="BT2444">
        <v>0</v>
      </c>
      <c r="BU2444">
        <v>0</v>
      </c>
      <c r="CE2444" t="str">
        <f t="shared" ref="CE2444:CE2449" si="971">"15:11:19.269"</f>
        <v>15:11:19.269</v>
      </c>
      <c r="CF2444">
        <v>269289920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3</v>
      </c>
      <c r="CY2444">
        <v>7</v>
      </c>
      <c r="CZ2444" t="s">
        <v>133</v>
      </c>
      <c r="DA2444">
        <v>276</v>
      </c>
      <c r="DB2444">
        <v>0</v>
      </c>
      <c r="DC2444" t="s">
        <v>402</v>
      </c>
      <c r="DD2444" t="s">
        <v>403</v>
      </c>
      <c r="DG2444">
        <v>1627179</v>
      </c>
      <c r="DI2444">
        <v>1</v>
      </c>
      <c r="DJ2444">
        <v>0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"05/01/2025 15:11:19.479"</f>
        <v>05/01/2025 15:11:19.479</v>
      </c>
      <c r="C2445" t="str">
        <f t="shared" si="964"/>
        <v>FFDFD3C0</v>
      </c>
      <c r="D2445" t="s">
        <v>143</v>
      </c>
      <c r="E2445" t="str">
        <f>"05"</f>
        <v>05</v>
      </c>
      <c r="H2445">
        <v>172</v>
      </c>
      <c r="I2445" t="s">
        <v>141</v>
      </c>
      <c r="J2445" t="s">
        <v>144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R2445" t="s">
        <v>127</v>
      </c>
      <c r="S2445" t="str">
        <f t="shared" si="970"/>
        <v>15:11:19.000</v>
      </c>
      <c r="T2445" t="str">
        <f t="shared" si="970"/>
        <v>15:11:19.000</v>
      </c>
      <c r="U2445" t="str">
        <f t="shared" si="965"/>
        <v>A68FCB</v>
      </c>
      <c r="V2445">
        <v>0</v>
      </c>
      <c r="W2445">
        <v>0</v>
      </c>
      <c r="X2445">
        <v>2</v>
      </c>
      <c r="Y2445">
        <v>0</v>
      </c>
      <c r="AA2445">
        <v>1</v>
      </c>
      <c r="AB2445">
        <v>8</v>
      </c>
      <c r="AC2445">
        <v>3</v>
      </c>
      <c r="AD2445">
        <v>0</v>
      </c>
      <c r="AE2445">
        <v>9</v>
      </c>
      <c r="AF2445" t="s">
        <v>138</v>
      </c>
      <c r="AG2445">
        <v>0</v>
      </c>
      <c r="AH2445">
        <v>3</v>
      </c>
      <c r="AI2445">
        <v>2</v>
      </c>
      <c r="AJ2445">
        <v>0</v>
      </c>
      <c r="AK2445" t="s">
        <v>830</v>
      </c>
      <c r="AL2445">
        <v>39.080429000000002</v>
      </c>
      <c r="AM2445" t="s">
        <v>831</v>
      </c>
      <c r="AN2445">
        <v>-121.038737</v>
      </c>
      <c r="AO2445">
        <v>25</v>
      </c>
      <c r="AP2445">
        <v>4600</v>
      </c>
      <c r="AQ2445" t="s">
        <v>131</v>
      </c>
      <c r="AR2445">
        <v>12</v>
      </c>
      <c r="AS2445">
        <v>83</v>
      </c>
      <c r="AT2445">
        <v>128</v>
      </c>
      <c r="BB2445" t="str">
        <f t="shared" si="966"/>
        <v>1200</v>
      </c>
      <c r="BC2445">
        <v>1</v>
      </c>
      <c r="BD2445" t="str">
        <f t="shared" si="967"/>
        <v xml:space="preserve">N52156  </v>
      </c>
      <c r="BE2445">
        <v>1</v>
      </c>
      <c r="BG2445">
        <v>0</v>
      </c>
      <c r="BH2445">
        <v>0</v>
      </c>
      <c r="BI2445">
        <v>0</v>
      </c>
      <c r="BJ2445">
        <v>4675</v>
      </c>
      <c r="BK2445">
        <v>75</v>
      </c>
      <c r="BL2445" t="s">
        <v>188</v>
      </c>
      <c r="BM2445">
        <v>1</v>
      </c>
      <c r="BN2445">
        <v>1</v>
      </c>
      <c r="BO2445">
        <v>0</v>
      </c>
      <c r="BP2445">
        <v>0</v>
      </c>
      <c r="BS2445">
        <v>0</v>
      </c>
      <c r="BT2445">
        <v>0</v>
      </c>
      <c r="BU2445">
        <v>0</v>
      </c>
      <c r="CE2445" t="str">
        <f t="shared" si="971"/>
        <v>15:11:19.269</v>
      </c>
      <c r="CF2445">
        <v>269289920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3</v>
      </c>
      <c r="CY2445">
        <v>7</v>
      </c>
      <c r="CZ2445" t="s">
        <v>133</v>
      </c>
      <c r="DA2445">
        <v>276</v>
      </c>
      <c r="DB2445">
        <v>0</v>
      </c>
      <c r="DC2445" t="s">
        <v>402</v>
      </c>
      <c r="DD2445" t="s">
        <v>403</v>
      </c>
      <c r="DG2445">
        <v>1627179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"05/01/2025 15:11:19.499"</f>
        <v>05/01/2025 15:11:19.499</v>
      </c>
      <c r="C2446" t="str">
        <f t="shared" si="964"/>
        <v>FFDFD3C0</v>
      </c>
      <c r="D2446" t="s">
        <v>140</v>
      </c>
      <c r="E2446" t="str">
        <f>"13"</f>
        <v>13</v>
      </c>
      <c r="F2446">
        <v>1019</v>
      </c>
      <c r="G2446" t="s">
        <v>141</v>
      </c>
      <c r="J2446" t="s">
        <v>142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R2446" t="s">
        <v>127</v>
      </c>
      <c r="S2446" t="str">
        <f t="shared" si="970"/>
        <v>15:11:19.000</v>
      </c>
      <c r="T2446" t="str">
        <f t="shared" si="970"/>
        <v>15:11:19.000</v>
      </c>
      <c r="U2446" t="str">
        <f t="shared" si="965"/>
        <v>A68FCB</v>
      </c>
      <c r="V2446">
        <v>0</v>
      </c>
      <c r="W2446">
        <v>0</v>
      </c>
      <c r="X2446">
        <v>2</v>
      </c>
      <c r="Y2446">
        <v>0</v>
      </c>
      <c r="AA2446">
        <v>1</v>
      </c>
      <c r="AB2446">
        <v>8</v>
      </c>
      <c r="AC2446">
        <v>3</v>
      </c>
      <c r="AD2446">
        <v>0</v>
      </c>
      <c r="AE2446">
        <v>9</v>
      </c>
      <c r="AF2446" t="s">
        <v>138</v>
      </c>
      <c r="AG2446">
        <v>0</v>
      </c>
      <c r="AH2446">
        <v>3</v>
      </c>
      <c r="AI2446">
        <v>2</v>
      </c>
      <c r="AJ2446">
        <v>0</v>
      </c>
      <c r="AK2446" t="s">
        <v>830</v>
      </c>
      <c r="AL2446">
        <v>39.080429000000002</v>
      </c>
      <c r="AM2446" t="s">
        <v>831</v>
      </c>
      <c r="AN2446">
        <v>-121.038737</v>
      </c>
      <c r="AO2446">
        <v>25</v>
      </c>
      <c r="AP2446">
        <v>4600</v>
      </c>
      <c r="AQ2446" t="s">
        <v>131</v>
      </c>
      <c r="AR2446">
        <v>12</v>
      </c>
      <c r="AS2446">
        <v>83</v>
      </c>
      <c r="AT2446">
        <v>128</v>
      </c>
      <c r="BB2446" t="str">
        <f t="shared" si="966"/>
        <v>1200</v>
      </c>
      <c r="BC2446">
        <v>1</v>
      </c>
      <c r="BD2446" t="str">
        <f t="shared" si="967"/>
        <v xml:space="preserve">N52156  </v>
      </c>
      <c r="BE2446">
        <v>1</v>
      </c>
      <c r="BG2446">
        <v>0</v>
      </c>
      <c r="BH2446">
        <v>0</v>
      </c>
      <c r="BI2446">
        <v>0</v>
      </c>
      <c r="BJ2446">
        <v>4675</v>
      </c>
      <c r="BK2446">
        <v>75</v>
      </c>
      <c r="BL2446" t="s">
        <v>188</v>
      </c>
      <c r="BM2446">
        <v>1</v>
      </c>
      <c r="BN2446">
        <v>1</v>
      </c>
      <c r="BO2446">
        <v>0</v>
      </c>
      <c r="BP2446">
        <v>0</v>
      </c>
      <c r="BS2446">
        <v>0</v>
      </c>
      <c r="BT2446">
        <v>0</v>
      </c>
      <c r="BU2446">
        <v>0</v>
      </c>
      <c r="CE2446" t="str">
        <f t="shared" si="971"/>
        <v>15:11:19.269</v>
      </c>
      <c r="CF2446">
        <v>269289920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3</v>
      </c>
      <c r="CY2446">
        <v>7</v>
      </c>
      <c r="CZ2446" t="s">
        <v>133</v>
      </c>
      <c r="DA2446">
        <v>276</v>
      </c>
      <c r="DB2446">
        <v>0</v>
      </c>
      <c r="DC2446" t="s">
        <v>402</v>
      </c>
      <c r="DD2446" t="s">
        <v>403</v>
      </c>
      <c r="DG2446">
        <v>1627179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"05/01/2025 15:11:19.506"</f>
        <v>05/01/2025 15:11:19.506</v>
      </c>
      <c r="C2447" t="str">
        <f t="shared" si="964"/>
        <v>FFDFD3C0</v>
      </c>
      <c r="D2447" t="s">
        <v>124</v>
      </c>
      <c r="E2447" t="str">
        <f>"06"</f>
        <v>06</v>
      </c>
      <c r="F2447">
        <v>2006</v>
      </c>
      <c r="G2447" t="s">
        <v>125</v>
      </c>
      <c r="J2447" t="s">
        <v>126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R2447" t="s">
        <v>127</v>
      </c>
      <c r="S2447" t="str">
        <f t="shared" si="970"/>
        <v>15:11:19.000</v>
      </c>
      <c r="T2447" t="str">
        <f t="shared" si="970"/>
        <v>15:11:19.000</v>
      </c>
      <c r="U2447" t="str">
        <f t="shared" si="965"/>
        <v>A68FCB</v>
      </c>
      <c r="V2447">
        <v>0</v>
      </c>
      <c r="W2447">
        <v>0</v>
      </c>
      <c r="X2447">
        <v>2</v>
      </c>
      <c r="Y2447">
        <v>0</v>
      </c>
      <c r="AA2447">
        <v>1</v>
      </c>
      <c r="AB2447">
        <v>8</v>
      </c>
      <c r="AC2447">
        <v>3</v>
      </c>
      <c r="AD2447">
        <v>0</v>
      </c>
      <c r="AE2447">
        <v>9</v>
      </c>
      <c r="AF2447" t="s">
        <v>138</v>
      </c>
      <c r="AG2447">
        <v>0</v>
      </c>
      <c r="AH2447">
        <v>3</v>
      </c>
      <c r="AI2447">
        <v>2</v>
      </c>
      <c r="AJ2447">
        <v>0</v>
      </c>
      <c r="AK2447" t="s">
        <v>830</v>
      </c>
      <c r="AL2447">
        <v>39.080429000000002</v>
      </c>
      <c r="AM2447" t="s">
        <v>831</v>
      </c>
      <c r="AN2447">
        <v>-121.038737</v>
      </c>
      <c r="AO2447">
        <v>25</v>
      </c>
      <c r="AP2447">
        <v>4600</v>
      </c>
      <c r="AQ2447" t="s">
        <v>131</v>
      </c>
      <c r="AR2447">
        <v>12</v>
      </c>
      <c r="AS2447">
        <v>83</v>
      </c>
      <c r="AT2447">
        <v>128</v>
      </c>
      <c r="BB2447" t="str">
        <f t="shared" si="966"/>
        <v>1200</v>
      </c>
      <c r="BC2447">
        <v>1</v>
      </c>
      <c r="BD2447" t="str">
        <f t="shared" si="967"/>
        <v xml:space="preserve">N52156  </v>
      </c>
      <c r="BE2447">
        <v>1</v>
      </c>
      <c r="BG2447">
        <v>0</v>
      </c>
      <c r="BH2447">
        <v>0</v>
      </c>
      <c r="BI2447">
        <v>0</v>
      </c>
      <c r="BJ2447">
        <v>4675</v>
      </c>
      <c r="BK2447">
        <v>75</v>
      </c>
      <c r="BL2447" t="s">
        <v>188</v>
      </c>
      <c r="BM2447">
        <v>1</v>
      </c>
      <c r="BN2447">
        <v>1</v>
      </c>
      <c r="BO2447">
        <v>0</v>
      </c>
      <c r="BP2447">
        <v>0</v>
      </c>
      <c r="BS2447">
        <v>0</v>
      </c>
      <c r="BT2447">
        <v>0</v>
      </c>
      <c r="BU2447">
        <v>0</v>
      </c>
      <c r="CE2447" t="str">
        <f t="shared" si="971"/>
        <v>15:11:19.269</v>
      </c>
      <c r="CF2447">
        <v>269289920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3</v>
      </c>
      <c r="CY2447">
        <v>7</v>
      </c>
      <c r="CZ2447" t="s">
        <v>133</v>
      </c>
      <c r="DA2447">
        <v>276</v>
      </c>
      <c r="DB2447">
        <v>0</v>
      </c>
      <c r="DC2447" t="s">
        <v>402</v>
      </c>
      <c r="DD2447" t="s">
        <v>403</v>
      </c>
      <c r="DG2447">
        <v>1627179</v>
      </c>
      <c r="DI2447">
        <v>1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"05/01/2025 15:11:19.514"</f>
        <v>05/01/2025 15:11:19.514</v>
      </c>
      <c r="C2448" t="str">
        <f t="shared" si="964"/>
        <v>FFDFD3C0</v>
      </c>
      <c r="D2448" t="s">
        <v>145</v>
      </c>
      <c r="E2448" t="str">
        <f>"09"</f>
        <v>09</v>
      </c>
      <c r="H2448">
        <v>51</v>
      </c>
      <c r="I2448" t="s">
        <v>147</v>
      </c>
      <c r="J2448" t="s">
        <v>138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R2448" t="s">
        <v>127</v>
      </c>
      <c r="S2448" t="str">
        <f t="shared" si="970"/>
        <v>15:11:19.000</v>
      </c>
      <c r="T2448" t="str">
        <f t="shared" si="970"/>
        <v>15:11:19.000</v>
      </c>
      <c r="U2448" t="str">
        <f t="shared" si="965"/>
        <v>A68FCB</v>
      </c>
      <c r="V2448">
        <v>0</v>
      </c>
      <c r="W2448">
        <v>0</v>
      </c>
      <c r="X2448">
        <v>2</v>
      </c>
      <c r="Y2448">
        <v>0</v>
      </c>
      <c r="AA2448">
        <v>1</v>
      </c>
      <c r="AB2448">
        <v>8</v>
      </c>
      <c r="AC2448">
        <v>3</v>
      </c>
      <c r="AD2448">
        <v>0</v>
      </c>
      <c r="AE2448">
        <v>9</v>
      </c>
      <c r="AF2448" t="s">
        <v>138</v>
      </c>
      <c r="AG2448">
        <v>0</v>
      </c>
      <c r="AH2448">
        <v>3</v>
      </c>
      <c r="AI2448">
        <v>2</v>
      </c>
      <c r="AJ2448">
        <v>0</v>
      </c>
      <c r="AK2448" t="s">
        <v>830</v>
      </c>
      <c r="AL2448">
        <v>39.080429000000002</v>
      </c>
      <c r="AM2448" t="s">
        <v>831</v>
      </c>
      <c r="AN2448">
        <v>-121.038737</v>
      </c>
      <c r="AO2448">
        <v>25</v>
      </c>
      <c r="AP2448">
        <v>4600</v>
      </c>
      <c r="AQ2448" t="s">
        <v>131</v>
      </c>
      <c r="AR2448">
        <v>12</v>
      </c>
      <c r="AS2448">
        <v>83</v>
      </c>
      <c r="AT2448">
        <v>128</v>
      </c>
      <c r="BB2448" t="str">
        <f t="shared" si="966"/>
        <v>1200</v>
      </c>
      <c r="BC2448">
        <v>1</v>
      </c>
      <c r="BD2448" t="str">
        <f t="shared" si="967"/>
        <v xml:space="preserve">N52156  </v>
      </c>
      <c r="BE2448">
        <v>1</v>
      </c>
      <c r="BG2448">
        <v>0</v>
      </c>
      <c r="BH2448">
        <v>0</v>
      </c>
      <c r="BI2448">
        <v>0</v>
      </c>
      <c r="BJ2448">
        <v>4675</v>
      </c>
      <c r="BK2448">
        <v>75</v>
      </c>
      <c r="BL2448" t="s">
        <v>188</v>
      </c>
      <c r="BM2448">
        <v>1</v>
      </c>
      <c r="BN2448">
        <v>1</v>
      </c>
      <c r="BO2448">
        <v>0</v>
      </c>
      <c r="BP2448">
        <v>0</v>
      </c>
      <c r="BS2448">
        <v>0</v>
      </c>
      <c r="BT2448">
        <v>0</v>
      </c>
      <c r="BU2448">
        <v>0</v>
      </c>
      <c r="CE2448" t="str">
        <f t="shared" si="971"/>
        <v>15:11:19.269</v>
      </c>
      <c r="CF2448">
        <v>269289920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3</v>
      </c>
      <c r="CY2448">
        <v>7</v>
      </c>
      <c r="CZ2448" t="s">
        <v>133</v>
      </c>
      <c r="DA2448">
        <v>276</v>
      </c>
      <c r="DB2448">
        <v>0</v>
      </c>
      <c r="DC2448" t="s">
        <v>402</v>
      </c>
      <c r="DD2448" t="s">
        <v>403</v>
      </c>
      <c r="DG2448">
        <v>1627179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"05/01/2025 15:11:19.515"</f>
        <v>05/01/2025 15:11:19.515</v>
      </c>
      <c r="C2449" t="str">
        <f t="shared" si="964"/>
        <v>FFDFD3C0</v>
      </c>
      <c r="D2449" t="s">
        <v>145</v>
      </c>
      <c r="E2449" t="str">
        <f>"05"</f>
        <v>05</v>
      </c>
      <c r="H2449">
        <v>47</v>
      </c>
      <c r="I2449" t="s">
        <v>146</v>
      </c>
      <c r="J2449" t="s">
        <v>138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R2449" t="s">
        <v>127</v>
      </c>
      <c r="S2449" t="str">
        <f t="shared" si="970"/>
        <v>15:11:19.000</v>
      </c>
      <c r="T2449" t="str">
        <f t="shared" si="970"/>
        <v>15:11:19.000</v>
      </c>
      <c r="U2449" t="str">
        <f t="shared" si="965"/>
        <v>A68FCB</v>
      </c>
      <c r="V2449">
        <v>0</v>
      </c>
      <c r="W2449">
        <v>0</v>
      </c>
      <c r="X2449">
        <v>2</v>
      </c>
      <c r="Y2449">
        <v>0</v>
      </c>
      <c r="AA2449">
        <v>1</v>
      </c>
      <c r="AB2449">
        <v>8</v>
      </c>
      <c r="AC2449">
        <v>3</v>
      </c>
      <c r="AD2449">
        <v>0</v>
      </c>
      <c r="AE2449">
        <v>9</v>
      </c>
      <c r="AF2449" t="s">
        <v>138</v>
      </c>
      <c r="AG2449">
        <v>0</v>
      </c>
      <c r="AH2449">
        <v>3</v>
      </c>
      <c r="AI2449">
        <v>2</v>
      </c>
      <c r="AJ2449">
        <v>0</v>
      </c>
      <c r="AK2449" t="s">
        <v>830</v>
      </c>
      <c r="AL2449">
        <v>39.080429000000002</v>
      </c>
      <c r="AM2449" t="s">
        <v>831</v>
      </c>
      <c r="AN2449">
        <v>-121.038737</v>
      </c>
      <c r="AO2449">
        <v>25</v>
      </c>
      <c r="AP2449">
        <v>4600</v>
      </c>
      <c r="AQ2449" t="s">
        <v>131</v>
      </c>
      <c r="AR2449">
        <v>12</v>
      </c>
      <c r="AS2449">
        <v>83</v>
      </c>
      <c r="AT2449">
        <v>128</v>
      </c>
      <c r="BB2449" t="str">
        <f t="shared" si="966"/>
        <v>1200</v>
      </c>
      <c r="BC2449">
        <v>1</v>
      </c>
      <c r="BD2449" t="str">
        <f t="shared" si="967"/>
        <v xml:space="preserve">N52156  </v>
      </c>
      <c r="BE2449">
        <v>1</v>
      </c>
      <c r="BG2449">
        <v>0</v>
      </c>
      <c r="BH2449">
        <v>0</v>
      </c>
      <c r="BI2449">
        <v>0</v>
      </c>
      <c r="BJ2449">
        <v>4675</v>
      </c>
      <c r="BK2449">
        <v>75</v>
      </c>
      <c r="BL2449" t="s">
        <v>188</v>
      </c>
      <c r="BM2449">
        <v>1</v>
      </c>
      <c r="BN2449">
        <v>1</v>
      </c>
      <c r="BO2449">
        <v>0</v>
      </c>
      <c r="BP2449">
        <v>0</v>
      </c>
      <c r="BS2449">
        <v>0</v>
      </c>
      <c r="BT2449">
        <v>0</v>
      </c>
      <c r="BU2449">
        <v>0</v>
      </c>
      <c r="CE2449" t="str">
        <f t="shared" si="971"/>
        <v>15:11:19.269</v>
      </c>
      <c r="CF2449">
        <v>269289920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3</v>
      </c>
      <c r="CY2449">
        <v>7</v>
      </c>
      <c r="CZ2449" t="s">
        <v>133</v>
      </c>
      <c r="DA2449">
        <v>276</v>
      </c>
      <c r="DB2449">
        <v>0</v>
      </c>
      <c r="DC2449" t="s">
        <v>402</v>
      </c>
      <c r="DD2449" t="s">
        <v>403</v>
      </c>
      <c r="DG2449">
        <v>1627179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>"05/01/2025 15:11:21.151"</f>
        <v>05/01/2025 15:11:21.151</v>
      </c>
      <c r="C2450" t="str">
        <f t="shared" si="964"/>
        <v>FFDFD3C0</v>
      </c>
      <c r="D2450" t="s">
        <v>140</v>
      </c>
      <c r="E2450" t="str">
        <f>"13"</f>
        <v>13</v>
      </c>
      <c r="F2450">
        <v>1019</v>
      </c>
      <c r="G2450" t="s">
        <v>141</v>
      </c>
      <c r="J2450" t="s">
        <v>142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R2450" t="s">
        <v>127</v>
      </c>
      <c r="S2450" t="str">
        <f t="shared" ref="S2450:T2455" si="972">"15:11:20.000"</f>
        <v>15:11:20.000</v>
      </c>
      <c r="T2450" t="str">
        <f t="shared" si="972"/>
        <v>15:11:20.000</v>
      </c>
      <c r="U2450" t="str">
        <f t="shared" si="965"/>
        <v>A68FCB</v>
      </c>
      <c r="V2450">
        <v>0</v>
      </c>
      <c r="W2450">
        <v>0</v>
      </c>
      <c r="X2450">
        <v>2</v>
      </c>
      <c r="Y2450">
        <v>0</v>
      </c>
      <c r="AA2450">
        <v>1</v>
      </c>
      <c r="AB2450">
        <v>8</v>
      </c>
      <c r="AC2450">
        <v>3</v>
      </c>
      <c r="AD2450">
        <v>0</v>
      </c>
      <c r="AE2450">
        <v>9</v>
      </c>
      <c r="AF2450" t="s">
        <v>138</v>
      </c>
      <c r="AG2450">
        <v>0</v>
      </c>
      <c r="AH2450">
        <v>3</v>
      </c>
      <c r="AI2450">
        <v>2</v>
      </c>
      <c r="AJ2450">
        <v>0</v>
      </c>
      <c r="AK2450" t="s">
        <v>832</v>
      </c>
      <c r="AL2450">
        <v>39.080815000000001</v>
      </c>
      <c r="AM2450" t="s">
        <v>833</v>
      </c>
      <c r="AN2450">
        <v>-121.038673</v>
      </c>
      <c r="AO2450">
        <v>25</v>
      </c>
      <c r="AP2450">
        <v>4600</v>
      </c>
      <c r="AQ2450" t="s">
        <v>131</v>
      </c>
      <c r="AR2450">
        <v>14</v>
      </c>
      <c r="AS2450">
        <v>83</v>
      </c>
      <c r="AT2450">
        <v>0</v>
      </c>
      <c r="BB2450" t="str">
        <f t="shared" si="966"/>
        <v>1200</v>
      </c>
      <c r="BC2450">
        <v>1</v>
      </c>
      <c r="BD2450" t="str">
        <f t="shared" si="967"/>
        <v xml:space="preserve">N52156  </v>
      </c>
      <c r="BE2450">
        <v>1</v>
      </c>
      <c r="BG2450">
        <v>0</v>
      </c>
      <c r="BH2450">
        <v>0</v>
      </c>
      <c r="BI2450">
        <v>0</v>
      </c>
      <c r="BJ2450">
        <v>4675</v>
      </c>
      <c r="BK2450">
        <v>75</v>
      </c>
      <c r="BL2450" t="s">
        <v>188</v>
      </c>
      <c r="BM2450">
        <v>1</v>
      </c>
      <c r="BN2450">
        <v>1</v>
      </c>
      <c r="BO2450">
        <v>0</v>
      </c>
      <c r="BP2450">
        <v>0</v>
      </c>
      <c r="BS2450">
        <v>0</v>
      </c>
      <c r="BT2450">
        <v>0</v>
      </c>
      <c r="BU2450">
        <v>0</v>
      </c>
      <c r="CE2450" t="str">
        <f t="shared" ref="CE2450:CE2455" si="973">"15:11:20.938"</f>
        <v>15:11:20.938</v>
      </c>
      <c r="CF2450">
        <v>937721663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4</v>
      </c>
      <c r="CY2450">
        <v>7</v>
      </c>
      <c r="CZ2450" t="s">
        <v>133</v>
      </c>
      <c r="DA2450">
        <v>275</v>
      </c>
      <c r="DB2450">
        <v>0</v>
      </c>
      <c r="DC2450" t="s">
        <v>134</v>
      </c>
      <c r="DD2450" t="s">
        <v>135</v>
      </c>
      <c r="DG2450">
        <v>3321738</v>
      </c>
      <c r="DI2450">
        <v>1</v>
      </c>
      <c r="DJ2450">
        <v>0</v>
      </c>
      <c r="DK2450">
        <v>0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"05/01/2025 15:11:21.158"</f>
        <v>05/01/2025 15:11:21.158</v>
      </c>
      <c r="C2451" t="str">
        <f t="shared" si="964"/>
        <v>FFDFD3C0</v>
      </c>
      <c r="D2451" t="s">
        <v>124</v>
      </c>
      <c r="E2451" t="str">
        <f>"06"</f>
        <v>06</v>
      </c>
      <c r="F2451">
        <v>2006</v>
      </c>
      <c r="G2451" t="s">
        <v>125</v>
      </c>
      <c r="J2451" t="s">
        <v>126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R2451" t="s">
        <v>127</v>
      </c>
      <c r="S2451" t="str">
        <f t="shared" si="972"/>
        <v>15:11:20.000</v>
      </c>
      <c r="T2451" t="str">
        <f t="shared" si="972"/>
        <v>15:11:20.000</v>
      </c>
      <c r="U2451" t="str">
        <f t="shared" si="965"/>
        <v>A68FCB</v>
      </c>
      <c r="V2451">
        <v>0</v>
      </c>
      <c r="W2451">
        <v>0</v>
      </c>
      <c r="X2451">
        <v>2</v>
      </c>
      <c r="Y2451">
        <v>0</v>
      </c>
      <c r="AA2451">
        <v>1</v>
      </c>
      <c r="AB2451">
        <v>8</v>
      </c>
      <c r="AC2451">
        <v>3</v>
      </c>
      <c r="AD2451">
        <v>0</v>
      </c>
      <c r="AE2451">
        <v>9</v>
      </c>
      <c r="AF2451" t="s">
        <v>138</v>
      </c>
      <c r="AG2451">
        <v>0</v>
      </c>
      <c r="AH2451">
        <v>3</v>
      </c>
      <c r="AI2451">
        <v>2</v>
      </c>
      <c r="AJ2451">
        <v>0</v>
      </c>
      <c r="AK2451" t="s">
        <v>832</v>
      </c>
      <c r="AL2451">
        <v>39.080815000000001</v>
      </c>
      <c r="AM2451" t="s">
        <v>833</v>
      </c>
      <c r="AN2451">
        <v>-121.038673</v>
      </c>
      <c r="AO2451">
        <v>25</v>
      </c>
      <c r="AP2451">
        <v>4600</v>
      </c>
      <c r="AQ2451" t="s">
        <v>131</v>
      </c>
      <c r="AR2451">
        <v>14</v>
      </c>
      <c r="AS2451">
        <v>83</v>
      </c>
      <c r="AT2451">
        <v>0</v>
      </c>
      <c r="BB2451" t="str">
        <f t="shared" si="966"/>
        <v>1200</v>
      </c>
      <c r="BC2451">
        <v>1</v>
      </c>
      <c r="BD2451" t="str">
        <f t="shared" si="967"/>
        <v xml:space="preserve">N52156  </v>
      </c>
      <c r="BE2451">
        <v>1</v>
      </c>
      <c r="BG2451">
        <v>0</v>
      </c>
      <c r="BH2451">
        <v>0</v>
      </c>
      <c r="BI2451">
        <v>0</v>
      </c>
      <c r="BJ2451">
        <v>4675</v>
      </c>
      <c r="BK2451">
        <v>75</v>
      </c>
      <c r="BL2451" t="s">
        <v>188</v>
      </c>
      <c r="BM2451">
        <v>1</v>
      </c>
      <c r="BN2451">
        <v>1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 t="shared" si="973"/>
        <v>15:11:20.938</v>
      </c>
      <c r="CF2451">
        <v>937721663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4</v>
      </c>
      <c r="CY2451">
        <v>7</v>
      </c>
      <c r="CZ2451" t="s">
        <v>133</v>
      </c>
      <c r="DA2451">
        <v>275</v>
      </c>
      <c r="DB2451">
        <v>0</v>
      </c>
      <c r="DC2451" t="s">
        <v>134</v>
      </c>
      <c r="DD2451" t="s">
        <v>135</v>
      </c>
      <c r="DG2451">
        <v>3321738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"05/01/2025 15:11:21.168"</f>
        <v>05/01/2025 15:11:21.168</v>
      </c>
      <c r="C2452" t="str">
        <f t="shared" si="964"/>
        <v>FFDFD3C0</v>
      </c>
      <c r="D2452" t="s">
        <v>145</v>
      </c>
      <c r="E2452" t="str">
        <f>"05"</f>
        <v>05</v>
      </c>
      <c r="H2452">
        <v>47</v>
      </c>
      <c r="I2452" t="s">
        <v>146</v>
      </c>
      <c r="J2452" t="s">
        <v>138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R2452" t="s">
        <v>127</v>
      </c>
      <c r="S2452" t="str">
        <f t="shared" si="972"/>
        <v>15:11:20.000</v>
      </c>
      <c r="T2452" t="str">
        <f t="shared" si="972"/>
        <v>15:11:20.000</v>
      </c>
      <c r="U2452" t="str">
        <f t="shared" si="965"/>
        <v>A68FCB</v>
      </c>
      <c r="V2452">
        <v>0</v>
      </c>
      <c r="W2452">
        <v>0</v>
      </c>
      <c r="X2452">
        <v>2</v>
      </c>
      <c r="Y2452">
        <v>0</v>
      </c>
      <c r="AA2452">
        <v>1</v>
      </c>
      <c r="AB2452">
        <v>8</v>
      </c>
      <c r="AC2452">
        <v>3</v>
      </c>
      <c r="AD2452">
        <v>0</v>
      </c>
      <c r="AE2452">
        <v>9</v>
      </c>
      <c r="AF2452" t="s">
        <v>138</v>
      </c>
      <c r="AG2452">
        <v>0</v>
      </c>
      <c r="AH2452">
        <v>3</v>
      </c>
      <c r="AI2452">
        <v>2</v>
      </c>
      <c r="AJ2452">
        <v>0</v>
      </c>
      <c r="AK2452" t="s">
        <v>832</v>
      </c>
      <c r="AL2452">
        <v>39.080815000000001</v>
      </c>
      <c r="AM2452" t="s">
        <v>833</v>
      </c>
      <c r="AN2452">
        <v>-121.038673</v>
      </c>
      <c r="AO2452">
        <v>25</v>
      </c>
      <c r="AP2452">
        <v>4600</v>
      </c>
      <c r="AQ2452" t="s">
        <v>131</v>
      </c>
      <c r="AR2452">
        <v>14</v>
      </c>
      <c r="AS2452">
        <v>83</v>
      </c>
      <c r="AT2452">
        <v>0</v>
      </c>
      <c r="BB2452" t="str">
        <f t="shared" si="966"/>
        <v>1200</v>
      </c>
      <c r="BC2452">
        <v>1</v>
      </c>
      <c r="BD2452" t="str">
        <f t="shared" si="967"/>
        <v xml:space="preserve">N52156  </v>
      </c>
      <c r="BE2452">
        <v>1</v>
      </c>
      <c r="BG2452">
        <v>0</v>
      </c>
      <c r="BH2452">
        <v>0</v>
      </c>
      <c r="BI2452">
        <v>0</v>
      </c>
      <c r="BJ2452">
        <v>4675</v>
      </c>
      <c r="BK2452">
        <v>75</v>
      </c>
      <c r="BL2452" t="s">
        <v>188</v>
      </c>
      <c r="BM2452">
        <v>1</v>
      </c>
      <c r="BN2452">
        <v>1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 t="shared" si="973"/>
        <v>15:11:20.938</v>
      </c>
      <c r="CF2452">
        <v>937721663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4</v>
      </c>
      <c r="CY2452">
        <v>7</v>
      </c>
      <c r="CZ2452" t="s">
        <v>133</v>
      </c>
      <c r="DA2452">
        <v>275</v>
      </c>
      <c r="DB2452">
        <v>0</v>
      </c>
      <c r="DC2452" t="s">
        <v>134</v>
      </c>
      <c r="DD2452" t="s">
        <v>135</v>
      </c>
      <c r="DG2452">
        <v>3321738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>"05/01/2025 15:11:21.168"</f>
        <v>05/01/2025 15:11:21.168</v>
      </c>
      <c r="C2453" t="str">
        <f t="shared" si="964"/>
        <v>FFDFD3C0</v>
      </c>
      <c r="D2453" t="s">
        <v>145</v>
      </c>
      <c r="E2453" t="str">
        <f>"09"</f>
        <v>09</v>
      </c>
      <c r="H2453">
        <v>51</v>
      </c>
      <c r="I2453" t="s">
        <v>147</v>
      </c>
      <c r="J2453" t="s">
        <v>138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R2453" t="s">
        <v>127</v>
      </c>
      <c r="S2453" t="str">
        <f t="shared" si="972"/>
        <v>15:11:20.000</v>
      </c>
      <c r="T2453" t="str">
        <f t="shared" si="972"/>
        <v>15:11:20.000</v>
      </c>
      <c r="U2453" t="str">
        <f t="shared" si="965"/>
        <v>A68FCB</v>
      </c>
      <c r="V2453">
        <v>0</v>
      </c>
      <c r="W2453">
        <v>0</v>
      </c>
      <c r="X2453">
        <v>2</v>
      </c>
      <c r="Y2453">
        <v>0</v>
      </c>
      <c r="AA2453">
        <v>1</v>
      </c>
      <c r="AB2453">
        <v>8</v>
      </c>
      <c r="AC2453">
        <v>3</v>
      </c>
      <c r="AD2453">
        <v>0</v>
      </c>
      <c r="AE2453">
        <v>9</v>
      </c>
      <c r="AF2453" t="s">
        <v>138</v>
      </c>
      <c r="AG2453">
        <v>0</v>
      </c>
      <c r="AH2453">
        <v>3</v>
      </c>
      <c r="AI2453">
        <v>2</v>
      </c>
      <c r="AJ2453">
        <v>0</v>
      </c>
      <c r="AK2453" t="s">
        <v>832</v>
      </c>
      <c r="AL2453">
        <v>39.080815000000001</v>
      </c>
      <c r="AM2453" t="s">
        <v>833</v>
      </c>
      <c r="AN2453">
        <v>-121.038673</v>
      </c>
      <c r="AO2453">
        <v>25</v>
      </c>
      <c r="AP2453">
        <v>4600</v>
      </c>
      <c r="AQ2453" t="s">
        <v>131</v>
      </c>
      <c r="AR2453">
        <v>14</v>
      </c>
      <c r="AS2453">
        <v>83</v>
      </c>
      <c r="AT2453">
        <v>0</v>
      </c>
      <c r="BB2453" t="str">
        <f t="shared" si="966"/>
        <v>1200</v>
      </c>
      <c r="BC2453">
        <v>1</v>
      </c>
      <c r="BD2453" t="str">
        <f t="shared" si="967"/>
        <v xml:space="preserve">N52156  </v>
      </c>
      <c r="BE2453">
        <v>1</v>
      </c>
      <c r="BG2453">
        <v>0</v>
      </c>
      <c r="BH2453">
        <v>0</v>
      </c>
      <c r="BI2453">
        <v>0</v>
      </c>
      <c r="BJ2453">
        <v>4675</v>
      </c>
      <c r="BK2453">
        <v>75</v>
      </c>
      <c r="BL2453" t="s">
        <v>188</v>
      </c>
      <c r="BM2453">
        <v>1</v>
      </c>
      <c r="BN2453">
        <v>1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 t="shared" si="973"/>
        <v>15:11:20.938</v>
      </c>
      <c r="CF2453">
        <v>937721663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4</v>
      </c>
      <c r="CY2453">
        <v>7</v>
      </c>
      <c r="CZ2453" t="s">
        <v>133</v>
      </c>
      <c r="DA2453">
        <v>275</v>
      </c>
      <c r="DB2453">
        <v>0</v>
      </c>
      <c r="DC2453" t="s">
        <v>134</v>
      </c>
      <c r="DD2453" t="s">
        <v>135</v>
      </c>
      <c r="DG2453">
        <v>3321738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>"05/01/2025 15:11:21.176"</f>
        <v>05/01/2025 15:11:21.176</v>
      </c>
      <c r="C2454" t="str">
        <f t="shared" si="964"/>
        <v>FFDFD3C0</v>
      </c>
      <c r="D2454" t="s">
        <v>136</v>
      </c>
      <c r="E2454" t="str">
        <f>"20"</f>
        <v>20</v>
      </c>
      <c r="H2454">
        <v>400</v>
      </c>
      <c r="I2454" t="s">
        <v>137</v>
      </c>
      <c r="J2454" t="s">
        <v>138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R2454" t="s">
        <v>127</v>
      </c>
      <c r="S2454" t="str">
        <f t="shared" si="972"/>
        <v>15:11:20.000</v>
      </c>
      <c r="T2454" t="str">
        <f t="shared" si="972"/>
        <v>15:11:20.000</v>
      </c>
      <c r="U2454" t="str">
        <f t="shared" si="965"/>
        <v>A68FCB</v>
      </c>
      <c r="V2454">
        <v>0</v>
      </c>
      <c r="W2454">
        <v>0</v>
      </c>
      <c r="X2454">
        <v>2</v>
      </c>
      <c r="Y2454">
        <v>0</v>
      </c>
      <c r="AA2454">
        <v>1</v>
      </c>
      <c r="AB2454">
        <v>8</v>
      </c>
      <c r="AC2454">
        <v>3</v>
      </c>
      <c r="AD2454">
        <v>0</v>
      </c>
      <c r="AE2454">
        <v>9</v>
      </c>
      <c r="AF2454" t="s">
        <v>138</v>
      </c>
      <c r="AG2454">
        <v>0</v>
      </c>
      <c r="AH2454">
        <v>3</v>
      </c>
      <c r="AI2454">
        <v>2</v>
      </c>
      <c r="AJ2454">
        <v>0</v>
      </c>
      <c r="AK2454" t="s">
        <v>832</v>
      </c>
      <c r="AL2454">
        <v>39.080815000000001</v>
      </c>
      <c r="AM2454" t="s">
        <v>833</v>
      </c>
      <c r="AN2454">
        <v>-121.038673</v>
      </c>
      <c r="AO2454">
        <v>25</v>
      </c>
      <c r="AP2454">
        <v>4600</v>
      </c>
      <c r="AQ2454" t="s">
        <v>131</v>
      </c>
      <c r="AR2454">
        <v>14</v>
      </c>
      <c r="AS2454">
        <v>83</v>
      </c>
      <c r="AT2454">
        <v>0</v>
      </c>
      <c r="BB2454" t="str">
        <f t="shared" si="966"/>
        <v>1200</v>
      </c>
      <c r="BC2454">
        <v>1</v>
      </c>
      <c r="BD2454" t="str">
        <f t="shared" si="967"/>
        <v xml:space="preserve">N52156  </v>
      </c>
      <c r="BE2454">
        <v>1</v>
      </c>
      <c r="BG2454">
        <v>0</v>
      </c>
      <c r="BH2454">
        <v>0</v>
      </c>
      <c r="BI2454">
        <v>0</v>
      </c>
      <c r="BJ2454">
        <v>4675</v>
      </c>
      <c r="BK2454">
        <v>75</v>
      </c>
      <c r="BL2454" t="s">
        <v>188</v>
      </c>
      <c r="BM2454">
        <v>1</v>
      </c>
      <c r="BN2454">
        <v>1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 t="shared" si="973"/>
        <v>15:11:20.938</v>
      </c>
      <c r="CF2454">
        <v>937721663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4</v>
      </c>
      <c r="CY2454">
        <v>7</v>
      </c>
      <c r="CZ2454" t="s">
        <v>133</v>
      </c>
      <c r="DA2454">
        <v>275</v>
      </c>
      <c r="DB2454">
        <v>0</v>
      </c>
      <c r="DC2454" t="s">
        <v>134</v>
      </c>
      <c r="DD2454" t="s">
        <v>135</v>
      </c>
      <c r="DG2454">
        <v>3321738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>"05/01/2025 15:11:21.182"</f>
        <v>05/01/2025 15:11:21.182</v>
      </c>
      <c r="C2455" t="str">
        <f t="shared" si="964"/>
        <v>FFDFD3C0</v>
      </c>
      <c r="D2455" t="s">
        <v>143</v>
      </c>
      <c r="E2455" t="str">
        <f>"05"</f>
        <v>05</v>
      </c>
      <c r="H2455">
        <v>172</v>
      </c>
      <c r="I2455" t="s">
        <v>141</v>
      </c>
      <c r="J2455" t="s">
        <v>144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R2455" t="s">
        <v>127</v>
      </c>
      <c r="S2455" t="str">
        <f t="shared" si="972"/>
        <v>15:11:20.000</v>
      </c>
      <c r="T2455" t="str">
        <f t="shared" si="972"/>
        <v>15:11:20.000</v>
      </c>
      <c r="U2455" t="str">
        <f t="shared" si="965"/>
        <v>A68FCB</v>
      </c>
      <c r="V2455">
        <v>0</v>
      </c>
      <c r="W2455">
        <v>0</v>
      </c>
      <c r="X2455">
        <v>2</v>
      </c>
      <c r="Y2455">
        <v>0</v>
      </c>
      <c r="AA2455">
        <v>1</v>
      </c>
      <c r="AB2455">
        <v>8</v>
      </c>
      <c r="AC2455">
        <v>3</v>
      </c>
      <c r="AD2455">
        <v>0</v>
      </c>
      <c r="AE2455">
        <v>9</v>
      </c>
      <c r="AF2455" t="s">
        <v>138</v>
      </c>
      <c r="AG2455">
        <v>0</v>
      </c>
      <c r="AH2455">
        <v>3</v>
      </c>
      <c r="AI2455">
        <v>2</v>
      </c>
      <c r="AJ2455">
        <v>0</v>
      </c>
      <c r="AK2455" t="s">
        <v>832</v>
      </c>
      <c r="AL2455">
        <v>39.080815000000001</v>
      </c>
      <c r="AM2455" t="s">
        <v>833</v>
      </c>
      <c r="AN2455">
        <v>-121.038673</v>
      </c>
      <c r="AO2455">
        <v>25</v>
      </c>
      <c r="AP2455">
        <v>4600</v>
      </c>
      <c r="AQ2455" t="s">
        <v>131</v>
      </c>
      <c r="AR2455">
        <v>14</v>
      </c>
      <c r="AS2455">
        <v>83</v>
      </c>
      <c r="AT2455">
        <v>0</v>
      </c>
      <c r="BB2455" t="str">
        <f t="shared" si="966"/>
        <v>1200</v>
      </c>
      <c r="BC2455">
        <v>1</v>
      </c>
      <c r="BD2455" t="str">
        <f t="shared" si="967"/>
        <v xml:space="preserve">N52156  </v>
      </c>
      <c r="BE2455">
        <v>1</v>
      </c>
      <c r="BG2455">
        <v>0</v>
      </c>
      <c r="BH2455">
        <v>0</v>
      </c>
      <c r="BI2455">
        <v>0</v>
      </c>
      <c r="BJ2455">
        <v>4675</v>
      </c>
      <c r="BK2455">
        <v>75</v>
      </c>
      <c r="BL2455" t="s">
        <v>188</v>
      </c>
      <c r="BM2455">
        <v>1</v>
      </c>
      <c r="BN2455">
        <v>1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 t="shared" si="973"/>
        <v>15:11:20.938</v>
      </c>
      <c r="CF2455">
        <v>937721663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4</v>
      </c>
      <c r="CY2455">
        <v>7</v>
      </c>
      <c r="CZ2455" t="s">
        <v>133</v>
      </c>
      <c r="DA2455">
        <v>275</v>
      </c>
      <c r="DB2455">
        <v>0</v>
      </c>
      <c r="DC2455" t="s">
        <v>134</v>
      </c>
      <c r="DD2455" t="s">
        <v>135</v>
      </c>
      <c r="DG2455">
        <v>3321738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"05/01/2025 15:11:21.809"</f>
        <v>05/01/2025 15:11:21.809</v>
      </c>
      <c r="C2456" t="str">
        <f t="shared" si="964"/>
        <v>FFDFD3C0</v>
      </c>
      <c r="D2456" t="s">
        <v>124</v>
      </c>
      <c r="E2456" t="str">
        <f>"06"</f>
        <v>06</v>
      </c>
      <c r="F2456">
        <v>2006</v>
      </c>
      <c r="G2456" t="s">
        <v>125</v>
      </c>
      <c r="J2456" t="s">
        <v>126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R2456" t="s">
        <v>127</v>
      </c>
      <c r="S2456" t="str">
        <f t="shared" ref="S2456:T2461" si="974">"15:11:21.000"</f>
        <v>15:11:21.000</v>
      </c>
      <c r="T2456" t="str">
        <f t="shared" si="974"/>
        <v>15:11:21.000</v>
      </c>
      <c r="U2456" t="str">
        <f t="shared" si="965"/>
        <v>A68FCB</v>
      </c>
      <c r="V2456">
        <v>0</v>
      </c>
      <c r="W2456">
        <v>0</v>
      </c>
      <c r="X2456">
        <v>2</v>
      </c>
      <c r="Y2456">
        <v>0</v>
      </c>
      <c r="AA2456">
        <v>1</v>
      </c>
      <c r="AB2456">
        <v>8</v>
      </c>
      <c r="AC2456">
        <v>3</v>
      </c>
      <c r="AD2456">
        <v>0</v>
      </c>
      <c r="AE2456">
        <v>9</v>
      </c>
      <c r="AF2456" t="s">
        <v>138</v>
      </c>
      <c r="AG2456">
        <v>0</v>
      </c>
      <c r="AH2456">
        <v>3</v>
      </c>
      <c r="AI2456">
        <v>2</v>
      </c>
      <c r="AJ2456">
        <v>0</v>
      </c>
      <c r="AK2456" t="s">
        <v>834</v>
      </c>
      <c r="AL2456">
        <v>39.081201999999998</v>
      </c>
      <c r="AM2456" t="s">
        <v>835</v>
      </c>
      <c r="AN2456">
        <v>-121.03858700000001</v>
      </c>
      <c r="AO2456">
        <v>25</v>
      </c>
      <c r="AP2456">
        <v>4600</v>
      </c>
      <c r="AQ2456" t="s">
        <v>131</v>
      </c>
      <c r="AR2456">
        <v>14</v>
      </c>
      <c r="AS2456">
        <v>83</v>
      </c>
      <c r="AT2456">
        <v>0</v>
      </c>
      <c r="BB2456" t="str">
        <f t="shared" si="966"/>
        <v>1200</v>
      </c>
      <c r="BC2456">
        <v>1</v>
      </c>
      <c r="BD2456" t="str">
        <f t="shared" si="967"/>
        <v xml:space="preserve">N52156  </v>
      </c>
      <c r="BE2456">
        <v>1</v>
      </c>
      <c r="BG2456">
        <v>0</v>
      </c>
      <c r="BH2456">
        <v>0</v>
      </c>
      <c r="BI2456">
        <v>0</v>
      </c>
      <c r="BJ2456">
        <v>4675</v>
      </c>
      <c r="BK2456">
        <v>75</v>
      </c>
      <c r="BL2456" t="s">
        <v>188</v>
      </c>
      <c r="BM2456">
        <v>1</v>
      </c>
      <c r="BN2456">
        <v>1</v>
      </c>
      <c r="BO2456">
        <v>0</v>
      </c>
      <c r="BP2456">
        <v>0</v>
      </c>
      <c r="BS2456">
        <v>0</v>
      </c>
      <c r="BT2456">
        <v>0</v>
      </c>
      <c r="BU2456">
        <v>0</v>
      </c>
      <c r="CE2456" t="str">
        <f t="shared" ref="CE2456:CE2461" si="975">"15:11:21.608"</f>
        <v>15:11:21.608</v>
      </c>
      <c r="CF2456">
        <v>607971077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3</v>
      </c>
      <c r="CY2456">
        <v>7</v>
      </c>
      <c r="CZ2456" t="s">
        <v>133</v>
      </c>
      <c r="DA2456">
        <v>275</v>
      </c>
      <c r="DB2456">
        <v>0</v>
      </c>
      <c r="DC2456" t="s">
        <v>134</v>
      </c>
      <c r="DD2456" t="s">
        <v>135</v>
      </c>
      <c r="DG2456">
        <v>3321742</v>
      </c>
      <c r="DI2456">
        <v>1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"05/01/2025 15:11:21.818"</f>
        <v>05/01/2025 15:11:21.818</v>
      </c>
      <c r="C2457" t="str">
        <f t="shared" si="964"/>
        <v>FFDFD3C0</v>
      </c>
      <c r="D2457" t="s">
        <v>145</v>
      </c>
      <c r="E2457" t="str">
        <f>"05"</f>
        <v>05</v>
      </c>
      <c r="H2457">
        <v>47</v>
      </c>
      <c r="I2457" t="s">
        <v>146</v>
      </c>
      <c r="J2457" t="s">
        <v>138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R2457" t="s">
        <v>127</v>
      </c>
      <c r="S2457" t="str">
        <f t="shared" si="974"/>
        <v>15:11:21.000</v>
      </c>
      <c r="T2457" t="str">
        <f t="shared" si="974"/>
        <v>15:11:21.000</v>
      </c>
      <c r="U2457" t="str">
        <f t="shared" si="965"/>
        <v>A68FCB</v>
      </c>
      <c r="V2457">
        <v>0</v>
      </c>
      <c r="W2457">
        <v>0</v>
      </c>
      <c r="X2457">
        <v>2</v>
      </c>
      <c r="Y2457">
        <v>0</v>
      </c>
      <c r="AA2457">
        <v>1</v>
      </c>
      <c r="AB2457">
        <v>8</v>
      </c>
      <c r="AC2457">
        <v>3</v>
      </c>
      <c r="AD2457">
        <v>0</v>
      </c>
      <c r="AE2457">
        <v>9</v>
      </c>
      <c r="AF2457" t="s">
        <v>138</v>
      </c>
      <c r="AG2457">
        <v>0</v>
      </c>
      <c r="AH2457">
        <v>3</v>
      </c>
      <c r="AI2457">
        <v>2</v>
      </c>
      <c r="AJ2457">
        <v>0</v>
      </c>
      <c r="AK2457" t="s">
        <v>834</v>
      </c>
      <c r="AL2457">
        <v>39.081201999999998</v>
      </c>
      <c r="AM2457" t="s">
        <v>835</v>
      </c>
      <c r="AN2457">
        <v>-121.03858700000001</v>
      </c>
      <c r="AO2457">
        <v>25</v>
      </c>
      <c r="AP2457">
        <v>4600</v>
      </c>
      <c r="AQ2457" t="s">
        <v>131</v>
      </c>
      <c r="AR2457">
        <v>14</v>
      </c>
      <c r="AS2457">
        <v>83</v>
      </c>
      <c r="AT2457">
        <v>0</v>
      </c>
      <c r="BB2457" t="str">
        <f t="shared" si="966"/>
        <v>1200</v>
      </c>
      <c r="BC2457">
        <v>1</v>
      </c>
      <c r="BD2457" t="str">
        <f t="shared" si="967"/>
        <v xml:space="preserve">N52156  </v>
      </c>
      <c r="BE2457">
        <v>1</v>
      </c>
      <c r="BG2457">
        <v>0</v>
      </c>
      <c r="BH2457">
        <v>0</v>
      </c>
      <c r="BI2457">
        <v>0</v>
      </c>
      <c r="BJ2457">
        <v>4675</v>
      </c>
      <c r="BK2457">
        <v>75</v>
      </c>
      <c r="BL2457" t="s">
        <v>188</v>
      </c>
      <c r="BM2457">
        <v>1</v>
      </c>
      <c r="BN2457">
        <v>1</v>
      </c>
      <c r="BO2457">
        <v>0</v>
      </c>
      <c r="BP2457">
        <v>0</v>
      </c>
      <c r="BS2457">
        <v>0</v>
      </c>
      <c r="BT2457">
        <v>0</v>
      </c>
      <c r="BU2457">
        <v>0</v>
      </c>
      <c r="CE2457" t="str">
        <f t="shared" si="975"/>
        <v>15:11:21.608</v>
      </c>
      <c r="CF2457">
        <v>607971077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3</v>
      </c>
      <c r="CY2457">
        <v>7</v>
      </c>
      <c r="CZ2457" t="s">
        <v>133</v>
      </c>
      <c r="DA2457">
        <v>275</v>
      </c>
      <c r="DB2457">
        <v>0</v>
      </c>
      <c r="DC2457" t="s">
        <v>134</v>
      </c>
      <c r="DD2457" t="s">
        <v>135</v>
      </c>
      <c r="DG2457">
        <v>3321742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"05/01/2025 15:11:21.818"</f>
        <v>05/01/2025 15:11:21.818</v>
      </c>
      <c r="C2458" t="str">
        <f t="shared" si="964"/>
        <v>FFDFD3C0</v>
      </c>
      <c r="D2458" t="s">
        <v>145</v>
      </c>
      <c r="E2458" t="str">
        <f>"09"</f>
        <v>09</v>
      </c>
      <c r="H2458">
        <v>51</v>
      </c>
      <c r="I2458" t="s">
        <v>147</v>
      </c>
      <c r="J2458" t="s">
        <v>138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R2458" t="s">
        <v>127</v>
      </c>
      <c r="S2458" t="str">
        <f t="shared" si="974"/>
        <v>15:11:21.000</v>
      </c>
      <c r="T2458" t="str">
        <f t="shared" si="974"/>
        <v>15:11:21.000</v>
      </c>
      <c r="U2458" t="str">
        <f t="shared" si="965"/>
        <v>A68FCB</v>
      </c>
      <c r="V2458">
        <v>0</v>
      </c>
      <c r="W2458">
        <v>0</v>
      </c>
      <c r="X2458">
        <v>2</v>
      </c>
      <c r="Y2458">
        <v>0</v>
      </c>
      <c r="AA2458">
        <v>1</v>
      </c>
      <c r="AB2458">
        <v>8</v>
      </c>
      <c r="AC2458">
        <v>3</v>
      </c>
      <c r="AD2458">
        <v>0</v>
      </c>
      <c r="AE2458">
        <v>9</v>
      </c>
      <c r="AF2458" t="s">
        <v>138</v>
      </c>
      <c r="AG2458">
        <v>0</v>
      </c>
      <c r="AH2458">
        <v>3</v>
      </c>
      <c r="AI2458">
        <v>2</v>
      </c>
      <c r="AJ2458">
        <v>0</v>
      </c>
      <c r="AK2458" t="s">
        <v>834</v>
      </c>
      <c r="AL2458">
        <v>39.081201999999998</v>
      </c>
      <c r="AM2458" t="s">
        <v>835</v>
      </c>
      <c r="AN2458">
        <v>-121.03858700000001</v>
      </c>
      <c r="AO2458">
        <v>25</v>
      </c>
      <c r="AP2458">
        <v>4600</v>
      </c>
      <c r="AQ2458" t="s">
        <v>131</v>
      </c>
      <c r="AR2458">
        <v>14</v>
      </c>
      <c r="AS2458">
        <v>83</v>
      </c>
      <c r="AT2458">
        <v>0</v>
      </c>
      <c r="BB2458" t="str">
        <f t="shared" si="966"/>
        <v>1200</v>
      </c>
      <c r="BC2458">
        <v>1</v>
      </c>
      <c r="BD2458" t="str">
        <f t="shared" si="967"/>
        <v xml:space="preserve">N52156  </v>
      </c>
      <c r="BE2458">
        <v>1</v>
      </c>
      <c r="BG2458">
        <v>0</v>
      </c>
      <c r="BH2458">
        <v>0</v>
      </c>
      <c r="BI2458">
        <v>0</v>
      </c>
      <c r="BJ2458">
        <v>4675</v>
      </c>
      <c r="BK2458">
        <v>75</v>
      </c>
      <c r="BL2458" t="s">
        <v>188</v>
      </c>
      <c r="BM2458">
        <v>1</v>
      </c>
      <c r="BN2458">
        <v>1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 t="shared" si="975"/>
        <v>15:11:21.608</v>
      </c>
      <c r="CF2458">
        <v>607971077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3</v>
      </c>
      <c r="CY2458">
        <v>7</v>
      </c>
      <c r="CZ2458" t="s">
        <v>133</v>
      </c>
      <c r="DA2458">
        <v>275</v>
      </c>
      <c r="DB2458">
        <v>0</v>
      </c>
      <c r="DC2458" t="s">
        <v>134</v>
      </c>
      <c r="DD2458" t="s">
        <v>135</v>
      </c>
      <c r="DG2458">
        <v>3321742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"05/01/2025 15:11:21.827"</f>
        <v>05/01/2025 15:11:21.827</v>
      </c>
      <c r="C2459" t="str">
        <f t="shared" si="964"/>
        <v>FFDFD3C0</v>
      </c>
      <c r="D2459" t="s">
        <v>136</v>
      </c>
      <c r="E2459" t="str">
        <f>"20"</f>
        <v>20</v>
      </c>
      <c r="H2459">
        <v>400</v>
      </c>
      <c r="I2459" t="s">
        <v>137</v>
      </c>
      <c r="J2459" t="s">
        <v>138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R2459" t="s">
        <v>127</v>
      </c>
      <c r="S2459" t="str">
        <f t="shared" si="974"/>
        <v>15:11:21.000</v>
      </c>
      <c r="T2459" t="str">
        <f t="shared" si="974"/>
        <v>15:11:21.000</v>
      </c>
      <c r="U2459" t="str">
        <f t="shared" si="965"/>
        <v>A68FCB</v>
      </c>
      <c r="V2459">
        <v>0</v>
      </c>
      <c r="W2459">
        <v>0</v>
      </c>
      <c r="X2459">
        <v>2</v>
      </c>
      <c r="Y2459">
        <v>0</v>
      </c>
      <c r="AA2459">
        <v>1</v>
      </c>
      <c r="AB2459">
        <v>8</v>
      </c>
      <c r="AC2459">
        <v>3</v>
      </c>
      <c r="AD2459">
        <v>0</v>
      </c>
      <c r="AE2459">
        <v>9</v>
      </c>
      <c r="AF2459" t="s">
        <v>138</v>
      </c>
      <c r="AG2459">
        <v>0</v>
      </c>
      <c r="AH2459">
        <v>3</v>
      </c>
      <c r="AI2459">
        <v>2</v>
      </c>
      <c r="AJ2459">
        <v>0</v>
      </c>
      <c r="AK2459" t="s">
        <v>834</v>
      </c>
      <c r="AL2459">
        <v>39.081201999999998</v>
      </c>
      <c r="AM2459" t="s">
        <v>835</v>
      </c>
      <c r="AN2459">
        <v>-121.03858700000001</v>
      </c>
      <c r="AO2459">
        <v>25</v>
      </c>
      <c r="AP2459">
        <v>4600</v>
      </c>
      <c r="AQ2459" t="s">
        <v>131</v>
      </c>
      <c r="AR2459">
        <v>14</v>
      </c>
      <c r="AS2459">
        <v>83</v>
      </c>
      <c r="AT2459">
        <v>0</v>
      </c>
      <c r="BB2459" t="str">
        <f t="shared" si="966"/>
        <v>1200</v>
      </c>
      <c r="BC2459">
        <v>1</v>
      </c>
      <c r="BD2459" t="str">
        <f t="shared" si="967"/>
        <v xml:space="preserve">N52156  </v>
      </c>
      <c r="BE2459">
        <v>1</v>
      </c>
      <c r="BG2459">
        <v>0</v>
      </c>
      <c r="BH2459">
        <v>0</v>
      </c>
      <c r="BI2459">
        <v>0</v>
      </c>
      <c r="BJ2459">
        <v>4675</v>
      </c>
      <c r="BK2459">
        <v>75</v>
      </c>
      <c r="BL2459" t="s">
        <v>188</v>
      </c>
      <c r="BM2459">
        <v>1</v>
      </c>
      <c r="BN2459">
        <v>1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 t="shared" si="975"/>
        <v>15:11:21.608</v>
      </c>
      <c r="CF2459">
        <v>607971077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3</v>
      </c>
      <c r="CY2459">
        <v>7</v>
      </c>
      <c r="CZ2459" t="s">
        <v>133</v>
      </c>
      <c r="DA2459">
        <v>275</v>
      </c>
      <c r="DB2459">
        <v>0</v>
      </c>
      <c r="DC2459" t="s">
        <v>134</v>
      </c>
      <c r="DD2459" t="s">
        <v>135</v>
      </c>
      <c r="DG2459">
        <v>3321742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"05/01/2025 15:11:21.833"</f>
        <v>05/01/2025 15:11:21.833</v>
      </c>
      <c r="C2460" t="str">
        <f t="shared" si="964"/>
        <v>FFDFD3C0</v>
      </c>
      <c r="D2460" t="s">
        <v>143</v>
      </c>
      <c r="E2460" t="str">
        <f>"05"</f>
        <v>05</v>
      </c>
      <c r="H2460">
        <v>172</v>
      </c>
      <c r="I2460" t="s">
        <v>141</v>
      </c>
      <c r="J2460" t="s">
        <v>144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R2460" t="s">
        <v>127</v>
      </c>
      <c r="S2460" t="str">
        <f t="shared" si="974"/>
        <v>15:11:21.000</v>
      </c>
      <c r="T2460" t="str">
        <f t="shared" si="974"/>
        <v>15:11:21.000</v>
      </c>
      <c r="U2460" t="str">
        <f t="shared" si="965"/>
        <v>A68FCB</v>
      </c>
      <c r="V2460">
        <v>0</v>
      </c>
      <c r="W2460">
        <v>0</v>
      </c>
      <c r="X2460">
        <v>2</v>
      </c>
      <c r="Y2460">
        <v>0</v>
      </c>
      <c r="AA2460">
        <v>1</v>
      </c>
      <c r="AB2460">
        <v>8</v>
      </c>
      <c r="AC2460">
        <v>3</v>
      </c>
      <c r="AD2460">
        <v>0</v>
      </c>
      <c r="AE2460">
        <v>9</v>
      </c>
      <c r="AF2460" t="s">
        <v>138</v>
      </c>
      <c r="AG2460">
        <v>0</v>
      </c>
      <c r="AH2460">
        <v>3</v>
      </c>
      <c r="AI2460">
        <v>2</v>
      </c>
      <c r="AJ2460">
        <v>0</v>
      </c>
      <c r="AK2460" t="s">
        <v>834</v>
      </c>
      <c r="AL2460">
        <v>39.081201999999998</v>
      </c>
      <c r="AM2460" t="s">
        <v>835</v>
      </c>
      <c r="AN2460">
        <v>-121.03858700000001</v>
      </c>
      <c r="AO2460">
        <v>25</v>
      </c>
      <c r="AP2460">
        <v>4600</v>
      </c>
      <c r="AQ2460" t="s">
        <v>131</v>
      </c>
      <c r="AR2460">
        <v>14</v>
      </c>
      <c r="AS2460">
        <v>83</v>
      </c>
      <c r="AT2460">
        <v>0</v>
      </c>
      <c r="BB2460" t="str">
        <f t="shared" si="966"/>
        <v>1200</v>
      </c>
      <c r="BC2460">
        <v>1</v>
      </c>
      <c r="BD2460" t="str">
        <f t="shared" si="967"/>
        <v xml:space="preserve">N52156  </v>
      </c>
      <c r="BE2460">
        <v>1</v>
      </c>
      <c r="BG2460">
        <v>0</v>
      </c>
      <c r="BH2460">
        <v>0</v>
      </c>
      <c r="BI2460">
        <v>0</v>
      </c>
      <c r="BJ2460">
        <v>4675</v>
      </c>
      <c r="BK2460">
        <v>75</v>
      </c>
      <c r="BL2460" t="s">
        <v>188</v>
      </c>
      <c r="BM2460">
        <v>1</v>
      </c>
      <c r="BN2460">
        <v>1</v>
      </c>
      <c r="BO2460">
        <v>0</v>
      </c>
      <c r="BP2460">
        <v>0</v>
      </c>
      <c r="BS2460">
        <v>0</v>
      </c>
      <c r="BT2460">
        <v>0</v>
      </c>
      <c r="BU2460">
        <v>0</v>
      </c>
      <c r="CE2460" t="str">
        <f t="shared" si="975"/>
        <v>15:11:21.608</v>
      </c>
      <c r="CF2460">
        <v>607971077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3</v>
      </c>
      <c r="CY2460">
        <v>7</v>
      </c>
      <c r="CZ2460" t="s">
        <v>133</v>
      </c>
      <c r="DA2460">
        <v>275</v>
      </c>
      <c r="DB2460">
        <v>0</v>
      </c>
      <c r="DC2460" t="s">
        <v>134</v>
      </c>
      <c r="DD2460" t="s">
        <v>135</v>
      </c>
      <c r="DG2460">
        <v>3321742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"05/01/2025 15:11:21.852"</f>
        <v>05/01/2025 15:11:21.852</v>
      </c>
      <c r="C2461" t="str">
        <f t="shared" si="964"/>
        <v>FFDFD3C0</v>
      </c>
      <c r="D2461" t="s">
        <v>140</v>
      </c>
      <c r="E2461" t="str">
        <f>"13"</f>
        <v>13</v>
      </c>
      <c r="F2461">
        <v>1019</v>
      </c>
      <c r="G2461" t="s">
        <v>141</v>
      </c>
      <c r="J2461" t="s">
        <v>142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R2461" t="s">
        <v>127</v>
      </c>
      <c r="S2461" t="str">
        <f t="shared" si="974"/>
        <v>15:11:21.000</v>
      </c>
      <c r="T2461" t="str">
        <f t="shared" si="974"/>
        <v>15:11:21.000</v>
      </c>
      <c r="U2461" t="str">
        <f t="shared" si="965"/>
        <v>A68FCB</v>
      </c>
      <c r="V2461">
        <v>0</v>
      </c>
      <c r="W2461">
        <v>0</v>
      </c>
      <c r="X2461">
        <v>2</v>
      </c>
      <c r="Y2461">
        <v>0</v>
      </c>
      <c r="AA2461">
        <v>1</v>
      </c>
      <c r="AB2461">
        <v>8</v>
      </c>
      <c r="AC2461">
        <v>3</v>
      </c>
      <c r="AD2461">
        <v>0</v>
      </c>
      <c r="AE2461">
        <v>9</v>
      </c>
      <c r="AF2461" t="s">
        <v>138</v>
      </c>
      <c r="AG2461">
        <v>0</v>
      </c>
      <c r="AH2461">
        <v>3</v>
      </c>
      <c r="AI2461">
        <v>2</v>
      </c>
      <c r="AJ2461">
        <v>0</v>
      </c>
      <c r="AK2461" t="s">
        <v>834</v>
      </c>
      <c r="AL2461">
        <v>39.081201999999998</v>
      </c>
      <c r="AM2461" t="s">
        <v>835</v>
      </c>
      <c r="AN2461">
        <v>-121.03858700000001</v>
      </c>
      <c r="AO2461">
        <v>25</v>
      </c>
      <c r="AP2461">
        <v>4600</v>
      </c>
      <c r="AQ2461" t="s">
        <v>131</v>
      </c>
      <c r="AR2461">
        <v>14</v>
      </c>
      <c r="AS2461">
        <v>83</v>
      </c>
      <c r="AT2461">
        <v>0</v>
      </c>
      <c r="BB2461" t="str">
        <f t="shared" si="966"/>
        <v>1200</v>
      </c>
      <c r="BC2461">
        <v>1</v>
      </c>
      <c r="BD2461" t="str">
        <f t="shared" si="967"/>
        <v xml:space="preserve">N52156  </v>
      </c>
      <c r="BE2461">
        <v>1</v>
      </c>
      <c r="BG2461">
        <v>0</v>
      </c>
      <c r="BH2461">
        <v>0</v>
      </c>
      <c r="BI2461">
        <v>0</v>
      </c>
      <c r="BJ2461">
        <v>4675</v>
      </c>
      <c r="BK2461">
        <v>75</v>
      </c>
      <c r="BL2461" t="s">
        <v>188</v>
      </c>
      <c r="BM2461">
        <v>1</v>
      </c>
      <c r="BN2461">
        <v>1</v>
      </c>
      <c r="BO2461">
        <v>0</v>
      </c>
      <c r="BP2461">
        <v>0</v>
      </c>
      <c r="BS2461">
        <v>0</v>
      </c>
      <c r="BT2461">
        <v>0</v>
      </c>
      <c r="BU2461">
        <v>0</v>
      </c>
      <c r="CE2461" t="str">
        <f t="shared" si="975"/>
        <v>15:11:21.608</v>
      </c>
      <c r="CF2461">
        <v>607971077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3</v>
      </c>
      <c r="CY2461">
        <v>7</v>
      </c>
      <c r="CZ2461" t="s">
        <v>133</v>
      </c>
      <c r="DA2461">
        <v>275</v>
      </c>
      <c r="DB2461">
        <v>0</v>
      </c>
      <c r="DC2461" t="s">
        <v>134</v>
      </c>
      <c r="DD2461" t="s">
        <v>135</v>
      </c>
      <c r="DG2461">
        <v>3321742</v>
      </c>
      <c r="DI2461">
        <v>1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"05/01/2025 15:11:22.485"</f>
        <v>05/01/2025 15:11:22.485</v>
      </c>
      <c r="C2462" t="str">
        <f t="shared" si="964"/>
        <v>FFDFD3C0</v>
      </c>
      <c r="D2462" t="s">
        <v>143</v>
      </c>
      <c r="E2462" t="str">
        <f>"05"</f>
        <v>05</v>
      </c>
      <c r="H2462">
        <v>172</v>
      </c>
      <c r="I2462" t="s">
        <v>141</v>
      </c>
      <c r="J2462" t="s">
        <v>144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R2462" t="s">
        <v>127</v>
      </c>
      <c r="S2462" t="str">
        <f t="shared" ref="S2462:T2467" si="976">"15:11:22.000"</f>
        <v>15:11:22.000</v>
      </c>
      <c r="T2462" t="str">
        <f t="shared" si="976"/>
        <v>15:11:22.000</v>
      </c>
      <c r="U2462" t="str">
        <f t="shared" si="965"/>
        <v>A68FCB</v>
      </c>
      <c r="V2462">
        <v>0</v>
      </c>
      <c r="W2462">
        <v>0</v>
      </c>
      <c r="X2462">
        <v>2</v>
      </c>
      <c r="Y2462">
        <v>0</v>
      </c>
      <c r="AA2462">
        <v>1</v>
      </c>
      <c r="AB2462">
        <v>8</v>
      </c>
      <c r="AC2462">
        <v>3</v>
      </c>
      <c r="AD2462">
        <v>0</v>
      </c>
      <c r="AE2462">
        <v>9</v>
      </c>
      <c r="AF2462" t="s">
        <v>138</v>
      </c>
      <c r="AG2462">
        <v>0</v>
      </c>
      <c r="AH2462">
        <v>3</v>
      </c>
      <c r="AI2462">
        <v>2</v>
      </c>
      <c r="AJ2462">
        <v>0</v>
      </c>
      <c r="AK2462" t="s">
        <v>836</v>
      </c>
      <c r="AL2462">
        <v>39.081588000000004</v>
      </c>
      <c r="AM2462" t="s">
        <v>837</v>
      </c>
      <c r="AN2462">
        <v>-121.038501</v>
      </c>
      <c r="AO2462">
        <v>25</v>
      </c>
      <c r="AP2462">
        <v>4600</v>
      </c>
      <c r="AQ2462" t="s">
        <v>131</v>
      </c>
      <c r="AR2462">
        <v>14</v>
      </c>
      <c r="AS2462">
        <v>83</v>
      </c>
      <c r="AT2462">
        <v>0</v>
      </c>
      <c r="BB2462" t="str">
        <f t="shared" si="966"/>
        <v>1200</v>
      </c>
      <c r="BC2462">
        <v>1</v>
      </c>
      <c r="BD2462" t="str">
        <f t="shared" si="967"/>
        <v xml:space="preserve">N52156  </v>
      </c>
      <c r="BE2462">
        <v>1</v>
      </c>
      <c r="BG2462">
        <v>0</v>
      </c>
      <c r="BH2462">
        <v>0</v>
      </c>
      <c r="BI2462">
        <v>0</v>
      </c>
      <c r="BJ2462">
        <v>4675</v>
      </c>
      <c r="BK2462">
        <v>75</v>
      </c>
      <c r="BL2462" t="s">
        <v>188</v>
      </c>
      <c r="BM2462">
        <v>1</v>
      </c>
      <c r="BN2462">
        <v>1</v>
      </c>
      <c r="BO2462">
        <v>0</v>
      </c>
      <c r="BP2462">
        <v>0</v>
      </c>
      <c r="BS2462">
        <v>0</v>
      </c>
      <c r="BT2462">
        <v>0</v>
      </c>
      <c r="BU2462">
        <v>0</v>
      </c>
      <c r="CE2462" t="str">
        <f t="shared" ref="CE2462:CE2467" si="977">"15:11:22.285"</f>
        <v>15:11:22.285</v>
      </c>
      <c r="CF2462">
        <v>285470344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3</v>
      </c>
      <c r="CY2462">
        <v>7</v>
      </c>
      <c r="CZ2462" t="s">
        <v>133</v>
      </c>
      <c r="DA2462">
        <v>275</v>
      </c>
      <c r="DB2462">
        <v>0</v>
      </c>
      <c r="DC2462" t="s">
        <v>134</v>
      </c>
      <c r="DD2462" t="s">
        <v>135</v>
      </c>
      <c r="DG2462">
        <v>3321747</v>
      </c>
      <c r="DI2462">
        <v>1</v>
      </c>
      <c r="DJ2462">
        <v>0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"05/01/2025 15:11:22.503"</f>
        <v>05/01/2025 15:11:22.503</v>
      </c>
      <c r="C2463" t="str">
        <f t="shared" si="964"/>
        <v>FFDFD3C0</v>
      </c>
      <c r="D2463" t="s">
        <v>140</v>
      </c>
      <c r="E2463" t="str">
        <f>"13"</f>
        <v>13</v>
      </c>
      <c r="F2463">
        <v>1019</v>
      </c>
      <c r="G2463" t="s">
        <v>141</v>
      </c>
      <c r="J2463" t="s">
        <v>142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R2463" t="s">
        <v>127</v>
      </c>
      <c r="S2463" t="str">
        <f t="shared" si="976"/>
        <v>15:11:22.000</v>
      </c>
      <c r="T2463" t="str">
        <f t="shared" si="976"/>
        <v>15:11:22.000</v>
      </c>
      <c r="U2463" t="str">
        <f t="shared" si="965"/>
        <v>A68FCB</v>
      </c>
      <c r="V2463">
        <v>0</v>
      </c>
      <c r="W2463">
        <v>0</v>
      </c>
      <c r="X2463">
        <v>2</v>
      </c>
      <c r="Y2463">
        <v>0</v>
      </c>
      <c r="AA2463">
        <v>1</v>
      </c>
      <c r="AB2463">
        <v>8</v>
      </c>
      <c r="AC2463">
        <v>3</v>
      </c>
      <c r="AD2463">
        <v>0</v>
      </c>
      <c r="AE2463">
        <v>9</v>
      </c>
      <c r="AF2463" t="s">
        <v>138</v>
      </c>
      <c r="AG2463">
        <v>0</v>
      </c>
      <c r="AH2463">
        <v>3</v>
      </c>
      <c r="AI2463">
        <v>2</v>
      </c>
      <c r="AJ2463">
        <v>0</v>
      </c>
      <c r="AK2463" t="s">
        <v>836</v>
      </c>
      <c r="AL2463">
        <v>39.081588000000004</v>
      </c>
      <c r="AM2463" t="s">
        <v>837</v>
      </c>
      <c r="AN2463">
        <v>-121.038501</v>
      </c>
      <c r="AO2463">
        <v>25</v>
      </c>
      <c r="AP2463">
        <v>4600</v>
      </c>
      <c r="AQ2463" t="s">
        <v>131</v>
      </c>
      <c r="AR2463">
        <v>14</v>
      </c>
      <c r="AS2463">
        <v>83</v>
      </c>
      <c r="AT2463">
        <v>0</v>
      </c>
      <c r="BB2463" t="str">
        <f t="shared" si="966"/>
        <v>1200</v>
      </c>
      <c r="BC2463">
        <v>1</v>
      </c>
      <c r="BD2463" t="str">
        <f t="shared" si="967"/>
        <v xml:space="preserve">N52156  </v>
      </c>
      <c r="BE2463">
        <v>1</v>
      </c>
      <c r="BG2463">
        <v>0</v>
      </c>
      <c r="BH2463">
        <v>0</v>
      </c>
      <c r="BI2463">
        <v>0</v>
      </c>
      <c r="BJ2463">
        <v>4675</v>
      </c>
      <c r="BK2463">
        <v>75</v>
      </c>
      <c r="BL2463" t="s">
        <v>188</v>
      </c>
      <c r="BM2463">
        <v>1</v>
      </c>
      <c r="BN2463">
        <v>1</v>
      </c>
      <c r="BO2463">
        <v>0</v>
      </c>
      <c r="BP2463">
        <v>0</v>
      </c>
      <c r="BS2463">
        <v>0</v>
      </c>
      <c r="BT2463">
        <v>0</v>
      </c>
      <c r="BU2463">
        <v>0</v>
      </c>
      <c r="CE2463" t="str">
        <f t="shared" si="977"/>
        <v>15:11:22.285</v>
      </c>
      <c r="CF2463">
        <v>285470344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3</v>
      </c>
      <c r="CY2463">
        <v>7</v>
      </c>
      <c r="CZ2463" t="s">
        <v>133</v>
      </c>
      <c r="DA2463">
        <v>275</v>
      </c>
      <c r="DB2463">
        <v>0</v>
      </c>
      <c r="DC2463" t="s">
        <v>134</v>
      </c>
      <c r="DD2463" t="s">
        <v>135</v>
      </c>
      <c r="DG2463">
        <v>3321747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"05/01/2025 15:11:22.511"</f>
        <v>05/01/2025 15:11:22.511</v>
      </c>
      <c r="C2464" t="str">
        <f t="shared" si="964"/>
        <v>FFDFD3C0</v>
      </c>
      <c r="D2464" t="s">
        <v>124</v>
      </c>
      <c r="E2464" t="str">
        <f>"06"</f>
        <v>06</v>
      </c>
      <c r="F2464">
        <v>2006</v>
      </c>
      <c r="G2464" t="s">
        <v>125</v>
      </c>
      <c r="J2464" t="s">
        <v>126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R2464" t="s">
        <v>127</v>
      </c>
      <c r="S2464" t="str">
        <f t="shared" si="976"/>
        <v>15:11:22.000</v>
      </c>
      <c r="T2464" t="str">
        <f t="shared" si="976"/>
        <v>15:11:22.000</v>
      </c>
      <c r="U2464" t="str">
        <f t="shared" si="965"/>
        <v>A68FCB</v>
      </c>
      <c r="V2464">
        <v>0</v>
      </c>
      <c r="W2464">
        <v>0</v>
      </c>
      <c r="X2464">
        <v>2</v>
      </c>
      <c r="Y2464">
        <v>0</v>
      </c>
      <c r="AA2464">
        <v>1</v>
      </c>
      <c r="AB2464">
        <v>8</v>
      </c>
      <c r="AC2464">
        <v>3</v>
      </c>
      <c r="AD2464">
        <v>0</v>
      </c>
      <c r="AE2464">
        <v>9</v>
      </c>
      <c r="AF2464" t="s">
        <v>138</v>
      </c>
      <c r="AG2464">
        <v>0</v>
      </c>
      <c r="AH2464">
        <v>3</v>
      </c>
      <c r="AI2464">
        <v>2</v>
      </c>
      <c r="AJ2464">
        <v>0</v>
      </c>
      <c r="AK2464" t="s">
        <v>836</v>
      </c>
      <c r="AL2464">
        <v>39.081588000000004</v>
      </c>
      <c r="AM2464" t="s">
        <v>837</v>
      </c>
      <c r="AN2464">
        <v>-121.038501</v>
      </c>
      <c r="AO2464">
        <v>25</v>
      </c>
      <c r="AP2464">
        <v>4600</v>
      </c>
      <c r="AQ2464" t="s">
        <v>131</v>
      </c>
      <c r="AR2464">
        <v>14</v>
      </c>
      <c r="AS2464">
        <v>83</v>
      </c>
      <c r="AT2464">
        <v>0</v>
      </c>
      <c r="BB2464" t="str">
        <f t="shared" si="966"/>
        <v>1200</v>
      </c>
      <c r="BC2464">
        <v>1</v>
      </c>
      <c r="BD2464" t="str">
        <f t="shared" si="967"/>
        <v xml:space="preserve">N52156  </v>
      </c>
      <c r="BE2464">
        <v>1</v>
      </c>
      <c r="BG2464">
        <v>0</v>
      </c>
      <c r="BH2464">
        <v>0</v>
      </c>
      <c r="BI2464">
        <v>0</v>
      </c>
      <c r="BJ2464">
        <v>4675</v>
      </c>
      <c r="BK2464">
        <v>75</v>
      </c>
      <c r="BL2464" t="s">
        <v>188</v>
      </c>
      <c r="BM2464">
        <v>1</v>
      </c>
      <c r="BN2464">
        <v>1</v>
      </c>
      <c r="BO2464">
        <v>0</v>
      </c>
      <c r="BP2464">
        <v>0</v>
      </c>
      <c r="BS2464">
        <v>0</v>
      </c>
      <c r="BT2464">
        <v>0</v>
      </c>
      <c r="BU2464">
        <v>0</v>
      </c>
      <c r="CE2464" t="str">
        <f t="shared" si="977"/>
        <v>15:11:22.285</v>
      </c>
      <c r="CF2464">
        <v>285470344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3</v>
      </c>
      <c r="CY2464">
        <v>7</v>
      </c>
      <c r="CZ2464" t="s">
        <v>133</v>
      </c>
      <c r="DA2464">
        <v>275</v>
      </c>
      <c r="DB2464">
        <v>0</v>
      </c>
      <c r="DC2464" t="s">
        <v>134</v>
      </c>
      <c r="DD2464" t="s">
        <v>135</v>
      </c>
      <c r="DG2464">
        <v>3321747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"05/01/2025 15:11:22.520"</f>
        <v>05/01/2025 15:11:22.520</v>
      </c>
      <c r="C2465" t="str">
        <f t="shared" si="964"/>
        <v>FFDFD3C0</v>
      </c>
      <c r="D2465" t="s">
        <v>145</v>
      </c>
      <c r="E2465" t="str">
        <f>"09"</f>
        <v>09</v>
      </c>
      <c r="H2465">
        <v>51</v>
      </c>
      <c r="I2465" t="s">
        <v>147</v>
      </c>
      <c r="J2465" t="s">
        <v>138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R2465" t="s">
        <v>127</v>
      </c>
      <c r="S2465" t="str">
        <f t="shared" si="976"/>
        <v>15:11:22.000</v>
      </c>
      <c r="T2465" t="str">
        <f t="shared" si="976"/>
        <v>15:11:22.000</v>
      </c>
      <c r="U2465" t="str">
        <f t="shared" si="965"/>
        <v>A68FCB</v>
      </c>
      <c r="V2465">
        <v>0</v>
      </c>
      <c r="W2465">
        <v>0</v>
      </c>
      <c r="X2465">
        <v>2</v>
      </c>
      <c r="Y2465">
        <v>0</v>
      </c>
      <c r="AA2465">
        <v>1</v>
      </c>
      <c r="AB2465">
        <v>8</v>
      </c>
      <c r="AC2465">
        <v>3</v>
      </c>
      <c r="AD2465">
        <v>0</v>
      </c>
      <c r="AE2465">
        <v>9</v>
      </c>
      <c r="AF2465" t="s">
        <v>138</v>
      </c>
      <c r="AG2465">
        <v>0</v>
      </c>
      <c r="AH2465">
        <v>3</v>
      </c>
      <c r="AI2465">
        <v>2</v>
      </c>
      <c r="AJ2465">
        <v>0</v>
      </c>
      <c r="AK2465" t="s">
        <v>836</v>
      </c>
      <c r="AL2465">
        <v>39.081588000000004</v>
      </c>
      <c r="AM2465" t="s">
        <v>837</v>
      </c>
      <c r="AN2465">
        <v>-121.038501</v>
      </c>
      <c r="AO2465">
        <v>25</v>
      </c>
      <c r="AP2465">
        <v>4600</v>
      </c>
      <c r="AQ2465" t="s">
        <v>131</v>
      </c>
      <c r="AR2465">
        <v>14</v>
      </c>
      <c r="AS2465">
        <v>83</v>
      </c>
      <c r="AT2465">
        <v>0</v>
      </c>
      <c r="BB2465" t="str">
        <f t="shared" si="966"/>
        <v>1200</v>
      </c>
      <c r="BC2465">
        <v>1</v>
      </c>
      <c r="BD2465" t="str">
        <f t="shared" si="967"/>
        <v xml:space="preserve">N52156  </v>
      </c>
      <c r="BE2465">
        <v>1</v>
      </c>
      <c r="BG2465">
        <v>0</v>
      </c>
      <c r="BH2465">
        <v>0</v>
      </c>
      <c r="BI2465">
        <v>0</v>
      </c>
      <c r="BJ2465">
        <v>4675</v>
      </c>
      <c r="BK2465">
        <v>75</v>
      </c>
      <c r="BL2465" t="s">
        <v>188</v>
      </c>
      <c r="BM2465">
        <v>1</v>
      </c>
      <c r="BN2465">
        <v>1</v>
      </c>
      <c r="BO2465">
        <v>0</v>
      </c>
      <c r="BP2465">
        <v>0</v>
      </c>
      <c r="BS2465">
        <v>0</v>
      </c>
      <c r="BT2465">
        <v>0</v>
      </c>
      <c r="BU2465">
        <v>0</v>
      </c>
      <c r="CE2465" t="str">
        <f t="shared" si="977"/>
        <v>15:11:22.285</v>
      </c>
      <c r="CF2465">
        <v>285470344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3</v>
      </c>
      <c r="CY2465">
        <v>7</v>
      </c>
      <c r="CZ2465" t="s">
        <v>133</v>
      </c>
      <c r="DA2465">
        <v>275</v>
      </c>
      <c r="DB2465">
        <v>0</v>
      </c>
      <c r="DC2465" t="s">
        <v>134</v>
      </c>
      <c r="DD2465" t="s">
        <v>135</v>
      </c>
      <c r="DG2465">
        <v>3321747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"05/01/2025 15:11:22.520"</f>
        <v>05/01/2025 15:11:22.520</v>
      </c>
      <c r="C2466" t="str">
        <f t="shared" si="964"/>
        <v>FFDFD3C0</v>
      </c>
      <c r="D2466" t="s">
        <v>145</v>
      </c>
      <c r="E2466" t="str">
        <f>"05"</f>
        <v>05</v>
      </c>
      <c r="H2466">
        <v>47</v>
      </c>
      <c r="I2466" t="s">
        <v>146</v>
      </c>
      <c r="J2466" t="s">
        <v>138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R2466" t="s">
        <v>127</v>
      </c>
      <c r="S2466" t="str">
        <f t="shared" si="976"/>
        <v>15:11:22.000</v>
      </c>
      <c r="T2466" t="str">
        <f t="shared" si="976"/>
        <v>15:11:22.000</v>
      </c>
      <c r="U2466" t="str">
        <f t="shared" si="965"/>
        <v>A68FCB</v>
      </c>
      <c r="V2466">
        <v>0</v>
      </c>
      <c r="W2466">
        <v>0</v>
      </c>
      <c r="X2466">
        <v>2</v>
      </c>
      <c r="Y2466">
        <v>0</v>
      </c>
      <c r="AA2466">
        <v>1</v>
      </c>
      <c r="AB2466">
        <v>8</v>
      </c>
      <c r="AC2466">
        <v>3</v>
      </c>
      <c r="AD2466">
        <v>0</v>
      </c>
      <c r="AE2466">
        <v>9</v>
      </c>
      <c r="AF2466" t="s">
        <v>138</v>
      </c>
      <c r="AG2466">
        <v>0</v>
      </c>
      <c r="AH2466">
        <v>3</v>
      </c>
      <c r="AI2466">
        <v>2</v>
      </c>
      <c r="AJ2466">
        <v>0</v>
      </c>
      <c r="AK2466" t="s">
        <v>836</v>
      </c>
      <c r="AL2466">
        <v>39.081588000000004</v>
      </c>
      <c r="AM2466" t="s">
        <v>837</v>
      </c>
      <c r="AN2466">
        <v>-121.038501</v>
      </c>
      <c r="AO2466">
        <v>25</v>
      </c>
      <c r="AP2466">
        <v>4600</v>
      </c>
      <c r="AQ2466" t="s">
        <v>131</v>
      </c>
      <c r="AR2466">
        <v>14</v>
      </c>
      <c r="AS2466">
        <v>83</v>
      </c>
      <c r="AT2466">
        <v>0</v>
      </c>
      <c r="BB2466" t="str">
        <f t="shared" si="966"/>
        <v>1200</v>
      </c>
      <c r="BC2466">
        <v>1</v>
      </c>
      <c r="BD2466" t="str">
        <f t="shared" si="967"/>
        <v xml:space="preserve">N52156  </v>
      </c>
      <c r="BE2466">
        <v>1</v>
      </c>
      <c r="BG2466">
        <v>0</v>
      </c>
      <c r="BH2466">
        <v>0</v>
      </c>
      <c r="BI2466">
        <v>0</v>
      </c>
      <c r="BJ2466">
        <v>4675</v>
      </c>
      <c r="BK2466">
        <v>75</v>
      </c>
      <c r="BL2466" t="s">
        <v>188</v>
      </c>
      <c r="BM2466">
        <v>1</v>
      </c>
      <c r="BN2466">
        <v>1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 t="shared" si="977"/>
        <v>15:11:22.285</v>
      </c>
      <c r="CF2466">
        <v>285470344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3</v>
      </c>
      <c r="CY2466">
        <v>7</v>
      </c>
      <c r="CZ2466" t="s">
        <v>133</v>
      </c>
      <c r="DA2466">
        <v>275</v>
      </c>
      <c r="DB2466">
        <v>0</v>
      </c>
      <c r="DC2466" t="s">
        <v>134</v>
      </c>
      <c r="DD2466" t="s">
        <v>135</v>
      </c>
      <c r="DG2466">
        <v>3321747</v>
      </c>
      <c r="DI2466">
        <v>1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"05/01/2025 15:11:22.529"</f>
        <v>05/01/2025 15:11:22.529</v>
      </c>
      <c r="C2467" t="str">
        <f t="shared" si="964"/>
        <v>FFDFD3C0</v>
      </c>
      <c r="D2467" t="s">
        <v>136</v>
      </c>
      <c r="E2467" t="str">
        <f>"20"</f>
        <v>20</v>
      </c>
      <c r="H2467">
        <v>400</v>
      </c>
      <c r="I2467" t="s">
        <v>137</v>
      </c>
      <c r="J2467" t="s">
        <v>138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R2467" t="s">
        <v>127</v>
      </c>
      <c r="S2467" t="str">
        <f t="shared" si="976"/>
        <v>15:11:22.000</v>
      </c>
      <c r="T2467" t="str">
        <f t="shared" si="976"/>
        <v>15:11:22.000</v>
      </c>
      <c r="U2467" t="str">
        <f t="shared" si="965"/>
        <v>A68FCB</v>
      </c>
      <c r="V2467">
        <v>0</v>
      </c>
      <c r="W2467">
        <v>0</v>
      </c>
      <c r="X2467">
        <v>2</v>
      </c>
      <c r="Y2467">
        <v>0</v>
      </c>
      <c r="AA2467">
        <v>1</v>
      </c>
      <c r="AB2467">
        <v>8</v>
      </c>
      <c r="AC2467">
        <v>3</v>
      </c>
      <c r="AD2467">
        <v>0</v>
      </c>
      <c r="AE2467">
        <v>9</v>
      </c>
      <c r="AF2467" t="s">
        <v>138</v>
      </c>
      <c r="AG2467">
        <v>0</v>
      </c>
      <c r="AH2467">
        <v>3</v>
      </c>
      <c r="AI2467">
        <v>2</v>
      </c>
      <c r="AJ2467">
        <v>0</v>
      </c>
      <c r="AK2467" t="s">
        <v>836</v>
      </c>
      <c r="AL2467">
        <v>39.081588000000004</v>
      </c>
      <c r="AM2467" t="s">
        <v>837</v>
      </c>
      <c r="AN2467">
        <v>-121.038501</v>
      </c>
      <c r="AO2467">
        <v>25</v>
      </c>
      <c r="AP2467">
        <v>4600</v>
      </c>
      <c r="AQ2467" t="s">
        <v>131</v>
      </c>
      <c r="AR2467">
        <v>14</v>
      </c>
      <c r="AS2467">
        <v>83</v>
      </c>
      <c r="AT2467">
        <v>0</v>
      </c>
      <c r="BB2467" t="str">
        <f t="shared" si="966"/>
        <v>1200</v>
      </c>
      <c r="BC2467">
        <v>1</v>
      </c>
      <c r="BD2467" t="str">
        <f t="shared" si="967"/>
        <v xml:space="preserve">N52156  </v>
      </c>
      <c r="BE2467">
        <v>1</v>
      </c>
      <c r="BG2467">
        <v>0</v>
      </c>
      <c r="BH2467">
        <v>0</v>
      </c>
      <c r="BI2467">
        <v>0</v>
      </c>
      <c r="BJ2467">
        <v>4675</v>
      </c>
      <c r="BK2467">
        <v>75</v>
      </c>
      <c r="BL2467" t="s">
        <v>188</v>
      </c>
      <c r="BM2467">
        <v>1</v>
      </c>
      <c r="BN2467">
        <v>1</v>
      </c>
      <c r="BO2467">
        <v>0</v>
      </c>
      <c r="BP2467">
        <v>0</v>
      </c>
      <c r="BS2467">
        <v>0</v>
      </c>
      <c r="BT2467">
        <v>0</v>
      </c>
      <c r="BU2467">
        <v>0</v>
      </c>
      <c r="CE2467" t="str">
        <f t="shared" si="977"/>
        <v>15:11:22.285</v>
      </c>
      <c r="CF2467">
        <v>285470344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3</v>
      </c>
      <c r="CY2467">
        <v>7</v>
      </c>
      <c r="CZ2467" t="s">
        <v>133</v>
      </c>
      <c r="DA2467">
        <v>275</v>
      </c>
      <c r="DB2467">
        <v>0</v>
      </c>
      <c r="DC2467" t="s">
        <v>134</v>
      </c>
      <c r="DD2467" t="s">
        <v>135</v>
      </c>
      <c r="DG2467">
        <v>3321747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"05/01/2025 15:11:23.772"</f>
        <v>05/01/2025 15:11:23.772</v>
      </c>
      <c r="C2468" t="str">
        <f t="shared" si="964"/>
        <v>FFDFD3C0</v>
      </c>
      <c r="D2468" t="s">
        <v>145</v>
      </c>
      <c r="E2468" t="str">
        <f>"05"</f>
        <v>05</v>
      </c>
      <c r="H2468">
        <v>47</v>
      </c>
      <c r="I2468" t="s">
        <v>146</v>
      </c>
      <c r="J2468" t="s">
        <v>138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R2468" t="s">
        <v>127</v>
      </c>
      <c r="S2468" t="str">
        <f t="shared" ref="S2468:T2473" si="978">"15:11:23.000"</f>
        <v>15:11:23.000</v>
      </c>
      <c r="T2468" t="str">
        <f t="shared" si="978"/>
        <v>15:11:23.000</v>
      </c>
      <c r="U2468" t="str">
        <f t="shared" si="965"/>
        <v>A68FCB</v>
      </c>
      <c r="V2468">
        <v>0</v>
      </c>
      <c r="W2468">
        <v>0</v>
      </c>
      <c r="X2468">
        <v>2</v>
      </c>
      <c r="Y2468">
        <v>0</v>
      </c>
      <c r="AA2468">
        <v>1</v>
      </c>
      <c r="AB2468">
        <v>8</v>
      </c>
      <c r="AC2468">
        <v>3</v>
      </c>
      <c r="AD2468">
        <v>0</v>
      </c>
      <c r="AE2468">
        <v>9</v>
      </c>
      <c r="AF2468" t="s">
        <v>138</v>
      </c>
      <c r="AG2468">
        <v>0</v>
      </c>
      <c r="AH2468">
        <v>3</v>
      </c>
      <c r="AI2468">
        <v>2</v>
      </c>
      <c r="AJ2468">
        <v>0</v>
      </c>
      <c r="AK2468" t="s">
        <v>838</v>
      </c>
      <c r="AL2468">
        <v>39.081952999999999</v>
      </c>
      <c r="AM2468" t="s">
        <v>839</v>
      </c>
      <c r="AN2468">
        <v>-121.038394</v>
      </c>
      <c r="AO2468">
        <v>25</v>
      </c>
      <c r="AP2468">
        <v>4600</v>
      </c>
      <c r="AQ2468" t="s">
        <v>131</v>
      </c>
      <c r="AR2468">
        <v>13</v>
      </c>
      <c r="AS2468">
        <v>83</v>
      </c>
      <c r="AT2468">
        <v>0</v>
      </c>
      <c r="BB2468" t="str">
        <f t="shared" si="966"/>
        <v>1200</v>
      </c>
      <c r="BC2468">
        <v>1</v>
      </c>
      <c r="BD2468" t="str">
        <f t="shared" si="967"/>
        <v xml:space="preserve">N52156  </v>
      </c>
      <c r="BE2468">
        <v>1</v>
      </c>
      <c r="BG2468">
        <v>0</v>
      </c>
      <c r="BH2468">
        <v>0</v>
      </c>
      <c r="BI2468">
        <v>0</v>
      </c>
      <c r="BJ2468">
        <v>4675</v>
      </c>
      <c r="BK2468">
        <v>75</v>
      </c>
      <c r="BL2468" t="s">
        <v>188</v>
      </c>
      <c r="BM2468">
        <v>1</v>
      </c>
      <c r="BN2468">
        <v>1</v>
      </c>
      <c r="BO2468">
        <v>0</v>
      </c>
      <c r="BP2468">
        <v>0</v>
      </c>
      <c r="BS2468">
        <v>0</v>
      </c>
      <c r="BT2468">
        <v>0</v>
      </c>
      <c r="BU2468">
        <v>0</v>
      </c>
      <c r="CE2468" t="str">
        <f t="shared" ref="CE2468:CE2473" si="979">"15:11:23.558"</f>
        <v>15:11:23.558</v>
      </c>
      <c r="CF2468">
        <v>557791415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3</v>
      </c>
      <c r="CY2468">
        <v>7</v>
      </c>
      <c r="CZ2468" t="s">
        <v>133</v>
      </c>
      <c r="DA2468">
        <v>276</v>
      </c>
      <c r="DB2468">
        <v>0</v>
      </c>
      <c r="DC2468" t="s">
        <v>402</v>
      </c>
      <c r="DD2468" t="s">
        <v>403</v>
      </c>
      <c r="DG2468">
        <v>1627214</v>
      </c>
      <c r="DI2468">
        <v>1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"05/01/2025 15:11:23.772"</f>
        <v>05/01/2025 15:11:23.772</v>
      </c>
      <c r="C2469" t="str">
        <f t="shared" si="964"/>
        <v>FFDFD3C0</v>
      </c>
      <c r="D2469" t="s">
        <v>145</v>
      </c>
      <c r="E2469" t="str">
        <f>"09"</f>
        <v>09</v>
      </c>
      <c r="H2469">
        <v>51</v>
      </c>
      <c r="I2469" t="s">
        <v>147</v>
      </c>
      <c r="J2469" t="s">
        <v>138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R2469" t="s">
        <v>127</v>
      </c>
      <c r="S2469" t="str">
        <f t="shared" si="978"/>
        <v>15:11:23.000</v>
      </c>
      <c r="T2469" t="str">
        <f t="shared" si="978"/>
        <v>15:11:23.000</v>
      </c>
      <c r="U2469" t="str">
        <f t="shared" si="965"/>
        <v>A68FCB</v>
      </c>
      <c r="V2469">
        <v>0</v>
      </c>
      <c r="W2469">
        <v>0</v>
      </c>
      <c r="X2469">
        <v>2</v>
      </c>
      <c r="Y2469">
        <v>0</v>
      </c>
      <c r="AA2469">
        <v>1</v>
      </c>
      <c r="AB2469">
        <v>8</v>
      </c>
      <c r="AC2469">
        <v>3</v>
      </c>
      <c r="AD2469">
        <v>0</v>
      </c>
      <c r="AE2469">
        <v>9</v>
      </c>
      <c r="AF2469" t="s">
        <v>138</v>
      </c>
      <c r="AG2469">
        <v>0</v>
      </c>
      <c r="AH2469">
        <v>3</v>
      </c>
      <c r="AI2469">
        <v>2</v>
      </c>
      <c r="AJ2469">
        <v>0</v>
      </c>
      <c r="AK2469" t="s">
        <v>838</v>
      </c>
      <c r="AL2469">
        <v>39.081952999999999</v>
      </c>
      <c r="AM2469" t="s">
        <v>839</v>
      </c>
      <c r="AN2469">
        <v>-121.038394</v>
      </c>
      <c r="AO2469">
        <v>25</v>
      </c>
      <c r="AP2469">
        <v>4600</v>
      </c>
      <c r="AQ2469" t="s">
        <v>131</v>
      </c>
      <c r="AR2469">
        <v>13</v>
      </c>
      <c r="AS2469">
        <v>83</v>
      </c>
      <c r="AT2469">
        <v>0</v>
      </c>
      <c r="BB2469" t="str">
        <f t="shared" si="966"/>
        <v>1200</v>
      </c>
      <c r="BC2469">
        <v>1</v>
      </c>
      <c r="BD2469" t="str">
        <f t="shared" si="967"/>
        <v xml:space="preserve">N52156  </v>
      </c>
      <c r="BE2469">
        <v>1</v>
      </c>
      <c r="BG2469">
        <v>0</v>
      </c>
      <c r="BH2469">
        <v>0</v>
      </c>
      <c r="BI2469">
        <v>0</v>
      </c>
      <c r="BJ2469">
        <v>4675</v>
      </c>
      <c r="BK2469">
        <v>75</v>
      </c>
      <c r="BL2469" t="s">
        <v>188</v>
      </c>
      <c r="BM2469">
        <v>1</v>
      </c>
      <c r="BN2469">
        <v>1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 t="shared" si="979"/>
        <v>15:11:23.558</v>
      </c>
      <c r="CF2469">
        <v>557791415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3</v>
      </c>
      <c r="CY2469">
        <v>7</v>
      </c>
      <c r="CZ2469" t="s">
        <v>133</v>
      </c>
      <c r="DA2469">
        <v>276</v>
      </c>
      <c r="DB2469">
        <v>0</v>
      </c>
      <c r="DC2469" t="s">
        <v>402</v>
      </c>
      <c r="DD2469" t="s">
        <v>403</v>
      </c>
      <c r="DG2469">
        <v>1627214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"05/01/2025 15:11:23.781"</f>
        <v>05/01/2025 15:11:23.781</v>
      </c>
      <c r="C2470" t="str">
        <f t="shared" si="964"/>
        <v>FFDFD3C0</v>
      </c>
      <c r="D2470" t="s">
        <v>136</v>
      </c>
      <c r="E2470" t="str">
        <f>"20"</f>
        <v>20</v>
      </c>
      <c r="H2470">
        <v>400</v>
      </c>
      <c r="I2470" t="s">
        <v>137</v>
      </c>
      <c r="J2470" t="s">
        <v>138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R2470" t="s">
        <v>127</v>
      </c>
      <c r="S2470" t="str">
        <f t="shared" si="978"/>
        <v>15:11:23.000</v>
      </c>
      <c r="T2470" t="str">
        <f t="shared" si="978"/>
        <v>15:11:23.000</v>
      </c>
      <c r="U2470" t="str">
        <f t="shared" si="965"/>
        <v>A68FCB</v>
      </c>
      <c r="V2470">
        <v>0</v>
      </c>
      <c r="W2470">
        <v>0</v>
      </c>
      <c r="X2470">
        <v>2</v>
      </c>
      <c r="Y2470">
        <v>0</v>
      </c>
      <c r="AA2470">
        <v>1</v>
      </c>
      <c r="AB2470">
        <v>8</v>
      </c>
      <c r="AC2470">
        <v>3</v>
      </c>
      <c r="AD2470">
        <v>0</v>
      </c>
      <c r="AE2470">
        <v>9</v>
      </c>
      <c r="AF2470" t="s">
        <v>138</v>
      </c>
      <c r="AG2470">
        <v>0</v>
      </c>
      <c r="AH2470">
        <v>3</v>
      </c>
      <c r="AI2470">
        <v>2</v>
      </c>
      <c r="AJ2470">
        <v>0</v>
      </c>
      <c r="AK2470" t="s">
        <v>838</v>
      </c>
      <c r="AL2470">
        <v>39.081952999999999</v>
      </c>
      <c r="AM2470" t="s">
        <v>839</v>
      </c>
      <c r="AN2470">
        <v>-121.038394</v>
      </c>
      <c r="AO2470">
        <v>25</v>
      </c>
      <c r="AP2470">
        <v>4600</v>
      </c>
      <c r="AQ2470" t="s">
        <v>131</v>
      </c>
      <c r="AR2470">
        <v>13</v>
      </c>
      <c r="AS2470">
        <v>83</v>
      </c>
      <c r="AT2470">
        <v>0</v>
      </c>
      <c r="BB2470" t="str">
        <f t="shared" si="966"/>
        <v>1200</v>
      </c>
      <c r="BC2470">
        <v>1</v>
      </c>
      <c r="BD2470" t="str">
        <f t="shared" si="967"/>
        <v xml:space="preserve">N52156  </v>
      </c>
      <c r="BE2470">
        <v>1</v>
      </c>
      <c r="BG2470">
        <v>0</v>
      </c>
      <c r="BH2470">
        <v>0</v>
      </c>
      <c r="BI2470">
        <v>0</v>
      </c>
      <c r="BJ2470">
        <v>4675</v>
      </c>
      <c r="BK2470">
        <v>75</v>
      </c>
      <c r="BL2470" t="s">
        <v>188</v>
      </c>
      <c r="BM2470">
        <v>1</v>
      </c>
      <c r="BN2470">
        <v>1</v>
      </c>
      <c r="BO2470">
        <v>0</v>
      </c>
      <c r="BP2470">
        <v>0</v>
      </c>
      <c r="BS2470">
        <v>0</v>
      </c>
      <c r="BT2470">
        <v>0</v>
      </c>
      <c r="BU2470">
        <v>0</v>
      </c>
      <c r="CE2470" t="str">
        <f t="shared" si="979"/>
        <v>15:11:23.558</v>
      </c>
      <c r="CF2470">
        <v>557791415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3</v>
      </c>
      <c r="CY2470">
        <v>7</v>
      </c>
      <c r="CZ2470" t="s">
        <v>133</v>
      </c>
      <c r="DA2470">
        <v>276</v>
      </c>
      <c r="DB2470">
        <v>0</v>
      </c>
      <c r="DC2470" t="s">
        <v>402</v>
      </c>
      <c r="DD2470" t="s">
        <v>403</v>
      </c>
      <c r="DG2470">
        <v>1627214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"05/01/2025 15:11:23.788"</f>
        <v>05/01/2025 15:11:23.788</v>
      </c>
      <c r="C2471" t="str">
        <f t="shared" si="964"/>
        <v>FFDFD3C0</v>
      </c>
      <c r="D2471" t="s">
        <v>143</v>
      </c>
      <c r="E2471" t="str">
        <f>"05"</f>
        <v>05</v>
      </c>
      <c r="H2471">
        <v>172</v>
      </c>
      <c r="I2471" t="s">
        <v>141</v>
      </c>
      <c r="J2471" t="s">
        <v>144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R2471" t="s">
        <v>127</v>
      </c>
      <c r="S2471" t="str">
        <f t="shared" si="978"/>
        <v>15:11:23.000</v>
      </c>
      <c r="T2471" t="str">
        <f t="shared" si="978"/>
        <v>15:11:23.000</v>
      </c>
      <c r="U2471" t="str">
        <f t="shared" si="965"/>
        <v>A68FCB</v>
      </c>
      <c r="V2471">
        <v>0</v>
      </c>
      <c r="W2471">
        <v>0</v>
      </c>
      <c r="X2471">
        <v>2</v>
      </c>
      <c r="Y2471">
        <v>0</v>
      </c>
      <c r="AA2471">
        <v>1</v>
      </c>
      <c r="AB2471">
        <v>8</v>
      </c>
      <c r="AC2471">
        <v>3</v>
      </c>
      <c r="AD2471">
        <v>0</v>
      </c>
      <c r="AE2471">
        <v>9</v>
      </c>
      <c r="AF2471" t="s">
        <v>138</v>
      </c>
      <c r="AG2471">
        <v>0</v>
      </c>
      <c r="AH2471">
        <v>3</v>
      </c>
      <c r="AI2471">
        <v>2</v>
      </c>
      <c r="AJ2471">
        <v>0</v>
      </c>
      <c r="AK2471" t="s">
        <v>838</v>
      </c>
      <c r="AL2471">
        <v>39.081952999999999</v>
      </c>
      <c r="AM2471" t="s">
        <v>839</v>
      </c>
      <c r="AN2471">
        <v>-121.038394</v>
      </c>
      <c r="AO2471">
        <v>25</v>
      </c>
      <c r="AP2471">
        <v>4600</v>
      </c>
      <c r="AQ2471" t="s">
        <v>131</v>
      </c>
      <c r="AR2471">
        <v>13</v>
      </c>
      <c r="AS2471">
        <v>83</v>
      </c>
      <c r="AT2471">
        <v>0</v>
      </c>
      <c r="BB2471" t="str">
        <f t="shared" si="966"/>
        <v>1200</v>
      </c>
      <c r="BC2471">
        <v>1</v>
      </c>
      <c r="BD2471" t="str">
        <f t="shared" si="967"/>
        <v xml:space="preserve">N52156  </v>
      </c>
      <c r="BE2471">
        <v>1</v>
      </c>
      <c r="BG2471">
        <v>0</v>
      </c>
      <c r="BH2471">
        <v>0</v>
      </c>
      <c r="BI2471">
        <v>0</v>
      </c>
      <c r="BJ2471">
        <v>4675</v>
      </c>
      <c r="BK2471">
        <v>75</v>
      </c>
      <c r="BL2471" t="s">
        <v>188</v>
      </c>
      <c r="BM2471">
        <v>1</v>
      </c>
      <c r="BN2471">
        <v>1</v>
      </c>
      <c r="BO2471">
        <v>0</v>
      </c>
      <c r="BP2471">
        <v>0</v>
      </c>
      <c r="BS2471">
        <v>0</v>
      </c>
      <c r="BT2471">
        <v>0</v>
      </c>
      <c r="BU2471">
        <v>0</v>
      </c>
      <c r="CE2471" t="str">
        <f t="shared" si="979"/>
        <v>15:11:23.558</v>
      </c>
      <c r="CF2471">
        <v>557791415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3</v>
      </c>
      <c r="CY2471">
        <v>7</v>
      </c>
      <c r="CZ2471" t="s">
        <v>133</v>
      </c>
      <c r="DA2471">
        <v>276</v>
      </c>
      <c r="DB2471">
        <v>0</v>
      </c>
      <c r="DC2471" t="s">
        <v>402</v>
      </c>
      <c r="DD2471" t="s">
        <v>403</v>
      </c>
      <c r="DG2471">
        <v>1627214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"05/01/2025 15:11:23.805"</f>
        <v>05/01/2025 15:11:23.805</v>
      </c>
      <c r="C2472" t="str">
        <f t="shared" si="964"/>
        <v>FFDFD3C0</v>
      </c>
      <c r="D2472" t="s">
        <v>140</v>
      </c>
      <c r="E2472" t="str">
        <f>"13"</f>
        <v>13</v>
      </c>
      <c r="F2472">
        <v>1019</v>
      </c>
      <c r="G2472" t="s">
        <v>141</v>
      </c>
      <c r="J2472" t="s">
        <v>142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R2472" t="s">
        <v>127</v>
      </c>
      <c r="S2472" t="str">
        <f t="shared" si="978"/>
        <v>15:11:23.000</v>
      </c>
      <c r="T2472" t="str">
        <f t="shared" si="978"/>
        <v>15:11:23.000</v>
      </c>
      <c r="U2472" t="str">
        <f t="shared" si="965"/>
        <v>A68FCB</v>
      </c>
      <c r="V2472">
        <v>0</v>
      </c>
      <c r="W2472">
        <v>0</v>
      </c>
      <c r="X2472">
        <v>2</v>
      </c>
      <c r="Y2472">
        <v>0</v>
      </c>
      <c r="AA2472">
        <v>1</v>
      </c>
      <c r="AB2472">
        <v>8</v>
      </c>
      <c r="AC2472">
        <v>3</v>
      </c>
      <c r="AD2472">
        <v>0</v>
      </c>
      <c r="AE2472">
        <v>9</v>
      </c>
      <c r="AF2472" t="s">
        <v>138</v>
      </c>
      <c r="AG2472">
        <v>0</v>
      </c>
      <c r="AH2472">
        <v>3</v>
      </c>
      <c r="AI2472">
        <v>2</v>
      </c>
      <c r="AJ2472">
        <v>0</v>
      </c>
      <c r="AK2472" t="s">
        <v>838</v>
      </c>
      <c r="AL2472">
        <v>39.081952999999999</v>
      </c>
      <c r="AM2472" t="s">
        <v>839</v>
      </c>
      <c r="AN2472">
        <v>-121.038394</v>
      </c>
      <c r="AO2472">
        <v>25</v>
      </c>
      <c r="AP2472">
        <v>4600</v>
      </c>
      <c r="AQ2472" t="s">
        <v>131</v>
      </c>
      <c r="AR2472">
        <v>13</v>
      </c>
      <c r="AS2472">
        <v>83</v>
      </c>
      <c r="AT2472">
        <v>0</v>
      </c>
      <c r="BB2472" t="str">
        <f t="shared" si="966"/>
        <v>1200</v>
      </c>
      <c r="BC2472">
        <v>1</v>
      </c>
      <c r="BD2472" t="str">
        <f t="shared" si="967"/>
        <v xml:space="preserve">N52156  </v>
      </c>
      <c r="BE2472">
        <v>1</v>
      </c>
      <c r="BG2472">
        <v>0</v>
      </c>
      <c r="BH2472">
        <v>0</v>
      </c>
      <c r="BI2472">
        <v>0</v>
      </c>
      <c r="BJ2472">
        <v>4675</v>
      </c>
      <c r="BK2472">
        <v>75</v>
      </c>
      <c r="BL2472" t="s">
        <v>188</v>
      </c>
      <c r="BM2472">
        <v>1</v>
      </c>
      <c r="BN2472">
        <v>1</v>
      </c>
      <c r="BO2472">
        <v>0</v>
      </c>
      <c r="BP2472">
        <v>0</v>
      </c>
      <c r="BS2472">
        <v>0</v>
      </c>
      <c r="BT2472">
        <v>0</v>
      </c>
      <c r="BU2472">
        <v>0</v>
      </c>
      <c r="CE2472" t="str">
        <f t="shared" si="979"/>
        <v>15:11:23.558</v>
      </c>
      <c r="CF2472">
        <v>557791415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3</v>
      </c>
      <c r="CY2472">
        <v>7</v>
      </c>
      <c r="CZ2472" t="s">
        <v>133</v>
      </c>
      <c r="DA2472">
        <v>276</v>
      </c>
      <c r="DB2472">
        <v>0</v>
      </c>
      <c r="DC2472" t="s">
        <v>402</v>
      </c>
      <c r="DD2472" t="s">
        <v>403</v>
      </c>
      <c r="DG2472">
        <v>1627214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"05/01/2025 15:11:23.813"</f>
        <v>05/01/2025 15:11:23.813</v>
      </c>
      <c r="C2473" t="str">
        <f t="shared" si="964"/>
        <v>FFDFD3C0</v>
      </c>
      <c r="D2473" t="s">
        <v>124</v>
      </c>
      <c r="E2473" t="str">
        <f>"06"</f>
        <v>06</v>
      </c>
      <c r="F2473">
        <v>2006</v>
      </c>
      <c r="G2473" t="s">
        <v>125</v>
      </c>
      <c r="J2473" t="s">
        <v>126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R2473" t="s">
        <v>127</v>
      </c>
      <c r="S2473" t="str">
        <f t="shared" si="978"/>
        <v>15:11:23.000</v>
      </c>
      <c r="T2473" t="str">
        <f t="shared" si="978"/>
        <v>15:11:23.000</v>
      </c>
      <c r="U2473" t="str">
        <f t="shared" si="965"/>
        <v>A68FCB</v>
      </c>
      <c r="V2473">
        <v>0</v>
      </c>
      <c r="W2473">
        <v>0</v>
      </c>
      <c r="X2473">
        <v>2</v>
      </c>
      <c r="Y2473">
        <v>0</v>
      </c>
      <c r="AA2473">
        <v>1</v>
      </c>
      <c r="AB2473">
        <v>8</v>
      </c>
      <c r="AC2473">
        <v>3</v>
      </c>
      <c r="AD2473">
        <v>0</v>
      </c>
      <c r="AE2473">
        <v>9</v>
      </c>
      <c r="AF2473" t="s">
        <v>138</v>
      </c>
      <c r="AG2473">
        <v>0</v>
      </c>
      <c r="AH2473">
        <v>3</v>
      </c>
      <c r="AI2473">
        <v>2</v>
      </c>
      <c r="AJ2473">
        <v>0</v>
      </c>
      <c r="AK2473" t="s">
        <v>838</v>
      </c>
      <c r="AL2473">
        <v>39.081952999999999</v>
      </c>
      <c r="AM2473" t="s">
        <v>839</v>
      </c>
      <c r="AN2473">
        <v>-121.038394</v>
      </c>
      <c r="AO2473">
        <v>25</v>
      </c>
      <c r="AP2473">
        <v>4600</v>
      </c>
      <c r="AQ2473" t="s">
        <v>131</v>
      </c>
      <c r="AR2473">
        <v>13</v>
      </c>
      <c r="AS2473">
        <v>83</v>
      </c>
      <c r="AT2473">
        <v>0</v>
      </c>
      <c r="BB2473" t="str">
        <f t="shared" si="966"/>
        <v>1200</v>
      </c>
      <c r="BC2473">
        <v>1</v>
      </c>
      <c r="BD2473" t="str">
        <f t="shared" si="967"/>
        <v xml:space="preserve">N52156  </v>
      </c>
      <c r="BE2473">
        <v>1</v>
      </c>
      <c r="BG2473">
        <v>0</v>
      </c>
      <c r="BH2473">
        <v>0</v>
      </c>
      <c r="BI2473">
        <v>0</v>
      </c>
      <c r="BJ2473">
        <v>4675</v>
      </c>
      <c r="BK2473">
        <v>75</v>
      </c>
      <c r="BL2473" t="s">
        <v>188</v>
      </c>
      <c r="BM2473">
        <v>1</v>
      </c>
      <c r="BN2473">
        <v>1</v>
      </c>
      <c r="BO2473">
        <v>0</v>
      </c>
      <c r="BP2473">
        <v>0</v>
      </c>
      <c r="BS2473">
        <v>0</v>
      </c>
      <c r="BT2473">
        <v>0</v>
      </c>
      <c r="BU2473">
        <v>0</v>
      </c>
      <c r="CE2473" t="str">
        <f t="shared" si="979"/>
        <v>15:11:23.558</v>
      </c>
      <c r="CF2473">
        <v>557791415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3</v>
      </c>
      <c r="CY2473">
        <v>7</v>
      </c>
      <c r="CZ2473" t="s">
        <v>133</v>
      </c>
      <c r="DA2473">
        <v>276</v>
      </c>
      <c r="DB2473">
        <v>0</v>
      </c>
      <c r="DC2473" t="s">
        <v>402</v>
      </c>
      <c r="DD2473" t="s">
        <v>403</v>
      </c>
      <c r="DG2473">
        <v>1627214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"05/01/2025 15:11:25.057"</f>
        <v>05/01/2025 15:11:25.057</v>
      </c>
      <c r="C2474" t="str">
        <f t="shared" si="964"/>
        <v>FFDFD3C0</v>
      </c>
      <c r="D2474" t="s">
        <v>140</v>
      </c>
      <c r="E2474" t="str">
        <f>"13"</f>
        <v>13</v>
      </c>
      <c r="F2474">
        <v>1019</v>
      </c>
      <c r="G2474" t="s">
        <v>141</v>
      </c>
      <c r="J2474" t="s">
        <v>142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R2474" t="s">
        <v>127</v>
      </c>
      <c r="S2474" t="str">
        <f t="shared" ref="S2474:T2479" si="980">"15:11:24.000"</f>
        <v>15:11:24.000</v>
      </c>
      <c r="T2474" t="str">
        <f t="shared" si="980"/>
        <v>15:11:24.000</v>
      </c>
      <c r="U2474" t="str">
        <f t="shared" si="965"/>
        <v>A68FCB</v>
      </c>
      <c r="V2474">
        <v>0</v>
      </c>
      <c r="W2474">
        <v>0</v>
      </c>
      <c r="X2474">
        <v>2</v>
      </c>
      <c r="Y2474">
        <v>0</v>
      </c>
      <c r="AA2474">
        <v>1</v>
      </c>
      <c r="AB2474">
        <v>8</v>
      </c>
      <c r="AC2474">
        <v>3</v>
      </c>
      <c r="AD2474">
        <v>0</v>
      </c>
      <c r="AE2474">
        <v>9</v>
      </c>
      <c r="AF2474" t="s">
        <v>138</v>
      </c>
      <c r="AG2474">
        <v>0</v>
      </c>
      <c r="AH2474">
        <v>3</v>
      </c>
      <c r="AI2474">
        <v>2</v>
      </c>
      <c r="AJ2474">
        <v>0</v>
      </c>
      <c r="AK2474" t="s">
        <v>840</v>
      </c>
      <c r="AL2474">
        <v>39.082338999999997</v>
      </c>
      <c r="AM2474" t="s">
        <v>841</v>
      </c>
      <c r="AN2474">
        <v>-121.03833</v>
      </c>
      <c r="AO2474">
        <v>25</v>
      </c>
      <c r="AP2474">
        <v>4600</v>
      </c>
      <c r="AQ2474" t="s">
        <v>131</v>
      </c>
      <c r="AR2474">
        <v>13</v>
      </c>
      <c r="AS2474">
        <v>83</v>
      </c>
      <c r="AT2474">
        <v>-64</v>
      </c>
      <c r="BB2474" t="str">
        <f t="shared" si="966"/>
        <v>1200</v>
      </c>
      <c r="BC2474">
        <v>1</v>
      </c>
      <c r="BD2474" t="str">
        <f t="shared" si="967"/>
        <v xml:space="preserve">N52156  </v>
      </c>
      <c r="BE2474">
        <v>1</v>
      </c>
      <c r="BG2474">
        <v>0</v>
      </c>
      <c r="BH2474">
        <v>0</v>
      </c>
      <c r="BI2474">
        <v>0</v>
      </c>
      <c r="BJ2474">
        <v>4675</v>
      </c>
      <c r="BK2474">
        <v>75</v>
      </c>
      <c r="BL2474" t="s">
        <v>188</v>
      </c>
      <c r="BM2474">
        <v>1</v>
      </c>
      <c r="BN2474">
        <v>1</v>
      </c>
      <c r="BO2474">
        <v>0</v>
      </c>
      <c r="BP2474">
        <v>0</v>
      </c>
      <c r="BS2474">
        <v>0</v>
      </c>
      <c r="BT2474">
        <v>0</v>
      </c>
      <c r="BU2474">
        <v>0</v>
      </c>
      <c r="CE2474" t="str">
        <f t="shared" ref="CE2474:CE2479" si="981">"15:11:24.844"</f>
        <v>15:11:24.844</v>
      </c>
      <c r="CF2474">
        <v>843971991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3</v>
      </c>
      <c r="CY2474">
        <v>7</v>
      </c>
      <c r="CZ2474" t="s">
        <v>133</v>
      </c>
      <c r="DA2474">
        <v>275</v>
      </c>
      <c r="DB2474">
        <v>0</v>
      </c>
      <c r="DC2474" t="s">
        <v>134</v>
      </c>
      <c r="DD2474" t="s">
        <v>135</v>
      </c>
      <c r="DG2474">
        <v>3321760</v>
      </c>
      <c r="DI2474">
        <v>1</v>
      </c>
      <c r="DJ2474">
        <v>0</v>
      </c>
      <c r="DK2474">
        <v>0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"05/01/2025 15:11:25.065"</f>
        <v>05/01/2025 15:11:25.065</v>
      </c>
      <c r="C2475" t="str">
        <f t="shared" si="964"/>
        <v>FFDFD3C0</v>
      </c>
      <c r="D2475" t="s">
        <v>124</v>
      </c>
      <c r="E2475" t="str">
        <f>"06"</f>
        <v>06</v>
      </c>
      <c r="F2475">
        <v>2006</v>
      </c>
      <c r="G2475" t="s">
        <v>125</v>
      </c>
      <c r="J2475" t="s">
        <v>126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R2475" t="s">
        <v>127</v>
      </c>
      <c r="S2475" t="str">
        <f t="shared" si="980"/>
        <v>15:11:24.000</v>
      </c>
      <c r="T2475" t="str">
        <f t="shared" si="980"/>
        <v>15:11:24.000</v>
      </c>
      <c r="U2475" t="str">
        <f t="shared" si="965"/>
        <v>A68FCB</v>
      </c>
      <c r="V2475">
        <v>0</v>
      </c>
      <c r="W2475">
        <v>0</v>
      </c>
      <c r="X2475">
        <v>2</v>
      </c>
      <c r="Y2475">
        <v>0</v>
      </c>
      <c r="AA2475">
        <v>1</v>
      </c>
      <c r="AB2475">
        <v>8</v>
      </c>
      <c r="AC2475">
        <v>3</v>
      </c>
      <c r="AD2475">
        <v>0</v>
      </c>
      <c r="AE2475">
        <v>9</v>
      </c>
      <c r="AF2475" t="s">
        <v>138</v>
      </c>
      <c r="AG2475">
        <v>0</v>
      </c>
      <c r="AH2475">
        <v>3</v>
      </c>
      <c r="AI2475">
        <v>2</v>
      </c>
      <c r="AJ2475">
        <v>0</v>
      </c>
      <c r="AK2475" t="s">
        <v>840</v>
      </c>
      <c r="AL2475">
        <v>39.082338999999997</v>
      </c>
      <c r="AM2475" t="s">
        <v>841</v>
      </c>
      <c r="AN2475">
        <v>-121.03833</v>
      </c>
      <c r="AO2475">
        <v>25</v>
      </c>
      <c r="AP2475">
        <v>4600</v>
      </c>
      <c r="AQ2475" t="s">
        <v>131</v>
      </c>
      <c r="AR2475">
        <v>13</v>
      </c>
      <c r="AS2475">
        <v>83</v>
      </c>
      <c r="AT2475">
        <v>-64</v>
      </c>
      <c r="BB2475" t="str">
        <f t="shared" si="966"/>
        <v>1200</v>
      </c>
      <c r="BC2475">
        <v>1</v>
      </c>
      <c r="BD2475" t="str">
        <f t="shared" si="967"/>
        <v xml:space="preserve">N52156  </v>
      </c>
      <c r="BE2475">
        <v>1</v>
      </c>
      <c r="BG2475">
        <v>0</v>
      </c>
      <c r="BH2475">
        <v>0</v>
      </c>
      <c r="BI2475">
        <v>0</v>
      </c>
      <c r="BJ2475">
        <v>4675</v>
      </c>
      <c r="BK2475">
        <v>75</v>
      </c>
      <c r="BL2475" t="s">
        <v>188</v>
      </c>
      <c r="BM2475">
        <v>1</v>
      </c>
      <c r="BN2475">
        <v>1</v>
      </c>
      <c r="BO2475">
        <v>0</v>
      </c>
      <c r="BP2475">
        <v>0</v>
      </c>
      <c r="BS2475">
        <v>0</v>
      </c>
      <c r="BT2475">
        <v>0</v>
      </c>
      <c r="BU2475">
        <v>0</v>
      </c>
      <c r="CE2475" t="str">
        <f t="shared" si="981"/>
        <v>15:11:24.844</v>
      </c>
      <c r="CF2475">
        <v>843971991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3</v>
      </c>
      <c r="CY2475">
        <v>7</v>
      </c>
      <c r="CZ2475" t="s">
        <v>133</v>
      </c>
      <c r="DA2475">
        <v>275</v>
      </c>
      <c r="DB2475">
        <v>0</v>
      </c>
      <c r="DC2475" t="s">
        <v>134</v>
      </c>
      <c r="DD2475" t="s">
        <v>135</v>
      </c>
      <c r="DG2475">
        <v>3321760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"05/01/2025 15:11:25.075"</f>
        <v>05/01/2025 15:11:25.075</v>
      </c>
      <c r="C2476" t="str">
        <f t="shared" si="964"/>
        <v>FFDFD3C0</v>
      </c>
      <c r="D2476" t="s">
        <v>145</v>
      </c>
      <c r="E2476" t="str">
        <f>"09"</f>
        <v>09</v>
      </c>
      <c r="H2476">
        <v>51</v>
      </c>
      <c r="I2476" t="s">
        <v>147</v>
      </c>
      <c r="J2476" t="s">
        <v>138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R2476" t="s">
        <v>127</v>
      </c>
      <c r="S2476" t="str">
        <f t="shared" si="980"/>
        <v>15:11:24.000</v>
      </c>
      <c r="T2476" t="str">
        <f t="shared" si="980"/>
        <v>15:11:24.000</v>
      </c>
      <c r="U2476" t="str">
        <f t="shared" si="965"/>
        <v>A68FCB</v>
      </c>
      <c r="V2476">
        <v>0</v>
      </c>
      <c r="W2476">
        <v>0</v>
      </c>
      <c r="X2476">
        <v>2</v>
      </c>
      <c r="Y2476">
        <v>0</v>
      </c>
      <c r="AA2476">
        <v>1</v>
      </c>
      <c r="AB2476">
        <v>8</v>
      </c>
      <c r="AC2476">
        <v>3</v>
      </c>
      <c r="AD2476">
        <v>0</v>
      </c>
      <c r="AE2476">
        <v>9</v>
      </c>
      <c r="AF2476" t="s">
        <v>138</v>
      </c>
      <c r="AG2476">
        <v>0</v>
      </c>
      <c r="AH2476">
        <v>3</v>
      </c>
      <c r="AI2476">
        <v>2</v>
      </c>
      <c r="AJ2476">
        <v>0</v>
      </c>
      <c r="AK2476" t="s">
        <v>840</v>
      </c>
      <c r="AL2476">
        <v>39.082338999999997</v>
      </c>
      <c r="AM2476" t="s">
        <v>841</v>
      </c>
      <c r="AN2476">
        <v>-121.03833</v>
      </c>
      <c r="AO2476">
        <v>25</v>
      </c>
      <c r="AP2476">
        <v>4600</v>
      </c>
      <c r="AQ2476" t="s">
        <v>131</v>
      </c>
      <c r="AR2476">
        <v>13</v>
      </c>
      <c r="AS2476">
        <v>83</v>
      </c>
      <c r="AT2476">
        <v>-64</v>
      </c>
      <c r="BB2476" t="str">
        <f t="shared" si="966"/>
        <v>1200</v>
      </c>
      <c r="BC2476">
        <v>1</v>
      </c>
      <c r="BD2476" t="str">
        <f t="shared" si="967"/>
        <v xml:space="preserve">N52156  </v>
      </c>
      <c r="BE2476">
        <v>1</v>
      </c>
      <c r="BG2476">
        <v>0</v>
      </c>
      <c r="BH2476">
        <v>0</v>
      </c>
      <c r="BI2476">
        <v>0</v>
      </c>
      <c r="BJ2476">
        <v>4675</v>
      </c>
      <c r="BK2476">
        <v>75</v>
      </c>
      <c r="BL2476" t="s">
        <v>188</v>
      </c>
      <c r="BM2476">
        <v>1</v>
      </c>
      <c r="BN2476">
        <v>1</v>
      </c>
      <c r="BO2476">
        <v>0</v>
      </c>
      <c r="BP2476">
        <v>0</v>
      </c>
      <c r="BS2476">
        <v>0</v>
      </c>
      <c r="BT2476">
        <v>0</v>
      </c>
      <c r="BU2476">
        <v>0</v>
      </c>
      <c r="CE2476" t="str">
        <f t="shared" si="981"/>
        <v>15:11:24.844</v>
      </c>
      <c r="CF2476">
        <v>843971991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3</v>
      </c>
      <c r="CY2476">
        <v>7</v>
      </c>
      <c r="CZ2476" t="s">
        <v>133</v>
      </c>
      <c r="DA2476">
        <v>275</v>
      </c>
      <c r="DB2476">
        <v>0</v>
      </c>
      <c r="DC2476" t="s">
        <v>134</v>
      </c>
      <c r="DD2476" t="s">
        <v>135</v>
      </c>
      <c r="DG2476">
        <v>3321760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"05/01/2025 15:11:25.075"</f>
        <v>05/01/2025 15:11:25.075</v>
      </c>
      <c r="C2477" t="str">
        <f t="shared" si="964"/>
        <v>FFDFD3C0</v>
      </c>
      <c r="D2477" t="s">
        <v>145</v>
      </c>
      <c r="E2477" t="str">
        <f>"05"</f>
        <v>05</v>
      </c>
      <c r="H2477">
        <v>47</v>
      </c>
      <c r="I2477" t="s">
        <v>146</v>
      </c>
      <c r="J2477" t="s">
        <v>138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R2477" t="s">
        <v>127</v>
      </c>
      <c r="S2477" t="str">
        <f t="shared" si="980"/>
        <v>15:11:24.000</v>
      </c>
      <c r="T2477" t="str">
        <f t="shared" si="980"/>
        <v>15:11:24.000</v>
      </c>
      <c r="U2477" t="str">
        <f t="shared" si="965"/>
        <v>A68FCB</v>
      </c>
      <c r="V2477">
        <v>0</v>
      </c>
      <c r="W2477">
        <v>0</v>
      </c>
      <c r="X2477">
        <v>2</v>
      </c>
      <c r="Y2477">
        <v>0</v>
      </c>
      <c r="AA2477">
        <v>1</v>
      </c>
      <c r="AB2477">
        <v>8</v>
      </c>
      <c r="AC2477">
        <v>3</v>
      </c>
      <c r="AD2477">
        <v>0</v>
      </c>
      <c r="AE2477">
        <v>9</v>
      </c>
      <c r="AF2477" t="s">
        <v>138</v>
      </c>
      <c r="AG2477">
        <v>0</v>
      </c>
      <c r="AH2477">
        <v>3</v>
      </c>
      <c r="AI2477">
        <v>2</v>
      </c>
      <c r="AJ2477">
        <v>0</v>
      </c>
      <c r="AK2477" t="s">
        <v>840</v>
      </c>
      <c r="AL2477">
        <v>39.082338999999997</v>
      </c>
      <c r="AM2477" t="s">
        <v>841</v>
      </c>
      <c r="AN2477">
        <v>-121.03833</v>
      </c>
      <c r="AO2477">
        <v>25</v>
      </c>
      <c r="AP2477">
        <v>4600</v>
      </c>
      <c r="AQ2477" t="s">
        <v>131</v>
      </c>
      <c r="AR2477">
        <v>13</v>
      </c>
      <c r="AS2477">
        <v>83</v>
      </c>
      <c r="AT2477">
        <v>-64</v>
      </c>
      <c r="BB2477" t="str">
        <f t="shared" si="966"/>
        <v>1200</v>
      </c>
      <c r="BC2477">
        <v>1</v>
      </c>
      <c r="BD2477" t="str">
        <f t="shared" si="967"/>
        <v xml:space="preserve">N52156  </v>
      </c>
      <c r="BE2477">
        <v>1</v>
      </c>
      <c r="BG2477">
        <v>0</v>
      </c>
      <c r="BH2477">
        <v>0</v>
      </c>
      <c r="BI2477">
        <v>0</v>
      </c>
      <c r="BJ2477">
        <v>4675</v>
      </c>
      <c r="BK2477">
        <v>75</v>
      </c>
      <c r="BL2477" t="s">
        <v>188</v>
      </c>
      <c r="BM2477">
        <v>1</v>
      </c>
      <c r="BN2477">
        <v>1</v>
      </c>
      <c r="BO2477">
        <v>0</v>
      </c>
      <c r="BP2477">
        <v>0</v>
      </c>
      <c r="BS2477">
        <v>0</v>
      </c>
      <c r="BT2477">
        <v>0</v>
      </c>
      <c r="BU2477">
        <v>0</v>
      </c>
      <c r="CE2477" t="str">
        <f t="shared" si="981"/>
        <v>15:11:24.844</v>
      </c>
      <c r="CF2477">
        <v>843971991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3</v>
      </c>
      <c r="CY2477">
        <v>7</v>
      </c>
      <c r="CZ2477" t="s">
        <v>133</v>
      </c>
      <c r="DA2477">
        <v>275</v>
      </c>
      <c r="DB2477">
        <v>0</v>
      </c>
      <c r="DC2477" t="s">
        <v>134</v>
      </c>
      <c r="DD2477" t="s">
        <v>135</v>
      </c>
      <c r="DG2477">
        <v>3321760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"05/01/2025 15:11:25.084"</f>
        <v>05/01/2025 15:11:25.084</v>
      </c>
      <c r="C2478" t="str">
        <f t="shared" si="964"/>
        <v>FFDFD3C0</v>
      </c>
      <c r="D2478" t="s">
        <v>136</v>
      </c>
      <c r="E2478" t="str">
        <f>"20"</f>
        <v>20</v>
      </c>
      <c r="H2478">
        <v>400</v>
      </c>
      <c r="I2478" t="s">
        <v>137</v>
      </c>
      <c r="J2478" t="s">
        <v>138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R2478" t="s">
        <v>127</v>
      </c>
      <c r="S2478" t="str">
        <f t="shared" si="980"/>
        <v>15:11:24.000</v>
      </c>
      <c r="T2478" t="str">
        <f t="shared" si="980"/>
        <v>15:11:24.000</v>
      </c>
      <c r="U2478" t="str">
        <f t="shared" si="965"/>
        <v>A68FCB</v>
      </c>
      <c r="V2478">
        <v>0</v>
      </c>
      <c r="W2478">
        <v>0</v>
      </c>
      <c r="X2478">
        <v>2</v>
      </c>
      <c r="Y2478">
        <v>0</v>
      </c>
      <c r="AA2478">
        <v>1</v>
      </c>
      <c r="AB2478">
        <v>8</v>
      </c>
      <c r="AC2478">
        <v>3</v>
      </c>
      <c r="AD2478">
        <v>0</v>
      </c>
      <c r="AE2478">
        <v>9</v>
      </c>
      <c r="AF2478" t="s">
        <v>138</v>
      </c>
      <c r="AG2478">
        <v>0</v>
      </c>
      <c r="AH2478">
        <v>3</v>
      </c>
      <c r="AI2478">
        <v>2</v>
      </c>
      <c r="AJ2478">
        <v>0</v>
      </c>
      <c r="AK2478" t="s">
        <v>840</v>
      </c>
      <c r="AL2478">
        <v>39.082338999999997</v>
      </c>
      <c r="AM2478" t="s">
        <v>841</v>
      </c>
      <c r="AN2478">
        <v>-121.03833</v>
      </c>
      <c r="AO2478">
        <v>25</v>
      </c>
      <c r="AP2478">
        <v>4600</v>
      </c>
      <c r="AQ2478" t="s">
        <v>131</v>
      </c>
      <c r="AR2478">
        <v>13</v>
      </c>
      <c r="AS2478">
        <v>83</v>
      </c>
      <c r="AT2478">
        <v>-64</v>
      </c>
      <c r="BB2478" t="str">
        <f t="shared" si="966"/>
        <v>1200</v>
      </c>
      <c r="BC2478">
        <v>1</v>
      </c>
      <c r="BD2478" t="str">
        <f t="shared" si="967"/>
        <v xml:space="preserve">N52156  </v>
      </c>
      <c r="BE2478">
        <v>1</v>
      </c>
      <c r="BG2478">
        <v>0</v>
      </c>
      <c r="BH2478">
        <v>0</v>
      </c>
      <c r="BI2478">
        <v>0</v>
      </c>
      <c r="BJ2478">
        <v>4675</v>
      </c>
      <c r="BK2478">
        <v>75</v>
      </c>
      <c r="BL2478" t="s">
        <v>188</v>
      </c>
      <c r="BM2478">
        <v>1</v>
      </c>
      <c r="BN2478">
        <v>1</v>
      </c>
      <c r="BO2478">
        <v>0</v>
      </c>
      <c r="BP2478">
        <v>0</v>
      </c>
      <c r="BS2478">
        <v>0</v>
      </c>
      <c r="BT2478">
        <v>0</v>
      </c>
      <c r="BU2478">
        <v>0</v>
      </c>
      <c r="CE2478" t="str">
        <f t="shared" si="981"/>
        <v>15:11:24.844</v>
      </c>
      <c r="CF2478">
        <v>843971991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3</v>
      </c>
      <c r="CY2478">
        <v>7</v>
      </c>
      <c r="CZ2478" t="s">
        <v>133</v>
      </c>
      <c r="DA2478">
        <v>275</v>
      </c>
      <c r="DB2478">
        <v>0</v>
      </c>
      <c r="DC2478" t="s">
        <v>134</v>
      </c>
      <c r="DD2478" t="s">
        <v>135</v>
      </c>
      <c r="DG2478">
        <v>3321760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"05/01/2025 15:11:25.090"</f>
        <v>05/01/2025 15:11:25.090</v>
      </c>
      <c r="C2479" t="str">
        <f t="shared" si="964"/>
        <v>FFDFD3C0</v>
      </c>
      <c r="D2479" t="s">
        <v>143</v>
      </c>
      <c r="E2479" t="str">
        <f>"05"</f>
        <v>05</v>
      </c>
      <c r="H2479">
        <v>172</v>
      </c>
      <c r="I2479" t="s">
        <v>141</v>
      </c>
      <c r="J2479" t="s">
        <v>144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R2479" t="s">
        <v>127</v>
      </c>
      <c r="S2479" t="str">
        <f t="shared" si="980"/>
        <v>15:11:24.000</v>
      </c>
      <c r="T2479" t="str">
        <f t="shared" si="980"/>
        <v>15:11:24.000</v>
      </c>
      <c r="U2479" t="str">
        <f t="shared" si="965"/>
        <v>A68FCB</v>
      </c>
      <c r="V2479">
        <v>0</v>
      </c>
      <c r="W2479">
        <v>0</v>
      </c>
      <c r="X2479">
        <v>2</v>
      </c>
      <c r="Y2479">
        <v>0</v>
      </c>
      <c r="AA2479">
        <v>1</v>
      </c>
      <c r="AB2479">
        <v>8</v>
      </c>
      <c r="AC2479">
        <v>3</v>
      </c>
      <c r="AD2479">
        <v>0</v>
      </c>
      <c r="AE2479">
        <v>9</v>
      </c>
      <c r="AF2479" t="s">
        <v>138</v>
      </c>
      <c r="AG2479">
        <v>0</v>
      </c>
      <c r="AH2479">
        <v>3</v>
      </c>
      <c r="AI2479">
        <v>2</v>
      </c>
      <c r="AJ2479">
        <v>0</v>
      </c>
      <c r="AK2479" t="s">
        <v>840</v>
      </c>
      <c r="AL2479">
        <v>39.082338999999997</v>
      </c>
      <c r="AM2479" t="s">
        <v>841</v>
      </c>
      <c r="AN2479">
        <v>-121.03833</v>
      </c>
      <c r="AO2479">
        <v>25</v>
      </c>
      <c r="AP2479">
        <v>4600</v>
      </c>
      <c r="AQ2479" t="s">
        <v>131</v>
      </c>
      <c r="AR2479">
        <v>13</v>
      </c>
      <c r="AS2479">
        <v>83</v>
      </c>
      <c r="AT2479">
        <v>-64</v>
      </c>
      <c r="BB2479" t="str">
        <f t="shared" si="966"/>
        <v>1200</v>
      </c>
      <c r="BC2479">
        <v>1</v>
      </c>
      <c r="BD2479" t="str">
        <f t="shared" si="967"/>
        <v xml:space="preserve">N52156  </v>
      </c>
      <c r="BE2479">
        <v>1</v>
      </c>
      <c r="BG2479">
        <v>0</v>
      </c>
      <c r="BH2479">
        <v>0</v>
      </c>
      <c r="BI2479">
        <v>0</v>
      </c>
      <c r="BJ2479">
        <v>4675</v>
      </c>
      <c r="BK2479">
        <v>75</v>
      </c>
      <c r="BL2479" t="s">
        <v>188</v>
      </c>
      <c r="BM2479">
        <v>1</v>
      </c>
      <c r="BN2479">
        <v>1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 t="shared" si="981"/>
        <v>15:11:24.844</v>
      </c>
      <c r="CF2479">
        <v>843971991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3</v>
      </c>
      <c r="CY2479">
        <v>7</v>
      </c>
      <c r="CZ2479" t="s">
        <v>133</v>
      </c>
      <c r="DA2479">
        <v>275</v>
      </c>
      <c r="DB2479">
        <v>0</v>
      </c>
      <c r="DC2479" t="s">
        <v>134</v>
      </c>
      <c r="DD2479" t="s">
        <v>135</v>
      </c>
      <c r="DG2479">
        <v>3321760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"05/01/2025 15:11:25.927"</f>
        <v>05/01/2025 15:11:25.927</v>
      </c>
      <c r="C2480" t="str">
        <f t="shared" si="964"/>
        <v>FFDFD3C0</v>
      </c>
      <c r="D2480" t="s">
        <v>145</v>
      </c>
      <c r="E2480" t="str">
        <f>"09"</f>
        <v>09</v>
      </c>
      <c r="H2480">
        <v>51</v>
      </c>
      <c r="I2480" t="s">
        <v>147</v>
      </c>
      <c r="J2480" t="s">
        <v>138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R2480" t="s">
        <v>127</v>
      </c>
      <c r="S2480" t="str">
        <f t="shared" ref="S2480:T2485" si="982">"15:11:25.000"</f>
        <v>15:11:25.000</v>
      </c>
      <c r="T2480" t="str">
        <f t="shared" si="982"/>
        <v>15:11:25.000</v>
      </c>
      <c r="U2480" t="str">
        <f t="shared" si="965"/>
        <v>A68FCB</v>
      </c>
      <c r="V2480">
        <v>0</v>
      </c>
      <c r="W2480">
        <v>0</v>
      </c>
      <c r="X2480">
        <v>2</v>
      </c>
      <c r="Y2480">
        <v>0</v>
      </c>
      <c r="AA2480">
        <v>1</v>
      </c>
      <c r="AB2480">
        <v>8</v>
      </c>
      <c r="AC2480">
        <v>3</v>
      </c>
      <c r="AD2480">
        <v>0</v>
      </c>
      <c r="AE2480">
        <v>9</v>
      </c>
      <c r="AF2480" t="s">
        <v>138</v>
      </c>
      <c r="AG2480">
        <v>0</v>
      </c>
      <c r="AH2480">
        <v>3</v>
      </c>
      <c r="AI2480">
        <v>2</v>
      </c>
      <c r="AJ2480">
        <v>0</v>
      </c>
      <c r="AK2480" t="s">
        <v>842</v>
      </c>
      <c r="AL2480">
        <v>39.082746999999998</v>
      </c>
      <c r="AM2480" t="s">
        <v>843</v>
      </c>
      <c r="AN2480">
        <v>-121.03824400000001</v>
      </c>
      <c r="AO2480">
        <v>25</v>
      </c>
      <c r="AP2480">
        <v>4600</v>
      </c>
      <c r="AQ2480" t="s">
        <v>131</v>
      </c>
      <c r="AR2480">
        <v>13</v>
      </c>
      <c r="AS2480">
        <v>83</v>
      </c>
      <c r="AT2480">
        <v>-64</v>
      </c>
      <c r="BB2480" t="str">
        <f t="shared" si="966"/>
        <v>1200</v>
      </c>
      <c r="BC2480">
        <v>1</v>
      </c>
      <c r="BD2480" t="str">
        <f t="shared" si="967"/>
        <v xml:space="preserve">N52156  </v>
      </c>
      <c r="BE2480">
        <v>1</v>
      </c>
      <c r="BG2480">
        <v>0</v>
      </c>
      <c r="BH2480">
        <v>0</v>
      </c>
      <c r="BI2480">
        <v>0</v>
      </c>
      <c r="BJ2480">
        <v>4675</v>
      </c>
      <c r="BK2480">
        <v>75</v>
      </c>
      <c r="BL2480" t="s">
        <v>188</v>
      </c>
      <c r="BM2480">
        <v>1</v>
      </c>
      <c r="BN2480">
        <v>1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 t="shared" ref="CE2480:CE2485" si="983">"15:11:25.718"</f>
        <v>15:11:25.718</v>
      </c>
      <c r="CF2480">
        <v>718292074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3</v>
      </c>
      <c r="CY2480">
        <v>7</v>
      </c>
      <c r="CZ2480" t="s">
        <v>133</v>
      </c>
      <c r="DA2480">
        <v>276</v>
      </c>
      <c r="DB2480">
        <v>0</v>
      </c>
      <c r="DC2480" t="s">
        <v>402</v>
      </c>
      <c r="DD2480" t="s">
        <v>403</v>
      </c>
      <c r="DG2480">
        <v>1627229</v>
      </c>
      <c r="DI2480">
        <v>1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"05/01/2025 15:11:25.927"</f>
        <v>05/01/2025 15:11:25.927</v>
      </c>
      <c r="C2481" t="str">
        <f t="shared" si="964"/>
        <v>FFDFD3C0</v>
      </c>
      <c r="D2481" t="s">
        <v>145</v>
      </c>
      <c r="E2481" t="str">
        <f>"05"</f>
        <v>05</v>
      </c>
      <c r="H2481">
        <v>47</v>
      </c>
      <c r="I2481" t="s">
        <v>146</v>
      </c>
      <c r="J2481" t="s">
        <v>138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R2481" t="s">
        <v>127</v>
      </c>
      <c r="S2481" t="str">
        <f t="shared" si="982"/>
        <v>15:11:25.000</v>
      </c>
      <c r="T2481" t="str">
        <f t="shared" si="982"/>
        <v>15:11:25.000</v>
      </c>
      <c r="U2481" t="str">
        <f t="shared" si="965"/>
        <v>A68FCB</v>
      </c>
      <c r="V2481">
        <v>0</v>
      </c>
      <c r="W2481">
        <v>0</v>
      </c>
      <c r="X2481">
        <v>2</v>
      </c>
      <c r="Y2481">
        <v>0</v>
      </c>
      <c r="AA2481">
        <v>1</v>
      </c>
      <c r="AB2481">
        <v>8</v>
      </c>
      <c r="AC2481">
        <v>3</v>
      </c>
      <c r="AD2481">
        <v>0</v>
      </c>
      <c r="AE2481">
        <v>9</v>
      </c>
      <c r="AF2481" t="s">
        <v>138</v>
      </c>
      <c r="AG2481">
        <v>0</v>
      </c>
      <c r="AH2481">
        <v>3</v>
      </c>
      <c r="AI2481">
        <v>2</v>
      </c>
      <c r="AJ2481">
        <v>0</v>
      </c>
      <c r="AK2481" t="s">
        <v>842</v>
      </c>
      <c r="AL2481">
        <v>39.082746999999998</v>
      </c>
      <c r="AM2481" t="s">
        <v>843</v>
      </c>
      <c r="AN2481">
        <v>-121.03824400000001</v>
      </c>
      <c r="AO2481">
        <v>25</v>
      </c>
      <c r="AP2481">
        <v>4600</v>
      </c>
      <c r="AQ2481" t="s">
        <v>131</v>
      </c>
      <c r="AR2481">
        <v>13</v>
      </c>
      <c r="AS2481">
        <v>83</v>
      </c>
      <c r="AT2481">
        <v>-64</v>
      </c>
      <c r="BB2481" t="str">
        <f t="shared" si="966"/>
        <v>1200</v>
      </c>
      <c r="BC2481">
        <v>1</v>
      </c>
      <c r="BD2481" t="str">
        <f t="shared" si="967"/>
        <v xml:space="preserve">N52156  </v>
      </c>
      <c r="BE2481">
        <v>1</v>
      </c>
      <c r="BG2481">
        <v>0</v>
      </c>
      <c r="BH2481">
        <v>0</v>
      </c>
      <c r="BI2481">
        <v>0</v>
      </c>
      <c r="BJ2481">
        <v>4675</v>
      </c>
      <c r="BK2481">
        <v>75</v>
      </c>
      <c r="BL2481" t="s">
        <v>188</v>
      </c>
      <c r="BM2481">
        <v>1</v>
      </c>
      <c r="BN2481">
        <v>1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 t="shared" si="983"/>
        <v>15:11:25.718</v>
      </c>
      <c r="CF2481">
        <v>718292074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3</v>
      </c>
      <c r="CY2481">
        <v>7</v>
      </c>
      <c r="CZ2481" t="s">
        <v>133</v>
      </c>
      <c r="DA2481">
        <v>276</v>
      </c>
      <c r="DB2481">
        <v>0</v>
      </c>
      <c r="DC2481" t="s">
        <v>402</v>
      </c>
      <c r="DD2481" t="s">
        <v>403</v>
      </c>
      <c r="DG2481">
        <v>1627229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"05/01/2025 15:11:25.936"</f>
        <v>05/01/2025 15:11:25.936</v>
      </c>
      <c r="C2482" t="str">
        <f t="shared" si="964"/>
        <v>FFDFD3C0</v>
      </c>
      <c r="D2482" t="s">
        <v>136</v>
      </c>
      <c r="E2482" t="str">
        <f>"20"</f>
        <v>20</v>
      </c>
      <c r="H2482">
        <v>400</v>
      </c>
      <c r="I2482" t="s">
        <v>137</v>
      </c>
      <c r="J2482" t="s">
        <v>138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R2482" t="s">
        <v>127</v>
      </c>
      <c r="S2482" t="str">
        <f t="shared" si="982"/>
        <v>15:11:25.000</v>
      </c>
      <c r="T2482" t="str">
        <f t="shared" si="982"/>
        <v>15:11:25.000</v>
      </c>
      <c r="U2482" t="str">
        <f t="shared" si="965"/>
        <v>A68FCB</v>
      </c>
      <c r="V2482">
        <v>0</v>
      </c>
      <c r="W2482">
        <v>0</v>
      </c>
      <c r="X2482">
        <v>2</v>
      </c>
      <c r="Y2482">
        <v>0</v>
      </c>
      <c r="AA2482">
        <v>1</v>
      </c>
      <c r="AB2482">
        <v>8</v>
      </c>
      <c r="AC2482">
        <v>3</v>
      </c>
      <c r="AD2482">
        <v>0</v>
      </c>
      <c r="AE2482">
        <v>9</v>
      </c>
      <c r="AF2482" t="s">
        <v>138</v>
      </c>
      <c r="AG2482">
        <v>0</v>
      </c>
      <c r="AH2482">
        <v>3</v>
      </c>
      <c r="AI2482">
        <v>2</v>
      </c>
      <c r="AJ2482">
        <v>0</v>
      </c>
      <c r="AK2482" t="s">
        <v>842</v>
      </c>
      <c r="AL2482">
        <v>39.082746999999998</v>
      </c>
      <c r="AM2482" t="s">
        <v>843</v>
      </c>
      <c r="AN2482">
        <v>-121.03824400000001</v>
      </c>
      <c r="AO2482">
        <v>25</v>
      </c>
      <c r="AP2482">
        <v>4600</v>
      </c>
      <c r="AQ2482" t="s">
        <v>131</v>
      </c>
      <c r="AR2482">
        <v>13</v>
      </c>
      <c r="AS2482">
        <v>83</v>
      </c>
      <c r="AT2482">
        <v>-64</v>
      </c>
      <c r="BB2482" t="str">
        <f t="shared" si="966"/>
        <v>1200</v>
      </c>
      <c r="BC2482">
        <v>1</v>
      </c>
      <c r="BD2482" t="str">
        <f t="shared" si="967"/>
        <v xml:space="preserve">N52156  </v>
      </c>
      <c r="BE2482">
        <v>1</v>
      </c>
      <c r="BG2482">
        <v>0</v>
      </c>
      <c r="BH2482">
        <v>0</v>
      </c>
      <c r="BI2482">
        <v>0</v>
      </c>
      <c r="BJ2482">
        <v>4675</v>
      </c>
      <c r="BK2482">
        <v>75</v>
      </c>
      <c r="BL2482" t="s">
        <v>188</v>
      </c>
      <c r="BM2482">
        <v>1</v>
      </c>
      <c r="BN2482">
        <v>1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 t="shared" si="983"/>
        <v>15:11:25.718</v>
      </c>
      <c r="CF2482">
        <v>718292074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3</v>
      </c>
      <c r="CY2482">
        <v>7</v>
      </c>
      <c r="CZ2482" t="s">
        <v>133</v>
      </c>
      <c r="DA2482">
        <v>276</v>
      </c>
      <c r="DB2482">
        <v>0</v>
      </c>
      <c r="DC2482" t="s">
        <v>402</v>
      </c>
      <c r="DD2482" t="s">
        <v>403</v>
      </c>
      <c r="DG2482">
        <v>1627229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"05/01/2025 15:11:25.942"</f>
        <v>05/01/2025 15:11:25.942</v>
      </c>
      <c r="C2483" t="str">
        <f t="shared" si="964"/>
        <v>FFDFD3C0</v>
      </c>
      <c r="D2483" t="s">
        <v>143</v>
      </c>
      <c r="E2483" t="str">
        <f>"05"</f>
        <v>05</v>
      </c>
      <c r="H2483">
        <v>172</v>
      </c>
      <c r="I2483" t="s">
        <v>141</v>
      </c>
      <c r="J2483" t="s">
        <v>144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R2483" t="s">
        <v>127</v>
      </c>
      <c r="S2483" t="str">
        <f t="shared" si="982"/>
        <v>15:11:25.000</v>
      </c>
      <c r="T2483" t="str">
        <f t="shared" si="982"/>
        <v>15:11:25.000</v>
      </c>
      <c r="U2483" t="str">
        <f t="shared" si="965"/>
        <v>A68FCB</v>
      </c>
      <c r="V2483">
        <v>0</v>
      </c>
      <c r="W2483">
        <v>0</v>
      </c>
      <c r="X2483">
        <v>2</v>
      </c>
      <c r="Y2483">
        <v>0</v>
      </c>
      <c r="AA2483">
        <v>1</v>
      </c>
      <c r="AB2483">
        <v>8</v>
      </c>
      <c r="AC2483">
        <v>3</v>
      </c>
      <c r="AD2483">
        <v>0</v>
      </c>
      <c r="AE2483">
        <v>9</v>
      </c>
      <c r="AF2483" t="s">
        <v>138</v>
      </c>
      <c r="AG2483">
        <v>0</v>
      </c>
      <c r="AH2483">
        <v>3</v>
      </c>
      <c r="AI2483">
        <v>2</v>
      </c>
      <c r="AJ2483">
        <v>0</v>
      </c>
      <c r="AK2483" t="s">
        <v>842</v>
      </c>
      <c r="AL2483">
        <v>39.082746999999998</v>
      </c>
      <c r="AM2483" t="s">
        <v>843</v>
      </c>
      <c r="AN2483">
        <v>-121.03824400000001</v>
      </c>
      <c r="AO2483">
        <v>25</v>
      </c>
      <c r="AP2483">
        <v>4600</v>
      </c>
      <c r="AQ2483" t="s">
        <v>131</v>
      </c>
      <c r="AR2483">
        <v>13</v>
      </c>
      <c r="AS2483">
        <v>83</v>
      </c>
      <c r="AT2483">
        <v>-64</v>
      </c>
      <c r="BB2483" t="str">
        <f t="shared" si="966"/>
        <v>1200</v>
      </c>
      <c r="BC2483">
        <v>1</v>
      </c>
      <c r="BD2483" t="str">
        <f t="shared" si="967"/>
        <v xml:space="preserve">N52156  </v>
      </c>
      <c r="BE2483">
        <v>1</v>
      </c>
      <c r="BG2483">
        <v>0</v>
      </c>
      <c r="BH2483">
        <v>0</v>
      </c>
      <c r="BI2483">
        <v>0</v>
      </c>
      <c r="BJ2483">
        <v>4675</v>
      </c>
      <c r="BK2483">
        <v>75</v>
      </c>
      <c r="BL2483" t="s">
        <v>188</v>
      </c>
      <c r="BM2483">
        <v>1</v>
      </c>
      <c r="BN2483">
        <v>1</v>
      </c>
      <c r="BO2483">
        <v>0</v>
      </c>
      <c r="BP2483">
        <v>0</v>
      </c>
      <c r="BS2483">
        <v>0</v>
      </c>
      <c r="BT2483">
        <v>0</v>
      </c>
      <c r="BU2483">
        <v>0</v>
      </c>
      <c r="CE2483" t="str">
        <f t="shared" si="983"/>
        <v>15:11:25.718</v>
      </c>
      <c r="CF2483">
        <v>718292074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3</v>
      </c>
      <c r="CY2483">
        <v>7</v>
      </c>
      <c r="CZ2483" t="s">
        <v>133</v>
      </c>
      <c r="DA2483">
        <v>276</v>
      </c>
      <c r="DB2483">
        <v>0</v>
      </c>
      <c r="DC2483" t="s">
        <v>402</v>
      </c>
      <c r="DD2483" t="s">
        <v>403</v>
      </c>
      <c r="DG2483">
        <v>1627229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"05/01/2025 15:11:25.959"</f>
        <v>05/01/2025 15:11:25.959</v>
      </c>
      <c r="C2484" t="str">
        <f t="shared" si="964"/>
        <v>FFDFD3C0</v>
      </c>
      <c r="D2484" t="s">
        <v>140</v>
      </c>
      <c r="E2484" t="str">
        <f>"13"</f>
        <v>13</v>
      </c>
      <c r="F2484">
        <v>1019</v>
      </c>
      <c r="G2484" t="s">
        <v>141</v>
      </c>
      <c r="J2484" t="s">
        <v>142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R2484" t="s">
        <v>127</v>
      </c>
      <c r="S2484" t="str">
        <f t="shared" si="982"/>
        <v>15:11:25.000</v>
      </c>
      <c r="T2484" t="str">
        <f t="shared" si="982"/>
        <v>15:11:25.000</v>
      </c>
      <c r="U2484" t="str">
        <f t="shared" si="965"/>
        <v>A68FCB</v>
      </c>
      <c r="V2484">
        <v>0</v>
      </c>
      <c r="W2484">
        <v>0</v>
      </c>
      <c r="X2484">
        <v>2</v>
      </c>
      <c r="Y2484">
        <v>0</v>
      </c>
      <c r="AA2484">
        <v>1</v>
      </c>
      <c r="AB2484">
        <v>8</v>
      </c>
      <c r="AC2484">
        <v>3</v>
      </c>
      <c r="AD2484">
        <v>0</v>
      </c>
      <c r="AE2484">
        <v>9</v>
      </c>
      <c r="AF2484" t="s">
        <v>138</v>
      </c>
      <c r="AG2484">
        <v>0</v>
      </c>
      <c r="AH2484">
        <v>3</v>
      </c>
      <c r="AI2484">
        <v>2</v>
      </c>
      <c r="AJ2484">
        <v>0</v>
      </c>
      <c r="AK2484" t="s">
        <v>842</v>
      </c>
      <c r="AL2484">
        <v>39.082746999999998</v>
      </c>
      <c r="AM2484" t="s">
        <v>843</v>
      </c>
      <c r="AN2484">
        <v>-121.03824400000001</v>
      </c>
      <c r="AO2484">
        <v>25</v>
      </c>
      <c r="AP2484">
        <v>4600</v>
      </c>
      <c r="AQ2484" t="s">
        <v>131</v>
      </c>
      <c r="AR2484">
        <v>13</v>
      </c>
      <c r="AS2484">
        <v>83</v>
      </c>
      <c r="AT2484">
        <v>-64</v>
      </c>
      <c r="BB2484" t="str">
        <f t="shared" si="966"/>
        <v>1200</v>
      </c>
      <c r="BC2484">
        <v>1</v>
      </c>
      <c r="BD2484" t="str">
        <f t="shared" si="967"/>
        <v xml:space="preserve">N52156  </v>
      </c>
      <c r="BE2484">
        <v>1</v>
      </c>
      <c r="BG2484">
        <v>0</v>
      </c>
      <c r="BH2484">
        <v>0</v>
      </c>
      <c r="BI2484">
        <v>0</v>
      </c>
      <c r="BJ2484">
        <v>4675</v>
      </c>
      <c r="BK2484">
        <v>75</v>
      </c>
      <c r="BL2484" t="s">
        <v>188</v>
      </c>
      <c r="BM2484">
        <v>1</v>
      </c>
      <c r="BN2484">
        <v>1</v>
      </c>
      <c r="BO2484">
        <v>0</v>
      </c>
      <c r="BP2484">
        <v>0</v>
      </c>
      <c r="BS2484">
        <v>0</v>
      </c>
      <c r="BT2484">
        <v>0</v>
      </c>
      <c r="BU2484">
        <v>0</v>
      </c>
      <c r="CE2484" t="str">
        <f t="shared" si="983"/>
        <v>15:11:25.718</v>
      </c>
      <c r="CF2484">
        <v>718292074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3</v>
      </c>
      <c r="CY2484">
        <v>7</v>
      </c>
      <c r="CZ2484" t="s">
        <v>133</v>
      </c>
      <c r="DA2484">
        <v>276</v>
      </c>
      <c r="DB2484">
        <v>0</v>
      </c>
      <c r="DC2484" t="s">
        <v>402</v>
      </c>
      <c r="DD2484" t="s">
        <v>403</v>
      </c>
      <c r="DG2484">
        <v>1627229</v>
      </c>
      <c r="DI2484">
        <v>1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"05/01/2025 15:11:25.967"</f>
        <v>05/01/2025 15:11:25.967</v>
      </c>
      <c r="C2485" t="str">
        <f t="shared" si="964"/>
        <v>FFDFD3C0</v>
      </c>
      <c r="D2485" t="s">
        <v>124</v>
      </c>
      <c r="E2485" t="str">
        <f>"06"</f>
        <v>06</v>
      </c>
      <c r="F2485">
        <v>2006</v>
      </c>
      <c r="G2485" t="s">
        <v>125</v>
      </c>
      <c r="J2485" t="s">
        <v>126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R2485" t="s">
        <v>127</v>
      </c>
      <c r="S2485" t="str">
        <f t="shared" si="982"/>
        <v>15:11:25.000</v>
      </c>
      <c r="T2485" t="str">
        <f t="shared" si="982"/>
        <v>15:11:25.000</v>
      </c>
      <c r="U2485" t="str">
        <f t="shared" si="965"/>
        <v>A68FCB</v>
      </c>
      <c r="V2485">
        <v>0</v>
      </c>
      <c r="W2485">
        <v>0</v>
      </c>
      <c r="X2485">
        <v>2</v>
      </c>
      <c r="Y2485">
        <v>0</v>
      </c>
      <c r="AA2485">
        <v>1</v>
      </c>
      <c r="AB2485">
        <v>8</v>
      </c>
      <c r="AC2485">
        <v>3</v>
      </c>
      <c r="AD2485">
        <v>0</v>
      </c>
      <c r="AE2485">
        <v>9</v>
      </c>
      <c r="AF2485" t="s">
        <v>138</v>
      </c>
      <c r="AG2485">
        <v>0</v>
      </c>
      <c r="AH2485">
        <v>3</v>
      </c>
      <c r="AI2485">
        <v>2</v>
      </c>
      <c r="AJ2485">
        <v>0</v>
      </c>
      <c r="AK2485" t="s">
        <v>842</v>
      </c>
      <c r="AL2485">
        <v>39.082746999999998</v>
      </c>
      <c r="AM2485" t="s">
        <v>843</v>
      </c>
      <c r="AN2485">
        <v>-121.03824400000001</v>
      </c>
      <c r="AO2485">
        <v>25</v>
      </c>
      <c r="AP2485">
        <v>4600</v>
      </c>
      <c r="AQ2485" t="s">
        <v>131</v>
      </c>
      <c r="AR2485">
        <v>13</v>
      </c>
      <c r="AS2485">
        <v>83</v>
      </c>
      <c r="AT2485">
        <v>-64</v>
      </c>
      <c r="BB2485" t="str">
        <f t="shared" si="966"/>
        <v>1200</v>
      </c>
      <c r="BC2485">
        <v>1</v>
      </c>
      <c r="BD2485" t="str">
        <f t="shared" si="967"/>
        <v xml:space="preserve">N52156  </v>
      </c>
      <c r="BE2485">
        <v>1</v>
      </c>
      <c r="BG2485">
        <v>0</v>
      </c>
      <c r="BH2485">
        <v>0</v>
      </c>
      <c r="BI2485">
        <v>0</v>
      </c>
      <c r="BJ2485">
        <v>4675</v>
      </c>
      <c r="BK2485">
        <v>75</v>
      </c>
      <c r="BL2485" t="s">
        <v>188</v>
      </c>
      <c r="BM2485">
        <v>1</v>
      </c>
      <c r="BN2485">
        <v>1</v>
      </c>
      <c r="BO2485">
        <v>0</v>
      </c>
      <c r="BP2485">
        <v>0</v>
      </c>
      <c r="BS2485">
        <v>0</v>
      </c>
      <c r="BT2485">
        <v>0</v>
      </c>
      <c r="BU2485">
        <v>0</v>
      </c>
      <c r="CE2485" t="str">
        <f t="shared" si="983"/>
        <v>15:11:25.718</v>
      </c>
      <c r="CF2485">
        <v>718292074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3</v>
      </c>
      <c r="CY2485">
        <v>7</v>
      </c>
      <c r="CZ2485" t="s">
        <v>133</v>
      </c>
      <c r="DA2485">
        <v>276</v>
      </c>
      <c r="DB2485">
        <v>0</v>
      </c>
      <c r="DC2485" t="s">
        <v>402</v>
      </c>
      <c r="DD2485" t="s">
        <v>403</v>
      </c>
      <c r="DG2485">
        <v>1627229</v>
      </c>
      <c r="DI2485">
        <v>1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"05/01/2025 15:11:26.818"</f>
        <v>05/01/2025 15:11:26.818</v>
      </c>
      <c r="C2486" t="str">
        <f t="shared" si="964"/>
        <v>FFDFD3C0</v>
      </c>
      <c r="D2486" t="s">
        <v>124</v>
      </c>
      <c r="E2486" t="str">
        <f>"06"</f>
        <v>06</v>
      </c>
      <c r="F2486">
        <v>2006</v>
      </c>
      <c r="G2486" t="s">
        <v>125</v>
      </c>
      <c r="J2486" t="s">
        <v>126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R2486" t="s">
        <v>127</v>
      </c>
      <c r="S2486" t="str">
        <f t="shared" ref="S2486:T2491" si="984">"15:11:26.000"</f>
        <v>15:11:26.000</v>
      </c>
      <c r="T2486" t="str">
        <f t="shared" si="984"/>
        <v>15:11:26.000</v>
      </c>
      <c r="U2486" t="str">
        <f t="shared" si="965"/>
        <v>A68FCB</v>
      </c>
      <c r="V2486">
        <v>0</v>
      </c>
      <c r="W2486">
        <v>0</v>
      </c>
      <c r="X2486">
        <v>2</v>
      </c>
      <c r="Y2486">
        <v>0</v>
      </c>
      <c r="AA2486">
        <v>1</v>
      </c>
      <c r="AB2486">
        <v>8</v>
      </c>
      <c r="AC2486">
        <v>3</v>
      </c>
      <c r="AD2486">
        <v>0</v>
      </c>
      <c r="AE2486">
        <v>9</v>
      </c>
      <c r="AF2486" t="s">
        <v>138</v>
      </c>
      <c r="AG2486">
        <v>0</v>
      </c>
      <c r="AH2486">
        <v>3</v>
      </c>
      <c r="AI2486">
        <v>2</v>
      </c>
      <c r="AJ2486">
        <v>0</v>
      </c>
      <c r="AK2486" t="s">
        <v>844</v>
      </c>
      <c r="AL2486">
        <v>39.083132999999997</v>
      </c>
      <c r="AM2486" t="s">
        <v>845</v>
      </c>
      <c r="AN2486">
        <v>-121.038158</v>
      </c>
      <c r="AO2486">
        <v>25</v>
      </c>
      <c r="AP2486">
        <v>4600</v>
      </c>
      <c r="AQ2486" t="s">
        <v>131</v>
      </c>
      <c r="AR2486">
        <v>14</v>
      </c>
      <c r="AS2486">
        <v>83</v>
      </c>
      <c r="AT2486">
        <v>-128</v>
      </c>
      <c r="BB2486" t="str">
        <f t="shared" si="966"/>
        <v>1200</v>
      </c>
      <c r="BC2486">
        <v>1</v>
      </c>
      <c r="BD2486" t="str">
        <f t="shared" si="967"/>
        <v xml:space="preserve">N52156  </v>
      </c>
      <c r="BE2486">
        <v>1</v>
      </c>
      <c r="BG2486">
        <v>0</v>
      </c>
      <c r="BH2486">
        <v>0</v>
      </c>
      <c r="BI2486">
        <v>0</v>
      </c>
      <c r="BJ2486">
        <v>4675</v>
      </c>
      <c r="BK2486">
        <v>75</v>
      </c>
      <c r="BL2486" t="s">
        <v>188</v>
      </c>
      <c r="BM2486">
        <v>1</v>
      </c>
      <c r="BN2486">
        <v>1</v>
      </c>
      <c r="BO2486">
        <v>0</v>
      </c>
      <c r="BP2486">
        <v>0</v>
      </c>
      <c r="BS2486">
        <v>0</v>
      </c>
      <c r="BT2486">
        <v>0</v>
      </c>
      <c r="BU2486">
        <v>0</v>
      </c>
      <c r="CE2486" t="str">
        <f t="shared" ref="CE2486:CE2491" si="985">"15:11:26.614"</f>
        <v>15:11:26.614</v>
      </c>
      <c r="CF2486">
        <v>613791917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3</v>
      </c>
      <c r="CY2486">
        <v>7</v>
      </c>
      <c r="CZ2486" t="s">
        <v>133</v>
      </c>
      <c r="DA2486">
        <v>276</v>
      </c>
      <c r="DB2486">
        <v>0</v>
      </c>
      <c r="DC2486" t="s">
        <v>402</v>
      </c>
      <c r="DD2486" t="s">
        <v>403</v>
      </c>
      <c r="DG2486">
        <v>1627236</v>
      </c>
      <c r="DI2486">
        <v>1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"05/01/2025 15:11:26.828"</f>
        <v>05/01/2025 15:11:26.828</v>
      </c>
      <c r="C2487" t="str">
        <f t="shared" si="964"/>
        <v>FFDFD3C0</v>
      </c>
      <c r="D2487" t="s">
        <v>145</v>
      </c>
      <c r="E2487" t="str">
        <f>"09"</f>
        <v>09</v>
      </c>
      <c r="H2487">
        <v>51</v>
      </c>
      <c r="I2487" t="s">
        <v>147</v>
      </c>
      <c r="J2487" t="s">
        <v>138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R2487" t="s">
        <v>127</v>
      </c>
      <c r="S2487" t="str">
        <f t="shared" si="984"/>
        <v>15:11:26.000</v>
      </c>
      <c r="T2487" t="str">
        <f t="shared" si="984"/>
        <v>15:11:26.000</v>
      </c>
      <c r="U2487" t="str">
        <f t="shared" si="965"/>
        <v>A68FCB</v>
      </c>
      <c r="V2487">
        <v>0</v>
      </c>
      <c r="W2487">
        <v>0</v>
      </c>
      <c r="X2487">
        <v>2</v>
      </c>
      <c r="Y2487">
        <v>0</v>
      </c>
      <c r="AA2487">
        <v>1</v>
      </c>
      <c r="AB2487">
        <v>8</v>
      </c>
      <c r="AC2487">
        <v>3</v>
      </c>
      <c r="AD2487">
        <v>0</v>
      </c>
      <c r="AE2487">
        <v>9</v>
      </c>
      <c r="AF2487" t="s">
        <v>138</v>
      </c>
      <c r="AG2487">
        <v>0</v>
      </c>
      <c r="AH2487">
        <v>3</v>
      </c>
      <c r="AI2487">
        <v>2</v>
      </c>
      <c r="AJ2487">
        <v>0</v>
      </c>
      <c r="AK2487" t="s">
        <v>844</v>
      </c>
      <c r="AL2487">
        <v>39.083132999999997</v>
      </c>
      <c r="AM2487" t="s">
        <v>845</v>
      </c>
      <c r="AN2487">
        <v>-121.038158</v>
      </c>
      <c r="AO2487">
        <v>25</v>
      </c>
      <c r="AP2487">
        <v>4600</v>
      </c>
      <c r="AQ2487" t="s">
        <v>131</v>
      </c>
      <c r="AR2487">
        <v>14</v>
      </c>
      <c r="AS2487">
        <v>83</v>
      </c>
      <c r="AT2487">
        <v>-128</v>
      </c>
      <c r="BB2487" t="str">
        <f t="shared" si="966"/>
        <v>1200</v>
      </c>
      <c r="BC2487">
        <v>1</v>
      </c>
      <c r="BD2487" t="str">
        <f t="shared" si="967"/>
        <v xml:space="preserve">N52156  </v>
      </c>
      <c r="BE2487">
        <v>1</v>
      </c>
      <c r="BG2487">
        <v>0</v>
      </c>
      <c r="BH2487">
        <v>0</v>
      </c>
      <c r="BI2487">
        <v>0</v>
      </c>
      <c r="BJ2487">
        <v>4675</v>
      </c>
      <c r="BK2487">
        <v>75</v>
      </c>
      <c r="BL2487" t="s">
        <v>188</v>
      </c>
      <c r="BM2487">
        <v>1</v>
      </c>
      <c r="BN2487">
        <v>1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 t="shared" si="985"/>
        <v>15:11:26.614</v>
      </c>
      <c r="CF2487">
        <v>613791917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3</v>
      </c>
      <c r="CY2487">
        <v>7</v>
      </c>
      <c r="CZ2487" t="s">
        <v>133</v>
      </c>
      <c r="DA2487">
        <v>276</v>
      </c>
      <c r="DB2487">
        <v>0</v>
      </c>
      <c r="DC2487" t="s">
        <v>402</v>
      </c>
      <c r="DD2487" t="s">
        <v>403</v>
      </c>
      <c r="DG2487">
        <v>1627236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"05/01/2025 15:11:26.828"</f>
        <v>05/01/2025 15:11:26.828</v>
      </c>
      <c r="C2488" t="str">
        <f t="shared" si="964"/>
        <v>FFDFD3C0</v>
      </c>
      <c r="D2488" t="s">
        <v>145</v>
      </c>
      <c r="E2488" t="str">
        <f>"05"</f>
        <v>05</v>
      </c>
      <c r="H2488">
        <v>47</v>
      </c>
      <c r="I2488" t="s">
        <v>146</v>
      </c>
      <c r="J2488" t="s">
        <v>138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R2488" t="s">
        <v>127</v>
      </c>
      <c r="S2488" t="str">
        <f t="shared" si="984"/>
        <v>15:11:26.000</v>
      </c>
      <c r="T2488" t="str">
        <f t="shared" si="984"/>
        <v>15:11:26.000</v>
      </c>
      <c r="U2488" t="str">
        <f t="shared" si="965"/>
        <v>A68FCB</v>
      </c>
      <c r="V2488">
        <v>0</v>
      </c>
      <c r="W2488">
        <v>0</v>
      </c>
      <c r="X2488">
        <v>2</v>
      </c>
      <c r="Y2488">
        <v>0</v>
      </c>
      <c r="AA2488">
        <v>1</v>
      </c>
      <c r="AB2488">
        <v>8</v>
      </c>
      <c r="AC2488">
        <v>3</v>
      </c>
      <c r="AD2488">
        <v>0</v>
      </c>
      <c r="AE2488">
        <v>9</v>
      </c>
      <c r="AF2488" t="s">
        <v>138</v>
      </c>
      <c r="AG2488">
        <v>0</v>
      </c>
      <c r="AH2488">
        <v>3</v>
      </c>
      <c r="AI2488">
        <v>2</v>
      </c>
      <c r="AJ2488">
        <v>0</v>
      </c>
      <c r="AK2488" t="s">
        <v>844</v>
      </c>
      <c r="AL2488">
        <v>39.083132999999997</v>
      </c>
      <c r="AM2488" t="s">
        <v>845</v>
      </c>
      <c r="AN2488">
        <v>-121.038158</v>
      </c>
      <c r="AO2488">
        <v>25</v>
      </c>
      <c r="AP2488">
        <v>4600</v>
      </c>
      <c r="AQ2488" t="s">
        <v>131</v>
      </c>
      <c r="AR2488">
        <v>14</v>
      </c>
      <c r="AS2488">
        <v>83</v>
      </c>
      <c r="AT2488">
        <v>-128</v>
      </c>
      <c r="BB2488" t="str">
        <f t="shared" si="966"/>
        <v>1200</v>
      </c>
      <c r="BC2488">
        <v>1</v>
      </c>
      <c r="BD2488" t="str">
        <f t="shared" si="967"/>
        <v xml:space="preserve">N52156  </v>
      </c>
      <c r="BE2488">
        <v>1</v>
      </c>
      <c r="BG2488">
        <v>0</v>
      </c>
      <c r="BH2488">
        <v>0</v>
      </c>
      <c r="BI2488">
        <v>0</v>
      </c>
      <c r="BJ2488">
        <v>4675</v>
      </c>
      <c r="BK2488">
        <v>75</v>
      </c>
      <c r="BL2488" t="s">
        <v>188</v>
      </c>
      <c r="BM2488">
        <v>1</v>
      </c>
      <c r="BN2488">
        <v>1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 t="shared" si="985"/>
        <v>15:11:26.614</v>
      </c>
      <c r="CF2488">
        <v>613791917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3</v>
      </c>
      <c r="CY2488">
        <v>7</v>
      </c>
      <c r="CZ2488" t="s">
        <v>133</v>
      </c>
      <c r="DA2488">
        <v>276</v>
      </c>
      <c r="DB2488">
        <v>0</v>
      </c>
      <c r="DC2488" t="s">
        <v>402</v>
      </c>
      <c r="DD2488" t="s">
        <v>403</v>
      </c>
      <c r="DG2488">
        <v>1627236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"05/01/2025 15:11:26.837"</f>
        <v>05/01/2025 15:11:26.837</v>
      </c>
      <c r="C2489" t="str">
        <f t="shared" si="964"/>
        <v>FFDFD3C0</v>
      </c>
      <c r="D2489" t="s">
        <v>136</v>
      </c>
      <c r="E2489" t="str">
        <f>"20"</f>
        <v>20</v>
      </c>
      <c r="H2489">
        <v>400</v>
      </c>
      <c r="I2489" t="s">
        <v>137</v>
      </c>
      <c r="J2489" t="s">
        <v>138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R2489" t="s">
        <v>127</v>
      </c>
      <c r="S2489" t="str">
        <f t="shared" si="984"/>
        <v>15:11:26.000</v>
      </c>
      <c r="T2489" t="str">
        <f t="shared" si="984"/>
        <v>15:11:26.000</v>
      </c>
      <c r="U2489" t="str">
        <f t="shared" si="965"/>
        <v>A68FCB</v>
      </c>
      <c r="V2489">
        <v>0</v>
      </c>
      <c r="W2489">
        <v>0</v>
      </c>
      <c r="X2489">
        <v>2</v>
      </c>
      <c r="Y2489">
        <v>0</v>
      </c>
      <c r="AA2489">
        <v>1</v>
      </c>
      <c r="AB2489">
        <v>8</v>
      </c>
      <c r="AC2489">
        <v>3</v>
      </c>
      <c r="AD2489">
        <v>0</v>
      </c>
      <c r="AE2489">
        <v>9</v>
      </c>
      <c r="AF2489" t="s">
        <v>138</v>
      </c>
      <c r="AG2489">
        <v>0</v>
      </c>
      <c r="AH2489">
        <v>3</v>
      </c>
      <c r="AI2489">
        <v>2</v>
      </c>
      <c r="AJ2489">
        <v>0</v>
      </c>
      <c r="AK2489" t="s">
        <v>844</v>
      </c>
      <c r="AL2489">
        <v>39.083132999999997</v>
      </c>
      <c r="AM2489" t="s">
        <v>845</v>
      </c>
      <c r="AN2489">
        <v>-121.038158</v>
      </c>
      <c r="AO2489">
        <v>25</v>
      </c>
      <c r="AP2489">
        <v>4600</v>
      </c>
      <c r="AQ2489" t="s">
        <v>131</v>
      </c>
      <c r="AR2489">
        <v>14</v>
      </c>
      <c r="AS2489">
        <v>83</v>
      </c>
      <c r="AT2489">
        <v>-128</v>
      </c>
      <c r="BB2489" t="str">
        <f t="shared" si="966"/>
        <v>1200</v>
      </c>
      <c r="BC2489">
        <v>1</v>
      </c>
      <c r="BD2489" t="str">
        <f t="shared" si="967"/>
        <v xml:space="preserve">N52156  </v>
      </c>
      <c r="BE2489">
        <v>1</v>
      </c>
      <c r="BG2489">
        <v>0</v>
      </c>
      <c r="BH2489">
        <v>0</v>
      </c>
      <c r="BI2489">
        <v>0</v>
      </c>
      <c r="BJ2489">
        <v>4675</v>
      </c>
      <c r="BK2489">
        <v>75</v>
      </c>
      <c r="BL2489" t="s">
        <v>188</v>
      </c>
      <c r="BM2489">
        <v>1</v>
      </c>
      <c r="BN2489">
        <v>1</v>
      </c>
      <c r="BO2489">
        <v>0</v>
      </c>
      <c r="BP2489">
        <v>0</v>
      </c>
      <c r="BS2489">
        <v>0</v>
      </c>
      <c r="BT2489">
        <v>0</v>
      </c>
      <c r="BU2489">
        <v>0</v>
      </c>
      <c r="CE2489" t="str">
        <f t="shared" si="985"/>
        <v>15:11:26.614</v>
      </c>
      <c r="CF2489">
        <v>613791917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3</v>
      </c>
      <c r="CY2489">
        <v>7</v>
      </c>
      <c r="CZ2489" t="s">
        <v>133</v>
      </c>
      <c r="DA2489">
        <v>276</v>
      </c>
      <c r="DB2489">
        <v>0</v>
      </c>
      <c r="DC2489" t="s">
        <v>402</v>
      </c>
      <c r="DD2489" t="s">
        <v>403</v>
      </c>
      <c r="DG2489">
        <v>1627236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"05/01/2025 15:11:26.843"</f>
        <v>05/01/2025 15:11:26.843</v>
      </c>
      <c r="C2490" t="str">
        <f t="shared" si="964"/>
        <v>FFDFD3C0</v>
      </c>
      <c r="D2490" t="s">
        <v>143</v>
      </c>
      <c r="E2490" t="str">
        <f>"05"</f>
        <v>05</v>
      </c>
      <c r="H2490">
        <v>172</v>
      </c>
      <c r="I2490" t="s">
        <v>141</v>
      </c>
      <c r="J2490" t="s">
        <v>144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R2490" t="s">
        <v>127</v>
      </c>
      <c r="S2490" t="str">
        <f t="shared" si="984"/>
        <v>15:11:26.000</v>
      </c>
      <c r="T2490" t="str">
        <f t="shared" si="984"/>
        <v>15:11:26.000</v>
      </c>
      <c r="U2490" t="str">
        <f t="shared" si="965"/>
        <v>A68FCB</v>
      </c>
      <c r="V2490">
        <v>0</v>
      </c>
      <c r="W2490">
        <v>0</v>
      </c>
      <c r="X2490">
        <v>2</v>
      </c>
      <c r="Y2490">
        <v>0</v>
      </c>
      <c r="AA2490">
        <v>1</v>
      </c>
      <c r="AB2490">
        <v>8</v>
      </c>
      <c r="AC2490">
        <v>3</v>
      </c>
      <c r="AD2490">
        <v>0</v>
      </c>
      <c r="AE2490">
        <v>9</v>
      </c>
      <c r="AF2490" t="s">
        <v>138</v>
      </c>
      <c r="AG2490">
        <v>0</v>
      </c>
      <c r="AH2490">
        <v>3</v>
      </c>
      <c r="AI2490">
        <v>2</v>
      </c>
      <c r="AJ2490">
        <v>0</v>
      </c>
      <c r="AK2490" t="s">
        <v>844</v>
      </c>
      <c r="AL2490">
        <v>39.083132999999997</v>
      </c>
      <c r="AM2490" t="s">
        <v>845</v>
      </c>
      <c r="AN2490">
        <v>-121.038158</v>
      </c>
      <c r="AO2490">
        <v>25</v>
      </c>
      <c r="AP2490">
        <v>4600</v>
      </c>
      <c r="AQ2490" t="s">
        <v>131</v>
      </c>
      <c r="AR2490">
        <v>14</v>
      </c>
      <c r="AS2490">
        <v>83</v>
      </c>
      <c r="AT2490">
        <v>-128</v>
      </c>
      <c r="BB2490" t="str">
        <f t="shared" si="966"/>
        <v>1200</v>
      </c>
      <c r="BC2490">
        <v>1</v>
      </c>
      <c r="BD2490" t="str">
        <f t="shared" si="967"/>
        <v xml:space="preserve">N52156  </v>
      </c>
      <c r="BE2490">
        <v>1</v>
      </c>
      <c r="BG2490">
        <v>0</v>
      </c>
      <c r="BH2490">
        <v>0</v>
      </c>
      <c r="BI2490">
        <v>0</v>
      </c>
      <c r="BJ2490">
        <v>4675</v>
      </c>
      <c r="BK2490">
        <v>75</v>
      </c>
      <c r="BL2490" t="s">
        <v>188</v>
      </c>
      <c r="BM2490">
        <v>1</v>
      </c>
      <c r="BN2490">
        <v>1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 t="shared" si="985"/>
        <v>15:11:26.614</v>
      </c>
      <c r="CF2490">
        <v>613791917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3</v>
      </c>
      <c r="CY2490">
        <v>7</v>
      </c>
      <c r="CZ2490" t="s">
        <v>133</v>
      </c>
      <c r="DA2490">
        <v>276</v>
      </c>
      <c r="DB2490">
        <v>0</v>
      </c>
      <c r="DC2490" t="s">
        <v>402</v>
      </c>
      <c r="DD2490" t="s">
        <v>403</v>
      </c>
      <c r="DG2490">
        <v>1627236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"05/01/2025 15:11:26.860"</f>
        <v>05/01/2025 15:11:26.860</v>
      </c>
      <c r="C2491" t="str">
        <f t="shared" si="964"/>
        <v>FFDFD3C0</v>
      </c>
      <c r="D2491" t="s">
        <v>140</v>
      </c>
      <c r="E2491" t="str">
        <f>"13"</f>
        <v>13</v>
      </c>
      <c r="F2491">
        <v>1019</v>
      </c>
      <c r="G2491" t="s">
        <v>141</v>
      </c>
      <c r="J2491" t="s">
        <v>142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R2491" t="s">
        <v>127</v>
      </c>
      <c r="S2491" t="str">
        <f t="shared" si="984"/>
        <v>15:11:26.000</v>
      </c>
      <c r="T2491" t="str">
        <f t="shared" si="984"/>
        <v>15:11:26.000</v>
      </c>
      <c r="U2491" t="str">
        <f t="shared" si="965"/>
        <v>A68FCB</v>
      </c>
      <c r="V2491">
        <v>0</v>
      </c>
      <c r="W2491">
        <v>0</v>
      </c>
      <c r="X2491">
        <v>2</v>
      </c>
      <c r="Y2491">
        <v>0</v>
      </c>
      <c r="AA2491">
        <v>1</v>
      </c>
      <c r="AB2491">
        <v>8</v>
      </c>
      <c r="AC2491">
        <v>3</v>
      </c>
      <c r="AD2491">
        <v>0</v>
      </c>
      <c r="AE2491">
        <v>9</v>
      </c>
      <c r="AF2491" t="s">
        <v>138</v>
      </c>
      <c r="AG2491">
        <v>0</v>
      </c>
      <c r="AH2491">
        <v>3</v>
      </c>
      <c r="AI2491">
        <v>2</v>
      </c>
      <c r="AJ2491">
        <v>0</v>
      </c>
      <c r="AK2491" t="s">
        <v>844</v>
      </c>
      <c r="AL2491">
        <v>39.083132999999997</v>
      </c>
      <c r="AM2491" t="s">
        <v>845</v>
      </c>
      <c r="AN2491">
        <v>-121.038158</v>
      </c>
      <c r="AO2491">
        <v>25</v>
      </c>
      <c r="AP2491">
        <v>4600</v>
      </c>
      <c r="AQ2491" t="s">
        <v>131</v>
      </c>
      <c r="AR2491">
        <v>14</v>
      </c>
      <c r="AS2491">
        <v>83</v>
      </c>
      <c r="AT2491">
        <v>-128</v>
      </c>
      <c r="BB2491" t="str">
        <f t="shared" si="966"/>
        <v>1200</v>
      </c>
      <c r="BC2491">
        <v>1</v>
      </c>
      <c r="BD2491" t="str">
        <f t="shared" si="967"/>
        <v xml:space="preserve">N52156  </v>
      </c>
      <c r="BE2491">
        <v>1</v>
      </c>
      <c r="BG2491">
        <v>0</v>
      </c>
      <c r="BH2491">
        <v>0</v>
      </c>
      <c r="BI2491">
        <v>0</v>
      </c>
      <c r="BJ2491">
        <v>4675</v>
      </c>
      <c r="BK2491">
        <v>75</v>
      </c>
      <c r="BL2491" t="s">
        <v>188</v>
      </c>
      <c r="BM2491">
        <v>1</v>
      </c>
      <c r="BN2491">
        <v>1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 t="shared" si="985"/>
        <v>15:11:26.614</v>
      </c>
      <c r="CF2491">
        <v>613791917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3</v>
      </c>
      <c r="CY2491">
        <v>7</v>
      </c>
      <c r="CZ2491" t="s">
        <v>133</v>
      </c>
      <c r="DA2491">
        <v>276</v>
      </c>
      <c r="DB2491">
        <v>0</v>
      </c>
      <c r="DC2491" t="s">
        <v>402</v>
      </c>
      <c r="DD2491" t="s">
        <v>403</v>
      </c>
      <c r="DG2491">
        <v>1627236</v>
      </c>
      <c r="DI2491">
        <v>1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"05/01/2025 15:11:27.494"</f>
        <v>05/01/2025 15:11:27.494</v>
      </c>
      <c r="C2492" t="str">
        <f t="shared" si="964"/>
        <v>FFDFD3C0</v>
      </c>
      <c r="D2492" t="s">
        <v>143</v>
      </c>
      <c r="E2492" t="str">
        <f>"05"</f>
        <v>05</v>
      </c>
      <c r="H2492">
        <v>172</v>
      </c>
      <c r="I2492" t="s">
        <v>141</v>
      </c>
      <c r="J2492" t="s">
        <v>144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R2492" t="s">
        <v>127</v>
      </c>
      <c r="S2492" t="str">
        <f t="shared" ref="S2492:T2497" si="986">"15:11:27.000"</f>
        <v>15:11:27.000</v>
      </c>
      <c r="T2492" t="str">
        <f t="shared" si="986"/>
        <v>15:11:27.000</v>
      </c>
      <c r="U2492" t="str">
        <f t="shared" si="965"/>
        <v>A68FCB</v>
      </c>
      <c r="V2492">
        <v>0</v>
      </c>
      <c r="W2492">
        <v>0</v>
      </c>
      <c r="X2492">
        <v>2</v>
      </c>
      <c r="Y2492">
        <v>0</v>
      </c>
      <c r="AA2492">
        <v>1</v>
      </c>
      <c r="AB2492">
        <v>8</v>
      </c>
      <c r="AC2492">
        <v>3</v>
      </c>
      <c r="AD2492">
        <v>0</v>
      </c>
      <c r="AE2492">
        <v>9</v>
      </c>
      <c r="AF2492" t="s">
        <v>138</v>
      </c>
      <c r="AG2492">
        <v>0</v>
      </c>
      <c r="AH2492">
        <v>3</v>
      </c>
      <c r="AI2492">
        <v>2</v>
      </c>
      <c r="AJ2492">
        <v>0</v>
      </c>
      <c r="AK2492" t="s">
        <v>846</v>
      </c>
      <c r="AL2492">
        <v>39.083519000000003</v>
      </c>
      <c r="AM2492" t="s">
        <v>847</v>
      </c>
      <c r="AN2492">
        <v>-121.038072</v>
      </c>
      <c r="AO2492">
        <v>25</v>
      </c>
      <c r="AP2492">
        <v>4600</v>
      </c>
      <c r="AQ2492" t="s">
        <v>131</v>
      </c>
      <c r="AR2492">
        <v>14</v>
      </c>
      <c r="AS2492">
        <v>84</v>
      </c>
      <c r="AT2492">
        <v>-192</v>
      </c>
      <c r="BB2492" t="str">
        <f t="shared" si="966"/>
        <v>1200</v>
      </c>
      <c r="BC2492">
        <v>1</v>
      </c>
      <c r="BD2492" t="str">
        <f t="shared" si="967"/>
        <v xml:space="preserve">N52156  </v>
      </c>
      <c r="BE2492">
        <v>1</v>
      </c>
      <c r="BG2492">
        <v>0</v>
      </c>
      <c r="BH2492">
        <v>0</v>
      </c>
      <c r="BI2492">
        <v>0</v>
      </c>
      <c r="BJ2492">
        <v>4675</v>
      </c>
      <c r="BK2492">
        <v>75</v>
      </c>
      <c r="BL2492" t="s">
        <v>188</v>
      </c>
      <c r="BM2492">
        <v>1</v>
      </c>
      <c r="BN2492">
        <v>1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 t="shared" ref="CE2492:CE2497" si="987">"15:11:27.290"</f>
        <v>15:11:27.290</v>
      </c>
      <c r="CF2492">
        <v>290041184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3</v>
      </c>
      <c r="CY2492">
        <v>7</v>
      </c>
      <c r="CZ2492" t="s">
        <v>133</v>
      </c>
      <c r="DA2492">
        <v>276</v>
      </c>
      <c r="DB2492">
        <v>0</v>
      </c>
      <c r="DC2492" t="s">
        <v>402</v>
      </c>
      <c r="DD2492" t="s">
        <v>403</v>
      </c>
      <c r="DG2492">
        <v>1627241</v>
      </c>
      <c r="DI2492">
        <v>1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"05/01/2025 15:11:27.512"</f>
        <v>05/01/2025 15:11:27.512</v>
      </c>
      <c r="C2493" t="str">
        <f t="shared" si="964"/>
        <v>FFDFD3C0</v>
      </c>
      <c r="D2493" t="s">
        <v>140</v>
      </c>
      <c r="E2493" t="str">
        <f>"13"</f>
        <v>13</v>
      </c>
      <c r="F2493">
        <v>1019</v>
      </c>
      <c r="G2493" t="s">
        <v>141</v>
      </c>
      <c r="J2493" t="s">
        <v>142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R2493" t="s">
        <v>127</v>
      </c>
      <c r="S2493" t="str">
        <f t="shared" si="986"/>
        <v>15:11:27.000</v>
      </c>
      <c r="T2493" t="str">
        <f t="shared" si="986"/>
        <v>15:11:27.000</v>
      </c>
      <c r="U2493" t="str">
        <f t="shared" si="965"/>
        <v>A68FCB</v>
      </c>
      <c r="V2493">
        <v>0</v>
      </c>
      <c r="W2493">
        <v>0</v>
      </c>
      <c r="X2493">
        <v>2</v>
      </c>
      <c r="Y2493">
        <v>0</v>
      </c>
      <c r="AA2493">
        <v>1</v>
      </c>
      <c r="AB2493">
        <v>8</v>
      </c>
      <c r="AC2493">
        <v>3</v>
      </c>
      <c r="AD2493">
        <v>0</v>
      </c>
      <c r="AE2493">
        <v>9</v>
      </c>
      <c r="AF2493" t="s">
        <v>138</v>
      </c>
      <c r="AG2493">
        <v>0</v>
      </c>
      <c r="AH2493">
        <v>3</v>
      </c>
      <c r="AI2493">
        <v>2</v>
      </c>
      <c r="AJ2493">
        <v>0</v>
      </c>
      <c r="AK2493" t="s">
        <v>846</v>
      </c>
      <c r="AL2493">
        <v>39.083519000000003</v>
      </c>
      <c r="AM2493" t="s">
        <v>847</v>
      </c>
      <c r="AN2493">
        <v>-121.038072</v>
      </c>
      <c r="AO2493">
        <v>25</v>
      </c>
      <c r="AP2493">
        <v>4600</v>
      </c>
      <c r="AQ2493" t="s">
        <v>131</v>
      </c>
      <c r="AR2493">
        <v>14</v>
      </c>
      <c r="AS2493">
        <v>84</v>
      </c>
      <c r="AT2493">
        <v>-192</v>
      </c>
      <c r="BB2493" t="str">
        <f t="shared" si="966"/>
        <v>1200</v>
      </c>
      <c r="BC2493">
        <v>1</v>
      </c>
      <c r="BD2493" t="str">
        <f t="shared" si="967"/>
        <v xml:space="preserve">N52156  </v>
      </c>
      <c r="BE2493">
        <v>1</v>
      </c>
      <c r="BG2493">
        <v>0</v>
      </c>
      <c r="BH2493">
        <v>0</v>
      </c>
      <c r="BI2493">
        <v>0</v>
      </c>
      <c r="BJ2493">
        <v>4675</v>
      </c>
      <c r="BK2493">
        <v>75</v>
      </c>
      <c r="BL2493" t="s">
        <v>188</v>
      </c>
      <c r="BM2493">
        <v>1</v>
      </c>
      <c r="BN2493">
        <v>1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 t="shared" si="987"/>
        <v>15:11:27.290</v>
      </c>
      <c r="CF2493">
        <v>290041184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3</v>
      </c>
      <c r="CY2493">
        <v>7</v>
      </c>
      <c r="CZ2493" t="s">
        <v>133</v>
      </c>
      <c r="DA2493">
        <v>276</v>
      </c>
      <c r="DB2493">
        <v>0</v>
      </c>
      <c r="DC2493" t="s">
        <v>402</v>
      </c>
      <c r="DD2493" t="s">
        <v>403</v>
      </c>
      <c r="DG2493">
        <v>1627241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"05/01/2025 15:11:27.519"</f>
        <v>05/01/2025 15:11:27.519</v>
      </c>
      <c r="C2494" t="str">
        <f t="shared" si="964"/>
        <v>FFDFD3C0</v>
      </c>
      <c r="D2494" t="s">
        <v>124</v>
      </c>
      <c r="E2494" t="str">
        <f>"06"</f>
        <v>06</v>
      </c>
      <c r="F2494">
        <v>2006</v>
      </c>
      <c r="G2494" t="s">
        <v>125</v>
      </c>
      <c r="J2494" t="s">
        <v>126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R2494" t="s">
        <v>127</v>
      </c>
      <c r="S2494" t="str">
        <f t="shared" si="986"/>
        <v>15:11:27.000</v>
      </c>
      <c r="T2494" t="str">
        <f t="shared" si="986"/>
        <v>15:11:27.000</v>
      </c>
      <c r="U2494" t="str">
        <f t="shared" si="965"/>
        <v>A68FCB</v>
      </c>
      <c r="V2494">
        <v>0</v>
      </c>
      <c r="W2494">
        <v>0</v>
      </c>
      <c r="X2494">
        <v>2</v>
      </c>
      <c r="Y2494">
        <v>0</v>
      </c>
      <c r="AA2494">
        <v>1</v>
      </c>
      <c r="AB2494">
        <v>8</v>
      </c>
      <c r="AC2494">
        <v>3</v>
      </c>
      <c r="AD2494">
        <v>0</v>
      </c>
      <c r="AE2494">
        <v>9</v>
      </c>
      <c r="AF2494" t="s">
        <v>138</v>
      </c>
      <c r="AG2494">
        <v>0</v>
      </c>
      <c r="AH2494">
        <v>3</v>
      </c>
      <c r="AI2494">
        <v>2</v>
      </c>
      <c r="AJ2494">
        <v>0</v>
      </c>
      <c r="AK2494" t="s">
        <v>846</v>
      </c>
      <c r="AL2494">
        <v>39.083519000000003</v>
      </c>
      <c r="AM2494" t="s">
        <v>847</v>
      </c>
      <c r="AN2494">
        <v>-121.038072</v>
      </c>
      <c r="AO2494">
        <v>25</v>
      </c>
      <c r="AP2494">
        <v>4600</v>
      </c>
      <c r="AQ2494" t="s">
        <v>131</v>
      </c>
      <c r="AR2494">
        <v>14</v>
      </c>
      <c r="AS2494">
        <v>84</v>
      </c>
      <c r="AT2494">
        <v>-192</v>
      </c>
      <c r="BB2494" t="str">
        <f t="shared" si="966"/>
        <v>1200</v>
      </c>
      <c r="BC2494">
        <v>1</v>
      </c>
      <c r="BD2494" t="str">
        <f t="shared" si="967"/>
        <v xml:space="preserve">N52156  </v>
      </c>
      <c r="BE2494">
        <v>1</v>
      </c>
      <c r="BG2494">
        <v>0</v>
      </c>
      <c r="BH2494">
        <v>0</v>
      </c>
      <c r="BI2494">
        <v>0</v>
      </c>
      <c r="BJ2494">
        <v>4675</v>
      </c>
      <c r="BK2494">
        <v>75</v>
      </c>
      <c r="BL2494" t="s">
        <v>188</v>
      </c>
      <c r="BM2494">
        <v>1</v>
      </c>
      <c r="BN2494">
        <v>1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 t="shared" si="987"/>
        <v>15:11:27.290</v>
      </c>
      <c r="CF2494">
        <v>290041184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3</v>
      </c>
      <c r="CY2494">
        <v>7</v>
      </c>
      <c r="CZ2494" t="s">
        <v>133</v>
      </c>
      <c r="DA2494">
        <v>276</v>
      </c>
      <c r="DB2494">
        <v>0</v>
      </c>
      <c r="DC2494" t="s">
        <v>402</v>
      </c>
      <c r="DD2494" t="s">
        <v>403</v>
      </c>
      <c r="DG2494">
        <v>1627241</v>
      </c>
      <c r="DI2494">
        <v>1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"05/01/2025 15:11:27.530"</f>
        <v>05/01/2025 15:11:27.530</v>
      </c>
      <c r="C2495" t="str">
        <f t="shared" si="964"/>
        <v>FFDFD3C0</v>
      </c>
      <c r="D2495" t="s">
        <v>145</v>
      </c>
      <c r="E2495" t="str">
        <f>"05"</f>
        <v>05</v>
      </c>
      <c r="H2495">
        <v>47</v>
      </c>
      <c r="I2495" t="s">
        <v>146</v>
      </c>
      <c r="J2495" t="s">
        <v>138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R2495" t="s">
        <v>127</v>
      </c>
      <c r="S2495" t="str">
        <f t="shared" si="986"/>
        <v>15:11:27.000</v>
      </c>
      <c r="T2495" t="str">
        <f t="shared" si="986"/>
        <v>15:11:27.000</v>
      </c>
      <c r="U2495" t="str">
        <f t="shared" si="965"/>
        <v>A68FCB</v>
      </c>
      <c r="V2495">
        <v>0</v>
      </c>
      <c r="W2495">
        <v>0</v>
      </c>
      <c r="X2495">
        <v>2</v>
      </c>
      <c r="Y2495">
        <v>0</v>
      </c>
      <c r="AA2495">
        <v>1</v>
      </c>
      <c r="AB2495">
        <v>8</v>
      </c>
      <c r="AC2495">
        <v>3</v>
      </c>
      <c r="AD2495">
        <v>0</v>
      </c>
      <c r="AE2495">
        <v>9</v>
      </c>
      <c r="AF2495" t="s">
        <v>138</v>
      </c>
      <c r="AG2495">
        <v>0</v>
      </c>
      <c r="AH2495">
        <v>3</v>
      </c>
      <c r="AI2495">
        <v>2</v>
      </c>
      <c r="AJ2495">
        <v>0</v>
      </c>
      <c r="AK2495" t="s">
        <v>846</v>
      </c>
      <c r="AL2495">
        <v>39.083519000000003</v>
      </c>
      <c r="AM2495" t="s">
        <v>847</v>
      </c>
      <c r="AN2495">
        <v>-121.038072</v>
      </c>
      <c r="AO2495">
        <v>25</v>
      </c>
      <c r="AP2495">
        <v>4600</v>
      </c>
      <c r="AQ2495" t="s">
        <v>131</v>
      </c>
      <c r="AR2495">
        <v>14</v>
      </c>
      <c r="AS2495">
        <v>84</v>
      </c>
      <c r="AT2495">
        <v>-192</v>
      </c>
      <c r="BB2495" t="str">
        <f t="shared" si="966"/>
        <v>1200</v>
      </c>
      <c r="BC2495">
        <v>1</v>
      </c>
      <c r="BD2495" t="str">
        <f t="shared" si="967"/>
        <v xml:space="preserve">N52156  </v>
      </c>
      <c r="BE2495">
        <v>1</v>
      </c>
      <c r="BG2495">
        <v>0</v>
      </c>
      <c r="BH2495">
        <v>0</v>
      </c>
      <c r="BI2495">
        <v>0</v>
      </c>
      <c r="BJ2495">
        <v>4675</v>
      </c>
      <c r="BK2495">
        <v>75</v>
      </c>
      <c r="BL2495" t="s">
        <v>188</v>
      </c>
      <c r="BM2495">
        <v>1</v>
      </c>
      <c r="BN2495">
        <v>1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 t="shared" si="987"/>
        <v>15:11:27.290</v>
      </c>
      <c r="CF2495">
        <v>290041184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3</v>
      </c>
      <c r="CY2495">
        <v>7</v>
      </c>
      <c r="CZ2495" t="s">
        <v>133</v>
      </c>
      <c r="DA2495">
        <v>276</v>
      </c>
      <c r="DB2495">
        <v>0</v>
      </c>
      <c r="DC2495" t="s">
        <v>402</v>
      </c>
      <c r="DD2495" t="s">
        <v>403</v>
      </c>
      <c r="DG2495">
        <v>1627241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"05/01/2025 15:11:27.530"</f>
        <v>05/01/2025 15:11:27.530</v>
      </c>
      <c r="C2496" t="str">
        <f t="shared" si="964"/>
        <v>FFDFD3C0</v>
      </c>
      <c r="D2496" t="s">
        <v>145</v>
      </c>
      <c r="E2496" t="str">
        <f>"09"</f>
        <v>09</v>
      </c>
      <c r="H2496">
        <v>51</v>
      </c>
      <c r="I2496" t="s">
        <v>147</v>
      </c>
      <c r="J2496" t="s">
        <v>138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R2496" t="s">
        <v>127</v>
      </c>
      <c r="S2496" t="str">
        <f t="shared" si="986"/>
        <v>15:11:27.000</v>
      </c>
      <c r="T2496" t="str">
        <f t="shared" si="986"/>
        <v>15:11:27.000</v>
      </c>
      <c r="U2496" t="str">
        <f t="shared" si="965"/>
        <v>A68FCB</v>
      </c>
      <c r="V2496">
        <v>0</v>
      </c>
      <c r="W2496">
        <v>0</v>
      </c>
      <c r="X2496">
        <v>2</v>
      </c>
      <c r="Y2496">
        <v>0</v>
      </c>
      <c r="AA2496">
        <v>1</v>
      </c>
      <c r="AB2496">
        <v>8</v>
      </c>
      <c r="AC2496">
        <v>3</v>
      </c>
      <c r="AD2496">
        <v>0</v>
      </c>
      <c r="AE2496">
        <v>9</v>
      </c>
      <c r="AF2496" t="s">
        <v>138</v>
      </c>
      <c r="AG2496">
        <v>0</v>
      </c>
      <c r="AH2496">
        <v>3</v>
      </c>
      <c r="AI2496">
        <v>2</v>
      </c>
      <c r="AJ2496">
        <v>0</v>
      </c>
      <c r="AK2496" t="s">
        <v>846</v>
      </c>
      <c r="AL2496">
        <v>39.083519000000003</v>
      </c>
      <c r="AM2496" t="s">
        <v>847</v>
      </c>
      <c r="AN2496">
        <v>-121.038072</v>
      </c>
      <c r="AO2496">
        <v>25</v>
      </c>
      <c r="AP2496">
        <v>4600</v>
      </c>
      <c r="AQ2496" t="s">
        <v>131</v>
      </c>
      <c r="AR2496">
        <v>14</v>
      </c>
      <c r="AS2496">
        <v>84</v>
      </c>
      <c r="AT2496">
        <v>-192</v>
      </c>
      <c r="BB2496" t="str">
        <f t="shared" si="966"/>
        <v>1200</v>
      </c>
      <c r="BC2496">
        <v>1</v>
      </c>
      <c r="BD2496" t="str">
        <f t="shared" si="967"/>
        <v xml:space="preserve">N52156  </v>
      </c>
      <c r="BE2496">
        <v>1</v>
      </c>
      <c r="BG2496">
        <v>0</v>
      </c>
      <c r="BH2496">
        <v>0</v>
      </c>
      <c r="BI2496">
        <v>0</v>
      </c>
      <c r="BJ2496">
        <v>4675</v>
      </c>
      <c r="BK2496">
        <v>75</v>
      </c>
      <c r="BL2496" t="s">
        <v>188</v>
      </c>
      <c r="BM2496">
        <v>1</v>
      </c>
      <c r="BN2496">
        <v>1</v>
      </c>
      <c r="BO2496">
        <v>0</v>
      </c>
      <c r="BP2496">
        <v>0</v>
      </c>
      <c r="BS2496">
        <v>0</v>
      </c>
      <c r="BT2496">
        <v>0</v>
      </c>
      <c r="BU2496">
        <v>0</v>
      </c>
      <c r="CE2496" t="str">
        <f t="shared" si="987"/>
        <v>15:11:27.290</v>
      </c>
      <c r="CF2496">
        <v>290041184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3</v>
      </c>
      <c r="CY2496">
        <v>7</v>
      </c>
      <c r="CZ2496" t="s">
        <v>133</v>
      </c>
      <c r="DA2496">
        <v>276</v>
      </c>
      <c r="DB2496">
        <v>0</v>
      </c>
      <c r="DC2496" t="s">
        <v>402</v>
      </c>
      <c r="DD2496" t="s">
        <v>403</v>
      </c>
      <c r="DG2496">
        <v>1627241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"05/01/2025 15:11:27.538"</f>
        <v>05/01/2025 15:11:27.538</v>
      </c>
      <c r="C2497" t="str">
        <f t="shared" si="964"/>
        <v>FFDFD3C0</v>
      </c>
      <c r="D2497" t="s">
        <v>136</v>
      </c>
      <c r="E2497" t="str">
        <f>"20"</f>
        <v>20</v>
      </c>
      <c r="H2497">
        <v>400</v>
      </c>
      <c r="I2497" t="s">
        <v>137</v>
      </c>
      <c r="J2497" t="s">
        <v>138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R2497" t="s">
        <v>127</v>
      </c>
      <c r="S2497" t="str">
        <f t="shared" si="986"/>
        <v>15:11:27.000</v>
      </c>
      <c r="T2497" t="str">
        <f t="shared" si="986"/>
        <v>15:11:27.000</v>
      </c>
      <c r="U2497" t="str">
        <f t="shared" si="965"/>
        <v>A68FCB</v>
      </c>
      <c r="V2497">
        <v>0</v>
      </c>
      <c r="W2497">
        <v>0</v>
      </c>
      <c r="X2497">
        <v>2</v>
      </c>
      <c r="Y2497">
        <v>0</v>
      </c>
      <c r="AA2497">
        <v>1</v>
      </c>
      <c r="AB2497">
        <v>8</v>
      </c>
      <c r="AC2497">
        <v>3</v>
      </c>
      <c r="AD2497">
        <v>0</v>
      </c>
      <c r="AE2497">
        <v>9</v>
      </c>
      <c r="AF2497" t="s">
        <v>138</v>
      </c>
      <c r="AG2497">
        <v>0</v>
      </c>
      <c r="AH2497">
        <v>3</v>
      </c>
      <c r="AI2497">
        <v>2</v>
      </c>
      <c r="AJ2497">
        <v>0</v>
      </c>
      <c r="AK2497" t="s">
        <v>846</v>
      </c>
      <c r="AL2497">
        <v>39.083519000000003</v>
      </c>
      <c r="AM2497" t="s">
        <v>847</v>
      </c>
      <c r="AN2497">
        <v>-121.038072</v>
      </c>
      <c r="AO2497">
        <v>25</v>
      </c>
      <c r="AP2497">
        <v>4600</v>
      </c>
      <c r="AQ2497" t="s">
        <v>131</v>
      </c>
      <c r="AR2497">
        <v>14</v>
      </c>
      <c r="AS2497">
        <v>84</v>
      </c>
      <c r="AT2497">
        <v>-192</v>
      </c>
      <c r="BB2497" t="str">
        <f t="shared" si="966"/>
        <v>1200</v>
      </c>
      <c r="BC2497">
        <v>1</v>
      </c>
      <c r="BD2497" t="str">
        <f t="shared" si="967"/>
        <v xml:space="preserve">N52156  </v>
      </c>
      <c r="BE2497">
        <v>1</v>
      </c>
      <c r="BG2497">
        <v>0</v>
      </c>
      <c r="BH2497">
        <v>0</v>
      </c>
      <c r="BI2497">
        <v>0</v>
      </c>
      <c r="BJ2497">
        <v>4675</v>
      </c>
      <c r="BK2497">
        <v>75</v>
      </c>
      <c r="BL2497" t="s">
        <v>188</v>
      </c>
      <c r="BM2497">
        <v>1</v>
      </c>
      <c r="BN2497">
        <v>1</v>
      </c>
      <c r="BO2497">
        <v>0</v>
      </c>
      <c r="BP2497">
        <v>0</v>
      </c>
      <c r="BS2497">
        <v>0</v>
      </c>
      <c r="BT2497">
        <v>0</v>
      </c>
      <c r="BU2497">
        <v>0</v>
      </c>
      <c r="CE2497" t="str">
        <f t="shared" si="987"/>
        <v>15:11:27.290</v>
      </c>
      <c r="CF2497">
        <v>290041184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3</v>
      </c>
      <c r="CY2497">
        <v>7</v>
      </c>
      <c r="CZ2497" t="s">
        <v>133</v>
      </c>
      <c r="DA2497">
        <v>276</v>
      </c>
      <c r="DB2497">
        <v>0</v>
      </c>
      <c r="DC2497" t="s">
        <v>402</v>
      </c>
      <c r="DD2497" t="s">
        <v>403</v>
      </c>
      <c r="DG2497">
        <v>1627241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"05/01/2025 15:11:29.014"</f>
        <v>05/01/2025 15:11:29.014</v>
      </c>
      <c r="C2498" t="str">
        <f t="shared" ref="C2498:C2561" si="988">"FFDFD3C0"</f>
        <v>FFDFD3C0</v>
      </c>
      <c r="D2498" t="s">
        <v>140</v>
      </c>
      <c r="E2498" t="str">
        <f>"13"</f>
        <v>13</v>
      </c>
      <c r="F2498">
        <v>1019</v>
      </c>
      <c r="G2498" t="s">
        <v>141</v>
      </c>
      <c r="J2498" t="s">
        <v>142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R2498" t="s">
        <v>127</v>
      </c>
      <c r="S2498" t="str">
        <f t="shared" ref="S2498:T2503" si="989">"15:11:28.000"</f>
        <v>15:11:28.000</v>
      </c>
      <c r="T2498" t="str">
        <f t="shared" si="989"/>
        <v>15:11:28.000</v>
      </c>
      <c r="U2498" t="str">
        <f t="shared" ref="U2498:U2561" si="990">"A68FCB"</f>
        <v>A68FCB</v>
      </c>
      <c r="V2498">
        <v>0</v>
      </c>
      <c r="W2498">
        <v>0</v>
      </c>
      <c r="X2498">
        <v>2</v>
      </c>
      <c r="Y2498">
        <v>0</v>
      </c>
      <c r="AA2498">
        <v>1</v>
      </c>
      <c r="AB2498">
        <v>8</v>
      </c>
      <c r="AC2498">
        <v>3</v>
      </c>
      <c r="AD2498">
        <v>0</v>
      </c>
      <c r="AE2498">
        <v>9</v>
      </c>
      <c r="AF2498" t="s">
        <v>138</v>
      </c>
      <c r="AG2498">
        <v>0</v>
      </c>
      <c r="AH2498">
        <v>3</v>
      </c>
      <c r="AI2498">
        <v>2</v>
      </c>
      <c r="AJ2498">
        <v>0</v>
      </c>
      <c r="AK2498" t="s">
        <v>848</v>
      </c>
      <c r="AL2498">
        <v>39.083905000000001</v>
      </c>
      <c r="AM2498" t="s">
        <v>849</v>
      </c>
      <c r="AN2498">
        <v>-121.037986</v>
      </c>
      <c r="AO2498">
        <v>25</v>
      </c>
      <c r="AP2498">
        <v>4600</v>
      </c>
      <c r="AQ2498" t="s">
        <v>131</v>
      </c>
      <c r="AR2498">
        <v>14</v>
      </c>
      <c r="AS2498">
        <v>84</v>
      </c>
      <c r="AT2498">
        <v>-256</v>
      </c>
      <c r="BB2498" t="str">
        <f t="shared" ref="BB2498:BB2561" si="991">"1200"</f>
        <v>1200</v>
      </c>
      <c r="BC2498">
        <v>1</v>
      </c>
      <c r="BD2498" t="str">
        <f t="shared" ref="BD2498:BD2561" si="992">"N52156  "</f>
        <v xml:space="preserve">N52156  </v>
      </c>
      <c r="BE2498">
        <v>1</v>
      </c>
      <c r="BG2498">
        <v>0</v>
      </c>
      <c r="BH2498">
        <v>0</v>
      </c>
      <c r="BI2498">
        <v>0</v>
      </c>
      <c r="BJ2498">
        <v>4675</v>
      </c>
      <c r="BK2498">
        <v>75</v>
      </c>
      <c r="BL2498" t="s">
        <v>188</v>
      </c>
      <c r="BM2498">
        <v>1</v>
      </c>
      <c r="BN2498">
        <v>1</v>
      </c>
      <c r="BO2498">
        <v>0</v>
      </c>
      <c r="BP2498">
        <v>0</v>
      </c>
      <c r="BS2498">
        <v>0</v>
      </c>
      <c r="BT2498">
        <v>0</v>
      </c>
      <c r="BU2498">
        <v>0</v>
      </c>
      <c r="CE2498" t="str">
        <f t="shared" ref="CE2498:CE2503" si="993">"15:11:28.795"</f>
        <v>15:11:28.795</v>
      </c>
      <c r="CF2498">
        <v>794542642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3</v>
      </c>
      <c r="CY2498">
        <v>7</v>
      </c>
      <c r="CZ2498" t="s">
        <v>133</v>
      </c>
      <c r="DA2498">
        <v>276</v>
      </c>
      <c r="DB2498">
        <v>0</v>
      </c>
      <c r="DC2498" t="s">
        <v>402</v>
      </c>
      <c r="DD2498" t="s">
        <v>403</v>
      </c>
      <c r="DG2498">
        <v>1627255</v>
      </c>
      <c r="DI2498">
        <v>1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"05/01/2025 15:11:29.021"</f>
        <v>05/01/2025 15:11:29.021</v>
      </c>
      <c r="C2499" t="str">
        <f t="shared" si="988"/>
        <v>FFDFD3C0</v>
      </c>
      <c r="D2499" t="s">
        <v>124</v>
      </c>
      <c r="E2499" t="str">
        <f>"06"</f>
        <v>06</v>
      </c>
      <c r="F2499">
        <v>2006</v>
      </c>
      <c r="G2499" t="s">
        <v>125</v>
      </c>
      <c r="J2499" t="s">
        <v>126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R2499" t="s">
        <v>127</v>
      </c>
      <c r="S2499" t="str">
        <f t="shared" si="989"/>
        <v>15:11:28.000</v>
      </c>
      <c r="T2499" t="str">
        <f t="shared" si="989"/>
        <v>15:11:28.000</v>
      </c>
      <c r="U2499" t="str">
        <f t="shared" si="990"/>
        <v>A68FCB</v>
      </c>
      <c r="V2499">
        <v>0</v>
      </c>
      <c r="W2499">
        <v>0</v>
      </c>
      <c r="X2499">
        <v>2</v>
      </c>
      <c r="Y2499">
        <v>0</v>
      </c>
      <c r="AA2499">
        <v>1</v>
      </c>
      <c r="AB2499">
        <v>8</v>
      </c>
      <c r="AC2499">
        <v>3</v>
      </c>
      <c r="AD2499">
        <v>0</v>
      </c>
      <c r="AE2499">
        <v>9</v>
      </c>
      <c r="AF2499" t="s">
        <v>138</v>
      </c>
      <c r="AG2499">
        <v>0</v>
      </c>
      <c r="AH2499">
        <v>3</v>
      </c>
      <c r="AI2499">
        <v>2</v>
      </c>
      <c r="AJ2499">
        <v>0</v>
      </c>
      <c r="AK2499" t="s">
        <v>848</v>
      </c>
      <c r="AL2499">
        <v>39.083905000000001</v>
      </c>
      <c r="AM2499" t="s">
        <v>849</v>
      </c>
      <c r="AN2499">
        <v>-121.037986</v>
      </c>
      <c r="AO2499">
        <v>25</v>
      </c>
      <c r="AP2499">
        <v>4600</v>
      </c>
      <c r="AQ2499" t="s">
        <v>131</v>
      </c>
      <c r="AR2499">
        <v>14</v>
      </c>
      <c r="AS2499">
        <v>84</v>
      </c>
      <c r="AT2499">
        <v>-256</v>
      </c>
      <c r="BB2499" t="str">
        <f t="shared" si="991"/>
        <v>1200</v>
      </c>
      <c r="BC2499">
        <v>1</v>
      </c>
      <c r="BD2499" t="str">
        <f t="shared" si="992"/>
        <v xml:space="preserve">N52156  </v>
      </c>
      <c r="BE2499">
        <v>1</v>
      </c>
      <c r="BG2499">
        <v>0</v>
      </c>
      <c r="BH2499">
        <v>0</v>
      </c>
      <c r="BI2499">
        <v>0</v>
      </c>
      <c r="BJ2499">
        <v>4675</v>
      </c>
      <c r="BK2499">
        <v>75</v>
      </c>
      <c r="BL2499" t="s">
        <v>188</v>
      </c>
      <c r="BM2499">
        <v>1</v>
      </c>
      <c r="BN2499">
        <v>1</v>
      </c>
      <c r="BO2499">
        <v>0</v>
      </c>
      <c r="BP2499">
        <v>0</v>
      </c>
      <c r="BS2499">
        <v>0</v>
      </c>
      <c r="BT2499">
        <v>0</v>
      </c>
      <c r="BU2499">
        <v>0</v>
      </c>
      <c r="CE2499" t="str">
        <f t="shared" si="993"/>
        <v>15:11:28.795</v>
      </c>
      <c r="CF2499">
        <v>794542642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3</v>
      </c>
      <c r="CY2499">
        <v>7</v>
      </c>
      <c r="CZ2499" t="s">
        <v>133</v>
      </c>
      <c r="DA2499">
        <v>276</v>
      </c>
      <c r="DB2499">
        <v>0</v>
      </c>
      <c r="DC2499" t="s">
        <v>402</v>
      </c>
      <c r="DD2499" t="s">
        <v>403</v>
      </c>
      <c r="DG2499">
        <v>1627255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"05/01/2025 15:11:29.032"</f>
        <v>05/01/2025 15:11:29.032</v>
      </c>
      <c r="C2500" t="str">
        <f t="shared" si="988"/>
        <v>FFDFD3C0</v>
      </c>
      <c r="D2500" t="s">
        <v>145</v>
      </c>
      <c r="E2500" t="str">
        <f>"05"</f>
        <v>05</v>
      </c>
      <c r="H2500">
        <v>47</v>
      </c>
      <c r="I2500" t="s">
        <v>146</v>
      </c>
      <c r="J2500" t="s">
        <v>138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R2500" t="s">
        <v>127</v>
      </c>
      <c r="S2500" t="str">
        <f t="shared" si="989"/>
        <v>15:11:28.000</v>
      </c>
      <c r="T2500" t="str">
        <f t="shared" si="989"/>
        <v>15:11:28.000</v>
      </c>
      <c r="U2500" t="str">
        <f t="shared" si="990"/>
        <v>A68FCB</v>
      </c>
      <c r="V2500">
        <v>0</v>
      </c>
      <c r="W2500">
        <v>0</v>
      </c>
      <c r="X2500">
        <v>2</v>
      </c>
      <c r="Y2500">
        <v>0</v>
      </c>
      <c r="AA2500">
        <v>1</v>
      </c>
      <c r="AB2500">
        <v>8</v>
      </c>
      <c r="AC2500">
        <v>3</v>
      </c>
      <c r="AD2500">
        <v>0</v>
      </c>
      <c r="AE2500">
        <v>9</v>
      </c>
      <c r="AF2500" t="s">
        <v>138</v>
      </c>
      <c r="AG2500">
        <v>0</v>
      </c>
      <c r="AH2500">
        <v>3</v>
      </c>
      <c r="AI2500">
        <v>2</v>
      </c>
      <c r="AJ2500">
        <v>0</v>
      </c>
      <c r="AK2500" t="s">
        <v>848</v>
      </c>
      <c r="AL2500">
        <v>39.083905000000001</v>
      </c>
      <c r="AM2500" t="s">
        <v>849</v>
      </c>
      <c r="AN2500">
        <v>-121.037986</v>
      </c>
      <c r="AO2500">
        <v>25</v>
      </c>
      <c r="AP2500">
        <v>4600</v>
      </c>
      <c r="AQ2500" t="s">
        <v>131</v>
      </c>
      <c r="AR2500">
        <v>14</v>
      </c>
      <c r="AS2500">
        <v>84</v>
      </c>
      <c r="AT2500">
        <v>-256</v>
      </c>
      <c r="BB2500" t="str">
        <f t="shared" si="991"/>
        <v>1200</v>
      </c>
      <c r="BC2500">
        <v>1</v>
      </c>
      <c r="BD2500" t="str">
        <f t="shared" si="992"/>
        <v xml:space="preserve">N52156  </v>
      </c>
      <c r="BE2500">
        <v>1</v>
      </c>
      <c r="BG2500">
        <v>0</v>
      </c>
      <c r="BH2500">
        <v>0</v>
      </c>
      <c r="BI2500">
        <v>0</v>
      </c>
      <c r="BJ2500">
        <v>4675</v>
      </c>
      <c r="BK2500">
        <v>75</v>
      </c>
      <c r="BL2500" t="s">
        <v>188</v>
      </c>
      <c r="BM2500">
        <v>1</v>
      </c>
      <c r="BN2500">
        <v>1</v>
      </c>
      <c r="BO2500">
        <v>0</v>
      </c>
      <c r="BP2500">
        <v>0</v>
      </c>
      <c r="BS2500">
        <v>0</v>
      </c>
      <c r="BT2500">
        <v>0</v>
      </c>
      <c r="BU2500">
        <v>0</v>
      </c>
      <c r="CE2500" t="str">
        <f t="shared" si="993"/>
        <v>15:11:28.795</v>
      </c>
      <c r="CF2500">
        <v>794542642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3</v>
      </c>
      <c r="CY2500">
        <v>7</v>
      </c>
      <c r="CZ2500" t="s">
        <v>133</v>
      </c>
      <c r="DA2500">
        <v>276</v>
      </c>
      <c r="DB2500">
        <v>0</v>
      </c>
      <c r="DC2500" t="s">
        <v>402</v>
      </c>
      <c r="DD2500" t="s">
        <v>403</v>
      </c>
      <c r="DG2500">
        <v>1627255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"05/01/2025 15:11:29.032"</f>
        <v>05/01/2025 15:11:29.032</v>
      </c>
      <c r="C2501" t="str">
        <f t="shared" si="988"/>
        <v>FFDFD3C0</v>
      </c>
      <c r="D2501" t="s">
        <v>145</v>
      </c>
      <c r="E2501" t="str">
        <f>"09"</f>
        <v>09</v>
      </c>
      <c r="H2501">
        <v>51</v>
      </c>
      <c r="I2501" t="s">
        <v>147</v>
      </c>
      <c r="J2501" t="s">
        <v>138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R2501" t="s">
        <v>127</v>
      </c>
      <c r="S2501" t="str">
        <f t="shared" si="989"/>
        <v>15:11:28.000</v>
      </c>
      <c r="T2501" t="str">
        <f t="shared" si="989"/>
        <v>15:11:28.000</v>
      </c>
      <c r="U2501" t="str">
        <f t="shared" si="990"/>
        <v>A68FCB</v>
      </c>
      <c r="V2501">
        <v>0</v>
      </c>
      <c r="W2501">
        <v>0</v>
      </c>
      <c r="X2501">
        <v>2</v>
      </c>
      <c r="Y2501">
        <v>0</v>
      </c>
      <c r="AA2501">
        <v>1</v>
      </c>
      <c r="AB2501">
        <v>8</v>
      </c>
      <c r="AC2501">
        <v>3</v>
      </c>
      <c r="AD2501">
        <v>0</v>
      </c>
      <c r="AE2501">
        <v>9</v>
      </c>
      <c r="AF2501" t="s">
        <v>138</v>
      </c>
      <c r="AG2501">
        <v>0</v>
      </c>
      <c r="AH2501">
        <v>3</v>
      </c>
      <c r="AI2501">
        <v>2</v>
      </c>
      <c r="AJ2501">
        <v>0</v>
      </c>
      <c r="AK2501" t="s">
        <v>848</v>
      </c>
      <c r="AL2501">
        <v>39.083905000000001</v>
      </c>
      <c r="AM2501" t="s">
        <v>849</v>
      </c>
      <c r="AN2501">
        <v>-121.037986</v>
      </c>
      <c r="AO2501">
        <v>25</v>
      </c>
      <c r="AP2501">
        <v>4600</v>
      </c>
      <c r="AQ2501" t="s">
        <v>131</v>
      </c>
      <c r="AR2501">
        <v>14</v>
      </c>
      <c r="AS2501">
        <v>84</v>
      </c>
      <c r="AT2501">
        <v>-256</v>
      </c>
      <c r="BB2501" t="str">
        <f t="shared" si="991"/>
        <v>1200</v>
      </c>
      <c r="BC2501">
        <v>1</v>
      </c>
      <c r="BD2501" t="str">
        <f t="shared" si="992"/>
        <v xml:space="preserve">N52156  </v>
      </c>
      <c r="BE2501">
        <v>1</v>
      </c>
      <c r="BG2501">
        <v>0</v>
      </c>
      <c r="BH2501">
        <v>0</v>
      </c>
      <c r="BI2501">
        <v>0</v>
      </c>
      <c r="BJ2501">
        <v>4675</v>
      </c>
      <c r="BK2501">
        <v>75</v>
      </c>
      <c r="BL2501" t="s">
        <v>188</v>
      </c>
      <c r="BM2501">
        <v>1</v>
      </c>
      <c r="BN2501">
        <v>1</v>
      </c>
      <c r="BO2501">
        <v>0</v>
      </c>
      <c r="BP2501">
        <v>0</v>
      </c>
      <c r="BS2501">
        <v>0</v>
      </c>
      <c r="BT2501">
        <v>0</v>
      </c>
      <c r="BU2501">
        <v>0</v>
      </c>
      <c r="CE2501" t="str">
        <f t="shared" si="993"/>
        <v>15:11:28.795</v>
      </c>
      <c r="CF2501">
        <v>794542642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3</v>
      </c>
      <c r="CY2501">
        <v>7</v>
      </c>
      <c r="CZ2501" t="s">
        <v>133</v>
      </c>
      <c r="DA2501">
        <v>276</v>
      </c>
      <c r="DB2501">
        <v>0</v>
      </c>
      <c r="DC2501" t="s">
        <v>402</v>
      </c>
      <c r="DD2501" t="s">
        <v>403</v>
      </c>
      <c r="DG2501">
        <v>1627255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"05/01/2025 15:11:29.041"</f>
        <v>05/01/2025 15:11:29.041</v>
      </c>
      <c r="C2502" t="str">
        <f t="shared" si="988"/>
        <v>FFDFD3C0</v>
      </c>
      <c r="D2502" t="s">
        <v>136</v>
      </c>
      <c r="E2502" t="str">
        <f>"20"</f>
        <v>20</v>
      </c>
      <c r="H2502">
        <v>400</v>
      </c>
      <c r="I2502" t="s">
        <v>137</v>
      </c>
      <c r="J2502" t="s">
        <v>138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R2502" t="s">
        <v>127</v>
      </c>
      <c r="S2502" t="str">
        <f t="shared" si="989"/>
        <v>15:11:28.000</v>
      </c>
      <c r="T2502" t="str">
        <f t="shared" si="989"/>
        <v>15:11:28.000</v>
      </c>
      <c r="U2502" t="str">
        <f t="shared" si="990"/>
        <v>A68FCB</v>
      </c>
      <c r="V2502">
        <v>0</v>
      </c>
      <c r="W2502">
        <v>0</v>
      </c>
      <c r="X2502">
        <v>2</v>
      </c>
      <c r="Y2502">
        <v>0</v>
      </c>
      <c r="AA2502">
        <v>1</v>
      </c>
      <c r="AB2502">
        <v>8</v>
      </c>
      <c r="AC2502">
        <v>3</v>
      </c>
      <c r="AD2502">
        <v>0</v>
      </c>
      <c r="AE2502">
        <v>9</v>
      </c>
      <c r="AF2502" t="s">
        <v>138</v>
      </c>
      <c r="AG2502">
        <v>0</v>
      </c>
      <c r="AH2502">
        <v>3</v>
      </c>
      <c r="AI2502">
        <v>2</v>
      </c>
      <c r="AJ2502">
        <v>0</v>
      </c>
      <c r="AK2502" t="s">
        <v>848</v>
      </c>
      <c r="AL2502">
        <v>39.083905000000001</v>
      </c>
      <c r="AM2502" t="s">
        <v>849</v>
      </c>
      <c r="AN2502">
        <v>-121.037986</v>
      </c>
      <c r="AO2502">
        <v>25</v>
      </c>
      <c r="AP2502">
        <v>4600</v>
      </c>
      <c r="AQ2502" t="s">
        <v>131</v>
      </c>
      <c r="AR2502">
        <v>14</v>
      </c>
      <c r="AS2502">
        <v>84</v>
      </c>
      <c r="AT2502">
        <v>-256</v>
      </c>
      <c r="BB2502" t="str">
        <f t="shared" si="991"/>
        <v>1200</v>
      </c>
      <c r="BC2502">
        <v>1</v>
      </c>
      <c r="BD2502" t="str">
        <f t="shared" si="992"/>
        <v xml:space="preserve">N52156  </v>
      </c>
      <c r="BE2502">
        <v>1</v>
      </c>
      <c r="BG2502">
        <v>0</v>
      </c>
      <c r="BH2502">
        <v>0</v>
      </c>
      <c r="BI2502">
        <v>0</v>
      </c>
      <c r="BJ2502">
        <v>4675</v>
      </c>
      <c r="BK2502">
        <v>75</v>
      </c>
      <c r="BL2502" t="s">
        <v>188</v>
      </c>
      <c r="BM2502">
        <v>1</v>
      </c>
      <c r="BN2502">
        <v>1</v>
      </c>
      <c r="BO2502">
        <v>0</v>
      </c>
      <c r="BP2502">
        <v>0</v>
      </c>
      <c r="BS2502">
        <v>0</v>
      </c>
      <c r="BT2502">
        <v>0</v>
      </c>
      <c r="BU2502">
        <v>0</v>
      </c>
      <c r="CE2502" t="str">
        <f t="shared" si="993"/>
        <v>15:11:28.795</v>
      </c>
      <c r="CF2502">
        <v>794542642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3</v>
      </c>
      <c r="CY2502">
        <v>7</v>
      </c>
      <c r="CZ2502" t="s">
        <v>133</v>
      </c>
      <c r="DA2502">
        <v>276</v>
      </c>
      <c r="DB2502">
        <v>0</v>
      </c>
      <c r="DC2502" t="s">
        <v>402</v>
      </c>
      <c r="DD2502" t="s">
        <v>403</v>
      </c>
      <c r="DG2502">
        <v>1627255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"05/01/2025 15:11:29.048"</f>
        <v>05/01/2025 15:11:29.048</v>
      </c>
      <c r="C2503" t="str">
        <f t="shared" si="988"/>
        <v>FFDFD3C0</v>
      </c>
      <c r="D2503" t="s">
        <v>143</v>
      </c>
      <c r="E2503" t="str">
        <f>"05"</f>
        <v>05</v>
      </c>
      <c r="H2503">
        <v>172</v>
      </c>
      <c r="I2503" t="s">
        <v>141</v>
      </c>
      <c r="J2503" t="s">
        <v>144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R2503" t="s">
        <v>127</v>
      </c>
      <c r="S2503" t="str">
        <f t="shared" si="989"/>
        <v>15:11:28.000</v>
      </c>
      <c r="T2503" t="str">
        <f t="shared" si="989"/>
        <v>15:11:28.000</v>
      </c>
      <c r="U2503" t="str">
        <f t="shared" si="990"/>
        <v>A68FCB</v>
      </c>
      <c r="V2503">
        <v>0</v>
      </c>
      <c r="W2503">
        <v>0</v>
      </c>
      <c r="X2503">
        <v>2</v>
      </c>
      <c r="Y2503">
        <v>0</v>
      </c>
      <c r="AA2503">
        <v>1</v>
      </c>
      <c r="AB2503">
        <v>8</v>
      </c>
      <c r="AC2503">
        <v>3</v>
      </c>
      <c r="AD2503">
        <v>0</v>
      </c>
      <c r="AE2503">
        <v>9</v>
      </c>
      <c r="AF2503" t="s">
        <v>138</v>
      </c>
      <c r="AG2503">
        <v>0</v>
      </c>
      <c r="AH2503">
        <v>3</v>
      </c>
      <c r="AI2503">
        <v>2</v>
      </c>
      <c r="AJ2503">
        <v>0</v>
      </c>
      <c r="AK2503" t="s">
        <v>848</v>
      </c>
      <c r="AL2503">
        <v>39.083905000000001</v>
      </c>
      <c r="AM2503" t="s">
        <v>849</v>
      </c>
      <c r="AN2503">
        <v>-121.037986</v>
      </c>
      <c r="AO2503">
        <v>25</v>
      </c>
      <c r="AP2503">
        <v>4600</v>
      </c>
      <c r="AQ2503" t="s">
        <v>131</v>
      </c>
      <c r="AR2503">
        <v>14</v>
      </c>
      <c r="AS2503">
        <v>84</v>
      </c>
      <c r="AT2503">
        <v>-256</v>
      </c>
      <c r="BB2503" t="str">
        <f t="shared" si="991"/>
        <v>1200</v>
      </c>
      <c r="BC2503">
        <v>1</v>
      </c>
      <c r="BD2503" t="str">
        <f t="shared" si="992"/>
        <v xml:space="preserve">N52156  </v>
      </c>
      <c r="BE2503">
        <v>1</v>
      </c>
      <c r="BG2503">
        <v>0</v>
      </c>
      <c r="BH2503">
        <v>0</v>
      </c>
      <c r="BI2503">
        <v>0</v>
      </c>
      <c r="BJ2503">
        <v>4675</v>
      </c>
      <c r="BK2503">
        <v>75</v>
      </c>
      <c r="BL2503" t="s">
        <v>188</v>
      </c>
      <c r="BM2503">
        <v>1</v>
      </c>
      <c r="BN2503">
        <v>1</v>
      </c>
      <c r="BO2503">
        <v>0</v>
      </c>
      <c r="BP2503">
        <v>0</v>
      </c>
      <c r="BS2503">
        <v>0</v>
      </c>
      <c r="BT2503">
        <v>0</v>
      </c>
      <c r="BU2503">
        <v>0</v>
      </c>
      <c r="CE2503" t="str">
        <f t="shared" si="993"/>
        <v>15:11:28.795</v>
      </c>
      <c r="CF2503">
        <v>794542642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3</v>
      </c>
      <c r="CY2503">
        <v>7</v>
      </c>
      <c r="CZ2503" t="s">
        <v>133</v>
      </c>
      <c r="DA2503">
        <v>276</v>
      </c>
      <c r="DB2503">
        <v>0</v>
      </c>
      <c r="DC2503" t="s">
        <v>402</v>
      </c>
      <c r="DD2503" t="s">
        <v>403</v>
      </c>
      <c r="DG2503">
        <v>1627255</v>
      </c>
      <c r="DI2503">
        <v>1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"05/01/2025 15:11:29.491"</f>
        <v>05/01/2025 15:11:29.491</v>
      </c>
      <c r="C2504" t="str">
        <f t="shared" si="988"/>
        <v>FFDFD3C0</v>
      </c>
      <c r="D2504" t="s">
        <v>136</v>
      </c>
      <c r="E2504" t="str">
        <f>"20"</f>
        <v>20</v>
      </c>
      <c r="H2504">
        <v>400</v>
      </c>
      <c r="I2504" t="s">
        <v>137</v>
      </c>
      <c r="J2504" t="s">
        <v>138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R2504" t="s">
        <v>127</v>
      </c>
      <c r="S2504" t="str">
        <f t="shared" ref="S2504:T2509" si="994">"15:11:29.000"</f>
        <v>15:11:29.000</v>
      </c>
      <c r="T2504" t="str">
        <f t="shared" si="994"/>
        <v>15:11:29.000</v>
      </c>
      <c r="U2504" t="str">
        <f t="shared" si="990"/>
        <v>A68FCB</v>
      </c>
      <c r="V2504">
        <v>0</v>
      </c>
      <c r="W2504">
        <v>0</v>
      </c>
      <c r="X2504">
        <v>2</v>
      </c>
      <c r="Y2504">
        <v>0</v>
      </c>
      <c r="AA2504">
        <v>1</v>
      </c>
      <c r="AB2504">
        <v>8</v>
      </c>
      <c r="AC2504">
        <v>3</v>
      </c>
      <c r="AD2504">
        <v>0</v>
      </c>
      <c r="AE2504">
        <v>9</v>
      </c>
      <c r="AF2504" t="s">
        <v>138</v>
      </c>
      <c r="AG2504">
        <v>0</v>
      </c>
      <c r="AH2504">
        <v>3</v>
      </c>
      <c r="AI2504">
        <v>2</v>
      </c>
      <c r="AJ2504">
        <v>0</v>
      </c>
      <c r="AK2504" t="s">
        <v>850</v>
      </c>
      <c r="AL2504">
        <v>39.084291</v>
      </c>
      <c r="AM2504" t="s">
        <v>851</v>
      </c>
      <c r="AN2504">
        <v>-121.037879</v>
      </c>
      <c r="AO2504">
        <v>25</v>
      </c>
      <c r="AP2504">
        <v>4600</v>
      </c>
      <c r="AQ2504" t="s">
        <v>131</v>
      </c>
      <c r="AR2504">
        <v>14</v>
      </c>
      <c r="AS2504">
        <v>84</v>
      </c>
      <c r="AT2504">
        <v>-256</v>
      </c>
      <c r="BB2504" t="str">
        <f t="shared" si="991"/>
        <v>1200</v>
      </c>
      <c r="BC2504">
        <v>1</v>
      </c>
      <c r="BD2504" t="str">
        <f t="shared" si="992"/>
        <v xml:space="preserve">N52156  </v>
      </c>
      <c r="BE2504">
        <v>1</v>
      </c>
      <c r="BG2504">
        <v>0</v>
      </c>
      <c r="BH2504">
        <v>0</v>
      </c>
      <c r="BI2504">
        <v>0</v>
      </c>
      <c r="BJ2504">
        <v>4675</v>
      </c>
      <c r="BK2504">
        <v>75</v>
      </c>
      <c r="BL2504" t="s">
        <v>188</v>
      </c>
      <c r="BM2504">
        <v>1</v>
      </c>
      <c r="BN2504">
        <v>1</v>
      </c>
      <c r="BO2504">
        <v>0</v>
      </c>
      <c r="BP2504">
        <v>0</v>
      </c>
      <c r="BS2504">
        <v>0</v>
      </c>
      <c r="BT2504">
        <v>0</v>
      </c>
      <c r="BU2504">
        <v>0</v>
      </c>
      <c r="CE2504" t="str">
        <f t="shared" ref="CE2504:CE2509" si="995">"15:11:29.273"</f>
        <v>15:11:29.273</v>
      </c>
      <c r="CF2504">
        <v>273041389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3</v>
      </c>
      <c r="CY2504">
        <v>7</v>
      </c>
      <c r="CZ2504" t="s">
        <v>133</v>
      </c>
      <c r="DA2504">
        <v>276</v>
      </c>
      <c r="DB2504">
        <v>0</v>
      </c>
      <c r="DC2504" t="s">
        <v>402</v>
      </c>
      <c r="DD2504" t="s">
        <v>403</v>
      </c>
      <c r="DG2504">
        <v>1627258</v>
      </c>
      <c r="DI2504">
        <v>1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"05/01/2025 15:11:29.498"</f>
        <v>05/01/2025 15:11:29.498</v>
      </c>
      <c r="C2505" t="str">
        <f t="shared" si="988"/>
        <v>FFDFD3C0</v>
      </c>
      <c r="D2505" t="s">
        <v>143</v>
      </c>
      <c r="E2505" t="str">
        <f>"05"</f>
        <v>05</v>
      </c>
      <c r="H2505">
        <v>172</v>
      </c>
      <c r="I2505" t="s">
        <v>141</v>
      </c>
      <c r="J2505" t="s">
        <v>144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R2505" t="s">
        <v>127</v>
      </c>
      <c r="S2505" t="str">
        <f t="shared" si="994"/>
        <v>15:11:29.000</v>
      </c>
      <c r="T2505" t="str">
        <f t="shared" si="994"/>
        <v>15:11:29.000</v>
      </c>
      <c r="U2505" t="str">
        <f t="shared" si="990"/>
        <v>A68FCB</v>
      </c>
      <c r="V2505">
        <v>0</v>
      </c>
      <c r="W2505">
        <v>0</v>
      </c>
      <c r="X2505">
        <v>2</v>
      </c>
      <c r="Y2505">
        <v>0</v>
      </c>
      <c r="AA2505">
        <v>1</v>
      </c>
      <c r="AB2505">
        <v>8</v>
      </c>
      <c r="AC2505">
        <v>3</v>
      </c>
      <c r="AD2505">
        <v>0</v>
      </c>
      <c r="AE2505">
        <v>9</v>
      </c>
      <c r="AF2505" t="s">
        <v>138</v>
      </c>
      <c r="AG2505">
        <v>0</v>
      </c>
      <c r="AH2505">
        <v>3</v>
      </c>
      <c r="AI2505">
        <v>2</v>
      </c>
      <c r="AJ2505">
        <v>0</v>
      </c>
      <c r="AK2505" t="s">
        <v>850</v>
      </c>
      <c r="AL2505">
        <v>39.084291</v>
      </c>
      <c r="AM2505" t="s">
        <v>851</v>
      </c>
      <c r="AN2505">
        <v>-121.037879</v>
      </c>
      <c r="AO2505">
        <v>25</v>
      </c>
      <c r="AP2505">
        <v>4600</v>
      </c>
      <c r="AQ2505" t="s">
        <v>131</v>
      </c>
      <c r="AR2505">
        <v>14</v>
      </c>
      <c r="AS2505">
        <v>84</v>
      </c>
      <c r="AT2505">
        <v>-256</v>
      </c>
      <c r="BB2505" t="str">
        <f t="shared" si="991"/>
        <v>1200</v>
      </c>
      <c r="BC2505">
        <v>1</v>
      </c>
      <c r="BD2505" t="str">
        <f t="shared" si="992"/>
        <v xml:space="preserve">N52156  </v>
      </c>
      <c r="BE2505">
        <v>1</v>
      </c>
      <c r="BG2505">
        <v>0</v>
      </c>
      <c r="BH2505">
        <v>0</v>
      </c>
      <c r="BI2505">
        <v>0</v>
      </c>
      <c r="BJ2505">
        <v>4675</v>
      </c>
      <c r="BK2505">
        <v>75</v>
      </c>
      <c r="BL2505" t="s">
        <v>188</v>
      </c>
      <c r="BM2505">
        <v>1</v>
      </c>
      <c r="BN2505">
        <v>1</v>
      </c>
      <c r="BO2505">
        <v>0</v>
      </c>
      <c r="BP2505">
        <v>0</v>
      </c>
      <c r="BS2505">
        <v>0</v>
      </c>
      <c r="BT2505">
        <v>0</v>
      </c>
      <c r="BU2505">
        <v>0</v>
      </c>
      <c r="CE2505" t="str">
        <f t="shared" si="995"/>
        <v>15:11:29.273</v>
      </c>
      <c r="CF2505">
        <v>273041389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3</v>
      </c>
      <c r="CY2505">
        <v>7</v>
      </c>
      <c r="CZ2505" t="s">
        <v>133</v>
      </c>
      <c r="DA2505">
        <v>276</v>
      </c>
      <c r="DB2505">
        <v>0</v>
      </c>
      <c r="DC2505" t="s">
        <v>402</v>
      </c>
      <c r="DD2505" t="s">
        <v>403</v>
      </c>
      <c r="DG2505">
        <v>1627258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"05/01/2025 15:11:29.516"</f>
        <v>05/01/2025 15:11:29.516</v>
      </c>
      <c r="C2506" t="str">
        <f t="shared" si="988"/>
        <v>FFDFD3C0</v>
      </c>
      <c r="D2506" t="s">
        <v>140</v>
      </c>
      <c r="E2506" t="str">
        <f>"13"</f>
        <v>13</v>
      </c>
      <c r="F2506">
        <v>1019</v>
      </c>
      <c r="G2506" t="s">
        <v>141</v>
      </c>
      <c r="J2506" t="s">
        <v>142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R2506" t="s">
        <v>127</v>
      </c>
      <c r="S2506" t="str">
        <f t="shared" si="994"/>
        <v>15:11:29.000</v>
      </c>
      <c r="T2506" t="str">
        <f t="shared" si="994"/>
        <v>15:11:29.000</v>
      </c>
      <c r="U2506" t="str">
        <f t="shared" si="990"/>
        <v>A68FCB</v>
      </c>
      <c r="V2506">
        <v>0</v>
      </c>
      <c r="W2506">
        <v>0</v>
      </c>
      <c r="X2506">
        <v>2</v>
      </c>
      <c r="Y2506">
        <v>0</v>
      </c>
      <c r="AA2506">
        <v>1</v>
      </c>
      <c r="AB2506">
        <v>8</v>
      </c>
      <c r="AC2506">
        <v>3</v>
      </c>
      <c r="AD2506">
        <v>0</v>
      </c>
      <c r="AE2506">
        <v>9</v>
      </c>
      <c r="AF2506" t="s">
        <v>138</v>
      </c>
      <c r="AG2506">
        <v>0</v>
      </c>
      <c r="AH2506">
        <v>3</v>
      </c>
      <c r="AI2506">
        <v>2</v>
      </c>
      <c r="AJ2506">
        <v>0</v>
      </c>
      <c r="AK2506" t="s">
        <v>850</v>
      </c>
      <c r="AL2506">
        <v>39.084291</v>
      </c>
      <c r="AM2506" t="s">
        <v>851</v>
      </c>
      <c r="AN2506">
        <v>-121.037879</v>
      </c>
      <c r="AO2506">
        <v>25</v>
      </c>
      <c r="AP2506">
        <v>4600</v>
      </c>
      <c r="AQ2506" t="s">
        <v>131</v>
      </c>
      <c r="AR2506">
        <v>14</v>
      </c>
      <c r="AS2506">
        <v>84</v>
      </c>
      <c r="AT2506">
        <v>-256</v>
      </c>
      <c r="BB2506" t="str">
        <f t="shared" si="991"/>
        <v>1200</v>
      </c>
      <c r="BC2506">
        <v>1</v>
      </c>
      <c r="BD2506" t="str">
        <f t="shared" si="992"/>
        <v xml:space="preserve">N52156  </v>
      </c>
      <c r="BE2506">
        <v>1</v>
      </c>
      <c r="BG2506">
        <v>0</v>
      </c>
      <c r="BH2506">
        <v>0</v>
      </c>
      <c r="BI2506">
        <v>0</v>
      </c>
      <c r="BJ2506">
        <v>4675</v>
      </c>
      <c r="BK2506">
        <v>75</v>
      </c>
      <c r="BL2506" t="s">
        <v>188</v>
      </c>
      <c r="BM2506">
        <v>1</v>
      </c>
      <c r="BN2506">
        <v>1</v>
      </c>
      <c r="BO2506">
        <v>0</v>
      </c>
      <c r="BP2506">
        <v>0</v>
      </c>
      <c r="BS2506">
        <v>0</v>
      </c>
      <c r="BT2506">
        <v>0</v>
      </c>
      <c r="BU2506">
        <v>0</v>
      </c>
      <c r="CE2506" t="str">
        <f t="shared" si="995"/>
        <v>15:11:29.273</v>
      </c>
      <c r="CF2506">
        <v>273041389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3</v>
      </c>
      <c r="CY2506">
        <v>7</v>
      </c>
      <c r="CZ2506" t="s">
        <v>133</v>
      </c>
      <c r="DA2506">
        <v>276</v>
      </c>
      <c r="DB2506">
        <v>0</v>
      </c>
      <c r="DC2506" t="s">
        <v>402</v>
      </c>
      <c r="DD2506" t="s">
        <v>403</v>
      </c>
      <c r="DG2506">
        <v>1627258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"05/01/2025 15:11:29.522"</f>
        <v>05/01/2025 15:11:29.522</v>
      </c>
      <c r="C2507" t="str">
        <f t="shared" si="988"/>
        <v>FFDFD3C0</v>
      </c>
      <c r="D2507" t="s">
        <v>124</v>
      </c>
      <c r="E2507" t="str">
        <f>"06"</f>
        <v>06</v>
      </c>
      <c r="F2507">
        <v>2006</v>
      </c>
      <c r="G2507" t="s">
        <v>125</v>
      </c>
      <c r="J2507" t="s">
        <v>126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R2507" t="s">
        <v>127</v>
      </c>
      <c r="S2507" t="str">
        <f t="shared" si="994"/>
        <v>15:11:29.000</v>
      </c>
      <c r="T2507" t="str">
        <f t="shared" si="994"/>
        <v>15:11:29.000</v>
      </c>
      <c r="U2507" t="str">
        <f t="shared" si="990"/>
        <v>A68FCB</v>
      </c>
      <c r="V2507">
        <v>0</v>
      </c>
      <c r="W2507">
        <v>0</v>
      </c>
      <c r="X2507">
        <v>2</v>
      </c>
      <c r="Y2507">
        <v>0</v>
      </c>
      <c r="AA2507">
        <v>1</v>
      </c>
      <c r="AB2507">
        <v>8</v>
      </c>
      <c r="AC2507">
        <v>3</v>
      </c>
      <c r="AD2507">
        <v>0</v>
      </c>
      <c r="AE2507">
        <v>9</v>
      </c>
      <c r="AF2507" t="s">
        <v>138</v>
      </c>
      <c r="AG2507">
        <v>0</v>
      </c>
      <c r="AH2507">
        <v>3</v>
      </c>
      <c r="AI2507">
        <v>2</v>
      </c>
      <c r="AJ2507">
        <v>0</v>
      </c>
      <c r="AK2507" t="s">
        <v>850</v>
      </c>
      <c r="AL2507">
        <v>39.084291</v>
      </c>
      <c r="AM2507" t="s">
        <v>851</v>
      </c>
      <c r="AN2507">
        <v>-121.037879</v>
      </c>
      <c r="AO2507">
        <v>25</v>
      </c>
      <c r="AP2507">
        <v>4600</v>
      </c>
      <c r="AQ2507" t="s">
        <v>131</v>
      </c>
      <c r="AR2507">
        <v>14</v>
      </c>
      <c r="AS2507">
        <v>84</v>
      </c>
      <c r="AT2507">
        <v>-256</v>
      </c>
      <c r="BB2507" t="str">
        <f t="shared" si="991"/>
        <v>1200</v>
      </c>
      <c r="BC2507">
        <v>1</v>
      </c>
      <c r="BD2507" t="str">
        <f t="shared" si="992"/>
        <v xml:space="preserve">N52156  </v>
      </c>
      <c r="BE2507">
        <v>1</v>
      </c>
      <c r="BG2507">
        <v>0</v>
      </c>
      <c r="BH2507">
        <v>0</v>
      </c>
      <c r="BI2507">
        <v>0</v>
      </c>
      <c r="BJ2507">
        <v>4675</v>
      </c>
      <c r="BK2507">
        <v>75</v>
      </c>
      <c r="BL2507" t="s">
        <v>188</v>
      </c>
      <c r="BM2507">
        <v>1</v>
      </c>
      <c r="BN2507">
        <v>1</v>
      </c>
      <c r="BO2507">
        <v>0</v>
      </c>
      <c r="BP2507">
        <v>0</v>
      </c>
      <c r="BS2507">
        <v>0</v>
      </c>
      <c r="BT2507">
        <v>0</v>
      </c>
      <c r="BU2507">
        <v>0</v>
      </c>
      <c r="CE2507" t="str">
        <f t="shared" si="995"/>
        <v>15:11:29.273</v>
      </c>
      <c r="CF2507">
        <v>273041389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3</v>
      </c>
      <c r="CY2507">
        <v>7</v>
      </c>
      <c r="CZ2507" t="s">
        <v>133</v>
      </c>
      <c r="DA2507">
        <v>276</v>
      </c>
      <c r="DB2507">
        <v>0</v>
      </c>
      <c r="DC2507" t="s">
        <v>402</v>
      </c>
      <c r="DD2507" t="s">
        <v>403</v>
      </c>
      <c r="DG2507">
        <v>1627258</v>
      </c>
      <c r="DI2507">
        <v>1</v>
      </c>
      <c r="DJ2507">
        <v>0</v>
      </c>
      <c r="DK2507">
        <v>1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"05/01/2025 15:11:29.534"</f>
        <v>05/01/2025 15:11:29.534</v>
      </c>
      <c r="C2508" t="str">
        <f t="shared" si="988"/>
        <v>FFDFD3C0</v>
      </c>
      <c r="D2508" t="s">
        <v>145</v>
      </c>
      <c r="E2508" t="str">
        <f>"09"</f>
        <v>09</v>
      </c>
      <c r="H2508">
        <v>51</v>
      </c>
      <c r="I2508" t="s">
        <v>147</v>
      </c>
      <c r="J2508" t="s">
        <v>138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R2508" t="s">
        <v>127</v>
      </c>
      <c r="S2508" t="str">
        <f t="shared" si="994"/>
        <v>15:11:29.000</v>
      </c>
      <c r="T2508" t="str">
        <f t="shared" si="994"/>
        <v>15:11:29.000</v>
      </c>
      <c r="U2508" t="str">
        <f t="shared" si="990"/>
        <v>A68FCB</v>
      </c>
      <c r="V2508">
        <v>0</v>
      </c>
      <c r="W2508">
        <v>0</v>
      </c>
      <c r="X2508">
        <v>2</v>
      </c>
      <c r="Y2508">
        <v>0</v>
      </c>
      <c r="AA2508">
        <v>1</v>
      </c>
      <c r="AB2508">
        <v>8</v>
      </c>
      <c r="AC2508">
        <v>3</v>
      </c>
      <c r="AD2508">
        <v>0</v>
      </c>
      <c r="AE2508">
        <v>9</v>
      </c>
      <c r="AF2508" t="s">
        <v>138</v>
      </c>
      <c r="AG2508">
        <v>0</v>
      </c>
      <c r="AH2508">
        <v>3</v>
      </c>
      <c r="AI2508">
        <v>2</v>
      </c>
      <c r="AJ2508">
        <v>0</v>
      </c>
      <c r="AK2508" t="s">
        <v>850</v>
      </c>
      <c r="AL2508">
        <v>39.084291</v>
      </c>
      <c r="AM2508" t="s">
        <v>851</v>
      </c>
      <c r="AN2508">
        <v>-121.037879</v>
      </c>
      <c r="AO2508">
        <v>25</v>
      </c>
      <c r="AP2508">
        <v>4600</v>
      </c>
      <c r="AQ2508" t="s">
        <v>131</v>
      </c>
      <c r="AR2508">
        <v>14</v>
      </c>
      <c r="AS2508">
        <v>84</v>
      </c>
      <c r="AT2508">
        <v>-256</v>
      </c>
      <c r="BB2508" t="str">
        <f t="shared" si="991"/>
        <v>1200</v>
      </c>
      <c r="BC2508">
        <v>1</v>
      </c>
      <c r="BD2508" t="str">
        <f t="shared" si="992"/>
        <v xml:space="preserve">N52156  </v>
      </c>
      <c r="BE2508">
        <v>1</v>
      </c>
      <c r="BG2508">
        <v>0</v>
      </c>
      <c r="BH2508">
        <v>0</v>
      </c>
      <c r="BI2508">
        <v>0</v>
      </c>
      <c r="BJ2508">
        <v>4675</v>
      </c>
      <c r="BK2508">
        <v>75</v>
      </c>
      <c r="BL2508" t="s">
        <v>188</v>
      </c>
      <c r="BM2508">
        <v>1</v>
      </c>
      <c r="BN2508">
        <v>1</v>
      </c>
      <c r="BO2508">
        <v>0</v>
      </c>
      <c r="BP2508">
        <v>0</v>
      </c>
      <c r="BS2508">
        <v>0</v>
      </c>
      <c r="BT2508">
        <v>0</v>
      </c>
      <c r="BU2508">
        <v>0</v>
      </c>
      <c r="CE2508" t="str">
        <f t="shared" si="995"/>
        <v>15:11:29.273</v>
      </c>
      <c r="CF2508">
        <v>273041389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3</v>
      </c>
      <c r="CY2508">
        <v>7</v>
      </c>
      <c r="CZ2508" t="s">
        <v>133</v>
      </c>
      <c r="DA2508">
        <v>276</v>
      </c>
      <c r="DB2508">
        <v>0</v>
      </c>
      <c r="DC2508" t="s">
        <v>402</v>
      </c>
      <c r="DD2508" t="s">
        <v>403</v>
      </c>
      <c r="DG2508">
        <v>1627258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"05/01/2025 15:11:29.534"</f>
        <v>05/01/2025 15:11:29.534</v>
      </c>
      <c r="C2509" t="str">
        <f t="shared" si="988"/>
        <v>FFDFD3C0</v>
      </c>
      <c r="D2509" t="s">
        <v>145</v>
      </c>
      <c r="E2509" t="str">
        <f>"05"</f>
        <v>05</v>
      </c>
      <c r="H2509">
        <v>47</v>
      </c>
      <c r="I2509" t="s">
        <v>146</v>
      </c>
      <c r="J2509" t="s">
        <v>138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R2509" t="s">
        <v>127</v>
      </c>
      <c r="S2509" t="str">
        <f t="shared" si="994"/>
        <v>15:11:29.000</v>
      </c>
      <c r="T2509" t="str">
        <f t="shared" si="994"/>
        <v>15:11:29.000</v>
      </c>
      <c r="U2509" t="str">
        <f t="shared" si="990"/>
        <v>A68FCB</v>
      </c>
      <c r="V2509">
        <v>0</v>
      </c>
      <c r="W2509">
        <v>0</v>
      </c>
      <c r="X2509">
        <v>2</v>
      </c>
      <c r="Y2509">
        <v>0</v>
      </c>
      <c r="AA2509">
        <v>1</v>
      </c>
      <c r="AB2509">
        <v>8</v>
      </c>
      <c r="AC2509">
        <v>3</v>
      </c>
      <c r="AD2509">
        <v>0</v>
      </c>
      <c r="AE2509">
        <v>9</v>
      </c>
      <c r="AF2509" t="s">
        <v>138</v>
      </c>
      <c r="AG2509">
        <v>0</v>
      </c>
      <c r="AH2509">
        <v>3</v>
      </c>
      <c r="AI2509">
        <v>2</v>
      </c>
      <c r="AJ2509">
        <v>0</v>
      </c>
      <c r="AK2509" t="s">
        <v>850</v>
      </c>
      <c r="AL2509">
        <v>39.084291</v>
      </c>
      <c r="AM2509" t="s">
        <v>851</v>
      </c>
      <c r="AN2509">
        <v>-121.037879</v>
      </c>
      <c r="AO2509">
        <v>25</v>
      </c>
      <c r="AP2509">
        <v>4600</v>
      </c>
      <c r="AQ2509" t="s">
        <v>131</v>
      </c>
      <c r="AR2509">
        <v>14</v>
      </c>
      <c r="AS2509">
        <v>84</v>
      </c>
      <c r="AT2509">
        <v>-256</v>
      </c>
      <c r="BB2509" t="str">
        <f t="shared" si="991"/>
        <v>1200</v>
      </c>
      <c r="BC2509">
        <v>1</v>
      </c>
      <c r="BD2509" t="str">
        <f t="shared" si="992"/>
        <v xml:space="preserve">N52156  </v>
      </c>
      <c r="BE2509">
        <v>1</v>
      </c>
      <c r="BG2509">
        <v>0</v>
      </c>
      <c r="BH2509">
        <v>0</v>
      </c>
      <c r="BI2509">
        <v>0</v>
      </c>
      <c r="BJ2509">
        <v>4675</v>
      </c>
      <c r="BK2509">
        <v>75</v>
      </c>
      <c r="BL2509" t="s">
        <v>188</v>
      </c>
      <c r="BM2509">
        <v>1</v>
      </c>
      <c r="BN2509">
        <v>1</v>
      </c>
      <c r="BO2509">
        <v>0</v>
      </c>
      <c r="BP2509">
        <v>0</v>
      </c>
      <c r="BS2509">
        <v>0</v>
      </c>
      <c r="BT2509">
        <v>0</v>
      </c>
      <c r="BU2509">
        <v>0</v>
      </c>
      <c r="CE2509" t="str">
        <f t="shared" si="995"/>
        <v>15:11:29.273</v>
      </c>
      <c r="CF2509">
        <v>273041389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3</v>
      </c>
      <c r="CY2509">
        <v>7</v>
      </c>
      <c r="CZ2509" t="s">
        <v>133</v>
      </c>
      <c r="DA2509">
        <v>276</v>
      </c>
      <c r="DB2509">
        <v>0</v>
      </c>
      <c r="DC2509" t="s">
        <v>402</v>
      </c>
      <c r="DD2509" t="s">
        <v>403</v>
      </c>
      <c r="DG2509">
        <v>1627258</v>
      </c>
      <c r="DI2509">
        <v>1</v>
      </c>
      <c r="DJ2509">
        <v>0</v>
      </c>
      <c r="DK2509">
        <v>1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"05/01/2025 15:11:31.018"</f>
        <v>05/01/2025 15:11:31.018</v>
      </c>
      <c r="C2510" t="str">
        <f t="shared" si="988"/>
        <v>FFDFD3C0</v>
      </c>
      <c r="D2510" t="s">
        <v>140</v>
      </c>
      <c r="E2510" t="str">
        <f>"13"</f>
        <v>13</v>
      </c>
      <c r="F2510">
        <v>1019</v>
      </c>
      <c r="G2510" t="s">
        <v>141</v>
      </c>
      <c r="J2510" t="s">
        <v>142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R2510" t="s">
        <v>127</v>
      </c>
      <c r="S2510" t="str">
        <f t="shared" ref="S2510:T2515" si="996">"15:11:30.000"</f>
        <v>15:11:30.000</v>
      </c>
      <c r="T2510" t="str">
        <f t="shared" si="996"/>
        <v>15:11:30.000</v>
      </c>
      <c r="U2510" t="str">
        <f t="shared" si="990"/>
        <v>A68FCB</v>
      </c>
      <c r="V2510">
        <v>0</v>
      </c>
      <c r="W2510">
        <v>0</v>
      </c>
      <c r="X2510">
        <v>2</v>
      </c>
      <c r="Y2510">
        <v>0</v>
      </c>
      <c r="AA2510">
        <v>1</v>
      </c>
      <c r="AB2510">
        <v>8</v>
      </c>
      <c r="AC2510">
        <v>3</v>
      </c>
      <c r="AD2510">
        <v>0</v>
      </c>
      <c r="AE2510">
        <v>9</v>
      </c>
      <c r="AF2510" t="s">
        <v>138</v>
      </c>
      <c r="AG2510">
        <v>0</v>
      </c>
      <c r="AH2510">
        <v>3</v>
      </c>
      <c r="AI2510">
        <v>2</v>
      </c>
      <c r="AJ2510">
        <v>0</v>
      </c>
      <c r="AK2510" t="s">
        <v>852</v>
      </c>
      <c r="AL2510">
        <v>39.084677999999997</v>
      </c>
      <c r="AM2510" t="s">
        <v>853</v>
      </c>
      <c r="AN2510">
        <v>-121.037772</v>
      </c>
      <c r="AO2510">
        <v>25</v>
      </c>
      <c r="AP2510">
        <v>4600</v>
      </c>
      <c r="AQ2510" t="s">
        <v>131</v>
      </c>
      <c r="AR2510">
        <v>15</v>
      </c>
      <c r="AS2510">
        <v>85</v>
      </c>
      <c r="AT2510">
        <v>-256</v>
      </c>
      <c r="BB2510" t="str">
        <f t="shared" si="991"/>
        <v>1200</v>
      </c>
      <c r="BC2510">
        <v>1</v>
      </c>
      <c r="BD2510" t="str">
        <f t="shared" si="992"/>
        <v xml:space="preserve">N52156  </v>
      </c>
      <c r="BE2510">
        <v>1</v>
      </c>
      <c r="BG2510">
        <v>0</v>
      </c>
      <c r="BH2510">
        <v>0</v>
      </c>
      <c r="BI2510">
        <v>0</v>
      </c>
      <c r="BJ2510">
        <v>4675</v>
      </c>
      <c r="BK2510">
        <v>75</v>
      </c>
      <c r="BL2510" t="s">
        <v>188</v>
      </c>
      <c r="BM2510">
        <v>1</v>
      </c>
      <c r="BN2510">
        <v>1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 t="shared" ref="CE2510:CE2515" si="997">"15:11:30.787"</f>
        <v>15:11:30.787</v>
      </c>
      <c r="CF2510">
        <v>786542861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4</v>
      </c>
      <c r="CY2510">
        <v>7</v>
      </c>
      <c r="CZ2510" t="s">
        <v>133</v>
      </c>
      <c r="DA2510">
        <v>276</v>
      </c>
      <c r="DB2510">
        <v>0</v>
      </c>
      <c r="DC2510" t="s">
        <v>402</v>
      </c>
      <c r="DD2510" t="s">
        <v>403</v>
      </c>
      <c r="DG2510">
        <v>1627270</v>
      </c>
      <c r="DI2510">
        <v>1</v>
      </c>
      <c r="DJ2510">
        <v>0</v>
      </c>
      <c r="DK2510">
        <v>0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"05/01/2025 15:11:31.025"</f>
        <v>05/01/2025 15:11:31.025</v>
      </c>
      <c r="C2511" t="str">
        <f t="shared" si="988"/>
        <v>FFDFD3C0</v>
      </c>
      <c r="D2511" t="s">
        <v>124</v>
      </c>
      <c r="E2511" t="str">
        <f>"06"</f>
        <v>06</v>
      </c>
      <c r="F2511">
        <v>2006</v>
      </c>
      <c r="G2511" t="s">
        <v>125</v>
      </c>
      <c r="J2511" t="s">
        <v>126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R2511" t="s">
        <v>127</v>
      </c>
      <c r="S2511" t="str">
        <f t="shared" si="996"/>
        <v>15:11:30.000</v>
      </c>
      <c r="T2511" t="str">
        <f t="shared" si="996"/>
        <v>15:11:30.000</v>
      </c>
      <c r="U2511" t="str">
        <f t="shared" si="990"/>
        <v>A68FCB</v>
      </c>
      <c r="V2511">
        <v>0</v>
      </c>
      <c r="W2511">
        <v>0</v>
      </c>
      <c r="X2511">
        <v>2</v>
      </c>
      <c r="Y2511">
        <v>0</v>
      </c>
      <c r="AA2511">
        <v>1</v>
      </c>
      <c r="AB2511">
        <v>8</v>
      </c>
      <c r="AC2511">
        <v>3</v>
      </c>
      <c r="AD2511">
        <v>0</v>
      </c>
      <c r="AE2511">
        <v>9</v>
      </c>
      <c r="AF2511" t="s">
        <v>138</v>
      </c>
      <c r="AG2511">
        <v>0</v>
      </c>
      <c r="AH2511">
        <v>3</v>
      </c>
      <c r="AI2511">
        <v>2</v>
      </c>
      <c r="AJ2511">
        <v>0</v>
      </c>
      <c r="AK2511" t="s">
        <v>852</v>
      </c>
      <c r="AL2511">
        <v>39.084677999999997</v>
      </c>
      <c r="AM2511" t="s">
        <v>853</v>
      </c>
      <c r="AN2511">
        <v>-121.037772</v>
      </c>
      <c r="AO2511">
        <v>25</v>
      </c>
      <c r="AP2511">
        <v>4600</v>
      </c>
      <c r="AQ2511" t="s">
        <v>131</v>
      </c>
      <c r="AR2511">
        <v>15</v>
      </c>
      <c r="AS2511">
        <v>85</v>
      </c>
      <c r="AT2511">
        <v>-256</v>
      </c>
      <c r="BB2511" t="str">
        <f t="shared" si="991"/>
        <v>1200</v>
      </c>
      <c r="BC2511">
        <v>1</v>
      </c>
      <c r="BD2511" t="str">
        <f t="shared" si="992"/>
        <v xml:space="preserve">N52156  </v>
      </c>
      <c r="BE2511">
        <v>1</v>
      </c>
      <c r="BG2511">
        <v>0</v>
      </c>
      <c r="BH2511">
        <v>0</v>
      </c>
      <c r="BI2511">
        <v>0</v>
      </c>
      <c r="BJ2511">
        <v>4675</v>
      </c>
      <c r="BK2511">
        <v>75</v>
      </c>
      <c r="BL2511" t="s">
        <v>188</v>
      </c>
      <c r="BM2511">
        <v>1</v>
      </c>
      <c r="BN2511">
        <v>1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 t="shared" si="997"/>
        <v>15:11:30.787</v>
      </c>
      <c r="CF2511">
        <v>786542861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4</v>
      </c>
      <c r="CY2511">
        <v>7</v>
      </c>
      <c r="CZ2511" t="s">
        <v>133</v>
      </c>
      <c r="DA2511">
        <v>276</v>
      </c>
      <c r="DB2511">
        <v>0</v>
      </c>
      <c r="DC2511" t="s">
        <v>402</v>
      </c>
      <c r="DD2511" t="s">
        <v>403</v>
      </c>
      <c r="DG2511">
        <v>1627270</v>
      </c>
      <c r="DI2511">
        <v>1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"05/01/2025 15:11:31.036"</f>
        <v>05/01/2025 15:11:31.036</v>
      </c>
      <c r="C2512" t="str">
        <f t="shared" si="988"/>
        <v>FFDFD3C0</v>
      </c>
      <c r="D2512" t="s">
        <v>145</v>
      </c>
      <c r="E2512" t="str">
        <f>"09"</f>
        <v>09</v>
      </c>
      <c r="H2512">
        <v>51</v>
      </c>
      <c r="I2512" t="s">
        <v>147</v>
      </c>
      <c r="J2512" t="s">
        <v>138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R2512" t="s">
        <v>127</v>
      </c>
      <c r="S2512" t="str">
        <f t="shared" si="996"/>
        <v>15:11:30.000</v>
      </c>
      <c r="T2512" t="str">
        <f t="shared" si="996"/>
        <v>15:11:30.000</v>
      </c>
      <c r="U2512" t="str">
        <f t="shared" si="990"/>
        <v>A68FCB</v>
      </c>
      <c r="V2512">
        <v>0</v>
      </c>
      <c r="W2512">
        <v>0</v>
      </c>
      <c r="X2512">
        <v>2</v>
      </c>
      <c r="Y2512">
        <v>0</v>
      </c>
      <c r="AA2512">
        <v>1</v>
      </c>
      <c r="AB2512">
        <v>8</v>
      </c>
      <c r="AC2512">
        <v>3</v>
      </c>
      <c r="AD2512">
        <v>0</v>
      </c>
      <c r="AE2512">
        <v>9</v>
      </c>
      <c r="AF2512" t="s">
        <v>138</v>
      </c>
      <c r="AG2512">
        <v>0</v>
      </c>
      <c r="AH2512">
        <v>3</v>
      </c>
      <c r="AI2512">
        <v>2</v>
      </c>
      <c r="AJ2512">
        <v>0</v>
      </c>
      <c r="AK2512" t="s">
        <v>852</v>
      </c>
      <c r="AL2512">
        <v>39.084677999999997</v>
      </c>
      <c r="AM2512" t="s">
        <v>853</v>
      </c>
      <c r="AN2512">
        <v>-121.037772</v>
      </c>
      <c r="AO2512">
        <v>25</v>
      </c>
      <c r="AP2512">
        <v>4600</v>
      </c>
      <c r="AQ2512" t="s">
        <v>131</v>
      </c>
      <c r="AR2512">
        <v>15</v>
      </c>
      <c r="AS2512">
        <v>85</v>
      </c>
      <c r="AT2512">
        <v>-256</v>
      </c>
      <c r="BB2512" t="str">
        <f t="shared" si="991"/>
        <v>1200</v>
      </c>
      <c r="BC2512">
        <v>1</v>
      </c>
      <c r="BD2512" t="str">
        <f t="shared" si="992"/>
        <v xml:space="preserve">N52156  </v>
      </c>
      <c r="BE2512">
        <v>1</v>
      </c>
      <c r="BG2512">
        <v>0</v>
      </c>
      <c r="BH2512">
        <v>0</v>
      </c>
      <c r="BI2512">
        <v>0</v>
      </c>
      <c r="BJ2512">
        <v>4675</v>
      </c>
      <c r="BK2512">
        <v>75</v>
      </c>
      <c r="BL2512" t="s">
        <v>188</v>
      </c>
      <c r="BM2512">
        <v>1</v>
      </c>
      <c r="BN2512">
        <v>1</v>
      </c>
      <c r="BO2512">
        <v>0</v>
      </c>
      <c r="BP2512">
        <v>0</v>
      </c>
      <c r="BS2512">
        <v>0</v>
      </c>
      <c r="BT2512">
        <v>0</v>
      </c>
      <c r="BU2512">
        <v>0</v>
      </c>
      <c r="CE2512" t="str">
        <f t="shared" si="997"/>
        <v>15:11:30.787</v>
      </c>
      <c r="CF2512">
        <v>786542861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4</v>
      </c>
      <c r="CY2512">
        <v>7</v>
      </c>
      <c r="CZ2512" t="s">
        <v>133</v>
      </c>
      <c r="DA2512">
        <v>276</v>
      </c>
      <c r="DB2512">
        <v>0</v>
      </c>
      <c r="DC2512" t="s">
        <v>402</v>
      </c>
      <c r="DD2512" t="s">
        <v>403</v>
      </c>
      <c r="DG2512">
        <v>1627270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"05/01/2025 15:11:31.036"</f>
        <v>05/01/2025 15:11:31.036</v>
      </c>
      <c r="C2513" t="str">
        <f t="shared" si="988"/>
        <v>FFDFD3C0</v>
      </c>
      <c r="D2513" t="s">
        <v>145</v>
      </c>
      <c r="E2513" t="str">
        <f>"05"</f>
        <v>05</v>
      </c>
      <c r="H2513">
        <v>47</v>
      </c>
      <c r="I2513" t="s">
        <v>146</v>
      </c>
      <c r="J2513" t="s">
        <v>138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R2513" t="s">
        <v>127</v>
      </c>
      <c r="S2513" t="str">
        <f t="shared" si="996"/>
        <v>15:11:30.000</v>
      </c>
      <c r="T2513" t="str">
        <f t="shared" si="996"/>
        <v>15:11:30.000</v>
      </c>
      <c r="U2513" t="str">
        <f t="shared" si="990"/>
        <v>A68FCB</v>
      </c>
      <c r="V2513">
        <v>0</v>
      </c>
      <c r="W2513">
        <v>0</v>
      </c>
      <c r="X2513">
        <v>2</v>
      </c>
      <c r="Y2513">
        <v>0</v>
      </c>
      <c r="AA2513">
        <v>1</v>
      </c>
      <c r="AB2513">
        <v>8</v>
      </c>
      <c r="AC2513">
        <v>3</v>
      </c>
      <c r="AD2513">
        <v>0</v>
      </c>
      <c r="AE2513">
        <v>9</v>
      </c>
      <c r="AF2513" t="s">
        <v>138</v>
      </c>
      <c r="AG2513">
        <v>0</v>
      </c>
      <c r="AH2513">
        <v>3</v>
      </c>
      <c r="AI2513">
        <v>2</v>
      </c>
      <c r="AJ2513">
        <v>0</v>
      </c>
      <c r="AK2513" t="s">
        <v>852</v>
      </c>
      <c r="AL2513">
        <v>39.084677999999997</v>
      </c>
      <c r="AM2513" t="s">
        <v>853</v>
      </c>
      <c r="AN2513">
        <v>-121.037772</v>
      </c>
      <c r="AO2513">
        <v>25</v>
      </c>
      <c r="AP2513">
        <v>4600</v>
      </c>
      <c r="AQ2513" t="s">
        <v>131</v>
      </c>
      <c r="AR2513">
        <v>15</v>
      </c>
      <c r="AS2513">
        <v>85</v>
      </c>
      <c r="AT2513">
        <v>-256</v>
      </c>
      <c r="BB2513" t="str">
        <f t="shared" si="991"/>
        <v>1200</v>
      </c>
      <c r="BC2513">
        <v>1</v>
      </c>
      <c r="BD2513" t="str">
        <f t="shared" si="992"/>
        <v xml:space="preserve">N52156  </v>
      </c>
      <c r="BE2513">
        <v>1</v>
      </c>
      <c r="BG2513">
        <v>0</v>
      </c>
      <c r="BH2513">
        <v>0</v>
      </c>
      <c r="BI2513">
        <v>0</v>
      </c>
      <c r="BJ2513">
        <v>4675</v>
      </c>
      <c r="BK2513">
        <v>75</v>
      </c>
      <c r="BL2513" t="s">
        <v>188</v>
      </c>
      <c r="BM2513">
        <v>1</v>
      </c>
      <c r="BN2513">
        <v>1</v>
      </c>
      <c r="BO2513">
        <v>0</v>
      </c>
      <c r="BP2513">
        <v>0</v>
      </c>
      <c r="BS2513">
        <v>0</v>
      </c>
      <c r="BT2513">
        <v>0</v>
      </c>
      <c r="BU2513">
        <v>0</v>
      </c>
      <c r="CE2513" t="str">
        <f t="shared" si="997"/>
        <v>15:11:30.787</v>
      </c>
      <c r="CF2513">
        <v>786542861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4</v>
      </c>
      <c r="CY2513">
        <v>7</v>
      </c>
      <c r="CZ2513" t="s">
        <v>133</v>
      </c>
      <c r="DA2513">
        <v>276</v>
      </c>
      <c r="DB2513">
        <v>0</v>
      </c>
      <c r="DC2513" t="s">
        <v>402</v>
      </c>
      <c r="DD2513" t="s">
        <v>403</v>
      </c>
      <c r="DG2513">
        <v>1627270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"05/01/2025 15:11:31.044"</f>
        <v>05/01/2025 15:11:31.044</v>
      </c>
      <c r="C2514" t="str">
        <f t="shared" si="988"/>
        <v>FFDFD3C0</v>
      </c>
      <c r="D2514" t="s">
        <v>136</v>
      </c>
      <c r="E2514" t="str">
        <f>"20"</f>
        <v>20</v>
      </c>
      <c r="H2514">
        <v>400</v>
      </c>
      <c r="I2514" t="s">
        <v>137</v>
      </c>
      <c r="J2514" t="s">
        <v>138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R2514" t="s">
        <v>127</v>
      </c>
      <c r="S2514" t="str">
        <f t="shared" si="996"/>
        <v>15:11:30.000</v>
      </c>
      <c r="T2514" t="str">
        <f t="shared" si="996"/>
        <v>15:11:30.000</v>
      </c>
      <c r="U2514" t="str">
        <f t="shared" si="990"/>
        <v>A68FCB</v>
      </c>
      <c r="V2514">
        <v>0</v>
      </c>
      <c r="W2514">
        <v>0</v>
      </c>
      <c r="X2514">
        <v>2</v>
      </c>
      <c r="Y2514">
        <v>0</v>
      </c>
      <c r="AA2514">
        <v>1</v>
      </c>
      <c r="AB2514">
        <v>8</v>
      </c>
      <c r="AC2514">
        <v>3</v>
      </c>
      <c r="AD2514">
        <v>0</v>
      </c>
      <c r="AE2514">
        <v>9</v>
      </c>
      <c r="AF2514" t="s">
        <v>138</v>
      </c>
      <c r="AG2514">
        <v>0</v>
      </c>
      <c r="AH2514">
        <v>3</v>
      </c>
      <c r="AI2514">
        <v>2</v>
      </c>
      <c r="AJ2514">
        <v>0</v>
      </c>
      <c r="AK2514" t="s">
        <v>852</v>
      </c>
      <c r="AL2514">
        <v>39.084677999999997</v>
      </c>
      <c r="AM2514" t="s">
        <v>853</v>
      </c>
      <c r="AN2514">
        <v>-121.037772</v>
      </c>
      <c r="AO2514">
        <v>25</v>
      </c>
      <c r="AP2514">
        <v>4600</v>
      </c>
      <c r="AQ2514" t="s">
        <v>131</v>
      </c>
      <c r="AR2514">
        <v>15</v>
      </c>
      <c r="AS2514">
        <v>85</v>
      </c>
      <c r="AT2514">
        <v>-256</v>
      </c>
      <c r="BB2514" t="str">
        <f t="shared" si="991"/>
        <v>1200</v>
      </c>
      <c r="BC2514">
        <v>1</v>
      </c>
      <c r="BD2514" t="str">
        <f t="shared" si="992"/>
        <v xml:space="preserve">N52156  </v>
      </c>
      <c r="BE2514">
        <v>1</v>
      </c>
      <c r="BG2514">
        <v>0</v>
      </c>
      <c r="BH2514">
        <v>0</v>
      </c>
      <c r="BI2514">
        <v>0</v>
      </c>
      <c r="BJ2514">
        <v>4675</v>
      </c>
      <c r="BK2514">
        <v>75</v>
      </c>
      <c r="BL2514" t="s">
        <v>188</v>
      </c>
      <c r="BM2514">
        <v>1</v>
      </c>
      <c r="BN2514">
        <v>1</v>
      </c>
      <c r="BO2514">
        <v>0</v>
      </c>
      <c r="BP2514">
        <v>0</v>
      </c>
      <c r="BS2514">
        <v>0</v>
      </c>
      <c r="BT2514">
        <v>0</v>
      </c>
      <c r="BU2514">
        <v>0</v>
      </c>
      <c r="CE2514" t="str">
        <f t="shared" si="997"/>
        <v>15:11:30.787</v>
      </c>
      <c r="CF2514">
        <v>786542861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4</v>
      </c>
      <c r="CY2514">
        <v>7</v>
      </c>
      <c r="CZ2514" t="s">
        <v>133</v>
      </c>
      <c r="DA2514">
        <v>276</v>
      </c>
      <c r="DB2514">
        <v>0</v>
      </c>
      <c r="DC2514" t="s">
        <v>402</v>
      </c>
      <c r="DD2514" t="s">
        <v>403</v>
      </c>
      <c r="DG2514">
        <v>1627270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"05/01/2025 15:11:31.051"</f>
        <v>05/01/2025 15:11:31.051</v>
      </c>
      <c r="C2515" t="str">
        <f t="shared" si="988"/>
        <v>FFDFD3C0</v>
      </c>
      <c r="D2515" t="s">
        <v>143</v>
      </c>
      <c r="E2515" t="str">
        <f>"05"</f>
        <v>05</v>
      </c>
      <c r="H2515">
        <v>172</v>
      </c>
      <c r="I2515" t="s">
        <v>141</v>
      </c>
      <c r="J2515" t="s">
        <v>144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R2515" t="s">
        <v>127</v>
      </c>
      <c r="S2515" t="str">
        <f t="shared" si="996"/>
        <v>15:11:30.000</v>
      </c>
      <c r="T2515" t="str">
        <f t="shared" si="996"/>
        <v>15:11:30.000</v>
      </c>
      <c r="U2515" t="str">
        <f t="shared" si="990"/>
        <v>A68FCB</v>
      </c>
      <c r="V2515">
        <v>0</v>
      </c>
      <c r="W2515">
        <v>0</v>
      </c>
      <c r="X2515">
        <v>2</v>
      </c>
      <c r="Y2515">
        <v>0</v>
      </c>
      <c r="AA2515">
        <v>1</v>
      </c>
      <c r="AB2515">
        <v>8</v>
      </c>
      <c r="AC2515">
        <v>3</v>
      </c>
      <c r="AD2515">
        <v>0</v>
      </c>
      <c r="AE2515">
        <v>9</v>
      </c>
      <c r="AF2515" t="s">
        <v>138</v>
      </c>
      <c r="AG2515">
        <v>0</v>
      </c>
      <c r="AH2515">
        <v>3</v>
      </c>
      <c r="AI2515">
        <v>2</v>
      </c>
      <c r="AJ2515">
        <v>0</v>
      </c>
      <c r="AK2515" t="s">
        <v>852</v>
      </c>
      <c r="AL2515">
        <v>39.084677999999997</v>
      </c>
      <c r="AM2515" t="s">
        <v>853</v>
      </c>
      <c r="AN2515">
        <v>-121.037772</v>
      </c>
      <c r="AO2515">
        <v>25</v>
      </c>
      <c r="AP2515">
        <v>4600</v>
      </c>
      <c r="AQ2515" t="s">
        <v>131</v>
      </c>
      <c r="AR2515">
        <v>15</v>
      </c>
      <c r="AS2515">
        <v>85</v>
      </c>
      <c r="AT2515">
        <v>-256</v>
      </c>
      <c r="BB2515" t="str">
        <f t="shared" si="991"/>
        <v>1200</v>
      </c>
      <c r="BC2515">
        <v>1</v>
      </c>
      <c r="BD2515" t="str">
        <f t="shared" si="992"/>
        <v xml:space="preserve">N52156  </v>
      </c>
      <c r="BE2515">
        <v>1</v>
      </c>
      <c r="BG2515">
        <v>0</v>
      </c>
      <c r="BH2515">
        <v>0</v>
      </c>
      <c r="BI2515">
        <v>0</v>
      </c>
      <c r="BJ2515">
        <v>4675</v>
      </c>
      <c r="BK2515">
        <v>75</v>
      </c>
      <c r="BL2515" t="s">
        <v>188</v>
      </c>
      <c r="BM2515">
        <v>1</v>
      </c>
      <c r="BN2515">
        <v>1</v>
      </c>
      <c r="BO2515">
        <v>0</v>
      </c>
      <c r="BP2515">
        <v>0</v>
      </c>
      <c r="BS2515">
        <v>0</v>
      </c>
      <c r="BT2515">
        <v>0</v>
      </c>
      <c r="BU2515">
        <v>0</v>
      </c>
      <c r="CE2515" t="str">
        <f t="shared" si="997"/>
        <v>15:11:30.787</v>
      </c>
      <c r="CF2515">
        <v>786542861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4</v>
      </c>
      <c r="CY2515">
        <v>7</v>
      </c>
      <c r="CZ2515" t="s">
        <v>133</v>
      </c>
      <c r="DA2515">
        <v>276</v>
      </c>
      <c r="DB2515">
        <v>0</v>
      </c>
      <c r="DC2515" t="s">
        <v>402</v>
      </c>
      <c r="DD2515" t="s">
        <v>403</v>
      </c>
      <c r="DG2515">
        <v>1627270</v>
      </c>
      <c r="DI2515">
        <v>1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"05/01/2025 15:11:31.468"</f>
        <v>05/01/2025 15:11:31.468</v>
      </c>
      <c r="C2516" t="str">
        <f t="shared" si="988"/>
        <v>FFDFD3C0</v>
      </c>
      <c r="D2516" t="s">
        <v>140</v>
      </c>
      <c r="E2516" t="str">
        <f>"13"</f>
        <v>13</v>
      </c>
      <c r="F2516">
        <v>1019</v>
      </c>
      <c r="G2516" t="s">
        <v>141</v>
      </c>
      <c r="J2516" t="s">
        <v>142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R2516" t="s">
        <v>127</v>
      </c>
      <c r="S2516" t="str">
        <f t="shared" ref="S2516:T2521" si="998">"15:11:31.000"</f>
        <v>15:11:31.000</v>
      </c>
      <c r="T2516" t="str">
        <f t="shared" si="998"/>
        <v>15:11:31.000</v>
      </c>
      <c r="U2516" t="str">
        <f t="shared" si="990"/>
        <v>A68FCB</v>
      </c>
      <c r="V2516">
        <v>0</v>
      </c>
      <c r="W2516">
        <v>0</v>
      </c>
      <c r="X2516">
        <v>2</v>
      </c>
      <c r="Y2516">
        <v>0</v>
      </c>
      <c r="AA2516">
        <v>1</v>
      </c>
      <c r="AB2516">
        <v>8</v>
      </c>
      <c r="AC2516">
        <v>3</v>
      </c>
      <c r="AD2516">
        <v>0</v>
      </c>
      <c r="AE2516">
        <v>9</v>
      </c>
      <c r="AF2516" t="s">
        <v>138</v>
      </c>
      <c r="AG2516">
        <v>0</v>
      </c>
      <c r="AH2516">
        <v>3</v>
      </c>
      <c r="AI2516">
        <v>2</v>
      </c>
      <c r="AJ2516">
        <v>0</v>
      </c>
      <c r="AK2516" t="s">
        <v>854</v>
      </c>
      <c r="AL2516">
        <v>39.085084999999999</v>
      </c>
      <c r="AM2516" t="s">
        <v>855</v>
      </c>
      <c r="AN2516">
        <v>-121.037729</v>
      </c>
      <c r="AO2516">
        <v>25</v>
      </c>
      <c r="AP2516">
        <v>4600</v>
      </c>
      <c r="AQ2516" t="s">
        <v>131</v>
      </c>
      <c r="AR2516">
        <v>15</v>
      </c>
      <c r="AS2516">
        <v>85</v>
      </c>
      <c r="AT2516">
        <v>-256</v>
      </c>
      <c r="BB2516" t="str">
        <f t="shared" si="991"/>
        <v>1200</v>
      </c>
      <c r="BC2516">
        <v>1</v>
      </c>
      <c r="BD2516" t="str">
        <f t="shared" si="992"/>
        <v xml:space="preserve">N52156  </v>
      </c>
      <c r="BE2516">
        <v>1</v>
      </c>
      <c r="BG2516">
        <v>0</v>
      </c>
      <c r="BH2516">
        <v>0</v>
      </c>
      <c r="BI2516">
        <v>0</v>
      </c>
      <c r="BJ2516">
        <v>4675</v>
      </c>
      <c r="BK2516">
        <v>75</v>
      </c>
      <c r="BL2516" t="s">
        <v>188</v>
      </c>
      <c r="BM2516">
        <v>1</v>
      </c>
      <c r="BN2516">
        <v>1</v>
      </c>
      <c r="BO2516">
        <v>0</v>
      </c>
      <c r="BP2516">
        <v>0</v>
      </c>
      <c r="BS2516">
        <v>0</v>
      </c>
      <c r="BT2516">
        <v>0</v>
      </c>
      <c r="BU2516">
        <v>0</v>
      </c>
      <c r="CE2516" t="str">
        <f t="shared" ref="CE2516:CE2521" si="999">"15:11:31.267"</f>
        <v>15:11:31.267</v>
      </c>
      <c r="CF2516">
        <v>266791617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3</v>
      </c>
      <c r="CY2516">
        <v>7</v>
      </c>
      <c r="CZ2516" t="s">
        <v>133</v>
      </c>
      <c r="DA2516">
        <v>276</v>
      </c>
      <c r="DB2516">
        <v>0</v>
      </c>
      <c r="DC2516" t="s">
        <v>402</v>
      </c>
      <c r="DD2516" t="s">
        <v>403</v>
      </c>
      <c r="DG2516">
        <v>1627273</v>
      </c>
      <c r="DI2516">
        <v>1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"05/01/2025 15:11:31.476"</f>
        <v>05/01/2025 15:11:31.476</v>
      </c>
      <c r="C2517" t="str">
        <f t="shared" si="988"/>
        <v>FFDFD3C0</v>
      </c>
      <c r="D2517" t="s">
        <v>124</v>
      </c>
      <c r="E2517" t="str">
        <f>"06"</f>
        <v>06</v>
      </c>
      <c r="F2517">
        <v>2006</v>
      </c>
      <c r="G2517" t="s">
        <v>125</v>
      </c>
      <c r="J2517" t="s">
        <v>126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R2517" t="s">
        <v>127</v>
      </c>
      <c r="S2517" t="str">
        <f t="shared" si="998"/>
        <v>15:11:31.000</v>
      </c>
      <c r="T2517" t="str">
        <f t="shared" si="998"/>
        <v>15:11:31.000</v>
      </c>
      <c r="U2517" t="str">
        <f t="shared" si="990"/>
        <v>A68FCB</v>
      </c>
      <c r="V2517">
        <v>0</v>
      </c>
      <c r="W2517">
        <v>0</v>
      </c>
      <c r="X2517">
        <v>2</v>
      </c>
      <c r="Y2517">
        <v>0</v>
      </c>
      <c r="AA2517">
        <v>1</v>
      </c>
      <c r="AB2517">
        <v>8</v>
      </c>
      <c r="AC2517">
        <v>3</v>
      </c>
      <c r="AD2517">
        <v>0</v>
      </c>
      <c r="AE2517">
        <v>9</v>
      </c>
      <c r="AF2517" t="s">
        <v>138</v>
      </c>
      <c r="AG2517">
        <v>0</v>
      </c>
      <c r="AH2517">
        <v>3</v>
      </c>
      <c r="AI2517">
        <v>2</v>
      </c>
      <c r="AJ2517">
        <v>0</v>
      </c>
      <c r="AK2517" t="s">
        <v>854</v>
      </c>
      <c r="AL2517">
        <v>39.085084999999999</v>
      </c>
      <c r="AM2517" t="s">
        <v>855</v>
      </c>
      <c r="AN2517">
        <v>-121.037729</v>
      </c>
      <c r="AO2517">
        <v>25</v>
      </c>
      <c r="AP2517">
        <v>4600</v>
      </c>
      <c r="AQ2517" t="s">
        <v>131</v>
      </c>
      <c r="AR2517">
        <v>15</v>
      </c>
      <c r="AS2517">
        <v>85</v>
      </c>
      <c r="AT2517">
        <v>-256</v>
      </c>
      <c r="BB2517" t="str">
        <f t="shared" si="991"/>
        <v>1200</v>
      </c>
      <c r="BC2517">
        <v>1</v>
      </c>
      <c r="BD2517" t="str">
        <f t="shared" si="992"/>
        <v xml:space="preserve">N52156  </v>
      </c>
      <c r="BE2517">
        <v>1</v>
      </c>
      <c r="BG2517">
        <v>0</v>
      </c>
      <c r="BH2517">
        <v>0</v>
      </c>
      <c r="BI2517">
        <v>0</v>
      </c>
      <c r="BJ2517">
        <v>4675</v>
      </c>
      <c r="BK2517">
        <v>75</v>
      </c>
      <c r="BL2517" t="s">
        <v>188</v>
      </c>
      <c r="BM2517">
        <v>1</v>
      </c>
      <c r="BN2517">
        <v>1</v>
      </c>
      <c r="BO2517">
        <v>0</v>
      </c>
      <c r="BP2517">
        <v>0</v>
      </c>
      <c r="BS2517">
        <v>0</v>
      </c>
      <c r="BT2517">
        <v>0</v>
      </c>
      <c r="BU2517">
        <v>0</v>
      </c>
      <c r="CE2517" t="str">
        <f t="shared" si="999"/>
        <v>15:11:31.267</v>
      </c>
      <c r="CF2517">
        <v>266791617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3</v>
      </c>
      <c r="CY2517">
        <v>7</v>
      </c>
      <c r="CZ2517" t="s">
        <v>133</v>
      </c>
      <c r="DA2517">
        <v>276</v>
      </c>
      <c r="DB2517">
        <v>0</v>
      </c>
      <c r="DC2517" t="s">
        <v>402</v>
      </c>
      <c r="DD2517" t="s">
        <v>403</v>
      </c>
      <c r="DG2517">
        <v>1627273</v>
      </c>
      <c r="DI2517">
        <v>1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"05/01/2025 15:11:31.487"</f>
        <v>05/01/2025 15:11:31.487</v>
      </c>
      <c r="C2518" t="str">
        <f t="shared" si="988"/>
        <v>FFDFD3C0</v>
      </c>
      <c r="D2518" t="s">
        <v>145</v>
      </c>
      <c r="E2518" t="str">
        <f>"09"</f>
        <v>09</v>
      </c>
      <c r="H2518">
        <v>51</v>
      </c>
      <c r="I2518" t="s">
        <v>147</v>
      </c>
      <c r="J2518" t="s">
        <v>138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R2518" t="s">
        <v>127</v>
      </c>
      <c r="S2518" t="str">
        <f t="shared" si="998"/>
        <v>15:11:31.000</v>
      </c>
      <c r="T2518" t="str">
        <f t="shared" si="998"/>
        <v>15:11:31.000</v>
      </c>
      <c r="U2518" t="str">
        <f t="shared" si="990"/>
        <v>A68FCB</v>
      </c>
      <c r="V2518">
        <v>0</v>
      </c>
      <c r="W2518">
        <v>0</v>
      </c>
      <c r="X2518">
        <v>2</v>
      </c>
      <c r="Y2518">
        <v>0</v>
      </c>
      <c r="AA2518">
        <v>1</v>
      </c>
      <c r="AB2518">
        <v>8</v>
      </c>
      <c r="AC2518">
        <v>3</v>
      </c>
      <c r="AD2518">
        <v>0</v>
      </c>
      <c r="AE2518">
        <v>9</v>
      </c>
      <c r="AF2518" t="s">
        <v>138</v>
      </c>
      <c r="AG2518">
        <v>0</v>
      </c>
      <c r="AH2518">
        <v>3</v>
      </c>
      <c r="AI2518">
        <v>2</v>
      </c>
      <c r="AJ2518">
        <v>0</v>
      </c>
      <c r="AK2518" t="s">
        <v>854</v>
      </c>
      <c r="AL2518">
        <v>39.085084999999999</v>
      </c>
      <c r="AM2518" t="s">
        <v>855</v>
      </c>
      <c r="AN2518">
        <v>-121.037729</v>
      </c>
      <c r="AO2518">
        <v>25</v>
      </c>
      <c r="AP2518">
        <v>4600</v>
      </c>
      <c r="AQ2518" t="s">
        <v>131</v>
      </c>
      <c r="AR2518">
        <v>15</v>
      </c>
      <c r="AS2518">
        <v>85</v>
      </c>
      <c r="AT2518">
        <v>-256</v>
      </c>
      <c r="BB2518" t="str">
        <f t="shared" si="991"/>
        <v>1200</v>
      </c>
      <c r="BC2518">
        <v>1</v>
      </c>
      <c r="BD2518" t="str">
        <f t="shared" si="992"/>
        <v xml:space="preserve">N52156  </v>
      </c>
      <c r="BE2518">
        <v>1</v>
      </c>
      <c r="BG2518">
        <v>0</v>
      </c>
      <c r="BH2518">
        <v>0</v>
      </c>
      <c r="BI2518">
        <v>0</v>
      </c>
      <c r="BJ2518">
        <v>4675</v>
      </c>
      <c r="BK2518">
        <v>75</v>
      </c>
      <c r="BL2518" t="s">
        <v>188</v>
      </c>
      <c r="BM2518">
        <v>1</v>
      </c>
      <c r="BN2518">
        <v>1</v>
      </c>
      <c r="BO2518">
        <v>0</v>
      </c>
      <c r="BP2518">
        <v>0</v>
      </c>
      <c r="BS2518">
        <v>0</v>
      </c>
      <c r="BT2518">
        <v>0</v>
      </c>
      <c r="BU2518">
        <v>0</v>
      </c>
      <c r="CE2518" t="str">
        <f t="shared" si="999"/>
        <v>15:11:31.267</v>
      </c>
      <c r="CF2518">
        <v>266791617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3</v>
      </c>
      <c r="CY2518">
        <v>7</v>
      </c>
      <c r="CZ2518" t="s">
        <v>133</v>
      </c>
      <c r="DA2518">
        <v>276</v>
      </c>
      <c r="DB2518">
        <v>0</v>
      </c>
      <c r="DC2518" t="s">
        <v>402</v>
      </c>
      <c r="DD2518" t="s">
        <v>403</v>
      </c>
      <c r="DG2518">
        <v>1627273</v>
      </c>
      <c r="DI2518">
        <v>1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"05/01/2025 15:11:31.487"</f>
        <v>05/01/2025 15:11:31.487</v>
      </c>
      <c r="C2519" t="str">
        <f t="shared" si="988"/>
        <v>FFDFD3C0</v>
      </c>
      <c r="D2519" t="s">
        <v>145</v>
      </c>
      <c r="E2519" t="str">
        <f>"05"</f>
        <v>05</v>
      </c>
      <c r="H2519">
        <v>47</v>
      </c>
      <c r="I2519" t="s">
        <v>146</v>
      </c>
      <c r="J2519" t="s">
        <v>138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R2519" t="s">
        <v>127</v>
      </c>
      <c r="S2519" t="str">
        <f t="shared" si="998"/>
        <v>15:11:31.000</v>
      </c>
      <c r="T2519" t="str">
        <f t="shared" si="998"/>
        <v>15:11:31.000</v>
      </c>
      <c r="U2519" t="str">
        <f t="shared" si="990"/>
        <v>A68FCB</v>
      </c>
      <c r="V2519">
        <v>0</v>
      </c>
      <c r="W2519">
        <v>0</v>
      </c>
      <c r="X2519">
        <v>2</v>
      </c>
      <c r="Y2519">
        <v>0</v>
      </c>
      <c r="AA2519">
        <v>1</v>
      </c>
      <c r="AB2519">
        <v>8</v>
      </c>
      <c r="AC2519">
        <v>3</v>
      </c>
      <c r="AD2519">
        <v>0</v>
      </c>
      <c r="AE2519">
        <v>9</v>
      </c>
      <c r="AF2519" t="s">
        <v>138</v>
      </c>
      <c r="AG2519">
        <v>0</v>
      </c>
      <c r="AH2519">
        <v>3</v>
      </c>
      <c r="AI2519">
        <v>2</v>
      </c>
      <c r="AJ2519">
        <v>0</v>
      </c>
      <c r="AK2519" t="s">
        <v>854</v>
      </c>
      <c r="AL2519">
        <v>39.085084999999999</v>
      </c>
      <c r="AM2519" t="s">
        <v>855</v>
      </c>
      <c r="AN2519">
        <v>-121.037729</v>
      </c>
      <c r="AO2519">
        <v>25</v>
      </c>
      <c r="AP2519">
        <v>4600</v>
      </c>
      <c r="AQ2519" t="s">
        <v>131</v>
      </c>
      <c r="AR2519">
        <v>15</v>
      </c>
      <c r="AS2519">
        <v>85</v>
      </c>
      <c r="AT2519">
        <v>-256</v>
      </c>
      <c r="BB2519" t="str">
        <f t="shared" si="991"/>
        <v>1200</v>
      </c>
      <c r="BC2519">
        <v>1</v>
      </c>
      <c r="BD2519" t="str">
        <f t="shared" si="992"/>
        <v xml:space="preserve">N52156  </v>
      </c>
      <c r="BE2519">
        <v>1</v>
      </c>
      <c r="BG2519">
        <v>0</v>
      </c>
      <c r="BH2519">
        <v>0</v>
      </c>
      <c r="BI2519">
        <v>0</v>
      </c>
      <c r="BJ2519">
        <v>4675</v>
      </c>
      <c r="BK2519">
        <v>75</v>
      </c>
      <c r="BL2519" t="s">
        <v>188</v>
      </c>
      <c r="BM2519">
        <v>1</v>
      </c>
      <c r="BN2519">
        <v>1</v>
      </c>
      <c r="BO2519">
        <v>0</v>
      </c>
      <c r="BP2519">
        <v>0</v>
      </c>
      <c r="BS2519">
        <v>0</v>
      </c>
      <c r="BT2519">
        <v>0</v>
      </c>
      <c r="BU2519">
        <v>0</v>
      </c>
      <c r="CE2519" t="str">
        <f t="shared" si="999"/>
        <v>15:11:31.267</v>
      </c>
      <c r="CF2519">
        <v>266791617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3</v>
      </c>
      <c r="CY2519">
        <v>7</v>
      </c>
      <c r="CZ2519" t="s">
        <v>133</v>
      </c>
      <c r="DA2519">
        <v>276</v>
      </c>
      <c r="DB2519">
        <v>0</v>
      </c>
      <c r="DC2519" t="s">
        <v>402</v>
      </c>
      <c r="DD2519" t="s">
        <v>403</v>
      </c>
      <c r="DG2519">
        <v>1627273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"05/01/2025 15:11:31.495"</f>
        <v>05/01/2025 15:11:31.495</v>
      </c>
      <c r="C2520" t="str">
        <f t="shared" si="988"/>
        <v>FFDFD3C0</v>
      </c>
      <c r="D2520" t="s">
        <v>136</v>
      </c>
      <c r="E2520" t="str">
        <f>"20"</f>
        <v>20</v>
      </c>
      <c r="H2520">
        <v>400</v>
      </c>
      <c r="I2520" t="s">
        <v>137</v>
      </c>
      <c r="J2520" t="s">
        <v>138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R2520" t="s">
        <v>127</v>
      </c>
      <c r="S2520" t="str">
        <f t="shared" si="998"/>
        <v>15:11:31.000</v>
      </c>
      <c r="T2520" t="str">
        <f t="shared" si="998"/>
        <v>15:11:31.000</v>
      </c>
      <c r="U2520" t="str">
        <f t="shared" si="990"/>
        <v>A68FCB</v>
      </c>
      <c r="V2520">
        <v>0</v>
      </c>
      <c r="W2520">
        <v>0</v>
      </c>
      <c r="X2520">
        <v>2</v>
      </c>
      <c r="Y2520">
        <v>0</v>
      </c>
      <c r="AA2520">
        <v>1</v>
      </c>
      <c r="AB2520">
        <v>8</v>
      </c>
      <c r="AC2520">
        <v>3</v>
      </c>
      <c r="AD2520">
        <v>0</v>
      </c>
      <c r="AE2520">
        <v>9</v>
      </c>
      <c r="AF2520" t="s">
        <v>138</v>
      </c>
      <c r="AG2520">
        <v>0</v>
      </c>
      <c r="AH2520">
        <v>3</v>
      </c>
      <c r="AI2520">
        <v>2</v>
      </c>
      <c r="AJ2520">
        <v>0</v>
      </c>
      <c r="AK2520" t="s">
        <v>854</v>
      </c>
      <c r="AL2520">
        <v>39.085084999999999</v>
      </c>
      <c r="AM2520" t="s">
        <v>855</v>
      </c>
      <c r="AN2520">
        <v>-121.037729</v>
      </c>
      <c r="AO2520">
        <v>25</v>
      </c>
      <c r="AP2520">
        <v>4600</v>
      </c>
      <c r="AQ2520" t="s">
        <v>131</v>
      </c>
      <c r="AR2520">
        <v>15</v>
      </c>
      <c r="AS2520">
        <v>85</v>
      </c>
      <c r="AT2520">
        <v>-256</v>
      </c>
      <c r="BB2520" t="str">
        <f t="shared" si="991"/>
        <v>1200</v>
      </c>
      <c r="BC2520">
        <v>1</v>
      </c>
      <c r="BD2520" t="str">
        <f t="shared" si="992"/>
        <v xml:space="preserve">N52156  </v>
      </c>
      <c r="BE2520">
        <v>1</v>
      </c>
      <c r="BG2520">
        <v>0</v>
      </c>
      <c r="BH2520">
        <v>0</v>
      </c>
      <c r="BI2520">
        <v>0</v>
      </c>
      <c r="BJ2520">
        <v>4675</v>
      </c>
      <c r="BK2520">
        <v>75</v>
      </c>
      <c r="BL2520" t="s">
        <v>188</v>
      </c>
      <c r="BM2520">
        <v>1</v>
      </c>
      <c r="BN2520">
        <v>1</v>
      </c>
      <c r="BO2520">
        <v>0</v>
      </c>
      <c r="BP2520">
        <v>0</v>
      </c>
      <c r="BS2520">
        <v>0</v>
      </c>
      <c r="BT2520">
        <v>0</v>
      </c>
      <c r="BU2520">
        <v>0</v>
      </c>
      <c r="CE2520" t="str">
        <f t="shared" si="999"/>
        <v>15:11:31.267</v>
      </c>
      <c r="CF2520">
        <v>266791617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3</v>
      </c>
      <c r="CY2520">
        <v>7</v>
      </c>
      <c r="CZ2520" t="s">
        <v>133</v>
      </c>
      <c r="DA2520">
        <v>276</v>
      </c>
      <c r="DB2520">
        <v>0</v>
      </c>
      <c r="DC2520" t="s">
        <v>402</v>
      </c>
      <c r="DD2520" t="s">
        <v>403</v>
      </c>
      <c r="DG2520">
        <v>1627273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"05/01/2025 15:11:31.502"</f>
        <v>05/01/2025 15:11:31.502</v>
      </c>
      <c r="C2521" t="str">
        <f t="shared" si="988"/>
        <v>FFDFD3C0</v>
      </c>
      <c r="D2521" t="s">
        <v>143</v>
      </c>
      <c r="E2521" t="str">
        <f>"05"</f>
        <v>05</v>
      </c>
      <c r="H2521">
        <v>172</v>
      </c>
      <c r="I2521" t="s">
        <v>141</v>
      </c>
      <c r="J2521" t="s">
        <v>144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R2521" t="s">
        <v>127</v>
      </c>
      <c r="S2521" t="str">
        <f t="shared" si="998"/>
        <v>15:11:31.000</v>
      </c>
      <c r="T2521" t="str">
        <f t="shared" si="998"/>
        <v>15:11:31.000</v>
      </c>
      <c r="U2521" t="str">
        <f t="shared" si="990"/>
        <v>A68FCB</v>
      </c>
      <c r="V2521">
        <v>0</v>
      </c>
      <c r="W2521">
        <v>0</v>
      </c>
      <c r="X2521">
        <v>2</v>
      </c>
      <c r="Y2521">
        <v>0</v>
      </c>
      <c r="AA2521">
        <v>1</v>
      </c>
      <c r="AB2521">
        <v>8</v>
      </c>
      <c r="AC2521">
        <v>3</v>
      </c>
      <c r="AD2521">
        <v>0</v>
      </c>
      <c r="AE2521">
        <v>9</v>
      </c>
      <c r="AF2521" t="s">
        <v>138</v>
      </c>
      <c r="AG2521">
        <v>0</v>
      </c>
      <c r="AH2521">
        <v>3</v>
      </c>
      <c r="AI2521">
        <v>2</v>
      </c>
      <c r="AJ2521">
        <v>0</v>
      </c>
      <c r="AK2521" t="s">
        <v>854</v>
      </c>
      <c r="AL2521">
        <v>39.085084999999999</v>
      </c>
      <c r="AM2521" t="s">
        <v>855</v>
      </c>
      <c r="AN2521">
        <v>-121.037729</v>
      </c>
      <c r="AO2521">
        <v>25</v>
      </c>
      <c r="AP2521">
        <v>4600</v>
      </c>
      <c r="AQ2521" t="s">
        <v>131</v>
      </c>
      <c r="AR2521">
        <v>15</v>
      </c>
      <c r="AS2521">
        <v>85</v>
      </c>
      <c r="AT2521">
        <v>-256</v>
      </c>
      <c r="BB2521" t="str">
        <f t="shared" si="991"/>
        <v>1200</v>
      </c>
      <c r="BC2521">
        <v>1</v>
      </c>
      <c r="BD2521" t="str">
        <f t="shared" si="992"/>
        <v xml:space="preserve">N52156  </v>
      </c>
      <c r="BE2521">
        <v>1</v>
      </c>
      <c r="BG2521">
        <v>0</v>
      </c>
      <c r="BH2521">
        <v>0</v>
      </c>
      <c r="BI2521">
        <v>0</v>
      </c>
      <c r="BJ2521">
        <v>4675</v>
      </c>
      <c r="BK2521">
        <v>75</v>
      </c>
      <c r="BL2521" t="s">
        <v>188</v>
      </c>
      <c r="BM2521">
        <v>1</v>
      </c>
      <c r="BN2521">
        <v>1</v>
      </c>
      <c r="BO2521">
        <v>0</v>
      </c>
      <c r="BP2521">
        <v>0</v>
      </c>
      <c r="BS2521">
        <v>0</v>
      </c>
      <c r="BT2521">
        <v>0</v>
      </c>
      <c r="BU2521">
        <v>0</v>
      </c>
      <c r="CE2521" t="str">
        <f t="shared" si="999"/>
        <v>15:11:31.267</v>
      </c>
      <c r="CF2521">
        <v>266791617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3</v>
      </c>
      <c r="CY2521">
        <v>7</v>
      </c>
      <c r="CZ2521" t="s">
        <v>133</v>
      </c>
      <c r="DA2521">
        <v>276</v>
      </c>
      <c r="DB2521">
        <v>0</v>
      </c>
      <c r="DC2521" t="s">
        <v>402</v>
      </c>
      <c r="DD2521" t="s">
        <v>403</v>
      </c>
      <c r="DG2521">
        <v>1627273</v>
      </c>
      <c r="DI2521">
        <v>1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"05/01/2025 15:11:32.789"</f>
        <v>05/01/2025 15:11:32.789</v>
      </c>
      <c r="C2522" t="str">
        <f t="shared" si="988"/>
        <v>FFDFD3C0</v>
      </c>
      <c r="D2522" t="s">
        <v>145</v>
      </c>
      <c r="E2522" t="str">
        <f>"05"</f>
        <v>05</v>
      </c>
      <c r="H2522">
        <v>47</v>
      </c>
      <c r="I2522" t="s">
        <v>146</v>
      </c>
      <c r="J2522" t="s">
        <v>138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R2522" t="s">
        <v>127</v>
      </c>
      <c r="S2522" t="str">
        <f t="shared" ref="S2522:T2527" si="1000">"15:11:32.000"</f>
        <v>15:11:32.000</v>
      </c>
      <c r="T2522" t="str">
        <f t="shared" si="1000"/>
        <v>15:11:32.000</v>
      </c>
      <c r="U2522" t="str">
        <f t="shared" si="990"/>
        <v>A68FCB</v>
      </c>
      <c r="V2522">
        <v>0</v>
      </c>
      <c r="W2522">
        <v>0</v>
      </c>
      <c r="X2522">
        <v>2</v>
      </c>
      <c r="Y2522">
        <v>0</v>
      </c>
      <c r="AA2522">
        <v>1</v>
      </c>
      <c r="AB2522">
        <v>8</v>
      </c>
      <c r="AC2522">
        <v>3</v>
      </c>
      <c r="AD2522">
        <v>0</v>
      </c>
      <c r="AE2522">
        <v>9</v>
      </c>
      <c r="AF2522" t="s">
        <v>138</v>
      </c>
      <c r="AG2522">
        <v>0</v>
      </c>
      <c r="AH2522">
        <v>3</v>
      </c>
      <c r="AI2522">
        <v>2</v>
      </c>
      <c r="AJ2522">
        <v>0</v>
      </c>
      <c r="AK2522" t="s">
        <v>856</v>
      </c>
      <c r="AL2522">
        <v>39.085493</v>
      </c>
      <c r="AM2522" t="s">
        <v>857</v>
      </c>
      <c r="AN2522">
        <v>-121.0376</v>
      </c>
      <c r="AO2522">
        <v>25</v>
      </c>
      <c r="AP2522">
        <v>4600</v>
      </c>
      <c r="AQ2522" t="s">
        <v>131</v>
      </c>
      <c r="AR2522">
        <v>15</v>
      </c>
      <c r="AS2522">
        <v>85</v>
      </c>
      <c r="AT2522">
        <v>-256</v>
      </c>
      <c r="BB2522" t="str">
        <f t="shared" si="991"/>
        <v>1200</v>
      </c>
      <c r="BC2522">
        <v>1</v>
      </c>
      <c r="BD2522" t="str">
        <f t="shared" si="992"/>
        <v xml:space="preserve">N52156  </v>
      </c>
      <c r="BE2522">
        <v>1</v>
      </c>
      <c r="BG2522">
        <v>0</v>
      </c>
      <c r="BH2522">
        <v>0</v>
      </c>
      <c r="BI2522">
        <v>0</v>
      </c>
      <c r="BJ2522">
        <v>4650</v>
      </c>
      <c r="BK2522">
        <v>50</v>
      </c>
      <c r="BL2522" t="s">
        <v>188</v>
      </c>
      <c r="BM2522">
        <v>1</v>
      </c>
      <c r="BN2522">
        <v>1</v>
      </c>
      <c r="BO2522">
        <v>0</v>
      </c>
      <c r="BP2522">
        <v>0</v>
      </c>
      <c r="BS2522">
        <v>0</v>
      </c>
      <c r="BT2522">
        <v>0</v>
      </c>
      <c r="BU2522">
        <v>0</v>
      </c>
      <c r="CE2522" t="str">
        <f t="shared" ref="CE2522:CE2527" si="1001">"15:11:32.590"</f>
        <v>15:11:32.590</v>
      </c>
      <c r="CF2522">
        <v>589792561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3</v>
      </c>
      <c r="CY2522">
        <v>7</v>
      </c>
      <c r="CZ2522" t="s">
        <v>133</v>
      </c>
      <c r="DA2522">
        <v>276</v>
      </c>
      <c r="DB2522">
        <v>0</v>
      </c>
      <c r="DC2522" t="s">
        <v>402</v>
      </c>
      <c r="DD2522" t="s">
        <v>403</v>
      </c>
      <c r="DG2522">
        <v>1627289</v>
      </c>
      <c r="DI2522">
        <v>1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"05/01/2025 15:11:32.789"</f>
        <v>05/01/2025 15:11:32.789</v>
      </c>
      <c r="C2523" t="str">
        <f t="shared" si="988"/>
        <v>FFDFD3C0</v>
      </c>
      <c r="D2523" t="s">
        <v>145</v>
      </c>
      <c r="E2523" t="str">
        <f>"09"</f>
        <v>09</v>
      </c>
      <c r="H2523">
        <v>51</v>
      </c>
      <c r="I2523" t="s">
        <v>147</v>
      </c>
      <c r="J2523" t="s">
        <v>138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R2523" t="s">
        <v>127</v>
      </c>
      <c r="S2523" t="str">
        <f t="shared" si="1000"/>
        <v>15:11:32.000</v>
      </c>
      <c r="T2523" t="str">
        <f t="shared" si="1000"/>
        <v>15:11:32.000</v>
      </c>
      <c r="U2523" t="str">
        <f t="shared" si="990"/>
        <v>A68FCB</v>
      </c>
      <c r="V2523">
        <v>0</v>
      </c>
      <c r="W2523">
        <v>0</v>
      </c>
      <c r="X2523">
        <v>2</v>
      </c>
      <c r="Y2523">
        <v>0</v>
      </c>
      <c r="AA2523">
        <v>1</v>
      </c>
      <c r="AB2523">
        <v>8</v>
      </c>
      <c r="AC2523">
        <v>3</v>
      </c>
      <c r="AD2523">
        <v>0</v>
      </c>
      <c r="AE2523">
        <v>9</v>
      </c>
      <c r="AF2523" t="s">
        <v>138</v>
      </c>
      <c r="AG2523">
        <v>0</v>
      </c>
      <c r="AH2523">
        <v>3</v>
      </c>
      <c r="AI2523">
        <v>2</v>
      </c>
      <c r="AJ2523">
        <v>0</v>
      </c>
      <c r="AK2523" t="s">
        <v>856</v>
      </c>
      <c r="AL2523">
        <v>39.085493</v>
      </c>
      <c r="AM2523" t="s">
        <v>857</v>
      </c>
      <c r="AN2523">
        <v>-121.0376</v>
      </c>
      <c r="AO2523">
        <v>25</v>
      </c>
      <c r="AP2523">
        <v>4600</v>
      </c>
      <c r="AQ2523" t="s">
        <v>131</v>
      </c>
      <c r="AR2523">
        <v>15</v>
      </c>
      <c r="AS2523">
        <v>85</v>
      </c>
      <c r="AT2523">
        <v>-256</v>
      </c>
      <c r="BB2523" t="str">
        <f t="shared" si="991"/>
        <v>1200</v>
      </c>
      <c r="BC2523">
        <v>1</v>
      </c>
      <c r="BD2523" t="str">
        <f t="shared" si="992"/>
        <v xml:space="preserve">N52156  </v>
      </c>
      <c r="BE2523">
        <v>1</v>
      </c>
      <c r="BG2523">
        <v>0</v>
      </c>
      <c r="BH2523">
        <v>0</v>
      </c>
      <c r="BI2523">
        <v>0</v>
      </c>
      <c r="BJ2523">
        <v>4650</v>
      </c>
      <c r="BK2523">
        <v>50</v>
      </c>
      <c r="BL2523" t="s">
        <v>188</v>
      </c>
      <c r="BM2523">
        <v>1</v>
      </c>
      <c r="BN2523">
        <v>1</v>
      </c>
      <c r="BO2523">
        <v>0</v>
      </c>
      <c r="BP2523">
        <v>0</v>
      </c>
      <c r="BS2523">
        <v>0</v>
      </c>
      <c r="BT2523">
        <v>0</v>
      </c>
      <c r="BU2523">
        <v>0</v>
      </c>
      <c r="CE2523" t="str">
        <f t="shared" si="1001"/>
        <v>15:11:32.590</v>
      </c>
      <c r="CF2523">
        <v>589792561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3</v>
      </c>
      <c r="CY2523">
        <v>7</v>
      </c>
      <c r="CZ2523" t="s">
        <v>133</v>
      </c>
      <c r="DA2523">
        <v>276</v>
      </c>
      <c r="DB2523">
        <v>0</v>
      </c>
      <c r="DC2523" t="s">
        <v>402</v>
      </c>
      <c r="DD2523" t="s">
        <v>403</v>
      </c>
      <c r="DG2523">
        <v>1627289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"05/01/2025 15:11:32.797"</f>
        <v>05/01/2025 15:11:32.797</v>
      </c>
      <c r="C2524" t="str">
        <f t="shared" si="988"/>
        <v>FFDFD3C0</v>
      </c>
      <c r="D2524" t="s">
        <v>136</v>
      </c>
      <c r="E2524" t="str">
        <f>"20"</f>
        <v>20</v>
      </c>
      <c r="H2524">
        <v>400</v>
      </c>
      <c r="I2524" t="s">
        <v>137</v>
      </c>
      <c r="J2524" t="s">
        <v>138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R2524" t="s">
        <v>127</v>
      </c>
      <c r="S2524" t="str">
        <f t="shared" si="1000"/>
        <v>15:11:32.000</v>
      </c>
      <c r="T2524" t="str">
        <f t="shared" si="1000"/>
        <v>15:11:32.000</v>
      </c>
      <c r="U2524" t="str">
        <f t="shared" si="990"/>
        <v>A68FCB</v>
      </c>
      <c r="V2524">
        <v>0</v>
      </c>
      <c r="W2524">
        <v>0</v>
      </c>
      <c r="X2524">
        <v>2</v>
      </c>
      <c r="Y2524">
        <v>0</v>
      </c>
      <c r="AA2524">
        <v>1</v>
      </c>
      <c r="AB2524">
        <v>8</v>
      </c>
      <c r="AC2524">
        <v>3</v>
      </c>
      <c r="AD2524">
        <v>0</v>
      </c>
      <c r="AE2524">
        <v>9</v>
      </c>
      <c r="AF2524" t="s">
        <v>138</v>
      </c>
      <c r="AG2524">
        <v>0</v>
      </c>
      <c r="AH2524">
        <v>3</v>
      </c>
      <c r="AI2524">
        <v>2</v>
      </c>
      <c r="AJ2524">
        <v>0</v>
      </c>
      <c r="AK2524" t="s">
        <v>856</v>
      </c>
      <c r="AL2524">
        <v>39.085493</v>
      </c>
      <c r="AM2524" t="s">
        <v>857</v>
      </c>
      <c r="AN2524">
        <v>-121.0376</v>
      </c>
      <c r="AO2524">
        <v>25</v>
      </c>
      <c r="AP2524">
        <v>4600</v>
      </c>
      <c r="AQ2524" t="s">
        <v>131</v>
      </c>
      <c r="AR2524">
        <v>15</v>
      </c>
      <c r="AS2524">
        <v>85</v>
      </c>
      <c r="AT2524">
        <v>-256</v>
      </c>
      <c r="BB2524" t="str">
        <f t="shared" si="991"/>
        <v>1200</v>
      </c>
      <c r="BC2524">
        <v>1</v>
      </c>
      <c r="BD2524" t="str">
        <f t="shared" si="992"/>
        <v xml:space="preserve">N52156  </v>
      </c>
      <c r="BE2524">
        <v>1</v>
      </c>
      <c r="BG2524">
        <v>0</v>
      </c>
      <c r="BH2524">
        <v>0</v>
      </c>
      <c r="BI2524">
        <v>0</v>
      </c>
      <c r="BJ2524">
        <v>4650</v>
      </c>
      <c r="BK2524">
        <v>50</v>
      </c>
      <c r="BL2524" t="s">
        <v>188</v>
      </c>
      <c r="BM2524">
        <v>1</v>
      </c>
      <c r="BN2524">
        <v>1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 t="shared" si="1001"/>
        <v>15:11:32.590</v>
      </c>
      <c r="CF2524">
        <v>589792561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3</v>
      </c>
      <c r="CY2524">
        <v>7</v>
      </c>
      <c r="CZ2524" t="s">
        <v>133</v>
      </c>
      <c r="DA2524">
        <v>276</v>
      </c>
      <c r="DB2524">
        <v>0</v>
      </c>
      <c r="DC2524" t="s">
        <v>402</v>
      </c>
      <c r="DD2524" t="s">
        <v>403</v>
      </c>
      <c r="DG2524">
        <v>1627289</v>
      </c>
      <c r="DI2524">
        <v>1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"05/01/2025 15:11:32.804"</f>
        <v>05/01/2025 15:11:32.804</v>
      </c>
      <c r="C2525" t="str">
        <f t="shared" si="988"/>
        <v>FFDFD3C0</v>
      </c>
      <c r="D2525" t="s">
        <v>143</v>
      </c>
      <c r="E2525" t="str">
        <f>"05"</f>
        <v>05</v>
      </c>
      <c r="H2525">
        <v>172</v>
      </c>
      <c r="I2525" t="s">
        <v>141</v>
      </c>
      <c r="J2525" t="s">
        <v>144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R2525" t="s">
        <v>127</v>
      </c>
      <c r="S2525" t="str">
        <f t="shared" si="1000"/>
        <v>15:11:32.000</v>
      </c>
      <c r="T2525" t="str">
        <f t="shared" si="1000"/>
        <v>15:11:32.000</v>
      </c>
      <c r="U2525" t="str">
        <f t="shared" si="990"/>
        <v>A68FCB</v>
      </c>
      <c r="V2525">
        <v>0</v>
      </c>
      <c r="W2525">
        <v>0</v>
      </c>
      <c r="X2525">
        <v>2</v>
      </c>
      <c r="Y2525">
        <v>0</v>
      </c>
      <c r="AA2525">
        <v>1</v>
      </c>
      <c r="AB2525">
        <v>8</v>
      </c>
      <c r="AC2525">
        <v>3</v>
      </c>
      <c r="AD2525">
        <v>0</v>
      </c>
      <c r="AE2525">
        <v>9</v>
      </c>
      <c r="AF2525" t="s">
        <v>138</v>
      </c>
      <c r="AG2525">
        <v>0</v>
      </c>
      <c r="AH2525">
        <v>3</v>
      </c>
      <c r="AI2525">
        <v>2</v>
      </c>
      <c r="AJ2525">
        <v>0</v>
      </c>
      <c r="AK2525" t="s">
        <v>856</v>
      </c>
      <c r="AL2525">
        <v>39.085493</v>
      </c>
      <c r="AM2525" t="s">
        <v>857</v>
      </c>
      <c r="AN2525">
        <v>-121.0376</v>
      </c>
      <c r="AO2525">
        <v>25</v>
      </c>
      <c r="AP2525">
        <v>4600</v>
      </c>
      <c r="AQ2525" t="s">
        <v>131</v>
      </c>
      <c r="AR2525">
        <v>15</v>
      </c>
      <c r="AS2525">
        <v>85</v>
      </c>
      <c r="AT2525">
        <v>-256</v>
      </c>
      <c r="BB2525" t="str">
        <f t="shared" si="991"/>
        <v>1200</v>
      </c>
      <c r="BC2525">
        <v>1</v>
      </c>
      <c r="BD2525" t="str">
        <f t="shared" si="992"/>
        <v xml:space="preserve">N52156  </v>
      </c>
      <c r="BE2525">
        <v>1</v>
      </c>
      <c r="BG2525">
        <v>0</v>
      </c>
      <c r="BH2525">
        <v>0</v>
      </c>
      <c r="BI2525">
        <v>0</v>
      </c>
      <c r="BJ2525">
        <v>4650</v>
      </c>
      <c r="BK2525">
        <v>50</v>
      </c>
      <c r="BL2525" t="s">
        <v>188</v>
      </c>
      <c r="BM2525">
        <v>1</v>
      </c>
      <c r="BN2525">
        <v>1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 t="shared" si="1001"/>
        <v>15:11:32.590</v>
      </c>
      <c r="CF2525">
        <v>589792561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3</v>
      </c>
      <c r="CY2525">
        <v>7</v>
      </c>
      <c r="CZ2525" t="s">
        <v>133</v>
      </c>
      <c r="DA2525">
        <v>276</v>
      </c>
      <c r="DB2525">
        <v>0</v>
      </c>
      <c r="DC2525" t="s">
        <v>402</v>
      </c>
      <c r="DD2525" t="s">
        <v>403</v>
      </c>
      <c r="DG2525">
        <v>1627289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"05/01/2025 15:11:32.820"</f>
        <v>05/01/2025 15:11:32.820</v>
      </c>
      <c r="C2526" t="str">
        <f t="shared" si="988"/>
        <v>FFDFD3C0</v>
      </c>
      <c r="D2526" t="s">
        <v>140</v>
      </c>
      <c r="E2526" t="str">
        <f>"13"</f>
        <v>13</v>
      </c>
      <c r="F2526">
        <v>1019</v>
      </c>
      <c r="G2526" t="s">
        <v>141</v>
      </c>
      <c r="J2526" t="s">
        <v>142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R2526" t="s">
        <v>127</v>
      </c>
      <c r="S2526" t="str">
        <f t="shared" si="1000"/>
        <v>15:11:32.000</v>
      </c>
      <c r="T2526" t="str">
        <f t="shared" si="1000"/>
        <v>15:11:32.000</v>
      </c>
      <c r="U2526" t="str">
        <f t="shared" si="990"/>
        <v>A68FCB</v>
      </c>
      <c r="V2526">
        <v>0</v>
      </c>
      <c r="W2526">
        <v>0</v>
      </c>
      <c r="X2526">
        <v>2</v>
      </c>
      <c r="Y2526">
        <v>0</v>
      </c>
      <c r="AA2526">
        <v>1</v>
      </c>
      <c r="AB2526">
        <v>8</v>
      </c>
      <c r="AC2526">
        <v>3</v>
      </c>
      <c r="AD2526">
        <v>0</v>
      </c>
      <c r="AE2526">
        <v>9</v>
      </c>
      <c r="AF2526" t="s">
        <v>138</v>
      </c>
      <c r="AG2526">
        <v>0</v>
      </c>
      <c r="AH2526">
        <v>3</v>
      </c>
      <c r="AI2526">
        <v>2</v>
      </c>
      <c r="AJ2526">
        <v>0</v>
      </c>
      <c r="AK2526" t="s">
        <v>856</v>
      </c>
      <c r="AL2526">
        <v>39.085493</v>
      </c>
      <c r="AM2526" t="s">
        <v>857</v>
      </c>
      <c r="AN2526">
        <v>-121.0376</v>
      </c>
      <c r="AO2526">
        <v>25</v>
      </c>
      <c r="AP2526">
        <v>4600</v>
      </c>
      <c r="AQ2526" t="s">
        <v>131</v>
      </c>
      <c r="AR2526">
        <v>15</v>
      </c>
      <c r="AS2526">
        <v>85</v>
      </c>
      <c r="AT2526">
        <v>-256</v>
      </c>
      <c r="BB2526" t="str">
        <f t="shared" si="991"/>
        <v>1200</v>
      </c>
      <c r="BC2526">
        <v>1</v>
      </c>
      <c r="BD2526" t="str">
        <f t="shared" si="992"/>
        <v xml:space="preserve">N52156  </v>
      </c>
      <c r="BE2526">
        <v>1</v>
      </c>
      <c r="BG2526">
        <v>0</v>
      </c>
      <c r="BH2526">
        <v>0</v>
      </c>
      <c r="BI2526">
        <v>0</v>
      </c>
      <c r="BJ2526">
        <v>4650</v>
      </c>
      <c r="BK2526">
        <v>50</v>
      </c>
      <c r="BL2526" t="s">
        <v>188</v>
      </c>
      <c r="BM2526">
        <v>1</v>
      </c>
      <c r="BN2526">
        <v>1</v>
      </c>
      <c r="BO2526">
        <v>0</v>
      </c>
      <c r="BP2526">
        <v>0</v>
      </c>
      <c r="BS2526">
        <v>0</v>
      </c>
      <c r="BT2526">
        <v>0</v>
      </c>
      <c r="BU2526">
        <v>0</v>
      </c>
      <c r="CE2526" t="str">
        <f t="shared" si="1001"/>
        <v>15:11:32.590</v>
      </c>
      <c r="CF2526">
        <v>589792561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3</v>
      </c>
      <c r="CY2526">
        <v>7</v>
      </c>
      <c r="CZ2526" t="s">
        <v>133</v>
      </c>
      <c r="DA2526">
        <v>276</v>
      </c>
      <c r="DB2526">
        <v>0</v>
      </c>
      <c r="DC2526" t="s">
        <v>402</v>
      </c>
      <c r="DD2526" t="s">
        <v>403</v>
      </c>
      <c r="DG2526">
        <v>1627289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"05/01/2025 15:11:32.828"</f>
        <v>05/01/2025 15:11:32.828</v>
      </c>
      <c r="C2527" t="str">
        <f t="shared" si="988"/>
        <v>FFDFD3C0</v>
      </c>
      <c r="D2527" t="s">
        <v>124</v>
      </c>
      <c r="E2527" t="str">
        <f>"06"</f>
        <v>06</v>
      </c>
      <c r="F2527">
        <v>2006</v>
      </c>
      <c r="G2527" t="s">
        <v>125</v>
      </c>
      <c r="J2527" t="s">
        <v>126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R2527" t="s">
        <v>127</v>
      </c>
      <c r="S2527" t="str">
        <f t="shared" si="1000"/>
        <v>15:11:32.000</v>
      </c>
      <c r="T2527" t="str">
        <f t="shared" si="1000"/>
        <v>15:11:32.000</v>
      </c>
      <c r="U2527" t="str">
        <f t="shared" si="990"/>
        <v>A68FCB</v>
      </c>
      <c r="V2527">
        <v>0</v>
      </c>
      <c r="W2527">
        <v>0</v>
      </c>
      <c r="X2527">
        <v>2</v>
      </c>
      <c r="Y2527">
        <v>0</v>
      </c>
      <c r="AA2527">
        <v>1</v>
      </c>
      <c r="AB2527">
        <v>8</v>
      </c>
      <c r="AC2527">
        <v>3</v>
      </c>
      <c r="AD2527">
        <v>0</v>
      </c>
      <c r="AE2527">
        <v>9</v>
      </c>
      <c r="AF2527" t="s">
        <v>138</v>
      </c>
      <c r="AG2527">
        <v>0</v>
      </c>
      <c r="AH2527">
        <v>3</v>
      </c>
      <c r="AI2527">
        <v>2</v>
      </c>
      <c r="AJ2527">
        <v>0</v>
      </c>
      <c r="AK2527" t="s">
        <v>856</v>
      </c>
      <c r="AL2527">
        <v>39.085493</v>
      </c>
      <c r="AM2527" t="s">
        <v>857</v>
      </c>
      <c r="AN2527">
        <v>-121.0376</v>
      </c>
      <c r="AO2527">
        <v>25</v>
      </c>
      <c r="AP2527">
        <v>4600</v>
      </c>
      <c r="AQ2527" t="s">
        <v>131</v>
      </c>
      <c r="AR2527">
        <v>15</v>
      </c>
      <c r="AS2527">
        <v>85</v>
      </c>
      <c r="AT2527">
        <v>-256</v>
      </c>
      <c r="BB2527" t="str">
        <f t="shared" si="991"/>
        <v>1200</v>
      </c>
      <c r="BC2527">
        <v>1</v>
      </c>
      <c r="BD2527" t="str">
        <f t="shared" si="992"/>
        <v xml:space="preserve">N52156  </v>
      </c>
      <c r="BE2527">
        <v>1</v>
      </c>
      <c r="BG2527">
        <v>0</v>
      </c>
      <c r="BH2527">
        <v>0</v>
      </c>
      <c r="BI2527">
        <v>0</v>
      </c>
      <c r="BJ2527">
        <v>4650</v>
      </c>
      <c r="BK2527">
        <v>50</v>
      </c>
      <c r="BL2527" t="s">
        <v>188</v>
      </c>
      <c r="BM2527">
        <v>1</v>
      </c>
      <c r="BN2527">
        <v>1</v>
      </c>
      <c r="BO2527">
        <v>0</v>
      </c>
      <c r="BP2527">
        <v>0</v>
      </c>
      <c r="BS2527">
        <v>0</v>
      </c>
      <c r="BT2527">
        <v>0</v>
      </c>
      <c r="BU2527">
        <v>0</v>
      </c>
      <c r="CE2527" t="str">
        <f t="shared" si="1001"/>
        <v>15:11:32.590</v>
      </c>
      <c r="CF2527">
        <v>589792561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3</v>
      </c>
      <c r="CY2527">
        <v>7</v>
      </c>
      <c r="CZ2527" t="s">
        <v>133</v>
      </c>
      <c r="DA2527">
        <v>276</v>
      </c>
      <c r="DB2527">
        <v>0</v>
      </c>
      <c r="DC2527" t="s">
        <v>402</v>
      </c>
      <c r="DD2527" t="s">
        <v>403</v>
      </c>
      <c r="DG2527">
        <v>1627289</v>
      </c>
      <c r="DI2527">
        <v>1</v>
      </c>
      <c r="DJ2527">
        <v>0</v>
      </c>
      <c r="DK2527">
        <v>1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"05/01/2025 15:11:33.471"</f>
        <v>05/01/2025 15:11:33.471</v>
      </c>
      <c r="C2528" t="str">
        <f t="shared" si="988"/>
        <v>FFDFD3C0</v>
      </c>
      <c r="D2528" t="s">
        <v>140</v>
      </c>
      <c r="E2528" t="str">
        <f>"13"</f>
        <v>13</v>
      </c>
      <c r="F2528">
        <v>1019</v>
      </c>
      <c r="G2528" t="s">
        <v>141</v>
      </c>
      <c r="J2528" t="s">
        <v>142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R2528" t="s">
        <v>127</v>
      </c>
      <c r="S2528" t="str">
        <f t="shared" ref="S2528:T2533" si="1002">"15:11:33.000"</f>
        <v>15:11:33.000</v>
      </c>
      <c r="T2528" t="str">
        <f t="shared" si="1002"/>
        <v>15:11:33.000</v>
      </c>
      <c r="U2528" t="str">
        <f t="shared" si="990"/>
        <v>A68FCB</v>
      </c>
      <c r="V2528">
        <v>0</v>
      </c>
      <c r="W2528">
        <v>0</v>
      </c>
      <c r="X2528">
        <v>2</v>
      </c>
      <c r="Y2528">
        <v>0</v>
      </c>
      <c r="AA2528">
        <v>1</v>
      </c>
      <c r="AB2528">
        <v>8</v>
      </c>
      <c r="AC2528">
        <v>3</v>
      </c>
      <c r="AD2528">
        <v>0</v>
      </c>
      <c r="AE2528">
        <v>9</v>
      </c>
      <c r="AF2528" t="s">
        <v>138</v>
      </c>
      <c r="AG2528">
        <v>0</v>
      </c>
      <c r="AH2528">
        <v>3</v>
      </c>
      <c r="AI2528">
        <v>2</v>
      </c>
      <c r="AJ2528">
        <v>0</v>
      </c>
      <c r="AK2528" t="s">
        <v>858</v>
      </c>
      <c r="AL2528">
        <v>39.085901</v>
      </c>
      <c r="AM2528" t="s">
        <v>859</v>
      </c>
      <c r="AN2528">
        <v>-121.037514</v>
      </c>
      <c r="AO2528">
        <v>25</v>
      </c>
      <c r="AP2528">
        <v>4600</v>
      </c>
      <c r="AQ2528" t="s">
        <v>131</v>
      </c>
      <c r="AR2528">
        <v>15</v>
      </c>
      <c r="AS2528">
        <v>85</v>
      </c>
      <c r="AT2528">
        <v>-256</v>
      </c>
      <c r="BB2528" t="str">
        <f t="shared" si="991"/>
        <v>1200</v>
      </c>
      <c r="BC2528">
        <v>1</v>
      </c>
      <c r="BD2528" t="str">
        <f t="shared" si="992"/>
        <v xml:space="preserve">N52156  </v>
      </c>
      <c r="BE2528">
        <v>1</v>
      </c>
      <c r="BG2528">
        <v>0</v>
      </c>
      <c r="BH2528">
        <v>0</v>
      </c>
      <c r="BI2528">
        <v>0</v>
      </c>
      <c r="BJ2528">
        <v>4650</v>
      </c>
      <c r="BK2528">
        <v>50</v>
      </c>
      <c r="BL2528" t="s">
        <v>188</v>
      </c>
      <c r="BM2528">
        <v>1</v>
      </c>
      <c r="BN2528">
        <v>1</v>
      </c>
      <c r="BO2528">
        <v>0</v>
      </c>
      <c r="BP2528">
        <v>0</v>
      </c>
      <c r="BS2528">
        <v>0</v>
      </c>
      <c r="BT2528">
        <v>0</v>
      </c>
      <c r="BU2528">
        <v>0</v>
      </c>
      <c r="CE2528" t="str">
        <f t="shared" ref="CE2528:CE2533" si="1003">"15:11:33.273"</f>
        <v>15:11:33.273</v>
      </c>
      <c r="CF2528">
        <v>272541832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3</v>
      </c>
      <c r="CY2528">
        <v>7</v>
      </c>
      <c r="CZ2528" t="s">
        <v>133</v>
      </c>
      <c r="DA2528">
        <v>276</v>
      </c>
      <c r="DB2528">
        <v>0</v>
      </c>
      <c r="DC2528" t="s">
        <v>402</v>
      </c>
      <c r="DD2528" t="s">
        <v>403</v>
      </c>
      <c r="DG2528">
        <v>1627290</v>
      </c>
      <c r="DI2528">
        <v>1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"05/01/2025 15:11:33.479"</f>
        <v>05/01/2025 15:11:33.479</v>
      </c>
      <c r="C2529" t="str">
        <f t="shared" si="988"/>
        <v>FFDFD3C0</v>
      </c>
      <c r="D2529" t="s">
        <v>124</v>
      </c>
      <c r="E2529" t="str">
        <f>"06"</f>
        <v>06</v>
      </c>
      <c r="F2529">
        <v>2006</v>
      </c>
      <c r="G2529" t="s">
        <v>125</v>
      </c>
      <c r="J2529" t="s">
        <v>126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R2529" t="s">
        <v>127</v>
      </c>
      <c r="S2529" t="str">
        <f t="shared" si="1002"/>
        <v>15:11:33.000</v>
      </c>
      <c r="T2529" t="str">
        <f t="shared" si="1002"/>
        <v>15:11:33.000</v>
      </c>
      <c r="U2529" t="str">
        <f t="shared" si="990"/>
        <v>A68FCB</v>
      </c>
      <c r="V2529">
        <v>0</v>
      </c>
      <c r="W2529">
        <v>0</v>
      </c>
      <c r="X2529">
        <v>2</v>
      </c>
      <c r="Y2529">
        <v>0</v>
      </c>
      <c r="AA2529">
        <v>1</v>
      </c>
      <c r="AB2529">
        <v>8</v>
      </c>
      <c r="AC2529">
        <v>3</v>
      </c>
      <c r="AD2529">
        <v>0</v>
      </c>
      <c r="AE2529">
        <v>9</v>
      </c>
      <c r="AF2529" t="s">
        <v>138</v>
      </c>
      <c r="AG2529">
        <v>0</v>
      </c>
      <c r="AH2529">
        <v>3</v>
      </c>
      <c r="AI2529">
        <v>2</v>
      </c>
      <c r="AJ2529">
        <v>0</v>
      </c>
      <c r="AK2529" t="s">
        <v>858</v>
      </c>
      <c r="AL2529">
        <v>39.085901</v>
      </c>
      <c r="AM2529" t="s">
        <v>859</v>
      </c>
      <c r="AN2529">
        <v>-121.037514</v>
      </c>
      <c r="AO2529">
        <v>25</v>
      </c>
      <c r="AP2529">
        <v>4600</v>
      </c>
      <c r="AQ2529" t="s">
        <v>131</v>
      </c>
      <c r="AR2529">
        <v>15</v>
      </c>
      <c r="AS2529">
        <v>85</v>
      </c>
      <c r="AT2529">
        <v>-256</v>
      </c>
      <c r="BB2529" t="str">
        <f t="shared" si="991"/>
        <v>1200</v>
      </c>
      <c r="BC2529">
        <v>1</v>
      </c>
      <c r="BD2529" t="str">
        <f t="shared" si="992"/>
        <v xml:space="preserve">N52156  </v>
      </c>
      <c r="BE2529">
        <v>1</v>
      </c>
      <c r="BG2529">
        <v>0</v>
      </c>
      <c r="BH2529">
        <v>0</v>
      </c>
      <c r="BI2529">
        <v>0</v>
      </c>
      <c r="BJ2529">
        <v>4650</v>
      </c>
      <c r="BK2529">
        <v>50</v>
      </c>
      <c r="BL2529" t="s">
        <v>188</v>
      </c>
      <c r="BM2529">
        <v>1</v>
      </c>
      <c r="BN2529">
        <v>1</v>
      </c>
      <c r="BO2529">
        <v>0</v>
      </c>
      <c r="BP2529">
        <v>0</v>
      </c>
      <c r="BS2529">
        <v>0</v>
      </c>
      <c r="BT2529">
        <v>0</v>
      </c>
      <c r="BU2529">
        <v>0</v>
      </c>
      <c r="CE2529" t="str">
        <f t="shared" si="1003"/>
        <v>15:11:33.273</v>
      </c>
      <c r="CF2529">
        <v>272541832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3</v>
      </c>
      <c r="CY2529">
        <v>7</v>
      </c>
      <c r="CZ2529" t="s">
        <v>133</v>
      </c>
      <c r="DA2529">
        <v>276</v>
      </c>
      <c r="DB2529">
        <v>0</v>
      </c>
      <c r="DC2529" t="s">
        <v>402</v>
      </c>
      <c r="DD2529" t="s">
        <v>403</v>
      </c>
      <c r="DG2529">
        <v>1627290</v>
      </c>
      <c r="DI2529">
        <v>1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"05/01/2025 15:11:33.490"</f>
        <v>05/01/2025 15:11:33.490</v>
      </c>
      <c r="C2530" t="str">
        <f t="shared" si="988"/>
        <v>FFDFD3C0</v>
      </c>
      <c r="D2530" t="s">
        <v>145</v>
      </c>
      <c r="E2530" t="str">
        <f>"05"</f>
        <v>05</v>
      </c>
      <c r="H2530">
        <v>47</v>
      </c>
      <c r="I2530" t="s">
        <v>146</v>
      </c>
      <c r="J2530" t="s">
        <v>138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R2530" t="s">
        <v>127</v>
      </c>
      <c r="S2530" t="str">
        <f t="shared" si="1002"/>
        <v>15:11:33.000</v>
      </c>
      <c r="T2530" t="str">
        <f t="shared" si="1002"/>
        <v>15:11:33.000</v>
      </c>
      <c r="U2530" t="str">
        <f t="shared" si="990"/>
        <v>A68FCB</v>
      </c>
      <c r="V2530">
        <v>0</v>
      </c>
      <c r="W2530">
        <v>0</v>
      </c>
      <c r="X2530">
        <v>2</v>
      </c>
      <c r="Y2530">
        <v>0</v>
      </c>
      <c r="AA2530">
        <v>1</v>
      </c>
      <c r="AB2530">
        <v>8</v>
      </c>
      <c r="AC2530">
        <v>3</v>
      </c>
      <c r="AD2530">
        <v>0</v>
      </c>
      <c r="AE2530">
        <v>9</v>
      </c>
      <c r="AF2530" t="s">
        <v>138</v>
      </c>
      <c r="AG2530">
        <v>0</v>
      </c>
      <c r="AH2530">
        <v>3</v>
      </c>
      <c r="AI2530">
        <v>2</v>
      </c>
      <c r="AJ2530">
        <v>0</v>
      </c>
      <c r="AK2530" t="s">
        <v>858</v>
      </c>
      <c r="AL2530">
        <v>39.085901</v>
      </c>
      <c r="AM2530" t="s">
        <v>859</v>
      </c>
      <c r="AN2530">
        <v>-121.037514</v>
      </c>
      <c r="AO2530">
        <v>25</v>
      </c>
      <c r="AP2530">
        <v>4600</v>
      </c>
      <c r="AQ2530" t="s">
        <v>131</v>
      </c>
      <c r="AR2530">
        <v>15</v>
      </c>
      <c r="AS2530">
        <v>85</v>
      </c>
      <c r="AT2530">
        <v>-256</v>
      </c>
      <c r="BB2530" t="str">
        <f t="shared" si="991"/>
        <v>1200</v>
      </c>
      <c r="BC2530">
        <v>1</v>
      </c>
      <c r="BD2530" t="str">
        <f t="shared" si="992"/>
        <v xml:space="preserve">N52156  </v>
      </c>
      <c r="BE2530">
        <v>1</v>
      </c>
      <c r="BG2530">
        <v>0</v>
      </c>
      <c r="BH2530">
        <v>0</v>
      </c>
      <c r="BI2530">
        <v>0</v>
      </c>
      <c r="BJ2530">
        <v>4650</v>
      </c>
      <c r="BK2530">
        <v>50</v>
      </c>
      <c r="BL2530" t="s">
        <v>188</v>
      </c>
      <c r="BM2530">
        <v>1</v>
      </c>
      <c r="BN2530">
        <v>1</v>
      </c>
      <c r="BO2530">
        <v>0</v>
      </c>
      <c r="BP2530">
        <v>0</v>
      </c>
      <c r="BS2530">
        <v>0</v>
      </c>
      <c r="BT2530">
        <v>0</v>
      </c>
      <c r="BU2530">
        <v>0</v>
      </c>
      <c r="CE2530" t="str">
        <f t="shared" si="1003"/>
        <v>15:11:33.273</v>
      </c>
      <c r="CF2530">
        <v>272541832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3</v>
      </c>
      <c r="CY2530">
        <v>7</v>
      </c>
      <c r="CZ2530" t="s">
        <v>133</v>
      </c>
      <c r="DA2530">
        <v>276</v>
      </c>
      <c r="DB2530">
        <v>0</v>
      </c>
      <c r="DC2530" t="s">
        <v>402</v>
      </c>
      <c r="DD2530" t="s">
        <v>403</v>
      </c>
      <c r="DG2530">
        <v>1627290</v>
      </c>
      <c r="DI2530">
        <v>1</v>
      </c>
      <c r="DJ2530">
        <v>0</v>
      </c>
      <c r="DK2530">
        <v>1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"05/01/2025 15:11:33.490"</f>
        <v>05/01/2025 15:11:33.490</v>
      </c>
      <c r="C2531" t="str">
        <f t="shared" si="988"/>
        <v>FFDFD3C0</v>
      </c>
      <c r="D2531" t="s">
        <v>145</v>
      </c>
      <c r="E2531" t="str">
        <f>"09"</f>
        <v>09</v>
      </c>
      <c r="H2531">
        <v>51</v>
      </c>
      <c r="I2531" t="s">
        <v>147</v>
      </c>
      <c r="J2531" t="s">
        <v>138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R2531" t="s">
        <v>127</v>
      </c>
      <c r="S2531" t="str">
        <f t="shared" si="1002"/>
        <v>15:11:33.000</v>
      </c>
      <c r="T2531" t="str">
        <f t="shared" si="1002"/>
        <v>15:11:33.000</v>
      </c>
      <c r="U2531" t="str">
        <f t="shared" si="990"/>
        <v>A68FCB</v>
      </c>
      <c r="V2531">
        <v>0</v>
      </c>
      <c r="W2531">
        <v>0</v>
      </c>
      <c r="X2531">
        <v>2</v>
      </c>
      <c r="Y2531">
        <v>0</v>
      </c>
      <c r="AA2531">
        <v>1</v>
      </c>
      <c r="AB2531">
        <v>8</v>
      </c>
      <c r="AC2531">
        <v>3</v>
      </c>
      <c r="AD2531">
        <v>0</v>
      </c>
      <c r="AE2531">
        <v>9</v>
      </c>
      <c r="AF2531" t="s">
        <v>138</v>
      </c>
      <c r="AG2531">
        <v>0</v>
      </c>
      <c r="AH2531">
        <v>3</v>
      </c>
      <c r="AI2531">
        <v>2</v>
      </c>
      <c r="AJ2531">
        <v>0</v>
      </c>
      <c r="AK2531" t="s">
        <v>858</v>
      </c>
      <c r="AL2531">
        <v>39.085901</v>
      </c>
      <c r="AM2531" t="s">
        <v>859</v>
      </c>
      <c r="AN2531">
        <v>-121.037514</v>
      </c>
      <c r="AO2531">
        <v>25</v>
      </c>
      <c r="AP2531">
        <v>4600</v>
      </c>
      <c r="AQ2531" t="s">
        <v>131</v>
      </c>
      <c r="AR2531">
        <v>15</v>
      </c>
      <c r="AS2531">
        <v>85</v>
      </c>
      <c r="AT2531">
        <v>-256</v>
      </c>
      <c r="BB2531" t="str">
        <f t="shared" si="991"/>
        <v>1200</v>
      </c>
      <c r="BC2531">
        <v>1</v>
      </c>
      <c r="BD2531" t="str">
        <f t="shared" si="992"/>
        <v xml:space="preserve">N52156  </v>
      </c>
      <c r="BE2531">
        <v>1</v>
      </c>
      <c r="BG2531">
        <v>0</v>
      </c>
      <c r="BH2531">
        <v>0</v>
      </c>
      <c r="BI2531">
        <v>0</v>
      </c>
      <c r="BJ2531">
        <v>4650</v>
      </c>
      <c r="BK2531">
        <v>50</v>
      </c>
      <c r="BL2531" t="s">
        <v>188</v>
      </c>
      <c r="BM2531">
        <v>1</v>
      </c>
      <c r="BN2531">
        <v>1</v>
      </c>
      <c r="BO2531">
        <v>0</v>
      </c>
      <c r="BP2531">
        <v>0</v>
      </c>
      <c r="BS2531">
        <v>0</v>
      </c>
      <c r="BT2531">
        <v>0</v>
      </c>
      <c r="BU2531">
        <v>0</v>
      </c>
      <c r="CE2531" t="str">
        <f t="shared" si="1003"/>
        <v>15:11:33.273</v>
      </c>
      <c r="CF2531">
        <v>272541832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3</v>
      </c>
      <c r="CY2531">
        <v>7</v>
      </c>
      <c r="CZ2531" t="s">
        <v>133</v>
      </c>
      <c r="DA2531">
        <v>276</v>
      </c>
      <c r="DB2531">
        <v>0</v>
      </c>
      <c r="DC2531" t="s">
        <v>402</v>
      </c>
      <c r="DD2531" t="s">
        <v>403</v>
      </c>
      <c r="DG2531">
        <v>1627290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"05/01/2025 15:11:33.498"</f>
        <v>05/01/2025 15:11:33.498</v>
      </c>
      <c r="C2532" t="str">
        <f t="shared" si="988"/>
        <v>FFDFD3C0</v>
      </c>
      <c r="D2532" t="s">
        <v>136</v>
      </c>
      <c r="E2532" t="str">
        <f>"20"</f>
        <v>20</v>
      </c>
      <c r="H2532">
        <v>400</v>
      </c>
      <c r="I2532" t="s">
        <v>137</v>
      </c>
      <c r="J2532" t="s">
        <v>138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R2532" t="s">
        <v>127</v>
      </c>
      <c r="S2532" t="str">
        <f t="shared" si="1002"/>
        <v>15:11:33.000</v>
      </c>
      <c r="T2532" t="str">
        <f t="shared" si="1002"/>
        <v>15:11:33.000</v>
      </c>
      <c r="U2532" t="str">
        <f t="shared" si="990"/>
        <v>A68FCB</v>
      </c>
      <c r="V2532">
        <v>0</v>
      </c>
      <c r="W2532">
        <v>0</v>
      </c>
      <c r="X2532">
        <v>2</v>
      </c>
      <c r="Y2532">
        <v>0</v>
      </c>
      <c r="AA2532">
        <v>1</v>
      </c>
      <c r="AB2532">
        <v>8</v>
      </c>
      <c r="AC2532">
        <v>3</v>
      </c>
      <c r="AD2532">
        <v>0</v>
      </c>
      <c r="AE2532">
        <v>9</v>
      </c>
      <c r="AF2532" t="s">
        <v>138</v>
      </c>
      <c r="AG2532">
        <v>0</v>
      </c>
      <c r="AH2532">
        <v>3</v>
      </c>
      <c r="AI2532">
        <v>2</v>
      </c>
      <c r="AJ2532">
        <v>0</v>
      </c>
      <c r="AK2532" t="s">
        <v>858</v>
      </c>
      <c r="AL2532">
        <v>39.085901</v>
      </c>
      <c r="AM2532" t="s">
        <v>859</v>
      </c>
      <c r="AN2532">
        <v>-121.037514</v>
      </c>
      <c r="AO2532">
        <v>25</v>
      </c>
      <c r="AP2532">
        <v>4600</v>
      </c>
      <c r="AQ2532" t="s">
        <v>131</v>
      </c>
      <c r="AR2532">
        <v>15</v>
      </c>
      <c r="AS2532">
        <v>85</v>
      </c>
      <c r="AT2532">
        <v>-256</v>
      </c>
      <c r="BB2532" t="str">
        <f t="shared" si="991"/>
        <v>1200</v>
      </c>
      <c r="BC2532">
        <v>1</v>
      </c>
      <c r="BD2532" t="str">
        <f t="shared" si="992"/>
        <v xml:space="preserve">N52156  </v>
      </c>
      <c r="BE2532">
        <v>1</v>
      </c>
      <c r="BG2532">
        <v>0</v>
      </c>
      <c r="BH2532">
        <v>0</v>
      </c>
      <c r="BI2532">
        <v>0</v>
      </c>
      <c r="BJ2532">
        <v>4650</v>
      </c>
      <c r="BK2532">
        <v>50</v>
      </c>
      <c r="BL2532" t="s">
        <v>188</v>
      </c>
      <c r="BM2532">
        <v>1</v>
      </c>
      <c r="BN2532">
        <v>1</v>
      </c>
      <c r="BO2532">
        <v>0</v>
      </c>
      <c r="BP2532">
        <v>0</v>
      </c>
      <c r="BS2532">
        <v>0</v>
      </c>
      <c r="BT2532">
        <v>0</v>
      </c>
      <c r="BU2532">
        <v>0</v>
      </c>
      <c r="CE2532" t="str">
        <f t="shared" si="1003"/>
        <v>15:11:33.273</v>
      </c>
      <c r="CF2532">
        <v>272541832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3</v>
      </c>
      <c r="CY2532">
        <v>7</v>
      </c>
      <c r="CZ2532" t="s">
        <v>133</v>
      </c>
      <c r="DA2532">
        <v>276</v>
      </c>
      <c r="DB2532">
        <v>0</v>
      </c>
      <c r="DC2532" t="s">
        <v>402</v>
      </c>
      <c r="DD2532" t="s">
        <v>403</v>
      </c>
      <c r="DG2532">
        <v>1627290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"05/01/2025 15:11:33.505"</f>
        <v>05/01/2025 15:11:33.505</v>
      </c>
      <c r="C2533" t="str">
        <f t="shared" si="988"/>
        <v>FFDFD3C0</v>
      </c>
      <c r="D2533" t="s">
        <v>143</v>
      </c>
      <c r="E2533" t="str">
        <f>"05"</f>
        <v>05</v>
      </c>
      <c r="H2533">
        <v>172</v>
      </c>
      <c r="I2533" t="s">
        <v>141</v>
      </c>
      <c r="J2533" t="s">
        <v>144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R2533" t="s">
        <v>127</v>
      </c>
      <c r="S2533" t="str">
        <f t="shared" si="1002"/>
        <v>15:11:33.000</v>
      </c>
      <c r="T2533" t="str">
        <f t="shared" si="1002"/>
        <v>15:11:33.000</v>
      </c>
      <c r="U2533" t="str">
        <f t="shared" si="990"/>
        <v>A68FCB</v>
      </c>
      <c r="V2533">
        <v>0</v>
      </c>
      <c r="W2533">
        <v>0</v>
      </c>
      <c r="X2533">
        <v>2</v>
      </c>
      <c r="Y2533">
        <v>0</v>
      </c>
      <c r="AA2533">
        <v>1</v>
      </c>
      <c r="AB2533">
        <v>8</v>
      </c>
      <c r="AC2533">
        <v>3</v>
      </c>
      <c r="AD2533">
        <v>0</v>
      </c>
      <c r="AE2533">
        <v>9</v>
      </c>
      <c r="AF2533" t="s">
        <v>138</v>
      </c>
      <c r="AG2533">
        <v>0</v>
      </c>
      <c r="AH2533">
        <v>3</v>
      </c>
      <c r="AI2533">
        <v>2</v>
      </c>
      <c r="AJ2533">
        <v>0</v>
      </c>
      <c r="AK2533" t="s">
        <v>858</v>
      </c>
      <c r="AL2533">
        <v>39.085901</v>
      </c>
      <c r="AM2533" t="s">
        <v>859</v>
      </c>
      <c r="AN2533">
        <v>-121.037514</v>
      </c>
      <c r="AO2533">
        <v>25</v>
      </c>
      <c r="AP2533">
        <v>4600</v>
      </c>
      <c r="AQ2533" t="s">
        <v>131</v>
      </c>
      <c r="AR2533">
        <v>15</v>
      </c>
      <c r="AS2533">
        <v>85</v>
      </c>
      <c r="AT2533">
        <v>-256</v>
      </c>
      <c r="BB2533" t="str">
        <f t="shared" si="991"/>
        <v>1200</v>
      </c>
      <c r="BC2533">
        <v>1</v>
      </c>
      <c r="BD2533" t="str">
        <f t="shared" si="992"/>
        <v xml:space="preserve">N52156  </v>
      </c>
      <c r="BE2533">
        <v>1</v>
      </c>
      <c r="BG2533">
        <v>0</v>
      </c>
      <c r="BH2533">
        <v>0</v>
      </c>
      <c r="BI2533">
        <v>0</v>
      </c>
      <c r="BJ2533">
        <v>4650</v>
      </c>
      <c r="BK2533">
        <v>50</v>
      </c>
      <c r="BL2533" t="s">
        <v>188</v>
      </c>
      <c r="BM2533">
        <v>1</v>
      </c>
      <c r="BN2533">
        <v>1</v>
      </c>
      <c r="BO2533">
        <v>0</v>
      </c>
      <c r="BP2533">
        <v>0</v>
      </c>
      <c r="BS2533">
        <v>0</v>
      </c>
      <c r="BT2533">
        <v>0</v>
      </c>
      <c r="BU2533">
        <v>0</v>
      </c>
      <c r="CE2533" t="str">
        <f t="shared" si="1003"/>
        <v>15:11:33.273</v>
      </c>
      <c r="CF2533">
        <v>272541832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3</v>
      </c>
      <c r="CY2533">
        <v>7</v>
      </c>
      <c r="CZ2533" t="s">
        <v>133</v>
      </c>
      <c r="DA2533">
        <v>276</v>
      </c>
      <c r="DB2533">
        <v>0</v>
      </c>
      <c r="DC2533" t="s">
        <v>402</v>
      </c>
      <c r="DD2533" t="s">
        <v>403</v>
      </c>
      <c r="DG2533">
        <v>1627290</v>
      </c>
      <c r="DI2533">
        <v>1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"05/01/2025 15:11:34.631"</f>
        <v>05/01/2025 15:11:34.631</v>
      </c>
      <c r="C2534" t="str">
        <f t="shared" si="988"/>
        <v>FFDFD3C0</v>
      </c>
      <c r="D2534" t="s">
        <v>124</v>
      </c>
      <c r="E2534" t="str">
        <f>"06"</f>
        <v>06</v>
      </c>
      <c r="F2534">
        <v>2006</v>
      </c>
      <c r="G2534" t="s">
        <v>125</v>
      </c>
      <c r="J2534" t="s">
        <v>126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R2534" t="s">
        <v>127</v>
      </c>
      <c r="S2534" t="str">
        <f t="shared" ref="S2534:T2539" si="1004">"15:11:34.000"</f>
        <v>15:11:34.000</v>
      </c>
      <c r="T2534" t="str">
        <f t="shared" si="1004"/>
        <v>15:11:34.000</v>
      </c>
      <c r="U2534" t="str">
        <f t="shared" si="990"/>
        <v>A68FCB</v>
      </c>
      <c r="V2534">
        <v>0</v>
      </c>
      <c r="W2534">
        <v>0</v>
      </c>
      <c r="X2534">
        <v>2</v>
      </c>
      <c r="Y2534">
        <v>0</v>
      </c>
      <c r="AA2534">
        <v>1</v>
      </c>
      <c r="AB2534">
        <v>8</v>
      </c>
      <c r="AC2534">
        <v>3</v>
      </c>
      <c r="AD2534">
        <v>0</v>
      </c>
      <c r="AE2534">
        <v>9</v>
      </c>
      <c r="AF2534" t="s">
        <v>138</v>
      </c>
      <c r="AG2534">
        <v>0</v>
      </c>
      <c r="AH2534">
        <v>3</v>
      </c>
      <c r="AI2534">
        <v>2</v>
      </c>
      <c r="AJ2534">
        <v>0</v>
      </c>
      <c r="AK2534" t="s">
        <v>860</v>
      </c>
      <c r="AL2534">
        <v>39.086286999999999</v>
      </c>
      <c r="AM2534" t="s">
        <v>861</v>
      </c>
      <c r="AN2534">
        <v>-121.03742800000001</v>
      </c>
      <c r="AO2534">
        <v>25</v>
      </c>
      <c r="AP2534">
        <v>4600</v>
      </c>
      <c r="AQ2534" t="s">
        <v>131</v>
      </c>
      <c r="AR2534">
        <v>15</v>
      </c>
      <c r="AS2534">
        <v>85</v>
      </c>
      <c r="AT2534">
        <v>-256</v>
      </c>
      <c r="BB2534" t="str">
        <f t="shared" si="991"/>
        <v>1200</v>
      </c>
      <c r="BC2534">
        <v>1</v>
      </c>
      <c r="BD2534" t="str">
        <f t="shared" si="992"/>
        <v xml:space="preserve">N52156  </v>
      </c>
      <c r="BE2534">
        <v>1</v>
      </c>
      <c r="BG2534">
        <v>0</v>
      </c>
      <c r="BH2534">
        <v>0</v>
      </c>
      <c r="BI2534">
        <v>0</v>
      </c>
      <c r="BJ2534">
        <v>4650</v>
      </c>
      <c r="BK2534">
        <v>50</v>
      </c>
      <c r="BL2534" t="s">
        <v>188</v>
      </c>
      <c r="BM2534">
        <v>1</v>
      </c>
      <c r="BN2534">
        <v>1</v>
      </c>
      <c r="BO2534">
        <v>0</v>
      </c>
      <c r="BP2534">
        <v>0</v>
      </c>
      <c r="BS2534">
        <v>0</v>
      </c>
      <c r="BT2534">
        <v>0</v>
      </c>
      <c r="BU2534">
        <v>0</v>
      </c>
      <c r="CE2534" t="str">
        <f t="shared" ref="CE2534:CE2539" si="1005">"15:11:34.404"</f>
        <v>15:11:34.404</v>
      </c>
      <c r="CF2534">
        <v>404471654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3</v>
      </c>
      <c r="CY2534">
        <v>7</v>
      </c>
      <c r="CZ2534" t="s">
        <v>133</v>
      </c>
      <c r="DA2534">
        <v>275</v>
      </c>
      <c r="DB2534">
        <v>0</v>
      </c>
      <c r="DC2534" t="s">
        <v>134</v>
      </c>
      <c r="DD2534" t="s">
        <v>135</v>
      </c>
      <c r="DG2534">
        <v>3321815</v>
      </c>
      <c r="DI2534">
        <v>1</v>
      </c>
      <c r="DJ2534">
        <v>0</v>
      </c>
      <c r="DK2534">
        <v>0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"05/01/2025 15:11:34.643"</f>
        <v>05/01/2025 15:11:34.643</v>
      </c>
      <c r="C2535" t="str">
        <f t="shared" si="988"/>
        <v>FFDFD3C0</v>
      </c>
      <c r="D2535" t="s">
        <v>145</v>
      </c>
      <c r="E2535" t="str">
        <f>"09"</f>
        <v>09</v>
      </c>
      <c r="H2535">
        <v>51</v>
      </c>
      <c r="I2535" t="s">
        <v>147</v>
      </c>
      <c r="J2535" t="s">
        <v>138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R2535" t="s">
        <v>127</v>
      </c>
      <c r="S2535" t="str">
        <f t="shared" si="1004"/>
        <v>15:11:34.000</v>
      </c>
      <c r="T2535" t="str">
        <f t="shared" si="1004"/>
        <v>15:11:34.000</v>
      </c>
      <c r="U2535" t="str">
        <f t="shared" si="990"/>
        <v>A68FCB</v>
      </c>
      <c r="V2535">
        <v>0</v>
      </c>
      <c r="W2535">
        <v>0</v>
      </c>
      <c r="X2535">
        <v>2</v>
      </c>
      <c r="Y2535">
        <v>0</v>
      </c>
      <c r="AA2535">
        <v>1</v>
      </c>
      <c r="AB2535">
        <v>8</v>
      </c>
      <c r="AC2535">
        <v>3</v>
      </c>
      <c r="AD2535">
        <v>0</v>
      </c>
      <c r="AE2535">
        <v>9</v>
      </c>
      <c r="AF2535" t="s">
        <v>138</v>
      </c>
      <c r="AG2535">
        <v>0</v>
      </c>
      <c r="AH2535">
        <v>3</v>
      </c>
      <c r="AI2535">
        <v>2</v>
      </c>
      <c r="AJ2535">
        <v>0</v>
      </c>
      <c r="AK2535" t="s">
        <v>860</v>
      </c>
      <c r="AL2535">
        <v>39.086286999999999</v>
      </c>
      <c r="AM2535" t="s">
        <v>861</v>
      </c>
      <c r="AN2535">
        <v>-121.03742800000001</v>
      </c>
      <c r="AO2535">
        <v>25</v>
      </c>
      <c r="AP2535">
        <v>4600</v>
      </c>
      <c r="AQ2535" t="s">
        <v>131</v>
      </c>
      <c r="AR2535">
        <v>15</v>
      </c>
      <c r="AS2535">
        <v>85</v>
      </c>
      <c r="AT2535">
        <v>-256</v>
      </c>
      <c r="BB2535" t="str">
        <f t="shared" si="991"/>
        <v>1200</v>
      </c>
      <c r="BC2535">
        <v>1</v>
      </c>
      <c r="BD2535" t="str">
        <f t="shared" si="992"/>
        <v xml:space="preserve">N52156  </v>
      </c>
      <c r="BE2535">
        <v>1</v>
      </c>
      <c r="BG2535">
        <v>0</v>
      </c>
      <c r="BH2535">
        <v>0</v>
      </c>
      <c r="BI2535">
        <v>0</v>
      </c>
      <c r="BJ2535">
        <v>4650</v>
      </c>
      <c r="BK2535">
        <v>50</v>
      </c>
      <c r="BL2535" t="s">
        <v>188</v>
      </c>
      <c r="BM2535">
        <v>1</v>
      </c>
      <c r="BN2535">
        <v>1</v>
      </c>
      <c r="BO2535">
        <v>0</v>
      </c>
      <c r="BP2535">
        <v>0</v>
      </c>
      <c r="BS2535">
        <v>0</v>
      </c>
      <c r="BT2535">
        <v>0</v>
      </c>
      <c r="BU2535">
        <v>0</v>
      </c>
      <c r="CE2535" t="str">
        <f t="shared" si="1005"/>
        <v>15:11:34.404</v>
      </c>
      <c r="CF2535">
        <v>404471654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3</v>
      </c>
      <c r="CY2535">
        <v>7</v>
      </c>
      <c r="CZ2535" t="s">
        <v>133</v>
      </c>
      <c r="DA2535">
        <v>275</v>
      </c>
      <c r="DB2535">
        <v>0</v>
      </c>
      <c r="DC2535" t="s">
        <v>134</v>
      </c>
      <c r="DD2535" t="s">
        <v>135</v>
      </c>
      <c r="DG2535">
        <v>3321815</v>
      </c>
      <c r="DI2535">
        <v>1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"05/01/2025 15:11:34.643"</f>
        <v>05/01/2025 15:11:34.643</v>
      </c>
      <c r="C2536" t="str">
        <f t="shared" si="988"/>
        <v>FFDFD3C0</v>
      </c>
      <c r="D2536" t="s">
        <v>145</v>
      </c>
      <c r="E2536" t="str">
        <f>"05"</f>
        <v>05</v>
      </c>
      <c r="H2536">
        <v>47</v>
      </c>
      <c r="I2536" t="s">
        <v>146</v>
      </c>
      <c r="J2536" t="s">
        <v>138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R2536" t="s">
        <v>127</v>
      </c>
      <c r="S2536" t="str">
        <f t="shared" si="1004"/>
        <v>15:11:34.000</v>
      </c>
      <c r="T2536" t="str">
        <f t="shared" si="1004"/>
        <v>15:11:34.000</v>
      </c>
      <c r="U2536" t="str">
        <f t="shared" si="990"/>
        <v>A68FCB</v>
      </c>
      <c r="V2536">
        <v>0</v>
      </c>
      <c r="W2536">
        <v>0</v>
      </c>
      <c r="X2536">
        <v>2</v>
      </c>
      <c r="Y2536">
        <v>0</v>
      </c>
      <c r="AA2536">
        <v>1</v>
      </c>
      <c r="AB2536">
        <v>8</v>
      </c>
      <c r="AC2536">
        <v>3</v>
      </c>
      <c r="AD2536">
        <v>0</v>
      </c>
      <c r="AE2536">
        <v>9</v>
      </c>
      <c r="AF2536" t="s">
        <v>138</v>
      </c>
      <c r="AG2536">
        <v>0</v>
      </c>
      <c r="AH2536">
        <v>3</v>
      </c>
      <c r="AI2536">
        <v>2</v>
      </c>
      <c r="AJ2536">
        <v>0</v>
      </c>
      <c r="AK2536" t="s">
        <v>860</v>
      </c>
      <c r="AL2536">
        <v>39.086286999999999</v>
      </c>
      <c r="AM2536" t="s">
        <v>861</v>
      </c>
      <c r="AN2536">
        <v>-121.03742800000001</v>
      </c>
      <c r="AO2536">
        <v>25</v>
      </c>
      <c r="AP2536">
        <v>4600</v>
      </c>
      <c r="AQ2536" t="s">
        <v>131</v>
      </c>
      <c r="AR2536">
        <v>15</v>
      </c>
      <c r="AS2536">
        <v>85</v>
      </c>
      <c r="AT2536">
        <v>-256</v>
      </c>
      <c r="BB2536" t="str">
        <f t="shared" si="991"/>
        <v>1200</v>
      </c>
      <c r="BC2536">
        <v>1</v>
      </c>
      <c r="BD2536" t="str">
        <f t="shared" si="992"/>
        <v xml:space="preserve">N52156  </v>
      </c>
      <c r="BE2536">
        <v>1</v>
      </c>
      <c r="BG2536">
        <v>0</v>
      </c>
      <c r="BH2536">
        <v>0</v>
      </c>
      <c r="BI2536">
        <v>0</v>
      </c>
      <c r="BJ2536">
        <v>4650</v>
      </c>
      <c r="BK2536">
        <v>50</v>
      </c>
      <c r="BL2536" t="s">
        <v>188</v>
      </c>
      <c r="BM2536">
        <v>1</v>
      </c>
      <c r="BN2536">
        <v>1</v>
      </c>
      <c r="BO2536">
        <v>0</v>
      </c>
      <c r="BP2536">
        <v>0</v>
      </c>
      <c r="BS2536">
        <v>0</v>
      </c>
      <c r="BT2536">
        <v>0</v>
      </c>
      <c r="BU2536">
        <v>0</v>
      </c>
      <c r="CE2536" t="str">
        <f t="shared" si="1005"/>
        <v>15:11:34.404</v>
      </c>
      <c r="CF2536">
        <v>404471654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3</v>
      </c>
      <c r="CY2536">
        <v>7</v>
      </c>
      <c r="CZ2536" t="s">
        <v>133</v>
      </c>
      <c r="DA2536">
        <v>275</v>
      </c>
      <c r="DB2536">
        <v>0</v>
      </c>
      <c r="DC2536" t="s">
        <v>134</v>
      </c>
      <c r="DD2536" t="s">
        <v>135</v>
      </c>
      <c r="DG2536">
        <v>3321815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>"05/01/2025 15:11:34.650"</f>
        <v>05/01/2025 15:11:34.650</v>
      </c>
      <c r="C2537" t="str">
        <f t="shared" si="988"/>
        <v>FFDFD3C0</v>
      </c>
      <c r="D2537" t="s">
        <v>136</v>
      </c>
      <c r="E2537" t="str">
        <f>"20"</f>
        <v>20</v>
      </c>
      <c r="H2537">
        <v>400</v>
      </c>
      <c r="I2537" t="s">
        <v>137</v>
      </c>
      <c r="J2537" t="s">
        <v>138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R2537" t="s">
        <v>127</v>
      </c>
      <c r="S2537" t="str">
        <f t="shared" si="1004"/>
        <v>15:11:34.000</v>
      </c>
      <c r="T2537" t="str">
        <f t="shared" si="1004"/>
        <v>15:11:34.000</v>
      </c>
      <c r="U2537" t="str">
        <f t="shared" si="990"/>
        <v>A68FCB</v>
      </c>
      <c r="V2537">
        <v>0</v>
      </c>
      <c r="W2537">
        <v>0</v>
      </c>
      <c r="X2537">
        <v>2</v>
      </c>
      <c r="Y2537">
        <v>0</v>
      </c>
      <c r="AA2537">
        <v>1</v>
      </c>
      <c r="AB2537">
        <v>8</v>
      </c>
      <c r="AC2537">
        <v>3</v>
      </c>
      <c r="AD2537">
        <v>0</v>
      </c>
      <c r="AE2537">
        <v>9</v>
      </c>
      <c r="AF2537" t="s">
        <v>138</v>
      </c>
      <c r="AG2537">
        <v>0</v>
      </c>
      <c r="AH2537">
        <v>3</v>
      </c>
      <c r="AI2537">
        <v>2</v>
      </c>
      <c r="AJ2537">
        <v>0</v>
      </c>
      <c r="AK2537" t="s">
        <v>860</v>
      </c>
      <c r="AL2537">
        <v>39.086286999999999</v>
      </c>
      <c r="AM2537" t="s">
        <v>861</v>
      </c>
      <c r="AN2537">
        <v>-121.03742800000001</v>
      </c>
      <c r="AO2537">
        <v>25</v>
      </c>
      <c r="AP2537">
        <v>4600</v>
      </c>
      <c r="AQ2537" t="s">
        <v>131</v>
      </c>
      <c r="AR2537">
        <v>15</v>
      </c>
      <c r="AS2537">
        <v>85</v>
      </c>
      <c r="AT2537">
        <v>-256</v>
      </c>
      <c r="BB2537" t="str">
        <f t="shared" si="991"/>
        <v>1200</v>
      </c>
      <c r="BC2537">
        <v>1</v>
      </c>
      <c r="BD2537" t="str">
        <f t="shared" si="992"/>
        <v xml:space="preserve">N52156  </v>
      </c>
      <c r="BE2537">
        <v>1</v>
      </c>
      <c r="BG2537">
        <v>0</v>
      </c>
      <c r="BH2537">
        <v>0</v>
      </c>
      <c r="BI2537">
        <v>0</v>
      </c>
      <c r="BJ2537">
        <v>4650</v>
      </c>
      <c r="BK2537">
        <v>50</v>
      </c>
      <c r="BL2537" t="s">
        <v>188</v>
      </c>
      <c r="BM2537">
        <v>1</v>
      </c>
      <c r="BN2537">
        <v>1</v>
      </c>
      <c r="BO2537">
        <v>0</v>
      </c>
      <c r="BP2537">
        <v>0</v>
      </c>
      <c r="BS2537">
        <v>0</v>
      </c>
      <c r="BT2537">
        <v>0</v>
      </c>
      <c r="BU2537">
        <v>0</v>
      </c>
      <c r="CE2537" t="str">
        <f t="shared" si="1005"/>
        <v>15:11:34.404</v>
      </c>
      <c r="CF2537">
        <v>404471654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3</v>
      </c>
      <c r="CY2537">
        <v>7</v>
      </c>
      <c r="CZ2537" t="s">
        <v>133</v>
      </c>
      <c r="DA2537">
        <v>275</v>
      </c>
      <c r="DB2537">
        <v>0</v>
      </c>
      <c r="DC2537" t="s">
        <v>134</v>
      </c>
      <c r="DD2537" t="s">
        <v>135</v>
      </c>
      <c r="DG2537">
        <v>3321815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>"05/01/2025 15:11:34.657"</f>
        <v>05/01/2025 15:11:34.657</v>
      </c>
      <c r="C2538" t="str">
        <f t="shared" si="988"/>
        <v>FFDFD3C0</v>
      </c>
      <c r="D2538" t="s">
        <v>143</v>
      </c>
      <c r="E2538" t="str">
        <f>"05"</f>
        <v>05</v>
      </c>
      <c r="H2538">
        <v>172</v>
      </c>
      <c r="I2538" t="s">
        <v>141</v>
      </c>
      <c r="J2538" t="s">
        <v>144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R2538" t="s">
        <v>127</v>
      </c>
      <c r="S2538" t="str">
        <f t="shared" si="1004"/>
        <v>15:11:34.000</v>
      </c>
      <c r="T2538" t="str">
        <f t="shared" si="1004"/>
        <v>15:11:34.000</v>
      </c>
      <c r="U2538" t="str">
        <f t="shared" si="990"/>
        <v>A68FCB</v>
      </c>
      <c r="V2538">
        <v>0</v>
      </c>
      <c r="W2538">
        <v>0</v>
      </c>
      <c r="X2538">
        <v>2</v>
      </c>
      <c r="Y2538">
        <v>0</v>
      </c>
      <c r="AA2538">
        <v>1</v>
      </c>
      <c r="AB2538">
        <v>8</v>
      </c>
      <c r="AC2538">
        <v>3</v>
      </c>
      <c r="AD2538">
        <v>0</v>
      </c>
      <c r="AE2538">
        <v>9</v>
      </c>
      <c r="AF2538" t="s">
        <v>138</v>
      </c>
      <c r="AG2538">
        <v>0</v>
      </c>
      <c r="AH2538">
        <v>3</v>
      </c>
      <c r="AI2538">
        <v>2</v>
      </c>
      <c r="AJ2538">
        <v>0</v>
      </c>
      <c r="AK2538" t="s">
        <v>860</v>
      </c>
      <c r="AL2538">
        <v>39.086286999999999</v>
      </c>
      <c r="AM2538" t="s">
        <v>861</v>
      </c>
      <c r="AN2538">
        <v>-121.03742800000001</v>
      </c>
      <c r="AO2538">
        <v>25</v>
      </c>
      <c r="AP2538">
        <v>4600</v>
      </c>
      <c r="AQ2538" t="s">
        <v>131</v>
      </c>
      <c r="AR2538">
        <v>15</v>
      </c>
      <c r="AS2538">
        <v>85</v>
      </c>
      <c r="AT2538">
        <v>-256</v>
      </c>
      <c r="BB2538" t="str">
        <f t="shared" si="991"/>
        <v>1200</v>
      </c>
      <c r="BC2538">
        <v>1</v>
      </c>
      <c r="BD2538" t="str">
        <f t="shared" si="992"/>
        <v xml:space="preserve">N52156  </v>
      </c>
      <c r="BE2538">
        <v>1</v>
      </c>
      <c r="BG2538">
        <v>0</v>
      </c>
      <c r="BH2538">
        <v>0</v>
      </c>
      <c r="BI2538">
        <v>0</v>
      </c>
      <c r="BJ2538">
        <v>4650</v>
      </c>
      <c r="BK2538">
        <v>50</v>
      </c>
      <c r="BL2538" t="s">
        <v>188</v>
      </c>
      <c r="BM2538">
        <v>1</v>
      </c>
      <c r="BN2538">
        <v>1</v>
      </c>
      <c r="BO2538">
        <v>0</v>
      </c>
      <c r="BP2538">
        <v>0</v>
      </c>
      <c r="BS2538">
        <v>0</v>
      </c>
      <c r="BT2538">
        <v>0</v>
      </c>
      <c r="BU2538">
        <v>0</v>
      </c>
      <c r="CE2538" t="str">
        <f t="shared" si="1005"/>
        <v>15:11:34.404</v>
      </c>
      <c r="CF2538">
        <v>404471654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3</v>
      </c>
      <c r="CY2538">
        <v>7</v>
      </c>
      <c r="CZ2538" t="s">
        <v>133</v>
      </c>
      <c r="DA2538">
        <v>275</v>
      </c>
      <c r="DB2538">
        <v>0</v>
      </c>
      <c r="DC2538" t="s">
        <v>134</v>
      </c>
      <c r="DD2538" t="s">
        <v>135</v>
      </c>
      <c r="DG2538">
        <v>3321815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>"05/01/2025 15:11:34.674"</f>
        <v>05/01/2025 15:11:34.674</v>
      </c>
      <c r="C2539" t="str">
        <f t="shared" si="988"/>
        <v>FFDFD3C0</v>
      </c>
      <c r="D2539" t="s">
        <v>140</v>
      </c>
      <c r="E2539" t="str">
        <f>"13"</f>
        <v>13</v>
      </c>
      <c r="F2539">
        <v>1019</v>
      </c>
      <c r="G2539" t="s">
        <v>141</v>
      </c>
      <c r="J2539" t="s">
        <v>142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R2539" t="s">
        <v>127</v>
      </c>
      <c r="S2539" t="str">
        <f t="shared" si="1004"/>
        <v>15:11:34.000</v>
      </c>
      <c r="T2539" t="str">
        <f t="shared" si="1004"/>
        <v>15:11:34.000</v>
      </c>
      <c r="U2539" t="str">
        <f t="shared" si="990"/>
        <v>A68FCB</v>
      </c>
      <c r="V2539">
        <v>0</v>
      </c>
      <c r="W2539">
        <v>0</v>
      </c>
      <c r="X2539">
        <v>2</v>
      </c>
      <c r="Y2539">
        <v>0</v>
      </c>
      <c r="AA2539">
        <v>1</v>
      </c>
      <c r="AB2539">
        <v>8</v>
      </c>
      <c r="AC2539">
        <v>3</v>
      </c>
      <c r="AD2539">
        <v>0</v>
      </c>
      <c r="AE2539">
        <v>9</v>
      </c>
      <c r="AF2539" t="s">
        <v>138</v>
      </c>
      <c r="AG2539">
        <v>0</v>
      </c>
      <c r="AH2539">
        <v>3</v>
      </c>
      <c r="AI2539">
        <v>2</v>
      </c>
      <c r="AJ2539">
        <v>0</v>
      </c>
      <c r="AK2539" t="s">
        <v>860</v>
      </c>
      <c r="AL2539">
        <v>39.086286999999999</v>
      </c>
      <c r="AM2539" t="s">
        <v>861</v>
      </c>
      <c r="AN2539">
        <v>-121.03742800000001</v>
      </c>
      <c r="AO2539">
        <v>25</v>
      </c>
      <c r="AP2539">
        <v>4600</v>
      </c>
      <c r="AQ2539" t="s">
        <v>131</v>
      </c>
      <c r="AR2539">
        <v>15</v>
      </c>
      <c r="AS2539">
        <v>85</v>
      </c>
      <c r="AT2539">
        <v>-256</v>
      </c>
      <c r="BB2539" t="str">
        <f t="shared" si="991"/>
        <v>1200</v>
      </c>
      <c r="BC2539">
        <v>1</v>
      </c>
      <c r="BD2539" t="str">
        <f t="shared" si="992"/>
        <v xml:space="preserve">N52156  </v>
      </c>
      <c r="BE2539">
        <v>1</v>
      </c>
      <c r="BG2539">
        <v>0</v>
      </c>
      <c r="BH2539">
        <v>0</v>
      </c>
      <c r="BI2539">
        <v>0</v>
      </c>
      <c r="BJ2539">
        <v>4650</v>
      </c>
      <c r="BK2539">
        <v>50</v>
      </c>
      <c r="BL2539" t="s">
        <v>188</v>
      </c>
      <c r="BM2539">
        <v>1</v>
      </c>
      <c r="BN2539">
        <v>1</v>
      </c>
      <c r="BO2539">
        <v>0</v>
      </c>
      <c r="BP2539">
        <v>0</v>
      </c>
      <c r="BS2539">
        <v>0</v>
      </c>
      <c r="BT2539">
        <v>0</v>
      </c>
      <c r="BU2539">
        <v>0</v>
      </c>
      <c r="CE2539" t="str">
        <f t="shared" si="1005"/>
        <v>15:11:34.404</v>
      </c>
      <c r="CF2539">
        <v>404471654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3</v>
      </c>
      <c r="CY2539">
        <v>7</v>
      </c>
      <c r="CZ2539" t="s">
        <v>133</v>
      </c>
      <c r="DA2539">
        <v>275</v>
      </c>
      <c r="DB2539">
        <v>0</v>
      </c>
      <c r="DC2539" t="s">
        <v>134</v>
      </c>
      <c r="DD2539" t="s">
        <v>135</v>
      </c>
      <c r="DG2539">
        <v>3321815</v>
      </c>
      <c r="DI2539">
        <v>1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>"05/01/2025 15:11:35.896"</f>
        <v>05/01/2025 15:11:35.896</v>
      </c>
      <c r="C2540" t="str">
        <f t="shared" si="988"/>
        <v>FFDFD3C0</v>
      </c>
      <c r="D2540" t="s">
        <v>145</v>
      </c>
      <c r="E2540" t="str">
        <f>"09"</f>
        <v>09</v>
      </c>
      <c r="H2540">
        <v>51</v>
      </c>
      <c r="I2540" t="s">
        <v>147</v>
      </c>
      <c r="J2540" t="s">
        <v>138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R2540" t="s">
        <v>127</v>
      </c>
      <c r="S2540" t="str">
        <f t="shared" ref="S2540:T2545" si="1006">"15:11:35.000"</f>
        <v>15:11:35.000</v>
      </c>
      <c r="T2540" t="str">
        <f t="shared" si="1006"/>
        <v>15:11:35.000</v>
      </c>
      <c r="U2540" t="str">
        <f t="shared" si="990"/>
        <v>A68FCB</v>
      </c>
      <c r="V2540">
        <v>0</v>
      </c>
      <c r="W2540">
        <v>0</v>
      </c>
      <c r="X2540">
        <v>2</v>
      </c>
      <c r="Y2540">
        <v>0</v>
      </c>
      <c r="AA2540">
        <v>1</v>
      </c>
      <c r="AB2540">
        <v>8</v>
      </c>
      <c r="AC2540">
        <v>3</v>
      </c>
      <c r="AD2540">
        <v>0</v>
      </c>
      <c r="AE2540">
        <v>9</v>
      </c>
      <c r="AF2540" t="s">
        <v>138</v>
      </c>
      <c r="AG2540">
        <v>0</v>
      </c>
      <c r="AH2540">
        <v>3</v>
      </c>
      <c r="AI2540">
        <v>2</v>
      </c>
      <c r="AJ2540">
        <v>0</v>
      </c>
      <c r="AK2540" t="s">
        <v>862</v>
      </c>
      <c r="AL2540">
        <v>39.086672999999998</v>
      </c>
      <c r="AM2540" t="s">
        <v>863</v>
      </c>
      <c r="AN2540">
        <v>-121.03734300000001</v>
      </c>
      <c r="AO2540">
        <v>25</v>
      </c>
      <c r="AP2540">
        <v>4600</v>
      </c>
      <c r="AQ2540" t="s">
        <v>131</v>
      </c>
      <c r="AR2540">
        <v>17</v>
      </c>
      <c r="AS2540">
        <v>85</v>
      </c>
      <c r="AT2540">
        <v>-256</v>
      </c>
      <c r="BB2540" t="str">
        <f t="shared" si="991"/>
        <v>1200</v>
      </c>
      <c r="BC2540">
        <v>1</v>
      </c>
      <c r="BD2540" t="str">
        <f t="shared" si="992"/>
        <v xml:space="preserve">N52156  </v>
      </c>
      <c r="BE2540">
        <v>1</v>
      </c>
      <c r="BG2540">
        <v>0</v>
      </c>
      <c r="BH2540">
        <v>0</v>
      </c>
      <c r="BI2540">
        <v>0</v>
      </c>
      <c r="BJ2540">
        <v>4650</v>
      </c>
      <c r="BK2540">
        <v>50</v>
      </c>
      <c r="BL2540" t="s">
        <v>188</v>
      </c>
      <c r="BM2540">
        <v>1</v>
      </c>
      <c r="BN2540">
        <v>1</v>
      </c>
      <c r="BO2540">
        <v>0</v>
      </c>
      <c r="BP2540">
        <v>0</v>
      </c>
      <c r="BS2540">
        <v>0</v>
      </c>
      <c r="BT2540">
        <v>0</v>
      </c>
      <c r="BU2540">
        <v>0</v>
      </c>
      <c r="CE2540" t="str">
        <f t="shared" ref="CE2540:CE2545" si="1007">"15:11:35.689"</f>
        <v>15:11:35.689</v>
      </c>
      <c r="CF2540">
        <v>689293169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3</v>
      </c>
      <c r="CY2540">
        <v>7</v>
      </c>
      <c r="CZ2540" t="s">
        <v>133</v>
      </c>
      <c r="DA2540">
        <v>276</v>
      </c>
      <c r="DB2540">
        <v>0</v>
      </c>
      <c r="DC2540" t="s">
        <v>402</v>
      </c>
      <c r="DD2540" t="s">
        <v>403</v>
      </c>
      <c r="DG2540">
        <v>1627312</v>
      </c>
      <c r="DI2540">
        <v>1</v>
      </c>
      <c r="DJ2540">
        <v>0</v>
      </c>
      <c r="DK2540">
        <v>0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"05/01/2025 15:11:35.895"</f>
        <v>05/01/2025 15:11:35.895</v>
      </c>
      <c r="C2541" t="str">
        <f t="shared" si="988"/>
        <v>FFDFD3C0</v>
      </c>
      <c r="D2541" t="s">
        <v>145</v>
      </c>
      <c r="E2541" t="str">
        <f>"05"</f>
        <v>05</v>
      </c>
      <c r="H2541">
        <v>47</v>
      </c>
      <c r="I2541" t="s">
        <v>146</v>
      </c>
      <c r="J2541" t="s">
        <v>138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R2541" t="s">
        <v>127</v>
      </c>
      <c r="S2541" t="str">
        <f t="shared" si="1006"/>
        <v>15:11:35.000</v>
      </c>
      <c r="T2541" t="str">
        <f t="shared" si="1006"/>
        <v>15:11:35.000</v>
      </c>
      <c r="U2541" t="str">
        <f t="shared" si="990"/>
        <v>A68FCB</v>
      </c>
      <c r="V2541">
        <v>0</v>
      </c>
      <c r="W2541">
        <v>0</v>
      </c>
      <c r="X2541">
        <v>2</v>
      </c>
      <c r="Y2541">
        <v>0</v>
      </c>
      <c r="AA2541">
        <v>1</v>
      </c>
      <c r="AB2541">
        <v>8</v>
      </c>
      <c r="AC2541">
        <v>3</v>
      </c>
      <c r="AD2541">
        <v>0</v>
      </c>
      <c r="AE2541">
        <v>9</v>
      </c>
      <c r="AF2541" t="s">
        <v>138</v>
      </c>
      <c r="AG2541">
        <v>0</v>
      </c>
      <c r="AH2541">
        <v>3</v>
      </c>
      <c r="AI2541">
        <v>2</v>
      </c>
      <c r="AJ2541">
        <v>0</v>
      </c>
      <c r="AK2541" t="s">
        <v>862</v>
      </c>
      <c r="AL2541">
        <v>39.086672999999998</v>
      </c>
      <c r="AM2541" t="s">
        <v>863</v>
      </c>
      <c r="AN2541">
        <v>-121.03734300000001</v>
      </c>
      <c r="AO2541">
        <v>25</v>
      </c>
      <c r="AP2541">
        <v>4600</v>
      </c>
      <c r="AQ2541" t="s">
        <v>131</v>
      </c>
      <c r="AR2541">
        <v>17</v>
      </c>
      <c r="AS2541">
        <v>85</v>
      </c>
      <c r="AT2541">
        <v>-256</v>
      </c>
      <c r="BB2541" t="str">
        <f t="shared" si="991"/>
        <v>1200</v>
      </c>
      <c r="BC2541">
        <v>1</v>
      </c>
      <c r="BD2541" t="str">
        <f t="shared" si="992"/>
        <v xml:space="preserve">N52156  </v>
      </c>
      <c r="BE2541">
        <v>1</v>
      </c>
      <c r="BG2541">
        <v>0</v>
      </c>
      <c r="BH2541">
        <v>0</v>
      </c>
      <c r="BI2541">
        <v>0</v>
      </c>
      <c r="BJ2541">
        <v>4650</v>
      </c>
      <c r="BK2541">
        <v>50</v>
      </c>
      <c r="BL2541" t="s">
        <v>188</v>
      </c>
      <c r="BM2541">
        <v>1</v>
      </c>
      <c r="BN2541">
        <v>1</v>
      </c>
      <c r="BO2541">
        <v>0</v>
      </c>
      <c r="BP2541">
        <v>0</v>
      </c>
      <c r="BS2541">
        <v>0</v>
      </c>
      <c r="BT2541">
        <v>0</v>
      </c>
      <c r="BU2541">
        <v>0</v>
      </c>
      <c r="CE2541" t="str">
        <f t="shared" si="1007"/>
        <v>15:11:35.689</v>
      </c>
      <c r="CF2541">
        <v>689293169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3</v>
      </c>
      <c r="CY2541">
        <v>7</v>
      </c>
      <c r="CZ2541" t="s">
        <v>133</v>
      </c>
      <c r="DA2541">
        <v>276</v>
      </c>
      <c r="DB2541">
        <v>0</v>
      </c>
      <c r="DC2541" t="s">
        <v>402</v>
      </c>
      <c r="DD2541" t="s">
        <v>403</v>
      </c>
      <c r="DG2541">
        <v>1627312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"05/01/2025 15:11:35.902"</f>
        <v>05/01/2025 15:11:35.902</v>
      </c>
      <c r="C2542" t="str">
        <f t="shared" si="988"/>
        <v>FFDFD3C0</v>
      </c>
      <c r="D2542" t="s">
        <v>136</v>
      </c>
      <c r="E2542" t="str">
        <f>"20"</f>
        <v>20</v>
      </c>
      <c r="H2542">
        <v>400</v>
      </c>
      <c r="I2542" t="s">
        <v>137</v>
      </c>
      <c r="J2542" t="s">
        <v>138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R2542" t="s">
        <v>127</v>
      </c>
      <c r="S2542" t="str">
        <f t="shared" si="1006"/>
        <v>15:11:35.000</v>
      </c>
      <c r="T2542" t="str">
        <f t="shared" si="1006"/>
        <v>15:11:35.000</v>
      </c>
      <c r="U2542" t="str">
        <f t="shared" si="990"/>
        <v>A68FCB</v>
      </c>
      <c r="V2542">
        <v>0</v>
      </c>
      <c r="W2542">
        <v>0</v>
      </c>
      <c r="X2542">
        <v>2</v>
      </c>
      <c r="Y2542">
        <v>0</v>
      </c>
      <c r="AA2542">
        <v>1</v>
      </c>
      <c r="AB2542">
        <v>8</v>
      </c>
      <c r="AC2542">
        <v>3</v>
      </c>
      <c r="AD2542">
        <v>0</v>
      </c>
      <c r="AE2542">
        <v>9</v>
      </c>
      <c r="AF2542" t="s">
        <v>138</v>
      </c>
      <c r="AG2542">
        <v>0</v>
      </c>
      <c r="AH2542">
        <v>3</v>
      </c>
      <c r="AI2542">
        <v>2</v>
      </c>
      <c r="AJ2542">
        <v>0</v>
      </c>
      <c r="AK2542" t="s">
        <v>862</v>
      </c>
      <c r="AL2542">
        <v>39.086672999999998</v>
      </c>
      <c r="AM2542" t="s">
        <v>863</v>
      </c>
      <c r="AN2542">
        <v>-121.03734300000001</v>
      </c>
      <c r="AO2542">
        <v>25</v>
      </c>
      <c r="AP2542">
        <v>4600</v>
      </c>
      <c r="AQ2542" t="s">
        <v>131</v>
      </c>
      <c r="AR2542">
        <v>17</v>
      </c>
      <c r="AS2542">
        <v>85</v>
      </c>
      <c r="AT2542">
        <v>-256</v>
      </c>
      <c r="BB2542" t="str">
        <f t="shared" si="991"/>
        <v>1200</v>
      </c>
      <c r="BC2542">
        <v>1</v>
      </c>
      <c r="BD2542" t="str">
        <f t="shared" si="992"/>
        <v xml:space="preserve">N52156  </v>
      </c>
      <c r="BE2542">
        <v>1</v>
      </c>
      <c r="BG2542">
        <v>0</v>
      </c>
      <c r="BH2542">
        <v>0</v>
      </c>
      <c r="BI2542">
        <v>0</v>
      </c>
      <c r="BJ2542">
        <v>4650</v>
      </c>
      <c r="BK2542">
        <v>50</v>
      </c>
      <c r="BL2542" t="s">
        <v>188</v>
      </c>
      <c r="BM2542">
        <v>1</v>
      </c>
      <c r="BN2542">
        <v>1</v>
      </c>
      <c r="BO2542">
        <v>0</v>
      </c>
      <c r="BP2542">
        <v>0</v>
      </c>
      <c r="BS2542">
        <v>0</v>
      </c>
      <c r="BT2542">
        <v>0</v>
      </c>
      <c r="BU2542">
        <v>0</v>
      </c>
      <c r="CE2542" t="str">
        <f t="shared" si="1007"/>
        <v>15:11:35.689</v>
      </c>
      <c r="CF2542">
        <v>689293169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3</v>
      </c>
      <c r="CY2542">
        <v>7</v>
      </c>
      <c r="CZ2542" t="s">
        <v>133</v>
      </c>
      <c r="DA2542">
        <v>276</v>
      </c>
      <c r="DB2542">
        <v>0</v>
      </c>
      <c r="DC2542" t="s">
        <v>402</v>
      </c>
      <c r="DD2542" t="s">
        <v>403</v>
      </c>
      <c r="DG2542">
        <v>1627312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"05/01/2025 15:11:35.909"</f>
        <v>05/01/2025 15:11:35.909</v>
      </c>
      <c r="C2543" t="str">
        <f t="shared" si="988"/>
        <v>FFDFD3C0</v>
      </c>
      <c r="D2543" t="s">
        <v>143</v>
      </c>
      <c r="E2543" t="str">
        <f>"05"</f>
        <v>05</v>
      </c>
      <c r="H2543">
        <v>172</v>
      </c>
      <c r="I2543" t="s">
        <v>141</v>
      </c>
      <c r="J2543" t="s">
        <v>144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R2543" t="s">
        <v>127</v>
      </c>
      <c r="S2543" t="str">
        <f t="shared" si="1006"/>
        <v>15:11:35.000</v>
      </c>
      <c r="T2543" t="str">
        <f t="shared" si="1006"/>
        <v>15:11:35.000</v>
      </c>
      <c r="U2543" t="str">
        <f t="shared" si="990"/>
        <v>A68FCB</v>
      </c>
      <c r="V2543">
        <v>0</v>
      </c>
      <c r="W2543">
        <v>0</v>
      </c>
      <c r="X2543">
        <v>2</v>
      </c>
      <c r="Y2543">
        <v>0</v>
      </c>
      <c r="AA2543">
        <v>1</v>
      </c>
      <c r="AB2543">
        <v>8</v>
      </c>
      <c r="AC2543">
        <v>3</v>
      </c>
      <c r="AD2543">
        <v>0</v>
      </c>
      <c r="AE2543">
        <v>9</v>
      </c>
      <c r="AF2543" t="s">
        <v>138</v>
      </c>
      <c r="AG2543">
        <v>0</v>
      </c>
      <c r="AH2543">
        <v>3</v>
      </c>
      <c r="AI2543">
        <v>2</v>
      </c>
      <c r="AJ2543">
        <v>0</v>
      </c>
      <c r="AK2543" t="s">
        <v>862</v>
      </c>
      <c r="AL2543">
        <v>39.086672999999998</v>
      </c>
      <c r="AM2543" t="s">
        <v>863</v>
      </c>
      <c r="AN2543">
        <v>-121.03734300000001</v>
      </c>
      <c r="AO2543">
        <v>25</v>
      </c>
      <c r="AP2543">
        <v>4600</v>
      </c>
      <c r="AQ2543" t="s">
        <v>131</v>
      </c>
      <c r="AR2543">
        <v>17</v>
      </c>
      <c r="AS2543">
        <v>85</v>
      </c>
      <c r="AT2543">
        <v>-256</v>
      </c>
      <c r="BB2543" t="str">
        <f t="shared" si="991"/>
        <v>1200</v>
      </c>
      <c r="BC2543">
        <v>1</v>
      </c>
      <c r="BD2543" t="str">
        <f t="shared" si="992"/>
        <v xml:space="preserve">N52156  </v>
      </c>
      <c r="BE2543">
        <v>1</v>
      </c>
      <c r="BG2543">
        <v>0</v>
      </c>
      <c r="BH2543">
        <v>0</v>
      </c>
      <c r="BI2543">
        <v>0</v>
      </c>
      <c r="BJ2543">
        <v>4650</v>
      </c>
      <c r="BK2543">
        <v>50</v>
      </c>
      <c r="BL2543" t="s">
        <v>188</v>
      </c>
      <c r="BM2543">
        <v>1</v>
      </c>
      <c r="BN2543">
        <v>1</v>
      </c>
      <c r="BO2543">
        <v>0</v>
      </c>
      <c r="BP2543">
        <v>0</v>
      </c>
      <c r="BS2543">
        <v>0</v>
      </c>
      <c r="BT2543">
        <v>0</v>
      </c>
      <c r="BU2543">
        <v>0</v>
      </c>
      <c r="CE2543" t="str">
        <f t="shared" si="1007"/>
        <v>15:11:35.689</v>
      </c>
      <c r="CF2543">
        <v>689293169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3</v>
      </c>
      <c r="CY2543">
        <v>7</v>
      </c>
      <c r="CZ2543" t="s">
        <v>133</v>
      </c>
      <c r="DA2543">
        <v>276</v>
      </c>
      <c r="DB2543">
        <v>0</v>
      </c>
      <c r="DC2543" t="s">
        <v>402</v>
      </c>
      <c r="DD2543" t="s">
        <v>403</v>
      </c>
      <c r="DG2543">
        <v>1627312</v>
      </c>
      <c r="DI2543">
        <v>1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"05/01/2025 15:11:35.926"</f>
        <v>05/01/2025 15:11:35.926</v>
      </c>
      <c r="C2544" t="str">
        <f t="shared" si="988"/>
        <v>FFDFD3C0</v>
      </c>
      <c r="D2544" t="s">
        <v>140</v>
      </c>
      <c r="E2544" t="str">
        <f>"13"</f>
        <v>13</v>
      </c>
      <c r="F2544">
        <v>1019</v>
      </c>
      <c r="G2544" t="s">
        <v>141</v>
      </c>
      <c r="J2544" t="s">
        <v>142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R2544" t="s">
        <v>127</v>
      </c>
      <c r="S2544" t="str">
        <f t="shared" si="1006"/>
        <v>15:11:35.000</v>
      </c>
      <c r="T2544" t="str">
        <f t="shared" si="1006"/>
        <v>15:11:35.000</v>
      </c>
      <c r="U2544" t="str">
        <f t="shared" si="990"/>
        <v>A68FCB</v>
      </c>
      <c r="V2544">
        <v>0</v>
      </c>
      <c r="W2544">
        <v>0</v>
      </c>
      <c r="X2544">
        <v>2</v>
      </c>
      <c r="Y2544">
        <v>0</v>
      </c>
      <c r="AA2544">
        <v>1</v>
      </c>
      <c r="AB2544">
        <v>8</v>
      </c>
      <c r="AC2544">
        <v>3</v>
      </c>
      <c r="AD2544">
        <v>0</v>
      </c>
      <c r="AE2544">
        <v>9</v>
      </c>
      <c r="AF2544" t="s">
        <v>138</v>
      </c>
      <c r="AG2544">
        <v>0</v>
      </c>
      <c r="AH2544">
        <v>3</v>
      </c>
      <c r="AI2544">
        <v>2</v>
      </c>
      <c r="AJ2544">
        <v>0</v>
      </c>
      <c r="AK2544" t="s">
        <v>862</v>
      </c>
      <c r="AL2544">
        <v>39.086672999999998</v>
      </c>
      <c r="AM2544" t="s">
        <v>863</v>
      </c>
      <c r="AN2544">
        <v>-121.03734300000001</v>
      </c>
      <c r="AO2544">
        <v>25</v>
      </c>
      <c r="AP2544">
        <v>4600</v>
      </c>
      <c r="AQ2544" t="s">
        <v>131</v>
      </c>
      <c r="AR2544">
        <v>17</v>
      </c>
      <c r="AS2544">
        <v>85</v>
      </c>
      <c r="AT2544">
        <v>-256</v>
      </c>
      <c r="BB2544" t="str">
        <f t="shared" si="991"/>
        <v>1200</v>
      </c>
      <c r="BC2544">
        <v>1</v>
      </c>
      <c r="BD2544" t="str">
        <f t="shared" si="992"/>
        <v xml:space="preserve">N52156  </v>
      </c>
      <c r="BE2544">
        <v>1</v>
      </c>
      <c r="BG2544">
        <v>0</v>
      </c>
      <c r="BH2544">
        <v>0</v>
      </c>
      <c r="BI2544">
        <v>0</v>
      </c>
      <c r="BJ2544">
        <v>4650</v>
      </c>
      <c r="BK2544">
        <v>50</v>
      </c>
      <c r="BL2544" t="s">
        <v>188</v>
      </c>
      <c r="BM2544">
        <v>1</v>
      </c>
      <c r="BN2544">
        <v>1</v>
      </c>
      <c r="BO2544">
        <v>0</v>
      </c>
      <c r="BP2544">
        <v>0</v>
      </c>
      <c r="BS2544">
        <v>0</v>
      </c>
      <c r="BT2544">
        <v>0</v>
      </c>
      <c r="BU2544">
        <v>0</v>
      </c>
      <c r="CE2544" t="str">
        <f t="shared" si="1007"/>
        <v>15:11:35.689</v>
      </c>
      <c r="CF2544">
        <v>689293169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3</v>
      </c>
      <c r="CY2544">
        <v>7</v>
      </c>
      <c r="CZ2544" t="s">
        <v>133</v>
      </c>
      <c r="DA2544">
        <v>276</v>
      </c>
      <c r="DB2544">
        <v>0</v>
      </c>
      <c r="DC2544" t="s">
        <v>402</v>
      </c>
      <c r="DD2544" t="s">
        <v>403</v>
      </c>
      <c r="DG2544">
        <v>1627312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"05/01/2025 15:11:35.933"</f>
        <v>05/01/2025 15:11:35.933</v>
      </c>
      <c r="C2545" t="str">
        <f t="shared" si="988"/>
        <v>FFDFD3C0</v>
      </c>
      <c r="D2545" t="s">
        <v>124</v>
      </c>
      <c r="E2545" t="str">
        <f>"06"</f>
        <v>06</v>
      </c>
      <c r="F2545">
        <v>2006</v>
      </c>
      <c r="G2545" t="s">
        <v>125</v>
      </c>
      <c r="J2545" t="s">
        <v>126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R2545" t="s">
        <v>127</v>
      </c>
      <c r="S2545" t="str">
        <f t="shared" si="1006"/>
        <v>15:11:35.000</v>
      </c>
      <c r="T2545" t="str">
        <f t="shared" si="1006"/>
        <v>15:11:35.000</v>
      </c>
      <c r="U2545" t="str">
        <f t="shared" si="990"/>
        <v>A68FCB</v>
      </c>
      <c r="V2545">
        <v>0</v>
      </c>
      <c r="W2545">
        <v>0</v>
      </c>
      <c r="X2545">
        <v>2</v>
      </c>
      <c r="Y2545">
        <v>0</v>
      </c>
      <c r="AA2545">
        <v>1</v>
      </c>
      <c r="AB2545">
        <v>8</v>
      </c>
      <c r="AC2545">
        <v>3</v>
      </c>
      <c r="AD2545">
        <v>0</v>
      </c>
      <c r="AE2545">
        <v>9</v>
      </c>
      <c r="AF2545" t="s">
        <v>138</v>
      </c>
      <c r="AG2545">
        <v>0</v>
      </c>
      <c r="AH2545">
        <v>3</v>
      </c>
      <c r="AI2545">
        <v>2</v>
      </c>
      <c r="AJ2545">
        <v>0</v>
      </c>
      <c r="AK2545" t="s">
        <v>862</v>
      </c>
      <c r="AL2545">
        <v>39.086672999999998</v>
      </c>
      <c r="AM2545" t="s">
        <v>863</v>
      </c>
      <c r="AN2545">
        <v>-121.03734300000001</v>
      </c>
      <c r="AO2545">
        <v>25</v>
      </c>
      <c r="AP2545">
        <v>4600</v>
      </c>
      <c r="AQ2545" t="s">
        <v>131</v>
      </c>
      <c r="AR2545">
        <v>17</v>
      </c>
      <c r="AS2545">
        <v>85</v>
      </c>
      <c r="AT2545">
        <v>-256</v>
      </c>
      <c r="BB2545" t="str">
        <f t="shared" si="991"/>
        <v>1200</v>
      </c>
      <c r="BC2545">
        <v>1</v>
      </c>
      <c r="BD2545" t="str">
        <f t="shared" si="992"/>
        <v xml:space="preserve">N52156  </v>
      </c>
      <c r="BE2545">
        <v>1</v>
      </c>
      <c r="BG2545">
        <v>0</v>
      </c>
      <c r="BH2545">
        <v>0</v>
      </c>
      <c r="BI2545">
        <v>0</v>
      </c>
      <c r="BJ2545">
        <v>4650</v>
      </c>
      <c r="BK2545">
        <v>50</v>
      </c>
      <c r="BL2545" t="s">
        <v>188</v>
      </c>
      <c r="BM2545">
        <v>1</v>
      </c>
      <c r="BN2545">
        <v>1</v>
      </c>
      <c r="BO2545">
        <v>0</v>
      </c>
      <c r="BP2545">
        <v>0</v>
      </c>
      <c r="BS2545">
        <v>0</v>
      </c>
      <c r="BT2545">
        <v>0</v>
      </c>
      <c r="BU2545">
        <v>0</v>
      </c>
      <c r="CE2545" t="str">
        <f t="shared" si="1007"/>
        <v>15:11:35.689</v>
      </c>
      <c r="CF2545">
        <v>689293169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3</v>
      </c>
      <c r="CY2545">
        <v>7</v>
      </c>
      <c r="CZ2545" t="s">
        <v>133</v>
      </c>
      <c r="DA2545">
        <v>276</v>
      </c>
      <c r="DB2545">
        <v>0</v>
      </c>
      <c r="DC2545" t="s">
        <v>402</v>
      </c>
      <c r="DD2545" t="s">
        <v>403</v>
      </c>
      <c r="DG2545">
        <v>1627312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"05/01/2025 15:11:36.835"</f>
        <v>05/01/2025 15:11:36.835</v>
      </c>
      <c r="C2546" t="str">
        <f t="shared" si="988"/>
        <v>FFDFD3C0</v>
      </c>
      <c r="D2546" t="s">
        <v>124</v>
      </c>
      <c r="E2546" t="str">
        <f>"06"</f>
        <v>06</v>
      </c>
      <c r="F2546">
        <v>2006</v>
      </c>
      <c r="G2546" t="s">
        <v>125</v>
      </c>
      <c r="J2546" t="s">
        <v>126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R2546" t="s">
        <v>127</v>
      </c>
      <c r="S2546" t="str">
        <f t="shared" ref="S2546:T2551" si="1008">"15:11:36.000"</f>
        <v>15:11:36.000</v>
      </c>
      <c r="T2546" t="str">
        <f t="shared" si="1008"/>
        <v>15:11:36.000</v>
      </c>
      <c r="U2546" t="str">
        <f t="shared" si="990"/>
        <v>A68FCB</v>
      </c>
      <c r="V2546">
        <v>0</v>
      </c>
      <c r="W2546">
        <v>0</v>
      </c>
      <c r="X2546">
        <v>2</v>
      </c>
      <c r="Y2546">
        <v>0</v>
      </c>
      <c r="AA2546">
        <v>1</v>
      </c>
      <c r="AB2546">
        <v>8</v>
      </c>
      <c r="AC2546">
        <v>3</v>
      </c>
      <c r="AD2546">
        <v>0</v>
      </c>
      <c r="AE2546">
        <v>9</v>
      </c>
      <c r="AF2546" t="s">
        <v>138</v>
      </c>
      <c r="AG2546">
        <v>0</v>
      </c>
      <c r="AH2546">
        <v>3</v>
      </c>
      <c r="AI2546">
        <v>2</v>
      </c>
      <c r="AJ2546">
        <v>0</v>
      </c>
      <c r="AK2546" t="s">
        <v>864</v>
      </c>
      <c r="AL2546">
        <v>39.087080999999998</v>
      </c>
      <c r="AM2546" t="s">
        <v>865</v>
      </c>
      <c r="AN2546">
        <v>-121.03721400000001</v>
      </c>
      <c r="AO2546">
        <v>25</v>
      </c>
      <c r="AP2546">
        <v>4600</v>
      </c>
      <c r="AQ2546" t="s">
        <v>131</v>
      </c>
      <c r="AR2546">
        <v>16</v>
      </c>
      <c r="AS2546">
        <v>83</v>
      </c>
      <c r="AT2546">
        <v>-192</v>
      </c>
      <c r="BB2546" t="str">
        <f t="shared" si="991"/>
        <v>1200</v>
      </c>
      <c r="BC2546">
        <v>1</v>
      </c>
      <c r="BD2546" t="str">
        <f t="shared" si="992"/>
        <v xml:space="preserve">N52156  </v>
      </c>
      <c r="BE2546">
        <v>1</v>
      </c>
      <c r="BG2546">
        <v>0</v>
      </c>
      <c r="BH2546">
        <v>0</v>
      </c>
      <c r="BI2546">
        <v>0</v>
      </c>
      <c r="BJ2546">
        <v>4650</v>
      </c>
      <c r="BK2546">
        <v>50</v>
      </c>
      <c r="BL2546" t="s">
        <v>188</v>
      </c>
      <c r="BM2546">
        <v>1</v>
      </c>
      <c r="BN2546">
        <v>1</v>
      </c>
      <c r="BO2546">
        <v>0</v>
      </c>
      <c r="BP2546">
        <v>0</v>
      </c>
      <c r="BS2546">
        <v>0</v>
      </c>
      <c r="BT2546">
        <v>0</v>
      </c>
      <c r="BU2546">
        <v>0</v>
      </c>
      <c r="CE2546" t="str">
        <f t="shared" ref="CE2546:CE2551" si="1009">"15:11:36.631"</f>
        <v>15:11:36.631</v>
      </c>
      <c r="CF2546">
        <v>630793126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4</v>
      </c>
      <c r="CY2546">
        <v>7</v>
      </c>
      <c r="CZ2546" t="s">
        <v>133</v>
      </c>
      <c r="DA2546">
        <v>276</v>
      </c>
      <c r="DB2546">
        <v>0</v>
      </c>
      <c r="DC2546" t="s">
        <v>402</v>
      </c>
      <c r="DD2546" t="s">
        <v>403</v>
      </c>
      <c r="DG2546">
        <v>1627323</v>
      </c>
      <c r="DI2546">
        <v>1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"05/01/2025 15:11:36.846"</f>
        <v>05/01/2025 15:11:36.846</v>
      </c>
      <c r="C2547" t="str">
        <f t="shared" si="988"/>
        <v>FFDFD3C0</v>
      </c>
      <c r="D2547" t="s">
        <v>145</v>
      </c>
      <c r="E2547" t="str">
        <f>"05"</f>
        <v>05</v>
      </c>
      <c r="H2547">
        <v>47</v>
      </c>
      <c r="I2547" t="s">
        <v>146</v>
      </c>
      <c r="J2547" t="s">
        <v>138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R2547" t="s">
        <v>127</v>
      </c>
      <c r="S2547" t="str">
        <f t="shared" si="1008"/>
        <v>15:11:36.000</v>
      </c>
      <c r="T2547" t="str">
        <f t="shared" si="1008"/>
        <v>15:11:36.000</v>
      </c>
      <c r="U2547" t="str">
        <f t="shared" si="990"/>
        <v>A68FCB</v>
      </c>
      <c r="V2547">
        <v>0</v>
      </c>
      <c r="W2547">
        <v>0</v>
      </c>
      <c r="X2547">
        <v>2</v>
      </c>
      <c r="Y2547">
        <v>0</v>
      </c>
      <c r="AA2547">
        <v>1</v>
      </c>
      <c r="AB2547">
        <v>8</v>
      </c>
      <c r="AC2547">
        <v>3</v>
      </c>
      <c r="AD2547">
        <v>0</v>
      </c>
      <c r="AE2547">
        <v>9</v>
      </c>
      <c r="AF2547" t="s">
        <v>138</v>
      </c>
      <c r="AG2547">
        <v>0</v>
      </c>
      <c r="AH2547">
        <v>3</v>
      </c>
      <c r="AI2547">
        <v>2</v>
      </c>
      <c r="AJ2547">
        <v>0</v>
      </c>
      <c r="AK2547" t="s">
        <v>864</v>
      </c>
      <c r="AL2547">
        <v>39.087080999999998</v>
      </c>
      <c r="AM2547" t="s">
        <v>865</v>
      </c>
      <c r="AN2547">
        <v>-121.03721400000001</v>
      </c>
      <c r="AO2547">
        <v>25</v>
      </c>
      <c r="AP2547">
        <v>4600</v>
      </c>
      <c r="AQ2547" t="s">
        <v>131</v>
      </c>
      <c r="AR2547">
        <v>16</v>
      </c>
      <c r="AS2547">
        <v>83</v>
      </c>
      <c r="AT2547">
        <v>-192</v>
      </c>
      <c r="BB2547" t="str">
        <f t="shared" si="991"/>
        <v>1200</v>
      </c>
      <c r="BC2547">
        <v>1</v>
      </c>
      <c r="BD2547" t="str">
        <f t="shared" si="992"/>
        <v xml:space="preserve">N52156  </v>
      </c>
      <c r="BE2547">
        <v>1</v>
      </c>
      <c r="BG2547">
        <v>0</v>
      </c>
      <c r="BH2547">
        <v>0</v>
      </c>
      <c r="BI2547">
        <v>0</v>
      </c>
      <c r="BJ2547">
        <v>4650</v>
      </c>
      <c r="BK2547">
        <v>50</v>
      </c>
      <c r="BL2547" t="s">
        <v>188</v>
      </c>
      <c r="BM2547">
        <v>1</v>
      </c>
      <c r="BN2547">
        <v>1</v>
      </c>
      <c r="BO2547">
        <v>0</v>
      </c>
      <c r="BP2547">
        <v>0</v>
      </c>
      <c r="BS2547">
        <v>0</v>
      </c>
      <c r="BT2547">
        <v>0</v>
      </c>
      <c r="BU2547">
        <v>0</v>
      </c>
      <c r="CE2547" t="str">
        <f t="shared" si="1009"/>
        <v>15:11:36.631</v>
      </c>
      <c r="CF2547">
        <v>630793126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4</v>
      </c>
      <c r="CY2547">
        <v>7</v>
      </c>
      <c r="CZ2547" t="s">
        <v>133</v>
      </c>
      <c r="DA2547">
        <v>276</v>
      </c>
      <c r="DB2547">
        <v>0</v>
      </c>
      <c r="DC2547" t="s">
        <v>402</v>
      </c>
      <c r="DD2547" t="s">
        <v>403</v>
      </c>
      <c r="DG2547">
        <v>1627323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"05/01/2025 15:11:36.847"</f>
        <v>05/01/2025 15:11:36.847</v>
      </c>
      <c r="C2548" t="str">
        <f t="shared" si="988"/>
        <v>FFDFD3C0</v>
      </c>
      <c r="D2548" t="s">
        <v>145</v>
      </c>
      <c r="E2548" t="str">
        <f>"09"</f>
        <v>09</v>
      </c>
      <c r="H2548">
        <v>51</v>
      </c>
      <c r="I2548" t="s">
        <v>147</v>
      </c>
      <c r="J2548" t="s">
        <v>138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R2548" t="s">
        <v>127</v>
      </c>
      <c r="S2548" t="str">
        <f t="shared" si="1008"/>
        <v>15:11:36.000</v>
      </c>
      <c r="T2548" t="str">
        <f t="shared" si="1008"/>
        <v>15:11:36.000</v>
      </c>
      <c r="U2548" t="str">
        <f t="shared" si="990"/>
        <v>A68FCB</v>
      </c>
      <c r="V2548">
        <v>0</v>
      </c>
      <c r="W2548">
        <v>0</v>
      </c>
      <c r="X2548">
        <v>2</v>
      </c>
      <c r="Y2548">
        <v>0</v>
      </c>
      <c r="AA2548">
        <v>1</v>
      </c>
      <c r="AB2548">
        <v>8</v>
      </c>
      <c r="AC2548">
        <v>3</v>
      </c>
      <c r="AD2548">
        <v>0</v>
      </c>
      <c r="AE2548">
        <v>9</v>
      </c>
      <c r="AF2548" t="s">
        <v>138</v>
      </c>
      <c r="AG2548">
        <v>0</v>
      </c>
      <c r="AH2548">
        <v>3</v>
      </c>
      <c r="AI2548">
        <v>2</v>
      </c>
      <c r="AJ2548">
        <v>0</v>
      </c>
      <c r="AK2548" t="s">
        <v>864</v>
      </c>
      <c r="AL2548">
        <v>39.087080999999998</v>
      </c>
      <c r="AM2548" t="s">
        <v>865</v>
      </c>
      <c r="AN2548">
        <v>-121.03721400000001</v>
      </c>
      <c r="AO2548">
        <v>25</v>
      </c>
      <c r="AP2548">
        <v>4600</v>
      </c>
      <c r="AQ2548" t="s">
        <v>131</v>
      </c>
      <c r="AR2548">
        <v>16</v>
      </c>
      <c r="AS2548">
        <v>83</v>
      </c>
      <c r="AT2548">
        <v>-192</v>
      </c>
      <c r="BB2548" t="str">
        <f t="shared" si="991"/>
        <v>1200</v>
      </c>
      <c r="BC2548">
        <v>1</v>
      </c>
      <c r="BD2548" t="str">
        <f t="shared" si="992"/>
        <v xml:space="preserve">N52156  </v>
      </c>
      <c r="BE2548">
        <v>1</v>
      </c>
      <c r="BG2548">
        <v>0</v>
      </c>
      <c r="BH2548">
        <v>0</v>
      </c>
      <c r="BI2548">
        <v>0</v>
      </c>
      <c r="BJ2548">
        <v>4650</v>
      </c>
      <c r="BK2548">
        <v>50</v>
      </c>
      <c r="BL2548" t="s">
        <v>188</v>
      </c>
      <c r="BM2548">
        <v>1</v>
      </c>
      <c r="BN2548">
        <v>1</v>
      </c>
      <c r="BO2548">
        <v>0</v>
      </c>
      <c r="BP2548">
        <v>0</v>
      </c>
      <c r="BS2548">
        <v>0</v>
      </c>
      <c r="BT2548">
        <v>0</v>
      </c>
      <c r="BU2548">
        <v>0</v>
      </c>
      <c r="CE2548" t="str">
        <f t="shared" si="1009"/>
        <v>15:11:36.631</v>
      </c>
      <c r="CF2548">
        <v>630793126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4</v>
      </c>
      <c r="CY2548">
        <v>7</v>
      </c>
      <c r="CZ2548" t="s">
        <v>133</v>
      </c>
      <c r="DA2548">
        <v>276</v>
      </c>
      <c r="DB2548">
        <v>0</v>
      </c>
      <c r="DC2548" t="s">
        <v>402</v>
      </c>
      <c r="DD2548" t="s">
        <v>403</v>
      </c>
      <c r="DG2548">
        <v>1627323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"05/01/2025 15:11:36.854"</f>
        <v>05/01/2025 15:11:36.854</v>
      </c>
      <c r="C2549" t="str">
        <f t="shared" si="988"/>
        <v>FFDFD3C0</v>
      </c>
      <c r="D2549" t="s">
        <v>136</v>
      </c>
      <c r="E2549" t="str">
        <f>"20"</f>
        <v>20</v>
      </c>
      <c r="H2549">
        <v>400</v>
      </c>
      <c r="I2549" t="s">
        <v>137</v>
      </c>
      <c r="J2549" t="s">
        <v>138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R2549" t="s">
        <v>127</v>
      </c>
      <c r="S2549" t="str">
        <f t="shared" si="1008"/>
        <v>15:11:36.000</v>
      </c>
      <c r="T2549" t="str">
        <f t="shared" si="1008"/>
        <v>15:11:36.000</v>
      </c>
      <c r="U2549" t="str">
        <f t="shared" si="990"/>
        <v>A68FCB</v>
      </c>
      <c r="V2549">
        <v>0</v>
      </c>
      <c r="W2549">
        <v>0</v>
      </c>
      <c r="X2549">
        <v>2</v>
      </c>
      <c r="Y2549">
        <v>0</v>
      </c>
      <c r="AA2549">
        <v>1</v>
      </c>
      <c r="AB2549">
        <v>8</v>
      </c>
      <c r="AC2549">
        <v>3</v>
      </c>
      <c r="AD2549">
        <v>0</v>
      </c>
      <c r="AE2549">
        <v>9</v>
      </c>
      <c r="AF2549" t="s">
        <v>138</v>
      </c>
      <c r="AG2549">
        <v>0</v>
      </c>
      <c r="AH2549">
        <v>3</v>
      </c>
      <c r="AI2549">
        <v>2</v>
      </c>
      <c r="AJ2549">
        <v>0</v>
      </c>
      <c r="AK2549" t="s">
        <v>864</v>
      </c>
      <c r="AL2549">
        <v>39.087080999999998</v>
      </c>
      <c r="AM2549" t="s">
        <v>865</v>
      </c>
      <c r="AN2549">
        <v>-121.03721400000001</v>
      </c>
      <c r="AO2549">
        <v>25</v>
      </c>
      <c r="AP2549">
        <v>4600</v>
      </c>
      <c r="AQ2549" t="s">
        <v>131</v>
      </c>
      <c r="AR2549">
        <v>16</v>
      </c>
      <c r="AS2549">
        <v>83</v>
      </c>
      <c r="AT2549">
        <v>-192</v>
      </c>
      <c r="BB2549" t="str">
        <f t="shared" si="991"/>
        <v>1200</v>
      </c>
      <c r="BC2549">
        <v>1</v>
      </c>
      <c r="BD2549" t="str">
        <f t="shared" si="992"/>
        <v xml:space="preserve">N52156  </v>
      </c>
      <c r="BE2549">
        <v>1</v>
      </c>
      <c r="BG2549">
        <v>0</v>
      </c>
      <c r="BH2549">
        <v>0</v>
      </c>
      <c r="BI2549">
        <v>0</v>
      </c>
      <c r="BJ2549">
        <v>4650</v>
      </c>
      <c r="BK2549">
        <v>50</v>
      </c>
      <c r="BL2549" t="s">
        <v>188</v>
      </c>
      <c r="BM2549">
        <v>1</v>
      </c>
      <c r="BN2549">
        <v>1</v>
      </c>
      <c r="BO2549">
        <v>0</v>
      </c>
      <c r="BP2549">
        <v>0</v>
      </c>
      <c r="BS2549">
        <v>0</v>
      </c>
      <c r="BT2549">
        <v>0</v>
      </c>
      <c r="BU2549">
        <v>0</v>
      </c>
      <c r="CE2549" t="str">
        <f t="shared" si="1009"/>
        <v>15:11:36.631</v>
      </c>
      <c r="CF2549">
        <v>630793126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4</v>
      </c>
      <c r="CY2549">
        <v>7</v>
      </c>
      <c r="CZ2549" t="s">
        <v>133</v>
      </c>
      <c r="DA2549">
        <v>276</v>
      </c>
      <c r="DB2549">
        <v>0</v>
      </c>
      <c r="DC2549" t="s">
        <v>402</v>
      </c>
      <c r="DD2549" t="s">
        <v>403</v>
      </c>
      <c r="DG2549">
        <v>1627323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"05/01/2025 15:11:36.861"</f>
        <v>05/01/2025 15:11:36.861</v>
      </c>
      <c r="C2550" t="str">
        <f t="shared" si="988"/>
        <v>FFDFD3C0</v>
      </c>
      <c r="D2550" t="s">
        <v>143</v>
      </c>
      <c r="E2550" t="str">
        <f>"05"</f>
        <v>05</v>
      </c>
      <c r="H2550">
        <v>172</v>
      </c>
      <c r="I2550" t="s">
        <v>141</v>
      </c>
      <c r="J2550" t="s">
        <v>144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R2550" t="s">
        <v>127</v>
      </c>
      <c r="S2550" t="str">
        <f t="shared" si="1008"/>
        <v>15:11:36.000</v>
      </c>
      <c r="T2550" t="str">
        <f t="shared" si="1008"/>
        <v>15:11:36.000</v>
      </c>
      <c r="U2550" t="str">
        <f t="shared" si="990"/>
        <v>A68FCB</v>
      </c>
      <c r="V2550">
        <v>0</v>
      </c>
      <c r="W2550">
        <v>0</v>
      </c>
      <c r="X2550">
        <v>2</v>
      </c>
      <c r="Y2550">
        <v>0</v>
      </c>
      <c r="AA2550">
        <v>1</v>
      </c>
      <c r="AB2550">
        <v>8</v>
      </c>
      <c r="AC2550">
        <v>3</v>
      </c>
      <c r="AD2550">
        <v>0</v>
      </c>
      <c r="AE2550">
        <v>9</v>
      </c>
      <c r="AF2550" t="s">
        <v>138</v>
      </c>
      <c r="AG2550">
        <v>0</v>
      </c>
      <c r="AH2550">
        <v>3</v>
      </c>
      <c r="AI2550">
        <v>2</v>
      </c>
      <c r="AJ2550">
        <v>0</v>
      </c>
      <c r="AK2550" t="s">
        <v>864</v>
      </c>
      <c r="AL2550">
        <v>39.087080999999998</v>
      </c>
      <c r="AM2550" t="s">
        <v>865</v>
      </c>
      <c r="AN2550">
        <v>-121.03721400000001</v>
      </c>
      <c r="AO2550">
        <v>25</v>
      </c>
      <c r="AP2550">
        <v>4600</v>
      </c>
      <c r="AQ2550" t="s">
        <v>131</v>
      </c>
      <c r="AR2550">
        <v>16</v>
      </c>
      <c r="AS2550">
        <v>83</v>
      </c>
      <c r="AT2550">
        <v>-192</v>
      </c>
      <c r="BB2550" t="str">
        <f t="shared" si="991"/>
        <v>1200</v>
      </c>
      <c r="BC2550">
        <v>1</v>
      </c>
      <c r="BD2550" t="str">
        <f t="shared" si="992"/>
        <v xml:space="preserve">N52156  </v>
      </c>
      <c r="BE2550">
        <v>1</v>
      </c>
      <c r="BG2550">
        <v>0</v>
      </c>
      <c r="BH2550">
        <v>0</v>
      </c>
      <c r="BI2550">
        <v>0</v>
      </c>
      <c r="BJ2550">
        <v>4650</v>
      </c>
      <c r="BK2550">
        <v>50</v>
      </c>
      <c r="BL2550" t="s">
        <v>188</v>
      </c>
      <c r="BM2550">
        <v>1</v>
      </c>
      <c r="BN2550">
        <v>1</v>
      </c>
      <c r="BO2550">
        <v>0</v>
      </c>
      <c r="BP2550">
        <v>0</v>
      </c>
      <c r="BS2550">
        <v>0</v>
      </c>
      <c r="BT2550">
        <v>0</v>
      </c>
      <c r="BU2550">
        <v>0</v>
      </c>
      <c r="CE2550" t="str">
        <f t="shared" si="1009"/>
        <v>15:11:36.631</v>
      </c>
      <c r="CF2550">
        <v>630793126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4</v>
      </c>
      <c r="CY2550">
        <v>7</v>
      </c>
      <c r="CZ2550" t="s">
        <v>133</v>
      </c>
      <c r="DA2550">
        <v>276</v>
      </c>
      <c r="DB2550">
        <v>0</v>
      </c>
      <c r="DC2550" t="s">
        <v>402</v>
      </c>
      <c r="DD2550" t="s">
        <v>403</v>
      </c>
      <c r="DG2550">
        <v>1627323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"05/01/2025 15:11:36.878"</f>
        <v>05/01/2025 15:11:36.878</v>
      </c>
      <c r="C2551" t="str">
        <f t="shared" si="988"/>
        <v>FFDFD3C0</v>
      </c>
      <c r="D2551" t="s">
        <v>140</v>
      </c>
      <c r="E2551" t="str">
        <f>"13"</f>
        <v>13</v>
      </c>
      <c r="F2551">
        <v>1019</v>
      </c>
      <c r="G2551" t="s">
        <v>141</v>
      </c>
      <c r="J2551" t="s">
        <v>142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R2551" t="s">
        <v>127</v>
      </c>
      <c r="S2551" t="str">
        <f t="shared" si="1008"/>
        <v>15:11:36.000</v>
      </c>
      <c r="T2551" t="str">
        <f t="shared" si="1008"/>
        <v>15:11:36.000</v>
      </c>
      <c r="U2551" t="str">
        <f t="shared" si="990"/>
        <v>A68FCB</v>
      </c>
      <c r="V2551">
        <v>0</v>
      </c>
      <c r="W2551">
        <v>0</v>
      </c>
      <c r="X2551">
        <v>2</v>
      </c>
      <c r="Y2551">
        <v>0</v>
      </c>
      <c r="AA2551">
        <v>1</v>
      </c>
      <c r="AB2551">
        <v>8</v>
      </c>
      <c r="AC2551">
        <v>3</v>
      </c>
      <c r="AD2551">
        <v>0</v>
      </c>
      <c r="AE2551">
        <v>9</v>
      </c>
      <c r="AF2551" t="s">
        <v>138</v>
      </c>
      <c r="AG2551">
        <v>0</v>
      </c>
      <c r="AH2551">
        <v>3</v>
      </c>
      <c r="AI2551">
        <v>2</v>
      </c>
      <c r="AJ2551">
        <v>0</v>
      </c>
      <c r="AK2551" t="s">
        <v>864</v>
      </c>
      <c r="AL2551">
        <v>39.087080999999998</v>
      </c>
      <c r="AM2551" t="s">
        <v>865</v>
      </c>
      <c r="AN2551">
        <v>-121.03721400000001</v>
      </c>
      <c r="AO2551">
        <v>25</v>
      </c>
      <c r="AP2551">
        <v>4600</v>
      </c>
      <c r="AQ2551" t="s">
        <v>131</v>
      </c>
      <c r="AR2551">
        <v>16</v>
      </c>
      <c r="AS2551">
        <v>83</v>
      </c>
      <c r="AT2551">
        <v>-192</v>
      </c>
      <c r="BB2551" t="str">
        <f t="shared" si="991"/>
        <v>1200</v>
      </c>
      <c r="BC2551">
        <v>1</v>
      </c>
      <c r="BD2551" t="str">
        <f t="shared" si="992"/>
        <v xml:space="preserve">N52156  </v>
      </c>
      <c r="BE2551">
        <v>1</v>
      </c>
      <c r="BG2551">
        <v>0</v>
      </c>
      <c r="BH2551">
        <v>0</v>
      </c>
      <c r="BI2551">
        <v>0</v>
      </c>
      <c r="BJ2551">
        <v>4650</v>
      </c>
      <c r="BK2551">
        <v>50</v>
      </c>
      <c r="BL2551" t="s">
        <v>188</v>
      </c>
      <c r="BM2551">
        <v>1</v>
      </c>
      <c r="BN2551">
        <v>1</v>
      </c>
      <c r="BO2551">
        <v>0</v>
      </c>
      <c r="BP2551">
        <v>0</v>
      </c>
      <c r="BS2551">
        <v>0</v>
      </c>
      <c r="BT2551">
        <v>0</v>
      </c>
      <c r="BU2551">
        <v>0</v>
      </c>
      <c r="CE2551" t="str">
        <f t="shared" si="1009"/>
        <v>15:11:36.631</v>
      </c>
      <c r="CF2551">
        <v>630793126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4</v>
      </c>
      <c r="CY2551">
        <v>7</v>
      </c>
      <c r="CZ2551" t="s">
        <v>133</v>
      </c>
      <c r="DA2551">
        <v>276</v>
      </c>
      <c r="DB2551">
        <v>0</v>
      </c>
      <c r="DC2551" t="s">
        <v>402</v>
      </c>
      <c r="DD2551" t="s">
        <v>403</v>
      </c>
      <c r="DG2551">
        <v>1627323</v>
      </c>
      <c r="DI2551">
        <v>1</v>
      </c>
      <c r="DJ2551">
        <v>0</v>
      </c>
      <c r="DK2551">
        <v>1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"05/01/2025 15:11:37.529"</f>
        <v>05/01/2025 15:11:37.529</v>
      </c>
      <c r="C2552" t="str">
        <f t="shared" si="988"/>
        <v>FFDFD3C0</v>
      </c>
      <c r="D2552" t="s">
        <v>140</v>
      </c>
      <c r="E2552" t="str">
        <f>"13"</f>
        <v>13</v>
      </c>
      <c r="F2552">
        <v>1019</v>
      </c>
      <c r="G2552" t="s">
        <v>141</v>
      </c>
      <c r="J2552" t="s">
        <v>142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R2552" t="s">
        <v>127</v>
      </c>
      <c r="S2552" t="str">
        <f t="shared" ref="S2552:T2557" si="1010">"15:11:37.000"</f>
        <v>15:11:37.000</v>
      </c>
      <c r="T2552" t="str">
        <f t="shared" si="1010"/>
        <v>15:11:37.000</v>
      </c>
      <c r="U2552" t="str">
        <f t="shared" si="990"/>
        <v>A68FCB</v>
      </c>
      <c r="V2552">
        <v>0</v>
      </c>
      <c r="W2552">
        <v>0</v>
      </c>
      <c r="X2552">
        <v>2</v>
      </c>
      <c r="Y2552">
        <v>0</v>
      </c>
      <c r="AA2552">
        <v>1</v>
      </c>
      <c r="AB2552">
        <v>8</v>
      </c>
      <c r="AC2552">
        <v>3</v>
      </c>
      <c r="AD2552">
        <v>0</v>
      </c>
      <c r="AE2552">
        <v>9</v>
      </c>
      <c r="AF2552" t="s">
        <v>138</v>
      </c>
      <c r="AG2552">
        <v>0</v>
      </c>
      <c r="AH2552">
        <v>3</v>
      </c>
      <c r="AI2552">
        <v>2</v>
      </c>
      <c r="AJ2552">
        <v>0</v>
      </c>
      <c r="AK2552" t="s">
        <v>866</v>
      </c>
      <c r="AL2552">
        <v>39.087466999999997</v>
      </c>
      <c r="AM2552" t="s">
        <v>867</v>
      </c>
      <c r="AN2552">
        <v>-121.03710700000001</v>
      </c>
      <c r="AO2552">
        <v>25</v>
      </c>
      <c r="AP2552">
        <v>4600</v>
      </c>
      <c r="AQ2552" t="s">
        <v>131</v>
      </c>
      <c r="AR2552">
        <v>18</v>
      </c>
      <c r="AS2552">
        <v>83</v>
      </c>
      <c r="AT2552">
        <v>-128</v>
      </c>
      <c r="BB2552" t="str">
        <f t="shared" si="991"/>
        <v>1200</v>
      </c>
      <c r="BC2552">
        <v>1</v>
      </c>
      <c r="BD2552" t="str">
        <f t="shared" si="992"/>
        <v xml:space="preserve">N52156  </v>
      </c>
      <c r="BE2552">
        <v>1</v>
      </c>
      <c r="BG2552">
        <v>0</v>
      </c>
      <c r="BH2552">
        <v>0</v>
      </c>
      <c r="BI2552">
        <v>0</v>
      </c>
      <c r="BJ2552">
        <v>4625</v>
      </c>
      <c r="BK2552">
        <v>25</v>
      </c>
      <c r="BL2552" t="s">
        <v>188</v>
      </c>
      <c r="BM2552">
        <v>1</v>
      </c>
      <c r="BN2552">
        <v>1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 t="shared" ref="CE2552:CE2557" si="1011">"15:11:37.318"</f>
        <v>15:11:37.318</v>
      </c>
      <c r="CF2552">
        <v>318292419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3</v>
      </c>
      <c r="CY2552">
        <v>7</v>
      </c>
      <c r="CZ2552" t="s">
        <v>133</v>
      </c>
      <c r="DA2552">
        <v>276</v>
      </c>
      <c r="DB2552">
        <v>0</v>
      </c>
      <c r="DC2552" t="s">
        <v>402</v>
      </c>
      <c r="DD2552" t="s">
        <v>403</v>
      </c>
      <c r="DG2552">
        <v>1627326</v>
      </c>
      <c r="DI2552">
        <v>1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"05/01/2025 15:11:37.536"</f>
        <v>05/01/2025 15:11:37.536</v>
      </c>
      <c r="C2553" t="str">
        <f t="shared" si="988"/>
        <v>FFDFD3C0</v>
      </c>
      <c r="D2553" t="s">
        <v>124</v>
      </c>
      <c r="E2553" t="str">
        <f>"06"</f>
        <v>06</v>
      </c>
      <c r="F2553">
        <v>2006</v>
      </c>
      <c r="G2553" t="s">
        <v>125</v>
      </c>
      <c r="J2553" t="s">
        <v>126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R2553" t="s">
        <v>127</v>
      </c>
      <c r="S2553" t="str">
        <f t="shared" si="1010"/>
        <v>15:11:37.000</v>
      </c>
      <c r="T2553" t="str">
        <f t="shared" si="1010"/>
        <v>15:11:37.000</v>
      </c>
      <c r="U2553" t="str">
        <f t="shared" si="990"/>
        <v>A68FCB</v>
      </c>
      <c r="V2553">
        <v>0</v>
      </c>
      <c r="W2553">
        <v>0</v>
      </c>
      <c r="X2553">
        <v>2</v>
      </c>
      <c r="Y2553">
        <v>0</v>
      </c>
      <c r="AA2553">
        <v>1</v>
      </c>
      <c r="AB2553">
        <v>8</v>
      </c>
      <c r="AC2553">
        <v>3</v>
      </c>
      <c r="AD2553">
        <v>0</v>
      </c>
      <c r="AE2553">
        <v>9</v>
      </c>
      <c r="AF2553" t="s">
        <v>138</v>
      </c>
      <c r="AG2553">
        <v>0</v>
      </c>
      <c r="AH2553">
        <v>3</v>
      </c>
      <c r="AI2553">
        <v>2</v>
      </c>
      <c r="AJ2553">
        <v>0</v>
      </c>
      <c r="AK2553" t="s">
        <v>866</v>
      </c>
      <c r="AL2553">
        <v>39.087466999999997</v>
      </c>
      <c r="AM2553" t="s">
        <v>867</v>
      </c>
      <c r="AN2553">
        <v>-121.03710700000001</v>
      </c>
      <c r="AO2553">
        <v>25</v>
      </c>
      <c r="AP2553">
        <v>4600</v>
      </c>
      <c r="AQ2553" t="s">
        <v>131</v>
      </c>
      <c r="AR2553">
        <v>18</v>
      </c>
      <c r="AS2553">
        <v>83</v>
      </c>
      <c r="AT2553">
        <v>-128</v>
      </c>
      <c r="BB2553" t="str">
        <f t="shared" si="991"/>
        <v>1200</v>
      </c>
      <c r="BC2553">
        <v>1</v>
      </c>
      <c r="BD2553" t="str">
        <f t="shared" si="992"/>
        <v xml:space="preserve">N52156  </v>
      </c>
      <c r="BE2553">
        <v>1</v>
      </c>
      <c r="BG2553">
        <v>0</v>
      </c>
      <c r="BH2553">
        <v>0</v>
      </c>
      <c r="BI2553">
        <v>0</v>
      </c>
      <c r="BJ2553">
        <v>4625</v>
      </c>
      <c r="BK2553">
        <v>25</v>
      </c>
      <c r="BL2553" t="s">
        <v>188</v>
      </c>
      <c r="BM2553">
        <v>1</v>
      </c>
      <c r="BN2553">
        <v>1</v>
      </c>
      <c r="BO2553">
        <v>0</v>
      </c>
      <c r="BP2553">
        <v>0</v>
      </c>
      <c r="BS2553">
        <v>0</v>
      </c>
      <c r="BT2553">
        <v>0</v>
      </c>
      <c r="BU2553">
        <v>0</v>
      </c>
      <c r="CE2553" t="str">
        <f t="shared" si="1011"/>
        <v>15:11:37.318</v>
      </c>
      <c r="CF2553">
        <v>318292419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3</v>
      </c>
      <c r="CY2553">
        <v>7</v>
      </c>
      <c r="CZ2553" t="s">
        <v>133</v>
      </c>
      <c r="DA2553">
        <v>276</v>
      </c>
      <c r="DB2553">
        <v>0</v>
      </c>
      <c r="DC2553" t="s">
        <v>402</v>
      </c>
      <c r="DD2553" t="s">
        <v>403</v>
      </c>
      <c r="DG2553">
        <v>1627326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"05/01/2025 15:11:37.548"</f>
        <v>05/01/2025 15:11:37.548</v>
      </c>
      <c r="C2554" t="str">
        <f t="shared" si="988"/>
        <v>FFDFD3C0</v>
      </c>
      <c r="D2554" t="s">
        <v>145</v>
      </c>
      <c r="E2554" t="str">
        <f>"05"</f>
        <v>05</v>
      </c>
      <c r="H2554">
        <v>47</v>
      </c>
      <c r="I2554" t="s">
        <v>146</v>
      </c>
      <c r="J2554" t="s">
        <v>138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R2554" t="s">
        <v>127</v>
      </c>
      <c r="S2554" t="str">
        <f t="shared" si="1010"/>
        <v>15:11:37.000</v>
      </c>
      <c r="T2554" t="str">
        <f t="shared" si="1010"/>
        <v>15:11:37.000</v>
      </c>
      <c r="U2554" t="str">
        <f t="shared" si="990"/>
        <v>A68FCB</v>
      </c>
      <c r="V2554">
        <v>0</v>
      </c>
      <c r="W2554">
        <v>0</v>
      </c>
      <c r="X2554">
        <v>2</v>
      </c>
      <c r="Y2554">
        <v>0</v>
      </c>
      <c r="AA2554">
        <v>1</v>
      </c>
      <c r="AB2554">
        <v>8</v>
      </c>
      <c r="AC2554">
        <v>3</v>
      </c>
      <c r="AD2554">
        <v>0</v>
      </c>
      <c r="AE2554">
        <v>9</v>
      </c>
      <c r="AF2554" t="s">
        <v>138</v>
      </c>
      <c r="AG2554">
        <v>0</v>
      </c>
      <c r="AH2554">
        <v>3</v>
      </c>
      <c r="AI2554">
        <v>2</v>
      </c>
      <c r="AJ2554">
        <v>0</v>
      </c>
      <c r="AK2554" t="s">
        <v>866</v>
      </c>
      <c r="AL2554">
        <v>39.087466999999997</v>
      </c>
      <c r="AM2554" t="s">
        <v>867</v>
      </c>
      <c r="AN2554">
        <v>-121.03710700000001</v>
      </c>
      <c r="AO2554">
        <v>25</v>
      </c>
      <c r="AP2554">
        <v>4600</v>
      </c>
      <c r="AQ2554" t="s">
        <v>131</v>
      </c>
      <c r="AR2554">
        <v>18</v>
      </c>
      <c r="AS2554">
        <v>83</v>
      </c>
      <c r="AT2554">
        <v>-128</v>
      </c>
      <c r="BB2554" t="str">
        <f t="shared" si="991"/>
        <v>1200</v>
      </c>
      <c r="BC2554">
        <v>1</v>
      </c>
      <c r="BD2554" t="str">
        <f t="shared" si="992"/>
        <v xml:space="preserve">N52156  </v>
      </c>
      <c r="BE2554">
        <v>1</v>
      </c>
      <c r="BG2554">
        <v>0</v>
      </c>
      <c r="BH2554">
        <v>0</v>
      </c>
      <c r="BI2554">
        <v>0</v>
      </c>
      <c r="BJ2554">
        <v>4625</v>
      </c>
      <c r="BK2554">
        <v>25</v>
      </c>
      <c r="BL2554" t="s">
        <v>188</v>
      </c>
      <c r="BM2554">
        <v>1</v>
      </c>
      <c r="BN2554">
        <v>1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 t="shared" si="1011"/>
        <v>15:11:37.318</v>
      </c>
      <c r="CF2554">
        <v>318292419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3</v>
      </c>
      <c r="CY2554">
        <v>7</v>
      </c>
      <c r="CZ2554" t="s">
        <v>133</v>
      </c>
      <c r="DA2554">
        <v>276</v>
      </c>
      <c r="DB2554">
        <v>0</v>
      </c>
      <c r="DC2554" t="s">
        <v>402</v>
      </c>
      <c r="DD2554" t="s">
        <v>403</v>
      </c>
      <c r="DG2554">
        <v>1627326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"05/01/2025 15:11:37.548"</f>
        <v>05/01/2025 15:11:37.548</v>
      </c>
      <c r="C2555" t="str">
        <f t="shared" si="988"/>
        <v>FFDFD3C0</v>
      </c>
      <c r="D2555" t="s">
        <v>145</v>
      </c>
      <c r="E2555" t="str">
        <f>"09"</f>
        <v>09</v>
      </c>
      <c r="H2555">
        <v>51</v>
      </c>
      <c r="I2555" t="s">
        <v>147</v>
      </c>
      <c r="J2555" t="s">
        <v>138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R2555" t="s">
        <v>127</v>
      </c>
      <c r="S2555" t="str">
        <f t="shared" si="1010"/>
        <v>15:11:37.000</v>
      </c>
      <c r="T2555" t="str">
        <f t="shared" si="1010"/>
        <v>15:11:37.000</v>
      </c>
      <c r="U2555" t="str">
        <f t="shared" si="990"/>
        <v>A68FCB</v>
      </c>
      <c r="V2555">
        <v>0</v>
      </c>
      <c r="W2555">
        <v>0</v>
      </c>
      <c r="X2555">
        <v>2</v>
      </c>
      <c r="Y2555">
        <v>0</v>
      </c>
      <c r="AA2555">
        <v>1</v>
      </c>
      <c r="AB2555">
        <v>8</v>
      </c>
      <c r="AC2555">
        <v>3</v>
      </c>
      <c r="AD2555">
        <v>0</v>
      </c>
      <c r="AE2555">
        <v>9</v>
      </c>
      <c r="AF2555" t="s">
        <v>138</v>
      </c>
      <c r="AG2555">
        <v>0</v>
      </c>
      <c r="AH2555">
        <v>3</v>
      </c>
      <c r="AI2555">
        <v>2</v>
      </c>
      <c r="AJ2555">
        <v>0</v>
      </c>
      <c r="AK2555" t="s">
        <v>866</v>
      </c>
      <c r="AL2555">
        <v>39.087466999999997</v>
      </c>
      <c r="AM2555" t="s">
        <v>867</v>
      </c>
      <c r="AN2555">
        <v>-121.03710700000001</v>
      </c>
      <c r="AO2555">
        <v>25</v>
      </c>
      <c r="AP2555">
        <v>4600</v>
      </c>
      <c r="AQ2555" t="s">
        <v>131</v>
      </c>
      <c r="AR2555">
        <v>18</v>
      </c>
      <c r="AS2555">
        <v>83</v>
      </c>
      <c r="AT2555">
        <v>-128</v>
      </c>
      <c r="BB2555" t="str">
        <f t="shared" si="991"/>
        <v>1200</v>
      </c>
      <c r="BC2555">
        <v>1</v>
      </c>
      <c r="BD2555" t="str">
        <f t="shared" si="992"/>
        <v xml:space="preserve">N52156  </v>
      </c>
      <c r="BE2555">
        <v>1</v>
      </c>
      <c r="BG2555">
        <v>0</v>
      </c>
      <c r="BH2555">
        <v>0</v>
      </c>
      <c r="BI2555">
        <v>0</v>
      </c>
      <c r="BJ2555">
        <v>4625</v>
      </c>
      <c r="BK2555">
        <v>25</v>
      </c>
      <c r="BL2555" t="s">
        <v>188</v>
      </c>
      <c r="BM2555">
        <v>1</v>
      </c>
      <c r="BN2555">
        <v>1</v>
      </c>
      <c r="BO2555">
        <v>0</v>
      </c>
      <c r="BP2555">
        <v>0</v>
      </c>
      <c r="BS2555">
        <v>0</v>
      </c>
      <c r="BT2555">
        <v>0</v>
      </c>
      <c r="BU2555">
        <v>0</v>
      </c>
      <c r="CE2555" t="str">
        <f t="shared" si="1011"/>
        <v>15:11:37.318</v>
      </c>
      <c r="CF2555">
        <v>318292419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3</v>
      </c>
      <c r="CY2555">
        <v>7</v>
      </c>
      <c r="CZ2555" t="s">
        <v>133</v>
      </c>
      <c r="DA2555">
        <v>276</v>
      </c>
      <c r="DB2555">
        <v>0</v>
      </c>
      <c r="DC2555" t="s">
        <v>402</v>
      </c>
      <c r="DD2555" t="s">
        <v>403</v>
      </c>
      <c r="DG2555">
        <v>1627326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"05/01/2025 15:11:37.555"</f>
        <v>05/01/2025 15:11:37.555</v>
      </c>
      <c r="C2556" t="str">
        <f t="shared" si="988"/>
        <v>FFDFD3C0</v>
      </c>
      <c r="D2556" t="s">
        <v>136</v>
      </c>
      <c r="E2556" t="str">
        <f>"20"</f>
        <v>20</v>
      </c>
      <c r="H2556">
        <v>400</v>
      </c>
      <c r="I2556" t="s">
        <v>137</v>
      </c>
      <c r="J2556" t="s">
        <v>138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R2556" t="s">
        <v>127</v>
      </c>
      <c r="S2556" t="str">
        <f t="shared" si="1010"/>
        <v>15:11:37.000</v>
      </c>
      <c r="T2556" t="str">
        <f t="shared" si="1010"/>
        <v>15:11:37.000</v>
      </c>
      <c r="U2556" t="str">
        <f t="shared" si="990"/>
        <v>A68FCB</v>
      </c>
      <c r="V2556">
        <v>0</v>
      </c>
      <c r="W2556">
        <v>0</v>
      </c>
      <c r="X2556">
        <v>2</v>
      </c>
      <c r="Y2556">
        <v>0</v>
      </c>
      <c r="AA2556">
        <v>1</v>
      </c>
      <c r="AB2556">
        <v>8</v>
      </c>
      <c r="AC2556">
        <v>3</v>
      </c>
      <c r="AD2556">
        <v>0</v>
      </c>
      <c r="AE2556">
        <v>9</v>
      </c>
      <c r="AF2556" t="s">
        <v>138</v>
      </c>
      <c r="AG2556">
        <v>0</v>
      </c>
      <c r="AH2556">
        <v>3</v>
      </c>
      <c r="AI2556">
        <v>2</v>
      </c>
      <c r="AJ2556">
        <v>0</v>
      </c>
      <c r="AK2556" t="s">
        <v>866</v>
      </c>
      <c r="AL2556">
        <v>39.087466999999997</v>
      </c>
      <c r="AM2556" t="s">
        <v>867</v>
      </c>
      <c r="AN2556">
        <v>-121.03710700000001</v>
      </c>
      <c r="AO2556">
        <v>25</v>
      </c>
      <c r="AP2556">
        <v>4600</v>
      </c>
      <c r="AQ2556" t="s">
        <v>131</v>
      </c>
      <c r="AR2556">
        <v>18</v>
      </c>
      <c r="AS2556">
        <v>83</v>
      </c>
      <c r="AT2556">
        <v>-128</v>
      </c>
      <c r="BB2556" t="str">
        <f t="shared" si="991"/>
        <v>1200</v>
      </c>
      <c r="BC2556">
        <v>1</v>
      </c>
      <c r="BD2556" t="str">
        <f t="shared" si="992"/>
        <v xml:space="preserve">N52156  </v>
      </c>
      <c r="BE2556">
        <v>1</v>
      </c>
      <c r="BG2556">
        <v>0</v>
      </c>
      <c r="BH2556">
        <v>0</v>
      </c>
      <c r="BI2556">
        <v>0</v>
      </c>
      <c r="BJ2556">
        <v>4625</v>
      </c>
      <c r="BK2556">
        <v>25</v>
      </c>
      <c r="BL2556" t="s">
        <v>188</v>
      </c>
      <c r="BM2556">
        <v>1</v>
      </c>
      <c r="BN2556">
        <v>1</v>
      </c>
      <c r="BO2556">
        <v>0</v>
      </c>
      <c r="BP2556">
        <v>0</v>
      </c>
      <c r="BS2556">
        <v>0</v>
      </c>
      <c r="BT2556">
        <v>0</v>
      </c>
      <c r="BU2556">
        <v>0</v>
      </c>
      <c r="CE2556" t="str">
        <f t="shared" si="1011"/>
        <v>15:11:37.318</v>
      </c>
      <c r="CF2556">
        <v>318292419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3</v>
      </c>
      <c r="CY2556">
        <v>7</v>
      </c>
      <c r="CZ2556" t="s">
        <v>133</v>
      </c>
      <c r="DA2556">
        <v>276</v>
      </c>
      <c r="DB2556">
        <v>0</v>
      </c>
      <c r="DC2556" t="s">
        <v>402</v>
      </c>
      <c r="DD2556" t="s">
        <v>403</v>
      </c>
      <c r="DG2556">
        <v>1627326</v>
      </c>
      <c r="DI2556">
        <v>1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"05/01/2025 15:11:37.562"</f>
        <v>05/01/2025 15:11:37.562</v>
      </c>
      <c r="C2557" t="str">
        <f t="shared" si="988"/>
        <v>FFDFD3C0</v>
      </c>
      <c r="D2557" t="s">
        <v>143</v>
      </c>
      <c r="E2557" t="str">
        <f>"05"</f>
        <v>05</v>
      </c>
      <c r="H2557">
        <v>172</v>
      </c>
      <c r="I2557" t="s">
        <v>141</v>
      </c>
      <c r="J2557" t="s">
        <v>144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R2557" t="s">
        <v>127</v>
      </c>
      <c r="S2557" t="str">
        <f t="shared" si="1010"/>
        <v>15:11:37.000</v>
      </c>
      <c r="T2557" t="str">
        <f t="shared" si="1010"/>
        <v>15:11:37.000</v>
      </c>
      <c r="U2557" t="str">
        <f t="shared" si="990"/>
        <v>A68FCB</v>
      </c>
      <c r="V2557">
        <v>0</v>
      </c>
      <c r="W2557">
        <v>0</v>
      </c>
      <c r="X2557">
        <v>2</v>
      </c>
      <c r="Y2557">
        <v>0</v>
      </c>
      <c r="AA2557">
        <v>1</v>
      </c>
      <c r="AB2557">
        <v>8</v>
      </c>
      <c r="AC2557">
        <v>3</v>
      </c>
      <c r="AD2557">
        <v>0</v>
      </c>
      <c r="AE2557">
        <v>9</v>
      </c>
      <c r="AF2557" t="s">
        <v>138</v>
      </c>
      <c r="AG2557">
        <v>0</v>
      </c>
      <c r="AH2557">
        <v>3</v>
      </c>
      <c r="AI2557">
        <v>2</v>
      </c>
      <c r="AJ2557">
        <v>0</v>
      </c>
      <c r="AK2557" t="s">
        <v>866</v>
      </c>
      <c r="AL2557">
        <v>39.087466999999997</v>
      </c>
      <c r="AM2557" t="s">
        <v>867</v>
      </c>
      <c r="AN2557">
        <v>-121.03710700000001</v>
      </c>
      <c r="AO2557">
        <v>25</v>
      </c>
      <c r="AP2557">
        <v>4600</v>
      </c>
      <c r="AQ2557" t="s">
        <v>131</v>
      </c>
      <c r="AR2557">
        <v>18</v>
      </c>
      <c r="AS2557">
        <v>83</v>
      </c>
      <c r="AT2557">
        <v>-128</v>
      </c>
      <c r="BB2557" t="str">
        <f t="shared" si="991"/>
        <v>1200</v>
      </c>
      <c r="BC2557">
        <v>1</v>
      </c>
      <c r="BD2557" t="str">
        <f t="shared" si="992"/>
        <v xml:space="preserve">N52156  </v>
      </c>
      <c r="BE2557">
        <v>1</v>
      </c>
      <c r="BG2557">
        <v>0</v>
      </c>
      <c r="BH2557">
        <v>0</v>
      </c>
      <c r="BI2557">
        <v>0</v>
      </c>
      <c r="BJ2557">
        <v>4625</v>
      </c>
      <c r="BK2557">
        <v>25</v>
      </c>
      <c r="BL2557" t="s">
        <v>188</v>
      </c>
      <c r="BM2557">
        <v>1</v>
      </c>
      <c r="BN2557">
        <v>1</v>
      </c>
      <c r="BO2557">
        <v>0</v>
      </c>
      <c r="BP2557">
        <v>0</v>
      </c>
      <c r="BS2557">
        <v>0</v>
      </c>
      <c r="BT2557">
        <v>0</v>
      </c>
      <c r="BU2557">
        <v>0</v>
      </c>
      <c r="CE2557" t="str">
        <f t="shared" si="1011"/>
        <v>15:11:37.318</v>
      </c>
      <c r="CF2557">
        <v>318292419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3</v>
      </c>
      <c r="CY2557">
        <v>7</v>
      </c>
      <c r="CZ2557" t="s">
        <v>133</v>
      </c>
      <c r="DA2557">
        <v>276</v>
      </c>
      <c r="DB2557">
        <v>0</v>
      </c>
      <c r="DC2557" t="s">
        <v>402</v>
      </c>
      <c r="DD2557" t="s">
        <v>403</v>
      </c>
      <c r="DG2557">
        <v>1627326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"05/01/2025 15:11:38.480"</f>
        <v>05/01/2025 15:11:38.480</v>
      </c>
      <c r="C2558" t="str">
        <f t="shared" si="988"/>
        <v>FFDFD3C0</v>
      </c>
      <c r="D2558" t="s">
        <v>140</v>
      </c>
      <c r="E2558" t="str">
        <f>"13"</f>
        <v>13</v>
      </c>
      <c r="F2558">
        <v>1019</v>
      </c>
      <c r="G2558" t="s">
        <v>141</v>
      </c>
      <c r="J2558" t="s">
        <v>142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R2558" t="s">
        <v>127</v>
      </c>
      <c r="S2558" t="str">
        <f t="shared" ref="S2558:T2563" si="1012">"15:11:38.000"</f>
        <v>15:11:38.000</v>
      </c>
      <c r="T2558" t="str">
        <f t="shared" si="1012"/>
        <v>15:11:38.000</v>
      </c>
      <c r="U2558" t="str">
        <f t="shared" si="990"/>
        <v>A68FCB</v>
      </c>
      <c r="V2558">
        <v>0</v>
      </c>
      <c r="W2558">
        <v>0</v>
      </c>
      <c r="X2558">
        <v>2</v>
      </c>
      <c r="Y2558">
        <v>0</v>
      </c>
      <c r="AA2558">
        <v>1</v>
      </c>
      <c r="AB2558">
        <v>8</v>
      </c>
      <c r="AC2558">
        <v>3</v>
      </c>
      <c r="AD2558">
        <v>0</v>
      </c>
      <c r="AE2558">
        <v>9</v>
      </c>
      <c r="AF2558" t="s">
        <v>138</v>
      </c>
      <c r="AG2558">
        <v>0</v>
      </c>
      <c r="AH2558">
        <v>3</v>
      </c>
      <c r="AI2558">
        <v>2</v>
      </c>
      <c r="AJ2558">
        <v>0</v>
      </c>
      <c r="AK2558" t="s">
        <v>868</v>
      </c>
      <c r="AL2558">
        <v>39.087874999999997</v>
      </c>
      <c r="AM2558" t="s">
        <v>869</v>
      </c>
      <c r="AN2558">
        <v>-121.036978</v>
      </c>
      <c r="AO2558">
        <v>25</v>
      </c>
      <c r="AP2558">
        <v>4600</v>
      </c>
      <c r="AQ2558" t="s">
        <v>131</v>
      </c>
      <c r="AR2558">
        <v>18</v>
      </c>
      <c r="AS2558">
        <v>83</v>
      </c>
      <c r="AT2558">
        <v>-128</v>
      </c>
      <c r="BB2558" t="str">
        <f t="shared" si="991"/>
        <v>1200</v>
      </c>
      <c r="BC2558">
        <v>1</v>
      </c>
      <c r="BD2558" t="str">
        <f t="shared" si="992"/>
        <v xml:space="preserve">N52156  </v>
      </c>
      <c r="BE2558">
        <v>1</v>
      </c>
      <c r="BG2558">
        <v>0</v>
      </c>
      <c r="BH2558">
        <v>0</v>
      </c>
      <c r="BI2558">
        <v>0</v>
      </c>
      <c r="BJ2558">
        <v>4625</v>
      </c>
      <c r="BK2558">
        <v>25</v>
      </c>
      <c r="BL2558" t="s">
        <v>188</v>
      </c>
      <c r="BM2558">
        <v>1</v>
      </c>
      <c r="BN2558">
        <v>1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 t="shared" ref="CE2558:CE2563" si="1013">"15:11:38.269"</f>
        <v>15:11:38.269</v>
      </c>
      <c r="CF2558">
        <v>269042410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4</v>
      </c>
      <c r="CY2558">
        <v>7</v>
      </c>
      <c r="CZ2558" t="s">
        <v>133</v>
      </c>
      <c r="DA2558">
        <v>276</v>
      </c>
      <c r="DB2558">
        <v>0</v>
      </c>
      <c r="DC2558" t="s">
        <v>402</v>
      </c>
      <c r="DD2558" t="s">
        <v>403</v>
      </c>
      <c r="DG2558">
        <v>1627335</v>
      </c>
      <c r="DI2558">
        <v>1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>"05/01/2025 15:11:38.488"</f>
        <v>05/01/2025 15:11:38.488</v>
      </c>
      <c r="C2559" t="str">
        <f t="shared" si="988"/>
        <v>FFDFD3C0</v>
      </c>
      <c r="D2559" t="s">
        <v>124</v>
      </c>
      <c r="E2559" t="str">
        <f>"06"</f>
        <v>06</v>
      </c>
      <c r="F2559">
        <v>2006</v>
      </c>
      <c r="G2559" t="s">
        <v>125</v>
      </c>
      <c r="J2559" t="s">
        <v>126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R2559" t="s">
        <v>127</v>
      </c>
      <c r="S2559" t="str">
        <f t="shared" si="1012"/>
        <v>15:11:38.000</v>
      </c>
      <c r="T2559" t="str">
        <f t="shared" si="1012"/>
        <v>15:11:38.000</v>
      </c>
      <c r="U2559" t="str">
        <f t="shared" si="990"/>
        <v>A68FCB</v>
      </c>
      <c r="V2559">
        <v>0</v>
      </c>
      <c r="W2559">
        <v>0</v>
      </c>
      <c r="X2559">
        <v>2</v>
      </c>
      <c r="Y2559">
        <v>0</v>
      </c>
      <c r="AA2559">
        <v>1</v>
      </c>
      <c r="AB2559">
        <v>8</v>
      </c>
      <c r="AC2559">
        <v>3</v>
      </c>
      <c r="AD2559">
        <v>0</v>
      </c>
      <c r="AE2559">
        <v>9</v>
      </c>
      <c r="AF2559" t="s">
        <v>138</v>
      </c>
      <c r="AG2559">
        <v>0</v>
      </c>
      <c r="AH2559">
        <v>3</v>
      </c>
      <c r="AI2559">
        <v>2</v>
      </c>
      <c r="AJ2559">
        <v>0</v>
      </c>
      <c r="AK2559" t="s">
        <v>868</v>
      </c>
      <c r="AL2559">
        <v>39.087874999999997</v>
      </c>
      <c r="AM2559" t="s">
        <v>869</v>
      </c>
      <c r="AN2559">
        <v>-121.036978</v>
      </c>
      <c r="AO2559">
        <v>25</v>
      </c>
      <c r="AP2559">
        <v>4600</v>
      </c>
      <c r="AQ2559" t="s">
        <v>131</v>
      </c>
      <c r="AR2559">
        <v>18</v>
      </c>
      <c r="AS2559">
        <v>83</v>
      </c>
      <c r="AT2559">
        <v>-128</v>
      </c>
      <c r="BB2559" t="str">
        <f t="shared" si="991"/>
        <v>1200</v>
      </c>
      <c r="BC2559">
        <v>1</v>
      </c>
      <c r="BD2559" t="str">
        <f t="shared" si="992"/>
        <v xml:space="preserve">N52156  </v>
      </c>
      <c r="BE2559">
        <v>1</v>
      </c>
      <c r="BG2559">
        <v>0</v>
      </c>
      <c r="BH2559">
        <v>0</v>
      </c>
      <c r="BI2559">
        <v>0</v>
      </c>
      <c r="BJ2559">
        <v>4625</v>
      </c>
      <c r="BK2559">
        <v>25</v>
      </c>
      <c r="BL2559" t="s">
        <v>188</v>
      </c>
      <c r="BM2559">
        <v>1</v>
      </c>
      <c r="BN2559">
        <v>1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 t="shared" si="1013"/>
        <v>15:11:38.269</v>
      </c>
      <c r="CF2559">
        <v>269042410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4</v>
      </c>
      <c r="CY2559">
        <v>7</v>
      </c>
      <c r="CZ2559" t="s">
        <v>133</v>
      </c>
      <c r="DA2559">
        <v>276</v>
      </c>
      <c r="DB2559">
        <v>0</v>
      </c>
      <c r="DC2559" t="s">
        <v>402</v>
      </c>
      <c r="DD2559" t="s">
        <v>403</v>
      </c>
      <c r="DG2559">
        <v>1627335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>"05/01/2025 15:11:38.499"</f>
        <v>05/01/2025 15:11:38.499</v>
      </c>
      <c r="C2560" t="str">
        <f t="shared" si="988"/>
        <v>FFDFD3C0</v>
      </c>
      <c r="D2560" t="s">
        <v>145</v>
      </c>
      <c r="E2560" t="str">
        <f>"05"</f>
        <v>05</v>
      </c>
      <c r="H2560">
        <v>47</v>
      </c>
      <c r="I2560" t="s">
        <v>146</v>
      </c>
      <c r="J2560" t="s">
        <v>138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R2560" t="s">
        <v>127</v>
      </c>
      <c r="S2560" t="str">
        <f t="shared" si="1012"/>
        <v>15:11:38.000</v>
      </c>
      <c r="T2560" t="str">
        <f t="shared" si="1012"/>
        <v>15:11:38.000</v>
      </c>
      <c r="U2560" t="str">
        <f t="shared" si="990"/>
        <v>A68FCB</v>
      </c>
      <c r="V2560">
        <v>0</v>
      </c>
      <c r="W2560">
        <v>0</v>
      </c>
      <c r="X2560">
        <v>2</v>
      </c>
      <c r="Y2560">
        <v>0</v>
      </c>
      <c r="AA2560">
        <v>1</v>
      </c>
      <c r="AB2560">
        <v>8</v>
      </c>
      <c r="AC2560">
        <v>3</v>
      </c>
      <c r="AD2560">
        <v>0</v>
      </c>
      <c r="AE2560">
        <v>9</v>
      </c>
      <c r="AF2560" t="s">
        <v>138</v>
      </c>
      <c r="AG2560">
        <v>0</v>
      </c>
      <c r="AH2560">
        <v>3</v>
      </c>
      <c r="AI2560">
        <v>2</v>
      </c>
      <c r="AJ2560">
        <v>0</v>
      </c>
      <c r="AK2560" t="s">
        <v>868</v>
      </c>
      <c r="AL2560">
        <v>39.087874999999997</v>
      </c>
      <c r="AM2560" t="s">
        <v>869</v>
      </c>
      <c r="AN2560">
        <v>-121.036978</v>
      </c>
      <c r="AO2560">
        <v>25</v>
      </c>
      <c r="AP2560">
        <v>4600</v>
      </c>
      <c r="AQ2560" t="s">
        <v>131</v>
      </c>
      <c r="AR2560">
        <v>18</v>
      </c>
      <c r="AS2560">
        <v>83</v>
      </c>
      <c r="AT2560">
        <v>-128</v>
      </c>
      <c r="BB2560" t="str">
        <f t="shared" si="991"/>
        <v>1200</v>
      </c>
      <c r="BC2560">
        <v>1</v>
      </c>
      <c r="BD2560" t="str">
        <f t="shared" si="992"/>
        <v xml:space="preserve">N52156  </v>
      </c>
      <c r="BE2560">
        <v>1</v>
      </c>
      <c r="BG2560">
        <v>0</v>
      </c>
      <c r="BH2560">
        <v>0</v>
      </c>
      <c r="BI2560">
        <v>0</v>
      </c>
      <c r="BJ2560">
        <v>4625</v>
      </c>
      <c r="BK2560">
        <v>25</v>
      </c>
      <c r="BL2560" t="s">
        <v>188</v>
      </c>
      <c r="BM2560">
        <v>1</v>
      </c>
      <c r="BN2560">
        <v>1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 t="shared" si="1013"/>
        <v>15:11:38.269</v>
      </c>
      <c r="CF2560">
        <v>269042410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4</v>
      </c>
      <c r="CY2560">
        <v>7</v>
      </c>
      <c r="CZ2560" t="s">
        <v>133</v>
      </c>
      <c r="DA2560">
        <v>276</v>
      </c>
      <c r="DB2560">
        <v>0</v>
      </c>
      <c r="DC2560" t="s">
        <v>402</v>
      </c>
      <c r="DD2560" t="s">
        <v>403</v>
      </c>
      <c r="DG2560">
        <v>1627335</v>
      </c>
      <c r="DI2560">
        <v>1</v>
      </c>
      <c r="DJ2560">
        <v>0</v>
      </c>
      <c r="DK2560">
        <v>1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>"05/01/2025 15:11:38.500"</f>
        <v>05/01/2025 15:11:38.500</v>
      </c>
      <c r="C2561" t="str">
        <f t="shared" si="988"/>
        <v>FFDFD3C0</v>
      </c>
      <c r="D2561" t="s">
        <v>145</v>
      </c>
      <c r="E2561" t="str">
        <f>"09"</f>
        <v>09</v>
      </c>
      <c r="H2561">
        <v>51</v>
      </c>
      <c r="I2561" t="s">
        <v>147</v>
      </c>
      <c r="J2561" t="s">
        <v>138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R2561" t="s">
        <v>127</v>
      </c>
      <c r="S2561" t="str">
        <f t="shared" si="1012"/>
        <v>15:11:38.000</v>
      </c>
      <c r="T2561" t="str">
        <f t="shared" si="1012"/>
        <v>15:11:38.000</v>
      </c>
      <c r="U2561" t="str">
        <f t="shared" si="990"/>
        <v>A68FCB</v>
      </c>
      <c r="V2561">
        <v>0</v>
      </c>
      <c r="W2561">
        <v>0</v>
      </c>
      <c r="X2561">
        <v>2</v>
      </c>
      <c r="Y2561">
        <v>0</v>
      </c>
      <c r="AA2561">
        <v>1</v>
      </c>
      <c r="AB2561">
        <v>8</v>
      </c>
      <c r="AC2561">
        <v>3</v>
      </c>
      <c r="AD2561">
        <v>0</v>
      </c>
      <c r="AE2561">
        <v>9</v>
      </c>
      <c r="AF2561" t="s">
        <v>138</v>
      </c>
      <c r="AG2561">
        <v>0</v>
      </c>
      <c r="AH2561">
        <v>3</v>
      </c>
      <c r="AI2561">
        <v>2</v>
      </c>
      <c r="AJ2561">
        <v>0</v>
      </c>
      <c r="AK2561" t="s">
        <v>868</v>
      </c>
      <c r="AL2561">
        <v>39.087874999999997</v>
      </c>
      <c r="AM2561" t="s">
        <v>869</v>
      </c>
      <c r="AN2561">
        <v>-121.036978</v>
      </c>
      <c r="AO2561">
        <v>25</v>
      </c>
      <c r="AP2561">
        <v>4600</v>
      </c>
      <c r="AQ2561" t="s">
        <v>131</v>
      </c>
      <c r="AR2561">
        <v>18</v>
      </c>
      <c r="AS2561">
        <v>83</v>
      </c>
      <c r="AT2561">
        <v>-128</v>
      </c>
      <c r="BB2561" t="str">
        <f t="shared" si="991"/>
        <v>1200</v>
      </c>
      <c r="BC2561">
        <v>1</v>
      </c>
      <c r="BD2561" t="str">
        <f t="shared" si="992"/>
        <v xml:space="preserve">N52156  </v>
      </c>
      <c r="BE2561">
        <v>1</v>
      </c>
      <c r="BG2561">
        <v>0</v>
      </c>
      <c r="BH2561">
        <v>0</v>
      </c>
      <c r="BI2561">
        <v>0</v>
      </c>
      <c r="BJ2561">
        <v>4625</v>
      </c>
      <c r="BK2561">
        <v>25</v>
      </c>
      <c r="BL2561" t="s">
        <v>188</v>
      </c>
      <c r="BM2561">
        <v>1</v>
      </c>
      <c r="BN2561">
        <v>1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 t="shared" si="1013"/>
        <v>15:11:38.269</v>
      </c>
      <c r="CF2561">
        <v>269042410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4</v>
      </c>
      <c r="CY2561">
        <v>7</v>
      </c>
      <c r="CZ2561" t="s">
        <v>133</v>
      </c>
      <c r="DA2561">
        <v>276</v>
      </c>
      <c r="DB2561">
        <v>0</v>
      </c>
      <c r="DC2561" t="s">
        <v>402</v>
      </c>
      <c r="DD2561" t="s">
        <v>403</v>
      </c>
      <c r="DG2561">
        <v>1627335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>"05/01/2025 15:11:38.506"</f>
        <v>05/01/2025 15:11:38.506</v>
      </c>
      <c r="C2562" t="str">
        <f t="shared" ref="C2562:C2625" si="1014">"FFDFD3C0"</f>
        <v>FFDFD3C0</v>
      </c>
      <c r="D2562" t="s">
        <v>136</v>
      </c>
      <c r="E2562" t="str">
        <f>"20"</f>
        <v>20</v>
      </c>
      <c r="H2562">
        <v>400</v>
      </c>
      <c r="I2562" t="s">
        <v>137</v>
      </c>
      <c r="J2562" t="s">
        <v>138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R2562" t="s">
        <v>127</v>
      </c>
      <c r="S2562" t="str">
        <f t="shared" si="1012"/>
        <v>15:11:38.000</v>
      </c>
      <c r="T2562" t="str">
        <f t="shared" si="1012"/>
        <v>15:11:38.000</v>
      </c>
      <c r="U2562" t="str">
        <f t="shared" ref="U2562:U2625" si="1015">"A68FCB"</f>
        <v>A68FCB</v>
      </c>
      <c r="V2562">
        <v>0</v>
      </c>
      <c r="W2562">
        <v>0</v>
      </c>
      <c r="X2562">
        <v>2</v>
      </c>
      <c r="Y2562">
        <v>0</v>
      </c>
      <c r="AA2562">
        <v>1</v>
      </c>
      <c r="AB2562">
        <v>8</v>
      </c>
      <c r="AC2562">
        <v>3</v>
      </c>
      <c r="AD2562">
        <v>0</v>
      </c>
      <c r="AE2562">
        <v>9</v>
      </c>
      <c r="AF2562" t="s">
        <v>138</v>
      </c>
      <c r="AG2562">
        <v>0</v>
      </c>
      <c r="AH2562">
        <v>3</v>
      </c>
      <c r="AI2562">
        <v>2</v>
      </c>
      <c r="AJ2562">
        <v>0</v>
      </c>
      <c r="AK2562" t="s">
        <v>868</v>
      </c>
      <c r="AL2562">
        <v>39.087874999999997</v>
      </c>
      <c r="AM2562" t="s">
        <v>869</v>
      </c>
      <c r="AN2562">
        <v>-121.036978</v>
      </c>
      <c r="AO2562">
        <v>25</v>
      </c>
      <c r="AP2562">
        <v>4600</v>
      </c>
      <c r="AQ2562" t="s">
        <v>131</v>
      </c>
      <c r="AR2562">
        <v>18</v>
      </c>
      <c r="AS2562">
        <v>83</v>
      </c>
      <c r="AT2562">
        <v>-128</v>
      </c>
      <c r="BB2562" t="str">
        <f t="shared" ref="BB2562:BB2625" si="1016">"1200"</f>
        <v>1200</v>
      </c>
      <c r="BC2562">
        <v>1</v>
      </c>
      <c r="BD2562" t="str">
        <f t="shared" ref="BD2562:BD2625" si="1017">"N52156  "</f>
        <v xml:space="preserve">N52156  </v>
      </c>
      <c r="BE2562">
        <v>1</v>
      </c>
      <c r="BG2562">
        <v>0</v>
      </c>
      <c r="BH2562">
        <v>0</v>
      </c>
      <c r="BI2562">
        <v>0</v>
      </c>
      <c r="BJ2562">
        <v>4625</v>
      </c>
      <c r="BK2562">
        <v>25</v>
      </c>
      <c r="BL2562" t="s">
        <v>188</v>
      </c>
      <c r="BM2562">
        <v>1</v>
      </c>
      <c r="BN2562">
        <v>1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 t="shared" si="1013"/>
        <v>15:11:38.269</v>
      </c>
      <c r="CF2562">
        <v>269042410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4</v>
      </c>
      <c r="CY2562">
        <v>7</v>
      </c>
      <c r="CZ2562" t="s">
        <v>133</v>
      </c>
      <c r="DA2562">
        <v>276</v>
      </c>
      <c r="DB2562">
        <v>0</v>
      </c>
      <c r="DC2562" t="s">
        <v>402</v>
      </c>
      <c r="DD2562" t="s">
        <v>403</v>
      </c>
      <c r="DG2562">
        <v>1627335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"05/01/2025 15:11:38.513"</f>
        <v>05/01/2025 15:11:38.513</v>
      </c>
      <c r="C2563" t="str">
        <f t="shared" si="1014"/>
        <v>FFDFD3C0</v>
      </c>
      <c r="D2563" t="s">
        <v>143</v>
      </c>
      <c r="E2563" t="str">
        <f>"05"</f>
        <v>05</v>
      </c>
      <c r="H2563">
        <v>172</v>
      </c>
      <c r="I2563" t="s">
        <v>141</v>
      </c>
      <c r="J2563" t="s">
        <v>144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R2563" t="s">
        <v>127</v>
      </c>
      <c r="S2563" t="str">
        <f t="shared" si="1012"/>
        <v>15:11:38.000</v>
      </c>
      <c r="T2563" t="str">
        <f t="shared" si="1012"/>
        <v>15:11:38.000</v>
      </c>
      <c r="U2563" t="str">
        <f t="shared" si="1015"/>
        <v>A68FCB</v>
      </c>
      <c r="V2563">
        <v>0</v>
      </c>
      <c r="W2563">
        <v>0</v>
      </c>
      <c r="X2563">
        <v>2</v>
      </c>
      <c r="Y2563">
        <v>0</v>
      </c>
      <c r="AA2563">
        <v>1</v>
      </c>
      <c r="AB2563">
        <v>8</v>
      </c>
      <c r="AC2563">
        <v>3</v>
      </c>
      <c r="AD2563">
        <v>0</v>
      </c>
      <c r="AE2563">
        <v>9</v>
      </c>
      <c r="AF2563" t="s">
        <v>138</v>
      </c>
      <c r="AG2563">
        <v>0</v>
      </c>
      <c r="AH2563">
        <v>3</v>
      </c>
      <c r="AI2563">
        <v>2</v>
      </c>
      <c r="AJ2563">
        <v>0</v>
      </c>
      <c r="AK2563" t="s">
        <v>868</v>
      </c>
      <c r="AL2563">
        <v>39.087874999999997</v>
      </c>
      <c r="AM2563" t="s">
        <v>869</v>
      </c>
      <c r="AN2563">
        <v>-121.036978</v>
      </c>
      <c r="AO2563">
        <v>25</v>
      </c>
      <c r="AP2563">
        <v>4600</v>
      </c>
      <c r="AQ2563" t="s">
        <v>131</v>
      </c>
      <c r="AR2563">
        <v>18</v>
      </c>
      <c r="AS2563">
        <v>83</v>
      </c>
      <c r="AT2563">
        <v>-128</v>
      </c>
      <c r="BB2563" t="str">
        <f t="shared" si="1016"/>
        <v>1200</v>
      </c>
      <c r="BC2563">
        <v>1</v>
      </c>
      <c r="BD2563" t="str">
        <f t="shared" si="1017"/>
        <v xml:space="preserve">N52156  </v>
      </c>
      <c r="BE2563">
        <v>1</v>
      </c>
      <c r="BG2563">
        <v>0</v>
      </c>
      <c r="BH2563">
        <v>0</v>
      </c>
      <c r="BI2563">
        <v>0</v>
      </c>
      <c r="BJ2563">
        <v>4625</v>
      </c>
      <c r="BK2563">
        <v>25</v>
      </c>
      <c r="BL2563" t="s">
        <v>188</v>
      </c>
      <c r="BM2563">
        <v>1</v>
      </c>
      <c r="BN2563">
        <v>1</v>
      </c>
      <c r="BO2563">
        <v>0</v>
      </c>
      <c r="BP2563">
        <v>0</v>
      </c>
      <c r="BS2563">
        <v>0</v>
      </c>
      <c r="BT2563">
        <v>0</v>
      </c>
      <c r="BU2563">
        <v>0</v>
      </c>
      <c r="CE2563" t="str">
        <f t="shared" si="1013"/>
        <v>15:11:38.269</v>
      </c>
      <c r="CF2563">
        <v>269042410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4</v>
      </c>
      <c r="CY2563">
        <v>7</v>
      </c>
      <c r="CZ2563" t="s">
        <v>133</v>
      </c>
      <c r="DA2563">
        <v>276</v>
      </c>
      <c r="DB2563">
        <v>0</v>
      </c>
      <c r="DC2563" t="s">
        <v>402</v>
      </c>
      <c r="DD2563" t="s">
        <v>403</v>
      </c>
      <c r="DG2563">
        <v>1627335</v>
      </c>
      <c r="DI2563">
        <v>1</v>
      </c>
      <c r="DJ2563">
        <v>0</v>
      </c>
      <c r="DK2563">
        <v>1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"05/01/2025 15:11:40.183"</f>
        <v>05/01/2025 15:11:40.183</v>
      </c>
      <c r="C2564" t="str">
        <f t="shared" si="1014"/>
        <v>FFDFD3C0</v>
      </c>
      <c r="D2564" t="s">
        <v>140</v>
      </c>
      <c r="E2564" t="str">
        <f>"13"</f>
        <v>13</v>
      </c>
      <c r="F2564">
        <v>1019</v>
      </c>
      <c r="G2564" t="s">
        <v>141</v>
      </c>
      <c r="J2564" t="s">
        <v>142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R2564" t="s">
        <v>127</v>
      </c>
      <c r="S2564" t="str">
        <f t="shared" ref="S2564:T2569" si="1018">"15:11:39.000"</f>
        <v>15:11:39.000</v>
      </c>
      <c r="T2564" t="str">
        <f t="shared" si="1018"/>
        <v>15:11:39.000</v>
      </c>
      <c r="U2564" t="str">
        <f t="shared" si="1015"/>
        <v>A68FCB</v>
      </c>
      <c r="V2564">
        <v>0</v>
      </c>
      <c r="W2564">
        <v>0</v>
      </c>
      <c r="X2564">
        <v>2</v>
      </c>
      <c r="Y2564">
        <v>0</v>
      </c>
      <c r="AA2564">
        <v>1</v>
      </c>
      <c r="AB2564">
        <v>8</v>
      </c>
      <c r="AC2564">
        <v>3</v>
      </c>
      <c r="AD2564">
        <v>0</v>
      </c>
      <c r="AE2564">
        <v>9</v>
      </c>
      <c r="AF2564" t="s">
        <v>138</v>
      </c>
      <c r="AG2564">
        <v>0</v>
      </c>
      <c r="AH2564">
        <v>3</v>
      </c>
      <c r="AI2564">
        <v>2</v>
      </c>
      <c r="AJ2564">
        <v>0</v>
      </c>
      <c r="AK2564" t="s">
        <v>870</v>
      </c>
      <c r="AL2564">
        <v>39.088261000000003</v>
      </c>
      <c r="AM2564" t="s">
        <v>871</v>
      </c>
      <c r="AN2564">
        <v>-121.03686999999999</v>
      </c>
      <c r="AO2564">
        <v>25</v>
      </c>
      <c r="AP2564">
        <v>4600</v>
      </c>
      <c r="AQ2564" t="s">
        <v>131</v>
      </c>
      <c r="AR2564">
        <v>18</v>
      </c>
      <c r="AS2564">
        <v>82</v>
      </c>
      <c r="AT2564">
        <v>-64</v>
      </c>
      <c r="BB2564" t="str">
        <f t="shared" si="1016"/>
        <v>1200</v>
      </c>
      <c r="BC2564">
        <v>1</v>
      </c>
      <c r="BD2564" t="str">
        <f t="shared" si="1017"/>
        <v xml:space="preserve">N52156  </v>
      </c>
      <c r="BE2564">
        <v>1</v>
      </c>
      <c r="BG2564">
        <v>0</v>
      </c>
      <c r="BH2564">
        <v>0</v>
      </c>
      <c r="BI2564">
        <v>0</v>
      </c>
      <c r="BJ2564">
        <v>4625</v>
      </c>
      <c r="BK2564">
        <v>25</v>
      </c>
      <c r="BL2564" t="s">
        <v>188</v>
      </c>
      <c r="BM2564">
        <v>1</v>
      </c>
      <c r="BN2564">
        <v>1</v>
      </c>
      <c r="BO2564">
        <v>0</v>
      </c>
      <c r="BP2564">
        <v>0</v>
      </c>
      <c r="BS2564">
        <v>0</v>
      </c>
      <c r="BT2564">
        <v>0</v>
      </c>
      <c r="BU2564">
        <v>0</v>
      </c>
      <c r="CE2564" t="str">
        <f t="shared" ref="CE2564:CE2569" si="1019">"15:11:39.959"</f>
        <v>15:11:39.959</v>
      </c>
      <c r="CF2564">
        <v>959044335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4</v>
      </c>
      <c r="CY2564">
        <v>7</v>
      </c>
      <c r="CZ2564" t="s">
        <v>133</v>
      </c>
      <c r="DA2564">
        <v>276</v>
      </c>
      <c r="DB2564">
        <v>0</v>
      </c>
      <c r="DC2564" t="s">
        <v>402</v>
      </c>
      <c r="DD2564" t="s">
        <v>403</v>
      </c>
      <c r="DG2564">
        <v>1627348</v>
      </c>
      <c r="DI2564">
        <v>1</v>
      </c>
      <c r="DJ2564">
        <v>0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"05/01/2025 15:11:40.190"</f>
        <v>05/01/2025 15:11:40.190</v>
      </c>
      <c r="C2565" t="str">
        <f t="shared" si="1014"/>
        <v>FFDFD3C0</v>
      </c>
      <c r="D2565" t="s">
        <v>124</v>
      </c>
      <c r="E2565" t="str">
        <f>"06"</f>
        <v>06</v>
      </c>
      <c r="F2565">
        <v>2006</v>
      </c>
      <c r="G2565" t="s">
        <v>125</v>
      </c>
      <c r="J2565" t="s">
        <v>126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R2565" t="s">
        <v>127</v>
      </c>
      <c r="S2565" t="str">
        <f t="shared" si="1018"/>
        <v>15:11:39.000</v>
      </c>
      <c r="T2565" t="str">
        <f t="shared" si="1018"/>
        <v>15:11:39.000</v>
      </c>
      <c r="U2565" t="str">
        <f t="shared" si="1015"/>
        <v>A68FCB</v>
      </c>
      <c r="V2565">
        <v>0</v>
      </c>
      <c r="W2565">
        <v>0</v>
      </c>
      <c r="X2565">
        <v>2</v>
      </c>
      <c r="Y2565">
        <v>0</v>
      </c>
      <c r="AA2565">
        <v>1</v>
      </c>
      <c r="AB2565">
        <v>8</v>
      </c>
      <c r="AC2565">
        <v>3</v>
      </c>
      <c r="AD2565">
        <v>0</v>
      </c>
      <c r="AE2565">
        <v>9</v>
      </c>
      <c r="AF2565" t="s">
        <v>138</v>
      </c>
      <c r="AG2565">
        <v>0</v>
      </c>
      <c r="AH2565">
        <v>3</v>
      </c>
      <c r="AI2565">
        <v>2</v>
      </c>
      <c r="AJ2565">
        <v>0</v>
      </c>
      <c r="AK2565" t="s">
        <v>870</v>
      </c>
      <c r="AL2565">
        <v>39.088261000000003</v>
      </c>
      <c r="AM2565" t="s">
        <v>871</v>
      </c>
      <c r="AN2565">
        <v>-121.03686999999999</v>
      </c>
      <c r="AO2565">
        <v>25</v>
      </c>
      <c r="AP2565">
        <v>4600</v>
      </c>
      <c r="AQ2565" t="s">
        <v>131</v>
      </c>
      <c r="AR2565">
        <v>18</v>
      </c>
      <c r="AS2565">
        <v>82</v>
      </c>
      <c r="AT2565">
        <v>-64</v>
      </c>
      <c r="BB2565" t="str">
        <f t="shared" si="1016"/>
        <v>1200</v>
      </c>
      <c r="BC2565">
        <v>1</v>
      </c>
      <c r="BD2565" t="str">
        <f t="shared" si="1017"/>
        <v xml:space="preserve">N52156  </v>
      </c>
      <c r="BE2565">
        <v>1</v>
      </c>
      <c r="BG2565">
        <v>0</v>
      </c>
      <c r="BH2565">
        <v>0</v>
      </c>
      <c r="BI2565">
        <v>0</v>
      </c>
      <c r="BJ2565">
        <v>4625</v>
      </c>
      <c r="BK2565">
        <v>25</v>
      </c>
      <c r="BL2565" t="s">
        <v>188</v>
      </c>
      <c r="BM2565">
        <v>1</v>
      </c>
      <c r="BN2565">
        <v>1</v>
      </c>
      <c r="BO2565">
        <v>0</v>
      </c>
      <c r="BP2565">
        <v>0</v>
      </c>
      <c r="BS2565">
        <v>0</v>
      </c>
      <c r="BT2565">
        <v>0</v>
      </c>
      <c r="BU2565">
        <v>0</v>
      </c>
      <c r="CE2565" t="str">
        <f t="shared" si="1019"/>
        <v>15:11:39.959</v>
      </c>
      <c r="CF2565">
        <v>959044335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4</v>
      </c>
      <c r="CY2565">
        <v>7</v>
      </c>
      <c r="CZ2565" t="s">
        <v>133</v>
      </c>
      <c r="DA2565">
        <v>276</v>
      </c>
      <c r="DB2565">
        <v>0</v>
      </c>
      <c r="DC2565" t="s">
        <v>402</v>
      </c>
      <c r="DD2565" t="s">
        <v>403</v>
      </c>
      <c r="DG2565">
        <v>1627348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"05/01/2025 15:11:40.203"</f>
        <v>05/01/2025 15:11:40.203</v>
      </c>
      <c r="C2566" t="str">
        <f t="shared" si="1014"/>
        <v>FFDFD3C0</v>
      </c>
      <c r="D2566" t="s">
        <v>145</v>
      </c>
      <c r="E2566" t="str">
        <f>"09"</f>
        <v>09</v>
      </c>
      <c r="H2566">
        <v>51</v>
      </c>
      <c r="I2566" t="s">
        <v>147</v>
      </c>
      <c r="J2566" t="s">
        <v>138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R2566" t="s">
        <v>127</v>
      </c>
      <c r="S2566" t="str">
        <f t="shared" si="1018"/>
        <v>15:11:39.000</v>
      </c>
      <c r="T2566" t="str">
        <f t="shared" si="1018"/>
        <v>15:11:39.000</v>
      </c>
      <c r="U2566" t="str">
        <f t="shared" si="1015"/>
        <v>A68FCB</v>
      </c>
      <c r="V2566">
        <v>0</v>
      </c>
      <c r="W2566">
        <v>0</v>
      </c>
      <c r="X2566">
        <v>2</v>
      </c>
      <c r="Y2566">
        <v>0</v>
      </c>
      <c r="AA2566">
        <v>1</v>
      </c>
      <c r="AB2566">
        <v>8</v>
      </c>
      <c r="AC2566">
        <v>3</v>
      </c>
      <c r="AD2566">
        <v>0</v>
      </c>
      <c r="AE2566">
        <v>9</v>
      </c>
      <c r="AF2566" t="s">
        <v>138</v>
      </c>
      <c r="AG2566">
        <v>0</v>
      </c>
      <c r="AH2566">
        <v>3</v>
      </c>
      <c r="AI2566">
        <v>2</v>
      </c>
      <c r="AJ2566">
        <v>0</v>
      </c>
      <c r="AK2566" t="s">
        <v>870</v>
      </c>
      <c r="AL2566">
        <v>39.088261000000003</v>
      </c>
      <c r="AM2566" t="s">
        <v>871</v>
      </c>
      <c r="AN2566">
        <v>-121.03686999999999</v>
      </c>
      <c r="AO2566">
        <v>25</v>
      </c>
      <c r="AP2566">
        <v>4600</v>
      </c>
      <c r="AQ2566" t="s">
        <v>131</v>
      </c>
      <c r="AR2566">
        <v>18</v>
      </c>
      <c r="AS2566">
        <v>82</v>
      </c>
      <c r="AT2566">
        <v>-64</v>
      </c>
      <c r="BB2566" t="str">
        <f t="shared" si="1016"/>
        <v>1200</v>
      </c>
      <c r="BC2566">
        <v>1</v>
      </c>
      <c r="BD2566" t="str">
        <f t="shared" si="1017"/>
        <v xml:space="preserve">N52156  </v>
      </c>
      <c r="BE2566">
        <v>1</v>
      </c>
      <c r="BG2566">
        <v>0</v>
      </c>
      <c r="BH2566">
        <v>0</v>
      </c>
      <c r="BI2566">
        <v>0</v>
      </c>
      <c r="BJ2566">
        <v>4625</v>
      </c>
      <c r="BK2566">
        <v>25</v>
      </c>
      <c r="BL2566" t="s">
        <v>188</v>
      </c>
      <c r="BM2566">
        <v>1</v>
      </c>
      <c r="BN2566">
        <v>1</v>
      </c>
      <c r="BO2566">
        <v>0</v>
      </c>
      <c r="BP2566">
        <v>0</v>
      </c>
      <c r="BS2566">
        <v>0</v>
      </c>
      <c r="BT2566">
        <v>0</v>
      </c>
      <c r="BU2566">
        <v>0</v>
      </c>
      <c r="CE2566" t="str">
        <f t="shared" si="1019"/>
        <v>15:11:39.959</v>
      </c>
      <c r="CF2566">
        <v>959044335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4</v>
      </c>
      <c r="CY2566">
        <v>7</v>
      </c>
      <c r="CZ2566" t="s">
        <v>133</v>
      </c>
      <c r="DA2566">
        <v>276</v>
      </c>
      <c r="DB2566">
        <v>0</v>
      </c>
      <c r="DC2566" t="s">
        <v>402</v>
      </c>
      <c r="DD2566" t="s">
        <v>403</v>
      </c>
      <c r="DG2566">
        <v>1627348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"05/01/2025 15:11:40.202"</f>
        <v>05/01/2025 15:11:40.202</v>
      </c>
      <c r="C2567" t="str">
        <f t="shared" si="1014"/>
        <v>FFDFD3C0</v>
      </c>
      <c r="D2567" t="s">
        <v>145</v>
      </c>
      <c r="E2567" t="str">
        <f>"05"</f>
        <v>05</v>
      </c>
      <c r="H2567">
        <v>47</v>
      </c>
      <c r="I2567" t="s">
        <v>146</v>
      </c>
      <c r="J2567" t="s">
        <v>138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R2567" t="s">
        <v>127</v>
      </c>
      <c r="S2567" t="str">
        <f t="shared" si="1018"/>
        <v>15:11:39.000</v>
      </c>
      <c r="T2567" t="str">
        <f t="shared" si="1018"/>
        <v>15:11:39.000</v>
      </c>
      <c r="U2567" t="str">
        <f t="shared" si="1015"/>
        <v>A68FCB</v>
      </c>
      <c r="V2567">
        <v>0</v>
      </c>
      <c r="W2567">
        <v>0</v>
      </c>
      <c r="X2567">
        <v>2</v>
      </c>
      <c r="Y2567">
        <v>0</v>
      </c>
      <c r="AA2567">
        <v>1</v>
      </c>
      <c r="AB2567">
        <v>8</v>
      </c>
      <c r="AC2567">
        <v>3</v>
      </c>
      <c r="AD2567">
        <v>0</v>
      </c>
      <c r="AE2567">
        <v>9</v>
      </c>
      <c r="AF2567" t="s">
        <v>138</v>
      </c>
      <c r="AG2567">
        <v>0</v>
      </c>
      <c r="AH2567">
        <v>3</v>
      </c>
      <c r="AI2567">
        <v>2</v>
      </c>
      <c r="AJ2567">
        <v>0</v>
      </c>
      <c r="AK2567" t="s">
        <v>870</v>
      </c>
      <c r="AL2567">
        <v>39.088261000000003</v>
      </c>
      <c r="AM2567" t="s">
        <v>871</v>
      </c>
      <c r="AN2567">
        <v>-121.03686999999999</v>
      </c>
      <c r="AO2567">
        <v>25</v>
      </c>
      <c r="AP2567">
        <v>4600</v>
      </c>
      <c r="AQ2567" t="s">
        <v>131</v>
      </c>
      <c r="AR2567">
        <v>18</v>
      </c>
      <c r="AS2567">
        <v>82</v>
      </c>
      <c r="AT2567">
        <v>-64</v>
      </c>
      <c r="BB2567" t="str">
        <f t="shared" si="1016"/>
        <v>1200</v>
      </c>
      <c r="BC2567">
        <v>1</v>
      </c>
      <c r="BD2567" t="str">
        <f t="shared" si="1017"/>
        <v xml:space="preserve">N52156  </v>
      </c>
      <c r="BE2567">
        <v>1</v>
      </c>
      <c r="BG2567">
        <v>0</v>
      </c>
      <c r="BH2567">
        <v>0</v>
      </c>
      <c r="BI2567">
        <v>0</v>
      </c>
      <c r="BJ2567">
        <v>4625</v>
      </c>
      <c r="BK2567">
        <v>25</v>
      </c>
      <c r="BL2567" t="s">
        <v>188</v>
      </c>
      <c r="BM2567">
        <v>1</v>
      </c>
      <c r="BN2567">
        <v>1</v>
      </c>
      <c r="BO2567">
        <v>0</v>
      </c>
      <c r="BP2567">
        <v>0</v>
      </c>
      <c r="BS2567">
        <v>0</v>
      </c>
      <c r="BT2567">
        <v>0</v>
      </c>
      <c r="BU2567">
        <v>0</v>
      </c>
      <c r="CE2567" t="str">
        <f t="shared" si="1019"/>
        <v>15:11:39.959</v>
      </c>
      <c r="CF2567">
        <v>959044335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4</v>
      </c>
      <c r="CY2567">
        <v>7</v>
      </c>
      <c r="CZ2567" t="s">
        <v>133</v>
      </c>
      <c r="DA2567">
        <v>276</v>
      </c>
      <c r="DB2567">
        <v>0</v>
      </c>
      <c r="DC2567" t="s">
        <v>402</v>
      </c>
      <c r="DD2567" t="s">
        <v>403</v>
      </c>
      <c r="DG2567">
        <v>1627348</v>
      </c>
      <c r="DI2567">
        <v>1</v>
      </c>
      <c r="DJ2567">
        <v>0</v>
      </c>
      <c r="DK2567">
        <v>1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"05/01/2025 15:11:40.209"</f>
        <v>05/01/2025 15:11:40.209</v>
      </c>
      <c r="C2568" t="str">
        <f t="shared" si="1014"/>
        <v>FFDFD3C0</v>
      </c>
      <c r="D2568" t="s">
        <v>136</v>
      </c>
      <c r="E2568" t="str">
        <f>"20"</f>
        <v>20</v>
      </c>
      <c r="H2568">
        <v>400</v>
      </c>
      <c r="I2568" t="s">
        <v>137</v>
      </c>
      <c r="J2568" t="s">
        <v>138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R2568" t="s">
        <v>127</v>
      </c>
      <c r="S2568" t="str">
        <f t="shared" si="1018"/>
        <v>15:11:39.000</v>
      </c>
      <c r="T2568" t="str">
        <f t="shared" si="1018"/>
        <v>15:11:39.000</v>
      </c>
      <c r="U2568" t="str">
        <f t="shared" si="1015"/>
        <v>A68FCB</v>
      </c>
      <c r="V2568">
        <v>0</v>
      </c>
      <c r="W2568">
        <v>0</v>
      </c>
      <c r="X2568">
        <v>2</v>
      </c>
      <c r="Y2568">
        <v>0</v>
      </c>
      <c r="AA2568">
        <v>1</v>
      </c>
      <c r="AB2568">
        <v>8</v>
      </c>
      <c r="AC2568">
        <v>3</v>
      </c>
      <c r="AD2568">
        <v>0</v>
      </c>
      <c r="AE2568">
        <v>9</v>
      </c>
      <c r="AF2568" t="s">
        <v>138</v>
      </c>
      <c r="AG2568">
        <v>0</v>
      </c>
      <c r="AH2568">
        <v>3</v>
      </c>
      <c r="AI2568">
        <v>2</v>
      </c>
      <c r="AJ2568">
        <v>0</v>
      </c>
      <c r="AK2568" t="s">
        <v>870</v>
      </c>
      <c r="AL2568">
        <v>39.088261000000003</v>
      </c>
      <c r="AM2568" t="s">
        <v>871</v>
      </c>
      <c r="AN2568">
        <v>-121.03686999999999</v>
      </c>
      <c r="AO2568">
        <v>25</v>
      </c>
      <c r="AP2568">
        <v>4600</v>
      </c>
      <c r="AQ2568" t="s">
        <v>131</v>
      </c>
      <c r="AR2568">
        <v>18</v>
      </c>
      <c r="AS2568">
        <v>82</v>
      </c>
      <c r="AT2568">
        <v>-64</v>
      </c>
      <c r="BB2568" t="str">
        <f t="shared" si="1016"/>
        <v>1200</v>
      </c>
      <c r="BC2568">
        <v>1</v>
      </c>
      <c r="BD2568" t="str">
        <f t="shared" si="1017"/>
        <v xml:space="preserve">N52156  </v>
      </c>
      <c r="BE2568">
        <v>1</v>
      </c>
      <c r="BG2568">
        <v>0</v>
      </c>
      <c r="BH2568">
        <v>0</v>
      </c>
      <c r="BI2568">
        <v>0</v>
      </c>
      <c r="BJ2568">
        <v>4625</v>
      </c>
      <c r="BK2568">
        <v>25</v>
      </c>
      <c r="BL2568" t="s">
        <v>188</v>
      </c>
      <c r="BM2568">
        <v>1</v>
      </c>
      <c r="BN2568">
        <v>1</v>
      </c>
      <c r="BO2568">
        <v>0</v>
      </c>
      <c r="BP2568">
        <v>0</v>
      </c>
      <c r="BS2568">
        <v>0</v>
      </c>
      <c r="BT2568">
        <v>0</v>
      </c>
      <c r="BU2568">
        <v>0</v>
      </c>
      <c r="CE2568" t="str">
        <f t="shared" si="1019"/>
        <v>15:11:39.959</v>
      </c>
      <c r="CF2568">
        <v>959044335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4</v>
      </c>
      <c r="CY2568">
        <v>7</v>
      </c>
      <c r="CZ2568" t="s">
        <v>133</v>
      </c>
      <c r="DA2568">
        <v>276</v>
      </c>
      <c r="DB2568">
        <v>0</v>
      </c>
      <c r="DC2568" t="s">
        <v>402</v>
      </c>
      <c r="DD2568" t="s">
        <v>403</v>
      </c>
      <c r="DG2568">
        <v>1627348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"05/01/2025 15:11:40.217"</f>
        <v>05/01/2025 15:11:40.217</v>
      </c>
      <c r="C2569" t="str">
        <f t="shared" si="1014"/>
        <v>FFDFD3C0</v>
      </c>
      <c r="D2569" t="s">
        <v>143</v>
      </c>
      <c r="E2569" t="str">
        <f>"05"</f>
        <v>05</v>
      </c>
      <c r="H2569">
        <v>172</v>
      </c>
      <c r="I2569" t="s">
        <v>141</v>
      </c>
      <c r="J2569" t="s">
        <v>144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R2569" t="s">
        <v>127</v>
      </c>
      <c r="S2569" t="str">
        <f t="shared" si="1018"/>
        <v>15:11:39.000</v>
      </c>
      <c r="T2569" t="str">
        <f t="shared" si="1018"/>
        <v>15:11:39.000</v>
      </c>
      <c r="U2569" t="str">
        <f t="shared" si="1015"/>
        <v>A68FCB</v>
      </c>
      <c r="V2569">
        <v>0</v>
      </c>
      <c r="W2569">
        <v>0</v>
      </c>
      <c r="X2569">
        <v>2</v>
      </c>
      <c r="Y2569">
        <v>0</v>
      </c>
      <c r="AA2569">
        <v>1</v>
      </c>
      <c r="AB2569">
        <v>8</v>
      </c>
      <c r="AC2569">
        <v>3</v>
      </c>
      <c r="AD2569">
        <v>0</v>
      </c>
      <c r="AE2569">
        <v>9</v>
      </c>
      <c r="AF2569" t="s">
        <v>138</v>
      </c>
      <c r="AG2569">
        <v>0</v>
      </c>
      <c r="AH2569">
        <v>3</v>
      </c>
      <c r="AI2569">
        <v>2</v>
      </c>
      <c r="AJ2569">
        <v>0</v>
      </c>
      <c r="AK2569" t="s">
        <v>870</v>
      </c>
      <c r="AL2569">
        <v>39.088261000000003</v>
      </c>
      <c r="AM2569" t="s">
        <v>871</v>
      </c>
      <c r="AN2569">
        <v>-121.03686999999999</v>
      </c>
      <c r="AO2569">
        <v>25</v>
      </c>
      <c r="AP2569">
        <v>4600</v>
      </c>
      <c r="AQ2569" t="s">
        <v>131</v>
      </c>
      <c r="AR2569">
        <v>18</v>
      </c>
      <c r="AS2569">
        <v>82</v>
      </c>
      <c r="AT2569">
        <v>-64</v>
      </c>
      <c r="BB2569" t="str">
        <f t="shared" si="1016"/>
        <v>1200</v>
      </c>
      <c r="BC2569">
        <v>1</v>
      </c>
      <c r="BD2569" t="str">
        <f t="shared" si="1017"/>
        <v xml:space="preserve">N52156  </v>
      </c>
      <c r="BE2569">
        <v>1</v>
      </c>
      <c r="BG2569">
        <v>0</v>
      </c>
      <c r="BH2569">
        <v>0</v>
      </c>
      <c r="BI2569">
        <v>0</v>
      </c>
      <c r="BJ2569">
        <v>4625</v>
      </c>
      <c r="BK2569">
        <v>25</v>
      </c>
      <c r="BL2569" t="s">
        <v>188</v>
      </c>
      <c r="BM2569">
        <v>1</v>
      </c>
      <c r="BN2569">
        <v>1</v>
      </c>
      <c r="BO2569">
        <v>0</v>
      </c>
      <c r="BP2569">
        <v>0</v>
      </c>
      <c r="BS2569">
        <v>0</v>
      </c>
      <c r="BT2569">
        <v>0</v>
      </c>
      <c r="BU2569">
        <v>0</v>
      </c>
      <c r="CE2569" t="str">
        <f t="shared" si="1019"/>
        <v>15:11:39.959</v>
      </c>
      <c r="CF2569">
        <v>959044335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4</v>
      </c>
      <c r="CY2569">
        <v>7</v>
      </c>
      <c r="CZ2569" t="s">
        <v>133</v>
      </c>
      <c r="DA2569">
        <v>276</v>
      </c>
      <c r="DB2569">
        <v>0</v>
      </c>
      <c r="DC2569" t="s">
        <v>402</v>
      </c>
      <c r="DD2569" t="s">
        <v>403</v>
      </c>
      <c r="DG2569">
        <v>1627348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"05/01/2025 15:11:40.934"</f>
        <v>05/01/2025 15:11:40.934</v>
      </c>
      <c r="C2570" t="str">
        <f t="shared" si="1014"/>
        <v>FFDFD3C0</v>
      </c>
      <c r="D2570" t="s">
        <v>140</v>
      </c>
      <c r="E2570" t="str">
        <f>"13"</f>
        <v>13</v>
      </c>
      <c r="F2570">
        <v>1019</v>
      </c>
      <c r="G2570" t="s">
        <v>141</v>
      </c>
      <c r="J2570" t="s">
        <v>142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R2570" t="s">
        <v>127</v>
      </c>
      <c r="S2570" t="str">
        <f t="shared" ref="S2570:T2575" si="1020">"15:11:40.000"</f>
        <v>15:11:40.000</v>
      </c>
      <c r="T2570" t="str">
        <f t="shared" si="1020"/>
        <v>15:11:40.000</v>
      </c>
      <c r="U2570" t="str">
        <f t="shared" si="1015"/>
        <v>A68FCB</v>
      </c>
      <c r="V2570">
        <v>0</v>
      </c>
      <c r="W2570">
        <v>0</v>
      </c>
      <c r="X2570">
        <v>2</v>
      </c>
      <c r="Y2570">
        <v>0</v>
      </c>
      <c r="AA2570">
        <v>1</v>
      </c>
      <c r="AB2570">
        <v>8</v>
      </c>
      <c r="AC2570">
        <v>3</v>
      </c>
      <c r="AD2570">
        <v>0</v>
      </c>
      <c r="AE2570">
        <v>9</v>
      </c>
      <c r="AF2570" t="s">
        <v>138</v>
      </c>
      <c r="AG2570">
        <v>0</v>
      </c>
      <c r="AH2570">
        <v>3</v>
      </c>
      <c r="AI2570">
        <v>2</v>
      </c>
      <c r="AJ2570">
        <v>0</v>
      </c>
      <c r="AK2570" t="s">
        <v>872</v>
      </c>
      <c r="AL2570">
        <v>39.088625999999998</v>
      </c>
      <c r="AM2570" t="s">
        <v>873</v>
      </c>
      <c r="AN2570">
        <v>-121.036806</v>
      </c>
      <c r="AO2570">
        <v>25</v>
      </c>
      <c r="AP2570">
        <v>4600</v>
      </c>
      <c r="AQ2570" t="s">
        <v>131</v>
      </c>
      <c r="AR2570">
        <v>18</v>
      </c>
      <c r="AS2570">
        <v>81</v>
      </c>
      <c r="AT2570">
        <v>-64</v>
      </c>
      <c r="BB2570" t="str">
        <f t="shared" si="1016"/>
        <v>1200</v>
      </c>
      <c r="BC2570">
        <v>1</v>
      </c>
      <c r="BD2570" t="str">
        <f t="shared" si="1017"/>
        <v xml:space="preserve">N52156  </v>
      </c>
      <c r="BE2570">
        <v>1</v>
      </c>
      <c r="BG2570">
        <v>0</v>
      </c>
      <c r="BH2570">
        <v>0</v>
      </c>
      <c r="BI2570">
        <v>0</v>
      </c>
      <c r="BJ2570">
        <v>4625</v>
      </c>
      <c r="BK2570">
        <v>25</v>
      </c>
      <c r="BL2570" t="s">
        <v>188</v>
      </c>
      <c r="BM2570">
        <v>1</v>
      </c>
      <c r="BN2570">
        <v>1</v>
      </c>
      <c r="BO2570">
        <v>0</v>
      </c>
      <c r="BP2570">
        <v>0</v>
      </c>
      <c r="BS2570">
        <v>0</v>
      </c>
      <c r="BT2570">
        <v>0</v>
      </c>
      <c r="BU2570">
        <v>0</v>
      </c>
      <c r="CE2570" t="str">
        <f t="shared" ref="CE2570:CE2575" si="1021">"15:11:40.718"</f>
        <v>15:11:40.718</v>
      </c>
      <c r="CF2570">
        <v>718472963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3</v>
      </c>
      <c r="CY2570">
        <v>7</v>
      </c>
      <c r="CZ2570" t="s">
        <v>133</v>
      </c>
      <c r="DA2570">
        <v>275</v>
      </c>
      <c r="DB2570">
        <v>0</v>
      </c>
      <c r="DC2570" t="s">
        <v>134</v>
      </c>
      <c r="DD2570" t="s">
        <v>135</v>
      </c>
      <c r="DG2570">
        <v>3321851</v>
      </c>
      <c r="DI2570">
        <v>1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"05/01/2025 15:11:40.941"</f>
        <v>05/01/2025 15:11:40.941</v>
      </c>
      <c r="C2571" t="str">
        <f t="shared" si="1014"/>
        <v>FFDFD3C0</v>
      </c>
      <c r="D2571" t="s">
        <v>124</v>
      </c>
      <c r="E2571" t="str">
        <f>"06"</f>
        <v>06</v>
      </c>
      <c r="F2571">
        <v>2006</v>
      </c>
      <c r="G2571" t="s">
        <v>125</v>
      </c>
      <c r="J2571" t="s">
        <v>126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R2571" t="s">
        <v>127</v>
      </c>
      <c r="S2571" t="str">
        <f t="shared" si="1020"/>
        <v>15:11:40.000</v>
      </c>
      <c r="T2571" t="str">
        <f t="shared" si="1020"/>
        <v>15:11:40.000</v>
      </c>
      <c r="U2571" t="str">
        <f t="shared" si="1015"/>
        <v>A68FCB</v>
      </c>
      <c r="V2571">
        <v>0</v>
      </c>
      <c r="W2571">
        <v>0</v>
      </c>
      <c r="X2571">
        <v>2</v>
      </c>
      <c r="Y2571">
        <v>0</v>
      </c>
      <c r="AA2571">
        <v>1</v>
      </c>
      <c r="AB2571">
        <v>8</v>
      </c>
      <c r="AC2571">
        <v>3</v>
      </c>
      <c r="AD2571">
        <v>0</v>
      </c>
      <c r="AE2571">
        <v>9</v>
      </c>
      <c r="AF2571" t="s">
        <v>138</v>
      </c>
      <c r="AG2571">
        <v>0</v>
      </c>
      <c r="AH2571">
        <v>3</v>
      </c>
      <c r="AI2571">
        <v>2</v>
      </c>
      <c r="AJ2571">
        <v>0</v>
      </c>
      <c r="AK2571" t="s">
        <v>872</v>
      </c>
      <c r="AL2571">
        <v>39.088625999999998</v>
      </c>
      <c r="AM2571" t="s">
        <v>873</v>
      </c>
      <c r="AN2571">
        <v>-121.036806</v>
      </c>
      <c r="AO2571">
        <v>25</v>
      </c>
      <c r="AP2571">
        <v>4600</v>
      </c>
      <c r="AQ2571" t="s">
        <v>131</v>
      </c>
      <c r="AR2571">
        <v>18</v>
      </c>
      <c r="AS2571">
        <v>81</v>
      </c>
      <c r="AT2571">
        <v>-64</v>
      </c>
      <c r="BB2571" t="str">
        <f t="shared" si="1016"/>
        <v>1200</v>
      </c>
      <c r="BC2571">
        <v>1</v>
      </c>
      <c r="BD2571" t="str">
        <f t="shared" si="1017"/>
        <v xml:space="preserve">N52156  </v>
      </c>
      <c r="BE2571">
        <v>1</v>
      </c>
      <c r="BG2571">
        <v>0</v>
      </c>
      <c r="BH2571">
        <v>0</v>
      </c>
      <c r="BI2571">
        <v>0</v>
      </c>
      <c r="BJ2571">
        <v>4625</v>
      </c>
      <c r="BK2571">
        <v>25</v>
      </c>
      <c r="BL2571" t="s">
        <v>188</v>
      </c>
      <c r="BM2571">
        <v>1</v>
      </c>
      <c r="BN2571">
        <v>1</v>
      </c>
      <c r="BO2571">
        <v>0</v>
      </c>
      <c r="BP2571">
        <v>0</v>
      </c>
      <c r="BS2571">
        <v>0</v>
      </c>
      <c r="BT2571">
        <v>0</v>
      </c>
      <c r="BU2571">
        <v>0</v>
      </c>
      <c r="CE2571" t="str">
        <f t="shared" si="1021"/>
        <v>15:11:40.718</v>
      </c>
      <c r="CF2571">
        <v>718472963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3</v>
      </c>
      <c r="CY2571">
        <v>7</v>
      </c>
      <c r="CZ2571" t="s">
        <v>133</v>
      </c>
      <c r="DA2571">
        <v>275</v>
      </c>
      <c r="DB2571">
        <v>0</v>
      </c>
      <c r="DC2571" t="s">
        <v>134</v>
      </c>
      <c r="DD2571" t="s">
        <v>135</v>
      </c>
      <c r="DG2571">
        <v>3321851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"05/01/2025 15:11:40.953"</f>
        <v>05/01/2025 15:11:40.953</v>
      </c>
      <c r="C2572" t="str">
        <f t="shared" si="1014"/>
        <v>FFDFD3C0</v>
      </c>
      <c r="D2572" t="s">
        <v>145</v>
      </c>
      <c r="E2572" t="str">
        <f>"05"</f>
        <v>05</v>
      </c>
      <c r="H2572">
        <v>47</v>
      </c>
      <c r="I2572" t="s">
        <v>146</v>
      </c>
      <c r="J2572" t="s">
        <v>138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R2572" t="s">
        <v>127</v>
      </c>
      <c r="S2572" t="str">
        <f t="shared" si="1020"/>
        <v>15:11:40.000</v>
      </c>
      <c r="T2572" t="str">
        <f t="shared" si="1020"/>
        <v>15:11:40.000</v>
      </c>
      <c r="U2572" t="str">
        <f t="shared" si="1015"/>
        <v>A68FCB</v>
      </c>
      <c r="V2572">
        <v>0</v>
      </c>
      <c r="W2572">
        <v>0</v>
      </c>
      <c r="X2572">
        <v>2</v>
      </c>
      <c r="Y2572">
        <v>0</v>
      </c>
      <c r="AA2572">
        <v>1</v>
      </c>
      <c r="AB2572">
        <v>8</v>
      </c>
      <c r="AC2572">
        <v>3</v>
      </c>
      <c r="AD2572">
        <v>0</v>
      </c>
      <c r="AE2572">
        <v>9</v>
      </c>
      <c r="AF2572" t="s">
        <v>138</v>
      </c>
      <c r="AG2572">
        <v>0</v>
      </c>
      <c r="AH2572">
        <v>3</v>
      </c>
      <c r="AI2572">
        <v>2</v>
      </c>
      <c r="AJ2572">
        <v>0</v>
      </c>
      <c r="AK2572" t="s">
        <v>872</v>
      </c>
      <c r="AL2572">
        <v>39.088625999999998</v>
      </c>
      <c r="AM2572" t="s">
        <v>873</v>
      </c>
      <c r="AN2572">
        <v>-121.036806</v>
      </c>
      <c r="AO2572">
        <v>25</v>
      </c>
      <c r="AP2572">
        <v>4600</v>
      </c>
      <c r="AQ2572" t="s">
        <v>131</v>
      </c>
      <c r="AR2572">
        <v>18</v>
      </c>
      <c r="AS2572">
        <v>81</v>
      </c>
      <c r="AT2572">
        <v>-64</v>
      </c>
      <c r="BB2572" t="str">
        <f t="shared" si="1016"/>
        <v>1200</v>
      </c>
      <c r="BC2572">
        <v>1</v>
      </c>
      <c r="BD2572" t="str">
        <f t="shared" si="1017"/>
        <v xml:space="preserve">N52156  </v>
      </c>
      <c r="BE2572">
        <v>1</v>
      </c>
      <c r="BG2572">
        <v>0</v>
      </c>
      <c r="BH2572">
        <v>0</v>
      </c>
      <c r="BI2572">
        <v>0</v>
      </c>
      <c r="BJ2572">
        <v>4625</v>
      </c>
      <c r="BK2572">
        <v>25</v>
      </c>
      <c r="BL2572" t="s">
        <v>188</v>
      </c>
      <c r="BM2572">
        <v>1</v>
      </c>
      <c r="BN2572">
        <v>1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 t="shared" si="1021"/>
        <v>15:11:40.718</v>
      </c>
      <c r="CF2572">
        <v>718472963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3</v>
      </c>
      <c r="CY2572">
        <v>7</v>
      </c>
      <c r="CZ2572" t="s">
        <v>133</v>
      </c>
      <c r="DA2572">
        <v>275</v>
      </c>
      <c r="DB2572">
        <v>0</v>
      </c>
      <c r="DC2572" t="s">
        <v>134</v>
      </c>
      <c r="DD2572" t="s">
        <v>135</v>
      </c>
      <c r="DG2572">
        <v>3321851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"05/01/2025 15:11:40.954"</f>
        <v>05/01/2025 15:11:40.954</v>
      </c>
      <c r="C2573" t="str">
        <f t="shared" si="1014"/>
        <v>FFDFD3C0</v>
      </c>
      <c r="D2573" t="s">
        <v>145</v>
      </c>
      <c r="E2573" t="str">
        <f>"09"</f>
        <v>09</v>
      </c>
      <c r="H2573">
        <v>51</v>
      </c>
      <c r="I2573" t="s">
        <v>147</v>
      </c>
      <c r="J2573" t="s">
        <v>138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R2573" t="s">
        <v>127</v>
      </c>
      <c r="S2573" t="str">
        <f t="shared" si="1020"/>
        <v>15:11:40.000</v>
      </c>
      <c r="T2573" t="str">
        <f t="shared" si="1020"/>
        <v>15:11:40.000</v>
      </c>
      <c r="U2573" t="str">
        <f t="shared" si="1015"/>
        <v>A68FCB</v>
      </c>
      <c r="V2573">
        <v>0</v>
      </c>
      <c r="W2573">
        <v>0</v>
      </c>
      <c r="X2573">
        <v>2</v>
      </c>
      <c r="Y2573">
        <v>0</v>
      </c>
      <c r="AA2573">
        <v>1</v>
      </c>
      <c r="AB2573">
        <v>8</v>
      </c>
      <c r="AC2573">
        <v>3</v>
      </c>
      <c r="AD2573">
        <v>0</v>
      </c>
      <c r="AE2573">
        <v>9</v>
      </c>
      <c r="AF2573" t="s">
        <v>138</v>
      </c>
      <c r="AG2573">
        <v>0</v>
      </c>
      <c r="AH2573">
        <v>3</v>
      </c>
      <c r="AI2573">
        <v>2</v>
      </c>
      <c r="AJ2573">
        <v>0</v>
      </c>
      <c r="AK2573" t="s">
        <v>872</v>
      </c>
      <c r="AL2573">
        <v>39.088625999999998</v>
      </c>
      <c r="AM2573" t="s">
        <v>873</v>
      </c>
      <c r="AN2573">
        <v>-121.036806</v>
      </c>
      <c r="AO2573">
        <v>25</v>
      </c>
      <c r="AP2573">
        <v>4600</v>
      </c>
      <c r="AQ2573" t="s">
        <v>131</v>
      </c>
      <c r="AR2573">
        <v>18</v>
      </c>
      <c r="AS2573">
        <v>81</v>
      </c>
      <c r="AT2573">
        <v>-64</v>
      </c>
      <c r="BB2573" t="str">
        <f t="shared" si="1016"/>
        <v>1200</v>
      </c>
      <c r="BC2573">
        <v>1</v>
      </c>
      <c r="BD2573" t="str">
        <f t="shared" si="1017"/>
        <v xml:space="preserve">N52156  </v>
      </c>
      <c r="BE2573">
        <v>1</v>
      </c>
      <c r="BG2573">
        <v>0</v>
      </c>
      <c r="BH2573">
        <v>0</v>
      </c>
      <c r="BI2573">
        <v>0</v>
      </c>
      <c r="BJ2573">
        <v>4625</v>
      </c>
      <c r="BK2573">
        <v>25</v>
      </c>
      <c r="BL2573" t="s">
        <v>188</v>
      </c>
      <c r="BM2573">
        <v>1</v>
      </c>
      <c r="BN2573">
        <v>1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 t="shared" si="1021"/>
        <v>15:11:40.718</v>
      </c>
      <c r="CF2573">
        <v>718472963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3</v>
      </c>
      <c r="CY2573">
        <v>7</v>
      </c>
      <c r="CZ2573" t="s">
        <v>133</v>
      </c>
      <c r="DA2573">
        <v>275</v>
      </c>
      <c r="DB2573">
        <v>0</v>
      </c>
      <c r="DC2573" t="s">
        <v>134</v>
      </c>
      <c r="DD2573" t="s">
        <v>135</v>
      </c>
      <c r="DG2573">
        <v>3321851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"05/01/2025 15:11:40.960"</f>
        <v>05/01/2025 15:11:40.960</v>
      </c>
      <c r="C2574" t="str">
        <f t="shared" si="1014"/>
        <v>FFDFD3C0</v>
      </c>
      <c r="D2574" t="s">
        <v>136</v>
      </c>
      <c r="E2574" t="str">
        <f>"20"</f>
        <v>20</v>
      </c>
      <c r="H2574">
        <v>400</v>
      </c>
      <c r="I2574" t="s">
        <v>137</v>
      </c>
      <c r="J2574" t="s">
        <v>138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R2574" t="s">
        <v>127</v>
      </c>
      <c r="S2574" t="str">
        <f t="shared" si="1020"/>
        <v>15:11:40.000</v>
      </c>
      <c r="T2574" t="str">
        <f t="shared" si="1020"/>
        <v>15:11:40.000</v>
      </c>
      <c r="U2574" t="str">
        <f t="shared" si="1015"/>
        <v>A68FCB</v>
      </c>
      <c r="V2574">
        <v>0</v>
      </c>
      <c r="W2574">
        <v>0</v>
      </c>
      <c r="X2574">
        <v>2</v>
      </c>
      <c r="Y2574">
        <v>0</v>
      </c>
      <c r="AA2574">
        <v>1</v>
      </c>
      <c r="AB2574">
        <v>8</v>
      </c>
      <c r="AC2574">
        <v>3</v>
      </c>
      <c r="AD2574">
        <v>0</v>
      </c>
      <c r="AE2574">
        <v>9</v>
      </c>
      <c r="AF2574" t="s">
        <v>138</v>
      </c>
      <c r="AG2574">
        <v>0</v>
      </c>
      <c r="AH2574">
        <v>3</v>
      </c>
      <c r="AI2574">
        <v>2</v>
      </c>
      <c r="AJ2574">
        <v>0</v>
      </c>
      <c r="AK2574" t="s">
        <v>872</v>
      </c>
      <c r="AL2574">
        <v>39.088625999999998</v>
      </c>
      <c r="AM2574" t="s">
        <v>873</v>
      </c>
      <c r="AN2574">
        <v>-121.036806</v>
      </c>
      <c r="AO2574">
        <v>25</v>
      </c>
      <c r="AP2574">
        <v>4600</v>
      </c>
      <c r="AQ2574" t="s">
        <v>131</v>
      </c>
      <c r="AR2574">
        <v>18</v>
      </c>
      <c r="AS2574">
        <v>81</v>
      </c>
      <c r="AT2574">
        <v>-64</v>
      </c>
      <c r="BB2574" t="str">
        <f t="shared" si="1016"/>
        <v>1200</v>
      </c>
      <c r="BC2574">
        <v>1</v>
      </c>
      <c r="BD2574" t="str">
        <f t="shared" si="1017"/>
        <v xml:space="preserve">N52156  </v>
      </c>
      <c r="BE2574">
        <v>1</v>
      </c>
      <c r="BG2574">
        <v>0</v>
      </c>
      <c r="BH2574">
        <v>0</v>
      </c>
      <c r="BI2574">
        <v>0</v>
      </c>
      <c r="BJ2574">
        <v>4625</v>
      </c>
      <c r="BK2574">
        <v>25</v>
      </c>
      <c r="BL2574" t="s">
        <v>188</v>
      </c>
      <c r="BM2574">
        <v>1</v>
      </c>
      <c r="BN2574">
        <v>1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 t="shared" si="1021"/>
        <v>15:11:40.718</v>
      </c>
      <c r="CF2574">
        <v>718472963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3</v>
      </c>
      <c r="CY2574">
        <v>7</v>
      </c>
      <c r="CZ2574" t="s">
        <v>133</v>
      </c>
      <c r="DA2574">
        <v>275</v>
      </c>
      <c r="DB2574">
        <v>0</v>
      </c>
      <c r="DC2574" t="s">
        <v>134</v>
      </c>
      <c r="DD2574" t="s">
        <v>135</v>
      </c>
      <c r="DG2574">
        <v>3321851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"05/01/2025 15:11:40.968"</f>
        <v>05/01/2025 15:11:40.968</v>
      </c>
      <c r="C2575" t="str">
        <f t="shared" si="1014"/>
        <v>FFDFD3C0</v>
      </c>
      <c r="D2575" t="s">
        <v>143</v>
      </c>
      <c r="E2575" t="str">
        <f>"05"</f>
        <v>05</v>
      </c>
      <c r="H2575">
        <v>172</v>
      </c>
      <c r="I2575" t="s">
        <v>141</v>
      </c>
      <c r="J2575" t="s">
        <v>144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R2575" t="s">
        <v>127</v>
      </c>
      <c r="S2575" t="str">
        <f t="shared" si="1020"/>
        <v>15:11:40.000</v>
      </c>
      <c r="T2575" t="str">
        <f t="shared" si="1020"/>
        <v>15:11:40.000</v>
      </c>
      <c r="U2575" t="str">
        <f t="shared" si="1015"/>
        <v>A68FCB</v>
      </c>
      <c r="V2575">
        <v>0</v>
      </c>
      <c r="W2575">
        <v>0</v>
      </c>
      <c r="X2575">
        <v>2</v>
      </c>
      <c r="Y2575">
        <v>0</v>
      </c>
      <c r="AA2575">
        <v>1</v>
      </c>
      <c r="AB2575">
        <v>8</v>
      </c>
      <c r="AC2575">
        <v>3</v>
      </c>
      <c r="AD2575">
        <v>0</v>
      </c>
      <c r="AE2575">
        <v>9</v>
      </c>
      <c r="AF2575" t="s">
        <v>138</v>
      </c>
      <c r="AG2575">
        <v>0</v>
      </c>
      <c r="AH2575">
        <v>3</v>
      </c>
      <c r="AI2575">
        <v>2</v>
      </c>
      <c r="AJ2575">
        <v>0</v>
      </c>
      <c r="AK2575" t="s">
        <v>872</v>
      </c>
      <c r="AL2575">
        <v>39.088625999999998</v>
      </c>
      <c r="AM2575" t="s">
        <v>873</v>
      </c>
      <c r="AN2575">
        <v>-121.036806</v>
      </c>
      <c r="AO2575">
        <v>25</v>
      </c>
      <c r="AP2575">
        <v>4600</v>
      </c>
      <c r="AQ2575" t="s">
        <v>131</v>
      </c>
      <c r="AR2575">
        <v>18</v>
      </c>
      <c r="AS2575">
        <v>81</v>
      </c>
      <c r="AT2575">
        <v>-64</v>
      </c>
      <c r="BB2575" t="str">
        <f t="shared" si="1016"/>
        <v>1200</v>
      </c>
      <c r="BC2575">
        <v>1</v>
      </c>
      <c r="BD2575" t="str">
        <f t="shared" si="1017"/>
        <v xml:space="preserve">N52156  </v>
      </c>
      <c r="BE2575">
        <v>1</v>
      </c>
      <c r="BG2575">
        <v>0</v>
      </c>
      <c r="BH2575">
        <v>0</v>
      </c>
      <c r="BI2575">
        <v>0</v>
      </c>
      <c r="BJ2575">
        <v>4625</v>
      </c>
      <c r="BK2575">
        <v>25</v>
      </c>
      <c r="BL2575" t="s">
        <v>188</v>
      </c>
      <c r="BM2575">
        <v>1</v>
      </c>
      <c r="BN2575">
        <v>1</v>
      </c>
      <c r="BO2575">
        <v>0</v>
      </c>
      <c r="BP2575">
        <v>0</v>
      </c>
      <c r="BS2575">
        <v>0</v>
      </c>
      <c r="BT2575">
        <v>0</v>
      </c>
      <c r="BU2575">
        <v>0</v>
      </c>
      <c r="CE2575" t="str">
        <f t="shared" si="1021"/>
        <v>15:11:40.718</v>
      </c>
      <c r="CF2575">
        <v>718472963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3</v>
      </c>
      <c r="CY2575">
        <v>7</v>
      </c>
      <c r="CZ2575" t="s">
        <v>133</v>
      </c>
      <c r="DA2575">
        <v>275</v>
      </c>
      <c r="DB2575">
        <v>0</v>
      </c>
      <c r="DC2575" t="s">
        <v>134</v>
      </c>
      <c r="DD2575" t="s">
        <v>135</v>
      </c>
      <c r="DG2575">
        <v>3321851</v>
      </c>
      <c r="DI2575">
        <v>1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"05/01/2025 15:11:41.419"</f>
        <v>05/01/2025 15:11:41.419</v>
      </c>
      <c r="C2576" t="str">
        <f t="shared" si="1014"/>
        <v>FFDFD3C0</v>
      </c>
      <c r="D2576" t="s">
        <v>143</v>
      </c>
      <c r="E2576" t="str">
        <f>"05"</f>
        <v>05</v>
      </c>
      <c r="H2576">
        <v>172</v>
      </c>
      <c r="I2576" t="s">
        <v>141</v>
      </c>
      <c r="J2576" t="s">
        <v>144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R2576" t="s">
        <v>127</v>
      </c>
      <c r="S2576" t="str">
        <f t="shared" ref="S2576:T2581" si="1022">"15:11:41.000"</f>
        <v>15:11:41.000</v>
      </c>
      <c r="T2576" t="str">
        <f t="shared" si="1022"/>
        <v>15:11:41.000</v>
      </c>
      <c r="U2576" t="str">
        <f t="shared" si="1015"/>
        <v>A68FCB</v>
      </c>
      <c r="V2576">
        <v>0</v>
      </c>
      <c r="W2576">
        <v>0</v>
      </c>
      <c r="X2576">
        <v>2</v>
      </c>
      <c r="Y2576">
        <v>0</v>
      </c>
      <c r="AA2576">
        <v>1</v>
      </c>
      <c r="AB2576">
        <v>8</v>
      </c>
      <c r="AC2576">
        <v>3</v>
      </c>
      <c r="AD2576">
        <v>0</v>
      </c>
      <c r="AE2576">
        <v>9</v>
      </c>
      <c r="AF2576" t="s">
        <v>138</v>
      </c>
      <c r="AG2576">
        <v>0</v>
      </c>
      <c r="AH2576">
        <v>3</v>
      </c>
      <c r="AI2576">
        <v>2</v>
      </c>
      <c r="AJ2576">
        <v>0</v>
      </c>
      <c r="AK2576" t="s">
        <v>874</v>
      </c>
      <c r="AL2576">
        <v>39.088991</v>
      </c>
      <c r="AM2576" t="s">
        <v>875</v>
      </c>
      <c r="AN2576">
        <v>-121.036677</v>
      </c>
      <c r="AO2576">
        <v>25</v>
      </c>
      <c r="AP2576">
        <v>4600</v>
      </c>
      <c r="AQ2576" t="s">
        <v>131</v>
      </c>
      <c r="AR2576">
        <v>18</v>
      </c>
      <c r="AS2576">
        <v>81</v>
      </c>
      <c r="AT2576">
        <v>-64</v>
      </c>
      <c r="BB2576" t="str">
        <f t="shared" si="1016"/>
        <v>1200</v>
      </c>
      <c r="BC2576">
        <v>1</v>
      </c>
      <c r="BD2576" t="str">
        <f t="shared" si="1017"/>
        <v xml:space="preserve">N52156  </v>
      </c>
      <c r="BE2576">
        <v>1</v>
      </c>
      <c r="BG2576">
        <v>0</v>
      </c>
      <c r="BH2576">
        <v>0</v>
      </c>
      <c r="BI2576">
        <v>0</v>
      </c>
      <c r="BJ2576">
        <v>4625</v>
      </c>
      <c r="BK2576">
        <v>25</v>
      </c>
      <c r="BL2576" t="s">
        <v>188</v>
      </c>
      <c r="BM2576">
        <v>1</v>
      </c>
      <c r="BN2576">
        <v>1</v>
      </c>
      <c r="BO2576">
        <v>0</v>
      </c>
      <c r="BP2576">
        <v>0</v>
      </c>
      <c r="BS2576">
        <v>0</v>
      </c>
      <c r="BT2576">
        <v>0</v>
      </c>
      <c r="BU2576">
        <v>0</v>
      </c>
      <c r="CE2576" t="str">
        <f t="shared" ref="CE2576:CE2581" si="1023">"15:11:41.211"</f>
        <v>15:11:41.211</v>
      </c>
      <c r="CF2576">
        <v>210972033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3</v>
      </c>
      <c r="CY2576">
        <v>7</v>
      </c>
      <c r="CZ2576" t="s">
        <v>133</v>
      </c>
      <c r="DA2576">
        <v>275</v>
      </c>
      <c r="DB2576">
        <v>0</v>
      </c>
      <c r="DC2576" t="s">
        <v>134</v>
      </c>
      <c r="DD2576" t="s">
        <v>135</v>
      </c>
      <c r="DG2576">
        <v>3321859</v>
      </c>
      <c r="DI2576">
        <v>1</v>
      </c>
      <c r="DJ2576">
        <v>0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"05/01/2025 15:11:41.435"</f>
        <v>05/01/2025 15:11:41.435</v>
      </c>
      <c r="C2577" t="str">
        <f t="shared" si="1014"/>
        <v>FFDFD3C0</v>
      </c>
      <c r="D2577" t="s">
        <v>140</v>
      </c>
      <c r="E2577" t="str">
        <f>"13"</f>
        <v>13</v>
      </c>
      <c r="F2577">
        <v>1019</v>
      </c>
      <c r="G2577" t="s">
        <v>141</v>
      </c>
      <c r="J2577" t="s">
        <v>142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R2577" t="s">
        <v>127</v>
      </c>
      <c r="S2577" t="str">
        <f t="shared" si="1022"/>
        <v>15:11:41.000</v>
      </c>
      <c r="T2577" t="str">
        <f t="shared" si="1022"/>
        <v>15:11:41.000</v>
      </c>
      <c r="U2577" t="str">
        <f t="shared" si="1015"/>
        <v>A68FCB</v>
      </c>
      <c r="V2577">
        <v>0</v>
      </c>
      <c r="W2577">
        <v>0</v>
      </c>
      <c r="X2577">
        <v>2</v>
      </c>
      <c r="Y2577">
        <v>0</v>
      </c>
      <c r="AA2577">
        <v>1</v>
      </c>
      <c r="AB2577">
        <v>8</v>
      </c>
      <c r="AC2577">
        <v>3</v>
      </c>
      <c r="AD2577">
        <v>0</v>
      </c>
      <c r="AE2577">
        <v>9</v>
      </c>
      <c r="AF2577" t="s">
        <v>138</v>
      </c>
      <c r="AG2577">
        <v>0</v>
      </c>
      <c r="AH2577">
        <v>3</v>
      </c>
      <c r="AI2577">
        <v>2</v>
      </c>
      <c r="AJ2577">
        <v>0</v>
      </c>
      <c r="AK2577" t="s">
        <v>874</v>
      </c>
      <c r="AL2577">
        <v>39.088991</v>
      </c>
      <c r="AM2577" t="s">
        <v>875</v>
      </c>
      <c r="AN2577">
        <v>-121.036677</v>
      </c>
      <c r="AO2577">
        <v>25</v>
      </c>
      <c r="AP2577">
        <v>4600</v>
      </c>
      <c r="AQ2577" t="s">
        <v>131</v>
      </c>
      <c r="AR2577">
        <v>18</v>
      </c>
      <c r="AS2577">
        <v>81</v>
      </c>
      <c r="AT2577">
        <v>-64</v>
      </c>
      <c r="BB2577" t="str">
        <f t="shared" si="1016"/>
        <v>1200</v>
      </c>
      <c r="BC2577">
        <v>1</v>
      </c>
      <c r="BD2577" t="str">
        <f t="shared" si="1017"/>
        <v xml:space="preserve">N52156  </v>
      </c>
      <c r="BE2577">
        <v>1</v>
      </c>
      <c r="BG2577">
        <v>0</v>
      </c>
      <c r="BH2577">
        <v>0</v>
      </c>
      <c r="BI2577">
        <v>0</v>
      </c>
      <c r="BJ2577">
        <v>4625</v>
      </c>
      <c r="BK2577">
        <v>25</v>
      </c>
      <c r="BL2577" t="s">
        <v>188</v>
      </c>
      <c r="BM2577">
        <v>1</v>
      </c>
      <c r="BN2577">
        <v>1</v>
      </c>
      <c r="BO2577">
        <v>0</v>
      </c>
      <c r="BP2577">
        <v>0</v>
      </c>
      <c r="BS2577">
        <v>0</v>
      </c>
      <c r="BT2577">
        <v>0</v>
      </c>
      <c r="BU2577">
        <v>0</v>
      </c>
      <c r="CE2577" t="str">
        <f t="shared" si="1023"/>
        <v>15:11:41.211</v>
      </c>
      <c r="CF2577">
        <v>210972033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3</v>
      </c>
      <c r="CY2577">
        <v>7</v>
      </c>
      <c r="CZ2577" t="s">
        <v>133</v>
      </c>
      <c r="DA2577">
        <v>275</v>
      </c>
      <c r="DB2577">
        <v>0</v>
      </c>
      <c r="DC2577" t="s">
        <v>134</v>
      </c>
      <c r="DD2577" t="s">
        <v>135</v>
      </c>
      <c r="DG2577">
        <v>3321859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"05/01/2025 15:11:41.442"</f>
        <v>05/01/2025 15:11:41.442</v>
      </c>
      <c r="C2578" t="str">
        <f t="shared" si="1014"/>
        <v>FFDFD3C0</v>
      </c>
      <c r="D2578" t="s">
        <v>124</v>
      </c>
      <c r="E2578" t="str">
        <f>"06"</f>
        <v>06</v>
      </c>
      <c r="F2578">
        <v>2006</v>
      </c>
      <c r="G2578" t="s">
        <v>125</v>
      </c>
      <c r="J2578" t="s">
        <v>126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R2578" t="s">
        <v>127</v>
      </c>
      <c r="S2578" t="str">
        <f t="shared" si="1022"/>
        <v>15:11:41.000</v>
      </c>
      <c r="T2578" t="str">
        <f t="shared" si="1022"/>
        <v>15:11:41.000</v>
      </c>
      <c r="U2578" t="str">
        <f t="shared" si="1015"/>
        <v>A68FCB</v>
      </c>
      <c r="V2578">
        <v>0</v>
      </c>
      <c r="W2578">
        <v>0</v>
      </c>
      <c r="X2578">
        <v>2</v>
      </c>
      <c r="Y2578">
        <v>0</v>
      </c>
      <c r="AA2578">
        <v>1</v>
      </c>
      <c r="AB2578">
        <v>8</v>
      </c>
      <c r="AC2578">
        <v>3</v>
      </c>
      <c r="AD2578">
        <v>0</v>
      </c>
      <c r="AE2578">
        <v>9</v>
      </c>
      <c r="AF2578" t="s">
        <v>138</v>
      </c>
      <c r="AG2578">
        <v>0</v>
      </c>
      <c r="AH2578">
        <v>3</v>
      </c>
      <c r="AI2578">
        <v>2</v>
      </c>
      <c r="AJ2578">
        <v>0</v>
      </c>
      <c r="AK2578" t="s">
        <v>874</v>
      </c>
      <c r="AL2578">
        <v>39.088991</v>
      </c>
      <c r="AM2578" t="s">
        <v>875</v>
      </c>
      <c r="AN2578">
        <v>-121.036677</v>
      </c>
      <c r="AO2578">
        <v>25</v>
      </c>
      <c r="AP2578">
        <v>4600</v>
      </c>
      <c r="AQ2578" t="s">
        <v>131</v>
      </c>
      <c r="AR2578">
        <v>18</v>
      </c>
      <c r="AS2578">
        <v>81</v>
      </c>
      <c r="AT2578">
        <v>-64</v>
      </c>
      <c r="BB2578" t="str">
        <f t="shared" si="1016"/>
        <v>1200</v>
      </c>
      <c r="BC2578">
        <v>1</v>
      </c>
      <c r="BD2578" t="str">
        <f t="shared" si="1017"/>
        <v xml:space="preserve">N52156  </v>
      </c>
      <c r="BE2578">
        <v>1</v>
      </c>
      <c r="BG2578">
        <v>0</v>
      </c>
      <c r="BH2578">
        <v>0</v>
      </c>
      <c r="BI2578">
        <v>0</v>
      </c>
      <c r="BJ2578">
        <v>4625</v>
      </c>
      <c r="BK2578">
        <v>25</v>
      </c>
      <c r="BL2578" t="s">
        <v>188</v>
      </c>
      <c r="BM2578">
        <v>1</v>
      </c>
      <c r="BN2578">
        <v>1</v>
      </c>
      <c r="BO2578">
        <v>0</v>
      </c>
      <c r="BP2578">
        <v>0</v>
      </c>
      <c r="BS2578">
        <v>0</v>
      </c>
      <c r="BT2578">
        <v>0</v>
      </c>
      <c r="BU2578">
        <v>0</v>
      </c>
      <c r="CE2578" t="str">
        <f t="shared" si="1023"/>
        <v>15:11:41.211</v>
      </c>
      <c r="CF2578">
        <v>210972033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3</v>
      </c>
      <c r="CY2578">
        <v>7</v>
      </c>
      <c r="CZ2578" t="s">
        <v>133</v>
      </c>
      <c r="DA2578">
        <v>275</v>
      </c>
      <c r="DB2578">
        <v>0</v>
      </c>
      <c r="DC2578" t="s">
        <v>134</v>
      </c>
      <c r="DD2578" t="s">
        <v>135</v>
      </c>
      <c r="DG2578">
        <v>3321859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"05/01/2025 15:11:41.454"</f>
        <v>05/01/2025 15:11:41.454</v>
      </c>
      <c r="C2579" t="str">
        <f t="shared" si="1014"/>
        <v>FFDFD3C0</v>
      </c>
      <c r="D2579" t="s">
        <v>145</v>
      </c>
      <c r="E2579" t="str">
        <f>"05"</f>
        <v>05</v>
      </c>
      <c r="H2579">
        <v>47</v>
      </c>
      <c r="I2579" t="s">
        <v>146</v>
      </c>
      <c r="J2579" t="s">
        <v>138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R2579" t="s">
        <v>127</v>
      </c>
      <c r="S2579" t="str">
        <f t="shared" si="1022"/>
        <v>15:11:41.000</v>
      </c>
      <c r="T2579" t="str">
        <f t="shared" si="1022"/>
        <v>15:11:41.000</v>
      </c>
      <c r="U2579" t="str">
        <f t="shared" si="1015"/>
        <v>A68FCB</v>
      </c>
      <c r="V2579">
        <v>0</v>
      </c>
      <c r="W2579">
        <v>0</v>
      </c>
      <c r="X2579">
        <v>2</v>
      </c>
      <c r="Y2579">
        <v>0</v>
      </c>
      <c r="AA2579">
        <v>1</v>
      </c>
      <c r="AB2579">
        <v>8</v>
      </c>
      <c r="AC2579">
        <v>3</v>
      </c>
      <c r="AD2579">
        <v>0</v>
      </c>
      <c r="AE2579">
        <v>9</v>
      </c>
      <c r="AF2579" t="s">
        <v>138</v>
      </c>
      <c r="AG2579">
        <v>0</v>
      </c>
      <c r="AH2579">
        <v>3</v>
      </c>
      <c r="AI2579">
        <v>2</v>
      </c>
      <c r="AJ2579">
        <v>0</v>
      </c>
      <c r="AK2579" t="s">
        <v>874</v>
      </c>
      <c r="AL2579">
        <v>39.088991</v>
      </c>
      <c r="AM2579" t="s">
        <v>875</v>
      </c>
      <c r="AN2579">
        <v>-121.036677</v>
      </c>
      <c r="AO2579">
        <v>25</v>
      </c>
      <c r="AP2579">
        <v>4600</v>
      </c>
      <c r="AQ2579" t="s">
        <v>131</v>
      </c>
      <c r="AR2579">
        <v>18</v>
      </c>
      <c r="AS2579">
        <v>81</v>
      </c>
      <c r="AT2579">
        <v>-64</v>
      </c>
      <c r="BB2579" t="str">
        <f t="shared" si="1016"/>
        <v>1200</v>
      </c>
      <c r="BC2579">
        <v>1</v>
      </c>
      <c r="BD2579" t="str">
        <f t="shared" si="1017"/>
        <v xml:space="preserve">N52156  </v>
      </c>
      <c r="BE2579">
        <v>1</v>
      </c>
      <c r="BG2579">
        <v>0</v>
      </c>
      <c r="BH2579">
        <v>0</v>
      </c>
      <c r="BI2579">
        <v>0</v>
      </c>
      <c r="BJ2579">
        <v>4625</v>
      </c>
      <c r="BK2579">
        <v>25</v>
      </c>
      <c r="BL2579" t="s">
        <v>188</v>
      </c>
      <c r="BM2579">
        <v>1</v>
      </c>
      <c r="BN2579">
        <v>1</v>
      </c>
      <c r="BO2579">
        <v>0</v>
      </c>
      <c r="BP2579">
        <v>0</v>
      </c>
      <c r="BS2579">
        <v>0</v>
      </c>
      <c r="BT2579">
        <v>0</v>
      </c>
      <c r="BU2579">
        <v>0</v>
      </c>
      <c r="CE2579" t="str">
        <f t="shared" si="1023"/>
        <v>15:11:41.211</v>
      </c>
      <c r="CF2579">
        <v>210972033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3</v>
      </c>
      <c r="CY2579">
        <v>7</v>
      </c>
      <c r="CZ2579" t="s">
        <v>133</v>
      </c>
      <c r="DA2579">
        <v>275</v>
      </c>
      <c r="DB2579">
        <v>0</v>
      </c>
      <c r="DC2579" t="s">
        <v>134</v>
      </c>
      <c r="DD2579" t="s">
        <v>135</v>
      </c>
      <c r="DG2579">
        <v>3321859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"05/01/2025 15:11:41.455"</f>
        <v>05/01/2025 15:11:41.455</v>
      </c>
      <c r="C2580" t="str">
        <f t="shared" si="1014"/>
        <v>FFDFD3C0</v>
      </c>
      <c r="D2580" t="s">
        <v>145</v>
      </c>
      <c r="E2580" t="str">
        <f>"09"</f>
        <v>09</v>
      </c>
      <c r="H2580">
        <v>51</v>
      </c>
      <c r="I2580" t="s">
        <v>147</v>
      </c>
      <c r="J2580" t="s">
        <v>138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R2580" t="s">
        <v>127</v>
      </c>
      <c r="S2580" t="str">
        <f t="shared" si="1022"/>
        <v>15:11:41.000</v>
      </c>
      <c r="T2580" t="str">
        <f t="shared" si="1022"/>
        <v>15:11:41.000</v>
      </c>
      <c r="U2580" t="str">
        <f t="shared" si="1015"/>
        <v>A68FCB</v>
      </c>
      <c r="V2580">
        <v>0</v>
      </c>
      <c r="W2580">
        <v>0</v>
      </c>
      <c r="X2580">
        <v>2</v>
      </c>
      <c r="Y2580">
        <v>0</v>
      </c>
      <c r="AA2580">
        <v>1</v>
      </c>
      <c r="AB2580">
        <v>8</v>
      </c>
      <c r="AC2580">
        <v>3</v>
      </c>
      <c r="AD2580">
        <v>0</v>
      </c>
      <c r="AE2580">
        <v>9</v>
      </c>
      <c r="AF2580" t="s">
        <v>138</v>
      </c>
      <c r="AG2580">
        <v>0</v>
      </c>
      <c r="AH2580">
        <v>3</v>
      </c>
      <c r="AI2580">
        <v>2</v>
      </c>
      <c r="AJ2580">
        <v>0</v>
      </c>
      <c r="AK2580" t="s">
        <v>874</v>
      </c>
      <c r="AL2580">
        <v>39.088991</v>
      </c>
      <c r="AM2580" t="s">
        <v>875</v>
      </c>
      <c r="AN2580">
        <v>-121.036677</v>
      </c>
      <c r="AO2580">
        <v>25</v>
      </c>
      <c r="AP2580">
        <v>4600</v>
      </c>
      <c r="AQ2580" t="s">
        <v>131</v>
      </c>
      <c r="AR2580">
        <v>18</v>
      </c>
      <c r="AS2580">
        <v>81</v>
      </c>
      <c r="AT2580">
        <v>-64</v>
      </c>
      <c r="BB2580" t="str">
        <f t="shared" si="1016"/>
        <v>1200</v>
      </c>
      <c r="BC2580">
        <v>1</v>
      </c>
      <c r="BD2580" t="str">
        <f t="shared" si="1017"/>
        <v xml:space="preserve">N52156  </v>
      </c>
      <c r="BE2580">
        <v>1</v>
      </c>
      <c r="BG2580">
        <v>0</v>
      </c>
      <c r="BH2580">
        <v>0</v>
      </c>
      <c r="BI2580">
        <v>0</v>
      </c>
      <c r="BJ2580">
        <v>4625</v>
      </c>
      <c r="BK2580">
        <v>25</v>
      </c>
      <c r="BL2580" t="s">
        <v>188</v>
      </c>
      <c r="BM2580">
        <v>1</v>
      </c>
      <c r="BN2580">
        <v>1</v>
      </c>
      <c r="BO2580">
        <v>0</v>
      </c>
      <c r="BP2580">
        <v>0</v>
      </c>
      <c r="BS2580">
        <v>0</v>
      </c>
      <c r="BT2580">
        <v>0</v>
      </c>
      <c r="BU2580">
        <v>0</v>
      </c>
      <c r="CE2580" t="str">
        <f t="shared" si="1023"/>
        <v>15:11:41.211</v>
      </c>
      <c r="CF2580">
        <v>210972033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3</v>
      </c>
      <c r="CY2580">
        <v>7</v>
      </c>
      <c r="CZ2580" t="s">
        <v>133</v>
      </c>
      <c r="DA2580">
        <v>275</v>
      </c>
      <c r="DB2580">
        <v>0</v>
      </c>
      <c r="DC2580" t="s">
        <v>134</v>
      </c>
      <c r="DD2580" t="s">
        <v>135</v>
      </c>
      <c r="DG2580">
        <v>3321859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"05/01/2025 15:11:41.461"</f>
        <v>05/01/2025 15:11:41.461</v>
      </c>
      <c r="C2581" t="str">
        <f t="shared" si="1014"/>
        <v>FFDFD3C0</v>
      </c>
      <c r="D2581" t="s">
        <v>136</v>
      </c>
      <c r="E2581" t="str">
        <f>"20"</f>
        <v>20</v>
      </c>
      <c r="H2581">
        <v>400</v>
      </c>
      <c r="I2581" t="s">
        <v>137</v>
      </c>
      <c r="J2581" t="s">
        <v>138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R2581" t="s">
        <v>127</v>
      </c>
      <c r="S2581" t="str">
        <f t="shared" si="1022"/>
        <v>15:11:41.000</v>
      </c>
      <c r="T2581" t="str">
        <f t="shared" si="1022"/>
        <v>15:11:41.000</v>
      </c>
      <c r="U2581" t="str">
        <f t="shared" si="1015"/>
        <v>A68FCB</v>
      </c>
      <c r="V2581">
        <v>0</v>
      </c>
      <c r="W2581">
        <v>0</v>
      </c>
      <c r="X2581">
        <v>2</v>
      </c>
      <c r="Y2581">
        <v>0</v>
      </c>
      <c r="AA2581">
        <v>1</v>
      </c>
      <c r="AB2581">
        <v>8</v>
      </c>
      <c r="AC2581">
        <v>3</v>
      </c>
      <c r="AD2581">
        <v>0</v>
      </c>
      <c r="AE2581">
        <v>9</v>
      </c>
      <c r="AF2581" t="s">
        <v>138</v>
      </c>
      <c r="AG2581">
        <v>0</v>
      </c>
      <c r="AH2581">
        <v>3</v>
      </c>
      <c r="AI2581">
        <v>2</v>
      </c>
      <c r="AJ2581">
        <v>0</v>
      </c>
      <c r="AK2581" t="s">
        <v>874</v>
      </c>
      <c r="AL2581">
        <v>39.088991</v>
      </c>
      <c r="AM2581" t="s">
        <v>875</v>
      </c>
      <c r="AN2581">
        <v>-121.036677</v>
      </c>
      <c r="AO2581">
        <v>25</v>
      </c>
      <c r="AP2581">
        <v>4600</v>
      </c>
      <c r="AQ2581" t="s">
        <v>131</v>
      </c>
      <c r="AR2581">
        <v>18</v>
      </c>
      <c r="AS2581">
        <v>81</v>
      </c>
      <c r="AT2581">
        <v>-64</v>
      </c>
      <c r="BB2581" t="str">
        <f t="shared" si="1016"/>
        <v>1200</v>
      </c>
      <c r="BC2581">
        <v>1</v>
      </c>
      <c r="BD2581" t="str">
        <f t="shared" si="1017"/>
        <v xml:space="preserve">N52156  </v>
      </c>
      <c r="BE2581">
        <v>1</v>
      </c>
      <c r="BG2581">
        <v>0</v>
      </c>
      <c r="BH2581">
        <v>0</v>
      </c>
      <c r="BI2581">
        <v>0</v>
      </c>
      <c r="BJ2581">
        <v>4625</v>
      </c>
      <c r="BK2581">
        <v>25</v>
      </c>
      <c r="BL2581" t="s">
        <v>188</v>
      </c>
      <c r="BM2581">
        <v>1</v>
      </c>
      <c r="BN2581">
        <v>1</v>
      </c>
      <c r="BO2581">
        <v>0</v>
      </c>
      <c r="BP2581">
        <v>0</v>
      </c>
      <c r="BS2581">
        <v>0</v>
      </c>
      <c r="BT2581">
        <v>0</v>
      </c>
      <c r="BU2581">
        <v>0</v>
      </c>
      <c r="CE2581" t="str">
        <f t="shared" si="1023"/>
        <v>15:11:41.211</v>
      </c>
      <c r="CF2581">
        <v>210972033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3</v>
      </c>
      <c r="CY2581">
        <v>7</v>
      </c>
      <c r="CZ2581" t="s">
        <v>133</v>
      </c>
      <c r="DA2581">
        <v>275</v>
      </c>
      <c r="DB2581">
        <v>0</v>
      </c>
      <c r="DC2581" t="s">
        <v>134</v>
      </c>
      <c r="DD2581" t="s">
        <v>135</v>
      </c>
      <c r="DG2581">
        <v>3321859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"05/01/2025 15:11:43.007"</f>
        <v>05/01/2025 15:11:43.007</v>
      </c>
      <c r="C2582" t="str">
        <f t="shared" si="1014"/>
        <v>FFDFD3C0</v>
      </c>
      <c r="D2582" t="s">
        <v>145</v>
      </c>
      <c r="E2582" t="str">
        <f>"09"</f>
        <v>09</v>
      </c>
      <c r="H2582">
        <v>51</v>
      </c>
      <c r="I2582" t="s">
        <v>147</v>
      </c>
      <c r="J2582" t="s">
        <v>138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R2582" t="s">
        <v>127</v>
      </c>
      <c r="S2582" t="str">
        <f t="shared" ref="S2582:T2587" si="1024">"15:11:42.000"</f>
        <v>15:11:42.000</v>
      </c>
      <c r="T2582" t="str">
        <f t="shared" si="1024"/>
        <v>15:11:42.000</v>
      </c>
      <c r="U2582" t="str">
        <f t="shared" si="1015"/>
        <v>A68FCB</v>
      </c>
      <c r="V2582">
        <v>0</v>
      </c>
      <c r="W2582">
        <v>0</v>
      </c>
      <c r="X2582">
        <v>2</v>
      </c>
      <c r="Y2582">
        <v>0</v>
      </c>
      <c r="AA2582">
        <v>1</v>
      </c>
      <c r="AB2582">
        <v>8</v>
      </c>
      <c r="AC2582">
        <v>3</v>
      </c>
      <c r="AD2582">
        <v>0</v>
      </c>
      <c r="AE2582">
        <v>9</v>
      </c>
      <c r="AF2582" t="s">
        <v>138</v>
      </c>
      <c r="AG2582">
        <v>0</v>
      </c>
      <c r="AH2582">
        <v>3</v>
      </c>
      <c r="AI2582">
        <v>2</v>
      </c>
      <c r="AJ2582">
        <v>0</v>
      </c>
      <c r="AK2582" t="s">
        <v>876</v>
      </c>
      <c r="AL2582">
        <v>39.089376999999999</v>
      </c>
      <c r="AM2582" t="s">
        <v>877</v>
      </c>
      <c r="AN2582">
        <v>-121.03657</v>
      </c>
      <c r="AO2582">
        <v>25</v>
      </c>
      <c r="AP2582">
        <v>4600</v>
      </c>
      <c r="AQ2582" t="s">
        <v>131</v>
      </c>
      <c r="AR2582">
        <v>17</v>
      </c>
      <c r="AS2582">
        <v>81</v>
      </c>
      <c r="AT2582">
        <v>-128</v>
      </c>
      <c r="BB2582" t="str">
        <f t="shared" si="1016"/>
        <v>1200</v>
      </c>
      <c r="BC2582">
        <v>1</v>
      </c>
      <c r="BD2582" t="str">
        <f t="shared" si="1017"/>
        <v xml:space="preserve">N52156  </v>
      </c>
      <c r="BE2582">
        <v>1</v>
      </c>
      <c r="BG2582">
        <v>0</v>
      </c>
      <c r="BH2582">
        <v>0</v>
      </c>
      <c r="BI2582">
        <v>0</v>
      </c>
      <c r="BJ2582">
        <v>4625</v>
      </c>
      <c r="BK2582">
        <v>25</v>
      </c>
      <c r="BL2582" t="s">
        <v>188</v>
      </c>
      <c r="BM2582">
        <v>1</v>
      </c>
      <c r="BN2582">
        <v>1</v>
      </c>
      <c r="BO2582">
        <v>0</v>
      </c>
      <c r="BP2582">
        <v>0</v>
      </c>
      <c r="BS2582">
        <v>0</v>
      </c>
      <c r="BT2582">
        <v>0</v>
      </c>
      <c r="BU2582">
        <v>0</v>
      </c>
      <c r="CE2582" t="str">
        <f t="shared" ref="CE2582:CE2587" si="1025">"15:11:42.779"</f>
        <v>15:11:42.779</v>
      </c>
      <c r="CF2582">
        <v>779294210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3</v>
      </c>
      <c r="CY2582">
        <v>7</v>
      </c>
      <c r="CZ2582" t="s">
        <v>133</v>
      </c>
      <c r="DA2582">
        <v>276</v>
      </c>
      <c r="DB2582">
        <v>0</v>
      </c>
      <c r="DC2582" t="s">
        <v>402</v>
      </c>
      <c r="DD2582" t="s">
        <v>403</v>
      </c>
      <c r="DG2582">
        <v>1627378</v>
      </c>
      <c r="DI2582">
        <v>1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"05/01/2025 15:11:43.006"</f>
        <v>05/01/2025 15:11:43.006</v>
      </c>
      <c r="C2583" t="str">
        <f t="shared" si="1014"/>
        <v>FFDFD3C0</v>
      </c>
      <c r="D2583" t="s">
        <v>145</v>
      </c>
      <c r="E2583" t="str">
        <f>"05"</f>
        <v>05</v>
      </c>
      <c r="H2583">
        <v>47</v>
      </c>
      <c r="I2583" t="s">
        <v>146</v>
      </c>
      <c r="J2583" t="s">
        <v>138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R2583" t="s">
        <v>127</v>
      </c>
      <c r="S2583" t="str">
        <f t="shared" si="1024"/>
        <v>15:11:42.000</v>
      </c>
      <c r="T2583" t="str">
        <f t="shared" si="1024"/>
        <v>15:11:42.000</v>
      </c>
      <c r="U2583" t="str">
        <f t="shared" si="1015"/>
        <v>A68FCB</v>
      </c>
      <c r="V2583">
        <v>0</v>
      </c>
      <c r="W2583">
        <v>0</v>
      </c>
      <c r="X2583">
        <v>2</v>
      </c>
      <c r="Y2583">
        <v>0</v>
      </c>
      <c r="AA2583">
        <v>1</v>
      </c>
      <c r="AB2583">
        <v>8</v>
      </c>
      <c r="AC2583">
        <v>3</v>
      </c>
      <c r="AD2583">
        <v>0</v>
      </c>
      <c r="AE2583">
        <v>9</v>
      </c>
      <c r="AF2583" t="s">
        <v>138</v>
      </c>
      <c r="AG2583">
        <v>0</v>
      </c>
      <c r="AH2583">
        <v>3</v>
      </c>
      <c r="AI2583">
        <v>2</v>
      </c>
      <c r="AJ2583">
        <v>0</v>
      </c>
      <c r="AK2583" t="s">
        <v>876</v>
      </c>
      <c r="AL2583">
        <v>39.089376999999999</v>
      </c>
      <c r="AM2583" t="s">
        <v>877</v>
      </c>
      <c r="AN2583">
        <v>-121.03657</v>
      </c>
      <c r="AO2583">
        <v>25</v>
      </c>
      <c r="AP2583">
        <v>4600</v>
      </c>
      <c r="AQ2583" t="s">
        <v>131</v>
      </c>
      <c r="AR2583">
        <v>17</v>
      </c>
      <c r="AS2583">
        <v>81</v>
      </c>
      <c r="AT2583">
        <v>-128</v>
      </c>
      <c r="BB2583" t="str">
        <f t="shared" si="1016"/>
        <v>1200</v>
      </c>
      <c r="BC2583">
        <v>1</v>
      </c>
      <c r="BD2583" t="str">
        <f t="shared" si="1017"/>
        <v xml:space="preserve">N52156  </v>
      </c>
      <c r="BE2583">
        <v>1</v>
      </c>
      <c r="BG2583">
        <v>0</v>
      </c>
      <c r="BH2583">
        <v>0</v>
      </c>
      <c r="BI2583">
        <v>0</v>
      </c>
      <c r="BJ2583">
        <v>4625</v>
      </c>
      <c r="BK2583">
        <v>25</v>
      </c>
      <c r="BL2583" t="s">
        <v>188</v>
      </c>
      <c r="BM2583">
        <v>1</v>
      </c>
      <c r="BN2583">
        <v>1</v>
      </c>
      <c r="BO2583">
        <v>0</v>
      </c>
      <c r="BP2583">
        <v>0</v>
      </c>
      <c r="BS2583">
        <v>0</v>
      </c>
      <c r="BT2583">
        <v>0</v>
      </c>
      <c r="BU2583">
        <v>0</v>
      </c>
      <c r="CE2583" t="str">
        <f t="shared" si="1025"/>
        <v>15:11:42.779</v>
      </c>
      <c r="CF2583">
        <v>779294210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3</v>
      </c>
      <c r="CY2583">
        <v>7</v>
      </c>
      <c r="CZ2583" t="s">
        <v>133</v>
      </c>
      <c r="DA2583">
        <v>276</v>
      </c>
      <c r="DB2583">
        <v>0</v>
      </c>
      <c r="DC2583" t="s">
        <v>402</v>
      </c>
      <c r="DD2583" t="s">
        <v>403</v>
      </c>
      <c r="DG2583">
        <v>1627378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"05/01/2025 15:11:43.014"</f>
        <v>05/01/2025 15:11:43.014</v>
      </c>
      <c r="C2584" t="str">
        <f t="shared" si="1014"/>
        <v>FFDFD3C0</v>
      </c>
      <c r="D2584" t="s">
        <v>136</v>
      </c>
      <c r="E2584" t="str">
        <f>"20"</f>
        <v>20</v>
      </c>
      <c r="H2584">
        <v>400</v>
      </c>
      <c r="I2584" t="s">
        <v>137</v>
      </c>
      <c r="J2584" t="s">
        <v>138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R2584" t="s">
        <v>127</v>
      </c>
      <c r="S2584" t="str">
        <f t="shared" si="1024"/>
        <v>15:11:42.000</v>
      </c>
      <c r="T2584" t="str">
        <f t="shared" si="1024"/>
        <v>15:11:42.000</v>
      </c>
      <c r="U2584" t="str">
        <f t="shared" si="1015"/>
        <v>A68FCB</v>
      </c>
      <c r="V2584">
        <v>0</v>
      </c>
      <c r="W2584">
        <v>0</v>
      </c>
      <c r="X2584">
        <v>2</v>
      </c>
      <c r="Y2584">
        <v>0</v>
      </c>
      <c r="AA2584">
        <v>1</v>
      </c>
      <c r="AB2584">
        <v>8</v>
      </c>
      <c r="AC2584">
        <v>3</v>
      </c>
      <c r="AD2584">
        <v>0</v>
      </c>
      <c r="AE2584">
        <v>9</v>
      </c>
      <c r="AF2584" t="s">
        <v>138</v>
      </c>
      <c r="AG2584">
        <v>0</v>
      </c>
      <c r="AH2584">
        <v>3</v>
      </c>
      <c r="AI2584">
        <v>2</v>
      </c>
      <c r="AJ2584">
        <v>0</v>
      </c>
      <c r="AK2584" t="s">
        <v>876</v>
      </c>
      <c r="AL2584">
        <v>39.089376999999999</v>
      </c>
      <c r="AM2584" t="s">
        <v>877</v>
      </c>
      <c r="AN2584">
        <v>-121.03657</v>
      </c>
      <c r="AO2584">
        <v>25</v>
      </c>
      <c r="AP2584">
        <v>4600</v>
      </c>
      <c r="AQ2584" t="s">
        <v>131</v>
      </c>
      <c r="AR2584">
        <v>17</v>
      </c>
      <c r="AS2584">
        <v>81</v>
      </c>
      <c r="AT2584">
        <v>-128</v>
      </c>
      <c r="BB2584" t="str">
        <f t="shared" si="1016"/>
        <v>1200</v>
      </c>
      <c r="BC2584">
        <v>1</v>
      </c>
      <c r="BD2584" t="str">
        <f t="shared" si="1017"/>
        <v xml:space="preserve">N52156  </v>
      </c>
      <c r="BE2584">
        <v>1</v>
      </c>
      <c r="BG2584">
        <v>0</v>
      </c>
      <c r="BH2584">
        <v>0</v>
      </c>
      <c r="BI2584">
        <v>0</v>
      </c>
      <c r="BJ2584">
        <v>4625</v>
      </c>
      <c r="BK2584">
        <v>25</v>
      </c>
      <c r="BL2584" t="s">
        <v>188</v>
      </c>
      <c r="BM2584">
        <v>1</v>
      </c>
      <c r="BN2584">
        <v>1</v>
      </c>
      <c r="BO2584">
        <v>0</v>
      </c>
      <c r="BP2584">
        <v>0</v>
      </c>
      <c r="BS2584">
        <v>0</v>
      </c>
      <c r="BT2584">
        <v>0</v>
      </c>
      <c r="BU2584">
        <v>0</v>
      </c>
      <c r="CE2584" t="str">
        <f t="shared" si="1025"/>
        <v>15:11:42.779</v>
      </c>
      <c r="CF2584">
        <v>779294210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3</v>
      </c>
      <c r="CY2584">
        <v>7</v>
      </c>
      <c r="CZ2584" t="s">
        <v>133</v>
      </c>
      <c r="DA2584">
        <v>276</v>
      </c>
      <c r="DB2584">
        <v>0</v>
      </c>
      <c r="DC2584" t="s">
        <v>402</v>
      </c>
      <c r="DD2584" t="s">
        <v>403</v>
      </c>
      <c r="DG2584">
        <v>1627378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"05/01/2025 15:11:43.022"</f>
        <v>05/01/2025 15:11:43.022</v>
      </c>
      <c r="C2585" t="str">
        <f t="shared" si="1014"/>
        <v>FFDFD3C0</v>
      </c>
      <c r="D2585" t="s">
        <v>143</v>
      </c>
      <c r="E2585" t="str">
        <f>"05"</f>
        <v>05</v>
      </c>
      <c r="H2585">
        <v>172</v>
      </c>
      <c r="I2585" t="s">
        <v>141</v>
      </c>
      <c r="J2585" t="s">
        <v>144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R2585" t="s">
        <v>127</v>
      </c>
      <c r="S2585" t="str">
        <f t="shared" si="1024"/>
        <v>15:11:42.000</v>
      </c>
      <c r="T2585" t="str">
        <f t="shared" si="1024"/>
        <v>15:11:42.000</v>
      </c>
      <c r="U2585" t="str">
        <f t="shared" si="1015"/>
        <v>A68FCB</v>
      </c>
      <c r="V2585">
        <v>0</v>
      </c>
      <c r="W2585">
        <v>0</v>
      </c>
      <c r="X2585">
        <v>2</v>
      </c>
      <c r="Y2585">
        <v>0</v>
      </c>
      <c r="AA2585">
        <v>1</v>
      </c>
      <c r="AB2585">
        <v>8</v>
      </c>
      <c r="AC2585">
        <v>3</v>
      </c>
      <c r="AD2585">
        <v>0</v>
      </c>
      <c r="AE2585">
        <v>9</v>
      </c>
      <c r="AF2585" t="s">
        <v>138</v>
      </c>
      <c r="AG2585">
        <v>0</v>
      </c>
      <c r="AH2585">
        <v>3</v>
      </c>
      <c r="AI2585">
        <v>2</v>
      </c>
      <c r="AJ2585">
        <v>0</v>
      </c>
      <c r="AK2585" t="s">
        <v>876</v>
      </c>
      <c r="AL2585">
        <v>39.089376999999999</v>
      </c>
      <c r="AM2585" t="s">
        <v>877</v>
      </c>
      <c r="AN2585">
        <v>-121.03657</v>
      </c>
      <c r="AO2585">
        <v>25</v>
      </c>
      <c r="AP2585">
        <v>4600</v>
      </c>
      <c r="AQ2585" t="s">
        <v>131</v>
      </c>
      <c r="AR2585">
        <v>17</v>
      </c>
      <c r="AS2585">
        <v>81</v>
      </c>
      <c r="AT2585">
        <v>-128</v>
      </c>
      <c r="BB2585" t="str">
        <f t="shared" si="1016"/>
        <v>1200</v>
      </c>
      <c r="BC2585">
        <v>1</v>
      </c>
      <c r="BD2585" t="str">
        <f t="shared" si="1017"/>
        <v xml:space="preserve">N52156  </v>
      </c>
      <c r="BE2585">
        <v>1</v>
      </c>
      <c r="BG2585">
        <v>0</v>
      </c>
      <c r="BH2585">
        <v>0</v>
      </c>
      <c r="BI2585">
        <v>0</v>
      </c>
      <c r="BJ2585">
        <v>4625</v>
      </c>
      <c r="BK2585">
        <v>25</v>
      </c>
      <c r="BL2585" t="s">
        <v>188</v>
      </c>
      <c r="BM2585">
        <v>1</v>
      </c>
      <c r="BN2585">
        <v>1</v>
      </c>
      <c r="BO2585">
        <v>0</v>
      </c>
      <c r="BP2585">
        <v>0</v>
      </c>
      <c r="BS2585">
        <v>0</v>
      </c>
      <c r="BT2585">
        <v>0</v>
      </c>
      <c r="BU2585">
        <v>0</v>
      </c>
      <c r="CE2585" t="str">
        <f t="shared" si="1025"/>
        <v>15:11:42.779</v>
      </c>
      <c r="CF2585">
        <v>779294210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3</v>
      </c>
      <c r="CY2585">
        <v>7</v>
      </c>
      <c r="CZ2585" t="s">
        <v>133</v>
      </c>
      <c r="DA2585">
        <v>276</v>
      </c>
      <c r="DB2585">
        <v>0</v>
      </c>
      <c r="DC2585" t="s">
        <v>402</v>
      </c>
      <c r="DD2585" t="s">
        <v>403</v>
      </c>
      <c r="DG2585">
        <v>1627378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"05/01/2025 15:11:43.038"</f>
        <v>05/01/2025 15:11:43.038</v>
      </c>
      <c r="C2586" t="str">
        <f t="shared" si="1014"/>
        <v>FFDFD3C0</v>
      </c>
      <c r="D2586" t="s">
        <v>140</v>
      </c>
      <c r="E2586" t="str">
        <f>"13"</f>
        <v>13</v>
      </c>
      <c r="F2586">
        <v>1019</v>
      </c>
      <c r="G2586" t="s">
        <v>141</v>
      </c>
      <c r="J2586" t="s">
        <v>142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R2586" t="s">
        <v>127</v>
      </c>
      <c r="S2586" t="str">
        <f t="shared" si="1024"/>
        <v>15:11:42.000</v>
      </c>
      <c r="T2586" t="str">
        <f t="shared" si="1024"/>
        <v>15:11:42.000</v>
      </c>
      <c r="U2586" t="str">
        <f t="shared" si="1015"/>
        <v>A68FCB</v>
      </c>
      <c r="V2586">
        <v>0</v>
      </c>
      <c r="W2586">
        <v>0</v>
      </c>
      <c r="X2586">
        <v>2</v>
      </c>
      <c r="Y2586">
        <v>0</v>
      </c>
      <c r="AA2586">
        <v>1</v>
      </c>
      <c r="AB2586">
        <v>8</v>
      </c>
      <c r="AC2586">
        <v>3</v>
      </c>
      <c r="AD2586">
        <v>0</v>
      </c>
      <c r="AE2586">
        <v>9</v>
      </c>
      <c r="AF2586" t="s">
        <v>138</v>
      </c>
      <c r="AG2586">
        <v>0</v>
      </c>
      <c r="AH2586">
        <v>3</v>
      </c>
      <c r="AI2586">
        <v>2</v>
      </c>
      <c r="AJ2586">
        <v>0</v>
      </c>
      <c r="AK2586" t="s">
        <v>876</v>
      </c>
      <c r="AL2586">
        <v>39.089376999999999</v>
      </c>
      <c r="AM2586" t="s">
        <v>877</v>
      </c>
      <c r="AN2586">
        <v>-121.03657</v>
      </c>
      <c r="AO2586">
        <v>25</v>
      </c>
      <c r="AP2586">
        <v>4600</v>
      </c>
      <c r="AQ2586" t="s">
        <v>131</v>
      </c>
      <c r="AR2586">
        <v>17</v>
      </c>
      <c r="AS2586">
        <v>81</v>
      </c>
      <c r="AT2586">
        <v>-128</v>
      </c>
      <c r="BB2586" t="str">
        <f t="shared" si="1016"/>
        <v>1200</v>
      </c>
      <c r="BC2586">
        <v>1</v>
      </c>
      <c r="BD2586" t="str">
        <f t="shared" si="1017"/>
        <v xml:space="preserve">N52156  </v>
      </c>
      <c r="BE2586">
        <v>1</v>
      </c>
      <c r="BG2586">
        <v>0</v>
      </c>
      <c r="BH2586">
        <v>0</v>
      </c>
      <c r="BI2586">
        <v>0</v>
      </c>
      <c r="BJ2586">
        <v>4625</v>
      </c>
      <c r="BK2586">
        <v>25</v>
      </c>
      <c r="BL2586" t="s">
        <v>188</v>
      </c>
      <c r="BM2586">
        <v>1</v>
      </c>
      <c r="BN2586">
        <v>1</v>
      </c>
      <c r="BO2586">
        <v>0</v>
      </c>
      <c r="BP2586">
        <v>0</v>
      </c>
      <c r="BS2586">
        <v>0</v>
      </c>
      <c r="BT2586">
        <v>0</v>
      </c>
      <c r="BU2586">
        <v>0</v>
      </c>
      <c r="CE2586" t="str">
        <f t="shared" si="1025"/>
        <v>15:11:42.779</v>
      </c>
      <c r="CF2586">
        <v>779294210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3</v>
      </c>
      <c r="CY2586">
        <v>7</v>
      </c>
      <c r="CZ2586" t="s">
        <v>133</v>
      </c>
      <c r="DA2586">
        <v>276</v>
      </c>
      <c r="DB2586">
        <v>0</v>
      </c>
      <c r="DC2586" t="s">
        <v>402</v>
      </c>
      <c r="DD2586" t="s">
        <v>403</v>
      </c>
      <c r="DG2586">
        <v>1627378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"05/01/2025 15:11:43.045"</f>
        <v>05/01/2025 15:11:43.045</v>
      </c>
      <c r="C2587" t="str">
        <f t="shared" si="1014"/>
        <v>FFDFD3C0</v>
      </c>
      <c r="D2587" t="s">
        <v>124</v>
      </c>
      <c r="E2587" t="str">
        <f>"06"</f>
        <v>06</v>
      </c>
      <c r="F2587">
        <v>2006</v>
      </c>
      <c r="G2587" t="s">
        <v>125</v>
      </c>
      <c r="J2587" t="s">
        <v>126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R2587" t="s">
        <v>127</v>
      </c>
      <c r="S2587" t="str">
        <f t="shared" si="1024"/>
        <v>15:11:42.000</v>
      </c>
      <c r="T2587" t="str">
        <f t="shared" si="1024"/>
        <v>15:11:42.000</v>
      </c>
      <c r="U2587" t="str">
        <f t="shared" si="1015"/>
        <v>A68FCB</v>
      </c>
      <c r="V2587">
        <v>0</v>
      </c>
      <c r="W2587">
        <v>0</v>
      </c>
      <c r="X2587">
        <v>2</v>
      </c>
      <c r="Y2587">
        <v>0</v>
      </c>
      <c r="AA2587">
        <v>1</v>
      </c>
      <c r="AB2587">
        <v>8</v>
      </c>
      <c r="AC2587">
        <v>3</v>
      </c>
      <c r="AD2587">
        <v>0</v>
      </c>
      <c r="AE2587">
        <v>9</v>
      </c>
      <c r="AF2587" t="s">
        <v>138</v>
      </c>
      <c r="AG2587">
        <v>0</v>
      </c>
      <c r="AH2587">
        <v>3</v>
      </c>
      <c r="AI2587">
        <v>2</v>
      </c>
      <c r="AJ2587">
        <v>0</v>
      </c>
      <c r="AK2587" t="s">
        <v>876</v>
      </c>
      <c r="AL2587">
        <v>39.089376999999999</v>
      </c>
      <c r="AM2587" t="s">
        <v>877</v>
      </c>
      <c r="AN2587">
        <v>-121.03657</v>
      </c>
      <c r="AO2587">
        <v>25</v>
      </c>
      <c r="AP2587">
        <v>4600</v>
      </c>
      <c r="AQ2587" t="s">
        <v>131</v>
      </c>
      <c r="AR2587">
        <v>17</v>
      </c>
      <c r="AS2587">
        <v>81</v>
      </c>
      <c r="AT2587">
        <v>-128</v>
      </c>
      <c r="BB2587" t="str">
        <f t="shared" si="1016"/>
        <v>1200</v>
      </c>
      <c r="BC2587">
        <v>1</v>
      </c>
      <c r="BD2587" t="str">
        <f t="shared" si="1017"/>
        <v xml:space="preserve">N52156  </v>
      </c>
      <c r="BE2587">
        <v>1</v>
      </c>
      <c r="BG2587">
        <v>0</v>
      </c>
      <c r="BH2587">
        <v>0</v>
      </c>
      <c r="BI2587">
        <v>0</v>
      </c>
      <c r="BJ2587">
        <v>4625</v>
      </c>
      <c r="BK2587">
        <v>25</v>
      </c>
      <c r="BL2587" t="s">
        <v>188</v>
      </c>
      <c r="BM2587">
        <v>1</v>
      </c>
      <c r="BN2587">
        <v>1</v>
      </c>
      <c r="BO2587">
        <v>0</v>
      </c>
      <c r="BP2587">
        <v>0</v>
      </c>
      <c r="BS2587">
        <v>0</v>
      </c>
      <c r="BT2587">
        <v>0</v>
      </c>
      <c r="BU2587">
        <v>0</v>
      </c>
      <c r="CE2587" t="str">
        <f t="shared" si="1025"/>
        <v>15:11:42.779</v>
      </c>
      <c r="CF2587">
        <v>779294210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3</v>
      </c>
      <c r="CY2587">
        <v>7</v>
      </c>
      <c r="CZ2587" t="s">
        <v>133</v>
      </c>
      <c r="DA2587">
        <v>276</v>
      </c>
      <c r="DB2587">
        <v>0</v>
      </c>
      <c r="DC2587" t="s">
        <v>402</v>
      </c>
      <c r="DD2587" t="s">
        <v>403</v>
      </c>
      <c r="DG2587">
        <v>1627378</v>
      </c>
      <c r="DI2587">
        <v>1</v>
      </c>
      <c r="DJ2587">
        <v>0</v>
      </c>
      <c r="DK2587">
        <v>1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"05/01/2025 15:11:44.074"</f>
        <v>05/01/2025 15:11:44.074</v>
      </c>
      <c r="C2588" t="str">
        <f t="shared" si="1014"/>
        <v>FFDFD3C0</v>
      </c>
      <c r="D2588" t="s">
        <v>143</v>
      </c>
      <c r="E2588" t="str">
        <f>"05"</f>
        <v>05</v>
      </c>
      <c r="H2588">
        <v>172</v>
      </c>
      <c r="I2588" t="s">
        <v>141</v>
      </c>
      <c r="J2588" t="s">
        <v>144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R2588" t="s">
        <v>127</v>
      </c>
      <c r="S2588" t="str">
        <f t="shared" ref="S2588:T2593" si="1026">"15:11:43.000"</f>
        <v>15:11:43.000</v>
      </c>
      <c r="T2588" t="str">
        <f t="shared" si="1026"/>
        <v>15:11:43.000</v>
      </c>
      <c r="U2588" t="str">
        <f t="shared" si="1015"/>
        <v>A68FCB</v>
      </c>
      <c r="V2588">
        <v>0</v>
      </c>
      <c r="W2588">
        <v>0</v>
      </c>
      <c r="X2588">
        <v>2</v>
      </c>
      <c r="Y2588">
        <v>0</v>
      </c>
      <c r="AA2588">
        <v>1</v>
      </c>
      <c r="AB2588">
        <v>8</v>
      </c>
      <c r="AC2588">
        <v>3</v>
      </c>
      <c r="AD2588">
        <v>0</v>
      </c>
      <c r="AE2588">
        <v>9</v>
      </c>
      <c r="AF2588" t="s">
        <v>138</v>
      </c>
      <c r="AG2588">
        <v>0</v>
      </c>
      <c r="AH2588">
        <v>3</v>
      </c>
      <c r="AI2588">
        <v>2</v>
      </c>
      <c r="AJ2588">
        <v>0</v>
      </c>
      <c r="AK2588" t="s">
        <v>878</v>
      </c>
      <c r="AL2588">
        <v>39.089762999999998</v>
      </c>
      <c r="AM2588" t="s">
        <v>879</v>
      </c>
      <c r="AN2588">
        <v>-121.036463</v>
      </c>
      <c r="AO2588">
        <v>25</v>
      </c>
      <c r="AP2588">
        <v>4600</v>
      </c>
      <c r="AQ2588" t="s">
        <v>131</v>
      </c>
      <c r="AR2588">
        <v>17</v>
      </c>
      <c r="AS2588">
        <v>82</v>
      </c>
      <c r="AT2588">
        <v>-192</v>
      </c>
      <c r="BB2588" t="str">
        <f t="shared" si="1016"/>
        <v>1200</v>
      </c>
      <c r="BC2588">
        <v>1</v>
      </c>
      <c r="BD2588" t="str">
        <f t="shared" si="1017"/>
        <v xml:space="preserve">N52156  </v>
      </c>
      <c r="BE2588">
        <v>1</v>
      </c>
      <c r="BG2588">
        <v>0</v>
      </c>
      <c r="BH2588">
        <v>0</v>
      </c>
      <c r="BI2588">
        <v>0</v>
      </c>
      <c r="BJ2588">
        <v>4625</v>
      </c>
      <c r="BK2588">
        <v>25</v>
      </c>
      <c r="BL2588" t="s">
        <v>188</v>
      </c>
      <c r="BM2588">
        <v>1</v>
      </c>
      <c r="BN2588">
        <v>1</v>
      </c>
      <c r="BO2588">
        <v>0</v>
      </c>
      <c r="BP2588">
        <v>0</v>
      </c>
      <c r="BS2588">
        <v>0</v>
      </c>
      <c r="BT2588">
        <v>0</v>
      </c>
      <c r="BU2588">
        <v>0</v>
      </c>
      <c r="CE2588" t="str">
        <f t="shared" ref="CE2588:CE2593" si="1027">"15:11:43.874"</f>
        <v>15:11:43.874</v>
      </c>
      <c r="CF2588">
        <v>874223953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3</v>
      </c>
      <c r="CY2588">
        <v>7</v>
      </c>
      <c r="CZ2588" t="s">
        <v>133</v>
      </c>
      <c r="DA2588">
        <v>275</v>
      </c>
      <c r="DB2588">
        <v>0</v>
      </c>
      <c r="DC2588" t="s">
        <v>134</v>
      </c>
      <c r="DD2588" t="s">
        <v>135</v>
      </c>
      <c r="DG2588">
        <v>3321877</v>
      </c>
      <c r="DI2588">
        <v>1</v>
      </c>
      <c r="DJ2588">
        <v>0</v>
      </c>
      <c r="DK2588">
        <v>0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"05/01/2025 15:11:44.090"</f>
        <v>05/01/2025 15:11:44.090</v>
      </c>
      <c r="C2589" t="str">
        <f t="shared" si="1014"/>
        <v>FFDFD3C0</v>
      </c>
      <c r="D2589" t="s">
        <v>140</v>
      </c>
      <c r="E2589" t="str">
        <f>"13"</f>
        <v>13</v>
      </c>
      <c r="F2589">
        <v>1019</v>
      </c>
      <c r="G2589" t="s">
        <v>141</v>
      </c>
      <c r="J2589" t="s">
        <v>142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R2589" t="s">
        <v>127</v>
      </c>
      <c r="S2589" t="str">
        <f t="shared" si="1026"/>
        <v>15:11:43.000</v>
      </c>
      <c r="T2589" t="str">
        <f t="shared" si="1026"/>
        <v>15:11:43.000</v>
      </c>
      <c r="U2589" t="str">
        <f t="shared" si="1015"/>
        <v>A68FCB</v>
      </c>
      <c r="V2589">
        <v>0</v>
      </c>
      <c r="W2589">
        <v>0</v>
      </c>
      <c r="X2589">
        <v>2</v>
      </c>
      <c r="Y2589">
        <v>0</v>
      </c>
      <c r="AA2589">
        <v>1</v>
      </c>
      <c r="AB2589">
        <v>8</v>
      </c>
      <c r="AC2589">
        <v>3</v>
      </c>
      <c r="AD2589">
        <v>0</v>
      </c>
      <c r="AE2589">
        <v>9</v>
      </c>
      <c r="AF2589" t="s">
        <v>138</v>
      </c>
      <c r="AG2589">
        <v>0</v>
      </c>
      <c r="AH2589">
        <v>3</v>
      </c>
      <c r="AI2589">
        <v>2</v>
      </c>
      <c r="AJ2589">
        <v>0</v>
      </c>
      <c r="AK2589" t="s">
        <v>878</v>
      </c>
      <c r="AL2589">
        <v>39.089762999999998</v>
      </c>
      <c r="AM2589" t="s">
        <v>879</v>
      </c>
      <c r="AN2589">
        <v>-121.036463</v>
      </c>
      <c r="AO2589">
        <v>25</v>
      </c>
      <c r="AP2589">
        <v>4600</v>
      </c>
      <c r="AQ2589" t="s">
        <v>131</v>
      </c>
      <c r="AR2589">
        <v>17</v>
      </c>
      <c r="AS2589">
        <v>82</v>
      </c>
      <c r="AT2589">
        <v>-192</v>
      </c>
      <c r="BB2589" t="str">
        <f t="shared" si="1016"/>
        <v>1200</v>
      </c>
      <c r="BC2589">
        <v>1</v>
      </c>
      <c r="BD2589" t="str">
        <f t="shared" si="1017"/>
        <v xml:space="preserve">N52156  </v>
      </c>
      <c r="BE2589">
        <v>1</v>
      </c>
      <c r="BG2589">
        <v>0</v>
      </c>
      <c r="BH2589">
        <v>0</v>
      </c>
      <c r="BI2589">
        <v>0</v>
      </c>
      <c r="BJ2589">
        <v>4625</v>
      </c>
      <c r="BK2589">
        <v>25</v>
      </c>
      <c r="BL2589" t="s">
        <v>188</v>
      </c>
      <c r="BM2589">
        <v>1</v>
      </c>
      <c r="BN2589">
        <v>1</v>
      </c>
      <c r="BO2589">
        <v>0</v>
      </c>
      <c r="BP2589">
        <v>0</v>
      </c>
      <c r="BS2589">
        <v>0</v>
      </c>
      <c r="BT2589">
        <v>0</v>
      </c>
      <c r="BU2589">
        <v>0</v>
      </c>
      <c r="CE2589" t="str">
        <f t="shared" si="1027"/>
        <v>15:11:43.874</v>
      </c>
      <c r="CF2589">
        <v>874223953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3</v>
      </c>
      <c r="CY2589">
        <v>7</v>
      </c>
      <c r="CZ2589" t="s">
        <v>133</v>
      </c>
      <c r="DA2589">
        <v>275</v>
      </c>
      <c r="DB2589">
        <v>0</v>
      </c>
      <c r="DC2589" t="s">
        <v>134</v>
      </c>
      <c r="DD2589" t="s">
        <v>135</v>
      </c>
      <c r="DG2589">
        <v>3321877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"05/01/2025 15:11:44.097"</f>
        <v>05/01/2025 15:11:44.097</v>
      </c>
      <c r="C2590" t="str">
        <f t="shared" si="1014"/>
        <v>FFDFD3C0</v>
      </c>
      <c r="D2590" t="s">
        <v>124</v>
      </c>
      <c r="E2590" t="str">
        <f>"06"</f>
        <v>06</v>
      </c>
      <c r="F2590">
        <v>2006</v>
      </c>
      <c r="G2590" t="s">
        <v>125</v>
      </c>
      <c r="J2590" t="s">
        <v>126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R2590" t="s">
        <v>127</v>
      </c>
      <c r="S2590" t="str">
        <f t="shared" si="1026"/>
        <v>15:11:43.000</v>
      </c>
      <c r="T2590" t="str">
        <f t="shared" si="1026"/>
        <v>15:11:43.000</v>
      </c>
      <c r="U2590" t="str">
        <f t="shared" si="1015"/>
        <v>A68FCB</v>
      </c>
      <c r="V2590">
        <v>0</v>
      </c>
      <c r="W2590">
        <v>0</v>
      </c>
      <c r="X2590">
        <v>2</v>
      </c>
      <c r="Y2590">
        <v>0</v>
      </c>
      <c r="AA2590">
        <v>1</v>
      </c>
      <c r="AB2590">
        <v>8</v>
      </c>
      <c r="AC2590">
        <v>3</v>
      </c>
      <c r="AD2590">
        <v>0</v>
      </c>
      <c r="AE2590">
        <v>9</v>
      </c>
      <c r="AF2590" t="s">
        <v>138</v>
      </c>
      <c r="AG2590">
        <v>0</v>
      </c>
      <c r="AH2590">
        <v>3</v>
      </c>
      <c r="AI2590">
        <v>2</v>
      </c>
      <c r="AJ2590">
        <v>0</v>
      </c>
      <c r="AK2590" t="s">
        <v>878</v>
      </c>
      <c r="AL2590">
        <v>39.089762999999998</v>
      </c>
      <c r="AM2590" t="s">
        <v>879</v>
      </c>
      <c r="AN2590">
        <v>-121.036463</v>
      </c>
      <c r="AO2590">
        <v>25</v>
      </c>
      <c r="AP2590">
        <v>4600</v>
      </c>
      <c r="AQ2590" t="s">
        <v>131</v>
      </c>
      <c r="AR2590">
        <v>17</v>
      </c>
      <c r="AS2590">
        <v>82</v>
      </c>
      <c r="AT2590">
        <v>-192</v>
      </c>
      <c r="BB2590" t="str">
        <f t="shared" si="1016"/>
        <v>1200</v>
      </c>
      <c r="BC2590">
        <v>1</v>
      </c>
      <c r="BD2590" t="str">
        <f t="shared" si="1017"/>
        <v xml:space="preserve">N52156  </v>
      </c>
      <c r="BE2590">
        <v>1</v>
      </c>
      <c r="BG2590">
        <v>0</v>
      </c>
      <c r="BH2590">
        <v>0</v>
      </c>
      <c r="BI2590">
        <v>0</v>
      </c>
      <c r="BJ2590">
        <v>4625</v>
      </c>
      <c r="BK2590">
        <v>25</v>
      </c>
      <c r="BL2590" t="s">
        <v>188</v>
      </c>
      <c r="BM2590">
        <v>1</v>
      </c>
      <c r="BN2590">
        <v>1</v>
      </c>
      <c r="BO2590">
        <v>0</v>
      </c>
      <c r="BP2590">
        <v>0</v>
      </c>
      <c r="BS2590">
        <v>0</v>
      </c>
      <c r="BT2590">
        <v>0</v>
      </c>
      <c r="BU2590">
        <v>0</v>
      </c>
      <c r="CE2590" t="str">
        <f t="shared" si="1027"/>
        <v>15:11:43.874</v>
      </c>
      <c r="CF2590">
        <v>874223953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3</v>
      </c>
      <c r="CY2590">
        <v>7</v>
      </c>
      <c r="CZ2590" t="s">
        <v>133</v>
      </c>
      <c r="DA2590">
        <v>275</v>
      </c>
      <c r="DB2590">
        <v>0</v>
      </c>
      <c r="DC2590" t="s">
        <v>134</v>
      </c>
      <c r="DD2590" t="s">
        <v>135</v>
      </c>
      <c r="DG2590">
        <v>3321877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"05/01/2025 15:11:44.108"</f>
        <v>05/01/2025 15:11:44.108</v>
      </c>
      <c r="C2591" t="str">
        <f t="shared" si="1014"/>
        <v>FFDFD3C0</v>
      </c>
      <c r="D2591" t="s">
        <v>145</v>
      </c>
      <c r="E2591" t="str">
        <f>"05"</f>
        <v>05</v>
      </c>
      <c r="H2591">
        <v>47</v>
      </c>
      <c r="I2591" t="s">
        <v>146</v>
      </c>
      <c r="J2591" t="s">
        <v>138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R2591" t="s">
        <v>127</v>
      </c>
      <c r="S2591" t="str">
        <f t="shared" si="1026"/>
        <v>15:11:43.000</v>
      </c>
      <c r="T2591" t="str">
        <f t="shared" si="1026"/>
        <v>15:11:43.000</v>
      </c>
      <c r="U2591" t="str">
        <f t="shared" si="1015"/>
        <v>A68FCB</v>
      </c>
      <c r="V2591">
        <v>0</v>
      </c>
      <c r="W2591">
        <v>0</v>
      </c>
      <c r="X2591">
        <v>2</v>
      </c>
      <c r="Y2591">
        <v>0</v>
      </c>
      <c r="AA2591">
        <v>1</v>
      </c>
      <c r="AB2591">
        <v>8</v>
      </c>
      <c r="AC2591">
        <v>3</v>
      </c>
      <c r="AD2591">
        <v>0</v>
      </c>
      <c r="AE2591">
        <v>9</v>
      </c>
      <c r="AF2591" t="s">
        <v>138</v>
      </c>
      <c r="AG2591">
        <v>0</v>
      </c>
      <c r="AH2591">
        <v>3</v>
      </c>
      <c r="AI2591">
        <v>2</v>
      </c>
      <c r="AJ2591">
        <v>0</v>
      </c>
      <c r="AK2591" t="s">
        <v>878</v>
      </c>
      <c r="AL2591">
        <v>39.089762999999998</v>
      </c>
      <c r="AM2591" t="s">
        <v>879</v>
      </c>
      <c r="AN2591">
        <v>-121.036463</v>
      </c>
      <c r="AO2591">
        <v>25</v>
      </c>
      <c r="AP2591">
        <v>4600</v>
      </c>
      <c r="AQ2591" t="s">
        <v>131</v>
      </c>
      <c r="AR2591">
        <v>17</v>
      </c>
      <c r="AS2591">
        <v>82</v>
      </c>
      <c r="AT2591">
        <v>-192</v>
      </c>
      <c r="BB2591" t="str">
        <f t="shared" si="1016"/>
        <v>1200</v>
      </c>
      <c r="BC2591">
        <v>1</v>
      </c>
      <c r="BD2591" t="str">
        <f t="shared" si="1017"/>
        <v xml:space="preserve">N52156  </v>
      </c>
      <c r="BE2591">
        <v>1</v>
      </c>
      <c r="BG2591">
        <v>0</v>
      </c>
      <c r="BH2591">
        <v>0</v>
      </c>
      <c r="BI2591">
        <v>0</v>
      </c>
      <c r="BJ2591">
        <v>4625</v>
      </c>
      <c r="BK2591">
        <v>25</v>
      </c>
      <c r="BL2591" t="s">
        <v>188</v>
      </c>
      <c r="BM2591">
        <v>1</v>
      </c>
      <c r="BN2591">
        <v>1</v>
      </c>
      <c r="BO2591">
        <v>0</v>
      </c>
      <c r="BP2591">
        <v>0</v>
      </c>
      <c r="BS2591">
        <v>0</v>
      </c>
      <c r="BT2591">
        <v>0</v>
      </c>
      <c r="BU2591">
        <v>0</v>
      </c>
      <c r="CE2591" t="str">
        <f t="shared" si="1027"/>
        <v>15:11:43.874</v>
      </c>
      <c r="CF2591">
        <v>874223953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3</v>
      </c>
      <c r="CY2591">
        <v>7</v>
      </c>
      <c r="CZ2591" t="s">
        <v>133</v>
      </c>
      <c r="DA2591">
        <v>275</v>
      </c>
      <c r="DB2591">
        <v>0</v>
      </c>
      <c r="DC2591" t="s">
        <v>134</v>
      </c>
      <c r="DD2591" t="s">
        <v>135</v>
      </c>
      <c r="DG2591">
        <v>3321877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"05/01/2025 15:11:44.109"</f>
        <v>05/01/2025 15:11:44.109</v>
      </c>
      <c r="C2592" t="str">
        <f t="shared" si="1014"/>
        <v>FFDFD3C0</v>
      </c>
      <c r="D2592" t="s">
        <v>145</v>
      </c>
      <c r="E2592" t="str">
        <f>"09"</f>
        <v>09</v>
      </c>
      <c r="H2592">
        <v>51</v>
      </c>
      <c r="I2592" t="s">
        <v>147</v>
      </c>
      <c r="J2592" t="s">
        <v>138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R2592" t="s">
        <v>127</v>
      </c>
      <c r="S2592" t="str">
        <f t="shared" si="1026"/>
        <v>15:11:43.000</v>
      </c>
      <c r="T2592" t="str">
        <f t="shared" si="1026"/>
        <v>15:11:43.000</v>
      </c>
      <c r="U2592" t="str">
        <f t="shared" si="1015"/>
        <v>A68FCB</v>
      </c>
      <c r="V2592">
        <v>0</v>
      </c>
      <c r="W2592">
        <v>0</v>
      </c>
      <c r="X2592">
        <v>2</v>
      </c>
      <c r="Y2592">
        <v>0</v>
      </c>
      <c r="AA2592">
        <v>1</v>
      </c>
      <c r="AB2592">
        <v>8</v>
      </c>
      <c r="AC2592">
        <v>3</v>
      </c>
      <c r="AD2592">
        <v>0</v>
      </c>
      <c r="AE2592">
        <v>9</v>
      </c>
      <c r="AF2592" t="s">
        <v>138</v>
      </c>
      <c r="AG2592">
        <v>0</v>
      </c>
      <c r="AH2592">
        <v>3</v>
      </c>
      <c r="AI2592">
        <v>2</v>
      </c>
      <c r="AJ2592">
        <v>0</v>
      </c>
      <c r="AK2592" t="s">
        <v>878</v>
      </c>
      <c r="AL2592">
        <v>39.089762999999998</v>
      </c>
      <c r="AM2592" t="s">
        <v>879</v>
      </c>
      <c r="AN2592">
        <v>-121.036463</v>
      </c>
      <c r="AO2592">
        <v>25</v>
      </c>
      <c r="AP2592">
        <v>4600</v>
      </c>
      <c r="AQ2592" t="s">
        <v>131</v>
      </c>
      <c r="AR2592">
        <v>17</v>
      </c>
      <c r="AS2592">
        <v>82</v>
      </c>
      <c r="AT2592">
        <v>-192</v>
      </c>
      <c r="BB2592" t="str">
        <f t="shared" si="1016"/>
        <v>1200</v>
      </c>
      <c r="BC2592">
        <v>1</v>
      </c>
      <c r="BD2592" t="str">
        <f t="shared" si="1017"/>
        <v xml:space="preserve">N52156  </v>
      </c>
      <c r="BE2592">
        <v>1</v>
      </c>
      <c r="BG2592">
        <v>0</v>
      </c>
      <c r="BH2592">
        <v>0</v>
      </c>
      <c r="BI2592">
        <v>0</v>
      </c>
      <c r="BJ2592">
        <v>4625</v>
      </c>
      <c r="BK2592">
        <v>25</v>
      </c>
      <c r="BL2592" t="s">
        <v>188</v>
      </c>
      <c r="BM2592">
        <v>1</v>
      </c>
      <c r="BN2592">
        <v>1</v>
      </c>
      <c r="BO2592">
        <v>0</v>
      </c>
      <c r="BP2592">
        <v>0</v>
      </c>
      <c r="BS2592">
        <v>0</v>
      </c>
      <c r="BT2592">
        <v>0</v>
      </c>
      <c r="BU2592">
        <v>0</v>
      </c>
      <c r="CE2592" t="str">
        <f t="shared" si="1027"/>
        <v>15:11:43.874</v>
      </c>
      <c r="CF2592">
        <v>874223953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3</v>
      </c>
      <c r="CY2592">
        <v>7</v>
      </c>
      <c r="CZ2592" t="s">
        <v>133</v>
      </c>
      <c r="DA2592">
        <v>275</v>
      </c>
      <c r="DB2592">
        <v>0</v>
      </c>
      <c r="DC2592" t="s">
        <v>134</v>
      </c>
      <c r="DD2592" t="s">
        <v>135</v>
      </c>
      <c r="DG2592">
        <v>3321877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"05/01/2025 15:11:44.115"</f>
        <v>05/01/2025 15:11:44.115</v>
      </c>
      <c r="C2593" t="str">
        <f t="shared" si="1014"/>
        <v>FFDFD3C0</v>
      </c>
      <c r="D2593" t="s">
        <v>136</v>
      </c>
      <c r="E2593" t="str">
        <f>"20"</f>
        <v>20</v>
      </c>
      <c r="H2593">
        <v>400</v>
      </c>
      <c r="I2593" t="s">
        <v>137</v>
      </c>
      <c r="J2593" t="s">
        <v>138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R2593" t="s">
        <v>127</v>
      </c>
      <c r="S2593" t="str">
        <f t="shared" si="1026"/>
        <v>15:11:43.000</v>
      </c>
      <c r="T2593" t="str">
        <f t="shared" si="1026"/>
        <v>15:11:43.000</v>
      </c>
      <c r="U2593" t="str">
        <f t="shared" si="1015"/>
        <v>A68FCB</v>
      </c>
      <c r="V2593">
        <v>0</v>
      </c>
      <c r="W2593">
        <v>0</v>
      </c>
      <c r="X2593">
        <v>2</v>
      </c>
      <c r="Y2593">
        <v>0</v>
      </c>
      <c r="AA2593">
        <v>1</v>
      </c>
      <c r="AB2593">
        <v>8</v>
      </c>
      <c r="AC2593">
        <v>3</v>
      </c>
      <c r="AD2593">
        <v>0</v>
      </c>
      <c r="AE2593">
        <v>9</v>
      </c>
      <c r="AF2593" t="s">
        <v>138</v>
      </c>
      <c r="AG2593">
        <v>0</v>
      </c>
      <c r="AH2593">
        <v>3</v>
      </c>
      <c r="AI2593">
        <v>2</v>
      </c>
      <c r="AJ2593">
        <v>0</v>
      </c>
      <c r="AK2593" t="s">
        <v>878</v>
      </c>
      <c r="AL2593">
        <v>39.089762999999998</v>
      </c>
      <c r="AM2593" t="s">
        <v>879</v>
      </c>
      <c r="AN2593">
        <v>-121.036463</v>
      </c>
      <c r="AO2593">
        <v>25</v>
      </c>
      <c r="AP2593">
        <v>4600</v>
      </c>
      <c r="AQ2593" t="s">
        <v>131</v>
      </c>
      <c r="AR2593">
        <v>17</v>
      </c>
      <c r="AS2593">
        <v>82</v>
      </c>
      <c r="AT2593">
        <v>-192</v>
      </c>
      <c r="BB2593" t="str">
        <f t="shared" si="1016"/>
        <v>1200</v>
      </c>
      <c r="BC2593">
        <v>1</v>
      </c>
      <c r="BD2593" t="str">
        <f t="shared" si="1017"/>
        <v xml:space="preserve">N52156  </v>
      </c>
      <c r="BE2593">
        <v>1</v>
      </c>
      <c r="BG2593">
        <v>0</v>
      </c>
      <c r="BH2593">
        <v>0</v>
      </c>
      <c r="BI2593">
        <v>0</v>
      </c>
      <c r="BJ2593">
        <v>4625</v>
      </c>
      <c r="BK2593">
        <v>25</v>
      </c>
      <c r="BL2593" t="s">
        <v>188</v>
      </c>
      <c r="BM2593">
        <v>1</v>
      </c>
      <c r="BN2593">
        <v>1</v>
      </c>
      <c r="BO2593">
        <v>0</v>
      </c>
      <c r="BP2593">
        <v>0</v>
      </c>
      <c r="BS2593">
        <v>0</v>
      </c>
      <c r="BT2593">
        <v>0</v>
      </c>
      <c r="BU2593">
        <v>0</v>
      </c>
      <c r="CE2593" t="str">
        <f t="shared" si="1027"/>
        <v>15:11:43.874</v>
      </c>
      <c r="CF2593">
        <v>874223953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3</v>
      </c>
      <c r="CY2593">
        <v>7</v>
      </c>
      <c r="CZ2593" t="s">
        <v>133</v>
      </c>
      <c r="DA2593">
        <v>275</v>
      </c>
      <c r="DB2593">
        <v>0</v>
      </c>
      <c r="DC2593" t="s">
        <v>134</v>
      </c>
      <c r="DD2593" t="s">
        <v>135</v>
      </c>
      <c r="DG2593">
        <v>3321877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"05/01/2025 15:11:45.092"</f>
        <v>05/01/2025 15:11:45.092</v>
      </c>
      <c r="C2594" t="str">
        <f t="shared" si="1014"/>
        <v>FFDFD3C0</v>
      </c>
      <c r="D2594" t="s">
        <v>140</v>
      </c>
      <c r="E2594" t="str">
        <f>"13"</f>
        <v>13</v>
      </c>
      <c r="F2594">
        <v>1019</v>
      </c>
      <c r="G2594" t="s">
        <v>141</v>
      </c>
      <c r="J2594" t="s">
        <v>142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R2594" t="s">
        <v>127</v>
      </c>
      <c r="S2594" t="str">
        <f t="shared" ref="S2594:T2599" si="1028">"15:11:44.000"</f>
        <v>15:11:44.000</v>
      </c>
      <c r="T2594" t="str">
        <f t="shared" si="1028"/>
        <v>15:11:44.000</v>
      </c>
      <c r="U2594" t="str">
        <f t="shared" si="1015"/>
        <v>A68FCB</v>
      </c>
      <c r="V2594">
        <v>0</v>
      </c>
      <c r="W2594">
        <v>0</v>
      </c>
      <c r="X2594">
        <v>2</v>
      </c>
      <c r="Y2594">
        <v>0</v>
      </c>
      <c r="AA2594">
        <v>1</v>
      </c>
      <c r="AB2594">
        <v>8</v>
      </c>
      <c r="AC2594">
        <v>3</v>
      </c>
      <c r="AD2594">
        <v>0</v>
      </c>
      <c r="AE2594">
        <v>9</v>
      </c>
      <c r="AF2594" t="s">
        <v>138</v>
      </c>
      <c r="AG2594">
        <v>0</v>
      </c>
      <c r="AH2594">
        <v>3</v>
      </c>
      <c r="AI2594">
        <v>2</v>
      </c>
      <c r="AJ2594">
        <v>0</v>
      </c>
      <c r="AK2594" t="s">
        <v>880</v>
      </c>
      <c r="AL2594">
        <v>39.090128</v>
      </c>
      <c r="AM2594" t="s">
        <v>881</v>
      </c>
      <c r="AN2594">
        <v>-121.036355</v>
      </c>
      <c r="AO2594">
        <v>25</v>
      </c>
      <c r="AP2594">
        <v>4600</v>
      </c>
      <c r="AQ2594" t="s">
        <v>131</v>
      </c>
      <c r="AR2594">
        <v>17</v>
      </c>
      <c r="AS2594">
        <v>81</v>
      </c>
      <c r="AT2594">
        <v>-256</v>
      </c>
      <c r="BB2594" t="str">
        <f t="shared" si="1016"/>
        <v>1200</v>
      </c>
      <c r="BC2594">
        <v>1</v>
      </c>
      <c r="BD2594" t="str">
        <f t="shared" si="1017"/>
        <v xml:space="preserve">N52156  </v>
      </c>
      <c r="BE2594">
        <v>1</v>
      </c>
      <c r="BG2594">
        <v>0</v>
      </c>
      <c r="BH2594">
        <v>0</v>
      </c>
      <c r="BI2594">
        <v>0</v>
      </c>
      <c r="BJ2594">
        <v>4625</v>
      </c>
      <c r="BK2594">
        <v>25</v>
      </c>
      <c r="BL2594" t="s">
        <v>188</v>
      </c>
      <c r="BM2594">
        <v>1</v>
      </c>
      <c r="BN2594">
        <v>1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 t="shared" ref="CE2594:CE2599" si="1029">"15:11:44.851"</f>
        <v>15:11:44.851</v>
      </c>
      <c r="CF2594">
        <v>851223963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4</v>
      </c>
      <c r="CY2594">
        <v>7</v>
      </c>
      <c r="CZ2594" t="s">
        <v>133</v>
      </c>
      <c r="DA2594">
        <v>275</v>
      </c>
      <c r="DB2594">
        <v>0</v>
      </c>
      <c r="DC2594" t="s">
        <v>134</v>
      </c>
      <c r="DD2594" t="s">
        <v>135</v>
      </c>
      <c r="DG2594">
        <v>3321883</v>
      </c>
      <c r="DI2594">
        <v>1</v>
      </c>
      <c r="DJ2594">
        <v>0</v>
      </c>
      <c r="DK2594">
        <v>0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"05/01/2025 15:11:45.098"</f>
        <v>05/01/2025 15:11:45.098</v>
      </c>
      <c r="C2595" t="str">
        <f t="shared" si="1014"/>
        <v>FFDFD3C0</v>
      </c>
      <c r="D2595" t="s">
        <v>124</v>
      </c>
      <c r="E2595" t="str">
        <f>"06"</f>
        <v>06</v>
      </c>
      <c r="F2595">
        <v>2006</v>
      </c>
      <c r="G2595" t="s">
        <v>125</v>
      </c>
      <c r="J2595" t="s">
        <v>126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R2595" t="s">
        <v>127</v>
      </c>
      <c r="S2595" t="str">
        <f t="shared" si="1028"/>
        <v>15:11:44.000</v>
      </c>
      <c r="T2595" t="str">
        <f t="shared" si="1028"/>
        <v>15:11:44.000</v>
      </c>
      <c r="U2595" t="str">
        <f t="shared" si="1015"/>
        <v>A68FCB</v>
      </c>
      <c r="V2595">
        <v>0</v>
      </c>
      <c r="W2595">
        <v>0</v>
      </c>
      <c r="X2595">
        <v>2</v>
      </c>
      <c r="Y2595">
        <v>0</v>
      </c>
      <c r="AA2595">
        <v>1</v>
      </c>
      <c r="AB2595">
        <v>8</v>
      </c>
      <c r="AC2595">
        <v>3</v>
      </c>
      <c r="AD2595">
        <v>0</v>
      </c>
      <c r="AE2595">
        <v>9</v>
      </c>
      <c r="AF2595" t="s">
        <v>138</v>
      </c>
      <c r="AG2595">
        <v>0</v>
      </c>
      <c r="AH2595">
        <v>3</v>
      </c>
      <c r="AI2595">
        <v>2</v>
      </c>
      <c r="AJ2595">
        <v>0</v>
      </c>
      <c r="AK2595" t="s">
        <v>880</v>
      </c>
      <c r="AL2595">
        <v>39.090128</v>
      </c>
      <c r="AM2595" t="s">
        <v>881</v>
      </c>
      <c r="AN2595">
        <v>-121.036355</v>
      </c>
      <c r="AO2595">
        <v>25</v>
      </c>
      <c r="AP2595">
        <v>4600</v>
      </c>
      <c r="AQ2595" t="s">
        <v>131</v>
      </c>
      <c r="AR2595">
        <v>17</v>
      </c>
      <c r="AS2595">
        <v>81</v>
      </c>
      <c r="AT2595">
        <v>-256</v>
      </c>
      <c r="BB2595" t="str">
        <f t="shared" si="1016"/>
        <v>1200</v>
      </c>
      <c r="BC2595">
        <v>1</v>
      </c>
      <c r="BD2595" t="str">
        <f t="shared" si="1017"/>
        <v xml:space="preserve">N52156  </v>
      </c>
      <c r="BE2595">
        <v>1</v>
      </c>
      <c r="BG2595">
        <v>0</v>
      </c>
      <c r="BH2595">
        <v>0</v>
      </c>
      <c r="BI2595">
        <v>0</v>
      </c>
      <c r="BJ2595">
        <v>4625</v>
      </c>
      <c r="BK2595">
        <v>25</v>
      </c>
      <c r="BL2595" t="s">
        <v>188</v>
      </c>
      <c r="BM2595">
        <v>1</v>
      </c>
      <c r="BN2595">
        <v>1</v>
      </c>
      <c r="BO2595">
        <v>0</v>
      </c>
      <c r="BP2595">
        <v>0</v>
      </c>
      <c r="BS2595">
        <v>0</v>
      </c>
      <c r="BT2595">
        <v>0</v>
      </c>
      <c r="BU2595">
        <v>0</v>
      </c>
      <c r="CE2595" t="str">
        <f t="shared" si="1029"/>
        <v>15:11:44.851</v>
      </c>
      <c r="CF2595">
        <v>851223963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4</v>
      </c>
      <c r="CY2595">
        <v>7</v>
      </c>
      <c r="CZ2595" t="s">
        <v>133</v>
      </c>
      <c r="DA2595">
        <v>275</v>
      </c>
      <c r="DB2595">
        <v>0</v>
      </c>
      <c r="DC2595" t="s">
        <v>134</v>
      </c>
      <c r="DD2595" t="s">
        <v>135</v>
      </c>
      <c r="DG2595">
        <v>3321883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"05/01/2025 15:11:45.110"</f>
        <v>05/01/2025 15:11:45.110</v>
      </c>
      <c r="C2596" t="str">
        <f t="shared" si="1014"/>
        <v>FFDFD3C0</v>
      </c>
      <c r="D2596" t="s">
        <v>145</v>
      </c>
      <c r="E2596" t="str">
        <f>"05"</f>
        <v>05</v>
      </c>
      <c r="H2596">
        <v>47</v>
      </c>
      <c r="I2596" t="s">
        <v>146</v>
      </c>
      <c r="J2596" t="s">
        <v>138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R2596" t="s">
        <v>127</v>
      </c>
      <c r="S2596" t="str">
        <f t="shared" si="1028"/>
        <v>15:11:44.000</v>
      </c>
      <c r="T2596" t="str">
        <f t="shared" si="1028"/>
        <v>15:11:44.000</v>
      </c>
      <c r="U2596" t="str">
        <f t="shared" si="1015"/>
        <v>A68FCB</v>
      </c>
      <c r="V2596">
        <v>0</v>
      </c>
      <c r="W2596">
        <v>0</v>
      </c>
      <c r="X2596">
        <v>2</v>
      </c>
      <c r="Y2596">
        <v>0</v>
      </c>
      <c r="AA2596">
        <v>1</v>
      </c>
      <c r="AB2596">
        <v>8</v>
      </c>
      <c r="AC2596">
        <v>3</v>
      </c>
      <c r="AD2596">
        <v>0</v>
      </c>
      <c r="AE2596">
        <v>9</v>
      </c>
      <c r="AF2596" t="s">
        <v>138</v>
      </c>
      <c r="AG2596">
        <v>0</v>
      </c>
      <c r="AH2596">
        <v>3</v>
      </c>
      <c r="AI2596">
        <v>2</v>
      </c>
      <c r="AJ2596">
        <v>0</v>
      </c>
      <c r="AK2596" t="s">
        <v>880</v>
      </c>
      <c r="AL2596">
        <v>39.090128</v>
      </c>
      <c r="AM2596" t="s">
        <v>881</v>
      </c>
      <c r="AN2596">
        <v>-121.036355</v>
      </c>
      <c r="AO2596">
        <v>25</v>
      </c>
      <c r="AP2596">
        <v>4600</v>
      </c>
      <c r="AQ2596" t="s">
        <v>131</v>
      </c>
      <c r="AR2596">
        <v>17</v>
      </c>
      <c r="AS2596">
        <v>81</v>
      </c>
      <c r="AT2596">
        <v>-256</v>
      </c>
      <c r="BB2596" t="str">
        <f t="shared" si="1016"/>
        <v>1200</v>
      </c>
      <c r="BC2596">
        <v>1</v>
      </c>
      <c r="BD2596" t="str">
        <f t="shared" si="1017"/>
        <v xml:space="preserve">N52156  </v>
      </c>
      <c r="BE2596">
        <v>1</v>
      </c>
      <c r="BG2596">
        <v>0</v>
      </c>
      <c r="BH2596">
        <v>0</v>
      </c>
      <c r="BI2596">
        <v>0</v>
      </c>
      <c r="BJ2596">
        <v>4625</v>
      </c>
      <c r="BK2596">
        <v>25</v>
      </c>
      <c r="BL2596" t="s">
        <v>188</v>
      </c>
      <c r="BM2596">
        <v>1</v>
      </c>
      <c r="BN2596">
        <v>1</v>
      </c>
      <c r="BO2596">
        <v>0</v>
      </c>
      <c r="BP2596">
        <v>0</v>
      </c>
      <c r="BS2596">
        <v>0</v>
      </c>
      <c r="BT2596">
        <v>0</v>
      </c>
      <c r="BU2596">
        <v>0</v>
      </c>
      <c r="CE2596" t="str">
        <f t="shared" si="1029"/>
        <v>15:11:44.851</v>
      </c>
      <c r="CF2596">
        <v>851223963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4</v>
      </c>
      <c r="CY2596">
        <v>7</v>
      </c>
      <c r="CZ2596" t="s">
        <v>133</v>
      </c>
      <c r="DA2596">
        <v>275</v>
      </c>
      <c r="DB2596">
        <v>0</v>
      </c>
      <c r="DC2596" t="s">
        <v>134</v>
      </c>
      <c r="DD2596" t="s">
        <v>135</v>
      </c>
      <c r="DG2596">
        <v>3321883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"05/01/2025 15:11:45.111"</f>
        <v>05/01/2025 15:11:45.111</v>
      </c>
      <c r="C2597" t="str">
        <f t="shared" si="1014"/>
        <v>FFDFD3C0</v>
      </c>
      <c r="D2597" t="s">
        <v>145</v>
      </c>
      <c r="E2597" t="str">
        <f>"09"</f>
        <v>09</v>
      </c>
      <c r="H2597">
        <v>51</v>
      </c>
      <c r="I2597" t="s">
        <v>147</v>
      </c>
      <c r="J2597" t="s">
        <v>138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R2597" t="s">
        <v>127</v>
      </c>
      <c r="S2597" t="str">
        <f t="shared" si="1028"/>
        <v>15:11:44.000</v>
      </c>
      <c r="T2597" t="str">
        <f t="shared" si="1028"/>
        <v>15:11:44.000</v>
      </c>
      <c r="U2597" t="str">
        <f t="shared" si="1015"/>
        <v>A68FCB</v>
      </c>
      <c r="V2597">
        <v>0</v>
      </c>
      <c r="W2597">
        <v>0</v>
      </c>
      <c r="X2597">
        <v>2</v>
      </c>
      <c r="Y2597">
        <v>0</v>
      </c>
      <c r="AA2597">
        <v>1</v>
      </c>
      <c r="AB2597">
        <v>8</v>
      </c>
      <c r="AC2597">
        <v>3</v>
      </c>
      <c r="AD2597">
        <v>0</v>
      </c>
      <c r="AE2597">
        <v>9</v>
      </c>
      <c r="AF2597" t="s">
        <v>138</v>
      </c>
      <c r="AG2597">
        <v>0</v>
      </c>
      <c r="AH2597">
        <v>3</v>
      </c>
      <c r="AI2597">
        <v>2</v>
      </c>
      <c r="AJ2597">
        <v>0</v>
      </c>
      <c r="AK2597" t="s">
        <v>880</v>
      </c>
      <c r="AL2597">
        <v>39.090128</v>
      </c>
      <c r="AM2597" t="s">
        <v>881</v>
      </c>
      <c r="AN2597">
        <v>-121.036355</v>
      </c>
      <c r="AO2597">
        <v>25</v>
      </c>
      <c r="AP2597">
        <v>4600</v>
      </c>
      <c r="AQ2597" t="s">
        <v>131</v>
      </c>
      <c r="AR2597">
        <v>17</v>
      </c>
      <c r="AS2597">
        <v>81</v>
      </c>
      <c r="AT2597">
        <v>-256</v>
      </c>
      <c r="BB2597" t="str">
        <f t="shared" si="1016"/>
        <v>1200</v>
      </c>
      <c r="BC2597">
        <v>1</v>
      </c>
      <c r="BD2597" t="str">
        <f t="shared" si="1017"/>
        <v xml:space="preserve">N52156  </v>
      </c>
      <c r="BE2597">
        <v>1</v>
      </c>
      <c r="BG2597">
        <v>0</v>
      </c>
      <c r="BH2597">
        <v>0</v>
      </c>
      <c r="BI2597">
        <v>0</v>
      </c>
      <c r="BJ2597">
        <v>4625</v>
      </c>
      <c r="BK2597">
        <v>25</v>
      </c>
      <c r="BL2597" t="s">
        <v>188</v>
      </c>
      <c r="BM2597">
        <v>1</v>
      </c>
      <c r="BN2597">
        <v>1</v>
      </c>
      <c r="BO2597">
        <v>0</v>
      </c>
      <c r="BP2597">
        <v>0</v>
      </c>
      <c r="BS2597">
        <v>0</v>
      </c>
      <c r="BT2597">
        <v>0</v>
      </c>
      <c r="BU2597">
        <v>0</v>
      </c>
      <c r="CE2597" t="str">
        <f t="shared" si="1029"/>
        <v>15:11:44.851</v>
      </c>
      <c r="CF2597">
        <v>851223963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4</v>
      </c>
      <c r="CY2597">
        <v>7</v>
      </c>
      <c r="CZ2597" t="s">
        <v>133</v>
      </c>
      <c r="DA2597">
        <v>275</v>
      </c>
      <c r="DB2597">
        <v>0</v>
      </c>
      <c r="DC2597" t="s">
        <v>134</v>
      </c>
      <c r="DD2597" t="s">
        <v>135</v>
      </c>
      <c r="DG2597">
        <v>3321883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"05/01/2025 15:11:45.117"</f>
        <v>05/01/2025 15:11:45.117</v>
      </c>
      <c r="C2598" t="str">
        <f t="shared" si="1014"/>
        <v>FFDFD3C0</v>
      </c>
      <c r="D2598" t="s">
        <v>136</v>
      </c>
      <c r="E2598" t="str">
        <f>"20"</f>
        <v>20</v>
      </c>
      <c r="H2598">
        <v>400</v>
      </c>
      <c r="I2598" t="s">
        <v>137</v>
      </c>
      <c r="J2598" t="s">
        <v>138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R2598" t="s">
        <v>127</v>
      </c>
      <c r="S2598" t="str">
        <f t="shared" si="1028"/>
        <v>15:11:44.000</v>
      </c>
      <c r="T2598" t="str">
        <f t="shared" si="1028"/>
        <v>15:11:44.000</v>
      </c>
      <c r="U2598" t="str">
        <f t="shared" si="1015"/>
        <v>A68FCB</v>
      </c>
      <c r="V2598">
        <v>0</v>
      </c>
      <c r="W2598">
        <v>0</v>
      </c>
      <c r="X2598">
        <v>2</v>
      </c>
      <c r="Y2598">
        <v>0</v>
      </c>
      <c r="AA2598">
        <v>1</v>
      </c>
      <c r="AB2598">
        <v>8</v>
      </c>
      <c r="AC2598">
        <v>3</v>
      </c>
      <c r="AD2598">
        <v>0</v>
      </c>
      <c r="AE2598">
        <v>9</v>
      </c>
      <c r="AF2598" t="s">
        <v>138</v>
      </c>
      <c r="AG2598">
        <v>0</v>
      </c>
      <c r="AH2598">
        <v>3</v>
      </c>
      <c r="AI2598">
        <v>2</v>
      </c>
      <c r="AJ2598">
        <v>0</v>
      </c>
      <c r="AK2598" t="s">
        <v>880</v>
      </c>
      <c r="AL2598">
        <v>39.090128</v>
      </c>
      <c r="AM2598" t="s">
        <v>881</v>
      </c>
      <c r="AN2598">
        <v>-121.036355</v>
      </c>
      <c r="AO2598">
        <v>25</v>
      </c>
      <c r="AP2598">
        <v>4600</v>
      </c>
      <c r="AQ2598" t="s">
        <v>131</v>
      </c>
      <c r="AR2598">
        <v>17</v>
      </c>
      <c r="AS2598">
        <v>81</v>
      </c>
      <c r="AT2598">
        <v>-256</v>
      </c>
      <c r="BB2598" t="str">
        <f t="shared" si="1016"/>
        <v>1200</v>
      </c>
      <c r="BC2598">
        <v>1</v>
      </c>
      <c r="BD2598" t="str">
        <f t="shared" si="1017"/>
        <v xml:space="preserve">N52156  </v>
      </c>
      <c r="BE2598">
        <v>1</v>
      </c>
      <c r="BG2598">
        <v>0</v>
      </c>
      <c r="BH2598">
        <v>0</v>
      </c>
      <c r="BI2598">
        <v>0</v>
      </c>
      <c r="BJ2598">
        <v>4625</v>
      </c>
      <c r="BK2598">
        <v>25</v>
      </c>
      <c r="BL2598" t="s">
        <v>188</v>
      </c>
      <c r="BM2598">
        <v>1</v>
      </c>
      <c r="BN2598">
        <v>1</v>
      </c>
      <c r="BO2598">
        <v>0</v>
      </c>
      <c r="BP2598">
        <v>0</v>
      </c>
      <c r="BS2598">
        <v>0</v>
      </c>
      <c r="BT2598">
        <v>0</v>
      </c>
      <c r="BU2598">
        <v>0</v>
      </c>
      <c r="CE2598" t="str">
        <f t="shared" si="1029"/>
        <v>15:11:44.851</v>
      </c>
      <c r="CF2598">
        <v>851223963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4</v>
      </c>
      <c r="CY2598">
        <v>7</v>
      </c>
      <c r="CZ2598" t="s">
        <v>133</v>
      </c>
      <c r="DA2598">
        <v>275</v>
      </c>
      <c r="DB2598">
        <v>0</v>
      </c>
      <c r="DC2598" t="s">
        <v>134</v>
      </c>
      <c r="DD2598" t="s">
        <v>135</v>
      </c>
      <c r="DG2598">
        <v>3321883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"05/01/2025 15:11:45.126"</f>
        <v>05/01/2025 15:11:45.126</v>
      </c>
      <c r="C2599" t="str">
        <f t="shared" si="1014"/>
        <v>FFDFD3C0</v>
      </c>
      <c r="D2599" t="s">
        <v>143</v>
      </c>
      <c r="E2599" t="str">
        <f>"05"</f>
        <v>05</v>
      </c>
      <c r="H2599">
        <v>172</v>
      </c>
      <c r="I2599" t="s">
        <v>141</v>
      </c>
      <c r="J2599" t="s">
        <v>144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R2599" t="s">
        <v>127</v>
      </c>
      <c r="S2599" t="str">
        <f t="shared" si="1028"/>
        <v>15:11:44.000</v>
      </c>
      <c r="T2599" t="str">
        <f t="shared" si="1028"/>
        <v>15:11:44.000</v>
      </c>
      <c r="U2599" t="str">
        <f t="shared" si="1015"/>
        <v>A68FCB</v>
      </c>
      <c r="V2599">
        <v>0</v>
      </c>
      <c r="W2599">
        <v>0</v>
      </c>
      <c r="X2599">
        <v>2</v>
      </c>
      <c r="Y2599">
        <v>0</v>
      </c>
      <c r="AA2599">
        <v>1</v>
      </c>
      <c r="AB2599">
        <v>8</v>
      </c>
      <c r="AC2599">
        <v>3</v>
      </c>
      <c r="AD2599">
        <v>0</v>
      </c>
      <c r="AE2599">
        <v>9</v>
      </c>
      <c r="AF2599" t="s">
        <v>138</v>
      </c>
      <c r="AG2599">
        <v>0</v>
      </c>
      <c r="AH2599">
        <v>3</v>
      </c>
      <c r="AI2599">
        <v>2</v>
      </c>
      <c r="AJ2599">
        <v>0</v>
      </c>
      <c r="AK2599" t="s">
        <v>880</v>
      </c>
      <c r="AL2599">
        <v>39.090128</v>
      </c>
      <c r="AM2599" t="s">
        <v>881</v>
      </c>
      <c r="AN2599">
        <v>-121.036355</v>
      </c>
      <c r="AO2599">
        <v>25</v>
      </c>
      <c r="AP2599">
        <v>4600</v>
      </c>
      <c r="AQ2599" t="s">
        <v>131</v>
      </c>
      <c r="AR2599">
        <v>17</v>
      </c>
      <c r="AS2599">
        <v>81</v>
      </c>
      <c r="AT2599">
        <v>-256</v>
      </c>
      <c r="BB2599" t="str">
        <f t="shared" si="1016"/>
        <v>1200</v>
      </c>
      <c r="BC2599">
        <v>1</v>
      </c>
      <c r="BD2599" t="str">
        <f t="shared" si="1017"/>
        <v xml:space="preserve">N52156  </v>
      </c>
      <c r="BE2599">
        <v>1</v>
      </c>
      <c r="BG2599">
        <v>0</v>
      </c>
      <c r="BH2599">
        <v>0</v>
      </c>
      <c r="BI2599">
        <v>0</v>
      </c>
      <c r="BJ2599">
        <v>4625</v>
      </c>
      <c r="BK2599">
        <v>25</v>
      </c>
      <c r="BL2599" t="s">
        <v>188</v>
      </c>
      <c r="BM2599">
        <v>1</v>
      </c>
      <c r="BN2599">
        <v>1</v>
      </c>
      <c r="BO2599">
        <v>0</v>
      </c>
      <c r="BP2599">
        <v>0</v>
      </c>
      <c r="BS2599">
        <v>0</v>
      </c>
      <c r="BT2599">
        <v>0</v>
      </c>
      <c r="BU2599">
        <v>0</v>
      </c>
      <c r="CE2599" t="str">
        <f t="shared" si="1029"/>
        <v>15:11:44.851</v>
      </c>
      <c r="CF2599">
        <v>851223963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4</v>
      </c>
      <c r="CY2599">
        <v>7</v>
      </c>
      <c r="CZ2599" t="s">
        <v>133</v>
      </c>
      <c r="DA2599">
        <v>275</v>
      </c>
      <c r="DB2599">
        <v>0</v>
      </c>
      <c r="DC2599" t="s">
        <v>134</v>
      </c>
      <c r="DD2599" t="s">
        <v>135</v>
      </c>
      <c r="DG2599">
        <v>3321883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"05/01/2025 15:11:46.177"</f>
        <v>05/01/2025 15:11:46.177</v>
      </c>
      <c r="C2600" t="str">
        <f t="shared" si="1014"/>
        <v>FFDFD3C0</v>
      </c>
      <c r="D2600" t="s">
        <v>143</v>
      </c>
      <c r="E2600" t="str">
        <f>"05"</f>
        <v>05</v>
      </c>
      <c r="H2600">
        <v>172</v>
      </c>
      <c r="I2600" t="s">
        <v>141</v>
      </c>
      <c r="J2600" t="s">
        <v>144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R2600" t="s">
        <v>127</v>
      </c>
      <c r="S2600" t="str">
        <f t="shared" ref="S2600:T2605" si="1030">"15:11:45.000"</f>
        <v>15:11:45.000</v>
      </c>
      <c r="T2600" t="str">
        <f t="shared" si="1030"/>
        <v>15:11:45.000</v>
      </c>
      <c r="U2600" t="str">
        <f t="shared" si="1015"/>
        <v>A68FCB</v>
      </c>
      <c r="V2600">
        <v>0</v>
      </c>
      <c r="W2600">
        <v>0</v>
      </c>
      <c r="X2600">
        <v>2</v>
      </c>
      <c r="Y2600">
        <v>0</v>
      </c>
      <c r="AA2600">
        <v>1</v>
      </c>
      <c r="AB2600">
        <v>8</v>
      </c>
      <c r="AC2600">
        <v>3</v>
      </c>
      <c r="AD2600">
        <v>0</v>
      </c>
      <c r="AE2600">
        <v>9</v>
      </c>
      <c r="AF2600" t="s">
        <v>138</v>
      </c>
      <c r="AG2600">
        <v>0</v>
      </c>
      <c r="AH2600">
        <v>3</v>
      </c>
      <c r="AI2600">
        <v>2</v>
      </c>
      <c r="AJ2600">
        <v>0</v>
      </c>
      <c r="AK2600" t="s">
        <v>882</v>
      </c>
      <c r="AL2600">
        <v>39.090513999999999</v>
      </c>
      <c r="AM2600" t="s">
        <v>883</v>
      </c>
      <c r="AN2600">
        <v>-121.036248</v>
      </c>
      <c r="AO2600">
        <v>25</v>
      </c>
      <c r="AP2600">
        <v>4600</v>
      </c>
      <c r="AQ2600" t="s">
        <v>131</v>
      </c>
      <c r="AR2600">
        <v>16</v>
      </c>
      <c r="AS2600">
        <v>82</v>
      </c>
      <c r="AT2600">
        <v>-320</v>
      </c>
      <c r="BB2600" t="str">
        <f t="shared" si="1016"/>
        <v>1200</v>
      </c>
      <c r="BC2600">
        <v>1</v>
      </c>
      <c r="BD2600" t="str">
        <f t="shared" si="1017"/>
        <v xml:space="preserve">N52156  </v>
      </c>
      <c r="BE2600">
        <v>1</v>
      </c>
      <c r="BG2600">
        <v>0</v>
      </c>
      <c r="BH2600">
        <v>0</v>
      </c>
      <c r="BI2600">
        <v>0</v>
      </c>
      <c r="BJ2600">
        <v>4625</v>
      </c>
      <c r="BK2600">
        <v>25</v>
      </c>
      <c r="BL2600" t="s">
        <v>188</v>
      </c>
      <c r="BM2600">
        <v>1</v>
      </c>
      <c r="BN2600">
        <v>1</v>
      </c>
      <c r="BO2600">
        <v>0</v>
      </c>
      <c r="BP2600">
        <v>0</v>
      </c>
      <c r="BS2600">
        <v>0</v>
      </c>
      <c r="BT2600">
        <v>0</v>
      </c>
      <c r="BU2600">
        <v>0</v>
      </c>
      <c r="CE2600" t="str">
        <f t="shared" ref="CE2600:CE2605" si="1031">"15:11:45.949"</f>
        <v>15:11:45.949</v>
      </c>
      <c r="CF2600">
        <v>948724312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4</v>
      </c>
      <c r="CY2600">
        <v>7</v>
      </c>
      <c r="CZ2600" t="s">
        <v>133</v>
      </c>
      <c r="DA2600">
        <v>275</v>
      </c>
      <c r="DB2600">
        <v>0</v>
      </c>
      <c r="DC2600" t="s">
        <v>134</v>
      </c>
      <c r="DD2600" t="s">
        <v>135</v>
      </c>
      <c r="DG2600">
        <v>3321886</v>
      </c>
      <c r="DI2600">
        <v>1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"05/01/2025 15:11:46.194"</f>
        <v>05/01/2025 15:11:46.194</v>
      </c>
      <c r="C2601" t="str">
        <f t="shared" si="1014"/>
        <v>FFDFD3C0</v>
      </c>
      <c r="D2601" t="s">
        <v>140</v>
      </c>
      <c r="E2601" t="str">
        <f>"13"</f>
        <v>13</v>
      </c>
      <c r="F2601">
        <v>1019</v>
      </c>
      <c r="G2601" t="s">
        <v>141</v>
      </c>
      <c r="J2601" t="s">
        <v>142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R2601" t="s">
        <v>127</v>
      </c>
      <c r="S2601" t="str">
        <f t="shared" si="1030"/>
        <v>15:11:45.000</v>
      </c>
      <c r="T2601" t="str">
        <f t="shared" si="1030"/>
        <v>15:11:45.000</v>
      </c>
      <c r="U2601" t="str">
        <f t="shared" si="1015"/>
        <v>A68FCB</v>
      </c>
      <c r="V2601">
        <v>0</v>
      </c>
      <c r="W2601">
        <v>0</v>
      </c>
      <c r="X2601">
        <v>2</v>
      </c>
      <c r="Y2601">
        <v>0</v>
      </c>
      <c r="AA2601">
        <v>1</v>
      </c>
      <c r="AB2601">
        <v>8</v>
      </c>
      <c r="AC2601">
        <v>3</v>
      </c>
      <c r="AD2601">
        <v>0</v>
      </c>
      <c r="AE2601">
        <v>9</v>
      </c>
      <c r="AF2601" t="s">
        <v>138</v>
      </c>
      <c r="AG2601">
        <v>0</v>
      </c>
      <c r="AH2601">
        <v>3</v>
      </c>
      <c r="AI2601">
        <v>2</v>
      </c>
      <c r="AJ2601">
        <v>0</v>
      </c>
      <c r="AK2601" t="s">
        <v>882</v>
      </c>
      <c r="AL2601">
        <v>39.090513999999999</v>
      </c>
      <c r="AM2601" t="s">
        <v>883</v>
      </c>
      <c r="AN2601">
        <v>-121.036248</v>
      </c>
      <c r="AO2601">
        <v>25</v>
      </c>
      <c r="AP2601">
        <v>4600</v>
      </c>
      <c r="AQ2601" t="s">
        <v>131</v>
      </c>
      <c r="AR2601">
        <v>16</v>
      </c>
      <c r="AS2601">
        <v>82</v>
      </c>
      <c r="AT2601">
        <v>-320</v>
      </c>
      <c r="BB2601" t="str">
        <f t="shared" si="1016"/>
        <v>1200</v>
      </c>
      <c r="BC2601">
        <v>1</v>
      </c>
      <c r="BD2601" t="str">
        <f t="shared" si="1017"/>
        <v xml:space="preserve">N52156  </v>
      </c>
      <c r="BE2601">
        <v>1</v>
      </c>
      <c r="BG2601">
        <v>0</v>
      </c>
      <c r="BH2601">
        <v>0</v>
      </c>
      <c r="BI2601">
        <v>0</v>
      </c>
      <c r="BJ2601">
        <v>4625</v>
      </c>
      <c r="BK2601">
        <v>25</v>
      </c>
      <c r="BL2601" t="s">
        <v>188</v>
      </c>
      <c r="BM2601">
        <v>1</v>
      </c>
      <c r="BN2601">
        <v>1</v>
      </c>
      <c r="BO2601">
        <v>0</v>
      </c>
      <c r="BP2601">
        <v>0</v>
      </c>
      <c r="BS2601">
        <v>0</v>
      </c>
      <c r="BT2601">
        <v>0</v>
      </c>
      <c r="BU2601">
        <v>0</v>
      </c>
      <c r="CE2601" t="str">
        <f t="shared" si="1031"/>
        <v>15:11:45.949</v>
      </c>
      <c r="CF2601">
        <v>948724312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4</v>
      </c>
      <c r="CY2601">
        <v>7</v>
      </c>
      <c r="CZ2601" t="s">
        <v>133</v>
      </c>
      <c r="DA2601">
        <v>275</v>
      </c>
      <c r="DB2601">
        <v>0</v>
      </c>
      <c r="DC2601" t="s">
        <v>134</v>
      </c>
      <c r="DD2601" t="s">
        <v>135</v>
      </c>
      <c r="DG2601">
        <v>3321886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"05/01/2025 15:11:46.200"</f>
        <v>05/01/2025 15:11:46.200</v>
      </c>
      <c r="C2602" t="str">
        <f t="shared" si="1014"/>
        <v>FFDFD3C0</v>
      </c>
      <c r="D2602" t="s">
        <v>124</v>
      </c>
      <c r="E2602" t="str">
        <f>"06"</f>
        <v>06</v>
      </c>
      <c r="F2602">
        <v>2006</v>
      </c>
      <c r="G2602" t="s">
        <v>125</v>
      </c>
      <c r="J2602" t="s">
        <v>126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R2602" t="s">
        <v>127</v>
      </c>
      <c r="S2602" t="str">
        <f t="shared" si="1030"/>
        <v>15:11:45.000</v>
      </c>
      <c r="T2602" t="str">
        <f t="shared" si="1030"/>
        <v>15:11:45.000</v>
      </c>
      <c r="U2602" t="str">
        <f t="shared" si="1015"/>
        <v>A68FCB</v>
      </c>
      <c r="V2602">
        <v>0</v>
      </c>
      <c r="W2602">
        <v>0</v>
      </c>
      <c r="X2602">
        <v>2</v>
      </c>
      <c r="Y2602">
        <v>0</v>
      </c>
      <c r="AA2602">
        <v>1</v>
      </c>
      <c r="AB2602">
        <v>8</v>
      </c>
      <c r="AC2602">
        <v>3</v>
      </c>
      <c r="AD2602">
        <v>0</v>
      </c>
      <c r="AE2602">
        <v>9</v>
      </c>
      <c r="AF2602" t="s">
        <v>138</v>
      </c>
      <c r="AG2602">
        <v>0</v>
      </c>
      <c r="AH2602">
        <v>3</v>
      </c>
      <c r="AI2602">
        <v>2</v>
      </c>
      <c r="AJ2602">
        <v>0</v>
      </c>
      <c r="AK2602" t="s">
        <v>882</v>
      </c>
      <c r="AL2602">
        <v>39.090513999999999</v>
      </c>
      <c r="AM2602" t="s">
        <v>883</v>
      </c>
      <c r="AN2602">
        <v>-121.036248</v>
      </c>
      <c r="AO2602">
        <v>25</v>
      </c>
      <c r="AP2602">
        <v>4600</v>
      </c>
      <c r="AQ2602" t="s">
        <v>131</v>
      </c>
      <c r="AR2602">
        <v>16</v>
      </c>
      <c r="AS2602">
        <v>82</v>
      </c>
      <c r="AT2602">
        <v>-320</v>
      </c>
      <c r="BB2602" t="str">
        <f t="shared" si="1016"/>
        <v>1200</v>
      </c>
      <c r="BC2602">
        <v>1</v>
      </c>
      <c r="BD2602" t="str">
        <f t="shared" si="1017"/>
        <v xml:space="preserve">N52156  </v>
      </c>
      <c r="BE2602">
        <v>1</v>
      </c>
      <c r="BG2602">
        <v>0</v>
      </c>
      <c r="BH2602">
        <v>0</v>
      </c>
      <c r="BI2602">
        <v>0</v>
      </c>
      <c r="BJ2602">
        <v>4625</v>
      </c>
      <c r="BK2602">
        <v>25</v>
      </c>
      <c r="BL2602" t="s">
        <v>188</v>
      </c>
      <c r="BM2602">
        <v>1</v>
      </c>
      <c r="BN2602">
        <v>1</v>
      </c>
      <c r="BO2602">
        <v>0</v>
      </c>
      <c r="BP2602">
        <v>0</v>
      </c>
      <c r="BS2602">
        <v>0</v>
      </c>
      <c r="BT2602">
        <v>0</v>
      </c>
      <c r="BU2602">
        <v>0</v>
      </c>
      <c r="CE2602" t="str">
        <f t="shared" si="1031"/>
        <v>15:11:45.949</v>
      </c>
      <c r="CF2602">
        <v>948724312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4</v>
      </c>
      <c r="CY2602">
        <v>7</v>
      </c>
      <c r="CZ2602" t="s">
        <v>133</v>
      </c>
      <c r="DA2602">
        <v>275</v>
      </c>
      <c r="DB2602">
        <v>0</v>
      </c>
      <c r="DC2602" t="s">
        <v>134</v>
      </c>
      <c r="DD2602" t="s">
        <v>135</v>
      </c>
      <c r="DG2602">
        <v>3321886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"05/01/2025 15:11:46.211"</f>
        <v>05/01/2025 15:11:46.211</v>
      </c>
      <c r="C2603" t="str">
        <f t="shared" si="1014"/>
        <v>FFDFD3C0</v>
      </c>
      <c r="D2603" t="s">
        <v>145</v>
      </c>
      <c r="E2603" t="str">
        <f>"05"</f>
        <v>05</v>
      </c>
      <c r="H2603">
        <v>47</v>
      </c>
      <c r="I2603" t="s">
        <v>146</v>
      </c>
      <c r="J2603" t="s">
        <v>138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R2603" t="s">
        <v>127</v>
      </c>
      <c r="S2603" t="str">
        <f t="shared" si="1030"/>
        <v>15:11:45.000</v>
      </c>
      <c r="T2603" t="str">
        <f t="shared" si="1030"/>
        <v>15:11:45.000</v>
      </c>
      <c r="U2603" t="str">
        <f t="shared" si="1015"/>
        <v>A68FCB</v>
      </c>
      <c r="V2603">
        <v>0</v>
      </c>
      <c r="W2603">
        <v>0</v>
      </c>
      <c r="X2603">
        <v>2</v>
      </c>
      <c r="Y2603">
        <v>0</v>
      </c>
      <c r="AA2603">
        <v>1</v>
      </c>
      <c r="AB2603">
        <v>8</v>
      </c>
      <c r="AC2603">
        <v>3</v>
      </c>
      <c r="AD2603">
        <v>0</v>
      </c>
      <c r="AE2603">
        <v>9</v>
      </c>
      <c r="AF2603" t="s">
        <v>138</v>
      </c>
      <c r="AG2603">
        <v>0</v>
      </c>
      <c r="AH2603">
        <v>3</v>
      </c>
      <c r="AI2603">
        <v>2</v>
      </c>
      <c r="AJ2603">
        <v>0</v>
      </c>
      <c r="AK2603" t="s">
        <v>882</v>
      </c>
      <c r="AL2603">
        <v>39.090513999999999</v>
      </c>
      <c r="AM2603" t="s">
        <v>883</v>
      </c>
      <c r="AN2603">
        <v>-121.036248</v>
      </c>
      <c r="AO2603">
        <v>25</v>
      </c>
      <c r="AP2603">
        <v>4600</v>
      </c>
      <c r="AQ2603" t="s">
        <v>131</v>
      </c>
      <c r="AR2603">
        <v>16</v>
      </c>
      <c r="AS2603">
        <v>82</v>
      </c>
      <c r="AT2603">
        <v>-320</v>
      </c>
      <c r="BB2603" t="str">
        <f t="shared" si="1016"/>
        <v>1200</v>
      </c>
      <c r="BC2603">
        <v>1</v>
      </c>
      <c r="BD2603" t="str">
        <f t="shared" si="1017"/>
        <v xml:space="preserve">N52156  </v>
      </c>
      <c r="BE2603">
        <v>1</v>
      </c>
      <c r="BG2603">
        <v>0</v>
      </c>
      <c r="BH2603">
        <v>0</v>
      </c>
      <c r="BI2603">
        <v>0</v>
      </c>
      <c r="BJ2603">
        <v>4625</v>
      </c>
      <c r="BK2603">
        <v>25</v>
      </c>
      <c r="BL2603" t="s">
        <v>188</v>
      </c>
      <c r="BM2603">
        <v>1</v>
      </c>
      <c r="BN2603">
        <v>1</v>
      </c>
      <c r="BO2603">
        <v>0</v>
      </c>
      <c r="BP2603">
        <v>0</v>
      </c>
      <c r="BS2603">
        <v>0</v>
      </c>
      <c r="BT2603">
        <v>0</v>
      </c>
      <c r="BU2603">
        <v>0</v>
      </c>
      <c r="CE2603" t="str">
        <f t="shared" si="1031"/>
        <v>15:11:45.949</v>
      </c>
      <c r="CF2603">
        <v>948724312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4</v>
      </c>
      <c r="CY2603">
        <v>7</v>
      </c>
      <c r="CZ2603" t="s">
        <v>133</v>
      </c>
      <c r="DA2603">
        <v>275</v>
      </c>
      <c r="DB2603">
        <v>0</v>
      </c>
      <c r="DC2603" t="s">
        <v>134</v>
      </c>
      <c r="DD2603" t="s">
        <v>135</v>
      </c>
      <c r="DG2603">
        <v>3321886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"05/01/2025 15:11:46.213"</f>
        <v>05/01/2025 15:11:46.213</v>
      </c>
      <c r="C2604" t="str">
        <f t="shared" si="1014"/>
        <v>FFDFD3C0</v>
      </c>
      <c r="D2604" t="s">
        <v>145</v>
      </c>
      <c r="E2604" t="str">
        <f>"09"</f>
        <v>09</v>
      </c>
      <c r="H2604">
        <v>51</v>
      </c>
      <c r="I2604" t="s">
        <v>147</v>
      </c>
      <c r="J2604" t="s">
        <v>138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R2604" t="s">
        <v>127</v>
      </c>
      <c r="S2604" t="str">
        <f t="shared" si="1030"/>
        <v>15:11:45.000</v>
      </c>
      <c r="T2604" t="str">
        <f t="shared" si="1030"/>
        <v>15:11:45.000</v>
      </c>
      <c r="U2604" t="str">
        <f t="shared" si="1015"/>
        <v>A68FCB</v>
      </c>
      <c r="V2604">
        <v>0</v>
      </c>
      <c r="W2604">
        <v>0</v>
      </c>
      <c r="X2604">
        <v>2</v>
      </c>
      <c r="Y2604">
        <v>0</v>
      </c>
      <c r="AA2604">
        <v>1</v>
      </c>
      <c r="AB2604">
        <v>8</v>
      </c>
      <c r="AC2604">
        <v>3</v>
      </c>
      <c r="AD2604">
        <v>0</v>
      </c>
      <c r="AE2604">
        <v>9</v>
      </c>
      <c r="AF2604" t="s">
        <v>138</v>
      </c>
      <c r="AG2604">
        <v>0</v>
      </c>
      <c r="AH2604">
        <v>3</v>
      </c>
      <c r="AI2604">
        <v>2</v>
      </c>
      <c r="AJ2604">
        <v>0</v>
      </c>
      <c r="AK2604" t="s">
        <v>882</v>
      </c>
      <c r="AL2604">
        <v>39.090513999999999</v>
      </c>
      <c r="AM2604" t="s">
        <v>883</v>
      </c>
      <c r="AN2604">
        <v>-121.036248</v>
      </c>
      <c r="AO2604">
        <v>25</v>
      </c>
      <c r="AP2604">
        <v>4600</v>
      </c>
      <c r="AQ2604" t="s">
        <v>131</v>
      </c>
      <c r="AR2604">
        <v>16</v>
      </c>
      <c r="AS2604">
        <v>82</v>
      </c>
      <c r="AT2604">
        <v>-320</v>
      </c>
      <c r="BB2604" t="str">
        <f t="shared" si="1016"/>
        <v>1200</v>
      </c>
      <c r="BC2604">
        <v>1</v>
      </c>
      <c r="BD2604" t="str">
        <f t="shared" si="1017"/>
        <v xml:space="preserve">N52156  </v>
      </c>
      <c r="BE2604">
        <v>1</v>
      </c>
      <c r="BG2604">
        <v>0</v>
      </c>
      <c r="BH2604">
        <v>0</v>
      </c>
      <c r="BI2604">
        <v>0</v>
      </c>
      <c r="BJ2604">
        <v>4625</v>
      </c>
      <c r="BK2604">
        <v>25</v>
      </c>
      <c r="BL2604" t="s">
        <v>188</v>
      </c>
      <c r="BM2604">
        <v>1</v>
      </c>
      <c r="BN2604">
        <v>1</v>
      </c>
      <c r="BO2604">
        <v>0</v>
      </c>
      <c r="BP2604">
        <v>0</v>
      </c>
      <c r="BS2604">
        <v>0</v>
      </c>
      <c r="BT2604">
        <v>0</v>
      </c>
      <c r="BU2604">
        <v>0</v>
      </c>
      <c r="CE2604" t="str">
        <f t="shared" si="1031"/>
        <v>15:11:45.949</v>
      </c>
      <c r="CF2604">
        <v>948724312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4</v>
      </c>
      <c r="CY2604">
        <v>7</v>
      </c>
      <c r="CZ2604" t="s">
        <v>133</v>
      </c>
      <c r="DA2604">
        <v>275</v>
      </c>
      <c r="DB2604">
        <v>0</v>
      </c>
      <c r="DC2604" t="s">
        <v>134</v>
      </c>
      <c r="DD2604" t="s">
        <v>135</v>
      </c>
      <c r="DG2604">
        <v>3321886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"05/01/2025 15:11:46.219"</f>
        <v>05/01/2025 15:11:46.219</v>
      </c>
      <c r="C2605" t="str">
        <f t="shared" si="1014"/>
        <v>FFDFD3C0</v>
      </c>
      <c r="D2605" t="s">
        <v>136</v>
      </c>
      <c r="E2605" t="str">
        <f>"20"</f>
        <v>20</v>
      </c>
      <c r="H2605">
        <v>400</v>
      </c>
      <c r="I2605" t="s">
        <v>137</v>
      </c>
      <c r="J2605" t="s">
        <v>138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R2605" t="s">
        <v>127</v>
      </c>
      <c r="S2605" t="str">
        <f t="shared" si="1030"/>
        <v>15:11:45.000</v>
      </c>
      <c r="T2605" t="str">
        <f t="shared" si="1030"/>
        <v>15:11:45.000</v>
      </c>
      <c r="U2605" t="str">
        <f t="shared" si="1015"/>
        <v>A68FCB</v>
      </c>
      <c r="V2605">
        <v>0</v>
      </c>
      <c r="W2605">
        <v>0</v>
      </c>
      <c r="X2605">
        <v>2</v>
      </c>
      <c r="Y2605">
        <v>0</v>
      </c>
      <c r="AA2605">
        <v>1</v>
      </c>
      <c r="AB2605">
        <v>8</v>
      </c>
      <c r="AC2605">
        <v>3</v>
      </c>
      <c r="AD2605">
        <v>0</v>
      </c>
      <c r="AE2605">
        <v>9</v>
      </c>
      <c r="AF2605" t="s">
        <v>138</v>
      </c>
      <c r="AG2605">
        <v>0</v>
      </c>
      <c r="AH2605">
        <v>3</v>
      </c>
      <c r="AI2605">
        <v>2</v>
      </c>
      <c r="AJ2605">
        <v>0</v>
      </c>
      <c r="AK2605" t="s">
        <v>882</v>
      </c>
      <c r="AL2605">
        <v>39.090513999999999</v>
      </c>
      <c r="AM2605" t="s">
        <v>883</v>
      </c>
      <c r="AN2605">
        <v>-121.036248</v>
      </c>
      <c r="AO2605">
        <v>25</v>
      </c>
      <c r="AP2605">
        <v>4600</v>
      </c>
      <c r="AQ2605" t="s">
        <v>131</v>
      </c>
      <c r="AR2605">
        <v>16</v>
      </c>
      <c r="AS2605">
        <v>82</v>
      </c>
      <c r="AT2605">
        <v>-320</v>
      </c>
      <c r="BB2605" t="str">
        <f t="shared" si="1016"/>
        <v>1200</v>
      </c>
      <c r="BC2605">
        <v>1</v>
      </c>
      <c r="BD2605" t="str">
        <f t="shared" si="1017"/>
        <v xml:space="preserve">N52156  </v>
      </c>
      <c r="BE2605">
        <v>1</v>
      </c>
      <c r="BG2605">
        <v>0</v>
      </c>
      <c r="BH2605">
        <v>0</v>
      </c>
      <c r="BI2605">
        <v>0</v>
      </c>
      <c r="BJ2605">
        <v>4625</v>
      </c>
      <c r="BK2605">
        <v>25</v>
      </c>
      <c r="BL2605" t="s">
        <v>188</v>
      </c>
      <c r="BM2605">
        <v>1</v>
      </c>
      <c r="BN2605">
        <v>1</v>
      </c>
      <c r="BO2605">
        <v>0</v>
      </c>
      <c r="BP2605">
        <v>0</v>
      </c>
      <c r="BS2605">
        <v>0</v>
      </c>
      <c r="BT2605">
        <v>0</v>
      </c>
      <c r="BU2605">
        <v>0</v>
      </c>
      <c r="CE2605" t="str">
        <f t="shared" si="1031"/>
        <v>15:11:45.949</v>
      </c>
      <c r="CF2605">
        <v>948724312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4</v>
      </c>
      <c r="CY2605">
        <v>7</v>
      </c>
      <c r="CZ2605" t="s">
        <v>133</v>
      </c>
      <c r="DA2605">
        <v>275</v>
      </c>
      <c r="DB2605">
        <v>0</v>
      </c>
      <c r="DC2605" t="s">
        <v>134</v>
      </c>
      <c r="DD2605" t="s">
        <v>135</v>
      </c>
      <c r="DG2605">
        <v>3321886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"05/01/2025 15:11:46.745"</f>
        <v>05/01/2025 15:11:46.745</v>
      </c>
      <c r="C2606" t="str">
        <f t="shared" si="1014"/>
        <v>FFDFD3C0</v>
      </c>
      <c r="D2606" t="s">
        <v>140</v>
      </c>
      <c r="E2606" t="str">
        <f>"13"</f>
        <v>13</v>
      </c>
      <c r="F2606">
        <v>1019</v>
      </c>
      <c r="G2606" t="s">
        <v>141</v>
      </c>
      <c r="J2606" t="s">
        <v>142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R2606" t="s">
        <v>127</v>
      </c>
      <c r="S2606" t="str">
        <f t="shared" ref="S2606:T2611" si="1032">"15:11:46.000"</f>
        <v>15:11:46.000</v>
      </c>
      <c r="T2606" t="str">
        <f t="shared" si="1032"/>
        <v>15:11:46.000</v>
      </c>
      <c r="U2606" t="str">
        <f t="shared" si="1015"/>
        <v>A68FCB</v>
      </c>
      <c r="V2606">
        <v>0</v>
      </c>
      <c r="W2606">
        <v>0</v>
      </c>
      <c r="X2606">
        <v>2</v>
      </c>
      <c r="Y2606">
        <v>0</v>
      </c>
      <c r="AA2606">
        <v>1</v>
      </c>
      <c r="AB2606">
        <v>8</v>
      </c>
      <c r="AC2606">
        <v>3</v>
      </c>
      <c r="AD2606">
        <v>0</v>
      </c>
      <c r="AE2606">
        <v>9</v>
      </c>
      <c r="AF2606" t="s">
        <v>138</v>
      </c>
      <c r="AG2606">
        <v>0</v>
      </c>
      <c r="AH2606">
        <v>3</v>
      </c>
      <c r="AI2606">
        <v>2</v>
      </c>
      <c r="AJ2606">
        <v>0</v>
      </c>
      <c r="AK2606" t="s">
        <v>884</v>
      </c>
      <c r="AL2606">
        <v>39.090899999999998</v>
      </c>
      <c r="AM2606" t="s">
        <v>885</v>
      </c>
      <c r="AN2606">
        <v>-121.036162</v>
      </c>
      <c r="AO2606">
        <v>25</v>
      </c>
      <c r="AP2606">
        <v>4600</v>
      </c>
      <c r="AQ2606" t="s">
        <v>131</v>
      </c>
      <c r="AR2606">
        <v>15</v>
      </c>
      <c r="AS2606">
        <v>82</v>
      </c>
      <c r="AT2606">
        <v>-384</v>
      </c>
      <c r="BB2606" t="str">
        <f t="shared" si="1016"/>
        <v>1200</v>
      </c>
      <c r="BC2606">
        <v>1</v>
      </c>
      <c r="BD2606" t="str">
        <f t="shared" si="1017"/>
        <v xml:space="preserve">N52156  </v>
      </c>
      <c r="BE2606">
        <v>1</v>
      </c>
      <c r="BG2606">
        <v>0</v>
      </c>
      <c r="BH2606">
        <v>0</v>
      </c>
      <c r="BI2606">
        <v>0</v>
      </c>
      <c r="BJ2606">
        <v>4625</v>
      </c>
      <c r="BK2606">
        <v>25</v>
      </c>
      <c r="BL2606" t="s">
        <v>188</v>
      </c>
      <c r="BM2606">
        <v>1</v>
      </c>
      <c r="BN2606">
        <v>1</v>
      </c>
      <c r="BO2606">
        <v>0</v>
      </c>
      <c r="BP2606">
        <v>0</v>
      </c>
      <c r="BS2606">
        <v>0</v>
      </c>
      <c r="BT2606">
        <v>0</v>
      </c>
      <c r="BU2606">
        <v>0</v>
      </c>
      <c r="CE2606" t="str">
        <f t="shared" ref="CE2606:CE2611" si="1033">"15:11:46.535"</f>
        <v>15:11:46.535</v>
      </c>
      <c r="CF2606">
        <v>534723287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4</v>
      </c>
      <c r="CY2606">
        <v>7</v>
      </c>
      <c r="CZ2606" t="s">
        <v>133</v>
      </c>
      <c r="DA2606">
        <v>275</v>
      </c>
      <c r="DB2606">
        <v>0</v>
      </c>
      <c r="DC2606" t="s">
        <v>134</v>
      </c>
      <c r="DD2606" t="s">
        <v>135</v>
      </c>
      <c r="DG2606">
        <v>3321887</v>
      </c>
      <c r="DI2606">
        <v>1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"05/01/2025 15:11:46.751"</f>
        <v>05/01/2025 15:11:46.751</v>
      </c>
      <c r="C2607" t="str">
        <f t="shared" si="1014"/>
        <v>FFDFD3C0</v>
      </c>
      <c r="D2607" t="s">
        <v>124</v>
      </c>
      <c r="E2607" t="str">
        <f>"06"</f>
        <v>06</v>
      </c>
      <c r="F2607">
        <v>2006</v>
      </c>
      <c r="G2607" t="s">
        <v>125</v>
      </c>
      <c r="J2607" t="s">
        <v>126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R2607" t="s">
        <v>127</v>
      </c>
      <c r="S2607" t="str">
        <f t="shared" si="1032"/>
        <v>15:11:46.000</v>
      </c>
      <c r="T2607" t="str">
        <f t="shared" si="1032"/>
        <v>15:11:46.000</v>
      </c>
      <c r="U2607" t="str">
        <f t="shared" si="1015"/>
        <v>A68FCB</v>
      </c>
      <c r="V2607">
        <v>0</v>
      </c>
      <c r="W2607">
        <v>0</v>
      </c>
      <c r="X2607">
        <v>2</v>
      </c>
      <c r="Y2607">
        <v>0</v>
      </c>
      <c r="AA2607">
        <v>1</v>
      </c>
      <c r="AB2607">
        <v>8</v>
      </c>
      <c r="AC2607">
        <v>3</v>
      </c>
      <c r="AD2607">
        <v>0</v>
      </c>
      <c r="AE2607">
        <v>9</v>
      </c>
      <c r="AF2607" t="s">
        <v>138</v>
      </c>
      <c r="AG2607">
        <v>0</v>
      </c>
      <c r="AH2607">
        <v>3</v>
      </c>
      <c r="AI2607">
        <v>2</v>
      </c>
      <c r="AJ2607">
        <v>0</v>
      </c>
      <c r="AK2607" t="s">
        <v>884</v>
      </c>
      <c r="AL2607">
        <v>39.090899999999998</v>
      </c>
      <c r="AM2607" t="s">
        <v>885</v>
      </c>
      <c r="AN2607">
        <v>-121.036162</v>
      </c>
      <c r="AO2607">
        <v>25</v>
      </c>
      <c r="AP2607">
        <v>4600</v>
      </c>
      <c r="AQ2607" t="s">
        <v>131</v>
      </c>
      <c r="AR2607">
        <v>15</v>
      </c>
      <c r="AS2607">
        <v>82</v>
      </c>
      <c r="AT2607">
        <v>-384</v>
      </c>
      <c r="BB2607" t="str">
        <f t="shared" si="1016"/>
        <v>1200</v>
      </c>
      <c r="BC2607">
        <v>1</v>
      </c>
      <c r="BD2607" t="str">
        <f t="shared" si="1017"/>
        <v xml:space="preserve">N52156  </v>
      </c>
      <c r="BE2607">
        <v>1</v>
      </c>
      <c r="BG2607">
        <v>0</v>
      </c>
      <c r="BH2607">
        <v>0</v>
      </c>
      <c r="BI2607">
        <v>0</v>
      </c>
      <c r="BJ2607">
        <v>4625</v>
      </c>
      <c r="BK2607">
        <v>25</v>
      </c>
      <c r="BL2607" t="s">
        <v>188</v>
      </c>
      <c r="BM2607">
        <v>1</v>
      </c>
      <c r="BN2607">
        <v>1</v>
      </c>
      <c r="BO2607">
        <v>0</v>
      </c>
      <c r="BP2607">
        <v>0</v>
      </c>
      <c r="BS2607">
        <v>0</v>
      </c>
      <c r="BT2607">
        <v>0</v>
      </c>
      <c r="BU2607">
        <v>0</v>
      </c>
      <c r="CE2607" t="str">
        <f t="shared" si="1033"/>
        <v>15:11:46.535</v>
      </c>
      <c r="CF2607">
        <v>534723287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4</v>
      </c>
      <c r="CY2607">
        <v>7</v>
      </c>
      <c r="CZ2607" t="s">
        <v>133</v>
      </c>
      <c r="DA2607">
        <v>275</v>
      </c>
      <c r="DB2607">
        <v>0</v>
      </c>
      <c r="DC2607" t="s">
        <v>134</v>
      </c>
      <c r="DD2607" t="s">
        <v>135</v>
      </c>
      <c r="DG2607">
        <v>3321887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"05/01/2025 15:11:46.762"</f>
        <v>05/01/2025 15:11:46.762</v>
      </c>
      <c r="C2608" t="str">
        <f t="shared" si="1014"/>
        <v>FFDFD3C0</v>
      </c>
      <c r="D2608" t="s">
        <v>145</v>
      </c>
      <c r="E2608" t="str">
        <f>"05"</f>
        <v>05</v>
      </c>
      <c r="H2608">
        <v>47</v>
      </c>
      <c r="I2608" t="s">
        <v>146</v>
      </c>
      <c r="J2608" t="s">
        <v>138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R2608" t="s">
        <v>127</v>
      </c>
      <c r="S2608" t="str">
        <f t="shared" si="1032"/>
        <v>15:11:46.000</v>
      </c>
      <c r="T2608" t="str">
        <f t="shared" si="1032"/>
        <v>15:11:46.000</v>
      </c>
      <c r="U2608" t="str">
        <f t="shared" si="1015"/>
        <v>A68FCB</v>
      </c>
      <c r="V2608">
        <v>0</v>
      </c>
      <c r="W2608">
        <v>0</v>
      </c>
      <c r="X2608">
        <v>2</v>
      </c>
      <c r="Y2608">
        <v>0</v>
      </c>
      <c r="AA2608">
        <v>1</v>
      </c>
      <c r="AB2608">
        <v>8</v>
      </c>
      <c r="AC2608">
        <v>3</v>
      </c>
      <c r="AD2608">
        <v>0</v>
      </c>
      <c r="AE2608">
        <v>9</v>
      </c>
      <c r="AF2608" t="s">
        <v>138</v>
      </c>
      <c r="AG2608">
        <v>0</v>
      </c>
      <c r="AH2608">
        <v>3</v>
      </c>
      <c r="AI2608">
        <v>2</v>
      </c>
      <c r="AJ2608">
        <v>0</v>
      </c>
      <c r="AK2608" t="s">
        <v>884</v>
      </c>
      <c r="AL2608">
        <v>39.090899999999998</v>
      </c>
      <c r="AM2608" t="s">
        <v>885</v>
      </c>
      <c r="AN2608">
        <v>-121.036162</v>
      </c>
      <c r="AO2608">
        <v>25</v>
      </c>
      <c r="AP2608">
        <v>4600</v>
      </c>
      <c r="AQ2608" t="s">
        <v>131</v>
      </c>
      <c r="AR2608">
        <v>15</v>
      </c>
      <c r="AS2608">
        <v>82</v>
      </c>
      <c r="AT2608">
        <v>-384</v>
      </c>
      <c r="BB2608" t="str">
        <f t="shared" si="1016"/>
        <v>1200</v>
      </c>
      <c r="BC2608">
        <v>1</v>
      </c>
      <c r="BD2608" t="str">
        <f t="shared" si="1017"/>
        <v xml:space="preserve">N52156  </v>
      </c>
      <c r="BE2608">
        <v>1</v>
      </c>
      <c r="BG2608">
        <v>0</v>
      </c>
      <c r="BH2608">
        <v>0</v>
      </c>
      <c r="BI2608">
        <v>0</v>
      </c>
      <c r="BJ2608">
        <v>4625</v>
      </c>
      <c r="BK2608">
        <v>25</v>
      </c>
      <c r="BL2608" t="s">
        <v>188</v>
      </c>
      <c r="BM2608">
        <v>1</v>
      </c>
      <c r="BN2608">
        <v>1</v>
      </c>
      <c r="BO2608">
        <v>0</v>
      </c>
      <c r="BP2608">
        <v>0</v>
      </c>
      <c r="BS2608">
        <v>0</v>
      </c>
      <c r="BT2608">
        <v>0</v>
      </c>
      <c r="BU2608">
        <v>0</v>
      </c>
      <c r="CE2608" t="str">
        <f t="shared" si="1033"/>
        <v>15:11:46.535</v>
      </c>
      <c r="CF2608">
        <v>534723287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4</v>
      </c>
      <c r="CY2608">
        <v>7</v>
      </c>
      <c r="CZ2608" t="s">
        <v>133</v>
      </c>
      <c r="DA2608">
        <v>275</v>
      </c>
      <c r="DB2608">
        <v>0</v>
      </c>
      <c r="DC2608" t="s">
        <v>134</v>
      </c>
      <c r="DD2608" t="s">
        <v>135</v>
      </c>
      <c r="DG2608">
        <v>3321887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"05/01/2025 15:11:46.764"</f>
        <v>05/01/2025 15:11:46.764</v>
      </c>
      <c r="C2609" t="str">
        <f t="shared" si="1014"/>
        <v>FFDFD3C0</v>
      </c>
      <c r="D2609" t="s">
        <v>145</v>
      </c>
      <c r="E2609" t="str">
        <f>"09"</f>
        <v>09</v>
      </c>
      <c r="H2609">
        <v>51</v>
      </c>
      <c r="I2609" t="s">
        <v>147</v>
      </c>
      <c r="J2609" t="s">
        <v>138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R2609" t="s">
        <v>127</v>
      </c>
      <c r="S2609" t="str">
        <f t="shared" si="1032"/>
        <v>15:11:46.000</v>
      </c>
      <c r="T2609" t="str">
        <f t="shared" si="1032"/>
        <v>15:11:46.000</v>
      </c>
      <c r="U2609" t="str">
        <f t="shared" si="1015"/>
        <v>A68FCB</v>
      </c>
      <c r="V2609">
        <v>0</v>
      </c>
      <c r="W2609">
        <v>0</v>
      </c>
      <c r="X2609">
        <v>2</v>
      </c>
      <c r="Y2609">
        <v>0</v>
      </c>
      <c r="AA2609">
        <v>1</v>
      </c>
      <c r="AB2609">
        <v>8</v>
      </c>
      <c r="AC2609">
        <v>3</v>
      </c>
      <c r="AD2609">
        <v>0</v>
      </c>
      <c r="AE2609">
        <v>9</v>
      </c>
      <c r="AF2609" t="s">
        <v>138</v>
      </c>
      <c r="AG2609">
        <v>0</v>
      </c>
      <c r="AH2609">
        <v>3</v>
      </c>
      <c r="AI2609">
        <v>2</v>
      </c>
      <c r="AJ2609">
        <v>0</v>
      </c>
      <c r="AK2609" t="s">
        <v>884</v>
      </c>
      <c r="AL2609">
        <v>39.090899999999998</v>
      </c>
      <c r="AM2609" t="s">
        <v>885</v>
      </c>
      <c r="AN2609">
        <v>-121.036162</v>
      </c>
      <c r="AO2609">
        <v>25</v>
      </c>
      <c r="AP2609">
        <v>4600</v>
      </c>
      <c r="AQ2609" t="s">
        <v>131</v>
      </c>
      <c r="AR2609">
        <v>15</v>
      </c>
      <c r="AS2609">
        <v>82</v>
      </c>
      <c r="AT2609">
        <v>-384</v>
      </c>
      <c r="BB2609" t="str">
        <f t="shared" si="1016"/>
        <v>1200</v>
      </c>
      <c r="BC2609">
        <v>1</v>
      </c>
      <c r="BD2609" t="str">
        <f t="shared" si="1017"/>
        <v xml:space="preserve">N52156  </v>
      </c>
      <c r="BE2609">
        <v>1</v>
      </c>
      <c r="BG2609">
        <v>0</v>
      </c>
      <c r="BH2609">
        <v>0</v>
      </c>
      <c r="BI2609">
        <v>0</v>
      </c>
      <c r="BJ2609">
        <v>4625</v>
      </c>
      <c r="BK2609">
        <v>25</v>
      </c>
      <c r="BL2609" t="s">
        <v>188</v>
      </c>
      <c r="BM2609">
        <v>1</v>
      </c>
      <c r="BN2609">
        <v>1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 t="shared" si="1033"/>
        <v>15:11:46.535</v>
      </c>
      <c r="CF2609">
        <v>534723287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4</v>
      </c>
      <c r="CY2609">
        <v>7</v>
      </c>
      <c r="CZ2609" t="s">
        <v>133</v>
      </c>
      <c r="DA2609">
        <v>275</v>
      </c>
      <c r="DB2609">
        <v>0</v>
      </c>
      <c r="DC2609" t="s">
        <v>134</v>
      </c>
      <c r="DD2609" t="s">
        <v>135</v>
      </c>
      <c r="DG2609">
        <v>3321887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"05/01/2025 15:11:46.770"</f>
        <v>05/01/2025 15:11:46.770</v>
      </c>
      <c r="C2610" t="str">
        <f t="shared" si="1014"/>
        <v>FFDFD3C0</v>
      </c>
      <c r="D2610" t="s">
        <v>136</v>
      </c>
      <c r="E2610" t="str">
        <f>"20"</f>
        <v>20</v>
      </c>
      <c r="H2610">
        <v>400</v>
      </c>
      <c r="I2610" t="s">
        <v>137</v>
      </c>
      <c r="J2610" t="s">
        <v>138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R2610" t="s">
        <v>127</v>
      </c>
      <c r="S2610" t="str">
        <f t="shared" si="1032"/>
        <v>15:11:46.000</v>
      </c>
      <c r="T2610" t="str">
        <f t="shared" si="1032"/>
        <v>15:11:46.000</v>
      </c>
      <c r="U2610" t="str">
        <f t="shared" si="1015"/>
        <v>A68FCB</v>
      </c>
      <c r="V2610">
        <v>0</v>
      </c>
      <c r="W2610">
        <v>0</v>
      </c>
      <c r="X2610">
        <v>2</v>
      </c>
      <c r="Y2610">
        <v>0</v>
      </c>
      <c r="AA2610">
        <v>1</v>
      </c>
      <c r="AB2610">
        <v>8</v>
      </c>
      <c r="AC2610">
        <v>3</v>
      </c>
      <c r="AD2610">
        <v>0</v>
      </c>
      <c r="AE2610">
        <v>9</v>
      </c>
      <c r="AF2610" t="s">
        <v>138</v>
      </c>
      <c r="AG2610">
        <v>0</v>
      </c>
      <c r="AH2610">
        <v>3</v>
      </c>
      <c r="AI2610">
        <v>2</v>
      </c>
      <c r="AJ2610">
        <v>0</v>
      </c>
      <c r="AK2610" t="s">
        <v>884</v>
      </c>
      <c r="AL2610">
        <v>39.090899999999998</v>
      </c>
      <c r="AM2610" t="s">
        <v>885</v>
      </c>
      <c r="AN2610">
        <v>-121.036162</v>
      </c>
      <c r="AO2610">
        <v>25</v>
      </c>
      <c r="AP2610">
        <v>4600</v>
      </c>
      <c r="AQ2610" t="s">
        <v>131</v>
      </c>
      <c r="AR2610">
        <v>15</v>
      </c>
      <c r="AS2610">
        <v>82</v>
      </c>
      <c r="AT2610">
        <v>-384</v>
      </c>
      <c r="BB2610" t="str">
        <f t="shared" si="1016"/>
        <v>1200</v>
      </c>
      <c r="BC2610">
        <v>1</v>
      </c>
      <c r="BD2610" t="str">
        <f t="shared" si="1017"/>
        <v xml:space="preserve">N52156  </v>
      </c>
      <c r="BE2610">
        <v>1</v>
      </c>
      <c r="BG2610">
        <v>0</v>
      </c>
      <c r="BH2610">
        <v>0</v>
      </c>
      <c r="BI2610">
        <v>0</v>
      </c>
      <c r="BJ2610">
        <v>4625</v>
      </c>
      <c r="BK2610">
        <v>25</v>
      </c>
      <c r="BL2610" t="s">
        <v>188</v>
      </c>
      <c r="BM2610">
        <v>1</v>
      </c>
      <c r="BN2610">
        <v>1</v>
      </c>
      <c r="BO2610">
        <v>0</v>
      </c>
      <c r="BP2610">
        <v>0</v>
      </c>
      <c r="BS2610">
        <v>0</v>
      </c>
      <c r="BT2610">
        <v>0</v>
      </c>
      <c r="BU2610">
        <v>0</v>
      </c>
      <c r="CE2610" t="str">
        <f t="shared" si="1033"/>
        <v>15:11:46.535</v>
      </c>
      <c r="CF2610">
        <v>534723287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4</v>
      </c>
      <c r="CY2610">
        <v>7</v>
      </c>
      <c r="CZ2610" t="s">
        <v>133</v>
      </c>
      <c r="DA2610">
        <v>275</v>
      </c>
      <c r="DB2610">
        <v>0</v>
      </c>
      <c r="DC2610" t="s">
        <v>134</v>
      </c>
      <c r="DD2610" t="s">
        <v>135</v>
      </c>
      <c r="DG2610">
        <v>3321887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"05/01/2025 15:11:46.779"</f>
        <v>05/01/2025 15:11:46.779</v>
      </c>
      <c r="C2611" t="str">
        <f t="shared" si="1014"/>
        <v>FFDFD3C0</v>
      </c>
      <c r="D2611" t="s">
        <v>143</v>
      </c>
      <c r="E2611" t="str">
        <f>"05"</f>
        <v>05</v>
      </c>
      <c r="H2611">
        <v>172</v>
      </c>
      <c r="I2611" t="s">
        <v>141</v>
      </c>
      <c r="J2611" t="s">
        <v>144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R2611" t="s">
        <v>127</v>
      </c>
      <c r="S2611" t="str">
        <f t="shared" si="1032"/>
        <v>15:11:46.000</v>
      </c>
      <c r="T2611" t="str">
        <f t="shared" si="1032"/>
        <v>15:11:46.000</v>
      </c>
      <c r="U2611" t="str">
        <f t="shared" si="1015"/>
        <v>A68FCB</v>
      </c>
      <c r="V2611">
        <v>0</v>
      </c>
      <c r="W2611">
        <v>0</v>
      </c>
      <c r="X2611">
        <v>2</v>
      </c>
      <c r="Y2611">
        <v>0</v>
      </c>
      <c r="AA2611">
        <v>1</v>
      </c>
      <c r="AB2611">
        <v>8</v>
      </c>
      <c r="AC2611">
        <v>3</v>
      </c>
      <c r="AD2611">
        <v>0</v>
      </c>
      <c r="AE2611">
        <v>9</v>
      </c>
      <c r="AF2611" t="s">
        <v>138</v>
      </c>
      <c r="AG2611">
        <v>0</v>
      </c>
      <c r="AH2611">
        <v>3</v>
      </c>
      <c r="AI2611">
        <v>2</v>
      </c>
      <c r="AJ2611">
        <v>0</v>
      </c>
      <c r="AK2611" t="s">
        <v>884</v>
      </c>
      <c r="AL2611">
        <v>39.090899999999998</v>
      </c>
      <c r="AM2611" t="s">
        <v>885</v>
      </c>
      <c r="AN2611">
        <v>-121.036162</v>
      </c>
      <c r="AO2611">
        <v>25</v>
      </c>
      <c r="AP2611">
        <v>4600</v>
      </c>
      <c r="AQ2611" t="s">
        <v>131</v>
      </c>
      <c r="AR2611">
        <v>15</v>
      </c>
      <c r="AS2611">
        <v>82</v>
      </c>
      <c r="AT2611">
        <v>-384</v>
      </c>
      <c r="BB2611" t="str">
        <f t="shared" si="1016"/>
        <v>1200</v>
      </c>
      <c r="BC2611">
        <v>1</v>
      </c>
      <c r="BD2611" t="str">
        <f t="shared" si="1017"/>
        <v xml:space="preserve">N52156  </v>
      </c>
      <c r="BE2611">
        <v>1</v>
      </c>
      <c r="BG2611">
        <v>0</v>
      </c>
      <c r="BH2611">
        <v>0</v>
      </c>
      <c r="BI2611">
        <v>0</v>
      </c>
      <c r="BJ2611">
        <v>4625</v>
      </c>
      <c r="BK2611">
        <v>25</v>
      </c>
      <c r="BL2611" t="s">
        <v>188</v>
      </c>
      <c r="BM2611">
        <v>1</v>
      </c>
      <c r="BN2611">
        <v>1</v>
      </c>
      <c r="BO2611">
        <v>0</v>
      </c>
      <c r="BP2611">
        <v>0</v>
      </c>
      <c r="BS2611">
        <v>0</v>
      </c>
      <c r="BT2611">
        <v>0</v>
      </c>
      <c r="BU2611">
        <v>0</v>
      </c>
      <c r="CE2611" t="str">
        <f t="shared" si="1033"/>
        <v>15:11:46.535</v>
      </c>
      <c r="CF2611">
        <v>534723287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4</v>
      </c>
      <c r="CY2611">
        <v>7</v>
      </c>
      <c r="CZ2611" t="s">
        <v>133</v>
      </c>
      <c r="DA2611">
        <v>275</v>
      </c>
      <c r="DB2611">
        <v>0</v>
      </c>
      <c r="DC2611" t="s">
        <v>134</v>
      </c>
      <c r="DD2611" t="s">
        <v>135</v>
      </c>
      <c r="DG2611">
        <v>3321887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"05/01/2025 15:11:47.465"</f>
        <v>05/01/2025 15:11:47.465</v>
      </c>
      <c r="C2612" t="str">
        <f t="shared" si="1014"/>
        <v>FFDFD3C0</v>
      </c>
      <c r="D2612" t="s">
        <v>145</v>
      </c>
      <c r="E2612" t="str">
        <f>"09"</f>
        <v>09</v>
      </c>
      <c r="H2612">
        <v>51</v>
      </c>
      <c r="I2612" t="s">
        <v>147</v>
      </c>
      <c r="J2612" t="s">
        <v>138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R2612" t="s">
        <v>127</v>
      </c>
      <c r="S2612" t="str">
        <f t="shared" ref="S2612:T2617" si="1034">"15:11:47.000"</f>
        <v>15:11:47.000</v>
      </c>
      <c r="T2612" t="str">
        <f t="shared" si="1034"/>
        <v>15:11:47.000</v>
      </c>
      <c r="U2612" t="str">
        <f t="shared" si="1015"/>
        <v>A68FCB</v>
      </c>
      <c r="V2612">
        <v>0</v>
      </c>
      <c r="W2612">
        <v>0</v>
      </c>
      <c r="X2612">
        <v>2</v>
      </c>
      <c r="Y2612">
        <v>0</v>
      </c>
      <c r="AA2612">
        <v>1</v>
      </c>
      <c r="AB2612">
        <v>8</v>
      </c>
      <c r="AC2612">
        <v>3</v>
      </c>
      <c r="AD2612">
        <v>0</v>
      </c>
      <c r="AE2612">
        <v>9</v>
      </c>
      <c r="AF2612" t="s">
        <v>138</v>
      </c>
      <c r="AG2612">
        <v>0</v>
      </c>
      <c r="AH2612">
        <v>3</v>
      </c>
      <c r="AI2612">
        <v>2</v>
      </c>
      <c r="AJ2612">
        <v>0</v>
      </c>
      <c r="AK2612" t="s">
        <v>886</v>
      </c>
      <c r="AL2612">
        <v>39.091287000000001</v>
      </c>
      <c r="AM2612" t="s">
        <v>887</v>
      </c>
      <c r="AN2612">
        <v>-121.036055</v>
      </c>
      <c r="AO2612">
        <v>25</v>
      </c>
      <c r="AP2612">
        <v>4600</v>
      </c>
      <c r="AQ2612" t="s">
        <v>131</v>
      </c>
      <c r="AR2612">
        <v>15</v>
      </c>
      <c r="AS2612">
        <v>82</v>
      </c>
      <c r="AT2612">
        <v>-384</v>
      </c>
      <c r="BB2612" t="str">
        <f t="shared" si="1016"/>
        <v>1200</v>
      </c>
      <c r="BC2612">
        <v>1</v>
      </c>
      <c r="BD2612" t="str">
        <f t="shared" si="1017"/>
        <v xml:space="preserve">N52156  </v>
      </c>
      <c r="BE2612">
        <v>1</v>
      </c>
      <c r="BG2612">
        <v>0</v>
      </c>
      <c r="BH2612">
        <v>0</v>
      </c>
      <c r="BI2612">
        <v>0</v>
      </c>
      <c r="BJ2612">
        <v>4625</v>
      </c>
      <c r="BK2612">
        <v>25</v>
      </c>
      <c r="BL2612" t="s">
        <v>188</v>
      </c>
      <c r="BM2612">
        <v>1</v>
      </c>
      <c r="BN2612">
        <v>1</v>
      </c>
      <c r="BO2612">
        <v>0</v>
      </c>
      <c r="BP2612">
        <v>0</v>
      </c>
      <c r="BS2612">
        <v>0</v>
      </c>
      <c r="BT2612">
        <v>0</v>
      </c>
      <c r="BU2612">
        <v>0</v>
      </c>
      <c r="CE2612" t="str">
        <f t="shared" ref="CE2612:CE2617" si="1035">"15:11:47.234"</f>
        <v>15:11:47.234</v>
      </c>
      <c r="CF2612">
        <v>234472605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4</v>
      </c>
      <c r="CY2612">
        <v>7</v>
      </c>
      <c r="CZ2612" t="s">
        <v>133</v>
      </c>
      <c r="DA2612">
        <v>275</v>
      </c>
      <c r="DB2612">
        <v>0</v>
      </c>
      <c r="DC2612" t="s">
        <v>134</v>
      </c>
      <c r="DD2612" t="s">
        <v>135</v>
      </c>
      <c r="DG2612">
        <v>3321889</v>
      </c>
      <c r="DI2612">
        <v>1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"05/01/2025 15:11:47.464"</f>
        <v>05/01/2025 15:11:47.464</v>
      </c>
      <c r="C2613" t="str">
        <f t="shared" si="1014"/>
        <v>FFDFD3C0</v>
      </c>
      <c r="D2613" t="s">
        <v>145</v>
      </c>
      <c r="E2613" t="str">
        <f>"05"</f>
        <v>05</v>
      </c>
      <c r="H2613">
        <v>47</v>
      </c>
      <c r="I2613" t="s">
        <v>146</v>
      </c>
      <c r="J2613" t="s">
        <v>138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R2613" t="s">
        <v>127</v>
      </c>
      <c r="S2613" t="str">
        <f t="shared" si="1034"/>
        <v>15:11:47.000</v>
      </c>
      <c r="T2613" t="str">
        <f t="shared" si="1034"/>
        <v>15:11:47.000</v>
      </c>
      <c r="U2613" t="str">
        <f t="shared" si="1015"/>
        <v>A68FCB</v>
      </c>
      <c r="V2613">
        <v>0</v>
      </c>
      <c r="W2613">
        <v>0</v>
      </c>
      <c r="X2613">
        <v>2</v>
      </c>
      <c r="Y2613">
        <v>0</v>
      </c>
      <c r="AA2613">
        <v>1</v>
      </c>
      <c r="AB2613">
        <v>8</v>
      </c>
      <c r="AC2613">
        <v>3</v>
      </c>
      <c r="AD2613">
        <v>0</v>
      </c>
      <c r="AE2613">
        <v>9</v>
      </c>
      <c r="AF2613" t="s">
        <v>138</v>
      </c>
      <c r="AG2613">
        <v>0</v>
      </c>
      <c r="AH2613">
        <v>3</v>
      </c>
      <c r="AI2613">
        <v>2</v>
      </c>
      <c r="AJ2613">
        <v>0</v>
      </c>
      <c r="AK2613" t="s">
        <v>886</v>
      </c>
      <c r="AL2613">
        <v>39.091287000000001</v>
      </c>
      <c r="AM2613" t="s">
        <v>887</v>
      </c>
      <c r="AN2613">
        <v>-121.036055</v>
      </c>
      <c r="AO2613">
        <v>25</v>
      </c>
      <c r="AP2613">
        <v>4600</v>
      </c>
      <c r="AQ2613" t="s">
        <v>131</v>
      </c>
      <c r="AR2613">
        <v>15</v>
      </c>
      <c r="AS2613">
        <v>82</v>
      </c>
      <c r="AT2613">
        <v>-384</v>
      </c>
      <c r="BB2613" t="str">
        <f t="shared" si="1016"/>
        <v>1200</v>
      </c>
      <c r="BC2613">
        <v>1</v>
      </c>
      <c r="BD2613" t="str">
        <f t="shared" si="1017"/>
        <v xml:space="preserve">N52156  </v>
      </c>
      <c r="BE2613">
        <v>1</v>
      </c>
      <c r="BG2613">
        <v>0</v>
      </c>
      <c r="BH2613">
        <v>0</v>
      </c>
      <c r="BI2613">
        <v>0</v>
      </c>
      <c r="BJ2613">
        <v>4625</v>
      </c>
      <c r="BK2613">
        <v>25</v>
      </c>
      <c r="BL2613" t="s">
        <v>188</v>
      </c>
      <c r="BM2613">
        <v>1</v>
      </c>
      <c r="BN2613">
        <v>1</v>
      </c>
      <c r="BO2613">
        <v>0</v>
      </c>
      <c r="BP2613">
        <v>0</v>
      </c>
      <c r="BS2613">
        <v>0</v>
      </c>
      <c r="BT2613">
        <v>0</v>
      </c>
      <c r="BU2613">
        <v>0</v>
      </c>
      <c r="CE2613" t="str">
        <f t="shared" si="1035"/>
        <v>15:11:47.234</v>
      </c>
      <c r="CF2613">
        <v>234472605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4</v>
      </c>
      <c r="CY2613">
        <v>7</v>
      </c>
      <c r="CZ2613" t="s">
        <v>133</v>
      </c>
      <c r="DA2613">
        <v>275</v>
      </c>
      <c r="DB2613">
        <v>0</v>
      </c>
      <c r="DC2613" t="s">
        <v>134</v>
      </c>
      <c r="DD2613" t="s">
        <v>135</v>
      </c>
      <c r="DG2613">
        <v>3321889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"05/01/2025 15:11:47.471"</f>
        <v>05/01/2025 15:11:47.471</v>
      </c>
      <c r="C2614" t="str">
        <f t="shared" si="1014"/>
        <v>FFDFD3C0</v>
      </c>
      <c r="D2614" t="s">
        <v>136</v>
      </c>
      <c r="E2614" t="str">
        <f>"20"</f>
        <v>20</v>
      </c>
      <c r="H2614">
        <v>400</v>
      </c>
      <c r="I2614" t="s">
        <v>137</v>
      </c>
      <c r="J2614" t="s">
        <v>138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R2614" t="s">
        <v>127</v>
      </c>
      <c r="S2614" t="str">
        <f t="shared" si="1034"/>
        <v>15:11:47.000</v>
      </c>
      <c r="T2614" t="str">
        <f t="shared" si="1034"/>
        <v>15:11:47.000</v>
      </c>
      <c r="U2614" t="str">
        <f t="shared" si="1015"/>
        <v>A68FCB</v>
      </c>
      <c r="V2614">
        <v>0</v>
      </c>
      <c r="W2614">
        <v>0</v>
      </c>
      <c r="X2614">
        <v>2</v>
      </c>
      <c r="Y2614">
        <v>0</v>
      </c>
      <c r="AA2614">
        <v>1</v>
      </c>
      <c r="AB2614">
        <v>8</v>
      </c>
      <c r="AC2614">
        <v>3</v>
      </c>
      <c r="AD2614">
        <v>0</v>
      </c>
      <c r="AE2614">
        <v>9</v>
      </c>
      <c r="AF2614" t="s">
        <v>138</v>
      </c>
      <c r="AG2614">
        <v>0</v>
      </c>
      <c r="AH2614">
        <v>3</v>
      </c>
      <c r="AI2614">
        <v>2</v>
      </c>
      <c r="AJ2614">
        <v>0</v>
      </c>
      <c r="AK2614" t="s">
        <v>886</v>
      </c>
      <c r="AL2614">
        <v>39.091287000000001</v>
      </c>
      <c r="AM2614" t="s">
        <v>887</v>
      </c>
      <c r="AN2614">
        <v>-121.036055</v>
      </c>
      <c r="AO2614">
        <v>25</v>
      </c>
      <c r="AP2614">
        <v>4600</v>
      </c>
      <c r="AQ2614" t="s">
        <v>131</v>
      </c>
      <c r="AR2614">
        <v>15</v>
      </c>
      <c r="AS2614">
        <v>82</v>
      </c>
      <c r="AT2614">
        <v>-384</v>
      </c>
      <c r="BB2614" t="str">
        <f t="shared" si="1016"/>
        <v>1200</v>
      </c>
      <c r="BC2614">
        <v>1</v>
      </c>
      <c r="BD2614" t="str">
        <f t="shared" si="1017"/>
        <v xml:space="preserve">N52156  </v>
      </c>
      <c r="BE2614">
        <v>1</v>
      </c>
      <c r="BG2614">
        <v>0</v>
      </c>
      <c r="BH2614">
        <v>0</v>
      </c>
      <c r="BI2614">
        <v>0</v>
      </c>
      <c r="BJ2614">
        <v>4625</v>
      </c>
      <c r="BK2614">
        <v>25</v>
      </c>
      <c r="BL2614" t="s">
        <v>188</v>
      </c>
      <c r="BM2614">
        <v>1</v>
      </c>
      <c r="BN2614">
        <v>1</v>
      </c>
      <c r="BO2614">
        <v>0</v>
      </c>
      <c r="BP2614">
        <v>0</v>
      </c>
      <c r="BS2614">
        <v>0</v>
      </c>
      <c r="BT2614">
        <v>0</v>
      </c>
      <c r="BU2614">
        <v>0</v>
      </c>
      <c r="CE2614" t="str">
        <f t="shared" si="1035"/>
        <v>15:11:47.234</v>
      </c>
      <c r="CF2614">
        <v>234472605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4</v>
      </c>
      <c r="CY2614">
        <v>7</v>
      </c>
      <c r="CZ2614" t="s">
        <v>133</v>
      </c>
      <c r="DA2614">
        <v>275</v>
      </c>
      <c r="DB2614">
        <v>0</v>
      </c>
      <c r="DC2614" t="s">
        <v>134</v>
      </c>
      <c r="DD2614" t="s">
        <v>135</v>
      </c>
      <c r="DG2614">
        <v>3321889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"05/01/2025 15:11:47.480"</f>
        <v>05/01/2025 15:11:47.480</v>
      </c>
      <c r="C2615" t="str">
        <f t="shared" si="1014"/>
        <v>FFDFD3C0</v>
      </c>
      <c r="D2615" t="s">
        <v>143</v>
      </c>
      <c r="E2615" t="str">
        <f>"05"</f>
        <v>05</v>
      </c>
      <c r="H2615">
        <v>172</v>
      </c>
      <c r="I2615" t="s">
        <v>141</v>
      </c>
      <c r="J2615" t="s">
        <v>144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R2615" t="s">
        <v>127</v>
      </c>
      <c r="S2615" t="str">
        <f t="shared" si="1034"/>
        <v>15:11:47.000</v>
      </c>
      <c r="T2615" t="str">
        <f t="shared" si="1034"/>
        <v>15:11:47.000</v>
      </c>
      <c r="U2615" t="str">
        <f t="shared" si="1015"/>
        <v>A68FCB</v>
      </c>
      <c r="V2615">
        <v>0</v>
      </c>
      <c r="W2615">
        <v>0</v>
      </c>
      <c r="X2615">
        <v>2</v>
      </c>
      <c r="Y2615">
        <v>0</v>
      </c>
      <c r="AA2615">
        <v>1</v>
      </c>
      <c r="AB2615">
        <v>8</v>
      </c>
      <c r="AC2615">
        <v>3</v>
      </c>
      <c r="AD2615">
        <v>0</v>
      </c>
      <c r="AE2615">
        <v>9</v>
      </c>
      <c r="AF2615" t="s">
        <v>138</v>
      </c>
      <c r="AG2615">
        <v>0</v>
      </c>
      <c r="AH2615">
        <v>3</v>
      </c>
      <c r="AI2615">
        <v>2</v>
      </c>
      <c r="AJ2615">
        <v>0</v>
      </c>
      <c r="AK2615" t="s">
        <v>886</v>
      </c>
      <c r="AL2615">
        <v>39.091287000000001</v>
      </c>
      <c r="AM2615" t="s">
        <v>887</v>
      </c>
      <c r="AN2615">
        <v>-121.036055</v>
      </c>
      <c r="AO2615">
        <v>25</v>
      </c>
      <c r="AP2615">
        <v>4600</v>
      </c>
      <c r="AQ2615" t="s">
        <v>131</v>
      </c>
      <c r="AR2615">
        <v>15</v>
      </c>
      <c r="AS2615">
        <v>82</v>
      </c>
      <c r="AT2615">
        <v>-384</v>
      </c>
      <c r="BB2615" t="str">
        <f t="shared" si="1016"/>
        <v>1200</v>
      </c>
      <c r="BC2615">
        <v>1</v>
      </c>
      <c r="BD2615" t="str">
        <f t="shared" si="1017"/>
        <v xml:space="preserve">N52156  </v>
      </c>
      <c r="BE2615">
        <v>1</v>
      </c>
      <c r="BG2615">
        <v>0</v>
      </c>
      <c r="BH2615">
        <v>0</v>
      </c>
      <c r="BI2615">
        <v>0</v>
      </c>
      <c r="BJ2615">
        <v>4625</v>
      </c>
      <c r="BK2615">
        <v>25</v>
      </c>
      <c r="BL2615" t="s">
        <v>188</v>
      </c>
      <c r="BM2615">
        <v>1</v>
      </c>
      <c r="BN2615">
        <v>1</v>
      </c>
      <c r="BO2615">
        <v>0</v>
      </c>
      <c r="BP2615">
        <v>0</v>
      </c>
      <c r="BS2615">
        <v>0</v>
      </c>
      <c r="BT2615">
        <v>0</v>
      </c>
      <c r="BU2615">
        <v>0</v>
      </c>
      <c r="CE2615" t="str">
        <f t="shared" si="1035"/>
        <v>15:11:47.234</v>
      </c>
      <c r="CF2615">
        <v>234472605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4</v>
      </c>
      <c r="CY2615">
        <v>7</v>
      </c>
      <c r="CZ2615" t="s">
        <v>133</v>
      </c>
      <c r="DA2615">
        <v>275</v>
      </c>
      <c r="DB2615">
        <v>0</v>
      </c>
      <c r="DC2615" t="s">
        <v>134</v>
      </c>
      <c r="DD2615" t="s">
        <v>135</v>
      </c>
      <c r="DG2615">
        <v>3321889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"05/01/2025 15:11:47.496"</f>
        <v>05/01/2025 15:11:47.496</v>
      </c>
      <c r="C2616" t="str">
        <f t="shared" si="1014"/>
        <v>FFDFD3C0</v>
      </c>
      <c r="D2616" t="s">
        <v>140</v>
      </c>
      <c r="E2616" t="str">
        <f>"13"</f>
        <v>13</v>
      </c>
      <c r="F2616">
        <v>1019</v>
      </c>
      <c r="G2616" t="s">
        <v>141</v>
      </c>
      <c r="J2616" t="s">
        <v>142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R2616" t="s">
        <v>127</v>
      </c>
      <c r="S2616" t="str">
        <f t="shared" si="1034"/>
        <v>15:11:47.000</v>
      </c>
      <c r="T2616" t="str">
        <f t="shared" si="1034"/>
        <v>15:11:47.000</v>
      </c>
      <c r="U2616" t="str">
        <f t="shared" si="1015"/>
        <v>A68FCB</v>
      </c>
      <c r="V2616">
        <v>0</v>
      </c>
      <c r="W2616">
        <v>0</v>
      </c>
      <c r="X2616">
        <v>2</v>
      </c>
      <c r="Y2616">
        <v>0</v>
      </c>
      <c r="AA2616">
        <v>1</v>
      </c>
      <c r="AB2616">
        <v>8</v>
      </c>
      <c r="AC2616">
        <v>3</v>
      </c>
      <c r="AD2616">
        <v>0</v>
      </c>
      <c r="AE2616">
        <v>9</v>
      </c>
      <c r="AF2616" t="s">
        <v>138</v>
      </c>
      <c r="AG2616">
        <v>0</v>
      </c>
      <c r="AH2616">
        <v>3</v>
      </c>
      <c r="AI2616">
        <v>2</v>
      </c>
      <c r="AJ2616">
        <v>0</v>
      </c>
      <c r="AK2616" t="s">
        <v>886</v>
      </c>
      <c r="AL2616">
        <v>39.091287000000001</v>
      </c>
      <c r="AM2616" t="s">
        <v>887</v>
      </c>
      <c r="AN2616">
        <v>-121.036055</v>
      </c>
      <c r="AO2616">
        <v>25</v>
      </c>
      <c r="AP2616">
        <v>4600</v>
      </c>
      <c r="AQ2616" t="s">
        <v>131</v>
      </c>
      <c r="AR2616">
        <v>15</v>
      </c>
      <c r="AS2616">
        <v>82</v>
      </c>
      <c r="AT2616">
        <v>-384</v>
      </c>
      <c r="BB2616" t="str">
        <f t="shared" si="1016"/>
        <v>1200</v>
      </c>
      <c r="BC2616">
        <v>1</v>
      </c>
      <c r="BD2616" t="str">
        <f t="shared" si="1017"/>
        <v xml:space="preserve">N52156  </v>
      </c>
      <c r="BE2616">
        <v>1</v>
      </c>
      <c r="BG2616">
        <v>0</v>
      </c>
      <c r="BH2616">
        <v>0</v>
      </c>
      <c r="BI2616">
        <v>0</v>
      </c>
      <c r="BJ2616">
        <v>4625</v>
      </c>
      <c r="BK2616">
        <v>25</v>
      </c>
      <c r="BL2616" t="s">
        <v>188</v>
      </c>
      <c r="BM2616">
        <v>1</v>
      </c>
      <c r="BN2616">
        <v>1</v>
      </c>
      <c r="BO2616">
        <v>0</v>
      </c>
      <c r="BP2616">
        <v>0</v>
      </c>
      <c r="BS2616">
        <v>0</v>
      </c>
      <c r="BT2616">
        <v>0</v>
      </c>
      <c r="BU2616">
        <v>0</v>
      </c>
      <c r="CE2616" t="str">
        <f t="shared" si="1035"/>
        <v>15:11:47.234</v>
      </c>
      <c r="CF2616">
        <v>234472605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4</v>
      </c>
      <c r="CY2616">
        <v>7</v>
      </c>
      <c r="CZ2616" t="s">
        <v>133</v>
      </c>
      <c r="DA2616">
        <v>275</v>
      </c>
      <c r="DB2616">
        <v>0</v>
      </c>
      <c r="DC2616" t="s">
        <v>134</v>
      </c>
      <c r="DD2616" t="s">
        <v>135</v>
      </c>
      <c r="DG2616">
        <v>3321889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"05/01/2025 15:11:47.502"</f>
        <v>05/01/2025 15:11:47.502</v>
      </c>
      <c r="C2617" t="str">
        <f t="shared" si="1014"/>
        <v>FFDFD3C0</v>
      </c>
      <c r="D2617" t="s">
        <v>124</v>
      </c>
      <c r="E2617" t="str">
        <f>"06"</f>
        <v>06</v>
      </c>
      <c r="F2617">
        <v>2006</v>
      </c>
      <c r="G2617" t="s">
        <v>125</v>
      </c>
      <c r="J2617" t="s">
        <v>126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R2617" t="s">
        <v>127</v>
      </c>
      <c r="S2617" t="str">
        <f t="shared" si="1034"/>
        <v>15:11:47.000</v>
      </c>
      <c r="T2617" t="str">
        <f t="shared" si="1034"/>
        <v>15:11:47.000</v>
      </c>
      <c r="U2617" t="str">
        <f t="shared" si="1015"/>
        <v>A68FCB</v>
      </c>
      <c r="V2617">
        <v>0</v>
      </c>
      <c r="W2617">
        <v>0</v>
      </c>
      <c r="X2617">
        <v>2</v>
      </c>
      <c r="Y2617">
        <v>0</v>
      </c>
      <c r="AA2617">
        <v>1</v>
      </c>
      <c r="AB2617">
        <v>8</v>
      </c>
      <c r="AC2617">
        <v>3</v>
      </c>
      <c r="AD2617">
        <v>0</v>
      </c>
      <c r="AE2617">
        <v>9</v>
      </c>
      <c r="AF2617" t="s">
        <v>138</v>
      </c>
      <c r="AG2617">
        <v>0</v>
      </c>
      <c r="AH2617">
        <v>3</v>
      </c>
      <c r="AI2617">
        <v>2</v>
      </c>
      <c r="AJ2617">
        <v>0</v>
      </c>
      <c r="AK2617" t="s">
        <v>886</v>
      </c>
      <c r="AL2617">
        <v>39.091287000000001</v>
      </c>
      <c r="AM2617" t="s">
        <v>887</v>
      </c>
      <c r="AN2617">
        <v>-121.036055</v>
      </c>
      <c r="AO2617">
        <v>25</v>
      </c>
      <c r="AP2617">
        <v>4600</v>
      </c>
      <c r="AQ2617" t="s">
        <v>131</v>
      </c>
      <c r="AR2617">
        <v>15</v>
      </c>
      <c r="AS2617">
        <v>82</v>
      </c>
      <c r="AT2617">
        <v>-384</v>
      </c>
      <c r="BB2617" t="str">
        <f t="shared" si="1016"/>
        <v>1200</v>
      </c>
      <c r="BC2617">
        <v>1</v>
      </c>
      <c r="BD2617" t="str">
        <f t="shared" si="1017"/>
        <v xml:space="preserve">N52156  </v>
      </c>
      <c r="BE2617">
        <v>1</v>
      </c>
      <c r="BG2617">
        <v>0</v>
      </c>
      <c r="BH2617">
        <v>0</v>
      </c>
      <c r="BI2617">
        <v>0</v>
      </c>
      <c r="BJ2617">
        <v>4625</v>
      </c>
      <c r="BK2617">
        <v>25</v>
      </c>
      <c r="BL2617" t="s">
        <v>188</v>
      </c>
      <c r="BM2617">
        <v>1</v>
      </c>
      <c r="BN2617">
        <v>1</v>
      </c>
      <c r="BO2617">
        <v>0</v>
      </c>
      <c r="BP2617">
        <v>0</v>
      </c>
      <c r="BS2617">
        <v>0</v>
      </c>
      <c r="BT2617">
        <v>0</v>
      </c>
      <c r="BU2617">
        <v>0</v>
      </c>
      <c r="CE2617" t="str">
        <f t="shared" si="1035"/>
        <v>15:11:47.234</v>
      </c>
      <c r="CF2617">
        <v>234472605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4</v>
      </c>
      <c r="CY2617">
        <v>7</v>
      </c>
      <c r="CZ2617" t="s">
        <v>133</v>
      </c>
      <c r="DA2617">
        <v>275</v>
      </c>
      <c r="DB2617">
        <v>0</v>
      </c>
      <c r="DC2617" t="s">
        <v>134</v>
      </c>
      <c r="DD2617" t="s">
        <v>135</v>
      </c>
      <c r="DG2617">
        <v>3321889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"05/01/2025 15:11:48.631"</f>
        <v>05/01/2025 15:11:48.631</v>
      </c>
      <c r="C2618" t="str">
        <f t="shared" si="1014"/>
        <v>FFDFD3C0</v>
      </c>
      <c r="D2618" t="s">
        <v>143</v>
      </c>
      <c r="E2618" t="str">
        <f>"05"</f>
        <v>05</v>
      </c>
      <c r="H2618">
        <v>172</v>
      </c>
      <c r="I2618" t="s">
        <v>141</v>
      </c>
      <c r="J2618" t="s">
        <v>144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R2618" t="s">
        <v>127</v>
      </c>
      <c r="S2618" t="str">
        <f t="shared" ref="S2618:T2623" si="1036">"15:11:48.000"</f>
        <v>15:11:48.000</v>
      </c>
      <c r="T2618" t="str">
        <f t="shared" si="1036"/>
        <v>15:11:48.000</v>
      </c>
      <c r="U2618" t="str">
        <f t="shared" si="1015"/>
        <v>A68FCB</v>
      </c>
      <c r="V2618">
        <v>0</v>
      </c>
      <c r="W2618">
        <v>0</v>
      </c>
      <c r="X2618">
        <v>2</v>
      </c>
      <c r="Y2618">
        <v>0</v>
      </c>
      <c r="AA2618">
        <v>1</v>
      </c>
      <c r="AB2618">
        <v>8</v>
      </c>
      <c r="AC2618">
        <v>3</v>
      </c>
      <c r="AD2618">
        <v>0</v>
      </c>
      <c r="AE2618">
        <v>9</v>
      </c>
      <c r="AF2618" t="s">
        <v>138</v>
      </c>
      <c r="AG2618">
        <v>0</v>
      </c>
      <c r="AH2618">
        <v>3</v>
      </c>
      <c r="AI2618">
        <v>2</v>
      </c>
      <c r="AJ2618">
        <v>0</v>
      </c>
      <c r="AK2618" t="s">
        <v>888</v>
      </c>
      <c r="AL2618">
        <v>39.091673</v>
      </c>
      <c r="AM2618" t="s">
        <v>889</v>
      </c>
      <c r="AN2618">
        <v>-121.03596899999999</v>
      </c>
      <c r="AO2618">
        <v>25</v>
      </c>
      <c r="AP2618">
        <v>4600</v>
      </c>
      <c r="AQ2618" t="s">
        <v>131</v>
      </c>
      <c r="AR2618">
        <v>14</v>
      </c>
      <c r="AS2618">
        <v>83</v>
      </c>
      <c r="AT2618">
        <v>-448</v>
      </c>
      <c r="BB2618" t="str">
        <f t="shared" si="1016"/>
        <v>1200</v>
      </c>
      <c r="BC2618">
        <v>1</v>
      </c>
      <c r="BD2618" t="str">
        <f t="shared" si="1017"/>
        <v xml:space="preserve">N52156  </v>
      </c>
      <c r="BE2618">
        <v>1</v>
      </c>
      <c r="BG2618">
        <v>0</v>
      </c>
      <c r="BH2618">
        <v>0</v>
      </c>
      <c r="BI2618">
        <v>0</v>
      </c>
      <c r="BJ2618">
        <v>4600</v>
      </c>
      <c r="BK2618">
        <v>0</v>
      </c>
      <c r="BL2618" t="s">
        <v>188</v>
      </c>
      <c r="BM2618">
        <v>1</v>
      </c>
      <c r="BN2618">
        <v>1</v>
      </c>
      <c r="BO2618">
        <v>0</v>
      </c>
      <c r="BP2618">
        <v>0</v>
      </c>
      <c r="BS2618">
        <v>0</v>
      </c>
      <c r="BT2618">
        <v>0</v>
      </c>
      <c r="BU2618">
        <v>0</v>
      </c>
      <c r="CE2618" t="str">
        <f t="shared" ref="CE2618:CE2623" si="1037">"15:11:48.429"</f>
        <v>15:11:48.429</v>
      </c>
      <c r="CF2618">
        <v>429473213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5</v>
      </c>
      <c r="CY2618">
        <v>7</v>
      </c>
      <c r="CZ2618" t="s">
        <v>133</v>
      </c>
      <c r="DA2618">
        <v>275</v>
      </c>
      <c r="DB2618">
        <v>0</v>
      </c>
      <c r="DC2618" t="s">
        <v>134</v>
      </c>
      <c r="DD2618" t="s">
        <v>135</v>
      </c>
      <c r="DG2618">
        <v>3321890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"05/01/2025 15:11:48.648"</f>
        <v>05/01/2025 15:11:48.648</v>
      </c>
      <c r="C2619" t="str">
        <f t="shared" si="1014"/>
        <v>FFDFD3C0</v>
      </c>
      <c r="D2619" t="s">
        <v>140</v>
      </c>
      <c r="E2619" t="str">
        <f>"13"</f>
        <v>13</v>
      </c>
      <c r="F2619">
        <v>1019</v>
      </c>
      <c r="G2619" t="s">
        <v>141</v>
      </c>
      <c r="J2619" t="s">
        <v>142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R2619" t="s">
        <v>127</v>
      </c>
      <c r="S2619" t="str">
        <f t="shared" si="1036"/>
        <v>15:11:48.000</v>
      </c>
      <c r="T2619" t="str">
        <f t="shared" si="1036"/>
        <v>15:11:48.000</v>
      </c>
      <c r="U2619" t="str">
        <f t="shared" si="1015"/>
        <v>A68FCB</v>
      </c>
      <c r="V2619">
        <v>0</v>
      </c>
      <c r="W2619">
        <v>0</v>
      </c>
      <c r="X2619">
        <v>2</v>
      </c>
      <c r="Y2619">
        <v>0</v>
      </c>
      <c r="AA2619">
        <v>1</v>
      </c>
      <c r="AB2619">
        <v>8</v>
      </c>
      <c r="AC2619">
        <v>3</v>
      </c>
      <c r="AD2619">
        <v>0</v>
      </c>
      <c r="AE2619">
        <v>9</v>
      </c>
      <c r="AF2619" t="s">
        <v>138</v>
      </c>
      <c r="AG2619">
        <v>0</v>
      </c>
      <c r="AH2619">
        <v>3</v>
      </c>
      <c r="AI2619">
        <v>2</v>
      </c>
      <c r="AJ2619">
        <v>0</v>
      </c>
      <c r="AK2619" t="s">
        <v>888</v>
      </c>
      <c r="AL2619">
        <v>39.091673</v>
      </c>
      <c r="AM2619" t="s">
        <v>889</v>
      </c>
      <c r="AN2619">
        <v>-121.03596899999999</v>
      </c>
      <c r="AO2619">
        <v>25</v>
      </c>
      <c r="AP2619">
        <v>4600</v>
      </c>
      <c r="AQ2619" t="s">
        <v>131</v>
      </c>
      <c r="AR2619">
        <v>14</v>
      </c>
      <c r="AS2619">
        <v>83</v>
      </c>
      <c r="AT2619">
        <v>-448</v>
      </c>
      <c r="BB2619" t="str">
        <f t="shared" si="1016"/>
        <v>1200</v>
      </c>
      <c r="BC2619">
        <v>1</v>
      </c>
      <c r="BD2619" t="str">
        <f t="shared" si="1017"/>
        <v xml:space="preserve">N52156  </v>
      </c>
      <c r="BE2619">
        <v>1</v>
      </c>
      <c r="BG2619">
        <v>0</v>
      </c>
      <c r="BH2619">
        <v>0</v>
      </c>
      <c r="BI2619">
        <v>0</v>
      </c>
      <c r="BJ2619">
        <v>4600</v>
      </c>
      <c r="BK2619">
        <v>0</v>
      </c>
      <c r="BL2619" t="s">
        <v>188</v>
      </c>
      <c r="BM2619">
        <v>1</v>
      </c>
      <c r="BN2619">
        <v>1</v>
      </c>
      <c r="BO2619">
        <v>0</v>
      </c>
      <c r="BP2619">
        <v>0</v>
      </c>
      <c r="BS2619">
        <v>0</v>
      </c>
      <c r="BT2619">
        <v>0</v>
      </c>
      <c r="BU2619">
        <v>0</v>
      </c>
      <c r="CE2619" t="str">
        <f t="shared" si="1037"/>
        <v>15:11:48.429</v>
      </c>
      <c r="CF2619">
        <v>429473213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5</v>
      </c>
      <c r="CY2619">
        <v>7</v>
      </c>
      <c r="CZ2619" t="s">
        <v>133</v>
      </c>
      <c r="DA2619">
        <v>275</v>
      </c>
      <c r="DB2619">
        <v>0</v>
      </c>
      <c r="DC2619" t="s">
        <v>134</v>
      </c>
      <c r="DD2619" t="s">
        <v>135</v>
      </c>
      <c r="DG2619">
        <v>3321890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"05/01/2025 15:11:48.654"</f>
        <v>05/01/2025 15:11:48.654</v>
      </c>
      <c r="C2620" t="str">
        <f t="shared" si="1014"/>
        <v>FFDFD3C0</v>
      </c>
      <c r="D2620" t="s">
        <v>124</v>
      </c>
      <c r="E2620" t="str">
        <f>"06"</f>
        <v>06</v>
      </c>
      <c r="F2620">
        <v>2006</v>
      </c>
      <c r="G2620" t="s">
        <v>125</v>
      </c>
      <c r="J2620" t="s">
        <v>126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R2620" t="s">
        <v>127</v>
      </c>
      <c r="S2620" t="str">
        <f t="shared" si="1036"/>
        <v>15:11:48.000</v>
      </c>
      <c r="T2620" t="str">
        <f t="shared" si="1036"/>
        <v>15:11:48.000</v>
      </c>
      <c r="U2620" t="str">
        <f t="shared" si="1015"/>
        <v>A68FCB</v>
      </c>
      <c r="V2620">
        <v>0</v>
      </c>
      <c r="W2620">
        <v>0</v>
      </c>
      <c r="X2620">
        <v>2</v>
      </c>
      <c r="Y2620">
        <v>0</v>
      </c>
      <c r="AA2620">
        <v>1</v>
      </c>
      <c r="AB2620">
        <v>8</v>
      </c>
      <c r="AC2620">
        <v>3</v>
      </c>
      <c r="AD2620">
        <v>0</v>
      </c>
      <c r="AE2620">
        <v>9</v>
      </c>
      <c r="AF2620" t="s">
        <v>138</v>
      </c>
      <c r="AG2620">
        <v>0</v>
      </c>
      <c r="AH2620">
        <v>3</v>
      </c>
      <c r="AI2620">
        <v>2</v>
      </c>
      <c r="AJ2620">
        <v>0</v>
      </c>
      <c r="AK2620" t="s">
        <v>888</v>
      </c>
      <c r="AL2620">
        <v>39.091673</v>
      </c>
      <c r="AM2620" t="s">
        <v>889</v>
      </c>
      <c r="AN2620">
        <v>-121.03596899999999</v>
      </c>
      <c r="AO2620">
        <v>25</v>
      </c>
      <c r="AP2620">
        <v>4600</v>
      </c>
      <c r="AQ2620" t="s">
        <v>131</v>
      </c>
      <c r="AR2620">
        <v>14</v>
      </c>
      <c r="AS2620">
        <v>83</v>
      </c>
      <c r="AT2620">
        <v>-448</v>
      </c>
      <c r="BB2620" t="str">
        <f t="shared" si="1016"/>
        <v>1200</v>
      </c>
      <c r="BC2620">
        <v>1</v>
      </c>
      <c r="BD2620" t="str">
        <f t="shared" si="1017"/>
        <v xml:space="preserve">N52156  </v>
      </c>
      <c r="BE2620">
        <v>1</v>
      </c>
      <c r="BG2620">
        <v>0</v>
      </c>
      <c r="BH2620">
        <v>0</v>
      </c>
      <c r="BI2620">
        <v>0</v>
      </c>
      <c r="BJ2620">
        <v>4600</v>
      </c>
      <c r="BK2620">
        <v>0</v>
      </c>
      <c r="BL2620" t="s">
        <v>188</v>
      </c>
      <c r="BM2620">
        <v>1</v>
      </c>
      <c r="BN2620">
        <v>1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 t="shared" si="1037"/>
        <v>15:11:48.429</v>
      </c>
      <c r="CF2620">
        <v>429473213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5</v>
      </c>
      <c r="CY2620">
        <v>7</v>
      </c>
      <c r="CZ2620" t="s">
        <v>133</v>
      </c>
      <c r="DA2620">
        <v>275</v>
      </c>
      <c r="DB2620">
        <v>0</v>
      </c>
      <c r="DC2620" t="s">
        <v>134</v>
      </c>
      <c r="DD2620" t="s">
        <v>135</v>
      </c>
      <c r="DG2620">
        <v>3321890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"05/01/2025 15:11:48.667"</f>
        <v>05/01/2025 15:11:48.667</v>
      </c>
      <c r="C2621" t="str">
        <f t="shared" si="1014"/>
        <v>FFDFD3C0</v>
      </c>
      <c r="D2621" t="s">
        <v>145</v>
      </c>
      <c r="E2621" t="str">
        <f>"09"</f>
        <v>09</v>
      </c>
      <c r="H2621">
        <v>51</v>
      </c>
      <c r="I2621" t="s">
        <v>147</v>
      </c>
      <c r="J2621" t="s">
        <v>138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R2621" t="s">
        <v>127</v>
      </c>
      <c r="S2621" t="str">
        <f t="shared" si="1036"/>
        <v>15:11:48.000</v>
      </c>
      <c r="T2621" t="str">
        <f t="shared" si="1036"/>
        <v>15:11:48.000</v>
      </c>
      <c r="U2621" t="str">
        <f t="shared" si="1015"/>
        <v>A68FCB</v>
      </c>
      <c r="V2621">
        <v>0</v>
      </c>
      <c r="W2621">
        <v>0</v>
      </c>
      <c r="X2621">
        <v>2</v>
      </c>
      <c r="Y2621">
        <v>0</v>
      </c>
      <c r="AA2621">
        <v>1</v>
      </c>
      <c r="AB2621">
        <v>8</v>
      </c>
      <c r="AC2621">
        <v>3</v>
      </c>
      <c r="AD2621">
        <v>0</v>
      </c>
      <c r="AE2621">
        <v>9</v>
      </c>
      <c r="AF2621" t="s">
        <v>138</v>
      </c>
      <c r="AG2621">
        <v>0</v>
      </c>
      <c r="AH2621">
        <v>3</v>
      </c>
      <c r="AI2621">
        <v>2</v>
      </c>
      <c r="AJ2621">
        <v>0</v>
      </c>
      <c r="AK2621" t="s">
        <v>888</v>
      </c>
      <c r="AL2621">
        <v>39.091673</v>
      </c>
      <c r="AM2621" t="s">
        <v>889</v>
      </c>
      <c r="AN2621">
        <v>-121.03596899999999</v>
      </c>
      <c r="AO2621">
        <v>25</v>
      </c>
      <c r="AP2621">
        <v>4600</v>
      </c>
      <c r="AQ2621" t="s">
        <v>131</v>
      </c>
      <c r="AR2621">
        <v>14</v>
      </c>
      <c r="AS2621">
        <v>83</v>
      </c>
      <c r="AT2621">
        <v>-448</v>
      </c>
      <c r="BB2621" t="str">
        <f t="shared" si="1016"/>
        <v>1200</v>
      </c>
      <c r="BC2621">
        <v>1</v>
      </c>
      <c r="BD2621" t="str">
        <f t="shared" si="1017"/>
        <v xml:space="preserve">N52156  </v>
      </c>
      <c r="BE2621">
        <v>1</v>
      </c>
      <c r="BG2621">
        <v>0</v>
      </c>
      <c r="BH2621">
        <v>0</v>
      </c>
      <c r="BI2621">
        <v>0</v>
      </c>
      <c r="BJ2621">
        <v>4600</v>
      </c>
      <c r="BK2621">
        <v>0</v>
      </c>
      <c r="BL2621" t="s">
        <v>188</v>
      </c>
      <c r="BM2621">
        <v>1</v>
      </c>
      <c r="BN2621">
        <v>1</v>
      </c>
      <c r="BO2621">
        <v>0</v>
      </c>
      <c r="BP2621">
        <v>0</v>
      </c>
      <c r="BS2621">
        <v>0</v>
      </c>
      <c r="BT2621">
        <v>0</v>
      </c>
      <c r="BU2621">
        <v>0</v>
      </c>
      <c r="CE2621" t="str">
        <f t="shared" si="1037"/>
        <v>15:11:48.429</v>
      </c>
      <c r="CF2621">
        <v>429473213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5</v>
      </c>
      <c r="CY2621">
        <v>7</v>
      </c>
      <c r="CZ2621" t="s">
        <v>133</v>
      </c>
      <c r="DA2621">
        <v>275</v>
      </c>
      <c r="DB2621">
        <v>0</v>
      </c>
      <c r="DC2621" t="s">
        <v>134</v>
      </c>
      <c r="DD2621" t="s">
        <v>135</v>
      </c>
      <c r="DG2621">
        <v>3321890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>"05/01/2025 15:11:48.666"</f>
        <v>05/01/2025 15:11:48.666</v>
      </c>
      <c r="C2622" t="str">
        <f t="shared" si="1014"/>
        <v>FFDFD3C0</v>
      </c>
      <c r="D2622" t="s">
        <v>145</v>
      </c>
      <c r="E2622" t="str">
        <f>"05"</f>
        <v>05</v>
      </c>
      <c r="H2622">
        <v>47</v>
      </c>
      <c r="I2622" t="s">
        <v>146</v>
      </c>
      <c r="J2622" t="s">
        <v>138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R2622" t="s">
        <v>127</v>
      </c>
      <c r="S2622" t="str">
        <f t="shared" si="1036"/>
        <v>15:11:48.000</v>
      </c>
      <c r="T2622" t="str">
        <f t="shared" si="1036"/>
        <v>15:11:48.000</v>
      </c>
      <c r="U2622" t="str">
        <f t="shared" si="1015"/>
        <v>A68FCB</v>
      </c>
      <c r="V2622">
        <v>0</v>
      </c>
      <c r="W2622">
        <v>0</v>
      </c>
      <c r="X2622">
        <v>2</v>
      </c>
      <c r="Y2622">
        <v>0</v>
      </c>
      <c r="AA2622">
        <v>1</v>
      </c>
      <c r="AB2622">
        <v>8</v>
      </c>
      <c r="AC2622">
        <v>3</v>
      </c>
      <c r="AD2622">
        <v>0</v>
      </c>
      <c r="AE2622">
        <v>9</v>
      </c>
      <c r="AF2622" t="s">
        <v>138</v>
      </c>
      <c r="AG2622">
        <v>0</v>
      </c>
      <c r="AH2622">
        <v>3</v>
      </c>
      <c r="AI2622">
        <v>2</v>
      </c>
      <c r="AJ2622">
        <v>0</v>
      </c>
      <c r="AK2622" t="s">
        <v>888</v>
      </c>
      <c r="AL2622">
        <v>39.091673</v>
      </c>
      <c r="AM2622" t="s">
        <v>889</v>
      </c>
      <c r="AN2622">
        <v>-121.03596899999999</v>
      </c>
      <c r="AO2622">
        <v>25</v>
      </c>
      <c r="AP2622">
        <v>4600</v>
      </c>
      <c r="AQ2622" t="s">
        <v>131</v>
      </c>
      <c r="AR2622">
        <v>14</v>
      </c>
      <c r="AS2622">
        <v>83</v>
      </c>
      <c r="AT2622">
        <v>-448</v>
      </c>
      <c r="BB2622" t="str">
        <f t="shared" si="1016"/>
        <v>1200</v>
      </c>
      <c r="BC2622">
        <v>1</v>
      </c>
      <c r="BD2622" t="str">
        <f t="shared" si="1017"/>
        <v xml:space="preserve">N52156  </v>
      </c>
      <c r="BE2622">
        <v>1</v>
      </c>
      <c r="BG2622">
        <v>0</v>
      </c>
      <c r="BH2622">
        <v>0</v>
      </c>
      <c r="BI2622">
        <v>0</v>
      </c>
      <c r="BJ2622">
        <v>4600</v>
      </c>
      <c r="BK2622">
        <v>0</v>
      </c>
      <c r="BL2622" t="s">
        <v>188</v>
      </c>
      <c r="BM2622">
        <v>1</v>
      </c>
      <c r="BN2622">
        <v>1</v>
      </c>
      <c r="BO2622">
        <v>0</v>
      </c>
      <c r="BP2622">
        <v>0</v>
      </c>
      <c r="BS2622">
        <v>0</v>
      </c>
      <c r="BT2622">
        <v>0</v>
      </c>
      <c r="BU2622">
        <v>0</v>
      </c>
      <c r="CE2622" t="str">
        <f t="shared" si="1037"/>
        <v>15:11:48.429</v>
      </c>
      <c r="CF2622">
        <v>429473213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5</v>
      </c>
      <c r="CY2622">
        <v>7</v>
      </c>
      <c r="CZ2622" t="s">
        <v>133</v>
      </c>
      <c r="DA2622">
        <v>275</v>
      </c>
      <c r="DB2622">
        <v>0</v>
      </c>
      <c r="DC2622" t="s">
        <v>134</v>
      </c>
      <c r="DD2622" t="s">
        <v>135</v>
      </c>
      <c r="DG2622">
        <v>3321890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>"05/01/2025 15:11:48.674"</f>
        <v>05/01/2025 15:11:48.674</v>
      </c>
      <c r="C2623" t="str">
        <f t="shared" si="1014"/>
        <v>FFDFD3C0</v>
      </c>
      <c r="D2623" t="s">
        <v>136</v>
      </c>
      <c r="E2623" t="str">
        <f>"20"</f>
        <v>20</v>
      </c>
      <c r="H2623">
        <v>400</v>
      </c>
      <c r="I2623" t="s">
        <v>137</v>
      </c>
      <c r="J2623" t="s">
        <v>138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R2623" t="s">
        <v>127</v>
      </c>
      <c r="S2623" t="str">
        <f t="shared" si="1036"/>
        <v>15:11:48.000</v>
      </c>
      <c r="T2623" t="str">
        <f t="shared" si="1036"/>
        <v>15:11:48.000</v>
      </c>
      <c r="U2623" t="str">
        <f t="shared" si="1015"/>
        <v>A68FCB</v>
      </c>
      <c r="V2623">
        <v>0</v>
      </c>
      <c r="W2623">
        <v>0</v>
      </c>
      <c r="X2623">
        <v>2</v>
      </c>
      <c r="Y2623">
        <v>0</v>
      </c>
      <c r="AA2623">
        <v>1</v>
      </c>
      <c r="AB2623">
        <v>8</v>
      </c>
      <c r="AC2623">
        <v>3</v>
      </c>
      <c r="AD2623">
        <v>0</v>
      </c>
      <c r="AE2623">
        <v>9</v>
      </c>
      <c r="AF2623" t="s">
        <v>138</v>
      </c>
      <c r="AG2623">
        <v>0</v>
      </c>
      <c r="AH2623">
        <v>3</v>
      </c>
      <c r="AI2623">
        <v>2</v>
      </c>
      <c r="AJ2623">
        <v>0</v>
      </c>
      <c r="AK2623" t="s">
        <v>888</v>
      </c>
      <c r="AL2623">
        <v>39.091673</v>
      </c>
      <c r="AM2623" t="s">
        <v>889</v>
      </c>
      <c r="AN2623">
        <v>-121.03596899999999</v>
      </c>
      <c r="AO2623">
        <v>25</v>
      </c>
      <c r="AP2623">
        <v>4600</v>
      </c>
      <c r="AQ2623" t="s">
        <v>131</v>
      </c>
      <c r="AR2623">
        <v>14</v>
      </c>
      <c r="AS2623">
        <v>83</v>
      </c>
      <c r="AT2623">
        <v>-448</v>
      </c>
      <c r="BB2623" t="str">
        <f t="shared" si="1016"/>
        <v>1200</v>
      </c>
      <c r="BC2623">
        <v>1</v>
      </c>
      <c r="BD2623" t="str">
        <f t="shared" si="1017"/>
        <v xml:space="preserve">N52156  </v>
      </c>
      <c r="BE2623">
        <v>1</v>
      </c>
      <c r="BG2623">
        <v>0</v>
      </c>
      <c r="BH2623">
        <v>0</v>
      </c>
      <c r="BI2623">
        <v>0</v>
      </c>
      <c r="BJ2623">
        <v>4600</v>
      </c>
      <c r="BK2623">
        <v>0</v>
      </c>
      <c r="BL2623" t="s">
        <v>188</v>
      </c>
      <c r="BM2623">
        <v>1</v>
      </c>
      <c r="BN2623">
        <v>1</v>
      </c>
      <c r="BO2623">
        <v>0</v>
      </c>
      <c r="BP2623">
        <v>0</v>
      </c>
      <c r="BS2623">
        <v>0</v>
      </c>
      <c r="BT2623">
        <v>0</v>
      </c>
      <c r="BU2623">
        <v>0</v>
      </c>
      <c r="CE2623" t="str">
        <f t="shared" si="1037"/>
        <v>15:11:48.429</v>
      </c>
      <c r="CF2623">
        <v>429473213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5</v>
      </c>
      <c r="CY2623">
        <v>7</v>
      </c>
      <c r="CZ2623" t="s">
        <v>133</v>
      </c>
      <c r="DA2623">
        <v>275</v>
      </c>
      <c r="DB2623">
        <v>0</v>
      </c>
      <c r="DC2623" t="s">
        <v>134</v>
      </c>
      <c r="DD2623" t="s">
        <v>135</v>
      </c>
      <c r="DG2623">
        <v>3321890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"05/01/2025 15:11:49.951"</f>
        <v>05/01/2025 15:11:49.951</v>
      </c>
      <c r="C2624" t="str">
        <f t="shared" si="1014"/>
        <v>FFDFD3C0</v>
      </c>
      <c r="D2624" t="s">
        <v>140</v>
      </c>
      <c r="E2624" t="str">
        <f>"13"</f>
        <v>13</v>
      </c>
      <c r="F2624">
        <v>1019</v>
      </c>
      <c r="G2624" t="s">
        <v>141</v>
      </c>
      <c r="J2624" t="s">
        <v>142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R2624" t="s">
        <v>127</v>
      </c>
      <c r="S2624" t="str">
        <f t="shared" ref="S2624:T2629" si="1038">"15:11:49.000"</f>
        <v>15:11:49.000</v>
      </c>
      <c r="T2624" t="str">
        <f t="shared" si="1038"/>
        <v>15:11:49.000</v>
      </c>
      <c r="U2624" t="str">
        <f t="shared" si="1015"/>
        <v>A68FCB</v>
      </c>
      <c r="V2624">
        <v>0</v>
      </c>
      <c r="W2624">
        <v>0</v>
      </c>
      <c r="X2624">
        <v>2</v>
      </c>
      <c r="Y2624">
        <v>0</v>
      </c>
      <c r="AA2624">
        <v>1</v>
      </c>
      <c r="AB2624">
        <v>8</v>
      </c>
      <c r="AC2624">
        <v>3</v>
      </c>
      <c r="AD2624">
        <v>0</v>
      </c>
      <c r="AE2624">
        <v>9</v>
      </c>
      <c r="AF2624" t="s">
        <v>138</v>
      </c>
      <c r="AG2624">
        <v>0</v>
      </c>
      <c r="AH2624">
        <v>3</v>
      </c>
      <c r="AI2624">
        <v>2</v>
      </c>
      <c r="AJ2624">
        <v>0</v>
      </c>
      <c r="AK2624" t="s">
        <v>890</v>
      </c>
      <c r="AL2624">
        <v>39.092058999999999</v>
      </c>
      <c r="AM2624" t="s">
        <v>891</v>
      </c>
      <c r="AN2624">
        <v>-121.035883</v>
      </c>
      <c r="AO2624">
        <v>25</v>
      </c>
      <c r="AP2624">
        <v>4500</v>
      </c>
      <c r="AQ2624" t="s">
        <v>131</v>
      </c>
      <c r="AR2624">
        <v>14</v>
      </c>
      <c r="AS2624">
        <v>83</v>
      </c>
      <c r="AT2624">
        <v>-448</v>
      </c>
      <c r="BB2624" t="str">
        <f t="shared" si="1016"/>
        <v>1200</v>
      </c>
      <c r="BC2624">
        <v>1</v>
      </c>
      <c r="BD2624" t="str">
        <f t="shared" si="1017"/>
        <v xml:space="preserve">N52156  </v>
      </c>
      <c r="BE2624">
        <v>1</v>
      </c>
      <c r="BG2624">
        <v>0</v>
      </c>
      <c r="BH2624">
        <v>0</v>
      </c>
      <c r="BI2624">
        <v>0</v>
      </c>
      <c r="BJ2624">
        <v>4600</v>
      </c>
      <c r="BK2624">
        <v>100</v>
      </c>
      <c r="BL2624" t="s">
        <v>188</v>
      </c>
      <c r="BM2624">
        <v>1</v>
      </c>
      <c r="BN2624">
        <v>1</v>
      </c>
      <c r="BO2624">
        <v>0</v>
      </c>
      <c r="BP2624">
        <v>0</v>
      </c>
      <c r="BS2624">
        <v>0</v>
      </c>
      <c r="BT2624">
        <v>0</v>
      </c>
      <c r="BU2624">
        <v>0</v>
      </c>
      <c r="CE2624" t="str">
        <f t="shared" ref="CE2624:CE2629" si="1039">"15:11:49.731"</f>
        <v>15:11:49.731</v>
      </c>
      <c r="CF2624">
        <v>731224054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5</v>
      </c>
      <c r="CY2624">
        <v>7</v>
      </c>
      <c r="CZ2624" t="s">
        <v>133</v>
      </c>
      <c r="DA2624">
        <v>275</v>
      </c>
      <c r="DB2624">
        <v>0</v>
      </c>
      <c r="DC2624" t="s">
        <v>134</v>
      </c>
      <c r="DD2624" t="s">
        <v>135</v>
      </c>
      <c r="DG2624">
        <v>3321892</v>
      </c>
      <c r="DI2624">
        <v>1</v>
      </c>
      <c r="DJ2624">
        <v>0</v>
      </c>
      <c r="DK2624">
        <v>0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"05/01/2025 15:11:49.956"</f>
        <v>05/01/2025 15:11:49.956</v>
      </c>
      <c r="C2625" t="str">
        <f t="shared" si="1014"/>
        <v>FFDFD3C0</v>
      </c>
      <c r="D2625" t="s">
        <v>124</v>
      </c>
      <c r="E2625" t="str">
        <f>"06"</f>
        <v>06</v>
      </c>
      <c r="F2625">
        <v>2006</v>
      </c>
      <c r="G2625" t="s">
        <v>125</v>
      </c>
      <c r="J2625" t="s">
        <v>126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R2625" t="s">
        <v>127</v>
      </c>
      <c r="S2625" t="str">
        <f t="shared" si="1038"/>
        <v>15:11:49.000</v>
      </c>
      <c r="T2625" t="str">
        <f t="shared" si="1038"/>
        <v>15:11:49.000</v>
      </c>
      <c r="U2625" t="str">
        <f t="shared" si="1015"/>
        <v>A68FCB</v>
      </c>
      <c r="V2625">
        <v>0</v>
      </c>
      <c r="W2625">
        <v>0</v>
      </c>
      <c r="X2625">
        <v>2</v>
      </c>
      <c r="Y2625">
        <v>0</v>
      </c>
      <c r="AA2625">
        <v>1</v>
      </c>
      <c r="AB2625">
        <v>8</v>
      </c>
      <c r="AC2625">
        <v>3</v>
      </c>
      <c r="AD2625">
        <v>0</v>
      </c>
      <c r="AE2625">
        <v>9</v>
      </c>
      <c r="AF2625" t="s">
        <v>138</v>
      </c>
      <c r="AG2625">
        <v>0</v>
      </c>
      <c r="AH2625">
        <v>3</v>
      </c>
      <c r="AI2625">
        <v>2</v>
      </c>
      <c r="AJ2625">
        <v>0</v>
      </c>
      <c r="AK2625" t="s">
        <v>890</v>
      </c>
      <c r="AL2625">
        <v>39.092058999999999</v>
      </c>
      <c r="AM2625" t="s">
        <v>891</v>
      </c>
      <c r="AN2625">
        <v>-121.035883</v>
      </c>
      <c r="AO2625">
        <v>25</v>
      </c>
      <c r="AP2625">
        <v>4500</v>
      </c>
      <c r="AQ2625" t="s">
        <v>131</v>
      </c>
      <c r="AR2625">
        <v>14</v>
      </c>
      <c r="AS2625">
        <v>83</v>
      </c>
      <c r="AT2625">
        <v>-448</v>
      </c>
      <c r="BB2625" t="str">
        <f t="shared" si="1016"/>
        <v>1200</v>
      </c>
      <c r="BC2625">
        <v>1</v>
      </c>
      <c r="BD2625" t="str">
        <f t="shared" si="1017"/>
        <v xml:space="preserve">N52156  </v>
      </c>
      <c r="BE2625">
        <v>1</v>
      </c>
      <c r="BG2625">
        <v>0</v>
      </c>
      <c r="BH2625">
        <v>0</v>
      </c>
      <c r="BI2625">
        <v>0</v>
      </c>
      <c r="BJ2625">
        <v>4600</v>
      </c>
      <c r="BK2625">
        <v>100</v>
      </c>
      <c r="BL2625" t="s">
        <v>188</v>
      </c>
      <c r="BM2625">
        <v>1</v>
      </c>
      <c r="BN2625">
        <v>1</v>
      </c>
      <c r="BO2625">
        <v>0</v>
      </c>
      <c r="BP2625">
        <v>0</v>
      </c>
      <c r="BS2625">
        <v>0</v>
      </c>
      <c r="BT2625">
        <v>0</v>
      </c>
      <c r="BU2625">
        <v>0</v>
      </c>
      <c r="CE2625" t="str">
        <f t="shared" si="1039"/>
        <v>15:11:49.731</v>
      </c>
      <c r="CF2625">
        <v>731224054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5</v>
      </c>
      <c r="CY2625">
        <v>7</v>
      </c>
      <c r="CZ2625" t="s">
        <v>133</v>
      </c>
      <c r="DA2625">
        <v>275</v>
      </c>
      <c r="DB2625">
        <v>0</v>
      </c>
      <c r="DC2625" t="s">
        <v>134</v>
      </c>
      <c r="DD2625" t="s">
        <v>135</v>
      </c>
      <c r="DG2625">
        <v>3321892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"05/01/2025 15:11:49.968"</f>
        <v>05/01/2025 15:11:49.968</v>
      </c>
      <c r="C2626" t="str">
        <f t="shared" ref="C2626:C2689" si="1040">"FFDFD3C0"</f>
        <v>FFDFD3C0</v>
      </c>
      <c r="D2626" t="s">
        <v>145</v>
      </c>
      <c r="E2626" t="str">
        <f>"05"</f>
        <v>05</v>
      </c>
      <c r="H2626">
        <v>47</v>
      </c>
      <c r="I2626" t="s">
        <v>146</v>
      </c>
      <c r="J2626" t="s">
        <v>138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R2626" t="s">
        <v>127</v>
      </c>
      <c r="S2626" t="str">
        <f t="shared" si="1038"/>
        <v>15:11:49.000</v>
      </c>
      <c r="T2626" t="str">
        <f t="shared" si="1038"/>
        <v>15:11:49.000</v>
      </c>
      <c r="U2626" t="str">
        <f t="shared" ref="U2626:U2689" si="1041">"A68FCB"</f>
        <v>A68FCB</v>
      </c>
      <c r="V2626">
        <v>0</v>
      </c>
      <c r="W2626">
        <v>0</v>
      </c>
      <c r="X2626">
        <v>2</v>
      </c>
      <c r="Y2626">
        <v>0</v>
      </c>
      <c r="AA2626">
        <v>1</v>
      </c>
      <c r="AB2626">
        <v>8</v>
      </c>
      <c r="AC2626">
        <v>3</v>
      </c>
      <c r="AD2626">
        <v>0</v>
      </c>
      <c r="AE2626">
        <v>9</v>
      </c>
      <c r="AF2626" t="s">
        <v>138</v>
      </c>
      <c r="AG2626">
        <v>0</v>
      </c>
      <c r="AH2626">
        <v>3</v>
      </c>
      <c r="AI2626">
        <v>2</v>
      </c>
      <c r="AJ2626">
        <v>0</v>
      </c>
      <c r="AK2626" t="s">
        <v>890</v>
      </c>
      <c r="AL2626">
        <v>39.092058999999999</v>
      </c>
      <c r="AM2626" t="s">
        <v>891</v>
      </c>
      <c r="AN2626">
        <v>-121.035883</v>
      </c>
      <c r="AO2626">
        <v>25</v>
      </c>
      <c r="AP2626">
        <v>4500</v>
      </c>
      <c r="AQ2626" t="s">
        <v>131</v>
      </c>
      <c r="AR2626">
        <v>14</v>
      </c>
      <c r="AS2626">
        <v>83</v>
      </c>
      <c r="AT2626">
        <v>-448</v>
      </c>
      <c r="BB2626" t="str">
        <f t="shared" ref="BB2626:BB2689" si="1042">"1200"</f>
        <v>1200</v>
      </c>
      <c r="BC2626">
        <v>1</v>
      </c>
      <c r="BD2626" t="str">
        <f t="shared" ref="BD2626:BD2689" si="1043">"N52156  "</f>
        <v xml:space="preserve">N52156  </v>
      </c>
      <c r="BE2626">
        <v>1</v>
      </c>
      <c r="BG2626">
        <v>0</v>
      </c>
      <c r="BH2626">
        <v>0</v>
      </c>
      <c r="BI2626">
        <v>0</v>
      </c>
      <c r="BJ2626">
        <v>4600</v>
      </c>
      <c r="BK2626">
        <v>100</v>
      </c>
      <c r="BL2626" t="s">
        <v>188</v>
      </c>
      <c r="BM2626">
        <v>1</v>
      </c>
      <c r="BN2626">
        <v>1</v>
      </c>
      <c r="BO2626">
        <v>0</v>
      </c>
      <c r="BP2626">
        <v>0</v>
      </c>
      <c r="BS2626">
        <v>0</v>
      </c>
      <c r="BT2626">
        <v>0</v>
      </c>
      <c r="BU2626">
        <v>0</v>
      </c>
      <c r="CE2626" t="str">
        <f t="shared" si="1039"/>
        <v>15:11:49.731</v>
      </c>
      <c r="CF2626">
        <v>731224054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5</v>
      </c>
      <c r="CY2626">
        <v>7</v>
      </c>
      <c r="CZ2626" t="s">
        <v>133</v>
      </c>
      <c r="DA2626">
        <v>275</v>
      </c>
      <c r="DB2626">
        <v>0</v>
      </c>
      <c r="DC2626" t="s">
        <v>134</v>
      </c>
      <c r="DD2626" t="s">
        <v>135</v>
      </c>
      <c r="DG2626">
        <v>3321892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"05/01/2025 15:11:49.969"</f>
        <v>05/01/2025 15:11:49.969</v>
      </c>
      <c r="C2627" t="str">
        <f t="shared" si="1040"/>
        <v>FFDFD3C0</v>
      </c>
      <c r="D2627" t="s">
        <v>145</v>
      </c>
      <c r="E2627" t="str">
        <f>"09"</f>
        <v>09</v>
      </c>
      <c r="H2627">
        <v>51</v>
      </c>
      <c r="I2627" t="s">
        <v>147</v>
      </c>
      <c r="J2627" t="s">
        <v>138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R2627" t="s">
        <v>127</v>
      </c>
      <c r="S2627" t="str">
        <f t="shared" si="1038"/>
        <v>15:11:49.000</v>
      </c>
      <c r="T2627" t="str">
        <f t="shared" si="1038"/>
        <v>15:11:49.000</v>
      </c>
      <c r="U2627" t="str">
        <f t="shared" si="1041"/>
        <v>A68FCB</v>
      </c>
      <c r="V2627">
        <v>0</v>
      </c>
      <c r="W2627">
        <v>0</v>
      </c>
      <c r="X2627">
        <v>2</v>
      </c>
      <c r="Y2627">
        <v>0</v>
      </c>
      <c r="AA2627">
        <v>1</v>
      </c>
      <c r="AB2627">
        <v>8</v>
      </c>
      <c r="AC2627">
        <v>3</v>
      </c>
      <c r="AD2627">
        <v>0</v>
      </c>
      <c r="AE2627">
        <v>9</v>
      </c>
      <c r="AF2627" t="s">
        <v>138</v>
      </c>
      <c r="AG2627">
        <v>0</v>
      </c>
      <c r="AH2627">
        <v>3</v>
      </c>
      <c r="AI2627">
        <v>2</v>
      </c>
      <c r="AJ2627">
        <v>0</v>
      </c>
      <c r="AK2627" t="s">
        <v>890</v>
      </c>
      <c r="AL2627">
        <v>39.092058999999999</v>
      </c>
      <c r="AM2627" t="s">
        <v>891</v>
      </c>
      <c r="AN2627">
        <v>-121.035883</v>
      </c>
      <c r="AO2627">
        <v>25</v>
      </c>
      <c r="AP2627">
        <v>4500</v>
      </c>
      <c r="AQ2627" t="s">
        <v>131</v>
      </c>
      <c r="AR2627">
        <v>14</v>
      </c>
      <c r="AS2627">
        <v>83</v>
      </c>
      <c r="AT2627">
        <v>-448</v>
      </c>
      <c r="BB2627" t="str">
        <f t="shared" si="1042"/>
        <v>1200</v>
      </c>
      <c r="BC2627">
        <v>1</v>
      </c>
      <c r="BD2627" t="str">
        <f t="shared" si="1043"/>
        <v xml:space="preserve">N52156  </v>
      </c>
      <c r="BE2627">
        <v>1</v>
      </c>
      <c r="BG2627">
        <v>0</v>
      </c>
      <c r="BH2627">
        <v>0</v>
      </c>
      <c r="BI2627">
        <v>0</v>
      </c>
      <c r="BJ2627">
        <v>4600</v>
      </c>
      <c r="BK2627">
        <v>100</v>
      </c>
      <c r="BL2627" t="s">
        <v>188</v>
      </c>
      <c r="BM2627">
        <v>1</v>
      </c>
      <c r="BN2627">
        <v>1</v>
      </c>
      <c r="BO2627">
        <v>0</v>
      </c>
      <c r="BP2627">
        <v>0</v>
      </c>
      <c r="BS2627">
        <v>0</v>
      </c>
      <c r="BT2627">
        <v>0</v>
      </c>
      <c r="BU2627">
        <v>0</v>
      </c>
      <c r="CE2627" t="str">
        <f t="shared" si="1039"/>
        <v>15:11:49.731</v>
      </c>
      <c r="CF2627">
        <v>731224054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5</v>
      </c>
      <c r="CY2627">
        <v>7</v>
      </c>
      <c r="CZ2627" t="s">
        <v>133</v>
      </c>
      <c r="DA2627">
        <v>275</v>
      </c>
      <c r="DB2627">
        <v>0</v>
      </c>
      <c r="DC2627" t="s">
        <v>134</v>
      </c>
      <c r="DD2627" t="s">
        <v>135</v>
      </c>
      <c r="DG2627">
        <v>3321892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"05/01/2025 15:11:49.976"</f>
        <v>05/01/2025 15:11:49.976</v>
      </c>
      <c r="C2628" t="str">
        <f t="shared" si="1040"/>
        <v>FFDFD3C0</v>
      </c>
      <c r="D2628" t="s">
        <v>136</v>
      </c>
      <c r="E2628" t="str">
        <f>"20"</f>
        <v>20</v>
      </c>
      <c r="H2628">
        <v>400</v>
      </c>
      <c r="I2628" t="s">
        <v>137</v>
      </c>
      <c r="J2628" t="s">
        <v>138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R2628" t="s">
        <v>127</v>
      </c>
      <c r="S2628" t="str">
        <f t="shared" si="1038"/>
        <v>15:11:49.000</v>
      </c>
      <c r="T2628" t="str">
        <f t="shared" si="1038"/>
        <v>15:11:49.000</v>
      </c>
      <c r="U2628" t="str">
        <f t="shared" si="1041"/>
        <v>A68FCB</v>
      </c>
      <c r="V2628">
        <v>0</v>
      </c>
      <c r="W2628">
        <v>0</v>
      </c>
      <c r="X2628">
        <v>2</v>
      </c>
      <c r="Y2628">
        <v>0</v>
      </c>
      <c r="AA2628">
        <v>1</v>
      </c>
      <c r="AB2628">
        <v>8</v>
      </c>
      <c r="AC2628">
        <v>3</v>
      </c>
      <c r="AD2628">
        <v>0</v>
      </c>
      <c r="AE2628">
        <v>9</v>
      </c>
      <c r="AF2628" t="s">
        <v>138</v>
      </c>
      <c r="AG2628">
        <v>0</v>
      </c>
      <c r="AH2628">
        <v>3</v>
      </c>
      <c r="AI2628">
        <v>2</v>
      </c>
      <c r="AJ2628">
        <v>0</v>
      </c>
      <c r="AK2628" t="s">
        <v>890</v>
      </c>
      <c r="AL2628">
        <v>39.092058999999999</v>
      </c>
      <c r="AM2628" t="s">
        <v>891</v>
      </c>
      <c r="AN2628">
        <v>-121.035883</v>
      </c>
      <c r="AO2628">
        <v>25</v>
      </c>
      <c r="AP2628">
        <v>4500</v>
      </c>
      <c r="AQ2628" t="s">
        <v>131</v>
      </c>
      <c r="AR2628">
        <v>14</v>
      </c>
      <c r="AS2628">
        <v>83</v>
      </c>
      <c r="AT2628">
        <v>-448</v>
      </c>
      <c r="BB2628" t="str">
        <f t="shared" si="1042"/>
        <v>1200</v>
      </c>
      <c r="BC2628">
        <v>1</v>
      </c>
      <c r="BD2628" t="str">
        <f t="shared" si="1043"/>
        <v xml:space="preserve">N52156  </v>
      </c>
      <c r="BE2628">
        <v>1</v>
      </c>
      <c r="BG2628">
        <v>0</v>
      </c>
      <c r="BH2628">
        <v>0</v>
      </c>
      <c r="BI2628">
        <v>0</v>
      </c>
      <c r="BJ2628">
        <v>4600</v>
      </c>
      <c r="BK2628">
        <v>100</v>
      </c>
      <c r="BL2628" t="s">
        <v>188</v>
      </c>
      <c r="BM2628">
        <v>1</v>
      </c>
      <c r="BN2628">
        <v>1</v>
      </c>
      <c r="BO2628">
        <v>0</v>
      </c>
      <c r="BP2628">
        <v>0</v>
      </c>
      <c r="BS2628">
        <v>0</v>
      </c>
      <c r="BT2628">
        <v>0</v>
      </c>
      <c r="BU2628">
        <v>0</v>
      </c>
      <c r="CE2628" t="str">
        <f t="shared" si="1039"/>
        <v>15:11:49.731</v>
      </c>
      <c r="CF2628">
        <v>731224054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5</v>
      </c>
      <c r="CY2628">
        <v>7</v>
      </c>
      <c r="CZ2628" t="s">
        <v>133</v>
      </c>
      <c r="DA2628">
        <v>275</v>
      </c>
      <c r="DB2628">
        <v>0</v>
      </c>
      <c r="DC2628" t="s">
        <v>134</v>
      </c>
      <c r="DD2628" t="s">
        <v>135</v>
      </c>
      <c r="DG2628">
        <v>3321892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"05/01/2025 15:11:49.984"</f>
        <v>05/01/2025 15:11:49.984</v>
      </c>
      <c r="C2629" t="str">
        <f t="shared" si="1040"/>
        <v>FFDFD3C0</v>
      </c>
      <c r="D2629" t="s">
        <v>143</v>
      </c>
      <c r="E2629" t="str">
        <f>"05"</f>
        <v>05</v>
      </c>
      <c r="H2629">
        <v>172</v>
      </c>
      <c r="I2629" t="s">
        <v>141</v>
      </c>
      <c r="J2629" t="s">
        <v>144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R2629" t="s">
        <v>127</v>
      </c>
      <c r="S2629" t="str">
        <f t="shared" si="1038"/>
        <v>15:11:49.000</v>
      </c>
      <c r="T2629" t="str">
        <f t="shared" si="1038"/>
        <v>15:11:49.000</v>
      </c>
      <c r="U2629" t="str">
        <f t="shared" si="1041"/>
        <v>A68FCB</v>
      </c>
      <c r="V2629">
        <v>0</v>
      </c>
      <c r="W2629">
        <v>0</v>
      </c>
      <c r="X2629">
        <v>2</v>
      </c>
      <c r="Y2629">
        <v>0</v>
      </c>
      <c r="AA2629">
        <v>1</v>
      </c>
      <c r="AB2629">
        <v>8</v>
      </c>
      <c r="AC2629">
        <v>3</v>
      </c>
      <c r="AD2629">
        <v>0</v>
      </c>
      <c r="AE2629">
        <v>9</v>
      </c>
      <c r="AF2629" t="s">
        <v>138</v>
      </c>
      <c r="AG2629">
        <v>0</v>
      </c>
      <c r="AH2629">
        <v>3</v>
      </c>
      <c r="AI2629">
        <v>2</v>
      </c>
      <c r="AJ2629">
        <v>0</v>
      </c>
      <c r="AK2629" t="s">
        <v>890</v>
      </c>
      <c r="AL2629">
        <v>39.092058999999999</v>
      </c>
      <c r="AM2629" t="s">
        <v>891</v>
      </c>
      <c r="AN2629">
        <v>-121.035883</v>
      </c>
      <c r="AO2629">
        <v>25</v>
      </c>
      <c r="AP2629">
        <v>4500</v>
      </c>
      <c r="AQ2629" t="s">
        <v>131</v>
      </c>
      <c r="AR2629">
        <v>14</v>
      </c>
      <c r="AS2629">
        <v>83</v>
      </c>
      <c r="AT2629">
        <v>-448</v>
      </c>
      <c r="BB2629" t="str">
        <f t="shared" si="1042"/>
        <v>1200</v>
      </c>
      <c r="BC2629">
        <v>1</v>
      </c>
      <c r="BD2629" t="str">
        <f t="shared" si="1043"/>
        <v xml:space="preserve">N52156  </v>
      </c>
      <c r="BE2629">
        <v>1</v>
      </c>
      <c r="BG2629">
        <v>0</v>
      </c>
      <c r="BH2629">
        <v>0</v>
      </c>
      <c r="BI2629">
        <v>0</v>
      </c>
      <c r="BJ2629">
        <v>4600</v>
      </c>
      <c r="BK2629">
        <v>100</v>
      </c>
      <c r="BL2629" t="s">
        <v>188</v>
      </c>
      <c r="BM2629">
        <v>1</v>
      </c>
      <c r="BN2629">
        <v>1</v>
      </c>
      <c r="BO2629">
        <v>0</v>
      </c>
      <c r="BP2629">
        <v>0</v>
      </c>
      <c r="BS2629">
        <v>0</v>
      </c>
      <c r="BT2629">
        <v>0</v>
      </c>
      <c r="BU2629">
        <v>0</v>
      </c>
      <c r="CE2629" t="str">
        <f t="shared" si="1039"/>
        <v>15:11:49.731</v>
      </c>
      <c r="CF2629">
        <v>731224054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5</v>
      </c>
      <c r="CY2629">
        <v>7</v>
      </c>
      <c r="CZ2629" t="s">
        <v>133</v>
      </c>
      <c r="DA2629">
        <v>275</v>
      </c>
      <c r="DB2629">
        <v>0</v>
      </c>
      <c r="DC2629" t="s">
        <v>134</v>
      </c>
      <c r="DD2629" t="s">
        <v>135</v>
      </c>
      <c r="DG2629">
        <v>3321892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"05/01/2025 15:11:50.953"</f>
        <v>05/01/2025 15:11:50.953</v>
      </c>
      <c r="C2630" t="str">
        <f t="shared" si="1040"/>
        <v>FFDFD3C0</v>
      </c>
      <c r="D2630" t="s">
        <v>140</v>
      </c>
      <c r="E2630" t="str">
        <f>"13"</f>
        <v>13</v>
      </c>
      <c r="F2630">
        <v>1019</v>
      </c>
      <c r="G2630" t="s">
        <v>141</v>
      </c>
      <c r="J2630" t="s">
        <v>142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R2630" t="s">
        <v>127</v>
      </c>
      <c r="S2630" t="str">
        <f t="shared" ref="S2630:T2635" si="1044">"15:11:50.000"</f>
        <v>15:11:50.000</v>
      </c>
      <c r="T2630" t="str">
        <f t="shared" si="1044"/>
        <v>15:11:50.000</v>
      </c>
      <c r="U2630" t="str">
        <f t="shared" si="1041"/>
        <v>A68FCB</v>
      </c>
      <c r="V2630">
        <v>0</v>
      </c>
      <c r="W2630">
        <v>0</v>
      </c>
      <c r="X2630">
        <v>2</v>
      </c>
      <c r="Y2630">
        <v>0</v>
      </c>
      <c r="AA2630">
        <v>1</v>
      </c>
      <c r="AB2630">
        <v>8</v>
      </c>
      <c r="AC2630">
        <v>3</v>
      </c>
      <c r="AD2630">
        <v>0</v>
      </c>
      <c r="AE2630">
        <v>9</v>
      </c>
      <c r="AF2630" t="s">
        <v>138</v>
      </c>
      <c r="AG2630">
        <v>0</v>
      </c>
      <c r="AH2630">
        <v>3</v>
      </c>
      <c r="AI2630">
        <v>2</v>
      </c>
      <c r="AJ2630">
        <v>0</v>
      </c>
      <c r="AK2630" t="s">
        <v>892</v>
      </c>
      <c r="AL2630">
        <v>39.092444999999998</v>
      </c>
      <c r="AM2630" t="s">
        <v>893</v>
      </c>
      <c r="AN2630">
        <v>-121.035798</v>
      </c>
      <c r="AO2630">
        <v>25</v>
      </c>
      <c r="AP2630">
        <v>4500</v>
      </c>
      <c r="AQ2630" t="s">
        <v>131</v>
      </c>
      <c r="AR2630">
        <v>15</v>
      </c>
      <c r="AS2630">
        <v>82</v>
      </c>
      <c r="AT2630">
        <v>-448</v>
      </c>
      <c r="BB2630" t="str">
        <f t="shared" si="1042"/>
        <v>1200</v>
      </c>
      <c r="BC2630">
        <v>1</v>
      </c>
      <c r="BD2630" t="str">
        <f t="shared" si="1043"/>
        <v xml:space="preserve">N52156  </v>
      </c>
      <c r="BE2630">
        <v>1</v>
      </c>
      <c r="BG2630">
        <v>0</v>
      </c>
      <c r="BH2630">
        <v>0</v>
      </c>
      <c r="BI2630">
        <v>0</v>
      </c>
      <c r="BJ2630">
        <v>4600</v>
      </c>
      <c r="BK2630">
        <v>100</v>
      </c>
      <c r="BL2630" t="s">
        <v>188</v>
      </c>
      <c r="BM2630">
        <v>1</v>
      </c>
      <c r="BN2630">
        <v>1</v>
      </c>
      <c r="BO2630">
        <v>0</v>
      </c>
      <c r="BP2630">
        <v>0</v>
      </c>
      <c r="BS2630">
        <v>0</v>
      </c>
      <c r="BT2630">
        <v>0</v>
      </c>
      <c r="BU2630">
        <v>0</v>
      </c>
      <c r="CE2630" t="str">
        <f t="shared" ref="CE2630:CE2635" si="1045">"15:11:50.735"</f>
        <v>15:11:50.735</v>
      </c>
      <c r="CF2630">
        <v>735224145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5</v>
      </c>
      <c r="CY2630">
        <v>7</v>
      </c>
      <c r="CZ2630" t="s">
        <v>133</v>
      </c>
      <c r="DA2630">
        <v>275</v>
      </c>
      <c r="DB2630">
        <v>0</v>
      </c>
      <c r="DC2630" t="s">
        <v>134</v>
      </c>
      <c r="DD2630" t="s">
        <v>135</v>
      </c>
      <c r="DG2630">
        <v>3321893</v>
      </c>
      <c r="DI2630">
        <v>1</v>
      </c>
      <c r="DJ2630">
        <v>0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"05/01/2025 15:11:50.958"</f>
        <v>05/01/2025 15:11:50.958</v>
      </c>
      <c r="C2631" t="str">
        <f t="shared" si="1040"/>
        <v>FFDFD3C0</v>
      </c>
      <c r="D2631" t="s">
        <v>124</v>
      </c>
      <c r="E2631" t="str">
        <f>"06"</f>
        <v>06</v>
      </c>
      <c r="F2631">
        <v>2006</v>
      </c>
      <c r="G2631" t="s">
        <v>125</v>
      </c>
      <c r="J2631" t="s">
        <v>126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R2631" t="s">
        <v>127</v>
      </c>
      <c r="S2631" t="str">
        <f t="shared" si="1044"/>
        <v>15:11:50.000</v>
      </c>
      <c r="T2631" t="str">
        <f t="shared" si="1044"/>
        <v>15:11:50.000</v>
      </c>
      <c r="U2631" t="str">
        <f t="shared" si="1041"/>
        <v>A68FCB</v>
      </c>
      <c r="V2631">
        <v>0</v>
      </c>
      <c r="W2631">
        <v>0</v>
      </c>
      <c r="X2631">
        <v>2</v>
      </c>
      <c r="Y2631">
        <v>0</v>
      </c>
      <c r="AA2631">
        <v>1</v>
      </c>
      <c r="AB2631">
        <v>8</v>
      </c>
      <c r="AC2631">
        <v>3</v>
      </c>
      <c r="AD2631">
        <v>0</v>
      </c>
      <c r="AE2631">
        <v>9</v>
      </c>
      <c r="AF2631" t="s">
        <v>138</v>
      </c>
      <c r="AG2631">
        <v>0</v>
      </c>
      <c r="AH2631">
        <v>3</v>
      </c>
      <c r="AI2631">
        <v>2</v>
      </c>
      <c r="AJ2631">
        <v>0</v>
      </c>
      <c r="AK2631" t="s">
        <v>892</v>
      </c>
      <c r="AL2631">
        <v>39.092444999999998</v>
      </c>
      <c r="AM2631" t="s">
        <v>893</v>
      </c>
      <c r="AN2631">
        <v>-121.035798</v>
      </c>
      <c r="AO2631">
        <v>25</v>
      </c>
      <c r="AP2631">
        <v>4500</v>
      </c>
      <c r="AQ2631" t="s">
        <v>131</v>
      </c>
      <c r="AR2631">
        <v>15</v>
      </c>
      <c r="AS2631">
        <v>82</v>
      </c>
      <c r="AT2631">
        <v>-448</v>
      </c>
      <c r="BB2631" t="str">
        <f t="shared" si="1042"/>
        <v>1200</v>
      </c>
      <c r="BC2631">
        <v>1</v>
      </c>
      <c r="BD2631" t="str">
        <f t="shared" si="1043"/>
        <v xml:space="preserve">N52156  </v>
      </c>
      <c r="BE2631">
        <v>1</v>
      </c>
      <c r="BG2631">
        <v>0</v>
      </c>
      <c r="BH2631">
        <v>0</v>
      </c>
      <c r="BI2631">
        <v>0</v>
      </c>
      <c r="BJ2631">
        <v>4600</v>
      </c>
      <c r="BK2631">
        <v>100</v>
      </c>
      <c r="BL2631" t="s">
        <v>188</v>
      </c>
      <c r="BM2631">
        <v>1</v>
      </c>
      <c r="BN2631">
        <v>1</v>
      </c>
      <c r="BO2631">
        <v>0</v>
      </c>
      <c r="BP2631">
        <v>0</v>
      </c>
      <c r="BS2631">
        <v>0</v>
      </c>
      <c r="BT2631">
        <v>0</v>
      </c>
      <c r="BU2631">
        <v>0</v>
      </c>
      <c r="CE2631" t="str">
        <f t="shared" si="1045"/>
        <v>15:11:50.735</v>
      </c>
      <c r="CF2631">
        <v>735224145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5</v>
      </c>
      <c r="CY2631">
        <v>7</v>
      </c>
      <c r="CZ2631" t="s">
        <v>133</v>
      </c>
      <c r="DA2631">
        <v>275</v>
      </c>
      <c r="DB2631">
        <v>0</v>
      </c>
      <c r="DC2631" t="s">
        <v>134</v>
      </c>
      <c r="DD2631" t="s">
        <v>135</v>
      </c>
      <c r="DG2631">
        <v>3321893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"05/01/2025 15:11:50.970"</f>
        <v>05/01/2025 15:11:50.970</v>
      </c>
      <c r="C2632" t="str">
        <f t="shared" si="1040"/>
        <v>FFDFD3C0</v>
      </c>
      <c r="D2632" t="s">
        <v>145</v>
      </c>
      <c r="E2632" t="str">
        <f>"05"</f>
        <v>05</v>
      </c>
      <c r="H2632">
        <v>47</v>
      </c>
      <c r="I2632" t="s">
        <v>146</v>
      </c>
      <c r="J2632" t="s">
        <v>138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R2632" t="s">
        <v>127</v>
      </c>
      <c r="S2632" t="str">
        <f t="shared" si="1044"/>
        <v>15:11:50.000</v>
      </c>
      <c r="T2632" t="str">
        <f t="shared" si="1044"/>
        <v>15:11:50.000</v>
      </c>
      <c r="U2632" t="str">
        <f t="shared" si="1041"/>
        <v>A68FCB</v>
      </c>
      <c r="V2632">
        <v>0</v>
      </c>
      <c r="W2632">
        <v>0</v>
      </c>
      <c r="X2632">
        <v>2</v>
      </c>
      <c r="Y2632">
        <v>0</v>
      </c>
      <c r="AA2632">
        <v>1</v>
      </c>
      <c r="AB2632">
        <v>8</v>
      </c>
      <c r="AC2632">
        <v>3</v>
      </c>
      <c r="AD2632">
        <v>0</v>
      </c>
      <c r="AE2632">
        <v>9</v>
      </c>
      <c r="AF2632" t="s">
        <v>138</v>
      </c>
      <c r="AG2632">
        <v>0</v>
      </c>
      <c r="AH2632">
        <v>3</v>
      </c>
      <c r="AI2632">
        <v>2</v>
      </c>
      <c r="AJ2632">
        <v>0</v>
      </c>
      <c r="AK2632" t="s">
        <v>892</v>
      </c>
      <c r="AL2632">
        <v>39.092444999999998</v>
      </c>
      <c r="AM2632" t="s">
        <v>893</v>
      </c>
      <c r="AN2632">
        <v>-121.035798</v>
      </c>
      <c r="AO2632">
        <v>25</v>
      </c>
      <c r="AP2632">
        <v>4500</v>
      </c>
      <c r="AQ2632" t="s">
        <v>131</v>
      </c>
      <c r="AR2632">
        <v>15</v>
      </c>
      <c r="AS2632">
        <v>82</v>
      </c>
      <c r="AT2632">
        <v>-448</v>
      </c>
      <c r="BB2632" t="str">
        <f t="shared" si="1042"/>
        <v>1200</v>
      </c>
      <c r="BC2632">
        <v>1</v>
      </c>
      <c r="BD2632" t="str">
        <f t="shared" si="1043"/>
        <v xml:space="preserve">N52156  </v>
      </c>
      <c r="BE2632">
        <v>1</v>
      </c>
      <c r="BG2632">
        <v>0</v>
      </c>
      <c r="BH2632">
        <v>0</v>
      </c>
      <c r="BI2632">
        <v>0</v>
      </c>
      <c r="BJ2632">
        <v>4600</v>
      </c>
      <c r="BK2632">
        <v>100</v>
      </c>
      <c r="BL2632" t="s">
        <v>188</v>
      </c>
      <c r="BM2632">
        <v>1</v>
      </c>
      <c r="BN2632">
        <v>1</v>
      </c>
      <c r="BO2632">
        <v>0</v>
      </c>
      <c r="BP2632">
        <v>0</v>
      </c>
      <c r="BS2632">
        <v>0</v>
      </c>
      <c r="BT2632">
        <v>0</v>
      </c>
      <c r="BU2632">
        <v>0</v>
      </c>
      <c r="CE2632" t="str">
        <f t="shared" si="1045"/>
        <v>15:11:50.735</v>
      </c>
      <c r="CF2632">
        <v>735224145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5</v>
      </c>
      <c r="CY2632">
        <v>7</v>
      </c>
      <c r="CZ2632" t="s">
        <v>133</v>
      </c>
      <c r="DA2632">
        <v>275</v>
      </c>
      <c r="DB2632">
        <v>0</v>
      </c>
      <c r="DC2632" t="s">
        <v>134</v>
      </c>
      <c r="DD2632" t="s">
        <v>135</v>
      </c>
      <c r="DG2632">
        <v>3321893</v>
      </c>
      <c r="DI2632">
        <v>1</v>
      </c>
      <c r="DJ2632">
        <v>0</v>
      </c>
      <c r="DK2632">
        <v>1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"05/01/2025 15:11:50.971"</f>
        <v>05/01/2025 15:11:50.971</v>
      </c>
      <c r="C2633" t="str">
        <f t="shared" si="1040"/>
        <v>FFDFD3C0</v>
      </c>
      <c r="D2633" t="s">
        <v>145</v>
      </c>
      <c r="E2633" t="str">
        <f>"09"</f>
        <v>09</v>
      </c>
      <c r="H2633">
        <v>51</v>
      </c>
      <c r="I2633" t="s">
        <v>147</v>
      </c>
      <c r="J2633" t="s">
        <v>138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R2633" t="s">
        <v>127</v>
      </c>
      <c r="S2633" t="str">
        <f t="shared" si="1044"/>
        <v>15:11:50.000</v>
      </c>
      <c r="T2633" t="str">
        <f t="shared" si="1044"/>
        <v>15:11:50.000</v>
      </c>
      <c r="U2633" t="str">
        <f t="shared" si="1041"/>
        <v>A68FCB</v>
      </c>
      <c r="V2633">
        <v>0</v>
      </c>
      <c r="W2633">
        <v>0</v>
      </c>
      <c r="X2633">
        <v>2</v>
      </c>
      <c r="Y2633">
        <v>0</v>
      </c>
      <c r="AA2633">
        <v>1</v>
      </c>
      <c r="AB2633">
        <v>8</v>
      </c>
      <c r="AC2633">
        <v>3</v>
      </c>
      <c r="AD2633">
        <v>0</v>
      </c>
      <c r="AE2633">
        <v>9</v>
      </c>
      <c r="AF2633" t="s">
        <v>138</v>
      </c>
      <c r="AG2633">
        <v>0</v>
      </c>
      <c r="AH2633">
        <v>3</v>
      </c>
      <c r="AI2633">
        <v>2</v>
      </c>
      <c r="AJ2633">
        <v>0</v>
      </c>
      <c r="AK2633" t="s">
        <v>892</v>
      </c>
      <c r="AL2633">
        <v>39.092444999999998</v>
      </c>
      <c r="AM2633" t="s">
        <v>893</v>
      </c>
      <c r="AN2633">
        <v>-121.035798</v>
      </c>
      <c r="AO2633">
        <v>25</v>
      </c>
      <c r="AP2633">
        <v>4500</v>
      </c>
      <c r="AQ2633" t="s">
        <v>131</v>
      </c>
      <c r="AR2633">
        <v>15</v>
      </c>
      <c r="AS2633">
        <v>82</v>
      </c>
      <c r="AT2633">
        <v>-448</v>
      </c>
      <c r="BB2633" t="str">
        <f t="shared" si="1042"/>
        <v>1200</v>
      </c>
      <c r="BC2633">
        <v>1</v>
      </c>
      <c r="BD2633" t="str">
        <f t="shared" si="1043"/>
        <v xml:space="preserve">N52156  </v>
      </c>
      <c r="BE2633">
        <v>1</v>
      </c>
      <c r="BG2633">
        <v>0</v>
      </c>
      <c r="BH2633">
        <v>0</v>
      </c>
      <c r="BI2633">
        <v>0</v>
      </c>
      <c r="BJ2633">
        <v>4600</v>
      </c>
      <c r="BK2633">
        <v>100</v>
      </c>
      <c r="BL2633" t="s">
        <v>188</v>
      </c>
      <c r="BM2633">
        <v>1</v>
      </c>
      <c r="BN2633">
        <v>1</v>
      </c>
      <c r="BO2633">
        <v>0</v>
      </c>
      <c r="BP2633">
        <v>0</v>
      </c>
      <c r="BS2633">
        <v>0</v>
      </c>
      <c r="BT2633">
        <v>0</v>
      </c>
      <c r="BU2633">
        <v>0</v>
      </c>
      <c r="CE2633" t="str">
        <f t="shared" si="1045"/>
        <v>15:11:50.735</v>
      </c>
      <c r="CF2633">
        <v>735224145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5</v>
      </c>
      <c r="CY2633">
        <v>7</v>
      </c>
      <c r="CZ2633" t="s">
        <v>133</v>
      </c>
      <c r="DA2633">
        <v>275</v>
      </c>
      <c r="DB2633">
        <v>0</v>
      </c>
      <c r="DC2633" t="s">
        <v>134</v>
      </c>
      <c r="DD2633" t="s">
        <v>135</v>
      </c>
      <c r="DG2633">
        <v>3321893</v>
      </c>
      <c r="DI2633">
        <v>1</v>
      </c>
      <c r="DJ2633">
        <v>0</v>
      </c>
      <c r="DK2633">
        <v>1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"05/01/2025 15:11:50.977"</f>
        <v>05/01/2025 15:11:50.977</v>
      </c>
      <c r="C2634" t="str">
        <f t="shared" si="1040"/>
        <v>FFDFD3C0</v>
      </c>
      <c r="D2634" t="s">
        <v>136</v>
      </c>
      <c r="E2634" t="str">
        <f>"20"</f>
        <v>20</v>
      </c>
      <c r="H2634">
        <v>400</v>
      </c>
      <c r="I2634" t="s">
        <v>137</v>
      </c>
      <c r="J2634" t="s">
        <v>138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R2634" t="s">
        <v>127</v>
      </c>
      <c r="S2634" t="str">
        <f t="shared" si="1044"/>
        <v>15:11:50.000</v>
      </c>
      <c r="T2634" t="str">
        <f t="shared" si="1044"/>
        <v>15:11:50.000</v>
      </c>
      <c r="U2634" t="str">
        <f t="shared" si="1041"/>
        <v>A68FCB</v>
      </c>
      <c r="V2634">
        <v>0</v>
      </c>
      <c r="W2634">
        <v>0</v>
      </c>
      <c r="X2634">
        <v>2</v>
      </c>
      <c r="Y2634">
        <v>0</v>
      </c>
      <c r="AA2634">
        <v>1</v>
      </c>
      <c r="AB2634">
        <v>8</v>
      </c>
      <c r="AC2634">
        <v>3</v>
      </c>
      <c r="AD2634">
        <v>0</v>
      </c>
      <c r="AE2634">
        <v>9</v>
      </c>
      <c r="AF2634" t="s">
        <v>138</v>
      </c>
      <c r="AG2634">
        <v>0</v>
      </c>
      <c r="AH2634">
        <v>3</v>
      </c>
      <c r="AI2634">
        <v>2</v>
      </c>
      <c r="AJ2634">
        <v>0</v>
      </c>
      <c r="AK2634" t="s">
        <v>892</v>
      </c>
      <c r="AL2634">
        <v>39.092444999999998</v>
      </c>
      <c r="AM2634" t="s">
        <v>893</v>
      </c>
      <c r="AN2634">
        <v>-121.035798</v>
      </c>
      <c r="AO2634">
        <v>25</v>
      </c>
      <c r="AP2634">
        <v>4500</v>
      </c>
      <c r="AQ2634" t="s">
        <v>131</v>
      </c>
      <c r="AR2634">
        <v>15</v>
      </c>
      <c r="AS2634">
        <v>82</v>
      </c>
      <c r="AT2634">
        <v>-448</v>
      </c>
      <c r="BB2634" t="str">
        <f t="shared" si="1042"/>
        <v>1200</v>
      </c>
      <c r="BC2634">
        <v>1</v>
      </c>
      <c r="BD2634" t="str">
        <f t="shared" si="1043"/>
        <v xml:space="preserve">N52156  </v>
      </c>
      <c r="BE2634">
        <v>1</v>
      </c>
      <c r="BG2634">
        <v>0</v>
      </c>
      <c r="BH2634">
        <v>0</v>
      </c>
      <c r="BI2634">
        <v>0</v>
      </c>
      <c r="BJ2634">
        <v>4600</v>
      </c>
      <c r="BK2634">
        <v>100</v>
      </c>
      <c r="BL2634" t="s">
        <v>188</v>
      </c>
      <c r="BM2634">
        <v>1</v>
      </c>
      <c r="BN2634">
        <v>1</v>
      </c>
      <c r="BO2634">
        <v>0</v>
      </c>
      <c r="BP2634">
        <v>0</v>
      </c>
      <c r="BS2634">
        <v>0</v>
      </c>
      <c r="BT2634">
        <v>0</v>
      </c>
      <c r="BU2634">
        <v>0</v>
      </c>
      <c r="CE2634" t="str">
        <f t="shared" si="1045"/>
        <v>15:11:50.735</v>
      </c>
      <c r="CF2634">
        <v>735224145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5</v>
      </c>
      <c r="CY2634">
        <v>7</v>
      </c>
      <c r="CZ2634" t="s">
        <v>133</v>
      </c>
      <c r="DA2634">
        <v>275</v>
      </c>
      <c r="DB2634">
        <v>0</v>
      </c>
      <c r="DC2634" t="s">
        <v>134</v>
      </c>
      <c r="DD2634" t="s">
        <v>135</v>
      </c>
      <c r="DG2634">
        <v>3321893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"05/01/2025 15:11:50.986"</f>
        <v>05/01/2025 15:11:50.986</v>
      </c>
      <c r="C2635" t="str">
        <f t="shared" si="1040"/>
        <v>FFDFD3C0</v>
      </c>
      <c r="D2635" t="s">
        <v>143</v>
      </c>
      <c r="E2635" t="str">
        <f>"05"</f>
        <v>05</v>
      </c>
      <c r="H2635">
        <v>172</v>
      </c>
      <c r="I2635" t="s">
        <v>141</v>
      </c>
      <c r="J2635" t="s">
        <v>144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R2635" t="s">
        <v>127</v>
      </c>
      <c r="S2635" t="str">
        <f t="shared" si="1044"/>
        <v>15:11:50.000</v>
      </c>
      <c r="T2635" t="str">
        <f t="shared" si="1044"/>
        <v>15:11:50.000</v>
      </c>
      <c r="U2635" t="str">
        <f t="shared" si="1041"/>
        <v>A68FCB</v>
      </c>
      <c r="V2635">
        <v>0</v>
      </c>
      <c r="W2635">
        <v>0</v>
      </c>
      <c r="X2635">
        <v>2</v>
      </c>
      <c r="Y2635">
        <v>0</v>
      </c>
      <c r="AA2635">
        <v>1</v>
      </c>
      <c r="AB2635">
        <v>8</v>
      </c>
      <c r="AC2635">
        <v>3</v>
      </c>
      <c r="AD2635">
        <v>0</v>
      </c>
      <c r="AE2635">
        <v>9</v>
      </c>
      <c r="AF2635" t="s">
        <v>138</v>
      </c>
      <c r="AG2635">
        <v>0</v>
      </c>
      <c r="AH2635">
        <v>3</v>
      </c>
      <c r="AI2635">
        <v>2</v>
      </c>
      <c r="AJ2635">
        <v>0</v>
      </c>
      <c r="AK2635" t="s">
        <v>892</v>
      </c>
      <c r="AL2635">
        <v>39.092444999999998</v>
      </c>
      <c r="AM2635" t="s">
        <v>893</v>
      </c>
      <c r="AN2635">
        <v>-121.035798</v>
      </c>
      <c r="AO2635">
        <v>25</v>
      </c>
      <c r="AP2635">
        <v>4500</v>
      </c>
      <c r="AQ2635" t="s">
        <v>131</v>
      </c>
      <c r="AR2635">
        <v>15</v>
      </c>
      <c r="AS2635">
        <v>82</v>
      </c>
      <c r="AT2635">
        <v>-448</v>
      </c>
      <c r="BB2635" t="str">
        <f t="shared" si="1042"/>
        <v>1200</v>
      </c>
      <c r="BC2635">
        <v>1</v>
      </c>
      <c r="BD2635" t="str">
        <f t="shared" si="1043"/>
        <v xml:space="preserve">N52156  </v>
      </c>
      <c r="BE2635">
        <v>1</v>
      </c>
      <c r="BG2635">
        <v>0</v>
      </c>
      <c r="BH2635">
        <v>0</v>
      </c>
      <c r="BI2635">
        <v>0</v>
      </c>
      <c r="BJ2635">
        <v>4600</v>
      </c>
      <c r="BK2635">
        <v>100</v>
      </c>
      <c r="BL2635" t="s">
        <v>188</v>
      </c>
      <c r="BM2635">
        <v>1</v>
      </c>
      <c r="BN2635">
        <v>1</v>
      </c>
      <c r="BO2635">
        <v>0</v>
      </c>
      <c r="BP2635">
        <v>0</v>
      </c>
      <c r="BS2635">
        <v>0</v>
      </c>
      <c r="BT2635">
        <v>0</v>
      </c>
      <c r="BU2635">
        <v>0</v>
      </c>
      <c r="CE2635" t="str">
        <f t="shared" si="1045"/>
        <v>15:11:50.735</v>
      </c>
      <c r="CF2635">
        <v>735224145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5</v>
      </c>
      <c r="CY2635">
        <v>7</v>
      </c>
      <c r="CZ2635" t="s">
        <v>133</v>
      </c>
      <c r="DA2635">
        <v>275</v>
      </c>
      <c r="DB2635">
        <v>0</v>
      </c>
      <c r="DC2635" t="s">
        <v>134</v>
      </c>
      <c r="DD2635" t="s">
        <v>135</v>
      </c>
      <c r="DG2635">
        <v>3321893</v>
      </c>
      <c r="DI2635">
        <v>1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"05/01/2025 15:11:52.037"</f>
        <v>05/01/2025 15:11:52.037</v>
      </c>
      <c r="C2636" t="str">
        <f t="shared" si="1040"/>
        <v>FFDFD3C0</v>
      </c>
      <c r="D2636" t="s">
        <v>143</v>
      </c>
      <c r="E2636" t="str">
        <f>"05"</f>
        <v>05</v>
      </c>
      <c r="H2636">
        <v>172</v>
      </c>
      <c r="I2636" t="s">
        <v>141</v>
      </c>
      <c r="J2636" t="s">
        <v>144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R2636" t="s">
        <v>127</v>
      </c>
      <c r="S2636" t="str">
        <f t="shared" ref="S2636:T2641" si="1046">"15:11:51.000"</f>
        <v>15:11:51.000</v>
      </c>
      <c r="T2636" t="str">
        <f t="shared" si="1046"/>
        <v>15:11:51.000</v>
      </c>
      <c r="U2636" t="str">
        <f t="shared" si="1041"/>
        <v>A68FCB</v>
      </c>
      <c r="V2636">
        <v>0</v>
      </c>
      <c r="W2636">
        <v>0</v>
      </c>
      <c r="X2636">
        <v>2</v>
      </c>
      <c r="Y2636">
        <v>0</v>
      </c>
      <c r="AA2636">
        <v>1</v>
      </c>
      <c r="AB2636">
        <v>8</v>
      </c>
      <c r="AC2636">
        <v>3</v>
      </c>
      <c r="AD2636">
        <v>0</v>
      </c>
      <c r="AE2636">
        <v>9</v>
      </c>
      <c r="AF2636" t="s">
        <v>138</v>
      </c>
      <c r="AG2636">
        <v>0</v>
      </c>
      <c r="AH2636">
        <v>3</v>
      </c>
      <c r="AI2636">
        <v>2</v>
      </c>
      <c r="AJ2636">
        <v>0</v>
      </c>
      <c r="AK2636" t="s">
        <v>894</v>
      </c>
      <c r="AL2636">
        <v>39.092832000000001</v>
      </c>
      <c r="AM2636" t="s">
        <v>895</v>
      </c>
      <c r="AN2636">
        <v>-121.03569</v>
      </c>
      <c r="AO2636">
        <v>25</v>
      </c>
      <c r="AP2636">
        <v>4500</v>
      </c>
      <c r="AQ2636" t="s">
        <v>131</v>
      </c>
      <c r="AR2636">
        <v>15</v>
      </c>
      <c r="AS2636">
        <v>81</v>
      </c>
      <c r="AT2636">
        <v>-512</v>
      </c>
      <c r="BB2636" t="str">
        <f t="shared" si="1042"/>
        <v>1200</v>
      </c>
      <c r="BC2636">
        <v>1</v>
      </c>
      <c r="BD2636" t="str">
        <f t="shared" si="1043"/>
        <v xml:space="preserve">N52156  </v>
      </c>
      <c r="BE2636">
        <v>1</v>
      </c>
      <c r="BG2636">
        <v>0</v>
      </c>
      <c r="BH2636">
        <v>0</v>
      </c>
      <c r="BI2636">
        <v>0</v>
      </c>
      <c r="BJ2636">
        <v>4575</v>
      </c>
      <c r="BK2636">
        <v>75</v>
      </c>
      <c r="BL2636" t="s">
        <v>188</v>
      </c>
      <c r="BM2636">
        <v>1</v>
      </c>
      <c r="BN2636">
        <v>1</v>
      </c>
      <c r="BO2636">
        <v>0</v>
      </c>
      <c r="BP2636">
        <v>0</v>
      </c>
      <c r="BS2636">
        <v>0</v>
      </c>
      <c r="BT2636">
        <v>0</v>
      </c>
      <c r="BU2636">
        <v>0</v>
      </c>
      <c r="CE2636" t="str">
        <f t="shared" ref="CE2636:CE2641" si="1047">"15:11:51.839"</f>
        <v>15:11:51.839</v>
      </c>
      <c r="CF2636">
        <v>838974466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5</v>
      </c>
      <c r="CY2636">
        <v>7</v>
      </c>
      <c r="CZ2636" t="s">
        <v>133</v>
      </c>
      <c r="DA2636">
        <v>275</v>
      </c>
      <c r="DB2636">
        <v>0</v>
      </c>
      <c r="DC2636" t="s">
        <v>134</v>
      </c>
      <c r="DD2636" t="s">
        <v>135</v>
      </c>
      <c r="DG2636">
        <v>3321895</v>
      </c>
      <c r="DI2636">
        <v>1</v>
      </c>
      <c r="DJ2636">
        <v>0</v>
      </c>
      <c r="DK2636">
        <v>0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"05/01/2025 15:11:52.055"</f>
        <v>05/01/2025 15:11:52.055</v>
      </c>
      <c r="C2637" t="str">
        <f t="shared" si="1040"/>
        <v>FFDFD3C0</v>
      </c>
      <c r="D2637" t="s">
        <v>140</v>
      </c>
      <c r="E2637" t="str">
        <f>"13"</f>
        <v>13</v>
      </c>
      <c r="F2637">
        <v>1019</v>
      </c>
      <c r="G2637" t="s">
        <v>141</v>
      </c>
      <c r="J2637" t="s">
        <v>142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R2637" t="s">
        <v>127</v>
      </c>
      <c r="S2637" t="str">
        <f t="shared" si="1046"/>
        <v>15:11:51.000</v>
      </c>
      <c r="T2637" t="str">
        <f t="shared" si="1046"/>
        <v>15:11:51.000</v>
      </c>
      <c r="U2637" t="str">
        <f t="shared" si="1041"/>
        <v>A68FCB</v>
      </c>
      <c r="V2637">
        <v>0</v>
      </c>
      <c r="W2637">
        <v>0</v>
      </c>
      <c r="X2637">
        <v>2</v>
      </c>
      <c r="Y2637">
        <v>0</v>
      </c>
      <c r="AA2637">
        <v>1</v>
      </c>
      <c r="AB2637">
        <v>8</v>
      </c>
      <c r="AC2637">
        <v>3</v>
      </c>
      <c r="AD2637">
        <v>0</v>
      </c>
      <c r="AE2637">
        <v>9</v>
      </c>
      <c r="AF2637" t="s">
        <v>138</v>
      </c>
      <c r="AG2637">
        <v>0</v>
      </c>
      <c r="AH2637">
        <v>3</v>
      </c>
      <c r="AI2637">
        <v>2</v>
      </c>
      <c r="AJ2637">
        <v>0</v>
      </c>
      <c r="AK2637" t="s">
        <v>894</v>
      </c>
      <c r="AL2637">
        <v>39.092832000000001</v>
      </c>
      <c r="AM2637" t="s">
        <v>895</v>
      </c>
      <c r="AN2637">
        <v>-121.03569</v>
      </c>
      <c r="AO2637">
        <v>25</v>
      </c>
      <c r="AP2637">
        <v>4500</v>
      </c>
      <c r="AQ2637" t="s">
        <v>131</v>
      </c>
      <c r="AR2637">
        <v>15</v>
      </c>
      <c r="AS2637">
        <v>81</v>
      </c>
      <c r="AT2637">
        <v>-512</v>
      </c>
      <c r="BB2637" t="str">
        <f t="shared" si="1042"/>
        <v>1200</v>
      </c>
      <c r="BC2637">
        <v>1</v>
      </c>
      <c r="BD2637" t="str">
        <f t="shared" si="1043"/>
        <v xml:space="preserve">N52156  </v>
      </c>
      <c r="BE2637">
        <v>1</v>
      </c>
      <c r="BG2637">
        <v>0</v>
      </c>
      <c r="BH2637">
        <v>0</v>
      </c>
      <c r="BI2637">
        <v>0</v>
      </c>
      <c r="BJ2637">
        <v>4575</v>
      </c>
      <c r="BK2637">
        <v>75</v>
      </c>
      <c r="BL2637" t="s">
        <v>188</v>
      </c>
      <c r="BM2637">
        <v>1</v>
      </c>
      <c r="BN2637">
        <v>1</v>
      </c>
      <c r="BO2637">
        <v>0</v>
      </c>
      <c r="BP2637">
        <v>0</v>
      </c>
      <c r="BS2637">
        <v>0</v>
      </c>
      <c r="BT2637">
        <v>0</v>
      </c>
      <c r="BU2637">
        <v>0</v>
      </c>
      <c r="CE2637" t="str">
        <f t="shared" si="1047"/>
        <v>15:11:51.839</v>
      </c>
      <c r="CF2637">
        <v>838974466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5</v>
      </c>
      <c r="CY2637">
        <v>7</v>
      </c>
      <c r="CZ2637" t="s">
        <v>133</v>
      </c>
      <c r="DA2637">
        <v>275</v>
      </c>
      <c r="DB2637">
        <v>0</v>
      </c>
      <c r="DC2637" t="s">
        <v>134</v>
      </c>
      <c r="DD2637" t="s">
        <v>135</v>
      </c>
      <c r="DG2637">
        <v>3321895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"05/01/2025 15:11:52.060"</f>
        <v>05/01/2025 15:11:52.060</v>
      </c>
      <c r="C2638" t="str">
        <f t="shared" si="1040"/>
        <v>FFDFD3C0</v>
      </c>
      <c r="D2638" t="s">
        <v>124</v>
      </c>
      <c r="E2638" t="str">
        <f>"06"</f>
        <v>06</v>
      </c>
      <c r="F2638">
        <v>2006</v>
      </c>
      <c r="G2638" t="s">
        <v>125</v>
      </c>
      <c r="J2638" t="s">
        <v>126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R2638" t="s">
        <v>127</v>
      </c>
      <c r="S2638" t="str">
        <f t="shared" si="1046"/>
        <v>15:11:51.000</v>
      </c>
      <c r="T2638" t="str">
        <f t="shared" si="1046"/>
        <v>15:11:51.000</v>
      </c>
      <c r="U2638" t="str">
        <f t="shared" si="1041"/>
        <v>A68FCB</v>
      </c>
      <c r="V2638">
        <v>0</v>
      </c>
      <c r="W2638">
        <v>0</v>
      </c>
      <c r="X2638">
        <v>2</v>
      </c>
      <c r="Y2638">
        <v>0</v>
      </c>
      <c r="AA2638">
        <v>1</v>
      </c>
      <c r="AB2638">
        <v>8</v>
      </c>
      <c r="AC2638">
        <v>3</v>
      </c>
      <c r="AD2638">
        <v>0</v>
      </c>
      <c r="AE2638">
        <v>9</v>
      </c>
      <c r="AF2638" t="s">
        <v>138</v>
      </c>
      <c r="AG2638">
        <v>0</v>
      </c>
      <c r="AH2638">
        <v>3</v>
      </c>
      <c r="AI2638">
        <v>2</v>
      </c>
      <c r="AJ2638">
        <v>0</v>
      </c>
      <c r="AK2638" t="s">
        <v>894</v>
      </c>
      <c r="AL2638">
        <v>39.092832000000001</v>
      </c>
      <c r="AM2638" t="s">
        <v>895</v>
      </c>
      <c r="AN2638">
        <v>-121.03569</v>
      </c>
      <c r="AO2638">
        <v>25</v>
      </c>
      <c r="AP2638">
        <v>4500</v>
      </c>
      <c r="AQ2638" t="s">
        <v>131</v>
      </c>
      <c r="AR2638">
        <v>15</v>
      </c>
      <c r="AS2638">
        <v>81</v>
      </c>
      <c r="AT2638">
        <v>-512</v>
      </c>
      <c r="BB2638" t="str">
        <f t="shared" si="1042"/>
        <v>1200</v>
      </c>
      <c r="BC2638">
        <v>1</v>
      </c>
      <c r="BD2638" t="str">
        <f t="shared" si="1043"/>
        <v xml:space="preserve">N52156  </v>
      </c>
      <c r="BE2638">
        <v>1</v>
      </c>
      <c r="BG2638">
        <v>0</v>
      </c>
      <c r="BH2638">
        <v>0</v>
      </c>
      <c r="BI2638">
        <v>0</v>
      </c>
      <c r="BJ2638">
        <v>4575</v>
      </c>
      <c r="BK2638">
        <v>75</v>
      </c>
      <c r="BL2638" t="s">
        <v>188</v>
      </c>
      <c r="BM2638">
        <v>1</v>
      </c>
      <c r="BN2638">
        <v>1</v>
      </c>
      <c r="BO2638">
        <v>0</v>
      </c>
      <c r="BP2638">
        <v>0</v>
      </c>
      <c r="BS2638">
        <v>0</v>
      </c>
      <c r="BT2638">
        <v>0</v>
      </c>
      <c r="BU2638">
        <v>0</v>
      </c>
      <c r="CE2638" t="str">
        <f t="shared" si="1047"/>
        <v>15:11:51.839</v>
      </c>
      <c r="CF2638">
        <v>838974466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5</v>
      </c>
      <c r="CY2638">
        <v>7</v>
      </c>
      <c r="CZ2638" t="s">
        <v>133</v>
      </c>
      <c r="DA2638">
        <v>275</v>
      </c>
      <c r="DB2638">
        <v>0</v>
      </c>
      <c r="DC2638" t="s">
        <v>134</v>
      </c>
      <c r="DD2638" t="s">
        <v>135</v>
      </c>
      <c r="DG2638">
        <v>3321895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>"05/01/2025 15:11:52.071"</f>
        <v>05/01/2025 15:11:52.071</v>
      </c>
      <c r="C2639" t="str">
        <f t="shared" si="1040"/>
        <v>FFDFD3C0</v>
      </c>
      <c r="D2639" t="s">
        <v>145</v>
      </c>
      <c r="E2639" t="str">
        <f>"05"</f>
        <v>05</v>
      </c>
      <c r="H2639">
        <v>47</v>
      </c>
      <c r="I2639" t="s">
        <v>146</v>
      </c>
      <c r="J2639" t="s">
        <v>138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R2639" t="s">
        <v>127</v>
      </c>
      <c r="S2639" t="str">
        <f t="shared" si="1046"/>
        <v>15:11:51.000</v>
      </c>
      <c r="T2639" t="str">
        <f t="shared" si="1046"/>
        <v>15:11:51.000</v>
      </c>
      <c r="U2639" t="str">
        <f t="shared" si="1041"/>
        <v>A68FCB</v>
      </c>
      <c r="V2639">
        <v>0</v>
      </c>
      <c r="W2639">
        <v>0</v>
      </c>
      <c r="X2639">
        <v>2</v>
      </c>
      <c r="Y2639">
        <v>0</v>
      </c>
      <c r="AA2639">
        <v>1</v>
      </c>
      <c r="AB2639">
        <v>8</v>
      </c>
      <c r="AC2639">
        <v>3</v>
      </c>
      <c r="AD2639">
        <v>0</v>
      </c>
      <c r="AE2639">
        <v>9</v>
      </c>
      <c r="AF2639" t="s">
        <v>138</v>
      </c>
      <c r="AG2639">
        <v>0</v>
      </c>
      <c r="AH2639">
        <v>3</v>
      </c>
      <c r="AI2639">
        <v>2</v>
      </c>
      <c r="AJ2639">
        <v>0</v>
      </c>
      <c r="AK2639" t="s">
        <v>894</v>
      </c>
      <c r="AL2639">
        <v>39.092832000000001</v>
      </c>
      <c r="AM2639" t="s">
        <v>895</v>
      </c>
      <c r="AN2639">
        <v>-121.03569</v>
      </c>
      <c r="AO2639">
        <v>25</v>
      </c>
      <c r="AP2639">
        <v>4500</v>
      </c>
      <c r="AQ2639" t="s">
        <v>131</v>
      </c>
      <c r="AR2639">
        <v>15</v>
      </c>
      <c r="AS2639">
        <v>81</v>
      </c>
      <c r="AT2639">
        <v>-512</v>
      </c>
      <c r="BB2639" t="str">
        <f t="shared" si="1042"/>
        <v>1200</v>
      </c>
      <c r="BC2639">
        <v>1</v>
      </c>
      <c r="BD2639" t="str">
        <f t="shared" si="1043"/>
        <v xml:space="preserve">N52156  </v>
      </c>
      <c r="BE2639">
        <v>1</v>
      </c>
      <c r="BG2639">
        <v>0</v>
      </c>
      <c r="BH2639">
        <v>0</v>
      </c>
      <c r="BI2639">
        <v>0</v>
      </c>
      <c r="BJ2639">
        <v>4575</v>
      </c>
      <c r="BK2639">
        <v>75</v>
      </c>
      <c r="BL2639" t="s">
        <v>188</v>
      </c>
      <c r="BM2639">
        <v>1</v>
      </c>
      <c r="BN2639">
        <v>1</v>
      </c>
      <c r="BO2639">
        <v>0</v>
      </c>
      <c r="BP2639">
        <v>0</v>
      </c>
      <c r="BS2639">
        <v>0</v>
      </c>
      <c r="BT2639">
        <v>0</v>
      </c>
      <c r="BU2639">
        <v>0</v>
      </c>
      <c r="CE2639" t="str">
        <f t="shared" si="1047"/>
        <v>15:11:51.839</v>
      </c>
      <c r="CF2639">
        <v>838974466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5</v>
      </c>
      <c r="CY2639">
        <v>7</v>
      </c>
      <c r="CZ2639" t="s">
        <v>133</v>
      </c>
      <c r="DA2639">
        <v>275</v>
      </c>
      <c r="DB2639">
        <v>0</v>
      </c>
      <c r="DC2639" t="s">
        <v>134</v>
      </c>
      <c r="DD2639" t="s">
        <v>135</v>
      </c>
      <c r="DG2639">
        <v>3321895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>"05/01/2025 15:11:52.073"</f>
        <v>05/01/2025 15:11:52.073</v>
      </c>
      <c r="C2640" t="str">
        <f t="shared" si="1040"/>
        <v>FFDFD3C0</v>
      </c>
      <c r="D2640" t="s">
        <v>145</v>
      </c>
      <c r="E2640" t="str">
        <f>"09"</f>
        <v>09</v>
      </c>
      <c r="H2640">
        <v>51</v>
      </c>
      <c r="I2640" t="s">
        <v>147</v>
      </c>
      <c r="J2640" t="s">
        <v>138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R2640" t="s">
        <v>127</v>
      </c>
      <c r="S2640" t="str">
        <f t="shared" si="1046"/>
        <v>15:11:51.000</v>
      </c>
      <c r="T2640" t="str">
        <f t="shared" si="1046"/>
        <v>15:11:51.000</v>
      </c>
      <c r="U2640" t="str">
        <f t="shared" si="1041"/>
        <v>A68FCB</v>
      </c>
      <c r="V2640">
        <v>0</v>
      </c>
      <c r="W2640">
        <v>0</v>
      </c>
      <c r="X2640">
        <v>2</v>
      </c>
      <c r="Y2640">
        <v>0</v>
      </c>
      <c r="AA2640">
        <v>1</v>
      </c>
      <c r="AB2640">
        <v>8</v>
      </c>
      <c r="AC2640">
        <v>3</v>
      </c>
      <c r="AD2640">
        <v>0</v>
      </c>
      <c r="AE2640">
        <v>9</v>
      </c>
      <c r="AF2640" t="s">
        <v>138</v>
      </c>
      <c r="AG2640">
        <v>0</v>
      </c>
      <c r="AH2640">
        <v>3</v>
      </c>
      <c r="AI2640">
        <v>2</v>
      </c>
      <c r="AJ2640">
        <v>0</v>
      </c>
      <c r="AK2640" t="s">
        <v>894</v>
      </c>
      <c r="AL2640">
        <v>39.092832000000001</v>
      </c>
      <c r="AM2640" t="s">
        <v>895</v>
      </c>
      <c r="AN2640">
        <v>-121.03569</v>
      </c>
      <c r="AO2640">
        <v>25</v>
      </c>
      <c r="AP2640">
        <v>4500</v>
      </c>
      <c r="AQ2640" t="s">
        <v>131</v>
      </c>
      <c r="AR2640">
        <v>15</v>
      </c>
      <c r="AS2640">
        <v>81</v>
      </c>
      <c r="AT2640">
        <v>-512</v>
      </c>
      <c r="BB2640" t="str">
        <f t="shared" si="1042"/>
        <v>1200</v>
      </c>
      <c r="BC2640">
        <v>1</v>
      </c>
      <c r="BD2640" t="str">
        <f t="shared" si="1043"/>
        <v xml:space="preserve">N52156  </v>
      </c>
      <c r="BE2640">
        <v>1</v>
      </c>
      <c r="BG2640">
        <v>0</v>
      </c>
      <c r="BH2640">
        <v>0</v>
      </c>
      <c r="BI2640">
        <v>0</v>
      </c>
      <c r="BJ2640">
        <v>4575</v>
      </c>
      <c r="BK2640">
        <v>75</v>
      </c>
      <c r="BL2640" t="s">
        <v>188</v>
      </c>
      <c r="BM2640">
        <v>1</v>
      </c>
      <c r="BN2640">
        <v>1</v>
      </c>
      <c r="BO2640">
        <v>0</v>
      </c>
      <c r="BP2640">
        <v>0</v>
      </c>
      <c r="BS2640">
        <v>0</v>
      </c>
      <c r="BT2640">
        <v>0</v>
      </c>
      <c r="BU2640">
        <v>0</v>
      </c>
      <c r="CE2640" t="str">
        <f t="shared" si="1047"/>
        <v>15:11:51.839</v>
      </c>
      <c r="CF2640">
        <v>838974466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5</v>
      </c>
      <c r="CY2640">
        <v>7</v>
      </c>
      <c r="CZ2640" t="s">
        <v>133</v>
      </c>
      <c r="DA2640">
        <v>275</v>
      </c>
      <c r="DB2640">
        <v>0</v>
      </c>
      <c r="DC2640" t="s">
        <v>134</v>
      </c>
      <c r="DD2640" t="s">
        <v>135</v>
      </c>
      <c r="DG2640">
        <v>3321895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"05/01/2025 15:11:52.080"</f>
        <v>05/01/2025 15:11:52.080</v>
      </c>
      <c r="C2641" t="str">
        <f t="shared" si="1040"/>
        <v>FFDFD3C0</v>
      </c>
      <c r="D2641" t="s">
        <v>136</v>
      </c>
      <c r="E2641" t="str">
        <f>"20"</f>
        <v>20</v>
      </c>
      <c r="H2641">
        <v>400</v>
      </c>
      <c r="I2641" t="s">
        <v>137</v>
      </c>
      <c r="J2641" t="s">
        <v>138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R2641" t="s">
        <v>127</v>
      </c>
      <c r="S2641" t="str">
        <f t="shared" si="1046"/>
        <v>15:11:51.000</v>
      </c>
      <c r="T2641" t="str">
        <f t="shared" si="1046"/>
        <v>15:11:51.000</v>
      </c>
      <c r="U2641" t="str">
        <f t="shared" si="1041"/>
        <v>A68FCB</v>
      </c>
      <c r="V2641">
        <v>0</v>
      </c>
      <c r="W2641">
        <v>0</v>
      </c>
      <c r="X2641">
        <v>2</v>
      </c>
      <c r="Y2641">
        <v>0</v>
      </c>
      <c r="AA2641">
        <v>1</v>
      </c>
      <c r="AB2641">
        <v>8</v>
      </c>
      <c r="AC2641">
        <v>3</v>
      </c>
      <c r="AD2641">
        <v>0</v>
      </c>
      <c r="AE2641">
        <v>9</v>
      </c>
      <c r="AF2641" t="s">
        <v>138</v>
      </c>
      <c r="AG2641">
        <v>0</v>
      </c>
      <c r="AH2641">
        <v>3</v>
      </c>
      <c r="AI2641">
        <v>2</v>
      </c>
      <c r="AJ2641">
        <v>0</v>
      </c>
      <c r="AK2641" t="s">
        <v>894</v>
      </c>
      <c r="AL2641">
        <v>39.092832000000001</v>
      </c>
      <c r="AM2641" t="s">
        <v>895</v>
      </c>
      <c r="AN2641">
        <v>-121.03569</v>
      </c>
      <c r="AO2641">
        <v>25</v>
      </c>
      <c r="AP2641">
        <v>4500</v>
      </c>
      <c r="AQ2641" t="s">
        <v>131</v>
      </c>
      <c r="AR2641">
        <v>15</v>
      </c>
      <c r="AS2641">
        <v>81</v>
      </c>
      <c r="AT2641">
        <v>-512</v>
      </c>
      <c r="BB2641" t="str">
        <f t="shared" si="1042"/>
        <v>1200</v>
      </c>
      <c r="BC2641">
        <v>1</v>
      </c>
      <c r="BD2641" t="str">
        <f t="shared" si="1043"/>
        <v xml:space="preserve">N52156  </v>
      </c>
      <c r="BE2641">
        <v>1</v>
      </c>
      <c r="BG2641">
        <v>0</v>
      </c>
      <c r="BH2641">
        <v>0</v>
      </c>
      <c r="BI2641">
        <v>0</v>
      </c>
      <c r="BJ2641">
        <v>4575</v>
      </c>
      <c r="BK2641">
        <v>75</v>
      </c>
      <c r="BL2641" t="s">
        <v>188</v>
      </c>
      <c r="BM2641">
        <v>1</v>
      </c>
      <c r="BN2641">
        <v>1</v>
      </c>
      <c r="BO2641">
        <v>0</v>
      </c>
      <c r="BP2641">
        <v>0</v>
      </c>
      <c r="BS2641">
        <v>0</v>
      </c>
      <c r="BT2641">
        <v>0</v>
      </c>
      <c r="BU2641">
        <v>0</v>
      </c>
      <c r="CE2641" t="str">
        <f t="shared" si="1047"/>
        <v>15:11:51.839</v>
      </c>
      <c r="CF2641">
        <v>838974466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5</v>
      </c>
      <c r="CY2641">
        <v>7</v>
      </c>
      <c r="CZ2641" t="s">
        <v>133</v>
      </c>
      <c r="DA2641">
        <v>275</v>
      </c>
      <c r="DB2641">
        <v>0</v>
      </c>
      <c r="DC2641" t="s">
        <v>134</v>
      </c>
      <c r="DD2641" t="s">
        <v>135</v>
      </c>
      <c r="DG2641">
        <v>3321895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"05/01/2025 15:11:52.856"</f>
        <v>05/01/2025 15:11:52.856</v>
      </c>
      <c r="C2642" t="str">
        <f t="shared" si="1040"/>
        <v>FFDFD3C0</v>
      </c>
      <c r="D2642" t="s">
        <v>140</v>
      </c>
      <c r="E2642" t="str">
        <f>"13"</f>
        <v>13</v>
      </c>
      <c r="F2642">
        <v>1019</v>
      </c>
      <c r="G2642" t="s">
        <v>141</v>
      </c>
      <c r="J2642" t="s">
        <v>142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R2642" t="s">
        <v>127</v>
      </c>
      <c r="S2642" t="str">
        <f t="shared" ref="S2642:T2647" si="1048">"15:11:52.000"</f>
        <v>15:11:52.000</v>
      </c>
      <c r="T2642" t="str">
        <f t="shared" si="1048"/>
        <v>15:11:52.000</v>
      </c>
      <c r="U2642" t="str">
        <f t="shared" si="1041"/>
        <v>A68FCB</v>
      </c>
      <c r="V2642">
        <v>0</v>
      </c>
      <c r="W2642">
        <v>0</v>
      </c>
      <c r="X2642">
        <v>2</v>
      </c>
      <c r="Y2642">
        <v>0</v>
      </c>
      <c r="AA2642">
        <v>1</v>
      </c>
      <c r="AB2642">
        <v>8</v>
      </c>
      <c r="AC2642">
        <v>3</v>
      </c>
      <c r="AD2642">
        <v>0</v>
      </c>
      <c r="AE2642">
        <v>9</v>
      </c>
      <c r="AF2642" t="s">
        <v>138</v>
      </c>
      <c r="AG2642">
        <v>0</v>
      </c>
      <c r="AH2642">
        <v>3</v>
      </c>
      <c r="AI2642">
        <v>2</v>
      </c>
      <c r="AJ2642">
        <v>0</v>
      </c>
      <c r="AK2642" t="s">
        <v>896</v>
      </c>
      <c r="AL2642">
        <v>39.093218</v>
      </c>
      <c r="AM2642" t="s">
        <v>897</v>
      </c>
      <c r="AN2642">
        <v>-121.035583</v>
      </c>
      <c r="AO2642">
        <v>25</v>
      </c>
      <c r="AP2642">
        <v>4500</v>
      </c>
      <c r="AQ2642" t="s">
        <v>131</v>
      </c>
      <c r="AR2642">
        <v>15</v>
      </c>
      <c r="AS2642">
        <v>80</v>
      </c>
      <c r="AT2642">
        <v>-448</v>
      </c>
      <c r="BB2642" t="str">
        <f t="shared" si="1042"/>
        <v>1200</v>
      </c>
      <c r="BC2642">
        <v>1</v>
      </c>
      <c r="BD2642" t="str">
        <f t="shared" si="1043"/>
        <v xml:space="preserve">N52156  </v>
      </c>
      <c r="BE2642">
        <v>1</v>
      </c>
      <c r="BG2642">
        <v>0</v>
      </c>
      <c r="BH2642">
        <v>0</v>
      </c>
      <c r="BI2642">
        <v>0</v>
      </c>
      <c r="BJ2642">
        <v>4575</v>
      </c>
      <c r="BK2642">
        <v>75</v>
      </c>
      <c r="BL2642" t="s">
        <v>188</v>
      </c>
      <c r="BM2642">
        <v>1</v>
      </c>
      <c r="BN2642">
        <v>1</v>
      </c>
      <c r="BO2642">
        <v>0</v>
      </c>
      <c r="BP2642">
        <v>0</v>
      </c>
      <c r="BS2642">
        <v>0</v>
      </c>
      <c r="BT2642">
        <v>0</v>
      </c>
      <c r="BU2642">
        <v>0</v>
      </c>
      <c r="CE2642" t="str">
        <f t="shared" ref="CE2642:CE2647" si="1049">"15:11:52.652"</f>
        <v>15:11:52.652</v>
      </c>
      <c r="CF2642">
        <v>651974110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5</v>
      </c>
      <c r="CY2642">
        <v>7</v>
      </c>
      <c r="CZ2642" t="s">
        <v>133</v>
      </c>
      <c r="DA2642">
        <v>275</v>
      </c>
      <c r="DB2642">
        <v>0</v>
      </c>
      <c r="DC2642" t="s">
        <v>134</v>
      </c>
      <c r="DD2642" t="s">
        <v>135</v>
      </c>
      <c r="DG2642">
        <v>3321898</v>
      </c>
      <c r="DI2642">
        <v>1</v>
      </c>
      <c r="DJ2642">
        <v>0</v>
      </c>
      <c r="DK2642">
        <v>0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"05/01/2025 15:11:52.862"</f>
        <v>05/01/2025 15:11:52.862</v>
      </c>
      <c r="C2643" t="str">
        <f t="shared" si="1040"/>
        <v>FFDFD3C0</v>
      </c>
      <c r="D2643" t="s">
        <v>124</v>
      </c>
      <c r="E2643" t="str">
        <f>"06"</f>
        <v>06</v>
      </c>
      <c r="F2643">
        <v>2006</v>
      </c>
      <c r="G2643" t="s">
        <v>125</v>
      </c>
      <c r="J2643" t="s">
        <v>126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R2643" t="s">
        <v>127</v>
      </c>
      <c r="S2643" t="str">
        <f t="shared" si="1048"/>
        <v>15:11:52.000</v>
      </c>
      <c r="T2643" t="str">
        <f t="shared" si="1048"/>
        <v>15:11:52.000</v>
      </c>
      <c r="U2643" t="str">
        <f t="shared" si="1041"/>
        <v>A68FCB</v>
      </c>
      <c r="V2643">
        <v>0</v>
      </c>
      <c r="W2643">
        <v>0</v>
      </c>
      <c r="X2643">
        <v>2</v>
      </c>
      <c r="Y2643">
        <v>0</v>
      </c>
      <c r="AA2643">
        <v>1</v>
      </c>
      <c r="AB2643">
        <v>8</v>
      </c>
      <c r="AC2643">
        <v>3</v>
      </c>
      <c r="AD2643">
        <v>0</v>
      </c>
      <c r="AE2643">
        <v>9</v>
      </c>
      <c r="AF2643" t="s">
        <v>138</v>
      </c>
      <c r="AG2643">
        <v>0</v>
      </c>
      <c r="AH2643">
        <v>3</v>
      </c>
      <c r="AI2643">
        <v>2</v>
      </c>
      <c r="AJ2643">
        <v>0</v>
      </c>
      <c r="AK2643" t="s">
        <v>896</v>
      </c>
      <c r="AL2643">
        <v>39.093218</v>
      </c>
      <c r="AM2643" t="s">
        <v>897</v>
      </c>
      <c r="AN2643">
        <v>-121.035583</v>
      </c>
      <c r="AO2643">
        <v>25</v>
      </c>
      <c r="AP2643">
        <v>4500</v>
      </c>
      <c r="AQ2643" t="s">
        <v>131</v>
      </c>
      <c r="AR2643">
        <v>15</v>
      </c>
      <c r="AS2643">
        <v>80</v>
      </c>
      <c r="AT2643">
        <v>-448</v>
      </c>
      <c r="BB2643" t="str">
        <f t="shared" si="1042"/>
        <v>1200</v>
      </c>
      <c r="BC2643">
        <v>1</v>
      </c>
      <c r="BD2643" t="str">
        <f t="shared" si="1043"/>
        <v xml:space="preserve">N52156  </v>
      </c>
      <c r="BE2643">
        <v>1</v>
      </c>
      <c r="BG2643">
        <v>0</v>
      </c>
      <c r="BH2643">
        <v>0</v>
      </c>
      <c r="BI2643">
        <v>0</v>
      </c>
      <c r="BJ2643">
        <v>4575</v>
      </c>
      <c r="BK2643">
        <v>75</v>
      </c>
      <c r="BL2643" t="s">
        <v>188</v>
      </c>
      <c r="BM2643">
        <v>1</v>
      </c>
      <c r="BN2643">
        <v>1</v>
      </c>
      <c r="BO2643">
        <v>0</v>
      </c>
      <c r="BP2643">
        <v>0</v>
      </c>
      <c r="BS2643">
        <v>0</v>
      </c>
      <c r="BT2643">
        <v>0</v>
      </c>
      <c r="BU2643">
        <v>0</v>
      </c>
      <c r="CE2643" t="str">
        <f t="shared" si="1049"/>
        <v>15:11:52.652</v>
      </c>
      <c r="CF2643">
        <v>651974110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5</v>
      </c>
      <c r="CY2643">
        <v>7</v>
      </c>
      <c r="CZ2643" t="s">
        <v>133</v>
      </c>
      <c r="DA2643">
        <v>275</v>
      </c>
      <c r="DB2643">
        <v>0</v>
      </c>
      <c r="DC2643" t="s">
        <v>134</v>
      </c>
      <c r="DD2643" t="s">
        <v>135</v>
      </c>
      <c r="DG2643">
        <v>3321898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"05/01/2025 15:11:52.873"</f>
        <v>05/01/2025 15:11:52.873</v>
      </c>
      <c r="C2644" t="str">
        <f t="shared" si="1040"/>
        <v>FFDFD3C0</v>
      </c>
      <c r="D2644" t="s">
        <v>145</v>
      </c>
      <c r="E2644" t="str">
        <f>"05"</f>
        <v>05</v>
      </c>
      <c r="H2644">
        <v>47</v>
      </c>
      <c r="I2644" t="s">
        <v>146</v>
      </c>
      <c r="J2644" t="s">
        <v>138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R2644" t="s">
        <v>127</v>
      </c>
      <c r="S2644" t="str">
        <f t="shared" si="1048"/>
        <v>15:11:52.000</v>
      </c>
      <c r="T2644" t="str">
        <f t="shared" si="1048"/>
        <v>15:11:52.000</v>
      </c>
      <c r="U2644" t="str">
        <f t="shared" si="1041"/>
        <v>A68FCB</v>
      </c>
      <c r="V2644">
        <v>0</v>
      </c>
      <c r="W2644">
        <v>0</v>
      </c>
      <c r="X2644">
        <v>2</v>
      </c>
      <c r="Y2644">
        <v>0</v>
      </c>
      <c r="AA2644">
        <v>1</v>
      </c>
      <c r="AB2644">
        <v>8</v>
      </c>
      <c r="AC2644">
        <v>3</v>
      </c>
      <c r="AD2644">
        <v>0</v>
      </c>
      <c r="AE2644">
        <v>9</v>
      </c>
      <c r="AF2644" t="s">
        <v>138</v>
      </c>
      <c r="AG2644">
        <v>0</v>
      </c>
      <c r="AH2644">
        <v>3</v>
      </c>
      <c r="AI2644">
        <v>2</v>
      </c>
      <c r="AJ2644">
        <v>0</v>
      </c>
      <c r="AK2644" t="s">
        <v>896</v>
      </c>
      <c r="AL2644">
        <v>39.093218</v>
      </c>
      <c r="AM2644" t="s">
        <v>897</v>
      </c>
      <c r="AN2644">
        <v>-121.035583</v>
      </c>
      <c r="AO2644">
        <v>25</v>
      </c>
      <c r="AP2644">
        <v>4500</v>
      </c>
      <c r="AQ2644" t="s">
        <v>131</v>
      </c>
      <c r="AR2644">
        <v>15</v>
      </c>
      <c r="AS2644">
        <v>80</v>
      </c>
      <c r="AT2644">
        <v>-448</v>
      </c>
      <c r="BB2644" t="str">
        <f t="shared" si="1042"/>
        <v>1200</v>
      </c>
      <c r="BC2644">
        <v>1</v>
      </c>
      <c r="BD2644" t="str">
        <f t="shared" si="1043"/>
        <v xml:space="preserve">N52156  </v>
      </c>
      <c r="BE2644">
        <v>1</v>
      </c>
      <c r="BG2644">
        <v>0</v>
      </c>
      <c r="BH2644">
        <v>0</v>
      </c>
      <c r="BI2644">
        <v>0</v>
      </c>
      <c r="BJ2644">
        <v>4575</v>
      </c>
      <c r="BK2644">
        <v>75</v>
      </c>
      <c r="BL2644" t="s">
        <v>188</v>
      </c>
      <c r="BM2644">
        <v>1</v>
      </c>
      <c r="BN2644">
        <v>1</v>
      </c>
      <c r="BO2644">
        <v>0</v>
      </c>
      <c r="BP2644">
        <v>0</v>
      </c>
      <c r="BS2644">
        <v>0</v>
      </c>
      <c r="BT2644">
        <v>0</v>
      </c>
      <c r="BU2644">
        <v>0</v>
      </c>
      <c r="CE2644" t="str">
        <f t="shared" si="1049"/>
        <v>15:11:52.652</v>
      </c>
      <c r="CF2644">
        <v>651974110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5</v>
      </c>
      <c r="CY2644">
        <v>7</v>
      </c>
      <c r="CZ2644" t="s">
        <v>133</v>
      </c>
      <c r="DA2644">
        <v>275</v>
      </c>
      <c r="DB2644">
        <v>0</v>
      </c>
      <c r="DC2644" t="s">
        <v>134</v>
      </c>
      <c r="DD2644" t="s">
        <v>135</v>
      </c>
      <c r="DG2644">
        <v>3321898</v>
      </c>
      <c r="DI2644">
        <v>1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"05/01/2025 15:11:52.874"</f>
        <v>05/01/2025 15:11:52.874</v>
      </c>
      <c r="C2645" t="str">
        <f t="shared" si="1040"/>
        <v>FFDFD3C0</v>
      </c>
      <c r="D2645" t="s">
        <v>145</v>
      </c>
      <c r="E2645" t="str">
        <f>"09"</f>
        <v>09</v>
      </c>
      <c r="H2645">
        <v>51</v>
      </c>
      <c r="I2645" t="s">
        <v>147</v>
      </c>
      <c r="J2645" t="s">
        <v>138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R2645" t="s">
        <v>127</v>
      </c>
      <c r="S2645" t="str">
        <f t="shared" si="1048"/>
        <v>15:11:52.000</v>
      </c>
      <c r="T2645" t="str">
        <f t="shared" si="1048"/>
        <v>15:11:52.000</v>
      </c>
      <c r="U2645" t="str">
        <f t="shared" si="1041"/>
        <v>A68FCB</v>
      </c>
      <c r="V2645">
        <v>0</v>
      </c>
      <c r="W2645">
        <v>0</v>
      </c>
      <c r="X2645">
        <v>2</v>
      </c>
      <c r="Y2645">
        <v>0</v>
      </c>
      <c r="AA2645">
        <v>1</v>
      </c>
      <c r="AB2645">
        <v>8</v>
      </c>
      <c r="AC2645">
        <v>3</v>
      </c>
      <c r="AD2645">
        <v>0</v>
      </c>
      <c r="AE2645">
        <v>9</v>
      </c>
      <c r="AF2645" t="s">
        <v>138</v>
      </c>
      <c r="AG2645">
        <v>0</v>
      </c>
      <c r="AH2645">
        <v>3</v>
      </c>
      <c r="AI2645">
        <v>2</v>
      </c>
      <c r="AJ2645">
        <v>0</v>
      </c>
      <c r="AK2645" t="s">
        <v>896</v>
      </c>
      <c r="AL2645">
        <v>39.093218</v>
      </c>
      <c r="AM2645" t="s">
        <v>897</v>
      </c>
      <c r="AN2645">
        <v>-121.035583</v>
      </c>
      <c r="AO2645">
        <v>25</v>
      </c>
      <c r="AP2645">
        <v>4500</v>
      </c>
      <c r="AQ2645" t="s">
        <v>131</v>
      </c>
      <c r="AR2645">
        <v>15</v>
      </c>
      <c r="AS2645">
        <v>80</v>
      </c>
      <c r="AT2645">
        <v>-448</v>
      </c>
      <c r="BB2645" t="str">
        <f t="shared" si="1042"/>
        <v>1200</v>
      </c>
      <c r="BC2645">
        <v>1</v>
      </c>
      <c r="BD2645" t="str">
        <f t="shared" si="1043"/>
        <v xml:space="preserve">N52156  </v>
      </c>
      <c r="BE2645">
        <v>1</v>
      </c>
      <c r="BG2645">
        <v>0</v>
      </c>
      <c r="BH2645">
        <v>0</v>
      </c>
      <c r="BI2645">
        <v>0</v>
      </c>
      <c r="BJ2645">
        <v>4575</v>
      </c>
      <c r="BK2645">
        <v>75</v>
      </c>
      <c r="BL2645" t="s">
        <v>188</v>
      </c>
      <c r="BM2645">
        <v>1</v>
      </c>
      <c r="BN2645">
        <v>1</v>
      </c>
      <c r="BO2645">
        <v>0</v>
      </c>
      <c r="BP2645">
        <v>0</v>
      </c>
      <c r="BS2645">
        <v>0</v>
      </c>
      <c r="BT2645">
        <v>0</v>
      </c>
      <c r="BU2645">
        <v>0</v>
      </c>
      <c r="CE2645" t="str">
        <f t="shared" si="1049"/>
        <v>15:11:52.652</v>
      </c>
      <c r="CF2645">
        <v>651974110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5</v>
      </c>
      <c r="CY2645">
        <v>7</v>
      </c>
      <c r="CZ2645" t="s">
        <v>133</v>
      </c>
      <c r="DA2645">
        <v>275</v>
      </c>
      <c r="DB2645">
        <v>0</v>
      </c>
      <c r="DC2645" t="s">
        <v>134</v>
      </c>
      <c r="DD2645" t="s">
        <v>135</v>
      </c>
      <c r="DG2645">
        <v>3321898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"05/01/2025 15:11:52.881"</f>
        <v>05/01/2025 15:11:52.881</v>
      </c>
      <c r="C2646" t="str">
        <f t="shared" si="1040"/>
        <v>FFDFD3C0</v>
      </c>
      <c r="D2646" t="s">
        <v>136</v>
      </c>
      <c r="E2646" t="str">
        <f>"20"</f>
        <v>20</v>
      </c>
      <c r="H2646">
        <v>400</v>
      </c>
      <c r="I2646" t="s">
        <v>137</v>
      </c>
      <c r="J2646" t="s">
        <v>138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R2646" t="s">
        <v>127</v>
      </c>
      <c r="S2646" t="str">
        <f t="shared" si="1048"/>
        <v>15:11:52.000</v>
      </c>
      <c r="T2646" t="str">
        <f t="shared" si="1048"/>
        <v>15:11:52.000</v>
      </c>
      <c r="U2646" t="str">
        <f t="shared" si="1041"/>
        <v>A68FCB</v>
      </c>
      <c r="V2646">
        <v>0</v>
      </c>
      <c r="W2646">
        <v>0</v>
      </c>
      <c r="X2646">
        <v>2</v>
      </c>
      <c r="Y2646">
        <v>0</v>
      </c>
      <c r="AA2646">
        <v>1</v>
      </c>
      <c r="AB2646">
        <v>8</v>
      </c>
      <c r="AC2646">
        <v>3</v>
      </c>
      <c r="AD2646">
        <v>0</v>
      </c>
      <c r="AE2646">
        <v>9</v>
      </c>
      <c r="AF2646" t="s">
        <v>138</v>
      </c>
      <c r="AG2646">
        <v>0</v>
      </c>
      <c r="AH2646">
        <v>3</v>
      </c>
      <c r="AI2646">
        <v>2</v>
      </c>
      <c r="AJ2646">
        <v>0</v>
      </c>
      <c r="AK2646" t="s">
        <v>896</v>
      </c>
      <c r="AL2646">
        <v>39.093218</v>
      </c>
      <c r="AM2646" t="s">
        <v>897</v>
      </c>
      <c r="AN2646">
        <v>-121.035583</v>
      </c>
      <c r="AO2646">
        <v>25</v>
      </c>
      <c r="AP2646">
        <v>4500</v>
      </c>
      <c r="AQ2646" t="s">
        <v>131</v>
      </c>
      <c r="AR2646">
        <v>15</v>
      </c>
      <c r="AS2646">
        <v>80</v>
      </c>
      <c r="AT2646">
        <v>-448</v>
      </c>
      <c r="BB2646" t="str">
        <f t="shared" si="1042"/>
        <v>1200</v>
      </c>
      <c r="BC2646">
        <v>1</v>
      </c>
      <c r="BD2646" t="str">
        <f t="shared" si="1043"/>
        <v xml:space="preserve">N52156  </v>
      </c>
      <c r="BE2646">
        <v>1</v>
      </c>
      <c r="BG2646">
        <v>0</v>
      </c>
      <c r="BH2646">
        <v>0</v>
      </c>
      <c r="BI2646">
        <v>0</v>
      </c>
      <c r="BJ2646">
        <v>4575</v>
      </c>
      <c r="BK2646">
        <v>75</v>
      </c>
      <c r="BL2646" t="s">
        <v>188</v>
      </c>
      <c r="BM2646">
        <v>1</v>
      </c>
      <c r="BN2646">
        <v>1</v>
      </c>
      <c r="BO2646">
        <v>0</v>
      </c>
      <c r="BP2646">
        <v>0</v>
      </c>
      <c r="BS2646">
        <v>0</v>
      </c>
      <c r="BT2646">
        <v>0</v>
      </c>
      <c r="BU2646">
        <v>0</v>
      </c>
      <c r="CE2646" t="str">
        <f t="shared" si="1049"/>
        <v>15:11:52.652</v>
      </c>
      <c r="CF2646">
        <v>651974110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5</v>
      </c>
      <c r="CY2646">
        <v>7</v>
      </c>
      <c r="CZ2646" t="s">
        <v>133</v>
      </c>
      <c r="DA2646">
        <v>275</v>
      </c>
      <c r="DB2646">
        <v>0</v>
      </c>
      <c r="DC2646" t="s">
        <v>134</v>
      </c>
      <c r="DD2646" t="s">
        <v>135</v>
      </c>
      <c r="DG2646">
        <v>3321898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"05/01/2025 15:11:52.889"</f>
        <v>05/01/2025 15:11:52.889</v>
      </c>
      <c r="C2647" t="str">
        <f t="shared" si="1040"/>
        <v>FFDFD3C0</v>
      </c>
      <c r="D2647" t="s">
        <v>143</v>
      </c>
      <c r="E2647" t="str">
        <f>"05"</f>
        <v>05</v>
      </c>
      <c r="H2647">
        <v>172</v>
      </c>
      <c r="I2647" t="s">
        <v>141</v>
      </c>
      <c r="J2647" t="s">
        <v>144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R2647" t="s">
        <v>127</v>
      </c>
      <c r="S2647" t="str">
        <f t="shared" si="1048"/>
        <v>15:11:52.000</v>
      </c>
      <c r="T2647" t="str">
        <f t="shared" si="1048"/>
        <v>15:11:52.000</v>
      </c>
      <c r="U2647" t="str">
        <f t="shared" si="1041"/>
        <v>A68FCB</v>
      </c>
      <c r="V2647">
        <v>0</v>
      </c>
      <c r="W2647">
        <v>0</v>
      </c>
      <c r="X2647">
        <v>2</v>
      </c>
      <c r="Y2647">
        <v>0</v>
      </c>
      <c r="AA2647">
        <v>1</v>
      </c>
      <c r="AB2647">
        <v>8</v>
      </c>
      <c r="AC2647">
        <v>3</v>
      </c>
      <c r="AD2647">
        <v>0</v>
      </c>
      <c r="AE2647">
        <v>9</v>
      </c>
      <c r="AF2647" t="s">
        <v>138</v>
      </c>
      <c r="AG2647">
        <v>0</v>
      </c>
      <c r="AH2647">
        <v>3</v>
      </c>
      <c r="AI2647">
        <v>2</v>
      </c>
      <c r="AJ2647">
        <v>0</v>
      </c>
      <c r="AK2647" t="s">
        <v>896</v>
      </c>
      <c r="AL2647">
        <v>39.093218</v>
      </c>
      <c r="AM2647" t="s">
        <v>897</v>
      </c>
      <c r="AN2647">
        <v>-121.035583</v>
      </c>
      <c r="AO2647">
        <v>25</v>
      </c>
      <c r="AP2647">
        <v>4500</v>
      </c>
      <c r="AQ2647" t="s">
        <v>131</v>
      </c>
      <c r="AR2647">
        <v>15</v>
      </c>
      <c r="AS2647">
        <v>80</v>
      </c>
      <c r="AT2647">
        <v>-448</v>
      </c>
      <c r="BB2647" t="str">
        <f t="shared" si="1042"/>
        <v>1200</v>
      </c>
      <c r="BC2647">
        <v>1</v>
      </c>
      <c r="BD2647" t="str">
        <f t="shared" si="1043"/>
        <v xml:space="preserve">N52156  </v>
      </c>
      <c r="BE2647">
        <v>1</v>
      </c>
      <c r="BG2647">
        <v>0</v>
      </c>
      <c r="BH2647">
        <v>0</v>
      </c>
      <c r="BI2647">
        <v>0</v>
      </c>
      <c r="BJ2647">
        <v>4575</v>
      </c>
      <c r="BK2647">
        <v>75</v>
      </c>
      <c r="BL2647" t="s">
        <v>188</v>
      </c>
      <c r="BM2647">
        <v>1</v>
      </c>
      <c r="BN2647">
        <v>1</v>
      </c>
      <c r="BO2647">
        <v>0</v>
      </c>
      <c r="BP2647">
        <v>0</v>
      </c>
      <c r="BS2647">
        <v>0</v>
      </c>
      <c r="BT2647">
        <v>0</v>
      </c>
      <c r="BU2647">
        <v>0</v>
      </c>
      <c r="CE2647" t="str">
        <f t="shared" si="1049"/>
        <v>15:11:52.652</v>
      </c>
      <c r="CF2647">
        <v>651974110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5</v>
      </c>
      <c r="CY2647">
        <v>7</v>
      </c>
      <c r="CZ2647" t="s">
        <v>133</v>
      </c>
      <c r="DA2647">
        <v>275</v>
      </c>
      <c r="DB2647">
        <v>0</v>
      </c>
      <c r="DC2647" t="s">
        <v>134</v>
      </c>
      <c r="DD2647" t="s">
        <v>135</v>
      </c>
      <c r="DG2647">
        <v>3321898</v>
      </c>
      <c r="DI2647">
        <v>1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"05/01/2025 15:11:53.775"</f>
        <v>05/01/2025 15:11:53.775</v>
      </c>
      <c r="C2648" t="str">
        <f t="shared" si="1040"/>
        <v>FFDFD3C0</v>
      </c>
      <c r="D2648" t="s">
        <v>145</v>
      </c>
      <c r="E2648" t="str">
        <f>"09"</f>
        <v>09</v>
      </c>
      <c r="H2648">
        <v>51</v>
      </c>
      <c r="I2648" t="s">
        <v>147</v>
      </c>
      <c r="J2648" t="s">
        <v>138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R2648" t="s">
        <v>127</v>
      </c>
      <c r="S2648" t="str">
        <f t="shared" ref="S2648:T2653" si="1050">"15:11:53.000"</f>
        <v>15:11:53.000</v>
      </c>
      <c r="T2648" t="str">
        <f t="shared" si="1050"/>
        <v>15:11:53.000</v>
      </c>
      <c r="U2648" t="str">
        <f t="shared" si="1041"/>
        <v>A68FCB</v>
      </c>
      <c r="V2648">
        <v>0</v>
      </c>
      <c r="W2648">
        <v>0</v>
      </c>
      <c r="X2648">
        <v>2</v>
      </c>
      <c r="Y2648">
        <v>0</v>
      </c>
      <c r="AA2648">
        <v>1</v>
      </c>
      <c r="AB2648">
        <v>8</v>
      </c>
      <c r="AC2648">
        <v>3</v>
      </c>
      <c r="AD2648">
        <v>0</v>
      </c>
      <c r="AE2648">
        <v>9</v>
      </c>
      <c r="AF2648" t="s">
        <v>138</v>
      </c>
      <c r="AG2648">
        <v>0</v>
      </c>
      <c r="AH2648">
        <v>3</v>
      </c>
      <c r="AI2648">
        <v>2</v>
      </c>
      <c r="AJ2648">
        <v>0</v>
      </c>
      <c r="AK2648" t="s">
        <v>898</v>
      </c>
      <c r="AL2648">
        <v>39.093583000000002</v>
      </c>
      <c r="AM2648" t="s">
        <v>899</v>
      </c>
      <c r="AN2648">
        <v>-121.03549700000001</v>
      </c>
      <c r="AO2648">
        <v>25</v>
      </c>
      <c r="AP2648">
        <v>4500</v>
      </c>
      <c r="AQ2648" t="s">
        <v>131</v>
      </c>
      <c r="AR2648">
        <v>15</v>
      </c>
      <c r="AS2648">
        <v>80</v>
      </c>
      <c r="AT2648">
        <v>-512</v>
      </c>
      <c r="BB2648" t="str">
        <f t="shared" si="1042"/>
        <v>1200</v>
      </c>
      <c r="BC2648">
        <v>1</v>
      </c>
      <c r="BD2648" t="str">
        <f t="shared" si="1043"/>
        <v xml:space="preserve">N52156  </v>
      </c>
      <c r="BE2648">
        <v>1</v>
      </c>
      <c r="BG2648">
        <v>0</v>
      </c>
      <c r="BH2648">
        <v>0</v>
      </c>
      <c r="BI2648">
        <v>0</v>
      </c>
      <c r="BJ2648">
        <v>4575</v>
      </c>
      <c r="BK2648">
        <v>75</v>
      </c>
      <c r="BL2648" t="s">
        <v>188</v>
      </c>
      <c r="BM2648">
        <v>1</v>
      </c>
      <c r="BN2648">
        <v>1</v>
      </c>
      <c r="BO2648">
        <v>0</v>
      </c>
      <c r="BP2648">
        <v>0</v>
      </c>
      <c r="BS2648">
        <v>0</v>
      </c>
      <c r="BT2648">
        <v>0</v>
      </c>
      <c r="BU2648">
        <v>0</v>
      </c>
      <c r="CE2648" t="str">
        <f t="shared" ref="CE2648:CE2653" si="1051">"15:11:53.558"</f>
        <v>15:11:53.558</v>
      </c>
      <c r="CF2648">
        <v>558223897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4</v>
      </c>
      <c r="CY2648">
        <v>7</v>
      </c>
      <c r="CZ2648" t="s">
        <v>133</v>
      </c>
      <c r="DA2648">
        <v>275</v>
      </c>
      <c r="DB2648">
        <v>0</v>
      </c>
      <c r="DC2648" t="s">
        <v>134</v>
      </c>
      <c r="DD2648" t="s">
        <v>135</v>
      </c>
      <c r="DG2648">
        <v>3321902</v>
      </c>
      <c r="DI2648">
        <v>1</v>
      </c>
      <c r="DJ2648">
        <v>0</v>
      </c>
      <c r="DK2648">
        <v>0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"05/01/2025 15:11:53.774"</f>
        <v>05/01/2025 15:11:53.774</v>
      </c>
      <c r="C2649" t="str">
        <f t="shared" si="1040"/>
        <v>FFDFD3C0</v>
      </c>
      <c r="D2649" t="s">
        <v>145</v>
      </c>
      <c r="E2649" t="str">
        <f>"05"</f>
        <v>05</v>
      </c>
      <c r="H2649">
        <v>47</v>
      </c>
      <c r="I2649" t="s">
        <v>146</v>
      </c>
      <c r="J2649" t="s">
        <v>138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R2649" t="s">
        <v>127</v>
      </c>
      <c r="S2649" t="str">
        <f t="shared" si="1050"/>
        <v>15:11:53.000</v>
      </c>
      <c r="T2649" t="str">
        <f t="shared" si="1050"/>
        <v>15:11:53.000</v>
      </c>
      <c r="U2649" t="str">
        <f t="shared" si="1041"/>
        <v>A68FCB</v>
      </c>
      <c r="V2649">
        <v>0</v>
      </c>
      <c r="W2649">
        <v>0</v>
      </c>
      <c r="X2649">
        <v>2</v>
      </c>
      <c r="Y2649">
        <v>0</v>
      </c>
      <c r="AA2649">
        <v>1</v>
      </c>
      <c r="AB2649">
        <v>8</v>
      </c>
      <c r="AC2649">
        <v>3</v>
      </c>
      <c r="AD2649">
        <v>0</v>
      </c>
      <c r="AE2649">
        <v>9</v>
      </c>
      <c r="AF2649" t="s">
        <v>138</v>
      </c>
      <c r="AG2649">
        <v>0</v>
      </c>
      <c r="AH2649">
        <v>3</v>
      </c>
      <c r="AI2649">
        <v>2</v>
      </c>
      <c r="AJ2649">
        <v>0</v>
      </c>
      <c r="AK2649" t="s">
        <v>898</v>
      </c>
      <c r="AL2649">
        <v>39.093583000000002</v>
      </c>
      <c r="AM2649" t="s">
        <v>899</v>
      </c>
      <c r="AN2649">
        <v>-121.03549700000001</v>
      </c>
      <c r="AO2649">
        <v>25</v>
      </c>
      <c r="AP2649">
        <v>4500</v>
      </c>
      <c r="AQ2649" t="s">
        <v>131</v>
      </c>
      <c r="AR2649">
        <v>15</v>
      </c>
      <c r="AS2649">
        <v>80</v>
      </c>
      <c r="AT2649">
        <v>-512</v>
      </c>
      <c r="BB2649" t="str">
        <f t="shared" si="1042"/>
        <v>1200</v>
      </c>
      <c r="BC2649">
        <v>1</v>
      </c>
      <c r="BD2649" t="str">
        <f t="shared" si="1043"/>
        <v xml:space="preserve">N52156  </v>
      </c>
      <c r="BE2649">
        <v>1</v>
      </c>
      <c r="BG2649">
        <v>0</v>
      </c>
      <c r="BH2649">
        <v>0</v>
      </c>
      <c r="BI2649">
        <v>0</v>
      </c>
      <c r="BJ2649">
        <v>4575</v>
      </c>
      <c r="BK2649">
        <v>75</v>
      </c>
      <c r="BL2649" t="s">
        <v>188</v>
      </c>
      <c r="BM2649">
        <v>1</v>
      </c>
      <c r="BN2649">
        <v>1</v>
      </c>
      <c r="BO2649">
        <v>0</v>
      </c>
      <c r="BP2649">
        <v>0</v>
      </c>
      <c r="BS2649">
        <v>0</v>
      </c>
      <c r="BT2649">
        <v>0</v>
      </c>
      <c r="BU2649">
        <v>0</v>
      </c>
      <c r="CE2649" t="str">
        <f t="shared" si="1051"/>
        <v>15:11:53.558</v>
      </c>
      <c r="CF2649">
        <v>558223897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4</v>
      </c>
      <c r="CY2649">
        <v>7</v>
      </c>
      <c r="CZ2649" t="s">
        <v>133</v>
      </c>
      <c r="DA2649">
        <v>275</v>
      </c>
      <c r="DB2649">
        <v>0</v>
      </c>
      <c r="DC2649" t="s">
        <v>134</v>
      </c>
      <c r="DD2649" t="s">
        <v>135</v>
      </c>
      <c r="DG2649">
        <v>3321902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"05/01/2025 15:11:53.783"</f>
        <v>05/01/2025 15:11:53.783</v>
      </c>
      <c r="C2650" t="str">
        <f t="shared" si="1040"/>
        <v>FFDFD3C0</v>
      </c>
      <c r="D2650" t="s">
        <v>136</v>
      </c>
      <c r="E2650" t="str">
        <f>"20"</f>
        <v>20</v>
      </c>
      <c r="H2650">
        <v>400</v>
      </c>
      <c r="I2650" t="s">
        <v>137</v>
      </c>
      <c r="J2650" t="s">
        <v>138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R2650" t="s">
        <v>127</v>
      </c>
      <c r="S2650" t="str">
        <f t="shared" si="1050"/>
        <v>15:11:53.000</v>
      </c>
      <c r="T2650" t="str">
        <f t="shared" si="1050"/>
        <v>15:11:53.000</v>
      </c>
      <c r="U2650" t="str">
        <f t="shared" si="1041"/>
        <v>A68FCB</v>
      </c>
      <c r="V2650">
        <v>0</v>
      </c>
      <c r="W2650">
        <v>0</v>
      </c>
      <c r="X2650">
        <v>2</v>
      </c>
      <c r="Y2650">
        <v>0</v>
      </c>
      <c r="AA2650">
        <v>1</v>
      </c>
      <c r="AB2650">
        <v>8</v>
      </c>
      <c r="AC2650">
        <v>3</v>
      </c>
      <c r="AD2650">
        <v>0</v>
      </c>
      <c r="AE2650">
        <v>9</v>
      </c>
      <c r="AF2650" t="s">
        <v>138</v>
      </c>
      <c r="AG2650">
        <v>0</v>
      </c>
      <c r="AH2650">
        <v>3</v>
      </c>
      <c r="AI2650">
        <v>2</v>
      </c>
      <c r="AJ2650">
        <v>0</v>
      </c>
      <c r="AK2650" t="s">
        <v>898</v>
      </c>
      <c r="AL2650">
        <v>39.093583000000002</v>
      </c>
      <c r="AM2650" t="s">
        <v>899</v>
      </c>
      <c r="AN2650">
        <v>-121.03549700000001</v>
      </c>
      <c r="AO2650">
        <v>25</v>
      </c>
      <c r="AP2650">
        <v>4500</v>
      </c>
      <c r="AQ2650" t="s">
        <v>131</v>
      </c>
      <c r="AR2650">
        <v>15</v>
      </c>
      <c r="AS2650">
        <v>80</v>
      </c>
      <c r="AT2650">
        <v>-512</v>
      </c>
      <c r="BB2650" t="str">
        <f t="shared" si="1042"/>
        <v>1200</v>
      </c>
      <c r="BC2650">
        <v>1</v>
      </c>
      <c r="BD2650" t="str">
        <f t="shared" si="1043"/>
        <v xml:space="preserve">N52156  </v>
      </c>
      <c r="BE2650">
        <v>1</v>
      </c>
      <c r="BG2650">
        <v>0</v>
      </c>
      <c r="BH2650">
        <v>0</v>
      </c>
      <c r="BI2650">
        <v>0</v>
      </c>
      <c r="BJ2650">
        <v>4575</v>
      </c>
      <c r="BK2650">
        <v>75</v>
      </c>
      <c r="BL2650" t="s">
        <v>188</v>
      </c>
      <c r="BM2650">
        <v>1</v>
      </c>
      <c r="BN2650">
        <v>1</v>
      </c>
      <c r="BO2650">
        <v>0</v>
      </c>
      <c r="BP2650">
        <v>0</v>
      </c>
      <c r="BS2650">
        <v>0</v>
      </c>
      <c r="BT2650">
        <v>0</v>
      </c>
      <c r="BU2650">
        <v>0</v>
      </c>
      <c r="CE2650" t="str">
        <f t="shared" si="1051"/>
        <v>15:11:53.558</v>
      </c>
      <c r="CF2650">
        <v>558223897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4</v>
      </c>
      <c r="CY2650">
        <v>7</v>
      </c>
      <c r="CZ2650" t="s">
        <v>133</v>
      </c>
      <c r="DA2650">
        <v>275</v>
      </c>
      <c r="DB2650">
        <v>0</v>
      </c>
      <c r="DC2650" t="s">
        <v>134</v>
      </c>
      <c r="DD2650" t="s">
        <v>135</v>
      </c>
      <c r="DG2650">
        <v>3321902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"05/01/2025 15:11:53.790"</f>
        <v>05/01/2025 15:11:53.790</v>
      </c>
      <c r="C2651" t="str">
        <f t="shared" si="1040"/>
        <v>FFDFD3C0</v>
      </c>
      <c r="D2651" t="s">
        <v>143</v>
      </c>
      <c r="E2651" t="str">
        <f>"05"</f>
        <v>05</v>
      </c>
      <c r="H2651">
        <v>172</v>
      </c>
      <c r="I2651" t="s">
        <v>141</v>
      </c>
      <c r="J2651" t="s">
        <v>144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R2651" t="s">
        <v>127</v>
      </c>
      <c r="S2651" t="str">
        <f t="shared" si="1050"/>
        <v>15:11:53.000</v>
      </c>
      <c r="T2651" t="str">
        <f t="shared" si="1050"/>
        <v>15:11:53.000</v>
      </c>
      <c r="U2651" t="str">
        <f t="shared" si="1041"/>
        <v>A68FCB</v>
      </c>
      <c r="V2651">
        <v>0</v>
      </c>
      <c r="W2651">
        <v>0</v>
      </c>
      <c r="X2651">
        <v>2</v>
      </c>
      <c r="Y2651">
        <v>0</v>
      </c>
      <c r="AA2651">
        <v>1</v>
      </c>
      <c r="AB2651">
        <v>8</v>
      </c>
      <c r="AC2651">
        <v>3</v>
      </c>
      <c r="AD2651">
        <v>0</v>
      </c>
      <c r="AE2651">
        <v>9</v>
      </c>
      <c r="AF2651" t="s">
        <v>138</v>
      </c>
      <c r="AG2651">
        <v>0</v>
      </c>
      <c r="AH2651">
        <v>3</v>
      </c>
      <c r="AI2651">
        <v>2</v>
      </c>
      <c r="AJ2651">
        <v>0</v>
      </c>
      <c r="AK2651" t="s">
        <v>898</v>
      </c>
      <c r="AL2651">
        <v>39.093583000000002</v>
      </c>
      <c r="AM2651" t="s">
        <v>899</v>
      </c>
      <c r="AN2651">
        <v>-121.03549700000001</v>
      </c>
      <c r="AO2651">
        <v>25</v>
      </c>
      <c r="AP2651">
        <v>4500</v>
      </c>
      <c r="AQ2651" t="s">
        <v>131</v>
      </c>
      <c r="AR2651">
        <v>15</v>
      </c>
      <c r="AS2651">
        <v>80</v>
      </c>
      <c r="AT2651">
        <v>-512</v>
      </c>
      <c r="BB2651" t="str">
        <f t="shared" si="1042"/>
        <v>1200</v>
      </c>
      <c r="BC2651">
        <v>1</v>
      </c>
      <c r="BD2651" t="str">
        <f t="shared" si="1043"/>
        <v xml:space="preserve">N52156  </v>
      </c>
      <c r="BE2651">
        <v>1</v>
      </c>
      <c r="BG2651">
        <v>0</v>
      </c>
      <c r="BH2651">
        <v>0</v>
      </c>
      <c r="BI2651">
        <v>0</v>
      </c>
      <c r="BJ2651">
        <v>4575</v>
      </c>
      <c r="BK2651">
        <v>75</v>
      </c>
      <c r="BL2651" t="s">
        <v>188</v>
      </c>
      <c r="BM2651">
        <v>1</v>
      </c>
      <c r="BN2651">
        <v>1</v>
      </c>
      <c r="BO2651">
        <v>0</v>
      </c>
      <c r="BP2651">
        <v>0</v>
      </c>
      <c r="BS2651">
        <v>0</v>
      </c>
      <c r="BT2651">
        <v>0</v>
      </c>
      <c r="BU2651">
        <v>0</v>
      </c>
      <c r="CE2651" t="str">
        <f t="shared" si="1051"/>
        <v>15:11:53.558</v>
      </c>
      <c r="CF2651">
        <v>558223897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4</v>
      </c>
      <c r="CY2651">
        <v>7</v>
      </c>
      <c r="CZ2651" t="s">
        <v>133</v>
      </c>
      <c r="DA2651">
        <v>275</v>
      </c>
      <c r="DB2651">
        <v>0</v>
      </c>
      <c r="DC2651" t="s">
        <v>134</v>
      </c>
      <c r="DD2651" t="s">
        <v>135</v>
      </c>
      <c r="DG2651">
        <v>3321902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"05/01/2025 15:11:53.808"</f>
        <v>05/01/2025 15:11:53.808</v>
      </c>
      <c r="C2652" t="str">
        <f t="shared" si="1040"/>
        <v>FFDFD3C0</v>
      </c>
      <c r="D2652" t="s">
        <v>140</v>
      </c>
      <c r="E2652" t="str">
        <f>"13"</f>
        <v>13</v>
      </c>
      <c r="F2652">
        <v>1019</v>
      </c>
      <c r="G2652" t="s">
        <v>141</v>
      </c>
      <c r="J2652" t="s">
        <v>142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R2652" t="s">
        <v>127</v>
      </c>
      <c r="S2652" t="str">
        <f t="shared" si="1050"/>
        <v>15:11:53.000</v>
      </c>
      <c r="T2652" t="str">
        <f t="shared" si="1050"/>
        <v>15:11:53.000</v>
      </c>
      <c r="U2652" t="str">
        <f t="shared" si="1041"/>
        <v>A68FCB</v>
      </c>
      <c r="V2652">
        <v>0</v>
      </c>
      <c r="W2652">
        <v>0</v>
      </c>
      <c r="X2652">
        <v>2</v>
      </c>
      <c r="Y2652">
        <v>0</v>
      </c>
      <c r="AA2652">
        <v>1</v>
      </c>
      <c r="AB2652">
        <v>8</v>
      </c>
      <c r="AC2652">
        <v>3</v>
      </c>
      <c r="AD2652">
        <v>0</v>
      </c>
      <c r="AE2652">
        <v>9</v>
      </c>
      <c r="AF2652" t="s">
        <v>138</v>
      </c>
      <c r="AG2652">
        <v>0</v>
      </c>
      <c r="AH2652">
        <v>3</v>
      </c>
      <c r="AI2652">
        <v>2</v>
      </c>
      <c r="AJ2652">
        <v>0</v>
      </c>
      <c r="AK2652" t="s">
        <v>898</v>
      </c>
      <c r="AL2652">
        <v>39.093583000000002</v>
      </c>
      <c r="AM2652" t="s">
        <v>899</v>
      </c>
      <c r="AN2652">
        <v>-121.03549700000001</v>
      </c>
      <c r="AO2652">
        <v>25</v>
      </c>
      <c r="AP2652">
        <v>4500</v>
      </c>
      <c r="AQ2652" t="s">
        <v>131</v>
      </c>
      <c r="AR2652">
        <v>15</v>
      </c>
      <c r="AS2652">
        <v>80</v>
      </c>
      <c r="AT2652">
        <v>-512</v>
      </c>
      <c r="BB2652" t="str">
        <f t="shared" si="1042"/>
        <v>1200</v>
      </c>
      <c r="BC2652">
        <v>1</v>
      </c>
      <c r="BD2652" t="str">
        <f t="shared" si="1043"/>
        <v xml:space="preserve">N52156  </v>
      </c>
      <c r="BE2652">
        <v>1</v>
      </c>
      <c r="BG2652">
        <v>0</v>
      </c>
      <c r="BH2652">
        <v>0</v>
      </c>
      <c r="BI2652">
        <v>0</v>
      </c>
      <c r="BJ2652">
        <v>4575</v>
      </c>
      <c r="BK2652">
        <v>75</v>
      </c>
      <c r="BL2652" t="s">
        <v>188</v>
      </c>
      <c r="BM2652">
        <v>1</v>
      </c>
      <c r="BN2652">
        <v>1</v>
      </c>
      <c r="BO2652">
        <v>0</v>
      </c>
      <c r="BP2652">
        <v>0</v>
      </c>
      <c r="BS2652">
        <v>0</v>
      </c>
      <c r="BT2652">
        <v>0</v>
      </c>
      <c r="BU2652">
        <v>0</v>
      </c>
      <c r="CE2652" t="str">
        <f t="shared" si="1051"/>
        <v>15:11:53.558</v>
      </c>
      <c r="CF2652">
        <v>558223897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4</v>
      </c>
      <c r="CY2652">
        <v>7</v>
      </c>
      <c r="CZ2652" t="s">
        <v>133</v>
      </c>
      <c r="DA2652">
        <v>275</v>
      </c>
      <c r="DB2652">
        <v>0</v>
      </c>
      <c r="DC2652" t="s">
        <v>134</v>
      </c>
      <c r="DD2652" t="s">
        <v>135</v>
      </c>
      <c r="DG2652">
        <v>3321902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"05/01/2025 15:11:53.814"</f>
        <v>05/01/2025 15:11:53.814</v>
      </c>
      <c r="C2653" t="str">
        <f t="shared" si="1040"/>
        <v>FFDFD3C0</v>
      </c>
      <c r="D2653" t="s">
        <v>124</v>
      </c>
      <c r="E2653" t="str">
        <f>"06"</f>
        <v>06</v>
      </c>
      <c r="F2653">
        <v>2006</v>
      </c>
      <c r="G2653" t="s">
        <v>125</v>
      </c>
      <c r="J2653" t="s">
        <v>126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R2653" t="s">
        <v>127</v>
      </c>
      <c r="S2653" t="str">
        <f t="shared" si="1050"/>
        <v>15:11:53.000</v>
      </c>
      <c r="T2653" t="str">
        <f t="shared" si="1050"/>
        <v>15:11:53.000</v>
      </c>
      <c r="U2653" t="str">
        <f t="shared" si="1041"/>
        <v>A68FCB</v>
      </c>
      <c r="V2653">
        <v>0</v>
      </c>
      <c r="W2653">
        <v>0</v>
      </c>
      <c r="X2653">
        <v>2</v>
      </c>
      <c r="Y2653">
        <v>0</v>
      </c>
      <c r="AA2653">
        <v>1</v>
      </c>
      <c r="AB2653">
        <v>8</v>
      </c>
      <c r="AC2653">
        <v>3</v>
      </c>
      <c r="AD2653">
        <v>0</v>
      </c>
      <c r="AE2653">
        <v>9</v>
      </c>
      <c r="AF2653" t="s">
        <v>138</v>
      </c>
      <c r="AG2653">
        <v>0</v>
      </c>
      <c r="AH2653">
        <v>3</v>
      </c>
      <c r="AI2653">
        <v>2</v>
      </c>
      <c r="AJ2653">
        <v>0</v>
      </c>
      <c r="AK2653" t="s">
        <v>898</v>
      </c>
      <c r="AL2653">
        <v>39.093583000000002</v>
      </c>
      <c r="AM2653" t="s">
        <v>899</v>
      </c>
      <c r="AN2653">
        <v>-121.03549700000001</v>
      </c>
      <c r="AO2653">
        <v>25</v>
      </c>
      <c r="AP2653">
        <v>4500</v>
      </c>
      <c r="AQ2653" t="s">
        <v>131</v>
      </c>
      <c r="AR2653">
        <v>15</v>
      </c>
      <c r="AS2653">
        <v>80</v>
      </c>
      <c r="AT2653">
        <v>-512</v>
      </c>
      <c r="BB2653" t="str">
        <f t="shared" si="1042"/>
        <v>1200</v>
      </c>
      <c r="BC2653">
        <v>1</v>
      </c>
      <c r="BD2653" t="str">
        <f t="shared" si="1043"/>
        <v xml:space="preserve">N52156  </v>
      </c>
      <c r="BE2653">
        <v>1</v>
      </c>
      <c r="BG2653">
        <v>0</v>
      </c>
      <c r="BH2653">
        <v>0</v>
      </c>
      <c r="BI2653">
        <v>0</v>
      </c>
      <c r="BJ2653">
        <v>4575</v>
      </c>
      <c r="BK2653">
        <v>75</v>
      </c>
      <c r="BL2653" t="s">
        <v>188</v>
      </c>
      <c r="BM2653">
        <v>1</v>
      </c>
      <c r="BN2653">
        <v>1</v>
      </c>
      <c r="BO2653">
        <v>0</v>
      </c>
      <c r="BP2653">
        <v>0</v>
      </c>
      <c r="BS2653">
        <v>0</v>
      </c>
      <c r="BT2653">
        <v>0</v>
      </c>
      <c r="BU2653">
        <v>0</v>
      </c>
      <c r="CE2653" t="str">
        <f t="shared" si="1051"/>
        <v>15:11:53.558</v>
      </c>
      <c r="CF2653">
        <v>558223897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4</v>
      </c>
      <c r="CY2653">
        <v>7</v>
      </c>
      <c r="CZ2653" t="s">
        <v>133</v>
      </c>
      <c r="DA2653">
        <v>275</v>
      </c>
      <c r="DB2653">
        <v>0</v>
      </c>
      <c r="DC2653" t="s">
        <v>134</v>
      </c>
      <c r="DD2653" t="s">
        <v>135</v>
      </c>
      <c r="DG2653">
        <v>3321902</v>
      </c>
      <c r="DI2653">
        <v>1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"05/01/2025 15:11:54.809"</f>
        <v>05/01/2025 15:11:54.809</v>
      </c>
      <c r="C2654" t="str">
        <f t="shared" si="1040"/>
        <v>FFDFD3C0</v>
      </c>
      <c r="D2654" t="s">
        <v>140</v>
      </c>
      <c r="E2654" t="str">
        <f>"13"</f>
        <v>13</v>
      </c>
      <c r="F2654">
        <v>1019</v>
      </c>
      <c r="G2654" t="s">
        <v>141</v>
      </c>
      <c r="J2654" t="s">
        <v>142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R2654" t="s">
        <v>127</v>
      </c>
      <c r="S2654" t="str">
        <f t="shared" ref="S2654:T2659" si="1052">"15:11:54.000"</f>
        <v>15:11:54.000</v>
      </c>
      <c r="T2654" t="str">
        <f t="shared" si="1052"/>
        <v>15:11:54.000</v>
      </c>
      <c r="U2654" t="str">
        <f t="shared" si="1041"/>
        <v>A68FCB</v>
      </c>
      <c r="V2654">
        <v>0</v>
      </c>
      <c r="W2654">
        <v>0</v>
      </c>
      <c r="X2654">
        <v>2</v>
      </c>
      <c r="Y2654">
        <v>0</v>
      </c>
      <c r="AA2654">
        <v>1</v>
      </c>
      <c r="AB2654">
        <v>8</v>
      </c>
      <c r="AC2654">
        <v>3</v>
      </c>
      <c r="AD2654">
        <v>0</v>
      </c>
      <c r="AE2654">
        <v>9</v>
      </c>
      <c r="AF2654" t="s">
        <v>138</v>
      </c>
      <c r="AG2654">
        <v>0</v>
      </c>
      <c r="AH2654">
        <v>3</v>
      </c>
      <c r="AI2654">
        <v>2</v>
      </c>
      <c r="AJ2654">
        <v>0</v>
      </c>
      <c r="AK2654" t="s">
        <v>900</v>
      </c>
      <c r="AL2654">
        <v>39.093969000000001</v>
      </c>
      <c r="AM2654" t="s">
        <v>901</v>
      </c>
      <c r="AN2654">
        <v>-121.035411</v>
      </c>
      <c r="AO2654">
        <v>25</v>
      </c>
      <c r="AP2654">
        <v>4500</v>
      </c>
      <c r="AQ2654" t="s">
        <v>131</v>
      </c>
      <c r="AR2654">
        <v>15</v>
      </c>
      <c r="AS2654">
        <v>79</v>
      </c>
      <c r="AT2654">
        <v>-448</v>
      </c>
      <c r="BB2654" t="str">
        <f t="shared" si="1042"/>
        <v>1200</v>
      </c>
      <c r="BC2654">
        <v>1</v>
      </c>
      <c r="BD2654" t="str">
        <f t="shared" si="1043"/>
        <v xml:space="preserve">N52156  </v>
      </c>
      <c r="BE2654">
        <v>1</v>
      </c>
      <c r="BG2654">
        <v>0</v>
      </c>
      <c r="BH2654">
        <v>0</v>
      </c>
      <c r="BI2654">
        <v>0</v>
      </c>
      <c r="BJ2654">
        <v>4550</v>
      </c>
      <c r="BK2654">
        <v>50</v>
      </c>
      <c r="BL2654" t="s">
        <v>188</v>
      </c>
      <c r="BM2654">
        <v>1</v>
      </c>
      <c r="BN2654">
        <v>1</v>
      </c>
      <c r="BO2654">
        <v>0</v>
      </c>
      <c r="BP2654">
        <v>0</v>
      </c>
      <c r="BS2654">
        <v>0</v>
      </c>
      <c r="BT2654">
        <v>0</v>
      </c>
      <c r="BU2654">
        <v>0</v>
      </c>
      <c r="CE2654" t="str">
        <f t="shared" ref="CE2654:CE2659" si="1053">"15:11:54.580"</f>
        <v>15:11:54.580</v>
      </c>
      <c r="CF2654">
        <v>579974037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5</v>
      </c>
      <c r="CY2654">
        <v>7</v>
      </c>
      <c r="CZ2654" t="s">
        <v>133</v>
      </c>
      <c r="DA2654">
        <v>275</v>
      </c>
      <c r="DB2654">
        <v>0</v>
      </c>
      <c r="DC2654" t="s">
        <v>134</v>
      </c>
      <c r="DD2654" t="s">
        <v>135</v>
      </c>
      <c r="DG2654">
        <v>3321908</v>
      </c>
      <c r="DI2654">
        <v>1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"05/01/2025 15:11:54.815"</f>
        <v>05/01/2025 15:11:54.815</v>
      </c>
      <c r="C2655" t="str">
        <f t="shared" si="1040"/>
        <v>FFDFD3C0</v>
      </c>
      <c r="D2655" t="s">
        <v>124</v>
      </c>
      <c r="E2655" t="str">
        <f>"06"</f>
        <v>06</v>
      </c>
      <c r="F2655">
        <v>2006</v>
      </c>
      <c r="G2655" t="s">
        <v>125</v>
      </c>
      <c r="J2655" t="s">
        <v>126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R2655" t="s">
        <v>127</v>
      </c>
      <c r="S2655" t="str">
        <f t="shared" si="1052"/>
        <v>15:11:54.000</v>
      </c>
      <c r="T2655" t="str">
        <f t="shared" si="1052"/>
        <v>15:11:54.000</v>
      </c>
      <c r="U2655" t="str">
        <f t="shared" si="1041"/>
        <v>A68FCB</v>
      </c>
      <c r="V2655">
        <v>0</v>
      </c>
      <c r="W2655">
        <v>0</v>
      </c>
      <c r="X2655">
        <v>2</v>
      </c>
      <c r="Y2655">
        <v>0</v>
      </c>
      <c r="AA2655">
        <v>1</v>
      </c>
      <c r="AB2655">
        <v>8</v>
      </c>
      <c r="AC2655">
        <v>3</v>
      </c>
      <c r="AD2655">
        <v>0</v>
      </c>
      <c r="AE2655">
        <v>9</v>
      </c>
      <c r="AF2655" t="s">
        <v>138</v>
      </c>
      <c r="AG2655">
        <v>0</v>
      </c>
      <c r="AH2655">
        <v>3</v>
      </c>
      <c r="AI2655">
        <v>2</v>
      </c>
      <c r="AJ2655">
        <v>0</v>
      </c>
      <c r="AK2655" t="s">
        <v>900</v>
      </c>
      <c r="AL2655">
        <v>39.093969000000001</v>
      </c>
      <c r="AM2655" t="s">
        <v>901</v>
      </c>
      <c r="AN2655">
        <v>-121.035411</v>
      </c>
      <c r="AO2655">
        <v>25</v>
      </c>
      <c r="AP2655">
        <v>4500</v>
      </c>
      <c r="AQ2655" t="s">
        <v>131</v>
      </c>
      <c r="AR2655">
        <v>15</v>
      </c>
      <c r="AS2655">
        <v>79</v>
      </c>
      <c r="AT2655">
        <v>-448</v>
      </c>
      <c r="BB2655" t="str">
        <f t="shared" si="1042"/>
        <v>1200</v>
      </c>
      <c r="BC2655">
        <v>1</v>
      </c>
      <c r="BD2655" t="str">
        <f t="shared" si="1043"/>
        <v xml:space="preserve">N52156  </v>
      </c>
      <c r="BE2655">
        <v>1</v>
      </c>
      <c r="BG2655">
        <v>0</v>
      </c>
      <c r="BH2655">
        <v>0</v>
      </c>
      <c r="BI2655">
        <v>0</v>
      </c>
      <c r="BJ2655">
        <v>4550</v>
      </c>
      <c r="BK2655">
        <v>50</v>
      </c>
      <c r="BL2655" t="s">
        <v>188</v>
      </c>
      <c r="BM2655">
        <v>1</v>
      </c>
      <c r="BN2655">
        <v>1</v>
      </c>
      <c r="BO2655">
        <v>0</v>
      </c>
      <c r="BP2655">
        <v>0</v>
      </c>
      <c r="BS2655">
        <v>0</v>
      </c>
      <c r="BT2655">
        <v>0</v>
      </c>
      <c r="BU2655">
        <v>0</v>
      </c>
      <c r="CE2655" t="str">
        <f t="shared" si="1053"/>
        <v>15:11:54.580</v>
      </c>
      <c r="CF2655">
        <v>579974037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5</v>
      </c>
      <c r="CY2655">
        <v>7</v>
      </c>
      <c r="CZ2655" t="s">
        <v>133</v>
      </c>
      <c r="DA2655">
        <v>275</v>
      </c>
      <c r="DB2655">
        <v>0</v>
      </c>
      <c r="DC2655" t="s">
        <v>134</v>
      </c>
      <c r="DD2655" t="s">
        <v>135</v>
      </c>
      <c r="DG2655">
        <v>3321908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"05/01/2025 15:11:54.826"</f>
        <v>05/01/2025 15:11:54.826</v>
      </c>
      <c r="C2656" t="str">
        <f t="shared" si="1040"/>
        <v>FFDFD3C0</v>
      </c>
      <c r="D2656" t="s">
        <v>145</v>
      </c>
      <c r="E2656" t="str">
        <f>"05"</f>
        <v>05</v>
      </c>
      <c r="H2656">
        <v>47</v>
      </c>
      <c r="I2656" t="s">
        <v>146</v>
      </c>
      <c r="J2656" t="s">
        <v>138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R2656" t="s">
        <v>127</v>
      </c>
      <c r="S2656" t="str">
        <f t="shared" si="1052"/>
        <v>15:11:54.000</v>
      </c>
      <c r="T2656" t="str">
        <f t="shared" si="1052"/>
        <v>15:11:54.000</v>
      </c>
      <c r="U2656" t="str">
        <f t="shared" si="1041"/>
        <v>A68FCB</v>
      </c>
      <c r="V2656">
        <v>0</v>
      </c>
      <c r="W2656">
        <v>0</v>
      </c>
      <c r="X2656">
        <v>2</v>
      </c>
      <c r="Y2656">
        <v>0</v>
      </c>
      <c r="AA2656">
        <v>1</v>
      </c>
      <c r="AB2656">
        <v>8</v>
      </c>
      <c r="AC2656">
        <v>3</v>
      </c>
      <c r="AD2656">
        <v>0</v>
      </c>
      <c r="AE2656">
        <v>9</v>
      </c>
      <c r="AF2656" t="s">
        <v>138</v>
      </c>
      <c r="AG2656">
        <v>0</v>
      </c>
      <c r="AH2656">
        <v>3</v>
      </c>
      <c r="AI2656">
        <v>2</v>
      </c>
      <c r="AJ2656">
        <v>0</v>
      </c>
      <c r="AK2656" t="s">
        <v>900</v>
      </c>
      <c r="AL2656">
        <v>39.093969000000001</v>
      </c>
      <c r="AM2656" t="s">
        <v>901</v>
      </c>
      <c r="AN2656">
        <v>-121.035411</v>
      </c>
      <c r="AO2656">
        <v>25</v>
      </c>
      <c r="AP2656">
        <v>4500</v>
      </c>
      <c r="AQ2656" t="s">
        <v>131</v>
      </c>
      <c r="AR2656">
        <v>15</v>
      </c>
      <c r="AS2656">
        <v>79</v>
      </c>
      <c r="AT2656">
        <v>-448</v>
      </c>
      <c r="BB2656" t="str">
        <f t="shared" si="1042"/>
        <v>1200</v>
      </c>
      <c r="BC2656">
        <v>1</v>
      </c>
      <c r="BD2656" t="str">
        <f t="shared" si="1043"/>
        <v xml:space="preserve">N52156  </v>
      </c>
      <c r="BE2656">
        <v>1</v>
      </c>
      <c r="BG2656">
        <v>0</v>
      </c>
      <c r="BH2656">
        <v>0</v>
      </c>
      <c r="BI2656">
        <v>0</v>
      </c>
      <c r="BJ2656">
        <v>4550</v>
      </c>
      <c r="BK2656">
        <v>50</v>
      </c>
      <c r="BL2656" t="s">
        <v>188</v>
      </c>
      <c r="BM2656">
        <v>1</v>
      </c>
      <c r="BN2656">
        <v>1</v>
      </c>
      <c r="BO2656">
        <v>0</v>
      </c>
      <c r="BP2656">
        <v>0</v>
      </c>
      <c r="BS2656">
        <v>0</v>
      </c>
      <c r="BT2656">
        <v>0</v>
      </c>
      <c r="BU2656">
        <v>0</v>
      </c>
      <c r="CE2656" t="str">
        <f t="shared" si="1053"/>
        <v>15:11:54.580</v>
      </c>
      <c r="CF2656">
        <v>579974037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5</v>
      </c>
      <c r="CY2656">
        <v>7</v>
      </c>
      <c r="CZ2656" t="s">
        <v>133</v>
      </c>
      <c r="DA2656">
        <v>275</v>
      </c>
      <c r="DB2656">
        <v>0</v>
      </c>
      <c r="DC2656" t="s">
        <v>134</v>
      </c>
      <c r="DD2656" t="s">
        <v>135</v>
      </c>
      <c r="DG2656">
        <v>3321908</v>
      </c>
      <c r="DI2656">
        <v>1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>"05/01/2025 15:11:54.827"</f>
        <v>05/01/2025 15:11:54.827</v>
      </c>
      <c r="C2657" t="str">
        <f t="shared" si="1040"/>
        <v>FFDFD3C0</v>
      </c>
      <c r="D2657" t="s">
        <v>145</v>
      </c>
      <c r="E2657" t="str">
        <f>"09"</f>
        <v>09</v>
      </c>
      <c r="H2657">
        <v>51</v>
      </c>
      <c r="I2657" t="s">
        <v>147</v>
      </c>
      <c r="J2657" t="s">
        <v>138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R2657" t="s">
        <v>127</v>
      </c>
      <c r="S2657" t="str">
        <f t="shared" si="1052"/>
        <v>15:11:54.000</v>
      </c>
      <c r="T2657" t="str">
        <f t="shared" si="1052"/>
        <v>15:11:54.000</v>
      </c>
      <c r="U2657" t="str">
        <f t="shared" si="1041"/>
        <v>A68FCB</v>
      </c>
      <c r="V2657">
        <v>0</v>
      </c>
      <c r="W2657">
        <v>0</v>
      </c>
      <c r="X2657">
        <v>2</v>
      </c>
      <c r="Y2657">
        <v>0</v>
      </c>
      <c r="AA2657">
        <v>1</v>
      </c>
      <c r="AB2657">
        <v>8</v>
      </c>
      <c r="AC2657">
        <v>3</v>
      </c>
      <c r="AD2657">
        <v>0</v>
      </c>
      <c r="AE2657">
        <v>9</v>
      </c>
      <c r="AF2657" t="s">
        <v>138</v>
      </c>
      <c r="AG2657">
        <v>0</v>
      </c>
      <c r="AH2657">
        <v>3</v>
      </c>
      <c r="AI2657">
        <v>2</v>
      </c>
      <c r="AJ2657">
        <v>0</v>
      </c>
      <c r="AK2657" t="s">
        <v>900</v>
      </c>
      <c r="AL2657">
        <v>39.093969000000001</v>
      </c>
      <c r="AM2657" t="s">
        <v>901</v>
      </c>
      <c r="AN2657">
        <v>-121.035411</v>
      </c>
      <c r="AO2657">
        <v>25</v>
      </c>
      <c r="AP2657">
        <v>4500</v>
      </c>
      <c r="AQ2657" t="s">
        <v>131</v>
      </c>
      <c r="AR2657">
        <v>15</v>
      </c>
      <c r="AS2657">
        <v>79</v>
      </c>
      <c r="AT2657">
        <v>-448</v>
      </c>
      <c r="BB2657" t="str">
        <f t="shared" si="1042"/>
        <v>1200</v>
      </c>
      <c r="BC2657">
        <v>1</v>
      </c>
      <c r="BD2657" t="str">
        <f t="shared" si="1043"/>
        <v xml:space="preserve">N52156  </v>
      </c>
      <c r="BE2657">
        <v>1</v>
      </c>
      <c r="BG2657">
        <v>0</v>
      </c>
      <c r="BH2657">
        <v>0</v>
      </c>
      <c r="BI2657">
        <v>0</v>
      </c>
      <c r="BJ2657">
        <v>4550</v>
      </c>
      <c r="BK2657">
        <v>50</v>
      </c>
      <c r="BL2657" t="s">
        <v>188</v>
      </c>
      <c r="BM2657">
        <v>1</v>
      </c>
      <c r="BN2657">
        <v>1</v>
      </c>
      <c r="BO2657">
        <v>0</v>
      </c>
      <c r="BP2657">
        <v>0</v>
      </c>
      <c r="BS2657">
        <v>0</v>
      </c>
      <c r="BT2657">
        <v>0</v>
      </c>
      <c r="BU2657">
        <v>0</v>
      </c>
      <c r="CE2657" t="str">
        <f t="shared" si="1053"/>
        <v>15:11:54.580</v>
      </c>
      <c r="CF2657">
        <v>579974037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5</v>
      </c>
      <c r="CY2657">
        <v>7</v>
      </c>
      <c r="CZ2657" t="s">
        <v>133</v>
      </c>
      <c r="DA2657">
        <v>275</v>
      </c>
      <c r="DB2657">
        <v>0</v>
      </c>
      <c r="DC2657" t="s">
        <v>134</v>
      </c>
      <c r="DD2657" t="s">
        <v>135</v>
      </c>
      <c r="DG2657">
        <v>3321908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>"05/01/2025 15:11:54.834"</f>
        <v>05/01/2025 15:11:54.834</v>
      </c>
      <c r="C2658" t="str">
        <f t="shared" si="1040"/>
        <v>FFDFD3C0</v>
      </c>
      <c r="D2658" t="s">
        <v>136</v>
      </c>
      <c r="E2658" t="str">
        <f>"20"</f>
        <v>20</v>
      </c>
      <c r="H2658">
        <v>400</v>
      </c>
      <c r="I2658" t="s">
        <v>137</v>
      </c>
      <c r="J2658" t="s">
        <v>138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R2658" t="s">
        <v>127</v>
      </c>
      <c r="S2658" t="str">
        <f t="shared" si="1052"/>
        <v>15:11:54.000</v>
      </c>
      <c r="T2658" t="str">
        <f t="shared" si="1052"/>
        <v>15:11:54.000</v>
      </c>
      <c r="U2658" t="str">
        <f t="shared" si="1041"/>
        <v>A68FCB</v>
      </c>
      <c r="V2658">
        <v>0</v>
      </c>
      <c r="W2658">
        <v>0</v>
      </c>
      <c r="X2658">
        <v>2</v>
      </c>
      <c r="Y2658">
        <v>0</v>
      </c>
      <c r="AA2658">
        <v>1</v>
      </c>
      <c r="AB2658">
        <v>8</v>
      </c>
      <c r="AC2658">
        <v>3</v>
      </c>
      <c r="AD2658">
        <v>0</v>
      </c>
      <c r="AE2658">
        <v>9</v>
      </c>
      <c r="AF2658" t="s">
        <v>138</v>
      </c>
      <c r="AG2658">
        <v>0</v>
      </c>
      <c r="AH2658">
        <v>3</v>
      </c>
      <c r="AI2658">
        <v>2</v>
      </c>
      <c r="AJ2658">
        <v>0</v>
      </c>
      <c r="AK2658" t="s">
        <v>900</v>
      </c>
      <c r="AL2658">
        <v>39.093969000000001</v>
      </c>
      <c r="AM2658" t="s">
        <v>901</v>
      </c>
      <c r="AN2658">
        <v>-121.035411</v>
      </c>
      <c r="AO2658">
        <v>25</v>
      </c>
      <c r="AP2658">
        <v>4500</v>
      </c>
      <c r="AQ2658" t="s">
        <v>131</v>
      </c>
      <c r="AR2658">
        <v>15</v>
      </c>
      <c r="AS2658">
        <v>79</v>
      </c>
      <c r="AT2658">
        <v>-448</v>
      </c>
      <c r="BB2658" t="str">
        <f t="shared" si="1042"/>
        <v>1200</v>
      </c>
      <c r="BC2658">
        <v>1</v>
      </c>
      <c r="BD2658" t="str">
        <f t="shared" si="1043"/>
        <v xml:space="preserve">N52156  </v>
      </c>
      <c r="BE2658">
        <v>1</v>
      </c>
      <c r="BG2658">
        <v>0</v>
      </c>
      <c r="BH2658">
        <v>0</v>
      </c>
      <c r="BI2658">
        <v>0</v>
      </c>
      <c r="BJ2658">
        <v>4550</v>
      </c>
      <c r="BK2658">
        <v>50</v>
      </c>
      <c r="BL2658" t="s">
        <v>188</v>
      </c>
      <c r="BM2658">
        <v>1</v>
      </c>
      <c r="BN2658">
        <v>1</v>
      </c>
      <c r="BO2658">
        <v>0</v>
      </c>
      <c r="BP2658">
        <v>0</v>
      </c>
      <c r="BS2658">
        <v>0</v>
      </c>
      <c r="BT2658">
        <v>0</v>
      </c>
      <c r="BU2658">
        <v>0</v>
      </c>
      <c r="CE2658" t="str">
        <f t="shared" si="1053"/>
        <v>15:11:54.580</v>
      </c>
      <c r="CF2658">
        <v>579974037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5</v>
      </c>
      <c r="CY2658">
        <v>7</v>
      </c>
      <c r="CZ2658" t="s">
        <v>133</v>
      </c>
      <c r="DA2658">
        <v>275</v>
      </c>
      <c r="DB2658">
        <v>0</v>
      </c>
      <c r="DC2658" t="s">
        <v>134</v>
      </c>
      <c r="DD2658" t="s">
        <v>135</v>
      </c>
      <c r="DG2658">
        <v>3321908</v>
      </c>
      <c r="DI2658">
        <v>1</v>
      </c>
      <c r="DJ2658">
        <v>0</v>
      </c>
      <c r="DK2658">
        <v>1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>"05/01/2025 15:11:54.842"</f>
        <v>05/01/2025 15:11:54.842</v>
      </c>
      <c r="C2659" t="str">
        <f t="shared" si="1040"/>
        <v>FFDFD3C0</v>
      </c>
      <c r="D2659" t="s">
        <v>143</v>
      </c>
      <c r="E2659" t="str">
        <f>"05"</f>
        <v>05</v>
      </c>
      <c r="H2659">
        <v>172</v>
      </c>
      <c r="I2659" t="s">
        <v>141</v>
      </c>
      <c r="J2659" t="s">
        <v>144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R2659" t="s">
        <v>127</v>
      </c>
      <c r="S2659" t="str">
        <f t="shared" si="1052"/>
        <v>15:11:54.000</v>
      </c>
      <c r="T2659" t="str">
        <f t="shared" si="1052"/>
        <v>15:11:54.000</v>
      </c>
      <c r="U2659" t="str">
        <f t="shared" si="1041"/>
        <v>A68FCB</v>
      </c>
      <c r="V2659">
        <v>0</v>
      </c>
      <c r="W2659">
        <v>0</v>
      </c>
      <c r="X2659">
        <v>2</v>
      </c>
      <c r="Y2659">
        <v>0</v>
      </c>
      <c r="AA2659">
        <v>1</v>
      </c>
      <c r="AB2659">
        <v>8</v>
      </c>
      <c r="AC2659">
        <v>3</v>
      </c>
      <c r="AD2659">
        <v>0</v>
      </c>
      <c r="AE2659">
        <v>9</v>
      </c>
      <c r="AF2659" t="s">
        <v>138</v>
      </c>
      <c r="AG2659">
        <v>0</v>
      </c>
      <c r="AH2659">
        <v>3</v>
      </c>
      <c r="AI2659">
        <v>2</v>
      </c>
      <c r="AJ2659">
        <v>0</v>
      </c>
      <c r="AK2659" t="s">
        <v>900</v>
      </c>
      <c r="AL2659">
        <v>39.093969000000001</v>
      </c>
      <c r="AM2659" t="s">
        <v>901</v>
      </c>
      <c r="AN2659">
        <v>-121.035411</v>
      </c>
      <c r="AO2659">
        <v>25</v>
      </c>
      <c r="AP2659">
        <v>4500</v>
      </c>
      <c r="AQ2659" t="s">
        <v>131</v>
      </c>
      <c r="AR2659">
        <v>15</v>
      </c>
      <c r="AS2659">
        <v>79</v>
      </c>
      <c r="AT2659">
        <v>-448</v>
      </c>
      <c r="BB2659" t="str">
        <f t="shared" si="1042"/>
        <v>1200</v>
      </c>
      <c r="BC2659">
        <v>1</v>
      </c>
      <c r="BD2659" t="str">
        <f t="shared" si="1043"/>
        <v xml:space="preserve">N52156  </v>
      </c>
      <c r="BE2659">
        <v>1</v>
      </c>
      <c r="BG2659">
        <v>0</v>
      </c>
      <c r="BH2659">
        <v>0</v>
      </c>
      <c r="BI2659">
        <v>0</v>
      </c>
      <c r="BJ2659">
        <v>4550</v>
      </c>
      <c r="BK2659">
        <v>50</v>
      </c>
      <c r="BL2659" t="s">
        <v>188</v>
      </c>
      <c r="BM2659">
        <v>1</v>
      </c>
      <c r="BN2659">
        <v>1</v>
      </c>
      <c r="BO2659">
        <v>0</v>
      </c>
      <c r="BP2659">
        <v>0</v>
      </c>
      <c r="BS2659">
        <v>0</v>
      </c>
      <c r="BT2659">
        <v>0</v>
      </c>
      <c r="BU2659">
        <v>0</v>
      </c>
      <c r="CE2659" t="str">
        <f t="shared" si="1053"/>
        <v>15:11:54.580</v>
      </c>
      <c r="CF2659">
        <v>579974037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5</v>
      </c>
      <c r="CY2659">
        <v>7</v>
      </c>
      <c r="CZ2659" t="s">
        <v>133</v>
      </c>
      <c r="DA2659">
        <v>275</v>
      </c>
      <c r="DB2659">
        <v>0</v>
      </c>
      <c r="DC2659" t="s">
        <v>134</v>
      </c>
      <c r="DD2659" t="s">
        <v>135</v>
      </c>
      <c r="DG2659">
        <v>3321908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>"05/01/2025 15:11:55.727"</f>
        <v>05/01/2025 15:11:55.727</v>
      </c>
      <c r="C2660" t="str">
        <f t="shared" si="1040"/>
        <v>FFDFD3C0</v>
      </c>
      <c r="D2660" t="s">
        <v>145</v>
      </c>
      <c r="E2660" t="str">
        <f>"05"</f>
        <v>05</v>
      </c>
      <c r="H2660">
        <v>47</v>
      </c>
      <c r="I2660" t="s">
        <v>146</v>
      </c>
      <c r="J2660" t="s">
        <v>138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R2660" t="s">
        <v>127</v>
      </c>
      <c r="S2660" t="str">
        <f t="shared" ref="S2660:T2665" si="1054">"15:11:55.000"</f>
        <v>15:11:55.000</v>
      </c>
      <c r="T2660" t="str">
        <f t="shared" si="1054"/>
        <v>15:11:55.000</v>
      </c>
      <c r="U2660" t="str">
        <f t="shared" si="1041"/>
        <v>A68FCB</v>
      </c>
      <c r="V2660">
        <v>0</v>
      </c>
      <c r="W2660">
        <v>0</v>
      </c>
      <c r="X2660">
        <v>2</v>
      </c>
      <c r="Y2660">
        <v>0</v>
      </c>
      <c r="AA2660">
        <v>1</v>
      </c>
      <c r="AB2660">
        <v>8</v>
      </c>
      <c r="AC2660">
        <v>3</v>
      </c>
      <c r="AD2660">
        <v>0</v>
      </c>
      <c r="AE2660">
        <v>9</v>
      </c>
      <c r="AF2660" t="s">
        <v>138</v>
      </c>
      <c r="AG2660">
        <v>0</v>
      </c>
      <c r="AH2660">
        <v>3</v>
      </c>
      <c r="AI2660">
        <v>2</v>
      </c>
      <c r="AJ2660">
        <v>0</v>
      </c>
      <c r="AK2660" t="s">
        <v>902</v>
      </c>
      <c r="AL2660">
        <v>39.094334000000003</v>
      </c>
      <c r="AM2660" t="s">
        <v>903</v>
      </c>
      <c r="AN2660">
        <v>-121.035304</v>
      </c>
      <c r="AO2660">
        <v>25</v>
      </c>
      <c r="AP2660">
        <v>4500</v>
      </c>
      <c r="AQ2660" t="s">
        <v>131</v>
      </c>
      <c r="AR2660">
        <v>15</v>
      </c>
      <c r="AS2660">
        <v>78</v>
      </c>
      <c r="AT2660">
        <v>-448</v>
      </c>
      <c r="BB2660" t="str">
        <f t="shared" si="1042"/>
        <v>1200</v>
      </c>
      <c r="BC2660">
        <v>1</v>
      </c>
      <c r="BD2660" t="str">
        <f t="shared" si="1043"/>
        <v xml:space="preserve">N52156  </v>
      </c>
      <c r="BE2660">
        <v>1</v>
      </c>
      <c r="BG2660">
        <v>0</v>
      </c>
      <c r="BH2660">
        <v>0</v>
      </c>
      <c r="BI2660">
        <v>0</v>
      </c>
      <c r="BJ2660">
        <v>4550</v>
      </c>
      <c r="BK2660">
        <v>50</v>
      </c>
      <c r="BL2660" t="s">
        <v>188</v>
      </c>
      <c r="BM2660">
        <v>1</v>
      </c>
      <c r="BN2660">
        <v>1</v>
      </c>
      <c r="BO2660">
        <v>0</v>
      </c>
      <c r="BP2660">
        <v>0</v>
      </c>
      <c r="BS2660">
        <v>0</v>
      </c>
      <c r="BT2660">
        <v>0</v>
      </c>
      <c r="BU2660">
        <v>0</v>
      </c>
      <c r="CE2660" t="str">
        <f t="shared" ref="CE2660:CE2665" si="1055">"15:11:55.488"</f>
        <v>15:11:55.488</v>
      </c>
      <c r="CF2660">
        <v>488473864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5</v>
      </c>
      <c r="CY2660">
        <v>7</v>
      </c>
      <c r="CZ2660" t="s">
        <v>133</v>
      </c>
      <c r="DA2660">
        <v>275</v>
      </c>
      <c r="DB2660">
        <v>0</v>
      </c>
      <c r="DC2660" t="s">
        <v>134</v>
      </c>
      <c r="DD2660" t="s">
        <v>135</v>
      </c>
      <c r="DG2660">
        <v>3321915</v>
      </c>
      <c r="DI2660">
        <v>1</v>
      </c>
      <c r="DJ2660">
        <v>0</v>
      </c>
      <c r="DK2660">
        <v>0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>"05/01/2025 15:11:55.728"</f>
        <v>05/01/2025 15:11:55.728</v>
      </c>
      <c r="C2661" t="str">
        <f t="shared" si="1040"/>
        <v>FFDFD3C0</v>
      </c>
      <c r="D2661" t="s">
        <v>145</v>
      </c>
      <c r="E2661" t="str">
        <f>"09"</f>
        <v>09</v>
      </c>
      <c r="H2661">
        <v>51</v>
      </c>
      <c r="I2661" t="s">
        <v>147</v>
      </c>
      <c r="J2661" t="s">
        <v>138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R2661" t="s">
        <v>127</v>
      </c>
      <c r="S2661" t="str">
        <f t="shared" si="1054"/>
        <v>15:11:55.000</v>
      </c>
      <c r="T2661" t="str">
        <f t="shared" si="1054"/>
        <v>15:11:55.000</v>
      </c>
      <c r="U2661" t="str">
        <f t="shared" si="1041"/>
        <v>A68FCB</v>
      </c>
      <c r="V2661">
        <v>0</v>
      </c>
      <c r="W2661">
        <v>0</v>
      </c>
      <c r="X2661">
        <v>2</v>
      </c>
      <c r="Y2661">
        <v>0</v>
      </c>
      <c r="AA2661">
        <v>1</v>
      </c>
      <c r="AB2661">
        <v>8</v>
      </c>
      <c r="AC2661">
        <v>3</v>
      </c>
      <c r="AD2661">
        <v>0</v>
      </c>
      <c r="AE2661">
        <v>9</v>
      </c>
      <c r="AF2661" t="s">
        <v>138</v>
      </c>
      <c r="AG2661">
        <v>0</v>
      </c>
      <c r="AH2661">
        <v>3</v>
      </c>
      <c r="AI2661">
        <v>2</v>
      </c>
      <c r="AJ2661">
        <v>0</v>
      </c>
      <c r="AK2661" t="s">
        <v>902</v>
      </c>
      <c r="AL2661">
        <v>39.094334000000003</v>
      </c>
      <c r="AM2661" t="s">
        <v>903</v>
      </c>
      <c r="AN2661">
        <v>-121.035304</v>
      </c>
      <c r="AO2661">
        <v>25</v>
      </c>
      <c r="AP2661">
        <v>4500</v>
      </c>
      <c r="AQ2661" t="s">
        <v>131</v>
      </c>
      <c r="AR2661">
        <v>15</v>
      </c>
      <c r="AS2661">
        <v>78</v>
      </c>
      <c r="AT2661">
        <v>-448</v>
      </c>
      <c r="BB2661" t="str">
        <f t="shared" si="1042"/>
        <v>1200</v>
      </c>
      <c r="BC2661">
        <v>1</v>
      </c>
      <c r="BD2661" t="str">
        <f t="shared" si="1043"/>
        <v xml:space="preserve">N52156  </v>
      </c>
      <c r="BE2661">
        <v>1</v>
      </c>
      <c r="BG2661">
        <v>0</v>
      </c>
      <c r="BH2661">
        <v>0</v>
      </c>
      <c r="BI2661">
        <v>0</v>
      </c>
      <c r="BJ2661">
        <v>4550</v>
      </c>
      <c r="BK2661">
        <v>50</v>
      </c>
      <c r="BL2661" t="s">
        <v>188</v>
      </c>
      <c r="BM2661">
        <v>1</v>
      </c>
      <c r="BN2661">
        <v>1</v>
      </c>
      <c r="BO2661">
        <v>0</v>
      </c>
      <c r="BP2661">
        <v>0</v>
      </c>
      <c r="BS2661">
        <v>0</v>
      </c>
      <c r="BT2661">
        <v>0</v>
      </c>
      <c r="BU2661">
        <v>0</v>
      </c>
      <c r="CE2661" t="str">
        <f t="shared" si="1055"/>
        <v>15:11:55.488</v>
      </c>
      <c r="CF2661">
        <v>488473864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5</v>
      </c>
      <c r="CY2661">
        <v>7</v>
      </c>
      <c r="CZ2661" t="s">
        <v>133</v>
      </c>
      <c r="DA2661">
        <v>275</v>
      </c>
      <c r="DB2661">
        <v>0</v>
      </c>
      <c r="DC2661" t="s">
        <v>134</v>
      </c>
      <c r="DD2661" t="s">
        <v>135</v>
      </c>
      <c r="DG2661">
        <v>3321915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>"05/01/2025 15:11:55.736"</f>
        <v>05/01/2025 15:11:55.736</v>
      </c>
      <c r="C2662" t="str">
        <f t="shared" si="1040"/>
        <v>FFDFD3C0</v>
      </c>
      <c r="D2662" t="s">
        <v>136</v>
      </c>
      <c r="E2662" t="str">
        <f>"20"</f>
        <v>20</v>
      </c>
      <c r="H2662">
        <v>400</v>
      </c>
      <c r="I2662" t="s">
        <v>137</v>
      </c>
      <c r="J2662" t="s">
        <v>138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R2662" t="s">
        <v>127</v>
      </c>
      <c r="S2662" t="str">
        <f t="shared" si="1054"/>
        <v>15:11:55.000</v>
      </c>
      <c r="T2662" t="str">
        <f t="shared" si="1054"/>
        <v>15:11:55.000</v>
      </c>
      <c r="U2662" t="str">
        <f t="shared" si="1041"/>
        <v>A68FCB</v>
      </c>
      <c r="V2662">
        <v>0</v>
      </c>
      <c r="W2662">
        <v>0</v>
      </c>
      <c r="X2662">
        <v>2</v>
      </c>
      <c r="Y2662">
        <v>0</v>
      </c>
      <c r="AA2662">
        <v>1</v>
      </c>
      <c r="AB2662">
        <v>8</v>
      </c>
      <c r="AC2662">
        <v>3</v>
      </c>
      <c r="AD2662">
        <v>0</v>
      </c>
      <c r="AE2662">
        <v>9</v>
      </c>
      <c r="AF2662" t="s">
        <v>138</v>
      </c>
      <c r="AG2662">
        <v>0</v>
      </c>
      <c r="AH2662">
        <v>3</v>
      </c>
      <c r="AI2662">
        <v>2</v>
      </c>
      <c r="AJ2662">
        <v>0</v>
      </c>
      <c r="AK2662" t="s">
        <v>902</v>
      </c>
      <c r="AL2662">
        <v>39.094334000000003</v>
      </c>
      <c r="AM2662" t="s">
        <v>903</v>
      </c>
      <c r="AN2662">
        <v>-121.035304</v>
      </c>
      <c r="AO2662">
        <v>25</v>
      </c>
      <c r="AP2662">
        <v>4500</v>
      </c>
      <c r="AQ2662" t="s">
        <v>131</v>
      </c>
      <c r="AR2662">
        <v>15</v>
      </c>
      <c r="AS2662">
        <v>78</v>
      </c>
      <c r="AT2662">
        <v>-448</v>
      </c>
      <c r="BB2662" t="str">
        <f t="shared" si="1042"/>
        <v>1200</v>
      </c>
      <c r="BC2662">
        <v>1</v>
      </c>
      <c r="BD2662" t="str">
        <f t="shared" si="1043"/>
        <v xml:space="preserve">N52156  </v>
      </c>
      <c r="BE2662">
        <v>1</v>
      </c>
      <c r="BG2662">
        <v>0</v>
      </c>
      <c r="BH2662">
        <v>0</v>
      </c>
      <c r="BI2662">
        <v>0</v>
      </c>
      <c r="BJ2662">
        <v>4550</v>
      </c>
      <c r="BK2662">
        <v>50</v>
      </c>
      <c r="BL2662" t="s">
        <v>188</v>
      </c>
      <c r="BM2662">
        <v>1</v>
      </c>
      <c r="BN2662">
        <v>1</v>
      </c>
      <c r="BO2662">
        <v>0</v>
      </c>
      <c r="BP2662">
        <v>0</v>
      </c>
      <c r="BS2662">
        <v>0</v>
      </c>
      <c r="BT2662">
        <v>0</v>
      </c>
      <c r="BU2662">
        <v>0</v>
      </c>
      <c r="CE2662" t="str">
        <f t="shared" si="1055"/>
        <v>15:11:55.488</v>
      </c>
      <c r="CF2662">
        <v>488473864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5</v>
      </c>
      <c r="CY2662">
        <v>7</v>
      </c>
      <c r="CZ2662" t="s">
        <v>133</v>
      </c>
      <c r="DA2662">
        <v>275</v>
      </c>
      <c r="DB2662">
        <v>0</v>
      </c>
      <c r="DC2662" t="s">
        <v>134</v>
      </c>
      <c r="DD2662" t="s">
        <v>135</v>
      </c>
      <c r="DG2662">
        <v>3321915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>"05/01/2025 15:11:55.743"</f>
        <v>05/01/2025 15:11:55.743</v>
      </c>
      <c r="C2663" t="str">
        <f t="shared" si="1040"/>
        <v>FFDFD3C0</v>
      </c>
      <c r="D2663" t="s">
        <v>143</v>
      </c>
      <c r="E2663" t="str">
        <f>"05"</f>
        <v>05</v>
      </c>
      <c r="H2663">
        <v>172</v>
      </c>
      <c r="I2663" t="s">
        <v>141</v>
      </c>
      <c r="J2663" t="s">
        <v>144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R2663" t="s">
        <v>127</v>
      </c>
      <c r="S2663" t="str">
        <f t="shared" si="1054"/>
        <v>15:11:55.000</v>
      </c>
      <c r="T2663" t="str">
        <f t="shared" si="1054"/>
        <v>15:11:55.000</v>
      </c>
      <c r="U2663" t="str">
        <f t="shared" si="1041"/>
        <v>A68FCB</v>
      </c>
      <c r="V2663">
        <v>0</v>
      </c>
      <c r="W2663">
        <v>0</v>
      </c>
      <c r="X2663">
        <v>2</v>
      </c>
      <c r="Y2663">
        <v>0</v>
      </c>
      <c r="AA2663">
        <v>1</v>
      </c>
      <c r="AB2663">
        <v>8</v>
      </c>
      <c r="AC2663">
        <v>3</v>
      </c>
      <c r="AD2663">
        <v>0</v>
      </c>
      <c r="AE2663">
        <v>9</v>
      </c>
      <c r="AF2663" t="s">
        <v>138</v>
      </c>
      <c r="AG2663">
        <v>0</v>
      </c>
      <c r="AH2663">
        <v>3</v>
      </c>
      <c r="AI2663">
        <v>2</v>
      </c>
      <c r="AJ2663">
        <v>0</v>
      </c>
      <c r="AK2663" t="s">
        <v>902</v>
      </c>
      <c r="AL2663">
        <v>39.094334000000003</v>
      </c>
      <c r="AM2663" t="s">
        <v>903</v>
      </c>
      <c r="AN2663">
        <v>-121.035304</v>
      </c>
      <c r="AO2663">
        <v>25</v>
      </c>
      <c r="AP2663">
        <v>4500</v>
      </c>
      <c r="AQ2663" t="s">
        <v>131</v>
      </c>
      <c r="AR2663">
        <v>15</v>
      </c>
      <c r="AS2663">
        <v>78</v>
      </c>
      <c r="AT2663">
        <v>-448</v>
      </c>
      <c r="BB2663" t="str">
        <f t="shared" si="1042"/>
        <v>1200</v>
      </c>
      <c r="BC2663">
        <v>1</v>
      </c>
      <c r="BD2663" t="str">
        <f t="shared" si="1043"/>
        <v xml:space="preserve">N52156  </v>
      </c>
      <c r="BE2663">
        <v>1</v>
      </c>
      <c r="BG2663">
        <v>0</v>
      </c>
      <c r="BH2663">
        <v>0</v>
      </c>
      <c r="BI2663">
        <v>0</v>
      </c>
      <c r="BJ2663">
        <v>4550</v>
      </c>
      <c r="BK2663">
        <v>50</v>
      </c>
      <c r="BL2663" t="s">
        <v>188</v>
      </c>
      <c r="BM2663">
        <v>1</v>
      </c>
      <c r="BN2663">
        <v>1</v>
      </c>
      <c r="BO2663">
        <v>0</v>
      </c>
      <c r="BP2663">
        <v>0</v>
      </c>
      <c r="BS2663">
        <v>0</v>
      </c>
      <c r="BT2663">
        <v>0</v>
      </c>
      <c r="BU2663">
        <v>0</v>
      </c>
      <c r="CE2663" t="str">
        <f t="shared" si="1055"/>
        <v>15:11:55.488</v>
      </c>
      <c r="CF2663">
        <v>488473864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5</v>
      </c>
      <c r="CY2663">
        <v>7</v>
      </c>
      <c r="CZ2663" t="s">
        <v>133</v>
      </c>
      <c r="DA2663">
        <v>275</v>
      </c>
      <c r="DB2663">
        <v>0</v>
      </c>
      <c r="DC2663" t="s">
        <v>134</v>
      </c>
      <c r="DD2663" t="s">
        <v>135</v>
      </c>
      <c r="DG2663">
        <v>3321915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>"05/01/2025 15:11:55.761"</f>
        <v>05/01/2025 15:11:55.761</v>
      </c>
      <c r="C2664" t="str">
        <f t="shared" si="1040"/>
        <v>FFDFD3C0</v>
      </c>
      <c r="D2664" t="s">
        <v>140</v>
      </c>
      <c r="E2664" t="str">
        <f>"13"</f>
        <v>13</v>
      </c>
      <c r="F2664">
        <v>1019</v>
      </c>
      <c r="G2664" t="s">
        <v>141</v>
      </c>
      <c r="J2664" t="s">
        <v>142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R2664" t="s">
        <v>127</v>
      </c>
      <c r="S2664" t="str">
        <f t="shared" si="1054"/>
        <v>15:11:55.000</v>
      </c>
      <c r="T2664" t="str">
        <f t="shared" si="1054"/>
        <v>15:11:55.000</v>
      </c>
      <c r="U2664" t="str">
        <f t="shared" si="1041"/>
        <v>A68FCB</v>
      </c>
      <c r="V2664">
        <v>0</v>
      </c>
      <c r="W2664">
        <v>0</v>
      </c>
      <c r="X2664">
        <v>2</v>
      </c>
      <c r="Y2664">
        <v>0</v>
      </c>
      <c r="AA2664">
        <v>1</v>
      </c>
      <c r="AB2664">
        <v>8</v>
      </c>
      <c r="AC2664">
        <v>3</v>
      </c>
      <c r="AD2664">
        <v>0</v>
      </c>
      <c r="AE2664">
        <v>9</v>
      </c>
      <c r="AF2664" t="s">
        <v>138</v>
      </c>
      <c r="AG2664">
        <v>0</v>
      </c>
      <c r="AH2664">
        <v>3</v>
      </c>
      <c r="AI2664">
        <v>2</v>
      </c>
      <c r="AJ2664">
        <v>0</v>
      </c>
      <c r="AK2664" t="s">
        <v>902</v>
      </c>
      <c r="AL2664">
        <v>39.094334000000003</v>
      </c>
      <c r="AM2664" t="s">
        <v>903</v>
      </c>
      <c r="AN2664">
        <v>-121.035304</v>
      </c>
      <c r="AO2664">
        <v>25</v>
      </c>
      <c r="AP2664">
        <v>4500</v>
      </c>
      <c r="AQ2664" t="s">
        <v>131</v>
      </c>
      <c r="AR2664">
        <v>15</v>
      </c>
      <c r="AS2664">
        <v>78</v>
      </c>
      <c r="AT2664">
        <v>-448</v>
      </c>
      <c r="BB2664" t="str">
        <f t="shared" si="1042"/>
        <v>1200</v>
      </c>
      <c r="BC2664">
        <v>1</v>
      </c>
      <c r="BD2664" t="str">
        <f t="shared" si="1043"/>
        <v xml:space="preserve">N52156  </v>
      </c>
      <c r="BE2664">
        <v>1</v>
      </c>
      <c r="BG2664">
        <v>0</v>
      </c>
      <c r="BH2664">
        <v>0</v>
      </c>
      <c r="BI2664">
        <v>0</v>
      </c>
      <c r="BJ2664">
        <v>4550</v>
      </c>
      <c r="BK2664">
        <v>50</v>
      </c>
      <c r="BL2664" t="s">
        <v>188</v>
      </c>
      <c r="BM2664">
        <v>1</v>
      </c>
      <c r="BN2664">
        <v>1</v>
      </c>
      <c r="BO2664">
        <v>0</v>
      </c>
      <c r="BP2664">
        <v>0</v>
      </c>
      <c r="BS2664">
        <v>0</v>
      </c>
      <c r="BT2664">
        <v>0</v>
      </c>
      <c r="BU2664">
        <v>0</v>
      </c>
      <c r="CE2664" t="str">
        <f t="shared" si="1055"/>
        <v>15:11:55.488</v>
      </c>
      <c r="CF2664">
        <v>488473864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5</v>
      </c>
      <c r="CY2664">
        <v>7</v>
      </c>
      <c r="CZ2664" t="s">
        <v>133</v>
      </c>
      <c r="DA2664">
        <v>275</v>
      </c>
      <c r="DB2664">
        <v>0</v>
      </c>
      <c r="DC2664" t="s">
        <v>134</v>
      </c>
      <c r="DD2664" t="s">
        <v>135</v>
      </c>
      <c r="DG2664">
        <v>3321915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>"05/01/2025 15:11:55.767"</f>
        <v>05/01/2025 15:11:55.767</v>
      </c>
      <c r="C2665" t="str">
        <f t="shared" si="1040"/>
        <v>FFDFD3C0</v>
      </c>
      <c r="D2665" t="s">
        <v>124</v>
      </c>
      <c r="E2665" t="str">
        <f>"06"</f>
        <v>06</v>
      </c>
      <c r="F2665">
        <v>2006</v>
      </c>
      <c r="G2665" t="s">
        <v>125</v>
      </c>
      <c r="J2665" t="s">
        <v>126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R2665" t="s">
        <v>127</v>
      </c>
      <c r="S2665" t="str">
        <f t="shared" si="1054"/>
        <v>15:11:55.000</v>
      </c>
      <c r="T2665" t="str">
        <f t="shared" si="1054"/>
        <v>15:11:55.000</v>
      </c>
      <c r="U2665" t="str">
        <f t="shared" si="1041"/>
        <v>A68FCB</v>
      </c>
      <c r="V2665">
        <v>0</v>
      </c>
      <c r="W2665">
        <v>0</v>
      </c>
      <c r="X2665">
        <v>2</v>
      </c>
      <c r="Y2665">
        <v>0</v>
      </c>
      <c r="AA2665">
        <v>1</v>
      </c>
      <c r="AB2665">
        <v>8</v>
      </c>
      <c r="AC2665">
        <v>3</v>
      </c>
      <c r="AD2665">
        <v>0</v>
      </c>
      <c r="AE2665">
        <v>9</v>
      </c>
      <c r="AF2665" t="s">
        <v>138</v>
      </c>
      <c r="AG2665">
        <v>0</v>
      </c>
      <c r="AH2665">
        <v>3</v>
      </c>
      <c r="AI2665">
        <v>2</v>
      </c>
      <c r="AJ2665">
        <v>0</v>
      </c>
      <c r="AK2665" t="s">
        <v>902</v>
      </c>
      <c r="AL2665">
        <v>39.094334000000003</v>
      </c>
      <c r="AM2665" t="s">
        <v>903</v>
      </c>
      <c r="AN2665">
        <v>-121.035304</v>
      </c>
      <c r="AO2665">
        <v>25</v>
      </c>
      <c r="AP2665">
        <v>4500</v>
      </c>
      <c r="AQ2665" t="s">
        <v>131</v>
      </c>
      <c r="AR2665">
        <v>15</v>
      </c>
      <c r="AS2665">
        <v>78</v>
      </c>
      <c r="AT2665">
        <v>-448</v>
      </c>
      <c r="BB2665" t="str">
        <f t="shared" si="1042"/>
        <v>1200</v>
      </c>
      <c r="BC2665">
        <v>1</v>
      </c>
      <c r="BD2665" t="str">
        <f t="shared" si="1043"/>
        <v xml:space="preserve">N52156  </v>
      </c>
      <c r="BE2665">
        <v>1</v>
      </c>
      <c r="BG2665">
        <v>0</v>
      </c>
      <c r="BH2665">
        <v>0</v>
      </c>
      <c r="BI2665">
        <v>0</v>
      </c>
      <c r="BJ2665">
        <v>4550</v>
      </c>
      <c r="BK2665">
        <v>50</v>
      </c>
      <c r="BL2665" t="s">
        <v>188</v>
      </c>
      <c r="BM2665">
        <v>1</v>
      </c>
      <c r="BN2665">
        <v>1</v>
      </c>
      <c r="BO2665">
        <v>0</v>
      </c>
      <c r="BP2665">
        <v>0</v>
      </c>
      <c r="BS2665">
        <v>0</v>
      </c>
      <c r="BT2665">
        <v>0</v>
      </c>
      <c r="BU2665">
        <v>0</v>
      </c>
      <c r="CE2665" t="str">
        <f t="shared" si="1055"/>
        <v>15:11:55.488</v>
      </c>
      <c r="CF2665">
        <v>488473864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5</v>
      </c>
      <c r="CY2665">
        <v>7</v>
      </c>
      <c r="CZ2665" t="s">
        <v>133</v>
      </c>
      <c r="DA2665">
        <v>275</v>
      </c>
      <c r="DB2665">
        <v>0</v>
      </c>
      <c r="DC2665" t="s">
        <v>134</v>
      </c>
      <c r="DD2665" t="s">
        <v>135</v>
      </c>
      <c r="DG2665">
        <v>3321915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>"05/01/2025 15:11:56.930"</f>
        <v>05/01/2025 15:11:56.930</v>
      </c>
      <c r="C2666" t="str">
        <f t="shared" si="1040"/>
        <v>FFDFD3C0</v>
      </c>
      <c r="D2666" t="s">
        <v>145</v>
      </c>
      <c r="E2666" t="str">
        <f>"05"</f>
        <v>05</v>
      </c>
      <c r="H2666">
        <v>47</v>
      </c>
      <c r="I2666" t="s">
        <v>146</v>
      </c>
      <c r="J2666" t="s">
        <v>138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R2666" t="s">
        <v>127</v>
      </c>
      <c r="S2666" t="str">
        <f t="shared" ref="S2666:T2671" si="1056">"15:11:56.000"</f>
        <v>15:11:56.000</v>
      </c>
      <c r="T2666" t="str">
        <f t="shared" si="1056"/>
        <v>15:11:56.000</v>
      </c>
      <c r="U2666" t="str">
        <f t="shared" si="1041"/>
        <v>A68FCB</v>
      </c>
      <c r="V2666">
        <v>0</v>
      </c>
      <c r="W2666">
        <v>0</v>
      </c>
      <c r="X2666">
        <v>2</v>
      </c>
      <c r="Y2666">
        <v>0</v>
      </c>
      <c r="AA2666">
        <v>1</v>
      </c>
      <c r="AB2666">
        <v>8</v>
      </c>
      <c r="AC2666">
        <v>3</v>
      </c>
      <c r="AD2666">
        <v>0</v>
      </c>
      <c r="AE2666">
        <v>9</v>
      </c>
      <c r="AF2666" t="s">
        <v>138</v>
      </c>
      <c r="AG2666">
        <v>0</v>
      </c>
      <c r="AH2666">
        <v>3</v>
      </c>
      <c r="AI2666">
        <v>2</v>
      </c>
      <c r="AJ2666">
        <v>0</v>
      </c>
      <c r="AK2666" t="s">
        <v>904</v>
      </c>
      <c r="AL2666">
        <v>39.094698000000001</v>
      </c>
      <c r="AM2666" t="s">
        <v>905</v>
      </c>
      <c r="AN2666">
        <v>-121.035218</v>
      </c>
      <c r="AO2666">
        <v>25</v>
      </c>
      <c r="AP2666">
        <v>4500</v>
      </c>
      <c r="AQ2666" t="s">
        <v>131</v>
      </c>
      <c r="AR2666">
        <v>16</v>
      </c>
      <c r="AS2666">
        <v>76</v>
      </c>
      <c r="AT2666">
        <v>-384</v>
      </c>
      <c r="BB2666" t="str">
        <f t="shared" si="1042"/>
        <v>1200</v>
      </c>
      <c r="BC2666">
        <v>1</v>
      </c>
      <c r="BD2666" t="str">
        <f t="shared" si="1043"/>
        <v xml:space="preserve">N52156  </v>
      </c>
      <c r="BE2666">
        <v>1</v>
      </c>
      <c r="BG2666">
        <v>0</v>
      </c>
      <c r="BH2666">
        <v>0</v>
      </c>
      <c r="BI2666">
        <v>0</v>
      </c>
      <c r="BJ2666">
        <v>4550</v>
      </c>
      <c r="BK2666">
        <v>50</v>
      </c>
      <c r="BL2666" t="s">
        <v>188</v>
      </c>
      <c r="BM2666">
        <v>1</v>
      </c>
      <c r="BN2666">
        <v>1</v>
      </c>
      <c r="BO2666">
        <v>0</v>
      </c>
      <c r="BP2666">
        <v>0</v>
      </c>
      <c r="BS2666">
        <v>0</v>
      </c>
      <c r="BT2666">
        <v>0</v>
      </c>
      <c r="BU2666">
        <v>0</v>
      </c>
      <c r="CE2666" t="str">
        <f t="shared" ref="CE2666:CE2671" si="1057">"15:11:56.719"</f>
        <v>15:11:56.719</v>
      </c>
      <c r="CF2666">
        <v>718724572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5</v>
      </c>
      <c r="CY2666">
        <v>7</v>
      </c>
      <c r="CZ2666" t="s">
        <v>133</v>
      </c>
      <c r="DA2666">
        <v>275</v>
      </c>
      <c r="DB2666">
        <v>0</v>
      </c>
      <c r="DC2666" t="s">
        <v>134</v>
      </c>
      <c r="DD2666" t="s">
        <v>135</v>
      </c>
      <c r="DG2666">
        <v>3321920</v>
      </c>
      <c r="DI2666">
        <v>1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>"05/01/2025 15:11:56.930"</f>
        <v>05/01/2025 15:11:56.930</v>
      </c>
      <c r="C2667" t="str">
        <f t="shared" si="1040"/>
        <v>FFDFD3C0</v>
      </c>
      <c r="D2667" t="s">
        <v>145</v>
      </c>
      <c r="E2667" t="str">
        <f>"09"</f>
        <v>09</v>
      </c>
      <c r="H2667">
        <v>51</v>
      </c>
      <c r="I2667" t="s">
        <v>147</v>
      </c>
      <c r="J2667" t="s">
        <v>138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R2667" t="s">
        <v>127</v>
      </c>
      <c r="S2667" t="str">
        <f t="shared" si="1056"/>
        <v>15:11:56.000</v>
      </c>
      <c r="T2667" t="str">
        <f t="shared" si="1056"/>
        <v>15:11:56.000</v>
      </c>
      <c r="U2667" t="str">
        <f t="shared" si="1041"/>
        <v>A68FCB</v>
      </c>
      <c r="V2667">
        <v>0</v>
      </c>
      <c r="W2667">
        <v>0</v>
      </c>
      <c r="X2667">
        <v>2</v>
      </c>
      <c r="Y2667">
        <v>0</v>
      </c>
      <c r="AA2667">
        <v>1</v>
      </c>
      <c r="AB2667">
        <v>8</v>
      </c>
      <c r="AC2667">
        <v>3</v>
      </c>
      <c r="AD2667">
        <v>0</v>
      </c>
      <c r="AE2667">
        <v>9</v>
      </c>
      <c r="AF2667" t="s">
        <v>138</v>
      </c>
      <c r="AG2667">
        <v>0</v>
      </c>
      <c r="AH2667">
        <v>3</v>
      </c>
      <c r="AI2667">
        <v>2</v>
      </c>
      <c r="AJ2667">
        <v>0</v>
      </c>
      <c r="AK2667" t="s">
        <v>904</v>
      </c>
      <c r="AL2667">
        <v>39.094698000000001</v>
      </c>
      <c r="AM2667" t="s">
        <v>905</v>
      </c>
      <c r="AN2667">
        <v>-121.035218</v>
      </c>
      <c r="AO2667">
        <v>25</v>
      </c>
      <c r="AP2667">
        <v>4500</v>
      </c>
      <c r="AQ2667" t="s">
        <v>131</v>
      </c>
      <c r="AR2667">
        <v>16</v>
      </c>
      <c r="AS2667">
        <v>76</v>
      </c>
      <c r="AT2667">
        <v>-384</v>
      </c>
      <c r="BB2667" t="str">
        <f t="shared" si="1042"/>
        <v>1200</v>
      </c>
      <c r="BC2667">
        <v>1</v>
      </c>
      <c r="BD2667" t="str">
        <f t="shared" si="1043"/>
        <v xml:space="preserve">N52156  </v>
      </c>
      <c r="BE2667">
        <v>1</v>
      </c>
      <c r="BG2667">
        <v>0</v>
      </c>
      <c r="BH2667">
        <v>0</v>
      </c>
      <c r="BI2667">
        <v>0</v>
      </c>
      <c r="BJ2667">
        <v>4550</v>
      </c>
      <c r="BK2667">
        <v>50</v>
      </c>
      <c r="BL2667" t="s">
        <v>188</v>
      </c>
      <c r="BM2667">
        <v>1</v>
      </c>
      <c r="BN2667">
        <v>1</v>
      </c>
      <c r="BO2667">
        <v>0</v>
      </c>
      <c r="BP2667">
        <v>0</v>
      </c>
      <c r="BS2667">
        <v>0</v>
      </c>
      <c r="BT2667">
        <v>0</v>
      </c>
      <c r="BU2667">
        <v>0</v>
      </c>
      <c r="CE2667" t="str">
        <f t="shared" si="1057"/>
        <v>15:11:56.719</v>
      </c>
      <c r="CF2667">
        <v>718724572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5</v>
      </c>
      <c r="CY2667">
        <v>7</v>
      </c>
      <c r="CZ2667" t="s">
        <v>133</v>
      </c>
      <c r="DA2667">
        <v>275</v>
      </c>
      <c r="DB2667">
        <v>0</v>
      </c>
      <c r="DC2667" t="s">
        <v>134</v>
      </c>
      <c r="DD2667" t="s">
        <v>135</v>
      </c>
      <c r="DG2667">
        <v>3321920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>"05/01/2025 15:11:56.939"</f>
        <v>05/01/2025 15:11:56.939</v>
      </c>
      <c r="C2668" t="str">
        <f t="shared" si="1040"/>
        <v>FFDFD3C0</v>
      </c>
      <c r="D2668" t="s">
        <v>136</v>
      </c>
      <c r="E2668" t="str">
        <f>"20"</f>
        <v>20</v>
      </c>
      <c r="H2668">
        <v>400</v>
      </c>
      <c r="I2668" t="s">
        <v>137</v>
      </c>
      <c r="J2668" t="s">
        <v>138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R2668" t="s">
        <v>127</v>
      </c>
      <c r="S2668" t="str">
        <f t="shared" si="1056"/>
        <v>15:11:56.000</v>
      </c>
      <c r="T2668" t="str">
        <f t="shared" si="1056"/>
        <v>15:11:56.000</v>
      </c>
      <c r="U2668" t="str">
        <f t="shared" si="1041"/>
        <v>A68FCB</v>
      </c>
      <c r="V2668">
        <v>0</v>
      </c>
      <c r="W2668">
        <v>0</v>
      </c>
      <c r="X2668">
        <v>2</v>
      </c>
      <c r="Y2668">
        <v>0</v>
      </c>
      <c r="AA2668">
        <v>1</v>
      </c>
      <c r="AB2668">
        <v>8</v>
      </c>
      <c r="AC2668">
        <v>3</v>
      </c>
      <c r="AD2668">
        <v>0</v>
      </c>
      <c r="AE2668">
        <v>9</v>
      </c>
      <c r="AF2668" t="s">
        <v>138</v>
      </c>
      <c r="AG2668">
        <v>0</v>
      </c>
      <c r="AH2668">
        <v>3</v>
      </c>
      <c r="AI2668">
        <v>2</v>
      </c>
      <c r="AJ2668">
        <v>0</v>
      </c>
      <c r="AK2668" t="s">
        <v>904</v>
      </c>
      <c r="AL2668">
        <v>39.094698000000001</v>
      </c>
      <c r="AM2668" t="s">
        <v>905</v>
      </c>
      <c r="AN2668">
        <v>-121.035218</v>
      </c>
      <c r="AO2668">
        <v>25</v>
      </c>
      <c r="AP2668">
        <v>4500</v>
      </c>
      <c r="AQ2668" t="s">
        <v>131</v>
      </c>
      <c r="AR2668">
        <v>16</v>
      </c>
      <c r="AS2668">
        <v>76</v>
      </c>
      <c r="AT2668">
        <v>-384</v>
      </c>
      <c r="BB2668" t="str">
        <f t="shared" si="1042"/>
        <v>1200</v>
      </c>
      <c r="BC2668">
        <v>1</v>
      </c>
      <c r="BD2668" t="str">
        <f t="shared" si="1043"/>
        <v xml:space="preserve">N52156  </v>
      </c>
      <c r="BE2668">
        <v>1</v>
      </c>
      <c r="BG2668">
        <v>0</v>
      </c>
      <c r="BH2668">
        <v>0</v>
      </c>
      <c r="BI2668">
        <v>0</v>
      </c>
      <c r="BJ2668">
        <v>4550</v>
      </c>
      <c r="BK2668">
        <v>50</v>
      </c>
      <c r="BL2668" t="s">
        <v>188</v>
      </c>
      <c r="BM2668">
        <v>1</v>
      </c>
      <c r="BN2668">
        <v>1</v>
      </c>
      <c r="BO2668">
        <v>0</v>
      </c>
      <c r="BP2668">
        <v>0</v>
      </c>
      <c r="BS2668">
        <v>0</v>
      </c>
      <c r="BT2668">
        <v>0</v>
      </c>
      <c r="BU2668">
        <v>0</v>
      </c>
      <c r="CE2668" t="str">
        <f t="shared" si="1057"/>
        <v>15:11:56.719</v>
      </c>
      <c r="CF2668">
        <v>718724572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5</v>
      </c>
      <c r="CY2668">
        <v>7</v>
      </c>
      <c r="CZ2668" t="s">
        <v>133</v>
      </c>
      <c r="DA2668">
        <v>275</v>
      </c>
      <c r="DB2668">
        <v>0</v>
      </c>
      <c r="DC2668" t="s">
        <v>134</v>
      </c>
      <c r="DD2668" t="s">
        <v>135</v>
      </c>
      <c r="DG2668">
        <v>3321920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>"05/01/2025 15:11:56.945"</f>
        <v>05/01/2025 15:11:56.945</v>
      </c>
      <c r="C2669" t="str">
        <f t="shared" si="1040"/>
        <v>FFDFD3C0</v>
      </c>
      <c r="D2669" t="s">
        <v>143</v>
      </c>
      <c r="E2669" t="str">
        <f>"05"</f>
        <v>05</v>
      </c>
      <c r="H2669">
        <v>172</v>
      </c>
      <c r="I2669" t="s">
        <v>141</v>
      </c>
      <c r="J2669" t="s">
        <v>144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R2669" t="s">
        <v>127</v>
      </c>
      <c r="S2669" t="str">
        <f t="shared" si="1056"/>
        <v>15:11:56.000</v>
      </c>
      <c r="T2669" t="str">
        <f t="shared" si="1056"/>
        <v>15:11:56.000</v>
      </c>
      <c r="U2669" t="str">
        <f t="shared" si="1041"/>
        <v>A68FCB</v>
      </c>
      <c r="V2669">
        <v>0</v>
      </c>
      <c r="W2669">
        <v>0</v>
      </c>
      <c r="X2669">
        <v>2</v>
      </c>
      <c r="Y2669">
        <v>0</v>
      </c>
      <c r="AA2669">
        <v>1</v>
      </c>
      <c r="AB2669">
        <v>8</v>
      </c>
      <c r="AC2669">
        <v>3</v>
      </c>
      <c r="AD2669">
        <v>0</v>
      </c>
      <c r="AE2669">
        <v>9</v>
      </c>
      <c r="AF2669" t="s">
        <v>138</v>
      </c>
      <c r="AG2669">
        <v>0</v>
      </c>
      <c r="AH2669">
        <v>3</v>
      </c>
      <c r="AI2669">
        <v>2</v>
      </c>
      <c r="AJ2669">
        <v>0</v>
      </c>
      <c r="AK2669" t="s">
        <v>904</v>
      </c>
      <c r="AL2669">
        <v>39.094698000000001</v>
      </c>
      <c r="AM2669" t="s">
        <v>905</v>
      </c>
      <c r="AN2669">
        <v>-121.035218</v>
      </c>
      <c r="AO2669">
        <v>25</v>
      </c>
      <c r="AP2669">
        <v>4500</v>
      </c>
      <c r="AQ2669" t="s">
        <v>131</v>
      </c>
      <c r="AR2669">
        <v>16</v>
      </c>
      <c r="AS2669">
        <v>76</v>
      </c>
      <c r="AT2669">
        <v>-384</v>
      </c>
      <c r="BB2669" t="str">
        <f t="shared" si="1042"/>
        <v>1200</v>
      </c>
      <c r="BC2669">
        <v>1</v>
      </c>
      <c r="BD2669" t="str">
        <f t="shared" si="1043"/>
        <v xml:space="preserve">N52156  </v>
      </c>
      <c r="BE2669">
        <v>1</v>
      </c>
      <c r="BG2669">
        <v>0</v>
      </c>
      <c r="BH2669">
        <v>0</v>
      </c>
      <c r="BI2669">
        <v>0</v>
      </c>
      <c r="BJ2669">
        <v>4550</v>
      </c>
      <c r="BK2669">
        <v>50</v>
      </c>
      <c r="BL2669" t="s">
        <v>188</v>
      </c>
      <c r="BM2669">
        <v>1</v>
      </c>
      <c r="BN2669">
        <v>1</v>
      </c>
      <c r="BO2669">
        <v>0</v>
      </c>
      <c r="BP2669">
        <v>0</v>
      </c>
      <c r="BS2669">
        <v>0</v>
      </c>
      <c r="BT2669">
        <v>0</v>
      </c>
      <c r="BU2669">
        <v>0</v>
      </c>
      <c r="CE2669" t="str">
        <f t="shared" si="1057"/>
        <v>15:11:56.719</v>
      </c>
      <c r="CF2669">
        <v>718724572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5</v>
      </c>
      <c r="CY2669">
        <v>7</v>
      </c>
      <c r="CZ2669" t="s">
        <v>133</v>
      </c>
      <c r="DA2669">
        <v>275</v>
      </c>
      <c r="DB2669">
        <v>0</v>
      </c>
      <c r="DC2669" t="s">
        <v>134</v>
      </c>
      <c r="DD2669" t="s">
        <v>135</v>
      </c>
      <c r="DG2669">
        <v>3321920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>"05/01/2025 15:11:56.963"</f>
        <v>05/01/2025 15:11:56.963</v>
      </c>
      <c r="C2670" t="str">
        <f t="shared" si="1040"/>
        <v>FFDFD3C0</v>
      </c>
      <c r="D2670" t="s">
        <v>140</v>
      </c>
      <c r="E2670" t="str">
        <f>"13"</f>
        <v>13</v>
      </c>
      <c r="F2670">
        <v>1019</v>
      </c>
      <c r="G2670" t="s">
        <v>141</v>
      </c>
      <c r="J2670" t="s">
        <v>142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R2670" t="s">
        <v>127</v>
      </c>
      <c r="S2670" t="str">
        <f t="shared" si="1056"/>
        <v>15:11:56.000</v>
      </c>
      <c r="T2670" t="str">
        <f t="shared" si="1056"/>
        <v>15:11:56.000</v>
      </c>
      <c r="U2670" t="str">
        <f t="shared" si="1041"/>
        <v>A68FCB</v>
      </c>
      <c r="V2670">
        <v>0</v>
      </c>
      <c r="W2670">
        <v>0</v>
      </c>
      <c r="X2670">
        <v>2</v>
      </c>
      <c r="Y2670">
        <v>0</v>
      </c>
      <c r="AA2670">
        <v>1</v>
      </c>
      <c r="AB2670">
        <v>8</v>
      </c>
      <c r="AC2670">
        <v>3</v>
      </c>
      <c r="AD2670">
        <v>0</v>
      </c>
      <c r="AE2670">
        <v>9</v>
      </c>
      <c r="AF2670" t="s">
        <v>138</v>
      </c>
      <c r="AG2670">
        <v>0</v>
      </c>
      <c r="AH2670">
        <v>3</v>
      </c>
      <c r="AI2670">
        <v>2</v>
      </c>
      <c r="AJ2670">
        <v>0</v>
      </c>
      <c r="AK2670" t="s">
        <v>904</v>
      </c>
      <c r="AL2670">
        <v>39.094698000000001</v>
      </c>
      <c r="AM2670" t="s">
        <v>905</v>
      </c>
      <c r="AN2670">
        <v>-121.035218</v>
      </c>
      <c r="AO2670">
        <v>25</v>
      </c>
      <c r="AP2670">
        <v>4500</v>
      </c>
      <c r="AQ2670" t="s">
        <v>131</v>
      </c>
      <c r="AR2670">
        <v>16</v>
      </c>
      <c r="AS2670">
        <v>76</v>
      </c>
      <c r="AT2670">
        <v>-384</v>
      </c>
      <c r="BB2670" t="str">
        <f t="shared" si="1042"/>
        <v>1200</v>
      </c>
      <c r="BC2670">
        <v>1</v>
      </c>
      <c r="BD2670" t="str">
        <f t="shared" si="1043"/>
        <v xml:space="preserve">N52156  </v>
      </c>
      <c r="BE2670">
        <v>1</v>
      </c>
      <c r="BG2670">
        <v>0</v>
      </c>
      <c r="BH2670">
        <v>0</v>
      </c>
      <c r="BI2670">
        <v>0</v>
      </c>
      <c r="BJ2670">
        <v>4550</v>
      </c>
      <c r="BK2670">
        <v>50</v>
      </c>
      <c r="BL2670" t="s">
        <v>188</v>
      </c>
      <c r="BM2670">
        <v>1</v>
      </c>
      <c r="BN2670">
        <v>1</v>
      </c>
      <c r="BO2670">
        <v>0</v>
      </c>
      <c r="BP2670">
        <v>0</v>
      </c>
      <c r="BS2670">
        <v>0</v>
      </c>
      <c r="BT2670">
        <v>0</v>
      </c>
      <c r="BU2670">
        <v>0</v>
      </c>
      <c r="CE2670" t="str">
        <f t="shared" si="1057"/>
        <v>15:11:56.719</v>
      </c>
      <c r="CF2670">
        <v>718724572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5</v>
      </c>
      <c r="CY2670">
        <v>7</v>
      </c>
      <c r="CZ2670" t="s">
        <v>133</v>
      </c>
      <c r="DA2670">
        <v>275</v>
      </c>
      <c r="DB2670">
        <v>0</v>
      </c>
      <c r="DC2670" t="s">
        <v>134</v>
      </c>
      <c r="DD2670" t="s">
        <v>135</v>
      </c>
      <c r="DG2670">
        <v>3321920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"05/01/2025 15:11:56.968"</f>
        <v>05/01/2025 15:11:56.968</v>
      </c>
      <c r="C2671" t="str">
        <f t="shared" si="1040"/>
        <v>FFDFD3C0</v>
      </c>
      <c r="D2671" t="s">
        <v>124</v>
      </c>
      <c r="E2671" t="str">
        <f>"06"</f>
        <v>06</v>
      </c>
      <c r="F2671">
        <v>2006</v>
      </c>
      <c r="G2671" t="s">
        <v>125</v>
      </c>
      <c r="J2671" t="s">
        <v>126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R2671" t="s">
        <v>127</v>
      </c>
      <c r="S2671" t="str">
        <f t="shared" si="1056"/>
        <v>15:11:56.000</v>
      </c>
      <c r="T2671" t="str">
        <f t="shared" si="1056"/>
        <v>15:11:56.000</v>
      </c>
      <c r="U2671" t="str">
        <f t="shared" si="1041"/>
        <v>A68FCB</v>
      </c>
      <c r="V2671">
        <v>0</v>
      </c>
      <c r="W2671">
        <v>0</v>
      </c>
      <c r="X2671">
        <v>2</v>
      </c>
      <c r="Y2671">
        <v>0</v>
      </c>
      <c r="AA2671">
        <v>1</v>
      </c>
      <c r="AB2671">
        <v>8</v>
      </c>
      <c r="AC2671">
        <v>3</v>
      </c>
      <c r="AD2671">
        <v>0</v>
      </c>
      <c r="AE2671">
        <v>9</v>
      </c>
      <c r="AF2671" t="s">
        <v>138</v>
      </c>
      <c r="AG2671">
        <v>0</v>
      </c>
      <c r="AH2671">
        <v>3</v>
      </c>
      <c r="AI2671">
        <v>2</v>
      </c>
      <c r="AJ2671">
        <v>0</v>
      </c>
      <c r="AK2671" t="s">
        <v>904</v>
      </c>
      <c r="AL2671">
        <v>39.094698000000001</v>
      </c>
      <c r="AM2671" t="s">
        <v>905</v>
      </c>
      <c r="AN2671">
        <v>-121.035218</v>
      </c>
      <c r="AO2671">
        <v>25</v>
      </c>
      <c r="AP2671">
        <v>4500</v>
      </c>
      <c r="AQ2671" t="s">
        <v>131</v>
      </c>
      <c r="AR2671">
        <v>16</v>
      </c>
      <c r="AS2671">
        <v>76</v>
      </c>
      <c r="AT2671">
        <v>-384</v>
      </c>
      <c r="BB2671" t="str">
        <f t="shared" si="1042"/>
        <v>1200</v>
      </c>
      <c r="BC2671">
        <v>1</v>
      </c>
      <c r="BD2671" t="str">
        <f t="shared" si="1043"/>
        <v xml:space="preserve">N52156  </v>
      </c>
      <c r="BE2671">
        <v>1</v>
      </c>
      <c r="BG2671">
        <v>0</v>
      </c>
      <c r="BH2671">
        <v>0</v>
      </c>
      <c r="BI2671">
        <v>0</v>
      </c>
      <c r="BJ2671">
        <v>4550</v>
      </c>
      <c r="BK2671">
        <v>50</v>
      </c>
      <c r="BL2671" t="s">
        <v>188</v>
      </c>
      <c r="BM2671">
        <v>1</v>
      </c>
      <c r="BN2671">
        <v>1</v>
      </c>
      <c r="BO2671">
        <v>0</v>
      </c>
      <c r="BP2671">
        <v>0</v>
      </c>
      <c r="BS2671">
        <v>0</v>
      </c>
      <c r="BT2671">
        <v>0</v>
      </c>
      <c r="BU2671">
        <v>0</v>
      </c>
      <c r="CE2671" t="str">
        <f t="shared" si="1057"/>
        <v>15:11:56.719</v>
      </c>
      <c r="CF2671">
        <v>718724572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5</v>
      </c>
      <c r="CY2671">
        <v>7</v>
      </c>
      <c r="CZ2671" t="s">
        <v>133</v>
      </c>
      <c r="DA2671">
        <v>275</v>
      </c>
      <c r="DB2671">
        <v>0</v>
      </c>
      <c r="DC2671" t="s">
        <v>134</v>
      </c>
      <c r="DD2671" t="s">
        <v>135</v>
      </c>
      <c r="DG2671">
        <v>3321920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"05/01/2025 15:11:57.631"</f>
        <v>05/01/2025 15:11:57.631</v>
      </c>
      <c r="C2672" t="str">
        <f t="shared" si="1040"/>
        <v>FFDFD3C0</v>
      </c>
      <c r="D2672" t="s">
        <v>145</v>
      </c>
      <c r="E2672" t="str">
        <f>"05"</f>
        <v>05</v>
      </c>
      <c r="H2672">
        <v>47</v>
      </c>
      <c r="I2672" t="s">
        <v>146</v>
      </c>
      <c r="J2672" t="s">
        <v>138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R2672" t="s">
        <v>127</v>
      </c>
      <c r="S2672" t="str">
        <f t="shared" ref="S2672:T2677" si="1058">"15:11:57.000"</f>
        <v>15:11:57.000</v>
      </c>
      <c r="T2672" t="str">
        <f t="shared" si="1058"/>
        <v>15:11:57.000</v>
      </c>
      <c r="U2672" t="str">
        <f t="shared" si="1041"/>
        <v>A68FCB</v>
      </c>
      <c r="V2672">
        <v>0</v>
      </c>
      <c r="W2672">
        <v>0</v>
      </c>
      <c r="X2672">
        <v>2</v>
      </c>
      <c r="Y2672">
        <v>0</v>
      </c>
      <c r="AA2672">
        <v>1</v>
      </c>
      <c r="AB2672">
        <v>8</v>
      </c>
      <c r="AC2672">
        <v>3</v>
      </c>
      <c r="AD2672">
        <v>0</v>
      </c>
      <c r="AE2672">
        <v>9</v>
      </c>
      <c r="AF2672" t="s">
        <v>138</v>
      </c>
      <c r="AG2672">
        <v>0</v>
      </c>
      <c r="AH2672">
        <v>3</v>
      </c>
      <c r="AI2672">
        <v>2</v>
      </c>
      <c r="AJ2672">
        <v>0</v>
      </c>
      <c r="AK2672" t="s">
        <v>906</v>
      </c>
      <c r="AL2672">
        <v>39.095063000000003</v>
      </c>
      <c r="AM2672" t="s">
        <v>907</v>
      </c>
      <c r="AN2672">
        <v>-121.035132</v>
      </c>
      <c r="AO2672">
        <v>25</v>
      </c>
      <c r="AP2672">
        <v>4500</v>
      </c>
      <c r="AQ2672" t="s">
        <v>131</v>
      </c>
      <c r="AR2672">
        <v>16</v>
      </c>
      <c r="AS2672">
        <v>76</v>
      </c>
      <c r="AT2672">
        <v>-320</v>
      </c>
      <c r="BB2672" t="str">
        <f t="shared" si="1042"/>
        <v>1200</v>
      </c>
      <c r="BC2672">
        <v>1</v>
      </c>
      <c r="BD2672" t="str">
        <f t="shared" si="1043"/>
        <v xml:space="preserve">N52156  </v>
      </c>
      <c r="BE2672">
        <v>1</v>
      </c>
      <c r="BG2672">
        <v>0</v>
      </c>
      <c r="BH2672">
        <v>0</v>
      </c>
      <c r="BI2672">
        <v>0</v>
      </c>
      <c r="BJ2672">
        <v>4550</v>
      </c>
      <c r="BK2672">
        <v>50</v>
      </c>
      <c r="BL2672" t="s">
        <v>188</v>
      </c>
      <c r="BM2672">
        <v>1</v>
      </c>
      <c r="BN2672">
        <v>1</v>
      </c>
      <c r="BO2672">
        <v>0</v>
      </c>
      <c r="BP2672">
        <v>0</v>
      </c>
      <c r="BS2672">
        <v>0</v>
      </c>
      <c r="BT2672">
        <v>0</v>
      </c>
      <c r="BU2672">
        <v>0</v>
      </c>
      <c r="CE2672" t="str">
        <f t="shared" ref="CE2672:CE2677" si="1059">"15:11:57.429"</f>
        <v>15:11:57.429</v>
      </c>
      <c r="CF2672">
        <v>429223899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5</v>
      </c>
      <c r="CY2672">
        <v>7</v>
      </c>
      <c r="CZ2672" t="s">
        <v>133</v>
      </c>
      <c r="DA2672">
        <v>275</v>
      </c>
      <c r="DB2672">
        <v>0</v>
      </c>
      <c r="DC2672" t="s">
        <v>134</v>
      </c>
      <c r="DD2672" t="s">
        <v>135</v>
      </c>
      <c r="DG2672">
        <v>3321924</v>
      </c>
      <c r="DI2672">
        <v>1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>"05/01/2025 15:11:57.631"</f>
        <v>05/01/2025 15:11:57.631</v>
      </c>
      <c r="C2673" t="str">
        <f t="shared" si="1040"/>
        <v>FFDFD3C0</v>
      </c>
      <c r="D2673" t="s">
        <v>145</v>
      </c>
      <c r="E2673" t="str">
        <f>"09"</f>
        <v>09</v>
      </c>
      <c r="H2673">
        <v>51</v>
      </c>
      <c r="I2673" t="s">
        <v>147</v>
      </c>
      <c r="J2673" t="s">
        <v>138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R2673" t="s">
        <v>127</v>
      </c>
      <c r="S2673" t="str">
        <f t="shared" si="1058"/>
        <v>15:11:57.000</v>
      </c>
      <c r="T2673" t="str">
        <f t="shared" si="1058"/>
        <v>15:11:57.000</v>
      </c>
      <c r="U2673" t="str">
        <f t="shared" si="1041"/>
        <v>A68FCB</v>
      </c>
      <c r="V2673">
        <v>0</v>
      </c>
      <c r="W2673">
        <v>0</v>
      </c>
      <c r="X2673">
        <v>2</v>
      </c>
      <c r="Y2673">
        <v>0</v>
      </c>
      <c r="AA2673">
        <v>1</v>
      </c>
      <c r="AB2673">
        <v>8</v>
      </c>
      <c r="AC2673">
        <v>3</v>
      </c>
      <c r="AD2673">
        <v>0</v>
      </c>
      <c r="AE2673">
        <v>9</v>
      </c>
      <c r="AF2673" t="s">
        <v>138</v>
      </c>
      <c r="AG2673">
        <v>0</v>
      </c>
      <c r="AH2673">
        <v>3</v>
      </c>
      <c r="AI2673">
        <v>2</v>
      </c>
      <c r="AJ2673">
        <v>0</v>
      </c>
      <c r="AK2673" t="s">
        <v>906</v>
      </c>
      <c r="AL2673">
        <v>39.095063000000003</v>
      </c>
      <c r="AM2673" t="s">
        <v>907</v>
      </c>
      <c r="AN2673">
        <v>-121.035132</v>
      </c>
      <c r="AO2673">
        <v>25</v>
      </c>
      <c r="AP2673">
        <v>4500</v>
      </c>
      <c r="AQ2673" t="s">
        <v>131</v>
      </c>
      <c r="AR2673">
        <v>16</v>
      </c>
      <c r="AS2673">
        <v>76</v>
      </c>
      <c r="AT2673">
        <v>-320</v>
      </c>
      <c r="BB2673" t="str">
        <f t="shared" si="1042"/>
        <v>1200</v>
      </c>
      <c r="BC2673">
        <v>1</v>
      </c>
      <c r="BD2673" t="str">
        <f t="shared" si="1043"/>
        <v xml:space="preserve">N52156  </v>
      </c>
      <c r="BE2673">
        <v>1</v>
      </c>
      <c r="BG2673">
        <v>0</v>
      </c>
      <c r="BH2673">
        <v>0</v>
      </c>
      <c r="BI2673">
        <v>0</v>
      </c>
      <c r="BJ2673">
        <v>4550</v>
      </c>
      <c r="BK2673">
        <v>50</v>
      </c>
      <c r="BL2673" t="s">
        <v>188</v>
      </c>
      <c r="BM2673">
        <v>1</v>
      </c>
      <c r="BN2673">
        <v>1</v>
      </c>
      <c r="BO2673">
        <v>0</v>
      </c>
      <c r="BP2673">
        <v>0</v>
      </c>
      <c r="BS2673">
        <v>0</v>
      </c>
      <c r="BT2673">
        <v>0</v>
      </c>
      <c r="BU2673">
        <v>0</v>
      </c>
      <c r="CE2673" t="str">
        <f t="shared" si="1059"/>
        <v>15:11:57.429</v>
      </c>
      <c r="CF2673">
        <v>429223899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5</v>
      </c>
      <c r="CY2673">
        <v>7</v>
      </c>
      <c r="CZ2673" t="s">
        <v>133</v>
      </c>
      <c r="DA2673">
        <v>275</v>
      </c>
      <c r="DB2673">
        <v>0</v>
      </c>
      <c r="DC2673" t="s">
        <v>134</v>
      </c>
      <c r="DD2673" t="s">
        <v>135</v>
      </c>
      <c r="DG2673">
        <v>3321924</v>
      </c>
      <c r="DI2673">
        <v>1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>"05/01/2025 15:11:57.640"</f>
        <v>05/01/2025 15:11:57.640</v>
      </c>
      <c r="C2674" t="str">
        <f t="shared" si="1040"/>
        <v>FFDFD3C0</v>
      </c>
      <c r="D2674" t="s">
        <v>136</v>
      </c>
      <c r="E2674" t="str">
        <f>"20"</f>
        <v>20</v>
      </c>
      <c r="H2674">
        <v>400</v>
      </c>
      <c r="I2674" t="s">
        <v>137</v>
      </c>
      <c r="J2674" t="s">
        <v>138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R2674" t="s">
        <v>127</v>
      </c>
      <c r="S2674" t="str">
        <f t="shared" si="1058"/>
        <v>15:11:57.000</v>
      </c>
      <c r="T2674" t="str">
        <f t="shared" si="1058"/>
        <v>15:11:57.000</v>
      </c>
      <c r="U2674" t="str">
        <f t="shared" si="1041"/>
        <v>A68FCB</v>
      </c>
      <c r="V2674">
        <v>0</v>
      </c>
      <c r="W2674">
        <v>0</v>
      </c>
      <c r="X2674">
        <v>2</v>
      </c>
      <c r="Y2674">
        <v>0</v>
      </c>
      <c r="AA2674">
        <v>1</v>
      </c>
      <c r="AB2674">
        <v>8</v>
      </c>
      <c r="AC2674">
        <v>3</v>
      </c>
      <c r="AD2674">
        <v>0</v>
      </c>
      <c r="AE2674">
        <v>9</v>
      </c>
      <c r="AF2674" t="s">
        <v>138</v>
      </c>
      <c r="AG2674">
        <v>0</v>
      </c>
      <c r="AH2674">
        <v>3</v>
      </c>
      <c r="AI2674">
        <v>2</v>
      </c>
      <c r="AJ2674">
        <v>0</v>
      </c>
      <c r="AK2674" t="s">
        <v>906</v>
      </c>
      <c r="AL2674">
        <v>39.095063000000003</v>
      </c>
      <c r="AM2674" t="s">
        <v>907</v>
      </c>
      <c r="AN2674">
        <v>-121.035132</v>
      </c>
      <c r="AO2674">
        <v>25</v>
      </c>
      <c r="AP2674">
        <v>4500</v>
      </c>
      <c r="AQ2674" t="s">
        <v>131</v>
      </c>
      <c r="AR2674">
        <v>16</v>
      </c>
      <c r="AS2674">
        <v>76</v>
      </c>
      <c r="AT2674">
        <v>-320</v>
      </c>
      <c r="BB2674" t="str">
        <f t="shared" si="1042"/>
        <v>1200</v>
      </c>
      <c r="BC2674">
        <v>1</v>
      </c>
      <c r="BD2674" t="str">
        <f t="shared" si="1043"/>
        <v xml:space="preserve">N52156  </v>
      </c>
      <c r="BE2674">
        <v>1</v>
      </c>
      <c r="BG2674">
        <v>0</v>
      </c>
      <c r="BH2674">
        <v>0</v>
      </c>
      <c r="BI2674">
        <v>0</v>
      </c>
      <c r="BJ2674">
        <v>4550</v>
      </c>
      <c r="BK2674">
        <v>50</v>
      </c>
      <c r="BL2674" t="s">
        <v>188</v>
      </c>
      <c r="BM2674">
        <v>1</v>
      </c>
      <c r="BN2674">
        <v>1</v>
      </c>
      <c r="BO2674">
        <v>0</v>
      </c>
      <c r="BP2674">
        <v>0</v>
      </c>
      <c r="BS2674">
        <v>0</v>
      </c>
      <c r="BT2674">
        <v>0</v>
      </c>
      <c r="BU2674">
        <v>0</v>
      </c>
      <c r="CE2674" t="str">
        <f t="shared" si="1059"/>
        <v>15:11:57.429</v>
      </c>
      <c r="CF2674">
        <v>429223899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5</v>
      </c>
      <c r="CY2674">
        <v>7</v>
      </c>
      <c r="CZ2674" t="s">
        <v>133</v>
      </c>
      <c r="DA2674">
        <v>275</v>
      </c>
      <c r="DB2674">
        <v>0</v>
      </c>
      <c r="DC2674" t="s">
        <v>134</v>
      </c>
      <c r="DD2674" t="s">
        <v>135</v>
      </c>
      <c r="DG2674">
        <v>3321924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"05/01/2025 15:11:57.646"</f>
        <v>05/01/2025 15:11:57.646</v>
      </c>
      <c r="C2675" t="str">
        <f t="shared" si="1040"/>
        <v>FFDFD3C0</v>
      </c>
      <c r="D2675" t="s">
        <v>143</v>
      </c>
      <c r="E2675" t="str">
        <f>"05"</f>
        <v>05</v>
      </c>
      <c r="H2675">
        <v>172</v>
      </c>
      <c r="I2675" t="s">
        <v>141</v>
      </c>
      <c r="J2675" t="s">
        <v>144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R2675" t="s">
        <v>127</v>
      </c>
      <c r="S2675" t="str">
        <f t="shared" si="1058"/>
        <v>15:11:57.000</v>
      </c>
      <c r="T2675" t="str">
        <f t="shared" si="1058"/>
        <v>15:11:57.000</v>
      </c>
      <c r="U2675" t="str">
        <f t="shared" si="1041"/>
        <v>A68FCB</v>
      </c>
      <c r="V2675">
        <v>0</v>
      </c>
      <c r="W2675">
        <v>0</v>
      </c>
      <c r="X2675">
        <v>2</v>
      </c>
      <c r="Y2675">
        <v>0</v>
      </c>
      <c r="AA2675">
        <v>1</v>
      </c>
      <c r="AB2675">
        <v>8</v>
      </c>
      <c r="AC2675">
        <v>3</v>
      </c>
      <c r="AD2675">
        <v>0</v>
      </c>
      <c r="AE2675">
        <v>9</v>
      </c>
      <c r="AF2675" t="s">
        <v>138</v>
      </c>
      <c r="AG2675">
        <v>0</v>
      </c>
      <c r="AH2675">
        <v>3</v>
      </c>
      <c r="AI2675">
        <v>2</v>
      </c>
      <c r="AJ2675">
        <v>0</v>
      </c>
      <c r="AK2675" t="s">
        <v>906</v>
      </c>
      <c r="AL2675">
        <v>39.095063000000003</v>
      </c>
      <c r="AM2675" t="s">
        <v>907</v>
      </c>
      <c r="AN2675">
        <v>-121.035132</v>
      </c>
      <c r="AO2675">
        <v>25</v>
      </c>
      <c r="AP2675">
        <v>4500</v>
      </c>
      <c r="AQ2675" t="s">
        <v>131</v>
      </c>
      <c r="AR2675">
        <v>16</v>
      </c>
      <c r="AS2675">
        <v>76</v>
      </c>
      <c r="AT2675">
        <v>-320</v>
      </c>
      <c r="BB2675" t="str">
        <f t="shared" si="1042"/>
        <v>1200</v>
      </c>
      <c r="BC2675">
        <v>1</v>
      </c>
      <c r="BD2675" t="str">
        <f t="shared" si="1043"/>
        <v xml:space="preserve">N52156  </v>
      </c>
      <c r="BE2675">
        <v>1</v>
      </c>
      <c r="BG2675">
        <v>0</v>
      </c>
      <c r="BH2675">
        <v>0</v>
      </c>
      <c r="BI2675">
        <v>0</v>
      </c>
      <c r="BJ2675">
        <v>4550</v>
      </c>
      <c r="BK2675">
        <v>50</v>
      </c>
      <c r="BL2675" t="s">
        <v>188</v>
      </c>
      <c r="BM2675">
        <v>1</v>
      </c>
      <c r="BN2675">
        <v>1</v>
      </c>
      <c r="BO2675">
        <v>0</v>
      </c>
      <c r="BP2675">
        <v>0</v>
      </c>
      <c r="BS2675">
        <v>0</v>
      </c>
      <c r="BT2675">
        <v>0</v>
      </c>
      <c r="BU2675">
        <v>0</v>
      </c>
      <c r="CE2675" t="str">
        <f t="shared" si="1059"/>
        <v>15:11:57.429</v>
      </c>
      <c r="CF2675">
        <v>429223899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5</v>
      </c>
      <c r="CY2675">
        <v>7</v>
      </c>
      <c r="CZ2675" t="s">
        <v>133</v>
      </c>
      <c r="DA2675">
        <v>275</v>
      </c>
      <c r="DB2675">
        <v>0</v>
      </c>
      <c r="DC2675" t="s">
        <v>134</v>
      </c>
      <c r="DD2675" t="s">
        <v>135</v>
      </c>
      <c r="DG2675">
        <v>3321924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"05/01/2025 15:11:57.665"</f>
        <v>05/01/2025 15:11:57.665</v>
      </c>
      <c r="C2676" t="str">
        <f t="shared" si="1040"/>
        <v>FFDFD3C0</v>
      </c>
      <c r="D2676" t="s">
        <v>140</v>
      </c>
      <c r="E2676" t="str">
        <f>"13"</f>
        <v>13</v>
      </c>
      <c r="F2676">
        <v>1019</v>
      </c>
      <c r="G2676" t="s">
        <v>141</v>
      </c>
      <c r="J2676" t="s">
        <v>142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R2676" t="s">
        <v>127</v>
      </c>
      <c r="S2676" t="str">
        <f t="shared" si="1058"/>
        <v>15:11:57.000</v>
      </c>
      <c r="T2676" t="str">
        <f t="shared" si="1058"/>
        <v>15:11:57.000</v>
      </c>
      <c r="U2676" t="str">
        <f t="shared" si="1041"/>
        <v>A68FCB</v>
      </c>
      <c r="V2676">
        <v>0</v>
      </c>
      <c r="W2676">
        <v>0</v>
      </c>
      <c r="X2676">
        <v>2</v>
      </c>
      <c r="Y2676">
        <v>0</v>
      </c>
      <c r="AA2676">
        <v>1</v>
      </c>
      <c r="AB2676">
        <v>8</v>
      </c>
      <c r="AC2676">
        <v>3</v>
      </c>
      <c r="AD2676">
        <v>0</v>
      </c>
      <c r="AE2676">
        <v>9</v>
      </c>
      <c r="AF2676" t="s">
        <v>138</v>
      </c>
      <c r="AG2676">
        <v>0</v>
      </c>
      <c r="AH2676">
        <v>3</v>
      </c>
      <c r="AI2676">
        <v>2</v>
      </c>
      <c r="AJ2676">
        <v>0</v>
      </c>
      <c r="AK2676" t="s">
        <v>906</v>
      </c>
      <c r="AL2676">
        <v>39.095063000000003</v>
      </c>
      <c r="AM2676" t="s">
        <v>907</v>
      </c>
      <c r="AN2676">
        <v>-121.035132</v>
      </c>
      <c r="AO2676">
        <v>25</v>
      </c>
      <c r="AP2676">
        <v>4500</v>
      </c>
      <c r="AQ2676" t="s">
        <v>131</v>
      </c>
      <c r="AR2676">
        <v>16</v>
      </c>
      <c r="AS2676">
        <v>76</v>
      </c>
      <c r="AT2676">
        <v>-320</v>
      </c>
      <c r="BB2676" t="str">
        <f t="shared" si="1042"/>
        <v>1200</v>
      </c>
      <c r="BC2676">
        <v>1</v>
      </c>
      <c r="BD2676" t="str">
        <f t="shared" si="1043"/>
        <v xml:space="preserve">N52156  </v>
      </c>
      <c r="BE2676">
        <v>1</v>
      </c>
      <c r="BG2676">
        <v>0</v>
      </c>
      <c r="BH2676">
        <v>0</v>
      </c>
      <c r="BI2676">
        <v>0</v>
      </c>
      <c r="BJ2676">
        <v>4550</v>
      </c>
      <c r="BK2676">
        <v>50</v>
      </c>
      <c r="BL2676" t="s">
        <v>188</v>
      </c>
      <c r="BM2676">
        <v>1</v>
      </c>
      <c r="BN2676">
        <v>1</v>
      </c>
      <c r="BO2676">
        <v>0</v>
      </c>
      <c r="BP2676">
        <v>0</v>
      </c>
      <c r="BS2676">
        <v>0</v>
      </c>
      <c r="BT2676">
        <v>0</v>
      </c>
      <c r="BU2676">
        <v>0</v>
      </c>
      <c r="CE2676" t="str">
        <f t="shared" si="1059"/>
        <v>15:11:57.429</v>
      </c>
      <c r="CF2676">
        <v>429223899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5</v>
      </c>
      <c r="CY2676">
        <v>7</v>
      </c>
      <c r="CZ2676" t="s">
        <v>133</v>
      </c>
      <c r="DA2676">
        <v>275</v>
      </c>
      <c r="DB2676">
        <v>0</v>
      </c>
      <c r="DC2676" t="s">
        <v>134</v>
      </c>
      <c r="DD2676" t="s">
        <v>135</v>
      </c>
      <c r="DG2676">
        <v>3321924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"05/01/2025 15:11:57.670"</f>
        <v>05/01/2025 15:11:57.670</v>
      </c>
      <c r="C2677" t="str">
        <f t="shared" si="1040"/>
        <v>FFDFD3C0</v>
      </c>
      <c r="D2677" t="s">
        <v>124</v>
      </c>
      <c r="E2677" t="str">
        <f>"06"</f>
        <v>06</v>
      </c>
      <c r="F2677">
        <v>2006</v>
      </c>
      <c r="G2677" t="s">
        <v>125</v>
      </c>
      <c r="J2677" t="s">
        <v>126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R2677" t="s">
        <v>127</v>
      </c>
      <c r="S2677" t="str">
        <f t="shared" si="1058"/>
        <v>15:11:57.000</v>
      </c>
      <c r="T2677" t="str">
        <f t="shared" si="1058"/>
        <v>15:11:57.000</v>
      </c>
      <c r="U2677" t="str">
        <f t="shared" si="1041"/>
        <v>A68FCB</v>
      </c>
      <c r="V2677">
        <v>0</v>
      </c>
      <c r="W2677">
        <v>0</v>
      </c>
      <c r="X2677">
        <v>2</v>
      </c>
      <c r="Y2677">
        <v>0</v>
      </c>
      <c r="AA2677">
        <v>1</v>
      </c>
      <c r="AB2677">
        <v>8</v>
      </c>
      <c r="AC2677">
        <v>3</v>
      </c>
      <c r="AD2677">
        <v>0</v>
      </c>
      <c r="AE2677">
        <v>9</v>
      </c>
      <c r="AF2677" t="s">
        <v>138</v>
      </c>
      <c r="AG2677">
        <v>0</v>
      </c>
      <c r="AH2677">
        <v>3</v>
      </c>
      <c r="AI2677">
        <v>2</v>
      </c>
      <c r="AJ2677">
        <v>0</v>
      </c>
      <c r="AK2677" t="s">
        <v>906</v>
      </c>
      <c r="AL2677">
        <v>39.095063000000003</v>
      </c>
      <c r="AM2677" t="s">
        <v>907</v>
      </c>
      <c r="AN2677">
        <v>-121.035132</v>
      </c>
      <c r="AO2677">
        <v>25</v>
      </c>
      <c r="AP2677">
        <v>4500</v>
      </c>
      <c r="AQ2677" t="s">
        <v>131</v>
      </c>
      <c r="AR2677">
        <v>16</v>
      </c>
      <c r="AS2677">
        <v>76</v>
      </c>
      <c r="AT2677">
        <v>-320</v>
      </c>
      <c r="BB2677" t="str">
        <f t="shared" si="1042"/>
        <v>1200</v>
      </c>
      <c r="BC2677">
        <v>1</v>
      </c>
      <c r="BD2677" t="str">
        <f t="shared" si="1043"/>
        <v xml:space="preserve">N52156  </v>
      </c>
      <c r="BE2677">
        <v>1</v>
      </c>
      <c r="BG2677">
        <v>0</v>
      </c>
      <c r="BH2677">
        <v>0</v>
      </c>
      <c r="BI2677">
        <v>0</v>
      </c>
      <c r="BJ2677">
        <v>4550</v>
      </c>
      <c r="BK2677">
        <v>50</v>
      </c>
      <c r="BL2677" t="s">
        <v>188</v>
      </c>
      <c r="BM2677">
        <v>1</v>
      </c>
      <c r="BN2677">
        <v>1</v>
      </c>
      <c r="BO2677">
        <v>0</v>
      </c>
      <c r="BP2677">
        <v>0</v>
      </c>
      <c r="BS2677">
        <v>0</v>
      </c>
      <c r="BT2677">
        <v>0</v>
      </c>
      <c r="BU2677">
        <v>0</v>
      </c>
      <c r="CE2677" t="str">
        <f t="shared" si="1059"/>
        <v>15:11:57.429</v>
      </c>
      <c r="CF2677">
        <v>429223899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5</v>
      </c>
      <c r="CY2677">
        <v>7</v>
      </c>
      <c r="CZ2677" t="s">
        <v>133</v>
      </c>
      <c r="DA2677">
        <v>275</v>
      </c>
      <c r="DB2677">
        <v>0</v>
      </c>
      <c r="DC2677" t="s">
        <v>134</v>
      </c>
      <c r="DD2677" t="s">
        <v>135</v>
      </c>
      <c r="DG2677">
        <v>3321924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"05/01/2025 15:11:58.683"</f>
        <v>05/01/2025 15:11:58.683</v>
      </c>
      <c r="C2678" t="str">
        <f t="shared" si="1040"/>
        <v>FFDFD3C0</v>
      </c>
      <c r="D2678" t="s">
        <v>145</v>
      </c>
      <c r="E2678" t="str">
        <f>"09"</f>
        <v>09</v>
      </c>
      <c r="H2678">
        <v>51</v>
      </c>
      <c r="I2678" t="s">
        <v>147</v>
      </c>
      <c r="J2678" t="s">
        <v>138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R2678" t="s">
        <v>127</v>
      </c>
      <c r="S2678" t="str">
        <f t="shared" ref="S2678:T2683" si="1060">"15:11:58.000"</f>
        <v>15:11:58.000</v>
      </c>
      <c r="T2678" t="str">
        <f t="shared" si="1060"/>
        <v>15:11:58.000</v>
      </c>
      <c r="U2678" t="str">
        <f t="shared" si="1041"/>
        <v>A68FCB</v>
      </c>
      <c r="V2678">
        <v>0</v>
      </c>
      <c r="W2678">
        <v>0</v>
      </c>
      <c r="X2678">
        <v>2</v>
      </c>
      <c r="Y2678">
        <v>0</v>
      </c>
      <c r="AA2678">
        <v>1</v>
      </c>
      <c r="AB2678">
        <v>8</v>
      </c>
      <c r="AC2678">
        <v>3</v>
      </c>
      <c r="AD2678">
        <v>0</v>
      </c>
      <c r="AE2678">
        <v>9</v>
      </c>
      <c r="AF2678" t="s">
        <v>138</v>
      </c>
      <c r="AG2678">
        <v>0</v>
      </c>
      <c r="AH2678">
        <v>3</v>
      </c>
      <c r="AI2678">
        <v>2</v>
      </c>
      <c r="AJ2678">
        <v>0</v>
      </c>
      <c r="AK2678" t="s">
        <v>908</v>
      </c>
      <c r="AL2678">
        <v>39.095407000000002</v>
      </c>
      <c r="AM2678" t="s">
        <v>909</v>
      </c>
      <c r="AN2678">
        <v>-121.035025</v>
      </c>
      <c r="AO2678">
        <v>25</v>
      </c>
      <c r="AP2678">
        <v>4500</v>
      </c>
      <c r="AQ2678" t="s">
        <v>131</v>
      </c>
      <c r="AR2678">
        <v>16</v>
      </c>
      <c r="AS2678">
        <v>74</v>
      </c>
      <c r="AT2678">
        <v>-256</v>
      </c>
      <c r="BB2678" t="str">
        <f t="shared" si="1042"/>
        <v>1200</v>
      </c>
      <c r="BC2678">
        <v>1</v>
      </c>
      <c r="BD2678" t="str">
        <f t="shared" si="1043"/>
        <v xml:space="preserve">N52156  </v>
      </c>
      <c r="BE2678">
        <v>1</v>
      </c>
      <c r="BG2678">
        <v>0</v>
      </c>
      <c r="BH2678">
        <v>0</v>
      </c>
      <c r="BI2678">
        <v>0</v>
      </c>
      <c r="BJ2678">
        <v>4550</v>
      </c>
      <c r="BK2678">
        <v>50</v>
      </c>
      <c r="BL2678" t="s">
        <v>188</v>
      </c>
      <c r="BM2678">
        <v>1</v>
      </c>
      <c r="BN2678">
        <v>1</v>
      </c>
      <c r="BO2678">
        <v>0</v>
      </c>
      <c r="BP2678">
        <v>0</v>
      </c>
      <c r="BS2678">
        <v>0</v>
      </c>
      <c r="BT2678">
        <v>0</v>
      </c>
      <c r="BU2678">
        <v>0</v>
      </c>
      <c r="CE2678" t="str">
        <f t="shared" ref="CE2678:CE2683" si="1061">"15:11:58.468"</f>
        <v>15:11:58.468</v>
      </c>
      <c r="CF2678">
        <v>467724068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5</v>
      </c>
      <c r="CY2678">
        <v>7</v>
      </c>
      <c r="CZ2678" t="s">
        <v>133</v>
      </c>
      <c r="DA2678">
        <v>275</v>
      </c>
      <c r="DB2678">
        <v>0</v>
      </c>
      <c r="DC2678" t="s">
        <v>134</v>
      </c>
      <c r="DD2678" t="s">
        <v>135</v>
      </c>
      <c r="DG2678">
        <v>3321930</v>
      </c>
      <c r="DI2678">
        <v>1</v>
      </c>
      <c r="DJ2678">
        <v>0</v>
      </c>
      <c r="DK2678">
        <v>0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"05/01/2025 15:11:58.682"</f>
        <v>05/01/2025 15:11:58.682</v>
      </c>
      <c r="C2679" t="str">
        <f t="shared" si="1040"/>
        <v>FFDFD3C0</v>
      </c>
      <c r="D2679" t="s">
        <v>145</v>
      </c>
      <c r="E2679" t="str">
        <f>"05"</f>
        <v>05</v>
      </c>
      <c r="H2679">
        <v>47</v>
      </c>
      <c r="I2679" t="s">
        <v>146</v>
      </c>
      <c r="J2679" t="s">
        <v>138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R2679" t="s">
        <v>127</v>
      </c>
      <c r="S2679" t="str">
        <f t="shared" si="1060"/>
        <v>15:11:58.000</v>
      </c>
      <c r="T2679" t="str">
        <f t="shared" si="1060"/>
        <v>15:11:58.000</v>
      </c>
      <c r="U2679" t="str">
        <f t="shared" si="1041"/>
        <v>A68FCB</v>
      </c>
      <c r="V2679">
        <v>0</v>
      </c>
      <c r="W2679">
        <v>0</v>
      </c>
      <c r="X2679">
        <v>2</v>
      </c>
      <c r="Y2679">
        <v>0</v>
      </c>
      <c r="AA2679">
        <v>1</v>
      </c>
      <c r="AB2679">
        <v>8</v>
      </c>
      <c r="AC2679">
        <v>3</v>
      </c>
      <c r="AD2679">
        <v>0</v>
      </c>
      <c r="AE2679">
        <v>9</v>
      </c>
      <c r="AF2679" t="s">
        <v>138</v>
      </c>
      <c r="AG2679">
        <v>0</v>
      </c>
      <c r="AH2679">
        <v>3</v>
      </c>
      <c r="AI2679">
        <v>2</v>
      </c>
      <c r="AJ2679">
        <v>0</v>
      </c>
      <c r="AK2679" t="s">
        <v>908</v>
      </c>
      <c r="AL2679">
        <v>39.095407000000002</v>
      </c>
      <c r="AM2679" t="s">
        <v>909</v>
      </c>
      <c r="AN2679">
        <v>-121.035025</v>
      </c>
      <c r="AO2679">
        <v>25</v>
      </c>
      <c r="AP2679">
        <v>4500</v>
      </c>
      <c r="AQ2679" t="s">
        <v>131</v>
      </c>
      <c r="AR2679">
        <v>16</v>
      </c>
      <c r="AS2679">
        <v>74</v>
      </c>
      <c r="AT2679">
        <v>-256</v>
      </c>
      <c r="BB2679" t="str">
        <f t="shared" si="1042"/>
        <v>1200</v>
      </c>
      <c r="BC2679">
        <v>1</v>
      </c>
      <c r="BD2679" t="str">
        <f t="shared" si="1043"/>
        <v xml:space="preserve">N52156  </v>
      </c>
      <c r="BE2679">
        <v>1</v>
      </c>
      <c r="BG2679">
        <v>0</v>
      </c>
      <c r="BH2679">
        <v>0</v>
      </c>
      <c r="BI2679">
        <v>0</v>
      </c>
      <c r="BJ2679">
        <v>4550</v>
      </c>
      <c r="BK2679">
        <v>50</v>
      </c>
      <c r="BL2679" t="s">
        <v>188</v>
      </c>
      <c r="BM2679">
        <v>1</v>
      </c>
      <c r="BN2679">
        <v>1</v>
      </c>
      <c r="BO2679">
        <v>0</v>
      </c>
      <c r="BP2679">
        <v>0</v>
      </c>
      <c r="BS2679">
        <v>0</v>
      </c>
      <c r="BT2679">
        <v>0</v>
      </c>
      <c r="BU2679">
        <v>0</v>
      </c>
      <c r="CE2679" t="str">
        <f t="shared" si="1061"/>
        <v>15:11:58.468</v>
      </c>
      <c r="CF2679">
        <v>467724068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5</v>
      </c>
      <c r="CY2679">
        <v>7</v>
      </c>
      <c r="CZ2679" t="s">
        <v>133</v>
      </c>
      <c r="DA2679">
        <v>275</v>
      </c>
      <c r="DB2679">
        <v>0</v>
      </c>
      <c r="DC2679" t="s">
        <v>134</v>
      </c>
      <c r="DD2679" t="s">
        <v>135</v>
      </c>
      <c r="DG2679">
        <v>3321930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"05/01/2025 15:11:58.691"</f>
        <v>05/01/2025 15:11:58.691</v>
      </c>
      <c r="C2680" t="str">
        <f t="shared" si="1040"/>
        <v>FFDFD3C0</v>
      </c>
      <c r="D2680" t="s">
        <v>136</v>
      </c>
      <c r="E2680" t="str">
        <f>"20"</f>
        <v>20</v>
      </c>
      <c r="H2680">
        <v>400</v>
      </c>
      <c r="I2680" t="s">
        <v>137</v>
      </c>
      <c r="J2680" t="s">
        <v>138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R2680" t="s">
        <v>127</v>
      </c>
      <c r="S2680" t="str">
        <f t="shared" si="1060"/>
        <v>15:11:58.000</v>
      </c>
      <c r="T2680" t="str">
        <f t="shared" si="1060"/>
        <v>15:11:58.000</v>
      </c>
      <c r="U2680" t="str">
        <f t="shared" si="1041"/>
        <v>A68FCB</v>
      </c>
      <c r="V2680">
        <v>0</v>
      </c>
      <c r="W2680">
        <v>0</v>
      </c>
      <c r="X2680">
        <v>2</v>
      </c>
      <c r="Y2680">
        <v>0</v>
      </c>
      <c r="AA2680">
        <v>1</v>
      </c>
      <c r="AB2680">
        <v>8</v>
      </c>
      <c r="AC2680">
        <v>3</v>
      </c>
      <c r="AD2680">
        <v>0</v>
      </c>
      <c r="AE2680">
        <v>9</v>
      </c>
      <c r="AF2680" t="s">
        <v>138</v>
      </c>
      <c r="AG2680">
        <v>0</v>
      </c>
      <c r="AH2680">
        <v>3</v>
      </c>
      <c r="AI2680">
        <v>2</v>
      </c>
      <c r="AJ2680">
        <v>0</v>
      </c>
      <c r="AK2680" t="s">
        <v>908</v>
      </c>
      <c r="AL2680">
        <v>39.095407000000002</v>
      </c>
      <c r="AM2680" t="s">
        <v>909</v>
      </c>
      <c r="AN2680">
        <v>-121.035025</v>
      </c>
      <c r="AO2680">
        <v>25</v>
      </c>
      <c r="AP2680">
        <v>4500</v>
      </c>
      <c r="AQ2680" t="s">
        <v>131</v>
      </c>
      <c r="AR2680">
        <v>16</v>
      </c>
      <c r="AS2680">
        <v>74</v>
      </c>
      <c r="AT2680">
        <v>-256</v>
      </c>
      <c r="BB2680" t="str">
        <f t="shared" si="1042"/>
        <v>1200</v>
      </c>
      <c r="BC2680">
        <v>1</v>
      </c>
      <c r="BD2680" t="str">
        <f t="shared" si="1043"/>
        <v xml:space="preserve">N52156  </v>
      </c>
      <c r="BE2680">
        <v>1</v>
      </c>
      <c r="BG2680">
        <v>0</v>
      </c>
      <c r="BH2680">
        <v>0</v>
      </c>
      <c r="BI2680">
        <v>0</v>
      </c>
      <c r="BJ2680">
        <v>4550</v>
      </c>
      <c r="BK2680">
        <v>50</v>
      </c>
      <c r="BL2680" t="s">
        <v>188</v>
      </c>
      <c r="BM2680">
        <v>1</v>
      </c>
      <c r="BN2680">
        <v>1</v>
      </c>
      <c r="BO2680">
        <v>0</v>
      </c>
      <c r="BP2680">
        <v>0</v>
      </c>
      <c r="BS2680">
        <v>0</v>
      </c>
      <c r="BT2680">
        <v>0</v>
      </c>
      <c r="BU2680">
        <v>0</v>
      </c>
      <c r="CE2680" t="str">
        <f t="shared" si="1061"/>
        <v>15:11:58.468</v>
      </c>
      <c r="CF2680">
        <v>467724068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5</v>
      </c>
      <c r="CY2680">
        <v>7</v>
      </c>
      <c r="CZ2680" t="s">
        <v>133</v>
      </c>
      <c r="DA2680">
        <v>275</v>
      </c>
      <c r="DB2680">
        <v>0</v>
      </c>
      <c r="DC2680" t="s">
        <v>134</v>
      </c>
      <c r="DD2680" t="s">
        <v>135</v>
      </c>
      <c r="DG2680">
        <v>3321930</v>
      </c>
      <c r="DI2680">
        <v>1</v>
      </c>
      <c r="DJ2680">
        <v>0</v>
      </c>
      <c r="DK2680">
        <v>1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"05/01/2025 15:11:58.698"</f>
        <v>05/01/2025 15:11:58.698</v>
      </c>
      <c r="C2681" t="str">
        <f t="shared" si="1040"/>
        <v>FFDFD3C0</v>
      </c>
      <c r="D2681" t="s">
        <v>143</v>
      </c>
      <c r="E2681" t="str">
        <f>"05"</f>
        <v>05</v>
      </c>
      <c r="H2681">
        <v>172</v>
      </c>
      <c r="I2681" t="s">
        <v>141</v>
      </c>
      <c r="J2681" t="s">
        <v>144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R2681" t="s">
        <v>127</v>
      </c>
      <c r="S2681" t="str">
        <f t="shared" si="1060"/>
        <v>15:11:58.000</v>
      </c>
      <c r="T2681" t="str">
        <f t="shared" si="1060"/>
        <v>15:11:58.000</v>
      </c>
      <c r="U2681" t="str">
        <f t="shared" si="1041"/>
        <v>A68FCB</v>
      </c>
      <c r="V2681">
        <v>0</v>
      </c>
      <c r="W2681">
        <v>0</v>
      </c>
      <c r="X2681">
        <v>2</v>
      </c>
      <c r="Y2681">
        <v>0</v>
      </c>
      <c r="AA2681">
        <v>1</v>
      </c>
      <c r="AB2681">
        <v>8</v>
      </c>
      <c r="AC2681">
        <v>3</v>
      </c>
      <c r="AD2681">
        <v>0</v>
      </c>
      <c r="AE2681">
        <v>9</v>
      </c>
      <c r="AF2681" t="s">
        <v>138</v>
      </c>
      <c r="AG2681">
        <v>0</v>
      </c>
      <c r="AH2681">
        <v>3</v>
      </c>
      <c r="AI2681">
        <v>2</v>
      </c>
      <c r="AJ2681">
        <v>0</v>
      </c>
      <c r="AK2681" t="s">
        <v>908</v>
      </c>
      <c r="AL2681">
        <v>39.095407000000002</v>
      </c>
      <c r="AM2681" t="s">
        <v>909</v>
      </c>
      <c r="AN2681">
        <v>-121.035025</v>
      </c>
      <c r="AO2681">
        <v>25</v>
      </c>
      <c r="AP2681">
        <v>4500</v>
      </c>
      <c r="AQ2681" t="s">
        <v>131</v>
      </c>
      <c r="AR2681">
        <v>16</v>
      </c>
      <c r="AS2681">
        <v>74</v>
      </c>
      <c r="AT2681">
        <v>-256</v>
      </c>
      <c r="BB2681" t="str">
        <f t="shared" si="1042"/>
        <v>1200</v>
      </c>
      <c r="BC2681">
        <v>1</v>
      </c>
      <c r="BD2681" t="str">
        <f t="shared" si="1043"/>
        <v xml:space="preserve">N52156  </v>
      </c>
      <c r="BE2681">
        <v>1</v>
      </c>
      <c r="BG2681">
        <v>0</v>
      </c>
      <c r="BH2681">
        <v>0</v>
      </c>
      <c r="BI2681">
        <v>0</v>
      </c>
      <c r="BJ2681">
        <v>4550</v>
      </c>
      <c r="BK2681">
        <v>50</v>
      </c>
      <c r="BL2681" t="s">
        <v>188</v>
      </c>
      <c r="BM2681">
        <v>1</v>
      </c>
      <c r="BN2681">
        <v>1</v>
      </c>
      <c r="BO2681">
        <v>0</v>
      </c>
      <c r="BP2681">
        <v>0</v>
      </c>
      <c r="BS2681">
        <v>0</v>
      </c>
      <c r="BT2681">
        <v>0</v>
      </c>
      <c r="BU2681">
        <v>0</v>
      </c>
      <c r="CE2681" t="str">
        <f t="shared" si="1061"/>
        <v>15:11:58.468</v>
      </c>
      <c r="CF2681">
        <v>467724068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5</v>
      </c>
      <c r="CY2681">
        <v>7</v>
      </c>
      <c r="CZ2681" t="s">
        <v>133</v>
      </c>
      <c r="DA2681">
        <v>275</v>
      </c>
      <c r="DB2681">
        <v>0</v>
      </c>
      <c r="DC2681" t="s">
        <v>134</v>
      </c>
      <c r="DD2681" t="s">
        <v>135</v>
      </c>
      <c r="DG2681">
        <v>3321930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>"05/01/2025 15:11:58.717"</f>
        <v>05/01/2025 15:11:58.717</v>
      </c>
      <c r="C2682" t="str">
        <f t="shared" si="1040"/>
        <v>FFDFD3C0</v>
      </c>
      <c r="D2682" t="s">
        <v>140</v>
      </c>
      <c r="E2682" t="str">
        <f>"13"</f>
        <v>13</v>
      </c>
      <c r="F2682">
        <v>1019</v>
      </c>
      <c r="G2682" t="s">
        <v>141</v>
      </c>
      <c r="J2682" t="s">
        <v>142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R2682" t="s">
        <v>127</v>
      </c>
      <c r="S2682" t="str">
        <f t="shared" si="1060"/>
        <v>15:11:58.000</v>
      </c>
      <c r="T2682" t="str">
        <f t="shared" si="1060"/>
        <v>15:11:58.000</v>
      </c>
      <c r="U2682" t="str">
        <f t="shared" si="1041"/>
        <v>A68FCB</v>
      </c>
      <c r="V2682">
        <v>0</v>
      </c>
      <c r="W2682">
        <v>0</v>
      </c>
      <c r="X2682">
        <v>2</v>
      </c>
      <c r="Y2682">
        <v>0</v>
      </c>
      <c r="AA2682">
        <v>1</v>
      </c>
      <c r="AB2682">
        <v>8</v>
      </c>
      <c r="AC2682">
        <v>3</v>
      </c>
      <c r="AD2682">
        <v>0</v>
      </c>
      <c r="AE2682">
        <v>9</v>
      </c>
      <c r="AF2682" t="s">
        <v>138</v>
      </c>
      <c r="AG2682">
        <v>0</v>
      </c>
      <c r="AH2682">
        <v>3</v>
      </c>
      <c r="AI2682">
        <v>2</v>
      </c>
      <c r="AJ2682">
        <v>0</v>
      </c>
      <c r="AK2682" t="s">
        <v>908</v>
      </c>
      <c r="AL2682">
        <v>39.095407000000002</v>
      </c>
      <c r="AM2682" t="s">
        <v>909</v>
      </c>
      <c r="AN2682">
        <v>-121.035025</v>
      </c>
      <c r="AO2682">
        <v>25</v>
      </c>
      <c r="AP2682">
        <v>4500</v>
      </c>
      <c r="AQ2682" t="s">
        <v>131</v>
      </c>
      <c r="AR2682">
        <v>16</v>
      </c>
      <c r="AS2682">
        <v>74</v>
      </c>
      <c r="AT2682">
        <v>-256</v>
      </c>
      <c r="BB2682" t="str">
        <f t="shared" si="1042"/>
        <v>1200</v>
      </c>
      <c r="BC2682">
        <v>1</v>
      </c>
      <c r="BD2682" t="str">
        <f t="shared" si="1043"/>
        <v xml:space="preserve">N52156  </v>
      </c>
      <c r="BE2682">
        <v>1</v>
      </c>
      <c r="BG2682">
        <v>0</v>
      </c>
      <c r="BH2682">
        <v>0</v>
      </c>
      <c r="BI2682">
        <v>0</v>
      </c>
      <c r="BJ2682">
        <v>4550</v>
      </c>
      <c r="BK2682">
        <v>50</v>
      </c>
      <c r="BL2682" t="s">
        <v>188</v>
      </c>
      <c r="BM2682">
        <v>1</v>
      </c>
      <c r="BN2682">
        <v>1</v>
      </c>
      <c r="BO2682">
        <v>0</v>
      </c>
      <c r="BP2682">
        <v>0</v>
      </c>
      <c r="BS2682">
        <v>0</v>
      </c>
      <c r="BT2682">
        <v>0</v>
      </c>
      <c r="BU2682">
        <v>0</v>
      </c>
      <c r="CE2682" t="str">
        <f t="shared" si="1061"/>
        <v>15:11:58.468</v>
      </c>
      <c r="CF2682">
        <v>467724068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5</v>
      </c>
      <c r="CY2682">
        <v>7</v>
      </c>
      <c r="CZ2682" t="s">
        <v>133</v>
      </c>
      <c r="DA2682">
        <v>275</v>
      </c>
      <c r="DB2682">
        <v>0</v>
      </c>
      <c r="DC2682" t="s">
        <v>134</v>
      </c>
      <c r="DD2682" t="s">
        <v>135</v>
      </c>
      <c r="DG2682">
        <v>3321930</v>
      </c>
      <c r="DI2682">
        <v>1</v>
      </c>
      <c r="DJ2682">
        <v>0</v>
      </c>
      <c r="DK2682">
        <v>1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>"05/01/2025 15:11:58.722"</f>
        <v>05/01/2025 15:11:58.722</v>
      </c>
      <c r="C2683" t="str">
        <f t="shared" si="1040"/>
        <v>FFDFD3C0</v>
      </c>
      <c r="D2683" t="s">
        <v>124</v>
      </c>
      <c r="E2683" t="str">
        <f>"06"</f>
        <v>06</v>
      </c>
      <c r="F2683">
        <v>2006</v>
      </c>
      <c r="G2683" t="s">
        <v>125</v>
      </c>
      <c r="J2683" t="s">
        <v>126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R2683" t="s">
        <v>127</v>
      </c>
      <c r="S2683" t="str">
        <f t="shared" si="1060"/>
        <v>15:11:58.000</v>
      </c>
      <c r="T2683" t="str">
        <f t="shared" si="1060"/>
        <v>15:11:58.000</v>
      </c>
      <c r="U2683" t="str">
        <f t="shared" si="1041"/>
        <v>A68FCB</v>
      </c>
      <c r="V2683">
        <v>0</v>
      </c>
      <c r="W2683">
        <v>0</v>
      </c>
      <c r="X2683">
        <v>2</v>
      </c>
      <c r="Y2683">
        <v>0</v>
      </c>
      <c r="AA2683">
        <v>1</v>
      </c>
      <c r="AB2683">
        <v>8</v>
      </c>
      <c r="AC2683">
        <v>3</v>
      </c>
      <c r="AD2683">
        <v>0</v>
      </c>
      <c r="AE2683">
        <v>9</v>
      </c>
      <c r="AF2683" t="s">
        <v>138</v>
      </c>
      <c r="AG2683">
        <v>0</v>
      </c>
      <c r="AH2683">
        <v>3</v>
      </c>
      <c r="AI2683">
        <v>2</v>
      </c>
      <c r="AJ2683">
        <v>0</v>
      </c>
      <c r="AK2683" t="s">
        <v>908</v>
      </c>
      <c r="AL2683">
        <v>39.095407000000002</v>
      </c>
      <c r="AM2683" t="s">
        <v>909</v>
      </c>
      <c r="AN2683">
        <v>-121.035025</v>
      </c>
      <c r="AO2683">
        <v>25</v>
      </c>
      <c r="AP2683">
        <v>4500</v>
      </c>
      <c r="AQ2683" t="s">
        <v>131</v>
      </c>
      <c r="AR2683">
        <v>16</v>
      </c>
      <c r="AS2683">
        <v>74</v>
      </c>
      <c r="AT2683">
        <v>-256</v>
      </c>
      <c r="BB2683" t="str">
        <f t="shared" si="1042"/>
        <v>1200</v>
      </c>
      <c r="BC2683">
        <v>1</v>
      </c>
      <c r="BD2683" t="str">
        <f t="shared" si="1043"/>
        <v xml:space="preserve">N52156  </v>
      </c>
      <c r="BE2683">
        <v>1</v>
      </c>
      <c r="BG2683">
        <v>0</v>
      </c>
      <c r="BH2683">
        <v>0</v>
      </c>
      <c r="BI2683">
        <v>0</v>
      </c>
      <c r="BJ2683">
        <v>4550</v>
      </c>
      <c r="BK2683">
        <v>50</v>
      </c>
      <c r="BL2683" t="s">
        <v>188</v>
      </c>
      <c r="BM2683">
        <v>1</v>
      </c>
      <c r="BN2683">
        <v>1</v>
      </c>
      <c r="BO2683">
        <v>0</v>
      </c>
      <c r="BP2683">
        <v>0</v>
      </c>
      <c r="BS2683">
        <v>0</v>
      </c>
      <c r="BT2683">
        <v>0</v>
      </c>
      <c r="BU2683">
        <v>0</v>
      </c>
      <c r="CE2683" t="str">
        <f t="shared" si="1061"/>
        <v>15:11:58.468</v>
      </c>
      <c r="CF2683">
        <v>467724068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5</v>
      </c>
      <c r="CY2683">
        <v>7</v>
      </c>
      <c r="CZ2683" t="s">
        <v>133</v>
      </c>
      <c r="DA2683">
        <v>275</v>
      </c>
      <c r="DB2683">
        <v>0</v>
      </c>
      <c r="DC2683" t="s">
        <v>134</v>
      </c>
      <c r="DD2683" t="s">
        <v>135</v>
      </c>
      <c r="DG2683">
        <v>3321930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>"05/01/2025 15:12:00.195"</f>
        <v>05/01/2025 15:12:00.195</v>
      </c>
      <c r="C2684" t="str">
        <f t="shared" si="1040"/>
        <v>FFDFD3C0</v>
      </c>
      <c r="D2684" t="s">
        <v>136</v>
      </c>
      <c r="E2684" t="str">
        <f>"20"</f>
        <v>20</v>
      </c>
      <c r="H2684">
        <v>400</v>
      </c>
      <c r="I2684" t="s">
        <v>137</v>
      </c>
      <c r="J2684" t="s">
        <v>138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R2684" t="s">
        <v>127</v>
      </c>
      <c r="S2684" t="str">
        <f t="shared" ref="S2684:T2689" si="1062">"15:11:59.000"</f>
        <v>15:11:59.000</v>
      </c>
      <c r="T2684" t="str">
        <f t="shared" si="1062"/>
        <v>15:11:59.000</v>
      </c>
      <c r="U2684" t="str">
        <f t="shared" si="1041"/>
        <v>A68FCB</v>
      </c>
      <c r="V2684">
        <v>0</v>
      </c>
      <c r="W2684">
        <v>0</v>
      </c>
      <c r="X2684">
        <v>2</v>
      </c>
      <c r="Y2684">
        <v>0</v>
      </c>
      <c r="AA2684">
        <v>1</v>
      </c>
      <c r="AB2684">
        <v>8</v>
      </c>
      <c r="AC2684">
        <v>3</v>
      </c>
      <c r="AD2684">
        <v>0</v>
      </c>
      <c r="AE2684">
        <v>9</v>
      </c>
      <c r="AF2684" t="s">
        <v>138</v>
      </c>
      <c r="AG2684">
        <v>0</v>
      </c>
      <c r="AH2684">
        <v>3</v>
      </c>
      <c r="AI2684">
        <v>2</v>
      </c>
      <c r="AJ2684">
        <v>0</v>
      </c>
      <c r="AK2684" t="s">
        <v>910</v>
      </c>
      <c r="AL2684">
        <v>39.095770999999999</v>
      </c>
      <c r="AM2684" t="s">
        <v>911</v>
      </c>
      <c r="AN2684">
        <v>-121.03493899999999</v>
      </c>
      <c r="AO2684">
        <v>25</v>
      </c>
      <c r="AP2684">
        <v>4500</v>
      </c>
      <c r="AQ2684" t="s">
        <v>131</v>
      </c>
      <c r="AR2684">
        <v>15</v>
      </c>
      <c r="AS2684">
        <v>73</v>
      </c>
      <c r="AT2684">
        <v>-256</v>
      </c>
      <c r="BB2684" t="str">
        <f t="shared" si="1042"/>
        <v>1200</v>
      </c>
      <c r="BC2684">
        <v>1</v>
      </c>
      <c r="BD2684" t="str">
        <f t="shared" si="1043"/>
        <v xml:space="preserve">N52156  </v>
      </c>
      <c r="BE2684">
        <v>1</v>
      </c>
      <c r="BG2684">
        <v>0</v>
      </c>
      <c r="BH2684">
        <v>0</v>
      </c>
      <c r="BI2684">
        <v>0</v>
      </c>
      <c r="BJ2684">
        <v>4525</v>
      </c>
      <c r="BK2684">
        <v>25</v>
      </c>
      <c r="BL2684" t="s">
        <v>188</v>
      </c>
      <c r="BM2684">
        <v>1</v>
      </c>
      <c r="BN2684">
        <v>1</v>
      </c>
      <c r="BO2684">
        <v>0</v>
      </c>
      <c r="BP2684">
        <v>0</v>
      </c>
      <c r="BS2684">
        <v>0</v>
      </c>
      <c r="BT2684">
        <v>0</v>
      </c>
      <c r="BU2684">
        <v>0</v>
      </c>
      <c r="CE2684" t="str">
        <f t="shared" ref="CE2684:CE2689" si="1063">"15:11:59.980"</f>
        <v>15:11:59.980</v>
      </c>
      <c r="CF2684">
        <v>980475473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4</v>
      </c>
      <c r="CY2684">
        <v>7</v>
      </c>
      <c r="CZ2684" t="s">
        <v>133</v>
      </c>
      <c r="DA2684">
        <v>275</v>
      </c>
      <c r="DB2684">
        <v>0</v>
      </c>
      <c r="DC2684" t="s">
        <v>134</v>
      </c>
      <c r="DD2684" t="s">
        <v>135</v>
      </c>
      <c r="DG2684">
        <v>3321939</v>
      </c>
      <c r="DI2684">
        <v>1</v>
      </c>
      <c r="DJ2684">
        <v>0</v>
      </c>
      <c r="DK2684">
        <v>0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>"05/01/2025 15:12:00.201"</f>
        <v>05/01/2025 15:12:00.201</v>
      </c>
      <c r="C2685" t="str">
        <f t="shared" si="1040"/>
        <v>FFDFD3C0</v>
      </c>
      <c r="D2685" t="s">
        <v>143</v>
      </c>
      <c r="E2685" t="str">
        <f>"05"</f>
        <v>05</v>
      </c>
      <c r="H2685">
        <v>172</v>
      </c>
      <c r="I2685" t="s">
        <v>141</v>
      </c>
      <c r="J2685" t="s">
        <v>144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R2685" t="s">
        <v>127</v>
      </c>
      <c r="S2685" t="str">
        <f t="shared" si="1062"/>
        <v>15:11:59.000</v>
      </c>
      <c r="T2685" t="str">
        <f t="shared" si="1062"/>
        <v>15:11:59.000</v>
      </c>
      <c r="U2685" t="str">
        <f t="shared" si="1041"/>
        <v>A68FCB</v>
      </c>
      <c r="V2685">
        <v>0</v>
      </c>
      <c r="W2685">
        <v>0</v>
      </c>
      <c r="X2685">
        <v>2</v>
      </c>
      <c r="Y2685">
        <v>0</v>
      </c>
      <c r="AA2685">
        <v>1</v>
      </c>
      <c r="AB2685">
        <v>8</v>
      </c>
      <c r="AC2685">
        <v>3</v>
      </c>
      <c r="AD2685">
        <v>0</v>
      </c>
      <c r="AE2685">
        <v>9</v>
      </c>
      <c r="AF2685" t="s">
        <v>138</v>
      </c>
      <c r="AG2685">
        <v>0</v>
      </c>
      <c r="AH2685">
        <v>3</v>
      </c>
      <c r="AI2685">
        <v>2</v>
      </c>
      <c r="AJ2685">
        <v>0</v>
      </c>
      <c r="AK2685" t="s">
        <v>910</v>
      </c>
      <c r="AL2685">
        <v>39.095770999999999</v>
      </c>
      <c r="AM2685" t="s">
        <v>911</v>
      </c>
      <c r="AN2685">
        <v>-121.03493899999999</v>
      </c>
      <c r="AO2685">
        <v>25</v>
      </c>
      <c r="AP2685">
        <v>4500</v>
      </c>
      <c r="AQ2685" t="s">
        <v>131</v>
      </c>
      <c r="AR2685">
        <v>15</v>
      </c>
      <c r="AS2685">
        <v>73</v>
      </c>
      <c r="AT2685">
        <v>-256</v>
      </c>
      <c r="BB2685" t="str">
        <f t="shared" si="1042"/>
        <v>1200</v>
      </c>
      <c r="BC2685">
        <v>1</v>
      </c>
      <c r="BD2685" t="str">
        <f t="shared" si="1043"/>
        <v xml:space="preserve">N52156  </v>
      </c>
      <c r="BE2685">
        <v>1</v>
      </c>
      <c r="BG2685">
        <v>0</v>
      </c>
      <c r="BH2685">
        <v>0</v>
      </c>
      <c r="BI2685">
        <v>0</v>
      </c>
      <c r="BJ2685">
        <v>4525</v>
      </c>
      <c r="BK2685">
        <v>25</v>
      </c>
      <c r="BL2685" t="s">
        <v>188</v>
      </c>
      <c r="BM2685">
        <v>1</v>
      </c>
      <c r="BN2685">
        <v>1</v>
      </c>
      <c r="BO2685">
        <v>0</v>
      </c>
      <c r="BP2685">
        <v>0</v>
      </c>
      <c r="BS2685">
        <v>0</v>
      </c>
      <c r="BT2685">
        <v>0</v>
      </c>
      <c r="BU2685">
        <v>0</v>
      </c>
      <c r="CE2685" t="str">
        <f t="shared" si="1063"/>
        <v>15:11:59.980</v>
      </c>
      <c r="CF2685">
        <v>980475473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4</v>
      </c>
      <c r="CY2685">
        <v>7</v>
      </c>
      <c r="CZ2685" t="s">
        <v>133</v>
      </c>
      <c r="DA2685">
        <v>275</v>
      </c>
      <c r="DB2685">
        <v>0</v>
      </c>
      <c r="DC2685" t="s">
        <v>134</v>
      </c>
      <c r="DD2685" t="s">
        <v>135</v>
      </c>
      <c r="DG2685">
        <v>3321939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>"05/01/2025 15:12:00.220"</f>
        <v>05/01/2025 15:12:00.220</v>
      </c>
      <c r="C2686" t="str">
        <f t="shared" si="1040"/>
        <v>FFDFD3C0</v>
      </c>
      <c r="D2686" t="s">
        <v>140</v>
      </c>
      <c r="E2686" t="str">
        <f>"13"</f>
        <v>13</v>
      </c>
      <c r="F2686">
        <v>1019</v>
      </c>
      <c r="G2686" t="s">
        <v>141</v>
      </c>
      <c r="J2686" t="s">
        <v>142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R2686" t="s">
        <v>127</v>
      </c>
      <c r="S2686" t="str">
        <f t="shared" si="1062"/>
        <v>15:11:59.000</v>
      </c>
      <c r="T2686" t="str">
        <f t="shared" si="1062"/>
        <v>15:11:59.000</v>
      </c>
      <c r="U2686" t="str">
        <f t="shared" si="1041"/>
        <v>A68FCB</v>
      </c>
      <c r="V2686">
        <v>0</v>
      </c>
      <c r="W2686">
        <v>0</v>
      </c>
      <c r="X2686">
        <v>2</v>
      </c>
      <c r="Y2686">
        <v>0</v>
      </c>
      <c r="AA2686">
        <v>1</v>
      </c>
      <c r="AB2686">
        <v>8</v>
      </c>
      <c r="AC2686">
        <v>3</v>
      </c>
      <c r="AD2686">
        <v>0</v>
      </c>
      <c r="AE2686">
        <v>9</v>
      </c>
      <c r="AF2686" t="s">
        <v>138</v>
      </c>
      <c r="AG2686">
        <v>0</v>
      </c>
      <c r="AH2686">
        <v>3</v>
      </c>
      <c r="AI2686">
        <v>2</v>
      </c>
      <c r="AJ2686">
        <v>0</v>
      </c>
      <c r="AK2686" t="s">
        <v>910</v>
      </c>
      <c r="AL2686">
        <v>39.095770999999999</v>
      </c>
      <c r="AM2686" t="s">
        <v>911</v>
      </c>
      <c r="AN2686">
        <v>-121.03493899999999</v>
      </c>
      <c r="AO2686">
        <v>25</v>
      </c>
      <c r="AP2686">
        <v>4500</v>
      </c>
      <c r="AQ2686" t="s">
        <v>131</v>
      </c>
      <c r="AR2686">
        <v>15</v>
      </c>
      <c r="AS2686">
        <v>73</v>
      </c>
      <c r="AT2686">
        <v>-256</v>
      </c>
      <c r="BB2686" t="str">
        <f t="shared" si="1042"/>
        <v>1200</v>
      </c>
      <c r="BC2686">
        <v>1</v>
      </c>
      <c r="BD2686" t="str">
        <f t="shared" si="1043"/>
        <v xml:space="preserve">N52156  </v>
      </c>
      <c r="BE2686">
        <v>1</v>
      </c>
      <c r="BG2686">
        <v>0</v>
      </c>
      <c r="BH2686">
        <v>0</v>
      </c>
      <c r="BI2686">
        <v>0</v>
      </c>
      <c r="BJ2686">
        <v>4525</v>
      </c>
      <c r="BK2686">
        <v>25</v>
      </c>
      <c r="BL2686" t="s">
        <v>188</v>
      </c>
      <c r="BM2686">
        <v>1</v>
      </c>
      <c r="BN2686">
        <v>1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 t="shared" si="1063"/>
        <v>15:11:59.980</v>
      </c>
      <c r="CF2686">
        <v>980475473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4</v>
      </c>
      <c r="CY2686">
        <v>7</v>
      </c>
      <c r="CZ2686" t="s">
        <v>133</v>
      </c>
      <c r="DA2686">
        <v>275</v>
      </c>
      <c r="DB2686">
        <v>0</v>
      </c>
      <c r="DC2686" t="s">
        <v>134</v>
      </c>
      <c r="DD2686" t="s">
        <v>135</v>
      </c>
      <c r="DG2686">
        <v>3321939</v>
      </c>
      <c r="DI2686">
        <v>1</v>
      </c>
      <c r="DJ2686">
        <v>0</v>
      </c>
      <c r="DK2686">
        <v>1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>"05/01/2025 15:12:00.225"</f>
        <v>05/01/2025 15:12:00.225</v>
      </c>
      <c r="C2687" t="str">
        <f t="shared" si="1040"/>
        <v>FFDFD3C0</v>
      </c>
      <c r="D2687" t="s">
        <v>124</v>
      </c>
      <c r="E2687" t="str">
        <f>"06"</f>
        <v>06</v>
      </c>
      <c r="F2687">
        <v>2006</v>
      </c>
      <c r="G2687" t="s">
        <v>125</v>
      </c>
      <c r="J2687" t="s">
        <v>126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R2687" t="s">
        <v>127</v>
      </c>
      <c r="S2687" t="str">
        <f t="shared" si="1062"/>
        <v>15:11:59.000</v>
      </c>
      <c r="T2687" t="str">
        <f t="shared" si="1062"/>
        <v>15:11:59.000</v>
      </c>
      <c r="U2687" t="str">
        <f t="shared" si="1041"/>
        <v>A68FCB</v>
      </c>
      <c r="V2687">
        <v>0</v>
      </c>
      <c r="W2687">
        <v>0</v>
      </c>
      <c r="X2687">
        <v>2</v>
      </c>
      <c r="Y2687">
        <v>0</v>
      </c>
      <c r="AA2687">
        <v>1</v>
      </c>
      <c r="AB2687">
        <v>8</v>
      </c>
      <c r="AC2687">
        <v>3</v>
      </c>
      <c r="AD2687">
        <v>0</v>
      </c>
      <c r="AE2687">
        <v>9</v>
      </c>
      <c r="AF2687" t="s">
        <v>138</v>
      </c>
      <c r="AG2687">
        <v>0</v>
      </c>
      <c r="AH2687">
        <v>3</v>
      </c>
      <c r="AI2687">
        <v>2</v>
      </c>
      <c r="AJ2687">
        <v>0</v>
      </c>
      <c r="AK2687" t="s">
        <v>910</v>
      </c>
      <c r="AL2687">
        <v>39.095770999999999</v>
      </c>
      <c r="AM2687" t="s">
        <v>911</v>
      </c>
      <c r="AN2687">
        <v>-121.03493899999999</v>
      </c>
      <c r="AO2687">
        <v>25</v>
      </c>
      <c r="AP2687">
        <v>4500</v>
      </c>
      <c r="AQ2687" t="s">
        <v>131</v>
      </c>
      <c r="AR2687">
        <v>15</v>
      </c>
      <c r="AS2687">
        <v>73</v>
      </c>
      <c r="AT2687">
        <v>-256</v>
      </c>
      <c r="BB2687" t="str">
        <f t="shared" si="1042"/>
        <v>1200</v>
      </c>
      <c r="BC2687">
        <v>1</v>
      </c>
      <c r="BD2687" t="str">
        <f t="shared" si="1043"/>
        <v xml:space="preserve">N52156  </v>
      </c>
      <c r="BE2687">
        <v>1</v>
      </c>
      <c r="BG2687">
        <v>0</v>
      </c>
      <c r="BH2687">
        <v>0</v>
      </c>
      <c r="BI2687">
        <v>0</v>
      </c>
      <c r="BJ2687">
        <v>4525</v>
      </c>
      <c r="BK2687">
        <v>25</v>
      </c>
      <c r="BL2687" t="s">
        <v>188</v>
      </c>
      <c r="BM2687">
        <v>1</v>
      </c>
      <c r="BN2687">
        <v>1</v>
      </c>
      <c r="BO2687">
        <v>0</v>
      </c>
      <c r="BP2687">
        <v>0</v>
      </c>
      <c r="BS2687">
        <v>0</v>
      </c>
      <c r="BT2687">
        <v>0</v>
      </c>
      <c r="BU2687">
        <v>0</v>
      </c>
      <c r="CE2687" t="str">
        <f t="shared" si="1063"/>
        <v>15:11:59.980</v>
      </c>
      <c r="CF2687">
        <v>980475473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4</v>
      </c>
      <c r="CY2687">
        <v>7</v>
      </c>
      <c r="CZ2687" t="s">
        <v>133</v>
      </c>
      <c r="DA2687">
        <v>275</v>
      </c>
      <c r="DB2687">
        <v>0</v>
      </c>
      <c r="DC2687" t="s">
        <v>134</v>
      </c>
      <c r="DD2687" t="s">
        <v>135</v>
      </c>
      <c r="DG2687">
        <v>3321939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>"05/01/2025 15:12:00.235"</f>
        <v>05/01/2025 15:12:00.235</v>
      </c>
      <c r="C2688" t="str">
        <f t="shared" si="1040"/>
        <v>FFDFD3C0</v>
      </c>
      <c r="D2688" t="s">
        <v>145</v>
      </c>
      <c r="E2688" t="str">
        <f>"09"</f>
        <v>09</v>
      </c>
      <c r="H2688">
        <v>51</v>
      </c>
      <c r="I2688" t="s">
        <v>147</v>
      </c>
      <c r="J2688" t="s">
        <v>138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R2688" t="s">
        <v>127</v>
      </c>
      <c r="S2688" t="str">
        <f t="shared" si="1062"/>
        <v>15:11:59.000</v>
      </c>
      <c r="T2688" t="str">
        <f t="shared" si="1062"/>
        <v>15:11:59.000</v>
      </c>
      <c r="U2688" t="str">
        <f t="shared" si="1041"/>
        <v>A68FCB</v>
      </c>
      <c r="V2688">
        <v>0</v>
      </c>
      <c r="W2688">
        <v>0</v>
      </c>
      <c r="X2688">
        <v>2</v>
      </c>
      <c r="Y2688">
        <v>0</v>
      </c>
      <c r="AA2688">
        <v>1</v>
      </c>
      <c r="AB2688">
        <v>8</v>
      </c>
      <c r="AC2688">
        <v>3</v>
      </c>
      <c r="AD2688">
        <v>0</v>
      </c>
      <c r="AE2688">
        <v>9</v>
      </c>
      <c r="AF2688" t="s">
        <v>138</v>
      </c>
      <c r="AG2688">
        <v>0</v>
      </c>
      <c r="AH2688">
        <v>3</v>
      </c>
      <c r="AI2688">
        <v>2</v>
      </c>
      <c r="AJ2688">
        <v>0</v>
      </c>
      <c r="AK2688" t="s">
        <v>910</v>
      </c>
      <c r="AL2688">
        <v>39.095770999999999</v>
      </c>
      <c r="AM2688" t="s">
        <v>911</v>
      </c>
      <c r="AN2688">
        <v>-121.03493899999999</v>
      </c>
      <c r="AO2688">
        <v>25</v>
      </c>
      <c r="AP2688">
        <v>4500</v>
      </c>
      <c r="AQ2688" t="s">
        <v>131</v>
      </c>
      <c r="AR2688">
        <v>15</v>
      </c>
      <c r="AS2688">
        <v>73</v>
      </c>
      <c r="AT2688">
        <v>-256</v>
      </c>
      <c r="BB2688" t="str">
        <f t="shared" si="1042"/>
        <v>1200</v>
      </c>
      <c r="BC2688">
        <v>1</v>
      </c>
      <c r="BD2688" t="str">
        <f t="shared" si="1043"/>
        <v xml:space="preserve">N52156  </v>
      </c>
      <c r="BE2688">
        <v>1</v>
      </c>
      <c r="BG2688">
        <v>0</v>
      </c>
      <c r="BH2688">
        <v>0</v>
      </c>
      <c r="BI2688">
        <v>0</v>
      </c>
      <c r="BJ2688">
        <v>4525</v>
      </c>
      <c r="BK2688">
        <v>25</v>
      </c>
      <c r="BL2688" t="s">
        <v>188</v>
      </c>
      <c r="BM2688">
        <v>1</v>
      </c>
      <c r="BN2688">
        <v>1</v>
      </c>
      <c r="BO2688">
        <v>0</v>
      </c>
      <c r="BP2688">
        <v>0</v>
      </c>
      <c r="BS2688">
        <v>0</v>
      </c>
      <c r="BT2688">
        <v>0</v>
      </c>
      <c r="BU2688">
        <v>0</v>
      </c>
      <c r="CE2688" t="str">
        <f t="shared" si="1063"/>
        <v>15:11:59.980</v>
      </c>
      <c r="CF2688">
        <v>980475473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4</v>
      </c>
      <c r="CY2688">
        <v>7</v>
      </c>
      <c r="CZ2688" t="s">
        <v>133</v>
      </c>
      <c r="DA2688">
        <v>275</v>
      </c>
      <c r="DB2688">
        <v>0</v>
      </c>
      <c r="DC2688" t="s">
        <v>134</v>
      </c>
      <c r="DD2688" t="s">
        <v>135</v>
      </c>
      <c r="DG2688">
        <v>3321939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>"05/01/2025 15:12:00.235"</f>
        <v>05/01/2025 15:12:00.235</v>
      </c>
      <c r="C2689" t="str">
        <f t="shared" si="1040"/>
        <v>FFDFD3C0</v>
      </c>
      <c r="D2689" t="s">
        <v>145</v>
      </c>
      <c r="E2689" t="str">
        <f>"05"</f>
        <v>05</v>
      </c>
      <c r="H2689">
        <v>47</v>
      </c>
      <c r="I2689" t="s">
        <v>146</v>
      </c>
      <c r="J2689" t="s">
        <v>138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R2689" t="s">
        <v>127</v>
      </c>
      <c r="S2689" t="str">
        <f t="shared" si="1062"/>
        <v>15:11:59.000</v>
      </c>
      <c r="T2689" t="str">
        <f t="shared" si="1062"/>
        <v>15:11:59.000</v>
      </c>
      <c r="U2689" t="str">
        <f t="shared" si="1041"/>
        <v>A68FCB</v>
      </c>
      <c r="V2689">
        <v>0</v>
      </c>
      <c r="W2689">
        <v>0</v>
      </c>
      <c r="X2689">
        <v>2</v>
      </c>
      <c r="Y2689">
        <v>0</v>
      </c>
      <c r="AA2689">
        <v>1</v>
      </c>
      <c r="AB2689">
        <v>8</v>
      </c>
      <c r="AC2689">
        <v>3</v>
      </c>
      <c r="AD2689">
        <v>0</v>
      </c>
      <c r="AE2689">
        <v>9</v>
      </c>
      <c r="AF2689" t="s">
        <v>138</v>
      </c>
      <c r="AG2689">
        <v>0</v>
      </c>
      <c r="AH2689">
        <v>3</v>
      </c>
      <c r="AI2689">
        <v>2</v>
      </c>
      <c r="AJ2689">
        <v>0</v>
      </c>
      <c r="AK2689" t="s">
        <v>910</v>
      </c>
      <c r="AL2689">
        <v>39.095770999999999</v>
      </c>
      <c r="AM2689" t="s">
        <v>911</v>
      </c>
      <c r="AN2689">
        <v>-121.03493899999999</v>
      </c>
      <c r="AO2689">
        <v>25</v>
      </c>
      <c r="AP2689">
        <v>4500</v>
      </c>
      <c r="AQ2689" t="s">
        <v>131</v>
      </c>
      <c r="AR2689">
        <v>15</v>
      </c>
      <c r="AS2689">
        <v>73</v>
      </c>
      <c r="AT2689">
        <v>-256</v>
      </c>
      <c r="BB2689" t="str">
        <f t="shared" si="1042"/>
        <v>1200</v>
      </c>
      <c r="BC2689">
        <v>1</v>
      </c>
      <c r="BD2689" t="str">
        <f t="shared" si="1043"/>
        <v xml:space="preserve">N52156  </v>
      </c>
      <c r="BE2689">
        <v>1</v>
      </c>
      <c r="BG2689">
        <v>0</v>
      </c>
      <c r="BH2689">
        <v>0</v>
      </c>
      <c r="BI2689">
        <v>0</v>
      </c>
      <c r="BJ2689">
        <v>4525</v>
      </c>
      <c r="BK2689">
        <v>25</v>
      </c>
      <c r="BL2689" t="s">
        <v>188</v>
      </c>
      <c r="BM2689">
        <v>1</v>
      </c>
      <c r="BN2689">
        <v>1</v>
      </c>
      <c r="BO2689">
        <v>0</v>
      </c>
      <c r="BP2689">
        <v>0</v>
      </c>
      <c r="BS2689">
        <v>0</v>
      </c>
      <c r="BT2689">
        <v>0</v>
      </c>
      <c r="BU2689">
        <v>0</v>
      </c>
      <c r="CE2689" t="str">
        <f t="shared" si="1063"/>
        <v>15:11:59.980</v>
      </c>
      <c r="CF2689">
        <v>980475473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4</v>
      </c>
      <c r="CY2689">
        <v>7</v>
      </c>
      <c r="CZ2689" t="s">
        <v>133</v>
      </c>
      <c r="DA2689">
        <v>275</v>
      </c>
      <c r="DB2689">
        <v>0</v>
      </c>
      <c r="DC2689" t="s">
        <v>134</v>
      </c>
      <c r="DD2689" t="s">
        <v>135</v>
      </c>
      <c r="DG2689">
        <v>3321939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>"05/01/2025 15:12:00.636"</f>
        <v>05/01/2025 15:12:00.636</v>
      </c>
      <c r="C2690" t="str">
        <f t="shared" ref="C2690:C2753" si="1064">"FFDFD3C0"</f>
        <v>FFDFD3C0</v>
      </c>
      <c r="D2690" t="s">
        <v>145</v>
      </c>
      <c r="E2690" t="str">
        <f>"05"</f>
        <v>05</v>
      </c>
      <c r="H2690">
        <v>47</v>
      </c>
      <c r="I2690" t="s">
        <v>146</v>
      </c>
      <c r="J2690" t="s">
        <v>138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R2690" t="s">
        <v>127</v>
      </c>
      <c r="S2690" t="str">
        <f t="shared" ref="S2690:T2695" si="1065">"15:12:00.000"</f>
        <v>15:12:00.000</v>
      </c>
      <c r="T2690" t="str">
        <f t="shared" si="1065"/>
        <v>15:12:00.000</v>
      </c>
      <c r="U2690" t="str">
        <f t="shared" ref="U2690:U2753" si="1066">"A68FCB"</f>
        <v>A68FCB</v>
      </c>
      <c r="V2690">
        <v>0</v>
      </c>
      <c r="W2690">
        <v>0</v>
      </c>
      <c r="X2690">
        <v>2</v>
      </c>
      <c r="Y2690">
        <v>0</v>
      </c>
      <c r="AA2690">
        <v>1</v>
      </c>
      <c r="AB2690">
        <v>8</v>
      </c>
      <c r="AC2690">
        <v>3</v>
      </c>
      <c r="AD2690">
        <v>0</v>
      </c>
      <c r="AE2690">
        <v>9</v>
      </c>
      <c r="AF2690" t="s">
        <v>138</v>
      </c>
      <c r="AG2690">
        <v>0</v>
      </c>
      <c r="AH2690">
        <v>3</v>
      </c>
      <c r="AI2690">
        <v>2</v>
      </c>
      <c r="AJ2690">
        <v>0</v>
      </c>
      <c r="AK2690" t="s">
        <v>912</v>
      </c>
      <c r="AL2690">
        <v>39.096093000000003</v>
      </c>
      <c r="AM2690" t="s">
        <v>913</v>
      </c>
      <c r="AN2690">
        <v>-121.03483199999999</v>
      </c>
      <c r="AO2690">
        <v>25</v>
      </c>
      <c r="AP2690">
        <v>4500</v>
      </c>
      <c r="AQ2690" t="s">
        <v>131</v>
      </c>
      <c r="AR2690">
        <v>15</v>
      </c>
      <c r="AS2690">
        <v>72</v>
      </c>
      <c r="AT2690">
        <v>-256</v>
      </c>
      <c r="BB2690" t="str">
        <f t="shared" ref="BB2690:BB2753" si="1067">"1200"</f>
        <v>1200</v>
      </c>
      <c r="BC2690">
        <v>1</v>
      </c>
      <c r="BD2690" t="str">
        <f t="shared" ref="BD2690:BD2753" si="1068">"N52156  "</f>
        <v xml:space="preserve">N52156  </v>
      </c>
      <c r="BE2690">
        <v>1</v>
      </c>
      <c r="BG2690">
        <v>0</v>
      </c>
      <c r="BH2690">
        <v>0</v>
      </c>
      <c r="BI2690">
        <v>0</v>
      </c>
      <c r="BJ2690">
        <v>4525</v>
      </c>
      <c r="BK2690">
        <v>25</v>
      </c>
      <c r="BL2690" t="s">
        <v>188</v>
      </c>
      <c r="BM2690">
        <v>1</v>
      </c>
      <c r="BN2690">
        <v>1</v>
      </c>
      <c r="BO2690">
        <v>0</v>
      </c>
      <c r="BP2690">
        <v>0</v>
      </c>
      <c r="BS2690">
        <v>0</v>
      </c>
      <c r="BT2690">
        <v>0</v>
      </c>
      <c r="BU2690">
        <v>0</v>
      </c>
      <c r="CE2690" t="str">
        <f t="shared" ref="CE2690:CE2695" si="1069">"15:12:00.427"</f>
        <v>15:12:00.427</v>
      </c>
      <c r="CF2690">
        <v>426974383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5</v>
      </c>
      <c r="CY2690">
        <v>7</v>
      </c>
      <c r="CZ2690" t="s">
        <v>133</v>
      </c>
      <c r="DA2690">
        <v>275</v>
      </c>
      <c r="DB2690">
        <v>0</v>
      </c>
      <c r="DC2690" t="s">
        <v>134</v>
      </c>
      <c r="DD2690" t="s">
        <v>135</v>
      </c>
      <c r="DG2690">
        <v>3321943</v>
      </c>
      <c r="DI2690">
        <v>1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>"05/01/2025 15:12:00.636"</f>
        <v>05/01/2025 15:12:00.636</v>
      </c>
      <c r="C2691" t="str">
        <f t="shared" si="1064"/>
        <v>FFDFD3C0</v>
      </c>
      <c r="D2691" t="s">
        <v>145</v>
      </c>
      <c r="E2691" t="str">
        <f>"09"</f>
        <v>09</v>
      </c>
      <c r="H2691">
        <v>51</v>
      </c>
      <c r="I2691" t="s">
        <v>147</v>
      </c>
      <c r="J2691" t="s">
        <v>138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R2691" t="s">
        <v>127</v>
      </c>
      <c r="S2691" t="str">
        <f t="shared" si="1065"/>
        <v>15:12:00.000</v>
      </c>
      <c r="T2691" t="str">
        <f t="shared" si="1065"/>
        <v>15:12:00.000</v>
      </c>
      <c r="U2691" t="str">
        <f t="shared" si="1066"/>
        <v>A68FCB</v>
      </c>
      <c r="V2691">
        <v>0</v>
      </c>
      <c r="W2691">
        <v>0</v>
      </c>
      <c r="X2691">
        <v>2</v>
      </c>
      <c r="Y2691">
        <v>0</v>
      </c>
      <c r="AA2691">
        <v>1</v>
      </c>
      <c r="AB2691">
        <v>8</v>
      </c>
      <c r="AC2691">
        <v>3</v>
      </c>
      <c r="AD2691">
        <v>0</v>
      </c>
      <c r="AE2691">
        <v>9</v>
      </c>
      <c r="AF2691" t="s">
        <v>138</v>
      </c>
      <c r="AG2691">
        <v>0</v>
      </c>
      <c r="AH2691">
        <v>3</v>
      </c>
      <c r="AI2691">
        <v>2</v>
      </c>
      <c r="AJ2691">
        <v>0</v>
      </c>
      <c r="AK2691" t="s">
        <v>912</v>
      </c>
      <c r="AL2691">
        <v>39.096093000000003</v>
      </c>
      <c r="AM2691" t="s">
        <v>913</v>
      </c>
      <c r="AN2691">
        <v>-121.03483199999999</v>
      </c>
      <c r="AO2691">
        <v>25</v>
      </c>
      <c r="AP2691">
        <v>4500</v>
      </c>
      <c r="AQ2691" t="s">
        <v>131</v>
      </c>
      <c r="AR2691">
        <v>15</v>
      </c>
      <c r="AS2691">
        <v>72</v>
      </c>
      <c r="AT2691">
        <v>-256</v>
      </c>
      <c r="BB2691" t="str">
        <f t="shared" si="1067"/>
        <v>1200</v>
      </c>
      <c r="BC2691">
        <v>1</v>
      </c>
      <c r="BD2691" t="str">
        <f t="shared" si="1068"/>
        <v xml:space="preserve">N52156  </v>
      </c>
      <c r="BE2691">
        <v>1</v>
      </c>
      <c r="BG2691">
        <v>0</v>
      </c>
      <c r="BH2691">
        <v>0</v>
      </c>
      <c r="BI2691">
        <v>0</v>
      </c>
      <c r="BJ2691">
        <v>4525</v>
      </c>
      <c r="BK2691">
        <v>25</v>
      </c>
      <c r="BL2691" t="s">
        <v>188</v>
      </c>
      <c r="BM2691">
        <v>1</v>
      </c>
      <c r="BN2691">
        <v>1</v>
      </c>
      <c r="BO2691">
        <v>0</v>
      </c>
      <c r="BP2691">
        <v>0</v>
      </c>
      <c r="BS2691">
        <v>0</v>
      </c>
      <c r="BT2691">
        <v>0</v>
      </c>
      <c r="BU2691">
        <v>0</v>
      </c>
      <c r="CE2691" t="str">
        <f t="shared" si="1069"/>
        <v>15:12:00.427</v>
      </c>
      <c r="CF2691">
        <v>426974383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5</v>
      </c>
      <c r="CY2691">
        <v>7</v>
      </c>
      <c r="CZ2691" t="s">
        <v>133</v>
      </c>
      <c r="DA2691">
        <v>275</v>
      </c>
      <c r="DB2691">
        <v>0</v>
      </c>
      <c r="DC2691" t="s">
        <v>134</v>
      </c>
      <c r="DD2691" t="s">
        <v>135</v>
      </c>
      <c r="DG2691">
        <v>3321943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>"05/01/2025 15:12:00.645"</f>
        <v>05/01/2025 15:12:00.645</v>
      </c>
      <c r="C2692" t="str">
        <f t="shared" si="1064"/>
        <v>FFDFD3C0</v>
      </c>
      <c r="D2692" t="s">
        <v>136</v>
      </c>
      <c r="E2692" t="str">
        <f>"20"</f>
        <v>20</v>
      </c>
      <c r="H2692">
        <v>400</v>
      </c>
      <c r="I2692" t="s">
        <v>137</v>
      </c>
      <c r="J2692" t="s">
        <v>138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R2692" t="s">
        <v>127</v>
      </c>
      <c r="S2692" t="str">
        <f t="shared" si="1065"/>
        <v>15:12:00.000</v>
      </c>
      <c r="T2692" t="str">
        <f t="shared" si="1065"/>
        <v>15:12:00.000</v>
      </c>
      <c r="U2692" t="str">
        <f t="shared" si="1066"/>
        <v>A68FCB</v>
      </c>
      <c r="V2692">
        <v>0</v>
      </c>
      <c r="W2692">
        <v>0</v>
      </c>
      <c r="X2692">
        <v>2</v>
      </c>
      <c r="Y2692">
        <v>0</v>
      </c>
      <c r="AA2692">
        <v>1</v>
      </c>
      <c r="AB2692">
        <v>8</v>
      </c>
      <c r="AC2692">
        <v>3</v>
      </c>
      <c r="AD2692">
        <v>0</v>
      </c>
      <c r="AE2692">
        <v>9</v>
      </c>
      <c r="AF2692" t="s">
        <v>138</v>
      </c>
      <c r="AG2692">
        <v>0</v>
      </c>
      <c r="AH2692">
        <v>3</v>
      </c>
      <c r="AI2692">
        <v>2</v>
      </c>
      <c r="AJ2692">
        <v>0</v>
      </c>
      <c r="AK2692" t="s">
        <v>912</v>
      </c>
      <c r="AL2692">
        <v>39.096093000000003</v>
      </c>
      <c r="AM2692" t="s">
        <v>913</v>
      </c>
      <c r="AN2692">
        <v>-121.03483199999999</v>
      </c>
      <c r="AO2692">
        <v>25</v>
      </c>
      <c r="AP2692">
        <v>4500</v>
      </c>
      <c r="AQ2692" t="s">
        <v>131</v>
      </c>
      <c r="AR2692">
        <v>15</v>
      </c>
      <c r="AS2692">
        <v>72</v>
      </c>
      <c r="AT2692">
        <v>-256</v>
      </c>
      <c r="BB2692" t="str">
        <f t="shared" si="1067"/>
        <v>1200</v>
      </c>
      <c r="BC2692">
        <v>1</v>
      </c>
      <c r="BD2692" t="str">
        <f t="shared" si="1068"/>
        <v xml:space="preserve">N52156  </v>
      </c>
      <c r="BE2692">
        <v>1</v>
      </c>
      <c r="BG2692">
        <v>0</v>
      </c>
      <c r="BH2692">
        <v>0</v>
      </c>
      <c r="BI2692">
        <v>0</v>
      </c>
      <c r="BJ2692">
        <v>4525</v>
      </c>
      <c r="BK2692">
        <v>25</v>
      </c>
      <c r="BL2692" t="s">
        <v>188</v>
      </c>
      <c r="BM2692">
        <v>1</v>
      </c>
      <c r="BN2692">
        <v>1</v>
      </c>
      <c r="BO2692">
        <v>0</v>
      </c>
      <c r="BP2692">
        <v>0</v>
      </c>
      <c r="BS2692">
        <v>0</v>
      </c>
      <c r="BT2692">
        <v>0</v>
      </c>
      <c r="BU2692">
        <v>0</v>
      </c>
      <c r="CE2692" t="str">
        <f t="shared" si="1069"/>
        <v>15:12:00.427</v>
      </c>
      <c r="CF2692">
        <v>426974383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5</v>
      </c>
      <c r="CY2692">
        <v>7</v>
      </c>
      <c r="CZ2692" t="s">
        <v>133</v>
      </c>
      <c r="DA2692">
        <v>275</v>
      </c>
      <c r="DB2692">
        <v>0</v>
      </c>
      <c r="DC2692" t="s">
        <v>134</v>
      </c>
      <c r="DD2692" t="s">
        <v>135</v>
      </c>
      <c r="DG2692">
        <v>3321943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"05/01/2025 15:12:00.652"</f>
        <v>05/01/2025 15:12:00.652</v>
      </c>
      <c r="C2693" t="str">
        <f t="shared" si="1064"/>
        <v>FFDFD3C0</v>
      </c>
      <c r="D2693" t="s">
        <v>143</v>
      </c>
      <c r="E2693" t="str">
        <f>"05"</f>
        <v>05</v>
      </c>
      <c r="H2693">
        <v>172</v>
      </c>
      <c r="I2693" t="s">
        <v>141</v>
      </c>
      <c r="J2693" t="s">
        <v>144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R2693" t="s">
        <v>127</v>
      </c>
      <c r="S2693" t="str">
        <f t="shared" si="1065"/>
        <v>15:12:00.000</v>
      </c>
      <c r="T2693" t="str">
        <f t="shared" si="1065"/>
        <v>15:12:00.000</v>
      </c>
      <c r="U2693" t="str">
        <f t="shared" si="1066"/>
        <v>A68FCB</v>
      </c>
      <c r="V2693">
        <v>0</v>
      </c>
      <c r="W2693">
        <v>0</v>
      </c>
      <c r="X2693">
        <v>2</v>
      </c>
      <c r="Y2693">
        <v>0</v>
      </c>
      <c r="AA2693">
        <v>1</v>
      </c>
      <c r="AB2693">
        <v>8</v>
      </c>
      <c r="AC2693">
        <v>3</v>
      </c>
      <c r="AD2693">
        <v>0</v>
      </c>
      <c r="AE2693">
        <v>9</v>
      </c>
      <c r="AF2693" t="s">
        <v>138</v>
      </c>
      <c r="AG2693">
        <v>0</v>
      </c>
      <c r="AH2693">
        <v>3</v>
      </c>
      <c r="AI2693">
        <v>2</v>
      </c>
      <c r="AJ2693">
        <v>0</v>
      </c>
      <c r="AK2693" t="s">
        <v>912</v>
      </c>
      <c r="AL2693">
        <v>39.096093000000003</v>
      </c>
      <c r="AM2693" t="s">
        <v>913</v>
      </c>
      <c r="AN2693">
        <v>-121.03483199999999</v>
      </c>
      <c r="AO2693">
        <v>25</v>
      </c>
      <c r="AP2693">
        <v>4500</v>
      </c>
      <c r="AQ2693" t="s">
        <v>131</v>
      </c>
      <c r="AR2693">
        <v>15</v>
      </c>
      <c r="AS2693">
        <v>72</v>
      </c>
      <c r="AT2693">
        <v>-256</v>
      </c>
      <c r="BB2693" t="str">
        <f t="shared" si="1067"/>
        <v>1200</v>
      </c>
      <c r="BC2693">
        <v>1</v>
      </c>
      <c r="BD2693" t="str">
        <f t="shared" si="1068"/>
        <v xml:space="preserve">N52156  </v>
      </c>
      <c r="BE2693">
        <v>1</v>
      </c>
      <c r="BG2693">
        <v>0</v>
      </c>
      <c r="BH2693">
        <v>0</v>
      </c>
      <c r="BI2693">
        <v>0</v>
      </c>
      <c r="BJ2693">
        <v>4525</v>
      </c>
      <c r="BK2693">
        <v>25</v>
      </c>
      <c r="BL2693" t="s">
        <v>188</v>
      </c>
      <c r="BM2693">
        <v>1</v>
      </c>
      <c r="BN2693">
        <v>1</v>
      </c>
      <c r="BO2693">
        <v>0</v>
      </c>
      <c r="BP2693">
        <v>0</v>
      </c>
      <c r="BS2693">
        <v>0</v>
      </c>
      <c r="BT2693">
        <v>0</v>
      </c>
      <c r="BU2693">
        <v>0</v>
      </c>
      <c r="CE2693" t="str">
        <f t="shared" si="1069"/>
        <v>15:12:00.427</v>
      </c>
      <c r="CF2693">
        <v>426974383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5</v>
      </c>
      <c r="CY2693">
        <v>7</v>
      </c>
      <c r="CZ2693" t="s">
        <v>133</v>
      </c>
      <c r="DA2693">
        <v>275</v>
      </c>
      <c r="DB2693">
        <v>0</v>
      </c>
      <c r="DC2693" t="s">
        <v>134</v>
      </c>
      <c r="DD2693" t="s">
        <v>135</v>
      </c>
      <c r="DG2693">
        <v>3321943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"05/01/2025 15:12:00.671"</f>
        <v>05/01/2025 15:12:00.671</v>
      </c>
      <c r="C2694" t="str">
        <f t="shared" si="1064"/>
        <v>FFDFD3C0</v>
      </c>
      <c r="D2694" t="s">
        <v>140</v>
      </c>
      <c r="E2694" t="str">
        <f>"13"</f>
        <v>13</v>
      </c>
      <c r="F2694">
        <v>1019</v>
      </c>
      <c r="G2694" t="s">
        <v>141</v>
      </c>
      <c r="J2694" t="s">
        <v>142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R2694" t="s">
        <v>127</v>
      </c>
      <c r="S2694" t="str">
        <f t="shared" si="1065"/>
        <v>15:12:00.000</v>
      </c>
      <c r="T2694" t="str">
        <f t="shared" si="1065"/>
        <v>15:12:00.000</v>
      </c>
      <c r="U2694" t="str">
        <f t="shared" si="1066"/>
        <v>A68FCB</v>
      </c>
      <c r="V2694">
        <v>0</v>
      </c>
      <c r="W2694">
        <v>0</v>
      </c>
      <c r="X2694">
        <v>2</v>
      </c>
      <c r="Y2694">
        <v>0</v>
      </c>
      <c r="AA2694">
        <v>1</v>
      </c>
      <c r="AB2694">
        <v>8</v>
      </c>
      <c r="AC2694">
        <v>3</v>
      </c>
      <c r="AD2694">
        <v>0</v>
      </c>
      <c r="AE2694">
        <v>9</v>
      </c>
      <c r="AF2694" t="s">
        <v>138</v>
      </c>
      <c r="AG2694">
        <v>0</v>
      </c>
      <c r="AH2694">
        <v>3</v>
      </c>
      <c r="AI2694">
        <v>2</v>
      </c>
      <c r="AJ2694">
        <v>0</v>
      </c>
      <c r="AK2694" t="s">
        <v>912</v>
      </c>
      <c r="AL2694">
        <v>39.096093000000003</v>
      </c>
      <c r="AM2694" t="s">
        <v>913</v>
      </c>
      <c r="AN2694">
        <v>-121.03483199999999</v>
      </c>
      <c r="AO2694">
        <v>25</v>
      </c>
      <c r="AP2694">
        <v>4500</v>
      </c>
      <c r="AQ2694" t="s">
        <v>131</v>
      </c>
      <c r="AR2694">
        <v>15</v>
      </c>
      <c r="AS2694">
        <v>72</v>
      </c>
      <c r="AT2694">
        <v>-256</v>
      </c>
      <c r="BB2694" t="str">
        <f t="shared" si="1067"/>
        <v>1200</v>
      </c>
      <c r="BC2694">
        <v>1</v>
      </c>
      <c r="BD2694" t="str">
        <f t="shared" si="1068"/>
        <v xml:space="preserve">N52156  </v>
      </c>
      <c r="BE2694">
        <v>1</v>
      </c>
      <c r="BG2694">
        <v>0</v>
      </c>
      <c r="BH2694">
        <v>0</v>
      </c>
      <c r="BI2694">
        <v>0</v>
      </c>
      <c r="BJ2694">
        <v>4525</v>
      </c>
      <c r="BK2694">
        <v>25</v>
      </c>
      <c r="BL2694" t="s">
        <v>188</v>
      </c>
      <c r="BM2694">
        <v>1</v>
      </c>
      <c r="BN2694">
        <v>1</v>
      </c>
      <c r="BO2694">
        <v>0</v>
      </c>
      <c r="BP2694">
        <v>0</v>
      </c>
      <c r="BS2694">
        <v>0</v>
      </c>
      <c r="BT2694">
        <v>0</v>
      </c>
      <c r="BU2694">
        <v>0</v>
      </c>
      <c r="CE2694" t="str">
        <f t="shared" si="1069"/>
        <v>15:12:00.427</v>
      </c>
      <c r="CF2694">
        <v>426974383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5</v>
      </c>
      <c r="CY2694">
        <v>7</v>
      </c>
      <c r="CZ2694" t="s">
        <v>133</v>
      </c>
      <c r="DA2694">
        <v>275</v>
      </c>
      <c r="DB2694">
        <v>0</v>
      </c>
      <c r="DC2694" t="s">
        <v>134</v>
      </c>
      <c r="DD2694" t="s">
        <v>135</v>
      </c>
      <c r="DG2694">
        <v>3321943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"05/01/2025 15:12:00.676"</f>
        <v>05/01/2025 15:12:00.676</v>
      </c>
      <c r="C2695" t="str">
        <f t="shared" si="1064"/>
        <v>FFDFD3C0</v>
      </c>
      <c r="D2695" t="s">
        <v>124</v>
      </c>
      <c r="E2695" t="str">
        <f>"06"</f>
        <v>06</v>
      </c>
      <c r="F2695">
        <v>2006</v>
      </c>
      <c r="G2695" t="s">
        <v>125</v>
      </c>
      <c r="J2695" t="s">
        <v>126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R2695" t="s">
        <v>127</v>
      </c>
      <c r="S2695" t="str">
        <f t="shared" si="1065"/>
        <v>15:12:00.000</v>
      </c>
      <c r="T2695" t="str">
        <f t="shared" si="1065"/>
        <v>15:12:00.000</v>
      </c>
      <c r="U2695" t="str">
        <f t="shared" si="1066"/>
        <v>A68FCB</v>
      </c>
      <c r="V2695">
        <v>0</v>
      </c>
      <c r="W2695">
        <v>0</v>
      </c>
      <c r="X2695">
        <v>2</v>
      </c>
      <c r="Y2695">
        <v>0</v>
      </c>
      <c r="AA2695">
        <v>1</v>
      </c>
      <c r="AB2695">
        <v>8</v>
      </c>
      <c r="AC2695">
        <v>3</v>
      </c>
      <c r="AD2695">
        <v>0</v>
      </c>
      <c r="AE2695">
        <v>9</v>
      </c>
      <c r="AF2695" t="s">
        <v>138</v>
      </c>
      <c r="AG2695">
        <v>0</v>
      </c>
      <c r="AH2695">
        <v>3</v>
      </c>
      <c r="AI2695">
        <v>2</v>
      </c>
      <c r="AJ2695">
        <v>0</v>
      </c>
      <c r="AK2695" t="s">
        <v>912</v>
      </c>
      <c r="AL2695">
        <v>39.096093000000003</v>
      </c>
      <c r="AM2695" t="s">
        <v>913</v>
      </c>
      <c r="AN2695">
        <v>-121.03483199999999</v>
      </c>
      <c r="AO2695">
        <v>25</v>
      </c>
      <c r="AP2695">
        <v>4500</v>
      </c>
      <c r="AQ2695" t="s">
        <v>131</v>
      </c>
      <c r="AR2695">
        <v>15</v>
      </c>
      <c r="AS2695">
        <v>72</v>
      </c>
      <c r="AT2695">
        <v>-256</v>
      </c>
      <c r="BB2695" t="str">
        <f t="shared" si="1067"/>
        <v>1200</v>
      </c>
      <c r="BC2695">
        <v>1</v>
      </c>
      <c r="BD2695" t="str">
        <f t="shared" si="1068"/>
        <v xml:space="preserve">N52156  </v>
      </c>
      <c r="BE2695">
        <v>1</v>
      </c>
      <c r="BG2695">
        <v>0</v>
      </c>
      <c r="BH2695">
        <v>0</v>
      </c>
      <c r="BI2695">
        <v>0</v>
      </c>
      <c r="BJ2695">
        <v>4525</v>
      </c>
      <c r="BK2695">
        <v>25</v>
      </c>
      <c r="BL2695" t="s">
        <v>188</v>
      </c>
      <c r="BM2695">
        <v>1</v>
      </c>
      <c r="BN2695">
        <v>1</v>
      </c>
      <c r="BO2695">
        <v>0</v>
      </c>
      <c r="BP2695">
        <v>0</v>
      </c>
      <c r="BS2695">
        <v>0</v>
      </c>
      <c r="BT2695">
        <v>0</v>
      </c>
      <c r="BU2695">
        <v>0</v>
      </c>
      <c r="CE2695" t="str">
        <f t="shared" si="1069"/>
        <v>15:12:00.427</v>
      </c>
      <c r="CF2695">
        <v>426974383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5</v>
      </c>
      <c r="CY2695">
        <v>7</v>
      </c>
      <c r="CZ2695" t="s">
        <v>133</v>
      </c>
      <c r="DA2695">
        <v>275</v>
      </c>
      <c r="DB2695">
        <v>0</v>
      </c>
      <c r="DC2695" t="s">
        <v>134</v>
      </c>
      <c r="DD2695" t="s">
        <v>135</v>
      </c>
      <c r="DG2695">
        <v>3321943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"05/01/2025 15:12:01.554"</f>
        <v>05/01/2025 15:12:01.554</v>
      </c>
      <c r="C2696" t="str">
        <f t="shared" si="1064"/>
        <v>FFDFD3C0</v>
      </c>
      <c r="D2696" t="s">
        <v>143</v>
      </c>
      <c r="E2696" t="str">
        <f>"05"</f>
        <v>05</v>
      </c>
      <c r="H2696">
        <v>172</v>
      </c>
      <c r="I2696" t="s">
        <v>141</v>
      </c>
      <c r="J2696" t="s">
        <v>144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R2696" t="s">
        <v>127</v>
      </c>
      <c r="S2696" t="str">
        <f t="shared" ref="S2696:T2701" si="1070">"15:12:01.000"</f>
        <v>15:12:01.000</v>
      </c>
      <c r="T2696" t="str">
        <f t="shared" si="1070"/>
        <v>15:12:01.000</v>
      </c>
      <c r="U2696" t="str">
        <f t="shared" si="1066"/>
        <v>A68FCB</v>
      </c>
      <c r="V2696">
        <v>0</v>
      </c>
      <c r="W2696">
        <v>0</v>
      </c>
      <c r="X2696">
        <v>2</v>
      </c>
      <c r="Y2696">
        <v>0</v>
      </c>
      <c r="AA2696">
        <v>1</v>
      </c>
      <c r="AB2696">
        <v>8</v>
      </c>
      <c r="AC2696">
        <v>3</v>
      </c>
      <c r="AD2696">
        <v>0</v>
      </c>
      <c r="AE2696">
        <v>9</v>
      </c>
      <c r="AF2696" t="s">
        <v>138</v>
      </c>
      <c r="AG2696">
        <v>0</v>
      </c>
      <c r="AH2696">
        <v>3</v>
      </c>
      <c r="AI2696">
        <v>2</v>
      </c>
      <c r="AJ2696">
        <v>0</v>
      </c>
      <c r="AK2696" t="s">
        <v>914</v>
      </c>
      <c r="AL2696">
        <v>39.096437000000002</v>
      </c>
      <c r="AM2696" t="s">
        <v>915</v>
      </c>
      <c r="AN2696">
        <v>-121.034746</v>
      </c>
      <c r="AO2696">
        <v>25</v>
      </c>
      <c r="AP2696">
        <v>4500</v>
      </c>
      <c r="AQ2696" t="s">
        <v>131</v>
      </c>
      <c r="AR2696">
        <v>15</v>
      </c>
      <c r="AS2696">
        <v>71</v>
      </c>
      <c r="AT2696">
        <v>-256</v>
      </c>
      <c r="BB2696" t="str">
        <f t="shared" si="1067"/>
        <v>1200</v>
      </c>
      <c r="BC2696">
        <v>1</v>
      </c>
      <c r="BD2696" t="str">
        <f t="shared" si="1068"/>
        <v xml:space="preserve">N52156  </v>
      </c>
      <c r="BE2696">
        <v>1</v>
      </c>
      <c r="BG2696">
        <v>0</v>
      </c>
      <c r="BH2696">
        <v>0</v>
      </c>
      <c r="BI2696">
        <v>0</v>
      </c>
      <c r="BJ2696">
        <v>4525</v>
      </c>
      <c r="BK2696">
        <v>25</v>
      </c>
      <c r="BL2696" t="s">
        <v>188</v>
      </c>
      <c r="BM2696">
        <v>1</v>
      </c>
      <c r="BN2696">
        <v>1</v>
      </c>
      <c r="BO2696">
        <v>0</v>
      </c>
      <c r="BP2696">
        <v>0</v>
      </c>
      <c r="BS2696">
        <v>0</v>
      </c>
      <c r="BT2696">
        <v>0</v>
      </c>
      <c r="BU2696">
        <v>0</v>
      </c>
      <c r="CE2696" t="str">
        <f t="shared" ref="CE2696:CE2701" si="1071">"15:12:01.342"</f>
        <v>15:12:01.342</v>
      </c>
      <c r="CF2696">
        <v>341974226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5</v>
      </c>
      <c r="CY2696">
        <v>7</v>
      </c>
      <c r="CZ2696" t="s">
        <v>133</v>
      </c>
      <c r="DA2696">
        <v>275</v>
      </c>
      <c r="DB2696">
        <v>0</v>
      </c>
      <c r="DC2696" t="s">
        <v>134</v>
      </c>
      <c r="DD2696" t="s">
        <v>135</v>
      </c>
      <c r="DG2696">
        <v>3321950</v>
      </c>
      <c r="DI2696">
        <v>1</v>
      </c>
      <c r="DJ2696">
        <v>0</v>
      </c>
      <c r="DK2696">
        <v>0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>"05/01/2025 15:12:01.572"</f>
        <v>05/01/2025 15:12:01.572</v>
      </c>
      <c r="C2697" t="str">
        <f t="shared" si="1064"/>
        <v>FFDFD3C0</v>
      </c>
      <c r="D2697" t="s">
        <v>140</v>
      </c>
      <c r="E2697" t="str">
        <f>"13"</f>
        <v>13</v>
      </c>
      <c r="F2697">
        <v>1019</v>
      </c>
      <c r="G2697" t="s">
        <v>141</v>
      </c>
      <c r="J2697" t="s">
        <v>142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R2697" t="s">
        <v>127</v>
      </c>
      <c r="S2697" t="str">
        <f t="shared" si="1070"/>
        <v>15:12:01.000</v>
      </c>
      <c r="T2697" t="str">
        <f t="shared" si="1070"/>
        <v>15:12:01.000</v>
      </c>
      <c r="U2697" t="str">
        <f t="shared" si="1066"/>
        <v>A68FCB</v>
      </c>
      <c r="V2697">
        <v>0</v>
      </c>
      <c r="W2697">
        <v>0</v>
      </c>
      <c r="X2697">
        <v>2</v>
      </c>
      <c r="Y2697">
        <v>0</v>
      </c>
      <c r="AA2697">
        <v>1</v>
      </c>
      <c r="AB2697">
        <v>8</v>
      </c>
      <c r="AC2697">
        <v>3</v>
      </c>
      <c r="AD2697">
        <v>0</v>
      </c>
      <c r="AE2697">
        <v>9</v>
      </c>
      <c r="AF2697" t="s">
        <v>138</v>
      </c>
      <c r="AG2697">
        <v>0</v>
      </c>
      <c r="AH2697">
        <v>3</v>
      </c>
      <c r="AI2697">
        <v>2</v>
      </c>
      <c r="AJ2697">
        <v>0</v>
      </c>
      <c r="AK2697" t="s">
        <v>914</v>
      </c>
      <c r="AL2697">
        <v>39.096437000000002</v>
      </c>
      <c r="AM2697" t="s">
        <v>915</v>
      </c>
      <c r="AN2697">
        <v>-121.034746</v>
      </c>
      <c r="AO2697">
        <v>25</v>
      </c>
      <c r="AP2697">
        <v>4500</v>
      </c>
      <c r="AQ2697" t="s">
        <v>131</v>
      </c>
      <c r="AR2697">
        <v>15</v>
      </c>
      <c r="AS2697">
        <v>71</v>
      </c>
      <c r="AT2697">
        <v>-256</v>
      </c>
      <c r="BB2697" t="str">
        <f t="shared" si="1067"/>
        <v>1200</v>
      </c>
      <c r="BC2697">
        <v>1</v>
      </c>
      <c r="BD2697" t="str">
        <f t="shared" si="1068"/>
        <v xml:space="preserve">N52156  </v>
      </c>
      <c r="BE2697">
        <v>1</v>
      </c>
      <c r="BG2697">
        <v>0</v>
      </c>
      <c r="BH2697">
        <v>0</v>
      </c>
      <c r="BI2697">
        <v>0</v>
      </c>
      <c r="BJ2697">
        <v>4525</v>
      </c>
      <c r="BK2697">
        <v>25</v>
      </c>
      <c r="BL2697" t="s">
        <v>188</v>
      </c>
      <c r="BM2697">
        <v>1</v>
      </c>
      <c r="BN2697">
        <v>1</v>
      </c>
      <c r="BO2697">
        <v>0</v>
      </c>
      <c r="BP2697">
        <v>0</v>
      </c>
      <c r="BS2697">
        <v>0</v>
      </c>
      <c r="BT2697">
        <v>0</v>
      </c>
      <c r="BU2697">
        <v>0</v>
      </c>
      <c r="CE2697" t="str">
        <f t="shared" si="1071"/>
        <v>15:12:01.342</v>
      </c>
      <c r="CF2697">
        <v>341974226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5</v>
      </c>
      <c r="CY2697">
        <v>7</v>
      </c>
      <c r="CZ2697" t="s">
        <v>133</v>
      </c>
      <c r="DA2697">
        <v>275</v>
      </c>
      <c r="DB2697">
        <v>0</v>
      </c>
      <c r="DC2697" t="s">
        <v>134</v>
      </c>
      <c r="DD2697" t="s">
        <v>135</v>
      </c>
      <c r="DG2697">
        <v>3321950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>"05/01/2025 15:12:01.577"</f>
        <v>05/01/2025 15:12:01.577</v>
      </c>
      <c r="C2698" t="str">
        <f t="shared" si="1064"/>
        <v>FFDFD3C0</v>
      </c>
      <c r="D2698" t="s">
        <v>124</v>
      </c>
      <c r="E2698" t="str">
        <f>"06"</f>
        <v>06</v>
      </c>
      <c r="F2698">
        <v>2006</v>
      </c>
      <c r="G2698" t="s">
        <v>125</v>
      </c>
      <c r="J2698" t="s">
        <v>126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R2698" t="s">
        <v>127</v>
      </c>
      <c r="S2698" t="str">
        <f t="shared" si="1070"/>
        <v>15:12:01.000</v>
      </c>
      <c r="T2698" t="str">
        <f t="shared" si="1070"/>
        <v>15:12:01.000</v>
      </c>
      <c r="U2698" t="str">
        <f t="shared" si="1066"/>
        <v>A68FCB</v>
      </c>
      <c r="V2698">
        <v>0</v>
      </c>
      <c r="W2698">
        <v>0</v>
      </c>
      <c r="X2698">
        <v>2</v>
      </c>
      <c r="Y2698">
        <v>0</v>
      </c>
      <c r="AA2698">
        <v>1</v>
      </c>
      <c r="AB2698">
        <v>8</v>
      </c>
      <c r="AC2698">
        <v>3</v>
      </c>
      <c r="AD2698">
        <v>0</v>
      </c>
      <c r="AE2698">
        <v>9</v>
      </c>
      <c r="AF2698" t="s">
        <v>138</v>
      </c>
      <c r="AG2698">
        <v>0</v>
      </c>
      <c r="AH2698">
        <v>3</v>
      </c>
      <c r="AI2698">
        <v>2</v>
      </c>
      <c r="AJ2698">
        <v>0</v>
      </c>
      <c r="AK2698" t="s">
        <v>914</v>
      </c>
      <c r="AL2698">
        <v>39.096437000000002</v>
      </c>
      <c r="AM2698" t="s">
        <v>915</v>
      </c>
      <c r="AN2698">
        <v>-121.034746</v>
      </c>
      <c r="AO2698">
        <v>25</v>
      </c>
      <c r="AP2698">
        <v>4500</v>
      </c>
      <c r="AQ2698" t="s">
        <v>131</v>
      </c>
      <c r="AR2698">
        <v>15</v>
      </c>
      <c r="AS2698">
        <v>71</v>
      </c>
      <c r="AT2698">
        <v>-256</v>
      </c>
      <c r="BB2698" t="str">
        <f t="shared" si="1067"/>
        <v>1200</v>
      </c>
      <c r="BC2698">
        <v>1</v>
      </c>
      <c r="BD2698" t="str">
        <f t="shared" si="1068"/>
        <v xml:space="preserve">N52156  </v>
      </c>
      <c r="BE2698">
        <v>1</v>
      </c>
      <c r="BG2698">
        <v>0</v>
      </c>
      <c r="BH2698">
        <v>0</v>
      </c>
      <c r="BI2698">
        <v>0</v>
      </c>
      <c r="BJ2698">
        <v>4525</v>
      </c>
      <c r="BK2698">
        <v>25</v>
      </c>
      <c r="BL2698" t="s">
        <v>188</v>
      </c>
      <c r="BM2698">
        <v>1</v>
      </c>
      <c r="BN2698">
        <v>1</v>
      </c>
      <c r="BO2698">
        <v>0</v>
      </c>
      <c r="BP2698">
        <v>0</v>
      </c>
      <c r="BS2698">
        <v>0</v>
      </c>
      <c r="BT2698">
        <v>0</v>
      </c>
      <c r="BU2698">
        <v>0</v>
      </c>
      <c r="CE2698" t="str">
        <f t="shared" si="1071"/>
        <v>15:12:01.342</v>
      </c>
      <c r="CF2698">
        <v>341974226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5</v>
      </c>
      <c r="CY2698">
        <v>7</v>
      </c>
      <c r="CZ2698" t="s">
        <v>133</v>
      </c>
      <c r="DA2698">
        <v>275</v>
      </c>
      <c r="DB2698">
        <v>0</v>
      </c>
      <c r="DC2698" t="s">
        <v>134</v>
      </c>
      <c r="DD2698" t="s">
        <v>135</v>
      </c>
      <c r="DG2698">
        <v>3321950</v>
      </c>
      <c r="DI2698">
        <v>1</v>
      </c>
      <c r="DJ2698">
        <v>0</v>
      </c>
      <c r="DK2698">
        <v>1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>"05/01/2025 15:12:01.588"</f>
        <v>05/01/2025 15:12:01.588</v>
      </c>
      <c r="C2699" t="str">
        <f t="shared" si="1064"/>
        <v>FFDFD3C0</v>
      </c>
      <c r="D2699" t="s">
        <v>145</v>
      </c>
      <c r="E2699" t="str">
        <f>"09"</f>
        <v>09</v>
      </c>
      <c r="H2699">
        <v>51</v>
      </c>
      <c r="I2699" t="s">
        <v>147</v>
      </c>
      <c r="J2699" t="s">
        <v>138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R2699" t="s">
        <v>127</v>
      </c>
      <c r="S2699" t="str">
        <f t="shared" si="1070"/>
        <v>15:12:01.000</v>
      </c>
      <c r="T2699" t="str">
        <f t="shared" si="1070"/>
        <v>15:12:01.000</v>
      </c>
      <c r="U2699" t="str">
        <f t="shared" si="1066"/>
        <v>A68FCB</v>
      </c>
      <c r="V2699">
        <v>0</v>
      </c>
      <c r="W2699">
        <v>0</v>
      </c>
      <c r="X2699">
        <v>2</v>
      </c>
      <c r="Y2699">
        <v>0</v>
      </c>
      <c r="AA2699">
        <v>1</v>
      </c>
      <c r="AB2699">
        <v>8</v>
      </c>
      <c r="AC2699">
        <v>3</v>
      </c>
      <c r="AD2699">
        <v>0</v>
      </c>
      <c r="AE2699">
        <v>9</v>
      </c>
      <c r="AF2699" t="s">
        <v>138</v>
      </c>
      <c r="AG2699">
        <v>0</v>
      </c>
      <c r="AH2699">
        <v>3</v>
      </c>
      <c r="AI2699">
        <v>2</v>
      </c>
      <c r="AJ2699">
        <v>0</v>
      </c>
      <c r="AK2699" t="s">
        <v>914</v>
      </c>
      <c r="AL2699">
        <v>39.096437000000002</v>
      </c>
      <c r="AM2699" t="s">
        <v>915</v>
      </c>
      <c r="AN2699">
        <v>-121.034746</v>
      </c>
      <c r="AO2699">
        <v>25</v>
      </c>
      <c r="AP2699">
        <v>4500</v>
      </c>
      <c r="AQ2699" t="s">
        <v>131</v>
      </c>
      <c r="AR2699">
        <v>15</v>
      </c>
      <c r="AS2699">
        <v>71</v>
      </c>
      <c r="AT2699">
        <v>-256</v>
      </c>
      <c r="BB2699" t="str">
        <f t="shared" si="1067"/>
        <v>1200</v>
      </c>
      <c r="BC2699">
        <v>1</v>
      </c>
      <c r="BD2699" t="str">
        <f t="shared" si="1068"/>
        <v xml:space="preserve">N52156  </v>
      </c>
      <c r="BE2699">
        <v>1</v>
      </c>
      <c r="BG2699">
        <v>0</v>
      </c>
      <c r="BH2699">
        <v>0</v>
      </c>
      <c r="BI2699">
        <v>0</v>
      </c>
      <c r="BJ2699">
        <v>4525</v>
      </c>
      <c r="BK2699">
        <v>25</v>
      </c>
      <c r="BL2699" t="s">
        <v>188</v>
      </c>
      <c r="BM2699">
        <v>1</v>
      </c>
      <c r="BN2699">
        <v>1</v>
      </c>
      <c r="BO2699">
        <v>0</v>
      </c>
      <c r="BP2699">
        <v>0</v>
      </c>
      <c r="BS2699">
        <v>0</v>
      </c>
      <c r="BT2699">
        <v>0</v>
      </c>
      <c r="BU2699">
        <v>0</v>
      </c>
      <c r="CE2699" t="str">
        <f t="shared" si="1071"/>
        <v>15:12:01.342</v>
      </c>
      <c r="CF2699">
        <v>341974226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5</v>
      </c>
      <c r="CY2699">
        <v>7</v>
      </c>
      <c r="CZ2699" t="s">
        <v>133</v>
      </c>
      <c r="DA2699">
        <v>275</v>
      </c>
      <c r="DB2699">
        <v>0</v>
      </c>
      <c r="DC2699" t="s">
        <v>134</v>
      </c>
      <c r="DD2699" t="s">
        <v>135</v>
      </c>
      <c r="DG2699">
        <v>3321950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>"05/01/2025 15:12:01.587"</f>
        <v>05/01/2025 15:12:01.587</v>
      </c>
      <c r="C2700" t="str">
        <f t="shared" si="1064"/>
        <v>FFDFD3C0</v>
      </c>
      <c r="D2700" t="s">
        <v>145</v>
      </c>
      <c r="E2700" t="str">
        <f>"05"</f>
        <v>05</v>
      </c>
      <c r="H2700">
        <v>47</v>
      </c>
      <c r="I2700" t="s">
        <v>146</v>
      </c>
      <c r="J2700" t="s">
        <v>138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R2700" t="s">
        <v>127</v>
      </c>
      <c r="S2700" t="str">
        <f t="shared" si="1070"/>
        <v>15:12:01.000</v>
      </c>
      <c r="T2700" t="str">
        <f t="shared" si="1070"/>
        <v>15:12:01.000</v>
      </c>
      <c r="U2700" t="str">
        <f t="shared" si="1066"/>
        <v>A68FCB</v>
      </c>
      <c r="V2700">
        <v>0</v>
      </c>
      <c r="W2700">
        <v>0</v>
      </c>
      <c r="X2700">
        <v>2</v>
      </c>
      <c r="Y2700">
        <v>0</v>
      </c>
      <c r="AA2700">
        <v>1</v>
      </c>
      <c r="AB2700">
        <v>8</v>
      </c>
      <c r="AC2700">
        <v>3</v>
      </c>
      <c r="AD2700">
        <v>0</v>
      </c>
      <c r="AE2700">
        <v>9</v>
      </c>
      <c r="AF2700" t="s">
        <v>138</v>
      </c>
      <c r="AG2700">
        <v>0</v>
      </c>
      <c r="AH2700">
        <v>3</v>
      </c>
      <c r="AI2700">
        <v>2</v>
      </c>
      <c r="AJ2700">
        <v>0</v>
      </c>
      <c r="AK2700" t="s">
        <v>914</v>
      </c>
      <c r="AL2700">
        <v>39.096437000000002</v>
      </c>
      <c r="AM2700" t="s">
        <v>915</v>
      </c>
      <c r="AN2700">
        <v>-121.034746</v>
      </c>
      <c r="AO2700">
        <v>25</v>
      </c>
      <c r="AP2700">
        <v>4500</v>
      </c>
      <c r="AQ2700" t="s">
        <v>131</v>
      </c>
      <c r="AR2700">
        <v>15</v>
      </c>
      <c r="AS2700">
        <v>71</v>
      </c>
      <c r="AT2700">
        <v>-256</v>
      </c>
      <c r="BB2700" t="str">
        <f t="shared" si="1067"/>
        <v>1200</v>
      </c>
      <c r="BC2700">
        <v>1</v>
      </c>
      <c r="BD2700" t="str">
        <f t="shared" si="1068"/>
        <v xml:space="preserve">N52156  </v>
      </c>
      <c r="BE2700">
        <v>1</v>
      </c>
      <c r="BG2700">
        <v>0</v>
      </c>
      <c r="BH2700">
        <v>0</v>
      </c>
      <c r="BI2700">
        <v>0</v>
      </c>
      <c r="BJ2700">
        <v>4525</v>
      </c>
      <c r="BK2700">
        <v>25</v>
      </c>
      <c r="BL2700" t="s">
        <v>188</v>
      </c>
      <c r="BM2700">
        <v>1</v>
      </c>
      <c r="BN2700">
        <v>1</v>
      </c>
      <c r="BO2700">
        <v>0</v>
      </c>
      <c r="BP2700">
        <v>0</v>
      </c>
      <c r="BS2700">
        <v>0</v>
      </c>
      <c r="BT2700">
        <v>0</v>
      </c>
      <c r="BU2700">
        <v>0</v>
      </c>
      <c r="CE2700" t="str">
        <f t="shared" si="1071"/>
        <v>15:12:01.342</v>
      </c>
      <c r="CF2700">
        <v>341974226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5</v>
      </c>
      <c r="CY2700">
        <v>7</v>
      </c>
      <c r="CZ2700" t="s">
        <v>133</v>
      </c>
      <c r="DA2700">
        <v>275</v>
      </c>
      <c r="DB2700">
        <v>0</v>
      </c>
      <c r="DC2700" t="s">
        <v>134</v>
      </c>
      <c r="DD2700" t="s">
        <v>135</v>
      </c>
      <c r="DG2700">
        <v>3321950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>"05/01/2025 15:12:01.597"</f>
        <v>05/01/2025 15:12:01.597</v>
      </c>
      <c r="C2701" t="str">
        <f t="shared" si="1064"/>
        <v>FFDFD3C0</v>
      </c>
      <c r="D2701" t="s">
        <v>136</v>
      </c>
      <c r="E2701" t="str">
        <f>"20"</f>
        <v>20</v>
      </c>
      <c r="H2701">
        <v>400</v>
      </c>
      <c r="I2701" t="s">
        <v>137</v>
      </c>
      <c r="J2701" t="s">
        <v>138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R2701" t="s">
        <v>127</v>
      </c>
      <c r="S2701" t="str">
        <f t="shared" si="1070"/>
        <v>15:12:01.000</v>
      </c>
      <c r="T2701" t="str">
        <f t="shared" si="1070"/>
        <v>15:12:01.000</v>
      </c>
      <c r="U2701" t="str">
        <f t="shared" si="1066"/>
        <v>A68FCB</v>
      </c>
      <c r="V2701">
        <v>0</v>
      </c>
      <c r="W2701">
        <v>0</v>
      </c>
      <c r="X2701">
        <v>2</v>
      </c>
      <c r="Y2701">
        <v>0</v>
      </c>
      <c r="AA2701">
        <v>1</v>
      </c>
      <c r="AB2701">
        <v>8</v>
      </c>
      <c r="AC2701">
        <v>3</v>
      </c>
      <c r="AD2701">
        <v>0</v>
      </c>
      <c r="AE2701">
        <v>9</v>
      </c>
      <c r="AF2701" t="s">
        <v>138</v>
      </c>
      <c r="AG2701">
        <v>0</v>
      </c>
      <c r="AH2701">
        <v>3</v>
      </c>
      <c r="AI2701">
        <v>2</v>
      </c>
      <c r="AJ2701">
        <v>0</v>
      </c>
      <c r="AK2701" t="s">
        <v>914</v>
      </c>
      <c r="AL2701">
        <v>39.096437000000002</v>
      </c>
      <c r="AM2701" t="s">
        <v>915</v>
      </c>
      <c r="AN2701">
        <v>-121.034746</v>
      </c>
      <c r="AO2701">
        <v>25</v>
      </c>
      <c r="AP2701">
        <v>4500</v>
      </c>
      <c r="AQ2701" t="s">
        <v>131</v>
      </c>
      <c r="AR2701">
        <v>15</v>
      </c>
      <c r="AS2701">
        <v>71</v>
      </c>
      <c r="AT2701">
        <v>-256</v>
      </c>
      <c r="BB2701" t="str">
        <f t="shared" si="1067"/>
        <v>1200</v>
      </c>
      <c r="BC2701">
        <v>1</v>
      </c>
      <c r="BD2701" t="str">
        <f t="shared" si="1068"/>
        <v xml:space="preserve">N52156  </v>
      </c>
      <c r="BE2701">
        <v>1</v>
      </c>
      <c r="BG2701">
        <v>0</v>
      </c>
      <c r="BH2701">
        <v>0</v>
      </c>
      <c r="BI2701">
        <v>0</v>
      </c>
      <c r="BJ2701">
        <v>4525</v>
      </c>
      <c r="BK2701">
        <v>25</v>
      </c>
      <c r="BL2701" t="s">
        <v>188</v>
      </c>
      <c r="BM2701">
        <v>1</v>
      </c>
      <c r="BN2701">
        <v>1</v>
      </c>
      <c r="BO2701">
        <v>0</v>
      </c>
      <c r="BP2701">
        <v>0</v>
      </c>
      <c r="BS2701">
        <v>0</v>
      </c>
      <c r="BT2701">
        <v>0</v>
      </c>
      <c r="BU2701">
        <v>0</v>
      </c>
      <c r="CE2701" t="str">
        <f t="shared" si="1071"/>
        <v>15:12:01.342</v>
      </c>
      <c r="CF2701">
        <v>341974226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5</v>
      </c>
      <c r="CY2701">
        <v>7</v>
      </c>
      <c r="CZ2701" t="s">
        <v>133</v>
      </c>
      <c r="DA2701">
        <v>275</v>
      </c>
      <c r="DB2701">
        <v>0</v>
      </c>
      <c r="DC2701" t="s">
        <v>134</v>
      </c>
      <c r="DD2701" t="s">
        <v>135</v>
      </c>
      <c r="DG2701">
        <v>3321950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>"05/01/2025 15:12:02.405"</f>
        <v>05/01/2025 15:12:02.405</v>
      </c>
      <c r="C2702" t="str">
        <f t="shared" si="1064"/>
        <v>FFDFD3C0</v>
      </c>
      <c r="D2702" t="s">
        <v>143</v>
      </c>
      <c r="E2702" t="str">
        <f>"05"</f>
        <v>05</v>
      </c>
      <c r="H2702">
        <v>172</v>
      </c>
      <c r="I2702" t="s">
        <v>141</v>
      </c>
      <c r="J2702" t="s">
        <v>144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R2702" t="s">
        <v>127</v>
      </c>
      <c r="S2702" t="str">
        <f t="shared" ref="S2702:T2707" si="1072">"15:12:02.000"</f>
        <v>15:12:02.000</v>
      </c>
      <c r="T2702" t="str">
        <f t="shared" si="1072"/>
        <v>15:12:02.000</v>
      </c>
      <c r="U2702" t="str">
        <f t="shared" si="1066"/>
        <v>A68FCB</v>
      </c>
      <c r="V2702">
        <v>0</v>
      </c>
      <c r="W2702">
        <v>0</v>
      </c>
      <c r="X2702">
        <v>2</v>
      </c>
      <c r="Y2702">
        <v>0</v>
      </c>
      <c r="AA2702">
        <v>1</v>
      </c>
      <c r="AB2702">
        <v>8</v>
      </c>
      <c r="AC2702">
        <v>3</v>
      </c>
      <c r="AD2702">
        <v>0</v>
      </c>
      <c r="AE2702">
        <v>9</v>
      </c>
      <c r="AF2702" t="s">
        <v>138</v>
      </c>
      <c r="AG2702">
        <v>0</v>
      </c>
      <c r="AH2702">
        <v>3</v>
      </c>
      <c r="AI2702">
        <v>2</v>
      </c>
      <c r="AJ2702">
        <v>0</v>
      </c>
      <c r="AK2702" t="s">
        <v>916</v>
      </c>
      <c r="AL2702">
        <v>39.096780000000003</v>
      </c>
      <c r="AM2702" t="s">
        <v>917</v>
      </c>
      <c r="AN2702">
        <v>-121.03466</v>
      </c>
      <c r="AO2702">
        <v>25</v>
      </c>
      <c r="AP2702">
        <v>4400</v>
      </c>
      <c r="AQ2702" t="s">
        <v>131</v>
      </c>
      <c r="AR2702">
        <v>15</v>
      </c>
      <c r="AS2702">
        <v>70</v>
      </c>
      <c r="AT2702">
        <v>-256</v>
      </c>
      <c r="BB2702" t="str">
        <f t="shared" si="1067"/>
        <v>1200</v>
      </c>
      <c r="BC2702">
        <v>1</v>
      </c>
      <c r="BD2702" t="str">
        <f t="shared" si="1068"/>
        <v xml:space="preserve">N52156  </v>
      </c>
      <c r="BE2702">
        <v>1</v>
      </c>
      <c r="BG2702">
        <v>0</v>
      </c>
      <c r="BH2702">
        <v>0</v>
      </c>
      <c r="BI2702">
        <v>0</v>
      </c>
      <c r="BJ2702">
        <v>4500</v>
      </c>
      <c r="BK2702">
        <v>100</v>
      </c>
      <c r="BL2702" t="s">
        <v>188</v>
      </c>
      <c r="BM2702">
        <v>1</v>
      </c>
      <c r="BN2702">
        <v>1</v>
      </c>
      <c r="BO2702">
        <v>0</v>
      </c>
      <c r="BP2702">
        <v>0</v>
      </c>
      <c r="BS2702">
        <v>0</v>
      </c>
      <c r="BT2702">
        <v>0</v>
      </c>
      <c r="BU2702">
        <v>0</v>
      </c>
      <c r="CE2702" t="str">
        <f t="shared" ref="CE2702:CE2707" si="1073">"15:12:02.196"</f>
        <v>15:12:02.196</v>
      </c>
      <c r="CF2702">
        <v>196223924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5</v>
      </c>
      <c r="CY2702">
        <v>7</v>
      </c>
      <c r="CZ2702" t="s">
        <v>133</v>
      </c>
      <c r="DA2702">
        <v>275</v>
      </c>
      <c r="DB2702">
        <v>0</v>
      </c>
      <c r="DC2702" t="s">
        <v>134</v>
      </c>
      <c r="DD2702" t="s">
        <v>135</v>
      </c>
      <c r="DG2702">
        <v>3321955</v>
      </c>
      <c r="DI2702">
        <v>1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>"05/01/2025 15:12:02.423"</f>
        <v>05/01/2025 15:12:02.423</v>
      </c>
      <c r="C2703" t="str">
        <f t="shared" si="1064"/>
        <v>FFDFD3C0</v>
      </c>
      <c r="D2703" t="s">
        <v>140</v>
      </c>
      <c r="E2703" t="str">
        <f>"13"</f>
        <v>13</v>
      </c>
      <c r="F2703">
        <v>1019</v>
      </c>
      <c r="G2703" t="s">
        <v>141</v>
      </c>
      <c r="J2703" t="s">
        <v>142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R2703" t="s">
        <v>127</v>
      </c>
      <c r="S2703" t="str">
        <f t="shared" si="1072"/>
        <v>15:12:02.000</v>
      </c>
      <c r="T2703" t="str">
        <f t="shared" si="1072"/>
        <v>15:12:02.000</v>
      </c>
      <c r="U2703" t="str">
        <f t="shared" si="1066"/>
        <v>A68FCB</v>
      </c>
      <c r="V2703">
        <v>0</v>
      </c>
      <c r="W2703">
        <v>0</v>
      </c>
      <c r="X2703">
        <v>2</v>
      </c>
      <c r="Y2703">
        <v>0</v>
      </c>
      <c r="AA2703">
        <v>1</v>
      </c>
      <c r="AB2703">
        <v>8</v>
      </c>
      <c r="AC2703">
        <v>3</v>
      </c>
      <c r="AD2703">
        <v>0</v>
      </c>
      <c r="AE2703">
        <v>9</v>
      </c>
      <c r="AF2703" t="s">
        <v>138</v>
      </c>
      <c r="AG2703">
        <v>0</v>
      </c>
      <c r="AH2703">
        <v>3</v>
      </c>
      <c r="AI2703">
        <v>2</v>
      </c>
      <c r="AJ2703">
        <v>0</v>
      </c>
      <c r="AK2703" t="s">
        <v>916</v>
      </c>
      <c r="AL2703">
        <v>39.096780000000003</v>
      </c>
      <c r="AM2703" t="s">
        <v>917</v>
      </c>
      <c r="AN2703">
        <v>-121.03466</v>
      </c>
      <c r="AO2703">
        <v>25</v>
      </c>
      <c r="AP2703">
        <v>4400</v>
      </c>
      <c r="AQ2703" t="s">
        <v>131</v>
      </c>
      <c r="AR2703">
        <v>15</v>
      </c>
      <c r="AS2703">
        <v>70</v>
      </c>
      <c r="AT2703">
        <v>-256</v>
      </c>
      <c r="BB2703" t="str">
        <f t="shared" si="1067"/>
        <v>1200</v>
      </c>
      <c r="BC2703">
        <v>1</v>
      </c>
      <c r="BD2703" t="str">
        <f t="shared" si="1068"/>
        <v xml:space="preserve">N52156  </v>
      </c>
      <c r="BE2703">
        <v>1</v>
      </c>
      <c r="BG2703">
        <v>0</v>
      </c>
      <c r="BH2703">
        <v>0</v>
      </c>
      <c r="BI2703">
        <v>0</v>
      </c>
      <c r="BJ2703">
        <v>4500</v>
      </c>
      <c r="BK2703">
        <v>100</v>
      </c>
      <c r="BL2703" t="s">
        <v>188</v>
      </c>
      <c r="BM2703">
        <v>1</v>
      </c>
      <c r="BN2703">
        <v>1</v>
      </c>
      <c r="BO2703">
        <v>0</v>
      </c>
      <c r="BP2703">
        <v>0</v>
      </c>
      <c r="BS2703">
        <v>0</v>
      </c>
      <c r="BT2703">
        <v>0</v>
      </c>
      <c r="BU2703">
        <v>0</v>
      </c>
      <c r="CE2703" t="str">
        <f t="shared" si="1073"/>
        <v>15:12:02.196</v>
      </c>
      <c r="CF2703">
        <v>196223924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5</v>
      </c>
      <c r="CY2703">
        <v>7</v>
      </c>
      <c r="CZ2703" t="s">
        <v>133</v>
      </c>
      <c r="DA2703">
        <v>275</v>
      </c>
      <c r="DB2703">
        <v>0</v>
      </c>
      <c r="DC2703" t="s">
        <v>134</v>
      </c>
      <c r="DD2703" t="s">
        <v>135</v>
      </c>
      <c r="DG2703">
        <v>3321955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"05/01/2025 15:12:02.429"</f>
        <v>05/01/2025 15:12:02.429</v>
      </c>
      <c r="C2704" t="str">
        <f t="shared" si="1064"/>
        <v>FFDFD3C0</v>
      </c>
      <c r="D2704" t="s">
        <v>124</v>
      </c>
      <c r="E2704" t="str">
        <f>"06"</f>
        <v>06</v>
      </c>
      <c r="F2704">
        <v>2006</v>
      </c>
      <c r="G2704" t="s">
        <v>125</v>
      </c>
      <c r="J2704" t="s">
        <v>126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R2704" t="s">
        <v>127</v>
      </c>
      <c r="S2704" t="str">
        <f t="shared" si="1072"/>
        <v>15:12:02.000</v>
      </c>
      <c r="T2704" t="str">
        <f t="shared" si="1072"/>
        <v>15:12:02.000</v>
      </c>
      <c r="U2704" t="str">
        <f t="shared" si="1066"/>
        <v>A68FCB</v>
      </c>
      <c r="V2704">
        <v>0</v>
      </c>
      <c r="W2704">
        <v>0</v>
      </c>
      <c r="X2704">
        <v>2</v>
      </c>
      <c r="Y2704">
        <v>0</v>
      </c>
      <c r="AA2704">
        <v>1</v>
      </c>
      <c r="AB2704">
        <v>8</v>
      </c>
      <c r="AC2704">
        <v>3</v>
      </c>
      <c r="AD2704">
        <v>0</v>
      </c>
      <c r="AE2704">
        <v>9</v>
      </c>
      <c r="AF2704" t="s">
        <v>138</v>
      </c>
      <c r="AG2704">
        <v>0</v>
      </c>
      <c r="AH2704">
        <v>3</v>
      </c>
      <c r="AI2704">
        <v>2</v>
      </c>
      <c r="AJ2704">
        <v>0</v>
      </c>
      <c r="AK2704" t="s">
        <v>916</v>
      </c>
      <c r="AL2704">
        <v>39.096780000000003</v>
      </c>
      <c r="AM2704" t="s">
        <v>917</v>
      </c>
      <c r="AN2704">
        <v>-121.03466</v>
      </c>
      <c r="AO2704">
        <v>25</v>
      </c>
      <c r="AP2704">
        <v>4400</v>
      </c>
      <c r="AQ2704" t="s">
        <v>131</v>
      </c>
      <c r="AR2704">
        <v>15</v>
      </c>
      <c r="AS2704">
        <v>70</v>
      </c>
      <c r="AT2704">
        <v>-256</v>
      </c>
      <c r="BB2704" t="str">
        <f t="shared" si="1067"/>
        <v>1200</v>
      </c>
      <c r="BC2704">
        <v>1</v>
      </c>
      <c r="BD2704" t="str">
        <f t="shared" si="1068"/>
        <v xml:space="preserve">N52156  </v>
      </c>
      <c r="BE2704">
        <v>1</v>
      </c>
      <c r="BG2704">
        <v>0</v>
      </c>
      <c r="BH2704">
        <v>0</v>
      </c>
      <c r="BI2704">
        <v>0</v>
      </c>
      <c r="BJ2704">
        <v>4500</v>
      </c>
      <c r="BK2704">
        <v>100</v>
      </c>
      <c r="BL2704" t="s">
        <v>188</v>
      </c>
      <c r="BM2704">
        <v>1</v>
      </c>
      <c r="BN2704">
        <v>1</v>
      </c>
      <c r="BO2704">
        <v>0</v>
      </c>
      <c r="BP2704">
        <v>0</v>
      </c>
      <c r="BS2704">
        <v>0</v>
      </c>
      <c r="BT2704">
        <v>0</v>
      </c>
      <c r="BU2704">
        <v>0</v>
      </c>
      <c r="CE2704" t="str">
        <f t="shared" si="1073"/>
        <v>15:12:02.196</v>
      </c>
      <c r="CF2704">
        <v>196223924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5</v>
      </c>
      <c r="CY2704">
        <v>7</v>
      </c>
      <c r="CZ2704" t="s">
        <v>133</v>
      </c>
      <c r="DA2704">
        <v>275</v>
      </c>
      <c r="DB2704">
        <v>0</v>
      </c>
      <c r="DC2704" t="s">
        <v>134</v>
      </c>
      <c r="DD2704" t="s">
        <v>135</v>
      </c>
      <c r="DG2704">
        <v>3321955</v>
      </c>
      <c r="DI2704">
        <v>1</v>
      </c>
      <c r="DJ2704">
        <v>0</v>
      </c>
      <c r="DK2704">
        <v>1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"05/01/2025 15:12:02.439"</f>
        <v>05/01/2025 15:12:02.439</v>
      </c>
      <c r="C2705" t="str">
        <f t="shared" si="1064"/>
        <v>FFDFD3C0</v>
      </c>
      <c r="D2705" t="s">
        <v>145</v>
      </c>
      <c r="E2705" t="str">
        <f>"05"</f>
        <v>05</v>
      </c>
      <c r="H2705">
        <v>47</v>
      </c>
      <c r="I2705" t="s">
        <v>146</v>
      </c>
      <c r="J2705" t="s">
        <v>138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R2705" t="s">
        <v>127</v>
      </c>
      <c r="S2705" t="str">
        <f t="shared" si="1072"/>
        <v>15:12:02.000</v>
      </c>
      <c r="T2705" t="str">
        <f t="shared" si="1072"/>
        <v>15:12:02.000</v>
      </c>
      <c r="U2705" t="str">
        <f t="shared" si="1066"/>
        <v>A68FCB</v>
      </c>
      <c r="V2705">
        <v>0</v>
      </c>
      <c r="W2705">
        <v>0</v>
      </c>
      <c r="X2705">
        <v>2</v>
      </c>
      <c r="Y2705">
        <v>0</v>
      </c>
      <c r="AA2705">
        <v>1</v>
      </c>
      <c r="AB2705">
        <v>8</v>
      </c>
      <c r="AC2705">
        <v>3</v>
      </c>
      <c r="AD2705">
        <v>0</v>
      </c>
      <c r="AE2705">
        <v>9</v>
      </c>
      <c r="AF2705" t="s">
        <v>138</v>
      </c>
      <c r="AG2705">
        <v>0</v>
      </c>
      <c r="AH2705">
        <v>3</v>
      </c>
      <c r="AI2705">
        <v>2</v>
      </c>
      <c r="AJ2705">
        <v>0</v>
      </c>
      <c r="AK2705" t="s">
        <v>916</v>
      </c>
      <c r="AL2705">
        <v>39.096780000000003</v>
      </c>
      <c r="AM2705" t="s">
        <v>917</v>
      </c>
      <c r="AN2705">
        <v>-121.03466</v>
      </c>
      <c r="AO2705">
        <v>25</v>
      </c>
      <c r="AP2705">
        <v>4400</v>
      </c>
      <c r="AQ2705" t="s">
        <v>131</v>
      </c>
      <c r="AR2705">
        <v>15</v>
      </c>
      <c r="AS2705">
        <v>70</v>
      </c>
      <c r="AT2705">
        <v>-256</v>
      </c>
      <c r="BB2705" t="str">
        <f t="shared" si="1067"/>
        <v>1200</v>
      </c>
      <c r="BC2705">
        <v>1</v>
      </c>
      <c r="BD2705" t="str">
        <f t="shared" si="1068"/>
        <v xml:space="preserve">N52156  </v>
      </c>
      <c r="BE2705">
        <v>1</v>
      </c>
      <c r="BG2705">
        <v>0</v>
      </c>
      <c r="BH2705">
        <v>0</v>
      </c>
      <c r="BI2705">
        <v>0</v>
      </c>
      <c r="BJ2705">
        <v>4500</v>
      </c>
      <c r="BK2705">
        <v>100</v>
      </c>
      <c r="BL2705" t="s">
        <v>188</v>
      </c>
      <c r="BM2705">
        <v>1</v>
      </c>
      <c r="BN2705">
        <v>1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 t="shared" si="1073"/>
        <v>15:12:02.196</v>
      </c>
      <c r="CF2705">
        <v>196223924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5</v>
      </c>
      <c r="CY2705">
        <v>7</v>
      </c>
      <c r="CZ2705" t="s">
        <v>133</v>
      </c>
      <c r="DA2705">
        <v>275</v>
      </c>
      <c r="DB2705">
        <v>0</v>
      </c>
      <c r="DC2705" t="s">
        <v>134</v>
      </c>
      <c r="DD2705" t="s">
        <v>135</v>
      </c>
      <c r="DG2705">
        <v>3321955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"05/01/2025 15:12:02.439"</f>
        <v>05/01/2025 15:12:02.439</v>
      </c>
      <c r="C2706" t="str">
        <f t="shared" si="1064"/>
        <v>FFDFD3C0</v>
      </c>
      <c r="D2706" t="s">
        <v>145</v>
      </c>
      <c r="E2706" t="str">
        <f>"09"</f>
        <v>09</v>
      </c>
      <c r="H2706">
        <v>51</v>
      </c>
      <c r="I2706" t="s">
        <v>147</v>
      </c>
      <c r="J2706" t="s">
        <v>138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R2706" t="s">
        <v>127</v>
      </c>
      <c r="S2706" t="str">
        <f t="shared" si="1072"/>
        <v>15:12:02.000</v>
      </c>
      <c r="T2706" t="str">
        <f t="shared" si="1072"/>
        <v>15:12:02.000</v>
      </c>
      <c r="U2706" t="str">
        <f t="shared" si="1066"/>
        <v>A68FCB</v>
      </c>
      <c r="V2706">
        <v>0</v>
      </c>
      <c r="W2706">
        <v>0</v>
      </c>
      <c r="X2706">
        <v>2</v>
      </c>
      <c r="Y2706">
        <v>0</v>
      </c>
      <c r="AA2706">
        <v>1</v>
      </c>
      <c r="AB2706">
        <v>8</v>
      </c>
      <c r="AC2706">
        <v>3</v>
      </c>
      <c r="AD2706">
        <v>0</v>
      </c>
      <c r="AE2706">
        <v>9</v>
      </c>
      <c r="AF2706" t="s">
        <v>138</v>
      </c>
      <c r="AG2706">
        <v>0</v>
      </c>
      <c r="AH2706">
        <v>3</v>
      </c>
      <c r="AI2706">
        <v>2</v>
      </c>
      <c r="AJ2706">
        <v>0</v>
      </c>
      <c r="AK2706" t="s">
        <v>916</v>
      </c>
      <c r="AL2706">
        <v>39.096780000000003</v>
      </c>
      <c r="AM2706" t="s">
        <v>917</v>
      </c>
      <c r="AN2706">
        <v>-121.03466</v>
      </c>
      <c r="AO2706">
        <v>25</v>
      </c>
      <c r="AP2706">
        <v>4400</v>
      </c>
      <c r="AQ2706" t="s">
        <v>131</v>
      </c>
      <c r="AR2706">
        <v>15</v>
      </c>
      <c r="AS2706">
        <v>70</v>
      </c>
      <c r="AT2706">
        <v>-256</v>
      </c>
      <c r="BB2706" t="str">
        <f t="shared" si="1067"/>
        <v>1200</v>
      </c>
      <c r="BC2706">
        <v>1</v>
      </c>
      <c r="BD2706" t="str">
        <f t="shared" si="1068"/>
        <v xml:space="preserve">N52156  </v>
      </c>
      <c r="BE2706">
        <v>1</v>
      </c>
      <c r="BG2706">
        <v>0</v>
      </c>
      <c r="BH2706">
        <v>0</v>
      </c>
      <c r="BI2706">
        <v>0</v>
      </c>
      <c r="BJ2706">
        <v>4500</v>
      </c>
      <c r="BK2706">
        <v>100</v>
      </c>
      <c r="BL2706" t="s">
        <v>188</v>
      </c>
      <c r="BM2706">
        <v>1</v>
      </c>
      <c r="BN2706">
        <v>1</v>
      </c>
      <c r="BO2706">
        <v>0</v>
      </c>
      <c r="BP2706">
        <v>0</v>
      </c>
      <c r="BS2706">
        <v>0</v>
      </c>
      <c r="BT2706">
        <v>0</v>
      </c>
      <c r="BU2706">
        <v>0</v>
      </c>
      <c r="CE2706" t="str">
        <f t="shared" si="1073"/>
        <v>15:12:02.196</v>
      </c>
      <c r="CF2706">
        <v>196223924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5</v>
      </c>
      <c r="CY2706">
        <v>7</v>
      </c>
      <c r="CZ2706" t="s">
        <v>133</v>
      </c>
      <c r="DA2706">
        <v>275</v>
      </c>
      <c r="DB2706">
        <v>0</v>
      </c>
      <c r="DC2706" t="s">
        <v>134</v>
      </c>
      <c r="DD2706" t="s">
        <v>135</v>
      </c>
      <c r="DG2706">
        <v>3321955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"05/01/2025 15:12:02.448"</f>
        <v>05/01/2025 15:12:02.448</v>
      </c>
      <c r="C2707" t="str">
        <f t="shared" si="1064"/>
        <v>FFDFD3C0</v>
      </c>
      <c r="D2707" t="s">
        <v>136</v>
      </c>
      <c r="E2707" t="str">
        <f>"20"</f>
        <v>20</v>
      </c>
      <c r="H2707">
        <v>400</v>
      </c>
      <c r="I2707" t="s">
        <v>137</v>
      </c>
      <c r="J2707" t="s">
        <v>138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R2707" t="s">
        <v>127</v>
      </c>
      <c r="S2707" t="str">
        <f t="shared" si="1072"/>
        <v>15:12:02.000</v>
      </c>
      <c r="T2707" t="str">
        <f t="shared" si="1072"/>
        <v>15:12:02.000</v>
      </c>
      <c r="U2707" t="str">
        <f t="shared" si="1066"/>
        <v>A68FCB</v>
      </c>
      <c r="V2707">
        <v>0</v>
      </c>
      <c r="W2707">
        <v>0</v>
      </c>
      <c r="X2707">
        <v>2</v>
      </c>
      <c r="Y2707">
        <v>0</v>
      </c>
      <c r="AA2707">
        <v>1</v>
      </c>
      <c r="AB2707">
        <v>8</v>
      </c>
      <c r="AC2707">
        <v>3</v>
      </c>
      <c r="AD2707">
        <v>0</v>
      </c>
      <c r="AE2707">
        <v>9</v>
      </c>
      <c r="AF2707" t="s">
        <v>138</v>
      </c>
      <c r="AG2707">
        <v>0</v>
      </c>
      <c r="AH2707">
        <v>3</v>
      </c>
      <c r="AI2707">
        <v>2</v>
      </c>
      <c r="AJ2707">
        <v>0</v>
      </c>
      <c r="AK2707" t="s">
        <v>916</v>
      </c>
      <c r="AL2707">
        <v>39.096780000000003</v>
      </c>
      <c r="AM2707" t="s">
        <v>917</v>
      </c>
      <c r="AN2707">
        <v>-121.03466</v>
      </c>
      <c r="AO2707">
        <v>25</v>
      </c>
      <c r="AP2707">
        <v>4400</v>
      </c>
      <c r="AQ2707" t="s">
        <v>131</v>
      </c>
      <c r="AR2707">
        <v>15</v>
      </c>
      <c r="AS2707">
        <v>70</v>
      </c>
      <c r="AT2707">
        <v>-256</v>
      </c>
      <c r="BB2707" t="str">
        <f t="shared" si="1067"/>
        <v>1200</v>
      </c>
      <c r="BC2707">
        <v>1</v>
      </c>
      <c r="BD2707" t="str">
        <f t="shared" si="1068"/>
        <v xml:space="preserve">N52156  </v>
      </c>
      <c r="BE2707">
        <v>1</v>
      </c>
      <c r="BG2707">
        <v>0</v>
      </c>
      <c r="BH2707">
        <v>0</v>
      </c>
      <c r="BI2707">
        <v>0</v>
      </c>
      <c r="BJ2707">
        <v>4500</v>
      </c>
      <c r="BK2707">
        <v>100</v>
      </c>
      <c r="BL2707" t="s">
        <v>188</v>
      </c>
      <c r="BM2707">
        <v>1</v>
      </c>
      <c r="BN2707">
        <v>1</v>
      </c>
      <c r="BO2707">
        <v>0</v>
      </c>
      <c r="BP2707">
        <v>0</v>
      </c>
      <c r="BS2707">
        <v>0</v>
      </c>
      <c r="BT2707">
        <v>0</v>
      </c>
      <c r="BU2707">
        <v>0</v>
      </c>
      <c r="CE2707" t="str">
        <f t="shared" si="1073"/>
        <v>15:12:02.196</v>
      </c>
      <c r="CF2707">
        <v>196223924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5</v>
      </c>
      <c r="CY2707">
        <v>7</v>
      </c>
      <c r="CZ2707" t="s">
        <v>133</v>
      </c>
      <c r="DA2707">
        <v>275</v>
      </c>
      <c r="DB2707">
        <v>0</v>
      </c>
      <c r="DC2707" t="s">
        <v>134</v>
      </c>
      <c r="DD2707" t="s">
        <v>135</v>
      </c>
      <c r="DG2707">
        <v>3321955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"05/01/2025 15:12:03.525"</f>
        <v>05/01/2025 15:12:03.525</v>
      </c>
      <c r="C2708" t="str">
        <f t="shared" si="1064"/>
        <v>FFDFD3C0</v>
      </c>
      <c r="D2708" t="s">
        <v>140</v>
      </c>
      <c r="E2708" t="str">
        <f>"13"</f>
        <v>13</v>
      </c>
      <c r="F2708">
        <v>1019</v>
      </c>
      <c r="G2708" t="s">
        <v>141</v>
      </c>
      <c r="J2708" t="s">
        <v>142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R2708" t="s">
        <v>127</v>
      </c>
      <c r="S2708" t="str">
        <f t="shared" ref="S2708:T2713" si="1074">"15:12:03.000"</f>
        <v>15:12:03.000</v>
      </c>
      <c r="T2708" t="str">
        <f t="shared" si="1074"/>
        <v>15:12:03.000</v>
      </c>
      <c r="U2708" t="str">
        <f t="shared" si="1066"/>
        <v>A68FCB</v>
      </c>
      <c r="V2708">
        <v>0</v>
      </c>
      <c r="W2708">
        <v>0</v>
      </c>
      <c r="X2708">
        <v>2</v>
      </c>
      <c r="Y2708">
        <v>0</v>
      </c>
      <c r="AA2708">
        <v>1</v>
      </c>
      <c r="AB2708">
        <v>8</v>
      </c>
      <c r="AC2708">
        <v>3</v>
      </c>
      <c r="AD2708">
        <v>0</v>
      </c>
      <c r="AE2708">
        <v>9</v>
      </c>
      <c r="AF2708" t="s">
        <v>138</v>
      </c>
      <c r="AG2708">
        <v>0</v>
      </c>
      <c r="AH2708">
        <v>3</v>
      </c>
      <c r="AI2708">
        <v>2</v>
      </c>
      <c r="AJ2708">
        <v>0</v>
      </c>
      <c r="AK2708" t="s">
        <v>918</v>
      </c>
      <c r="AL2708">
        <v>39.097102</v>
      </c>
      <c r="AM2708" t="s">
        <v>919</v>
      </c>
      <c r="AN2708">
        <v>-121.034575</v>
      </c>
      <c r="AO2708">
        <v>25</v>
      </c>
      <c r="AP2708">
        <v>4400</v>
      </c>
      <c r="AQ2708" t="s">
        <v>131</v>
      </c>
      <c r="AR2708">
        <v>15</v>
      </c>
      <c r="AS2708">
        <v>70</v>
      </c>
      <c r="AT2708">
        <v>-384</v>
      </c>
      <c r="BB2708" t="str">
        <f t="shared" si="1067"/>
        <v>1200</v>
      </c>
      <c r="BC2708">
        <v>1</v>
      </c>
      <c r="BD2708" t="str">
        <f t="shared" si="1068"/>
        <v xml:space="preserve">N52156  </v>
      </c>
      <c r="BE2708">
        <v>1</v>
      </c>
      <c r="BG2708">
        <v>0</v>
      </c>
      <c r="BH2708">
        <v>0</v>
      </c>
      <c r="BI2708">
        <v>0</v>
      </c>
      <c r="BJ2708">
        <v>4500</v>
      </c>
      <c r="BK2708">
        <v>100</v>
      </c>
      <c r="BL2708" t="s">
        <v>188</v>
      </c>
      <c r="BM2708">
        <v>1</v>
      </c>
      <c r="BN2708">
        <v>1</v>
      </c>
      <c r="BO2708">
        <v>0</v>
      </c>
      <c r="BP2708">
        <v>0</v>
      </c>
      <c r="BS2708">
        <v>0</v>
      </c>
      <c r="BT2708">
        <v>0</v>
      </c>
      <c r="BU2708">
        <v>0</v>
      </c>
      <c r="CE2708" t="str">
        <f t="shared" ref="CE2708:CE2713" si="1075">"15:12:03.313"</f>
        <v>15:12:03.313</v>
      </c>
      <c r="CF2708">
        <v>313224300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5</v>
      </c>
      <c r="CY2708">
        <v>7</v>
      </c>
      <c r="CZ2708" t="s">
        <v>133</v>
      </c>
      <c r="DA2708">
        <v>275</v>
      </c>
      <c r="DB2708">
        <v>0</v>
      </c>
      <c r="DC2708" t="s">
        <v>134</v>
      </c>
      <c r="DD2708" t="s">
        <v>135</v>
      </c>
      <c r="DG2708">
        <v>3321962</v>
      </c>
      <c r="DI2708">
        <v>1</v>
      </c>
      <c r="DJ2708">
        <v>0</v>
      </c>
      <c r="DK2708">
        <v>0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"05/01/2025 15:12:03.530"</f>
        <v>05/01/2025 15:12:03.530</v>
      </c>
      <c r="C2709" t="str">
        <f t="shared" si="1064"/>
        <v>FFDFD3C0</v>
      </c>
      <c r="D2709" t="s">
        <v>124</v>
      </c>
      <c r="E2709" t="str">
        <f>"06"</f>
        <v>06</v>
      </c>
      <c r="F2709">
        <v>2006</v>
      </c>
      <c r="G2709" t="s">
        <v>125</v>
      </c>
      <c r="J2709" t="s">
        <v>126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R2709" t="s">
        <v>127</v>
      </c>
      <c r="S2709" t="str">
        <f t="shared" si="1074"/>
        <v>15:12:03.000</v>
      </c>
      <c r="T2709" t="str">
        <f t="shared" si="1074"/>
        <v>15:12:03.000</v>
      </c>
      <c r="U2709" t="str">
        <f t="shared" si="1066"/>
        <v>A68FCB</v>
      </c>
      <c r="V2709">
        <v>0</v>
      </c>
      <c r="W2709">
        <v>0</v>
      </c>
      <c r="X2709">
        <v>2</v>
      </c>
      <c r="Y2709">
        <v>0</v>
      </c>
      <c r="AA2709">
        <v>1</v>
      </c>
      <c r="AB2709">
        <v>8</v>
      </c>
      <c r="AC2709">
        <v>3</v>
      </c>
      <c r="AD2709">
        <v>0</v>
      </c>
      <c r="AE2709">
        <v>9</v>
      </c>
      <c r="AF2709" t="s">
        <v>138</v>
      </c>
      <c r="AG2709">
        <v>0</v>
      </c>
      <c r="AH2709">
        <v>3</v>
      </c>
      <c r="AI2709">
        <v>2</v>
      </c>
      <c r="AJ2709">
        <v>0</v>
      </c>
      <c r="AK2709" t="s">
        <v>918</v>
      </c>
      <c r="AL2709">
        <v>39.097102</v>
      </c>
      <c r="AM2709" t="s">
        <v>919</v>
      </c>
      <c r="AN2709">
        <v>-121.034575</v>
      </c>
      <c r="AO2709">
        <v>25</v>
      </c>
      <c r="AP2709">
        <v>4400</v>
      </c>
      <c r="AQ2709" t="s">
        <v>131</v>
      </c>
      <c r="AR2709">
        <v>15</v>
      </c>
      <c r="AS2709">
        <v>70</v>
      </c>
      <c r="AT2709">
        <v>-384</v>
      </c>
      <c r="BB2709" t="str">
        <f t="shared" si="1067"/>
        <v>1200</v>
      </c>
      <c r="BC2709">
        <v>1</v>
      </c>
      <c r="BD2709" t="str">
        <f t="shared" si="1068"/>
        <v xml:space="preserve">N52156  </v>
      </c>
      <c r="BE2709">
        <v>1</v>
      </c>
      <c r="BG2709">
        <v>0</v>
      </c>
      <c r="BH2709">
        <v>0</v>
      </c>
      <c r="BI2709">
        <v>0</v>
      </c>
      <c r="BJ2709">
        <v>4500</v>
      </c>
      <c r="BK2709">
        <v>100</v>
      </c>
      <c r="BL2709" t="s">
        <v>188</v>
      </c>
      <c r="BM2709">
        <v>1</v>
      </c>
      <c r="BN2709">
        <v>1</v>
      </c>
      <c r="BO2709">
        <v>0</v>
      </c>
      <c r="BP2709">
        <v>0</v>
      </c>
      <c r="BS2709">
        <v>0</v>
      </c>
      <c r="BT2709">
        <v>0</v>
      </c>
      <c r="BU2709">
        <v>0</v>
      </c>
      <c r="CE2709" t="str">
        <f t="shared" si="1075"/>
        <v>15:12:03.313</v>
      </c>
      <c r="CF2709">
        <v>313224300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5</v>
      </c>
      <c r="CY2709">
        <v>7</v>
      </c>
      <c r="CZ2709" t="s">
        <v>133</v>
      </c>
      <c r="DA2709">
        <v>275</v>
      </c>
      <c r="DB2709">
        <v>0</v>
      </c>
      <c r="DC2709" t="s">
        <v>134</v>
      </c>
      <c r="DD2709" t="s">
        <v>135</v>
      </c>
      <c r="DG2709">
        <v>3321962</v>
      </c>
      <c r="DI2709">
        <v>1</v>
      </c>
      <c r="DJ2709">
        <v>0</v>
      </c>
      <c r="DK2709">
        <v>1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"05/01/2025 15:12:03.541"</f>
        <v>05/01/2025 15:12:03.541</v>
      </c>
      <c r="C2710" t="str">
        <f t="shared" si="1064"/>
        <v>FFDFD3C0</v>
      </c>
      <c r="D2710" t="s">
        <v>145</v>
      </c>
      <c r="E2710" t="str">
        <f>"09"</f>
        <v>09</v>
      </c>
      <c r="H2710">
        <v>51</v>
      </c>
      <c r="I2710" t="s">
        <v>147</v>
      </c>
      <c r="J2710" t="s">
        <v>138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R2710" t="s">
        <v>127</v>
      </c>
      <c r="S2710" t="str">
        <f t="shared" si="1074"/>
        <v>15:12:03.000</v>
      </c>
      <c r="T2710" t="str">
        <f t="shared" si="1074"/>
        <v>15:12:03.000</v>
      </c>
      <c r="U2710" t="str">
        <f t="shared" si="1066"/>
        <v>A68FCB</v>
      </c>
      <c r="V2710">
        <v>0</v>
      </c>
      <c r="W2710">
        <v>0</v>
      </c>
      <c r="X2710">
        <v>2</v>
      </c>
      <c r="Y2710">
        <v>0</v>
      </c>
      <c r="AA2710">
        <v>1</v>
      </c>
      <c r="AB2710">
        <v>8</v>
      </c>
      <c r="AC2710">
        <v>3</v>
      </c>
      <c r="AD2710">
        <v>0</v>
      </c>
      <c r="AE2710">
        <v>9</v>
      </c>
      <c r="AF2710" t="s">
        <v>138</v>
      </c>
      <c r="AG2710">
        <v>0</v>
      </c>
      <c r="AH2710">
        <v>3</v>
      </c>
      <c r="AI2710">
        <v>2</v>
      </c>
      <c r="AJ2710">
        <v>0</v>
      </c>
      <c r="AK2710" t="s">
        <v>918</v>
      </c>
      <c r="AL2710">
        <v>39.097102</v>
      </c>
      <c r="AM2710" t="s">
        <v>919</v>
      </c>
      <c r="AN2710">
        <v>-121.034575</v>
      </c>
      <c r="AO2710">
        <v>25</v>
      </c>
      <c r="AP2710">
        <v>4400</v>
      </c>
      <c r="AQ2710" t="s">
        <v>131</v>
      </c>
      <c r="AR2710">
        <v>15</v>
      </c>
      <c r="AS2710">
        <v>70</v>
      </c>
      <c r="AT2710">
        <v>-384</v>
      </c>
      <c r="BB2710" t="str">
        <f t="shared" si="1067"/>
        <v>1200</v>
      </c>
      <c r="BC2710">
        <v>1</v>
      </c>
      <c r="BD2710" t="str">
        <f t="shared" si="1068"/>
        <v xml:space="preserve">N52156  </v>
      </c>
      <c r="BE2710">
        <v>1</v>
      </c>
      <c r="BG2710">
        <v>0</v>
      </c>
      <c r="BH2710">
        <v>0</v>
      </c>
      <c r="BI2710">
        <v>0</v>
      </c>
      <c r="BJ2710">
        <v>4500</v>
      </c>
      <c r="BK2710">
        <v>100</v>
      </c>
      <c r="BL2710" t="s">
        <v>188</v>
      </c>
      <c r="BM2710">
        <v>1</v>
      </c>
      <c r="BN2710">
        <v>1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 t="shared" si="1075"/>
        <v>15:12:03.313</v>
      </c>
      <c r="CF2710">
        <v>313224300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5</v>
      </c>
      <c r="CY2710">
        <v>7</v>
      </c>
      <c r="CZ2710" t="s">
        <v>133</v>
      </c>
      <c r="DA2710">
        <v>275</v>
      </c>
      <c r="DB2710">
        <v>0</v>
      </c>
      <c r="DC2710" t="s">
        <v>134</v>
      </c>
      <c r="DD2710" t="s">
        <v>135</v>
      </c>
      <c r="DG2710">
        <v>3321962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>"05/01/2025 15:12:03.541"</f>
        <v>05/01/2025 15:12:03.541</v>
      </c>
      <c r="C2711" t="str">
        <f t="shared" si="1064"/>
        <v>FFDFD3C0</v>
      </c>
      <c r="D2711" t="s">
        <v>145</v>
      </c>
      <c r="E2711" t="str">
        <f>"05"</f>
        <v>05</v>
      </c>
      <c r="H2711">
        <v>47</v>
      </c>
      <c r="I2711" t="s">
        <v>146</v>
      </c>
      <c r="J2711" t="s">
        <v>138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R2711" t="s">
        <v>127</v>
      </c>
      <c r="S2711" t="str">
        <f t="shared" si="1074"/>
        <v>15:12:03.000</v>
      </c>
      <c r="T2711" t="str">
        <f t="shared" si="1074"/>
        <v>15:12:03.000</v>
      </c>
      <c r="U2711" t="str">
        <f t="shared" si="1066"/>
        <v>A68FCB</v>
      </c>
      <c r="V2711">
        <v>0</v>
      </c>
      <c r="W2711">
        <v>0</v>
      </c>
      <c r="X2711">
        <v>2</v>
      </c>
      <c r="Y2711">
        <v>0</v>
      </c>
      <c r="AA2711">
        <v>1</v>
      </c>
      <c r="AB2711">
        <v>8</v>
      </c>
      <c r="AC2711">
        <v>3</v>
      </c>
      <c r="AD2711">
        <v>0</v>
      </c>
      <c r="AE2711">
        <v>9</v>
      </c>
      <c r="AF2711" t="s">
        <v>138</v>
      </c>
      <c r="AG2711">
        <v>0</v>
      </c>
      <c r="AH2711">
        <v>3</v>
      </c>
      <c r="AI2711">
        <v>2</v>
      </c>
      <c r="AJ2711">
        <v>0</v>
      </c>
      <c r="AK2711" t="s">
        <v>918</v>
      </c>
      <c r="AL2711">
        <v>39.097102</v>
      </c>
      <c r="AM2711" t="s">
        <v>919</v>
      </c>
      <c r="AN2711">
        <v>-121.034575</v>
      </c>
      <c r="AO2711">
        <v>25</v>
      </c>
      <c r="AP2711">
        <v>4400</v>
      </c>
      <c r="AQ2711" t="s">
        <v>131</v>
      </c>
      <c r="AR2711">
        <v>15</v>
      </c>
      <c r="AS2711">
        <v>70</v>
      </c>
      <c r="AT2711">
        <v>-384</v>
      </c>
      <c r="BB2711" t="str">
        <f t="shared" si="1067"/>
        <v>1200</v>
      </c>
      <c r="BC2711">
        <v>1</v>
      </c>
      <c r="BD2711" t="str">
        <f t="shared" si="1068"/>
        <v xml:space="preserve">N52156  </v>
      </c>
      <c r="BE2711">
        <v>1</v>
      </c>
      <c r="BG2711">
        <v>0</v>
      </c>
      <c r="BH2711">
        <v>0</v>
      </c>
      <c r="BI2711">
        <v>0</v>
      </c>
      <c r="BJ2711">
        <v>4500</v>
      </c>
      <c r="BK2711">
        <v>100</v>
      </c>
      <c r="BL2711" t="s">
        <v>188</v>
      </c>
      <c r="BM2711">
        <v>1</v>
      </c>
      <c r="BN2711">
        <v>1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 t="shared" si="1075"/>
        <v>15:12:03.313</v>
      </c>
      <c r="CF2711">
        <v>313224300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5</v>
      </c>
      <c r="CY2711">
        <v>7</v>
      </c>
      <c r="CZ2711" t="s">
        <v>133</v>
      </c>
      <c r="DA2711">
        <v>275</v>
      </c>
      <c r="DB2711">
        <v>0</v>
      </c>
      <c r="DC2711" t="s">
        <v>134</v>
      </c>
      <c r="DD2711" t="s">
        <v>135</v>
      </c>
      <c r="DG2711">
        <v>3321962</v>
      </c>
      <c r="DI2711">
        <v>1</v>
      </c>
      <c r="DJ2711">
        <v>0</v>
      </c>
      <c r="DK2711">
        <v>1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>"05/01/2025 15:12:03.551"</f>
        <v>05/01/2025 15:12:03.551</v>
      </c>
      <c r="C2712" t="str">
        <f t="shared" si="1064"/>
        <v>FFDFD3C0</v>
      </c>
      <c r="D2712" t="s">
        <v>136</v>
      </c>
      <c r="E2712" t="str">
        <f>"20"</f>
        <v>20</v>
      </c>
      <c r="H2712">
        <v>400</v>
      </c>
      <c r="I2712" t="s">
        <v>137</v>
      </c>
      <c r="J2712" t="s">
        <v>138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R2712" t="s">
        <v>127</v>
      </c>
      <c r="S2712" t="str">
        <f t="shared" si="1074"/>
        <v>15:12:03.000</v>
      </c>
      <c r="T2712" t="str">
        <f t="shared" si="1074"/>
        <v>15:12:03.000</v>
      </c>
      <c r="U2712" t="str">
        <f t="shared" si="1066"/>
        <v>A68FCB</v>
      </c>
      <c r="V2712">
        <v>0</v>
      </c>
      <c r="W2712">
        <v>0</v>
      </c>
      <c r="X2712">
        <v>2</v>
      </c>
      <c r="Y2712">
        <v>0</v>
      </c>
      <c r="AA2712">
        <v>1</v>
      </c>
      <c r="AB2712">
        <v>8</v>
      </c>
      <c r="AC2712">
        <v>3</v>
      </c>
      <c r="AD2712">
        <v>0</v>
      </c>
      <c r="AE2712">
        <v>9</v>
      </c>
      <c r="AF2712" t="s">
        <v>138</v>
      </c>
      <c r="AG2712">
        <v>0</v>
      </c>
      <c r="AH2712">
        <v>3</v>
      </c>
      <c r="AI2712">
        <v>2</v>
      </c>
      <c r="AJ2712">
        <v>0</v>
      </c>
      <c r="AK2712" t="s">
        <v>918</v>
      </c>
      <c r="AL2712">
        <v>39.097102</v>
      </c>
      <c r="AM2712" t="s">
        <v>919</v>
      </c>
      <c r="AN2712">
        <v>-121.034575</v>
      </c>
      <c r="AO2712">
        <v>25</v>
      </c>
      <c r="AP2712">
        <v>4400</v>
      </c>
      <c r="AQ2712" t="s">
        <v>131</v>
      </c>
      <c r="AR2712">
        <v>15</v>
      </c>
      <c r="AS2712">
        <v>70</v>
      </c>
      <c r="AT2712">
        <v>-384</v>
      </c>
      <c r="BB2712" t="str">
        <f t="shared" si="1067"/>
        <v>1200</v>
      </c>
      <c r="BC2712">
        <v>1</v>
      </c>
      <c r="BD2712" t="str">
        <f t="shared" si="1068"/>
        <v xml:space="preserve">N52156  </v>
      </c>
      <c r="BE2712">
        <v>1</v>
      </c>
      <c r="BG2712">
        <v>0</v>
      </c>
      <c r="BH2712">
        <v>0</v>
      </c>
      <c r="BI2712">
        <v>0</v>
      </c>
      <c r="BJ2712">
        <v>4500</v>
      </c>
      <c r="BK2712">
        <v>100</v>
      </c>
      <c r="BL2712" t="s">
        <v>188</v>
      </c>
      <c r="BM2712">
        <v>1</v>
      </c>
      <c r="BN2712">
        <v>1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 t="shared" si="1075"/>
        <v>15:12:03.313</v>
      </c>
      <c r="CF2712">
        <v>313224300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5</v>
      </c>
      <c r="CY2712">
        <v>7</v>
      </c>
      <c r="CZ2712" t="s">
        <v>133</v>
      </c>
      <c r="DA2712">
        <v>275</v>
      </c>
      <c r="DB2712">
        <v>0</v>
      </c>
      <c r="DC2712" t="s">
        <v>134</v>
      </c>
      <c r="DD2712" t="s">
        <v>135</v>
      </c>
      <c r="DG2712">
        <v>3321962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>"05/01/2025 15:12:03.558"</f>
        <v>05/01/2025 15:12:03.558</v>
      </c>
      <c r="C2713" t="str">
        <f t="shared" si="1064"/>
        <v>FFDFD3C0</v>
      </c>
      <c r="D2713" t="s">
        <v>143</v>
      </c>
      <c r="E2713" t="str">
        <f>"05"</f>
        <v>05</v>
      </c>
      <c r="H2713">
        <v>172</v>
      </c>
      <c r="I2713" t="s">
        <v>141</v>
      </c>
      <c r="J2713" t="s">
        <v>144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R2713" t="s">
        <v>127</v>
      </c>
      <c r="S2713" t="str">
        <f t="shared" si="1074"/>
        <v>15:12:03.000</v>
      </c>
      <c r="T2713" t="str">
        <f t="shared" si="1074"/>
        <v>15:12:03.000</v>
      </c>
      <c r="U2713" t="str">
        <f t="shared" si="1066"/>
        <v>A68FCB</v>
      </c>
      <c r="V2713">
        <v>0</v>
      </c>
      <c r="W2713">
        <v>0</v>
      </c>
      <c r="X2713">
        <v>2</v>
      </c>
      <c r="Y2713">
        <v>0</v>
      </c>
      <c r="AA2713">
        <v>1</v>
      </c>
      <c r="AB2713">
        <v>8</v>
      </c>
      <c r="AC2713">
        <v>3</v>
      </c>
      <c r="AD2713">
        <v>0</v>
      </c>
      <c r="AE2713">
        <v>9</v>
      </c>
      <c r="AF2713" t="s">
        <v>138</v>
      </c>
      <c r="AG2713">
        <v>0</v>
      </c>
      <c r="AH2713">
        <v>3</v>
      </c>
      <c r="AI2713">
        <v>2</v>
      </c>
      <c r="AJ2713">
        <v>0</v>
      </c>
      <c r="AK2713" t="s">
        <v>918</v>
      </c>
      <c r="AL2713">
        <v>39.097102</v>
      </c>
      <c r="AM2713" t="s">
        <v>919</v>
      </c>
      <c r="AN2713">
        <v>-121.034575</v>
      </c>
      <c r="AO2713">
        <v>25</v>
      </c>
      <c r="AP2713">
        <v>4400</v>
      </c>
      <c r="AQ2713" t="s">
        <v>131</v>
      </c>
      <c r="AR2713">
        <v>15</v>
      </c>
      <c r="AS2713">
        <v>70</v>
      </c>
      <c r="AT2713">
        <v>-384</v>
      </c>
      <c r="BB2713" t="str">
        <f t="shared" si="1067"/>
        <v>1200</v>
      </c>
      <c r="BC2713">
        <v>1</v>
      </c>
      <c r="BD2713" t="str">
        <f t="shared" si="1068"/>
        <v xml:space="preserve">N52156  </v>
      </c>
      <c r="BE2713">
        <v>1</v>
      </c>
      <c r="BG2713">
        <v>0</v>
      </c>
      <c r="BH2713">
        <v>0</v>
      </c>
      <c r="BI2713">
        <v>0</v>
      </c>
      <c r="BJ2713">
        <v>4500</v>
      </c>
      <c r="BK2713">
        <v>100</v>
      </c>
      <c r="BL2713" t="s">
        <v>188</v>
      </c>
      <c r="BM2713">
        <v>1</v>
      </c>
      <c r="BN2713">
        <v>1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 t="shared" si="1075"/>
        <v>15:12:03.313</v>
      </c>
      <c r="CF2713">
        <v>313224300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5</v>
      </c>
      <c r="CY2713">
        <v>7</v>
      </c>
      <c r="CZ2713" t="s">
        <v>133</v>
      </c>
      <c r="DA2713">
        <v>275</v>
      </c>
      <c r="DB2713">
        <v>0</v>
      </c>
      <c r="DC2713" t="s">
        <v>134</v>
      </c>
      <c r="DD2713" t="s">
        <v>135</v>
      </c>
      <c r="DG2713">
        <v>3321962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>"05/01/2025 15:12:04.602"</f>
        <v>05/01/2025 15:12:04.602</v>
      </c>
      <c r="C2714" t="str">
        <f t="shared" si="1064"/>
        <v>FFDFD3C0</v>
      </c>
      <c r="D2714" t="s">
        <v>136</v>
      </c>
      <c r="E2714" t="str">
        <f>"20"</f>
        <v>20</v>
      </c>
      <c r="H2714">
        <v>400</v>
      </c>
      <c r="I2714" t="s">
        <v>137</v>
      </c>
      <c r="J2714" t="s">
        <v>138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R2714" t="s">
        <v>127</v>
      </c>
      <c r="S2714" t="str">
        <f t="shared" ref="S2714:T2719" si="1076">"15:12:04.000"</f>
        <v>15:12:04.000</v>
      </c>
      <c r="T2714" t="str">
        <f t="shared" si="1076"/>
        <v>15:12:04.000</v>
      </c>
      <c r="U2714" t="str">
        <f t="shared" si="1066"/>
        <v>A68FCB</v>
      </c>
      <c r="V2714">
        <v>0</v>
      </c>
      <c r="W2714">
        <v>0</v>
      </c>
      <c r="X2714">
        <v>2</v>
      </c>
      <c r="Y2714">
        <v>0</v>
      </c>
      <c r="AA2714">
        <v>1</v>
      </c>
      <c r="AB2714">
        <v>8</v>
      </c>
      <c r="AC2714">
        <v>3</v>
      </c>
      <c r="AD2714">
        <v>0</v>
      </c>
      <c r="AE2714">
        <v>9</v>
      </c>
      <c r="AF2714" t="s">
        <v>138</v>
      </c>
      <c r="AG2714">
        <v>0</v>
      </c>
      <c r="AH2714">
        <v>3</v>
      </c>
      <c r="AI2714">
        <v>2</v>
      </c>
      <c r="AJ2714">
        <v>0</v>
      </c>
      <c r="AK2714" t="s">
        <v>920</v>
      </c>
      <c r="AL2714">
        <v>39.097423999999997</v>
      </c>
      <c r="AM2714" t="s">
        <v>921</v>
      </c>
      <c r="AN2714">
        <v>-121.03448899999999</v>
      </c>
      <c r="AO2714">
        <v>25</v>
      </c>
      <c r="AP2714">
        <v>4400</v>
      </c>
      <c r="AQ2714" t="s">
        <v>131</v>
      </c>
      <c r="AR2714">
        <v>16</v>
      </c>
      <c r="AS2714">
        <v>70</v>
      </c>
      <c r="AT2714">
        <v>-384</v>
      </c>
      <c r="BB2714" t="str">
        <f t="shared" si="1067"/>
        <v>1200</v>
      </c>
      <c r="BC2714">
        <v>1</v>
      </c>
      <c r="BD2714" t="str">
        <f t="shared" si="1068"/>
        <v xml:space="preserve">N52156  </v>
      </c>
      <c r="BE2714">
        <v>1</v>
      </c>
      <c r="BG2714">
        <v>0</v>
      </c>
      <c r="BH2714">
        <v>0</v>
      </c>
      <c r="BI2714">
        <v>0</v>
      </c>
      <c r="BJ2714">
        <v>4500</v>
      </c>
      <c r="BK2714">
        <v>100</v>
      </c>
      <c r="BL2714" t="s">
        <v>188</v>
      </c>
      <c r="BM2714">
        <v>1</v>
      </c>
      <c r="BN2714">
        <v>1</v>
      </c>
      <c r="BO2714">
        <v>0</v>
      </c>
      <c r="BP2714">
        <v>0</v>
      </c>
      <c r="BS2714">
        <v>0</v>
      </c>
      <c r="BT2714">
        <v>0</v>
      </c>
      <c r="BU2714">
        <v>0</v>
      </c>
      <c r="CE2714" t="str">
        <f t="shared" ref="CE2714:CE2719" si="1077">"15:12:04.375"</f>
        <v>15:12:04.375</v>
      </c>
      <c r="CF2714">
        <v>375224560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5</v>
      </c>
      <c r="CY2714">
        <v>7</v>
      </c>
      <c r="CZ2714" t="s">
        <v>133</v>
      </c>
      <c r="DA2714">
        <v>275</v>
      </c>
      <c r="DB2714">
        <v>0</v>
      </c>
      <c r="DC2714" t="s">
        <v>134</v>
      </c>
      <c r="DD2714" t="s">
        <v>135</v>
      </c>
      <c r="DG2714">
        <v>3321969</v>
      </c>
      <c r="DI2714">
        <v>1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>"05/01/2025 15:12:04.609"</f>
        <v>05/01/2025 15:12:04.609</v>
      </c>
      <c r="C2715" t="str">
        <f t="shared" si="1064"/>
        <v>FFDFD3C0</v>
      </c>
      <c r="D2715" t="s">
        <v>143</v>
      </c>
      <c r="E2715" t="str">
        <f>"05"</f>
        <v>05</v>
      </c>
      <c r="H2715">
        <v>172</v>
      </c>
      <c r="I2715" t="s">
        <v>141</v>
      </c>
      <c r="J2715" t="s">
        <v>144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R2715" t="s">
        <v>127</v>
      </c>
      <c r="S2715" t="str">
        <f t="shared" si="1076"/>
        <v>15:12:04.000</v>
      </c>
      <c r="T2715" t="str">
        <f t="shared" si="1076"/>
        <v>15:12:04.000</v>
      </c>
      <c r="U2715" t="str">
        <f t="shared" si="1066"/>
        <v>A68FCB</v>
      </c>
      <c r="V2715">
        <v>0</v>
      </c>
      <c r="W2715">
        <v>0</v>
      </c>
      <c r="X2715">
        <v>2</v>
      </c>
      <c r="Y2715">
        <v>0</v>
      </c>
      <c r="AA2715">
        <v>1</v>
      </c>
      <c r="AB2715">
        <v>8</v>
      </c>
      <c r="AC2715">
        <v>3</v>
      </c>
      <c r="AD2715">
        <v>0</v>
      </c>
      <c r="AE2715">
        <v>9</v>
      </c>
      <c r="AF2715" t="s">
        <v>138</v>
      </c>
      <c r="AG2715">
        <v>0</v>
      </c>
      <c r="AH2715">
        <v>3</v>
      </c>
      <c r="AI2715">
        <v>2</v>
      </c>
      <c r="AJ2715">
        <v>0</v>
      </c>
      <c r="AK2715" t="s">
        <v>920</v>
      </c>
      <c r="AL2715">
        <v>39.097423999999997</v>
      </c>
      <c r="AM2715" t="s">
        <v>921</v>
      </c>
      <c r="AN2715">
        <v>-121.03448899999999</v>
      </c>
      <c r="AO2715">
        <v>25</v>
      </c>
      <c r="AP2715">
        <v>4400</v>
      </c>
      <c r="AQ2715" t="s">
        <v>131</v>
      </c>
      <c r="AR2715">
        <v>16</v>
      </c>
      <c r="AS2715">
        <v>70</v>
      </c>
      <c r="AT2715">
        <v>-384</v>
      </c>
      <c r="BB2715" t="str">
        <f t="shared" si="1067"/>
        <v>1200</v>
      </c>
      <c r="BC2715">
        <v>1</v>
      </c>
      <c r="BD2715" t="str">
        <f t="shared" si="1068"/>
        <v xml:space="preserve">N52156  </v>
      </c>
      <c r="BE2715">
        <v>1</v>
      </c>
      <c r="BG2715">
        <v>0</v>
      </c>
      <c r="BH2715">
        <v>0</v>
      </c>
      <c r="BI2715">
        <v>0</v>
      </c>
      <c r="BJ2715">
        <v>4500</v>
      </c>
      <c r="BK2715">
        <v>100</v>
      </c>
      <c r="BL2715" t="s">
        <v>188</v>
      </c>
      <c r="BM2715">
        <v>1</v>
      </c>
      <c r="BN2715">
        <v>1</v>
      </c>
      <c r="BO2715">
        <v>0</v>
      </c>
      <c r="BP2715">
        <v>0</v>
      </c>
      <c r="BS2715">
        <v>0</v>
      </c>
      <c r="BT2715">
        <v>0</v>
      </c>
      <c r="BU2715">
        <v>0</v>
      </c>
      <c r="CE2715" t="str">
        <f t="shared" si="1077"/>
        <v>15:12:04.375</v>
      </c>
      <c r="CF2715">
        <v>375224560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5</v>
      </c>
      <c r="CY2715">
        <v>7</v>
      </c>
      <c r="CZ2715" t="s">
        <v>133</v>
      </c>
      <c r="DA2715">
        <v>275</v>
      </c>
      <c r="DB2715">
        <v>0</v>
      </c>
      <c r="DC2715" t="s">
        <v>134</v>
      </c>
      <c r="DD2715" t="s">
        <v>135</v>
      </c>
      <c r="DG2715">
        <v>3321969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>"05/01/2025 15:12:04.627"</f>
        <v>05/01/2025 15:12:04.627</v>
      </c>
      <c r="C2716" t="str">
        <f t="shared" si="1064"/>
        <v>FFDFD3C0</v>
      </c>
      <c r="D2716" t="s">
        <v>140</v>
      </c>
      <c r="E2716" t="str">
        <f>"13"</f>
        <v>13</v>
      </c>
      <c r="F2716">
        <v>1019</v>
      </c>
      <c r="G2716" t="s">
        <v>141</v>
      </c>
      <c r="J2716" t="s">
        <v>142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R2716" t="s">
        <v>127</v>
      </c>
      <c r="S2716" t="str">
        <f t="shared" si="1076"/>
        <v>15:12:04.000</v>
      </c>
      <c r="T2716" t="str">
        <f t="shared" si="1076"/>
        <v>15:12:04.000</v>
      </c>
      <c r="U2716" t="str">
        <f t="shared" si="1066"/>
        <v>A68FCB</v>
      </c>
      <c r="V2716">
        <v>0</v>
      </c>
      <c r="W2716">
        <v>0</v>
      </c>
      <c r="X2716">
        <v>2</v>
      </c>
      <c r="Y2716">
        <v>0</v>
      </c>
      <c r="AA2716">
        <v>1</v>
      </c>
      <c r="AB2716">
        <v>8</v>
      </c>
      <c r="AC2716">
        <v>3</v>
      </c>
      <c r="AD2716">
        <v>0</v>
      </c>
      <c r="AE2716">
        <v>9</v>
      </c>
      <c r="AF2716" t="s">
        <v>138</v>
      </c>
      <c r="AG2716">
        <v>0</v>
      </c>
      <c r="AH2716">
        <v>3</v>
      </c>
      <c r="AI2716">
        <v>2</v>
      </c>
      <c r="AJ2716">
        <v>0</v>
      </c>
      <c r="AK2716" t="s">
        <v>920</v>
      </c>
      <c r="AL2716">
        <v>39.097423999999997</v>
      </c>
      <c r="AM2716" t="s">
        <v>921</v>
      </c>
      <c r="AN2716">
        <v>-121.03448899999999</v>
      </c>
      <c r="AO2716">
        <v>25</v>
      </c>
      <c r="AP2716">
        <v>4400</v>
      </c>
      <c r="AQ2716" t="s">
        <v>131</v>
      </c>
      <c r="AR2716">
        <v>16</v>
      </c>
      <c r="AS2716">
        <v>70</v>
      </c>
      <c r="AT2716">
        <v>-384</v>
      </c>
      <c r="BB2716" t="str">
        <f t="shared" si="1067"/>
        <v>1200</v>
      </c>
      <c r="BC2716">
        <v>1</v>
      </c>
      <c r="BD2716" t="str">
        <f t="shared" si="1068"/>
        <v xml:space="preserve">N52156  </v>
      </c>
      <c r="BE2716">
        <v>1</v>
      </c>
      <c r="BG2716">
        <v>0</v>
      </c>
      <c r="BH2716">
        <v>0</v>
      </c>
      <c r="BI2716">
        <v>0</v>
      </c>
      <c r="BJ2716">
        <v>4500</v>
      </c>
      <c r="BK2716">
        <v>100</v>
      </c>
      <c r="BL2716" t="s">
        <v>188</v>
      </c>
      <c r="BM2716">
        <v>1</v>
      </c>
      <c r="BN2716">
        <v>1</v>
      </c>
      <c r="BO2716">
        <v>0</v>
      </c>
      <c r="BP2716">
        <v>0</v>
      </c>
      <c r="BS2716">
        <v>0</v>
      </c>
      <c r="BT2716">
        <v>0</v>
      </c>
      <c r="BU2716">
        <v>0</v>
      </c>
      <c r="CE2716" t="str">
        <f t="shared" si="1077"/>
        <v>15:12:04.375</v>
      </c>
      <c r="CF2716">
        <v>375224560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5</v>
      </c>
      <c r="CY2716">
        <v>7</v>
      </c>
      <c r="CZ2716" t="s">
        <v>133</v>
      </c>
      <c r="DA2716">
        <v>275</v>
      </c>
      <c r="DB2716">
        <v>0</v>
      </c>
      <c r="DC2716" t="s">
        <v>134</v>
      </c>
      <c r="DD2716" t="s">
        <v>135</v>
      </c>
      <c r="DG2716">
        <v>3321969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>"05/01/2025 15:12:04.632"</f>
        <v>05/01/2025 15:12:04.632</v>
      </c>
      <c r="C2717" t="str">
        <f t="shared" si="1064"/>
        <v>FFDFD3C0</v>
      </c>
      <c r="D2717" t="s">
        <v>124</v>
      </c>
      <c r="E2717" t="str">
        <f>"06"</f>
        <v>06</v>
      </c>
      <c r="F2717">
        <v>2006</v>
      </c>
      <c r="G2717" t="s">
        <v>125</v>
      </c>
      <c r="J2717" t="s">
        <v>126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R2717" t="s">
        <v>127</v>
      </c>
      <c r="S2717" t="str">
        <f t="shared" si="1076"/>
        <v>15:12:04.000</v>
      </c>
      <c r="T2717" t="str">
        <f t="shared" si="1076"/>
        <v>15:12:04.000</v>
      </c>
      <c r="U2717" t="str">
        <f t="shared" si="1066"/>
        <v>A68FCB</v>
      </c>
      <c r="V2717">
        <v>0</v>
      </c>
      <c r="W2717">
        <v>0</v>
      </c>
      <c r="X2717">
        <v>2</v>
      </c>
      <c r="Y2717">
        <v>0</v>
      </c>
      <c r="AA2717">
        <v>1</v>
      </c>
      <c r="AB2717">
        <v>8</v>
      </c>
      <c r="AC2717">
        <v>3</v>
      </c>
      <c r="AD2717">
        <v>0</v>
      </c>
      <c r="AE2717">
        <v>9</v>
      </c>
      <c r="AF2717" t="s">
        <v>138</v>
      </c>
      <c r="AG2717">
        <v>0</v>
      </c>
      <c r="AH2717">
        <v>3</v>
      </c>
      <c r="AI2717">
        <v>2</v>
      </c>
      <c r="AJ2717">
        <v>0</v>
      </c>
      <c r="AK2717" t="s">
        <v>920</v>
      </c>
      <c r="AL2717">
        <v>39.097423999999997</v>
      </c>
      <c r="AM2717" t="s">
        <v>921</v>
      </c>
      <c r="AN2717">
        <v>-121.03448899999999</v>
      </c>
      <c r="AO2717">
        <v>25</v>
      </c>
      <c r="AP2717">
        <v>4400</v>
      </c>
      <c r="AQ2717" t="s">
        <v>131</v>
      </c>
      <c r="AR2717">
        <v>16</v>
      </c>
      <c r="AS2717">
        <v>70</v>
      </c>
      <c r="AT2717">
        <v>-384</v>
      </c>
      <c r="BB2717" t="str">
        <f t="shared" si="1067"/>
        <v>1200</v>
      </c>
      <c r="BC2717">
        <v>1</v>
      </c>
      <c r="BD2717" t="str">
        <f t="shared" si="1068"/>
        <v xml:space="preserve">N52156  </v>
      </c>
      <c r="BE2717">
        <v>1</v>
      </c>
      <c r="BG2717">
        <v>0</v>
      </c>
      <c r="BH2717">
        <v>0</v>
      </c>
      <c r="BI2717">
        <v>0</v>
      </c>
      <c r="BJ2717">
        <v>4500</v>
      </c>
      <c r="BK2717">
        <v>100</v>
      </c>
      <c r="BL2717" t="s">
        <v>188</v>
      </c>
      <c r="BM2717">
        <v>1</v>
      </c>
      <c r="BN2717">
        <v>1</v>
      </c>
      <c r="BO2717">
        <v>0</v>
      </c>
      <c r="BP2717">
        <v>0</v>
      </c>
      <c r="BS2717">
        <v>0</v>
      </c>
      <c r="BT2717">
        <v>0</v>
      </c>
      <c r="BU2717">
        <v>0</v>
      </c>
      <c r="CE2717" t="str">
        <f t="shared" si="1077"/>
        <v>15:12:04.375</v>
      </c>
      <c r="CF2717">
        <v>375224560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5</v>
      </c>
      <c r="CY2717">
        <v>7</v>
      </c>
      <c r="CZ2717" t="s">
        <v>133</v>
      </c>
      <c r="DA2717">
        <v>275</v>
      </c>
      <c r="DB2717">
        <v>0</v>
      </c>
      <c r="DC2717" t="s">
        <v>134</v>
      </c>
      <c r="DD2717" t="s">
        <v>135</v>
      </c>
      <c r="DG2717">
        <v>3321969</v>
      </c>
      <c r="DI2717">
        <v>1</v>
      </c>
      <c r="DJ2717">
        <v>0</v>
      </c>
      <c r="DK2717">
        <v>1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>"05/01/2025 15:12:04.642"</f>
        <v>05/01/2025 15:12:04.642</v>
      </c>
      <c r="C2718" t="str">
        <f t="shared" si="1064"/>
        <v>FFDFD3C0</v>
      </c>
      <c r="D2718" t="s">
        <v>145</v>
      </c>
      <c r="E2718" t="str">
        <f>"05"</f>
        <v>05</v>
      </c>
      <c r="H2718">
        <v>47</v>
      </c>
      <c r="I2718" t="s">
        <v>146</v>
      </c>
      <c r="J2718" t="s">
        <v>138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R2718" t="s">
        <v>127</v>
      </c>
      <c r="S2718" t="str">
        <f t="shared" si="1076"/>
        <v>15:12:04.000</v>
      </c>
      <c r="T2718" t="str">
        <f t="shared" si="1076"/>
        <v>15:12:04.000</v>
      </c>
      <c r="U2718" t="str">
        <f t="shared" si="1066"/>
        <v>A68FCB</v>
      </c>
      <c r="V2718">
        <v>0</v>
      </c>
      <c r="W2718">
        <v>0</v>
      </c>
      <c r="X2718">
        <v>2</v>
      </c>
      <c r="Y2718">
        <v>0</v>
      </c>
      <c r="AA2718">
        <v>1</v>
      </c>
      <c r="AB2718">
        <v>8</v>
      </c>
      <c r="AC2718">
        <v>3</v>
      </c>
      <c r="AD2718">
        <v>0</v>
      </c>
      <c r="AE2718">
        <v>9</v>
      </c>
      <c r="AF2718" t="s">
        <v>138</v>
      </c>
      <c r="AG2718">
        <v>0</v>
      </c>
      <c r="AH2718">
        <v>3</v>
      </c>
      <c r="AI2718">
        <v>2</v>
      </c>
      <c r="AJ2718">
        <v>0</v>
      </c>
      <c r="AK2718" t="s">
        <v>920</v>
      </c>
      <c r="AL2718">
        <v>39.097423999999997</v>
      </c>
      <c r="AM2718" t="s">
        <v>921</v>
      </c>
      <c r="AN2718">
        <v>-121.03448899999999</v>
      </c>
      <c r="AO2718">
        <v>25</v>
      </c>
      <c r="AP2718">
        <v>4400</v>
      </c>
      <c r="AQ2718" t="s">
        <v>131</v>
      </c>
      <c r="AR2718">
        <v>16</v>
      </c>
      <c r="AS2718">
        <v>70</v>
      </c>
      <c r="AT2718">
        <v>-384</v>
      </c>
      <c r="BB2718" t="str">
        <f t="shared" si="1067"/>
        <v>1200</v>
      </c>
      <c r="BC2718">
        <v>1</v>
      </c>
      <c r="BD2718" t="str">
        <f t="shared" si="1068"/>
        <v xml:space="preserve">N52156  </v>
      </c>
      <c r="BE2718">
        <v>1</v>
      </c>
      <c r="BG2718">
        <v>0</v>
      </c>
      <c r="BH2718">
        <v>0</v>
      </c>
      <c r="BI2718">
        <v>0</v>
      </c>
      <c r="BJ2718">
        <v>4500</v>
      </c>
      <c r="BK2718">
        <v>100</v>
      </c>
      <c r="BL2718" t="s">
        <v>188</v>
      </c>
      <c r="BM2718">
        <v>1</v>
      </c>
      <c r="BN2718">
        <v>1</v>
      </c>
      <c r="BO2718">
        <v>0</v>
      </c>
      <c r="BP2718">
        <v>0</v>
      </c>
      <c r="BS2718">
        <v>0</v>
      </c>
      <c r="BT2718">
        <v>0</v>
      </c>
      <c r="BU2718">
        <v>0</v>
      </c>
      <c r="CE2718" t="str">
        <f t="shared" si="1077"/>
        <v>15:12:04.375</v>
      </c>
      <c r="CF2718">
        <v>375224560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5</v>
      </c>
      <c r="CY2718">
        <v>7</v>
      </c>
      <c r="CZ2718" t="s">
        <v>133</v>
      </c>
      <c r="DA2718">
        <v>275</v>
      </c>
      <c r="DB2718">
        <v>0</v>
      </c>
      <c r="DC2718" t="s">
        <v>134</v>
      </c>
      <c r="DD2718" t="s">
        <v>135</v>
      </c>
      <c r="DG2718">
        <v>3321969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>"05/01/2025 15:12:04.643"</f>
        <v>05/01/2025 15:12:04.643</v>
      </c>
      <c r="C2719" t="str">
        <f t="shared" si="1064"/>
        <v>FFDFD3C0</v>
      </c>
      <c r="D2719" t="s">
        <v>145</v>
      </c>
      <c r="E2719" t="str">
        <f>"09"</f>
        <v>09</v>
      </c>
      <c r="H2719">
        <v>51</v>
      </c>
      <c r="I2719" t="s">
        <v>147</v>
      </c>
      <c r="J2719" t="s">
        <v>138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R2719" t="s">
        <v>127</v>
      </c>
      <c r="S2719" t="str">
        <f t="shared" si="1076"/>
        <v>15:12:04.000</v>
      </c>
      <c r="T2719" t="str">
        <f t="shared" si="1076"/>
        <v>15:12:04.000</v>
      </c>
      <c r="U2719" t="str">
        <f t="shared" si="1066"/>
        <v>A68FCB</v>
      </c>
      <c r="V2719">
        <v>0</v>
      </c>
      <c r="W2719">
        <v>0</v>
      </c>
      <c r="X2719">
        <v>2</v>
      </c>
      <c r="Y2719">
        <v>0</v>
      </c>
      <c r="AA2719">
        <v>1</v>
      </c>
      <c r="AB2719">
        <v>8</v>
      </c>
      <c r="AC2719">
        <v>3</v>
      </c>
      <c r="AD2719">
        <v>0</v>
      </c>
      <c r="AE2719">
        <v>9</v>
      </c>
      <c r="AF2719" t="s">
        <v>138</v>
      </c>
      <c r="AG2719">
        <v>0</v>
      </c>
      <c r="AH2719">
        <v>3</v>
      </c>
      <c r="AI2719">
        <v>2</v>
      </c>
      <c r="AJ2719">
        <v>0</v>
      </c>
      <c r="AK2719" t="s">
        <v>920</v>
      </c>
      <c r="AL2719">
        <v>39.097423999999997</v>
      </c>
      <c r="AM2719" t="s">
        <v>921</v>
      </c>
      <c r="AN2719">
        <v>-121.03448899999999</v>
      </c>
      <c r="AO2719">
        <v>25</v>
      </c>
      <c r="AP2719">
        <v>4400</v>
      </c>
      <c r="AQ2719" t="s">
        <v>131</v>
      </c>
      <c r="AR2719">
        <v>16</v>
      </c>
      <c r="AS2719">
        <v>70</v>
      </c>
      <c r="AT2719">
        <v>-384</v>
      </c>
      <c r="BB2719" t="str">
        <f t="shared" si="1067"/>
        <v>1200</v>
      </c>
      <c r="BC2719">
        <v>1</v>
      </c>
      <c r="BD2719" t="str">
        <f t="shared" si="1068"/>
        <v xml:space="preserve">N52156  </v>
      </c>
      <c r="BE2719">
        <v>1</v>
      </c>
      <c r="BG2719">
        <v>0</v>
      </c>
      <c r="BH2719">
        <v>0</v>
      </c>
      <c r="BI2719">
        <v>0</v>
      </c>
      <c r="BJ2719">
        <v>4500</v>
      </c>
      <c r="BK2719">
        <v>100</v>
      </c>
      <c r="BL2719" t="s">
        <v>188</v>
      </c>
      <c r="BM2719">
        <v>1</v>
      </c>
      <c r="BN2719">
        <v>1</v>
      </c>
      <c r="BO2719">
        <v>0</v>
      </c>
      <c r="BP2719">
        <v>0</v>
      </c>
      <c r="BS2719">
        <v>0</v>
      </c>
      <c r="BT2719">
        <v>0</v>
      </c>
      <c r="BU2719">
        <v>0</v>
      </c>
      <c r="CE2719" t="str">
        <f t="shared" si="1077"/>
        <v>15:12:04.375</v>
      </c>
      <c r="CF2719">
        <v>375224560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5</v>
      </c>
      <c r="CY2719">
        <v>7</v>
      </c>
      <c r="CZ2719" t="s">
        <v>133</v>
      </c>
      <c r="DA2719">
        <v>275</v>
      </c>
      <c r="DB2719">
        <v>0</v>
      </c>
      <c r="DC2719" t="s">
        <v>134</v>
      </c>
      <c r="DD2719" t="s">
        <v>135</v>
      </c>
      <c r="DG2719">
        <v>3321969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>"05/01/2025 15:12:05.694"</f>
        <v>05/01/2025 15:12:05.694</v>
      </c>
      <c r="C2720" t="str">
        <f t="shared" si="1064"/>
        <v>FFDFD3C0</v>
      </c>
      <c r="D2720" t="s">
        <v>145</v>
      </c>
      <c r="E2720" t="str">
        <f>"05"</f>
        <v>05</v>
      </c>
      <c r="H2720">
        <v>47</v>
      </c>
      <c r="I2720" t="s">
        <v>146</v>
      </c>
      <c r="J2720" t="s">
        <v>138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R2720" t="s">
        <v>127</v>
      </c>
      <c r="S2720" t="str">
        <f t="shared" ref="S2720:T2725" si="1078">"15:12:05.000"</f>
        <v>15:12:05.000</v>
      </c>
      <c r="T2720" t="str">
        <f t="shared" si="1078"/>
        <v>15:12:05.000</v>
      </c>
      <c r="U2720" t="str">
        <f t="shared" si="1066"/>
        <v>A68FCB</v>
      </c>
      <c r="V2720">
        <v>0</v>
      </c>
      <c r="W2720">
        <v>0</v>
      </c>
      <c r="X2720">
        <v>2</v>
      </c>
      <c r="Y2720">
        <v>0</v>
      </c>
      <c r="AA2720">
        <v>1</v>
      </c>
      <c r="AB2720">
        <v>8</v>
      </c>
      <c r="AC2720">
        <v>3</v>
      </c>
      <c r="AD2720">
        <v>0</v>
      </c>
      <c r="AE2720">
        <v>9</v>
      </c>
      <c r="AF2720" t="s">
        <v>138</v>
      </c>
      <c r="AG2720">
        <v>0</v>
      </c>
      <c r="AH2720">
        <v>3</v>
      </c>
      <c r="AI2720">
        <v>2</v>
      </c>
      <c r="AJ2720">
        <v>0</v>
      </c>
      <c r="AK2720" t="s">
        <v>922</v>
      </c>
      <c r="AL2720">
        <v>39.097745000000003</v>
      </c>
      <c r="AM2720" t="s">
        <v>923</v>
      </c>
      <c r="AN2720">
        <v>-121.034403</v>
      </c>
      <c r="AO2720">
        <v>25</v>
      </c>
      <c r="AP2720">
        <v>4400</v>
      </c>
      <c r="AQ2720" t="s">
        <v>131</v>
      </c>
      <c r="AR2720">
        <v>16</v>
      </c>
      <c r="AS2720">
        <v>70</v>
      </c>
      <c r="AT2720">
        <v>-512</v>
      </c>
      <c r="BB2720" t="str">
        <f t="shared" si="1067"/>
        <v>1200</v>
      </c>
      <c r="BC2720">
        <v>1</v>
      </c>
      <c r="BD2720" t="str">
        <f t="shared" si="1068"/>
        <v xml:space="preserve">N52156  </v>
      </c>
      <c r="BE2720">
        <v>1</v>
      </c>
      <c r="BG2720">
        <v>0</v>
      </c>
      <c r="BH2720">
        <v>0</v>
      </c>
      <c r="BI2720">
        <v>0</v>
      </c>
      <c r="BJ2720">
        <v>4500</v>
      </c>
      <c r="BK2720">
        <v>100</v>
      </c>
      <c r="BL2720" t="s">
        <v>188</v>
      </c>
      <c r="BM2720">
        <v>1</v>
      </c>
      <c r="BN2720">
        <v>1</v>
      </c>
      <c r="BO2720">
        <v>0</v>
      </c>
      <c r="BP2720">
        <v>0</v>
      </c>
      <c r="BS2720">
        <v>0</v>
      </c>
      <c r="BT2720">
        <v>0</v>
      </c>
      <c r="BU2720">
        <v>0</v>
      </c>
      <c r="CE2720" t="str">
        <f t="shared" ref="CE2720:CE2725" si="1079">"15:12:05.494"</f>
        <v>15:12:05.494</v>
      </c>
      <c r="CF2720">
        <v>494224925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5</v>
      </c>
      <c r="CY2720">
        <v>7</v>
      </c>
      <c r="CZ2720" t="s">
        <v>133</v>
      </c>
      <c r="DA2720">
        <v>275</v>
      </c>
      <c r="DB2720">
        <v>0</v>
      </c>
      <c r="DC2720" t="s">
        <v>134</v>
      </c>
      <c r="DD2720" t="s">
        <v>135</v>
      </c>
      <c r="DG2720">
        <v>3321976</v>
      </c>
      <c r="DI2720">
        <v>1</v>
      </c>
      <c r="DJ2720">
        <v>0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>"05/01/2025 15:12:05.695"</f>
        <v>05/01/2025 15:12:05.695</v>
      </c>
      <c r="C2721" t="str">
        <f t="shared" si="1064"/>
        <v>FFDFD3C0</v>
      </c>
      <c r="D2721" t="s">
        <v>145</v>
      </c>
      <c r="E2721" t="str">
        <f>"09"</f>
        <v>09</v>
      </c>
      <c r="H2721">
        <v>51</v>
      </c>
      <c r="I2721" t="s">
        <v>147</v>
      </c>
      <c r="J2721" t="s">
        <v>138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R2721" t="s">
        <v>127</v>
      </c>
      <c r="S2721" t="str">
        <f t="shared" si="1078"/>
        <v>15:12:05.000</v>
      </c>
      <c r="T2721" t="str">
        <f t="shared" si="1078"/>
        <v>15:12:05.000</v>
      </c>
      <c r="U2721" t="str">
        <f t="shared" si="1066"/>
        <v>A68FCB</v>
      </c>
      <c r="V2721">
        <v>0</v>
      </c>
      <c r="W2721">
        <v>0</v>
      </c>
      <c r="X2721">
        <v>2</v>
      </c>
      <c r="Y2721">
        <v>0</v>
      </c>
      <c r="AA2721">
        <v>1</v>
      </c>
      <c r="AB2721">
        <v>8</v>
      </c>
      <c r="AC2721">
        <v>3</v>
      </c>
      <c r="AD2721">
        <v>0</v>
      </c>
      <c r="AE2721">
        <v>9</v>
      </c>
      <c r="AF2721" t="s">
        <v>138</v>
      </c>
      <c r="AG2721">
        <v>0</v>
      </c>
      <c r="AH2721">
        <v>3</v>
      </c>
      <c r="AI2721">
        <v>2</v>
      </c>
      <c r="AJ2721">
        <v>0</v>
      </c>
      <c r="AK2721" t="s">
        <v>922</v>
      </c>
      <c r="AL2721">
        <v>39.097745000000003</v>
      </c>
      <c r="AM2721" t="s">
        <v>923</v>
      </c>
      <c r="AN2721">
        <v>-121.034403</v>
      </c>
      <c r="AO2721">
        <v>25</v>
      </c>
      <c r="AP2721">
        <v>4400</v>
      </c>
      <c r="AQ2721" t="s">
        <v>131</v>
      </c>
      <c r="AR2721">
        <v>16</v>
      </c>
      <c r="AS2721">
        <v>70</v>
      </c>
      <c r="AT2721">
        <v>-512</v>
      </c>
      <c r="BB2721" t="str">
        <f t="shared" si="1067"/>
        <v>1200</v>
      </c>
      <c r="BC2721">
        <v>1</v>
      </c>
      <c r="BD2721" t="str">
        <f t="shared" si="1068"/>
        <v xml:space="preserve">N52156  </v>
      </c>
      <c r="BE2721">
        <v>1</v>
      </c>
      <c r="BG2721">
        <v>0</v>
      </c>
      <c r="BH2721">
        <v>0</v>
      </c>
      <c r="BI2721">
        <v>0</v>
      </c>
      <c r="BJ2721">
        <v>4500</v>
      </c>
      <c r="BK2721">
        <v>100</v>
      </c>
      <c r="BL2721" t="s">
        <v>188</v>
      </c>
      <c r="BM2721">
        <v>1</v>
      </c>
      <c r="BN2721">
        <v>1</v>
      </c>
      <c r="BO2721">
        <v>0</v>
      </c>
      <c r="BP2721">
        <v>0</v>
      </c>
      <c r="BS2721">
        <v>0</v>
      </c>
      <c r="BT2721">
        <v>0</v>
      </c>
      <c r="BU2721">
        <v>0</v>
      </c>
      <c r="CE2721" t="str">
        <f t="shared" si="1079"/>
        <v>15:12:05.494</v>
      </c>
      <c r="CF2721">
        <v>494224925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5</v>
      </c>
      <c r="CY2721">
        <v>7</v>
      </c>
      <c r="CZ2721" t="s">
        <v>133</v>
      </c>
      <c r="DA2721">
        <v>275</v>
      </c>
      <c r="DB2721">
        <v>0</v>
      </c>
      <c r="DC2721" t="s">
        <v>134</v>
      </c>
      <c r="DD2721" t="s">
        <v>135</v>
      </c>
      <c r="DG2721">
        <v>3321976</v>
      </c>
      <c r="DI2721">
        <v>1</v>
      </c>
      <c r="DJ2721">
        <v>0</v>
      </c>
      <c r="DK2721">
        <v>1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>"05/01/2025 15:12:05.704"</f>
        <v>05/01/2025 15:12:05.704</v>
      </c>
      <c r="C2722" t="str">
        <f t="shared" si="1064"/>
        <v>FFDFD3C0</v>
      </c>
      <c r="D2722" t="s">
        <v>136</v>
      </c>
      <c r="E2722" t="str">
        <f>"20"</f>
        <v>20</v>
      </c>
      <c r="H2722">
        <v>400</v>
      </c>
      <c r="I2722" t="s">
        <v>137</v>
      </c>
      <c r="J2722" t="s">
        <v>138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R2722" t="s">
        <v>127</v>
      </c>
      <c r="S2722" t="str">
        <f t="shared" si="1078"/>
        <v>15:12:05.000</v>
      </c>
      <c r="T2722" t="str">
        <f t="shared" si="1078"/>
        <v>15:12:05.000</v>
      </c>
      <c r="U2722" t="str">
        <f t="shared" si="1066"/>
        <v>A68FCB</v>
      </c>
      <c r="V2722">
        <v>0</v>
      </c>
      <c r="W2722">
        <v>0</v>
      </c>
      <c r="X2722">
        <v>2</v>
      </c>
      <c r="Y2722">
        <v>0</v>
      </c>
      <c r="AA2722">
        <v>1</v>
      </c>
      <c r="AB2722">
        <v>8</v>
      </c>
      <c r="AC2722">
        <v>3</v>
      </c>
      <c r="AD2722">
        <v>0</v>
      </c>
      <c r="AE2722">
        <v>9</v>
      </c>
      <c r="AF2722" t="s">
        <v>138</v>
      </c>
      <c r="AG2722">
        <v>0</v>
      </c>
      <c r="AH2722">
        <v>3</v>
      </c>
      <c r="AI2722">
        <v>2</v>
      </c>
      <c r="AJ2722">
        <v>0</v>
      </c>
      <c r="AK2722" t="s">
        <v>922</v>
      </c>
      <c r="AL2722">
        <v>39.097745000000003</v>
      </c>
      <c r="AM2722" t="s">
        <v>923</v>
      </c>
      <c r="AN2722">
        <v>-121.034403</v>
      </c>
      <c r="AO2722">
        <v>25</v>
      </c>
      <c r="AP2722">
        <v>4400</v>
      </c>
      <c r="AQ2722" t="s">
        <v>131</v>
      </c>
      <c r="AR2722">
        <v>16</v>
      </c>
      <c r="AS2722">
        <v>70</v>
      </c>
      <c r="AT2722">
        <v>-512</v>
      </c>
      <c r="BB2722" t="str">
        <f t="shared" si="1067"/>
        <v>1200</v>
      </c>
      <c r="BC2722">
        <v>1</v>
      </c>
      <c r="BD2722" t="str">
        <f t="shared" si="1068"/>
        <v xml:space="preserve">N52156  </v>
      </c>
      <c r="BE2722">
        <v>1</v>
      </c>
      <c r="BG2722">
        <v>0</v>
      </c>
      <c r="BH2722">
        <v>0</v>
      </c>
      <c r="BI2722">
        <v>0</v>
      </c>
      <c r="BJ2722">
        <v>4500</v>
      </c>
      <c r="BK2722">
        <v>100</v>
      </c>
      <c r="BL2722" t="s">
        <v>188</v>
      </c>
      <c r="BM2722">
        <v>1</v>
      </c>
      <c r="BN2722">
        <v>1</v>
      </c>
      <c r="BO2722">
        <v>0</v>
      </c>
      <c r="BP2722">
        <v>0</v>
      </c>
      <c r="BS2722">
        <v>0</v>
      </c>
      <c r="BT2722">
        <v>0</v>
      </c>
      <c r="BU2722">
        <v>0</v>
      </c>
      <c r="CE2722" t="str">
        <f t="shared" si="1079"/>
        <v>15:12:05.494</v>
      </c>
      <c r="CF2722">
        <v>494224925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5</v>
      </c>
      <c r="CY2722">
        <v>7</v>
      </c>
      <c r="CZ2722" t="s">
        <v>133</v>
      </c>
      <c r="DA2722">
        <v>275</v>
      </c>
      <c r="DB2722">
        <v>0</v>
      </c>
      <c r="DC2722" t="s">
        <v>134</v>
      </c>
      <c r="DD2722" t="s">
        <v>135</v>
      </c>
      <c r="DG2722">
        <v>3321976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>"05/01/2025 15:12:05.711"</f>
        <v>05/01/2025 15:12:05.711</v>
      </c>
      <c r="C2723" t="str">
        <f t="shared" si="1064"/>
        <v>FFDFD3C0</v>
      </c>
      <c r="D2723" t="s">
        <v>143</v>
      </c>
      <c r="E2723" t="str">
        <f>"05"</f>
        <v>05</v>
      </c>
      <c r="H2723">
        <v>172</v>
      </c>
      <c r="I2723" t="s">
        <v>141</v>
      </c>
      <c r="J2723" t="s">
        <v>144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R2723" t="s">
        <v>127</v>
      </c>
      <c r="S2723" t="str">
        <f t="shared" si="1078"/>
        <v>15:12:05.000</v>
      </c>
      <c r="T2723" t="str">
        <f t="shared" si="1078"/>
        <v>15:12:05.000</v>
      </c>
      <c r="U2723" t="str">
        <f t="shared" si="1066"/>
        <v>A68FCB</v>
      </c>
      <c r="V2723">
        <v>0</v>
      </c>
      <c r="W2723">
        <v>0</v>
      </c>
      <c r="X2723">
        <v>2</v>
      </c>
      <c r="Y2723">
        <v>0</v>
      </c>
      <c r="AA2723">
        <v>1</v>
      </c>
      <c r="AB2723">
        <v>8</v>
      </c>
      <c r="AC2723">
        <v>3</v>
      </c>
      <c r="AD2723">
        <v>0</v>
      </c>
      <c r="AE2723">
        <v>9</v>
      </c>
      <c r="AF2723" t="s">
        <v>138</v>
      </c>
      <c r="AG2723">
        <v>0</v>
      </c>
      <c r="AH2723">
        <v>3</v>
      </c>
      <c r="AI2723">
        <v>2</v>
      </c>
      <c r="AJ2723">
        <v>0</v>
      </c>
      <c r="AK2723" t="s">
        <v>922</v>
      </c>
      <c r="AL2723">
        <v>39.097745000000003</v>
      </c>
      <c r="AM2723" t="s">
        <v>923</v>
      </c>
      <c r="AN2723">
        <v>-121.034403</v>
      </c>
      <c r="AO2723">
        <v>25</v>
      </c>
      <c r="AP2723">
        <v>4400</v>
      </c>
      <c r="AQ2723" t="s">
        <v>131</v>
      </c>
      <c r="AR2723">
        <v>16</v>
      </c>
      <c r="AS2723">
        <v>70</v>
      </c>
      <c r="AT2723">
        <v>-512</v>
      </c>
      <c r="BB2723" t="str">
        <f t="shared" si="1067"/>
        <v>1200</v>
      </c>
      <c r="BC2723">
        <v>1</v>
      </c>
      <c r="BD2723" t="str">
        <f t="shared" si="1068"/>
        <v xml:space="preserve">N52156  </v>
      </c>
      <c r="BE2723">
        <v>1</v>
      </c>
      <c r="BG2723">
        <v>0</v>
      </c>
      <c r="BH2723">
        <v>0</v>
      </c>
      <c r="BI2723">
        <v>0</v>
      </c>
      <c r="BJ2723">
        <v>4500</v>
      </c>
      <c r="BK2723">
        <v>100</v>
      </c>
      <c r="BL2723" t="s">
        <v>188</v>
      </c>
      <c r="BM2723">
        <v>1</v>
      </c>
      <c r="BN2723">
        <v>1</v>
      </c>
      <c r="BO2723">
        <v>0</v>
      </c>
      <c r="BP2723">
        <v>0</v>
      </c>
      <c r="BS2723">
        <v>0</v>
      </c>
      <c r="BT2723">
        <v>0</v>
      </c>
      <c r="BU2723">
        <v>0</v>
      </c>
      <c r="CE2723" t="str">
        <f t="shared" si="1079"/>
        <v>15:12:05.494</v>
      </c>
      <c r="CF2723">
        <v>494224925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5</v>
      </c>
      <c r="CY2723">
        <v>7</v>
      </c>
      <c r="CZ2723" t="s">
        <v>133</v>
      </c>
      <c r="DA2723">
        <v>275</v>
      </c>
      <c r="DB2723">
        <v>0</v>
      </c>
      <c r="DC2723" t="s">
        <v>134</v>
      </c>
      <c r="DD2723" t="s">
        <v>135</v>
      </c>
      <c r="DG2723">
        <v>3321976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>"05/01/2025 15:12:05.729"</f>
        <v>05/01/2025 15:12:05.729</v>
      </c>
      <c r="C2724" t="str">
        <f t="shared" si="1064"/>
        <v>FFDFD3C0</v>
      </c>
      <c r="D2724" t="s">
        <v>140</v>
      </c>
      <c r="E2724" t="str">
        <f>"13"</f>
        <v>13</v>
      </c>
      <c r="F2724">
        <v>1019</v>
      </c>
      <c r="G2724" t="s">
        <v>141</v>
      </c>
      <c r="J2724" t="s">
        <v>142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R2724" t="s">
        <v>127</v>
      </c>
      <c r="S2724" t="str">
        <f t="shared" si="1078"/>
        <v>15:12:05.000</v>
      </c>
      <c r="T2724" t="str">
        <f t="shared" si="1078"/>
        <v>15:12:05.000</v>
      </c>
      <c r="U2724" t="str">
        <f t="shared" si="1066"/>
        <v>A68FCB</v>
      </c>
      <c r="V2724">
        <v>0</v>
      </c>
      <c r="W2724">
        <v>0</v>
      </c>
      <c r="X2724">
        <v>2</v>
      </c>
      <c r="Y2724">
        <v>0</v>
      </c>
      <c r="AA2724">
        <v>1</v>
      </c>
      <c r="AB2724">
        <v>8</v>
      </c>
      <c r="AC2724">
        <v>3</v>
      </c>
      <c r="AD2724">
        <v>0</v>
      </c>
      <c r="AE2724">
        <v>9</v>
      </c>
      <c r="AF2724" t="s">
        <v>138</v>
      </c>
      <c r="AG2724">
        <v>0</v>
      </c>
      <c r="AH2724">
        <v>3</v>
      </c>
      <c r="AI2724">
        <v>2</v>
      </c>
      <c r="AJ2724">
        <v>0</v>
      </c>
      <c r="AK2724" t="s">
        <v>922</v>
      </c>
      <c r="AL2724">
        <v>39.097745000000003</v>
      </c>
      <c r="AM2724" t="s">
        <v>923</v>
      </c>
      <c r="AN2724">
        <v>-121.034403</v>
      </c>
      <c r="AO2724">
        <v>25</v>
      </c>
      <c r="AP2724">
        <v>4400</v>
      </c>
      <c r="AQ2724" t="s">
        <v>131</v>
      </c>
      <c r="AR2724">
        <v>16</v>
      </c>
      <c r="AS2724">
        <v>70</v>
      </c>
      <c r="AT2724">
        <v>-512</v>
      </c>
      <c r="BB2724" t="str">
        <f t="shared" si="1067"/>
        <v>1200</v>
      </c>
      <c r="BC2724">
        <v>1</v>
      </c>
      <c r="BD2724" t="str">
        <f t="shared" si="1068"/>
        <v xml:space="preserve">N52156  </v>
      </c>
      <c r="BE2724">
        <v>1</v>
      </c>
      <c r="BG2724">
        <v>0</v>
      </c>
      <c r="BH2724">
        <v>0</v>
      </c>
      <c r="BI2724">
        <v>0</v>
      </c>
      <c r="BJ2724">
        <v>4500</v>
      </c>
      <c r="BK2724">
        <v>100</v>
      </c>
      <c r="BL2724" t="s">
        <v>188</v>
      </c>
      <c r="BM2724">
        <v>1</v>
      </c>
      <c r="BN2724">
        <v>1</v>
      </c>
      <c r="BO2724">
        <v>0</v>
      </c>
      <c r="BP2724">
        <v>0</v>
      </c>
      <c r="BS2724">
        <v>0</v>
      </c>
      <c r="BT2724">
        <v>0</v>
      </c>
      <c r="BU2724">
        <v>0</v>
      </c>
      <c r="CE2724" t="str">
        <f t="shared" si="1079"/>
        <v>15:12:05.494</v>
      </c>
      <c r="CF2724">
        <v>494224925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5</v>
      </c>
      <c r="CY2724">
        <v>7</v>
      </c>
      <c r="CZ2724" t="s">
        <v>133</v>
      </c>
      <c r="DA2724">
        <v>275</v>
      </c>
      <c r="DB2724">
        <v>0</v>
      </c>
      <c r="DC2724" t="s">
        <v>134</v>
      </c>
      <c r="DD2724" t="s">
        <v>135</v>
      </c>
      <c r="DG2724">
        <v>3321976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>"05/01/2025 15:12:05.734"</f>
        <v>05/01/2025 15:12:05.734</v>
      </c>
      <c r="C2725" t="str">
        <f t="shared" si="1064"/>
        <v>FFDFD3C0</v>
      </c>
      <c r="D2725" t="s">
        <v>124</v>
      </c>
      <c r="E2725" t="str">
        <f>"06"</f>
        <v>06</v>
      </c>
      <c r="F2725">
        <v>2006</v>
      </c>
      <c r="G2725" t="s">
        <v>125</v>
      </c>
      <c r="J2725" t="s">
        <v>126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R2725" t="s">
        <v>127</v>
      </c>
      <c r="S2725" t="str">
        <f t="shared" si="1078"/>
        <v>15:12:05.000</v>
      </c>
      <c r="T2725" t="str">
        <f t="shared" si="1078"/>
        <v>15:12:05.000</v>
      </c>
      <c r="U2725" t="str">
        <f t="shared" si="1066"/>
        <v>A68FCB</v>
      </c>
      <c r="V2725">
        <v>0</v>
      </c>
      <c r="W2725">
        <v>0</v>
      </c>
      <c r="X2725">
        <v>2</v>
      </c>
      <c r="Y2725">
        <v>0</v>
      </c>
      <c r="AA2725">
        <v>1</v>
      </c>
      <c r="AB2725">
        <v>8</v>
      </c>
      <c r="AC2725">
        <v>3</v>
      </c>
      <c r="AD2725">
        <v>0</v>
      </c>
      <c r="AE2725">
        <v>9</v>
      </c>
      <c r="AF2725" t="s">
        <v>138</v>
      </c>
      <c r="AG2725">
        <v>0</v>
      </c>
      <c r="AH2725">
        <v>3</v>
      </c>
      <c r="AI2725">
        <v>2</v>
      </c>
      <c r="AJ2725">
        <v>0</v>
      </c>
      <c r="AK2725" t="s">
        <v>922</v>
      </c>
      <c r="AL2725">
        <v>39.097745000000003</v>
      </c>
      <c r="AM2725" t="s">
        <v>923</v>
      </c>
      <c r="AN2725">
        <v>-121.034403</v>
      </c>
      <c r="AO2725">
        <v>25</v>
      </c>
      <c r="AP2725">
        <v>4400</v>
      </c>
      <c r="AQ2725" t="s">
        <v>131</v>
      </c>
      <c r="AR2725">
        <v>16</v>
      </c>
      <c r="AS2725">
        <v>70</v>
      </c>
      <c r="AT2725">
        <v>-512</v>
      </c>
      <c r="BB2725" t="str">
        <f t="shared" si="1067"/>
        <v>1200</v>
      </c>
      <c r="BC2725">
        <v>1</v>
      </c>
      <c r="BD2725" t="str">
        <f t="shared" si="1068"/>
        <v xml:space="preserve">N52156  </v>
      </c>
      <c r="BE2725">
        <v>1</v>
      </c>
      <c r="BG2725">
        <v>0</v>
      </c>
      <c r="BH2725">
        <v>0</v>
      </c>
      <c r="BI2725">
        <v>0</v>
      </c>
      <c r="BJ2725">
        <v>4500</v>
      </c>
      <c r="BK2725">
        <v>100</v>
      </c>
      <c r="BL2725" t="s">
        <v>188</v>
      </c>
      <c r="BM2725">
        <v>1</v>
      </c>
      <c r="BN2725">
        <v>1</v>
      </c>
      <c r="BO2725">
        <v>0</v>
      </c>
      <c r="BP2725">
        <v>0</v>
      </c>
      <c r="BS2725">
        <v>0</v>
      </c>
      <c r="BT2725">
        <v>0</v>
      </c>
      <c r="BU2725">
        <v>0</v>
      </c>
      <c r="CE2725" t="str">
        <f t="shared" si="1079"/>
        <v>15:12:05.494</v>
      </c>
      <c r="CF2725">
        <v>494224925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5</v>
      </c>
      <c r="CY2725">
        <v>7</v>
      </c>
      <c r="CZ2725" t="s">
        <v>133</v>
      </c>
      <c r="DA2725">
        <v>275</v>
      </c>
      <c r="DB2725">
        <v>0</v>
      </c>
      <c r="DC2725" t="s">
        <v>134</v>
      </c>
      <c r="DD2725" t="s">
        <v>135</v>
      </c>
      <c r="DG2725">
        <v>3321976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>"05/01/2025 15:12:06.781"</f>
        <v>05/01/2025 15:12:06.781</v>
      </c>
      <c r="C2726" t="str">
        <f t="shared" si="1064"/>
        <v>FFDFD3C0</v>
      </c>
      <c r="D2726" t="s">
        <v>140</v>
      </c>
      <c r="E2726" t="str">
        <f>"13"</f>
        <v>13</v>
      </c>
      <c r="F2726">
        <v>1019</v>
      </c>
      <c r="G2726" t="s">
        <v>141</v>
      </c>
      <c r="J2726" t="s">
        <v>142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R2726" t="s">
        <v>127</v>
      </c>
      <c r="S2726" t="str">
        <f t="shared" ref="S2726:T2731" si="1080">"15:12:06.000"</f>
        <v>15:12:06.000</v>
      </c>
      <c r="T2726" t="str">
        <f t="shared" si="1080"/>
        <v>15:12:06.000</v>
      </c>
      <c r="U2726" t="str">
        <f t="shared" si="1066"/>
        <v>A68FCB</v>
      </c>
      <c r="V2726">
        <v>0</v>
      </c>
      <c r="W2726">
        <v>0</v>
      </c>
      <c r="X2726">
        <v>2</v>
      </c>
      <c r="Y2726">
        <v>0</v>
      </c>
      <c r="AA2726">
        <v>1</v>
      </c>
      <c r="AB2726">
        <v>8</v>
      </c>
      <c r="AC2726">
        <v>3</v>
      </c>
      <c r="AD2726">
        <v>0</v>
      </c>
      <c r="AE2726">
        <v>9</v>
      </c>
      <c r="AF2726" t="s">
        <v>138</v>
      </c>
      <c r="AG2726">
        <v>0</v>
      </c>
      <c r="AH2726">
        <v>3</v>
      </c>
      <c r="AI2726">
        <v>2</v>
      </c>
      <c r="AJ2726">
        <v>0</v>
      </c>
      <c r="AK2726" t="s">
        <v>924</v>
      </c>
      <c r="AL2726">
        <v>39.098089000000002</v>
      </c>
      <c r="AM2726" t="s">
        <v>925</v>
      </c>
      <c r="AN2726">
        <v>-121.034274</v>
      </c>
      <c r="AO2726">
        <v>25</v>
      </c>
      <c r="AP2726">
        <v>4400</v>
      </c>
      <c r="AQ2726" t="s">
        <v>131</v>
      </c>
      <c r="AR2726">
        <v>16</v>
      </c>
      <c r="AS2726">
        <v>71</v>
      </c>
      <c r="AT2726">
        <v>-512</v>
      </c>
      <c r="BB2726" t="str">
        <f t="shared" si="1067"/>
        <v>1200</v>
      </c>
      <c r="BC2726">
        <v>1</v>
      </c>
      <c r="BD2726" t="str">
        <f t="shared" si="1068"/>
        <v xml:space="preserve">N52156  </v>
      </c>
      <c r="BE2726">
        <v>1</v>
      </c>
      <c r="BG2726">
        <v>0</v>
      </c>
      <c r="BH2726">
        <v>0</v>
      </c>
      <c r="BI2726">
        <v>0</v>
      </c>
      <c r="BJ2726">
        <v>4500</v>
      </c>
      <c r="BK2726">
        <v>100</v>
      </c>
      <c r="BL2726" t="s">
        <v>188</v>
      </c>
      <c r="BM2726">
        <v>1</v>
      </c>
      <c r="BN2726">
        <v>1</v>
      </c>
      <c r="BO2726">
        <v>0</v>
      </c>
      <c r="BP2726">
        <v>0</v>
      </c>
      <c r="BS2726">
        <v>0</v>
      </c>
      <c r="BT2726">
        <v>0</v>
      </c>
      <c r="BU2726">
        <v>0</v>
      </c>
      <c r="CE2726" t="str">
        <f t="shared" ref="CE2726:CE2731" si="1081">"15:12:06.564"</f>
        <v>15:12:06.564</v>
      </c>
      <c r="CF2726">
        <v>563975184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5</v>
      </c>
      <c r="CY2726">
        <v>7</v>
      </c>
      <c r="CZ2726" t="s">
        <v>133</v>
      </c>
      <c r="DA2726">
        <v>275</v>
      </c>
      <c r="DB2726">
        <v>0</v>
      </c>
      <c r="DC2726" t="s">
        <v>134</v>
      </c>
      <c r="DD2726" t="s">
        <v>135</v>
      </c>
      <c r="DG2726">
        <v>3321982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"05/01/2025 15:12:06.786"</f>
        <v>05/01/2025 15:12:06.786</v>
      </c>
      <c r="C2727" t="str">
        <f t="shared" si="1064"/>
        <v>FFDFD3C0</v>
      </c>
      <c r="D2727" t="s">
        <v>124</v>
      </c>
      <c r="E2727" t="str">
        <f>"06"</f>
        <v>06</v>
      </c>
      <c r="F2727">
        <v>2006</v>
      </c>
      <c r="G2727" t="s">
        <v>125</v>
      </c>
      <c r="J2727" t="s">
        <v>126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R2727" t="s">
        <v>127</v>
      </c>
      <c r="S2727" t="str">
        <f t="shared" si="1080"/>
        <v>15:12:06.000</v>
      </c>
      <c r="T2727" t="str">
        <f t="shared" si="1080"/>
        <v>15:12:06.000</v>
      </c>
      <c r="U2727" t="str">
        <f t="shared" si="1066"/>
        <v>A68FCB</v>
      </c>
      <c r="V2727">
        <v>0</v>
      </c>
      <c r="W2727">
        <v>0</v>
      </c>
      <c r="X2727">
        <v>2</v>
      </c>
      <c r="Y2727">
        <v>0</v>
      </c>
      <c r="AA2727">
        <v>1</v>
      </c>
      <c r="AB2727">
        <v>8</v>
      </c>
      <c r="AC2727">
        <v>3</v>
      </c>
      <c r="AD2727">
        <v>0</v>
      </c>
      <c r="AE2727">
        <v>9</v>
      </c>
      <c r="AF2727" t="s">
        <v>138</v>
      </c>
      <c r="AG2727">
        <v>0</v>
      </c>
      <c r="AH2727">
        <v>3</v>
      </c>
      <c r="AI2727">
        <v>2</v>
      </c>
      <c r="AJ2727">
        <v>0</v>
      </c>
      <c r="AK2727" t="s">
        <v>924</v>
      </c>
      <c r="AL2727">
        <v>39.098089000000002</v>
      </c>
      <c r="AM2727" t="s">
        <v>925</v>
      </c>
      <c r="AN2727">
        <v>-121.034274</v>
      </c>
      <c r="AO2727">
        <v>25</v>
      </c>
      <c r="AP2727">
        <v>4400</v>
      </c>
      <c r="AQ2727" t="s">
        <v>131</v>
      </c>
      <c r="AR2727">
        <v>16</v>
      </c>
      <c r="AS2727">
        <v>71</v>
      </c>
      <c r="AT2727">
        <v>-512</v>
      </c>
      <c r="BB2727" t="str">
        <f t="shared" si="1067"/>
        <v>1200</v>
      </c>
      <c r="BC2727">
        <v>1</v>
      </c>
      <c r="BD2727" t="str">
        <f t="shared" si="1068"/>
        <v xml:space="preserve">N52156  </v>
      </c>
      <c r="BE2727">
        <v>1</v>
      </c>
      <c r="BG2727">
        <v>0</v>
      </c>
      <c r="BH2727">
        <v>0</v>
      </c>
      <c r="BI2727">
        <v>0</v>
      </c>
      <c r="BJ2727">
        <v>4500</v>
      </c>
      <c r="BK2727">
        <v>100</v>
      </c>
      <c r="BL2727" t="s">
        <v>188</v>
      </c>
      <c r="BM2727">
        <v>1</v>
      </c>
      <c r="BN2727">
        <v>1</v>
      </c>
      <c r="BO2727">
        <v>0</v>
      </c>
      <c r="BP2727">
        <v>0</v>
      </c>
      <c r="BS2727">
        <v>0</v>
      </c>
      <c r="BT2727">
        <v>0</v>
      </c>
      <c r="BU2727">
        <v>0</v>
      </c>
      <c r="CE2727" t="str">
        <f t="shared" si="1081"/>
        <v>15:12:06.564</v>
      </c>
      <c r="CF2727">
        <v>563975184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5</v>
      </c>
      <c r="CY2727">
        <v>7</v>
      </c>
      <c r="CZ2727" t="s">
        <v>133</v>
      </c>
      <c r="DA2727">
        <v>275</v>
      </c>
      <c r="DB2727">
        <v>0</v>
      </c>
      <c r="DC2727" t="s">
        <v>134</v>
      </c>
      <c r="DD2727" t="s">
        <v>135</v>
      </c>
      <c r="DG2727">
        <v>3321982</v>
      </c>
      <c r="DI2727">
        <v>1</v>
      </c>
      <c r="DJ2727">
        <v>0</v>
      </c>
      <c r="DK2727">
        <v>1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>"05/01/2025 15:12:06.796"</f>
        <v>05/01/2025 15:12:06.796</v>
      </c>
      <c r="C2728" t="str">
        <f t="shared" si="1064"/>
        <v>FFDFD3C0</v>
      </c>
      <c r="D2728" t="s">
        <v>145</v>
      </c>
      <c r="E2728" t="str">
        <f>"09"</f>
        <v>09</v>
      </c>
      <c r="H2728">
        <v>51</v>
      </c>
      <c r="I2728" t="s">
        <v>147</v>
      </c>
      <c r="J2728" t="s">
        <v>138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R2728" t="s">
        <v>127</v>
      </c>
      <c r="S2728" t="str">
        <f t="shared" si="1080"/>
        <v>15:12:06.000</v>
      </c>
      <c r="T2728" t="str">
        <f t="shared" si="1080"/>
        <v>15:12:06.000</v>
      </c>
      <c r="U2728" t="str">
        <f t="shared" si="1066"/>
        <v>A68FCB</v>
      </c>
      <c r="V2728">
        <v>0</v>
      </c>
      <c r="W2728">
        <v>0</v>
      </c>
      <c r="X2728">
        <v>2</v>
      </c>
      <c r="Y2728">
        <v>0</v>
      </c>
      <c r="AA2728">
        <v>1</v>
      </c>
      <c r="AB2728">
        <v>8</v>
      </c>
      <c r="AC2728">
        <v>3</v>
      </c>
      <c r="AD2728">
        <v>0</v>
      </c>
      <c r="AE2728">
        <v>9</v>
      </c>
      <c r="AF2728" t="s">
        <v>138</v>
      </c>
      <c r="AG2728">
        <v>0</v>
      </c>
      <c r="AH2728">
        <v>3</v>
      </c>
      <c r="AI2728">
        <v>2</v>
      </c>
      <c r="AJ2728">
        <v>0</v>
      </c>
      <c r="AK2728" t="s">
        <v>924</v>
      </c>
      <c r="AL2728">
        <v>39.098089000000002</v>
      </c>
      <c r="AM2728" t="s">
        <v>925</v>
      </c>
      <c r="AN2728">
        <v>-121.034274</v>
      </c>
      <c r="AO2728">
        <v>25</v>
      </c>
      <c r="AP2728">
        <v>4400</v>
      </c>
      <c r="AQ2728" t="s">
        <v>131</v>
      </c>
      <c r="AR2728">
        <v>16</v>
      </c>
      <c r="AS2728">
        <v>71</v>
      </c>
      <c r="AT2728">
        <v>-512</v>
      </c>
      <c r="BB2728" t="str">
        <f t="shared" si="1067"/>
        <v>1200</v>
      </c>
      <c r="BC2728">
        <v>1</v>
      </c>
      <c r="BD2728" t="str">
        <f t="shared" si="1068"/>
        <v xml:space="preserve">N52156  </v>
      </c>
      <c r="BE2728">
        <v>1</v>
      </c>
      <c r="BG2728">
        <v>0</v>
      </c>
      <c r="BH2728">
        <v>0</v>
      </c>
      <c r="BI2728">
        <v>0</v>
      </c>
      <c r="BJ2728">
        <v>4500</v>
      </c>
      <c r="BK2728">
        <v>100</v>
      </c>
      <c r="BL2728" t="s">
        <v>188</v>
      </c>
      <c r="BM2728">
        <v>1</v>
      </c>
      <c r="BN2728">
        <v>1</v>
      </c>
      <c r="BO2728">
        <v>0</v>
      </c>
      <c r="BP2728">
        <v>0</v>
      </c>
      <c r="BS2728">
        <v>0</v>
      </c>
      <c r="BT2728">
        <v>0</v>
      </c>
      <c r="BU2728">
        <v>0</v>
      </c>
      <c r="CE2728" t="str">
        <f t="shared" si="1081"/>
        <v>15:12:06.564</v>
      </c>
      <c r="CF2728">
        <v>563975184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5</v>
      </c>
      <c r="CY2728">
        <v>7</v>
      </c>
      <c r="CZ2728" t="s">
        <v>133</v>
      </c>
      <c r="DA2728">
        <v>275</v>
      </c>
      <c r="DB2728">
        <v>0</v>
      </c>
      <c r="DC2728" t="s">
        <v>134</v>
      </c>
      <c r="DD2728" t="s">
        <v>135</v>
      </c>
      <c r="DG2728">
        <v>3321982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>"05/01/2025 15:12:06.796"</f>
        <v>05/01/2025 15:12:06.796</v>
      </c>
      <c r="C2729" t="str">
        <f t="shared" si="1064"/>
        <v>FFDFD3C0</v>
      </c>
      <c r="D2729" t="s">
        <v>145</v>
      </c>
      <c r="E2729" t="str">
        <f>"05"</f>
        <v>05</v>
      </c>
      <c r="H2729">
        <v>47</v>
      </c>
      <c r="I2729" t="s">
        <v>146</v>
      </c>
      <c r="J2729" t="s">
        <v>138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R2729" t="s">
        <v>127</v>
      </c>
      <c r="S2729" t="str">
        <f t="shared" si="1080"/>
        <v>15:12:06.000</v>
      </c>
      <c r="T2729" t="str">
        <f t="shared" si="1080"/>
        <v>15:12:06.000</v>
      </c>
      <c r="U2729" t="str">
        <f t="shared" si="1066"/>
        <v>A68FCB</v>
      </c>
      <c r="V2729">
        <v>0</v>
      </c>
      <c r="W2729">
        <v>0</v>
      </c>
      <c r="X2729">
        <v>2</v>
      </c>
      <c r="Y2729">
        <v>0</v>
      </c>
      <c r="AA2729">
        <v>1</v>
      </c>
      <c r="AB2729">
        <v>8</v>
      </c>
      <c r="AC2729">
        <v>3</v>
      </c>
      <c r="AD2729">
        <v>0</v>
      </c>
      <c r="AE2729">
        <v>9</v>
      </c>
      <c r="AF2729" t="s">
        <v>138</v>
      </c>
      <c r="AG2729">
        <v>0</v>
      </c>
      <c r="AH2729">
        <v>3</v>
      </c>
      <c r="AI2729">
        <v>2</v>
      </c>
      <c r="AJ2729">
        <v>0</v>
      </c>
      <c r="AK2729" t="s">
        <v>924</v>
      </c>
      <c r="AL2729">
        <v>39.098089000000002</v>
      </c>
      <c r="AM2729" t="s">
        <v>925</v>
      </c>
      <c r="AN2729">
        <v>-121.034274</v>
      </c>
      <c r="AO2729">
        <v>25</v>
      </c>
      <c r="AP2729">
        <v>4400</v>
      </c>
      <c r="AQ2729" t="s">
        <v>131</v>
      </c>
      <c r="AR2729">
        <v>16</v>
      </c>
      <c r="AS2729">
        <v>71</v>
      </c>
      <c r="AT2729">
        <v>-512</v>
      </c>
      <c r="BB2729" t="str">
        <f t="shared" si="1067"/>
        <v>1200</v>
      </c>
      <c r="BC2729">
        <v>1</v>
      </c>
      <c r="BD2729" t="str">
        <f t="shared" si="1068"/>
        <v xml:space="preserve">N52156  </v>
      </c>
      <c r="BE2729">
        <v>1</v>
      </c>
      <c r="BG2729">
        <v>0</v>
      </c>
      <c r="BH2729">
        <v>0</v>
      </c>
      <c r="BI2729">
        <v>0</v>
      </c>
      <c r="BJ2729">
        <v>4500</v>
      </c>
      <c r="BK2729">
        <v>100</v>
      </c>
      <c r="BL2729" t="s">
        <v>188</v>
      </c>
      <c r="BM2729">
        <v>1</v>
      </c>
      <c r="BN2729">
        <v>1</v>
      </c>
      <c r="BO2729">
        <v>0</v>
      </c>
      <c r="BP2729">
        <v>0</v>
      </c>
      <c r="BS2729">
        <v>0</v>
      </c>
      <c r="BT2729">
        <v>0</v>
      </c>
      <c r="BU2729">
        <v>0</v>
      </c>
      <c r="CE2729" t="str">
        <f t="shared" si="1081"/>
        <v>15:12:06.564</v>
      </c>
      <c r="CF2729">
        <v>563975184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5</v>
      </c>
      <c r="CY2729">
        <v>7</v>
      </c>
      <c r="CZ2729" t="s">
        <v>133</v>
      </c>
      <c r="DA2729">
        <v>275</v>
      </c>
      <c r="DB2729">
        <v>0</v>
      </c>
      <c r="DC2729" t="s">
        <v>134</v>
      </c>
      <c r="DD2729" t="s">
        <v>135</v>
      </c>
      <c r="DG2729">
        <v>3321982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>"05/01/2025 15:12:06.806"</f>
        <v>05/01/2025 15:12:06.806</v>
      </c>
      <c r="C2730" t="str">
        <f t="shared" si="1064"/>
        <v>FFDFD3C0</v>
      </c>
      <c r="D2730" t="s">
        <v>136</v>
      </c>
      <c r="E2730" t="str">
        <f>"20"</f>
        <v>20</v>
      </c>
      <c r="H2730">
        <v>400</v>
      </c>
      <c r="I2730" t="s">
        <v>137</v>
      </c>
      <c r="J2730" t="s">
        <v>138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R2730" t="s">
        <v>127</v>
      </c>
      <c r="S2730" t="str">
        <f t="shared" si="1080"/>
        <v>15:12:06.000</v>
      </c>
      <c r="T2730" t="str">
        <f t="shared" si="1080"/>
        <v>15:12:06.000</v>
      </c>
      <c r="U2730" t="str">
        <f t="shared" si="1066"/>
        <v>A68FCB</v>
      </c>
      <c r="V2730">
        <v>0</v>
      </c>
      <c r="W2730">
        <v>0</v>
      </c>
      <c r="X2730">
        <v>2</v>
      </c>
      <c r="Y2730">
        <v>0</v>
      </c>
      <c r="AA2730">
        <v>1</v>
      </c>
      <c r="AB2730">
        <v>8</v>
      </c>
      <c r="AC2730">
        <v>3</v>
      </c>
      <c r="AD2730">
        <v>0</v>
      </c>
      <c r="AE2730">
        <v>9</v>
      </c>
      <c r="AF2730" t="s">
        <v>138</v>
      </c>
      <c r="AG2730">
        <v>0</v>
      </c>
      <c r="AH2730">
        <v>3</v>
      </c>
      <c r="AI2730">
        <v>2</v>
      </c>
      <c r="AJ2730">
        <v>0</v>
      </c>
      <c r="AK2730" t="s">
        <v>924</v>
      </c>
      <c r="AL2730">
        <v>39.098089000000002</v>
      </c>
      <c r="AM2730" t="s">
        <v>925</v>
      </c>
      <c r="AN2730">
        <v>-121.034274</v>
      </c>
      <c r="AO2730">
        <v>25</v>
      </c>
      <c r="AP2730">
        <v>4400</v>
      </c>
      <c r="AQ2730" t="s">
        <v>131</v>
      </c>
      <c r="AR2730">
        <v>16</v>
      </c>
      <c r="AS2730">
        <v>71</v>
      </c>
      <c r="AT2730">
        <v>-512</v>
      </c>
      <c r="BB2730" t="str">
        <f t="shared" si="1067"/>
        <v>1200</v>
      </c>
      <c r="BC2730">
        <v>1</v>
      </c>
      <c r="BD2730" t="str">
        <f t="shared" si="1068"/>
        <v xml:space="preserve">N52156  </v>
      </c>
      <c r="BE2730">
        <v>1</v>
      </c>
      <c r="BG2730">
        <v>0</v>
      </c>
      <c r="BH2730">
        <v>0</v>
      </c>
      <c r="BI2730">
        <v>0</v>
      </c>
      <c r="BJ2730">
        <v>4500</v>
      </c>
      <c r="BK2730">
        <v>100</v>
      </c>
      <c r="BL2730" t="s">
        <v>188</v>
      </c>
      <c r="BM2730">
        <v>1</v>
      </c>
      <c r="BN2730">
        <v>1</v>
      </c>
      <c r="BO2730">
        <v>0</v>
      </c>
      <c r="BP2730">
        <v>0</v>
      </c>
      <c r="BS2730">
        <v>0</v>
      </c>
      <c r="BT2730">
        <v>0</v>
      </c>
      <c r="BU2730">
        <v>0</v>
      </c>
      <c r="CE2730" t="str">
        <f t="shared" si="1081"/>
        <v>15:12:06.564</v>
      </c>
      <c r="CF2730">
        <v>563975184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133</v>
      </c>
      <c r="DA2730">
        <v>275</v>
      </c>
      <c r="DB2730">
        <v>0</v>
      </c>
      <c r="DC2730" t="s">
        <v>134</v>
      </c>
      <c r="DD2730" t="s">
        <v>135</v>
      </c>
      <c r="DG2730">
        <v>3321982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>"05/01/2025 15:12:06.812"</f>
        <v>05/01/2025 15:12:06.812</v>
      </c>
      <c r="C2731" t="str">
        <f t="shared" si="1064"/>
        <v>FFDFD3C0</v>
      </c>
      <c r="D2731" t="s">
        <v>143</v>
      </c>
      <c r="E2731" t="str">
        <f>"05"</f>
        <v>05</v>
      </c>
      <c r="H2731">
        <v>172</v>
      </c>
      <c r="I2731" t="s">
        <v>141</v>
      </c>
      <c r="J2731" t="s">
        <v>144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R2731" t="s">
        <v>127</v>
      </c>
      <c r="S2731" t="str">
        <f t="shared" si="1080"/>
        <v>15:12:06.000</v>
      </c>
      <c r="T2731" t="str">
        <f t="shared" si="1080"/>
        <v>15:12:06.000</v>
      </c>
      <c r="U2731" t="str">
        <f t="shared" si="1066"/>
        <v>A68FCB</v>
      </c>
      <c r="V2731">
        <v>0</v>
      </c>
      <c r="W2731">
        <v>0</v>
      </c>
      <c r="X2731">
        <v>2</v>
      </c>
      <c r="Y2731">
        <v>0</v>
      </c>
      <c r="AA2731">
        <v>1</v>
      </c>
      <c r="AB2731">
        <v>8</v>
      </c>
      <c r="AC2731">
        <v>3</v>
      </c>
      <c r="AD2731">
        <v>0</v>
      </c>
      <c r="AE2731">
        <v>9</v>
      </c>
      <c r="AF2731" t="s">
        <v>138</v>
      </c>
      <c r="AG2731">
        <v>0</v>
      </c>
      <c r="AH2731">
        <v>3</v>
      </c>
      <c r="AI2731">
        <v>2</v>
      </c>
      <c r="AJ2731">
        <v>0</v>
      </c>
      <c r="AK2731" t="s">
        <v>924</v>
      </c>
      <c r="AL2731">
        <v>39.098089000000002</v>
      </c>
      <c r="AM2731" t="s">
        <v>925</v>
      </c>
      <c r="AN2731">
        <v>-121.034274</v>
      </c>
      <c r="AO2731">
        <v>25</v>
      </c>
      <c r="AP2731">
        <v>4400</v>
      </c>
      <c r="AQ2731" t="s">
        <v>131</v>
      </c>
      <c r="AR2731">
        <v>16</v>
      </c>
      <c r="AS2731">
        <v>71</v>
      </c>
      <c r="AT2731">
        <v>-512</v>
      </c>
      <c r="BB2731" t="str">
        <f t="shared" si="1067"/>
        <v>1200</v>
      </c>
      <c r="BC2731">
        <v>1</v>
      </c>
      <c r="BD2731" t="str">
        <f t="shared" si="1068"/>
        <v xml:space="preserve">N52156  </v>
      </c>
      <c r="BE2731">
        <v>1</v>
      </c>
      <c r="BG2731">
        <v>0</v>
      </c>
      <c r="BH2731">
        <v>0</v>
      </c>
      <c r="BI2731">
        <v>0</v>
      </c>
      <c r="BJ2731">
        <v>4500</v>
      </c>
      <c r="BK2731">
        <v>100</v>
      </c>
      <c r="BL2731" t="s">
        <v>188</v>
      </c>
      <c r="BM2731">
        <v>1</v>
      </c>
      <c r="BN2731">
        <v>1</v>
      </c>
      <c r="BO2731">
        <v>0</v>
      </c>
      <c r="BP2731">
        <v>0</v>
      </c>
      <c r="BS2731">
        <v>0</v>
      </c>
      <c r="BT2731">
        <v>0</v>
      </c>
      <c r="BU2731">
        <v>0</v>
      </c>
      <c r="CE2731" t="str">
        <f t="shared" si="1081"/>
        <v>15:12:06.564</v>
      </c>
      <c r="CF2731">
        <v>563975184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5</v>
      </c>
      <c r="CY2731">
        <v>7</v>
      </c>
      <c r="CZ2731" t="s">
        <v>133</v>
      </c>
      <c r="DA2731">
        <v>275</v>
      </c>
      <c r="DB2731">
        <v>0</v>
      </c>
      <c r="DC2731" t="s">
        <v>134</v>
      </c>
      <c r="DD2731" t="s">
        <v>135</v>
      </c>
      <c r="DG2731">
        <v>3321982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>"05/01/2025 15:12:07.682"</f>
        <v>05/01/2025 15:12:07.682</v>
      </c>
      <c r="C2732" t="str">
        <f t="shared" si="1064"/>
        <v>FFDFD3C0</v>
      </c>
      <c r="D2732" t="s">
        <v>140</v>
      </c>
      <c r="E2732" t="str">
        <f>"13"</f>
        <v>13</v>
      </c>
      <c r="F2732">
        <v>1019</v>
      </c>
      <c r="G2732" t="s">
        <v>141</v>
      </c>
      <c r="J2732" t="s">
        <v>142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R2732" t="s">
        <v>127</v>
      </c>
      <c r="S2732" t="str">
        <f t="shared" ref="S2732:T2737" si="1082">"15:12:07.000"</f>
        <v>15:12:07.000</v>
      </c>
      <c r="T2732" t="str">
        <f t="shared" si="1082"/>
        <v>15:12:07.000</v>
      </c>
      <c r="U2732" t="str">
        <f t="shared" si="1066"/>
        <v>A68FCB</v>
      </c>
      <c r="V2732">
        <v>0</v>
      </c>
      <c r="W2732">
        <v>0</v>
      </c>
      <c r="X2732">
        <v>2</v>
      </c>
      <c r="Y2732">
        <v>0</v>
      </c>
      <c r="AA2732">
        <v>1</v>
      </c>
      <c r="AB2732">
        <v>8</v>
      </c>
      <c r="AC2732">
        <v>3</v>
      </c>
      <c r="AD2732">
        <v>0</v>
      </c>
      <c r="AE2732">
        <v>9</v>
      </c>
      <c r="AF2732" t="s">
        <v>138</v>
      </c>
      <c r="AG2732">
        <v>0</v>
      </c>
      <c r="AH2732">
        <v>3</v>
      </c>
      <c r="AI2732">
        <v>2</v>
      </c>
      <c r="AJ2732">
        <v>0</v>
      </c>
      <c r="AK2732" t="s">
        <v>926</v>
      </c>
      <c r="AL2732">
        <v>39.098410999999999</v>
      </c>
      <c r="AM2732" t="s">
        <v>927</v>
      </c>
      <c r="AN2732">
        <v>-121.034167</v>
      </c>
      <c r="AO2732">
        <v>25</v>
      </c>
      <c r="AP2732">
        <v>4400</v>
      </c>
      <c r="AQ2732" t="s">
        <v>131</v>
      </c>
      <c r="AR2732">
        <v>16</v>
      </c>
      <c r="AS2732">
        <v>72</v>
      </c>
      <c r="AT2732">
        <v>-512</v>
      </c>
      <c r="BB2732" t="str">
        <f t="shared" si="1067"/>
        <v>1200</v>
      </c>
      <c r="BC2732">
        <v>1</v>
      </c>
      <c r="BD2732" t="str">
        <f t="shared" si="1068"/>
        <v xml:space="preserve">N52156  </v>
      </c>
      <c r="BE2732">
        <v>1</v>
      </c>
      <c r="BG2732">
        <v>0</v>
      </c>
      <c r="BH2732">
        <v>0</v>
      </c>
      <c r="BI2732">
        <v>0</v>
      </c>
      <c r="BJ2732">
        <v>4475</v>
      </c>
      <c r="BK2732">
        <v>75</v>
      </c>
      <c r="BL2732" t="s">
        <v>188</v>
      </c>
      <c r="BM2732">
        <v>1</v>
      </c>
      <c r="BN2732">
        <v>1</v>
      </c>
      <c r="BO2732">
        <v>0</v>
      </c>
      <c r="BP2732">
        <v>0</v>
      </c>
      <c r="BS2732">
        <v>0</v>
      </c>
      <c r="BT2732">
        <v>0</v>
      </c>
      <c r="BU2732">
        <v>0</v>
      </c>
      <c r="CE2732" t="str">
        <f t="shared" ref="CE2732:CE2737" si="1083">"15:12:07.486"</f>
        <v>15:12:07.486</v>
      </c>
      <c r="CF2732">
        <v>485725074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133</v>
      </c>
      <c r="DA2732">
        <v>275</v>
      </c>
      <c r="DB2732">
        <v>0</v>
      </c>
      <c r="DC2732" t="s">
        <v>134</v>
      </c>
      <c r="DD2732" t="s">
        <v>135</v>
      </c>
      <c r="DG2732">
        <v>3321989</v>
      </c>
      <c r="DI2732">
        <v>1</v>
      </c>
      <c r="DJ2732">
        <v>0</v>
      </c>
      <c r="DK2732">
        <v>0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>"05/01/2025 15:12:07.688"</f>
        <v>05/01/2025 15:12:07.688</v>
      </c>
      <c r="C2733" t="str">
        <f t="shared" si="1064"/>
        <v>FFDFD3C0</v>
      </c>
      <c r="D2733" t="s">
        <v>124</v>
      </c>
      <c r="E2733" t="str">
        <f>"06"</f>
        <v>06</v>
      </c>
      <c r="F2733">
        <v>2006</v>
      </c>
      <c r="G2733" t="s">
        <v>125</v>
      </c>
      <c r="J2733" t="s">
        <v>126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R2733" t="s">
        <v>127</v>
      </c>
      <c r="S2733" t="str">
        <f t="shared" si="1082"/>
        <v>15:12:07.000</v>
      </c>
      <c r="T2733" t="str">
        <f t="shared" si="1082"/>
        <v>15:12:07.000</v>
      </c>
      <c r="U2733" t="str">
        <f t="shared" si="1066"/>
        <v>A68FCB</v>
      </c>
      <c r="V2733">
        <v>0</v>
      </c>
      <c r="W2733">
        <v>0</v>
      </c>
      <c r="X2733">
        <v>2</v>
      </c>
      <c r="Y2733">
        <v>0</v>
      </c>
      <c r="AA2733">
        <v>1</v>
      </c>
      <c r="AB2733">
        <v>8</v>
      </c>
      <c r="AC2733">
        <v>3</v>
      </c>
      <c r="AD2733">
        <v>0</v>
      </c>
      <c r="AE2733">
        <v>9</v>
      </c>
      <c r="AF2733" t="s">
        <v>138</v>
      </c>
      <c r="AG2733">
        <v>0</v>
      </c>
      <c r="AH2733">
        <v>3</v>
      </c>
      <c r="AI2733">
        <v>2</v>
      </c>
      <c r="AJ2733">
        <v>0</v>
      </c>
      <c r="AK2733" t="s">
        <v>926</v>
      </c>
      <c r="AL2733">
        <v>39.098410999999999</v>
      </c>
      <c r="AM2733" t="s">
        <v>927</v>
      </c>
      <c r="AN2733">
        <v>-121.034167</v>
      </c>
      <c r="AO2733">
        <v>25</v>
      </c>
      <c r="AP2733">
        <v>4400</v>
      </c>
      <c r="AQ2733" t="s">
        <v>131</v>
      </c>
      <c r="AR2733">
        <v>16</v>
      </c>
      <c r="AS2733">
        <v>72</v>
      </c>
      <c r="AT2733">
        <v>-512</v>
      </c>
      <c r="BB2733" t="str">
        <f t="shared" si="1067"/>
        <v>1200</v>
      </c>
      <c r="BC2733">
        <v>1</v>
      </c>
      <c r="BD2733" t="str">
        <f t="shared" si="1068"/>
        <v xml:space="preserve">N52156  </v>
      </c>
      <c r="BE2733">
        <v>1</v>
      </c>
      <c r="BG2733">
        <v>0</v>
      </c>
      <c r="BH2733">
        <v>0</v>
      </c>
      <c r="BI2733">
        <v>0</v>
      </c>
      <c r="BJ2733">
        <v>4475</v>
      </c>
      <c r="BK2733">
        <v>75</v>
      </c>
      <c r="BL2733" t="s">
        <v>188</v>
      </c>
      <c r="BM2733">
        <v>1</v>
      </c>
      <c r="BN2733">
        <v>1</v>
      </c>
      <c r="BO2733">
        <v>0</v>
      </c>
      <c r="BP2733">
        <v>0</v>
      </c>
      <c r="BS2733">
        <v>0</v>
      </c>
      <c r="BT2733">
        <v>0</v>
      </c>
      <c r="BU2733">
        <v>0</v>
      </c>
      <c r="CE2733" t="str">
        <f t="shared" si="1083"/>
        <v>15:12:07.486</v>
      </c>
      <c r="CF2733">
        <v>485725074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5</v>
      </c>
      <c r="CY2733">
        <v>7</v>
      </c>
      <c r="CZ2733" t="s">
        <v>133</v>
      </c>
      <c r="DA2733">
        <v>275</v>
      </c>
      <c r="DB2733">
        <v>0</v>
      </c>
      <c r="DC2733" t="s">
        <v>134</v>
      </c>
      <c r="DD2733" t="s">
        <v>135</v>
      </c>
      <c r="DG2733">
        <v>3321989</v>
      </c>
      <c r="DI2733">
        <v>1</v>
      </c>
      <c r="DJ2733">
        <v>0</v>
      </c>
      <c r="DK2733">
        <v>1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"05/01/2025 15:12:07.697"</f>
        <v>05/01/2025 15:12:07.697</v>
      </c>
      <c r="C2734" t="str">
        <f t="shared" si="1064"/>
        <v>FFDFD3C0</v>
      </c>
      <c r="D2734" t="s">
        <v>145</v>
      </c>
      <c r="E2734" t="str">
        <f>"05"</f>
        <v>05</v>
      </c>
      <c r="H2734">
        <v>47</v>
      </c>
      <c r="I2734" t="s">
        <v>146</v>
      </c>
      <c r="J2734" t="s">
        <v>138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R2734" t="s">
        <v>127</v>
      </c>
      <c r="S2734" t="str">
        <f t="shared" si="1082"/>
        <v>15:12:07.000</v>
      </c>
      <c r="T2734" t="str">
        <f t="shared" si="1082"/>
        <v>15:12:07.000</v>
      </c>
      <c r="U2734" t="str">
        <f t="shared" si="1066"/>
        <v>A68FCB</v>
      </c>
      <c r="V2734">
        <v>0</v>
      </c>
      <c r="W2734">
        <v>0</v>
      </c>
      <c r="X2734">
        <v>2</v>
      </c>
      <c r="Y2734">
        <v>0</v>
      </c>
      <c r="AA2734">
        <v>1</v>
      </c>
      <c r="AB2734">
        <v>8</v>
      </c>
      <c r="AC2734">
        <v>3</v>
      </c>
      <c r="AD2734">
        <v>0</v>
      </c>
      <c r="AE2734">
        <v>9</v>
      </c>
      <c r="AF2734" t="s">
        <v>138</v>
      </c>
      <c r="AG2734">
        <v>0</v>
      </c>
      <c r="AH2734">
        <v>3</v>
      </c>
      <c r="AI2734">
        <v>2</v>
      </c>
      <c r="AJ2734">
        <v>0</v>
      </c>
      <c r="AK2734" t="s">
        <v>926</v>
      </c>
      <c r="AL2734">
        <v>39.098410999999999</v>
      </c>
      <c r="AM2734" t="s">
        <v>927</v>
      </c>
      <c r="AN2734">
        <v>-121.034167</v>
      </c>
      <c r="AO2734">
        <v>25</v>
      </c>
      <c r="AP2734">
        <v>4400</v>
      </c>
      <c r="AQ2734" t="s">
        <v>131</v>
      </c>
      <c r="AR2734">
        <v>16</v>
      </c>
      <c r="AS2734">
        <v>72</v>
      </c>
      <c r="AT2734">
        <v>-512</v>
      </c>
      <c r="BB2734" t="str">
        <f t="shared" si="1067"/>
        <v>1200</v>
      </c>
      <c r="BC2734">
        <v>1</v>
      </c>
      <c r="BD2734" t="str">
        <f t="shared" si="1068"/>
        <v xml:space="preserve">N52156  </v>
      </c>
      <c r="BE2734">
        <v>1</v>
      </c>
      <c r="BG2734">
        <v>0</v>
      </c>
      <c r="BH2734">
        <v>0</v>
      </c>
      <c r="BI2734">
        <v>0</v>
      </c>
      <c r="BJ2734">
        <v>4475</v>
      </c>
      <c r="BK2734">
        <v>75</v>
      </c>
      <c r="BL2734" t="s">
        <v>188</v>
      </c>
      <c r="BM2734">
        <v>1</v>
      </c>
      <c r="BN2734">
        <v>1</v>
      </c>
      <c r="BO2734">
        <v>0</v>
      </c>
      <c r="BP2734">
        <v>0</v>
      </c>
      <c r="BS2734">
        <v>0</v>
      </c>
      <c r="BT2734">
        <v>0</v>
      </c>
      <c r="BU2734">
        <v>0</v>
      </c>
      <c r="CE2734" t="str">
        <f t="shared" si="1083"/>
        <v>15:12:07.486</v>
      </c>
      <c r="CF2734">
        <v>485725074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5</v>
      </c>
      <c r="CY2734">
        <v>7</v>
      </c>
      <c r="CZ2734" t="s">
        <v>133</v>
      </c>
      <c r="DA2734">
        <v>275</v>
      </c>
      <c r="DB2734">
        <v>0</v>
      </c>
      <c r="DC2734" t="s">
        <v>134</v>
      </c>
      <c r="DD2734" t="s">
        <v>135</v>
      </c>
      <c r="DG2734">
        <v>3321989</v>
      </c>
      <c r="DI2734">
        <v>1</v>
      </c>
      <c r="DJ2734">
        <v>0</v>
      </c>
      <c r="DK2734">
        <v>1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"05/01/2025 15:12:07.698"</f>
        <v>05/01/2025 15:12:07.698</v>
      </c>
      <c r="C2735" t="str">
        <f t="shared" si="1064"/>
        <v>FFDFD3C0</v>
      </c>
      <c r="D2735" t="s">
        <v>145</v>
      </c>
      <c r="E2735" t="str">
        <f>"09"</f>
        <v>09</v>
      </c>
      <c r="H2735">
        <v>51</v>
      </c>
      <c r="I2735" t="s">
        <v>147</v>
      </c>
      <c r="J2735" t="s">
        <v>138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R2735" t="s">
        <v>127</v>
      </c>
      <c r="S2735" t="str">
        <f t="shared" si="1082"/>
        <v>15:12:07.000</v>
      </c>
      <c r="T2735" t="str">
        <f t="shared" si="1082"/>
        <v>15:12:07.000</v>
      </c>
      <c r="U2735" t="str">
        <f t="shared" si="1066"/>
        <v>A68FCB</v>
      </c>
      <c r="V2735">
        <v>0</v>
      </c>
      <c r="W2735">
        <v>0</v>
      </c>
      <c r="X2735">
        <v>2</v>
      </c>
      <c r="Y2735">
        <v>0</v>
      </c>
      <c r="AA2735">
        <v>1</v>
      </c>
      <c r="AB2735">
        <v>8</v>
      </c>
      <c r="AC2735">
        <v>3</v>
      </c>
      <c r="AD2735">
        <v>0</v>
      </c>
      <c r="AE2735">
        <v>9</v>
      </c>
      <c r="AF2735" t="s">
        <v>138</v>
      </c>
      <c r="AG2735">
        <v>0</v>
      </c>
      <c r="AH2735">
        <v>3</v>
      </c>
      <c r="AI2735">
        <v>2</v>
      </c>
      <c r="AJ2735">
        <v>0</v>
      </c>
      <c r="AK2735" t="s">
        <v>926</v>
      </c>
      <c r="AL2735">
        <v>39.098410999999999</v>
      </c>
      <c r="AM2735" t="s">
        <v>927</v>
      </c>
      <c r="AN2735">
        <v>-121.034167</v>
      </c>
      <c r="AO2735">
        <v>25</v>
      </c>
      <c r="AP2735">
        <v>4400</v>
      </c>
      <c r="AQ2735" t="s">
        <v>131</v>
      </c>
      <c r="AR2735">
        <v>16</v>
      </c>
      <c r="AS2735">
        <v>72</v>
      </c>
      <c r="AT2735">
        <v>-512</v>
      </c>
      <c r="BB2735" t="str">
        <f t="shared" si="1067"/>
        <v>1200</v>
      </c>
      <c r="BC2735">
        <v>1</v>
      </c>
      <c r="BD2735" t="str">
        <f t="shared" si="1068"/>
        <v xml:space="preserve">N52156  </v>
      </c>
      <c r="BE2735">
        <v>1</v>
      </c>
      <c r="BG2735">
        <v>0</v>
      </c>
      <c r="BH2735">
        <v>0</v>
      </c>
      <c r="BI2735">
        <v>0</v>
      </c>
      <c r="BJ2735">
        <v>4475</v>
      </c>
      <c r="BK2735">
        <v>75</v>
      </c>
      <c r="BL2735" t="s">
        <v>188</v>
      </c>
      <c r="BM2735">
        <v>1</v>
      </c>
      <c r="BN2735">
        <v>1</v>
      </c>
      <c r="BO2735">
        <v>0</v>
      </c>
      <c r="BP2735">
        <v>0</v>
      </c>
      <c r="BS2735">
        <v>0</v>
      </c>
      <c r="BT2735">
        <v>0</v>
      </c>
      <c r="BU2735">
        <v>0</v>
      </c>
      <c r="CE2735" t="str">
        <f t="shared" si="1083"/>
        <v>15:12:07.486</v>
      </c>
      <c r="CF2735">
        <v>485725074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5</v>
      </c>
      <c r="CY2735">
        <v>7</v>
      </c>
      <c r="CZ2735" t="s">
        <v>133</v>
      </c>
      <c r="DA2735">
        <v>275</v>
      </c>
      <c r="DB2735">
        <v>0</v>
      </c>
      <c r="DC2735" t="s">
        <v>134</v>
      </c>
      <c r="DD2735" t="s">
        <v>135</v>
      </c>
      <c r="DG2735">
        <v>3321989</v>
      </c>
      <c r="DI2735">
        <v>1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"05/01/2025 15:12:07.708"</f>
        <v>05/01/2025 15:12:07.708</v>
      </c>
      <c r="C2736" t="str">
        <f t="shared" si="1064"/>
        <v>FFDFD3C0</v>
      </c>
      <c r="D2736" t="s">
        <v>136</v>
      </c>
      <c r="E2736" t="str">
        <f>"20"</f>
        <v>20</v>
      </c>
      <c r="H2736">
        <v>400</v>
      </c>
      <c r="I2736" t="s">
        <v>137</v>
      </c>
      <c r="J2736" t="s">
        <v>138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R2736" t="s">
        <v>127</v>
      </c>
      <c r="S2736" t="str">
        <f t="shared" si="1082"/>
        <v>15:12:07.000</v>
      </c>
      <c r="T2736" t="str">
        <f t="shared" si="1082"/>
        <v>15:12:07.000</v>
      </c>
      <c r="U2736" t="str">
        <f t="shared" si="1066"/>
        <v>A68FCB</v>
      </c>
      <c r="V2736">
        <v>0</v>
      </c>
      <c r="W2736">
        <v>0</v>
      </c>
      <c r="X2736">
        <v>2</v>
      </c>
      <c r="Y2736">
        <v>0</v>
      </c>
      <c r="AA2736">
        <v>1</v>
      </c>
      <c r="AB2736">
        <v>8</v>
      </c>
      <c r="AC2736">
        <v>3</v>
      </c>
      <c r="AD2736">
        <v>0</v>
      </c>
      <c r="AE2736">
        <v>9</v>
      </c>
      <c r="AF2736" t="s">
        <v>138</v>
      </c>
      <c r="AG2736">
        <v>0</v>
      </c>
      <c r="AH2736">
        <v>3</v>
      </c>
      <c r="AI2736">
        <v>2</v>
      </c>
      <c r="AJ2736">
        <v>0</v>
      </c>
      <c r="AK2736" t="s">
        <v>926</v>
      </c>
      <c r="AL2736">
        <v>39.098410999999999</v>
      </c>
      <c r="AM2736" t="s">
        <v>927</v>
      </c>
      <c r="AN2736">
        <v>-121.034167</v>
      </c>
      <c r="AO2736">
        <v>25</v>
      </c>
      <c r="AP2736">
        <v>4400</v>
      </c>
      <c r="AQ2736" t="s">
        <v>131</v>
      </c>
      <c r="AR2736">
        <v>16</v>
      </c>
      <c r="AS2736">
        <v>72</v>
      </c>
      <c r="AT2736">
        <v>-512</v>
      </c>
      <c r="BB2736" t="str">
        <f t="shared" si="1067"/>
        <v>1200</v>
      </c>
      <c r="BC2736">
        <v>1</v>
      </c>
      <c r="BD2736" t="str">
        <f t="shared" si="1068"/>
        <v xml:space="preserve">N52156  </v>
      </c>
      <c r="BE2736">
        <v>1</v>
      </c>
      <c r="BG2736">
        <v>0</v>
      </c>
      <c r="BH2736">
        <v>0</v>
      </c>
      <c r="BI2736">
        <v>0</v>
      </c>
      <c r="BJ2736">
        <v>4475</v>
      </c>
      <c r="BK2736">
        <v>75</v>
      </c>
      <c r="BL2736" t="s">
        <v>188</v>
      </c>
      <c r="BM2736">
        <v>1</v>
      </c>
      <c r="BN2736">
        <v>1</v>
      </c>
      <c r="BO2736">
        <v>0</v>
      </c>
      <c r="BP2736">
        <v>0</v>
      </c>
      <c r="BS2736">
        <v>0</v>
      </c>
      <c r="BT2736">
        <v>0</v>
      </c>
      <c r="BU2736">
        <v>0</v>
      </c>
      <c r="CE2736" t="str">
        <f t="shared" si="1083"/>
        <v>15:12:07.486</v>
      </c>
      <c r="CF2736">
        <v>485725074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5</v>
      </c>
      <c r="CY2736">
        <v>7</v>
      </c>
      <c r="CZ2736" t="s">
        <v>133</v>
      </c>
      <c r="DA2736">
        <v>275</v>
      </c>
      <c r="DB2736">
        <v>0</v>
      </c>
      <c r="DC2736" t="s">
        <v>134</v>
      </c>
      <c r="DD2736" t="s">
        <v>135</v>
      </c>
      <c r="DG2736">
        <v>3321989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"05/01/2025 15:12:07.714"</f>
        <v>05/01/2025 15:12:07.714</v>
      </c>
      <c r="C2737" t="str">
        <f t="shared" si="1064"/>
        <v>FFDFD3C0</v>
      </c>
      <c r="D2737" t="s">
        <v>143</v>
      </c>
      <c r="E2737" t="str">
        <f>"05"</f>
        <v>05</v>
      </c>
      <c r="H2737">
        <v>172</v>
      </c>
      <c r="I2737" t="s">
        <v>141</v>
      </c>
      <c r="J2737" t="s">
        <v>144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R2737" t="s">
        <v>127</v>
      </c>
      <c r="S2737" t="str">
        <f t="shared" si="1082"/>
        <v>15:12:07.000</v>
      </c>
      <c r="T2737" t="str">
        <f t="shared" si="1082"/>
        <v>15:12:07.000</v>
      </c>
      <c r="U2737" t="str">
        <f t="shared" si="1066"/>
        <v>A68FCB</v>
      </c>
      <c r="V2737">
        <v>0</v>
      </c>
      <c r="W2737">
        <v>0</v>
      </c>
      <c r="X2737">
        <v>2</v>
      </c>
      <c r="Y2737">
        <v>0</v>
      </c>
      <c r="AA2737">
        <v>1</v>
      </c>
      <c r="AB2737">
        <v>8</v>
      </c>
      <c r="AC2737">
        <v>3</v>
      </c>
      <c r="AD2737">
        <v>0</v>
      </c>
      <c r="AE2737">
        <v>9</v>
      </c>
      <c r="AF2737" t="s">
        <v>138</v>
      </c>
      <c r="AG2737">
        <v>0</v>
      </c>
      <c r="AH2737">
        <v>3</v>
      </c>
      <c r="AI2737">
        <v>2</v>
      </c>
      <c r="AJ2737">
        <v>0</v>
      </c>
      <c r="AK2737" t="s">
        <v>926</v>
      </c>
      <c r="AL2737">
        <v>39.098410999999999</v>
      </c>
      <c r="AM2737" t="s">
        <v>927</v>
      </c>
      <c r="AN2737">
        <v>-121.034167</v>
      </c>
      <c r="AO2737">
        <v>25</v>
      </c>
      <c r="AP2737">
        <v>4400</v>
      </c>
      <c r="AQ2737" t="s">
        <v>131</v>
      </c>
      <c r="AR2737">
        <v>16</v>
      </c>
      <c r="AS2737">
        <v>72</v>
      </c>
      <c r="AT2737">
        <v>-512</v>
      </c>
      <c r="BB2737" t="str">
        <f t="shared" si="1067"/>
        <v>1200</v>
      </c>
      <c r="BC2737">
        <v>1</v>
      </c>
      <c r="BD2737" t="str">
        <f t="shared" si="1068"/>
        <v xml:space="preserve">N52156  </v>
      </c>
      <c r="BE2737">
        <v>1</v>
      </c>
      <c r="BG2737">
        <v>0</v>
      </c>
      <c r="BH2737">
        <v>0</v>
      </c>
      <c r="BI2737">
        <v>0</v>
      </c>
      <c r="BJ2737">
        <v>4475</v>
      </c>
      <c r="BK2737">
        <v>75</v>
      </c>
      <c r="BL2737" t="s">
        <v>188</v>
      </c>
      <c r="BM2737">
        <v>1</v>
      </c>
      <c r="BN2737">
        <v>1</v>
      </c>
      <c r="BO2737">
        <v>0</v>
      </c>
      <c r="BP2737">
        <v>0</v>
      </c>
      <c r="BS2737">
        <v>0</v>
      </c>
      <c r="BT2737">
        <v>0</v>
      </c>
      <c r="BU2737">
        <v>0</v>
      </c>
      <c r="CE2737" t="str">
        <f t="shared" si="1083"/>
        <v>15:12:07.486</v>
      </c>
      <c r="CF2737">
        <v>485725074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5</v>
      </c>
      <c r="CY2737">
        <v>7</v>
      </c>
      <c r="CZ2737" t="s">
        <v>133</v>
      </c>
      <c r="DA2737">
        <v>275</v>
      </c>
      <c r="DB2737">
        <v>0</v>
      </c>
      <c r="DC2737" t="s">
        <v>134</v>
      </c>
      <c r="DD2737" t="s">
        <v>135</v>
      </c>
      <c r="DG2737">
        <v>3321989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"05/01/2025 15:12:09.161"</f>
        <v>05/01/2025 15:12:09.161</v>
      </c>
      <c r="C2738" t="str">
        <f t="shared" si="1064"/>
        <v>FFDFD3C0</v>
      </c>
      <c r="D2738" t="s">
        <v>136</v>
      </c>
      <c r="E2738" t="str">
        <f>"20"</f>
        <v>20</v>
      </c>
      <c r="H2738">
        <v>400</v>
      </c>
      <c r="I2738" t="s">
        <v>137</v>
      </c>
      <c r="J2738" t="s">
        <v>138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R2738" t="s">
        <v>127</v>
      </c>
      <c r="S2738" t="str">
        <f t="shared" ref="S2738:T2743" si="1084">"15:12:08.000"</f>
        <v>15:12:08.000</v>
      </c>
      <c r="T2738" t="str">
        <f t="shared" si="1084"/>
        <v>15:12:08.000</v>
      </c>
      <c r="U2738" t="str">
        <f t="shared" si="1066"/>
        <v>A68FCB</v>
      </c>
      <c r="V2738">
        <v>0</v>
      </c>
      <c r="W2738">
        <v>0</v>
      </c>
      <c r="X2738">
        <v>2</v>
      </c>
      <c r="Y2738">
        <v>0</v>
      </c>
      <c r="AA2738">
        <v>1</v>
      </c>
      <c r="AB2738">
        <v>8</v>
      </c>
      <c r="AC2738">
        <v>3</v>
      </c>
      <c r="AD2738">
        <v>0</v>
      </c>
      <c r="AE2738">
        <v>9</v>
      </c>
      <c r="AF2738" t="s">
        <v>138</v>
      </c>
      <c r="AG2738">
        <v>0</v>
      </c>
      <c r="AH2738">
        <v>3</v>
      </c>
      <c r="AI2738">
        <v>2</v>
      </c>
      <c r="AJ2738">
        <v>0</v>
      </c>
      <c r="AK2738" t="s">
        <v>928</v>
      </c>
      <c r="AL2738">
        <v>39.098754</v>
      </c>
      <c r="AM2738" t="s">
        <v>929</v>
      </c>
      <c r="AN2738">
        <v>-121.034081</v>
      </c>
      <c r="AO2738">
        <v>25</v>
      </c>
      <c r="AP2738">
        <v>4400</v>
      </c>
      <c r="AQ2738" t="s">
        <v>131</v>
      </c>
      <c r="AR2738">
        <v>15</v>
      </c>
      <c r="AS2738">
        <v>75</v>
      </c>
      <c r="AT2738">
        <v>-512</v>
      </c>
      <c r="BB2738" t="str">
        <f t="shared" si="1067"/>
        <v>1200</v>
      </c>
      <c r="BC2738">
        <v>1</v>
      </c>
      <c r="BD2738" t="str">
        <f t="shared" si="1068"/>
        <v xml:space="preserve">N52156  </v>
      </c>
      <c r="BE2738">
        <v>1</v>
      </c>
      <c r="BG2738">
        <v>0</v>
      </c>
      <c r="BH2738">
        <v>0</v>
      </c>
      <c r="BI2738">
        <v>0</v>
      </c>
      <c r="BJ2738">
        <v>4475</v>
      </c>
      <c r="BK2738">
        <v>75</v>
      </c>
      <c r="BL2738" t="s">
        <v>188</v>
      </c>
      <c r="BM2738">
        <v>1</v>
      </c>
      <c r="BN2738">
        <v>1</v>
      </c>
      <c r="BO2738">
        <v>0</v>
      </c>
      <c r="BP2738">
        <v>0</v>
      </c>
      <c r="BS2738">
        <v>0</v>
      </c>
      <c r="BT2738">
        <v>0</v>
      </c>
      <c r="BU2738">
        <v>0</v>
      </c>
      <c r="CE2738" t="str">
        <f t="shared" ref="CE2738:CE2743" si="1085">"15:12:08.963"</f>
        <v>15:12:08.963</v>
      </c>
      <c r="CF2738">
        <v>963226336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5</v>
      </c>
      <c r="CY2738">
        <v>7</v>
      </c>
      <c r="CZ2738" t="s">
        <v>133</v>
      </c>
      <c r="DA2738">
        <v>275</v>
      </c>
      <c r="DB2738">
        <v>0</v>
      </c>
      <c r="DC2738" t="s">
        <v>134</v>
      </c>
      <c r="DD2738" t="s">
        <v>135</v>
      </c>
      <c r="DG2738">
        <v>3321997</v>
      </c>
      <c r="DI2738">
        <v>1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"05/01/2025 15:12:09.167"</f>
        <v>05/01/2025 15:12:09.167</v>
      </c>
      <c r="C2739" t="str">
        <f t="shared" si="1064"/>
        <v>FFDFD3C0</v>
      </c>
      <c r="D2739" t="s">
        <v>143</v>
      </c>
      <c r="E2739" t="str">
        <f>"05"</f>
        <v>05</v>
      </c>
      <c r="H2739">
        <v>172</v>
      </c>
      <c r="I2739" t="s">
        <v>141</v>
      </c>
      <c r="J2739" t="s">
        <v>144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R2739" t="s">
        <v>127</v>
      </c>
      <c r="S2739" t="str">
        <f t="shared" si="1084"/>
        <v>15:12:08.000</v>
      </c>
      <c r="T2739" t="str">
        <f t="shared" si="1084"/>
        <v>15:12:08.000</v>
      </c>
      <c r="U2739" t="str">
        <f t="shared" si="1066"/>
        <v>A68FCB</v>
      </c>
      <c r="V2739">
        <v>0</v>
      </c>
      <c r="W2739">
        <v>0</v>
      </c>
      <c r="X2739">
        <v>2</v>
      </c>
      <c r="Y2739">
        <v>0</v>
      </c>
      <c r="AA2739">
        <v>1</v>
      </c>
      <c r="AB2739">
        <v>8</v>
      </c>
      <c r="AC2739">
        <v>3</v>
      </c>
      <c r="AD2739">
        <v>0</v>
      </c>
      <c r="AE2739">
        <v>9</v>
      </c>
      <c r="AF2739" t="s">
        <v>138</v>
      </c>
      <c r="AG2739">
        <v>0</v>
      </c>
      <c r="AH2739">
        <v>3</v>
      </c>
      <c r="AI2739">
        <v>2</v>
      </c>
      <c r="AJ2739">
        <v>0</v>
      </c>
      <c r="AK2739" t="s">
        <v>928</v>
      </c>
      <c r="AL2739">
        <v>39.098754</v>
      </c>
      <c r="AM2739" t="s">
        <v>929</v>
      </c>
      <c r="AN2739">
        <v>-121.034081</v>
      </c>
      <c r="AO2739">
        <v>25</v>
      </c>
      <c r="AP2739">
        <v>4400</v>
      </c>
      <c r="AQ2739" t="s">
        <v>131</v>
      </c>
      <c r="AR2739">
        <v>15</v>
      </c>
      <c r="AS2739">
        <v>75</v>
      </c>
      <c r="AT2739">
        <v>-512</v>
      </c>
      <c r="BB2739" t="str">
        <f t="shared" si="1067"/>
        <v>1200</v>
      </c>
      <c r="BC2739">
        <v>1</v>
      </c>
      <c r="BD2739" t="str">
        <f t="shared" si="1068"/>
        <v xml:space="preserve">N52156  </v>
      </c>
      <c r="BE2739">
        <v>1</v>
      </c>
      <c r="BG2739">
        <v>0</v>
      </c>
      <c r="BH2739">
        <v>0</v>
      </c>
      <c r="BI2739">
        <v>0</v>
      </c>
      <c r="BJ2739">
        <v>4475</v>
      </c>
      <c r="BK2739">
        <v>75</v>
      </c>
      <c r="BL2739" t="s">
        <v>188</v>
      </c>
      <c r="BM2739">
        <v>1</v>
      </c>
      <c r="BN2739">
        <v>1</v>
      </c>
      <c r="BO2739">
        <v>0</v>
      </c>
      <c r="BP2739">
        <v>0</v>
      </c>
      <c r="BS2739">
        <v>0</v>
      </c>
      <c r="BT2739">
        <v>0</v>
      </c>
      <c r="BU2739">
        <v>0</v>
      </c>
      <c r="CE2739" t="str">
        <f t="shared" si="1085"/>
        <v>15:12:08.963</v>
      </c>
      <c r="CF2739">
        <v>963226336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5</v>
      </c>
      <c r="CY2739">
        <v>7</v>
      </c>
      <c r="CZ2739" t="s">
        <v>133</v>
      </c>
      <c r="DA2739">
        <v>275</v>
      </c>
      <c r="DB2739">
        <v>0</v>
      </c>
      <c r="DC2739" t="s">
        <v>134</v>
      </c>
      <c r="DD2739" t="s">
        <v>135</v>
      </c>
      <c r="DG2739">
        <v>3321997</v>
      </c>
      <c r="DI2739">
        <v>1</v>
      </c>
      <c r="DJ2739">
        <v>0</v>
      </c>
      <c r="DK2739">
        <v>1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"05/01/2025 15:12:09.185"</f>
        <v>05/01/2025 15:12:09.185</v>
      </c>
      <c r="C2740" t="str">
        <f t="shared" si="1064"/>
        <v>FFDFD3C0</v>
      </c>
      <c r="D2740" t="s">
        <v>140</v>
      </c>
      <c r="E2740" t="str">
        <f>"13"</f>
        <v>13</v>
      </c>
      <c r="F2740">
        <v>1019</v>
      </c>
      <c r="G2740" t="s">
        <v>141</v>
      </c>
      <c r="J2740" t="s">
        <v>142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R2740" t="s">
        <v>127</v>
      </c>
      <c r="S2740" t="str">
        <f t="shared" si="1084"/>
        <v>15:12:08.000</v>
      </c>
      <c r="T2740" t="str">
        <f t="shared" si="1084"/>
        <v>15:12:08.000</v>
      </c>
      <c r="U2740" t="str">
        <f t="shared" si="1066"/>
        <v>A68FCB</v>
      </c>
      <c r="V2740">
        <v>0</v>
      </c>
      <c r="W2740">
        <v>0</v>
      </c>
      <c r="X2740">
        <v>2</v>
      </c>
      <c r="Y2740">
        <v>0</v>
      </c>
      <c r="AA2740">
        <v>1</v>
      </c>
      <c r="AB2740">
        <v>8</v>
      </c>
      <c r="AC2740">
        <v>3</v>
      </c>
      <c r="AD2740">
        <v>0</v>
      </c>
      <c r="AE2740">
        <v>9</v>
      </c>
      <c r="AF2740" t="s">
        <v>138</v>
      </c>
      <c r="AG2740">
        <v>0</v>
      </c>
      <c r="AH2740">
        <v>3</v>
      </c>
      <c r="AI2740">
        <v>2</v>
      </c>
      <c r="AJ2740">
        <v>0</v>
      </c>
      <c r="AK2740" t="s">
        <v>928</v>
      </c>
      <c r="AL2740">
        <v>39.098754</v>
      </c>
      <c r="AM2740" t="s">
        <v>929</v>
      </c>
      <c r="AN2740">
        <v>-121.034081</v>
      </c>
      <c r="AO2740">
        <v>25</v>
      </c>
      <c r="AP2740">
        <v>4400</v>
      </c>
      <c r="AQ2740" t="s">
        <v>131</v>
      </c>
      <c r="AR2740">
        <v>15</v>
      </c>
      <c r="AS2740">
        <v>75</v>
      </c>
      <c r="AT2740">
        <v>-512</v>
      </c>
      <c r="BB2740" t="str">
        <f t="shared" si="1067"/>
        <v>1200</v>
      </c>
      <c r="BC2740">
        <v>1</v>
      </c>
      <c r="BD2740" t="str">
        <f t="shared" si="1068"/>
        <v xml:space="preserve">N52156  </v>
      </c>
      <c r="BE2740">
        <v>1</v>
      </c>
      <c r="BG2740">
        <v>0</v>
      </c>
      <c r="BH2740">
        <v>0</v>
      </c>
      <c r="BI2740">
        <v>0</v>
      </c>
      <c r="BJ2740">
        <v>4475</v>
      </c>
      <c r="BK2740">
        <v>75</v>
      </c>
      <c r="BL2740" t="s">
        <v>188</v>
      </c>
      <c r="BM2740">
        <v>1</v>
      </c>
      <c r="BN2740">
        <v>1</v>
      </c>
      <c r="BO2740">
        <v>0</v>
      </c>
      <c r="BP2740">
        <v>0</v>
      </c>
      <c r="BS2740">
        <v>0</v>
      </c>
      <c r="BT2740">
        <v>0</v>
      </c>
      <c r="BU2740">
        <v>0</v>
      </c>
      <c r="CE2740" t="str">
        <f t="shared" si="1085"/>
        <v>15:12:08.963</v>
      </c>
      <c r="CF2740">
        <v>963226336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5</v>
      </c>
      <c r="CY2740">
        <v>7</v>
      </c>
      <c r="CZ2740" t="s">
        <v>133</v>
      </c>
      <c r="DA2740">
        <v>275</v>
      </c>
      <c r="DB2740">
        <v>0</v>
      </c>
      <c r="DC2740" t="s">
        <v>134</v>
      </c>
      <c r="DD2740" t="s">
        <v>135</v>
      </c>
      <c r="DG2740">
        <v>3321997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"05/01/2025 15:12:09.190"</f>
        <v>05/01/2025 15:12:09.190</v>
      </c>
      <c r="C2741" t="str">
        <f t="shared" si="1064"/>
        <v>FFDFD3C0</v>
      </c>
      <c r="D2741" t="s">
        <v>124</v>
      </c>
      <c r="E2741" t="str">
        <f>"06"</f>
        <v>06</v>
      </c>
      <c r="F2741">
        <v>2006</v>
      </c>
      <c r="G2741" t="s">
        <v>125</v>
      </c>
      <c r="J2741" t="s">
        <v>126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R2741" t="s">
        <v>127</v>
      </c>
      <c r="S2741" t="str">
        <f t="shared" si="1084"/>
        <v>15:12:08.000</v>
      </c>
      <c r="T2741" t="str">
        <f t="shared" si="1084"/>
        <v>15:12:08.000</v>
      </c>
      <c r="U2741" t="str">
        <f t="shared" si="1066"/>
        <v>A68FCB</v>
      </c>
      <c r="V2741">
        <v>0</v>
      </c>
      <c r="W2741">
        <v>0</v>
      </c>
      <c r="X2741">
        <v>2</v>
      </c>
      <c r="Y2741">
        <v>0</v>
      </c>
      <c r="AA2741">
        <v>1</v>
      </c>
      <c r="AB2741">
        <v>8</v>
      </c>
      <c r="AC2741">
        <v>3</v>
      </c>
      <c r="AD2741">
        <v>0</v>
      </c>
      <c r="AE2741">
        <v>9</v>
      </c>
      <c r="AF2741" t="s">
        <v>138</v>
      </c>
      <c r="AG2741">
        <v>0</v>
      </c>
      <c r="AH2741">
        <v>3</v>
      </c>
      <c r="AI2741">
        <v>2</v>
      </c>
      <c r="AJ2741">
        <v>0</v>
      </c>
      <c r="AK2741" t="s">
        <v>928</v>
      </c>
      <c r="AL2741">
        <v>39.098754</v>
      </c>
      <c r="AM2741" t="s">
        <v>929</v>
      </c>
      <c r="AN2741">
        <v>-121.034081</v>
      </c>
      <c r="AO2741">
        <v>25</v>
      </c>
      <c r="AP2741">
        <v>4400</v>
      </c>
      <c r="AQ2741" t="s">
        <v>131</v>
      </c>
      <c r="AR2741">
        <v>15</v>
      </c>
      <c r="AS2741">
        <v>75</v>
      </c>
      <c r="AT2741">
        <v>-512</v>
      </c>
      <c r="BB2741" t="str">
        <f t="shared" si="1067"/>
        <v>1200</v>
      </c>
      <c r="BC2741">
        <v>1</v>
      </c>
      <c r="BD2741" t="str">
        <f t="shared" si="1068"/>
        <v xml:space="preserve">N52156  </v>
      </c>
      <c r="BE2741">
        <v>1</v>
      </c>
      <c r="BG2741">
        <v>0</v>
      </c>
      <c r="BH2741">
        <v>0</v>
      </c>
      <c r="BI2741">
        <v>0</v>
      </c>
      <c r="BJ2741">
        <v>4475</v>
      </c>
      <c r="BK2741">
        <v>75</v>
      </c>
      <c r="BL2741" t="s">
        <v>188</v>
      </c>
      <c r="BM2741">
        <v>1</v>
      </c>
      <c r="BN2741">
        <v>1</v>
      </c>
      <c r="BO2741">
        <v>0</v>
      </c>
      <c r="BP2741">
        <v>0</v>
      </c>
      <c r="BS2741">
        <v>0</v>
      </c>
      <c r="BT2741">
        <v>0</v>
      </c>
      <c r="BU2741">
        <v>0</v>
      </c>
      <c r="CE2741" t="str">
        <f t="shared" si="1085"/>
        <v>15:12:08.963</v>
      </c>
      <c r="CF2741">
        <v>963226336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5</v>
      </c>
      <c r="CY2741">
        <v>7</v>
      </c>
      <c r="CZ2741" t="s">
        <v>133</v>
      </c>
      <c r="DA2741">
        <v>275</v>
      </c>
      <c r="DB2741">
        <v>0</v>
      </c>
      <c r="DC2741" t="s">
        <v>134</v>
      </c>
      <c r="DD2741" t="s">
        <v>135</v>
      </c>
      <c r="DG2741">
        <v>3321997</v>
      </c>
      <c r="DI2741">
        <v>1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"05/01/2025 15:12:09.200"</f>
        <v>05/01/2025 15:12:09.200</v>
      </c>
      <c r="C2742" t="str">
        <f t="shared" si="1064"/>
        <v>FFDFD3C0</v>
      </c>
      <c r="D2742" t="s">
        <v>145</v>
      </c>
      <c r="E2742" t="str">
        <f>"05"</f>
        <v>05</v>
      </c>
      <c r="H2742">
        <v>47</v>
      </c>
      <c r="I2742" t="s">
        <v>146</v>
      </c>
      <c r="J2742" t="s">
        <v>138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R2742" t="s">
        <v>127</v>
      </c>
      <c r="S2742" t="str">
        <f t="shared" si="1084"/>
        <v>15:12:08.000</v>
      </c>
      <c r="T2742" t="str">
        <f t="shared" si="1084"/>
        <v>15:12:08.000</v>
      </c>
      <c r="U2742" t="str">
        <f t="shared" si="1066"/>
        <v>A68FCB</v>
      </c>
      <c r="V2742">
        <v>0</v>
      </c>
      <c r="W2742">
        <v>0</v>
      </c>
      <c r="X2742">
        <v>2</v>
      </c>
      <c r="Y2742">
        <v>0</v>
      </c>
      <c r="AA2742">
        <v>1</v>
      </c>
      <c r="AB2742">
        <v>8</v>
      </c>
      <c r="AC2742">
        <v>3</v>
      </c>
      <c r="AD2742">
        <v>0</v>
      </c>
      <c r="AE2742">
        <v>9</v>
      </c>
      <c r="AF2742" t="s">
        <v>138</v>
      </c>
      <c r="AG2742">
        <v>0</v>
      </c>
      <c r="AH2742">
        <v>3</v>
      </c>
      <c r="AI2742">
        <v>2</v>
      </c>
      <c r="AJ2742">
        <v>0</v>
      </c>
      <c r="AK2742" t="s">
        <v>928</v>
      </c>
      <c r="AL2742">
        <v>39.098754</v>
      </c>
      <c r="AM2742" t="s">
        <v>929</v>
      </c>
      <c r="AN2742">
        <v>-121.034081</v>
      </c>
      <c r="AO2742">
        <v>25</v>
      </c>
      <c r="AP2742">
        <v>4400</v>
      </c>
      <c r="AQ2742" t="s">
        <v>131</v>
      </c>
      <c r="AR2742">
        <v>15</v>
      </c>
      <c r="AS2742">
        <v>75</v>
      </c>
      <c r="AT2742">
        <v>-512</v>
      </c>
      <c r="BB2742" t="str">
        <f t="shared" si="1067"/>
        <v>1200</v>
      </c>
      <c r="BC2742">
        <v>1</v>
      </c>
      <c r="BD2742" t="str">
        <f t="shared" si="1068"/>
        <v xml:space="preserve">N52156  </v>
      </c>
      <c r="BE2742">
        <v>1</v>
      </c>
      <c r="BG2742">
        <v>0</v>
      </c>
      <c r="BH2742">
        <v>0</v>
      </c>
      <c r="BI2742">
        <v>0</v>
      </c>
      <c r="BJ2742">
        <v>4475</v>
      </c>
      <c r="BK2742">
        <v>75</v>
      </c>
      <c r="BL2742" t="s">
        <v>188</v>
      </c>
      <c r="BM2742">
        <v>1</v>
      </c>
      <c r="BN2742">
        <v>1</v>
      </c>
      <c r="BO2742">
        <v>0</v>
      </c>
      <c r="BP2742">
        <v>0</v>
      </c>
      <c r="BS2742">
        <v>0</v>
      </c>
      <c r="BT2742">
        <v>0</v>
      </c>
      <c r="BU2742">
        <v>0</v>
      </c>
      <c r="CE2742" t="str">
        <f t="shared" si="1085"/>
        <v>15:12:08.963</v>
      </c>
      <c r="CF2742">
        <v>963226336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5</v>
      </c>
      <c r="CY2742">
        <v>7</v>
      </c>
      <c r="CZ2742" t="s">
        <v>133</v>
      </c>
      <c r="DA2742">
        <v>275</v>
      </c>
      <c r="DB2742">
        <v>0</v>
      </c>
      <c r="DC2742" t="s">
        <v>134</v>
      </c>
      <c r="DD2742" t="s">
        <v>135</v>
      </c>
      <c r="DG2742">
        <v>3321997</v>
      </c>
      <c r="DI2742">
        <v>1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"05/01/2025 15:12:09.200"</f>
        <v>05/01/2025 15:12:09.200</v>
      </c>
      <c r="C2743" t="str">
        <f t="shared" si="1064"/>
        <v>FFDFD3C0</v>
      </c>
      <c r="D2743" t="s">
        <v>145</v>
      </c>
      <c r="E2743" t="str">
        <f>"09"</f>
        <v>09</v>
      </c>
      <c r="H2743">
        <v>51</v>
      </c>
      <c r="I2743" t="s">
        <v>147</v>
      </c>
      <c r="J2743" t="s">
        <v>138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R2743" t="s">
        <v>127</v>
      </c>
      <c r="S2743" t="str">
        <f t="shared" si="1084"/>
        <v>15:12:08.000</v>
      </c>
      <c r="T2743" t="str">
        <f t="shared" si="1084"/>
        <v>15:12:08.000</v>
      </c>
      <c r="U2743" t="str">
        <f t="shared" si="1066"/>
        <v>A68FCB</v>
      </c>
      <c r="V2743">
        <v>0</v>
      </c>
      <c r="W2743">
        <v>0</v>
      </c>
      <c r="X2743">
        <v>2</v>
      </c>
      <c r="Y2743">
        <v>0</v>
      </c>
      <c r="AA2743">
        <v>1</v>
      </c>
      <c r="AB2743">
        <v>8</v>
      </c>
      <c r="AC2743">
        <v>3</v>
      </c>
      <c r="AD2743">
        <v>0</v>
      </c>
      <c r="AE2743">
        <v>9</v>
      </c>
      <c r="AF2743" t="s">
        <v>138</v>
      </c>
      <c r="AG2743">
        <v>0</v>
      </c>
      <c r="AH2743">
        <v>3</v>
      </c>
      <c r="AI2743">
        <v>2</v>
      </c>
      <c r="AJ2743">
        <v>0</v>
      </c>
      <c r="AK2743" t="s">
        <v>928</v>
      </c>
      <c r="AL2743">
        <v>39.098754</v>
      </c>
      <c r="AM2743" t="s">
        <v>929</v>
      </c>
      <c r="AN2743">
        <v>-121.034081</v>
      </c>
      <c r="AO2743">
        <v>25</v>
      </c>
      <c r="AP2743">
        <v>4400</v>
      </c>
      <c r="AQ2743" t="s">
        <v>131</v>
      </c>
      <c r="AR2743">
        <v>15</v>
      </c>
      <c r="AS2743">
        <v>75</v>
      </c>
      <c r="AT2743">
        <v>-512</v>
      </c>
      <c r="BB2743" t="str">
        <f t="shared" si="1067"/>
        <v>1200</v>
      </c>
      <c r="BC2743">
        <v>1</v>
      </c>
      <c r="BD2743" t="str">
        <f t="shared" si="1068"/>
        <v xml:space="preserve">N52156  </v>
      </c>
      <c r="BE2743">
        <v>1</v>
      </c>
      <c r="BG2743">
        <v>0</v>
      </c>
      <c r="BH2743">
        <v>0</v>
      </c>
      <c r="BI2743">
        <v>0</v>
      </c>
      <c r="BJ2743">
        <v>4475</v>
      </c>
      <c r="BK2743">
        <v>75</v>
      </c>
      <c r="BL2743" t="s">
        <v>188</v>
      </c>
      <c r="BM2743">
        <v>1</v>
      </c>
      <c r="BN2743">
        <v>1</v>
      </c>
      <c r="BO2743">
        <v>0</v>
      </c>
      <c r="BP2743">
        <v>0</v>
      </c>
      <c r="BS2743">
        <v>0</v>
      </c>
      <c r="BT2743">
        <v>0</v>
      </c>
      <c r="BU2743">
        <v>0</v>
      </c>
      <c r="CE2743" t="str">
        <f t="shared" si="1085"/>
        <v>15:12:08.963</v>
      </c>
      <c r="CF2743">
        <v>963226336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5</v>
      </c>
      <c r="CY2743">
        <v>7</v>
      </c>
      <c r="CZ2743" t="s">
        <v>133</v>
      </c>
      <c r="DA2743">
        <v>275</v>
      </c>
      <c r="DB2743">
        <v>0</v>
      </c>
      <c r="DC2743" t="s">
        <v>134</v>
      </c>
      <c r="DD2743" t="s">
        <v>135</v>
      </c>
      <c r="DG2743">
        <v>3321997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"05/01/2025 15:12:09.486"</f>
        <v>05/01/2025 15:12:09.486</v>
      </c>
      <c r="C2744" t="str">
        <f t="shared" si="1064"/>
        <v>FFDFD3C0</v>
      </c>
      <c r="D2744" t="s">
        <v>140</v>
      </c>
      <c r="E2744" t="str">
        <f>"13"</f>
        <v>13</v>
      </c>
      <c r="F2744">
        <v>1019</v>
      </c>
      <c r="G2744" t="s">
        <v>141</v>
      </c>
      <c r="J2744" t="s">
        <v>142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R2744" t="s">
        <v>127</v>
      </c>
      <c r="S2744" t="str">
        <f t="shared" ref="S2744:T2749" si="1086">"15:12:09.000"</f>
        <v>15:12:09.000</v>
      </c>
      <c r="T2744" t="str">
        <f t="shared" si="1086"/>
        <v>15:12:09.000</v>
      </c>
      <c r="U2744" t="str">
        <f t="shared" si="1066"/>
        <v>A68FCB</v>
      </c>
      <c r="V2744">
        <v>0</v>
      </c>
      <c r="W2744">
        <v>0</v>
      </c>
      <c r="X2744">
        <v>2</v>
      </c>
      <c r="Y2744">
        <v>0</v>
      </c>
      <c r="AA2744">
        <v>1</v>
      </c>
      <c r="AB2744">
        <v>8</v>
      </c>
      <c r="AC2744">
        <v>3</v>
      </c>
      <c r="AD2744">
        <v>0</v>
      </c>
      <c r="AE2744">
        <v>9</v>
      </c>
      <c r="AF2744" t="s">
        <v>138</v>
      </c>
      <c r="AG2744">
        <v>0</v>
      </c>
      <c r="AH2744">
        <v>3</v>
      </c>
      <c r="AI2744">
        <v>2</v>
      </c>
      <c r="AJ2744">
        <v>0</v>
      </c>
      <c r="AK2744" t="s">
        <v>930</v>
      </c>
      <c r="AL2744">
        <v>39.099097</v>
      </c>
      <c r="AM2744" t="s">
        <v>931</v>
      </c>
      <c r="AN2744">
        <v>-121.033974</v>
      </c>
      <c r="AO2744">
        <v>25</v>
      </c>
      <c r="AP2744">
        <v>4400</v>
      </c>
      <c r="AQ2744" t="s">
        <v>131</v>
      </c>
      <c r="AR2744">
        <v>15</v>
      </c>
      <c r="AS2744">
        <v>75</v>
      </c>
      <c r="AT2744">
        <v>-512</v>
      </c>
      <c r="BB2744" t="str">
        <f t="shared" si="1067"/>
        <v>1200</v>
      </c>
      <c r="BC2744">
        <v>1</v>
      </c>
      <c r="BD2744" t="str">
        <f t="shared" si="1068"/>
        <v xml:space="preserve">N52156  </v>
      </c>
      <c r="BE2744">
        <v>1</v>
      </c>
      <c r="BG2744">
        <v>0</v>
      </c>
      <c r="BH2744">
        <v>0</v>
      </c>
      <c r="BI2744">
        <v>0</v>
      </c>
      <c r="BJ2744">
        <v>4450</v>
      </c>
      <c r="BK2744">
        <v>50</v>
      </c>
      <c r="BL2744" t="s">
        <v>188</v>
      </c>
      <c r="BM2744">
        <v>1</v>
      </c>
      <c r="BN2744">
        <v>1</v>
      </c>
      <c r="BO2744">
        <v>0</v>
      </c>
      <c r="BP2744">
        <v>0</v>
      </c>
      <c r="BS2744">
        <v>0</v>
      </c>
      <c r="BT2744">
        <v>0</v>
      </c>
      <c r="BU2744">
        <v>0</v>
      </c>
      <c r="CE2744" t="str">
        <f t="shared" ref="CE2744:CE2749" si="1087">"15:12:09.287"</f>
        <v>15:12:09.287</v>
      </c>
      <c r="CF2744">
        <v>287224697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5</v>
      </c>
      <c r="CY2744">
        <v>7</v>
      </c>
      <c r="CZ2744" t="s">
        <v>133</v>
      </c>
      <c r="DA2744">
        <v>275</v>
      </c>
      <c r="DB2744">
        <v>0</v>
      </c>
      <c r="DC2744" t="s">
        <v>134</v>
      </c>
      <c r="DD2744" t="s">
        <v>135</v>
      </c>
      <c r="DG2744">
        <v>3321999</v>
      </c>
      <c r="DI2744">
        <v>1</v>
      </c>
      <c r="DJ2744">
        <v>0</v>
      </c>
      <c r="DK2744">
        <v>0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>"05/01/2025 15:12:09.491"</f>
        <v>05/01/2025 15:12:09.491</v>
      </c>
      <c r="C2745" t="str">
        <f t="shared" si="1064"/>
        <v>FFDFD3C0</v>
      </c>
      <c r="D2745" t="s">
        <v>124</v>
      </c>
      <c r="E2745" t="str">
        <f>"06"</f>
        <v>06</v>
      </c>
      <c r="F2745">
        <v>2006</v>
      </c>
      <c r="G2745" t="s">
        <v>125</v>
      </c>
      <c r="J2745" t="s">
        <v>126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R2745" t="s">
        <v>127</v>
      </c>
      <c r="S2745" t="str">
        <f t="shared" si="1086"/>
        <v>15:12:09.000</v>
      </c>
      <c r="T2745" t="str">
        <f t="shared" si="1086"/>
        <v>15:12:09.000</v>
      </c>
      <c r="U2745" t="str">
        <f t="shared" si="1066"/>
        <v>A68FCB</v>
      </c>
      <c r="V2745">
        <v>0</v>
      </c>
      <c r="W2745">
        <v>0</v>
      </c>
      <c r="X2745">
        <v>2</v>
      </c>
      <c r="Y2745">
        <v>0</v>
      </c>
      <c r="AA2745">
        <v>1</v>
      </c>
      <c r="AB2745">
        <v>8</v>
      </c>
      <c r="AC2745">
        <v>3</v>
      </c>
      <c r="AD2745">
        <v>0</v>
      </c>
      <c r="AE2745">
        <v>9</v>
      </c>
      <c r="AF2745" t="s">
        <v>138</v>
      </c>
      <c r="AG2745">
        <v>0</v>
      </c>
      <c r="AH2745">
        <v>3</v>
      </c>
      <c r="AI2745">
        <v>2</v>
      </c>
      <c r="AJ2745">
        <v>0</v>
      </c>
      <c r="AK2745" t="s">
        <v>930</v>
      </c>
      <c r="AL2745">
        <v>39.099097</v>
      </c>
      <c r="AM2745" t="s">
        <v>931</v>
      </c>
      <c r="AN2745">
        <v>-121.033974</v>
      </c>
      <c r="AO2745">
        <v>25</v>
      </c>
      <c r="AP2745">
        <v>4400</v>
      </c>
      <c r="AQ2745" t="s">
        <v>131</v>
      </c>
      <c r="AR2745">
        <v>15</v>
      </c>
      <c r="AS2745">
        <v>75</v>
      </c>
      <c r="AT2745">
        <v>-512</v>
      </c>
      <c r="BB2745" t="str">
        <f t="shared" si="1067"/>
        <v>1200</v>
      </c>
      <c r="BC2745">
        <v>1</v>
      </c>
      <c r="BD2745" t="str">
        <f t="shared" si="1068"/>
        <v xml:space="preserve">N52156  </v>
      </c>
      <c r="BE2745">
        <v>1</v>
      </c>
      <c r="BG2745">
        <v>0</v>
      </c>
      <c r="BH2745">
        <v>0</v>
      </c>
      <c r="BI2745">
        <v>0</v>
      </c>
      <c r="BJ2745">
        <v>4450</v>
      </c>
      <c r="BK2745">
        <v>50</v>
      </c>
      <c r="BL2745" t="s">
        <v>188</v>
      </c>
      <c r="BM2745">
        <v>1</v>
      </c>
      <c r="BN2745">
        <v>1</v>
      </c>
      <c r="BO2745">
        <v>0</v>
      </c>
      <c r="BP2745">
        <v>0</v>
      </c>
      <c r="BS2745">
        <v>0</v>
      </c>
      <c r="BT2745">
        <v>0</v>
      </c>
      <c r="BU2745">
        <v>0</v>
      </c>
      <c r="CE2745" t="str">
        <f t="shared" si="1087"/>
        <v>15:12:09.287</v>
      </c>
      <c r="CF2745">
        <v>287224697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5</v>
      </c>
      <c r="CY2745">
        <v>7</v>
      </c>
      <c r="CZ2745" t="s">
        <v>133</v>
      </c>
      <c r="DA2745">
        <v>275</v>
      </c>
      <c r="DB2745">
        <v>0</v>
      </c>
      <c r="DC2745" t="s">
        <v>134</v>
      </c>
      <c r="DD2745" t="s">
        <v>135</v>
      </c>
      <c r="DG2745">
        <v>3321999</v>
      </c>
      <c r="DI2745">
        <v>1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>"05/01/2025 15:12:09.500"</f>
        <v>05/01/2025 15:12:09.500</v>
      </c>
      <c r="C2746" t="str">
        <f t="shared" si="1064"/>
        <v>FFDFD3C0</v>
      </c>
      <c r="D2746" t="s">
        <v>145</v>
      </c>
      <c r="E2746" t="str">
        <f>"09"</f>
        <v>09</v>
      </c>
      <c r="H2746">
        <v>51</v>
      </c>
      <c r="I2746" t="s">
        <v>147</v>
      </c>
      <c r="J2746" t="s">
        <v>138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R2746" t="s">
        <v>127</v>
      </c>
      <c r="S2746" t="str">
        <f t="shared" si="1086"/>
        <v>15:12:09.000</v>
      </c>
      <c r="T2746" t="str">
        <f t="shared" si="1086"/>
        <v>15:12:09.000</v>
      </c>
      <c r="U2746" t="str">
        <f t="shared" si="1066"/>
        <v>A68FCB</v>
      </c>
      <c r="V2746">
        <v>0</v>
      </c>
      <c r="W2746">
        <v>0</v>
      </c>
      <c r="X2746">
        <v>2</v>
      </c>
      <c r="Y2746">
        <v>0</v>
      </c>
      <c r="AA2746">
        <v>1</v>
      </c>
      <c r="AB2746">
        <v>8</v>
      </c>
      <c r="AC2746">
        <v>3</v>
      </c>
      <c r="AD2746">
        <v>0</v>
      </c>
      <c r="AE2746">
        <v>9</v>
      </c>
      <c r="AF2746" t="s">
        <v>138</v>
      </c>
      <c r="AG2746">
        <v>0</v>
      </c>
      <c r="AH2746">
        <v>3</v>
      </c>
      <c r="AI2746">
        <v>2</v>
      </c>
      <c r="AJ2746">
        <v>0</v>
      </c>
      <c r="AK2746" t="s">
        <v>930</v>
      </c>
      <c r="AL2746">
        <v>39.099097</v>
      </c>
      <c r="AM2746" t="s">
        <v>931</v>
      </c>
      <c r="AN2746">
        <v>-121.033974</v>
      </c>
      <c r="AO2746">
        <v>25</v>
      </c>
      <c r="AP2746">
        <v>4400</v>
      </c>
      <c r="AQ2746" t="s">
        <v>131</v>
      </c>
      <c r="AR2746">
        <v>15</v>
      </c>
      <c r="AS2746">
        <v>75</v>
      </c>
      <c r="AT2746">
        <v>-512</v>
      </c>
      <c r="BB2746" t="str">
        <f t="shared" si="1067"/>
        <v>1200</v>
      </c>
      <c r="BC2746">
        <v>1</v>
      </c>
      <c r="BD2746" t="str">
        <f t="shared" si="1068"/>
        <v xml:space="preserve">N52156  </v>
      </c>
      <c r="BE2746">
        <v>1</v>
      </c>
      <c r="BG2746">
        <v>0</v>
      </c>
      <c r="BH2746">
        <v>0</v>
      </c>
      <c r="BI2746">
        <v>0</v>
      </c>
      <c r="BJ2746">
        <v>4450</v>
      </c>
      <c r="BK2746">
        <v>50</v>
      </c>
      <c r="BL2746" t="s">
        <v>188</v>
      </c>
      <c r="BM2746">
        <v>1</v>
      </c>
      <c r="BN2746">
        <v>1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 t="shared" si="1087"/>
        <v>15:12:09.287</v>
      </c>
      <c r="CF2746">
        <v>287224697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5</v>
      </c>
      <c r="CY2746">
        <v>7</v>
      </c>
      <c r="CZ2746" t="s">
        <v>133</v>
      </c>
      <c r="DA2746">
        <v>275</v>
      </c>
      <c r="DB2746">
        <v>0</v>
      </c>
      <c r="DC2746" t="s">
        <v>134</v>
      </c>
      <c r="DD2746" t="s">
        <v>135</v>
      </c>
      <c r="DG2746">
        <v>3321999</v>
      </c>
      <c r="DI2746">
        <v>1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>"05/01/2025 15:12:09.500"</f>
        <v>05/01/2025 15:12:09.500</v>
      </c>
      <c r="C2747" t="str">
        <f t="shared" si="1064"/>
        <v>FFDFD3C0</v>
      </c>
      <c r="D2747" t="s">
        <v>145</v>
      </c>
      <c r="E2747" t="str">
        <f>"05"</f>
        <v>05</v>
      </c>
      <c r="H2747">
        <v>47</v>
      </c>
      <c r="I2747" t="s">
        <v>146</v>
      </c>
      <c r="J2747" t="s">
        <v>138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R2747" t="s">
        <v>127</v>
      </c>
      <c r="S2747" t="str">
        <f t="shared" si="1086"/>
        <v>15:12:09.000</v>
      </c>
      <c r="T2747" t="str">
        <f t="shared" si="1086"/>
        <v>15:12:09.000</v>
      </c>
      <c r="U2747" t="str">
        <f t="shared" si="1066"/>
        <v>A68FCB</v>
      </c>
      <c r="V2747">
        <v>0</v>
      </c>
      <c r="W2747">
        <v>0</v>
      </c>
      <c r="X2747">
        <v>2</v>
      </c>
      <c r="Y2747">
        <v>0</v>
      </c>
      <c r="AA2747">
        <v>1</v>
      </c>
      <c r="AB2747">
        <v>8</v>
      </c>
      <c r="AC2747">
        <v>3</v>
      </c>
      <c r="AD2747">
        <v>0</v>
      </c>
      <c r="AE2747">
        <v>9</v>
      </c>
      <c r="AF2747" t="s">
        <v>138</v>
      </c>
      <c r="AG2747">
        <v>0</v>
      </c>
      <c r="AH2747">
        <v>3</v>
      </c>
      <c r="AI2747">
        <v>2</v>
      </c>
      <c r="AJ2747">
        <v>0</v>
      </c>
      <c r="AK2747" t="s">
        <v>930</v>
      </c>
      <c r="AL2747">
        <v>39.099097</v>
      </c>
      <c r="AM2747" t="s">
        <v>931</v>
      </c>
      <c r="AN2747">
        <v>-121.033974</v>
      </c>
      <c r="AO2747">
        <v>25</v>
      </c>
      <c r="AP2747">
        <v>4400</v>
      </c>
      <c r="AQ2747" t="s">
        <v>131</v>
      </c>
      <c r="AR2747">
        <v>15</v>
      </c>
      <c r="AS2747">
        <v>75</v>
      </c>
      <c r="AT2747">
        <v>-512</v>
      </c>
      <c r="BB2747" t="str">
        <f t="shared" si="1067"/>
        <v>1200</v>
      </c>
      <c r="BC2747">
        <v>1</v>
      </c>
      <c r="BD2747" t="str">
        <f t="shared" si="1068"/>
        <v xml:space="preserve">N52156  </v>
      </c>
      <c r="BE2747">
        <v>1</v>
      </c>
      <c r="BG2747">
        <v>0</v>
      </c>
      <c r="BH2747">
        <v>0</v>
      </c>
      <c r="BI2747">
        <v>0</v>
      </c>
      <c r="BJ2747">
        <v>4450</v>
      </c>
      <c r="BK2747">
        <v>50</v>
      </c>
      <c r="BL2747" t="s">
        <v>188</v>
      </c>
      <c r="BM2747">
        <v>1</v>
      </c>
      <c r="BN2747">
        <v>1</v>
      </c>
      <c r="BO2747">
        <v>0</v>
      </c>
      <c r="BP2747">
        <v>0</v>
      </c>
      <c r="BS2747">
        <v>0</v>
      </c>
      <c r="BT2747">
        <v>0</v>
      </c>
      <c r="BU2747">
        <v>0</v>
      </c>
      <c r="CE2747" t="str">
        <f t="shared" si="1087"/>
        <v>15:12:09.287</v>
      </c>
      <c r="CF2747">
        <v>287224697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5</v>
      </c>
      <c r="CY2747">
        <v>7</v>
      </c>
      <c r="CZ2747" t="s">
        <v>133</v>
      </c>
      <c r="DA2747">
        <v>275</v>
      </c>
      <c r="DB2747">
        <v>0</v>
      </c>
      <c r="DC2747" t="s">
        <v>134</v>
      </c>
      <c r="DD2747" t="s">
        <v>135</v>
      </c>
      <c r="DG2747">
        <v>3321999</v>
      </c>
      <c r="DI2747">
        <v>1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>"05/01/2025 15:12:09.511"</f>
        <v>05/01/2025 15:12:09.511</v>
      </c>
      <c r="C2748" t="str">
        <f t="shared" si="1064"/>
        <v>FFDFD3C0</v>
      </c>
      <c r="D2748" t="s">
        <v>136</v>
      </c>
      <c r="E2748" t="str">
        <f>"20"</f>
        <v>20</v>
      </c>
      <c r="H2748">
        <v>400</v>
      </c>
      <c r="I2748" t="s">
        <v>137</v>
      </c>
      <c r="J2748" t="s">
        <v>138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R2748" t="s">
        <v>127</v>
      </c>
      <c r="S2748" t="str">
        <f t="shared" si="1086"/>
        <v>15:12:09.000</v>
      </c>
      <c r="T2748" t="str">
        <f t="shared" si="1086"/>
        <v>15:12:09.000</v>
      </c>
      <c r="U2748" t="str">
        <f t="shared" si="1066"/>
        <v>A68FCB</v>
      </c>
      <c r="V2748">
        <v>0</v>
      </c>
      <c r="W2748">
        <v>0</v>
      </c>
      <c r="X2748">
        <v>2</v>
      </c>
      <c r="Y2748">
        <v>0</v>
      </c>
      <c r="AA2748">
        <v>1</v>
      </c>
      <c r="AB2748">
        <v>8</v>
      </c>
      <c r="AC2748">
        <v>3</v>
      </c>
      <c r="AD2748">
        <v>0</v>
      </c>
      <c r="AE2748">
        <v>9</v>
      </c>
      <c r="AF2748" t="s">
        <v>138</v>
      </c>
      <c r="AG2748">
        <v>0</v>
      </c>
      <c r="AH2748">
        <v>3</v>
      </c>
      <c r="AI2748">
        <v>2</v>
      </c>
      <c r="AJ2748">
        <v>0</v>
      </c>
      <c r="AK2748" t="s">
        <v>930</v>
      </c>
      <c r="AL2748">
        <v>39.099097</v>
      </c>
      <c r="AM2748" t="s">
        <v>931</v>
      </c>
      <c r="AN2748">
        <v>-121.033974</v>
      </c>
      <c r="AO2748">
        <v>25</v>
      </c>
      <c r="AP2748">
        <v>4400</v>
      </c>
      <c r="AQ2748" t="s">
        <v>131</v>
      </c>
      <c r="AR2748">
        <v>15</v>
      </c>
      <c r="AS2748">
        <v>75</v>
      </c>
      <c r="AT2748">
        <v>-512</v>
      </c>
      <c r="BB2748" t="str">
        <f t="shared" si="1067"/>
        <v>1200</v>
      </c>
      <c r="BC2748">
        <v>1</v>
      </c>
      <c r="BD2748" t="str">
        <f t="shared" si="1068"/>
        <v xml:space="preserve">N52156  </v>
      </c>
      <c r="BE2748">
        <v>1</v>
      </c>
      <c r="BG2748">
        <v>0</v>
      </c>
      <c r="BH2748">
        <v>0</v>
      </c>
      <c r="BI2748">
        <v>0</v>
      </c>
      <c r="BJ2748">
        <v>4450</v>
      </c>
      <c r="BK2748">
        <v>50</v>
      </c>
      <c r="BL2748" t="s">
        <v>188</v>
      </c>
      <c r="BM2748">
        <v>1</v>
      </c>
      <c r="BN2748">
        <v>1</v>
      </c>
      <c r="BO2748">
        <v>0</v>
      </c>
      <c r="BP2748">
        <v>0</v>
      </c>
      <c r="BS2748">
        <v>0</v>
      </c>
      <c r="BT2748">
        <v>0</v>
      </c>
      <c r="BU2748">
        <v>0</v>
      </c>
      <c r="CE2748" t="str">
        <f t="shared" si="1087"/>
        <v>15:12:09.287</v>
      </c>
      <c r="CF2748">
        <v>287224697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5</v>
      </c>
      <c r="CY2748">
        <v>7</v>
      </c>
      <c r="CZ2748" t="s">
        <v>133</v>
      </c>
      <c r="DA2748">
        <v>275</v>
      </c>
      <c r="DB2748">
        <v>0</v>
      </c>
      <c r="DC2748" t="s">
        <v>134</v>
      </c>
      <c r="DD2748" t="s">
        <v>135</v>
      </c>
      <c r="DG2748">
        <v>3321999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>"05/01/2025 15:12:09.517"</f>
        <v>05/01/2025 15:12:09.517</v>
      </c>
      <c r="C2749" t="str">
        <f t="shared" si="1064"/>
        <v>FFDFD3C0</v>
      </c>
      <c r="D2749" t="s">
        <v>143</v>
      </c>
      <c r="E2749" t="str">
        <f>"05"</f>
        <v>05</v>
      </c>
      <c r="H2749">
        <v>172</v>
      </c>
      <c r="I2749" t="s">
        <v>141</v>
      </c>
      <c r="J2749" t="s">
        <v>144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R2749" t="s">
        <v>127</v>
      </c>
      <c r="S2749" t="str">
        <f t="shared" si="1086"/>
        <v>15:12:09.000</v>
      </c>
      <c r="T2749" t="str">
        <f t="shared" si="1086"/>
        <v>15:12:09.000</v>
      </c>
      <c r="U2749" t="str">
        <f t="shared" si="1066"/>
        <v>A68FCB</v>
      </c>
      <c r="V2749">
        <v>0</v>
      </c>
      <c r="W2749">
        <v>0</v>
      </c>
      <c r="X2749">
        <v>2</v>
      </c>
      <c r="Y2749">
        <v>0</v>
      </c>
      <c r="AA2749">
        <v>1</v>
      </c>
      <c r="AB2749">
        <v>8</v>
      </c>
      <c r="AC2749">
        <v>3</v>
      </c>
      <c r="AD2749">
        <v>0</v>
      </c>
      <c r="AE2749">
        <v>9</v>
      </c>
      <c r="AF2749" t="s">
        <v>138</v>
      </c>
      <c r="AG2749">
        <v>0</v>
      </c>
      <c r="AH2749">
        <v>3</v>
      </c>
      <c r="AI2749">
        <v>2</v>
      </c>
      <c r="AJ2749">
        <v>0</v>
      </c>
      <c r="AK2749" t="s">
        <v>930</v>
      </c>
      <c r="AL2749">
        <v>39.099097</v>
      </c>
      <c r="AM2749" t="s">
        <v>931</v>
      </c>
      <c r="AN2749">
        <v>-121.033974</v>
      </c>
      <c r="AO2749">
        <v>25</v>
      </c>
      <c r="AP2749">
        <v>4400</v>
      </c>
      <c r="AQ2749" t="s">
        <v>131</v>
      </c>
      <c r="AR2749">
        <v>15</v>
      </c>
      <c r="AS2749">
        <v>75</v>
      </c>
      <c r="AT2749">
        <v>-512</v>
      </c>
      <c r="BB2749" t="str">
        <f t="shared" si="1067"/>
        <v>1200</v>
      </c>
      <c r="BC2749">
        <v>1</v>
      </c>
      <c r="BD2749" t="str">
        <f t="shared" si="1068"/>
        <v xml:space="preserve">N52156  </v>
      </c>
      <c r="BE2749">
        <v>1</v>
      </c>
      <c r="BG2749">
        <v>0</v>
      </c>
      <c r="BH2749">
        <v>0</v>
      </c>
      <c r="BI2749">
        <v>0</v>
      </c>
      <c r="BJ2749">
        <v>4450</v>
      </c>
      <c r="BK2749">
        <v>50</v>
      </c>
      <c r="BL2749" t="s">
        <v>188</v>
      </c>
      <c r="BM2749">
        <v>1</v>
      </c>
      <c r="BN2749">
        <v>1</v>
      </c>
      <c r="BO2749">
        <v>0</v>
      </c>
      <c r="BP2749">
        <v>0</v>
      </c>
      <c r="BS2749">
        <v>0</v>
      </c>
      <c r="BT2749">
        <v>0</v>
      </c>
      <c r="BU2749">
        <v>0</v>
      </c>
      <c r="CE2749" t="str">
        <f t="shared" si="1087"/>
        <v>15:12:09.287</v>
      </c>
      <c r="CF2749">
        <v>287224697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5</v>
      </c>
      <c r="CY2749">
        <v>7</v>
      </c>
      <c r="CZ2749" t="s">
        <v>133</v>
      </c>
      <c r="DA2749">
        <v>275</v>
      </c>
      <c r="DB2749">
        <v>0</v>
      </c>
      <c r="DC2749" t="s">
        <v>134</v>
      </c>
      <c r="DD2749" t="s">
        <v>135</v>
      </c>
      <c r="DG2749">
        <v>3321999</v>
      </c>
      <c r="DI2749">
        <v>1</v>
      </c>
      <c r="DJ2749">
        <v>0</v>
      </c>
      <c r="DK2749">
        <v>1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>"05/01/2025 15:12:10.593"</f>
        <v>05/01/2025 15:12:10.593</v>
      </c>
      <c r="C2750" t="str">
        <f t="shared" si="1064"/>
        <v>FFDFD3C0</v>
      </c>
      <c r="D2750" t="s">
        <v>124</v>
      </c>
      <c r="E2750" t="str">
        <f>"06"</f>
        <v>06</v>
      </c>
      <c r="F2750">
        <v>2006</v>
      </c>
      <c r="G2750" t="s">
        <v>125</v>
      </c>
      <c r="J2750" t="s">
        <v>126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R2750" t="s">
        <v>127</v>
      </c>
      <c r="S2750" t="str">
        <f t="shared" ref="S2750:T2755" si="1088">"15:12:10.000"</f>
        <v>15:12:10.000</v>
      </c>
      <c r="T2750" t="str">
        <f t="shared" si="1088"/>
        <v>15:12:10.000</v>
      </c>
      <c r="U2750" t="str">
        <f t="shared" si="1066"/>
        <v>A68FCB</v>
      </c>
      <c r="V2750">
        <v>0</v>
      </c>
      <c r="W2750">
        <v>0</v>
      </c>
      <c r="X2750">
        <v>2</v>
      </c>
      <c r="Y2750">
        <v>0</v>
      </c>
      <c r="AA2750">
        <v>1</v>
      </c>
      <c r="AB2750">
        <v>8</v>
      </c>
      <c r="AC2750">
        <v>3</v>
      </c>
      <c r="AD2750">
        <v>0</v>
      </c>
      <c r="AE2750">
        <v>9</v>
      </c>
      <c r="AF2750" t="s">
        <v>138</v>
      </c>
      <c r="AG2750">
        <v>0</v>
      </c>
      <c r="AH2750">
        <v>3</v>
      </c>
      <c r="AI2750">
        <v>2</v>
      </c>
      <c r="AJ2750">
        <v>0</v>
      </c>
      <c r="AK2750" t="s">
        <v>932</v>
      </c>
      <c r="AL2750">
        <v>39.099440999999999</v>
      </c>
      <c r="AM2750" t="s">
        <v>933</v>
      </c>
      <c r="AN2750">
        <v>-121.033888</v>
      </c>
      <c r="AO2750">
        <v>25</v>
      </c>
      <c r="AP2750">
        <v>4400</v>
      </c>
      <c r="AQ2750" t="s">
        <v>131</v>
      </c>
      <c r="AR2750">
        <v>15</v>
      </c>
      <c r="AS2750">
        <v>76</v>
      </c>
      <c r="AT2750">
        <v>-448</v>
      </c>
      <c r="BB2750" t="str">
        <f t="shared" si="1067"/>
        <v>1200</v>
      </c>
      <c r="BC2750">
        <v>1</v>
      </c>
      <c r="BD2750" t="str">
        <f t="shared" si="1068"/>
        <v xml:space="preserve">N52156  </v>
      </c>
      <c r="BE2750">
        <v>1</v>
      </c>
      <c r="BG2750">
        <v>0</v>
      </c>
      <c r="BH2750">
        <v>0</v>
      </c>
      <c r="BI2750">
        <v>0</v>
      </c>
      <c r="BJ2750">
        <v>4450</v>
      </c>
      <c r="BK2750">
        <v>50</v>
      </c>
      <c r="BL2750" t="s">
        <v>188</v>
      </c>
      <c r="BM2750">
        <v>1</v>
      </c>
      <c r="BN2750">
        <v>1</v>
      </c>
      <c r="BO2750">
        <v>0</v>
      </c>
      <c r="BP2750">
        <v>0</v>
      </c>
      <c r="BS2750">
        <v>0</v>
      </c>
      <c r="BT2750">
        <v>0</v>
      </c>
      <c r="BU2750">
        <v>0</v>
      </c>
      <c r="CE2750" t="str">
        <f t="shared" ref="CE2750:CE2755" si="1089">"15:12:10.373"</f>
        <v>15:12:10.373</v>
      </c>
      <c r="CF2750">
        <v>372724975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5</v>
      </c>
      <c r="CY2750">
        <v>7</v>
      </c>
      <c r="CZ2750" t="s">
        <v>133</v>
      </c>
      <c r="DA2750">
        <v>275</v>
      </c>
      <c r="DB2750">
        <v>0</v>
      </c>
      <c r="DC2750" t="s">
        <v>134</v>
      </c>
      <c r="DD2750" t="s">
        <v>135</v>
      </c>
      <c r="DG2750">
        <v>3322006</v>
      </c>
      <c r="DI2750">
        <v>1</v>
      </c>
      <c r="DJ2750">
        <v>0</v>
      </c>
      <c r="DK2750">
        <v>0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"05/01/2025 15:12:10.602"</f>
        <v>05/01/2025 15:12:10.602</v>
      </c>
      <c r="C2751" t="str">
        <f t="shared" si="1064"/>
        <v>FFDFD3C0</v>
      </c>
      <c r="D2751" t="s">
        <v>145</v>
      </c>
      <c r="E2751" t="str">
        <f>"05"</f>
        <v>05</v>
      </c>
      <c r="H2751">
        <v>47</v>
      </c>
      <c r="I2751" t="s">
        <v>146</v>
      </c>
      <c r="J2751" t="s">
        <v>138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R2751" t="s">
        <v>127</v>
      </c>
      <c r="S2751" t="str">
        <f t="shared" si="1088"/>
        <v>15:12:10.000</v>
      </c>
      <c r="T2751" t="str">
        <f t="shared" si="1088"/>
        <v>15:12:10.000</v>
      </c>
      <c r="U2751" t="str">
        <f t="shared" si="1066"/>
        <v>A68FCB</v>
      </c>
      <c r="V2751">
        <v>0</v>
      </c>
      <c r="W2751">
        <v>0</v>
      </c>
      <c r="X2751">
        <v>2</v>
      </c>
      <c r="Y2751">
        <v>0</v>
      </c>
      <c r="AA2751">
        <v>1</v>
      </c>
      <c r="AB2751">
        <v>8</v>
      </c>
      <c r="AC2751">
        <v>3</v>
      </c>
      <c r="AD2751">
        <v>0</v>
      </c>
      <c r="AE2751">
        <v>9</v>
      </c>
      <c r="AF2751" t="s">
        <v>138</v>
      </c>
      <c r="AG2751">
        <v>0</v>
      </c>
      <c r="AH2751">
        <v>3</v>
      </c>
      <c r="AI2751">
        <v>2</v>
      </c>
      <c r="AJ2751">
        <v>0</v>
      </c>
      <c r="AK2751" t="s">
        <v>932</v>
      </c>
      <c r="AL2751">
        <v>39.099440999999999</v>
      </c>
      <c r="AM2751" t="s">
        <v>933</v>
      </c>
      <c r="AN2751">
        <v>-121.033888</v>
      </c>
      <c r="AO2751">
        <v>25</v>
      </c>
      <c r="AP2751">
        <v>4400</v>
      </c>
      <c r="AQ2751" t="s">
        <v>131</v>
      </c>
      <c r="AR2751">
        <v>15</v>
      </c>
      <c r="AS2751">
        <v>76</v>
      </c>
      <c r="AT2751">
        <v>-448</v>
      </c>
      <c r="BB2751" t="str">
        <f t="shared" si="1067"/>
        <v>1200</v>
      </c>
      <c r="BC2751">
        <v>1</v>
      </c>
      <c r="BD2751" t="str">
        <f t="shared" si="1068"/>
        <v xml:space="preserve">N52156  </v>
      </c>
      <c r="BE2751">
        <v>1</v>
      </c>
      <c r="BG2751">
        <v>0</v>
      </c>
      <c r="BH2751">
        <v>0</v>
      </c>
      <c r="BI2751">
        <v>0</v>
      </c>
      <c r="BJ2751">
        <v>4450</v>
      </c>
      <c r="BK2751">
        <v>50</v>
      </c>
      <c r="BL2751" t="s">
        <v>188</v>
      </c>
      <c r="BM2751">
        <v>1</v>
      </c>
      <c r="BN2751">
        <v>1</v>
      </c>
      <c r="BO2751">
        <v>0</v>
      </c>
      <c r="BP2751">
        <v>0</v>
      </c>
      <c r="BS2751">
        <v>0</v>
      </c>
      <c r="BT2751">
        <v>0</v>
      </c>
      <c r="BU2751">
        <v>0</v>
      </c>
      <c r="CE2751" t="str">
        <f t="shared" si="1089"/>
        <v>15:12:10.373</v>
      </c>
      <c r="CF2751">
        <v>372724975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5</v>
      </c>
      <c r="CY2751">
        <v>7</v>
      </c>
      <c r="CZ2751" t="s">
        <v>133</v>
      </c>
      <c r="DA2751">
        <v>275</v>
      </c>
      <c r="DB2751">
        <v>0</v>
      </c>
      <c r="DC2751" t="s">
        <v>134</v>
      </c>
      <c r="DD2751" t="s">
        <v>135</v>
      </c>
      <c r="DG2751">
        <v>3322006</v>
      </c>
      <c r="DI2751">
        <v>1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>"05/01/2025 15:12:10.602"</f>
        <v>05/01/2025 15:12:10.602</v>
      </c>
      <c r="C2752" t="str">
        <f t="shared" si="1064"/>
        <v>FFDFD3C0</v>
      </c>
      <c r="D2752" t="s">
        <v>145</v>
      </c>
      <c r="E2752" t="str">
        <f>"09"</f>
        <v>09</v>
      </c>
      <c r="H2752">
        <v>51</v>
      </c>
      <c r="I2752" t="s">
        <v>147</v>
      </c>
      <c r="J2752" t="s">
        <v>138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R2752" t="s">
        <v>127</v>
      </c>
      <c r="S2752" t="str">
        <f t="shared" si="1088"/>
        <v>15:12:10.000</v>
      </c>
      <c r="T2752" t="str">
        <f t="shared" si="1088"/>
        <v>15:12:10.000</v>
      </c>
      <c r="U2752" t="str">
        <f t="shared" si="1066"/>
        <v>A68FCB</v>
      </c>
      <c r="V2752">
        <v>0</v>
      </c>
      <c r="W2752">
        <v>0</v>
      </c>
      <c r="X2752">
        <v>2</v>
      </c>
      <c r="Y2752">
        <v>0</v>
      </c>
      <c r="AA2752">
        <v>1</v>
      </c>
      <c r="AB2752">
        <v>8</v>
      </c>
      <c r="AC2752">
        <v>3</v>
      </c>
      <c r="AD2752">
        <v>0</v>
      </c>
      <c r="AE2752">
        <v>9</v>
      </c>
      <c r="AF2752" t="s">
        <v>138</v>
      </c>
      <c r="AG2752">
        <v>0</v>
      </c>
      <c r="AH2752">
        <v>3</v>
      </c>
      <c r="AI2752">
        <v>2</v>
      </c>
      <c r="AJ2752">
        <v>0</v>
      </c>
      <c r="AK2752" t="s">
        <v>932</v>
      </c>
      <c r="AL2752">
        <v>39.099440999999999</v>
      </c>
      <c r="AM2752" t="s">
        <v>933</v>
      </c>
      <c r="AN2752">
        <v>-121.033888</v>
      </c>
      <c r="AO2752">
        <v>25</v>
      </c>
      <c r="AP2752">
        <v>4400</v>
      </c>
      <c r="AQ2752" t="s">
        <v>131</v>
      </c>
      <c r="AR2752">
        <v>15</v>
      </c>
      <c r="AS2752">
        <v>76</v>
      </c>
      <c r="AT2752">
        <v>-448</v>
      </c>
      <c r="BB2752" t="str">
        <f t="shared" si="1067"/>
        <v>1200</v>
      </c>
      <c r="BC2752">
        <v>1</v>
      </c>
      <c r="BD2752" t="str">
        <f t="shared" si="1068"/>
        <v xml:space="preserve">N52156  </v>
      </c>
      <c r="BE2752">
        <v>1</v>
      </c>
      <c r="BG2752">
        <v>0</v>
      </c>
      <c r="BH2752">
        <v>0</v>
      </c>
      <c r="BI2752">
        <v>0</v>
      </c>
      <c r="BJ2752">
        <v>4450</v>
      </c>
      <c r="BK2752">
        <v>50</v>
      </c>
      <c r="BL2752" t="s">
        <v>188</v>
      </c>
      <c r="BM2752">
        <v>1</v>
      </c>
      <c r="BN2752">
        <v>1</v>
      </c>
      <c r="BO2752">
        <v>0</v>
      </c>
      <c r="BP2752">
        <v>0</v>
      </c>
      <c r="BS2752">
        <v>0</v>
      </c>
      <c r="BT2752">
        <v>0</v>
      </c>
      <c r="BU2752">
        <v>0</v>
      </c>
      <c r="CE2752" t="str">
        <f t="shared" si="1089"/>
        <v>15:12:10.373</v>
      </c>
      <c r="CF2752">
        <v>372724975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5</v>
      </c>
      <c r="CY2752">
        <v>7</v>
      </c>
      <c r="CZ2752" t="s">
        <v>133</v>
      </c>
      <c r="DA2752">
        <v>275</v>
      </c>
      <c r="DB2752">
        <v>0</v>
      </c>
      <c r="DC2752" t="s">
        <v>134</v>
      </c>
      <c r="DD2752" t="s">
        <v>135</v>
      </c>
      <c r="DG2752">
        <v>3322006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>"05/01/2025 15:12:10.613"</f>
        <v>05/01/2025 15:12:10.613</v>
      </c>
      <c r="C2753" t="str">
        <f t="shared" si="1064"/>
        <v>FFDFD3C0</v>
      </c>
      <c r="D2753" t="s">
        <v>136</v>
      </c>
      <c r="E2753" t="str">
        <f>"20"</f>
        <v>20</v>
      </c>
      <c r="H2753">
        <v>400</v>
      </c>
      <c r="I2753" t="s">
        <v>137</v>
      </c>
      <c r="J2753" t="s">
        <v>138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R2753" t="s">
        <v>127</v>
      </c>
      <c r="S2753" t="str">
        <f t="shared" si="1088"/>
        <v>15:12:10.000</v>
      </c>
      <c r="T2753" t="str">
        <f t="shared" si="1088"/>
        <v>15:12:10.000</v>
      </c>
      <c r="U2753" t="str">
        <f t="shared" si="1066"/>
        <v>A68FCB</v>
      </c>
      <c r="V2753">
        <v>0</v>
      </c>
      <c r="W2753">
        <v>0</v>
      </c>
      <c r="X2753">
        <v>2</v>
      </c>
      <c r="Y2753">
        <v>0</v>
      </c>
      <c r="AA2753">
        <v>1</v>
      </c>
      <c r="AB2753">
        <v>8</v>
      </c>
      <c r="AC2753">
        <v>3</v>
      </c>
      <c r="AD2753">
        <v>0</v>
      </c>
      <c r="AE2753">
        <v>9</v>
      </c>
      <c r="AF2753" t="s">
        <v>138</v>
      </c>
      <c r="AG2753">
        <v>0</v>
      </c>
      <c r="AH2753">
        <v>3</v>
      </c>
      <c r="AI2753">
        <v>2</v>
      </c>
      <c r="AJ2753">
        <v>0</v>
      </c>
      <c r="AK2753" t="s">
        <v>932</v>
      </c>
      <c r="AL2753">
        <v>39.099440999999999</v>
      </c>
      <c r="AM2753" t="s">
        <v>933</v>
      </c>
      <c r="AN2753">
        <v>-121.033888</v>
      </c>
      <c r="AO2753">
        <v>25</v>
      </c>
      <c r="AP2753">
        <v>4400</v>
      </c>
      <c r="AQ2753" t="s">
        <v>131</v>
      </c>
      <c r="AR2753">
        <v>15</v>
      </c>
      <c r="AS2753">
        <v>76</v>
      </c>
      <c r="AT2753">
        <v>-448</v>
      </c>
      <c r="BB2753" t="str">
        <f t="shared" si="1067"/>
        <v>1200</v>
      </c>
      <c r="BC2753">
        <v>1</v>
      </c>
      <c r="BD2753" t="str">
        <f t="shared" si="1068"/>
        <v xml:space="preserve">N52156  </v>
      </c>
      <c r="BE2753">
        <v>1</v>
      </c>
      <c r="BG2753">
        <v>0</v>
      </c>
      <c r="BH2753">
        <v>0</v>
      </c>
      <c r="BI2753">
        <v>0</v>
      </c>
      <c r="BJ2753">
        <v>4450</v>
      </c>
      <c r="BK2753">
        <v>50</v>
      </c>
      <c r="BL2753" t="s">
        <v>188</v>
      </c>
      <c r="BM2753">
        <v>1</v>
      </c>
      <c r="BN2753">
        <v>1</v>
      </c>
      <c r="BO2753">
        <v>0</v>
      </c>
      <c r="BP2753">
        <v>0</v>
      </c>
      <c r="BS2753">
        <v>0</v>
      </c>
      <c r="BT2753">
        <v>0</v>
      </c>
      <c r="BU2753">
        <v>0</v>
      </c>
      <c r="CE2753" t="str">
        <f t="shared" si="1089"/>
        <v>15:12:10.373</v>
      </c>
      <c r="CF2753">
        <v>372724975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5</v>
      </c>
      <c r="CY2753">
        <v>7</v>
      </c>
      <c r="CZ2753" t="s">
        <v>133</v>
      </c>
      <c r="DA2753">
        <v>275</v>
      </c>
      <c r="DB2753">
        <v>0</v>
      </c>
      <c r="DC2753" t="s">
        <v>134</v>
      </c>
      <c r="DD2753" t="s">
        <v>135</v>
      </c>
      <c r="DG2753">
        <v>3322006</v>
      </c>
      <c r="DI2753">
        <v>1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>"05/01/2025 15:12:10.619"</f>
        <v>05/01/2025 15:12:10.619</v>
      </c>
      <c r="C2754" t="str">
        <f t="shared" ref="C2754:C2817" si="1090">"FFDFD3C0"</f>
        <v>FFDFD3C0</v>
      </c>
      <c r="D2754" t="s">
        <v>143</v>
      </c>
      <c r="E2754" t="str">
        <f>"05"</f>
        <v>05</v>
      </c>
      <c r="H2754">
        <v>172</v>
      </c>
      <c r="I2754" t="s">
        <v>141</v>
      </c>
      <c r="J2754" t="s">
        <v>144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R2754" t="s">
        <v>127</v>
      </c>
      <c r="S2754" t="str">
        <f t="shared" si="1088"/>
        <v>15:12:10.000</v>
      </c>
      <c r="T2754" t="str">
        <f t="shared" si="1088"/>
        <v>15:12:10.000</v>
      </c>
      <c r="U2754" t="str">
        <f t="shared" ref="U2754:U2817" si="1091">"A68FCB"</f>
        <v>A68FCB</v>
      </c>
      <c r="V2754">
        <v>0</v>
      </c>
      <c r="W2754">
        <v>0</v>
      </c>
      <c r="X2754">
        <v>2</v>
      </c>
      <c r="Y2754">
        <v>0</v>
      </c>
      <c r="AA2754">
        <v>1</v>
      </c>
      <c r="AB2754">
        <v>8</v>
      </c>
      <c r="AC2754">
        <v>3</v>
      </c>
      <c r="AD2754">
        <v>0</v>
      </c>
      <c r="AE2754">
        <v>9</v>
      </c>
      <c r="AF2754" t="s">
        <v>138</v>
      </c>
      <c r="AG2754">
        <v>0</v>
      </c>
      <c r="AH2754">
        <v>3</v>
      </c>
      <c r="AI2754">
        <v>2</v>
      </c>
      <c r="AJ2754">
        <v>0</v>
      </c>
      <c r="AK2754" t="s">
        <v>932</v>
      </c>
      <c r="AL2754">
        <v>39.099440999999999</v>
      </c>
      <c r="AM2754" t="s">
        <v>933</v>
      </c>
      <c r="AN2754">
        <v>-121.033888</v>
      </c>
      <c r="AO2754">
        <v>25</v>
      </c>
      <c r="AP2754">
        <v>4400</v>
      </c>
      <c r="AQ2754" t="s">
        <v>131</v>
      </c>
      <c r="AR2754">
        <v>15</v>
      </c>
      <c r="AS2754">
        <v>76</v>
      </c>
      <c r="AT2754">
        <v>-448</v>
      </c>
      <c r="BB2754" t="str">
        <f t="shared" ref="BB2754:BB2817" si="1092">"1200"</f>
        <v>1200</v>
      </c>
      <c r="BC2754">
        <v>1</v>
      </c>
      <c r="BD2754" t="str">
        <f t="shared" ref="BD2754:BD2817" si="1093">"N52156  "</f>
        <v xml:space="preserve">N52156  </v>
      </c>
      <c r="BE2754">
        <v>1</v>
      </c>
      <c r="BG2754">
        <v>0</v>
      </c>
      <c r="BH2754">
        <v>0</v>
      </c>
      <c r="BI2754">
        <v>0</v>
      </c>
      <c r="BJ2754">
        <v>4450</v>
      </c>
      <c r="BK2754">
        <v>50</v>
      </c>
      <c r="BL2754" t="s">
        <v>188</v>
      </c>
      <c r="BM2754">
        <v>1</v>
      </c>
      <c r="BN2754">
        <v>1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 t="shared" si="1089"/>
        <v>15:12:10.373</v>
      </c>
      <c r="CF2754">
        <v>372724975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5</v>
      </c>
      <c r="CY2754">
        <v>7</v>
      </c>
      <c r="CZ2754" t="s">
        <v>133</v>
      </c>
      <c r="DA2754">
        <v>275</v>
      </c>
      <c r="DB2754">
        <v>0</v>
      </c>
      <c r="DC2754" t="s">
        <v>134</v>
      </c>
      <c r="DD2754" t="s">
        <v>135</v>
      </c>
      <c r="DG2754">
        <v>3322006</v>
      </c>
      <c r="DI2754">
        <v>1</v>
      </c>
      <c r="DJ2754">
        <v>0</v>
      </c>
      <c r="DK2754">
        <v>1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"05/01/2025 15:12:10.638"</f>
        <v>05/01/2025 15:12:10.638</v>
      </c>
      <c r="C2755" t="str">
        <f t="shared" si="1090"/>
        <v>FFDFD3C0</v>
      </c>
      <c r="D2755" t="s">
        <v>140</v>
      </c>
      <c r="E2755" t="str">
        <f>"13"</f>
        <v>13</v>
      </c>
      <c r="F2755">
        <v>1019</v>
      </c>
      <c r="G2755" t="s">
        <v>141</v>
      </c>
      <c r="J2755" t="s">
        <v>142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R2755" t="s">
        <v>127</v>
      </c>
      <c r="S2755" t="str">
        <f t="shared" si="1088"/>
        <v>15:12:10.000</v>
      </c>
      <c r="T2755" t="str">
        <f t="shared" si="1088"/>
        <v>15:12:10.000</v>
      </c>
      <c r="U2755" t="str">
        <f t="shared" si="1091"/>
        <v>A68FCB</v>
      </c>
      <c r="V2755">
        <v>0</v>
      </c>
      <c r="W2755">
        <v>0</v>
      </c>
      <c r="X2755">
        <v>2</v>
      </c>
      <c r="Y2755">
        <v>0</v>
      </c>
      <c r="AA2755">
        <v>1</v>
      </c>
      <c r="AB2755">
        <v>8</v>
      </c>
      <c r="AC2755">
        <v>3</v>
      </c>
      <c r="AD2755">
        <v>0</v>
      </c>
      <c r="AE2755">
        <v>9</v>
      </c>
      <c r="AF2755" t="s">
        <v>138</v>
      </c>
      <c r="AG2755">
        <v>0</v>
      </c>
      <c r="AH2755">
        <v>3</v>
      </c>
      <c r="AI2755">
        <v>2</v>
      </c>
      <c r="AJ2755">
        <v>0</v>
      </c>
      <c r="AK2755" t="s">
        <v>932</v>
      </c>
      <c r="AL2755">
        <v>39.099440999999999</v>
      </c>
      <c r="AM2755" t="s">
        <v>933</v>
      </c>
      <c r="AN2755">
        <v>-121.033888</v>
      </c>
      <c r="AO2755">
        <v>25</v>
      </c>
      <c r="AP2755">
        <v>4400</v>
      </c>
      <c r="AQ2755" t="s">
        <v>131</v>
      </c>
      <c r="AR2755">
        <v>15</v>
      </c>
      <c r="AS2755">
        <v>76</v>
      </c>
      <c r="AT2755">
        <v>-448</v>
      </c>
      <c r="BB2755" t="str">
        <f t="shared" si="1092"/>
        <v>1200</v>
      </c>
      <c r="BC2755">
        <v>1</v>
      </c>
      <c r="BD2755" t="str">
        <f t="shared" si="1093"/>
        <v xml:space="preserve">N52156  </v>
      </c>
      <c r="BE2755">
        <v>1</v>
      </c>
      <c r="BG2755">
        <v>0</v>
      </c>
      <c r="BH2755">
        <v>0</v>
      </c>
      <c r="BI2755">
        <v>0</v>
      </c>
      <c r="BJ2755">
        <v>4450</v>
      </c>
      <c r="BK2755">
        <v>50</v>
      </c>
      <c r="BL2755" t="s">
        <v>188</v>
      </c>
      <c r="BM2755">
        <v>1</v>
      </c>
      <c r="BN2755">
        <v>1</v>
      </c>
      <c r="BO2755">
        <v>0</v>
      </c>
      <c r="BP2755">
        <v>0</v>
      </c>
      <c r="BS2755">
        <v>0</v>
      </c>
      <c r="BT2755">
        <v>0</v>
      </c>
      <c r="BU2755">
        <v>0</v>
      </c>
      <c r="CE2755" t="str">
        <f t="shared" si="1089"/>
        <v>15:12:10.373</v>
      </c>
      <c r="CF2755">
        <v>372724975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5</v>
      </c>
      <c r="CY2755">
        <v>7</v>
      </c>
      <c r="CZ2755" t="s">
        <v>133</v>
      </c>
      <c r="DA2755">
        <v>275</v>
      </c>
      <c r="DB2755">
        <v>0</v>
      </c>
      <c r="DC2755" t="s">
        <v>134</v>
      </c>
      <c r="DD2755" t="s">
        <v>135</v>
      </c>
      <c r="DG2755">
        <v>3322006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"05/01/2025 15:12:12.115"</f>
        <v>05/01/2025 15:12:12.115</v>
      </c>
      <c r="C2756" t="str">
        <f t="shared" si="1090"/>
        <v>FFDFD3C0</v>
      </c>
      <c r="D2756" t="s">
        <v>136</v>
      </c>
      <c r="E2756" t="str">
        <f>"20"</f>
        <v>20</v>
      </c>
      <c r="H2756">
        <v>400</v>
      </c>
      <c r="I2756" t="s">
        <v>137</v>
      </c>
      <c r="J2756" t="s">
        <v>138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R2756" t="s">
        <v>127</v>
      </c>
      <c r="S2756" t="str">
        <f t="shared" ref="S2756:T2761" si="1094">"15:12:11.000"</f>
        <v>15:12:11.000</v>
      </c>
      <c r="T2756" t="str">
        <f t="shared" si="1094"/>
        <v>15:12:11.000</v>
      </c>
      <c r="U2756" t="str">
        <f t="shared" si="1091"/>
        <v>A68FCB</v>
      </c>
      <c r="V2756">
        <v>0</v>
      </c>
      <c r="W2756">
        <v>0</v>
      </c>
      <c r="X2756">
        <v>2</v>
      </c>
      <c r="Y2756">
        <v>0</v>
      </c>
      <c r="AA2756">
        <v>1</v>
      </c>
      <c r="AB2756">
        <v>8</v>
      </c>
      <c r="AC2756">
        <v>3</v>
      </c>
      <c r="AD2756">
        <v>0</v>
      </c>
      <c r="AE2756">
        <v>9</v>
      </c>
      <c r="AF2756" t="s">
        <v>138</v>
      </c>
      <c r="AG2756">
        <v>0</v>
      </c>
      <c r="AH2756">
        <v>3</v>
      </c>
      <c r="AI2756">
        <v>2</v>
      </c>
      <c r="AJ2756">
        <v>0</v>
      </c>
      <c r="AK2756" t="s">
        <v>934</v>
      </c>
      <c r="AL2756">
        <v>39.099805000000003</v>
      </c>
      <c r="AM2756" t="s">
        <v>935</v>
      </c>
      <c r="AN2756">
        <v>-121.03380199999999</v>
      </c>
      <c r="AO2756">
        <v>25</v>
      </c>
      <c r="AP2756">
        <v>4400</v>
      </c>
      <c r="AQ2756" t="s">
        <v>131</v>
      </c>
      <c r="AR2756">
        <v>13</v>
      </c>
      <c r="AS2756">
        <v>79</v>
      </c>
      <c r="AT2756">
        <v>-320</v>
      </c>
      <c r="BB2756" t="str">
        <f t="shared" si="1092"/>
        <v>1200</v>
      </c>
      <c r="BC2756">
        <v>1</v>
      </c>
      <c r="BD2756" t="str">
        <f t="shared" si="1093"/>
        <v xml:space="preserve">N52156  </v>
      </c>
      <c r="BE2756">
        <v>1</v>
      </c>
      <c r="BG2756">
        <v>0</v>
      </c>
      <c r="BH2756">
        <v>0</v>
      </c>
      <c r="BI2756">
        <v>0</v>
      </c>
      <c r="BJ2756">
        <v>4450</v>
      </c>
      <c r="BK2756">
        <v>50</v>
      </c>
      <c r="BL2756" t="s">
        <v>188</v>
      </c>
      <c r="BM2756">
        <v>1</v>
      </c>
      <c r="BN2756">
        <v>1</v>
      </c>
      <c r="BO2756">
        <v>0</v>
      </c>
      <c r="BP2756">
        <v>0</v>
      </c>
      <c r="BS2756">
        <v>0</v>
      </c>
      <c r="BT2756">
        <v>0</v>
      </c>
      <c r="BU2756">
        <v>0</v>
      </c>
      <c r="CE2756" t="str">
        <f t="shared" ref="CE2756:CE2761" si="1095">"15:12:11.899"</f>
        <v>15:12:11.899</v>
      </c>
      <c r="CF2756">
        <v>898726425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5</v>
      </c>
      <c r="CY2756">
        <v>7</v>
      </c>
      <c r="CZ2756" t="s">
        <v>133</v>
      </c>
      <c r="DA2756">
        <v>275</v>
      </c>
      <c r="DB2756">
        <v>0</v>
      </c>
      <c r="DC2756" t="s">
        <v>134</v>
      </c>
      <c r="DD2756" t="s">
        <v>135</v>
      </c>
      <c r="DG2756">
        <v>3322015</v>
      </c>
      <c r="DI2756">
        <v>1</v>
      </c>
      <c r="DJ2756">
        <v>0</v>
      </c>
      <c r="DK2756">
        <v>0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>"05/01/2025 15:12:12.122"</f>
        <v>05/01/2025 15:12:12.122</v>
      </c>
      <c r="C2757" t="str">
        <f t="shared" si="1090"/>
        <v>FFDFD3C0</v>
      </c>
      <c r="D2757" t="s">
        <v>143</v>
      </c>
      <c r="E2757" t="str">
        <f>"05"</f>
        <v>05</v>
      </c>
      <c r="H2757">
        <v>172</v>
      </c>
      <c r="I2757" t="s">
        <v>141</v>
      </c>
      <c r="J2757" t="s">
        <v>144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R2757" t="s">
        <v>127</v>
      </c>
      <c r="S2757" t="str">
        <f t="shared" si="1094"/>
        <v>15:12:11.000</v>
      </c>
      <c r="T2757" t="str">
        <f t="shared" si="1094"/>
        <v>15:12:11.000</v>
      </c>
      <c r="U2757" t="str">
        <f t="shared" si="1091"/>
        <v>A68FCB</v>
      </c>
      <c r="V2757">
        <v>0</v>
      </c>
      <c r="W2757">
        <v>0</v>
      </c>
      <c r="X2757">
        <v>2</v>
      </c>
      <c r="Y2757">
        <v>0</v>
      </c>
      <c r="AA2757">
        <v>1</v>
      </c>
      <c r="AB2757">
        <v>8</v>
      </c>
      <c r="AC2757">
        <v>3</v>
      </c>
      <c r="AD2757">
        <v>0</v>
      </c>
      <c r="AE2757">
        <v>9</v>
      </c>
      <c r="AF2757" t="s">
        <v>138</v>
      </c>
      <c r="AG2757">
        <v>0</v>
      </c>
      <c r="AH2757">
        <v>3</v>
      </c>
      <c r="AI2757">
        <v>2</v>
      </c>
      <c r="AJ2757">
        <v>0</v>
      </c>
      <c r="AK2757" t="s">
        <v>934</v>
      </c>
      <c r="AL2757">
        <v>39.099805000000003</v>
      </c>
      <c r="AM2757" t="s">
        <v>935</v>
      </c>
      <c r="AN2757">
        <v>-121.03380199999999</v>
      </c>
      <c r="AO2757">
        <v>25</v>
      </c>
      <c r="AP2757">
        <v>4400</v>
      </c>
      <c r="AQ2757" t="s">
        <v>131</v>
      </c>
      <c r="AR2757">
        <v>13</v>
      </c>
      <c r="AS2757">
        <v>79</v>
      </c>
      <c r="AT2757">
        <v>-320</v>
      </c>
      <c r="BB2757" t="str">
        <f t="shared" si="1092"/>
        <v>1200</v>
      </c>
      <c r="BC2757">
        <v>1</v>
      </c>
      <c r="BD2757" t="str">
        <f t="shared" si="1093"/>
        <v xml:space="preserve">N52156  </v>
      </c>
      <c r="BE2757">
        <v>1</v>
      </c>
      <c r="BG2757">
        <v>0</v>
      </c>
      <c r="BH2757">
        <v>0</v>
      </c>
      <c r="BI2757">
        <v>0</v>
      </c>
      <c r="BJ2757">
        <v>4450</v>
      </c>
      <c r="BK2757">
        <v>50</v>
      </c>
      <c r="BL2757" t="s">
        <v>188</v>
      </c>
      <c r="BM2757">
        <v>1</v>
      </c>
      <c r="BN2757">
        <v>1</v>
      </c>
      <c r="BO2757">
        <v>0</v>
      </c>
      <c r="BP2757">
        <v>0</v>
      </c>
      <c r="BS2757">
        <v>0</v>
      </c>
      <c r="BT2757">
        <v>0</v>
      </c>
      <c r="BU2757">
        <v>0</v>
      </c>
      <c r="CE2757" t="str">
        <f t="shared" si="1095"/>
        <v>15:12:11.899</v>
      </c>
      <c r="CF2757">
        <v>898726425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5</v>
      </c>
      <c r="CY2757">
        <v>7</v>
      </c>
      <c r="CZ2757" t="s">
        <v>133</v>
      </c>
      <c r="DA2757">
        <v>275</v>
      </c>
      <c r="DB2757">
        <v>0</v>
      </c>
      <c r="DC2757" t="s">
        <v>134</v>
      </c>
      <c r="DD2757" t="s">
        <v>135</v>
      </c>
      <c r="DG2757">
        <v>3322015</v>
      </c>
      <c r="DI2757">
        <v>1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"05/01/2025 15:12:12.140"</f>
        <v>05/01/2025 15:12:12.140</v>
      </c>
      <c r="C2758" t="str">
        <f t="shared" si="1090"/>
        <v>FFDFD3C0</v>
      </c>
      <c r="D2758" t="s">
        <v>140</v>
      </c>
      <c r="E2758" t="str">
        <f>"13"</f>
        <v>13</v>
      </c>
      <c r="F2758">
        <v>1019</v>
      </c>
      <c r="G2758" t="s">
        <v>141</v>
      </c>
      <c r="J2758" t="s">
        <v>142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R2758" t="s">
        <v>127</v>
      </c>
      <c r="S2758" t="str">
        <f t="shared" si="1094"/>
        <v>15:12:11.000</v>
      </c>
      <c r="T2758" t="str">
        <f t="shared" si="1094"/>
        <v>15:12:11.000</v>
      </c>
      <c r="U2758" t="str">
        <f t="shared" si="1091"/>
        <v>A68FCB</v>
      </c>
      <c r="V2758">
        <v>0</v>
      </c>
      <c r="W2758">
        <v>0</v>
      </c>
      <c r="X2758">
        <v>2</v>
      </c>
      <c r="Y2758">
        <v>0</v>
      </c>
      <c r="AA2758">
        <v>1</v>
      </c>
      <c r="AB2758">
        <v>8</v>
      </c>
      <c r="AC2758">
        <v>3</v>
      </c>
      <c r="AD2758">
        <v>0</v>
      </c>
      <c r="AE2758">
        <v>9</v>
      </c>
      <c r="AF2758" t="s">
        <v>138</v>
      </c>
      <c r="AG2758">
        <v>0</v>
      </c>
      <c r="AH2758">
        <v>3</v>
      </c>
      <c r="AI2758">
        <v>2</v>
      </c>
      <c r="AJ2758">
        <v>0</v>
      </c>
      <c r="AK2758" t="s">
        <v>934</v>
      </c>
      <c r="AL2758">
        <v>39.099805000000003</v>
      </c>
      <c r="AM2758" t="s">
        <v>935</v>
      </c>
      <c r="AN2758">
        <v>-121.03380199999999</v>
      </c>
      <c r="AO2758">
        <v>25</v>
      </c>
      <c r="AP2758">
        <v>4400</v>
      </c>
      <c r="AQ2758" t="s">
        <v>131</v>
      </c>
      <c r="AR2758">
        <v>13</v>
      </c>
      <c r="AS2758">
        <v>79</v>
      </c>
      <c r="AT2758">
        <v>-320</v>
      </c>
      <c r="BB2758" t="str">
        <f t="shared" si="1092"/>
        <v>1200</v>
      </c>
      <c r="BC2758">
        <v>1</v>
      </c>
      <c r="BD2758" t="str">
        <f t="shared" si="1093"/>
        <v xml:space="preserve">N52156  </v>
      </c>
      <c r="BE2758">
        <v>1</v>
      </c>
      <c r="BG2758">
        <v>0</v>
      </c>
      <c r="BH2758">
        <v>0</v>
      </c>
      <c r="BI2758">
        <v>0</v>
      </c>
      <c r="BJ2758">
        <v>4450</v>
      </c>
      <c r="BK2758">
        <v>50</v>
      </c>
      <c r="BL2758" t="s">
        <v>188</v>
      </c>
      <c r="BM2758">
        <v>1</v>
      </c>
      <c r="BN2758">
        <v>1</v>
      </c>
      <c r="BO2758">
        <v>0</v>
      </c>
      <c r="BP2758">
        <v>0</v>
      </c>
      <c r="BS2758">
        <v>0</v>
      </c>
      <c r="BT2758">
        <v>0</v>
      </c>
      <c r="BU2758">
        <v>0</v>
      </c>
      <c r="CE2758" t="str">
        <f t="shared" si="1095"/>
        <v>15:12:11.899</v>
      </c>
      <c r="CF2758">
        <v>898726425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5</v>
      </c>
      <c r="CY2758">
        <v>7</v>
      </c>
      <c r="CZ2758" t="s">
        <v>133</v>
      </c>
      <c r="DA2758">
        <v>275</v>
      </c>
      <c r="DB2758">
        <v>0</v>
      </c>
      <c r="DC2758" t="s">
        <v>134</v>
      </c>
      <c r="DD2758" t="s">
        <v>135</v>
      </c>
      <c r="DG2758">
        <v>3322015</v>
      </c>
      <c r="DI2758">
        <v>1</v>
      </c>
      <c r="DJ2758">
        <v>0</v>
      </c>
      <c r="DK2758">
        <v>1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>"05/01/2025 15:12:12.144"</f>
        <v>05/01/2025 15:12:12.144</v>
      </c>
      <c r="C2759" t="str">
        <f t="shared" si="1090"/>
        <v>FFDFD3C0</v>
      </c>
      <c r="D2759" t="s">
        <v>124</v>
      </c>
      <c r="E2759" t="str">
        <f>"06"</f>
        <v>06</v>
      </c>
      <c r="F2759">
        <v>2006</v>
      </c>
      <c r="G2759" t="s">
        <v>125</v>
      </c>
      <c r="J2759" t="s">
        <v>126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R2759" t="s">
        <v>127</v>
      </c>
      <c r="S2759" t="str">
        <f t="shared" si="1094"/>
        <v>15:12:11.000</v>
      </c>
      <c r="T2759" t="str">
        <f t="shared" si="1094"/>
        <v>15:12:11.000</v>
      </c>
      <c r="U2759" t="str">
        <f t="shared" si="1091"/>
        <v>A68FCB</v>
      </c>
      <c r="V2759">
        <v>0</v>
      </c>
      <c r="W2759">
        <v>0</v>
      </c>
      <c r="X2759">
        <v>2</v>
      </c>
      <c r="Y2759">
        <v>0</v>
      </c>
      <c r="AA2759">
        <v>1</v>
      </c>
      <c r="AB2759">
        <v>8</v>
      </c>
      <c r="AC2759">
        <v>3</v>
      </c>
      <c r="AD2759">
        <v>0</v>
      </c>
      <c r="AE2759">
        <v>9</v>
      </c>
      <c r="AF2759" t="s">
        <v>138</v>
      </c>
      <c r="AG2759">
        <v>0</v>
      </c>
      <c r="AH2759">
        <v>3</v>
      </c>
      <c r="AI2759">
        <v>2</v>
      </c>
      <c r="AJ2759">
        <v>0</v>
      </c>
      <c r="AK2759" t="s">
        <v>934</v>
      </c>
      <c r="AL2759">
        <v>39.099805000000003</v>
      </c>
      <c r="AM2759" t="s">
        <v>935</v>
      </c>
      <c r="AN2759">
        <v>-121.03380199999999</v>
      </c>
      <c r="AO2759">
        <v>25</v>
      </c>
      <c r="AP2759">
        <v>4400</v>
      </c>
      <c r="AQ2759" t="s">
        <v>131</v>
      </c>
      <c r="AR2759">
        <v>13</v>
      </c>
      <c r="AS2759">
        <v>79</v>
      </c>
      <c r="AT2759">
        <v>-320</v>
      </c>
      <c r="BB2759" t="str">
        <f t="shared" si="1092"/>
        <v>1200</v>
      </c>
      <c r="BC2759">
        <v>1</v>
      </c>
      <c r="BD2759" t="str">
        <f t="shared" si="1093"/>
        <v xml:space="preserve">N52156  </v>
      </c>
      <c r="BE2759">
        <v>1</v>
      </c>
      <c r="BG2759">
        <v>0</v>
      </c>
      <c r="BH2759">
        <v>0</v>
      </c>
      <c r="BI2759">
        <v>0</v>
      </c>
      <c r="BJ2759">
        <v>4450</v>
      </c>
      <c r="BK2759">
        <v>50</v>
      </c>
      <c r="BL2759" t="s">
        <v>188</v>
      </c>
      <c r="BM2759">
        <v>1</v>
      </c>
      <c r="BN2759">
        <v>1</v>
      </c>
      <c r="BO2759">
        <v>0</v>
      </c>
      <c r="BP2759">
        <v>0</v>
      </c>
      <c r="BS2759">
        <v>0</v>
      </c>
      <c r="BT2759">
        <v>0</v>
      </c>
      <c r="BU2759">
        <v>0</v>
      </c>
      <c r="CE2759" t="str">
        <f t="shared" si="1095"/>
        <v>15:12:11.899</v>
      </c>
      <c r="CF2759">
        <v>898726425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5</v>
      </c>
      <c r="CY2759">
        <v>7</v>
      </c>
      <c r="CZ2759" t="s">
        <v>133</v>
      </c>
      <c r="DA2759">
        <v>275</v>
      </c>
      <c r="DB2759">
        <v>0</v>
      </c>
      <c r="DC2759" t="s">
        <v>134</v>
      </c>
      <c r="DD2759" t="s">
        <v>135</v>
      </c>
      <c r="DG2759">
        <v>3322015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>"05/01/2025 15:12:12.155"</f>
        <v>05/01/2025 15:12:12.155</v>
      </c>
      <c r="C2760" t="str">
        <f t="shared" si="1090"/>
        <v>FFDFD3C0</v>
      </c>
      <c r="D2760" t="s">
        <v>145</v>
      </c>
      <c r="E2760" t="str">
        <f>"09"</f>
        <v>09</v>
      </c>
      <c r="H2760">
        <v>51</v>
      </c>
      <c r="I2760" t="s">
        <v>147</v>
      </c>
      <c r="J2760" t="s">
        <v>138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R2760" t="s">
        <v>127</v>
      </c>
      <c r="S2760" t="str">
        <f t="shared" si="1094"/>
        <v>15:12:11.000</v>
      </c>
      <c r="T2760" t="str">
        <f t="shared" si="1094"/>
        <v>15:12:11.000</v>
      </c>
      <c r="U2760" t="str">
        <f t="shared" si="1091"/>
        <v>A68FCB</v>
      </c>
      <c r="V2760">
        <v>0</v>
      </c>
      <c r="W2760">
        <v>0</v>
      </c>
      <c r="X2760">
        <v>2</v>
      </c>
      <c r="Y2760">
        <v>0</v>
      </c>
      <c r="AA2760">
        <v>1</v>
      </c>
      <c r="AB2760">
        <v>8</v>
      </c>
      <c r="AC2760">
        <v>3</v>
      </c>
      <c r="AD2760">
        <v>0</v>
      </c>
      <c r="AE2760">
        <v>9</v>
      </c>
      <c r="AF2760" t="s">
        <v>138</v>
      </c>
      <c r="AG2760">
        <v>0</v>
      </c>
      <c r="AH2760">
        <v>3</v>
      </c>
      <c r="AI2760">
        <v>2</v>
      </c>
      <c r="AJ2760">
        <v>0</v>
      </c>
      <c r="AK2760" t="s">
        <v>934</v>
      </c>
      <c r="AL2760">
        <v>39.099805000000003</v>
      </c>
      <c r="AM2760" t="s">
        <v>935</v>
      </c>
      <c r="AN2760">
        <v>-121.03380199999999</v>
      </c>
      <c r="AO2760">
        <v>25</v>
      </c>
      <c r="AP2760">
        <v>4400</v>
      </c>
      <c r="AQ2760" t="s">
        <v>131</v>
      </c>
      <c r="AR2760">
        <v>13</v>
      </c>
      <c r="AS2760">
        <v>79</v>
      </c>
      <c r="AT2760">
        <v>-320</v>
      </c>
      <c r="BB2760" t="str">
        <f t="shared" si="1092"/>
        <v>1200</v>
      </c>
      <c r="BC2760">
        <v>1</v>
      </c>
      <c r="BD2760" t="str">
        <f t="shared" si="1093"/>
        <v xml:space="preserve">N52156  </v>
      </c>
      <c r="BE2760">
        <v>1</v>
      </c>
      <c r="BG2760">
        <v>0</v>
      </c>
      <c r="BH2760">
        <v>0</v>
      </c>
      <c r="BI2760">
        <v>0</v>
      </c>
      <c r="BJ2760">
        <v>4450</v>
      </c>
      <c r="BK2760">
        <v>50</v>
      </c>
      <c r="BL2760" t="s">
        <v>188</v>
      </c>
      <c r="BM2760">
        <v>1</v>
      </c>
      <c r="BN2760">
        <v>1</v>
      </c>
      <c r="BO2760">
        <v>0</v>
      </c>
      <c r="BP2760">
        <v>0</v>
      </c>
      <c r="BS2760">
        <v>0</v>
      </c>
      <c r="BT2760">
        <v>0</v>
      </c>
      <c r="BU2760">
        <v>0</v>
      </c>
      <c r="CE2760" t="str">
        <f t="shared" si="1095"/>
        <v>15:12:11.899</v>
      </c>
      <c r="CF2760">
        <v>898726425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5</v>
      </c>
      <c r="CY2760">
        <v>7</v>
      </c>
      <c r="CZ2760" t="s">
        <v>133</v>
      </c>
      <c r="DA2760">
        <v>275</v>
      </c>
      <c r="DB2760">
        <v>0</v>
      </c>
      <c r="DC2760" t="s">
        <v>134</v>
      </c>
      <c r="DD2760" t="s">
        <v>135</v>
      </c>
      <c r="DG2760">
        <v>3322015</v>
      </c>
      <c r="DI2760">
        <v>1</v>
      </c>
      <c r="DJ2760">
        <v>0</v>
      </c>
      <c r="DK2760">
        <v>1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>"05/01/2025 15:12:12.155"</f>
        <v>05/01/2025 15:12:12.155</v>
      </c>
      <c r="C2761" t="str">
        <f t="shared" si="1090"/>
        <v>FFDFD3C0</v>
      </c>
      <c r="D2761" t="s">
        <v>145</v>
      </c>
      <c r="E2761" t="str">
        <f>"05"</f>
        <v>05</v>
      </c>
      <c r="H2761">
        <v>47</v>
      </c>
      <c r="I2761" t="s">
        <v>146</v>
      </c>
      <c r="J2761" t="s">
        <v>138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R2761" t="s">
        <v>127</v>
      </c>
      <c r="S2761" t="str">
        <f t="shared" si="1094"/>
        <v>15:12:11.000</v>
      </c>
      <c r="T2761" t="str">
        <f t="shared" si="1094"/>
        <v>15:12:11.000</v>
      </c>
      <c r="U2761" t="str">
        <f t="shared" si="1091"/>
        <v>A68FCB</v>
      </c>
      <c r="V2761">
        <v>0</v>
      </c>
      <c r="W2761">
        <v>0</v>
      </c>
      <c r="X2761">
        <v>2</v>
      </c>
      <c r="Y2761">
        <v>0</v>
      </c>
      <c r="AA2761">
        <v>1</v>
      </c>
      <c r="AB2761">
        <v>8</v>
      </c>
      <c r="AC2761">
        <v>3</v>
      </c>
      <c r="AD2761">
        <v>0</v>
      </c>
      <c r="AE2761">
        <v>9</v>
      </c>
      <c r="AF2761" t="s">
        <v>138</v>
      </c>
      <c r="AG2761">
        <v>0</v>
      </c>
      <c r="AH2761">
        <v>3</v>
      </c>
      <c r="AI2761">
        <v>2</v>
      </c>
      <c r="AJ2761">
        <v>0</v>
      </c>
      <c r="AK2761" t="s">
        <v>934</v>
      </c>
      <c r="AL2761">
        <v>39.099805000000003</v>
      </c>
      <c r="AM2761" t="s">
        <v>935</v>
      </c>
      <c r="AN2761">
        <v>-121.03380199999999</v>
      </c>
      <c r="AO2761">
        <v>25</v>
      </c>
      <c r="AP2761">
        <v>4400</v>
      </c>
      <c r="AQ2761" t="s">
        <v>131</v>
      </c>
      <c r="AR2761">
        <v>13</v>
      </c>
      <c r="AS2761">
        <v>79</v>
      </c>
      <c r="AT2761">
        <v>-320</v>
      </c>
      <c r="BB2761" t="str">
        <f t="shared" si="1092"/>
        <v>1200</v>
      </c>
      <c r="BC2761">
        <v>1</v>
      </c>
      <c r="BD2761" t="str">
        <f t="shared" si="1093"/>
        <v xml:space="preserve">N52156  </v>
      </c>
      <c r="BE2761">
        <v>1</v>
      </c>
      <c r="BG2761">
        <v>0</v>
      </c>
      <c r="BH2761">
        <v>0</v>
      </c>
      <c r="BI2761">
        <v>0</v>
      </c>
      <c r="BJ2761">
        <v>4450</v>
      </c>
      <c r="BK2761">
        <v>50</v>
      </c>
      <c r="BL2761" t="s">
        <v>188</v>
      </c>
      <c r="BM2761">
        <v>1</v>
      </c>
      <c r="BN2761">
        <v>1</v>
      </c>
      <c r="BO2761">
        <v>0</v>
      </c>
      <c r="BP2761">
        <v>0</v>
      </c>
      <c r="BS2761">
        <v>0</v>
      </c>
      <c r="BT2761">
        <v>0</v>
      </c>
      <c r="BU2761">
        <v>0</v>
      </c>
      <c r="CE2761" t="str">
        <f t="shared" si="1095"/>
        <v>15:12:11.899</v>
      </c>
      <c r="CF2761">
        <v>898726425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5</v>
      </c>
      <c r="CY2761">
        <v>7</v>
      </c>
      <c r="CZ2761" t="s">
        <v>133</v>
      </c>
      <c r="DA2761">
        <v>275</v>
      </c>
      <c r="DB2761">
        <v>0</v>
      </c>
      <c r="DC2761" t="s">
        <v>134</v>
      </c>
      <c r="DD2761" t="s">
        <v>135</v>
      </c>
      <c r="DG2761">
        <v>3322015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>"05/01/2025 15:12:12.792"</f>
        <v>05/01/2025 15:12:12.792</v>
      </c>
      <c r="C2762" t="str">
        <f t="shared" si="1090"/>
        <v>FFDFD3C0</v>
      </c>
      <c r="D2762" t="s">
        <v>140</v>
      </c>
      <c r="E2762" t="str">
        <f>"13"</f>
        <v>13</v>
      </c>
      <c r="F2762">
        <v>1019</v>
      </c>
      <c r="G2762" t="s">
        <v>141</v>
      </c>
      <c r="J2762" t="s">
        <v>142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R2762" t="s">
        <v>127</v>
      </c>
      <c r="S2762" t="str">
        <f t="shared" ref="S2762:T2767" si="1096">"15:12:12.000"</f>
        <v>15:12:12.000</v>
      </c>
      <c r="T2762" t="str">
        <f t="shared" si="1096"/>
        <v>15:12:12.000</v>
      </c>
      <c r="U2762" t="str">
        <f t="shared" si="1091"/>
        <v>A68FCB</v>
      </c>
      <c r="V2762">
        <v>0</v>
      </c>
      <c r="W2762">
        <v>0</v>
      </c>
      <c r="X2762">
        <v>2</v>
      </c>
      <c r="Y2762">
        <v>0</v>
      </c>
      <c r="AA2762">
        <v>1</v>
      </c>
      <c r="AB2762">
        <v>8</v>
      </c>
      <c r="AC2762">
        <v>3</v>
      </c>
      <c r="AD2762">
        <v>0</v>
      </c>
      <c r="AE2762">
        <v>9</v>
      </c>
      <c r="AF2762" t="s">
        <v>138</v>
      </c>
      <c r="AG2762">
        <v>0</v>
      </c>
      <c r="AH2762">
        <v>3</v>
      </c>
      <c r="AI2762">
        <v>2</v>
      </c>
      <c r="AJ2762">
        <v>0</v>
      </c>
      <c r="AK2762" t="s">
        <v>936</v>
      </c>
      <c r="AL2762">
        <v>39.100169999999999</v>
      </c>
      <c r="AM2762" t="s">
        <v>937</v>
      </c>
      <c r="AN2762">
        <v>-121.033716</v>
      </c>
      <c r="AO2762">
        <v>25</v>
      </c>
      <c r="AP2762">
        <v>4400</v>
      </c>
      <c r="AQ2762" t="s">
        <v>131</v>
      </c>
      <c r="AR2762">
        <v>13</v>
      </c>
      <c r="AS2762">
        <v>79</v>
      </c>
      <c r="AT2762">
        <v>-320</v>
      </c>
      <c r="BB2762" t="str">
        <f t="shared" si="1092"/>
        <v>1200</v>
      </c>
      <c r="BC2762">
        <v>1</v>
      </c>
      <c r="BD2762" t="str">
        <f t="shared" si="1093"/>
        <v xml:space="preserve">N52156  </v>
      </c>
      <c r="BE2762">
        <v>1</v>
      </c>
      <c r="BG2762">
        <v>0</v>
      </c>
      <c r="BH2762">
        <v>0</v>
      </c>
      <c r="BI2762">
        <v>0</v>
      </c>
      <c r="BJ2762">
        <v>4425</v>
      </c>
      <c r="BK2762">
        <v>25</v>
      </c>
      <c r="BL2762" t="s">
        <v>188</v>
      </c>
      <c r="BM2762">
        <v>1</v>
      </c>
      <c r="BN2762">
        <v>1</v>
      </c>
      <c r="BO2762">
        <v>0</v>
      </c>
      <c r="BP2762">
        <v>0</v>
      </c>
      <c r="BS2762">
        <v>0</v>
      </c>
      <c r="BT2762">
        <v>0</v>
      </c>
      <c r="BU2762">
        <v>0</v>
      </c>
      <c r="CE2762" t="str">
        <f t="shared" ref="CE2762:CE2767" si="1097">"15:12:12.593"</f>
        <v>15:12:12.593</v>
      </c>
      <c r="CF2762">
        <v>592725717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5</v>
      </c>
      <c r="CY2762">
        <v>7</v>
      </c>
      <c r="CZ2762" t="s">
        <v>133</v>
      </c>
      <c r="DA2762">
        <v>275</v>
      </c>
      <c r="DB2762">
        <v>0</v>
      </c>
      <c r="DC2762" t="s">
        <v>134</v>
      </c>
      <c r="DD2762" t="s">
        <v>135</v>
      </c>
      <c r="DG2762">
        <v>3322021</v>
      </c>
      <c r="DI2762">
        <v>1</v>
      </c>
      <c r="DJ2762">
        <v>0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>"05/01/2025 15:12:12.795"</f>
        <v>05/01/2025 15:12:12.795</v>
      </c>
      <c r="C2763" t="str">
        <f t="shared" si="1090"/>
        <v>FFDFD3C0</v>
      </c>
      <c r="D2763" t="s">
        <v>124</v>
      </c>
      <c r="E2763" t="str">
        <f>"06"</f>
        <v>06</v>
      </c>
      <c r="F2763">
        <v>2006</v>
      </c>
      <c r="G2763" t="s">
        <v>125</v>
      </c>
      <c r="J2763" t="s">
        <v>126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R2763" t="s">
        <v>127</v>
      </c>
      <c r="S2763" t="str">
        <f t="shared" si="1096"/>
        <v>15:12:12.000</v>
      </c>
      <c r="T2763" t="str">
        <f t="shared" si="1096"/>
        <v>15:12:12.000</v>
      </c>
      <c r="U2763" t="str">
        <f t="shared" si="1091"/>
        <v>A68FCB</v>
      </c>
      <c r="V2763">
        <v>0</v>
      </c>
      <c r="W2763">
        <v>0</v>
      </c>
      <c r="X2763">
        <v>2</v>
      </c>
      <c r="Y2763">
        <v>0</v>
      </c>
      <c r="AA2763">
        <v>1</v>
      </c>
      <c r="AB2763">
        <v>8</v>
      </c>
      <c r="AC2763">
        <v>3</v>
      </c>
      <c r="AD2763">
        <v>0</v>
      </c>
      <c r="AE2763">
        <v>9</v>
      </c>
      <c r="AF2763" t="s">
        <v>138</v>
      </c>
      <c r="AG2763">
        <v>0</v>
      </c>
      <c r="AH2763">
        <v>3</v>
      </c>
      <c r="AI2763">
        <v>2</v>
      </c>
      <c r="AJ2763">
        <v>0</v>
      </c>
      <c r="AK2763" t="s">
        <v>936</v>
      </c>
      <c r="AL2763">
        <v>39.100169999999999</v>
      </c>
      <c r="AM2763" t="s">
        <v>937</v>
      </c>
      <c r="AN2763">
        <v>-121.033716</v>
      </c>
      <c r="AO2763">
        <v>25</v>
      </c>
      <c r="AP2763">
        <v>4400</v>
      </c>
      <c r="AQ2763" t="s">
        <v>131</v>
      </c>
      <c r="AR2763">
        <v>13</v>
      </c>
      <c r="AS2763">
        <v>79</v>
      </c>
      <c r="AT2763">
        <v>-320</v>
      </c>
      <c r="BB2763" t="str">
        <f t="shared" si="1092"/>
        <v>1200</v>
      </c>
      <c r="BC2763">
        <v>1</v>
      </c>
      <c r="BD2763" t="str">
        <f t="shared" si="1093"/>
        <v xml:space="preserve">N52156  </v>
      </c>
      <c r="BE2763">
        <v>1</v>
      </c>
      <c r="BG2763">
        <v>0</v>
      </c>
      <c r="BH2763">
        <v>0</v>
      </c>
      <c r="BI2763">
        <v>0</v>
      </c>
      <c r="BJ2763">
        <v>4425</v>
      </c>
      <c r="BK2763">
        <v>25</v>
      </c>
      <c r="BL2763" t="s">
        <v>188</v>
      </c>
      <c r="BM2763">
        <v>1</v>
      </c>
      <c r="BN2763">
        <v>1</v>
      </c>
      <c r="BO2763">
        <v>0</v>
      </c>
      <c r="BP2763">
        <v>0</v>
      </c>
      <c r="BS2763">
        <v>0</v>
      </c>
      <c r="BT2763">
        <v>0</v>
      </c>
      <c r="BU2763">
        <v>0</v>
      </c>
      <c r="CE2763" t="str">
        <f t="shared" si="1097"/>
        <v>15:12:12.593</v>
      </c>
      <c r="CF2763">
        <v>592725717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5</v>
      </c>
      <c r="CY2763">
        <v>7</v>
      </c>
      <c r="CZ2763" t="s">
        <v>133</v>
      </c>
      <c r="DA2763">
        <v>275</v>
      </c>
      <c r="DB2763">
        <v>0</v>
      </c>
      <c r="DC2763" t="s">
        <v>134</v>
      </c>
      <c r="DD2763" t="s">
        <v>135</v>
      </c>
      <c r="DG2763">
        <v>3322021</v>
      </c>
      <c r="DI2763">
        <v>1</v>
      </c>
      <c r="DJ2763">
        <v>0</v>
      </c>
      <c r="DK2763">
        <v>1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>"05/01/2025 15:12:12.806"</f>
        <v>05/01/2025 15:12:12.806</v>
      </c>
      <c r="C2764" t="str">
        <f t="shared" si="1090"/>
        <v>FFDFD3C0</v>
      </c>
      <c r="D2764" t="s">
        <v>145</v>
      </c>
      <c r="E2764" t="str">
        <f>"05"</f>
        <v>05</v>
      </c>
      <c r="H2764">
        <v>47</v>
      </c>
      <c r="I2764" t="s">
        <v>146</v>
      </c>
      <c r="J2764" t="s">
        <v>138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R2764" t="s">
        <v>127</v>
      </c>
      <c r="S2764" t="str">
        <f t="shared" si="1096"/>
        <v>15:12:12.000</v>
      </c>
      <c r="T2764" t="str">
        <f t="shared" si="1096"/>
        <v>15:12:12.000</v>
      </c>
      <c r="U2764" t="str">
        <f t="shared" si="1091"/>
        <v>A68FCB</v>
      </c>
      <c r="V2764">
        <v>0</v>
      </c>
      <c r="W2764">
        <v>0</v>
      </c>
      <c r="X2764">
        <v>2</v>
      </c>
      <c r="Y2764">
        <v>0</v>
      </c>
      <c r="AA2764">
        <v>1</v>
      </c>
      <c r="AB2764">
        <v>8</v>
      </c>
      <c r="AC2764">
        <v>3</v>
      </c>
      <c r="AD2764">
        <v>0</v>
      </c>
      <c r="AE2764">
        <v>9</v>
      </c>
      <c r="AF2764" t="s">
        <v>138</v>
      </c>
      <c r="AG2764">
        <v>0</v>
      </c>
      <c r="AH2764">
        <v>3</v>
      </c>
      <c r="AI2764">
        <v>2</v>
      </c>
      <c r="AJ2764">
        <v>0</v>
      </c>
      <c r="AK2764" t="s">
        <v>936</v>
      </c>
      <c r="AL2764">
        <v>39.100169999999999</v>
      </c>
      <c r="AM2764" t="s">
        <v>937</v>
      </c>
      <c r="AN2764">
        <v>-121.033716</v>
      </c>
      <c r="AO2764">
        <v>25</v>
      </c>
      <c r="AP2764">
        <v>4400</v>
      </c>
      <c r="AQ2764" t="s">
        <v>131</v>
      </c>
      <c r="AR2764">
        <v>13</v>
      </c>
      <c r="AS2764">
        <v>79</v>
      </c>
      <c r="AT2764">
        <v>-320</v>
      </c>
      <c r="BB2764" t="str">
        <f t="shared" si="1092"/>
        <v>1200</v>
      </c>
      <c r="BC2764">
        <v>1</v>
      </c>
      <c r="BD2764" t="str">
        <f t="shared" si="1093"/>
        <v xml:space="preserve">N52156  </v>
      </c>
      <c r="BE2764">
        <v>1</v>
      </c>
      <c r="BG2764">
        <v>0</v>
      </c>
      <c r="BH2764">
        <v>0</v>
      </c>
      <c r="BI2764">
        <v>0</v>
      </c>
      <c r="BJ2764">
        <v>4425</v>
      </c>
      <c r="BK2764">
        <v>25</v>
      </c>
      <c r="BL2764" t="s">
        <v>188</v>
      </c>
      <c r="BM2764">
        <v>1</v>
      </c>
      <c r="BN2764">
        <v>1</v>
      </c>
      <c r="BO2764">
        <v>0</v>
      </c>
      <c r="BP2764">
        <v>0</v>
      </c>
      <c r="BS2764">
        <v>0</v>
      </c>
      <c r="BT2764">
        <v>0</v>
      </c>
      <c r="BU2764">
        <v>0</v>
      </c>
      <c r="CE2764" t="str">
        <f t="shared" si="1097"/>
        <v>15:12:12.593</v>
      </c>
      <c r="CF2764">
        <v>592725717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5</v>
      </c>
      <c r="CY2764">
        <v>7</v>
      </c>
      <c r="CZ2764" t="s">
        <v>133</v>
      </c>
      <c r="DA2764">
        <v>275</v>
      </c>
      <c r="DB2764">
        <v>0</v>
      </c>
      <c r="DC2764" t="s">
        <v>134</v>
      </c>
      <c r="DD2764" t="s">
        <v>135</v>
      </c>
      <c r="DG2764">
        <v>3322021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>"05/01/2025 15:12:12.806"</f>
        <v>05/01/2025 15:12:12.806</v>
      </c>
      <c r="C2765" t="str">
        <f t="shared" si="1090"/>
        <v>FFDFD3C0</v>
      </c>
      <c r="D2765" t="s">
        <v>145</v>
      </c>
      <c r="E2765" t="str">
        <f>"09"</f>
        <v>09</v>
      </c>
      <c r="H2765">
        <v>51</v>
      </c>
      <c r="I2765" t="s">
        <v>147</v>
      </c>
      <c r="J2765" t="s">
        <v>138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R2765" t="s">
        <v>127</v>
      </c>
      <c r="S2765" t="str">
        <f t="shared" si="1096"/>
        <v>15:12:12.000</v>
      </c>
      <c r="T2765" t="str">
        <f t="shared" si="1096"/>
        <v>15:12:12.000</v>
      </c>
      <c r="U2765" t="str">
        <f t="shared" si="1091"/>
        <v>A68FCB</v>
      </c>
      <c r="V2765">
        <v>0</v>
      </c>
      <c r="W2765">
        <v>0</v>
      </c>
      <c r="X2765">
        <v>2</v>
      </c>
      <c r="Y2765">
        <v>0</v>
      </c>
      <c r="AA2765">
        <v>1</v>
      </c>
      <c r="AB2765">
        <v>8</v>
      </c>
      <c r="AC2765">
        <v>3</v>
      </c>
      <c r="AD2765">
        <v>0</v>
      </c>
      <c r="AE2765">
        <v>9</v>
      </c>
      <c r="AF2765" t="s">
        <v>138</v>
      </c>
      <c r="AG2765">
        <v>0</v>
      </c>
      <c r="AH2765">
        <v>3</v>
      </c>
      <c r="AI2765">
        <v>2</v>
      </c>
      <c r="AJ2765">
        <v>0</v>
      </c>
      <c r="AK2765" t="s">
        <v>936</v>
      </c>
      <c r="AL2765">
        <v>39.100169999999999</v>
      </c>
      <c r="AM2765" t="s">
        <v>937</v>
      </c>
      <c r="AN2765">
        <v>-121.033716</v>
      </c>
      <c r="AO2765">
        <v>25</v>
      </c>
      <c r="AP2765">
        <v>4400</v>
      </c>
      <c r="AQ2765" t="s">
        <v>131</v>
      </c>
      <c r="AR2765">
        <v>13</v>
      </c>
      <c r="AS2765">
        <v>79</v>
      </c>
      <c r="AT2765">
        <v>-320</v>
      </c>
      <c r="BB2765" t="str">
        <f t="shared" si="1092"/>
        <v>1200</v>
      </c>
      <c r="BC2765">
        <v>1</v>
      </c>
      <c r="BD2765" t="str">
        <f t="shared" si="1093"/>
        <v xml:space="preserve">N52156  </v>
      </c>
      <c r="BE2765">
        <v>1</v>
      </c>
      <c r="BG2765">
        <v>0</v>
      </c>
      <c r="BH2765">
        <v>0</v>
      </c>
      <c r="BI2765">
        <v>0</v>
      </c>
      <c r="BJ2765">
        <v>4425</v>
      </c>
      <c r="BK2765">
        <v>25</v>
      </c>
      <c r="BL2765" t="s">
        <v>188</v>
      </c>
      <c r="BM2765">
        <v>1</v>
      </c>
      <c r="BN2765">
        <v>1</v>
      </c>
      <c r="BO2765">
        <v>0</v>
      </c>
      <c r="BP2765">
        <v>0</v>
      </c>
      <c r="BS2765">
        <v>0</v>
      </c>
      <c r="BT2765">
        <v>0</v>
      </c>
      <c r="BU2765">
        <v>0</v>
      </c>
      <c r="CE2765" t="str">
        <f t="shared" si="1097"/>
        <v>15:12:12.593</v>
      </c>
      <c r="CF2765">
        <v>592725717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5</v>
      </c>
      <c r="CY2765">
        <v>7</v>
      </c>
      <c r="CZ2765" t="s">
        <v>133</v>
      </c>
      <c r="DA2765">
        <v>275</v>
      </c>
      <c r="DB2765">
        <v>0</v>
      </c>
      <c r="DC2765" t="s">
        <v>134</v>
      </c>
      <c r="DD2765" t="s">
        <v>135</v>
      </c>
      <c r="DG2765">
        <v>3322021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"05/01/2025 15:12:12.817"</f>
        <v>05/01/2025 15:12:12.817</v>
      </c>
      <c r="C2766" t="str">
        <f t="shared" si="1090"/>
        <v>FFDFD3C0</v>
      </c>
      <c r="D2766" t="s">
        <v>136</v>
      </c>
      <c r="E2766" t="str">
        <f>"20"</f>
        <v>20</v>
      </c>
      <c r="H2766">
        <v>400</v>
      </c>
      <c r="I2766" t="s">
        <v>137</v>
      </c>
      <c r="J2766" t="s">
        <v>138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R2766" t="s">
        <v>127</v>
      </c>
      <c r="S2766" t="str">
        <f t="shared" si="1096"/>
        <v>15:12:12.000</v>
      </c>
      <c r="T2766" t="str">
        <f t="shared" si="1096"/>
        <v>15:12:12.000</v>
      </c>
      <c r="U2766" t="str">
        <f t="shared" si="1091"/>
        <v>A68FCB</v>
      </c>
      <c r="V2766">
        <v>0</v>
      </c>
      <c r="W2766">
        <v>0</v>
      </c>
      <c r="X2766">
        <v>2</v>
      </c>
      <c r="Y2766">
        <v>0</v>
      </c>
      <c r="AA2766">
        <v>1</v>
      </c>
      <c r="AB2766">
        <v>8</v>
      </c>
      <c r="AC2766">
        <v>3</v>
      </c>
      <c r="AD2766">
        <v>0</v>
      </c>
      <c r="AE2766">
        <v>9</v>
      </c>
      <c r="AF2766" t="s">
        <v>138</v>
      </c>
      <c r="AG2766">
        <v>0</v>
      </c>
      <c r="AH2766">
        <v>3</v>
      </c>
      <c r="AI2766">
        <v>2</v>
      </c>
      <c r="AJ2766">
        <v>0</v>
      </c>
      <c r="AK2766" t="s">
        <v>936</v>
      </c>
      <c r="AL2766">
        <v>39.100169999999999</v>
      </c>
      <c r="AM2766" t="s">
        <v>937</v>
      </c>
      <c r="AN2766">
        <v>-121.033716</v>
      </c>
      <c r="AO2766">
        <v>25</v>
      </c>
      <c r="AP2766">
        <v>4400</v>
      </c>
      <c r="AQ2766" t="s">
        <v>131</v>
      </c>
      <c r="AR2766">
        <v>13</v>
      </c>
      <c r="AS2766">
        <v>79</v>
      </c>
      <c r="AT2766">
        <v>-320</v>
      </c>
      <c r="BB2766" t="str">
        <f t="shared" si="1092"/>
        <v>1200</v>
      </c>
      <c r="BC2766">
        <v>1</v>
      </c>
      <c r="BD2766" t="str">
        <f t="shared" si="1093"/>
        <v xml:space="preserve">N52156  </v>
      </c>
      <c r="BE2766">
        <v>1</v>
      </c>
      <c r="BG2766">
        <v>0</v>
      </c>
      <c r="BH2766">
        <v>0</v>
      </c>
      <c r="BI2766">
        <v>0</v>
      </c>
      <c r="BJ2766">
        <v>4425</v>
      </c>
      <c r="BK2766">
        <v>25</v>
      </c>
      <c r="BL2766" t="s">
        <v>188</v>
      </c>
      <c r="BM2766">
        <v>1</v>
      </c>
      <c r="BN2766">
        <v>1</v>
      </c>
      <c r="BO2766">
        <v>0</v>
      </c>
      <c r="BP2766">
        <v>0</v>
      </c>
      <c r="BS2766">
        <v>0</v>
      </c>
      <c r="BT2766">
        <v>0</v>
      </c>
      <c r="BU2766">
        <v>0</v>
      </c>
      <c r="CE2766" t="str">
        <f t="shared" si="1097"/>
        <v>15:12:12.593</v>
      </c>
      <c r="CF2766">
        <v>592725717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5</v>
      </c>
      <c r="CY2766">
        <v>7</v>
      </c>
      <c r="CZ2766" t="s">
        <v>133</v>
      </c>
      <c r="DA2766">
        <v>275</v>
      </c>
      <c r="DB2766">
        <v>0</v>
      </c>
      <c r="DC2766" t="s">
        <v>134</v>
      </c>
      <c r="DD2766" t="s">
        <v>135</v>
      </c>
      <c r="DG2766">
        <v>3322021</v>
      </c>
      <c r="DI2766">
        <v>1</v>
      </c>
      <c r="DJ2766">
        <v>0</v>
      </c>
      <c r="DK2766">
        <v>1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"05/01/2025 15:12:12.823"</f>
        <v>05/01/2025 15:12:12.823</v>
      </c>
      <c r="C2767" t="str">
        <f t="shared" si="1090"/>
        <v>FFDFD3C0</v>
      </c>
      <c r="D2767" t="s">
        <v>143</v>
      </c>
      <c r="E2767" t="str">
        <f>"05"</f>
        <v>05</v>
      </c>
      <c r="H2767">
        <v>172</v>
      </c>
      <c r="I2767" t="s">
        <v>141</v>
      </c>
      <c r="J2767" t="s">
        <v>144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R2767" t="s">
        <v>127</v>
      </c>
      <c r="S2767" t="str">
        <f t="shared" si="1096"/>
        <v>15:12:12.000</v>
      </c>
      <c r="T2767" t="str">
        <f t="shared" si="1096"/>
        <v>15:12:12.000</v>
      </c>
      <c r="U2767" t="str">
        <f t="shared" si="1091"/>
        <v>A68FCB</v>
      </c>
      <c r="V2767">
        <v>0</v>
      </c>
      <c r="W2767">
        <v>0</v>
      </c>
      <c r="X2767">
        <v>2</v>
      </c>
      <c r="Y2767">
        <v>0</v>
      </c>
      <c r="AA2767">
        <v>1</v>
      </c>
      <c r="AB2767">
        <v>8</v>
      </c>
      <c r="AC2767">
        <v>3</v>
      </c>
      <c r="AD2767">
        <v>0</v>
      </c>
      <c r="AE2767">
        <v>9</v>
      </c>
      <c r="AF2767" t="s">
        <v>138</v>
      </c>
      <c r="AG2767">
        <v>0</v>
      </c>
      <c r="AH2767">
        <v>3</v>
      </c>
      <c r="AI2767">
        <v>2</v>
      </c>
      <c r="AJ2767">
        <v>0</v>
      </c>
      <c r="AK2767" t="s">
        <v>936</v>
      </c>
      <c r="AL2767">
        <v>39.100169999999999</v>
      </c>
      <c r="AM2767" t="s">
        <v>937</v>
      </c>
      <c r="AN2767">
        <v>-121.033716</v>
      </c>
      <c r="AO2767">
        <v>25</v>
      </c>
      <c r="AP2767">
        <v>4400</v>
      </c>
      <c r="AQ2767" t="s">
        <v>131</v>
      </c>
      <c r="AR2767">
        <v>13</v>
      </c>
      <c r="AS2767">
        <v>79</v>
      </c>
      <c r="AT2767">
        <v>-320</v>
      </c>
      <c r="BB2767" t="str">
        <f t="shared" si="1092"/>
        <v>1200</v>
      </c>
      <c r="BC2767">
        <v>1</v>
      </c>
      <c r="BD2767" t="str">
        <f t="shared" si="1093"/>
        <v xml:space="preserve">N52156  </v>
      </c>
      <c r="BE2767">
        <v>1</v>
      </c>
      <c r="BG2767">
        <v>0</v>
      </c>
      <c r="BH2767">
        <v>0</v>
      </c>
      <c r="BI2767">
        <v>0</v>
      </c>
      <c r="BJ2767">
        <v>4425</v>
      </c>
      <c r="BK2767">
        <v>25</v>
      </c>
      <c r="BL2767" t="s">
        <v>188</v>
      </c>
      <c r="BM2767">
        <v>1</v>
      </c>
      <c r="BN2767">
        <v>1</v>
      </c>
      <c r="BO2767">
        <v>0</v>
      </c>
      <c r="BP2767">
        <v>0</v>
      </c>
      <c r="BS2767">
        <v>0</v>
      </c>
      <c r="BT2767">
        <v>0</v>
      </c>
      <c r="BU2767">
        <v>0</v>
      </c>
      <c r="CE2767" t="str">
        <f t="shared" si="1097"/>
        <v>15:12:12.593</v>
      </c>
      <c r="CF2767">
        <v>592725717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5</v>
      </c>
      <c r="CY2767">
        <v>7</v>
      </c>
      <c r="CZ2767" t="s">
        <v>133</v>
      </c>
      <c r="DA2767">
        <v>275</v>
      </c>
      <c r="DB2767">
        <v>0</v>
      </c>
      <c r="DC2767" t="s">
        <v>134</v>
      </c>
      <c r="DD2767" t="s">
        <v>135</v>
      </c>
      <c r="DG2767">
        <v>3322021</v>
      </c>
      <c r="DI2767">
        <v>1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>"05/01/2025 15:12:13.543"</f>
        <v>05/01/2025 15:12:13.543</v>
      </c>
      <c r="C2768" t="str">
        <f t="shared" si="1090"/>
        <v>FFDFD3C0</v>
      </c>
      <c r="D2768" t="s">
        <v>140</v>
      </c>
      <c r="E2768" t="str">
        <f>"13"</f>
        <v>13</v>
      </c>
      <c r="F2768">
        <v>1019</v>
      </c>
      <c r="G2768" t="s">
        <v>141</v>
      </c>
      <c r="J2768" t="s">
        <v>142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R2768" t="s">
        <v>127</v>
      </c>
      <c r="S2768" t="str">
        <f t="shared" ref="S2768:T2773" si="1098">"15:12:13.000"</f>
        <v>15:12:13.000</v>
      </c>
      <c r="T2768" t="str">
        <f t="shared" si="1098"/>
        <v>15:12:13.000</v>
      </c>
      <c r="U2768" t="str">
        <f t="shared" si="1091"/>
        <v>A68FCB</v>
      </c>
      <c r="V2768">
        <v>0</v>
      </c>
      <c r="W2768">
        <v>0</v>
      </c>
      <c r="X2768">
        <v>2</v>
      </c>
      <c r="Y2768">
        <v>0</v>
      </c>
      <c r="AA2768">
        <v>1</v>
      </c>
      <c r="AB2768">
        <v>8</v>
      </c>
      <c r="AC2768">
        <v>3</v>
      </c>
      <c r="AD2768">
        <v>0</v>
      </c>
      <c r="AE2768">
        <v>9</v>
      </c>
      <c r="AF2768" t="s">
        <v>138</v>
      </c>
      <c r="AG2768">
        <v>0</v>
      </c>
      <c r="AH2768">
        <v>3</v>
      </c>
      <c r="AI2768">
        <v>2</v>
      </c>
      <c r="AJ2768">
        <v>0</v>
      </c>
      <c r="AK2768" t="s">
        <v>938</v>
      </c>
      <c r="AL2768">
        <v>39.100535000000001</v>
      </c>
      <c r="AM2768" t="s">
        <v>939</v>
      </c>
      <c r="AN2768">
        <v>-121.03363</v>
      </c>
      <c r="AO2768">
        <v>25</v>
      </c>
      <c r="AP2768">
        <v>4400</v>
      </c>
      <c r="AQ2768" t="s">
        <v>131</v>
      </c>
      <c r="AR2768">
        <v>12</v>
      </c>
      <c r="AS2768">
        <v>80</v>
      </c>
      <c r="AT2768">
        <v>-256</v>
      </c>
      <c r="BB2768" t="str">
        <f t="shared" si="1092"/>
        <v>1200</v>
      </c>
      <c r="BC2768">
        <v>1</v>
      </c>
      <c r="BD2768" t="str">
        <f t="shared" si="1093"/>
        <v xml:space="preserve">N52156  </v>
      </c>
      <c r="BE2768">
        <v>1</v>
      </c>
      <c r="BG2768">
        <v>0</v>
      </c>
      <c r="BH2768">
        <v>0</v>
      </c>
      <c r="BI2768">
        <v>0</v>
      </c>
      <c r="BJ2768">
        <v>4425</v>
      </c>
      <c r="BK2768">
        <v>25</v>
      </c>
      <c r="BL2768" t="s">
        <v>188</v>
      </c>
      <c r="BM2768">
        <v>1</v>
      </c>
      <c r="BN2768">
        <v>1</v>
      </c>
      <c r="BO2768">
        <v>0</v>
      </c>
      <c r="BP2768">
        <v>0</v>
      </c>
      <c r="BS2768">
        <v>0</v>
      </c>
      <c r="BT2768">
        <v>0</v>
      </c>
      <c r="BU2768">
        <v>0</v>
      </c>
      <c r="CE2768" t="str">
        <f t="shared" ref="CE2768:CE2773" si="1099">"15:12:13.321"</f>
        <v>15:12:13.321</v>
      </c>
      <c r="CF2768">
        <v>320725102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5</v>
      </c>
      <c r="CY2768">
        <v>7</v>
      </c>
      <c r="CZ2768" t="s">
        <v>133</v>
      </c>
      <c r="DA2768">
        <v>275</v>
      </c>
      <c r="DB2768">
        <v>0</v>
      </c>
      <c r="DC2768" t="s">
        <v>134</v>
      </c>
      <c r="DD2768" t="s">
        <v>135</v>
      </c>
      <c r="DG2768">
        <v>3322027</v>
      </c>
      <c r="DI2768">
        <v>1</v>
      </c>
      <c r="DJ2768">
        <v>0</v>
      </c>
      <c r="DK2768">
        <v>0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"05/01/2025 15:12:13.546"</f>
        <v>05/01/2025 15:12:13.546</v>
      </c>
      <c r="C2769" t="str">
        <f t="shared" si="1090"/>
        <v>FFDFD3C0</v>
      </c>
      <c r="D2769" t="s">
        <v>124</v>
      </c>
      <c r="E2769" t="str">
        <f>"06"</f>
        <v>06</v>
      </c>
      <c r="F2769">
        <v>2006</v>
      </c>
      <c r="G2769" t="s">
        <v>125</v>
      </c>
      <c r="J2769" t="s">
        <v>126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R2769" t="s">
        <v>127</v>
      </c>
      <c r="S2769" t="str">
        <f t="shared" si="1098"/>
        <v>15:12:13.000</v>
      </c>
      <c r="T2769" t="str">
        <f t="shared" si="1098"/>
        <v>15:12:13.000</v>
      </c>
      <c r="U2769" t="str">
        <f t="shared" si="1091"/>
        <v>A68FCB</v>
      </c>
      <c r="V2769">
        <v>0</v>
      </c>
      <c r="W2769">
        <v>0</v>
      </c>
      <c r="X2769">
        <v>2</v>
      </c>
      <c r="Y2769">
        <v>0</v>
      </c>
      <c r="AA2769">
        <v>1</v>
      </c>
      <c r="AB2769">
        <v>8</v>
      </c>
      <c r="AC2769">
        <v>3</v>
      </c>
      <c r="AD2769">
        <v>0</v>
      </c>
      <c r="AE2769">
        <v>9</v>
      </c>
      <c r="AF2769" t="s">
        <v>138</v>
      </c>
      <c r="AG2769">
        <v>0</v>
      </c>
      <c r="AH2769">
        <v>3</v>
      </c>
      <c r="AI2769">
        <v>2</v>
      </c>
      <c r="AJ2769">
        <v>0</v>
      </c>
      <c r="AK2769" t="s">
        <v>938</v>
      </c>
      <c r="AL2769">
        <v>39.100535000000001</v>
      </c>
      <c r="AM2769" t="s">
        <v>939</v>
      </c>
      <c r="AN2769">
        <v>-121.03363</v>
      </c>
      <c r="AO2769">
        <v>25</v>
      </c>
      <c r="AP2769">
        <v>4400</v>
      </c>
      <c r="AQ2769" t="s">
        <v>131</v>
      </c>
      <c r="AR2769">
        <v>12</v>
      </c>
      <c r="AS2769">
        <v>80</v>
      </c>
      <c r="AT2769">
        <v>-256</v>
      </c>
      <c r="BB2769" t="str">
        <f t="shared" si="1092"/>
        <v>1200</v>
      </c>
      <c r="BC2769">
        <v>1</v>
      </c>
      <c r="BD2769" t="str">
        <f t="shared" si="1093"/>
        <v xml:space="preserve">N52156  </v>
      </c>
      <c r="BE2769">
        <v>1</v>
      </c>
      <c r="BG2769">
        <v>0</v>
      </c>
      <c r="BH2769">
        <v>0</v>
      </c>
      <c r="BI2769">
        <v>0</v>
      </c>
      <c r="BJ2769">
        <v>4425</v>
      </c>
      <c r="BK2769">
        <v>25</v>
      </c>
      <c r="BL2769" t="s">
        <v>188</v>
      </c>
      <c r="BM2769">
        <v>1</v>
      </c>
      <c r="BN2769">
        <v>1</v>
      </c>
      <c r="BO2769">
        <v>0</v>
      </c>
      <c r="BP2769">
        <v>0</v>
      </c>
      <c r="BS2769">
        <v>0</v>
      </c>
      <c r="BT2769">
        <v>0</v>
      </c>
      <c r="BU2769">
        <v>0</v>
      </c>
      <c r="CE2769" t="str">
        <f t="shared" si="1099"/>
        <v>15:12:13.321</v>
      </c>
      <c r="CF2769">
        <v>320725102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5</v>
      </c>
      <c r="CY2769">
        <v>7</v>
      </c>
      <c r="CZ2769" t="s">
        <v>133</v>
      </c>
      <c r="DA2769">
        <v>275</v>
      </c>
      <c r="DB2769">
        <v>0</v>
      </c>
      <c r="DC2769" t="s">
        <v>134</v>
      </c>
      <c r="DD2769" t="s">
        <v>135</v>
      </c>
      <c r="DG2769">
        <v>3322027</v>
      </c>
      <c r="DI2769">
        <v>1</v>
      </c>
      <c r="DJ2769">
        <v>0</v>
      </c>
      <c r="DK2769">
        <v>1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"05/01/2025 15:12:13.557"</f>
        <v>05/01/2025 15:12:13.557</v>
      </c>
      <c r="C2770" t="str">
        <f t="shared" si="1090"/>
        <v>FFDFD3C0</v>
      </c>
      <c r="D2770" t="s">
        <v>145</v>
      </c>
      <c r="E2770" t="str">
        <f>"05"</f>
        <v>05</v>
      </c>
      <c r="H2770">
        <v>47</v>
      </c>
      <c r="I2770" t="s">
        <v>146</v>
      </c>
      <c r="J2770" t="s">
        <v>138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R2770" t="s">
        <v>127</v>
      </c>
      <c r="S2770" t="str">
        <f t="shared" si="1098"/>
        <v>15:12:13.000</v>
      </c>
      <c r="T2770" t="str">
        <f t="shared" si="1098"/>
        <v>15:12:13.000</v>
      </c>
      <c r="U2770" t="str">
        <f t="shared" si="1091"/>
        <v>A68FCB</v>
      </c>
      <c r="V2770">
        <v>0</v>
      </c>
      <c r="W2770">
        <v>0</v>
      </c>
      <c r="X2770">
        <v>2</v>
      </c>
      <c r="Y2770">
        <v>0</v>
      </c>
      <c r="AA2770">
        <v>1</v>
      </c>
      <c r="AB2770">
        <v>8</v>
      </c>
      <c r="AC2770">
        <v>3</v>
      </c>
      <c r="AD2770">
        <v>0</v>
      </c>
      <c r="AE2770">
        <v>9</v>
      </c>
      <c r="AF2770" t="s">
        <v>138</v>
      </c>
      <c r="AG2770">
        <v>0</v>
      </c>
      <c r="AH2770">
        <v>3</v>
      </c>
      <c r="AI2770">
        <v>2</v>
      </c>
      <c r="AJ2770">
        <v>0</v>
      </c>
      <c r="AK2770" t="s">
        <v>938</v>
      </c>
      <c r="AL2770">
        <v>39.100535000000001</v>
      </c>
      <c r="AM2770" t="s">
        <v>939</v>
      </c>
      <c r="AN2770">
        <v>-121.03363</v>
      </c>
      <c r="AO2770">
        <v>25</v>
      </c>
      <c r="AP2770">
        <v>4400</v>
      </c>
      <c r="AQ2770" t="s">
        <v>131</v>
      </c>
      <c r="AR2770">
        <v>12</v>
      </c>
      <c r="AS2770">
        <v>80</v>
      </c>
      <c r="AT2770">
        <v>-256</v>
      </c>
      <c r="BB2770" t="str">
        <f t="shared" si="1092"/>
        <v>1200</v>
      </c>
      <c r="BC2770">
        <v>1</v>
      </c>
      <c r="BD2770" t="str">
        <f t="shared" si="1093"/>
        <v xml:space="preserve">N52156  </v>
      </c>
      <c r="BE2770">
        <v>1</v>
      </c>
      <c r="BG2770">
        <v>0</v>
      </c>
      <c r="BH2770">
        <v>0</v>
      </c>
      <c r="BI2770">
        <v>0</v>
      </c>
      <c r="BJ2770">
        <v>4425</v>
      </c>
      <c r="BK2770">
        <v>25</v>
      </c>
      <c r="BL2770" t="s">
        <v>188</v>
      </c>
      <c r="BM2770">
        <v>1</v>
      </c>
      <c r="BN2770">
        <v>1</v>
      </c>
      <c r="BO2770">
        <v>0</v>
      </c>
      <c r="BP2770">
        <v>0</v>
      </c>
      <c r="BS2770">
        <v>0</v>
      </c>
      <c r="BT2770">
        <v>0</v>
      </c>
      <c r="BU2770">
        <v>0</v>
      </c>
      <c r="CE2770" t="str">
        <f t="shared" si="1099"/>
        <v>15:12:13.321</v>
      </c>
      <c r="CF2770">
        <v>320725102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5</v>
      </c>
      <c r="CY2770">
        <v>7</v>
      </c>
      <c r="CZ2770" t="s">
        <v>133</v>
      </c>
      <c r="DA2770">
        <v>275</v>
      </c>
      <c r="DB2770">
        <v>0</v>
      </c>
      <c r="DC2770" t="s">
        <v>134</v>
      </c>
      <c r="DD2770" t="s">
        <v>135</v>
      </c>
      <c r="DG2770">
        <v>3322027</v>
      </c>
      <c r="DI2770">
        <v>1</v>
      </c>
      <c r="DJ2770">
        <v>0</v>
      </c>
      <c r="DK2770">
        <v>1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"05/01/2025 15:12:13.557"</f>
        <v>05/01/2025 15:12:13.557</v>
      </c>
      <c r="C2771" t="str">
        <f t="shared" si="1090"/>
        <v>FFDFD3C0</v>
      </c>
      <c r="D2771" t="s">
        <v>145</v>
      </c>
      <c r="E2771" t="str">
        <f>"09"</f>
        <v>09</v>
      </c>
      <c r="H2771">
        <v>51</v>
      </c>
      <c r="I2771" t="s">
        <v>147</v>
      </c>
      <c r="J2771" t="s">
        <v>138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R2771" t="s">
        <v>127</v>
      </c>
      <c r="S2771" t="str">
        <f t="shared" si="1098"/>
        <v>15:12:13.000</v>
      </c>
      <c r="T2771" t="str">
        <f t="shared" si="1098"/>
        <v>15:12:13.000</v>
      </c>
      <c r="U2771" t="str">
        <f t="shared" si="1091"/>
        <v>A68FCB</v>
      </c>
      <c r="V2771">
        <v>0</v>
      </c>
      <c r="W2771">
        <v>0</v>
      </c>
      <c r="X2771">
        <v>2</v>
      </c>
      <c r="Y2771">
        <v>0</v>
      </c>
      <c r="AA2771">
        <v>1</v>
      </c>
      <c r="AB2771">
        <v>8</v>
      </c>
      <c r="AC2771">
        <v>3</v>
      </c>
      <c r="AD2771">
        <v>0</v>
      </c>
      <c r="AE2771">
        <v>9</v>
      </c>
      <c r="AF2771" t="s">
        <v>138</v>
      </c>
      <c r="AG2771">
        <v>0</v>
      </c>
      <c r="AH2771">
        <v>3</v>
      </c>
      <c r="AI2771">
        <v>2</v>
      </c>
      <c r="AJ2771">
        <v>0</v>
      </c>
      <c r="AK2771" t="s">
        <v>938</v>
      </c>
      <c r="AL2771">
        <v>39.100535000000001</v>
      </c>
      <c r="AM2771" t="s">
        <v>939</v>
      </c>
      <c r="AN2771">
        <v>-121.03363</v>
      </c>
      <c r="AO2771">
        <v>25</v>
      </c>
      <c r="AP2771">
        <v>4400</v>
      </c>
      <c r="AQ2771" t="s">
        <v>131</v>
      </c>
      <c r="AR2771">
        <v>12</v>
      </c>
      <c r="AS2771">
        <v>80</v>
      </c>
      <c r="AT2771">
        <v>-256</v>
      </c>
      <c r="BB2771" t="str">
        <f t="shared" si="1092"/>
        <v>1200</v>
      </c>
      <c r="BC2771">
        <v>1</v>
      </c>
      <c r="BD2771" t="str">
        <f t="shared" si="1093"/>
        <v xml:space="preserve">N52156  </v>
      </c>
      <c r="BE2771">
        <v>1</v>
      </c>
      <c r="BG2771">
        <v>0</v>
      </c>
      <c r="BH2771">
        <v>0</v>
      </c>
      <c r="BI2771">
        <v>0</v>
      </c>
      <c r="BJ2771">
        <v>4425</v>
      </c>
      <c r="BK2771">
        <v>25</v>
      </c>
      <c r="BL2771" t="s">
        <v>188</v>
      </c>
      <c r="BM2771">
        <v>1</v>
      </c>
      <c r="BN2771">
        <v>1</v>
      </c>
      <c r="BO2771">
        <v>0</v>
      </c>
      <c r="BP2771">
        <v>0</v>
      </c>
      <c r="BS2771">
        <v>0</v>
      </c>
      <c r="BT2771">
        <v>0</v>
      </c>
      <c r="BU2771">
        <v>0</v>
      </c>
      <c r="CE2771" t="str">
        <f t="shared" si="1099"/>
        <v>15:12:13.321</v>
      </c>
      <c r="CF2771">
        <v>320725102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5</v>
      </c>
      <c r="CY2771">
        <v>7</v>
      </c>
      <c r="CZ2771" t="s">
        <v>133</v>
      </c>
      <c r="DA2771">
        <v>275</v>
      </c>
      <c r="DB2771">
        <v>0</v>
      </c>
      <c r="DC2771" t="s">
        <v>134</v>
      </c>
      <c r="DD2771" t="s">
        <v>135</v>
      </c>
      <c r="DG2771">
        <v>3322027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"05/01/2025 15:12:13.568"</f>
        <v>05/01/2025 15:12:13.568</v>
      </c>
      <c r="C2772" t="str">
        <f t="shared" si="1090"/>
        <v>FFDFD3C0</v>
      </c>
      <c r="D2772" t="s">
        <v>136</v>
      </c>
      <c r="E2772" t="str">
        <f>"20"</f>
        <v>20</v>
      </c>
      <c r="H2772">
        <v>400</v>
      </c>
      <c r="I2772" t="s">
        <v>137</v>
      </c>
      <c r="J2772" t="s">
        <v>138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R2772" t="s">
        <v>127</v>
      </c>
      <c r="S2772" t="str">
        <f t="shared" si="1098"/>
        <v>15:12:13.000</v>
      </c>
      <c r="T2772" t="str">
        <f t="shared" si="1098"/>
        <v>15:12:13.000</v>
      </c>
      <c r="U2772" t="str">
        <f t="shared" si="1091"/>
        <v>A68FCB</v>
      </c>
      <c r="V2772">
        <v>0</v>
      </c>
      <c r="W2772">
        <v>0</v>
      </c>
      <c r="X2772">
        <v>2</v>
      </c>
      <c r="Y2772">
        <v>0</v>
      </c>
      <c r="AA2772">
        <v>1</v>
      </c>
      <c r="AB2772">
        <v>8</v>
      </c>
      <c r="AC2772">
        <v>3</v>
      </c>
      <c r="AD2772">
        <v>0</v>
      </c>
      <c r="AE2772">
        <v>9</v>
      </c>
      <c r="AF2772" t="s">
        <v>138</v>
      </c>
      <c r="AG2772">
        <v>0</v>
      </c>
      <c r="AH2772">
        <v>3</v>
      </c>
      <c r="AI2772">
        <v>2</v>
      </c>
      <c r="AJ2772">
        <v>0</v>
      </c>
      <c r="AK2772" t="s">
        <v>938</v>
      </c>
      <c r="AL2772">
        <v>39.100535000000001</v>
      </c>
      <c r="AM2772" t="s">
        <v>939</v>
      </c>
      <c r="AN2772">
        <v>-121.03363</v>
      </c>
      <c r="AO2772">
        <v>25</v>
      </c>
      <c r="AP2772">
        <v>4400</v>
      </c>
      <c r="AQ2772" t="s">
        <v>131</v>
      </c>
      <c r="AR2772">
        <v>12</v>
      </c>
      <c r="AS2772">
        <v>80</v>
      </c>
      <c r="AT2772">
        <v>-256</v>
      </c>
      <c r="BB2772" t="str">
        <f t="shared" si="1092"/>
        <v>1200</v>
      </c>
      <c r="BC2772">
        <v>1</v>
      </c>
      <c r="BD2772" t="str">
        <f t="shared" si="1093"/>
        <v xml:space="preserve">N52156  </v>
      </c>
      <c r="BE2772">
        <v>1</v>
      </c>
      <c r="BG2772">
        <v>0</v>
      </c>
      <c r="BH2772">
        <v>0</v>
      </c>
      <c r="BI2772">
        <v>0</v>
      </c>
      <c r="BJ2772">
        <v>4425</v>
      </c>
      <c r="BK2772">
        <v>25</v>
      </c>
      <c r="BL2772" t="s">
        <v>188</v>
      </c>
      <c r="BM2772">
        <v>1</v>
      </c>
      <c r="BN2772">
        <v>1</v>
      </c>
      <c r="BO2772">
        <v>0</v>
      </c>
      <c r="BP2772">
        <v>0</v>
      </c>
      <c r="BS2772">
        <v>0</v>
      </c>
      <c r="BT2772">
        <v>0</v>
      </c>
      <c r="BU2772">
        <v>0</v>
      </c>
      <c r="CE2772" t="str">
        <f t="shared" si="1099"/>
        <v>15:12:13.321</v>
      </c>
      <c r="CF2772">
        <v>320725102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5</v>
      </c>
      <c r="CY2772">
        <v>7</v>
      </c>
      <c r="CZ2772" t="s">
        <v>133</v>
      </c>
      <c r="DA2772">
        <v>275</v>
      </c>
      <c r="DB2772">
        <v>0</v>
      </c>
      <c r="DC2772" t="s">
        <v>134</v>
      </c>
      <c r="DD2772" t="s">
        <v>135</v>
      </c>
      <c r="DG2772">
        <v>3322027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"05/01/2025 15:12:13.574"</f>
        <v>05/01/2025 15:12:13.574</v>
      </c>
      <c r="C2773" t="str">
        <f t="shared" si="1090"/>
        <v>FFDFD3C0</v>
      </c>
      <c r="D2773" t="s">
        <v>143</v>
      </c>
      <c r="E2773" t="str">
        <f>"05"</f>
        <v>05</v>
      </c>
      <c r="H2773">
        <v>172</v>
      </c>
      <c r="I2773" t="s">
        <v>141</v>
      </c>
      <c r="J2773" t="s">
        <v>144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R2773" t="s">
        <v>127</v>
      </c>
      <c r="S2773" t="str">
        <f t="shared" si="1098"/>
        <v>15:12:13.000</v>
      </c>
      <c r="T2773" t="str">
        <f t="shared" si="1098"/>
        <v>15:12:13.000</v>
      </c>
      <c r="U2773" t="str">
        <f t="shared" si="1091"/>
        <v>A68FCB</v>
      </c>
      <c r="V2773">
        <v>0</v>
      </c>
      <c r="W2773">
        <v>0</v>
      </c>
      <c r="X2773">
        <v>2</v>
      </c>
      <c r="Y2773">
        <v>0</v>
      </c>
      <c r="AA2773">
        <v>1</v>
      </c>
      <c r="AB2773">
        <v>8</v>
      </c>
      <c r="AC2773">
        <v>3</v>
      </c>
      <c r="AD2773">
        <v>0</v>
      </c>
      <c r="AE2773">
        <v>9</v>
      </c>
      <c r="AF2773" t="s">
        <v>138</v>
      </c>
      <c r="AG2773">
        <v>0</v>
      </c>
      <c r="AH2773">
        <v>3</v>
      </c>
      <c r="AI2773">
        <v>2</v>
      </c>
      <c r="AJ2773">
        <v>0</v>
      </c>
      <c r="AK2773" t="s">
        <v>938</v>
      </c>
      <c r="AL2773">
        <v>39.100535000000001</v>
      </c>
      <c r="AM2773" t="s">
        <v>939</v>
      </c>
      <c r="AN2773">
        <v>-121.03363</v>
      </c>
      <c r="AO2773">
        <v>25</v>
      </c>
      <c r="AP2773">
        <v>4400</v>
      </c>
      <c r="AQ2773" t="s">
        <v>131</v>
      </c>
      <c r="AR2773">
        <v>12</v>
      </c>
      <c r="AS2773">
        <v>80</v>
      </c>
      <c r="AT2773">
        <v>-256</v>
      </c>
      <c r="BB2773" t="str">
        <f t="shared" si="1092"/>
        <v>1200</v>
      </c>
      <c r="BC2773">
        <v>1</v>
      </c>
      <c r="BD2773" t="str">
        <f t="shared" si="1093"/>
        <v xml:space="preserve">N52156  </v>
      </c>
      <c r="BE2773">
        <v>1</v>
      </c>
      <c r="BG2773">
        <v>0</v>
      </c>
      <c r="BH2773">
        <v>0</v>
      </c>
      <c r="BI2773">
        <v>0</v>
      </c>
      <c r="BJ2773">
        <v>4425</v>
      </c>
      <c r="BK2773">
        <v>25</v>
      </c>
      <c r="BL2773" t="s">
        <v>188</v>
      </c>
      <c r="BM2773">
        <v>1</v>
      </c>
      <c r="BN2773">
        <v>1</v>
      </c>
      <c r="BO2773">
        <v>0</v>
      </c>
      <c r="BP2773">
        <v>0</v>
      </c>
      <c r="BS2773">
        <v>0</v>
      </c>
      <c r="BT2773">
        <v>0</v>
      </c>
      <c r="BU2773">
        <v>0</v>
      </c>
      <c r="CE2773" t="str">
        <f t="shared" si="1099"/>
        <v>15:12:13.321</v>
      </c>
      <c r="CF2773">
        <v>320725102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5</v>
      </c>
      <c r="CY2773">
        <v>7</v>
      </c>
      <c r="CZ2773" t="s">
        <v>133</v>
      </c>
      <c r="DA2773">
        <v>275</v>
      </c>
      <c r="DB2773">
        <v>0</v>
      </c>
      <c r="DC2773" t="s">
        <v>134</v>
      </c>
      <c r="DD2773" t="s">
        <v>135</v>
      </c>
      <c r="DG2773">
        <v>3322027</v>
      </c>
      <c r="DI2773">
        <v>1</v>
      </c>
      <c r="DJ2773">
        <v>0</v>
      </c>
      <c r="DK2773">
        <v>1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"05/01/2025 15:12:15.021"</f>
        <v>05/01/2025 15:12:15.021</v>
      </c>
      <c r="C2774" t="str">
        <f t="shared" si="1090"/>
        <v>FFDFD3C0</v>
      </c>
      <c r="D2774" t="s">
        <v>136</v>
      </c>
      <c r="E2774" t="str">
        <f>"20"</f>
        <v>20</v>
      </c>
      <c r="H2774">
        <v>400</v>
      </c>
      <c r="I2774" t="s">
        <v>137</v>
      </c>
      <c r="J2774" t="s">
        <v>138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R2774" t="s">
        <v>127</v>
      </c>
      <c r="S2774" t="str">
        <f t="shared" ref="S2774:T2779" si="1100">"15:12:14.000"</f>
        <v>15:12:14.000</v>
      </c>
      <c r="T2774" t="str">
        <f t="shared" si="1100"/>
        <v>15:12:14.000</v>
      </c>
      <c r="U2774" t="str">
        <f t="shared" si="1091"/>
        <v>A68FCB</v>
      </c>
      <c r="V2774">
        <v>0</v>
      </c>
      <c r="W2774">
        <v>0</v>
      </c>
      <c r="X2774">
        <v>2</v>
      </c>
      <c r="Y2774">
        <v>0</v>
      </c>
      <c r="AA2774">
        <v>1</v>
      </c>
      <c r="AB2774">
        <v>8</v>
      </c>
      <c r="AC2774">
        <v>3</v>
      </c>
      <c r="AD2774">
        <v>0</v>
      </c>
      <c r="AE2774">
        <v>9</v>
      </c>
      <c r="AF2774" t="s">
        <v>138</v>
      </c>
      <c r="AG2774">
        <v>0</v>
      </c>
      <c r="AH2774">
        <v>3</v>
      </c>
      <c r="AI2774">
        <v>2</v>
      </c>
      <c r="AJ2774">
        <v>0</v>
      </c>
      <c r="AK2774" t="s">
        <v>940</v>
      </c>
      <c r="AL2774">
        <v>39.100900000000003</v>
      </c>
      <c r="AM2774" t="s">
        <v>941</v>
      </c>
      <c r="AN2774">
        <v>-121.03356599999999</v>
      </c>
      <c r="AO2774">
        <v>25</v>
      </c>
      <c r="AP2774">
        <v>4400</v>
      </c>
      <c r="AQ2774" t="s">
        <v>131</v>
      </c>
      <c r="AR2774">
        <v>12</v>
      </c>
      <c r="AS2774">
        <v>80</v>
      </c>
      <c r="AT2774">
        <v>-256</v>
      </c>
      <c r="BB2774" t="str">
        <f t="shared" si="1092"/>
        <v>1200</v>
      </c>
      <c r="BC2774">
        <v>1</v>
      </c>
      <c r="BD2774" t="str">
        <f t="shared" si="1093"/>
        <v xml:space="preserve">N52156  </v>
      </c>
      <c r="BE2774">
        <v>1</v>
      </c>
      <c r="BG2774">
        <v>0</v>
      </c>
      <c r="BH2774">
        <v>0</v>
      </c>
      <c r="BI2774">
        <v>0</v>
      </c>
      <c r="BJ2774">
        <v>4425</v>
      </c>
      <c r="BK2774">
        <v>25</v>
      </c>
      <c r="BL2774" t="s">
        <v>188</v>
      </c>
      <c r="BM2774">
        <v>1</v>
      </c>
      <c r="BN2774">
        <v>1</v>
      </c>
      <c r="BO2774">
        <v>0</v>
      </c>
      <c r="BP2774">
        <v>0</v>
      </c>
      <c r="BS2774">
        <v>0</v>
      </c>
      <c r="BT2774">
        <v>0</v>
      </c>
      <c r="BU2774">
        <v>0</v>
      </c>
      <c r="CE2774" t="str">
        <f t="shared" ref="CE2774:CE2779" si="1101">"15:12:14.823"</f>
        <v>15:12:14.823</v>
      </c>
      <c r="CF2774">
        <v>823226462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5</v>
      </c>
      <c r="CY2774">
        <v>7</v>
      </c>
      <c r="CZ2774" t="s">
        <v>133</v>
      </c>
      <c r="DA2774">
        <v>275</v>
      </c>
      <c r="DB2774">
        <v>0</v>
      </c>
      <c r="DC2774" t="s">
        <v>134</v>
      </c>
      <c r="DD2774" t="s">
        <v>135</v>
      </c>
      <c r="DG2774">
        <v>3322034</v>
      </c>
      <c r="DI2774">
        <v>1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"05/01/2025 15:12:15.027"</f>
        <v>05/01/2025 15:12:15.027</v>
      </c>
      <c r="C2775" t="str">
        <f t="shared" si="1090"/>
        <v>FFDFD3C0</v>
      </c>
      <c r="D2775" t="s">
        <v>143</v>
      </c>
      <c r="E2775" t="str">
        <f>"05"</f>
        <v>05</v>
      </c>
      <c r="H2775">
        <v>172</v>
      </c>
      <c r="I2775" t="s">
        <v>141</v>
      </c>
      <c r="J2775" t="s">
        <v>144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R2775" t="s">
        <v>127</v>
      </c>
      <c r="S2775" t="str">
        <f t="shared" si="1100"/>
        <v>15:12:14.000</v>
      </c>
      <c r="T2775" t="str">
        <f t="shared" si="1100"/>
        <v>15:12:14.000</v>
      </c>
      <c r="U2775" t="str">
        <f t="shared" si="1091"/>
        <v>A68FCB</v>
      </c>
      <c r="V2775">
        <v>0</v>
      </c>
      <c r="W2775">
        <v>0</v>
      </c>
      <c r="X2775">
        <v>2</v>
      </c>
      <c r="Y2775">
        <v>0</v>
      </c>
      <c r="AA2775">
        <v>1</v>
      </c>
      <c r="AB2775">
        <v>8</v>
      </c>
      <c r="AC2775">
        <v>3</v>
      </c>
      <c r="AD2775">
        <v>0</v>
      </c>
      <c r="AE2775">
        <v>9</v>
      </c>
      <c r="AF2775" t="s">
        <v>138</v>
      </c>
      <c r="AG2775">
        <v>0</v>
      </c>
      <c r="AH2775">
        <v>3</v>
      </c>
      <c r="AI2775">
        <v>2</v>
      </c>
      <c r="AJ2775">
        <v>0</v>
      </c>
      <c r="AK2775" t="s">
        <v>940</v>
      </c>
      <c r="AL2775">
        <v>39.100900000000003</v>
      </c>
      <c r="AM2775" t="s">
        <v>941</v>
      </c>
      <c r="AN2775">
        <v>-121.03356599999999</v>
      </c>
      <c r="AO2775">
        <v>25</v>
      </c>
      <c r="AP2775">
        <v>4400</v>
      </c>
      <c r="AQ2775" t="s">
        <v>131</v>
      </c>
      <c r="AR2775">
        <v>12</v>
      </c>
      <c r="AS2775">
        <v>80</v>
      </c>
      <c r="AT2775">
        <v>-256</v>
      </c>
      <c r="BB2775" t="str">
        <f t="shared" si="1092"/>
        <v>1200</v>
      </c>
      <c r="BC2775">
        <v>1</v>
      </c>
      <c r="BD2775" t="str">
        <f t="shared" si="1093"/>
        <v xml:space="preserve">N52156  </v>
      </c>
      <c r="BE2775">
        <v>1</v>
      </c>
      <c r="BG2775">
        <v>0</v>
      </c>
      <c r="BH2775">
        <v>0</v>
      </c>
      <c r="BI2775">
        <v>0</v>
      </c>
      <c r="BJ2775">
        <v>4425</v>
      </c>
      <c r="BK2775">
        <v>25</v>
      </c>
      <c r="BL2775" t="s">
        <v>188</v>
      </c>
      <c r="BM2775">
        <v>1</v>
      </c>
      <c r="BN2775">
        <v>1</v>
      </c>
      <c r="BO2775">
        <v>0</v>
      </c>
      <c r="BP2775">
        <v>0</v>
      </c>
      <c r="BS2775">
        <v>0</v>
      </c>
      <c r="BT2775">
        <v>0</v>
      </c>
      <c r="BU2775">
        <v>0</v>
      </c>
      <c r="CE2775" t="str">
        <f t="shared" si="1101"/>
        <v>15:12:14.823</v>
      </c>
      <c r="CF2775">
        <v>823226462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5</v>
      </c>
      <c r="CY2775">
        <v>7</v>
      </c>
      <c r="CZ2775" t="s">
        <v>133</v>
      </c>
      <c r="DA2775">
        <v>275</v>
      </c>
      <c r="DB2775">
        <v>0</v>
      </c>
      <c r="DC2775" t="s">
        <v>134</v>
      </c>
      <c r="DD2775" t="s">
        <v>135</v>
      </c>
      <c r="DG2775">
        <v>3322034</v>
      </c>
      <c r="DI2775">
        <v>1</v>
      </c>
      <c r="DJ2775">
        <v>0</v>
      </c>
      <c r="DK2775">
        <v>1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"05/01/2025 15:12:15.046"</f>
        <v>05/01/2025 15:12:15.046</v>
      </c>
      <c r="C2776" t="str">
        <f t="shared" si="1090"/>
        <v>FFDFD3C0</v>
      </c>
      <c r="D2776" t="s">
        <v>140</v>
      </c>
      <c r="E2776" t="str">
        <f>"13"</f>
        <v>13</v>
      </c>
      <c r="F2776">
        <v>1019</v>
      </c>
      <c r="G2776" t="s">
        <v>141</v>
      </c>
      <c r="J2776" t="s">
        <v>142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R2776" t="s">
        <v>127</v>
      </c>
      <c r="S2776" t="str">
        <f t="shared" si="1100"/>
        <v>15:12:14.000</v>
      </c>
      <c r="T2776" t="str">
        <f t="shared" si="1100"/>
        <v>15:12:14.000</v>
      </c>
      <c r="U2776" t="str">
        <f t="shared" si="1091"/>
        <v>A68FCB</v>
      </c>
      <c r="V2776">
        <v>0</v>
      </c>
      <c r="W2776">
        <v>0</v>
      </c>
      <c r="X2776">
        <v>2</v>
      </c>
      <c r="Y2776">
        <v>0</v>
      </c>
      <c r="AA2776">
        <v>1</v>
      </c>
      <c r="AB2776">
        <v>8</v>
      </c>
      <c r="AC2776">
        <v>3</v>
      </c>
      <c r="AD2776">
        <v>0</v>
      </c>
      <c r="AE2776">
        <v>9</v>
      </c>
      <c r="AF2776" t="s">
        <v>138</v>
      </c>
      <c r="AG2776">
        <v>0</v>
      </c>
      <c r="AH2776">
        <v>3</v>
      </c>
      <c r="AI2776">
        <v>2</v>
      </c>
      <c r="AJ2776">
        <v>0</v>
      </c>
      <c r="AK2776" t="s">
        <v>940</v>
      </c>
      <c r="AL2776">
        <v>39.100900000000003</v>
      </c>
      <c r="AM2776" t="s">
        <v>941</v>
      </c>
      <c r="AN2776">
        <v>-121.03356599999999</v>
      </c>
      <c r="AO2776">
        <v>25</v>
      </c>
      <c r="AP2776">
        <v>4400</v>
      </c>
      <c r="AQ2776" t="s">
        <v>131</v>
      </c>
      <c r="AR2776">
        <v>12</v>
      </c>
      <c r="AS2776">
        <v>80</v>
      </c>
      <c r="AT2776">
        <v>-256</v>
      </c>
      <c r="BB2776" t="str">
        <f t="shared" si="1092"/>
        <v>1200</v>
      </c>
      <c r="BC2776">
        <v>1</v>
      </c>
      <c r="BD2776" t="str">
        <f t="shared" si="1093"/>
        <v xml:space="preserve">N52156  </v>
      </c>
      <c r="BE2776">
        <v>1</v>
      </c>
      <c r="BG2776">
        <v>0</v>
      </c>
      <c r="BH2776">
        <v>0</v>
      </c>
      <c r="BI2776">
        <v>0</v>
      </c>
      <c r="BJ2776">
        <v>4425</v>
      </c>
      <c r="BK2776">
        <v>25</v>
      </c>
      <c r="BL2776" t="s">
        <v>188</v>
      </c>
      <c r="BM2776">
        <v>1</v>
      </c>
      <c r="BN2776">
        <v>1</v>
      </c>
      <c r="BO2776">
        <v>0</v>
      </c>
      <c r="BP2776">
        <v>0</v>
      </c>
      <c r="BS2776">
        <v>0</v>
      </c>
      <c r="BT2776">
        <v>0</v>
      </c>
      <c r="BU2776">
        <v>0</v>
      </c>
      <c r="CE2776" t="str">
        <f t="shared" si="1101"/>
        <v>15:12:14.823</v>
      </c>
      <c r="CF2776">
        <v>823226462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5</v>
      </c>
      <c r="CY2776">
        <v>7</v>
      </c>
      <c r="CZ2776" t="s">
        <v>133</v>
      </c>
      <c r="DA2776">
        <v>275</v>
      </c>
      <c r="DB2776">
        <v>0</v>
      </c>
      <c r="DC2776" t="s">
        <v>134</v>
      </c>
      <c r="DD2776" t="s">
        <v>135</v>
      </c>
      <c r="DG2776">
        <v>3322034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"05/01/2025 15:12:15.049"</f>
        <v>05/01/2025 15:12:15.049</v>
      </c>
      <c r="C2777" t="str">
        <f t="shared" si="1090"/>
        <v>FFDFD3C0</v>
      </c>
      <c r="D2777" t="s">
        <v>124</v>
      </c>
      <c r="E2777" t="str">
        <f>"06"</f>
        <v>06</v>
      </c>
      <c r="F2777">
        <v>2006</v>
      </c>
      <c r="G2777" t="s">
        <v>125</v>
      </c>
      <c r="J2777" t="s">
        <v>126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R2777" t="s">
        <v>127</v>
      </c>
      <c r="S2777" t="str">
        <f t="shared" si="1100"/>
        <v>15:12:14.000</v>
      </c>
      <c r="T2777" t="str">
        <f t="shared" si="1100"/>
        <v>15:12:14.000</v>
      </c>
      <c r="U2777" t="str">
        <f t="shared" si="1091"/>
        <v>A68FCB</v>
      </c>
      <c r="V2777">
        <v>0</v>
      </c>
      <c r="W2777">
        <v>0</v>
      </c>
      <c r="X2777">
        <v>2</v>
      </c>
      <c r="Y2777">
        <v>0</v>
      </c>
      <c r="AA2777">
        <v>1</v>
      </c>
      <c r="AB2777">
        <v>8</v>
      </c>
      <c r="AC2777">
        <v>3</v>
      </c>
      <c r="AD2777">
        <v>0</v>
      </c>
      <c r="AE2777">
        <v>9</v>
      </c>
      <c r="AF2777" t="s">
        <v>138</v>
      </c>
      <c r="AG2777">
        <v>0</v>
      </c>
      <c r="AH2777">
        <v>3</v>
      </c>
      <c r="AI2777">
        <v>2</v>
      </c>
      <c r="AJ2777">
        <v>0</v>
      </c>
      <c r="AK2777" t="s">
        <v>940</v>
      </c>
      <c r="AL2777">
        <v>39.100900000000003</v>
      </c>
      <c r="AM2777" t="s">
        <v>941</v>
      </c>
      <c r="AN2777">
        <v>-121.03356599999999</v>
      </c>
      <c r="AO2777">
        <v>25</v>
      </c>
      <c r="AP2777">
        <v>4400</v>
      </c>
      <c r="AQ2777" t="s">
        <v>131</v>
      </c>
      <c r="AR2777">
        <v>12</v>
      </c>
      <c r="AS2777">
        <v>80</v>
      </c>
      <c r="AT2777">
        <v>-256</v>
      </c>
      <c r="BB2777" t="str">
        <f t="shared" si="1092"/>
        <v>1200</v>
      </c>
      <c r="BC2777">
        <v>1</v>
      </c>
      <c r="BD2777" t="str">
        <f t="shared" si="1093"/>
        <v xml:space="preserve">N52156  </v>
      </c>
      <c r="BE2777">
        <v>1</v>
      </c>
      <c r="BG2777">
        <v>0</v>
      </c>
      <c r="BH2777">
        <v>0</v>
      </c>
      <c r="BI2777">
        <v>0</v>
      </c>
      <c r="BJ2777">
        <v>4425</v>
      </c>
      <c r="BK2777">
        <v>25</v>
      </c>
      <c r="BL2777" t="s">
        <v>188</v>
      </c>
      <c r="BM2777">
        <v>1</v>
      </c>
      <c r="BN2777">
        <v>1</v>
      </c>
      <c r="BO2777">
        <v>0</v>
      </c>
      <c r="BP2777">
        <v>0</v>
      </c>
      <c r="BS2777">
        <v>0</v>
      </c>
      <c r="BT2777">
        <v>0</v>
      </c>
      <c r="BU2777">
        <v>0</v>
      </c>
      <c r="CE2777" t="str">
        <f t="shared" si="1101"/>
        <v>15:12:14.823</v>
      </c>
      <c r="CF2777">
        <v>823226462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5</v>
      </c>
      <c r="CY2777">
        <v>7</v>
      </c>
      <c r="CZ2777" t="s">
        <v>133</v>
      </c>
      <c r="DA2777">
        <v>275</v>
      </c>
      <c r="DB2777">
        <v>0</v>
      </c>
      <c r="DC2777" t="s">
        <v>134</v>
      </c>
      <c r="DD2777" t="s">
        <v>135</v>
      </c>
      <c r="DG2777">
        <v>3322034</v>
      </c>
      <c r="DI2777">
        <v>1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"05/01/2025 15:12:15.060"</f>
        <v>05/01/2025 15:12:15.060</v>
      </c>
      <c r="C2778" t="str">
        <f t="shared" si="1090"/>
        <v>FFDFD3C0</v>
      </c>
      <c r="D2778" t="s">
        <v>145</v>
      </c>
      <c r="E2778" t="str">
        <f>"05"</f>
        <v>05</v>
      </c>
      <c r="H2778">
        <v>47</v>
      </c>
      <c r="I2778" t="s">
        <v>146</v>
      </c>
      <c r="J2778" t="s">
        <v>138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R2778" t="s">
        <v>127</v>
      </c>
      <c r="S2778" t="str">
        <f t="shared" si="1100"/>
        <v>15:12:14.000</v>
      </c>
      <c r="T2778" t="str">
        <f t="shared" si="1100"/>
        <v>15:12:14.000</v>
      </c>
      <c r="U2778" t="str">
        <f t="shared" si="1091"/>
        <v>A68FCB</v>
      </c>
      <c r="V2778">
        <v>0</v>
      </c>
      <c r="W2778">
        <v>0</v>
      </c>
      <c r="X2778">
        <v>2</v>
      </c>
      <c r="Y2778">
        <v>0</v>
      </c>
      <c r="AA2778">
        <v>1</v>
      </c>
      <c r="AB2778">
        <v>8</v>
      </c>
      <c r="AC2778">
        <v>3</v>
      </c>
      <c r="AD2778">
        <v>0</v>
      </c>
      <c r="AE2778">
        <v>9</v>
      </c>
      <c r="AF2778" t="s">
        <v>138</v>
      </c>
      <c r="AG2778">
        <v>0</v>
      </c>
      <c r="AH2778">
        <v>3</v>
      </c>
      <c r="AI2778">
        <v>2</v>
      </c>
      <c r="AJ2778">
        <v>0</v>
      </c>
      <c r="AK2778" t="s">
        <v>940</v>
      </c>
      <c r="AL2778">
        <v>39.100900000000003</v>
      </c>
      <c r="AM2778" t="s">
        <v>941</v>
      </c>
      <c r="AN2778">
        <v>-121.03356599999999</v>
      </c>
      <c r="AO2778">
        <v>25</v>
      </c>
      <c r="AP2778">
        <v>4400</v>
      </c>
      <c r="AQ2778" t="s">
        <v>131</v>
      </c>
      <c r="AR2778">
        <v>12</v>
      </c>
      <c r="AS2778">
        <v>80</v>
      </c>
      <c r="AT2778">
        <v>-256</v>
      </c>
      <c r="BB2778" t="str">
        <f t="shared" si="1092"/>
        <v>1200</v>
      </c>
      <c r="BC2778">
        <v>1</v>
      </c>
      <c r="BD2778" t="str">
        <f t="shared" si="1093"/>
        <v xml:space="preserve">N52156  </v>
      </c>
      <c r="BE2778">
        <v>1</v>
      </c>
      <c r="BG2778">
        <v>0</v>
      </c>
      <c r="BH2778">
        <v>0</v>
      </c>
      <c r="BI2778">
        <v>0</v>
      </c>
      <c r="BJ2778">
        <v>4425</v>
      </c>
      <c r="BK2778">
        <v>25</v>
      </c>
      <c r="BL2778" t="s">
        <v>188</v>
      </c>
      <c r="BM2778">
        <v>1</v>
      </c>
      <c r="BN2778">
        <v>1</v>
      </c>
      <c r="BO2778">
        <v>0</v>
      </c>
      <c r="BP2778">
        <v>0</v>
      </c>
      <c r="BS2778">
        <v>0</v>
      </c>
      <c r="BT2778">
        <v>0</v>
      </c>
      <c r="BU2778">
        <v>0</v>
      </c>
      <c r="CE2778" t="str">
        <f t="shared" si="1101"/>
        <v>15:12:14.823</v>
      </c>
      <c r="CF2778">
        <v>823226462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5</v>
      </c>
      <c r="CY2778">
        <v>7</v>
      </c>
      <c r="CZ2778" t="s">
        <v>133</v>
      </c>
      <c r="DA2778">
        <v>275</v>
      </c>
      <c r="DB2778">
        <v>0</v>
      </c>
      <c r="DC2778" t="s">
        <v>134</v>
      </c>
      <c r="DD2778" t="s">
        <v>135</v>
      </c>
      <c r="DG2778">
        <v>3322034</v>
      </c>
      <c r="DI2778">
        <v>1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"05/01/2025 15:12:15.060"</f>
        <v>05/01/2025 15:12:15.060</v>
      </c>
      <c r="C2779" t="str">
        <f t="shared" si="1090"/>
        <v>FFDFD3C0</v>
      </c>
      <c r="D2779" t="s">
        <v>145</v>
      </c>
      <c r="E2779" t="str">
        <f>"09"</f>
        <v>09</v>
      </c>
      <c r="H2779">
        <v>51</v>
      </c>
      <c r="I2779" t="s">
        <v>147</v>
      </c>
      <c r="J2779" t="s">
        <v>138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R2779" t="s">
        <v>127</v>
      </c>
      <c r="S2779" t="str">
        <f t="shared" si="1100"/>
        <v>15:12:14.000</v>
      </c>
      <c r="T2779" t="str">
        <f t="shared" si="1100"/>
        <v>15:12:14.000</v>
      </c>
      <c r="U2779" t="str">
        <f t="shared" si="1091"/>
        <v>A68FCB</v>
      </c>
      <c r="V2779">
        <v>0</v>
      </c>
      <c r="W2779">
        <v>0</v>
      </c>
      <c r="X2779">
        <v>2</v>
      </c>
      <c r="Y2779">
        <v>0</v>
      </c>
      <c r="AA2779">
        <v>1</v>
      </c>
      <c r="AB2779">
        <v>8</v>
      </c>
      <c r="AC2779">
        <v>3</v>
      </c>
      <c r="AD2779">
        <v>0</v>
      </c>
      <c r="AE2779">
        <v>9</v>
      </c>
      <c r="AF2779" t="s">
        <v>138</v>
      </c>
      <c r="AG2779">
        <v>0</v>
      </c>
      <c r="AH2779">
        <v>3</v>
      </c>
      <c r="AI2779">
        <v>2</v>
      </c>
      <c r="AJ2779">
        <v>0</v>
      </c>
      <c r="AK2779" t="s">
        <v>940</v>
      </c>
      <c r="AL2779">
        <v>39.100900000000003</v>
      </c>
      <c r="AM2779" t="s">
        <v>941</v>
      </c>
      <c r="AN2779">
        <v>-121.03356599999999</v>
      </c>
      <c r="AO2779">
        <v>25</v>
      </c>
      <c r="AP2779">
        <v>4400</v>
      </c>
      <c r="AQ2779" t="s">
        <v>131</v>
      </c>
      <c r="AR2779">
        <v>12</v>
      </c>
      <c r="AS2779">
        <v>80</v>
      </c>
      <c r="AT2779">
        <v>-256</v>
      </c>
      <c r="BB2779" t="str">
        <f t="shared" si="1092"/>
        <v>1200</v>
      </c>
      <c r="BC2779">
        <v>1</v>
      </c>
      <c r="BD2779" t="str">
        <f t="shared" si="1093"/>
        <v xml:space="preserve">N52156  </v>
      </c>
      <c r="BE2779">
        <v>1</v>
      </c>
      <c r="BG2779">
        <v>0</v>
      </c>
      <c r="BH2779">
        <v>0</v>
      </c>
      <c r="BI2779">
        <v>0</v>
      </c>
      <c r="BJ2779">
        <v>4425</v>
      </c>
      <c r="BK2779">
        <v>25</v>
      </c>
      <c r="BL2779" t="s">
        <v>188</v>
      </c>
      <c r="BM2779">
        <v>1</v>
      </c>
      <c r="BN2779">
        <v>1</v>
      </c>
      <c r="BO2779">
        <v>0</v>
      </c>
      <c r="BP2779">
        <v>0</v>
      </c>
      <c r="BS2779">
        <v>0</v>
      </c>
      <c r="BT2779">
        <v>0</v>
      </c>
      <c r="BU2779">
        <v>0</v>
      </c>
      <c r="CE2779" t="str">
        <f t="shared" si="1101"/>
        <v>15:12:14.823</v>
      </c>
      <c r="CF2779">
        <v>823226462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5</v>
      </c>
      <c r="CY2779">
        <v>7</v>
      </c>
      <c r="CZ2779" t="s">
        <v>133</v>
      </c>
      <c r="DA2779">
        <v>275</v>
      </c>
      <c r="DB2779">
        <v>0</v>
      </c>
      <c r="DC2779" t="s">
        <v>134</v>
      </c>
      <c r="DD2779" t="s">
        <v>135</v>
      </c>
      <c r="DG2779">
        <v>3322034</v>
      </c>
      <c r="DI2779">
        <v>1</v>
      </c>
      <c r="DJ2779">
        <v>0</v>
      </c>
      <c r="DK2779">
        <v>1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"05/01/2025 15:12:16.173"</f>
        <v>05/01/2025 15:12:16.173</v>
      </c>
      <c r="C2780" t="str">
        <f t="shared" si="1090"/>
        <v>FFDFD3C0</v>
      </c>
      <c r="D2780" t="s">
        <v>136</v>
      </c>
      <c r="E2780" t="str">
        <f>"20"</f>
        <v>20</v>
      </c>
      <c r="H2780">
        <v>400</v>
      </c>
      <c r="I2780" t="s">
        <v>137</v>
      </c>
      <c r="J2780" t="s">
        <v>138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R2780" t="s">
        <v>127</v>
      </c>
      <c r="S2780" t="str">
        <f t="shared" ref="S2780:T2785" si="1102">"15:12:15.000"</f>
        <v>15:12:15.000</v>
      </c>
      <c r="T2780" t="str">
        <f t="shared" si="1102"/>
        <v>15:12:15.000</v>
      </c>
      <c r="U2780" t="str">
        <f t="shared" si="1091"/>
        <v>A68FCB</v>
      </c>
      <c r="V2780">
        <v>0</v>
      </c>
      <c r="W2780">
        <v>0</v>
      </c>
      <c r="X2780">
        <v>2</v>
      </c>
      <c r="Y2780">
        <v>0</v>
      </c>
      <c r="AA2780">
        <v>1</v>
      </c>
      <c r="AB2780">
        <v>8</v>
      </c>
      <c r="AC2780">
        <v>3</v>
      </c>
      <c r="AD2780">
        <v>0</v>
      </c>
      <c r="AE2780">
        <v>9</v>
      </c>
      <c r="AF2780" t="s">
        <v>138</v>
      </c>
      <c r="AG2780">
        <v>0</v>
      </c>
      <c r="AH2780">
        <v>3</v>
      </c>
      <c r="AI2780">
        <v>2</v>
      </c>
      <c r="AJ2780">
        <v>0</v>
      </c>
      <c r="AK2780" t="s">
        <v>942</v>
      </c>
      <c r="AL2780">
        <v>39.101264</v>
      </c>
      <c r="AM2780" t="s">
        <v>943</v>
      </c>
      <c r="AN2780">
        <v>-121.03348</v>
      </c>
      <c r="AO2780">
        <v>25</v>
      </c>
      <c r="AP2780">
        <v>4400</v>
      </c>
      <c r="AQ2780" t="s">
        <v>131</v>
      </c>
      <c r="AR2780">
        <v>11</v>
      </c>
      <c r="AS2780">
        <v>81</v>
      </c>
      <c r="AT2780">
        <v>-192</v>
      </c>
      <c r="BB2780" t="str">
        <f t="shared" si="1092"/>
        <v>1200</v>
      </c>
      <c r="BC2780">
        <v>1</v>
      </c>
      <c r="BD2780" t="str">
        <f t="shared" si="1093"/>
        <v xml:space="preserve">N52156  </v>
      </c>
      <c r="BE2780">
        <v>1</v>
      </c>
      <c r="BG2780">
        <v>0</v>
      </c>
      <c r="BH2780">
        <v>0</v>
      </c>
      <c r="BI2780">
        <v>0</v>
      </c>
      <c r="BJ2780">
        <v>4425</v>
      </c>
      <c r="BK2780">
        <v>25</v>
      </c>
      <c r="BL2780" t="s">
        <v>188</v>
      </c>
      <c r="BM2780">
        <v>1</v>
      </c>
      <c r="BN2780">
        <v>1</v>
      </c>
      <c r="BO2780">
        <v>0</v>
      </c>
      <c r="BP2780">
        <v>0</v>
      </c>
      <c r="BS2780">
        <v>0</v>
      </c>
      <c r="BT2780">
        <v>0</v>
      </c>
      <c r="BU2780">
        <v>0</v>
      </c>
      <c r="CE2780" t="str">
        <f t="shared" ref="CE2780:CE2785" si="1103">"15:12:15.953"</f>
        <v>15:12:15.953</v>
      </c>
      <c r="CF2780">
        <v>952976891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5</v>
      </c>
      <c r="CY2780">
        <v>7</v>
      </c>
      <c r="CZ2780" t="s">
        <v>133</v>
      </c>
      <c r="DA2780">
        <v>275</v>
      </c>
      <c r="DB2780">
        <v>0</v>
      </c>
      <c r="DC2780" t="s">
        <v>134</v>
      </c>
      <c r="DD2780" t="s">
        <v>135</v>
      </c>
      <c r="DG2780">
        <v>3322043</v>
      </c>
      <c r="DI2780">
        <v>1</v>
      </c>
      <c r="DJ2780">
        <v>0</v>
      </c>
      <c r="DK2780">
        <v>0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"05/01/2025 15:12:16.179"</f>
        <v>05/01/2025 15:12:16.179</v>
      </c>
      <c r="C2781" t="str">
        <f t="shared" si="1090"/>
        <v>FFDFD3C0</v>
      </c>
      <c r="D2781" t="s">
        <v>143</v>
      </c>
      <c r="E2781" t="str">
        <f>"05"</f>
        <v>05</v>
      </c>
      <c r="H2781">
        <v>172</v>
      </c>
      <c r="I2781" t="s">
        <v>141</v>
      </c>
      <c r="J2781" t="s">
        <v>144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R2781" t="s">
        <v>127</v>
      </c>
      <c r="S2781" t="str">
        <f t="shared" si="1102"/>
        <v>15:12:15.000</v>
      </c>
      <c r="T2781" t="str">
        <f t="shared" si="1102"/>
        <v>15:12:15.000</v>
      </c>
      <c r="U2781" t="str">
        <f t="shared" si="1091"/>
        <v>A68FCB</v>
      </c>
      <c r="V2781">
        <v>0</v>
      </c>
      <c r="W2781">
        <v>0</v>
      </c>
      <c r="X2781">
        <v>2</v>
      </c>
      <c r="Y2781">
        <v>0</v>
      </c>
      <c r="AA2781">
        <v>1</v>
      </c>
      <c r="AB2781">
        <v>8</v>
      </c>
      <c r="AC2781">
        <v>3</v>
      </c>
      <c r="AD2781">
        <v>0</v>
      </c>
      <c r="AE2781">
        <v>9</v>
      </c>
      <c r="AF2781" t="s">
        <v>138</v>
      </c>
      <c r="AG2781">
        <v>0</v>
      </c>
      <c r="AH2781">
        <v>3</v>
      </c>
      <c r="AI2781">
        <v>2</v>
      </c>
      <c r="AJ2781">
        <v>0</v>
      </c>
      <c r="AK2781" t="s">
        <v>942</v>
      </c>
      <c r="AL2781">
        <v>39.101264</v>
      </c>
      <c r="AM2781" t="s">
        <v>943</v>
      </c>
      <c r="AN2781">
        <v>-121.03348</v>
      </c>
      <c r="AO2781">
        <v>25</v>
      </c>
      <c r="AP2781">
        <v>4400</v>
      </c>
      <c r="AQ2781" t="s">
        <v>131</v>
      </c>
      <c r="AR2781">
        <v>11</v>
      </c>
      <c r="AS2781">
        <v>81</v>
      </c>
      <c r="AT2781">
        <v>-192</v>
      </c>
      <c r="BB2781" t="str">
        <f t="shared" si="1092"/>
        <v>1200</v>
      </c>
      <c r="BC2781">
        <v>1</v>
      </c>
      <c r="BD2781" t="str">
        <f t="shared" si="1093"/>
        <v xml:space="preserve">N52156  </v>
      </c>
      <c r="BE2781">
        <v>1</v>
      </c>
      <c r="BG2781">
        <v>0</v>
      </c>
      <c r="BH2781">
        <v>0</v>
      </c>
      <c r="BI2781">
        <v>0</v>
      </c>
      <c r="BJ2781">
        <v>4425</v>
      </c>
      <c r="BK2781">
        <v>25</v>
      </c>
      <c r="BL2781" t="s">
        <v>188</v>
      </c>
      <c r="BM2781">
        <v>1</v>
      </c>
      <c r="BN2781">
        <v>1</v>
      </c>
      <c r="BO2781">
        <v>0</v>
      </c>
      <c r="BP2781">
        <v>0</v>
      </c>
      <c r="BS2781">
        <v>0</v>
      </c>
      <c r="BT2781">
        <v>0</v>
      </c>
      <c r="BU2781">
        <v>0</v>
      </c>
      <c r="CE2781" t="str">
        <f t="shared" si="1103"/>
        <v>15:12:15.953</v>
      </c>
      <c r="CF2781">
        <v>952976891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5</v>
      </c>
      <c r="CY2781">
        <v>7</v>
      </c>
      <c r="CZ2781" t="s">
        <v>133</v>
      </c>
      <c r="DA2781">
        <v>275</v>
      </c>
      <c r="DB2781">
        <v>0</v>
      </c>
      <c r="DC2781" t="s">
        <v>134</v>
      </c>
      <c r="DD2781" t="s">
        <v>135</v>
      </c>
      <c r="DG2781">
        <v>3322043</v>
      </c>
      <c r="DI2781">
        <v>1</v>
      </c>
      <c r="DJ2781">
        <v>0</v>
      </c>
      <c r="DK2781">
        <v>1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"05/01/2025 15:12:16.197"</f>
        <v>05/01/2025 15:12:16.197</v>
      </c>
      <c r="C2782" t="str">
        <f t="shared" si="1090"/>
        <v>FFDFD3C0</v>
      </c>
      <c r="D2782" t="s">
        <v>140</v>
      </c>
      <c r="E2782" t="str">
        <f>"13"</f>
        <v>13</v>
      </c>
      <c r="F2782">
        <v>1019</v>
      </c>
      <c r="G2782" t="s">
        <v>141</v>
      </c>
      <c r="J2782" t="s">
        <v>142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R2782" t="s">
        <v>127</v>
      </c>
      <c r="S2782" t="str">
        <f t="shared" si="1102"/>
        <v>15:12:15.000</v>
      </c>
      <c r="T2782" t="str">
        <f t="shared" si="1102"/>
        <v>15:12:15.000</v>
      </c>
      <c r="U2782" t="str">
        <f t="shared" si="1091"/>
        <v>A68FCB</v>
      </c>
      <c r="V2782">
        <v>0</v>
      </c>
      <c r="W2782">
        <v>0</v>
      </c>
      <c r="X2782">
        <v>2</v>
      </c>
      <c r="Y2782">
        <v>0</v>
      </c>
      <c r="AA2782">
        <v>1</v>
      </c>
      <c r="AB2782">
        <v>8</v>
      </c>
      <c r="AC2782">
        <v>3</v>
      </c>
      <c r="AD2782">
        <v>0</v>
      </c>
      <c r="AE2782">
        <v>9</v>
      </c>
      <c r="AF2782" t="s">
        <v>138</v>
      </c>
      <c r="AG2782">
        <v>0</v>
      </c>
      <c r="AH2782">
        <v>3</v>
      </c>
      <c r="AI2782">
        <v>2</v>
      </c>
      <c r="AJ2782">
        <v>0</v>
      </c>
      <c r="AK2782" t="s">
        <v>942</v>
      </c>
      <c r="AL2782">
        <v>39.101264</v>
      </c>
      <c r="AM2782" t="s">
        <v>943</v>
      </c>
      <c r="AN2782">
        <v>-121.03348</v>
      </c>
      <c r="AO2782">
        <v>25</v>
      </c>
      <c r="AP2782">
        <v>4400</v>
      </c>
      <c r="AQ2782" t="s">
        <v>131</v>
      </c>
      <c r="AR2782">
        <v>11</v>
      </c>
      <c r="AS2782">
        <v>81</v>
      </c>
      <c r="AT2782">
        <v>-192</v>
      </c>
      <c r="BB2782" t="str">
        <f t="shared" si="1092"/>
        <v>1200</v>
      </c>
      <c r="BC2782">
        <v>1</v>
      </c>
      <c r="BD2782" t="str">
        <f t="shared" si="1093"/>
        <v xml:space="preserve">N52156  </v>
      </c>
      <c r="BE2782">
        <v>1</v>
      </c>
      <c r="BG2782">
        <v>0</v>
      </c>
      <c r="BH2782">
        <v>0</v>
      </c>
      <c r="BI2782">
        <v>0</v>
      </c>
      <c r="BJ2782">
        <v>4425</v>
      </c>
      <c r="BK2782">
        <v>25</v>
      </c>
      <c r="BL2782" t="s">
        <v>188</v>
      </c>
      <c r="BM2782">
        <v>1</v>
      </c>
      <c r="BN2782">
        <v>1</v>
      </c>
      <c r="BO2782">
        <v>0</v>
      </c>
      <c r="BP2782">
        <v>0</v>
      </c>
      <c r="BS2782">
        <v>0</v>
      </c>
      <c r="BT2782">
        <v>0</v>
      </c>
      <c r="BU2782">
        <v>0</v>
      </c>
      <c r="CE2782" t="str">
        <f t="shared" si="1103"/>
        <v>15:12:15.953</v>
      </c>
      <c r="CF2782">
        <v>952976891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5</v>
      </c>
      <c r="CY2782">
        <v>7</v>
      </c>
      <c r="CZ2782" t="s">
        <v>133</v>
      </c>
      <c r="DA2782">
        <v>275</v>
      </c>
      <c r="DB2782">
        <v>0</v>
      </c>
      <c r="DC2782" t="s">
        <v>134</v>
      </c>
      <c r="DD2782" t="s">
        <v>135</v>
      </c>
      <c r="DG2782">
        <v>3322043</v>
      </c>
      <c r="DI2782">
        <v>1</v>
      </c>
      <c r="DJ2782">
        <v>0</v>
      </c>
      <c r="DK2782">
        <v>1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"05/01/2025 15:12:16.201"</f>
        <v>05/01/2025 15:12:16.201</v>
      </c>
      <c r="C2783" t="str">
        <f t="shared" si="1090"/>
        <v>FFDFD3C0</v>
      </c>
      <c r="D2783" t="s">
        <v>124</v>
      </c>
      <c r="E2783" t="str">
        <f>"06"</f>
        <v>06</v>
      </c>
      <c r="F2783">
        <v>2006</v>
      </c>
      <c r="G2783" t="s">
        <v>125</v>
      </c>
      <c r="J2783" t="s">
        <v>126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R2783" t="s">
        <v>127</v>
      </c>
      <c r="S2783" t="str">
        <f t="shared" si="1102"/>
        <v>15:12:15.000</v>
      </c>
      <c r="T2783" t="str">
        <f t="shared" si="1102"/>
        <v>15:12:15.000</v>
      </c>
      <c r="U2783" t="str">
        <f t="shared" si="1091"/>
        <v>A68FCB</v>
      </c>
      <c r="V2783">
        <v>0</v>
      </c>
      <c r="W2783">
        <v>0</v>
      </c>
      <c r="X2783">
        <v>2</v>
      </c>
      <c r="Y2783">
        <v>0</v>
      </c>
      <c r="AA2783">
        <v>1</v>
      </c>
      <c r="AB2783">
        <v>8</v>
      </c>
      <c r="AC2783">
        <v>3</v>
      </c>
      <c r="AD2783">
        <v>0</v>
      </c>
      <c r="AE2783">
        <v>9</v>
      </c>
      <c r="AF2783" t="s">
        <v>138</v>
      </c>
      <c r="AG2783">
        <v>0</v>
      </c>
      <c r="AH2783">
        <v>3</v>
      </c>
      <c r="AI2783">
        <v>2</v>
      </c>
      <c r="AJ2783">
        <v>0</v>
      </c>
      <c r="AK2783" t="s">
        <v>942</v>
      </c>
      <c r="AL2783">
        <v>39.101264</v>
      </c>
      <c r="AM2783" t="s">
        <v>943</v>
      </c>
      <c r="AN2783">
        <v>-121.03348</v>
      </c>
      <c r="AO2783">
        <v>25</v>
      </c>
      <c r="AP2783">
        <v>4400</v>
      </c>
      <c r="AQ2783" t="s">
        <v>131</v>
      </c>
      <c r="AR2783">
        <v>11</v>
      </c>
      <c r="AS2783">
        <v>81</v>
      </c>
      <c r="AT2783">
        <v>-192</v>
      </c>
      <c r="BB2783" t="str">
        <f t="shared" si="1092"/>
        <v>1200</v>
      </c>
      <c r="BC2783">
        <v>1</v>
      </c>
      <c r="BD2783" t="str">
        <f t="shared" si="1093"/>
        <v xml:space="preserve">N52156  </v>
      </c>
      <c r="BE2783">
        <v>1</v>
      </c>
      <c r="BG2783">
        <v>0</v>
      </c>
      <c r="BH2783">
        <v>0</v>
      </c>
      <c r="BI2783">
        <v>0</v>
      </c>
      <c r="BJ2783">
        <v>4425</v>
      </c>
      <c r="BK2783">
        <v>25</v>
      </c>
      <c r="BL2783" t="s">
        <v>188</v>
      </c>
      <c r="BM2783">
        <v>1</v>
      </c>
      <c r="BN2783">
        <v>1</v>
      </c>
      <c r="BO2783">
        <v>0</v>
      </c>
      <c r="BP2783">
        <v>0</v>
      </c>
      <c r="BS2783">
        <v>0</v>
      </c>
      <c r="BT2783">
        <v>0</v>
      </c>
      <c r="BU2783">
        <v>0</v>
      </c>
      <c r="CE2783" t="str">
        <f t="shared" si="1103"/>
        <v>15:12:15.953</v>
      </c>
      <c r="CF2783">
        <v>952976891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5</v>
      </c>
      <c r="CY2783">
        <v>7</v>
      </c>
      <c r="CZ2783" t="s">
        <v>133</v>
      </c>
      <c r="DA2783">
        <v>275</v>
      </c>
      <c r="DB2783">
        <v>0</v>
      </c>
      <c r="DC2783" t="s">
        <v>134</v>
      </c>
      <c r="DD2783" t="s">
        <v>135</v>
      </c>
      <c r="DG2783">
        <v>3322043</v>
      </c>
      <c r="DI2783">
        <v>1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"05/01/2025 15:12:16.212"</f>
        <v>05/01/2025 15:12:16.212</v>
      </c>
      <c r="C2784" t="str">
        <f t="shared" si="1090"/>
        <v>FFDFD3C0</v>
      </c>
      <c r="D2784" t="s">
        <v>145</v>
      </c>
      <c r="E2784" t="str">
        <f>"05"</f>
        <v>05</v>
      </c>
      <c r="H2784">
        <v>47</v>
      </c>
      <c r="I2784" t="s">
        <v>146</v>
      </c>
      <c r="J2784" t="s">
        <v>138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R2784" t="s">
        <v>127</v>
      </c>
      <c r="S2784" t="str">
        <f t="shared" si="1102"/>
        <v>15:12:15.000</v>
      </c>
      <c r="T2784" t="str">
        <f t="shared" si="1102"/>
        <v>15:12:15.000</v>
      </c>
      <c r="U2784" t="str">
        <f t="shared" si="1091"/>
        <v>A68FCB</v>
      </c>
      <c r="V2784">
        <v>0</v>
      </c>
      <c r="W2784">
        <v>0</v>
      </c>
      <c r="X2784">
        <v>2</v>
      </c>
      <c r="Y2784">
        <v>0</v>
      </c>
      <c r="AA2784">
        <v>1</v>
      </c>
      <c r="AB2784">
        <v>8</v>
      </c>
      <c r="AC2784">
        <v>3</v>
      </c>
      <c r="AD2784">
        <v>0</v>
      </c>
      <c r="AE2784">
        <v>9</v>
      </c>
      <c r="AF2784" t="s">
        <v>138</v>
      </c>
      <c r="AG2784">
        <v>0</v>
      </c>
      <c r="AH2784">
        <v>3</v>
      </c>
      <c r="AI2784">
        <v>2</v>
      </c>
      <c r="AJ2784">
        <v>0</v>
      </c>
      <c r="AK2784" t="s">
        <v>942</v>
      </c>
      <c r="AL2784">
        <v>39.101264</v>
      </c>
      <c r="AM2784" t="s">
        <v>943</v>
      </c>
      <c r="AN2784">
        <v>-121.03348</v>
      </c>
      <c r="AO2784">
        <v>25</v>
      </c>
      <c r="AP2784">
        <v>4400</v>
      </c>
      <c r="AQ2784" t="s">
        <v>131</v>
      </c>
      <c r="AR2784">
        <v>11</v>
      </c>
      <c r="AS2784">
        <v>81</v>
      </c>
      <c r="AT2784">
        <v>-192</v>
      </c>
      <c r="BB2784" t="str">
        <f t="shared" si="1092"/>
        <v>1200</v>
      </c>
      <c r="BC2784">
        <v>1</v>
      </c>
      <c r="BD2784" t="str">
        <f t="shared" si="1093"/>
        <v xml:space="preserve">N52156  </v>
      </c>
      <c r="BE2784">
        <v>1</v>
      </c>
      <c r="BG2784">
        <v>0</v>
      </c>
      <c r="BH2784">
        <v>0</v>
      </c>
      <c r="BI2784">
        <v>0</v>
      </c>
      <c r="BJ2784">
        <v>4425</v>
      </c>
      <c r="BK2784">
        <v>25</v>
      </c>
      <c r="BL2784" t="s">
        <v>188</v>
      </c>
      <c r="BM2784">
        <v>1</v>
      </c>
      <c r="BN2784">
        <v>1</v>
      </c>
      <c r="BO2784">
        <v>0</v>
      </c>
      <c r="BP2784">
        <v>0</v>
      </c>
      <c r="BS2784">
        <v>0</v>
      </c>
      <c r="BT2784">
        <v>0</v>
      </c>
      <c r="BU2784">
        <v>0</v>
      </c>
      <c r="CE2784" t="str">
        <f t="shared" si="1103"/>
        <v>15:12:15.953</v>
      </c>
      <c r="CF2784">
        <v>952976891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5</v>
      </c>
      <c r="CY2784">
        <v>7</v>
      </c>
      <c r="CZ2784" t="s">
        <v>133</v>
      </c>
      <c r="DA2784">
        <v>275</v>
      </c>
      <c r="DB2784">
        <v>0</v>
      </c>
      <c r="DC2784" t="s">
        <v>134</v>
      </c>
      <c r="DD2784" t="s">
        <v>135</v>
      </c>
      <c r="DG2784">
        <v>3322043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"05/01/2025 15:12:16.212"</f>
        <v>05/01/2025 15:12:16.212</v>
      </c>
      <c r="C2785" t="str">
        <f t="shared" si="1090"/>
        <v>FFDFD3C0</v>
      </c>
      <c r="D2785" t="s">
        <v>145</v>
      </c>
      <c r="E2785" t="str">
        <f>"09"</f>
        <v>09</v>
      </c>
      <c r="H2785">
        <v>51</v>
      </c>
      <c r="I2785" t="s">
        <v>147</v>
      </c>
      <c r="J2785" t="s">
        <v>138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R2785" t="s">
        <v>127</v>
      </c>
      <c r="S2785" t="str">
        <f t="shared" si="1102"/>
        <v>15:12:15.000</v>
      </c>
      <c r="T2785" t="str">
        <f t="shared" si="1102"/>
        <v>15:12:15.000</v>
      </c>
      <c r="U2785" t="str">
        <f t="shared" si="1091"/>
        <v>A68FCB</v>
      </c>
      <c r="V2785">
        <v>0</v>
      </c>
      <c r="W2785">
        <v>0</v>
      </c>
      <c r="X2785">
        <v>2</v>
      </c>
      <c r="Y2785">
        <v>0</v>
      </c>
      <c r="AA2785">
        <v>1</v>
      </c>
      <c r="AB2785">
        <v>8</v>
      </c>
      <c r="AC2785">
        <v>3</v>
      </c>
      <c r="AD2785">
        <v>0</v>
      </c>
      <c r="AE2785">
        <v>9</v>
      </c>
      <c r="AF2785" t="s">
        <v>138</v>
      </c>
      <c r="AG2785">
        <v>0</v>
      </c>
      <c r="AH2785">
        <v>3</v>
      </c>
      <c r="AI2785">
        <v>2</v>
      </c>
      <c r="AJ2785">
        <v>0</v>
      </c>
      <c r="AK2785" t="s">
        <v>942</v>
      </c>
      <c r="AL2785">
        <v>39.101264</v>
      </c>
      <c r="AM2785" t="s">
        <v>943</v>
      </c>
      <c r="AN2785">
        <v>-121.03348</v>
      </c>
      <c r="AO2785">
        <v>25</v>
      </c>
      <c r="AP2785">
        <v>4400</v>
      </c>
      <c r="AQ2785" t="s">
        <v>131</v>
      </c>
      <c r="AR2785">
        <v>11</v>
      </c>
      <c r="AS2785">
        <v>81</v>
      </c>
      <c r="AT2785">
        <v>-192</v>
      </c>
      <c r="BB2785" t="str">
        <f t="shared" si="1092"/>
        <v>1200</v>
      </c>
      <c r="BC2785">
        <v>1</v>
      </c>
      <c r="BD2785" t="str">
        <f t="shared" si="1093"/>
        <v xml:space="preserve">N52156  </v>
      </c>
      <c r="BE2785">
        <v>1</v>
      </c>
      <c r="BG2785">
        <v>0</v>
      </c>
      <c r="BH2785">
        <v>0</v>
      </c>
      <c r="BI2785">
        <v>0</v>
      </c>
      <c r="BJ2785">
        <v>4425</v>
      </c>
      <c r="BK2785">
        <v>25</v>
      </c>
      <c r="BL2785" t="s">
        <v>188</v>
      </c>
      <c r="BM2785">
        <v>1</v>
      </c>
      <c r="BN2785">
        <v>1</v>
      </c>
      <c r="BO2785">
        <v>0</v>
      </c>
      <c r="BP2785">
        <v>0</v>
      </c>
      <c r="BS2785">
        <v>0</v>
      </c>
      <c r="BT2785">
        <v>0</v>
      </c>
      <c r="BU2785">
        <v>0</v>
      </c>
      <c r="CE2785" t="str">
        <f t="shared" si="1103"/>
        <v>15:12:15.953</v>
      </c>
      <c r="CF2785">
        <v>952976891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5</v>
      </c>
      <c r="CY2785">
        <v>7</v>
      </c>
      <c r="CZ2785" t="s">
        <v>133</v>
      </c>
      <c r="DA2785">
        <v>275</v>
      </c>
      <c r="DB2785">
        <v>0</v>
      </c>
      <c r="DC2785" t="s">
        <v>134</v>
      </c>
      <c r="DD2785" t="s">
        <v>135</v>
      </c>
      <c r="DG2785">
        <v>3322043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"05/01/2025 15:12:17.102"</f>
        <v>05/01/2025 15:12:17.102</v>
      </c>
      <c r="C2786" t="str">
        <f t="shared" si="1090"/>
        <v>FFDFD3C0</v>
      </c>
      <c r="D2786" t="s">
        <v>124</v>
      </c>
      <c r="E2786" t="str">
        <f>"06"</f>
        <v>06</v>
      </c>
      <c r="F2786">
        <v>2006</v>
      </c>
      <c r="G2786" t="s">
        <v>125</v>
      </c>
      <c r="J2786" t="s">
        <v>126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R2786" t="s">
        <v>127</v>
      </c>
      <c r="S2786" t="str">
        <f t="shared" ref="S2786:T2791" si="1104">"15:12:16.000"</f>
        <v>15:12:16.000</v>
      </c>
      <c r="T2786" t="str">
        <f t="shared" si="1104"/>
        <v>15:12:16.000</v>
      </c>
      <c r="U2786" t="str">
        <f t="shared" si="1091"/>
        <v>A68FCB</v>
      </c>
      <c r="V2786">
        <v>0</v>
      </c>
      <c r="W2786">
        <v>0</v>
      </c>
      <c r="X2786">
        <v>2</v>
      </c>
      <c r="Y2786">
        <v>0</v>
      </c>
      <c r="AA2786">
        <v>1</v>
      </c>
      <c r="AB2786">
        <v>8</v>
      </c>
      <c r="AC2786">
        <v>3</v>
      </c>
      <c r="AD2786">
        <v>0</v>
      </c>
      <c r="AE2786">
        <v>9</v>
      </c>
      <c r="AF2786" t="s">
        <v>138</v>
      </c>
      <c r="AG2786">
        <v>0</v>
      </c>
      <c r="AH2786">
        <v>3</v>
      </c>
      <c r="AI2786">
        <v>2</v>
      </c>
      <c r="AJ2786">
        <v>0</v>
      </c>
      <c r="AK2786" t="s">
        <v>944</v>
      </c>
      <c r="AL2786">
        <v>39.101629000000003</v>
      </c>
      <c r="AM2786" t="s">
        <v>945</v>
      </c>
      <c r="AN2786">
        <v>-121.03343700000001</v>
      </c>
      <c r="AO2786">
        <v>25</v>
      </c>
      <c r="AP2786">
        <v>4400</v>
      </c>
      <c r="AQ2786" t="s">
        <v>131</v>
      </c>
      <c r="AR2786">
        <v>11</v>
      </c>
      <c r="AS2786">
        <v>82</v>
      </c>
      <c r="AT2786">
        <v>-256</v>
      </c>
      <c r="BB2786" t="str">
        <f t="shared" si="1092"/>
        <v>1200</v>
      </c>
      <c r="BC2786">
        <v>1</v>
      </c>
      <c r="BD2786" t="str">
        <f t="shared" si="1093"/>
        <v xml:space="preserve">N52156  </v>
      </c>
      <c r="BE2786">
        <v>1</v>
      </c>
      <c r="BG2786">
        <v>0</v>
      </c>
      <c r="BH2786">
        <v>0</v>
      </c>
      <c r="BI2786">
        <v>0</v>
      </c>
      <c r="BJ2786">
        <v>4425</v>
      </c>
      <c r="BK2786">
        <v>25</v>
      </c>
      <c r="BL2786" t="s">
        <v>188</v>
      </c>
      <c r="BM2786">
        <v>1</v>
      </c>
      <c r="BN2786">
        <v>1</v>
      </c>
      <c r="BO2786">
        <v>0</v>
      </c>
      <c r="BP2786">
        <v>0</v>
      </c>
      <c r="BS2786">
        <v>0</v>
      </c>
      <c r="BT2786">
        <v>0</v>
      </c>
      <c r="BU2786">
        <v>0</v>
      </c>
      <c r="CE2786" t="str">
        <f t="shared" ref="CE2786:CE2791" si="1105">"15:12:16.864"</f>
        <v>15:12:16.864</v>
      </c>
      <c r="CF2786">
        <v>863976723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5</v>
      </c>
      <c r="CY2786">
        <v>7</v>
      </c>
      <c r="CZ2786" t="s">
        <v>133</v>
      </c>
      <c r="DA2786">
        <v>275</v>
      </c>
      <c r="DB2786">
        <v>0</v>
      </c>
      <c r="DC2786" t="s">
        <v>134</v>
      </c>
      <c r="DD2786" t="s">
        <v>135</v>
      </c>
      <c r="DG2786">
        <v>3322050</v>
      </c>
      <c r="DI2786">
        <v>1</v>
      </c>
      <c r="DJ2786">
        <v>0</v>
      </c>
      <c r="DK2786">
        <v>0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>"05/01/2025 15:12:17.113"</f>
        <v>05/01/2025 15:12:17.113</v>
      </c>
      <c r="C2787" t="str">
        <f t="shared" si="1090"/>
        <v>FFDFD3C0</v>
      </c>
      <c r="D2787" t="s">
        <v>145</v>
      </c>
      <c r="E2787" t="str">
        <f>"09"</f>
        <v>09</v>
      </c>
      <c r="H2787">
        <v>51</v>
      </c>
      <c r="I2787" t="s">
        <v>147</v>
      </c>
      <c r="J2787" t="s">
        <v>138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R2787" t="s">
        <v>127</v>
      </c>
      <c r="S2787" t="str">
        <f t="shared" si="1104"/>
        <v>15:12:16.000</v>
      </c>
      <c r="T2787" t="str">
        <f t="shared" si="1104"/>
        <v>15:12:16.000</v>
      </c>
      <c r="U2787" t="str">
        <f t="shared" si="1091"/>
        <v>A68FCB</v>
      </c>
      <c r="V2787">
        <v>0</v>
      </c>
      <c r="W2787">
        <v>0</v>
      </c>
      <c r="X2787">
        <v>2</v>
      </c>
      <c r="Y2787">
        <v>0</v>
      </c>
      <c r="AA2787">
        <v>1</v>
      </c>
      <c r="AB2787">
        <v>8</v>
      </c>
      <c r="AC2787">
        <v>3</v>
      </c>
      <c r="AD2787">
        <v>0</v>
      </c>
      <c r="AE2787">
        <v>9</v>
      </c>
      <c r="AF2787" t="s">
        <v>138</v>
      </c>
      <c r="AG2787">
        <v>0</v>
      </c>
      <c r="AH2787">
        <v>3</v>
      </c>
      <c r="AI2787">
        <v>2</v>
      </c>
      <c r="AJ2787">
        <v>0</v>
      </c>
      <c r="AK2787" t="s">
        <v>944</v>
      </c>
      <c r="AL2787">
        <v>39.101629000000003</v>
      </c>
      <c r="AM2787" t="s">
        <v>945</v>
      </c>
      <c r="AN2787">
        <v>-121.03343700000001</v>
      </c>
      <c r="AO2787">
        <v>25</v>
      </c>
      <c r="AP2787">
        <v>4400</v>
      </c>
      <c r="AQ2787" t="s">
        <v>131</v>
      </c>
      <c r="AR2787">
        <v>11</v>
      </c>
      <c r="AS2787">
        <v>82</v>
      </c>
      <c r="AT2787">
        <v>-256</v>
      </c>
      <c r="BB2787" t="str">
        <f t="shared" si="1092"/>
        <v>1200</v>
      </c>
      <c r="BC2787">
        <v>1</v>
      </c>
      <c r="BD2787" t="str">
        <f t="shared" si="1093"/>
        <v xml:space="preserve">N52156  </v>
      </c>
      <c r="BE2787">
        <v>1</v>
      </c>
      <c r="BG2787">
        <v>0</v>
      </c>
      <c r="BH2787">
        <v>0</v>
      </c>
      <c r="BI2787">
        <v>0</v>
      </c>
      <c r="BJ2787">
        <v>4425</v>
      </c>
      <c r="BK2787">
        <v>25</v>
      </c>
      <c r="BL2787" t="s">
        <v>188</v>
      </c>
      <c r="BM2787">
        <v>1</v>
      </c>
      <c r="BN2787">
        <v>1</v>
      </c>
      <c r="BO2787">
        <v>0</v>
      </c>
      <c r="BP2787">
        <v>0</v>
      </c>
      <c r="BS2787">
        <v>0</v>
      </c>
      <c r="BT2787">
        <v>0</v>
      </c>
      <c r="BU2787">
        <v>0</v>
      </c>
      <c r="CE2787" t="str">
        <f t="shared" si="1105"/>
        <v>15:12:16.864</v>
      </c>
      <c r="CF2787">
        <v>863976723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5</v>
      </c>
      <c r="CY2787">
        <v>7</v>
      </c>
      <c r="CZ2787" t="s">
        <v>133</v>
      </c>
      <c r="DA2787">
        <v>275</v>
      </c>
      <c r="DB2787">
        <v>0</v>
      </c>
      <c r="DC2787" t="s">
        <v>134</v>
      </c>
      <c r="DD2787" t="s">
        <v>135</v>
      </c>
      <c r="DG2787">
        <v>3322050</v>
      </c>
      <c r="DI2787">
        <v>1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>"05/01/2025 15:12:17.113"</f>
        <v>05/01/2025 15:12:17.113</v>
      </c>
      <c r="C2788" t="str">
        <f t="shared" si="1090"/>
        <v>FFDFD3C0</v>
      </c>
      <c r="D2788" t="s">
        <v>145</v>
      </c>
      <c r="E2788" t="str">
        <f>"05"</f>
        <v>05</v>
      </c>
      <c r="H2788">
        <v>47</v>
      </c>
      <c r="I2788" t="s">
        <v>146</v>
      </c>
      <c r="J2788" t="s">
        <v>138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R2788" t="s">
        <v>127</v>
      </c>
      <c r="S2788" t="str">
        <f t="shared" si="1104"/>
        <v>15:12:16.000</v>
      </c>
      <c r="T2788" t="str">
        <f t="shared" si="1104"/>
        <v>15:12:16.000</v>
      </c>
      <c r="U2788" t="str">
        <f t="shared" si="1091"/>
        <v>A68FCB</v>
      </c>
      <c r="V2788">
        <v>0</v>
      </c>
      <c r="W2788">
        <v>0</v>
      </c>
      <c r="X2788">
        <v>2</v>
      </c>
      <c r="Y2788">
        <v>0</v>
      </c>
      <c r="AA2788">
        <v>1</v>
      </c>
      <c r="AB2788">
        <v>8</v>
      </c>
      <c r="AC2788">
        <v>3</v>
      </c>
      <c r="AD2788">
        <v>0</v>
      </c>
      <c r="AE2788">
        <v>9</v>
      </c>
      <c r="AF2788" t="s">
        <v>138</v>
      </c>
      <c r="AG2788">
        <v>0</v>
      </c>
      <c r="AH2788">
        <v>3</v>
      </c>
      <c r="AI2788">
        <v>2</v>
      </c>
      <c r="AJ2788">
        <v>0</v>
      </c>
      <c r="AK2788" t="s">
        <v>944</v>
      </c>
      <c r="AL2788">
        <v>39.101629000000003</v>
      </c>
      <c r="AM2788" t="s">
        <v>945</v>
      </c>
      <c r="AN2788">
        <v>-121.03343700000001</v>
      </c>
      <c r="AO2788">
        <v>25</v>
      </c>
      <c r="AP2788">
        <v>4400</v>
      </c>
      <c r="AQ2788" t="s">
        <v>131</v>
      </c>
      <c r="AR2788">
        <v>11</v>
      </c>
      <c r="AS2788">
        <v>82</v>
      </c>
      <c r="AT2788">
        <v>-256</v>
      </c>
      <c r="BB2788" t="str">
        <f t="shared" si="1092"/>
        <v>1200</v>
      </c>
      <c r="BC2788">
        <v>1</v>
      </c>
      <c r="BD2788" t="str">
        <f t="shared" si="1093"/>
        <v xml:space="preserve">N52156  </v>
      </c>
      <c r="BE2788">
        <v>1</v>
      </c>
      <c r="BG2788">
        <v>0</v>
      </c>
      <c r="BH2788">
        <v>0</v>
      </c>
      <c r="BI2788">
        <v>0</v>
      </c>
      <c r="BJ2788">
        <v>4425</v>
      </c>
      <c r="BK2788">
        <v>25</v>
      </c>
      <c r="BL2788" t="s">
        <v>188</v>
      </c>
      <c r="BM2788">
        <v>1</v>
      </c>
      <c r="BN2788">
        <v>1</v>
      </c>
      <c r="BO2788">
        <v>0</v>
      </c>
      <c r="BP2788">
        <v>0</v>
      </c>
      <c r="BS2788">
        <v>0</v>
      </c>
      <c r="BT2788">
        <v>0</v>
      </c>
      <c r="BU2788">
        <v>0</v>
      </c>
      <c r="CE2788" t="str">
        <f t="shared" si="1105"/>
        <v>15:12:16.864</v>
      </c>
      <c r="CF2788">
        <v>863976723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5</v>
      </c>
      <c r="CY2788">
        <v>7</v>
      </c>
      <c r="CZ2788" t="s">
        <v>133</v>
      </c>
      <c r="DA2788">
        <v>275</v>
      </c>
      <c r="DB2788">
        <v>0</v>
      </c>
      <c r="DC2788" t="s">
        <v>134</v>
      </c>
      <c r="DD2788" t="s">
        <v>135</v>
      </c>
      <c r="DG2788">
        <v>3322050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>"05/01/2025 15:12:17.124"</f>
        <v>05/01/2025 15:12:17.124</v>
      </c>
      <c r="C2789" t="str">
        <f t="shared" si="1090"/>
        <v>FFDFD3C0</v>
      </c>
      <c r="D2789" t="s">
        <v>136</v>
      </c>
      <c r="E2789" t="str">
        <f>"20"</f>
        <v>20</v>
      </c>
      <c r="H2789">
        <v>400</v>
      </c>
      <c r="I2789" t="s">
        <v>137</v>
      </c>
      <c r="J2789" t="s">
        <v>138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R2789" t="s">
        <v>127</v>
      </c>
      <c r="S2789" t="str">
        <f t="shared" si="1104"/>
        <v>15:12:16.000</v>
      </c>
      <c r="T2789" t="str">
        <f t="shared" si="1104"/>
        <v>15:12:16.000</v>
      </c>
      <c r="U2789" t="str">
        <f t="shared" si="1091"/>
        <v>A68FCB</v>
      </c>
      <c r="V2789">
        <v>0</v>
      </c>
      <c r="W2789">
        <v>0</v>
      </c>
      <c r="X2789">
        <v>2</v>
      </c>
      <c r="Y2789">
        <v>0</v>
      </c>
      <c r="AA2789">
        <v>1</v>
      </c>
      <c r="AB2789">
        <v>8</v>
      </c>
      <c r="AC2789">
        <v>3</v>
      </c>
      <c r="AD2789">
        <v>0</v>
      </c>
      <c r="AE2789">
        <v>9</v>
      </c>
      <c r="AF2789" t="s">
        <v>138</v>
      </c>
      <c r="AG2789">
        <v>0</v>
      </c>
      <c r="AH2789">
        <v>3</v>
      </c>
      <c r="AI2789">
        <v>2</v>
      </c>
      <c r="AJ2789">
        <v>0</v>
      </c>
      <c r="AK2789" t="s">
        <v>944</v>
      </c>
      <c r="AL2789">
        <v>39.101629000000003</v>
      </c>
      <c r="AM2789" t="s">
        <v>945</v>
      </c>
      <c r="AN2789">
        <v>-121.03343700000001</v>
      </c>
      <c r="AO2789">
        <v>25</v>
      </c>
      <c r="AP2789">
        <v>4400</v>
      </c>
      <c r="AQ2789" t="s">
        <v>131</v>
      </c>
      <c r="AR2789">
        <v>11</v>
      </c>
      <c r="AS2789">
        <v>82</v>
      </c>
      <c r="AT2789">
        <v>-256</v>
      </c>
      <c r="BB2789" t="str">
        <f t="shared" si="1092"/>
        <v>1200</v>
      </c>
      <c r="BC2789">
        <v>1</v>
      </c>
      <c r="BD2789" t="str">
        <f t="shared" si="1093"/>
        <v xml:space="preserve">N52156  </v>
      </c>
      <c r="BE2789">
        <v>1</v>
      </c>
      <c r="BG2789">
        <v>0</v>
      </c>
      <c r="BH2789">
        <v>0</v>
      </c>
      <c r="BI2789">
        <v>0</v>
      </c>
      <c r="BJ2789">
        <v>4425</v>
      </c>
      <c r="BK2789">
        <v>25</v>
      </c>
      <c r="BL2789" t="s">
        <v>188</v>
      </c>
      <c r="BM2789">
        <v>1</v>
      </c>
      <c r="BN2789">
        <v>1</v>
      </c>
      <c r="BO2789">
        <v>0</v>
      </c>
      <c r="BP2789">
        <v>0</v>
      </c>
      <c r="BS2789">
        <v>0</v>
      </c>
      <c r="BT2789">
        <v>0</v>
      </c>
      <c r="BU2789">
        <v>0</v>
      </c>
      <c r="CE2789" t="str">
        <f t="shared" si="1105"/>
        <v>15:12:16.864</v>
      </c>
      <c r="CF2789">
        <v>863976723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5</v>
      </c>
      <c r="CY2789">
        <v>7</v>
      </c>
      <c r="CZ2789" t="s">
        <v>133</v>
      </c>
      <c r="DA2789">
        <v>275</v>
      </c>
      <c r="DB2789">
        <v>0</v>
      </c>
      <c r="DC2789" t="s">
        <v>134</v>
      </c>
      <c r="DD2789" t="s">
        <v>135</v>
      </c>
      <c r="DG2789">
        <v>3322050</v>
      </c>
      <c r="DI2789">
        <v>1</v>
      </c>
      <c r="DJ2789">
        <v>0</v>
      </c>
      <c r="DK2789">
        <v>1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>"05/01/2025 15:12:17.130"</f>
        <v>05/01/2025 15:12:17.130</v>
      </c>
      <c r="C2790" t="str">
        <f t="shared" si="1090"/>
        <v>FFDFD3C0</v>
      </c>
      <c r="D2790" t="s">
        <v>143</v>
      </c>
      <c r="E2790" t="str">
        <f>"05"</f>
        <v>05</v>
      </c>
      <c r="H2790">
        <v>172</v>
      </c>
      <c r="I2790" t="s">
        <v>141</v>
      </c>
      <c r="J2790" t="s">
        <v>144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R2790" t="s">
        <v>127</v>
      </c>
      <c r="S2790" t="str">
        <f t="shared" si="1104"/>
        <v>15:12:16.000</v>
      </c>
      <c r="T2790" t="str">
        <f t="shared" si="1104"/>
        <v>15:12:16.000</v>
      </c>
      <c r="U2790" t="str">
        <f t="shared" si="1091"/>
        <v>A68FCB</v>
      </c>
      <c r="V2790">
        <v>0</v>
      </c>
      <c r="W2790">
        <v>0</v>
      </c>
      <c r="X2790">
        <v>2</v>
      </c>
      <c r="Y2790">
        <v>0</v>
      </c>
      <c r="AA2790">
        <v>1</v>
      </c>
      <c r="AB2790">
        <v>8</v>
      </c>
      <c r="AC2790">
        <v>3</v>
      </c>
      <c r="AD2790">
        <v>0</v>
      </c>
      <c r="AE2790">
        <v>9</v>
      </c>
      <c r="AF2790" t="s">
        <v>138</v>
      </c>
      <c r="AG2790">
        <v>0</v>
      </c>
      <c r="AH2790">
        <v>3</v>
      </c>
      <c r="AI2790">
        <v>2</v>
      </c>
      <c r="AJ2790">
        <v>0</v>
      </c>
      <c r="AK2790" t="s">
        <v>944</v>
      </c>
      <c r="AL2790">
        <v>39.101629000000003</v>
      </c>
      <c r="AM2790" t="s">
        <v>945</v>
      </c>
      <c r="AN2790">
        <v>-121.03343700000001</v>
      </c>
      <c r="AO2790">
        <v>25</v>
      </c>
      <c r="AP2790">
        <v>4400</v>
      </c>
      <c r="AQ2790" t="s">
        <v>131</v>
      </c>
      <c r="AR2790">
        <v>11</v>
      </c>
      <c r="AS2790">
        <v>82</v>
      </c>
      <c r="AT2790">
        <v>-256</v>
      </c>
      <c r="BB2790" t="str">
        <f t="shared" si="1092"/>
        <v>1200</v>
      </c>
      <c r="BC2790">
        <v>1</v>
      </c>
      <c r="BD2790" t="str">
        <f t="shared" si="1093"/>
        <v xml:space="preserve">N52156  </v>
      </c>
      <c r="BE2790">
        <v>1</v>
      </c>
      <c r="BG2790">
        <v>0</v>
      </c>
      <c r="BH2790">
        <v>0</v>
      </c>
      <c r="BI2790">
        <v>0</v>
      </c>
      <c r="BJ2790">
        <v>4425</v>
      </c>
      <c r="BK2790">
        <v>25</v>
      </c>
      <c r="BL2790" t="s">
        <v>188</v>
      </c>
      <c r="BM2790">
        <v>1</v>
      </c>
      <c r="BN2790">
        <v>1</v>
      </c>
      <c r="BO2790">
        <v>0</v>
      </c>
      <c r="BP2790">
        <v>0</v>
      </c>
      <c r="BS2790">
        <v>0</v>
      </c>
      <c r="BT2790">
        <v>0</v>
      </c>
      <c r="BU2790">
        <v>0</v>
      </c>
      <c r="CE2790" t="str">
        <f t="shared" si="1105"/>
        <v>15:12:16.864</v>
      </c>
      <c r="CF2790">
        <v>863976723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5</v>
      </c>
      <c r="CY2790">
        <v>7</v>
      </c>
      <c r="CZ2790" t="s">
        <v>133</v>
      </c>
      <c r="DA2790">
        <v>275</v>
      </c>
      <c r="DB2790">
        <v>0</v>
      </c>
      <c r="DC2790" t="s">
        <v>134</v>
      </c>
      <c r="DD2790" t="s">
        <v>135</v>
      </c>
      <c r="DG2790">
        <v>3322050</v>
      </c>
      <c r="DI2790">
        <v>1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>"05/01/2025 15:12:17.149"</f>
        <v>05/01/2025 15:12:17.149</v>
      </c>
      <c r="C2791" t="str">
        <f t="shared" si="1090"/>
        <v>FFDFD3C0</v>
      </c>
      <c r="D2791" t="s">
        <v>140</v>
      </c>
      <c r="E2791" t="str">
        <f>"13"</f>
        <v>13</v>
      </c>
      <c r="F2791">
        <v>1019</v>
      </c>
      <c r="G2791" t="s">
        <v>141</v>
      </c>
      <c r="J2791" t="s">
        <v>142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R2791" t="s">
        <v>127</v>
      </c>
      <c r="S2791" t="str">
        <f t="shared" si="1104"/>
        <v>15:12:16.000</v>
      </c>
      <c r="T2791" t="str">
        <f t="shared" si="1104"/>
        <v>15:12:16.000</v>
      </c>
      <c r="U2791" t="str">
        <f t="shared" si="1091"/>
        <v>A68FCB</v>
      </c>
      <c r="V2791">
        <v>0</v>
      </c>
      <c r="W2791">
        <v>0</v>
      </c>
      <c r="X2791">
        <v>2</v>
      </c>
      <c r="Y2791">
        <v>0</v>
      </c>
      <c r="AA2791">
        <v>1</v>
      </c>
      <c r="AB2791">
        <v>8</v>
      </c>
      <c r="AC2791">
        <v>3</v>
      </c>
      <c r="AD2791">
        <v>0</v>
      </c>
      <c r="AE2791">
        <v>9</v>
      </c>
      <c r="AF2791" t="s">
        <v>138</v>
      </c>
      <c r="AG2791">
        <v>0</v>
      </c>
      <c r="AH2791">
        <v>3</v>
      </c>
      <c r="AI2791">
        <v>2</v>
      </c>
      <c r="AJ2791">
        <v>0</v>
      </c>
      <c r="AK2791" t="s">
        <v>944</v>
      </c>
      <c r="AL2791">
        <v>39.101629000000003</v>
      </c>
      <c r="AM2791" t="s">
        <v>945</v>
      </c>
      <c r="AN2791">
        <v>-121.03343700000001</v>
      </c>
      <c r="AO2791">
        <v>25</v>
      </c>
      <c r="AP2791">
        <v>4400</v>
      </c>
      <c r="AQ2791" t="s">
        <v>131</v>
      </c>
      <c r="AR2791">
        <v>11</v>
      </c>
      <c r="AS2791">
        <v>82</v>
      </c>
      <c r="AT2791">
        <v>-256</v>
      </c>
      <c r="BB2791" t="str">
        <f t="shared" si="1092"/>
        <v>1200</v>
      </c>
      <c r="BC2791">
        <v>1</v>
      </c>
      <c r="BD2791" t="str">
        <f t="shared" si="1093"/>
        <v xml:space="preserve">N52156  </v>
      </c>
      <c r="BE2791">
        <v>1</v>
      </c>
      <c r="BG2791">
        <v>0</v>
      </c>
      <c r="BH2791">
        <v>0</v>
      </c>
      <c r="BI2791">
        <v>0</v>
      </c>
      <c r="BJ2791">
        <v>4425</v>
      </c>
      <c r="BK2791">
        <v>25</v>
      </c>
      <c r="BL2791" t="s">
        <v>188</v>
      </c>
      <c r="BM2791">
        <v>1</v>
      </c>
      <c r="BN2791">
        <v>1</v>
      </c>
      <c r="BO2791">
        <v>0</v>
      </c>
      <c r="BP2791">
        <v>0</v>
      </c>
      <c r="BS2791">
        <v>0</v>
      </c>
      <c r="BT2791">
        <v>0</v>
      </c>
      <c r="BU2791">
        <v>0</v>
      </c>
      <c r="CE2791" t="str">
        <f t="shared" si="1105"/>
        <v>15:12:16.864</v>
      </c>
      <c r="CF2791">
        <v>863976723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5</v>
      </c>
      <c r="CY2791">
        <v>7</v>
      </c>
      <c r="CZ2791" t="s">
        <v>133</v>
      </c>
      <c r="DA2791">
        <v>275</v>
      </c>
      <c r="DB2791">
        <v>0</v>
      </c>
      <c r="DC2791" t="s">
        <v>134</v>
      </c>
      <c r="DD2791" t="s">
        <v>135</v>
      </c>
      <c r="DG2791">
        <v>3322050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>"05/01/2025 15:12:18.015"</f>
        <v>05/01/2025 15:12:18.015</v>
      </c>
      <c r="C2792" t="str">
        <f t="shared" si="1090"/>
        <v>FFDFD3C0</v>
      </c>
      <c r="D2792" t="s">
        <v>145</v>
      </c>
      <c r="E2792" t="str">
        <f>"09"</f>
        <v>09</v>
      </c>
      <c r="H2792">
        <v>51</v>
      </c>
      <c r="I2792" t="s">
        <v>147</v>
      </c>
      <c r="J2792" t="s">
        <v>138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R2792" t="s">
        <v>127</v>
      </c>
      <c r="S2792" t="str">
        <f t="shared" ref="S2792:T2797" si="1106">"15:12:17.000"</f>
        <v>15:12:17.000</v>
      </c>
      <c r="T2792" t="str">
        <f t="shared" si="1106"/>
        <v>15:12:17.000</v>
      </c>
      <c r="U2792" t="str">
        <f t="shared" si="1091"/>
        <v>A68FCB</v>
      </c>
      <c r="V2792">
        <v>0</v>
      </c>
      <c r="W2792">
        <v>0</v>
      </c>
      <c r="X2792">
        <v>2</v>
      </c>
      <c r="Y2792">
        <v>0</v>
      </c>
      <c r="AA2792">
        <v>1</v>
      </c>
      <c r="AB2792">
        <v>8</v>
      </c>
      <c r="AC2792">
        <v>3</v>
      </c>
      <c r="AD2792">
        <v>0</v>
      </c>
      <c r="AE2792">
        <v>9</v>
      </c>
      <c r="AF2792" t="s">
        <v>138</v>
      </c>
      <c r="AG2792">
        <v>0</v>
      </c>
      <c r="AH2792">
        <v>3</v>
      </c>
      <c r="AI2792">
        <v>2</v>
      </c>
      <c r="AJ2792">
        <v>0</v>
      </c>
      <c r="AK2792" t="s">
        <v>946</v>
      </c>
      <c r="AL2792">
        <v>39.102037000000003</v>
      </c>
      <c r="AM2792" t="s">
        <v>947</v>
      </c>
      <c r="AN2792">
        <v>-121.033373</v>
      </c>
      <c r="AO2792">
        <v>25</v>
      </c>
      <c r="AP2792">
        <v>4400</v>
      </c>
      <c r="AQ2792" t="s">
        <v>131</v>
      </c>
      <c r="AR2792">
        <v>12</v>
      </c>
      <c r="AS2792">
        <v>82</v>
      </c>
      <c r="AT2792">
        <v>-192</v>
      </c>
      <c r="BB2792" t="str">
        <f t="shared" si="1092"/>
        <v>1200</v>
      </c>
      <c r="BC2792">
        <v>1</v>
      </c>
      <c r="BD2792" t="str">
        <f t="shared" si="1093"/>
        <v xml:space="preserve">N52156  </v>
      </c>
      <c r="BE2792">
        <v>1</v>
      </c>
      <c r="BG2792">
        <v>0</v>
      </c>
      <c r="BH2792">
        <v>0</v>
      </c>
      <c r="BI2792">
        <v>0</v>
      </c>
      <c r="BJ2792">
        <v>4425</v>
      </c>
      <c r="BK2792">
        <v>25</v>
      </c>
      <c r="BL2792" t="s">
        <v>188</v>
      </c>
      <c r="BM2792">
        <v>1</v>
      </c>
      <c r="BN2792">
        <v>1</v>
      </c>
      <c r="BO2792">
        <v>0</v>
      </c>
      <c r="BP2792">
        <v>0</v>
      </c>
      <c r="BS2792">
        <v>0</v>
      </c>
      <c r="BT2792">
        <v>0</v>
      </c>
      <c r="BU2792">
        <v>0</v>
      </c>
      <c r="CE2792" t="str">
        <f t="shared" ref="CE2792:CE2797" si="1107">"15:12:17.795"</f>
        <v>15:12:17.795</v>
      </c>
      <c r="CF2792">
        <v>794976609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5</v>
      </c>
      <c r="CY2792">
        <v>7</v>
      </c>
      <c r="CZ2792" t="s">
        <v>133</v>
      </c>
      <c r="DA2792">
        <v>275</v>
      </c>
      <c r="DB2792">
        <v>0</v>
      </c>
      <c r="DC2792" t="s">
        <v>134</v>
      </c>
      <c r="DD2792" t="s">
        <v>135</v>
      </c>
      <c r="DG2792">
        <v>3322057</v>
      </c>
      <c r="DI2792">
        <v>1</v>
      </c>
      <c r="DJ2792">
        <v>0</v>
      </c>
      <c r="DK2792">
        <v>0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"05/01/2025 15:12:18.015"</f>
        <v>05/01/2025 15:12:18.015</v>
      </c>
      <c r="C2793" t="str">
        <f t="shared" si="1090"/>
        <v>FFDFD3C0</v>
      </c>
      <c r="D2793" t="s">
        <v>145</v>
      </c>
      <c r="E2793" t="str">
        <f>"05"</f>
        <v>05</v>
      </c>
      <c r="H2793">
        <v>47</v>
      </c>
      <c r="I2793" t="s">
        <v>146</v>
      </c>
      <c r="J2793" t="s">
        <v>138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R2793" t="s">
        <v>127</v>
      </c>
      <c r="S2793" t="str">
        <f t="shared" si="1106"/>
        <v>15:12:17.000</v>
      </c>
      <c r="T2793" t="str">
        <f t="shared" si="1106"/>
        <v>15:12:17.000</v>
      </c>
      <c r="U2793" t="str">
        <f t="shared" si="1091"/>
        <v>A68FCB</v>
      </c>
      <c r="V2793">
        <v>0</v>
      </c>
      <c r="W2793">
        <v>0</v>
      </c>
      <c r="X2793">
        <v>2</v>
      </c>
      <c r="Y2793">
        <v>0</v>
      </c>
      <c r="AA2793">
        <v>1</v>
      </c>
      <c r="AB2793">
        <v>8</v>
      </c>
      <c r="AC2793">
        <v>3</v>
      </c>
      <c r="AD2793">
        <v>0</v>
      </c>
      <c r="AE2793">
        <v>9</v>
      </c>
      <c r="AF2793" t="s">
        <v>138</v>
      </c>
      <c r="AG2793">
        <v>0</v>
      </c>
      <c r="AH2793">
        <v>3</v>
      </c>
      <c r="AI2793">
        <v>2</v>
      </c>
      <c r="AJ2793">
        <v>0</v>
      </c>
      <c r="AK2793" t="s">
        <v>946</v>
      </c>
      <c r="AL2793">
        <v>39.102037000000003</v>
      </c>
      <c r="AM2793" t="s">
        <v>947</v>
      </c>
      <c r="AN2793">
        <v>-121.033373</v>
      </c>
      <c r="AO2793">
        <v>25</v>
      </c>
      <c r="AP2793">
        <v>4400</v>
      </c>
      <c r="AQ2793" t="s">
        <v>131</v>
      </c>
      <c r="AR2793">
        <v>12</v>
      </c>
      <c r="AS2793">
        <v>82</v>
      </c>
      <c r="AT2793">
        <v>-192</v>
      </c>
      <c r="BB2793" t="str">
        <f t="shared" si="1092"/>
        <v>1200</v>
      </c>
      <c r="BC2793">
        <v>1</v>
      </c>
      <c r="BD2793" t="str">
        <f t="shared" si="1093"/>
        <v xml:space="preserve">N52156  </v>
      </c>
      <c r="BE2793">
        <v>1</v>
      </c>
      <c r="BG2793">
        <v>0</v>
      </c>
      <c r="BH2793">
        <v>0</v>
      </c>
      <c r="BI2793">
        <v>0</v>
      </c>
      <c r="BJ2793">
        <v>4425</v>
      </c>
      <c r="BK2793">
        <v>25</v>
      </c>
      <c r="BL2793" t="s">
        <v>188</v>
      </c>
      <c r="BM2793">
        <v>1</v>
      </c>
      <c r="BN2793">
        <v>1</v>
      </c>
      <c r="BO2793">
        <v>0</v>
      </c>
      <c r="BP2793">
        <v>0</v>
      </c>
      <c r="BS2793">
        <v>0</v>
      </c>
      <c r="BT2793">
        <v>0</v>
      </c>
      <c r="BU2793">
        <v>0</v>
      </c>
      <c r="CE2793" t="str">
        <f t="shared" si="1107"/>
        <v>15:12:17.795</v>
      </c>
      <c r="CF2793">
        <v>794976609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5</v>
      </c>
      <c r="CY2793">
        <v>7</v>
      </c>
      <c r="CZ2793" t="s">
        <v>133</v>
      </c>
      <c r="DA2793">
        <v>275</v>
      </c>
      <c r="DB2793">
        <v>0</v>
      </c>
      <c r="DC2793" t="s">
        <v>134</v>
      </c>
      <c r="DD2793" t="s">
        <v>135</v>
      </c>
      <c r="DG2793">
        <v>3322057</v>
      </c>
      <c r="DI2793">
        <v>1</v>
      </c>
      <c r="DJ2793">
        <v>0</v>
      </c>
      <c r="DK2793">
        <v>1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"05/01/2025 15:12:18.025"</f>
        <v>05/01/2025 15:12:18.025</v>
      </c>
      <c r="C2794" t="str">
        <f t="shared" si="1090"/>
        <v>FFDFD3C0</v>
      </c>
      <c r="D2794" t="s">
        <v>136</v>
      </c>
      <c r="E2794" t="str">
        <f>"20"</f>
        <v>20</v>
      </c>
      <c r="H2794">
        <v>400</v>
      </c>
      <c r="I2794" t="s">
        <v>137</v>
      </c>
      <c r="J2794" t="s">
        <v>138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R2794" t="s">
        <v>127</v>
      </c>
      <c r="S2794" t="str">
        <f t="shared" si="1106"/>
        <v>15:12:17.000</v>
      </c>
      <c r="T2794" t="str">
        <f t="shared" si="1106"/>
        <v>15:12:17.000</v>
      </c>
      <c r="U2794" t="str">
        <f t="shared" si="1091"/>
        <v>A68FCB</v>
      </c>
      <c r="V2794">
        <v>0</v>
      </c>
      <c r="W2794">
        <v>0</v>
      </c>
      <c r="X2794">
        <v>2</v>
      </c>
      <c r="Y2794">
        <v>0</v>
      </c>
      <c r="AA2794">
        <v>1</v>
      </c>
      <c r="AB2794">
        <v>8</v>
      </c>
      <c r="AC2794">
        <v>3</v>
      </c>
      <c r="AD2794">
        <v>0</v>
      </c>
      <c r="AE2794">
        <v>9</v>
      </c>
      <c r="AF2794" t="s">
        <v>138</v>
      </c>
      <c r="AG2794">
        <v>0</v>
      </c>
      <c r="AH2794">
        <v>3</v>
      </c>
      <c r="AI2794">
        <v>2</v>
      </c>
      <c r="AJ2794">
        <v>0</v>
      </c>
      <c r="AK2794" t="s">
        <v>946</v>
      </c>
      <c r="AL2794">
        <v>39.102037000000003</v>
      </c>
      <c r="AM2794" t="s">
        <v>947</v>
      </c>
      <c r="AN2794">
        <v>-121.033373</v>
      </c>
      <c r="AO2794">
        <v>25</v>
      </c>
      <c r="AP2794">
        <v>4400</v>
      </c>
      <c r="AQ2794" t="s">
        <v>131</v>
      </c>
      <c r="AR2794">
        <v>12</v>
      </c>
      <c r="AS2794">
        <v>82</v>
      </c>
      <c r="AT2794">
        <v>-192</v>
      </c>
      <c r="BB2794" t="str">
        <f t="shared" si="1092"/>
        <v>1200</v>
      </c>
      <c r="BC2794">
        <v>1</v>
      </c>
      <c r="BD2794" t="str">
        <f t="shared" si="1093"/>
        <v xml:space="preserve">N52156  </v>
      </c>
      <c r="BE2794">
        <v>1</v>
      </c>
      <c r="BG2794">
        <v>0</v>
      </c>
      <c r="BH2794">
        <v>0</v>
      </c>
      <c r="BI2794">
        <v>0</v>
      </c>
      <c r="BJ2794">
        <v>4425</v>
      </c>
      <c r="BK2794">
        <v>25</v>
      </c>
      <c r="BL2794" t="s">
        <v>188</v>
      </c>
      <c r="BM2794">
        <v>1</v>
      </c>
      <c r="BN2794">
        <v>1</v>
      </c>
      <c r="BO2794">
        <v>0</v>
      </c>
      <c r="BP2794">
        <v>0</v>
      </c>
      <c r="BS2794">
        <v>0</v>
      </c>
      <c r="BT2794">
        <v>0</v>
      </c>
      <c r="BU2794">
        <v>0</v>
      </c>
      <c r="CE2794" t="str">
        <f t="shared" si="1107"/>
        <v>15:12:17.795</v>
      </c>
      <c r="CF2794">
        <v>794976609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5</v>
      </c>
      <c r="CY2794">
        <v>7</v>
      </c>
      <c r="CZ2794" t="s">
        <v>133</v>
      </c>
      <c r="DA2794">
        <v>275</v>
      </c>
      <c r="DB2794">
        <v>0</v>
      </c>
      <c r="DC2794" t="s">
        <v>134</v>
      </c>
      <c r="DD2794" t="s">
        <v>135</v>
      </c>
      <c r="DG2794">
        <v>3322057</v>
      </c>
      <c r="DI2794">
        <v>1</v>
      </c>
      <c r="DJ2794">
        <v>0</v>
      </c>
      <c r="DK2794">
        <v>1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"05/01/2025 15:12:18.032"</f>
        <v>05/01/2025 15:12:18.032</v>
      </c>
      <c r="C2795" t="str">
        <f t="shared" si="1090"/>
        <v>FFDFD3C0</v>
      </c>
      <c r="D2795" t="s">
        <v>143</v>
      </c>
      <c r="E2795" t="str">
        <f>"05"</f>
        <v>05</v>
      </c>
      <c r="H2795">
        <v>172</v>
      </c>
      <c r="I2795" t="s">
        <v>141</v>
      </c>
      <c r="J2795" t="s">
        <v>144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R2795" t="s">
        <v>127</v>
      </c>
      <c r="S2795" t="str">
        <f t="shared" si="1106"/>
        <v>15:12:17.000</v>
      </c>
      <c r="T2795" t="str">
        <f t="shared" si="1106"/>
        <v>15:12:17.000</v>
      </c>
      <c r="U2795" t="str">
        <f t="shared" si="1091"/>
        <v>A68FCB</v>
      </c>
      <c r="V2795">
        <v>0</v>
      </c>
      <c r="W2795">
        <v>0</v>
      </c>
      <c r="X2795">
        <v>2</v>
      </c>
      <c r="Y2795">
        <v>0</v>
      </c>
      <c r="AA2795">
        <v>1</v>
      </c>
      <c r="AB2795">
        <v>8</v>
      </c>
      <c r="AC2795">
        <v>3</v>
      </c>
      <c r="AD2795">
        <v>0</v>
      </c>
      <c r="AE2795">
        <v>9</v>
      </c>
      <c r="AF2795" t="s">
        <v>138</v>
      </c>
      <c r="AG2795">
        <v>0</v>
      </c>
      <c r="AH2795">
        <v>3</v>
      </c>
      <c r="AI2795">
        <v>2</v>
      </c>
      <c r="AJ2795">
        <v>0</v>
      </c>
      <c r="AK2795" t="s">
        <v>946</v>
      </c>
      <c r="AL2795">
        <v>39.102037000000003</v>
      </c>
      <c r="AM2795" t="s">
        <v>947</v>
      </c>
      <c r="AN2795">
        <v>-121.033373</v>
      </c>
      <c r="AO2795">
        <v>25</v>
      </c>
      <c r="AP2795">
        <v>4400</v>
      </c>
      <c r="AQ2795" t="s">
        <v>131</v>
      </c>
      <c r="AR2795">
        <v>12</v>
      </c>
      <c r="AS2795">
        <v>82</v>
      </c>
      <c r="AT2795">
        <v>-192</v>
      </c>
      <c r="BB2795" t="str">
        <f t="shared" si="1092"/>
        <v>1200</v>
      </c>
      <c r="BC2795">
        <v>1</v>
      </c>
      <c r="BD2795" t="str">
        <f t="shared" si="1093"/>
        <v xml:space="preserve">N52156  </v>
      </c>
      <c r="BE2795">
        <v>1</v>
      </c>
      <c r="BG2795">
        <v>0</v>
      </c>
      <c r="BH2795">
        <v>0</v>
      </c>
      <c r="BI2795">
        <v>0</v>
      </c>
      <c r="BJ2795">
        <v>4425</v>
      </c>
      <c r="BK2795">
        <v>25</v>
      </c>
      <c r="BL2795" t="s">
        <v>188</v>
      </c>
      <c r="BM2795">
        <v>1</v>
      </c>
      <c r="BN2795">
        <v>1</v>
      </c>
      <c r="BO2795">
        <v>0</v>
      </c>
      <c r="BP2795">
        <v>0</v>
      </c>
      <c r="BS2795">
        <v>0</v>
      </c>
      <c r="BT2795">
        <v>0</v>
      </c>
      <c r="BU2795">
        <v>0</v>
      </c>
      <c r="CE2795" t="str">
        <f t="shared" si="1107"/>
        <v>15:12:17.795</v>
      </c>
      <c r="CF2795">
        <v>794976609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5</v>
      </c>
      <c r="CY2795">
        <v>7</v>
      </c>
      <c r="CZ2795" t="s">
        <v>133</v>
      </c>
      <c r="DA2795">
        <v>275</v>
      </c>
      <c r="DB2795">
        <v>0</v>
      </c>
      <c r="DC2795" t="s">
        <v>134</v>
      </c>
      <c r="DD2795" t="s">
        <v>135</v>
      </c>
      <c r="DG2795">
        <v>3322057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"05/01/2025 15:12:18.050"</f>
        <v>05/01/2025 15:12:18.050</v>
      </c>
      <c r="C2796" t="str">
        <f t="shared" si="1090"/>
        <v>FFDFD3C0</v>
      </c>
      <c r="D2796" t="s">
        <v>140</v>
      </c>
      <c r="E2796" t="str">
        <f>"13"</f>
        <v>13</v>
      </c>
      <c r="F2796">
        <v>1019</v>
      </c>
      <c r="G2796" t="s">
        <v>141</v>
      </c>
      <c r="J2796" t="s">
        <v>142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R2796" t="s">
        <v>127</v>
      </c>
      <c r="S2796" t="str">
        <f t="shared" si="1106"/>
        <v>15:12:17.000</v>
      </c>
      <c r="T2796" t="str">
        <f t="shared" si="1106"/>
        <v>15:12:17.000</v>
      </c>
      <c r="U2796" t="str">
        <f t="shared" si="1091"/>
        <v>A68FCB</v>
      </c>
      <c r="V2796">
        <v>0</v>
      </c>
      <c r="W2796">
        <v>0</v>
      </c>
      <c r="X2796">
        <v>2</v>
      </c>
      <c r="Y2796">
        <v>0</v>
      </c>
      <c r="AA2796">
        <v>1</v>
      </c>
      <c r="AB2796">
        <v>8</v>
      </c>
      <c r="AC2796">
        <v>3</v>
      </c>
      <c r="AD2796">
        <v>0</v>
      </c>
      <c r="AE2796">
        <v>9</v>
      </c>
      <c r="AF2796" t="s">
        <v>138</v>
      </c>
      <c r="AG2796">
        <v>0</v>
      </c>
      <c r="AH2796">
        <v>3</v>
      </c>
      <c r="AI2796">
        <v>2</v>
      </c>
      <c r="AJ2796">
        <v>0</v>
      </c>
      <c r="AK2796" t="s">
        <v>946</v>
      </c>
      <c r="AL2796">
        <v>39.102037000000003</v>
      </c>
      <c r="AM2796" t="s">
        <v>947</v>
      </c>
      <c r="AN2796">
        <v>-121.033373</v>
      </c>
      <c r="AO2796">
        <v>25</v>
      </c>
      <c r="AP2796">
        <v>4400</v>
      </c>
      <c r="AQ2796" t="s">
        <v>131</v>
      </c>
      <c r="AR2796">
        <v>12</v>
      </c>
      <c r="AS2796">
        <v>82</v>
      </c>
      <c r="AT2796">
        <v>-192</v>
      </c>
      <c r="BB2796" t="str">
        <f t="shared" si="1092"/>
        <v>1200</v>
      </c>
      <c r="BC2796">
        <v>1</v>
      </c>
      <c r="BD2796" t="str">
        <f t="shared" si="1093"/>
        <v xml:space="preserve">N52156  </v>
      </c>
      <c r="BE2796">
        <v>1</v>
      </c>
      <c r="BG2796">
        <v>0</v>
      </c>
      <c r="BH2796">
        <v>0</v>
      </c>
      <c r="BI2796">
        <v>0</v>
      </c>
      <c r="BJ2796">
        <v>4425</v>
      </c>
      <c r="BK2796">
        <v>25</v>
      </c>
      <c r="BL2796" t="s">
        <v>188</v>
      </c>
      <c r="BM2796">
        <v>1</v>
      </c>
      <c r="BN2796">
        <v>1</v>
      </c>
      <c r="BO2796">
        <v>0</v>
      </c>
      <c r="BP2796">
        <v>0</v>
      </c>
      <c r="BS2796">
        <v>0</v>
      </c>
      <c r="BT2796">
        <v>0</v>
      </c>
      <c r="BU2796">
        <v>0</v>
      </c>
      <c r="CE2796" t="str">
        <f t="shared" si="1107"/>
        <v>15:12:17.795</v>
      </c>
      <c r="CF2796">
        <v>794976609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5</v>
      </c>
      <c r="CY2796">
        <v>7</v>
      </c>
      <c r="CZ2796" t="s">
        <v>133</v>
      </c>
      <c r="DA2796">
        <v>275</v>
      </c>
      <c r="DB2796">
        <v>0</v>
      </c>
      <c r="DC2796" t="s">
        <v>134</v>
      </c>
      <c r="DD2796" t="s">
        <v>135</v>
      </c>
      <c r="DG2796">
        <v>3322057</v>
      </c>
      <c r="DI2796">
        <v>1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"05/01/2025 15:12:18.053"</f>
        <v>05/01/2025 15:12:18.053</v>
      </c>
      <c r="C2797" t="str">
        <f t="shared" si="1090"/>
        <v>FFDFD3C0</v>
      </c>
      <c r="D2797" t="s">
        <v>124</v>
      </c>
      <c r="E2797" t="str">
        <f>"06"</f>
        <v>06</v>
      </c>
      <c r="F2797">
        <v>2006</v>
      </c>
      <c r="G2797" t="s">
        <v>125</v>
      </c>
      <c r="J2797" t="s">
        <v>126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R2797" t="s">
        <v>127</v>
      </c>
      <c r="S2797" t="str">
        <f t="shared" si="1106"/>
        <v>15:12:17.000</v>
      </c>
      <c r="T2797" t="str">
        <f t="shared" si="1106"/>
        <v>15:12:17.000</v>
      </c>
      <c r="U2797" t="str">
        <f t="shared" si="1091"/>
        <v>A68FCB</v>
      </c>
      <c r="V2797">
        <v>0</v>
      </c>
      <c r="W2797">
        <v>0</v>
      </c>
      <c r="X2797">
        <v>2</v>
      </c>
      <c r="Y2797">
        <v>0</v>
      </c>
      <c r="AA2797">
        <v>1</v>
      </c>
      <c r="AB2797">
        <v>8</v>
      </c>
      <c r="AC2797">
        <v>3</v>
      </c>
      <c r="AD2797">
        <v>0</v>
      </c>
      <c r="AE2797">
        <v>9</v>
      </c>
      <c r="AF2797" t="s">
        <v>138</v>
      </c>
      <c r="AG2797">
        <v>0</v>
      </c>
      <c r="AH2797">
        <v>3</v>
      </c>
      <c r="AI2797">
        <v>2</v>
      </c>
      <c r="AJ2797">
        <v>0</v>
      </c>
      <c r="AK2797" t="s">
        <v>946</v>
      </c>
      <c r="AL2797">
        <v>39.102037000000003</v>
      </c>
      <c r="AM2797" t="s">
        <v>947</v>
      </c>
      <c r="AN2797">
        <v>-121.033373</v>
      </c>
      <c r="AO2797">
        <v>25</v>
      </c>
      <c r="AP2797">
        <v>4400</v>
      </c>
      <c r="AQ2797" t="s">
        <v>131</v>
      </c>
      <c r="AR2797">
        <v>12</v>
      </c>
      <c r="AS2797">
        <v>82</v>
      </c>
      <c r="AT2797">
        <v>-192</v>
      </c>
      <c r="BB2797" t="str">
        <f t="shared" si="1092"/>
        <v>1200</v>
      </c>
      <c r="BC2797">
        <v>1</v>
      </c>
      <c r="BD2797" t="str">
        <f t="shared" si="1093"/>
        <v xml:space="preserve">N52156  </v>
      </c>
      <c r="BE2797">
        <v>1</v>
      </c>
      <c r="BG2797">
        <v>0</v>
      </c>
      <c r="BH2797">
        <v>0</v>
      </c>
      <c r="BI2797">
        <v>0</v>
      </c>
      <c r="BJ2797">
        <v>4425</v>
      </c>
      <c r="BK2797">
        <v>25</v>
      </c>
      <c r="BL2797" t="s">
        <v>188</v>
      </c>
      <c r="BM2797">
        <v>1</v>
      </c>
      <c r="BN2797">
        <v>1</v>
      </c>
      <c r="BO2797">
        <v>0</v>
      </c>
      <c r="BP2797">
        <v>0</v>
      </c>
      <c r="BS2797">
        <v>0</v>
      </c>
      <c r="BT2797">
        <v>0</v>
      </c>
      <c r="BU2797">
        <v>0</v>
      </c>
      <c r="CE2797" t="str">
        <f t="shared" si="1107"/>
        <v>15:12:17.795</v>
      </c>
      <c r="CF2797">
        <v>794976609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5</v>
      </c>
      <c r="CY2797">
        <v>7</v>
      </c>
      <c r="CZ2797" t="s">
        <v>133</v>
      </c>
      <c r="DA2797">
        <v>275</v>
      </c>
      <c r="DB2797">
        <v>0</v>
      </c>
      <c r="DC2797" t="s">
        <v>134</v>
      </c>
      <c r="DD2797" t="s">
        <v>135</v>
      </c>
      <c r="DG2797">
        <v>3322057</v>
      </c>
      <c r="DI2797">
        <v>1</v>
      </c>
      <c r="DJ2797">
        <v>0</v>
      </c>
      <c r="DK2797">
        <v>1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"05/01/2025 15:12:18.955"</f>
        <v>05/01/2025 15:12:18.955</v>
      </c>
      <c r="C2798" t="str">
        <f t="shared" si="1090"/>
        <v>FFDFD3C0</v>
      </c>
      <c r="D2798" t="s">
        <v>124</v>
      </c>
      <c r="E2798" t="str">
        <f>"06"</f>
        <v>06</v>
      </c>
      <c r="F2798">
        <v>2006</v>
      </c>
      <c r="G2798" t="s">
        <v>125</v>
      </c>
      <c r="J2798" t="s">
        <v>126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R2798" t="s">
        <v>127</v>
      </c>
      <c r="S2798" t="str">
        <f t="shared" ref="S2798:T2803" si="1108">"15:12:18.000"</f>
        <v>15:12:18.000</v>
      </c>
      <c r="T2798" t="str">
        <f t="shared" si="1108"/>
        <v>15:12:18.000</v>
      </c>
      <c r="U2798" t="str">
        <f t="shared" si="1091"/>
        <v>A68FCB</v>
      </c>
      <c r="V2798">
        <v>0</v>
      </c>
      <c r="W2798">
        <v>0</v>
      </c>
      <c r="X2798">
        <v>2</v>
      </c>
      <c r="Y2798">
        <v>0</v>
      </c>
      <c r="AA2798">
        <v>1</v>
      </c>
      <c r="AB2798">
        <v>8</v>
      </c>
      <c r="AC2798">
        <v>3</v>
      </c>
      <c r="AD2798">
        <v>0</v>
      </c>
      <c r="AE2798">
        <v>9</v>
      </c>
      <c r="AF2798" t="s">
        <v>138</v>
      </c>
      <c r="AG2798">
        <v>0</v>
      </c>
      <c r="AH2798">
        <v>3</v>
      </c>
      <c r="AI2798">
        <v>2</v>
      </c>
      <c r="AJ2798">
        <v>0</v>
      </c>
      <c r="AK2798" t="s">
        <v>948</v>
      </c>
      <c r="AL2798">
        <v>39.102401999999998</v>
      </c>
      <c r="AM2798" t="s">
        <v>949</v>
      </c>
      <c r="AN2798">
        <v>-121.033287</v>
      </c>
      <c r="AO2798">
        <v>25</v>
      </c>
      <c r="AP2798">
        <v>4400</v>
      </c>
      <c r="AQ2798" t="s">
        <v>131</v>
      </c>
      <c r="AR2798">
        <v>11</v>
      </c>
      <c r="AS2798">
        <v>82</v>
      </c>
      <c r="AT2798">
        <v>-192</v>
      </c>
      <c r="BB2798" t="str">
        <f t="shared" si="1092"/>
        <v>1200</v>
      </c>
      <c r="BC2798">
        <v>1</v>
      </c>
      <c r="BD2798" t="str">
        <f t="shared" si="1093"/>
        <v xml:space="preserve">N52156  </v>
      </c>
      <c r="BE2798">
        <v>1</v>
      </c>
      <c r="BG2798">
        <v>0</v>
      </c>
      <c r="BH2798">
        <v>0</v>
      </c>
      <c r="BI2798">
        <v>0</v>
      </c>
      <c r="BJ2798">
        <v>4400</v>
      </c>
      <c r="BK2798">
        <v>0</v>
      </c>
      <c r="BL2798" t="s">
        <v>188</v>
      </c>
      <c r="BM2798">
        <v>1</v>
      </c>
      <c r="BN2798">
        <v>1</v>
      </c>
      <c r="BO2798">
        <v>0</v>
      </c>
      <c r="BP2798">
        <v>0</v>
      </c>
      <c r="BS2798">
        <v>0</v>
      </c>
      <c r="BT2798">
        <v>0</v>
      </c>
      <c r="BU2798">
        <v>0</v>
      </c>
      <c r="CE2798" t="str">
        <f t="shared" ref="CE2798:CE2803" si="1109">"15:12:18.715"</f>
        <v>15:12:18.715</v>
      </c>
      <c r="CF2798">
        <v>714976497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5</v>
      </c>
      <c r="CY2798">
        <v>7</v>
      </c>
      <c r="CZ2798" t="s">
        <v>133</v>
      </c>
      <c r="DA2798">
        <v>275</v>
      </c>
      <c r="DB2798">
        <v>0</v>
      </c>
      <c r="DC2798" t="s">
        <v>134</v>
      </c>
      <c r="DD2798" t="s">
        <v>135</v>
      </c>
      <c r="DG2798">
        <v>3322063</v>
      </c>
      <c r="DI2798">
        <v>1</v>
      </c>
      <c r="DJ2798">
        <v>0</v>
      </c>
      <c r="DK2798">
        <v>0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>"05/01/2025 15:12:18.966"</f>
        <v>05/01/2025 15:12:18.966</v>
      </c>
      <c r="C2799" t="str">
        <f t="shared" si="1090"/>
        <v>FFDFD3C0</v>
      </c>
      <c r="D2799" t="s">
        <v>145</v>
      </c>
      <c r="E2799" t="str">
        <f>"09"</f>
        <v>09</v>
      </c>
      <c r="H2799">
        <v>51</v>
      </c>
      <c r="I2799" t="s">
        <v>147</v>
      </c>
      <c r="J2799" t="s">
        <v>138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R2799" t="s">
        <v>127</v>
      </c>
      <c r="S2799" t="str">
        <f t="shared" si="1108"/>
        <v>15:12:18.000</v>
      </c>
      <c r="T2799" t="str">
        <f t="shared" si="1108"/>
        <v>15:12:18.000</v>
      </c>
      <c r="U2799" t="str">
        <f t="shared" si="1091"/>
        <v>A68FCB</v>
      </c>
      <c r="V2799">
        <v>0</v>
      </c>
      <c r="W2799">
        <v>0</v>
      </c>
      <c r="X2799">
        <v>2</v>
      </c>
      <c r="Y2799">
        <v>0</v>
      </c>
      <c r="AA2799">
        <v>1</v>
      </c>
      <c r="AB2799">
        <v>8</v>
      </c>
      <c r="AC2799">
        <v>3</v>
      </c>
      <c r="AD2799">
        <v>0</v>
      </c>
      <c r="AE2799">
        <v>9</v>
      </c>
      <c r="AF2799" t="s">
        <v>138</v>
      </c>
      <c r="AG2799">
        <v>0</v>
      </c>
      <c r="AH2799">
        <v>3</v>
      </c>
      <c r="AI2799">
        <v>2</v>
      </c>
      <c r="AJ2799">
        <v>0</v>
      </c>
      <c r="AK2799" t="s">
        <v>948</v>
      </c>
      <c r="AL2799">
        <v>39.102401999999998</v>
      </c>
      <c r="AM2799" t="s">
        <v>949</v>
      </c>
      <c r="AN2799">
        <v>-121.033287</v>
      </c>
      <c r="AO2799">
        <v>25</v>
      </c>
      <c r="AP2799">
        <v>4400</v>
      </c>
      <c r="AQ2799" t="s">
        <v>131</v>
      </c>
      <c r="AR2799">
        <v>11</v>
      </c>
      <c r="AS2799">
        <v>82</v>
      </c>
      <c r="AT2799">
        <v>-192</v>
      </c>
      <c r="BB2799" t="str">
        <f t="shared" si="1092"/>
        <v>1200</v>
      </c>
      <c r="BC2799">
        <v>1</v>
      </c>
      <c r="BD2799" t="str">
        <f t="shared" si="1093"/>
        <v xml:space="preserve">N52156  </v>
      </c>
      <c r="BE2799">
        <v>1</v>
      </c>
      <c r="BG2799">
        <v>0</v>
      </c>
      <c r="BH2799">
        <v>0</v>
      </c>
      <c r="BI2799">
        <v>0</v>
      </c>
      <c r="BJ2799">
        <v>4400</v>
      </c>
      <c r="BK2799">
        <v>0</v>
      </c>
      <c r="BL2799" t="s">
        <v>188</v>
      </c>
      <c r="BM2799">
        <v>1</v>
      </c>
      <c r="BN2799">
        <v>1</v>
      </c>
      <c r="BO2799">
        <v>0</v>
      </c>
      <c r="BP2799">
        <v>0</v>
      </c>
      <c r="BS2799">
        <v>0</v>
      </c>
      <c r="BT2799">
        <v>0</v>
      </c>
      <c r="BU2799">
        <v>0</v>
      </c>
      <c r="CE2799" t="str">
        <f t="shared" si="1109"/>
        <v>15:12:18.715</v>
      </c>
      <c r="CF2799">
        <v>714976497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5</v>
      </c>
      <c r="CY2799">
        <v>7</v>
      </c>
      <c r="CZ2799" t="s">
        <v>133</v>
      </c>
      <c r="DA2799">
        <v>275</v>
      </c>
      <c r="DB2799">
        <v>0</v>
      </c>
      <c r="DC2799" t="s">
        <v>134</v>
      </c>
      <c r="DD2799" t="s">
        <v>135</v>
      </c>
      <c r="DG2799">
        <v>3322063</v>
      </c>
      <c r="DI2799">
        <v>1</v>
      </c>
      <c r="DJ2799">
        <v>0</v>
      </c>
      <c r="DK2799">
        <v>1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>"05/01/2025 15:12:18.966"</f>
        <v>05/01/2025 15:12:18.966</v>
      </c>
      <c r="C2800" t="str">
        <f t="shared" si="1090"/>
        <v>FFDFD3C0</v>
      </c>
      <c r="D2800" t="s">
        <v>145</v>
      </c>
      <c r="E2800" t="str">
        <f>"05"</f>
        <v>05</v>
      </c>
      <c r="H2800">
        <v>47</v>
      </c>
      <c r="I2800" t="s">
        <v>146</v>
      </c>
      <c r="J2800" t="s">
        <v>138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R2800" t="s">
        <v>127</v>
      </c>
      <c r="S2800" t="str">
        <f t="shared" si="1108"/>
        <v>15:12:18.000</v>
      </c>
      <c r="T2800" t="str">
        <f t="shared" si="1108"/>
        <v>15:12:18.000</v>
      </c>
      <c r="U2800" t="str">
        <f t="shared" si="1091"/>
        <v>A68FCB</v>
      </c>
      <c r="V2800">
        <v>0</v>
      </c>
      <c r="W2800">
        <v>0</v>
      </c>
      <c r="X2800">
        <v>2</v>
      </c>
      <c r="Y2800">
        <v>0</v>
      </c>
      <c r="AA2800">
        <v>1</v>
      </c>
      <c r="AB2800">
        <v>8</v>
      </c>
      <c r="AC2800">
        <v>3</v>
      </c>
      <c r="AD2800">
        <v>0</v>
      </c>
      <c r="AE2800">
        <v>9</v>
      </c>
      <c r="AF2800" t="s">
        <v>138</v>
      </c>
      <c r="AG2800">
        <v>0</v>
      </c>
      <c r="AH2800">
        <v>3</v>
      </c>
      <c r="AI2800">
        <v>2</v>
      </c>
      <c r="AJ2800">
        <v>0</v>
      </c>
      <c r="AK2800" t="s">
        <v>948</v>
      </c>
      <c r="AL2800">
        <v>39.102401999999998</v>
      </c>
      <c r="AM2800" t="s">
        <v>949</v>
      </c>
      <c r="AN2800">
        <v>-121.033287</v>
      </c>
      <c r="AO2800">
        <v>25</v>
      </c>
      <c r="AP2800">
        <v>4400</v>
      </c>
      <c r="AQ2800" t="s">
        <v>131</v>
      </c>
      <c r="AR2800">
        <v>11</v>
      </c>
      <c r="AS2800">
        <v>82</v>
      </c>
      <c r="AT2800">
        <v>-192</v>
      </c>
      <c r="BB2800" t="str">
        <f t="shared" si="1092"/>
        <v>1200</v>
      </c>
      <c r="BC2800">
        <v>1</v>
      </c>
      <c r="BD2800" t="str">
        <f t="shared" si="1093"/>
        <v xml:space="preserve">N52156  </v>
      </c>
      <c r="BE2800">
        <v>1</v>
      </c>
      <c r="BG2800">
        <v>0</v>
      </c>
      <c r="BH2800">
        <v>0</v>
      </c>
      <c r="BI2800">
        <v>0</v>
      </c>
      <c r="BJ2800">
        <v>4400</v>
      </c>
      <c r="BK2800">
        <v>0</v>
      </c>
      <c r="BL2800" t="s">
        <v>188</v>
      </c>
      <c r="BM2800">
        <v>1</v>
      </c>
      <c r="BN2800">
        <v>1</v>
      </c>
      <c r="BO2800">
        <v>0</v>
      </c>
      <c r="BP2800">
        <v>0</v>
      </c>
      <c r="BS2800">
        <v>0</v>
      </c>
      <c r="BT2800">
        <v>0</v>
      </c>
      <c r="BU2800">
        <v>0</v>
      </c>
      <c r="CE2800" t="str">
        <f t="shared" si="1109"/>
        <v>15:12:18.715</v>
      </c>
      <c r="CF2800">
        <v>714976497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5</v>
      </c>
      <c r="CY2800">
        <v>7</v>
      </c>
      <c r="CZ2800" t="s">
        <v>133</v>
      </c>
      <c r="DA2800">
        <v>275</v>
      </c>
      <c r="DB2800">
        <v>0</v>
      </c>
      <c r="DC2800" t="s">
        <v>134</v>
      </c>
      <c r="DD2800" t="s">
        <v>135</v>
      </c>
      <c r="DG2800">
        <v>3322063</v>
      </c>
      <c r="DI2800">
        <v>1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>"05/01/2025 15:12:18.977"</f>
        <v>05/01/2025 15:12:18.977</v>
      </c>
      <c r="C2801" t="str">
        <f t="shared" si="1090"/>
        <v>FFDFD3C0</v>
      </c>
      <c r="D2801" t="s">
        <v>136</v>
      </c>
      <c r="E2801" t="str">
        <f>"20"</f>
        <v>20</v>
      </c>
      <c r="H2801">
        <v>400</v>
      </c>
      <c r="I2801" t="s">
        <v>137</v>
      </c>
      <c r="J2801" t="s">
        <v>138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R2801" t="s">
        <v>127</v>
      </c>
      <c r="S2801" t="str">
        <f t="shared" si="1108"/>
        <v>15:12:18.000</v>
      </c>
      <c r="T2801" t="str">
        <f t="shared" si="1108"/>
        <v>15:12:18.000</v>
      </c>
      <c r="U2801" t="str">
        <f t="shared" si="1091"/>
        <v>A68FCB</v>
      </c>
      <c r="V2801">
        <v>0</v>
      </c>
      <c r="W2801">
        <v>0</v>
      </c>
      <c r="X2801">
        <v>2</v>
      </c>
      <c r="Y2801">
        <v>0</v>
      </c>
      <c r="AA2801">
        <v>1</v>
      </c>
      <c r="AB2801">
        <v>8</v>
      </c>
      <c r="AC2801">
        <v>3</v>
      </c>
      <c r="AD2801">
        <v>0</v>
      </c>
      <c r="AE2801">
        <v>9</v>
      </c>
      <c r="AF2801" t="s">
        <v>138</v>
      </c>
      <c r="AG2801">
        <v>0</v>
      </c>
      <c r="AH2801">
        <v>3</v>
      </c>
      <c r="AI2801">
        <v>2</v>
      </c>
      <c r="AJ2801">
        <v>0</v>
      </c>
      <c r="AK2801" t="s">
        <v>948</v>
      </c>
      <c r="AL2801">
        <v>39.102401999999998</v>
      </c>
      <c r="AM2801" t="s">
        <v>949</v>
      </c>
      <c r="AN2801">
        <v>-121.033287</v>
      </c>
      <c r="AO2801">
        <v>25</v>
      </c>
      <c r="AP2801">
        <v>4400</v>
      </c>
      <c r="AQ2801" t="s">
        <v>131</v>
      </c>
      <c r="AR2801">
        <v>11</v>
      </c>
      <c r="AS2801">
        <v>82</v>
      </c>
      <c r="AT2801">
        <v>-192</v>
      </c>
      <c r="BB2801" t="str">
        <f t="shared" si="1092"/>
        <v>1200</v>
      </c>
      <c r="BC2801">
        <v>1</v>
      </c>
      <c r="BD2801" t="str">
        <f t="shared" si="1093"/>
        <v xml:space="preserve">N52156  </v>
      </c>
      <c r="BE2801">
        <v>1</v>
      </c>
      <c r="BG2801">
        <v>0</v>
      </c>
      <c r="BH2801">
        <v>0</v>
      </c>
      <c r="BI2801">
        <v>0</v>
      </c>
      <c r="BJ2801">
        <v>4400</v>
      </c>
      <c r="BK2801">
        <v>0</v>
      </c>
      <c r="BL2801" t="s">
        <v>188</v>
      </c>
      <c r="BM2801">
        <v>1</v>
      </c>
      <c r="BN2801">
        <v>1</v>
      </c>
      <c r="BO2801">
        <v>0</v>
      </c>
      <c r="BP2801">
        <v>0</v>
      </c>
      <c r="BS2801">
        <v>0</v>
      </c>
      <c r="BT2801">
        <v>0</v>
      </c>
      <c r="BU2801">
        <v>0</v>
      </c>
      <c r="CE2801" t="str">
        <f t="shared" si="1109"/>
        <v>15:12:18.715</v>
      </c>
      <c r="CF2801">
        <v>714976497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5</v>
      </c>
      <c r="CY2801">
        <v>7</v>
      </c>
      <c r="CZ2801" t="s">
        <v>133</v>
      </c>
      <c r="DA2801">
        <v>275</v>
      </c>
      <c r="DB2801">
        <v>0</v>
      </c>
      <c r="DC2801" t="s">
        <v>134</v>
      </c>
      <c r="DD2801" t="s">
        <v>135</v>
      </c>
      <c r="DG2801">
        <v>3322063</v>
      </c>
      <c r="DI2801">
        <v>1</v>
      </c>
      <c r="DJ2801">
        <v>0</v>
      </c>
      <c r="DK2801">
        <v>1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>"05/01/2025 15:12:18.984"</f>
        <v>05/01/2025 15:12:18.984</v>
      </c>
      <c r="C2802" t="str">
        <f t="shared" si="1090"/>
        <v>FFDFD3C0</v>
      </c>
      <c r="D2802" t="s">
        <v>143</v>
      </c>
      <c r="E2802" t="str">
        <f>"05"</f>
        <v>05</v>
      </c>
      <c r="H2802">
        <v>172</v>
      </c>
      <c r="I2802" t="s">
        <v>141</v>
      </c>
      <c r="J2802" t="s">
        <v>144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R2802" t="s">
        <v>127</v>
      </c>
      <c r="S2802" t="str">
        <f t="shared" si="1108"/>
        <v>15:12:18.000</v>
      </c>
      <c r="T2802" t="str">
        <f t="shared" si="1108"/>
        <v>15:12:18.000</v>
      </c>
      <c r="U2802" t="str">
        <f t="shared" si="1091"/>
        <v>A68FCB</v>
      </c>
      <c r="V2802">
        <v>0</v>
      </c>
      <c r="W2802">
        <v>0</v>
      </c>
      <c r="X2802">
        <v>2</v>
      </c>
      <c r="Y2802">
        <v>0</v>
      </c>
      <c r="AA2802">
        <v>1</v>
      </c>
      <c r="AB2802">
        <v>8</v>
      </c>
      <c r="AC2802">
        <v>3</v>
      </c>
      <c r="AD2802">
        <v>0</v>
      </c>
      <c r="AE2802">
        <v>9</v>
      </c>
      <c r="AF2802" t="s">
        <v>138</v>
      </c>
      <c r="AG2802">
        <v>0</v>
      </c>
      <c r="AH2802">
        <v>3</v>
      </c>
      <c r="AI2802">
        <v>2</v>
      </c>
      <c r="AJ2802">
        <v>0</v>
      </c>
      <c r="AK2802" t="s">
        <v>948</v>
      </c>
      <c r="AL2802">
        <v>39.102401999999998</v>
      </c>
      <c r="AM2802" t="s">
        <v>949</v>
      </c>
      <c r="AN2802">
        <v>-121.033287</v>
      </c>
      <c r="AO2802">
        <v>25</v>
      </c>
      <c r="AP2802">
        <v>4400</v>
      </c>
      <c r="AQ2802" t="s">
        <v>131</v>
      </c>
      <c r="AR2802">
        <v>11</v>
      </c>
      <c r="AS2802">
        <v>82</v>
      </c>
      <c r="AT2802">
        <v>-192</v>
      </c>
      <c r="BB2802" t="str">
        <f t="shared" si="1092"/>
        <v>1200</v>
      </c>
      <c r="BC2802">
        <v>1</v>
      </c>
      <c r="BD2802" t="str">
        <f t="shared" si="1093"/>
        <v xml:space="preserve">N52156  </v>
      </c>
      <c r="BE2802">
        <v>1</v>
      </c>
      <c r="BG2802">
        <v>0</v>
      </c>
      <c r="BH2802">
        <v>0</v>
      </c>
      <c r="BI2802">
        <v>0</v>
      </c>
      <c r="BJ2802">
        <v>4400</v>
      </c>
      <c r="BK2802">
        <v>0</v>
      </c>
      <c r="BL2802" t="s">
        <v>188</v>
      </c>
      <c r="BM2802">
        <v>1</v>
      </c>
      <c r="BN2802">
        <v>1</v>
      </c>
      <c r="BO2802">
        <v>0</v>
      </c>
      <c r="BP2802">
        <v>0</v>
      </c>
      <c r="BS2802">
        <v>0</v>
      </c>
      <c r="BT2802">
        <v>0</v>
      </c>
      <c r="BU2802">
        <v>0</v>
      </c>
      <c r="CE2802" t="str">
        <f t="shared" si="1109"/>
        <v>15:12:18.715</v>
      </c>
      <c r="CF2802">
        <v>714976497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5</v>
      </c>
      <c r="CY2802">
        <v>7</v>
      </c>
      <c r="CZ2802" t="s">
        <v>133</v>
      </c>
      <c r="DA2802">
        <v>275</v>
      </c>
      <c r="DB2802">
        <v>0</v>
      </c>
      <c r="DC2802" t="s">
        <v>134</v>
      </c>
      <c r="DD2802" t="s">
        <v>135</v>
      </c>
      <c r="DG2802">
        <v>3322063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>"05/01/2025 15:12:19.002"</f>
        <v>05/01/2025 15:12:19.002</v>
      </c>
      <c r="C2803" t="str">
        <f t="shared" si="1090"/>
        <v>FFDFD3C0</v>
      </c>
      <c r="D2803" t="s">
        <v>140</v>
      </c>
      <c r="E2803" t="str">
        <f>"13"</f>
        <v>13</v>
      </c>
      <c r="F2803">
        <v>1019</v>
      </c>
      <c r="G2803" t="s">
        <v>141</v>
      </c>
      <c r="J2803" t="s">
        <v>142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R2803" t="s">
        <v>127</v>
      </c>
      <c r="S2803" t="str">
        <f t="shared" si="1108"/>
        <v>15:12:18.000</v>
      </c>
      <c r="T2803" t="str">
        <f t="shared" si="1108"/>
        <v>15:12:18.000</v>
      </c>
      <c r="U2803" t="str">
        <f t="shared" si="1091"/>
        <v>A68FCB</v>
      </c>
      <c r="V2803">
        <v>0</v>
      </c>
      <c r="W2803">
        <v>0</v>
      </c>
      <c r="X2803">
        <v>2</v>
      </c>
      <c r="Y2803">
        <v>0</v>
      </c>
      <c r="AA2803">
        <v>1</v>
      </c>
      <c r="AB2803">
        <v>8</v>
      </c>
      <c r="AC2803">
        <v>3</v>
      </c>
      <c r="AD2803">
        <v>0</v>
      </c>
      <c r="AE2803">
        <v>9</v>
      </c>
      <c r="AF2803" t="s">
        <v>138</v>
      </c>
      <c r="AG2803">
        <v>0</v>
      </c>
      <c r="AH2803">
        <v>3</v>
      </c>
      <c r="AI2803">
        <v>2</v>
      </c>
      <c r="AJ2803">
        <v>0</v>
      </c>
      <c r="AK2803" t="s">
        <v>948</v>
      </c>
      <c r="AL2803">
        <v>39.102401999999998</v>
      </c>
      <c r="AM2803" t="s">
        <v>949</v>
      </c>
      <c r="AN2803">
        <v>-121.033287</v>
      </c>
      <c r="AO2803">
        <v>25</v>
      </c>
      <c r="AP2803">
        <v>4400</v>
      </c>
      <c r="AQ2803" t="s">
        <v>131</v>
      </c>
      <c r="AR2803">
        <v>11</v>
      </c>
      <c r="AS2803">
        <v>82</v>
      </c>
      <c r="AT2803">
        <v>-192</v>
      </c>
      <c r="BB2803" t="str">
        <f t="shared" si="1092"/>
        <v>1200</v>
      </c>
      <c r="BC2803">
        <v>1</v>
      </c>
      <c r="BD2803" t="str">
        <f t="shared" si="1093"/>
        <v xml:space="preserve">N52156  </v>
      </c>
      <c r="BE2803">
        <v>1</v>
      </c>
      <c r="BG2803">
        <v>0</v>
      </c>
      <c r="BH2803">
        <v>0</v>
      </c>
      <c r="BI2803">
        <v>0</v>
      </c>
      <c r="BJ2803">
        <v>4400</v>
      </c>
      <c r="BK2803">
        <v>0</v>
      </c>
      <c r="BL2803" t="s">
        <v>188</v>
      </c>
      <c r="BM2803">
        <v>1</v>
      </c>
      <c r="BN2803">
        <v>1</v>
      </c>
      <c r="BO2803">
        <v>0</v>
      </c>
      <c r="BP2803">
        <v>0</v>
      </c>
      <c r="BS2803">
        <v>0</v>
      </c>
      <c r="BT2803">
        <v>0</v>
      </c>
      <c r="BU2803">
        <v>0</v>
      </c>
      <c r="CE2803" t="str">
        <f t="shared" si="1109"/>
        <v>15:12:18.715</v>
      </c>
      <c r="CF2803">
        <v>714976497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5</v>
      </c>
      <c r="CY2803">
        <v>7</v>
      </c>
      <c r="CZ2803" t="s">
        <v>133</v>
      </c>
      <c r="DA2803">
        <v>275</v>
      </c>
      <c r="DB2803">
        <v>0</v>
      </c>
      <c r="DC2803" t="s">
        <v>134</v>
      </c>
      <c r="DD2803" t="s">
        <v>135</v>
      </c>
      <c r="DG2803">
        <v>3322063</v>
      </c>
      <c r="DI2803">
        <v>1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>"05/01/2025 15:12:19.868"</f>
        <v>05/01/2025 15:12:19.868</v>
      </c>
      <c r="C2804" t="str">
        <f t="shared" si="1090"/>
        <v>FFDFD3C0</v>
      </c>
      <c r="D2804" t="s">
        <v>145</v>
      </c>
      <c r="E2804" t="str">
        <f>"09"</f>
        <v>09</v>
      </c>
      <c r="H2804">
        <v>51</v>
      </c>
      <c r="I2804" t="s">
        <v>147</v>
      </c>
      <c r="J2804" t="s">
        <v>138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R2804" t="s">
        <v>127</v>
      </c>
      <c r="S2804" t="str">
        <f t="shared" ref="S2804:T2809" si="1110">"15:12:19.000"</f>
        <v>15:12:19.000</v>
      </c>
      <c r="T2804" t="str">
        <f t="shared" si="1110"/>
        <v>15:12:19.000</v>
      </c>
      <c r="U2804" t="str">
        <f t="shared" si="1091"/>
        <v>A68FCB</v>
      </c>
      <c r="V2804">
        <v>0</v>
      </c>
      <c r="W2804">
        <v>0</v>
      </c>
      <c r="X2804">
        <v>2</v>
      </c>
      <c r="Y2804">
        <v>0</v>
      </c>
      <c r="AA2804">
        <v>1</v>
      </c>
      <c r="AB2804">
        <v>8</v>
      </c>
      <c r="AC2804">
        <v>3</v>
      </c>
      <c r="AD2804">
        <v>0</v>
      </c>
      <c r="AE2804">
        <v>9</v>
      </c>
      <c r="AF2804" t="s">
        <v>138</v>
      </c>
      <c r="AG2804">
        <v>0</v>
      </c>
      <c r="AH2804">
        <v>3</v>
      </c>
      <c r="AI2804">
        <v>2</v>
      </c>
      <c r="AJ2804">
        <v>0</v>
      </c>
      <c r="AK2804" t="s">
        <v>950</v>
      </c>
      <c r="AL2804">
        <v>39.102767</v>
      </c>
      <c r="AM2804" t="s">
        <v>951</v>
      </c>
      <c r="AN2804">
        <v>-121.03320100000001</v>
      </c>
      <c r="AO2804">
        <v>25</v>
      </c>
      <c r="AP2804">
        <v>4400</v>
      </c>
      <c r="AQ2804" t="s">
        <v>131</v>
      </c>
      <c r="AR2804">
        <v>11</v>
      </c>
      <c r="AS2804">
        <v>83</v>
      </c>
      <c r="AT2804">
        <v>-128</v>
      </c>
      <c r="BB2804" t="str">
        <f t="shared" si="1092"/>
        <v>1200</v>
      </c>
      <c r="BC2804">
        <v>1</v>
      </c>
      <c r="BD2804" t="str">
        <f t="shared" si="1093"/>
        <v xml:space="preserve">N52156  </v>
      </c>
      <c r="BE2804">
        <v>1</v>
      </c>
      <c r="BG2804">
        <v>0</v>
      </c>
      <c r="BH2804">
        <v>0</v>
      </c>
      <c r="BI2804">
        <v>0</v>
      </c>
      <c r="BJ2804">
        <v>4400</v>
      </c>
      <c r="BK2804">
        <v>0</v>
      </c>
      <c r="BL2804" t="s">
        <v>188</v>
      </c>
      <c r="BM2804">
        <v>1</v>
      </c>
      <c r="BN2804">
        <v>1</v>
      </c>
      <c r="BO2804">
        <v>0</v>
      </c>
      <c r="BP2804">
        <v>0</v>
      </c>
      <c r="BS2804">
        <v>0</v>
      </c>
      <c r="BT2804">
        <v>0</v>
      </c>
      <c r="BU2804">
        <v>0</v>
      </c>
      <c r="CE2804" t="str">
        <f t="shared" ref="CE2804:CE2809" si="1111">"15:12:19.648"</f>
        <v>15:12:19.648</v>
      </c>
      <c r="CF2804">
        <v>647976406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5</v>
      </c>
      <c r="CY2804">
        <v>7</v>
      </c>
      <c r="CZ2804" t="s">
        <v>133</v>
      </c>
      <c r="DA2804">
        <v>275</v>
      </c>
      <c r="DB2804">
        <v>0</v>
      </c>
      <c r="DC2804" t="s">
        <v>134</v>
      </c>
      <c r="DD2804" t="s">
        <v>135</v>
      </c>
      <c r="DG2804">
        <v>3322070</v>
      </c>
      <c r="DI2804">
        <v>1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>"05/01/2025 15:12:19.868"</f>
        <v>05/01/2025 15:12:19.868</v>
      </c>
      <c r="C2805" t="str">
        <f t="shared" si="1090"/>
        <v>FFDFD3C0</v>
      </c>
      <c r="D2805" t="s">
        <v>145</v>
      </c>
      <c r="E2805" t="str">
        <f>"05"</f>
        <v>05</v>
      </c>
      <c r="H2805">
        <v>47</v>
      </c>
      <c r="I2805" t="s">
        <v>146</v>
      </c>
      <c r="J2805" t="s">
        <v>138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R2805" t="s">
        <v>127</v>
      </c>
      <c r="S2805" t="str">
        <f t="shared" si="1110"/>
        <v>15:12:19.000</v>
      </c>
      <c r="T2805" t="str">
        <f t="shared" si="1110"/>
        <v>15:12:19.000</v>
      </c>
      <c r="U2805" t="str">
        <f t="shared" si="1091"/>
        <v>A68FCB</v>
      </c>
      <c r="V2805">
        <v>0</v>
      </c>
      <c r="W2805">
        <v>0</v>
      </c>
      <c r="X2805">
        <v>2</v>
      </c>
      <c r="Y2805">
        <v>0</v>
      </c>
      <c r="AA2805">
        <v>1</v>
      </c>
      <c r="AB2805">
        <v>8</v>
      </c>
      <c r="AC2805">
        <v>3</v>
      </c>
      <c r="AD2805">
        <v>0</v>
      </c>
      <c r="AE2805">
        <v>9</v>
      </c>
      <c r="AF2805" t="s">
        <v>138</v>
      </c>
      <c r="AG2805">
        <v>0</v>
      </c>
      <c r="AH2805">
        <v>3</v>
      </c>
      <c r="AI2805">
        <v>2</v>
      </c>
      <c r="AJ2805">
        <v>0</v>
      </c>
      <c r="AK2805" t="s">
        <v>950</v>
      </c>
      <c r="AL2805">
        <v>39.102767</v>
      </c>
      <c r="AM2805" t="s">
        <v>951</v>
      </c>
      <c r="AN2805">
        <v>-121.03320100000001</v>
      </c>
      <c r="AO2805">
        <v>25</v>
      </c>
      <c r="AP2805">
        <v>4400</v>
      </c>
      <c r="AQ2805" t="s">
        <v>131</v>
      </c>
      <c r="AR2805">
        <v>11</v>
      </c>
      <c r="AS2805">
        <v>83</v>
      </c>
      <c r="AT2805">
        <v>-128</v>
      </c>
      <c r="BB2805" t="str">
        <f t="shared" si="1092"/>
        <v>1200</v>
      </c>
      <c r="BC2805">
        <v>1</v>
      </c>
      <c r="BD2805" t="str">
        <f t="shared" si="1093"/>
        <v xml:space="preserve">N52156  </v>
      </c>
      <c r="BE2805">
        <v>1</v>
      </c>
      <c r="BG2805">
        <v>0</v>
      </c>
      <c r="BH2805">
        <v>0</v>
      </c>
      <c r="BI2805">
        <v>0</v>
      </c>
      <c r="BJ2805">
        <v>4400</v>
      </c>
      <c r="BK2805">
        <v>0</v>
      </c>
      <c r="BL2805" t="s">
        <v>188</v>
      </c>
      <c r="BM2805">
        <v>1</v>
      </c>
      <c r="BN2805">
        <v>1</v>
      </c>
      <c r="BO2805">
        <v>0</v>
      </c>
      <c r="BP2805">
        <v>0</v>
      </c>
      <c r="BS2805">
        <v>0</v>
      </c>
      <c r="BT2805">
        <v>0</v>
      </c>
      <c r="BU2805">
        <v>0</v>
      </c>
      <c r="CE2805" t="str">
        <f t="shared" si="1111"/>
        <v>15:12:19.648</v>
      </c>
      <c r="CF2805">
        <v>647976406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5</v>
      </c>
      <c r="CY2805">
        <v>7</v>
      </c>
      <c r="CZ2805" t="s">
        <v>133</v>
      </c>
      <c r="DA2805">
        <v>275</v>
      </c>
      <c r="DB2805">
        <v>0</v>
      </c>
      <c r="DC2805" t="s">
        <v>134</v>
      </c>
      <c r="DD2805" t="s">
        <v>135</v>
      </c>
      <c r="DG2805">
        <v>3322070</v>
      </c>
      <c r="DI2805">
        <v>1</v>
      </c>
      <c r="DJ2805">
        <v>0</v>
      </c>
      <c r="DK2805">
        <v>1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>"05/01/2025 15:12:19.878"</f>
        <v>05/01/2025 15:12:19.878</v>
      </c>
      <c r="C2806" t="str">
        <f t="shared" si="1090"/>
        <v>FFDFD3C0</v>
      </c>
      <c r="D2806" t="s">
        <v>136</v>
      </c>
      <c r="E2806" t="str">
        <f>"20"</f>
        <v>20</v>
      </c>
      <c r="H2806">
        <v>400</v>
      </c>
      <c r="I2806" t="s">
        <v>137</v>
      </c>
      <c r="J2806" t="s">
        <v>138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R2806" t="s">
        <v>127</v>
      </c>
      <c r="S2806" t="str">
        <f t="shared" si="1110"/>
        <v>15:12:19.000</v>
      </c>
      <c r="T2806" t="str">
        <f t="shared" si="1110"/>
        <v>15:12:19.000</v>
      </c>
      <c r="U2806" t="str">
        <f t="shared" si="1091"/>
        <v>A68FCB</v>
      </c>
      <c r="V2806">
        <v>0</v>
      </c>
      <c r="W2806">
        <v>0</v>
      </c>
      <c r="X2806">
        <v>2</v>
      </c>
      <c r="Y2806">
        <v>0</v>
      </c>
      <c r="AA2806">
        <v>1</v>
      </c>
      <c r="AB2806">
        <v>8</v>
      </c>
      <c r="AC2806">
        <v>3</v>
      </c>
      <c r="AD2806">
        <v>0</v>
      </c>
      <c r="AE2806">
        <v>9</v>
      </c>
      <c r="AF2806" t="s">
        <v>138</v>
      </c>
      <c r="AG2806">
        <v>0</v>
      </c>
      <c r="AH2806">
        <v>3</v>
      </c>
      <c r="AI2806">
        <v>2</v>
      </c>
      <c r="AJ2806">
        <v>0</v>
      </c>
      <c r="AK2806" t="s">
        <v>950</v>
      </c>
      <c r="AL2806">
        <v>39.102767</v>
      </c>
      <c r="AM2806" t="s">
        <v>951</v>
      </c>
      <c r="AN2806">
        <v>-121.03320100000001</v>
      </c>
      <c r="AO2806">
        <v>25</v>
      </c>
      <c r="AP2806">
        <v>4400</v>
      </c>
      <c r="AQ2806" t="s">
        <v>131</v>
      </c>
      <c r="AR2806">
        <v>11</v>
      </c>
      <c r="AS2806">
        <v>83</v>
      </c>
      <c r="AT2806">
        <v>-128</v>
      </c>
      <c r="BB2806" t="str">
        <f t="shared" si="1092"/>
        <v>1200</v>
      </c>
      <c r="BC2806">
        <v>1</v>
      </c>
      <c r="BD2806" t="str">
        <f t="shared" si="1093"/>
        <v xml:space="preserve">N52156  </v>
      </c>
      <c r="BE2806">
        <v>1</v>
      </c>
      <c r="BG2806">
        <v>0</v>
      </c>
      <c r="BH2806">
        <v>0</v>
      </c>
      <c r="BI2806">
        <v>0</v>
      </c>
      <c r="BJ2806">
        <v>4400</v>
      </c>
      <c r="BK2806">
        <v>0</v>
      </c>
      <c r="BL2806" t="s">
        <v>188</v>
      </c>
      <c r="BM2806">
        <v>1</v>
      </c>
      <c r="BN2806">
        <v>1</v>
      </c>
      <c r="BO2806">
        <v>0</v>
      </c>
      <c r="BP2806">
        <v>0</v>
      </c>
      <c r="BS2806">
        <v>0</v>
      </c>
      <c r="BT2806">
        <v>0</v>
      </c>
      <c r="BU2806">
        <v>0</v>
      </c>
      <c r="CE2806" t="str">
        <f t="shared" si="1111"/>
        <v>15:12:19.648</v>
      </c>
      <c r="CF2806">
        <v>647976406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5</v>
      </c>
      <c r="CY2806">
        <v>7</v>
      </c>
      <c r="CZ2806" t="s">
        <v>133</v>
      </c>
      <c r="DA2806">
        <v>275</v>
      </c>
      <c r="DB2806">
        <v>0</v>
      </c>
      <c r="DC2806" t="s">
        <v>134</v>
      </c>
      <c r="DD2806" t="s">
        <v>135</v>
      </c>
      <c r="DG2806">
        <v>3322070</v>
      </c>
      <c r="DI2806">
        <v>1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>"05/01/2025 15:12:19.885"</f>
        <v>05/01/2025 15:12:19.885</v>
      </c>
      <c r="C2807" t="str">
        <f t="shared" si="1090"/>
        <v>FFDFD3C0</v>
      </c>
      <c r="D2807" t="s">
        <v>143</v>
      </c>
      <c r="E2807" t="str">
        <f>"05"</f>
        <v>05</v>
      </c>
      <c r="H2807">
        <v>172</v>
      </c>
      <c r="I2807" t="s">
        <v>141</v>
      </c>
      <c r="J2807" t="s">
        <v>144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R2807" t="s">
        <v>127</v>
      </c>
      <c r="S2807" t="str">
        <f t="shared" si="1110"/>
        <v>15:12:19.000</v>
      </c>
      <c r="T2807" t="str">
        <f t="shared" si="1110"/>
        <v>15:12:19.000</v>
      </c>
      <c r="U2807" t="str">
        <f t="shared" si="1091"/>
        <v>A68FCB</v>
      </c>
      <c r="V2807">
        <v>0</v>
      </c>
      <c r="W2807">
        <v>0</v>
      </c>
      <c r="X2807">
        <v>2</v>
      </c>
      <c r="Y2807">
        <v>0</v>
      </c>
      <c r="AA2807">
        <v>1</v>
      </c>
      <c r="AB2807">
        <v>8</v>
      </c>
      <c r="AC2807">
        <v>3</v>
      </c>
      <c r="AD2807">
        <v>0</v>
      </c>
      <c r="AE2807">
        <v>9</v>
      </c>
      <c r="AF2807" t="s">
        <v>138</v>
      </c>
      <c r="AG2807">
        <v>0</v>
      </c>
      <c r="AH2807">
        <v>3</v>
      </c>
      <c r="AI2807">
        <v>2</v>
      </c>
      <c r="AJ2807">
        <v>0</v>
      </c>
      <c r="AK2807" t="s">
        <v>950</v>
      </c>
      <c r="AL2807">
        <v>39.102767</v>
      </c>
      <c r="AM2807" t="s">
        <v>951</v>
      </c>
      <c r="AN2807">
        <v>-121.03320100000001</v>
      </c>
      <c r="AO2807">
        <v>25</v>
      </c>
      <c r="AP2807">
        <v>4400</v>
      </c>
      <c r="AQ2807" t="s">
        <v>131</v>
      </c>
      <c r="AR2807">
        <v>11</v>
      </c>
      <c r="AS2807">
        <v>83</v>
      </c>
      <c r="AT2807">
        <v>-128</v>
      </c>
      <c r="BB2807" t="str">
        <f t="shared" si="1092"/>
        <v>1200</v>
      </c>
      <c r="BC2807">
        <v>1</v>
      </c>
      <c r="BD2807" t="str">
        <f t="shared" si="1093"/>
        <v xml:space="preserve">N52156  </v>
      </c>
      <c r="BE2807">
        <v>1</v>
      </c>
      <c r="BG2807">
        <v>0</v>
      </c>
      <c r="BH2807">
        <v>0</v>
      </c>
      <c r="BI2807">
        <v>0</v>
      </c>
      <c r="BJ2807">
        <v>4400</v>
      </c>
      <c r="BK2807">
        <v>0</v>
      </c>
      <c r="BL2807" t="s">
        <v>188</v>
      </c>
      <c r="BM2807">
        <v>1</v>
      </c>
      <c r="BN2807">
        <v>1</v>
      </c>
      <c r="BO2807">
        <v>0</v>
      </c>
      <c r="BP2807">
        <v>0</v>
      </c>
      <c r="BS2807">
        <v>0</v>
      </c>
      <c r="BT2807">
        <v>0</v>
      </c>
      <c r="BU2807">
        <v>0</v>
      </c>
      <c r="CE2807" t="str">
        <f t="shared" si="1111"/>
        <v>15:12:19.648</v>
      </c>
      <c r="CF2807">
        <v>647976406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5</v>
      </c>
      <c r="CY2807">
        <v>7</v>
      </c>
      <c r="CZ2807" t="s">
        <v>133</v>
      </c>
      <c r="DA2807">
        <v>275</v>
      </c>
      <c r="DB2807">
        <v>0</v>
      </c>
      <c r="DC2807" t="s">
        <v>134</v>
      </c>
      <c r="DD2807" t="s">
        <v>135</v>
      </c>
      <c r="DG2807">
        <v>3322070</v>
      </c>
      <c r="DI2807">
        <v>1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>"05/01/2025 15:12:19.904"</f>
        <v>05/01/2025 15:12:19.904</v>
      </c>
      <c r="C2808" t="str">
        <f t="shared" si="1090"/>
        <v>FFDFD3C0</v>
      </c>
      <c r="D2808" t="s">
        <v>140</v>
      </c>
      <c r="E2808" t="str">
        <f>"13"</f>
        <v>13</v>
      </c>
      <c r="F2808">
        <v>1019</v>
      </c>
      <c r="G2808" t="s">
        <v>141</v>
      </c>
      <c r="J2808" t="s">
        <v>142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R2808" t="s">
        <v>127</v>
      </c>
      <c r="S2808" t="str">
        <f t="shared" si="1110"/>
        <v>15:12:19.000</v>
      </c>
      <c r="T2808" t="str">
        <f t="shared" si="1110"/>
        <v>15:12:19.000</v>
      </c>
      <c r="U2808" t="str">
        <f t="shared" si="1091"/>
        <v>A68FCB</v>
      </c>
      <c r="V2808">
        <v>0</v>
      </c>
      <c r="W2808">
        <v>0</v>
      </c>
      <c r="X2808">
        <v>2</v>
      </c>
      <c r="Y2808">
        <v>0</v>
      </c>
      <c r="AA2808">
        <v>1</v>
      </c>
      <c r="AB2808">
        <v>8</v>
      </c>
      <c r="AC2808">
        <v>3</v>
      </c>
      <c r="AD2808">
        <v>0</v>
      </c>
      <c r="AE2808">
        <v>9</v>
      </c>
      <c r="AF2808" t="s">
        <v>138</v>
      </c>
      <c r="AG2808">
        <v>0</v>
      </c>
      <c r="AH2808">
        <v>3</v>
      </c>
      <c r="AI2808">
        <v>2</v>
      </c>
      <c r="AJ2808">
        <v>0</v>
      </c>
      <c r="AK2808" t="s">
        <v>950</v>
      </c>
      <c r="AL2808">
        <v>39.102767</v>
      </c>
      <c r="AM2808" t="s">
        <v>951</v>
      </c>
      <c r="AN2808">
        <v>-121.03320100000001</v>
      </c>
      <c r="AO2808">
        <v>25</v>
      </c>
      <c r="AP2808">
        <v>4400</v>
      </c>
      <c r="AQ2808" t="s">
        <v>131</v>
      </c>
      <c r="AR2808">
        <v>11</v>
      </c>
      <c r="AS2808">
        <v>83</v>
      </c>
      <c r="AT2808">
        <v>-128</v>
      </c>
      <c r="BB2808" t="str">
        <f t="shared" si="1092"/>
        <v>1200</v>
      </c>
      <c r="BC2808">
        <v>1</v>
      </c>
      <c r="BD2808" t="str">
        <f t="shared" si="1093"/>
        <v xml:space="preserve">N52156  </v>
      </c>
      <c r="BE2808">
        <v>1</v>
      </c>
      <c r="BG2808">
        <v>0</v>
      </c>
      <c r="BH2808">
        <v>0</v>
      </c>
      <c r="BI2808">
        <v>0</v>
      </c>
      <c r="BJ2808">
        <v>4400</v>
      </c>
      <c r="BK2808">
        <v>0</v>
      </c>
      <c r="BL2808" t="s">
        <v>188</v>
      </c>
      <c r="BM2808">
        <v>1</v>
      </c>
      <c r="BN2808">
        <v>1</v>
      </c>
      <c r="BO2808">
        <v>0</v>
      </c>
      <c r="BP2808">
        <v>0</v>
      </c>
      <c r="BS2808">
        <v>0</v>
      </c>
      <c r="BT2808">
        <v>0</v>
      </c>
      <c r="BU2808">
        <v>0</v>
      </c>
      <c r="CE2808" t="str">
        <f t="shared" si="1111"/>
        <v>15:12:19.648</v>
      </c>
      <c r="CF2808">
        <v>647976406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5</v>
      </c>
      <c r="CY2808">
        <v>7</v>
      </c>
      <c r="CZ2808" t="s">
        <v>133</v>
      </c>
      <c r="DA2808">
        <v>275</v>
      </c>
      <c r="DB2808">
        <v>0</v>
      </c>
      <c r="DC2808" t="s">
        <v>134</v>
      </c>
      <c r="DD2808" t="s">
        <v>135</v>
      </c>
      <c r="DG2808">
        <v>3322070</v>
      </c>
      <c r="DI2808">
        <v>1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>"05/01/2025 15:12:19.906"</f>
        <v>05/01/2025 15:12:19.906</v>
      </c>
      <c r="C2809" t="str">
        <f t="shared" si="1090"/>
        <v>FFDFD3C0</v>
      </c>
      <c r="D2809" t="s">
        <v>124</v>
      </c>
      <c r="E2809" t="str">
        <f>"06"</f>
        <v>06</v>
      </c>
      <c r="F2809">
        <v>2006</v>
      </c>
      <c r="G2809" t="s">
        <v>125</v>
      </c>
      <c r="J2809" t="s">
        <v>126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R2809" t="s">
        <v>127</v>
      </c>
      <c r="S2809" t="str">
        <f t="shared" si="1110"/>
        <v>15:12:19.000</v>
      </c>
      <c r="T2809" t="str">
        <f t="shared" si="1110"/>
        <v>15:12:19.000</v>
      </c>
      <c r="U2809" t="str">
        <f t="shared" si="1091"/>
        <v>A68FCB</v>
      </c>
      <c r="V2809">
        <v>0</v>
      </c>
      <c r="W2809">
        <v>0</v>
      </c>
      <c r="X2809">
        <v>2</v>
      </c>
      <c r="Y2809">
        <v>0</v>
      </c>
      <c r="AA2809">
        <v>1</v>
      </c>
      <c r="AB2809">
        <v>8</v>
      </c>
      <c r="AC2809">
        <v>3</v>
      </c>
      <c r="AD2809">
        <v>0</v>
      </c>
      <c r="AE2809">
        <v>9</v>
      </c>
      <c r="AF2809" t="s">
        <v>138</v>
      </c>
      <c r="AG2809">
        <v>0</v>
      </c>
      <c r="AH2809">
        <v>3</v>
      </c>
      <c r="AI2809">
        <v>2</v>
      </c>
      <c r="AJ2809">
        <v>0</v>
      </c>
      <c r="AK2809" t="s">
        <v>950</v>
      </c>
      <c r="AL2809">
        <v>39.102767</v>
      </c>
      <c r="AM2809" t="s">
        <v>951</v>
      </c>
      <c r="AN2809">
        <v>-121.03320100000001</v>
      </c>
      <c r="AO2809">
        <v>25</v>
      </c>
      <c r="AP2809">
        <v>4400</v>
      </c>
      <c r="AQ2809" t="s">
        <v>131</v>
      </c>
      <c r="AR2809">
        <v>11</v>
      </c>
      <c r="AS2809">
        <v>83</v>
      </c>
      <c r="AT2809">
        <v>-128</v>
      </c>
      <c r="BB2809" t="str">
        <f t="shared" si="1092"/>
        <v>1200</v>
      </c>
      <c r="BC2809">
        <v>1</v>
      </c>
      <c r="BD2809" t="str">
        <f t="shared" si="1093"/>
        <v xml:space="preserve">N52156  </v>
      </c>
      <c r="BE2809">
        <v>1</v>
      </c>
      <c r="BG2809">
        <v>0</v>
      </c>
      <c r="BH2809">
        <v>0</v>
      </c>
      <c r="BI2809">
        <v>0</v>
      </c>
      <c r="BJ2809">
        <v>4400</v>
      </c>
      <c r="BK2809">
        <v>0</v>
      </c>
      <c r="BL2809" t="s">
        <v>188</v>
      </c>
      <c r="BM2809">
        <v>1</v>
      </c>
      <c r="BN2809">
        <v>1</v>
      </c>
      <c r="BO2809">
        <v>0</v>
      </c>
      <c r="BP2809">
        <v>0</v>
      </c>
      <c r="BS2809">
        <v>0</v>
      </c>
      <c r="BT2809">
        <v>0</v>
      </c>
      <c r="BU2809">
        <v>0</v>
      </c>
      <c r="CE2809" t="str">
        <f t="shared" si="1111"/>
        <v>15:12:19.648</v>
      </c>
      <c r="CF2809">
        <v>647976406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5</v>
      </c>
      <c r="CY2809">
        <v>7</v>
      </c>
      <c r="CZ2809" t="s">
        <v>133</v>
      </c>
      <c r="DA2809">
        <v>275</v>
      </c>
      <c r="DB2809">
        <v>0</v>
      </c>
      <c r="DC2809" t="s">
        <v>134</v>
      </c>
      <c r="DD2809" t="s">
        <v>135</v>
      </c>
      <c r="DG2809">
        <v>3322070</v>
      </c>
      <c r="DI2809">
        <v>1</v>
      </c>
      <c r="DJ2809">
        <v>0</v>
      </c>
      <c r="DK2809">
        <v>1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>"05/01/2025 15:12:20.780"</f>
        <v>05/01/2025 15:12:20.780</v>
      </c>
      <c r="C2810" t="str">
        <f t="shared" si="1090"/>
        <v>FFDFD3C0</v>
      </c>
      <c r="D2810" t="s">
        <v>136</v>
      </c>
      <c r="E2810" t="str">
        <f>"20"</f>
        <v>20</v>
      </c>
      <c r="H2810">
        <v>400</v>
      </c>
      <c r="I2810" t="s">
        <v>137</v>
      </c>
      <c r="J2810" t="s">
        <v>138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R2810" t="s">
        <v>127</v>
      </c>
      <c r="S2810" t="str">
        <f t="shared" ref="S2810:T2815" si="1112">"15:12:20.000"</f>
        <v>15:12:20.000</v>
      </c>
      <c r="T2810" t="str">
        <f t="shared" si="1112"/>
        <v>15:12:20.000</v>
      </c>
      <c r="U2810" t="str">
        <f t="shared" si="1091"/>
        <v>A68FCB</v>
      </c>
      <c r="V2810">
        <v>0</v>
      </c>
      <c r="W2810">
        <v>0</v>
      </c>
      <c r="X2810">
        <v>2</v>
      </c>
      <c r="Y2810">
        <v>0</v>
      </c>
      <c r="AA2810">
        <v>1</v>
      </c>
      <c r="AB2810">
        <v>8</v>
      </c>
      <c r="AC2810">
        <v>3</v>
      </c>
      <c r="AD2810">
        <v>0</v>
      </c>
      <c r="AE2810">
        <v>9</v>
      </c>
      <c r="AF2810" t="s">
        <v>138</v>
      </c>
      <c r="AG2810">
        <v>0</v>
      </c>
      <c r="AH2810">
        <v>3</v>
      </c>
      <c r="AI2810">
        <v>2</v>
      </c>
      <c r="AJ2810">
        <v>0</v>
      </c>
      <c r="AK2810" t="s">
        <v>952</v>
      </c>
      <c r="AL2810">
        <v>39.103174000000003</v>
      </c>
      <c r="AM2810" t="s">
        <v>953</v>
      </c>
      <c r="AN2810">
        <v>-121.033137</v>
      </c>
      <c r="AO2810">
        <v>25</v>
      </c>
      <c r="AP2810">
        <v>4400</v>
      </c>
      <c r="AQ2810" t="s">
        <v>131</v>
      </c>
      <c r="AR2810">
        <v>10</v>
      </c>
      <c r="AS2810">
        <v>83</v>
      </c>
      <c r="AT2810">
        <v>-64</v>
      </c>
      <c r="BB2810" t="str">
        <f t="shared" si="1092"/>
        <v>1200</v>
      </c>
      <c r="BC2810">
        <v>1</v>
      </c>
      <c r="BD2810" t="str">
        <f t="shared" si="1093"/>
        <v xml:space="preserve">N52156  </v>
      </c>
      <c r="BE2810">
        <v>1</v>
      </c>
      <c r="BG2810">
        <v>0</v>
      </c>
      <c r="BH2810">
        <v>0</v>
      </c>
      <c r="BI2810">
        <v>0</v>
      </c>
      <c r="BJ2810">
        <v>4400</v>
      </c>
      <c r="BK2810">
        <v>0</v>
      </c>
      <c r="BL2810" t="s">
        <v>188</v>
      </c>
      <c r="BM2810">
        <v>1</v>
      </c>
      <c r="BN2810">
        <v>1</v>
      </c>
      <c r="BO2810">
        <v>0</v>
      </c>
      <c r="BP2810">
        <v>0</v>
      </c>
      <c r="BS2810">
        <v>0</v>
      </c>
      <c r="BT2810">
        <v>0</v>
      </c>
      <c r="BU2810">
        <v>0</v>
      </c>
      <c r="CE2810" t="str">
        <f t="shared" ref="CE2810:CE2815" si="1113">"15:12:20.577"</f>
        <v>15:12:20.577</v>
      </c>
      <c r="CF2810">
        <v>576976542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5</v>
      </c>
      <c r="CY2810">
        <v>7</v>
      </c>
      <c r="CZ2810" t="s">
        <v>133</v>
      </c>
      <c r="DA2810">
        <v>275</v>
      </c>
      <c r="DB2810">
        <v>0</v>
      </c>
      <c r="DC2810" t="s">
        <v>134</v>
      </c>
      <c r="DD2810" t="s">
        <v>135</v>
      </c>
      <c r="DG2810">
        <v>3322076</v>
      </c>
      <c r="DI2810">
        <v>1</v>
      </c>
      <c r="DJ2810">
        <v>0</v>
      </c>
      <c r="DK2810">
        <v>0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>"05/01/2025 15:12:20.787"</f>
        <v>05/01/2025 15:12:20.787</v>
      </c>
      <c r="C2811" t="str">
        <f t="shared" si="1090"/>
        <v>FFDFD3C0</v>
      </c>
      <c r="D2811" t="s">
        <v>143</v>
      </c>
      <c r="E2811" t="str">
        <f>"05"</f>
        <v>05</v>
      </c>
      <c r="H2811">
        <v>172</v>
      </c>
      <c r="I2811" t="s">
        <v>141</v>
      </c>
      <c r="J2811" t="s">
        <v>144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R2811" t="s">
        <v>127</v>
      </c>
      <c r="S2811" t="str">
        <f t="shared" si="1112"/>
        <v>15:12:20.000</v>
      </c>
      <c r="T2811" t="str">
        <f t="shared" si="1112"/>
        <v>15:12:20.000</v>
      </c>
      <c r="U2811" t="str">
        <f t="shared" si="1091"/>
        <v>A68FCB</v>
      </c>
      <c r="V2811">
        <v>0</v>
      </c>
      <c r="W2811">
        <v>0</v>
      </c>
      <c r="X2811">
        <v>2</v>
      </c>
      <c r="Y2811">
        <v>0</v>
      </c>
      <c r="AA2811">
        <v>1</v>
      </c>
      <c r="AB2811">
        <v>8</v>
      </c>
      <c r="AC2811">
        <v>3</v>
      </c>
      <c r="AD2811">
        <v>0</v>
      </c>
      <c r="AE2811">
        <v>9</v>
      </c>
      <c r="AF2811" t="s">
        <v>138</v>
      </c>
      <c r="AG2811">
        <v>0</v>
      </c>
      <c r="AH2811">
        <v>3</v>
      </c>
      <c r="AI2811">
        <v>2</v>
      </c>
      <c r="AJ2811">
        <v>0</v>
      </c>
      <c r="AK2811" t="s">
        <v>952</v>
      </c>
      <c r="AL2811">
        <v>39.103174000000003</v>
      </c>
      <c r="AM2811" t="s">
        <v>953</v>
      </c>
      <c r="AN2811">
        <v>-121.033137</v>
      </c>
      <c r="AO2811">
        <v>25</v>
      </c>
      <c r="AP2811">
        <v>4400</v>
      </c>
      <c r="AQ2811" t="s">
        <v>131</v>
      </c>
      <c r="AR2811">
        <v>10</v>
      </c>
      <c r="AS2811">
        <v>83</v>
      </c>
      <c r="AT2811">
        <v>-64</v>
      </c>
      <c r="BB2811" t="str">
        <f t="shared" si="1092"/>
        <v>1200</v>
      </c>
      <c r="BC2811">
        <v>1</v>
      </c>
      <c r="BD2811" t="str">
        <f t="shared" si="1093"/>
        <v xml:space="preserve">N52156  </v>
      </c>
      <c r="BE2811">
        <v>1</v>
      </c>
      <c r="BG2811">
        <v>0</v>
      </c>
      <c r="BH2811">
        <v>0</v>
      </c>
      <c r="BI2811">
        <v>0</v>
      </c>
      <c r="BJ2811">
        <v>4400</v>
      </c>
      <c r="BK2811">
        <v>0</v>
      </c>
      <c r="BL2811" t="s">
        <v>188</v>
      </c>
      <c r="BM2811">
        <v>1</v>
      </c>
      <c r="BN2811">
        <v>1</v>
      </c>
      <c r="BO2811">
        <v>0</v>
      </c>
      <c r="BP2811">
        <v>0</v>
      </c>
      <c r="BS2811">
        <v>0</v>
      </c>
      <c r="BT2811">
        <v>0</v>
      </c>
      <c r="BU2811">
        <v>0</v>
      </c>
      <c r="CE2811" t="str">
        <f t="shared" si="1113"/>
        <v>15:12:20.577</v>
      </c>
      <c r="CF2811">
        <v>576976542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5</v>
      </c>
      <c r="CY2811">
        <v>7</v>
      </c>
      <c r="CZ2811" t="s">
        <v>133</v>
      </c>
      <c r="DA2811">
        <v>275</v>
      </c>
      <c r="DB2811">
        <v>0</v>
      </c>
      <c r="DC2811" t="s">
        <v>134</v>
      </c>
      <c r="DD2811" t="s">
        <v>135</v>
      </c>
      <c r="DG2811">
        <v>3322076</v>
      </c>
      <c r="DI2811">
        <v>1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>"05/01/2025 15:12:20.805"</f>
        <v>05/01/2025 15:12:20.805</v>
      </c>
      <c r="C2812" t="str">
        <f t="shared" si="1090"/>
        <v>FFDFD3C0</v>
      </c>
      <c r="D2812" t="s">
        <v>140</v>
      </c>
      <c r="E2812" t="str">
        <f>"13"</f>
        <v>13</v>
      </c>
      <c r="F2812">
        <v>1019</v>
      </c>
      <c r="G2812" t="s">
        <v>141</v>
      </c>
      <c r="J2812" t="s">
        <v>142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R2812" t="s">
        <v>127</v>
      </c>
      <c r="S2812" t="str">
        <f t="shared" si="1112"/>
        <v>15:12:20.000</v>
      </c>
      <c r="T2812" t="str">
        <f t="shared" si="1112"/>
        <v>15:12:20.000</v>
      </c>
      <c r="U2812" t="str">
        <f t="shared" si="1091"/>
        <v>A68FCB</v>
      </c>
      <c r="V2812">
        <v>0</v>
      </c>
      <c r="W2812">
        <v>0</v>
      </c>
      <c r="X2812">
        <v>2</v>
      </c>
      <c r="Y2812">
        <v>0</v>
      </c>
      <c r="AA2812">
        <v>1</v>
      </c>
      <c r="AB2812">
        <v>8</v>
      </c>
      <c r="AC2812">
        <v>3</v>
      </c>
      <c r="AD2812">
        <v>0</v>
      </c>
      <c r="AE2812">
        <v>9</v>
      </c>
      <c r="AF2812" t="s">
        <v>138</v>
      </c>
      <c r="AG2812">
        <v>0</v>
      </c>
      <c r="AH2812">
        <v>3</v>
      </c>
      <c r="AI2812">
        <v>2</v>
      </c>
      <c r="AJ2812">
        <v>0</v>
      </c>
      <c r="AK2812" t="s">
        <v>952</v>
      </c>
      <c r="AL2812">
        <v>39.103174000000003</v>
      </c>
      <c r="AM2812" t="s">
        <v>953</v>
      </c>
      <c r="AN2812">
        <v>-121.033137</v>
      </c>
      <c r="AO2812">
        <v>25</v>
      </c>
      <c r="AP2812">
        <v>4400</v>
      </c>
      <c r="AQ2812" t="s">
        <v>131</v>
      </c>
      <c r="AR2812">
        <v>10</v>
      </c>
      <c r="AS2812">
        <v>83</v>
      </c>
      <c r="AT2812">
        <v>-64</v>
      </c>
      <c r="BB2812" t="str">
        <f t="shared" si="1092"/>
        <v>1200</v>
      </c>
      <c r="BC2812">
        <v>1</v>
      </c>
      <c r="BD2812" t="str">
        <f t="shared" si="1093"/>
        <v xml:space="preserve">N52156  </v>
      </c>
      <c r="BE2812">
        <v>1</v>
      </c>
      <c r="BG2812">
        <v>0</v>
      </c>
      <c r="BH2812">
        <v>0</v>
      </c>
      <c r="BI2812">
        <v>0</v>
      </c>
      <c r="BJ2812">
        <v>4400</v>
      </c>
      <c r="BK2812">
        <v>0</v>
      </c>
      <c r="BL2812" t="s">
        <v>188</v>
      </c>
      <c r="BM2812">
        <v>1</v>
      </c>
      <c r="BN2812">
        <v>1</v>
      </c>
      <c r="BO2812">
        <v>0</v>
      </c>
      <c r="BP2812">
        <v>0</v>
      </c>
      <c r="BS2812">
        <v>0</v>
      </c>
      <c r="BT2812">
        <v>0</v>
      </c>
      <c r="BU2812">
        <v>0</v>
      </c>
      <c r="CE2812" t="str">
        <f t="shared" si="1113"/>
        <v>15:12:20.577</v>
      </c>
      <c r="CF2812">
        <v>576976542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5</v>
      </c>
      <c r="CY2812">
        <v>7</v>
      </c>
      <c r="CZ2812" t="s">
        <v>133</v>
      </c>
      <c r="DA2812">
        <v>275</v>
      </c>
      <c r="DB2812">
        <v>0</v>
      </c>
      <c r="DC2812" t="s">
        <v>134</v>
      </c>
      <c r="DD2812" t="s">
        <v>135</v>
      </c>
      <c r="DG2812">
        <v>3322076</v>
      </c>
      <c r="DI2812">
        <v>1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>"05/01/2025 15:12:20.808"</f>
        <v>05/01/2025 15:12:20.808</v>
      </c>
      <c r="C2813" t="str">
        <f t="shared" si="1090"/>
        <v>FFDFD3C0</v>
      </c>
      <c r="D2813" t="s">
        <v>124</v>
      </c>
      <c r="E2813" t="str">
        <f>"06"</f>
        <v>06</v>
      </c>
      <c r="F2813">
        <v>2006</v>
      </c>
      <c r="G2813" t="s">
        <v>125</v>
      </c>
      <c r="J2813" t="s">
        <v>126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R2813" t="s">
        <v>127</v>
      </c>
      <c r="S2813" t="str">
        <f t="shared" si="1112"/>
        <v>15:12:20.000</v>
      </c>
      <c r="T2813" t="str">
        <f t="shared" si="1112"/>
        <v>15:12:20.000</v>
      </c>
      <c r="U2813" t="str">
        <f t="shared" si="1091"/>
        <v>A68FCB</v>
      </c>
      <c r="V2813">
        <v>0</v>
      </c>
      <c r="W2813">
        <v>0</v>
      </c>
      <c r="X2813">
        <v>2</v>
      </c>
      <c r="Y2813">
        <v>0</v>
      </c>
      <c r="AA2813">
        <v>1</v>
      </c>
      <c r="AB2813">
        <v>8</v>
      </c>
      <c r="AC2813">
        <v>3</v>
      </c>
      <c r="AD2813">
        <v>0</v>
      </c>
      <c r="AE2813">
        <v>9</v>
      </c>
      <c r="AF2813" t="s">
        <v>138</v>
      </c>
      <c r="AG2813">
        <v>0</v>
      </c>
      <c r="AH2813">
        <v>3</v>
      </c>
      <c r="AI2813">
        <v>2</v>
      </c>
      <c r="AJ2813">
        <v>0</v>
      </c>
      <c r="AK2813" t="s">
        <v>952</v>
      </c>
      <c r="AL2813">
        <v>39.103174000000003</v>
      </c>
      <c r="AM2813" t="s">
        <v>953</v>
      </c>
      <c r="AN2813">
        <v>-121.033137</v>
      </c>
      <c r="AO2813">
        <v>25</v>
      </c>
      <c r="AP2813">
        <v>4400</v>
      </c>
      <c r="AQ2813" t="s">
        <v>131</v>
      </c>
      <c r="AR2813">
        <v>10</v>
      </c>
      <c r="AS2813">
        <v>83</v>
      </c>
      <c r="AT2813">
        <v>-64</v>
      </c>
      <c r="BB2813" t="str">
        <f t="shared" si="1092"/>
        <v>1200</v>
      </c>
      <c r="BC2813">
        <v>1</v>
      </c>
      <c r="BD2813" t="str">
        <f t="shared" si="1093"/>
        <v xml:space="preserve">N52156  </v>
      </c>
      <c r="BE2813">
        <v>1</v>
      </c>
      <c r="BG2813">
        <v>0</v>
      </c>
      <c r="BH2813">
        <v>0</v>
      </c>
      <c r="BI2813">
        <v>0</v>
      </c>
      <c r="BJ2813">
        <v>4400</v>
      </c>
      <c r="BK2813">
        <v>0</v>
      </c>
      <c r="BL2813" t="s">
        <v>188</v>
      </c>
      <c r="BM2813">
        <v>1</v>
      </c>
      <c r="BN2813">
        <v>1</v>
      </c>
      <c r="BO2813">
        <v>0</v>
      </c>
      <c r="BP2813">
        <v>0</v>
      </c>
      <c r="BS2813">
        <v>0</v>
      </c>
      <c r="BT2813">
        <v>0</v>
      </c>
      <c r="BU2813">
        <v>0</v>
      </c>
      <c r="CE2813" t="str">
        <f t="shared" si="1113"/>
        <v>15:12:20.577</v>
      </c>
      <c r="CF2813">
        <v>576976542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5</v>
      </c>
      <c r="CY2813">
        <v>7</v>
      </c>
      <c r="CZ2813" t="s">
        <v>133</v>
      </c>
      <c r="DA2813">
        <v>275</v>
      </c>
      <c r="DB2813">
        <v>0</v>
      </c>
      <c r="DC2813" t="s">
        <v>134</v>
      </c>
      <c r="DD2813" t="s">
        <v>135</v>
      </c>
      <c r="DG2813">
        <v>3322076</v>
      </c>
      <c r="DI2813">
        <v>1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>"05/01/2025 15:12:20.819"</f>
        <v>05/01/2025 15:12:20.819</v>
      </c>
      <c r="C2814" t="str">
        <f t="shared" si="1090"/>
        <v>FFDFD3C0</v>
      </c>
      <c r="D2814" t="s">
        <v>145</v>
      </c>
      <c r="E2814" t="str">
        <f>"09"</f>
        <v>09</v>
      </c>
      <c r="H2814">
        <v>51</v>
      </c>
      <c r="I2814" t="s">
        <v>147</v>
      </c>
      <c r="J2814" t="s">
        <v>138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R2814" t="s">
        <v>127</v>
      </c>
      <c r="S2814" t="str">
        <f t="shared" si="1112"/>
        <v>15:12:20.000</v>
      </c>
      <c r="T2814" t="str">
        <f t="shared" si="1112"/>
        <v>15:12:20.000</v>
      </c>
      <c r="U2814" t="str">
        <f t="shared" si="1091"/>
        <v>A68FCB</v>
      </c>
      <c r="V2814">
        <v>0</v>
      </c>
      <c r="W2814">
        <v>0</v>
      </c>
      <c r="X2814">
        <v>2</v>
      </c>
      <c r="Y2814">
        <v>0</v>
      </c>
      <c r="AA2814">
        <v>1</v>
      </c>
      <c r="AB2814">
        <v>8</v>
      </c>
      <c r="AC2814">
        <v>3</v>
      </c>
      <c r="AD2814">
        <v>0</v>
      </c>
      <c r="AE2814">
        <v>9</v>
      </c>
      <c r="AF2814" t="s">
        <v>138</v>
      </c>
      <c r="AG2814">
        <v>0</v>
      </c>
      <c r="AH2814">
        <v>3</v>
      </c>
      <c r="AI2814">
        <v>2</v>
      </c>
      <c r="AJ2814">
        <v>0</v>
      </c>
      <c r="AK2814" t="s">
        <v>952</v>
      </c>
      <c r="AL2814">
        <v>39.103174000000003</v>
      </c>
      <c r="AM2814" t="s">
        <v>953</v>
      </c>
      <c r="AN2814">
        <v>-121.033137</v>
      </c>
      <c r="AO2814">
        <v>25</v>
      </c>
      <c r="AP2814">
        <v>4400</v>
      </c>
      <c r="AQ2814" t="s">
        <v>131</v>
      </c>
      <c r="AR2814">
        <v>10</v>
      </c>
      <c r="AS2814">
        <v>83</v>
      </c>
      <c r="AT2814">
        <v>-64</v>
      </c>
      <c r="BB2814" t="str">
        <f t="shared" si="1092"/>
        <v>1200</v>
      </c>
      <c r="BC2814">
        <v>1</v>
      </c>
      <c r="BD2814" t="str">
        <f t="shared" si="1093"/>
        <v xml:space="preserve">N52156  </v>
      </c>
      <c r="BE2814">
        <v>1</v>
      </c>
      <c r="BG2814">
        <v>0</v>
      </c>
      <c r="BH2814">
        <v>0</v>
      </c>
      <c r="BI2814">
        <v>0</v>
      </c>
      <c r="BJ2814">
        <v>4400</v>
      </c>
      <c r="BK2814">
        <v>0</v>
      </c>
      <c r="BL2814" t="s">
        <v>188</v>
      </c>
      <c r="BM2814">
        <v>1</v>
      </c>
      <c r="BN2814">
        <v>1</v>
      </c>
      <c r="BO2814">
        <v>0</v>
      </c>
      <c r="BP2814">
        <v>0</v>
      </c>
      <c r="BS2814">
        <v>0</v>
      </c>
      <c r="BT2814">
        <v>0</v>
      </c>
      <c r="BU2814">
        <v>0</v>
      </c>
      <c r="CE2814" t="str">
        <f t="shared" si="1113"/>
        <v>15:12:20.577</v>
      </c>
      <c r="CF2814">
        <v>576976542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5</v>
      </c>
      <c r="CY2814">
        <v>7</v>
      </c>
      <c r="CZ2814" t="s">
        <v>133</v>
      </c>
      <c r="DA2814">
        <v>275</v>
      </c>
      <c r="DB2814">
        <v>0</v>
      </c>
      <c r="DC2814" t="s">
        <v>134</v>
      </c>
      <c r="DD2814" t="s">
        <v>135</v>
      </c>
      <c r="DG2814">
        <v>3322076</v>
      </c>
      <c r="DI2814">
        <v>1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>"05/01/2025 15:12:20.819"</f>
        <v>05/01/2025 15:12:20.819</v>
      </c>
      <c r="C2815" t="str">
        <f t="shared" si="1090"/>
        <v>FFDFD3C0</v>
      </c>
      <c r="D2815" t="s">
        <v>145</v>
      </c>
      <c r="E2815" t="str">
        <f>"05"</f>
        <v>05</v>
      </c>
      <c r="H2815">
        <v>47</v>
      </c>
      <c r="I2815" t="s">
        <v>146</v>
      </c>
      <c r="J2815" t="s">
        <v>138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R2815" t="s">
        <v>127</v>
      </c>
      <c r="S2815" t="str">
        <f t="shared" si="1112"/>
        <v>15:12:20.000</v>
      </c>
      <c r="T2815" t="str">
        <f t="shared" si="1112"/>
        <v>15:12:20.000</v>
      </c>
      <c r="U2815" t="str">
        <f t="shared" si="1091"/>
        <v>A68FCB</v>
      </c>
      <c r="V2815">
        <v>0</v>
      </c>
      <c r="W2815">
        <v>0</v>
      </c>
      <c r="X2815">
        <v>2</v>
      </c>
      <c r="Y2815">
        <v>0</v>
      </c>
      <c r="AA2815">
        <v>1</v>
      </c>
      <c r="AB2815">
        <v>8</v>
      </c>
      <c r="AC2815">
        <v>3</v>
      </c>
      <c r="AD2815">
        <v>0</v>
      </c>
      <c r="AE2815">
        <v>9</v>
      </c>
      <c r="AF2815" t="s">
        <v>138</v>
      </c>
      <c r="AG2815">
        <v>0</v>
      </c>
      <c r="AH2815">
        <v>3</v>
      </c>
      <c r="AI2815">
        <v>2</v>
      </c>
      <c r="AJ2815">
        <v>0</v>
      </c>
      <c r="AK2815" t="s">
        <v>952</v>
      </c>
      <c r="AL2815">
        <v>39.103174000000003</v>
      </c>
      <c r="AM2815" t="s">
        <v>953</v>
      </c>
      <c r="AN2815">
        <v>-121.033137</v>
      </c>
      <c r="AO2815">
        <v>25</v>
      </c>
      <c r="AP2815">
        <v>4400</v>
      </c>
      <c r="AQ2815" t="s">
        <v>131</v>
      </c>
      <c r="AR2815">
        <v>10</v>
      </c>
      <c r="AS2815">
        <v>83</v>
      </c>
      <c r="AT2815">
        <v>-64</v>
      </c>
      <c r="BB2815" t="str">
        <f t="shared" si="1092"/>
        <v>1200</v>
      </c>
      <c r="BC2815">
        <v>1</v>
      </c>
      <c r="BD2815" t="str">
        <f t="shared" si="1093"/>
        <v xml:space="preserve">N52156  </v>
      </c>
      <c r="BE2815">
        <v>1</v>
      </c>
      <c r="BG2815">
        <v>0</v>
      </c>
      <c r="BH2815">
        <v>0</v>
      </c>
      <c r="BI2815">
        <v>0</v>
      </c>
      <c r="BJ2815">
        <v>4400</v>
      </c>
      <c r="BK2815">
        <v>0</v>
      </c>
      <c r="BL2815" t="s">
        <v>188</v>
      </c>
      <c r="BM2815">
        <v>1</v>
      </c>
      <c r="BN2815">
        <v>1</v>
      </c>
      <c r="BO2815">
        <v>0</v>
      </c>
      <c r="BP2815">
        <v>0</v>
      </c>
      <c r="BS2815">
        <v>0</v>
      </c>
      <c r="BT2815">
        <v>0</v>
      </c>
      <c r="BU2815">
        <v>0</v>
      </c>
      <c r="CE2815" t="str">
        <f t="shared" si="1113"/>
        <v>15:12:20.577</v>
      </c>
      <c r="CF2815">
        <v>576976542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5</v>
      </c>
      <c r="CY2815">
        <v>7</v>
      </c>
      <c r="CZ2815" t="s">
        <v>133</v>
      </c>
      <c r="DA2815">
        <v>275</v>
      </c>
      <c r="DB2815">
        <v>0</v>
      </c>
      <c r="DC2815" t="s">
        <v>134</v>
      </c>
      <c r="DD2815" t="s">
        <v>135</v>
      </c>
      <c r="DG2815">
        <v>3322076</v>
      </c>
      <c r="DI2815">
        <v>1</v>
      </c>
      <c r="DJ2815">
        <v>0</v>
      </c>
      <c r="DK2815">
        <v>1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>"05/01/2025 15:12:21.707"</f>
        <v>05/01/2025 15:12:21.707</v>
      </c>
      <c r="C2816" t="str">
        <f t="shared" si="1090"/>
        <v>FFDFD3C0</v>
      </c>
      <c r="D2816" t="s">
        <v>140</v>
      </c>
      <c r="E2816" t="str">
        <f>"13"</f>
        <v>13</v>
      </c>
      <c r="F2816">
        <v>1019</v>
      </c>
      <c r="G2816" t="s">
        <v>141</v>
      </c>
      <c r="J2816" t="s">
        <v>142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R2816" t="s">
        <v>127</v>
      </c>
      <c r="S2816" t="str">
        <f t="shared" ref="S2816:T2821" si="1114">"15:12:21.000"</f>
        <v>15:12:21.000</v>
      </c>
      <c r="T2816" t="str">
        <f t="shared" si="1114"/>
        <v>15:12:21.000</v>
      </c>
      <c r="U2816" t="str">
        <f t="shared" si="1091"/>
        <v>A68FCB</v>
      </c>
      <c r="V2816">
        <v>0</v>
      </c>
      <c r="W2816">
        <v>0</v>
      </c>
      <c r="X2816">
        <v>2</v>
      </c>
      <c r="Y2816">
        <v>0</v>
      </c>
      <c r="AA2816">
        <v>1</v>
      </c>
      <c r="AB2816">
        <v>8</v>
      </c>
      <c r="AC2816">
        <v>3</v>
      </c>
      <c r="AD2816">
        <v>0</v>
      </c>
      <c r="AE2816">
        <v>9</v>
      </c>
      <c r="AF2816" t="s">
        <v>138</v>
      </c>
      <c r="AG2816">
        <v>0</v>
      </c>
      <c r="AH2816">
        <v>3</v>
      </c>
      <c r="AI2816">
        <v>2</v>
      </c>
      <c r="AJ2816">
        <v>0</v>
      </c>
      <c r="AK2816" t="s">
        <v>954</v>
      </c>
      <c r="AL2816">
        <v>39.103560000000002</v>
      </c>
      <c r="AM2816" t="s">
        <v>955</v>
      </c>
      <c r="AN2816">
        <v>-121.033072</v>
      </c>
      <c r="AO2816">
        <v>25</v>
      </c>
      <c r="AP2816">
        <v>4400</v>
      </c>
      <c r="AQ2816" t="s">
        <v>131</v>
      </c>
      <c r="AR2816">
        <v>9</v>
      </c>
      <c r="AS2816">
        <v>83</v>
      </c>
      <c r="AT2816">
        <v>-64</v>
      </c>
      <c r="BB2816" t="str">
        <f t="shared" si="1092"/>
        <v>1200</v>
      </c>
      <c r="BC2816">
        <v>1</v>
      </c>
      <c r="BD2816" t="str">
        <f t="shared" si="1093"/>
        <v xml:space="preserve">N52156  </v>
      </c>
      <c r="BE2816">
        <v>1</v>
      </c>
      <c r="BG2816">
        <v>0</v>
      </c>
      <c r="BH2816">
        <v>0</v>
      </c>
      <c r="BI2816">
        <v>0</v>
      </c>
      <c r="BJ2816">
        <v>4400</v>
      </c>
      <c r="BK2816">
        <v>0</v>
      </c>
      <c r="BL2816" t="s">
        <v>188</v>
      </c>
      <c r="BM2816">
        <v>1</v>
      </c>
      <c r="BN2816">
        <v>1</v>
      </c>
      <c r="BO2816">
        <v>0</v>
      </c>
      <c r="BP2816">
        <v>0</v>
      </c>
      <c r="BS2816">
        <v>0</v>
      </c>
      <c r="BT2816">
        <v>0</v>
      </c>
      <c r="BU2816">
        <v>0</v>
      </c>
      <c r="CE2816" t="str">
        <f t="shared" ref="CE2816:CE2821" si="1115">"15:12:21.511"</f>
        <v>15:12:21.511</v>
      </c>
      <c r="CF2816">
        <v>511226450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5</v>
      </c>
      <c r="CY2816">
        <v>7</v>
      </c>
      <c r="CZ2816" t="s">
        <v>133</v>
      </c>
      <c r="DA2816">
        <v>275</v>
      </c>
      <c r="DB2816">
        <v>0</v>
      </c>
      <c r="DC2816" t="s">
        <v>134</v>
      </c>
      <c r="DD2816" t="s">
        <v>135</v>
      </c>
      <c r="DG2816">
        <v>3322081</v>
      </c>
      <c r="DI2816">
        <v>1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"05/01/2025 15:12:21.709"</f>
        <v>05/01/2025 15:12:21.709</v>
      </c>
      <c r="C2817" t="str">
        <f t="shared" si="1090"/>
        <v>FFDFD3C0</v>
      </c>
      <c r="D2817" t="s">
        <v>124</v>
      </c>
      <c r="E2817" t="str">
        <f>"06"</f>
        <v>06</v>
      </c>
      <c r="F2817">
        <v>2006</v>
      </c>
      <c r="G2817" t="s">
        <v>125</v>
      </c>
      <c r="J2817" t="s">
        <v>126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R2817" t="s">
        <v>127</v>
      </c>
      <c r="S2817" t="str">
        <f t="shared" si="1114"/>
        <v>15:12:21.000</v>
      </c>
      <c r="T2817" t="str">
        <f t="shared" si="1114"/>
        <v>15:12:21.000</v>
      </c>
      <c r="U2817" t="str">
        <f t="shared" si="1091"/>
        <v>A68FCB</v>
      </c>
      <c r="V2817">
        <v>0</v>
      </c>
      <c r="W2817">
        <v>0</v>
      </c>
      <c r="X2817">
        <v>2</v>
      </c>
      <c r="Y2817">
        <v>0</v>
      </c>
      <c r="AA2817">
        <v>1</v>
      </c>
      <c r="AB2817">
        <v>8</v>
      </c>
      <c r="AC2817">
        <v>3</v>
      </c>
      <c r="AD2817">
        <v>0</v>
      </c>
      <c r="AE2817">
        <v>9</v>
      </c>
      <c r="AF2817" t="s">
        <v>138</v>
      </c>
      <c r="AG2817">
        <v>0</v>
      </c>
      <c r="AH2817">
        <v>3</v>
      </c>
      <c r="AI2817">
        <v>2</v>
      </c>
      <c r="AJ2817">
        <v>0</v>
      </c>
      <c r="AK2817" t="s">
        <v>954</v>
      </c>
      <c r="AL2817">
        <v>39.103560000000002</v>
      </c>
      <c r="AM2817" t="s">
        <v>955</v>
      </c>
      <c r="AN2817">
        <v>-121.033072</v>
      </c>
      <c r="AO2817">
        <v>25</v>
      </c>
      <c r="AP2817">
        <v>4400</v>
      </c>
      <c r="AQ2817" t="s">
        <v>131</v>
      </c>
      <c r="AR2817">
        <v>9</v>
      </c>
      <c r="AS2817">
        <v>83</v>
      </c>
      <c r="AT2817">
        <v>-64</v>
      </c>
      <c r="BB2817" t="str">
        <f t="shared" si="1092"/>
        <v>1200</v>
      </c>
      <c r="BC2817">
        <v>1</v>
      </c>
      <c r="BD2817" t="str">
        <f t="shared" si="1093"/>
        <v xml:space="preserve">N52156  </v>
      </c>
      <c r="BE2817">
        <v>1</v>
      </c>
      <c r="BG2817">
        <v>0</v>
      </c>
      <c r="BH2817">
        <v>0</v>
      </c>
      <c r="BI2817">
        <v>0</v>
      </c>
      <c r="BJ2817">
        <v>4400</v>
      </c>
      <c r="BK2817">
        <v>0</v>
      </c>
      <c r="BL2817" t="s">
        <v>188</v>
      </c>
      <c r="BM2817">
        <v>1</v>
      </c>
      <c r="BN2817">
        <v>1</v>
      </c>
      <c r="BO2817">
        <v>0</v>
      </c>
      <c r="BP2817">
        <v>0</v>
      </c>
      <c r="BS2817">
        <v>0</v>
      </c>
      <c r="BT2817">
        <v>0</v>
      </c>
      <c r="BU2817">
        <v>0</v>
      </c>
      <c r="CE2817" t="str">
        <f t="shared" si="1115"/>
        <v>15:12:21.511</v>
      </c>
      <c r="CF2817">
        <v>511226450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5</v>
      </c>
      <c r="CY2817">
        <v>7</v>
      </c>
      <c r="CZ2817" t="s">
        <v>133</v>
      </c>
      <c r="DA2817">
        <v>275</v>
      </c>
      <c r="DB2817">
        <v>0</v>
      </c>
      <c r="DC2817" t="s">
        <v>134</v>
      </c>
      <c r="DD2817" t="s">
        <v>135</v>
      </c>
      <c r="DG2817">
        <v>3322081</v>
      </c>
      <c r="DI2817">
        <v>1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"05/01/2025 15:12:21.720"</f>
        <v>05/01/2025 15:12:21.720</v>
      </c>
      <c r="C2818" t="str">
        <f t="shared" ref="C2818:C2881" si="1116">"FFDFD3C0"</f>
        <v>FFDFD3C0</v>
      </c>
      <c r="D2818" t="s">
        <v>145</v>
      </c>
      <c r="E2818" t="str">
        <f>"05"</f>
        <v>05</v>
      </c>
      <c r="H2818">
        <v>47</v>
      </c>
      <c r="I2818" t="s">
        <v>146</v>
      </c>
      <c r="J2818" t="s">
        <v>138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R2818" t="s">
        <v>127</v>
      </c>
      <c r="S2818" t="str">
        <f t="shared" si="1114"/>
        <v>15:12:21.000</v>
      </c>
      <c r="T2818" t="str">
        <f t="shared" si="1114"/>
        <v>15:12:21.000</v>
      </c>
      <c r="U2818" t="str">
        <f t="shared" ref="U2818:U2881" si="1117">"A68FCB"</f>
        <v>A68FCB</v>
      </c>
      <c r="V2818">
        <v>0</v>
      </c>
      <c r="W2818">
        <v>0</v>
      </c>
      <c r="X2818">
        <v>2</v>
      </c>
      <c r="Y2818">
        <v>0</v>
      </c>
      <c r="AA2818">
        <v>1</v>
      </c>
      <c r="AB2818">
        <v>8</v>
      </c>
      <c r="AC2818">
        <v>3</v>
      </c>
      <c r="AD2818">
        <v>0</v>
      </c>
      <c r="AE2818">
        <v>9</v>
      </c>
      <c r="AF2818" t="s">
        <v>138</v>
      </c>
      <c r="AG2818">
        <v>0</v>
      </c>
      <c r="AH2818">
        <v>3</v>
      </c>
      <c r="AI2818">
        <v>2</v>
      </c>
      <c r="AJ2818">
        <v>0</v>
      </c>
      <c r="AK2818" t="s">
        <v>954</v>
      </c>
      <c r="AL2818">
        <v>39.103560000000002</v>
      </c>
      <c r="AM2818" t="s">
        <v>955</v>
      </c>
      <c r="AN2818">
        <v>-121.033072</v>
      </c>
      <c r="AO2818">
        <v>25</v>
      </c>
      <c r="AP2818">
        <v>4400</v>
      </c>
      <c r="AQ2818" t="s">
        <v>131</v>
      </c>
      <c r="AR2818">
        <v>9</v>
      </c>
      <c r="AS2818">
        <v>83</v>
      </c>
      <c r="AT2818">
        <v>-64</v>
      </c>
      <c r="BB2818" t="str">
        <f t="shared" ref="BB2818:BB2881" si="1118">"1200"</f>
        <v>1200</v>
      </c>
      <c r="BC2818">
        <v>1</v>
      </c>
      <c r="BD2818" t="str">
        <f t="shared" ref="BD2818:BD2881" si="1119">"N52156  "</f>
        <v xml:space="preserve">N52156  </v>
      </c>
      <c r="BE2818">
        <v>1</v>
      </c>
      <c r="BG2818">
        <v>0</v>
      </c>
      <c r="BH2818">
        <v>0</v>
      </c>
      <c r="BI2818">
        <v>0</v>
      </c>
      <c r="BJ2818">
        <v>4400</v>
      </c>
      <c r="BK2818">
        <v>0</v>
      </c>
      <c r="BL2818" t="s">
        <v>188</v>
      </c>
      <c r="BM2818">
        <v>1</v>
      </c>
      <c r="BN2818">
        <v>1</v>
      </c>
      <c r="BO2818">
        <v>0</v>
      </c>
      <c r="BP2818">
        <v>0</v>
      </c>
      <c r="BS2818">
        <v>0</v>
      </c>
      <c r="BT2818">
        <v>0</v>
      </c>
      <c r="BU2818">
        <v>0</v>
      </c>
      <c r="CE2818" t="str">
        <f t="shared" si="1115"/>
        <v>15:12:21.511</v>
      </c>
      <c r="CF2818">
        <v>511226450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5</v>
      </c>
      <c r="CY2818">
        <v>7</v>
      </c>
      <c r="CZ2818" t="s">
        <v>133</v>
      </c>
      <c r="DA2818">
        <v>275</v>
      </c>
      <c r="DB2818">
        <v>0</v>
      </c>
      <c r="DC2818" t="s">
        <v>134</v>
      </c>
      <c r="DD2818" t="s">
        <v>135</v>
      </c>
      <c r="DG2818">
        <v>3322081</v>
      </c>
      <c r="DI2818">
        <v>1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"05/01/2025 15:12:21.720"</f>
        <v>05/01/2025 15:12:21.720</v>
      </c>
      <c r="C2819" t="str">
        <f t="shared" si="1116"/>
        <v>FFDFD3C0</v>
      </c>
      <c r="D2819" t="s">
        <v>145</v>
      </c>
      <c r="E2819" t="str">
        <f>"09"</f>
        <v>09</v>
      </c>
      <c r="H2819">
        <v>51</v>
      </c>
      <c r="I2819" t="s">
        <v>147</v>
      </c>
      <c r="J2819" t="s">
        <v>138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R2819" t="s">
        <v>127</v>
      </c>
      <c r="S2819" t="str">
        <f t="shared" si="1114"/>
        <v>15:12:21.000</v>
      </c>
      <c r="T2819" t="str">
        <f t="shared" si="1114"/>
        <v>15:12:21.000</v>
      </c>
      <c r="U2819" t="str">
        <f t="shared" si="1117"/>
        <v>A68FCB</v>
      </c>
      <c r="V2819">
        <v>0</v>
      </c>
      <c r="W2819">
        <v>0</v>
      </c>
      <c r="X2819">
        <v>2</v>
      </c>
      <c r="Y2819">
        <v>0</v>
      </c>
      <c r="AA2819">
        <v>1</v>
      </c>
      <c r="AB2819">
        <v>8</v>
      </c>
      <c r="AC2819">
        <v>3</v>
      </c>
      <c r="AD2819">
        <v>0</v>
      </c>
      <c r="AE2819">
        <v>9</v>
      </c>
      <c r="AF2819" t="s">
        <v>138</v>
      </c>
      <c r="AG2819">
        <v>0</v>
      </c>
      <c r="AH2819">
        <v>3</v>
      </c>
      <c r="AI2819">
        <v>2</v>
      </c>
      <c r="AJ2819">
        <v>0</v>
      </c>
      <c r="AK2819" t="s">
        <v>954</v>
      </c>
      <c r="AL2819">
        <v>39.103560000000002</v>
      </c>
      <c r="AM2819" t="s">
        <v>955</v>
      </c>
      <c r="AN2819">
        <v>-121.033072</v>
      </c>
      <c r="AO2819">
        <v>25</v>
      </c>
      <c r="AP2819">
        <v>4400</v>
      </c>
      <c r="AQ2819" t="s">
        <v>131</v>
      </c>
      <c r="AR2819">
        <v>9</v>
      </c>
      <c r="AS2819">
        <v>83</v>
      </c>
      <c r="AT2819">
        <v>-64</v>
      </c>
      <c r="BB2819" t="str">
        <f t="shared" si="1118"/>
        <v>1200</v>
      </c>
      <c r="BC2819">
        <v>1</v>
      </c>
      <c r="BD2819" t="str">
        <f t="shared" si="1119"/>
        <v xml:space="preserve">N52156  </v>
      </c>
      <c r="BE2819">
        <v>1</v>
      </c>
      <c r="BG2819">
        <v>0</v>
      </c>
      <c r="BH2819">
        <v>0</v>
      </c>
      <c r="BI2819">
        <v>0</v>
      </c>
      <c r="BJ2819">
        <v>4400</v>
      </c>
      <c r="BK2819">
        <v>0</v>
      </c>
      <c r="BL2819" t="s">
        <v>188</v>
      </c>
      <c r="BM2819">
        <v>1</v>
      </c>
      <c r="BN2819">
        <v>1</v>
      </c>
      <c r="BO2819">
        <v>0</v>
      </c>
      <c r="BP2819">
        <v>0</v>
      </c>
      <c r="BS2819">
        <v>0</v>
      </c>
      <c r="BT2819">
        <v>0</v>
      </c>
      <c r="BU2819">
        <v>0</v>
      </c>
      <c r="CE2819" t="str">
        <f t="shared" si="1115"/>
        <v>15:12:21.511</v>
      </c>
      <c r="CF2819">
        <v>511226450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5</v>
      </c>
      <c r="CY2819">
        <v>7</v>
      </c>
      <c r="CZ2819" t="s">
        <v>133</v>
      </c>
      <c r="DA2819">
        <v>275</v>
      </c>
      <c r="DB2819">
        <v>0</v>
      </c>
      <c r="DC2819" t="s">
        <v>134</v>
      </c>
      <c r="DD2819" t="s">
        <v>135</v>
      </c>
      <c r="DG2819">
        <v>3322081</v>
      </c>
      <c r="DI2819">
        <v>1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>"05/01/2025 15:12:21.732"</f>
        <v>05/01/2025 15:12:21.732</v>
      </c>
      <c r="C2820" t="str">
        <f t="shared" si="1116"/>
        <v>FFDFD3C0</v>
      </c>
      <c r="D2820" t="s">
        <v>136</v>
      </c>
      <c r="E2820" t="str">
        <f>"20"</f>
        <v>20</v>
      </c>
      <c r="H2820">
        <v>400</v>
      </c>
      <c r="I2820" t="s">
        <v>137</v>
      </c>
      <c r="J2820" t="s">
        <v>138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R2820" t="s">
        <v>127</v>
      </c>
      <c r="S2820" t="str">
        <f t="shared" si="1114"/>
        <v>15:12:21.000</v>
      </c>
      <c r="T2820" t="str">
        <f t="shared" si="1114"/>
        <v>15:12:21.000</v>
      </c>
      <c r="U2820" t="str">
        <f t="shared" si="1117"/>
        <v>A68FCB</v>
      </c>
      <c r="V2820">
        <v>0</v>
      </c>
      <c r="W2820">
        <v>0</v>
      </c>
      <c r="X2820">
        <v>2</v>
      </c>
      <c r="Y2820">
        <v>0</v>
      </c>
      <c r="AA2820">
        <v>1</v>
      </c>
      <c r="AB2820">
        <v>8</v>
      </c>
      <c r="AC2820">
        <v>3</v>
      </c>
      <c r="AD2820">
        <v>0</v>
      </c>
      <c r="AE2820">
        <v>9</v>
      </c>
      <c r="AF2820" t="s">
        <v>138</v>
      </c>
      <c r="AG2820">
        <v>0</v>
      </c>
      <c r="AH2820">
        <v>3</v>
      </c>
      <c r="AI2820">
        <v>2</v>
      </c>
      <c r="AJ2820">
        <v>0</v>
      </c>
      <c r="AK2820" t="s">
        <v>954</v>
      </c>
      <c r="AL2820">
        <v>39.103560000000002</v>
      </c>
      <c r="AM2820" t="s">
        <v>955</v>
      </c>
      <c r="AN2820">
        <v>-121.033072</v>
      </c>
      <c r="AO2820">
        <v>25</v>
      </c>
      <c r="AP2820">
        <v>4400</v>
      </c>
      <c r="AQ2820" t="s">
        <v>131</v>
      </c>
      <c r="AR2820">
        <v>9</v>
      </c>
      <c r="AS2820">
        <v>83</v>
      </c>
      <c r="AT2820">
        <v>-64</v>
      </c>
      <c r="BB2820" t="str">
        <f t="shared" si="1118"/>
        <v>1200</v>
      </c>
      <c r="BC2820">
        <v>1</v>
      </c>
      <c r="BD2820" t="str">
        <f t="shared" si="1119"/>
        <v xml:space="preserve">N52156  </v>
      </c>
      <c r="BE2820">
        <v>1</v>
      </c>
      <c r="BG2820">
        <v>0</v>
      </c>
      <c r="BH2820">
        <v>0</v>
      </c>
      <c r="BI2820">
        <v>0</v>
      </c>
      <c r="BJ2820">
        <v>4400</v>
      </c>
      <c r="BK2820">
        <v>0</v>
      </c>
      <c r="BL2820" t="s">
        <v>188</v>
      </c>
      <c r="BM2820">
        <v>1</v>
      </c>
      <c r="BN2820">
        <v>1</v>
      </c>
      <c r="BO2820">
        <v>0</v>
      </c>
      <c r="BP2820">
        <v>0</v>
      </c>
      <c r="BS2820">
        <v>0</v>
      </c>
      <c r="BT2820">
        <v>0</v>
      </c>
      <c r="BU2820">
        <v>0</v>
      </c>
      <c r="CE2820" t="str">
        <f t="shared" si="1115"/>
        <v>15:12:21.511</v>
      </c>
      <c r="CF2820">
        <v>511226450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5</v>
      </c>
      <c r="CY2820">
        <v>7</v>
      </c>
      <c r="CZ2820" t="s">
        <v>133</v>
      </c>
      <c r="DA2820">
        <v>275</v>
      </c>
      <c r="DB2820">
        <v>0</v>
      </c>
      <c r="DC2820" t="s">
        <v>134</v>
      </c>
      <c r="DD2820" t="s">
        <v>135</v>
      </c>
      <c r="DG2820">
        <v>3322081</v>
      </c>
      <c r="DI2820">
        <v>1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>"05/01/2025 15:12:21.739"</f>
        <v>05/01/2025 15:12:21.739</v>
      </c>
      <c r="C2821" t="str">
        <f t="shared" si="1116"/>
        <v>FFDFD3C0</v>
      </c>
      <c r="D2821" t="s">
        <v>143</v>
      </c>
      <c r="E2821" t="str">
        <f>"05"</f>
        <v>05</v>
      </c>
      <c r="H2821">
        <v>172</v>
      </c>
      <c r="I2821" t="s">
        <v>141</v>
      </c>
      <c r="J2821" t="s">
        <v>144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R2821" t="s">
        <v>127</v>
      </c>
      <c r="S2821" t="str">
        <f t="shared" si="1114"/>
        <v>15:12:21.000</v>
      </c>
      <c r="T2821" t="str">
        <f t="shared" si="1114"/>
        <v>15:12:21.000</v>
      </c>
      <c r="U2821" t="str">
        <f t="shared" si="1117"/>
        <v>A68FCB</v>
      </c>
      <c r="V2821">
        <v>0</v>
      </c>
      <c r="W2821">
        <v>0</v>
      </c>
      <c r="X2821">
        <v>2</v>
      </c>
      <c r="Y2821">
        <v>0</v>
      </c>
      <c r="AA2821">
        <v>1</v>
      </c>
      <c r="AB2821">
        <v>8</v>
      </c>
      <c r="AC2821">
        <v>3</v>
      </c>
      <c r="AD2821">
        <v>0</v>
      </c>
      <c r="AE2821">
        <v>9</v>
      </c>
      <c r="AF2821" t="s">
        <v>138</v>
      </c>
      <c r="AG2821">
        <v>0</v>
      </c>
      <c r="AH2821">
        <v>3</v>
      </c>
      <c r="AI2821">
        <v>2</v>
      </c>
      <c r="AJ2821">
        <v>0</v>
      </c>
      <c r="AK2821" t="s">
        <v>954</v>
      </c>
      <c r="AL2821">
        <v>39.103560000000002</v>
      </c>
      <c r="AM2821" t="s">
        <v>955</v>
      </c>
      <c r="AN2821">
        <v>-121.033072</v>
      </c>
      <c r="AO2821">
        <v>25</v>
      </c>
      <c r="AP2821">
        <v>4400</v>
      </c>
      <c r="AQ2821" t="s">
        <v>131</v>
      </c>
      <c r="AR2821">
        <v>9</v>
      </c>
      <c r="AS2821">
        <v>83</v>
      </c>
      <c r="AT2821">
        <v>-64</v>
      </c>
      <c r="BB2821" t="str">
        <f t="shared" si="1118"/>
        <v>1200</v>
      </c>
      <c r="BC2821">
        <v>1</v>
      </c>
      <c r="BD2821" t="str">
        <f t="shared" si="1119"/>
        <v xml:space="preserve">N52156  </v>
      </c>
      <c r="BE2821">
        <v>1</v>
      </c>
      <c r="BG2821">
        <v>0</v>
      </c>
      <c r="BH2821">
        <v>0</v>
      </c>
      <c r="BI2821">
        <v>0</v>
      </c>
      <c r="BJ2821">
        <v>4400</v>
      </c>
      <c r="BK2821">
        <v>0</v>
      </c>
      <c r="BL2821" t="s">
        <v>188</v>
      </c>
      <c r="BM2821">
        <v>1</v>
      </c>
      <c r="BN2821">
        <v>1</v>
      </c>
      <c r="BO2821">
        <v>0</v>
      </c>
      <c r="BP2821">
        <v>0</v>
      </c>
      <c r="BS2821">
        <v>0</v>
      </c>
      <c r="BT2821">
        <v>0</v>
      </c>
      <c r="BU2821">
        <v>0</v>
      </c>
      <c r="CE2821" t="str">
        <f t="shared" si="1115"/>
        <v>15:12:21.511</v>
      </c>
      <c r="CF2821">
        <v>511226450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5</v>
      </c>
      <c r="CY2821">
        <v>7</v>
      </c>
      <c r="CZ2821" t="s">
        <v>133</v>
      </c>
      <c r="DA2821">
        <v>275</v>
      </c>
      <c r="DB2821">
        <v>0</v>
      </c>
      <c r="DC2821" t="s">
        <v>134</v>
      </c>
      <c r="DD2821" t="s">
        <v>135</v>
      </c>
      <c r="DG2821">
        <v>3322081</v>
      </c>
      <c r="DI2821">
        <v>1</v>
      </c>
      <c r="DJ2821">
        <v>0</v>
      </c>
      <c r="DK2821">
        <v>1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>"05/01/2025 15:12:22.859"</f>
        <v>05/01/2025 15:12:22.859</v>
      </c>
      <c r="C2822" t="str">
        <f t="shared" si="1116"/>
        <v>FFDFD3C0</v>
      </c>
      <c r="D2822" t="s">
        <v>140</v>
      </c>
      <c r="E2822" t="str">
        <f>"13"</f>
        <v>13</v>
      </c>
      <c r="F2822">
        <v>1019</v>
      </c>
      <c r="G2822" t="s">
        <v>141</v>
      </c>
      <c r="J2822" t="s">
        <v>142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R2822" t="s">
        <v>127</v>
      </c>
      <c r="S2822" t="str">
        <f t="shared" ref="S2822:T2827" si="1120">"15:12:22.000"</f>
        <v>15:12:22.000</v>
      </c>
      <c r="T2822" t="str">
        <f t="shared" si="1120"/>
        <v>15:12:22.000</v>
      </c>
      <c r="U2822" t="str">
        <f t="shared" si="1117"/>
        <v>A68FCB</v>
      </c>
      <c r="V2822">
        <v>0</v>
      </c>
      <c r="W2822">
        <v>0</v>
      </c>
      <c r="X2822">
        <v>2</v>
      </c>
      <c r="Y2822">
        <v>0</v>
      </c>
      <c r="AA2822">
        <v>1</v>
      </c>
      <c r="AB2822">
        <v>8</v>
      </c>
      <c r="AC2822">
        <v>3</v>
      </c>
      <c r="AD2822">
        <v>0</v>
      </c>
      <c r="AE2822">
        <v>9</v>
      </c>
      <c r="AF2822" t="s">
        <v>138</v>
      </c>
      <c r="AG2822">
        <v>0</v>
      </c>
      <c r="AH2822">
        <v>3</v>
      </c>
      <c r="AI2822">
        <v>2</v>
      </c>
      <c r="AJ2822">
        <v>0</v>
      </c>
      <c r="AK2822" t="s">
        <v>956</v>
      </c>
      <c r="AL2822">
        <v>39.103946999999998</v>
      </c>
      <c r="AM2822" t="s">
        <v>957</v>
      </c>
      <c r="AN2822">
        <v>-121.033008</v>
      </c>
      <c r="AO2822">
        <v>25</v>
      </c>
      <c r="AP2822">
        <v>4400</v>
      </c>
      <c r="AQ2822" t="s">
        <v>131</v>
      </c>
      <c r="AR2822">
        <v>9</v>
      </c>
      <c r="AS2822">
        <v>84</v>
      </c>
      <c r="AT2822">
        <v>-64</v>
      </c>
      <c r="BB2822" t="str">
        <f t="shared" si="1118"/>
        <v>1200</v>
      </c>
      <c r="BC2822">
        <v>1</v>
      </c>
      <c r="BD2822" t="str">
        <f t="shared" si="1119"/>
        <v xml:space="preserve">N52156  </v>
      </c>
      <c r="BE2822">
        <v>1</v>
      </c>
      <c r="BG2822">
        <v>0</v>
      </c>
      <c r="BH2822">
        <v>0</v>
      </c>
      <c r="BI2822">
        <v>0</v>
      </c>
      <c r="BJ2822">
        <v>4400</v>
      </c>
      <c r="BK2822">
        <v>0</v>
      </c>
      <c r="BL2822" t="s">
        <v>188</v>
      </c>
      <c r="BM2822">
        <v>1</v>
      </c>
      <c r="BN2822">
        <v>1</v>
      </c>
      <c r="BO2822">
        <v>0</v>
      </c>
      <c r="BP2822">
        <v>0</v>
      </c>
      <c r="BS2822">
        <v>0</v>
      </c>
      <c r="BT2822">
        <v>0</v>
      </c>
      <c r="BU2822">
        <v>0</v>
      </c>
      <c r="CE2822" t="str">
        <f t="shared" ref="CE2822:CE2827" si="1121">"15:12:22.649"</f>
        <v>15:12:22.649</v>
      </c>
      <c r="CF2822">
        <v>649226888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5</v>
      </c>
      <c r="CY2822">
        <v>7</v>
      </c>
      <c r="CZ2822" t="s">
        <v>133</v>
      </c>
      <c r="DA2822">
        <v>275</v>
      </c>
      <c r="DB2822">
        <v>0</v>
      </c>
      <c r="DC2822" t="s">
        <v>134</v>
      </c>
      <c r="DD2822" t="s">
        <v>135</v>
      </c>
      <c r="DG2822">
        <v>3322089</v>
      </c>
      <c r="DI2822">
        <v>1</v>
      </c>
      <c r="DJ2822">
        <v>0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>"05/01/2025 15:12:22.861"</f>
        <v>05/01/2025 15:12:22.861</v>
      </c>
      <c r="C2823" t="str">
        <f t="shared" si="1116"/>
        <v>FFDFD3C0</v>
      </c>
      <c r="D2823" t="s">
        <v>124</v>
      </c>
      <c r="E2823" t="str">
        <f>"06"</f>
        <v>06</v>
      </c>
      <c r="F2823">
        <v>2006</v>
      </c>
      <c r="G2823" t="s">
        <v>125</v>
      </c>
      <c r="J2823" t="s">
        <v>126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R2823" t="s">
        <v>127</v>
      </c>
      <c r="S2823" t="str">
        <f t="shared" si="1120"/>
        <v>15:12:22.000</v>
      </c>
      <c r="T2823" t="str">
        <f t="shared" si="1120"/>
        <v>15:12:22.000</v>
      </c>
      <c r="U2823" t="str">
        <f t="shared" si="1117"/>
        <v>A68FCB</v>
      </c>
      <c r="V2823">
        <v>0</v>
      </c>
      <c r="W2823">
        <v>0</v>
      </c>
      <c r="X2823">
        <v>2</v>
      </c>
      <c r="Y2823">
        <v>0</v>
      </c>
      <c r="AA2823">
        <v>1</v>
      </c>
      <c r="AB2823">
        <v>8</v>
      </c>
      <c r="AC2823">
        <v>3</v>
      </c>
      <c r="AD2823">
        <v>0</v>
      </c>
      <c r="AE2823">
        <v>9</v>
      </c>
      <c r="AF2823" t="s">
        <v>138</v>
      </c>
      <c r="AG2823">
        <v>0</v>
      </c>
      <c r="AH2823">
        <v>3</v>
      </c>
      <c r="AI2823">
        <v>2</v>
      </c>
      <c r="AJ2823">
        <v>0</v>
      </c>
      <c r="AK2823" t="s">
        <v>956</v>
      </c>
      <c r="AL2823">
        <v>39.103946999999998</v>
      </c>
      <c r="AM2823" t="s">
        <v>957</v>
      </c>
      <c r="AN2823">
        <v>-121.033008</v>
      </c>
      <c r="AO2823">
        <v>25</v>
      </c>
      <c r="AP2823">
        <v>4400</v>
      </c>
      <c r="AQ2823" t="s">
        <v>131</v>
      </c>
      <c r="AR2823">
        <v>9</v>
      </c>
      <c r="AS2823">
        <v>84</v>
      </c>
      <c r="AT2823">
        <v>-64</v>
      </c>
      <c r="BB2823" t="str">
        <f t="shared" si="1118"/>
        <v>1200</v>
      </c>
      <c r="BC2823">
        <v>1</v>
      </c>
      <c r="BD2823" t="str">
        <f t="shared" si="1119"/>
        <v xml:space="preserve">N52156  </v>
      </c>
      <c r="BE2823">
        <v>1</v>
      </c>
      <c r="BG2823">
        <v>0</v>
      </c>
      <c r="BH2823">
        <v>0</v>
      </c>
      <c r="BI2823">
        <v>0</v>
      </c>
      <c r="BJ2823">
        <v>4400</v>
      </c>
      <c r="BK2823">
        <v>0</v>
      </c>
      <c r="BL2823" t="s">
        <v>188</v>
      </c>
      <c r="BM2823">
        <v>1</v>
      </c>
      <c r="BN2823">
        <v>1</v>
      </c>
      <c r="BO2823">
        <v>0</v>
      </c>
      <c r="BP2823">
        <v>0</v>
      </c>
      <c r="BS2823">
        <v>0</v>
      </c>
      <c r="BT2823">
        <v>0</v>
      </c>
      <c r="BU2823">
        <v>0</v>
      </c>
      <c r="CE2823" t="str">
        <f t="shared" si="1121"/>
        <v>15:12:22.649</v>
      </c>
      <c r="CF2823">
        <v>649226888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5</v>
      </c>
      <c r="CY2823">
        <v>7</v>
      </c>
      <c r="CZ2823" t="s">
        <v>133</v>
      </c>
      <c r="DA2823">
        <v>275</v>
      </c>
      <c r="DB2823">
        <v>0</v>
      </c>
      <c r="DC2823" t="s">
        <v>134</v>
      </c>
      <c r="DD2823" t="s">
        <v>135</v>
      </c>
      <c r="DG2823">
        <v>3322089</v>
      </c>
      <c r="DI2823">
        <v>1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>"05/01/2025 15:12:22.873"</f>
        <v>05/01/2025 15:12:22.873</v>
      </c>
      <c r="C2824" t="str">
        <f t="shared" si="1116"/>
        <v>FFDFD3C0</v>
      </c>
      <c r="D2824" t="s">
        <v>145</v>
      </c>
      <c r="E2824" t="str">
        <f>"09"</f>
        <v>09</v>
      </c>
      <c r="H2824">
        <v>51</v>
      </c>
      <c r="I2824" t="s">
        <v>147</v>
      </c>
      <c r="J2824" t="s">
        <v>138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R2824" t="s">
        <v>127</v>
      </c>
      <c r="S2824" t="str">
        <f t="shared" si="1120"/>
        <v>15:12:22.000</v>
      </c>
      <c r="T2824" t="str">
        <f t="shared" si="1120"/>
        <v>15:12:22.000</v>
      </c>
      <c r="U2824" t="str">
        <f t="shared" si="1117"/>
        <v>A68FCB</v>
      </c>
      <c r="V2824">
        <v>0</v>
      </c>
      <c r="W2824">
        <v>0</v>
      </c>
      <c r="X2824">
        <v>2</v>
      </c>
      <c r="Y2824">
        <v>0</v>
      </c>
      <c r="AA2824">
        <v>1</v>
      </c>
      <c r="AB2824">
        <v>8</v>
      </c>
      <c r="AC2824">
        <v>3</v>
      </c>
      <c r="AD2824">
        <v>0</v>
      </c>
      <c r="AE2824">
        <v>9</v>
      </c>
      <c r="AF2824" t="s">
        <v>138</v>
      </c>
      <c r="AG2824">
        <v>0</v>
      </c>
      <c r="AH2824">
        <v>3</v>
      </c>
      <c r="AI2824">
        <v>2</v>
      </c>
      <c r="AJ2824">
        <v>0</v>
      </c>
      <c r="AK2824" t="s">
        <v>956</v>
      </c>
      <c r="AL2824">
        <v>39.103946999999998</v>
      </c>
      <c r="AM2824" t="s">
        <v>957</v>
      </c>
      <c r="AN2824">
        <v>-121.033008</v>
      </c>
      <c r="AO2824">
        <v>25</v>
      </c>
      <c r="AP2824">
        <v>4400</v>
      </c>
      <c r="AQ2824" t="s">
        <v>131</v>
      </c>
      <c r="AR2824">
        <v>9</v>
      </c>
      <c r="AS2824">
        <v>84</v>
      </c>
      <c r="AT2824">
        <v>-64</v>
      </c>
      <c r="BB2824" t="str">
        <f t="shared" si="1118"/>
        <v>1200</v>
      </c>
      <c r="BC2824">
        <v>1</v>
      </c>
      <c r="BD2824" t="str">
        <f t="shared" si="1119"/>
        <v xml:space="preserve">N52156  </v>
      </c>
      <c r="BE2824">
        <v>1</v>
      </c>
      <c r="BG2824">
        <v>0</v>
      </c>
      <c r="BH2824">
        <v>0</v>
      </c>
      <c r="BI2824">
        <v>0</v>
      </c>
      <c r="BJ2824">
        <v>4400</v>
      </c>
      <c r="BK2824">
        <v>0</v>
      </c>
      <c r="BL2824" t="s">
        <v>188</v>
      </c>
      <c r="BM2824">
        <v>1</v>
      </c>
      <c r="BN2824">
        <v>1</v>
      </c>
      <c r="BO2824">
        <v>0</v>
      </c>
      <c r="BP2824">
        <v>0</v>
      </c>
      <c r="BS2824">
        <v>0</v>
      </c>
      <c r="BT2824">
        <v>0</v>
      </c>
      <c r="BU2824">
        <v>0</v>
      </c>
      <c r="CE2824" t="str">
        <f t="shared" si="1121"/>
        <v>15:12:22.649</v>
      </c>
      <c r="CF2824">
        <v>649226888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5</v>
      </c>
      <c r="CY2824">
        <v>7</v>
      </c>
      <c r="CZ2824" t="s">
        <v>133</v>
      </c>
      <c r="DA2824">
        <v>275</v>
      </c>
      <c r="DB2824">
        <v>0</v>
      </c>
      <c r="DC2824" t="s">
        <v>134</v>
      </c>
      <c r="DD2824" t="s">
        <v>135</v>
      </c>
      <c r="DG2824">
        <v>3322089</v>
      </c>
      <c r="DI2824">
        <v>1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>"05/01/2025 15:12:22.873"</f>
        <v>05/01/2025 15:12:22.873</v>
      </c>
      <c r="C2825" t="str">
        <f t="shared" si="1116"/>
        <v>FFDFD3C0</v>
      </c>
      <c r="D2825" t="s">
        <v>145</v>
      </c>
      <c r="E2825" t="str">
        <f>"05"</f>
        <v>05</v>
      </c>
      <c r="H2825">
        <v>47</v>
      </c>
      <c r="I2825" t="s">
        <v>146</v>
      </c>
      <c r="J2825" t="s">
        <v>138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R2825" t="s">
        <v>127</v>
      </c>
      <c r="S2825" t="str">
        <f t="shared" si="1120"/>
        <v>15:12:22.000</v>
      </c>
      <c r="T2825" t="str">
        <f t="shared" si="1120"/>
        <v>15:12:22.000</v>
      </c>
      <c r="U2825" t="str">
        <f t="shared" si="1117"/>
        <v>A68FCB</v>
      </c>
      <c r="V2825">
        <v>0</v>
      </c>
      <c r="W2825">
        <v>0</v>
      </c>
      <c r="X2825">
        <v>2</v>
      </c>
      <c r="Y2825">
        <v>0</v>
      </c>
      <c r="AA2825">
        <v>1</v>
      </c>
      <c r="AB2825">
        <v>8</v>
      </c>
      <c r="AC2825">
        <v>3</v>
      </c>
      <c r="AD2825">
        <v>0</v>
      </c>
      <c r="AE2825">
        <v>9</v>
      </c>
      <c r="AF2825" t="s">
        <v>138</v>
      </c>
      <c r="AG2825">
        <v>0</v>
      </c>
      <c r="AH2825">
        <v>3</v>
      </c>
      <c r="AI2825">
        <v>2</v>
      </c>
      <c r="AJ2825">
        <v>0</v>
      </c>
      <c r="AK2825" t="s">
        <v>956</v>
      </c>
      <c r="AL2825">
        <v>39.103946999999998</v>
      </c>
      <c r="AM2825" t="s">
        <v>957</v>
      </c>
      <c r="AN2825">
        <v>-121.033008</v>
      </c>
      <c r="AO2825">
        <v>25</v>
      </c>
      <c r="AP2825">
        <v>4400</v>
      </c>
      <c r="AQ2825" t="s">
        <v>131</v>
      </c>
      <c r="AR2825">
        <v>9</v>
      </c>
      <c r="AS2825">
        <v>84</v>
      </c>
      <c r="AT2825">
        <v>-64</v>
      </c>
      <c r="BB2825" t="str">
        <f t="shared" si="1118"/>
        <v>1200</v>
      </c>
      <c r="BC2825">
        <v>1</v>
      </c>
      <c r="BD2825" t="str">
        <f t="shared" si="1119"/>
        <v xml:space="preserve">N52156  </v>
      </c>
      <c r="BE2825">
        <v>1</v>
      </c>
      <c r="BG2825">
        <v>0</v>
      </c>
      <c r="BH2825">
        <v>0</v>
      </c>
      <c r="BI2825">
        <v>0</v>
      </c>
      <c r="BJ2825">
        <v>4400</v>
      </c>
      <c r="BK2825">
        <v>0</v>
      </c>
      <c r="BL2825" t="s">
        <v>188</v>
      </c>
      <c r="BM2825">
        <v>1</v>
      </c>
      <c r="BN2825">
        <v>1</v>
      </c>
      <c r="BO2825">
        <v>0</v>
      </c>
      <c r="BP2825">
        <v>0</v>
      </c>
      <c r="BS2825">
        <v>0</v>
      </c>
      <c r="BT2825">
        <v>0</v>
      </c>
      <c r="BU2825">
        <v>0</v>
      </c>
      <c r="CE2825" t="str">
        <f t="shared" si="1121"/>
        <v>15:12:22.649</v>
      </c>
      <c r="CF2825">
        <v>649226888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5</v>
      </c>
      <c r="CY2825">
        <v>7</v>
      </c>
      <c r="CZ2825" t="s">
        <v>133</v>
      </c>
      <c r="DA2825">
        <v>275</v>
      </c>
      <c r="DB2825">
        <v>0</v>
      </c>
      <c r="DC2825" t="s">
        <v>134</v>
      </c>
      <c r="DD2825" t="s">
        <v>135</v>
      </c>
      <c r="DG2825">
        <v>3322089</v>
      </c>
      <c r="DI2825">
        <v>1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>"05/01/2025 15:12:22.884"</f>
        <v>05/01/2025 15:12:22.884</v>
      </c>
      <c r="C2826" t="str">
        <f t="shared" si="1116"/>
        <v>FFDFD3C0</v>
      </c>
      <c r="D2826" t="s">
        <v>136</v>
      </c>
      <c r="E2826" t="str">
        <f>"20"</f>
        <v>20</v>
      </c>
      <c r="H2826">
        <v>400</v>
      </c>
      <c r="I2826" t="s">
        <v>137</v>
      </c>
      <c r="J2826" t="s">
        <v>138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R2826" t="s">
        <v>127</v>
      </c>
      <c r="S2826" t="str">
        <f t="shared" si="1120"/>
        <v>15:12:22.000</v>
      </c>
      <c r="T2826" t="str">
        <f t="shared" si="1120"/>
        <v>15:12:22.000</v>
      </c>
      <c r="U2826" t="str">
        <f t="shared" si="1117"/>
        <v>A68FCB</v>
      </c>
      <c r="V2826">
        <v>0</v>
      </c>
      <c r="W2826">
        <v>0</v>
      </c>
      <c r="X2826">
        <v>2</v>
      </c>
      <c r="Y2826">
        <v>0</v>
      </c>
      <c r="AA2826">
        <v>1</v>
      </c>
      <c r="AB2826">
        <v>8</v>
      </c>
      <c r="AC2826">
        <v>3</v>
      </c>
      <c r="AD2826">
        <v>0</v>
      </c>
      <c r="AE2826">
        <v>9</v>
      </c>
      <c r="AF2826" t="s">
        <v>138</v>
      </c>
      <c r="AG2826">
        <v>0</v>
      </c>
      <c r="AH2826">
        <v>3</v>
      </c>
      <c r="AI2826">
        <v>2</v>
      </c>
      <c r="AJ2826">
        <v>0</v>
      </c>
      <c r="AK2826" t="s">
        <v>956</v>
      </c>
      <c r="AL2826">
        <v>39.103946999999998</v>
      </c>
      <c r="AM2826" t="s">
        <v>957</v>
      </c>
      <c r="AN2826">
        <v>-121.033008</v>
      </c>
      <c r="AO2826">
        <v>25</v>
      </c>
      <c r="AP2826">
        <v>4400</v>
      </c>
      <c r="AQ2826" t="s">
        <v>131</v>
      </c>
      <c r="AR2826">
        <v>9</v>
      </c>
      <c r="AS2826">
        <v>84</v>
      </c>
      <c r="AT2826">
        <v>-64</v>
      </c>
      <c r="BB2826" t="str">
        <f t="shared" si="1118"/>
        <v>1200</v>
      </c>
      <c r="BC2826">
        <v>1</v>
      </c>
      <c r="BD2826" t="str">
        <f t="shared" si="1119"/>
        <v xml:space="preserve">N52156  </v>
      </c>
      <c r="BE2826">
        <v>1</v>
      </c>
      <c r="BG2826">
        <v>0</v>
      </c>
      <c r="BH2826">
        <v>0</v>
      </c>
      <c r="BI2826">
        <v>0</v>
      </c>
      <c r="BJ2826">
        <v>4400</v>
      </c>
      <c r="BK2826">
        <v>0</v>
      </c>
      <c r="BL2826" t="s">
        <v>188</v>
      </c>
      <c r="BM2826">
        <v>1</v>
      </c>
      <c r="BN2826">
        <v>1</v>
      </c>
      <c r="BO2826">
        <v>0</v>
      </c>
      <c r="BP2826">
        <v>0</v>
      </c>
      <c r="BS2826">
        <v>0</v>
      </c>
      <c r="BT2826">
        <v>0</v>
      </c>
      <c r="BU2826">
        <v>0</v>
      </c>
      <c r="CE2826" t="str">
        <f t="shared" si="1121"/>
        <v>15:12:22.649</v>
      </c>
      <c r="CF2826">
        <v>649226888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5</v>
      </c>
      <c r="CY2826">
        <v>7</v>
      </c>
      <c r="CZ2826" t="s">
        <v>133</v>
      </c>
      <c r="DA2826">
        <v>275</v>
      </c>
      <c r="DB2826">
        <v>0</v>
      </c>
      <c r="DC2826" t="s">
        <v>134</v>
      </c>
      <c r="DD2826" t="s">
        <v>135</v>
      </c>
      <c r="DG2826">
        <v>3322089</v>
      </c>
      <c r="DI2826">
        <v>1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"05/01/2025 15:12:22.891"</f>
        <v>05/01/2025 15:12:22.891</v>
      </c>
      <c r="C2827" t="str">
        <f t="shared" si="1116"/>
        <v>FFDFD3C0</v>
      </c>
      <c r="D2827" t="s">
        <v>143</v>
      </c>
      <c r="E2827" t="str">
        <f>"05"</f>
        <v>05</v>
      </c>
      <c r="H2827">
        <v>172</v>
      </c>
      <c r="I2827" t="s">
        <v>141</v>
      </c>
      <c r="J2827" t="s">
        <v>144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R2827" t="s">
        <v>127</v>
      </c>
      <c r="S2827" t="str">
        <f t="shared" si="1120"/>
        <v>15:12:22.000</v>
      </c>
      <c r="T2827" t="str">
        <f t="shared" si="1120"/>
        <v>15:12:22.000</v>
      </c>
      <c r="U2827" t="str">
        <f t="shared" si="1117"/>
        <v>A68FCB</v>
      </c>
      <c r="V2827">
        <v>0</v>
      </c>
      <c r="W2827">
        <v>0</v>
      </c>
      <c r="X2827">
        <v>2</v>
      </c>
      <c r="Y2827">
        <v>0</v>
      </c>
      <c r="AA2827">
        <v>1</v>
      </c>
      <c r="AB2827">
        <v>8</v>
      </c>
      <c r="AC2827">
        <v>3</v>
      </c>
      <c r="AD2827">
        <v>0</v>
      </c>
      <c r="AE2827">
        <v>9</v>
      </c>
      <c r="AF2827" t="s">
        <v>138</v>
      </c>
      <c r="AG2827">
        <v>0</v>
      </c>
      <c r="AH2827">
        <v>3</v>
      </c>
      <c r="AI2827">
        <v>2</v>
      </c>
      <c r="AJ2827">
        <v>0</v>
      </c>
      <c r="AK2827" t="s">
        <v>956</v>
      </c>
      <c r="AL2827">
        <v>39.103946999999998</v>
      </c>
      <c r="AM2827" t="s">
        <v>957</v>
      </c>
      <c r="AN2827">
        <v>-121.033008</v>
      </c>
      <c r="AO2827">
        <v>25</v>
      </c>
      <c r="AP2827">
        <v>4400</v>
      </c>
      <c r="AQ2827" t="s">
        <v>131</v>
      </c>
      <c r="AR2827">
        <v>9</v>
      </c>
      <c r="AS2827">
        <v>84</v>
      </c>
      <c r="AT2827">
        <v>-64</v>
      </c>
      <c r="BB2827" t="str">
        <f t="shared" si="1118"/>
        <v>1200</v>
      </c>
      <c r="BC2827">
        <v>1</v>
      </c>
      <c r="BD2827" t="str">
        <f t="shared" si="1119"/>
        <v xml:space="preserve">N52156  </v>
      </c>
      <c r="BE2827">
        <v>1</v>
      </c>
      <c r="BG2827">
        <v>0</v>
      </c>
      <c r="BH2827">
        <v>0</v>
      </c>
      <c r="BI2827">
        <v>0</v>
      </c>
      <c r="BJ2827">
        <v>4400</v>
      </c>
      <c r="BK2827">
        <v>0</v>
      </c>
      <c r="BL2827" t="s">
        <v>188</v>
      </c>
      <c r="BM2827">
        <v>1</v>
      </c>
      <c r="BN2827">
        <v>1</v>
      </c>
      <c r="BO2827">
        <v>0</v>
      </c>
      <c r="BP2827">
        <v>0</v>
      </c>
      <c r="BS2827">
        <v>0</v>
      </c>
      <c r="BT2827">
        <v>0</v>
      </c>
      <c r="BU2827">
        <v>0</v>
      </c>
      <c r="CE2827" t="str">
        <f t="shared" si="1121"/>
        <v>15:12:22.649</v>
      </c>
      <c r="CF2827">
        <v>649226888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5</v>
      </c>
      <c r="CY2827">
        <v>7</v>
      </c>
      <c r="CZ2827" t="s">
        <v>133</v>
      </c>
      <c r="DA2827">
        <v>275</v>
      </c>
      <c r="DB2827">
        <v>0</v>
      </c>
      <c r="DC2827" t="s">
        <v>134</v>
      </c>
      <c r="DD2827" t="s">
        <v>135</v>
      </c>
      <c r="DG2827">
        <v>3322089</v>
      </c>
      <c r="DI2827">
        <v>1</v>
      </c>
      <c r="DJ2827">
        <v>0</v>
      </c>
      <c r="DK2827">
        <v>1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"05/01/2025 15:12:23.993"</f>
        <v>05/01/2025 15:12:23.993</v>
      </c>
      <c r="C2828" t="str">
        <f t="shared" si="1116"/>
        <v>FFDFD3C0</v>
      </c>
      <c r="D2828" t="s">
        <v>143</v>
      </c>
      <c r="E2828" t="str">
        <f>"05"</f>
        <v>05</v>
      </c>
      <c r="H2828">
        <v>172</v>
      </c>
      <c r="I2828" t="s">
        <v>141</v>
      </c>
      <c r="J2828" t="s">
        <v>144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R2828" t="s">
        <v>127</v>
      </c>
      <c r="S2828" t="str">
        <f t="shared" ref="S2828:T2833" si="1122">"15:12:23.000"</f>
        <v>15:12:23.000</v>
      </c>
      <c r="T2828" t="str">
        <f t="shared" si="1122"/>
        <v>15:12:23.000</v>
      </c>
      <c r="U2828" t="str">
        <f t="shared" si="1117"/>
        <v>A68FCB</v>
      </c>
      <c r="V2828">
        <v>0</v>
      </c>
      <c r="W2828">
        <v>0</v>
      </c>
      <c r="X2828">
        <v>2</v>
      </c>
      <c r="Y2828">
        <v>0</v>
      </c>
      <c r="AA2828">
        <v>1</v>
      </c>
      <c r="AB2828">
        <v>8</v>
      </c>
      <c r="AC2828">
        <v>3</v>
      </c>
      <c r="AD2828">
        <v>0</v>
      </c>
      <c r="AE2828">
        <v>9</v>
      </c>
      <c r="AF2828" t="s">
        <v>138</v>
      </c>
      <c r="AG2828">
        <v>0</v>
      </c>
      <c r="AH2828">
        <v>3</v>
      </c>
      <c r="AI2828">
        <v>2</v>
      </c>
      <c r="AJ2828">
        <v>0</v>
      </c>
      <c r="AK2828" t="s">
        <v>958</v>
      </c>
      <c r="AL2828">
        <v>39.104332999999997</v>
      </c>
      <c r="AM2828" t="s">
        <v>959</v>
      </c>
      <c r="AN2828">
        <v>-121.032965</v>
      </c>
      <c r="AO2828">
        <v>25</v>
      </c>
      <c r="AP2828">
        <v>4400</v>
      </c>
      <c r="AQ2828" t="s">
        <v>131</v>
      </c>
      <c r="AR2828">
        <v>9</v>
      </c>
      <c r="AS2828">
        <v>84</v>
      </c>
      <c r="AT2828">
        <v>-64</v>
      </c>
      <c r="BB2828" t="str">
        <f t="shared" si="1118"/>
        <v>1200</v>
      </c>
      <c r="BC2828">
        <v>1</v>
      </c>
      <c r="BD2828" t="str">
        <f t="shared" si="1119"/>
        <v xml:space="preserve">N52156  </v>
      </c>
      <c r="BE2828">
        <v>1</v>
      </c>
      <c r="BG2828">
        <v>0</v>
      </c>
      <c r="BH2828">
        <v>0</v>
      </c>
      <c r="BI2828">
        <v>0</v>
      </c>
      <c r="BJ2828">
        <v>4400</v>
      </c>
      <c r="BK2828">
        <v>0</v>
      </c>
      <c r="BL2828" t="s">
        <v>188</v>
      </c>
      <c r="BM2828">
        <v>1</v>
      </c>
      <c r="BN2828">
        <v>1</v>
      </c>
      <c r="BO2828">
        <v>0</v>
      </c>
      <c r="BP2828">
        <v>0</v>
      </c>
      <c r="BS2828">
        <v>0</v>
      </c>
      <c r="BT2828">
        <v>0</v>
      </c>
      <c r="BU2828">
        <v>0</v>
      </c>
      <c r="CE2828" t="str">
        <f t="shared" ref="CE2828:CE2833" si="1123">"15:12:23.785"</f>
        <v>15:12:23.785</v>
      </c>
      <c r="CF2828">
        <v>784977308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5</v>
      </c>
      <c r="CY2828">
        <v>7</v>
      </c>
      <c r="CZ2828" t="s">
        <v>133</v>
      </c>
      <c r="DA2828">
        <v>275</v>
      </c>
      <c r="DB2828">
        <v>0</v>
      </c>
      <c r="DC2828" t="s">
        <v>134</v>
      </c>
      <c r="DD2828" t="s">
        <v>135</v>
      </c>
      <c r="DG2828">
        <v>3322094</v>
      </c>
      <c r="DI2828">
        <v>1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"05/01/2025 15:12:24.011"</f>
        <v>05/01/2025 15:12:24.011</v>
      </c>
      <c r="C2829" t="str">
        <f t="shared" si="1116"/>
        <v>FFDFD3C0</v>
      </c>
      <c r="D2829" t="s">
        <v>140</v>
      </c>
      <c r="E2829" t="str">
        <f>"13"</f>
        <v>13</v>
      </c>
      <c r="F2829">
        <v>1019</v>
      </c>
      <c r="G2829" t="s">
        <v>141</v>
      </c>
      <c r="J2829" t="s">
        <v>142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R2829" t="s">
        <v>127</v>
      </c>
      <c r="S2829" t="str">
        <f t="shared" si="1122"/>
        <v>15:12:23.000</v>
      </c>
      <c r="T2829" t="str">
        <f t="shared" si="1122"/>
        <v>15:12:23.000</v>
      </c>
      <c r="U2829" t="str">
        <f t="shared" si="1117"/>
        <v>A68FCB</v>
      </c>
      <c r="V2829">
        <v>0</v>
      </c>
      <c r="W2829">
        <v>0</v>
      </c>
      <c r="X2829">
        <v>2</v>
      </c>
      <c r="Y2829">
        <v>0</v>
      </c>
      <c r="AA2829">
        <v>1</v>
      </c>
      <c r="AB2829">
        <v>8</v>
      </c>
      <c r="AC2829">
        <v>3</v>
      </c>
      <c r="AD2829">
        <v>0</v>
      </c>
      <c r="AE2829">
        <v>9</v>
      </c>
      <c r="AF2829" t="s">
        <v>138</v>
      </c>
      <c r="AG2829">
        <v>0</v>
      </c>
      <c r="AH2829">
        <v>3</v>
      </c>
      <c r="AI2829">
        <v>2</v>
      </c>
      <c r="AJ2829">
        <v>0</v>
      </c>
      <c r="AK2829" t="s">
        <v>958</v>
      </c>
      <c r="AL2829">
        <v>39.104332999999997</v>
      </c>
      <c r="AM2829" t="s">
        <v>959</v>
      </c>
      <c r="AN2829">
        <v>-121.032965</v>
      </c>
      <c r="AO2829">
        <v>25</v>
      </c>
      <c r="AP2829">
        <v>4400</v>
      </c>
      <c r="AQ2829" t="s">
        <v>131</v>
      </c>
      <c r="AR2829">
        <v>9</v>
      </c>
      <c r="AS2829">
        <v>84</v>
      </c>
      <c r="AT2829">
        <v>-64</v>
      </c>
      <c r="BB2829" t="str">
        <f t="shared" si="1118"/>
        <v>1200</v>
      </c>
      <c r="BC2829">
        <v>1</v>
      </c>
      <c r="BD2829" t="str">
        <f t="shared" si="1119"/>
        <v xml:space="preserve">N52156  </v>
      </c>
      <c r="BE2829">
        <v>1</v>
      </c>
      <c r="BG2829">
        <v>0</v>
      </c>
      <c r="BH2829">
        <v>0</v>
      </c>
      <c r="BI2829">
        <v>0</v>
      </c>
      <c r="BJ2829">
        <v>4400</v>
      </c>
      <c r="BK2829">
        <v>0</v>
      </c>
      <c r="BL2829" t="s">
        <v>188</v>
      </c>
      <c r="BM2829">
        <v>1</v>
      </c>
      <c r="BN2829">
        <v>1</v>
      </c>
      <c r="BO2829">
        <v>0</v>
      </c>
      <c r="BP2829">
        <v>0</v>
      </c>
      <c r="BS2829">
        <v>0</v>
      </c>
      <c r="BT2829">
        <v>0</v>
      </c>
      <c r="BU2829">
        <v>0</v>
      </c>
      <c r="CE2829" t="str">
        <f t="shared" si="1123"/>
        <v>15:12:23.785</v>
      </c>
      <c r="CF2829">
        <v>784977308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5</v>
      </c>
      <c r="CY2829">
        <v>7</v>
      </c>
      <c r="CZ2829" t="s">
        <v>133</v>
      </c>
      <c r="DA2829">
        <v>275</v>
      </c>
      <c r="DB2829">
        <v>0</v>
      </c>
      <c r="DC2829" t="s">
        <v>134</v>
      </c>
      <c r="DD2829" t="s">
        <v>135</v>
      </c>
      <c r="DG2829">
        <v>3322094</v>
      </c>
      <c r="DI2829">
        <v>1</v>
      </c>
      <c r="DJ2829">
        <v>0</v>
      </c>
      <c r="DK2829">
        <v>1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"05/01/2025 15:12:24.013"</f>
        <v>05/01/2025 15:12:24.013</v>
      </c>
      <c r="C2830" t="str">
        <f t="shared" si="1116"/>
        <v>FFDFD3C0</v>
      </c>
      <c r="D2830" t="s">
        <v>124</v>
      </c>
      <c r="E2830" t="str">
        <f>"06"</f>
        <v>06</v>
      </c>
      <c r="F2830">
        <v>2006</v>
      </c>
      <c r="G2830" t="s">
        <v>125</v>
      </c>
      <c r="J2830" t="s">
        <v>126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R2830" t="s">
        <v>127</v>
      </c>
      <c r="S2830" t="str">
        <f t="shared" si="1122"/>
        <v>15:12:23.000</v>
      </c>
      <c r="T2830" t="str">
        <f t="shared" si="1122"/>
        <v>15:12:23.000</v>
      </c>
      <c r="U2830" t="str">
        <f t="shared" si="1117"/>
        <v>A68FCB</v>
      </c>
      <c r="V2830">
        <v>0</v>
      </c>
      <c r="W2830">
        <v>0</v>
      </c>
      <c r="X2830">
        <v>2</v>
      </c>
      <c r="Y2830">
        <v>0</v>
      </c>
      <c r="AA2830">
        <v>1</v>
      </c>
      <c r="AB2830">
        <v>8</v>
      </c>
      <c r="AC2830">
        <v>3</v>
      </c>
      <c r="AD2830">
        <v>0</v>
      </c>
      <c r="AE2830">
        <v>9</v>
      </c>
      <c r="AF2830" t="s">
        <v>138</v>
      </c>
      <c r="AG2830">
        <v>0</v>
      </c>
      <c r="AH2830">
        <v>3</v>
      </c>
      <c r="AI2830">
        <v>2</v>
      </c>
      <c r="AJ2830">
        <v>0</v>
      </c>
      <c r="AK2830" t="s">
        <v>958</v>
      </c>
      <c r="AL2830">
        <v>39.104332999999997</v>
      </c>
      <c r="AM2830" t="s">
        <v>959</v>
      </c>
      <c r="AN2830">
        <v>-121.032965</v>
      </c>
      <c r="AO2830">
        <v>25</v>
      </c>
      <c r="AP2830">
        <v>4400</v>
      </c>
      <c r="AQ2830" t="s">
        <v>131</v>
      </c>
      <c r="AR2830">
        <v>9</v>
      </c>
      <c r="AS2830">
        <v>84</v>
      </c>
      <c r="AT2830">
        <v>-64</v>
      </c>
      <c r="BB2830" t="str">
        <f t="shared" si="1118"/>
        <v>1200</v>
      </c>
      <c r="BC2830">
        <v>1</v>
      </c>
      <c r="BD2830" t="str">
        <f t="shared" si="1119"/>
        <v xml:space="preserve">N52156  </v>
      </c>
      <c r="BE2830">
        <v>1</v>
      </c>
      <c r="BG2830">
        <v>0</v>
      </c>
      <c r="BH2830">
        <v>0</v>
      </c>
      <c r="BI2830">
        <v>0</v>
      </c>
      <c r="BJ2830">
        <v>4400</v>
      </c>
      <c r="BK2830">
        <v>0</v>
      </c>
      <c r="BL2830" t="s">
        <v>188</v>
      </c>
      <c r="BM2830">
        <v>1</v>
      </c>
      <c r="BN2830">
        <v>1</v>
      </c>
      <c r="BO2830">
        <v>0</v>
      </c>
      <c r="BP2830">
        <v>0</v>
      </c>
      <c r="BS2830">
        <v>0</v>
      </c>
      <c r="BT2830">
        <v>0</v>
      </c>
      <c r="BU2830">
        <v>0</v>
      </c>
      <c r="CE2830" t="str">
        <f t="shared" si="1123"/>
        <v>15:12:23.785</v>
      </c>
      <c r="CF2830">
        <v>784977308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5</v>
      </c>
      <c r="CY2830">
        <v>7</v>
      </c>
      <c r="CZ2830" t="s">
        <v>133</v>
      </c>
      <c r="DA2830">
        <v>275</v>
      </c>
      <c r="DB2830">
        <v>0</v>
      </c>
      <c r="DC2830" t="s">
        <v>134</v>
      </c>
      <c r="DD2830" t="s">
        <v>135</v>
      </c>
      <c r="DG2830">
        <v>3322094</v>
      </c>
      <c r="DI2830">
        <v>1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"05/01/2025 15:12:24.025"</f>
        <v>05/01/2025 15:12:24.025</v>
      </c>
      <c r="C2831" t="str">
        <f t="shared" si="1116"/>
        <v>FFDFD3C0</v>
      </c>
      <c r="D2831" t="s">
        <v>145</v>
      </c>
      <c r="E2831" t="str">
        <f>"09"</f>
        <v>09</v>
      </c>
      <c r="H2831">
        <v>51</v>
      </c>
      <c r="I2831" t="s">
        <v>147</v>
      </c>
      <c r="J2831" t="s">
        <v>138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R2831" t="s">
        <v>127</v>
      </c>
      <c r="S2831" t="str">
        <f t="shared" si="1122"/>
        <v>15:12:23.000</v>
      </c>
      <c r="T2831" t="str">
        <f t="shared" si="1122"/>
        <v>15:12:23.000</v>
      </c>
      <c r="U2831" t="str">
        <f t="shared" si="1117"/>
        <v>A68FCB</v>
      </c>
      <c r="V2831">
        <v>0</v>
      </c>
      <c r="W2831">
        <v>0</v>
      </c>
      <c r="X2831">
        <v>2</v>
      </c>
      <c r="Y2831">
        <v>0</v>
      </c>
      <c r="AA2831">
        <v>1</v>
      </c>
      <c r="AB2831">
        <v>8</v>
      </c>
      <c r="AC2831">
        <v>3</v>
      </c>
      <c r="AD2831">
        <v>0</v>
      </c>
      <c r="AE2831">
        <v>9</v>
      </c>
      <c r="AF2831" t="s">
        <v>138</v>
      </c>
      <c r="AG2831">
        <v>0</v>
      </c>
      <c r="AH2831">
        <v>3</v>
      </c>
      <c r="AI2831">
        <v>2</v>
      </c>
      <c r="AJ2831">
        <v>0</v>
      </c>
      <c r="AK2831" t="s">
        <v>958</v>
      </c>
      <c r="AL2831">
        <v>39.104332999999997</v>
      </c>
      <c r="AM2831" t="s">
        <v>959</v>
      </c>
      <c r="AN2831">
        <v>-121.032965</v>
      </c>
      <c r="AO2831">
        <v>25</v>
      </c>
      <c r="AP2831">
        <v>4400</v>
      </c>
      <c r="AQ2831" t="s">
        <v>131</v>
      </c>
      <c r="AR2831">
        <v>9</v>
      </c>
      <c r="AS2831">
        <v>84</v>
      </c>
      <c r="AT2831">
        <v>-64</v>
      </c>
      <c r="BB2831" t="str">
        <f t="shared" si="1118"/>
        <v>1200</v>
      </c>
      <c r="BC2831">
        <v>1</v>
      </c>
      <c r="BD2831" t="str">
        <f t="shared" si="1119"/>
        <v xml:space="preserve">N52156  </v>
      </c>
      <c r="BE2831">
        <v>1</v>
      </c>
      <c r="BG2831">
        <v>0</v>
      </c>
      <c r="BH2831">
        <v>0</v>
      </c>
      <c r="BI2831">
        <v>0</v>
      </c>
      <c r="BJ2831">
        <v>4400</v>
      </c>
      <c r="BK2831">
        <v>0</v>
      </c>
      <c r="BL2831" t="s">
        <v>188</v>
      </c>
      <c r="BM2831">
        <v>1</v>
      </c>
      <c r="BN2831">
        <v>1</v>
      </c>
      <c r="BO2831">
        <v>0</v>
      </c>
      <c r="BP2831">
        <v>0</v>
      </c>
      <c r="BS2831">
        <v>0</v>
      </c>
      <c r="BT2831">
        <v>0</v>
      </c>
      <c r="BU2831">
        <v>0</v>
      </c>
      <c r="CE2831" t="str">
        <f t="shared" si="1123"/>
        <v>15:12:23.785</v>
      </c>
      <c r="CF2831">
        <v>784977308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5</v>
      </c>
      <c r="CY2831">
        <v>7</v>
      </c>
      <c r="CZ2831" t="s">
        <v>133</v>
      </c>
      <c r="DA2831">
        <v>275</v>
      </c>
      <c r="DB2831">
        <v>0</v>
      </c>
      <c r="DC2831" t="s">
        <v>134</v>
      </c>
      <c r="DD2831" t="s">
        <v>135</v>
      </c>
      <c r="DG2831">
        <v>3322094</v>
      </c>
      <c r="DI2831">
        <v>1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"05/01/2025 15:12:24.025"</f>
        <v>05/01/2025 15:12:24.025</v>
      </c>
      <c r="C2832" t="str">
        <f t="shared" si="1116"/>
        <v>FFDFD3C0</v>
      </c>
      <c r="D2832" t="s">
        <v>145</v>
      </c>
      <c r="E2832" t="str">
        <f>"05"</f>
        <v>05</v>
      </c>
      <c r="H2832">
        <v>47</v>
      </c>
      <c r="I2832" t="s">
        <v>146</v>
      </c>
      <c r="J2832" t="s">
        <v>138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R2832" t="s">
        <v>127</v>
      </c>
      <c r="S2832" t="str">
        <f t="shared" si="1122"/>
        <v>15:12:23.000</v>
      </c>
      <c r="T2832" t="str">
        <f t="shared" si="1122"/>
        <v>15:12:23.000</v>
      </c>
      <c r="U2832" t="str">
        <f t="shared" si="1117"/>
        <v>A68FCB</v>
      </c>
      <c r="V2832">
        <v>0</v>
      </c>
      <c r="W2832">
        <v>0</v>
      </c>
      <c r="X2832">
        <v>2</v>
      </c>
      <c r="Y2832">
        <v>0</v>
      </c>
      <c r="AA2832">
        <v>1</v>
      </c>
      <c r="AB2832">
        <v>8</v>
      </c>
      <c r="AC2832">
        <v>3</v>
      </c>
      <c r="AD2832">
        <v>0</v>
      </c>
      <c r="AE2832">
        <v>9</v>
      </c>
      <c r="AF2832" t="s">
        <v>138</v>
      </c>
      <c r="AG2832">
        <v>0</v>
      </c>
      <c r="AH2832">
        <v>3</v>
      </c>
      <c r="AI2832">
        <v>2</v>
      </c>
      <c r="AJ2832">
        <v>0</v>
      </c>
      <c r="AK2832" t="s">
        <v>958</v>
      </c>
      <c r="AL2832">
        <v>39.104332999999997</v>
      </c>
      <c r="AM2832" t="s">
        <v>959</v>
      </c>
      <c r="AN2832">
        <v>-121.032965</v>
      </c>
      <c r="AO2832">
        <v>25</v>
      </c>
      <c r="AP2832">
        <v>4400</v>
      </c>
      <c r="AQ2832" t="s">
        <v>131</v>
      </c>
      <c r="AR2832">
        <v>9</v>
      </c>
      <c r="AS2832">
        <v>84</v>
      </c>
      <c r="AT2832">
        <v>-64</v>
      </c>
      <c r="BB2832" t="str">
        <f t="shared" si="1118"/>
        <v>1200</v>
      </c>
      <c r="BC2832">
        <v>1</v>
      </c>
      <c r="BD2832" t="str">
        <f t="shared" si="1119"/>
        <v xml:space="preserve">N52156  </v>
      </c>
      <c r="BE2832">
        <v>1</v>
      </c>
      <c r="BG2832">
        <v>0</v>
      </c>
      <c r="BH2832">
        <v>0</v>
      </c>
      <c r="BI2832">
        <v>0</v>
      </c>
      <c r="BJ2832">
        <v>4400</v>
      </c>
      <c r="BK2832">
        <v>0</v>
      </c>
      <c r="BL2832" t="s">
        <v>188</v>
      </c>
      <c r="BM2832">
        <v>1</v>
      </c>
      <c r="BN2832">
        <v>1</v>
      </c>
      <c r="BO2832">
        <v>0</v>
      </c>
      <c r="BP2832">
        <v>0</v>
      </c>
      <c r="BS2832">
        <v>0</v>
      </c>
      <c r="BT2832">
        <v>0</v>
      </c>
      <c r="BU2832">
        <v>0</v>
      </c>
      <c r="CE2832" t="str">
        <f t="shared" si="1123"/>
        <v>15:12:23.785</v>
      </c>
      <c r="CF2832">
        <v>784977308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5</v>
      </c>
      <c r="CY2832">
        <v>7</v>
      </c>
      <c r="CZ2832" t="s">
        <v>133</v>
      </c>
      <c r="DA2832">
        <v>275</v>
      </c>
      <c r="DB2832">
        <v>0</v>
      </c>
      <c r="DC2832" t="s">
        <v>134</v>
      </c>
      <c r="DD2832" t="s">
        <v>135</v>
      </c>
      <c r="DG2832">
        <v>3322094</v>
      </c>
      <c r="DI2832">
        <v>1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"05/01/2025 15:12:24.035"</f>
        <v>05/01/2025 15:12:24.035</v>
      </c>
      <c r="C2833" t="str">
        <f t="shared" si="1116"/>
        <v>FFDFD3C0</v>
      </c>
      <c r="D2833" t="s">
        <v>136</v>
      </c>
      <c r="E2833" t="str">
        <f>"20"</f>
        <v>20</v>
      </c>
      <c r="H2833">
        <v>400</v>
      </c>
      <c r="I2833" t="s">
        <v>137</v>
      </c>
      <c r="J2833" t="s">
        <v>138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R2833" t="s">
        <v>127</v>
      </c>
      <c r="S2833" t="str">
        <f t="shared" si="1122"/>
        <v>15:12:23.000</v>
      </c>
      <c r="T2833" t="str">
        <f t="shared" si="1122"/>
        <v>15:12:23.000</v>
      </c>
      <c r="U2833" t="str">
        <f t="shared" si="1117"/>
        <v>A68FCB</v>
      </c>
      <c r="V2833">
        <v>0</v>
      </c>
      <c r="W2833">
        <v>0</v>
      </c>
      <c r="X2833">
        <v>2</v>
      </c>
      <c r="Y2833">
        <v>0</v>
      </c>
      <c r="AA2833">
        <v>1</v>
      </c>
      <c r="AB2833">
        <v>8</v>
      </c>
      <c r="AC2833">
        <v>3</v>
      </c>
      <c r="AD2833">
        <v>0</v>
      </c>
      <c r="AE2833">
        <v>9</v>
      </c>
      <c r="AF2833" t="s">
        <v>138</v>
      </c>
      <c r="AG2833">
        <v>0</v>
      </c>
      <c r="AH2833">
        <v>3</v>
      </c>
      <c r="AI2833">
        <v>2</v>
      </c>
      <c r="AJ2833">
        <v>0</v>
      </c>
      <c r="AK2833" t="s">
        <v>958</v>
      </c>
      <c r="AL2833">
        <v>39.104332999999997</v>
      </c>
      <c r="AM2833" t="s">
        <v>959</v>
      </c>
      <c r="AN2833">
        <v>-121.032965</v>
      </c>
      <c r="AO2833">
        <v>25</v>
      </c>
      <c r="AP2833">
        <v>4400</v>
      </c>
      <c r="AQ2833" t="s">
        <v>131</v>
      </c>
      <c r="AR2833">
        <v>9</v>
      </c>
      <c r="AS2833">
        <v>84</v>
      </c>
      <c r="AT2833">
        <v>-64</v>
      </c>
      <c r="BB2833" t="str">
        <f t="shared" si="1118"/>
        <v>1200</v>
      </c>
      <c r="BC2833">
        <v>1</v>
      </c>
      <c r="BD2833" t="str">
        <f t="shared" si="1119"/>
        <v xml:space="preserve">N52156  </v>
      </c>
      <c r="BE2833">
        <v>1</v>
      </c>
      <c r="BG2833">
        <v>0</v>
      </c>
      <c r="BH2833">
        <v>0</v>
      </c>
      <c r="BI2833">
        <v>0</v>
      </c>
      <c r="BJ2833">
        <v>4400</v>
      </c>
      <c r="BK2833">
        <v>0</v>
      </c>
      <c r="BL2833" t="s">
        <v>188</v>
      </c>
      <c r="BM2833">
        <v>1</v>
      </c>
      <c r="BN2833">
        <v>1</v>
      </c>
      <c r="BO2833">
        <v>0</v>
      </c>
      <c r="BP2833">
        <v>0</v>
      </c>
      <c r="BS2833">
        <v>0</v>
      </c>
      <c r="BT2833">
        <v>0</v>
      </c>
      <c r="BU2833">
        <v>0</v>
      </c>
      <c r="CE2833" t="str">
        <f t="shared" si="1123"/>
        <v>15:12:23.785</v>
      </c>
      <c r="CF2833">
        <v>784977308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5</v>
      </c>
      <c r="CY2833">
        <v>7</v>
      </c>
      <c r="CZ2833" t="s">
        <v>133</v>
      </c>
      <c r="DA2833">
        <v>275</v>
      </c>
      <c r="DB2833">
        <v>0</v>
      </c>
      <c r="DC2833" t="s">
        <v>134</v>
      </c>
      <c r="DD2833" t="s">
        <v>135</v>
      </c>
      <c r="DG2833">
        <v>3322094</v>
      </c>
      <c r="DI2833">
        <v>1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"05/01/2025 15:12:24.964"</f>
        <v>05/01/2025 15:12:24.964</v>
      </c>
      <c r="C2834" t="str">
        <f t="shared" si="1116"/>
        <v>FFDFD3C0</v>
      </c>
      <c r="D2834" t="s">
        <v>124</v>
      </c>
      <c r="E2834" t="str">
        <f>"06"</f>
        <v>06</v>
      </c>
      <c r="F2834">
        <v>2006</v>
      </c>
      <c r="G2834" t="s">
        <v>125</v>
      </c>
      <c r="J2834" t="s">
        <v>126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R2834" t="s">
        <v>127</v>
      </c>
      <c r="S2834" t="str">
        <f t="shared" ref="S2834:T2839" si="1124">"15:12:24.000"</f>
        <v>15:12:24.000</v>
      </c>
      <c r="T2834" t="str">
        <f t="shared" si="1124"/>
        <v>15:12:24.000</v>
      </c>
      <c r="U2834" t="str">
        <f t="shared" si="1117"/>
        <v>A68FCB</v>
      </c>
      <c r="V2834">
        <v>0</v>
      </c>
      <c r="W2834">
        <v>0</v>
      </c>
      <c r="X2834">
        <v>2</v>
      </c>
      <c r="Y2834">
        <v>0</v>
      </c>
      <c r="AA2834">
        <v>1</v>
      </c>
      <c r="AB2834">
        <v>8</v>
      </c>
      <c r="AC2834">
        <v>3</v>
      </c>
      <c r="AD2834">
        <v>0</v>
      </c>
      <c r="AE2834">
        <v>9</v>
      </c>
      <c r="AF2834" t="s">
        <v>138</v>
      </c>
      <c r="AG2834">
        <v>0</v>
      </c>
      <c r="AH2834">
        <v>3</v>
      </c>
      <c r="AI2834">
        <v>2</v>
      </c>
      <c r="AJ2834">
        <v>0</v>
      </c>
      <c r="AK2834" t="s">
        <v>960</v>
      </c>
      <c r="AL2834">
        <v>39.104719000000003</v>
      </c>
      <c r="AM2834" t="s">
        <v>961</v>
      </c>
      <c r="AN2834">
        <v>-121.032901</v>
      </c>
      <c r="AO2834">
        <v>25</v>
      </c>
      <c r="AP2834">
        <v>4400</v>
      </c>
      <c r="AQ2834" t="s">
        <v>131</v>
      </c>
      <c r="AR2834">
        <v>8</v>
      </c>
      <c r="AS2834">
        <v>85</v>
      </c>
      <c r="AT2834">
        <v>-64</v>
      </c>
      <c r="BB2834" t="str">
        <f t="shared" si="1118"/>
        <v>1200</v>
      </c>
      <c r="BC2834">
        <v>1</v>
      </c>
      <c r="BD2834" t="str">
        <f t="shared" si="1119"/>
        <v xml:space="preserve">N52156  </v>
      </c>
      <c r="BE2834">
        <v>1</v>
      </c>
      <c r="BG2834">
        <v>0</v>
      </c>
      <c r="BH2834">
        <v>0</v>
      </c>
      <c r="BI2834">
        <v>0</v>
      </c>
      <c r="BJ2834">
        <v>4400</v>
      </c>
      <c r="BK2834">
        <v>0</v>
      </c>
      <c r="BL2834" t="s">
        <v>188</v>
      </c>
      <c r="BM2834">
        <v>1</v>
      </c>
      <c r="BN2834">
        <v>1</v>
      </c>
      <c r="BO2834">
        <v>0</v>
      </c>
      <c r="BP2834">
        <v>0</v>
      </c>
      <c r="BS2834">
        <v>0</v>
      </c>
      <c r="BT2834">
        <v>0</v>
      </c>
      <c r="BU2834">
        <v>0</v>
      </c>
      <c r="CE2834" t="str">
        <f t="shared" ref="CE2834:CE2839" si="1125">"15:12:24.732"</f>
        <v>15:12:24.732</v>
      </c>
      <c r="CF2834">
        <v>731977250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5</v>
      </c>
      <c r="CY2834">
        <v>7</v>
      </c>
      <c r="CZ2834" t="s">
        <v>133</v>
      </c>
      <c r="DA2834">
        <v>275</v>
      </c>
      <c r="DB2834">
        <v>0</v>
      </c>
      <c r="DC2834" t="s">
        <v>134</v>
      </c>
      <c r="DD2834" t="s">
        <v>135</v>
      </c>
      <c r="DG2834">
        <v>3322100</v>
      </c>
      <c r="DI2834">
        <v>1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"05/01/2025 15:12:24.976"</f>
        <v>05/01/2025 15:12:24.976</v>
      </c>
      <c r="C2835" t="str">
        <f t="shared" si="1116"/>
        <v>FFDFD3C0</v>
      </c>
      <c r="D2835" t="s">
        <v>145</v>
      </c>
      <c r="E2835" t="str">
        <f>"09"</f>
        <v>09</v>
      </c>
      <c r="H2835">
        <v>51</v>
      </c>
      <c r="I2835" t="s">
        <v>147</v>
      </c>
      <c r="J2835" t="s">
        <v>138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R2835" t="s">
        <v>127</v>
      </c>
      <c r="S2835" t="str">
        <f t="shared" si="1124"/>
        <v>15:12:24.000</v>
      </c>
      <c r="T2835" t="str">
        <f t="shared" si="1124"/>
        <v>15:12:24.000</v>
      </c>
      <c r="U2835" t="str">
        <f t="shared" si="1117"/>
        <v>A68FCB</v>
      </c>
      <c r="V2835">
        <v>0</v>
      </c>
      <c r="W2835">
        <v>0</v>
      </c>
      <c r="X2835">
        <v>2</v>
      </c>
      <c r="Y2835">
        <v>0</v>
      </c>
      <c r="AA2835">
        <v>1</v>
      </c>
      <c r="AB2835">
        <v>8</v>
      </c>
      <c r="AC2835">
        <v>3</v>
      </c>
      <c r="AD2835">
        <v>0</v>
      </c>
      <c r="AE2835">
        <v>9</v>
      </c>
      <c r="AF2835" t="s">
        <v>138</v>
      </c>
      <c r="AG2835">
        <v>0</v>
      </c>
      <c r="AH2835">
        <v>3</v>
      </c>
      <c r="AI2835">
        <v>2</v>
      </c>
      <c r="AJ2835">
        <v>0</v>
      </c>
      <c r="AK2835" t="s">
        <v>960</v>
      </c>
      <c r="AL2835">
        <v>39.104719000000003</v>
      </c>
      <c r="AM2835" t="s">
        <v>961</v>
      </c>
      <c r="AN2835">
        <v>-121.032901</v>
      </c>
      <c r="AO2835">
        <v>25</v>
      </c>
      <c r="AP2835">
        <v>4400</v>
      </c>
      <c r="AQ2835" t="s">
        <v>131</v>
      </c>
      <c r="AR2835">
        <v>8</v>
      </c>
      <c r="AS2835">
        <v>85</v>
      </c>
      <c r="AT2835">
        <v>-64</v>
      </c>
      <c r="BB2835" t="str">
        <f t="shared" si="1118"/>
        <v>1200</v>
      </c>
      <c r="BC2835">
        <v>1</v>
      </c>
      <c r="BD2835" t="str">
        <f t="shared" si="1119"/>
        <v xml:space="preserve">N52156  </v>
      </c>
      <c r="BE2835">
        <v>1</v>
      </c>
      <c r="BG2835">
        <v>0</v>
      </c>
      <c r="BH2835">
        <v>0</v>
      </c>
      <c r="BI2835">
        <v>0</v>
      </c>
      <c r="BJ2835">
        <v>4400</v>
      </c>
      <c r="BK2835">
        <v>0</v>
      </c>
      <c r="BL2835" t="s">
        <v>188</v>
      </c>
      <c r="BM2835">
        <v>1</v>
      </c>
      <c r="BN2835">
        <v>1</v>
      </c>
      <c r="BO2835">
        <v>0</v>
      </c>
      <c r="BP2835">
        <v>0</v>
      </c>
      <c r="BS2835">
        <v>0</v>
      </c>
      <c r="BT2835">
        <v>0</v>
      </c>
      <c r="BU2835">
        <v>0</v>
      </c>
      <c r="CE2835" t="str">
        <f t="shared" si="1125"/>
        <v>15:12:24.732</v>
      </c>
      <c r="CF2835">
        <v>731977250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5</v>
      </c>
      <c r="CY2835">
        <v>7</v>
      </c>
      <c r="CZ2835" t="s">
        <v>133</v>
      </c>
      <c r="DA2835">
        <v>275</v>
      </c>
      <c r="DB2835">
        <v>0</v>
      </c>
      <c r="DC2835" t="s">
        <v>134</v>
      </c>
      <c r="DD2835" t="s">
        <v>135</v>
      </c>
      <c r="DG2835">
        <v>3322100</v>
      </c>
      <c r="DI2835">
        <v>1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"05/01/2025 15:12:24.976"</f>
        <v>05/01/2025 15:12:24.976</v>
      </c>
      <c r="C2836" t="str">
        <f t="shared" si="1116"/>
        <v>FFDFD3C0</v>
      </c>
      <c r="D2836" t="s">
        <v>145</v>
      </c>
      <c r="E2836" t="str">
        <f>"05"</f>
        <v>05</v>
      </c>
      <c r="H2836">
        <v>47</v>
      </c>
      <c r="I2836" t="s">
        <v>146</v>
      </c>
      <c r="J2836" t="s">
        <v>138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R2836" t="s">
        <v>127</v>
      </c>
      <c r="S2836" t="str">
        <f t="shared" si="1124"/>
        <v>15:12:24.000</v>
      </c>
      <c r="T2836" t="str">
        <f t="shared" si="1124"/>
        <v>15:12:24.000</v>
      </c>
      <c r="U2836" t="str">
        <f t="shared" si="1117"/>
        <v>A68FCB</v>
      </c>
      <c r="V2836">
        <v>0</v>
      </c>
      <c r="W2836">
        <v>0</v>
      </c>
      <c r="X2836">
        <v>2</v>
      </c>
      <c r="Y2836">
        <v>0</v>
      </c>
      <c r="AA2836">
        <v>1</v>
      </c>
      <c r="AB2836">
        <v>8</v>
      </c>
      <c r="AC2836">
        <v>3</v>
      </c>
      <c r="AD2836">
        <v>0</v>
      </c>
      <c r="AE2836">
        <v>9</v>
      </c>
      <c r="AF2836" t="s">
        <v>138</v>
      </c>
      <c r="AG2836">
        <v>0</v>
      </c>
      <c r="AH2836">
        <v>3</v>
      </c>
      <c r="AI2836">
        <v>2</v>
      </c>
      <c r="AJ2836">
        <v>0</v>
      </c>
      <c r="AK2836" t="s">
        <v>960</v>
      </c>
      <c r="AL2836">
        <v>39.104719000000003</v>
      </c>
      <c r="AM2836" t="s">
        <v>961</v>
      </c>
      <c r="AN2836">
        <v>-121.032901</v>
      </c>
      <c r="AO2836">
        <v>25</v>
      </c>
      <c r="AP2836">
        <v>4400</v>
      </c>
      <c r="AQ2836" t="s">
        <v>131</v>
      </c>
      <c r="AR2836">
        <v>8</v>
      </c>
      <c r="AS2836">
        <v>85</v>
      </c>
      <c r="AT2836">
        <v>-64</v>
      </c>
      <c r="BB2836" t="str">
        <f t="shared" si="1118"/>
        <v>1200</v>
      </c>
      <c r="BC2836">
        <v>1</v>
      </c>
      <c r="BD2836" t="str">
        <f t="shared" si="1119"/>
        <v xml:space="preserve">N52156  </v>
      </c>
      <c r="BE2836">
        <v>1</v>
      </c>
      <c r="BG2836">
        <v>0</v>
      </c>
      <c r="BH2836">
        <v>0</v>
      </c>
      <c r="BI2836">
        <v>0</v>
      </c>
      <c r="BJ2836">
        <v>4400</v>
      </c>
      <c r="BK2836">
        <v>0</v>
      </c>
      <c r="BL2836" t="s">
        <v>188</v>
      </c>
      <c r="BM2836">
        <v>1</v>
      </c>
      <c r="BN2836">
        <v>1</v>
      </c>
      <c r="BO2836">
        <v>0</v>
      </c>
      <c r="BP2836">
        <v>0</v>
      </c>
      <c r="BS2836">
        <v>0</v>
      </c>
      <c r="BT2836">
        <v>0</v>
      </c>
      <c r="BU2836">
        <v>0</v>
      </c>
      <c r="CE2836" t="str">
        <f t="shared" si="1125"/>
        <v>15:12:24.732</v>
      </c>
      <c r="CF2836">
        <v>731977250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5</v>
      </c>
      <c r="CY2836">
        <v>7</v>
      </c>
      <c r="CZ2836" t="s">
        <v>133</v>
      </c>
      <c r="DA2836">
        <v>275</v>
      </c>
      <c r="DB2836">
        <v>0</v>
      </c>
      <c r="DC2836" t="s">
        <v>134</v>
      </c>
      <c r="DD2836" t="s">
        <v>135</v>
      </c>
      <c r="DG2836">
        <v>3322100</v>
      </c>
      <c r="DI2836">
        <v>1</v>
      </c>
      <c r="DJ2836">
        <v>0</v>
      </c>
      <c r="DK2836">
        <v>1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"05/01/2025 15:12:24.987"</f>
        <v>05/01/2025 15:12:24.987</v>
      </c>
      <c r="C2837" t="str">
        <f t="shared" si="1116"/>
        <v>FFDFD3C0</v>
      </c>
      <c r="D2837" t="s">
        <v>136</v>
      </c>
      <c r="E2837" t="str">
        <f>"20"</f>
        <v>20</v>
      </c>
      <c r="H2837">
        <v>400</v>
      </c>
      <c r="I2837" t="s">
        <v>137</v>
      </c>
      <c r="J2837" t="s">
        <v>138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R2837" t="s">
        <v>127</v>
      </c>
      <c r="S2837" t="str">
        <f t="shared" si="1124"/>
        <v>15:12:24.000</v>
      </c>
      <c r="T2837" t="str">
        <f t="shared" si="1124"/>
        <v>15:12:24.000</v>
      </c>
      <c r="U2837" t="str">
        <f t="shared" si="1117"/>
        <v>A68FCB</v>
      </c>
      <c r="V2837">
        <v>0</v>
      </c>
      <c r="W2837">
        <v>0</v>
      </c>
      <c r="X2837">
        <v>2</v>
      </c>
      <c r="Y2837">
        <v>0</v>
      </c>
      <c r="AA2837">
        <v>1</v>
      </c>
      <c r="AB2837">
        <v>8</v>
      </c>
      <c r="AC2837">
        <v>3</v>
      </c>
      <c r="AD2837">
        <v>0</v>
      </c>
      <c r="AE2837">
        <v>9</v>
      </c>
      <c r="AF2837" t="s">
        <v>138</v>
      </c>
      <c r="AG2837">
        <v>0</v>
      </c>
      <c r="AH2837">
        <v>3</v>
      </c>
      <c r="AI2837">
        <v>2</v>
      </c>
      <c r="AJ2837">
        <v>0</v>
      </c>
      <c r="AK2837" t="s">
        <v>960</v>
      </c>
      <c r="AL2837">
        <v>39.104719000000003</v>
      </c>
      <c r="AM2837" t="s">
        <v>961</v>
      </c>
      <c r="AN2837">
        <v>-121.032901</v>
      </c>
      <c r="AO2837">
        <v>25</v>
      </c>
      <c r="AP2837">
        <v>4400</v>
      </c>
      <c r="AQ2837" t="s">
        <v>131</v>
      </c>
      <c r="AR2837">
        <v>8</v>
      </c>
      <c r="AS2837">
        <v>85</v>
      </c>
      <c r="AT2837">
        <v>-64</v>
      </c>
      <c r="BB2837" t="str">
        <f t="shared" si="1118"/>
        <v>1200</v>
      </c>
      <c r="BC2837">
        <v>1</v>
      </c>
      <c r="BD2837" t="str">
        <f t="shared" si="1119"/>
        <v xml:space="preserve">N52156  </v>
      </c>
      <c r="BE2837">
        <v>1</v>
      </c>
      <c r="BG2837">
        <v>0</v>
      </c>
      <c r="BH2837">
        <v>0</v>
      </c>
      <c r="BI2837">
        <v>0</v>
      </c>
      <c r="BJ2837">
        <v>4400</v>
      </c>
      <c r="BK2837">
        <v>0</v>
      </c>
      <c r="BL2837" t="s">
        <v>188</v>
      </c>
      <c r="BM2837">
        <v>1</v>
      </c>
      <c r="BN2837">
        <v>1</v>
      </c>
      <c r="BO2837">
        <v>0</v>
      </c>
      <c r="BP2837">
        <v>0</v>
      </c>
      <c r="BS2837">
        <v>0</v>
      </c>
      <c r="BT2837">
        <v>0</v>
      </c>
      <c r="BU2837">
        <v>0</v>
      </c>
      <c r="CE2837" t="str">
        <f t="shared" si="1125"/>
        <v>15:12:24.732</v>
      </c>
      <c r="CF2837">
        <v>731977250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5</v>
      </c>
      <c r="CY2837">
        <v>7</v>
      </c>
      <c r="CZ2837" t="s">
        <v>133</v>
      </c>
      <c r="DA2837">
        <v>275</v>
      </c>
      <c r="DB2837">
        <v>0</v>
      </c>
      <c r="DC2837" t="s">
        <v>134</v>
      </c>
      <c r="DD2837" t="s">
        <v>135</v>
      </c>
      <c r="DG2837">
        <v>3322100</v>
      </c>
      <c r="DI2837">
        <v>1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"05/01/2025 15:12:24.995"</f>
        <v>05/01/2025 15:12:24.995</v>
      </c>
      <c r="C2838" t="str">
        <f t="shared" si="1116"/>
        <v>FFDFD3C0</v>
      </c>
      <c r="D2838" t="s">
        <v>143</v>
      </c>
      <c r="E2838" t="str">
        <f>"05"</f>
        <v>05</v>
      </c>
      <c r="H2838">
        <v>172</v>
      </c>
      <c r="I2838" t="s">
        <v>141</v>
      </c>
      <c r="J2838" t="s">
        <v>144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R2838" t="s">
        <v>127</v>
      </c>
      <c r="S2838" t="str">
        <f t="shared" si="1124"/>
        <v>15:12:24.000</v>
      </c>
      <c r="T2838" t="str">
        <f t="shared" si="1124"/>
        <v>15:12:24.000</v>
      </c>
      <c r="U2838" t="str">
        <f t="shared" si="1117"/>
        <v>A68FCB</v>
      </c>
      <c r="V2838">
        <v>0</v>
      </c>
      <c r="W2838">
        <v>0</v>
      </c>
      <c r="X2838">
        <v>2</v>
      </c>
      <c r="Y2838">
        <v>0</v>
      </c>
      <c r="AA2838">
        <v>1</v>
      </c>
      <c r="AB2838">
        <v>8</v>
      </c>
      <c r="AC2838">
        <v>3</v>
      </c>
      <c r="AD2838">
        <v>0</v>
      </c>
      <c r="AE2838">
        <v>9</v>
      </c>
      <c r="AF2838" t="s">
        <v>138</v>
      </c>
      <c r="AG2838">
        <v>0</v>
      </c>
      <c r="AH2838">
        <v>3</v>
      </c>
      <c r="AI2838">
        <v>2</v>
      </c>
      <c r="AJ2838">
        <v>0</v>
      </c>
      <c r="AK2838" t="s">
        <v>960</v>
      </c>
      <c r="AL2838">
        <v>39.104719000000003</v>
      </c>
      <c r="AM2838" t="s">
        <v>961</v>
      </c>
      <c r="AN2838">
        <v>-121.032901</v>
      </c>
      <c r="AO2838">
        <v>25</v>
      </c>
      <c r="AP2838">
        <v>4400</v>
      </c>
      <c r="AQ2838" t="s">
        <v>131</v>
      </c>
      <c r="AR2838">
        <v>8</v>
      </c>
      <c r="AS2838">
        <v>85</v>
      </c>
      <c r="AT2838">
        <v>-64</v>
      </c>
      <c r="BB2838" t="str">
        <f t="shared" si="1118"/>
        <v>1200</v>
      </c>
      <c r="BC2838">
        <v>1</v>
      </c>
      <c r="BD2838" t="str">
        <f t="shared" si="1119"/>
        <v xml:space="preserve">N52156  </v>
      </c>
      <c r="BE2838">
        <v>1</v>
      </c>
      <c r="BG2838">
        <v>0</v>
      </c>
      <c r="BH2838">
        <v>0</v>
      </c>
      <c r="BI2838">
        <v>0</v>
      </c>
      <c r="BJ2838">
        <v>4400</v>
      </c>
      <c r="BK2838">
        <v>0</v>
      </c>
      <c r="BL2838" t="s">
        <v>188</v>
      </c>
      <c r="BM2838">
        <v>1</v>
      </c>
      <c r="BN2838">
        <v>1</v>
      </c>
      <c r="BO2838">
        <v>0</v>
      </c>
      <c r="BP2838">
        <v>0</v>
      </c>
      <c r="BS2838">
        <v>0</v>
      </c>
      <c r="BT2838">
        <v>0</v>
      </c>
      <c r="BU2838">
        <v>0</v>
      </c>
      <c r="CE2838" t="str">
        <f t="shared" si="1125"/>
        <v>15:12:24.732</v>
      </c>
      <c r="CF2838">
        <v>731977250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5</v>
      </c>
      <c r="CY2838">
        <v>7</v>
      </c>
      <c r="CZ2838" t="s">
        <v>133</v>
      </c>
      <c r="DA2838">
        <v>275</v>
      </c>
      <c r="DB2838">
        <v>0</v>
      </c>
      <c r="DC2838" t="s">
        <v>134</v>
      </c>
      <c r="DD2838" t="s">
        <v>135</v>
      </c>
      <c r="DG2838">
        <v>3322100</v>
      </c>
      <c r="DI2838">
        <v>1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"05/01/2025 15:12:25.012"</f>
        <v>05/01/2025 15:12:25.012</v>
      </c>
      <c r="C2839" t="str">
        <f t="shared" si="1116"/>
        <v>FFDFD3C0</v>
      </c>
      <c r="D2839" t="s">
        <v>140</v>
      </c>
      <c r="E2839" t="str">
        <f>"13"</f>
        <v>13</v>
      </c>
      <c r="F2839">
        <v>1019</v>
      </c>
      <c r="G2839" t="s">
        <v>141</v>
      </c>
      <c r="J2839" t="s">
        <v>142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R2839" t="s">
        <v>127</v>
      </c>
      <c r="S2839" t="str">
        <f t="shared" si="1124"/>
        <v>15:12:24.000</v>
      </c>
      <c r="T2839" t="str">
        <f t="shared" si="1124"/>
        <v>15:12:24.000</v>
      </c>
      <c r="U2839" t="str">
        <f t="shared" si="1117"/>
        <v>A68FCB</v>
      </c>
      <c r="V2839">
        <v>0</v>
      </c>
      <c r="W2839">
        <v>0</v>
      </c>
      <c r="X2839">
        <v>2</v>
      </c>
      <c r="Y2839">
        <v>0</v>
      </c>
      <c r="AA2839">
        <v>1</v>
      </c>
      <c r="AB2839">
        <v>8</v>
      </c>
      <c r="AC2839">
        <v>3</v>
      </c>
      <c r="AD2839">
        <v>0</v>
      </c>
      <c r="AE2839">
        <v>9</v>
      </c>
      <c r="AF2839" t="s">
        <v>138</v>
      </c>
      <c r="AG2839">
        <v>0</v>
      </c>
      <c r="AH2839">
        <v>3</v>
      </c>
      <c r="AI2839">
        <v>2</v>
      </c>
      <c r="AJ2839">
        <v>0</v>
      </c>
      <c r="AK2839" t="s">
        <v>960</v>
      </c>
      <c r="AL2839">
        <v>39.104719000000003</v>
      </c>
      <c r="AM2839" t="s">
        <v>961</v>
      </c>
      <c r="AN2839">
        <v>-121.032901</v>
      </c>
      <c r="AO2839">
        <v>25</v>
      </c>
      <c r="AP2839">
        <v>4400</v>
      </c>
      <c r="AQ2839" t="s">
        <v>131</v>
      </c>
      <c r="AR2839">
        <v>8</v>
      </c>
      <c r="AS2839">
        <v>85</v>
      </c>
      <c r="AT2839">
        <v>-64</v>
      </c>
      <c r="BB2839" t="str">
        <f t="shared" si="1118"/>
        <v>1200</v>
      </c>
      <c r="BC2839">
        <v>1</v>
      </c>
      <c r="BD2839" t="str">
        <f t="shared" si="1119"/>
        <v xml:space="preserve">N52156  </v>
      </c>
      <c r="BE2839">
        <v>1</v>
      </c>
      <c r="BG2839">
        <v>0</v>
      </c>
      <c r="BH2839">
        <v>0</v>
      </c>
      <c r="BI2839">
        <v>0</v>
      </c>
      <c r="BJ2839">
        <v>4400</v>
      </c>
      <c r="BK2839">
        <v>0</v>
      </c>
      <c r="BL2839" t="s">
        <v>188</v>
      </c>
      <c r="BM2839">
        <v>1</v>
      </c>
      <c r="BN2839">
        <v>1</v>
      </c>
      <c r="BO2839">
        <v>0</v>
      </c>
      <c r="BP2839">
        <v>0</v>
      </c>
      <c r="BS2839">
        <v>0</v>
      </c>
      <c r="BT2839">
        <v>0</v>
      </c>
      <c r="BU2839">
        <v>0</v>
      </c>
      <c r="CE2839" t="str">
        <f t="shared" si="1125"/>
        <v>15:12:24.732</v>
      </c>
      <c r="CF2839">
        <v>731977250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5</v>
      </c>
      <c r="CY2839">
        <v>7</v>
      </c>
      <c r="CZ2839" t="s">
        <v>133</v>
      </c>
      <c r="DA2839">
        <v>275</v>
      </c>
      <c r="DB2839">
        <v>0</v>
      </c>
      <c r="DC2839" t="s">
        <v>134</v>
      </c>
      <c r="DD2839" t="s">
        <v>135</v>
      </c>
      <c r="DG2839">
        <v>3322100</v>
      </c>
      <c r="DI2839">
        <v>1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"05/01/2025 15:12:25.877"</f>
        <v>05/01/2025 15:12:25.877</v>
      </c>
      <c r="C2840" t="str">
        <f t="shared" si="1116"/>
        <v>FFDFD3C0</v>
      </c>
      <c r="D2840" t="s">
        <v>145</v>
      </c>
      <c r="E2840" t="str">
        <f>"05"</f>
        <v>05</v>
      </c>
      <c r="H2840">
        <v>47</v>
      </c>
      <c r="I2840" t="s">
        <v>146</v>
      </c>
      <c r="J2840" t="s">
        <v>138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R2840" t="s">
        <v>127</v>
      </c>
      <c r="S2840" t="str">
        <f t="shared" ref="S2840:T2845" si="1126">"15:12:25.000"</f>
        <v>15:12:25.000</v>
      </c>
      <c r="T2840" t="str">
        <f t="shared" si="1126"/>
        <v>15:12:25.000</v>
      </c>
      <c r="U2840" t="str">
        <f t="shared" si="1117"/>
        <v>A68FCB</v>
      </c>
      <c r="V2840">
        <v>0</v>
      </c>
      <c r="W2840">
        <v>0</v>
      </c>
      <c r="X2840">
        <v>2</v>
      </c>
      <c r="Y2840">
        <v>0</v>
      </c>
      <c r="AA2840">
        <v>1</v>
      </c>
      <c r="AB2840">
        <v>8</v>
      </c>
      <c r="AC2840">
        <v>3</v>
      </c>
      <c r="AD2840">
        <v>0</v>
      </c>
      <c r="AE2840">
        <v>9</v>
      </c>
      <c r="AF2840" t="s">
        <v>138</v>
      </c>
      <c r="AG2840">
        <v>0</v>
      </c>
      <c r="AH2840">
        <v>3</v>
      </c>
      <c r="AI2840">
        <v>2</v>
      </c>
      <c r="AJ2840">
        <v>0</v>
      </c>
      <c r="AK2840" t="s">
        <v>962</v>
      </c>
      <c r="AL2840">
        <v>39.105127000000003</v>
      </c>
      <c r="AM2840" t="s">
        <v>963</v>
      </c>
      <c r="AN2840">
        <v>-121.032858</v>
      </c>
      <c r="AO2840">
        <v>25</v>
      </c>
      <c r="AP2840">
        <v>4400</v>
      </c>
      <c r="AQ2840" t="s">
        <v>131</v>
      </c>
      <c r="AR2840">
        <v>8</v>
      </c>
      <c r="AS2840">
        <v>85</v>
      </c>
      <c r="AT2840">
        <v>-64</v>
      </c>
      <c r="BB2840" t="str">
        <f t="shared" si="1118"/>
        <v>1200</v>
      </c>
      <c r="BC2840">
        <v>1</v>
      </c>
      <c r="BD2840" t="str">
        <f t="shared" si="1119"/>
        <v xml:space="preserve">N52156  </v>
      </c>
      <c r="BE2840">
        <v>1</v>
      </c>
      <c r="BG2840">
        <v>0</v>
      </c>
      <c r="BH2840">
        <v>0</v>
      </c>
      <c r="BI2840">
        <v>0</v>
      </c>
      <c r="BJ2840">
        <v>4400</v>
      </c>
      <c r="BK2840">
        <v>0</v>
      </c>
      <c r="BL2840" t="s">
        <v>188</v>
      </c>
      <c r="BM2840">
        <v>1</v>
      </c>
      <c r="BN2840">
        <v>1</v>
      </c>
      <c r="BO2840">
        <v>0</v>
      </c>
      <c r="BP2840">
        <v>0</v>
      </c>
      <c r="BS2840">
        <v>0</v>
      </c>
      <c r="BT2840">
        <v>0</v>
      </c>
      <c r="BU2840">
        <v>0</v>
      </c>
      <c r="CE2840" t="str">
        <f t="shared" ref="CE2840:CE2845" si="1127">"15:12:25.669"</f>
        <v>15:12:25.669</v>
      </c>
      <c r="CF2840">
        <v>668977174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133</v>
      </c>
      <c r="DA2840">
        <v>275</v>
      </c>
      <c r="DB2840">
        <v>0</v>
      </c>
      <c r="DC2840" t="s">
        <v>134</v>
      </c>
      <c r="DD2840" t="s">
        <v>135</v>
      </c>
      <c r="DG2840">
        <v>3322105</v>
      </c>
      <c r="DI2840">
        <v>1</v>
      </c>
      <c r="DJ2840">
        <v>0</v>
      </c>
      <c r="DK2840">
        <v>0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"05/01/2025 15:12:25.878"</f>
        <v>05/01/2025 15:12:25.878</v>
      </c>
      <c r="C2841" t="str">
        <f t="shared" si="1116"/>
        <v>FFDFD3C0</v>
      </c>
      <c r="D2841" t="s">
        <v>145</v>
      </c>
      <c r="E2841" t="str">
        <f>"09"</f>
        <v>09</v>
      </c>
      <c r="H2841">
        <v>51</v>
      </c>
      <c r="I2841" t="s">
        <v>147</v>
      </c>
      <c r="J2841" t="s">
        <v>138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R2841" t="s">
        <v>127</v>
      </c>
      <c r="S2841" t="str">
        <f t="shared" si="1126"/>
        <v>15:12:25.000</v>
      </c>
      <c r="T2841" t="str">
        <f t="shared" si="1126"/>
        <v>15:12:25.000</v>
      </c>
      <c r="U2841" t="str">
        <f t="shared" si="1117"/>
        <v>A68FCB</v>
      </c>
      <c r="V2841">
        <v>0</v>
      </c>
      <c r="W2841">
        <v>0</v>
      </c>
      <c r="X2841">
        <v>2</v>
      </c>
      <c r="Y2841">
        <v>0</v>
      </c>
      <c r="AA2841">
        <v>1</v>
      </c>
      <c r="AB2841">
        <v>8</v>
      </c>
      <c r="AC2841">
        <v>3</v>
      </c>
      <c r="AD2841">
        <v>0</v>
      </c>
      <c r="AE2841">
        <v>9</v>
      </c>
      <c r="AF2841" t="s">
        <v>138</v>
      </c>
      <c r="AG2841">
        <v>0</v>
      </c>
      <c r="AH2841">
        <v>3</v>
      </c>
      <c r="AI2841">
        <v>2</v>
      </c>
      <c r="AJ2841">
        <v>0</v>
      </c>
      <c r="AK2841" t="s">
        <v>962</v>
      </c>
      <c r="AL2841">
        <v>39.105127000000003</v>
      </c>
      <c r="AM2841" t="s">
        <v>963</v>
      </c>
      <c r="AN2841">
        <v>-121.032858</v>
      </c>
      <c r="AO2841">
        <v>25</v>
      </c>
      <c r="AP2841">
        <v>4400</v>
      </c>
      <c r="AQ2841" t="s">
        <v>131</v>
      </c>
      <c r="AR2841">
        <v>8</v>
      </c>
      <c r="AS2841">
        <v>85</v>
      </c>
      <c r="AT2841">
        <v>-64</v>
      </c>
      <c r="BB2841" t="str">
        <f t="shared" si="1118"/>
        <v>1200</v>
      </c>
      <c r="BC2841">
        <v>1</v>
      </c>
      <c r="BD2841" t="str">
        <f t="shared" si="1119"/>
        <v xml:space="preserve">N52156  </v>
      </c>
      <c r="BE2841">
        <v>1</v>
      </c>
      <c r="BG2841">
        <v>0</v>
      </c>
      <c r="BH2841">
        <v>0</v>
      </c>
      <c r="BI2841">
        <v>0</v>
      </c>
      <c r="BJ2841">
        <v>4400</v>
      </c>
      <c r="BK2841">
        <v>0</v>
      </c>
      <c r="BL2841" t="s">
        <v>188</v>
      </c>
      <c r="BM2841">
        <v>1</v>
      </c>
      <c r="BN2841">
        <v>1</v>
      </c>
      <c r="BO2841">
        <v>0</v>
      </c>
      <c r="BP2841">
        <v>0</v>
      </c>
      <c r="BS2841">
        <v>0</v>
      </c>
      <c r="BT2841">
        <v>0</v>
      </c>
      <c r="BU2841">
        <v>0</v>
      </c>
      <c r="CE2841" t="str">
        <f t="shared" si="1127"/>
        <v>15:12:25.669</v>
      </c>
      <c r="CF2841">
        <v>668977174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5</v>
      </c>
      <c r="CY2841">
        <v>7</v>
      </c>
      <c r="CZ2841" t="s">
        <v>133</v>
      </c>
      <c r="DA2841">
        <v>275</v>
      </c>
      <c r="DB2841">
        <v>0</v>
      </c>
      <c r="DC2841" t="s">
        <v>134</v>
      </c>
      <c r="DD2841" t="s">
        <v>135</v>
      </c>
      <c r="DG2841">
        <v>3322105</v>
      </c>
      <c r="DI2841">
        <v>1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"05/01/2025 15:12:25.889"</f>
        <v>05/01/2025 15:12:25.889</v>
      </c>
      <c r="C2842" t="str">
        <f t="shared" si="1116"/>
        <v>FFDFD3C0</v>
      </c>
      <c r="D2842" t="s">
        <v>136</v>
      </c>
      <c r="E2842" t="str">
        <f>"20"</f>
        <v>20</v>
      </c>
      <c r="H2842">
        <v>400</v>
      </c>
      <c r="I2842" t="s">
        <v>137</v>
      </c>
      <c r="J2842" t="s">
        <v>138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R2842" t="s">
        <v>127</v>
      </c>
      <c r="S2842" t="str">
        <f t="shared" si="1126"/>
        <v>15:12:25.000</v>
      </c>
      <c r="T2842" t="str">
        <f t="shared" si="1126"/>
        <v>15:12:25.000</v>
      </c>
      <c r="U2842" t="str">
        <f t="shared" si="1117"/>
        <v>A68FCB</v>
      </c>
      <c r="V2842">
        <v>0</v>
      </c>
      <c r="W2842">
        <v>0</v>
      </c>
      <c r="X2842">
        <v>2</v>
      </c>
      <c r="Y2842">
        <v>0</v>
      </c>
      <c r="AA2842">
        <v>1</v>
      </c>
      <c r="AB2842">
        <v>8</v>
      </c>
      <c r="AC2842">
        <v>3</v>
      </c>
      <c r="AD2842">
        <v>0</v>
      </c>
      <c r="AE2842">
        <v>9</v>
      </c>
      <c r="AF2842" t="s">
        <v>138</v>
      </c>
      <c r="AG2842">
        <v>0</v>
      </c>
      <c r="AH2842">
        <v>3</v>
      </c>
      <c r="AI2842">
        <v>2</v>
      </c>
      <c r="AJ2842">
        <v>0</v>
      </c>
      <c r="AK2842" t="s">
        <v>962</v>
      </c>
      <c r="AL2842">
        <v>39.105127000000003</v>
      </c>
      <c r="AM2842" t="s">
        <v>963</v>
      </c>
      <c r="AN2842">
        <v>-121.032858</v>
      </c>
      <c r="AO2842">
        <v>25</v>
      </c>
      <c r="AP2842">
        <v>4400</v>
      </c>
      <c r="AQ2842" t="s">
        <v>131</v>
      </c>
      <c r="AR2842">
        <v>8</v>
      </c>
      <c r="AS2842">
        <v>85</v>
      </c>
      <c r="AT2842">
        <v>-64</v>
      </c>
      <c r="BB2842" t="str">
        <f t="shared" si="1118"/>
        <v>1200</v>
      </c>
      <c r="BC2842">
        <v>1</v>
      </c>
      <c r="BD2842" t="str">
        <f t="shared" si="1119"/>
        <v xml:space="preserve">N52156  </v>
      </c>
      <c r="BE2842">
        <v>1</v>
      </c>
      <c r="BG2842">
        <v>0</v>
      </c>
      <c r="BH2842">
        <v>0</v>
      </c>
      <c r="BI2842">
        <v>0</v>
      </c>
      <c r="BJ2842">
        <v>4400</v>
      </c>
      <c r="BK2842">
        <v>0</v>
      </c>
      <c r="BL2842" t="s">
        <v>188</v>
      </c>
      <c r="BM2842">
        <v>1</v>
      </c>
      <c r="BN2842">
        <v>1</v>
      </c>
      <c r="BO2842">
        <v>0</v>
      </c>
      <c r="BP2842">
        <v>0</v>
      </c>
      <c r="BS2842">
        <v>0</v>
      </c>
      <c r="BT2842">
        <v>0</v>
      </c>
      <c r="BU2842">
        <v>0</v>
      </c>
      <c r="CE2842" t="str">
        <f t="shared" si="1127"/>
        <v>15:12:25.669</v>
      </c>
      <c r="CF2842">
        <v>668977174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5</v>
      </c>
      <c r="CY2842">
        <v>7</v>
      </c>
      <c r="CZ2842" t="s">
        <v>133</v>
      </c>
      <c r="DA2842">
        <v>275</v>
      </c>
      <c r="DB2842">
        <v>0</v>
      </c>
      <c r="DC2842" t="s">
        <v>134</v>
      </c>
      <c r="DD2842" t="s">
        <v>135</v>
      </c>
      <c r="DG2842">
        <v>3322105</v>
      </c>
      <c r="DI2842">
        <v>1</v>
      </c>
      <c r="DJ2842">
        <v>0</v>
      </c>
      <c r="DK2842">
        <v>1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"05/01/2025 15:12:25.897"</f>
        <v>05/01/2025 15:12:25.897</v>
      </c>
      <c r="C2843" t="str">
        <f t="shared" si="1116"/>
        <v>FFDFD3C0</v>
      </c>
      <c r="D2843" t="s">
        <v>143</v>
      </c>
      <c r="E2843" t="str">
        <f>"05"</f>
        <v>05</v>
      </c>
      <c r="H2843">
        <v>172</v>
      </c>
      <c r="I2843" t="s">
        <v>141</v>
      </c>
      <c r="J2843" t="s">
        <v>144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R2843" t="s">
        <v>127</v>
      </c>
      <c r="S2843" t="str">
        <f t="shared" si="1126"/>
        <v>15:12:25.000</v>
      </c>
      <c r="T2843" t="str">
        <f t="shared" si="1126"/>
        <v>15:12:25.000</v>
      </c>
      <c r="U2843" t="str">
        <f t="shared" si="1117"/>
        <v>A68FCB</v>
      </c>
      <c r="V2843">
        <v>0</v>
      </c>
      <c r="W2843">
        <v>0</v>
      </c>
      <c r="X2843">
        <v>2</v>
      </c>
      <c r="Y2843">
        <v>0</v>
      </c>
      <c r="AA2843">
        <v>1</v>
      </c>
      <c r="AB2843">
        <v>8</v>
      </c>
      <c r="AC2843">
        <v>3</v>
      </c>
      <c r="AD2843">
        <v>0</v>
      </c>
      <c r="AE2843">
        <v>9</v>
      </c>
      <c r="AF2843" t="s">
        <v>138</v>
      </c>
      <c r="AG2843">
        <v>0</v>
      </c>
      <c r="AH2843">
        <v>3</v>
      </c>
      <c r="AI2843">
        <v>2</v>
      </c>
      <c r="AJ2843">
        <v>0</v>
      </c>
      <c r="AK2843" t="s">
        <v>962</v>
      </c>
      <c r="AL2843">
        <v>39.105127000000003</v>
      </c>
      <c r="AM2843" t="s">
        <v>963</v>
      </c>
      <c r="AN2843">
        <v>-121.032858</v>
      </c>
      <c r="AO2843">
        <v>25</v>
      </c>
      <c r="AP2843">
        <v>4400</v>
      </c>
      <c r="AQ2843" t="s">
        <v>131</v>
      </c>
      <c r="AR2843">
        <v>8</v>
      </c>
      <c r="AS2843">
        <v>85</v>
      </c>
      <c r="AT2843">
        <v>-64</v>
      </c>
      <c r="BB2843" t="str">
        <f t="shared" si="1118"/>
        <v>1200</v>
      </c>
      <c r="BC2843">
        <v>1</v>
      </c>
      <c r="BD2843" t="str">
        <f t="shared" si="1119"/>
        <v xml:space="preserve">N52156  </v>
      </c>
      <c r="BE2843">
        <v>1</v>
      </c>
      <c r="BG2843">
        <v>0</v>
      </c>
      <c r="BH2843">
        <v>0</v>
      </c>
      <c r="BI2843">
        <v>0</v>
      </c>
      <c r="BJ2843">
        <v>4400</v>
      </c>
      <c r="BK2843">
        <v>0</v>
      </c>
      <c r="BL2843" t="s">
        <v>188</v>
      </c>
      <c r="BM2843">
        <v>1</v>
      </c>
      <c r="BN2843">
        <v>1</v>
      </c>
      <c r="BO2843">
        <v>0</v>
      </c>
      <c r="BP2843">
        <v>0</v>
      </c>
      <c r="BS2843">
        <v>0</v>
      </c>
      <c r="BT2843">
        <v>0</v>
      </c>
      <c r="BU2843">
        <v>0</v>
      </c>
      <c r="CE2843" t="str">
        <f t="shared" si="1127"/>
        <v>15:12:25.669</v>
      </c>
      <c r="CF2843">
        <v>668977174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5</v>
      </c>
      <c r="CY2843">
        <v>7</v>
      </c>
      <c r="CZ2843" t="s">
        <v>133</v>
      </c>
      <c r="DA2843">
        <v>275</v>
      </c>
      <c r="DB2843">
        <v>0</v>
      </c>
      <c r="DC2843" t="s">
        <v>134</v>
      </c>
      <c r="DD2843" t="s">
        <v>135</v>
      </c>
      <c r="DG2843">
        <v>3322105</v>
      </c>
      <c r="DI2843">
        <v>1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"05/01/2025 15:12:25.914"</f>
        <v>05/01/2025 15:12:25.914</v>
      </c>
      <c r="C2844" t="str">
        <f t="shared" si="1116"/>
        <v>FFDFD3C0</v>
      </c>
      <c r="D2844" t="s">
        <v>140</v>
      </c>
      <c r="E2844" t="str">
        <f>"13"</f>
        <v>13</v>
      </c>
      <c r="F2844">
        <v>1019</v>
      </c>
      <c r="G2844" t="s">
        <v>141</v>
      </c>
      <c r="J2844" t="s">
        <v>142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R2844" t="s">
        <v>127</v>
      </c>
      <c r="S2844" t="str">
        <f t="shared" si="1126"/>
        <v>15:12:25.000</v>
      </c>
      <c r="T2844" t="str">
        <f t="shared" si="1126"/>
        <v>15:12:25.000</v>
      </c>
      <c r="U2844" t="str">
        <f t="shared" si="1117"/>
        <v>A68FCB</v>
      </c>
      <c r="V2844">
        <v>0</v>
      </c>
      <c r="W2844">
        <v>0</v>
      </c>
      <c r="X2844">
        <v>2</v>
      </c>
      <c r="Y2844">
        <v>0</v>
      </c>
      <c r="AA2844">
        <v>1</v>
      </c>
      <c r="AB2844">
        <v>8</v>
      </c>
      <c r="AC2844">
        <v>3</v>
      </c>
      <c r="AD2844">
        <v>0</v>
      </c>
      <c r="AE2844">
        <v>9</v>
      </c>
      <c r="AF2844" t="s">
        <v>138</v>
      </c>
      <c r="AG2844">
        <v>0</v>
      </c>
      <c r="AH2844">
        <v>3</v>
      </c>
      <c r="AI2844">
        <v>2</v>
      </c>
      <c r="AJ2844">
        <v>0</v>
      </c>
      <c r="AK2844" t="s">
        <v>962</v>
      </c>
      <c r="AL2844">
        <v>39.105127000000003</v>
      </c>
      <c r="AM2844" t="s">
        <v>963</v>
      </c>
      <c r="AN2844">
        <v>-121.032858</v>
      </c>
      <c r="AO2844">
        <v>25</v>
      </c>
      <c r="AP2844">
        <v>4400</v>
      </c>
      <c r="AQ2844" t="s">
        <v>131</v>
      </c>
      <c r="AR2844">
        <v>8</v>
      </c>
      <c r="AS2844">
        <v>85</v>
      </c>
      <c r="AT2844">
        <v>-64</v>
      </c>
      <c r="BB2844" t="str">
        <f t="shared" si="1118"/>
        <v>1200</v>
      </c>
      <c r="BC2844">
        <v>1</v>
      </c>
      <c r="BD2844" t="str">
        <f t="shared" si="1119"/>
        <v xml:space="preserve">N52156  </v>
      </c>
      <c r="BE2844">
        <v>1</v>
      </c>
      <c r="BG2844">
        <v>0</v>
      </c>
      <c r="BH2844">
        <v>0</v>
      </c>
      <c r="BI2844">
        <v>0</v>
      </c>
      <c r="BJ2844">
        <v>4400</v>
      </c>
      <c r="BK2844">
        <v>0</v>
      </c>
      <c r="BL2844" t="s">
        <v>188</v>
      </c>
      <c r="BM2844">
        <v>1</v>
      </c>
      <c r="BN2844">
        <v>1</v>
      </c>
      <c r="BO2844">
        <v>0</v>
      </c>
      <c r="BP2844">
        <v>0</v>
      </c>
      <c r="BS2844">
        <v>0</v>
      </c>
      <c r="BT2844">
        <v>0</v>
      </c>
      <c r="BU2844">
        <v>0</v>
      </c>
      <c r="CE2844" t="str">
        <f t="shared" si="1127"/>
        <v>15:12:25.669</v>
      </c>
      <c r="CF2844">
        <v>668977174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5</v>
      </c>
      <c r="CY2844">
        <v>7</v>
      </c>
      <c r="CZ2844" t="s">
        <v>133</v>
      </c>
      <c r="DA2844">
        <v>275</v>
      </c>
      <c r="DB2844">
        <v>0</v>
      </c>
      <c r="DC2844" t="s">
        <v>134</v>
      </c>
      <c r="DD2844" t="s">
        <v>135</v>
      </c>
      <c r="DG2844">
        <v>3322105</v>
      </c>
      <c r="DI2844">
        <v>1</v>
      </c>
      <c r="DJ2844">
        <v>0</v>
      </c>
      <c r="DK2844">
        <v>1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"05/01/2025 15:12:25.916"</f>
        <v>05/01/2025 15:12:25.916</v>
      </c>
      <c r="C2845" t="str">
        <f t="shared" si="1116"/>
        <v>FFDFD3C0</v>
      </c>
      <c r="D2845" t="s">
        <v>124</v>
      </c>
      <c r="E2845" t="str">
        <f>"06"</f>
        <v>06</v>
      </c>
      <c r="F2845">
        <v>2006</v>
      </c>
      <c r="G2845" t="s">
        <v>125</v>
      </c>
      <c r="J2845" t="s">
        <v>126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R2845" t="s">
        <v>127</v>
      </c>
      <c r="S2845" t="str">
        <f t="shared" si="1126"/>
        <v>15:12:25.000</v>
      </c>
      <c r="T2845" t="str">
        <f t="shared" si="1126"/>
        <v>15:12:25.000</v>
      </c>
      <c r="U2845" t="str">
        <f t="shared" si="1117"/>
        <v>A68FCB</v>
      </c>
      <c r="V2845">
        <v>0</v>
      </c>
      <c r="W2845">
        <v>0</v>
      </c>
      <c r="X2845">
        <v>2</v>
      </c>
      <c r="Y2845">
        <v>0</v>
      </c>
      <c r="AA2845">
        <v>1</v>
      </c>
      <c r="AB2845">
        <v>8</v>
      </c>
      <c r="AC2845">
        <v>3</v>
      </c>
      <c r="AD2845">
        <v>0</v>
      </c>
      <c r="AE2845">
        <v>9</v>
      </c>
      <c r="AF2845" t="s">
        <v>138</v>
      </c>
      <c r="AG2845">
        <v>0</v>
      </c>
      <c r="AH2845">
        <v>3</v>
      </c>
      <c r="AI2845">
        <v>2</v>
      </c>
      <c r="AJ2845">
        <v>0</v>
      </c>
      <c r="AK2845" t="s">
        <v>962</v>
      </c>
      <c r="AL2845">
        <v>39.105127000000003</v>
      </c>
      <c r="AM2845" t="s">
        <v>963</v>
      </c>
      <c r="AN2845">
        <v>-121.032858</v>
      </c>
      <c r="AO2845">
        <v>25</v>
      </c>
      <c r="AP2845">
        <v>4400</v>
      </c>
      <c r="AQ2845" t="s">
        <v>131</v>
      </c>
      <c r="AR2845">
        <v>8</v>
      </c>
      <c r="AS2845">
        <v>85</v>
      </c>
      <c r="AT2845">
        <v>-64</v>
      </c>
      <c r="BB2845" t="str">
        <f t="shared" si="1118"/>
        <v>1200</v>
      </c>
      <c r="BC2845">
        <v>1</v>
      </c>
      <c r="BD2845" t="str">
        <f t="shared" si="1119"/>
        <v xml:space="preserve">N52156  </v>
      </c>
      <c r="BE2845">
        <v>1</v>
      </c>
      <c r="BG2845">
        <v>0</v>
      </c>
      <c r="BH2845">
        <v>0</v>
      </c>
      <c r="BI2845">
        <v>0</v>
      </c>
      <c r="BJ2845">
        <v>4400</v>
      </c>
      <c r="BK2845">
        <v>0</v>
      </c>
      <c r="BL2845" t="s">
        <v>188</v>
      </c>
      <c r="BM2845">
        <v>1</v>
      </c>
      <c r="BN2845">
        <v>1</v>
      </c>
      <c r="BO2845">
        <v>0</v>
      </c>
      <c r="BP2845">
        <v>0</v>
      </c>
      <c r="BS2845">
        <v>0</v>
      </c>
      <c r="BT2845">
        <v>0</v>
      </c>
      <c r="BU2845">
        <v>0</v>
      </c>
      <c r="CE2845" t="str">
        <f t="shared" si="1127"/>
        <v>15:12:25.669</v>
      </c>
      <c r="CF2845">
        <v>668977174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5</v>
      </c>
      <c r="CY2845">
        <v>7</v>
      </c>
      <c r="CZ2845" t="s">
        <v>133</v>
      </c>
      <c r="DA2845">
        <v>275</v>
      </c>
      <c r="DB2845">
        <v>0</v>
      </c>
      <c r="DC2845" t="s">
        <v>134</v>
      </c>
      <c r="DD2845" t="s">
        <v>135</v>
      </c>
      <c r="DG2845">
        <v>3322105</v>
      </c>
      <c r="DI2845">
        <v>1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"05/01/2025 15:12:26.829"</f>
        <v>05/01/2025 15:12:26.829</v>
      </c>
      <c r="C2846" t="str">
        <f t="shared" si="1116"/>
        <v>FFDFD3C0</v>
      </c>
      <c r="D2846" t="s">
        <v>145</v>
      </c>
      <c r="E2846" t="str">
        <f>"05"</f>
        <v>05</v>
      </c>
      <c r="H2846">
        <v>47</v>
      </c>
      <c r="I2846" t="s">
        <v>146</v>
      </c>
      <c r="J2846" t="s">
        <v>138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R2846" t="s">
        <v>127</v>
      </c>
      <c r="S2846" t="str">
        <f t="shared" ref="S2846:T2851" si="1128">"15:12:26.000"</f>
        <v>15:12:26.000</v>
      </c>
      <c r="T2846" t="str">
        <f t="shared" si="1128"/>
        <v>15:12:26.000</v>
      </c>
      <c r="U2846" t="str">
        <f t="shared" si="1117"/>
        <v>A68FCB</v>
      </c>
      <c r="V2846">
        <v>0</v>
      </c>
      <c r="W2846">
        <v>0</v>
      </c>
      <c r="X2846">
        <v>2</v>
      </c>
      <c r="Y2846">
        <v>0</v>
      </c>
      <c r="AA2846">
        <v>1</v>
      </c>
      <c r="AB2846">
        <v>8</v>
      </c>
      <c r="AC2846">
        <v>3</v>
      </c>
      <c r="AD2846">
        <v>0</v>
      </c>
      <c r="AE2846">
        <v>9</v>
      </c>
      <c r="AF2846" t="s">
        <v>138</v>
      </c>
      <c r="AG2846">
        <v>0</v>
      </c>
      <c r="AH2846">
        <v>3</v>
      </c>
      <c r="AI2846">
        <v>2</v>
      </c>
      <c r="AJ2846">
        <v>0</v>
      </c>
      <c r="AK2846" t="s">
        <v>964</v>
      </c>
      <c r="AL2846">
        <v>39.105513000000002</v>
      </c>
      <c r="AM2846" t="s">
        <v>965</v>
      </c>
      <c r="AN2846">
        <v>-121.032794</v>
      </c>
      <c r="AO2846">
        <v>25</v>
      </c>
      <c r="AP2846">
        <v>4400</v>
      </c>
      <c r="AQ2846" t="s">
        <v>131</v>
      </c>
      <c r="AR2846">
        <v>8</v>
      </c>
      <c r="AS2846">
        <v>85</v>
      </c>
      <c r="AT2846">
        <v>-64</v>
      </c>
      <c r="BB2846" t="str">
        <f t="shared" si="1118"/>
        <v>1200</v>
      </c>
      <c r="BC2846">
        <v>1</v>
      </c>
      <c r="BD2846" t="str">
        <f t="shared" si="1119"/>
        <v xml:space="preserve">N52156  </v>
      </c>
      <c r="BE2846">
        <v>1</v>
      </c>
      <c r="BG2846">
        <v>0</v>
      </c>
      <c r="BH2846">
        <v>0</v>
      </c>
      <c r="BI2846">
        <v>0</v>
      </c>
      <c r="BJ2846">
        <v>4400</v>
      </c>
      <c r="BK2846">
        <v>0</v>
      </c>
      <c r="BL2846" t="s">
        <v>188</v>
      </c>
      <c r="BM2846">
        <v>1</v>
      </c>
      <c r="BN2846">
        <v>1</v>
      </c>
      <c r="BO2846">
        <v>0</v>
      </c>
      <c r="BP2846">
        <v>0</v>
      </c>
      <c r="BS2846">
        <v>0</v>
      </c>
      <c r="BT2846">
        <v>0</v>
      </c>
      <c r="BU2846">
        <v>0</v>
      </c>
      <c r="CE2846" t="str">
        <f t="shared" ref="CE2846:CE2851" si="1129">"15:12:26.625"</f>
        <v>15:12:26.625</v>
      </c>
      <c r="CF2846">
        <v>625227110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5</v>
      </c>
      <c r="CY2846">
        <v>7</v>
      </c>
      <c r="CZ2846" t="s">
        <v>133</v>
      </c>
      <c r="DA2846">
        <v>275</v>
      </c>
      <c r="DB2846">
        <v>0</v>
      </c>
      <c r="DC2846" t="s">
        <v>134</v>
      </c>
      <c r="DD2846" t="s">
        <v>135</v>
      </c>
      <c r="DG2846">
        <v>3322111</v>
      </c>
      <c r="DI2846">
        <v>1</v>
      </c>
      <c r="DJ2846">
        <v>0</v>
      </c>
      <c r="DK2846">
        <v>0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"05/01/2025 15:12:26.829"</f>
        <v>05/01/2025 15:12:26.829</v>
      </c>
      <c r="C2847" t="str">
        <f t="shared" si="1116"/>
        <v>FFDFD3C0</v>
      </c>
      <c r="D2847" t="s">
        <v>145</v>
      </c>
      <c r="E2847" t="str">
        <f>"09"</f>
        <v>09</v>
      </c>
      <c r="H2847">
        <v>51</v>
      </c>
      <c r="I2847" t="s">
        <v>147</v>
      </c>
      <c r="J2847" t="s">
        <v>138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R2847" t="s">
        <v>127</v>
      </c>
      <c r="S2847" t="str">
        <f t="shared" si="1128"/>
        <v>15:12:26.000</v>
      </c>
      <c r="T2847" t="str">
        <f t="shared" si="1128"/>
        <v>15:12:26.000</v>
      </c>
      <c r="U2847" t="str">
        <f t="shared" si="1117"/>
        <v>A68FCB</v>
      </c>
      <c r="V2847">
        <v>0</v>
      </c>
      <c r="W2847">
        <v>0</v>
      </c>
      <c r="X2847">
        <v>2</v>
      </c>
      <c r="Y2847">
        <v>0</v>
      </c>
      <c r="AA2847">
        <v>1</v>
      </c>
      <c r="AB2847">
        <v>8</v>
      </c>
      <c r="AC2847">
        <v>3</v>
      </c>
      <c r="AD2847">
        <v>0</v>
      </c>
      <c r="AE2847">
        <v>9</v>
      </c>
      <c r="AF2847" t="s">
        <v>138</v>
      </c>
      <c r="AG2847">
        <v>0</v>
      </c>
      <c r="AH2847">
        <v>3</v>
      </c>
      <c r="AI2847">
        <v>2</v>
      </c>
      <c r="AJ2847">
        <v>0</v>
      </c>
      <c r="AK2847" t="s">
        <v>964</v>
      </c>
      <c r="AL2847">
        <v>39.105513000000002</v>
      </c>
      <c r="AM2847" t="s">
        <v>965</v>
      </c>
      <c r="AN2847">
        <v>-121.032794</v>
      </c>
      <c r="AO2847">
        <v>25</v>
      </c>
      <c r="AP2847">
        <v>4400</v>
      </c>
      <c r="AQ2847" t="s">
        <v>131</v>
      </c>
      <c r="AR2847">
        <v>8</v>
      </c>
      <c r="AS2847">
        <v>85</v>
      </c>
      <c r="AT2847">
        <v>-64</v>
      </c>
      <c r="BB2847" t="str">
        <f t="shared" si="1118"/>
        <v>1200</v>
      </c>
      <c r="BC2847">
        <v>1</v>
      </c>
      <c r="BD2847" t="str">
        <f t="shared" si="1119"/>
        <v xml:space="preserve">N52156  </v>
      </c>
      <c r="BE2847">
        <v>1</v>
      </c>
      <c r="BG2847">
        <v>0</v>
      </c>
      <c r="BH2847">
        <v>0</v>
      </c>
      <c r="BI2847">
        <v>0</v>
      </c>
      <c r="BJ2847">
        <v>4400</v>
      </c>
      <c r="BK2847">
        <v>0</v>
      </c>
      <c r="BL2847" t="s">
        <v>188</v>
      </c>
      <c r="BM2847">
        <v>1</v>
      </c>
      <c r="BN2847">
        <v>1</v>
      </c>
      <c r="BO2847">
        <v>0</v>
      </c>
      <c r="BP2847">
        <v>0</v>
      </c>
      <c r="BS2847">
        <v>0</v>
      </c>
      <c r="BT2847">
        <v>0</v>
      </c>
      <c r="BU2847">
        <v>0</v>
      </c>
      <c r="CE2847" t="str">
        <f t="shared" si="1129"/>
        <v>15:12:26.625</v>
      </c>
      <c r="CF2847">
        <v>625227110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5</v>
      </c>
      <c r="CY2847">
        <v>7</v>
      </c>
      <c r="CZ2847" t="s">
        <v>133</v>
      </c>
      <c r="DA2847">
        <v>275</v>
      </c>
      <c r="DB2847">
        <v>0</v>
      </c>
      <c r="DC2847" t="s">
        <v>134</v>
      </c>
      <c r="DD2847" t="s">
        <v>135</v>
      </c>
      <c r="DG2847">
        <v>3322111</v>
      </c>
      <c r="DI2847">
        <v>1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"05/01/2025 15:12:26.840"</f>
        <v>05/01/2025 15:12:26.840</v>
      </c>
      <c r="C2848" t="str">
        <f t="shared" si="1116"/>
        <v>FFDFD3C0</v>
      </c>
      <c r="D2848" t="s">
        <v>136</v>
      </c>
      <c r="E2848" t="str">
        <f>"20"</f>
        <v>20</v>
      </c>
      <c r="H2848">
        <v>400</v>
      </c>
      <c r="I2848" t="s">
        <v>137</v>
      </c>
      <c r="J2848" t="s">
        <v>138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R2848" t="s">
        <v>127</v>
      </c>
      <c r="S2848" t="str">
        <f t="shared" si="1128"/>
        <v>15:12:26.000</v>
      </c>
      <c r="T2848" t="str">
        <f t="shared" si="1128"/>
        <v>15:12:26.000</v>
      </c>
      <c r="U2848" t="str">
        <f t="shared" si="1117"/>
        <v>A68FCB</v>
      </c>
      <c r="V2848">
        <v>0</v>
      </c>
      <c r="W2848">
        <v>0</v>
      </c>
      <c r="X2848">
        <v>2</v>
      </c>
      <c r="Y2848">
        <v>0</v>
      </c>
      <c r="AA2848">
        <v>1</v>
      </c>
      <c r="AB2848">
        <v>8</v>
      </c>
      <c r="AC2848">
        <v>3</v>
      </c>
      <c r="AD2848">
        <v>0</v>
      </c>
      <c r="AE2848">
        <v>9</v>
      </c>
      <c r="AF2848" t="s">
        <v>138</v>
      </c>
      <c r="AG2848">
        <v>0</v>
      </c>
      <c r="AH2848">
        <v>3</v>
      </c>
      <c r="AI2848">
        <v>2</v>
      </c>
      <c r="AJ2848">
        <v>0</v>
      </c>
      <c r="AK2848" t="s">
        <v>964</v>
      </c>
      <c r="AL2848">
        <v>39.105513000000002</v>
      </c>
      <c r="AM2848" t="s">
        <v>965</v>
      </c>
      <c r="AN2848">
        <v>-121.032794</v>
      </c>
      <c r="AO2848">
        <v>25</v>
      </c>
      <c r="AP2848">
        <v>4400</v>
      </c>
      <c r="AQ2848" t="s">
        <v>131</v>
      </c>
      <c r="AR2848">
        <v>8</v>
      </c>
      <c r="AS2848">
        <v>85</v>
      </c>
      <c r="AT2848">
        <v>-64</v>
      </c>
      <c r="BB2848" t="str">
        <f t="shared" si="1118"/>
        <v>1200</v>
      </c>
      <c r="BC2848">
        <v>1</v>
      </c>
      <c r="BD2848" t="str">
        <f t="shared" si="1119"/>
        <v xml:space="preserve">N52156  </v>
      </c>
      <c r="BE2848">
        <v>1</v>
      </c>
      <c r="BG2848">
        <v>0</v>
      </c>
      <c r="BH2848">
        <v>0</v>
      </c>
      <c r="BI2848">
        <v>0</v>
      </c>
      <c r="BJ2848">
        <v>4400</v>
      </c>
      <c r="BK2848">
        <v>0</v>
      </c>
      <c r="BL2848" t="s">
        <v>188</v>
      </c>
      <c r="BM2848">
        <v>1</v>
      </c>
      <c r="BN2848">
        <v>1</v>
      </c>
      <c r="BO2848">
        <v>0</v>
      </c>
      <c r="BP2848">
        <v>0</v>
      </c>
      <c r="BS2848">
        <v>0</v>
      </c>
      <c r="BT2848">
        <v>0</v>
      </c>
      <c r="BU2848">
        <v>0</v>
      </c>
      <c r="CE2848" t="str">
        <f t="shared" si="1129"/>
        <v>15:12:26.625</v>
      </c>
      <c r="CF2848">
        <v>625227110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5</v>
      </c>
      <c r="CY2848">
        <v>7</v>
      </c>
      <c r="CZ2848" t="s">
        <v>133</v>
      </c>
      <c r="DA2848">
        <v>275</v>
      </c>
      <c r="DB2848">
        <v>0</v>
      </c>
      <c r="DC2848" t="s">
        <v>134</v>
      </c>
      <c r="DD2848" t="s">
        <v>135</v>
      </c>
      <c r="DG2848">
        <v>3322111</v>
      </c>
      <c r="DI2848">
        <v>1</v>
      </c>
      <c r="DJ2848">
        <v>0</v>
      </c>
      <c r="DK2848">
        <v>1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"05/01/2025 15:12:26.849"</f>
        <v>05/01/2025 15:12:26.849</v>
      </c>
      <c r="C2849" t="str">
        <f t="shared" si="1116"/>
        <v>FFDFD3C0</v>
      </c>
      <c r="D2849" t="s">
        <v>143</v>
      </c>
      <c r="E2849" t="str">
        <f>"05"</f>
        <v>05</v>
      </c>
      <c r="H2849">
        <v>172</v>
      </c>
      <c r="I2849" t="s">
        <v>141</v>
      </c>
      <c r="J2849" t="s">
        <v>144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R2849" t="s">
        <v>127</v>
      </c>
      <c r="S2849" t="str">
        <f t="shared" si="1128"/>
        <v>15:12:26.000</v>
      </c>
      <c r="T2849" t="str">
        <f t="shared" si="1128"/>
        <v>15:12:26.000</v>
      </c>
      <c r="U2849" t="str">
        <f t="shared" si="1117"/>
        <v>A68FCB</v>
      </c>
      <c r="V2849">
        <v>0</v>
      </c>
      <c r="W2849">
        <v>0</v>
      </c>
      <c r="X2849">
        <v>2</v>
      </c>
      <c r="Y2849">
        <v>0</v>
      </c>
      <c r="AA2849">
        <v>1</v>
      </c>
      <c r="AB2849">
        <v>8</v>
      </c>
      <c r="AC2849">
        <v>3</v>
      </c>
      <c r="AD2849">
        <v>0</v>
      </c>
      <c r="AE2849">
        <v>9</v>
      </c>
      <c r="AF2849" t="s">
        <v>138</v>
      </c>
      <c r="AG2849">
        <v>0</v>
      </c>
      <c r="AH2849">
        <v>3</v>
      </c>
      <c r="AI2849">
        <v>2</v>
      </c>
      <c r="AJ2849">
        <v>0</v>
      </c>
      <c r="AK2849" t="s">
        <v>964</v>
      </c>
      <c r="AL2849">
        <v>39.105513000000002</v>
      </c>
      <c r="AM2849" t="s">
        <v>965</v>
      </c>
      <c r="AN2849">
        <v>-121.032794</v>
      </c>
      <c r="AO2849">
        <v>25</v>
      </c>
      <c r="AP2849">
        <v>4400</v>
      </c>
      <c r="AQ2849" t="s">
        <v>131</v>
      </c>
      <c r="AR2849">
        <v>8</v>
      </c>
      <c r="AS2849">
        <v>85</v>
      </c>
      <c r="AT2849">
        <v>-64</v>
      </c>
      <c r="BB2849" t="str">
        <f t="shared" si="1118"/>
        <v>1200</v>
      </c>
      <c r="BC2849">
        <v>1</v>
      </c>
      <c r="BD2849" t="str">
        <f t="shared" si="1119"/>
        <v xml:space="preserve">N52156  </v>
      </c>
      <c r="BE2849">
        <v>1</v>
      </c>
      <c r="BG2849">
        <v>0</v>
      </c>
      <c r="BH2849">
        <v>0</v>
      </c>
      <c r="BI2849">
        <v>0</v>
      </c>
      <c r="BJ2849">
        <v>4400</v>
      </c>
      <c r="BK2849">
        <v>0</v>
      </c>
      <c r="BL2849" t="s">
        <v>188</v>
      </c>
      <c r="BM2849">
        <v>1</v>
      </c>
      <c r="BN2849">
        <v>1</v>
      </c>
      <c r="BO2849">
        <v>0</v>
      </c>
      <c r="BP2849">
        <v>0</v>
      </c>
      <c r="BS2849">
        <v>0</v>
      </c>
      <c r="BT2849">
        <v>0</v>
      </c>
      <c r="BU2849">
        <v>0</v>
      </c>
      <c r="CE2849" t="str">
        <f t="shared" si="1129"/>
        <v>15:12:26.625</v>
      </c>
      <c r="CF2849">
        <v>625227110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5</v>
      </c>
      <c r="CY2849">
        <v>7</v>
      </c>
      <c r="CZ2849" t="s">
        <v>133</v>
      </c>
      <c r="DA2849">
        <v>275</v>
      </c>
      <c r="DB2849">
        <v>0</v>
      </c>
      <c r="DC2849" t="s">
        <v>134</v>
      </c>
      <c r="DD2849" t="s">
        <v>135</v>
      </c>
      <c r="DG2849">
        <v>3322111</v>
      </c>
      <c r="DI2849">
        <v>1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"05/01/2025 15:12:26.867"</f>
        <v>05/01/2025 15:12:26.867</v>
      </c>
      <c r="C2850" t="str">
        <f t="shared" si="1116"/>
        <v>FFDFD3C0</v>
      </c>
      <c r="D2850" t="s">
        <v>124</v>
      </c>
      <c r="E2850" t="str">
        <f>"06"</f>
        <v>06</v>
      </c>
      <c r="F2850">
        <v>2006</v>
      </c>
      <c r="G2850" t="s">
        <v>125</v>
      </c>
      <c r="J2850" t="s">
        <v>126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R2850" t="s">
        <v>127</v>
      </c>
      <c r="S2850" t="str">
        <f t="shared" si="1128"/>
        <v>15:12:26.000</v>
      </c>
      <c r="T2850" t="str">
        <f t="shared" si="1128"/>
        <v>15:12:26.000</v>
      </c>
      <c r="U2850" t="str">
        <f t="shared" si="1117"/>
        <v>A68FCB</v>
      </c>
      <c r="V2850">
        <v>0</v>
      </c>
      <c r="W2850">
        <v>0</v>
      </c>
      <c r="X2850">
        <v>2</v>
      </c>
      <c r="Y2850">
        <v>0</v>
      </c>
      <c r="AA2850">
        <v>1</v>
      </c>
      <c r="AB2850">
        <v>8</v>
      </c>
      <c r="AC2850">
        <v>3</v>
      </c>
      <c r="AD2850">
        <v>0</v>
      </c>
      <c r="AE2850">
        <v>9</v>
      </c>
      <c r="AF2850" t="s">
        <v>138</v>
      </c>
      <c r="AG2850">
        <v>0</v>
      </c>
      <c r="AH2850">
        <v>3</v>
      </c>
      <c r="AI2850">
        <v>2</v>
      </c>
      <c r="AJ2850">
        <v>0</v>
      </c>
      <c r="AK2850" t="s">
        <v>964</v>
      </c>
      <c r="AL2850">
        <v>39.105513000000002</v>
      </c>
      <c r="AM2850" t="s">
        <v>965</v>
      </c>
      <c r="AN2850">
        <v>-121.032794</v>
      </c>
      <c r="AO2850">
        <v>25</v>
      </c>
      <c r="AP2850">
        <v>4400</v>
      </c>
      <c r="AQ2850" t="s">
        <v>131</v>
      </c>
      <c r="AR2850">
        <v>8</v>
      </c>
      <c r="AS2850">
        <v>85</v>
      </c>
      <c r="AT2850">
        <v>-64</v>
      </c>
      <c r="BB2850" t="str">
        <f t="shared" si="1118"/>
        <v>1200</v>
      </c>
      <c r="BC2850">
        <v>1</v>
      </c>
      <c r="BD2850" t="str">
        <f t="shared" si="1119"/>
        <v xml:space="preserve">N52156  </v>
      </c>
      <c r="BE2850">
        <v>1</v>
      </c>
      <c r="BG2850">
        <v>0</v>
      </c>
      <c r="BH2850">
        <v>0</v>
      </c>
      <c r="BI2850">
        <v>0</v>
      </c>
      <c r="BJ2850">
        <v>4400</v>
      </c>
      <c r="BK2850">
        <v>0</v>
      </c>
      <c r="BL2850" t="s">
        <v>188</v>
      </c>
      <c r="BM2850">
        <v>1</v>
      </c>
      <c r="BN2850">
        <v>1</v>
      </c>
      <c r="BO2850">
        <v>0</v>
      </c>
      <c r="BP2850">
        <v>0</v>
      </c>
      <c r="BS2850">
        <v>0</v>
      </c>
      <c r="BT2850">
        <v>0</v>
      </c>
      <c r="BU2850">
        <v>0</v>
      </c>
      <c r="CE2850" t="str">
        <f t="shared" si="1129"/>
        <v>15:12:26.625</v>
      </c>
      <c r="CF2850">
        <v>625227110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5</v>
      </c>
      <c r="CY2850">
        <v>7</v>
      </c>
      <c r="CZ2850" t="s">
        <v>133</v>
      </c>
      <c r="DA2850">
        <v>275</v>
      </c>
      <c r="DB2850">
        <v>0</v>
      </c>
      <c r="DC2850" t="s">
        <v>134</v>
      </c>
      <c r="DD2850" t="s">
        <v>135</v>
      </c>
      <c r="DG2850">
        <v>3322111</v>
      </c>
      <c r="DI2850">
        <v>1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"05/01/2025 15:12:26.866"</f>
        <v>05/01/2025 15:12:26.866</v>
      </c>
      <c r="C2851" t="str">
        <f t="shared" si="1116"/>
        <v>FFDFD3C0</v>
      </c>
      <c r="D2851" t="s">
        <v>140</v>
      </c>
      <c r="E2851" t="str">
        <f>"13"</f>
        <v>13</v>
      </c>
      <c r="F2851">
        <v>1019</v>
      </c>
      <c r="G2851" t="s">
        <v>141</v>
      </c>
      <c r="J2851" t="s">
        <v>142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R2851" t="s">
        <v>127</v>
      </c>
      <c r="S2851" t="str">
        <f t="shared" si="1128"/>
        <v>15:12:26.000</v>
      </c>
      <c r="T2851" t="str">
        <f t="shared" si="1128"/>
        <v>15:12:26.000</v>
      </c>
      <c r="U2851" t="str">
        <f t="shared" si="1117"/>
        <v>A68FCB</v>
      </c>
      <c r="V2851">
        <v>0</v>
      </c>
      <c r="W2851">
        <v>0</v>
      </c>
      <c r="X2851">
        <v>2</v>
      </c>
      <c r="Y2851">
        <v>0</v>
      </c>
      <c r="AA2851">
        <v>1</v>
      </c>
      <c r="AB2851">
        <v>8</v>
      </c>
      <c r="AC2851">
        <v>3</v>
      </c>
      <c r="AD2851">
        <v>0</v>
      </c>
      <c r="AE2851">
        <v>9</v>
      </c>
      <c r="AF2851" t="s">
        <v>138</v>
      </c>
      <c r="AG2851">
        <v>0</v>
      </c>
      <c r="AH2851">
        <v>3</v>
      </c>
      <c r="AI2851">
        <v>2</v>
      </c>
      <c r="AJ2851">
        <v>0</v>
      </c>
      <c r="AK2851" t="s">
        <v>964</v>
      </c>
      <c r="AL2851">
        <v>39.105513000000002</v>
      </c>
      <c r="AM2851" t="s">
        <v>965</v>
      </c>
      <c r="AN2851">
        <v>-121.032794</v>
      </c>
      <c r="AO2851">
        <v>25</v>
      </c>
      <c r="AP2851">
        <v>4400</v>
      </c>
      <c r="AQ2851" t="s">
        <v>131</v>
      </c>
      <c r="AR2851">
        <v>8</v>
      </c>
      <c r="AS2851">
        <v>85</v>
      </c>
      <c r="AT2851">
        <v>-64</v>
      </c>
      <c r="BB2851" t="str">
        <f t="shared" si="1118"/>
        <v>1200</v>
      </c>
      <c r="BC2851">
        <v>1</v>
      </c>
      <c r="BD2851" t="str">
        <f t="shared" si="1119"/>
        <v xml:space="preserve">N52156  </v>
      </c>
      <c r="BE2851">
        <v>1</v>
      </c>
      <c r="BG2851">
        <v>0</v>
      </c>
      <c r="BH2851">
        <v>0</v>
      </c>
      <c r="BI2851">
        <v>0</v>
      </c>
      <c r="BJ2851">
        <v>4400</v>
      </c>
      <c r="BK2851">
        <v>0</v>
      </c>
      <c r="BL2851" t="s">
        <v>188</v>
      </c>
      <c r="BM2851">
        <v>1</v>
      </c>
      <c r="BN2851">
        <v>1</v>
      </c>
      <c r="BO2851">
        <v>0</v>
      </c>
      <c r="BP2851">
        <v>0</v>
      </c>
      <c r="BS2851">
        <v>0</v>
      </c>
      <c r="BT2851">
        <v>0</v>
      </c>
      <c r="BU2851">
        <v>0</v>
      </c>
      <c r="CE2851" t="str">
        <f t="shared" si="1129"/>
        <v>15:12:26.625</v>
      </c>
      <c r="CF2851">
        <v>625227110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5</v>
      </c>
      <c r="CY2851">
        <v>7</v>
      </c>
      <c r="CZ2851" t="s">
        <v>133</v>
      </c>
      <c r="DA2851">
        <v>275</v>
      </c>
      <c r="DB2851">
        <v>0</v>
      </c>
      <c r="DC2851" t="s">
        <v>134</v>
      </c>
      <c r="DD2851" t="s">
        <v>135</v>
      </c>
      <c r="DG2851">
        <v>3322111</v>
      </c>
      <c r="DI2851">
        <v>1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"05/01/2025 15:12:27.967"</f>
        <v>05/01/2025 15:12:27.967</v>
      </c>
      <c r="C2852" t="str">
        <f t="shared" si="1116"/>
        <v>FFDFD3C0</v>
      </c>
      <c r="D2852" t="s">
        <v>140</v>
      </c>
      <c r="E2852" t="str">
        <f>"13"</f>
        <v>13</v>
      </c>
      <c r="F2852">
        <v>1019</v>
      </c>
      <c r="G2852" t="s">
        <v>141</v>
      </c>
      <c r="J2852" t="s">
        <v>142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R2852" t="s">
        <v>127</v>
      </c>
      <c r="S2852" t="str">
        <f t="shared" ref="S2852:T2857" si="1130">"15:12:27.000"</f>
        <v>15:12:27.000</v>
      </c>
      <c r="T2852" t="str">
        <f t="shared" si="1130"/>
        <v>15:12:27.000</v>
      </c>
      <c r="U2852" t="str">
        <f t="shared" si="1117"/>
        <v>A68FCB</v>
      </c>
      <c r="V2852">
        <v>0</v>
      </c>
      <c r="W2852">
        <v>0</v>
      </c>
      <c r="X2852">
        <v>2</v>
      </c>
      <c r="Y2852">
        <v>0</v>
      </c>
      <c r="AA2852">
        <v>1</v>
      </c>
      <c r="AB2852">
        <v>8</v>
      </c>
      <c r="AC2852">
        <v>3</v>
      </c>
      <c r="AD2852">
        <v>0</v>
      </c>
      <c r="AE2852">
        <v>9</v>
      </c>
      <c r="AF2852" t="s">
        <v>138</v>
      </c>
      <c r="AG2852">
        <v>0</v>
      </c>
      <c r="AH2852">
        <v>3</v>
      </c>
      <c r="AI2852">
        <v>2</v>
      </c>
      <c r="AJ2852">
        <v>0</v>
      </c>
      <c r="AK2852" t="s">
        <v>966</v>
      </c>
      <c r="AL2852">
        <v>39.105921000000002</v>
      </c>
      <c r="AM2852" t="s">
        <v>967</v>
      </c>
      <c r="AN2852">
        <v>-121.032751</v>
      </c>
      <c r="AO2852">
        <v>25</v>
      </c>
      <c r="AP2852">
        <v>4400</v>
      </c>
      <c r="AQ2852" t="s">
        <v>131</v>
      </c>
      <c r="AR2852">
        <v>8</v>
      </c>
      <c r="AS2852">
        <v>85</v>
      </c>
      <c r="AT2852">
        <v>0</v>
      </c>
      <c r="BB2852" t="str">
        <f t="shared" si="1118"/>
        <v>1200</v>
      </c>
      <c r="BC2852">
        <v>1</v>
      </c>
      <c r="BD2852" t="str">
        <f t="shared" si="1119"/>
        <v xml:space="preserve">N52156  </v>
      </c>
      <c r="BE2852">
        <v>1</v>
      </c>
      <c r="BG2852">
        <v>0</v>
      </c>
      <c r="BH2852">
        <v>0</v>
      </c>
      <c r="BI2852">
        <v>0</v>
      </c>
      <c r="BJ2852">
        <v>4400</v>
      </c>
      <c r="BK2852">
        <v>0</v>
      </c>
      <c r="BL2852" t="s">
        <v>188</v>
      </c>
      <c r="BM2852">
        <v>1</v>
      </c>
      <c r="BN2852">
        <v>1</v>
      </c>
      <c r="BO2852">
        <v>0</v>
      </c>
      <c r="BP2852">
        <v>0</v>
      </c>
      <c r="BS2852">
        <v>0</v>
      </c>
      <c r="BT2852">
        <v>0</v>
      </c>
      <c r="BU2852">
        <v>0</v>
      </c>
      <c r="CE2852" t="str">
        <f t="shared" ref="CE2852:CE2857" si="1131">"15:12:27.763"</f>
        <v>15:12:27.763</v>
      </c>
      <c r="CF2852">
        <v>763477571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5</v>
      </c>
      <c r="CY2852">
        <v>7</v>
      </c>
      <c r="CZ2852" t="s">
        <v>133</v>
      </c>
      <c r="DA2852">
        <v>275</v>
      </c>
      <c r="DB2852">
        <v>0</v>
      </c>
      <c r="DC2852" t="s">
        <v>134</v>
      </c>
      <c r="DD2852" t="s">
        <v>135</v>
      </c>
      <c r="DG2852">
        <v>3322122</v>
      </c>
      <c r="DI2852">
        <v>1</v>
      </c>
      <c r="DJ2852">
        <v>0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"05/01/2025 15:12:27.969"</f>
        <v>05/01/2025 15:12:27.969</v>
      </c>
      <c r="C2853" t="str">
        <f t="shared" si="1116"/>
        <v>FFDFD3C0</v>
      </c>
      <c r="D2853" t="s">
        <v>124</v>
      </c>
      <c r="E2853" t="str">
        <f>"06"</f>
        <v>06</v>
      </c>
      <c r="F2853">
        <v>2006</v>
      </c>
      <c r="G2853" t="s">
        <v>125</v>
      </c>
      <c r="J2853" t="s">
        <v>126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R2853" t="s">
        <v>127</v>
      </c>
      <c r="S2853" t="str">
        <f t="shared" si="1130"/>
        <v>15:12:27.000</v>
      </c>
      <c r="T2853" t="str">
        <f t="shared" si="1130"/>
        <v>15:12:27.000</v>
      </c>
      <c r="U2853" t="str">
        <f t="shared" si="1117"/>
        <v>A68FCB</v>
      </c>
      <c r="V2853">
        <v>0</v>
      </c>
      <c r="W2853">
        <v>0</v>
      </c>
      <c r="X2853">
        <v>2</v>
      </c>
      <c r="Y2853">
        <v>0</v>
      </c>
      <c r="AA2853">
        <v>1</v>
      </c>
      <c r="AB2853">
        <v>8</v>
      </c>
      <c r="AC2853">
        <v>3</v>
      </c>
      <c r="AD2853">
        <v>0</v>
      </c>
      <c r="AE2853">
        <v>9</v>
      </c>
      <c r="AF2853" t="s">
        <v>138</v>
      </c>
      <c r="AG2853">
        <v>0</v>
      </c>
      <c r="AH2853">
        <v>3</v>
      </c>
      <c r="AI2853">
        <v>2</v>
      </c>
      <c r="AJ2853">
        <v>0</v>
      </c>
      <c r="AK2853" t="s">
        <v>966</v>
      </c>
      <c r="AL2853">
        <v>39.105921000000002</v>
      </c>
      <c r="AM2853" t="s">
        <v>967</v>
      </c>
      <c r="AN2853">
        <v>-121.032751</v>
      </c>
      <c r="AO2853">
        <v>25</v>
      </c>
      <c r="AP2853">
        <v>4400</v>
      </c>
      <c r="AQ2853" t="s">
        <v>131</v>
      </c>
      <c r="AR2853">
        <v>8</v>
      </c>
      <c r="AS2853">
        <v>85</v>
      </c>
      <c r="AT2853">
        <v>0</v>
      </c>
      <c r="BB2853" t="str">
        <f t="shared" si="1118"/>
        <v>1200</v>
      </c>
      <c r="BC2853">
        <v>1</v>
      </c>
      <c r="BD2853" t="str">
        <f t="shared" si="1119"/>
        <v xml:space="preserve">N52156  </v>
      </c>
      <c r="BE2853">
        <v>1</v>
      </c>
      <c r="BG2853">
        <v>0</v>
      </c>
      <c r="BH2853">
        <v>0</v>
      </c>
      <c r="BI2853">
        <v>0</v>
      </c>
      <c r="BJ2853">
        <v>4400</v>
      </c>
      <c r="BK2853">
        <v>0</v>
      </c>
      <c r="BL2853" t="s">
        <v>188</v>
      </c>
      <c r="BM2853">
        <v>1</v>
      </c>
      <c r="BN2853">
        <v>1</v>
      </c>
      <c r="BO2853">
        <v>0</v>
      </c>
      <c r="BP2853">
        <v>0</v>
      </c>
      <c r="BS2853">
        <v>0</v>
      </c>
      <c r="BT2853">
        <v>0</v>
      </c>
      <c r="BU2853">
        <v>0</v>
      </c>
      <c r="CE2853" t="str">
        <f t="shared" si="1131"/>
        <v>15:12:27.763</v>
      </c>
      <c r="CF2853">
        <v>763477571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5</v>
      </c>
      <c r="CY2853">
        <v>7</v>
      </c>
      <c r="CZ2853" t="s">
        <v>133</v>
      </c>
      <c r="DA2853">
        <v>275</v>
      </c>
      <c r="DB2853">
        <v>0</v>
      </c>
      <c r="DC2853" t="s">
        <v>134</v>
      </c>
      <c r="DD2853" t="s">
        <v>135</v>
      </c>
      <c r="DG2853">
        <v>3322122</v>
      </c>
      <c r="DI2853">
        <v>1</v>
      </c>
      <c r="DJ2853">
        <v>0</v>
      </c>
      <c r="DK2853">
        <v>1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>"05/01/2025 15:12:27.981"</f>
        <v>05/01/2025 15:12:27.981</v>
      </c>
      <c r="C2854" t="str">
        <f t="shared" si="1116"/>
        <v>FFDFD3C0</v>
      </c>
      <c r="D2854" t="s">
        <v>145</v>
      </c>
      <c r="E2854" t="str">
        <f>"05"</f>
        <v>05</v>
      </c>
      <c r="H2854">
        <v>47</v>
      </c>
      <c r="I2854" t="s">
        <v>146</v>
      </c>
      <c r="J2854" t="s">
        <v>138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R2854" t="s">
        <v>127</v>
      </c>
      <c r="S2854" t="str">
        <f t="shared" si="1130"/>
        <v>15:12:27.000</v>
      </c>
      <c r="T2854" t="str">
        <f t="shared" si="1130"/>
        <v>15:12:27.000</v>
      </c>
      <c r="U2854" t="str">
        <f t="shared" si="1117"/>
        <v>A68FCB</v>
      </c>
      <c r="V2854">
        <v>0</v>
      </c>
      <c r="W2854">
        <v>0</v>
      </c>
      <c r="X2854">
        <v>2</v>
      </c>
      <c r="Y2854">
        <v>0</v>
      </c>
      <c r="AA2854">
        <v>1</v>
      </c>
      <c r="AB2854">
        <v>8</v>
      </c>
      <c r="AC2854">
        <v>3</v>
      </c>
      <c r="AD2854">
        <v>0</v>
      </c>
      <c r="AE2854">
        <v>9</v>
      </c>
      <c r="AF2854" t="s">
        <v>138</v>
      </c>
      <c r="AG2854">
        <v>0</v>
      </c>
      <c r="AH2854">
        <v>3</v>
      </c>
      <c r="AI2854">
        <v>2</v>
      </c>
      <c r="AJ2854">
        <v>0</v>
      </c>
      <c r="AK2854" t="s">
        <v>966</v>
      </c>
      <c r="AL2854">
        <v>39.105921000000002</v>
      </c>
      <c r="AM2854" t="s">
        <v>967</v>
      </c>
      <c r="AN2854">
        <v>-121.032751</v>
      </c>
      <c r="AO2854">
        <v>25</v>
      </c>
      <c r="AP2854">
        <v>4400</v>
      </c>
      <c r="AQ2854" t="s">
        <v>131</v>
      </c>
      <c r="AR2854">
        <v>8</v>
      </c>
      <c r="AS2854">
        <v>85</v>
      </c>
      <c r="AT2854">
        <v>0</v>
      </c>
      <c r="BB2854" t="str">
        <f t="shared" si="1118"/>
        <v>1200</v>
      </c>
      <c r="BC2854">
        <v>1</v>
      </c>
      <c r="BD2854" t="str">
        <f t="shared" si="1119"/>
        <v xml:space="preserve">N52156  </v>
      </c>
      <c r="BE2854">
        <v>1</v>
      </c>
      <c r="BG2854">
        <v>0</v>
      </c>
      <c r="BH2854">
        <v>0</v>
      </c>
      <c r="BI2854">
        <v>0</v>
      </c>
      <c r="BJ2854">
        <v>4400</v>
      </c>
      <c r="BK2854">
        <v>0</v>
      </c>
      <c r="BL2854" t="s">
        <v>188</v>
      </c>
      <c r="BM2854">
        <v>1</v>
      </c>
      <c r="BN2854">
        <v>1</v>
      </c>
      <c r="BO2854">
        <v>0</v>
      </c>
      <c r="BP2854">
        <v>0</v>
      </c>
      <c r="BS2854">
        <v>0</v>
      </c>
      <c r="BT2854">
        <v>0</v>
      </c>
      <c r="BU2854">
        <v>0</v>
      </c>
      <c r="CE2854" t="str">
        <f t="shared" si="1131"/>
        <v>15:12:27.763</v>
      </c>
      <c r="CF2854">
        <v>763477571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5</v>
      </c>
      <c r="CY2854">
        <v>7</v>
      </c>
      <c r="CZ2854" t="s">
        <v>133</v>
      </c>
      <c r="DA2854">
        <v>275</v>
      </c>
      <c r="DB2854">
        <v>0</v>
      </c>
      <c r="DC2854" t="s">
        <v>134</v>
      </c>
      <c r="DD2854" t="s">
        <v>135</v>
      </c>
      <c r="DG2854">
        <v>3322122</v>
      </c>
      <c r="DI2854">
        <v>1</v>
      </c>
      <c r="DJ2854">
        <v>0</v>
      </c>
      <c r="DK2854">
        <v>1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>"05/01/2025 15:12:27.982"</f>
        <v>05/01/2025 15:12:27.982</v>
      </c>
      <c r="C2855" t="str">
        <f t="shared" si="1116"/>
        <v>FFDFD3C0</v>
      </c>
      <c r="D2855" t="s">
        <v>145</v>
      </c>
      <c r="E2855" t="str">
        <f>"09"</f>
        <v>09</v>
      </c>
      <c r="H2855">
        <v>51</v>
      </c>
      <c r="I2855" t="s">
        <v>147</v>
      </c>
      <c r="J2855" t="s">
        <v>138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R2855" t="s">
        <v>127</v>
      </c>
      <c r="S2855" t="str">
        <f t="shared" si="1130"/>
        <v>15:12:27.000</v>
      </c>
      <c r="T2855" t="str">
        <f t="shared" si="1130"/>
        <v>15:12:27.000</v>
      </c>
      <c r="U2855" t="str">
        <f t="shared" si="1117"/>
        <v>A68FCB</v>
      </c>
      <c r="V2855">
        <v>0</v>
      </c>
      <c r="W2855">
        <v>0</v>
      </c>
      <c r="X2855">
        <v>2</v>
      </c>
      <c r="Y2855">
        <v>0</v>
      </c>
      <c r="AA2855">
        <v>1</v>
      </c>
      <c r="AB2855">
        <v>8</v>
      </c>
      <c r="AC2855">
        <v>3</v>
      </c>
      <c r="AD2855">
        <v>0</v>
      </c>
      <c r="AE2855">
        <v>9</v>
      </c>
      <c r="AF2855" t="s">
        <v>138</v>
      </c>
      <c r="AG2855">
        <v>0</v>
      </c>
      <c r="AH2855">
        <v>3</v>
      </c>
      <c r="AI2855">
        <v>2</v>
      </c>
      <c r="AJ2855">
        <v>0</v>
      </c>
      <c r="AK2855" t="s">
        <v>966</v>
      </c>
      <c r="AL2855">
        <v>39.105921000000002</v>
      </c>
      <c r="AM2855" t="s">
        <v>967</v>
      </c>
      <c r="AN2855">
        <v>-121.032751</v>
      </c>
      <c r="AO2855">
        <v>25</v>
      </c>
      <c r="AP2855">
        <v>4400</v>
      </c>
      <c r="AQ2855" t="s">
        <v>131</v>
      </c>
      <c r="AR2855">
        <v>8</v>
      </c>
      <c r="AS2855">
        <v>85</v>
      </c>
      <c r="AT2855">
        <v>0</v>
      </c>
      <c r="BB2855" t="str">
        <f t="shared" si="1118"/>
        <v>1200</v>
      </c>
      <c r="BC2855">
        <v>1</v>
      </c>
      <c r="BD2855" t="str">
        <f t="shared" si="1119"/>
        <v xml:space="preserve">N52156  </v>
      </c>
      <c r="BE2855">
        <v>1</v>
      </c>
      <c r="BG2855">
        <v>0</v>
      </c>
      <c r="BH2855">
        <v>0</v>
      </c>
      <c r="BI2855">
        <v>0</v>
      </c>
      <c r="BJ2855">
        <v>4400</v>
      </c>
      <c r="BK2855">
        <v>0</v>
      </c>
      <c r="BL2855" t="s">
        <v>188</v>
      </c>
      <c r="BM2855">
        <v>1</v>
      </c>
      <c r="BN2855">
        <v>1</v>
      </c>
      <c r="BO2855">
        <v>0</v>
      </c>
      <c r="BP2855">
        <v>0</v>
      </c>
      <c r="BS2855">
        <v>0</v>
      </c>
      <c r="BT2855">
        <v>0</v>
      </c>
      <c r="BU2855">
        <v>0</v>
      </c>
      <c r="CE2855" t="str">
        <f t="shared" si="1131"/>
        <v>15:12:27.763</v>
      </c>
      <c r="CF2855">
        <v>763477571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133</v>
      </c>
      <c r="DA2855">
        <v>275</v>
      </c>
      <c r="DB2855">
        <v>0</v>
      </c>
      <c r="DC2855" t="s">
        <v>134</v>
      </c>
      <c r="DD2855" t="s">
        <v>135</v>
      </c>
      <c r="DG2855">
        <v>3322122</v>
      </c>
      <c r="DI2855">
        <v>1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>"05/01/2025 15:12:27.992"</f>
        <v>05/01/2025 15:12:27.992</v>
      </c>
      <c r="C2856" t="str">
        <f t="shared" si="1116"/>
        <v>FFDFD3C0</v>
      </c>
      <c r="D2856" t="s">
        <v>136</v>
      </c>
      <c r="E2856" t="str">
        <f>"20"</f>
        <v>20</v>
      </c>
      <c r="H2856">
        <v>400</v>
      </c>
      <c r="I2856" t="s">
        <v>137</v>
      </c>
      <c r="J2856" t="s">
        <v>138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R2856" t="s">
        <v>127</v>
      </c>
      <c r="S2856" t="str">
        <f t="shared" si="1130"/>
        <v>15:12:27.000</v>
      </c>
      <c r="T2856" t="str">
        <f t="shared" si="1130"/>
        <v>15:12:27.000</v>
      </c>
      <c r="U2856" t="str">
        <f t="shared" si="1117"/>
        <v>A68FCB</v>
      </c>
      <c r="V2856">
        <v>0</v>
      </c>
      <c r="W2856">
        <v>0</v>
      </c>
      <c r="X2856">
        <v>2</v>
      </c>
      <c r="Y2856">
        <v>0</v>
      </c>
      <c r="AA2856">
        <v>1</v>
      </c>
      <c r="AB2856">
        <v>8</v>
      </c>
      <c r="AC2856">
        <v>3</v>
      </c>
      <c r="AD2856">
        <v>0</v>
      </c>
      <c r="AE2856">
        <v>9</v>
      </c>
      <c r="AF2856" t="s">
        <v>138</v>
      </c>
      <c r="AG2856">
        <v>0</v>
      </c>
      <c r="AH2856">
        <v>3</v>
      </c>
      <c r="AI2856">
        <v>2</v>
      </c>
      <c r="AJ2856">
        <v>0</v>
      </c>
      <c r="AK2856" t="s">
        <v>966</v>
      </c>
      <c r="AL2856">
        <v>39.105921000000002</v>
      </c>
      <c r="AM2856" t="s">
        <v>967</v>
      </c>
      <c r="AN2856">
        <v>-121.032751</v>
      </c>
      <c r="AO2856">
        <v>25</v>
      </c>
      <c r="AP2856">
        <v>4400</v>
      </c>
      <c r="AQ2856" t="s">
        <v>131</v>
      </c>
      <c r="AR2856">
        <v>8</v>
      </c>
      <c r="AS2856">
        <v>85</v>
      </c>
      <c r="AT2856">
        <v>0</v>
      </c>
      <c r="BB2856" t="str">
        <f t="shared" si="1118"/>
        <v>1200</v>
      </c>
      <c r="BC2856">
        <v>1</v>
      </c>
      <c r="BD2856" t="str">
        <f t="shared" si="1119"/>
        <v xml:space="preserve">N52156  </v>
      </c>
      <c r="BE2856">
        <v>1</v>
      </c>
      <c r="BG2856">
        <v>0</v>
      </c>
      <c r="BH2856">
        <v>0</v>
      </c>
      <c r="BI2856">
        <v>0</v>
      </c>
      <c r="BJ2856">
        <v>4400</v>
      </c>
      <c r="BK2856">
        <v>0</v>
      </c>
      <c r="BL2856" t="s">
        <v>188</v>
      </c>
      <c r="BM2856">
        <v>1</v>
      </c>
      <c r="BN2856">
        <v>1</v>
      </c>
      <c r="BO2856">
        <v>0</v>
      </c>
      <c r="BP2856">
        <v>0</v>
      </c>
      <c r="BS2856">
        <v>0</v>
      </c>
      <c r="BT2856">
        <v>0</v>
      </c>
      <c r="BU2856">
        <v>0</v>
      </c>
      <c r="CE2856" t="str">
        <f t="shared" si="1131"/>
        <v>15:12:27.763</v>
      </c>
      <c r="CF2856">
        <v>763477571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5</v>
      </c>
      <c r="CY2856">
        <v>7</v>
      </c>
      <c r="CZ2856" t="s">
        <v>133</v>
      </c>
      <c r="DA2856">
        <v>275</v>
      </c>
      <c r="DB2856">
        <v>0</v>
      </c>
      <c r="DC2856" t="s">
        <v>134</v>
      </c>
      <c r="DD2856" t="s">
        <v>135</v>
      </c>
      <c r="DG2856">
        <v>3322122</v>
      </c>
      <c r="DI2856">
        <v>1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>"05/01/2025 15:12:28.001"</f>
        <v>05/01/2025 15:12:28.001</v>
      </c>
      <c r="C2857" t="str">
        <f t="shared" si="1116"/>
        <v>FFDFD3C0</v>
      </c>
      <c r="D2857" t="s">
        <v>143</v>
      </c>
      <c r="E2857" t="str">
        <f>"05"</f>
        <v>05</v>
      </c>
      <c r="H2857">
        <v>172</v>
      </c>
      <c r="I2857" t="s">
        <v>141</v>
      </c>
      <c r="J2857" t="s">
        <v>144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R2857" t="s">
        <v>127</v>
      </c>
      <c r="S2857" t="str">
        <f t="shared" si="1130"/>
        <v>15:12:27.000</v>
      </c>
      <c r="T2857" t="str">
        <f t="shared" si="1130"/>
        <v>15:12:27.000</v>
      </c>
      <c r="U2857" t="str">
        <f t="shared" si="1117"/>
        <v>A68FCB</v>
      </c>
      <c r="V2857">
        <v>0</v>
      </c>
      <c r="W2857">
        <v>0</v>
      </c>
      <c r="X2857">
        <v>2</v>
      </c>
      <c r="Y2857">
        <v>0</v>
      </c>
      <c r="AA2857">
        <v>1</v>
      </c>
      <c r="AB2857">
        <v>8</v>
      </c>
      <c r="AC2857">
        <v>3</v>
      </c>
      <c r="AD2857">
        <v>0</v>
      </c>
      <c r="AE2857">
        <v>9</v>
      </c>
      <c r="AF2857" t="s">
        <v>138</v>
      </c>
      <c r="AG2857">
        <v>0</v>
      </c>
      <c r="AH2857">
        <v>3</v>
      </c>
      <c r="AI2857">
        <v>2</v>
      </c>
      <c r="AJ2857">
        <v>0</v>
      </c>
      <c r="AK2857" t="s">
        <v>966</v>
      </c>
      <c r="AL2857">
        <v>39.105921000000002</v>
      </c>
      <c r="AM2857" t="s">
        <v>967</v>
      </c>
      <c r="AN2857">
        <v>-121.032751</v>
      </c>
      <c r="AO2857">
        <v>25</v>
      </c>
      <c r="AP2857">
        <v>4400</v>
      </c>
      <c r="AQ2857" t="s">
        <v>131</v>
      </c>
      <c r="AR2857">
        <v>8</v>
      </c>
      <c r="AS2857">
        <v>85</v>
      </c>
      <c r="AT2857">
        <v>0</v>
      </c>
      <c r="BB2857" t="str">
        <f t="shared" si="1118"/>
        <v>1200</v>
      </c>
      <c r="BC2857">
        <v>1</v>
      </c>
      <c r="BD2857" t="str">
        <f t="shared" si="1119"/>
        <v xml:space="preserve">N52156  </v>
      </c>
      <c r="BE2857">
        <v>1</v>
      </c>
      <c r="BG2857">
        <v>0</v>
      </c>
      <c r="BH2857">
        <v>0</v>
      </c>
      <c r="BI2857">
        <v>0</v>
      </c>
      <c r="BJ2857">
        <v>4400</v>
      </c>
      <c r="BK2857">
        <v>0</v>
      </c>
      <c r="BL2857" t="s">
        <v>188</v>
      </c>
      <c r="BM2857">
        <v>1</v>
      </c>
      <c r="BN2857">
        <v>1</v>
      </c>
      <c r="BO2857">
        <v>0</v>
      </c>
      <c r="BP2857">
        <v>0</v>
      </c>
      <c r="BS2857">
        <v>0</v>
      </c>
      <c r="BT2857">
        <v>0</v>
      </c>
      <c r="BU2857">
        <v>0</v>
      </c>
      <c r="CE2857" t="str">
        <f t="shared" si="1131"/>
        <v>15:12:27.763</v>
      </c>
      <c r="CF2857">
        <v>763477571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5</v>
      </c>
      <c r="CY2857">
        <v>7</v>
      </c>
      <c r="CZ2857" t="s">
        <v>133</v>
      </c>
      <c r="DA2857">
        <v>275</v>
      </c>
      <c r="DB2857">
        <v>0</v>
      </c>
      <c r="DC2857" t="s">
        <v>134</v>
      </c>
      <c r="DD2857" t="s">
        <v>135</v>
      </c>
      <c r="DG2857">
        <v>3322122</v>
      </c>
      <c r="DI2857">
        <v>1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>"05/01/2025 15:12:28.583"</f>
        <v>05/01/2025 15:12:28.583</v>
      </c>
      <c r="C2858" t="str">
        <f t="shared" si="1116"/>
        <v>FFDFD3C0</v>
      </c>
      <c r="D2858" t="s">
        <v>145</v>
      </c>
      <c r="E2858" t="str">
        <f>"09"</f>
        <v>09</v>
      </c>
      <c r="H2858">
        <v>51</v>
      </c>
      <c r="I2858" t="s">
        <v>147</v>
      </c>
      <c r="J2858" t="s">
        <v>138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R2858" t="s">
        <v>127</v>
      </c>
      <c r="S2858" t="str">
        <f t="shared" ref="S2858:T2863" si="1132">"15:12:28.000"</f>
        <v>15:12:28.000</v>
      </c>
      <c r="T2858" t="str">
        <f t="shared" si="1132"/>
        <v>15:12:28.000</v>
      </c>
      <c r="U2858" t="str">
        <f t="shared" si="1117"/>
        <v>A68FCB</v>
      </c>
      <c r="V2858">
        <v>0</v>
      </c>
      <c r="W2858">
        <v>0</v>
      </c>
      <c r="X2858">
        <v>2</v>
      </c>
      <c r="Y2858">
        <v>0</v>
      </c>
      <c r="AA2858">
        <v>1</v>
      </c>
      <c r="AB2858">
        <v>8</v>
      </c>
      <c r="AC2858">
        <v>3</v>
      </c>
      <c r="AD2858">
        <v>0</v>
      </c>
      <c r="AE2858">
        <v>9</v>
      </c>
      <c r="AF2858" t="s">
        <v>138</v>
      </c>
      <c r="AG2858">
        <v>0</v>
      </c>
      <c r="AH2858">
        <v>3</v>
      </c>
      <c r="AI2858">
        <v>2</v>
      </c>
      <c r="AJ2858">
        <v>0</v>
      </c>
      <c r="AK2858" t="s">
        <v>968</v>
      </c>
      <c r="AL2858">
        <v>39.106307000000001</v>
      </c>
      <c r="AM2858" t="s">
        <v>969</v>
      </c>
      <c r="AN2858">
        <v>-121.032708</v>
      </c>
      <c r="AO2858">
        <v>25</v>
      </c>
      <c r="AP2858">
        <v>4400</v>
      </c>
      <c r="AQ2858" t="s">
        <v>131</v>
      </c>
      <c r="AR2858">
        <v>7</v>
      </c>
      <c r="AS2858">
        <v>85</v>
      </c>
      <c r="AT2858">
        <v>0</v>
      </c>
      <c r="BB2858" t="str">
        <f t="shared" si="1118"/>
        <v>1200</v>
      </c>
      <c r="BC2858">
        <v>1</v>
      </c>
      <c r="BD2858" t="str">
        <f t="shared" si="1119"/>
        <v xml:space="preserve">N52156  </v>
      </c>
      <c r="BE2858">
        <v>1</v>
      </c>
      <c r="BG2858">
        <v>0</v>
      </c>
      <c r="BH2858">
        <v>0</v>
      </c>
      <c r="BI2858">
        <v>0</v>
      </c>
      <c r="BJ2858">
        <v>4400</v>
      </c>
      <c r="BK2858">
        <v>0</v>
      </c>
      <c r="BL2858" t="s">
        <v>188</v>
      </c>
      <c r="BM2858">
        <v>1</v>
      </c>
      <c r="BN2858">
        <v>1</v>
      </c>
      <c r="BO2858">
        <v>0</v>
      </c>
      <c r="BP2858">
        <v>0</v>
      </c>
      <c r="BS2858">
        <v>0</v>
      </c>
      <c r="BT2858">
        <v>0</v>
      </c>
      <c r="BU2858">
        <v>0</v>
      </c>
      <c r="CE2858" t="str">
        <f t="shared" ref="CE2858:CE2863" si="1133">"15:12:28.329"</f>
        <v>15:12:28.329</v>
      </c>
      <c r="CF2858">
        <v>328976500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5</v>
      </c>
      <c r="CY2858">
        <v>7</v>
      </c>
      <c r="CZ2858" t="s">
        <v>133</v>
      </c>
      <c r="DA2858">
        <v>275</v>
      </c>
      <c r="DB2858">
        <v>0</v>
      </c>
      <c r="DC2858" t="s">
        <v>134</v>
      </c>
      <c r="DD2858" t="s">
        <v>135</v>
      </c>
      <c r="DG2858">
        <v>3322125</v>
      </c>
      <c r="DI2858">
        <v>1</v>
      </c>
      <c r="DJ2858">
        <v>0</v>
      </c>
      <c r="DK2858">
        <v>0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>"05/01/2025 15:12:28.582"</f>
        <v>05/01/2025 15:12:28.582</v>
      </c>
      <c r="C2859" t="str">
        <f t="shared" si="1116"/>
        <v>FFDFD3C0</v>
      </c>
      <c r="D2859" t="s">
        <v>145</v>
      </c>
      <c r="E2859" t="str">
        <f>"05"</f>
        <v>05</v>
      </c>
      <c r="H2859">
        <v>47</v>
      </c>
      <c r="I2859" t="s">
        <v>146</v>
      </c>
      <c r="J2859" t="s">
        <v>138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R2859" t="s">
        <v>127</v>
      </c>
      <c r="S2859" t="str">
        <f t="shared" si="1132"/>
        <v>15:12:28.000</v>
      </c>
      <c r="T2859" t="str">
        <f t="shared" si="1132"/>
        <v>15:12:28.000</v>
      </c>
      <c r="U2859" t="str">
        <f t="shared" si="1117"/>
        <v>A68FCB</v>
      </c>
      <c r="V2859">
        <v>0</v>
      </c>
      <c r="W2859">
        <v>0</v>
      </c>
      <c r="X2859">
        <v>2</v>
      </c>
      <c r="Y2859">
        <v>0</v>
      </c>
      <c r="AA2859">
        <v>1</v>
      </c>
      <c r="AB2859">
        <v>8</v>
      </c>
      <c r="AC2859">
        <v>3</v>
      </c>
      <c r="AD2859">
        <v>0</v>
      </c>
      <c r="AE2859">
        <v>9</v>
      </c>
      <c r="AF2859" t="s">
        <v>138</v>
      </c>
      <c r="AG2859">
        <v>0</v>
      </c>
      <c r="AH2859">
        <v>3</v>
      </c>
      <c r="AI2859">
        <v>2</v>
      </c>
      <c r="AJ2859">
        <v>0</v>
      </c>
      <c r="AK2859" t="s">
        <v>968</v>
      </c>
      <c r="AL2859">
        <v>39.106307000000001</v>
      </c>
      <c r="AM2859" t="s">
        <v>969</v>
      </c>
      <c r="AN2859">
        <v>-121.032708</v>
      </c>
      <c r="AO2859">
        <v>25</v>
      </c>
      <c r="AP2859">
        <v>4400</v>
      </c>
      <c r="AQ2859" t="s">
        <v>131</v>
      </c>
      <c r="AR2859">
        <v>7</v>
      </c>
      <c r="AS2859">
        <v>85</v>
      </c>
      <c r="AT2859">
        <v>0</v>
      </c>
      <c r="BB2859" t="str">
        <f t="shared" si="1118"/>
        <v>1200</v>
      </c>
      <c r="BC2859">
        <v>1</v>
      </c>
      <c r="BD2859" t="str">
        <f t="shared" si="1119"/>
        <v xml:space="preserve">N52156  </v>
      </c>
      <c r="BE2859">
        <v>1</v>
      </c>
      <c r="BG2859">
        <v>0</v>
      </c>
      <c r="BH2859">
        <v>0</v>
      </c>
      <c r="BI2859">
        <v>0</v>
      </c>
      <c r="BJ2859">
        <v>4400</v>
      </c>
      <c r="BK2859">
        <v>0</v>
      </c>
      <c r="BL2859" t="s">
        <v>188</v>
      </c>
      <c r="BM2859">
        <v>1</v>
      </c>
      <c r="BN2859">
        <v>1</v>
      </c>
      <c r="BO2859">
        <v>0</v>
      </c>
      <c r="BP2859">
        <v>0</v>
      </c>
      <c r="BS2859">
        <v>0</v>
      </c>
      <c r="BT2859">
        <v>0</v>
      </c>
      <c r="BU2859">
        <v>0</v>
      </c>
      <c r="CE2859" t="str">
        <f t="shared" si="1133"/>
        <v>15:12:28.329</v>
      </c>
      <c r="CF2859">
        <v>328976500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5</v>
      </c>
      <c r="CY2859">
        <v>7</v>
      </c>
      <c r="CZ2859" t="s">
        <v>133</v>
      </c>
      <c r="DA2859">
        <v>275</v>
      </c>
      <c r="DB2859">
        <v>0</v>
      </c>
      <c r="DC2859" t="s">
        <v>134</v>
      </c>
      <c r="DD2859" t="s">
        <v>135</v>
      </c>
      <c r="DG2859">
        <v>3322125</v>
      </c>
      <c r="DI2859">
        <v>1</v>
      </c>
      <c r="DJ2859">
        <v>0</v>
      </c>
      <c r="DK2859">
        <v>1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"05/01/2025 15:12:28.594"</f>
        <v>05/01/2025 15:12:28.594</v>
      </c>
      <c r="C2860" t="str">
        <f t="shared" si="1116"/>
        <v>FFDFD3C0</v>
      </c>
      <c r="D2860" t="s">
        <v>136</v>
      </c>
      <c r="E2860" t="str">
        <f>"20"</f>
        <v>20</v>
      </c>
      <c r="H2860">
        <v>400</v>
      </c>
      <c r="I2860" t="s">
        <v>137</v>
      </c>
      <c r="J2860" t="s">
        <v>138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R2860" t="s">
        <v>127</v>
      </c>
      <c r="S2860" t="str">
        <f t="shared" si="1132"/>
        <v>15:12:28.000</v>
      </c>
      <c r="T2860" t="str">
        <f t="shared" si="1132"/>
        <v>15:12:28.000</v>
      </c>
      <c r="U2860" t="str">
        <f t="shared" si="1117"/>
        <v>A68FCB</v>
      </c>
      <c r="V2860">
        <v>0</v>
      </c>
      <c r="W2860">
        <v>0</v>
      </c>
      <c r="X2860">
        <v>2</v>
      </c>
      <c r="Y2860">
        <v>0</v>
      </c>
      <c r="AA2860">
        <v>1</v>
      </c>
      <c r="AB2860">
        <v>8</v>
      </c>
      <c r="AC2860">
        <v>3</v>
      </c>
      <c r="AD2860">
        <v>0</v>
      </c>
      <c r="AE2860">
        <v>9</v>
      </c>
      <c r="AF2860" t="s">
        <v>138</v>
      </c>
      <c r="AG2860">
        <v>0</v>
      </c>
      <c r="AH2860">
        <v>3</v>
      </c>
      <c r="AI2860">
        <v>2</v>
      </c>
      <c r="AJ2860">
        <v>0</v>
      </c>
      <c r="AK2860" t="s">
        <v>968</v>
      </c>
      <c r="AL2860">
        <v>39.106307000000001</v>
      </c>
      <c r="AM2860" t="s">
        <v>969</v>
      </c>
      <c r="AN2860">
        <v>-121.032708</v>
      </c>
      <c r="AO2860">
        <v>25</v>
      </c>
      <c r="AP2860">
        <v>4400</v>
      </c>
      <c r="AQ2860" t="s">
        <v>131</v>
      </c>
      <c r="AR2860">
        <v>7</v>
      </c>
      <c r="AS2860">
        <v>85</v>
      </c>
      <c r="AT2860">
        <v>0</v>
      </c>
      <c r="BB2860" t="str">
        <f t="shared" si="1118"/>
        <v>1200</v>
      </c>
      <c r="BC2860">
        <v>1</v>
      </c>
      <c r="BD2860" t="str">
        <f t="shared" si="1119"/>
        <v xml:space="preserve">N52156  </v>
      </c>
      <c r="BE2860">
        <v>1</v>
      </c>
      <c r="BG2860">
        <v>0</v>
      </c>
      <c r="BH2860">
        <v>0</v>
      </c>
      <c r="BI2860">
        <v>0</v>
      </c>
      <c r="BJ2860">
        <v>4400</v>
      </c>
      <c r="BK2860">
        <v>0</v>
      </c>
      <c r="BL2860" t="s">
        <v>188</v>
      </c>
      <c r="BM2860">
        <v>1</v>
      </c>
      <c r="BN2860">
        <v>1</v>
      </c>
      <c r="BO2860">
        <v>0</v>
      </c>
      <c r="BP2860">
        <v>0</v>
      </c>
      <c r="BS2860">
        <v>0</v>
      </c>
      <c r="BT2860">
        <v>0</v>
      </c>
      <c r="BU2860">
        <v>0</v>
      </c>
      <c r="CE2860" t="str">
        <f t="shared" si="1133"/>
        <v>15:12:28.329</v>
      </c>
      <c r="CF2860">
        <v>328976500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5</v>
      </c>
      <c r="CY2860">
        <v>7</v>
      </c>
      <c r="CZ2860" t="s">
        <v>133</v>
      </c>
      <c r="DA2860">
        <v>275</v>
      </c>
      <c r="DB2860">
        <v>0</v>
      </c>
      <c r="DC2860" t="s">
        <v>134</v>
      </c>
      <c r="DD2860" t="s">
        <v>135</v>
      </c>
      <c r="DG2860">
        <v>3322125</v>
      </c>
      <c r="DI2860">
        <v>1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>"05/01/2025 15:12:28.602"</f>
        <v>05/01/2025 15:12:28.602</v>
      </c>
      <c r="C2861" t="str">
        <f t="shared" si="1116"/>
        <v>FFDFD3C0</v>
      </c>
      <c r="D2861" t="s">
        <v>143</v>
      </c>
      <c r="E2861" t="str">
        <f>"05"</f>
        <v>05</v>
      </c>
      <c r="H2861">
        <v>172</v>
      </c>
      <c r="I2861" t="s">
        <v>141</v>
      </c>
      <c r="J2861" t="s">
        <v>144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R2861" t="s">
        <v>127</v>
      </c>
      <c r="S2861" t="str">
        <f t="shared" si="1132"/>
        <v>15:12:28.000</v>
      </c>
      <c r="T2861" t="str">
        <f t="shared" si="1132"/>
        <v>15:12:28.000</v>
      </c>
      <c r="U2861" t="str">
        <f t="shared" si="1117"/>
        <v>A68FCB</v>
      </c>
      <c r="V2861">
        <v>0</v>
      </c>
      <c r="W2861">
        <v>0</v>
      </c>
      <c r="X2861">
        <v>2</v>
      </c>
      <c r="Y2861">
        <v>0</v>
      </c>
      <c r="AA2861">
        <v>1</v>
      </c>
      <c r="AB2861">
        <v>8</v>
      </c>
      <c r="AC2861">
        <v>3</v>
      </c>
      <c r="AD2861">
        <v>0</v>
      </c>
      <c r="AE2861">
        <v>9</v>
      </c>
      <c r="AF2861" t="s">
        <v>138</v>
      </c>
      <c r="AG2861">
        <v>0</v>
      </c>
      <c r="AH2861">
        <v>3</v>
      </c>
      <c r="AI2861">
        <v>2</v>
      </c>
      <c r="AJ2861">
        <v>0</v>
      </c>
      <c r="AK2861" t="s">
        <v>968</v>
      </c>
      <c r="AL2861">
        <v>39.106307000000001</v>
      </c>
      <c r="AM2861" t="s">
        <v>969</v>
      </c>
      <c r="AN2861">
        <v>-121.032708</v>
      </c>
      <c r="AO2861">
        <v>25</v>
      </c>
      <c r="AP2861">
        <v>4400</v>
      </c>
      <c r="AQ2861" t="s">
        <v>131</v>
      </c>
      <c r="AR2861">
        <v>7</v>
      </c>
      <c r="AS2861">
        <v>85</v>
      </c>
      <c r="AT2861">
        <v>0</v>
      </c>
      <c r="BB2861" t="str">
        <f t="shared" si="1118"/>
        <v>1200</v>
      </c>
      <c r="BC2861">
        <v>1</v>
      </c>
      <c r="BD2861" t="str">
        <f t="shared" si="1119"/>
        <v xml:space="preserve">N52156  </v>
      </c>
      <c r="BE2861">
        <v>1</v>
      </c>
      <c r="BG2861">
        <v>0</v>
      </c>
      <c r="BH2861">
        <v>0</v>
      </c>
      <c r="BI2861">
        <v>0</v>
      </c>
      <c r="BJ2861">
        <v>4400</v>
      </c>
      <c r="BK2861">
        <v>0</v>
      </c>
      <c r="BL2861" t="s">
        <v>188</v>
      </c>
      <c r="BM2861">
        <v>1</v>
      </c>
      <c r="BN2861">
        <v>1</v>
      </c>
      <c r="BO2861">
        <v>0</v>
      </c>
      <c r="BP2861">
        <v>0</v>
      </c>
      <c r="BS2861">
        <v>0</v>
      </c>
      <c r="BT2861">
        <v>0</v>
      </c>
      <c r="BU2861">
        <v>0</v>
      </c>
      <c r="CE2861" t="str">
        <f t="shared" si="1133"/>
        <v>15:12:28.329</v>
      </c>
      <c r="CF2861">
        <v>328976500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5</v>
      </c>
      <c r="CY2861">
        <v>7</v>
      </c>
      <c r="CZ2861" t="s">
        <v>133</v>
      </c>
      <c r="DA2861">
        <v>275</v>
      </c>
      <c r="DB2861">
        <v>0</v>
      </c>
      <c r="DC2861" t="s">
        <v>134</v>
      </c>
      <c r="DD2861" t="s">
        <v>135</v>
      </c>
      <c r="DG2861">
        <v>3322125</v>
      </c>
      <c r="DI2861">
        <v>1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>"05/01/2025 15:12:28.618"</f>
        <v>05/01/2025 15:12:28.618</v>
      </c>
      <c r="C2862" t="str">
        <f t="shared" si="1116"/>
        <v>FFDFD3C0</v>
      </c>
      <c r="D2862" t="s">
        <v>140</v>
      </c>
      <c r="E2862" t="str">
        <f>"13"</f>
        <v>13</v>
      </c>
      <c r="F2862">
        <v>1019</v>
      </c>
      <c r="G2862" t="s">
        <v>141</v>
      </c>
      <c r="J2862" t="s">
        <v>142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R2862" t="s">
        <v>127</v>
      </c>
      <c r="S2862" t="str">
        <f t="shared" si="1132"/>
        <v>15:12:28.000</v>
      </c>
      <c r="T2862" t="str">
        <f t="shared" si="1132"/>
        <v>15:12:28.000</v>
      </c>
      <c r="U2862" t="str">
        <f t="shared" si="1117"/>
        <v>A68FCB</v>
      </c>
      <c r="V2862">
        <v>0</v>
      </c>
      <c r="W2862">
        <v>0</v>
      </c>
      <c r="X2862">
        <v>2</v>
      </c>
      <c r="Y2862">
        <v>0</v>
      </c>
      <c r="AA2862">
        <v>1</v>
      </c>
      <c r="AB2862">
        <v>8</v>
      </c>
      <c r="AC2862">
        <v>3</v>
      </c>
      <c r="AD2862">
        <v>0</v>
      </c>
      <c r="AE2862">
        <v>9</v>
      </c>
      <c r="AF2862" t="s">
        <v>138</v>
      </c>
      <c r="AG2862">
        <v>0</v>
      </c>
      <c r="AH2862">
        <v>3</v>
      </c>
      <c r="AI2862">
        <v>2</v>
      </c>
      <c r="AJ2862">
        <v>0</v>
      </c>
      <c r="AK2862" t="s">
        <v>968</v>
      </c>
      <c r="AL2862">
        <v>39.106307000000001</v>
      </c>
      <c r="AM2862" t="s">
        <v>969</v>
      </c>
      <c r="AN2862">
        <v>-121.032708</v>
      </c>
      <c r="AO2862">
        <v>25</v>
      </c>
      <c r="AP2862">
        <v>4400</v>
      </c>
      <c r="AQ2862" t="s">
        <v>131</v>
      </c>
      <c r="AR2862">
        <v>7</v>
      </c>
      <c r="AS2862">
        <v>85</v>
      </c>
      <c r="AT2862">
        <v>0</v>
      </c>
      <c r="BB2862" t="str">
        <f t="shared" si="1118"/>
        <v>1200</v>
      </c>
      <c r="BC2862">
        <v>1</v>
      </c>
      <c r="BD2862" t="str">
        <f t="shared" si="1119"/>
        <v xml:space="preserve">N52156  </v>
      </c>
      <c r="BE2862">
        <v>1</v>
      </c>
      <c r="BG2862">
        <v>0</v>
      </c>
      <c r="BH2862">
        <v>0</v>
      </c>
      <c r="BI2862">
        <v>0</v>
      </c>
      <c r="BJ2862">
        <v>4400</v>
      </c>
      <c r="BK2862">
        <v>0</v>
      </c>
      <c r="BL2862" t="s">
        <v>188</v>
      </c>
      <c r="BM2862">
        <v>1</v>
      </c>
      <c r="BN2862">
        <v>1</v>
      </c>
      <c r="BO2862">
        <v>0</v>
      </c>
      <c r="BP2862">
        <v>0</v>
      </c>
      <c r="BS2862">
        <v>0</v>
      </c>
      <c r="BT2862">
        <v>0</v>
      </c>
      <c r="BU2862">
        <v>0</v>
      </c>
      <c r="CE2862" t="str">
        <f t="shared" si="1133"/>
        <v>15:12:28.329</v>
      </c>
      <c r="CF2862">
        <v>328976500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5</v>
      </c>
      <c r="CY2862">
        <v>7</v>
      </c>
      <c r="CZ2862" t="s">
        <v>133</v>
      </c>
      <c r="DA2862">
        <v>275</v>
      </c>
      <c r="DB2862">
        <v>0</v>
      </c>
      <c r="DC2862" t="s">
        <v>134</v>
      </c>
      <c r="DD2862" t="s">
        <v>135</v>
      </c>
      <c r="DG2862">
        <v>3322125</v>
      </c>
      <c r="DI2862">
        <v>1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>"05/01/2025 15:12:28.619"</f>
        <v>05/01/2025 15:12:28.619</v>
      </c>
      <c r="C2863" t="str">
        <f t="shared" si="1116"/>
        <v>FFDFD3C0</v>
      </c>
      <c r="D2863" t="s">
        <v>124</v>
      </c>
      <c r="E2863" t="str">
        <f>"06"</f>
        <v>06</v>
      </c>
      <c r="F2863">
        <v>2006</v>
      </c>
      <c r="G2863" t="s">
        <v>125</v>
      </c>
      <c r="J2863" t="s">
        <v>126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R2863" t="s">
        <v>127</v>
      </c>
      <c r="S2863" t="str">
        <f t="shared" si="1132"/>
        <v>15:12:28.000</v>
      </c>
      <c r="T2863" t="str">
        <f t="shared" si="1132"/>
        <v>15:12:28.000</v>
      </c>
      <c r="U2863" t="str">
        <f t="shared" si="1117"/>
        <v>A68FCB</v>
      </c>
      <c r="V2863">
        <v>0</v>
      </c>
      <c r="W2863">
        <v>0</v>
      </c>
      <c r="X2863">
        <v>2</v>
      </c>
      <c r="Y2863">
        <v>0</v>
      </c>
      <c r="AA2863">
        <v>1</v>
      </c>
      <c r="AB2863">
        <v>8</v>
      </c>
      <c r="AC2863">
        <v>3</v>
      </c>
      <c r="AD2863">
        <v>0</v>
      </c>
      <c r="AE2863">
        <v>9</v>
      </c>
      <c r="AF2863" t="s">
        <v>138</v>
      </c>
      <c r="AG2863">
        <v>0</v>
      </c>
      <c r="AH2863">
        <v>3</v>
      </c>
      <c r="AI2863">
        <v>2</v>
      </c>
      <c r="AJ2863">
        <v>0</v>
      </c>
      <c r="AK2863" t="s">
        <v>968</v>
      </c>
      <c r="AL2863">
        <v>39.106307000000001</v>
      </c>
      <c r="AM2863" t="s">
        <v>969</v>
      </c>
      <c r="AN2863">
        <v>-121.032708</v>
      </c>
      <c r="AO2863">
        <v>25</v>
      </c>
      <c r="AP2863">
        <v>4400</v>
      </c>
      <c r="AQ2863" t="s">
        <v>131</v>
      </c>
      <c r="AR2863">
        <v>7</v>
      </c>
      <c r="AS2863">
        <v>85</v>
      </c>
      <c r="AT2863">
        <v>0</v>
      </c>
      <c r="BB2863" t="str">
        <f t="shared" si="1118"/>
        <v>1200</v>
      </c>
      <c r="BC2863">
        <v>1</v>
      </c>
      <c r="BD2863" t="str">
        <f t="shared" si="1119"/>
        <v xml:space="preserve">N52156  </v>
      </c>
      <c r="BE2863">
        <v>1</v>
      </c>
      <c r="BG2863">
        <v>0</v>
      </c>
      <c r="BH2863">
        <v>0</v>
      </c>
      <c r="BI2863">
        <v>0</v>
      </c>
      <c r="BJ2863">
        <v>4400</v>
      </c>
      <c r="BK2863">
        <v>0</v>
      </c>
      <c r="BL2863" t="s">
        <v>188</v>
      </c>
      <c r="BM2863">
        <v>1</v>
      </c>
      <c r="BN2863">
        <v>1</v>
      </c>
      <c r="BO2863">
        <v>0</v>
      </c>
      <c r="BP2863">
        <v>0</v>
      </c>
      <c r="BS2863">
        <v>0</v>
      </c>
      <c r="BT2863">
        <v>0</v>
      </c>
      <c r="BU2863">
        <v>0</v>
      </c>
      <c r="CE2863" t="str">
        <f t="shared" si="1133"/>
        <v>15:12:28.329</v>
      </c>
      <c r="CF2863">
        <v>328976500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5</v>
      </c>
      <c r="CY2863">
        <v>7</v>
      </c>
      <c r="CZ2863" t="s">
        <v>133</v>
      </c>
      <c r="DA2863">
        <v>275</v>
      </c>
      <c r="DB2863">
        <v>0</v>
      </c>
      <c r="DC2863" t="s">
        <v>134</v>
      </c>
      <c r="DD2863" t="s">
        <v>135</v>
      </c>
      <c r="DG2863">
        <v>3322125</v>
      </c>
      <c r="DI2863">
        <v>1</v>
      </c>
      <c r="DJ2863">
        <v>0</v>
      </c>
      <c r="DK2863">
        <v>1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>"05/01/2025 15:12:29.484"</f>
        <v>05/01/2025 15:12:29.484</v>
      </c>
      <c r="C2864" t="str">
        <f t="shared" si="1116"/>
        <v>FFDFD3C0</v>
      </c>
      <c r="D2864" t="s">
        <v>145</v>
      </c>
      <c r="E2864" t="str">
        <f>"09"</f>
        <v>09</v>
      </c>
      <c r="H2864">
        <v>51</v>
      </c>
      <c r="I2864" t="s">
        <v>147</v>
      </c>
      <c r="J2864" t="s">
        <v>138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R2864" t="s">
        <v>127</v>
      </c>
      <c r="S2864" t="str">
        <f t="shared" ref="S2864:T2869" si="1134">"15:12:29.000"</f>
        <v>15:12:29.000</v>
      </c>
      <c r="T2864" t="str">
        <f t="shared" si="1134"/>
        <v>15:12:29.000</v>
      </c>
      <c r="U2864" t="str">
        <f t="shared" si="1117"/>
        <v>A68FCB</v>
      </c>
      <c r="V2864">
        <v>0</v>
      </c>
      <c r="W2864">
        <v>0</v>
      </c>
      <c r="X2864">
        <v>2</v>
      </c>
      <c r="Y2864">
        <v>0</v>
      </c>
      <c r="AA2864">
        <v>1</v>
      </c>
      <c r="AB2864">
        <v>8</v>
      </c>
      <c r="AC2864">
        <v>3</v>
      </c>
      <c r="AD2864">
        <v>0</v>
      </c>
      <c r="AE2864">
        <v>9</v>
      </c>
      <c r="AF2864" t="s">
        <v>138</v>
      </c>
      <c r="AG2864">
        <v>0</v>
      </c>
      <c r="AH2864">
        <v>3</v>
      </c>
      <c r="AI2864">
        <v>2</v>
      </c>
      <c r="AJ2864">
        <v>0</v>
      </c>
      <c r="AK2864" t="s">
        <v>970</v>
      </c>
      <c r="AL2864">
        <v>39.106715000000001</v>
      </c>
      <c r="AM2864" t="s">
        <v>971</v>
      </c>
      <c r="AN2864">
        <v>-121.03266499999999</v>
      </c>
      <c r="AO2864">
        <v>25</v>
      </c>
      <c r="AP2864">
        <v>4400</v>
      </c>
      <c r="AQ2864" t="s">
        <v>131</v>
      </c>
      <c r="AR2864">
        <v>7</v>
      </c>
      <c r="AS2864">
        <v>85</v>
      </c>
      <c r="AT2864">
        <v>0</v>
      </c>
      <c r="BB2864" t="str">
        <f t="shared" si="1118"/>
        <v>1200</v>
      </c>
      <c r="BC2864">
        <v>1</v>
      </c>
      <c r="BD2864" t="str">
        <f t="shared" si="1119"/>
        <v xml:space="preserve">N52156  </v>
      </c>
      <c r="BE2864">
        <v>1</v>
      </c>
      <c r="BG2864">
        <v>0</v>
      </c>
      <c r="BH2864">
        <v>0</v>
      </c>
      <c r="BI2864">
        <v>0</v>
      </c>
      <c r="BJ2864">
        <v>4400</v>
      </c>
      <c r="BK2864">
        <v>0</v>
      </c>
      <c r="BL2864" t="s">
        <v>188</v>
      </c>
      <c r="BM2864">
        <v>1</v>
      </c>
      <c r="BN2864">
        <v>1</v>
      </c>
      <c r="BO2864">
        <v>0</v>
      </c>
      <c r="BP2864">
        <v>0</v>
      </c>
      <c r="BS2864">
        <v>0</v>
      </c>
      <c r="BT2864">
        <v>0</v>
      </c>
      <c r="BU2864">
        <v>0</v>
      </c>
      <c r="CE2864" t="str">
        <f t="shared" ref="CE2864:CE2869" si="1135">"15:12:29.268"</f>
        <v>15:12:29.268</v>
      </c>
      <c r="CF2864">
        <v>268226426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5</v>
      </c>
      <c r="CY2864">
        <v>7</v>
      </c>
      <c r="CZ2864" t="s">
        <v>133</v>
      </c>
      <c r="DA2864">
        <v>275</v>
      </c>
      <c r="DB2864">
        <v>0</v>
      </c>
      <c r="DC2864" t="s">
        <v>134</v>
      </c>
      <c r="DD2864" t="s">
        <v>135</v>
      </c>
      <c r="DG2864">
        <v>3322132</v>
      </c>
      <c r="DI2864">
        <v>1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>"05/01/2025 15:12:29.484"</f>
        <v>05/01/2025 15:12:29.484</v>
      </c>
      <c r="C2865" t="str">
        <f t="shared" si="1116"/>
        <v>FFDFD3C0</v>
      </c>
      <c r="D2865" t="s">
        <v>145</v>
      </c>
      <c r="E2865" t="str">
        <f>"05"</f>
        <v>05</v>
      </c>
      <c r="H2865">
        <v>47</v>
      </c>
      <c r="I2865" t="s">
        <v>146</v>
      </c>
      <c r="J2865" t="s">
        <v>138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R2865" t="s">
        <v>127</v>
      </c>
      <c r="S2865" t="str">
        <f t="shared" si="1134"/>
        <v>15:12:29.000</v>
      </c>
      <c r="T2865" t="str">
        <f t="shared" si="1134"/>
        <v>15:12:29.000</v>
      </c>
      <c r="U2865" t="str">
        <f t="shared" si="1117"/>
        <v>A68FCB</v>
      </c>
      <c r="V2865">
        <v>0</v>
      </c>
      <c r="W2865">
        <v>0</v>
      </c>
      <c r="X2865">
        <v>2</v>
      </c>
      <c r="Y2865">
        <v>0</v>
      </c>
      <c r="AA2865">
        <v>1</v>
      </c>
      <c r="AB2865">
        <v>8</v>
      </c>
      <c r="AC2865">
        <v>3</v>
      </c>
      <c r="AD2865">
        <v>0</v>
      </c>
      <c r="AE2865">
        <v>9</v>
      </c>
      <c r="AF2865" t="s">
        <v>138</v>
      </c>
      <c r="AG2865">
        <v>0</v>
      </c>
      <c r="AH2865">
        <v>3</v>
      </c>
      <c r="AI2865">
        <v>2</v>
      </c>
      <c r="AJ2865">
        <v>0</v>
      </c>
      <c r="AK2865" t="s">
        <v>970</v>
      </c>
      <c r="AL2865">
        <v>39.106715000000001</v>
      </c>
      <c r="AM2865" t="s">
        <v>971</v>
      </c>
      <c r="AN2865">
        <v>-121.03266499999999</v>
      </c>
      <c r="AO2865">
        <v>25</v>
      </c>
      <c r="AP2865">
        <v>4400</v>
      </c>
      <c r="AQ2865" t="s">
        <v>131</v>
      </c>
      <c r="AR2865">
        <v>7</v>
      </c>
      <c r="AS2865">
        <v>85</v>
      </c>
      <c r="AT2865">
        <v>0</v>
      </c>
      <c r="BB2865" t="str">
        <f t="shared" si="1118"/>
        <v>1200</v>
      </c>
      <c r="BC2865">
        <v>1</v>
      </c>
      <c r="BD2865" t="str">
        <f t="shared" si="1119"/>
        <v xml:space="preserve">N52156  </v>
      </c>
      <c r="BE2865">
        <v>1</v>
      </c>
      <c r="BG2865">
        <v>0</v>
      </c>
      <c r="BH2865">
        <v>0</v>
      </c>
      <c r="BI2865">
        <v>0</v>
      </c>
      <c r="BJ2865">
        <v>4400</v>
      </c>
      <c r="BK2865">
        <v>0</v>
      </c>
      <c r="BL2865" t="s">
        <v>188</v>
      </c>
      <c r="BM2865">
        <v>1</v>
      </c>
      <c r="BN2865">
        <v>1</v>
      </c>
      <c r="BO2865">
        <v>0</v>
      </c>
      <c r="BP2865">
        <v>0</v>
      </c>
      <c r="BS2865">
        <v>0</v>
      </c>
      <c r="BT2865">
        <v>0</v>
      </c>
      <c r="BU2865">
        <v>0</v>
      </c>
      <c r="CE2865" t="str">
        <f t="shared" si="1135"/>
        <v>15:12:29.268</v>
      </c>
      <c r="CF2865">
        <v>268226426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5</v>
      </c>
      <c r="CY2865">
        <v>7</v>
      </c>
      <c r="CZ2865" t="s">
        <v>133</v>
      </c>
      <c r="DA2865">
        <v>275</v>
      </c>
      <c r="DB2865">
        <v>0</v>
      </c>
      <c r="DC2865" t="s">
        <v>134</v>
      </c>
      <c r="DD2865" t="s">
        <v>135</v>
      </c>
      <c r="DG2865">
        <v>3322132</v>
      </c>
      <c r="DI2865">
        <v>1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>"05/01/2025 15:12:29.495"</f>
        <v>05/01/2025 15:12:29.495</v>
      </c>
      <c r="C2866" t="str">
        <f t="shared" si="1116"/>
        <v>FFDFD3C0</v>
      </c>
      <c r="D2866" t="s">
        <v>136</v>
      </c>
      <c r="E2866" t="str">
        <f>"20"</f>
        <v>20</v>
      </c>
      <c r="H2866">
        <v>400</v>
      </c>
      <c r="I2866" t="s">
        <v>137</v>
      </c>
      <c r="J2866" t="s">
        <v>138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R2866" t="s">
        <v>127</v>
      </c>
      <c r="S2866" t="str">
        <f t="shared" si="1134"/>
        <v>15:12:29.000</v>
      </c>
      <c r="T2866" t="str">
        <f t="shared" si="1134"/>
        <v>15:12:29.000</v>
      </c>
      <c r="U2866" t="str">
        <f t="shared" si="1117"/>
        <v>A68FCB</v>
      </c>
      <c r="V2866">
        <v>0</v>
      </c>
      <c r="W2866">
        <v>0</v>
      </c>
      <c r="X2866">
        <v>2</v>
      </c>
      <c r="Y2866">
        <v>0</v>
      </c>
      <c r="AA2866">
        <v>1</v>
      </c>
      <c r="AB2866">
        <v>8</v>
      </c>
      <c r="AC2866">
        <v>3</v>
      </c>
      <c r="AD2866">
        <v>0</v>
      </c>
      <c r="AE2866">
        <v>9</v>
      </c>
      <c r="AF2866" t="s">
        <v>138</v>
      </c>
      <c r="AG2866">
        <v>0</v>
      </c>
      <c r="AH2866">
        <v>3</v>
      </c>
      <c r="AI2866">
        <v>2</v>
      </c>
      <c r="AJ2866">
        <v>0</v>
      </c>
      <c r="AK2866" t="s">
        <v>970</v>
      </c>
      <c r="AL2866">
        <v>39.106715000000001</v>
      </c>
      <c r="AM2866" t="s">
        <v>971</v>
      </c>
      <c r="AN2866">
        <v>-121.03266499999999</v>
      </c>
      <c r="AO2866">
        <v>25</v>
      </c>
      <c r="AP2866">
        <v>4400</v>
      </c>
      <c r="AQ2866" t="s">
        <v>131</v>
      </c>
      <c r="AR2866">
        <v>7</v>
      </c>
      <c r="AS2866">
        <v>85</v>
      </c>
      <c r="AT2866">
        <v>0</v>
      </c>
      <c r="BB2866" t="str">
        <f t="shared" si="1118"/>
        <v>1200</v>
      </c>
      <c r="BC2866">
        <v>1</v>
      </c>
      <c r="BD2866" t="str">
        <f t="shared" si="1119"/>
        <v xml:space="preserve">N52156  </v>
      </c>
      <c r="BE2866">
        <v>1</v>
      </c>
      <c r="BG2866">
        <v>0</v>
      </c>
      <c r="BH2866">
        <v>0</v>
      </c>
      <c r="BI2866">
        <v>0</v>
      </c>
      <c r="BJ2866">
        <v>4400</v>
      </c>
      <c r="BK2866">
        <v>0</v>
      </c>
      <c r="BL2866" t="s">
        <v>188</v>
      </c>
      <c r="BM2866">
        <v>1</v>
      </c>
      <c r="BN2866">
        <v>1</v>
      </c>
      <c r="BO2866">
        <v>0</v>
      </c>
      <c r="BP2866">
        <v>0</v>
      </c>
      <c r="BS2866">
        <v>0</v>
      </c>
      <c r="BT2866">
        <v>0</v>
      </c>
      <c r="BU2866">
        <v>0</v>
      </c>
      <c r="CE2866" t="str">
        <f t="shared" si="1135"/>
        <v>15:12:29.268</v>
      </c>
      <c r="CF2866">
        <v>268226426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5</v>
      </c>
      <c r="CY2866">
        <v>7</v>
      </c>
      <c r="CZ2866" t="s">
        <v>133</v>
      </c>
      <c r="DA2866">
        <v>275</v>
      </c>
      <c r="DB2866">
        <v>0</v>
      </c>
      <c r="DC2866" t="s">
        <v>134</v>
      </c>
      <c r="DD2866" t="s">
        <v>135</v>
      </c>
      <c r="DG2866">
        <v>3322132</v>
      </c>
      <c r="DI2866">
        <v>1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>"05/01/2025 15:12:29.503"</f>
        <v>05/01/2025 15:12:29.503</v>
      </c>
      <c r="C2867" t="str">
        <f t="shared" si="1116"/>
        <v>FFDFD3C0</v>
      </c>
      <c r="D2867" t="s">
        <v>143</v>
      </c>
      <c r="E2867" t="str">
        <f>"05"</f>
        <v>05</v>
      </c>
      <c r="H2867">
        <v>172</v>
      </c>
      <c r="I2867" t="s">
        <v>141</v>
      </c>
      <c r="J2867" t="s">
        <v>144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R2867" t="s">
        <v>127</v>
      </c>
      <c r="S2867" t="str">
        <f t="shared" si="1134"/>
        <v>15:12:29.000</v>
      </c>
      <c r="T2867" t="str">
        <f t="shared" si="1134"/>
        <v>15:12:29.000</v>
      </c>
      <c r="U2867" t="str">
        <f t="shared" si="1117"/>
        <v>A68FCB</v>
      </c>
      <c r="V2867">
        <v>0</v>
      </c>
      <c r="W2867">
        <v>0</v>
      </c>
      <c r="X2867">
        <v>2</v>
      </c>
      <c r="Y2867">
        <v>0</v>
      </c>
      <c r="AA2867">
        <v>1</v>
      </c>
      <c r="AB2867">
        <v>8</v>
      </c>
      <c r="AC2867">
        <v>3</v>
      </c>
      <c r="AD2867">
        <v>0</v>
      </c>
      <c r="AE2867">
        <v>9</v>
      </c>
      <c r="AF2867" t="s">
        <v>138</v>
      </c>
      <c r="AG2867">
        <v>0</v>
      </c>
      <c r="AH2867">
        <v>3</v>
      </c>
      <c r="AI2867">
        <v>2</v>
      </c>
      <c r="AJ2867">
        <v>0</v>
      </c>
      <c r="AK2867" t="s">
        <v>970</v>
      </c>
      <c r="AL2867">
        <v>39.106715000000001</v>
      </c>
      <c r="AM2867" t="s">
        <v>971</v>
      </c>
      <c r="AN2867">
        <v>-121.03266499999999</v>
      </c>
      <c r="AO2867">
        <v>25</v>
      </c>
      <c r="AP2867">
        <v>4400</v>
      </c>
      <c r="AQ2867" t="s">
        <v>131</v>
      </c>
      <c r="AR2867">
        <v>7</v>
      </c>
      <c r="AS2867">
        <v>85</v>
      </c>
      <c r="AT2867">
        <v>0</v>
      </c>
      <c r="BB2867" t="str">
        <f t="shared" si="1118"/>
        <v>1200</v>
      </c>
      <c r="BC2867">
        <v>1</v>
      </c>
      <c r="BD2867" t="str">
        <f t="shared" si="1119"/>
        <v xml:space="preserve">N52156  </v>
      </c>
      <c r="BE2867">
        <v>1</v>
      </c>
      <c r="BG2867">
        <v>0</v>
      </c>
      <c r="BH2867">
        <v>0</v>
      </c>
      <c r="BI2867">
        <v>0</v>
      </c>
      <c r="BJ2867">
        <v>4400</v>
      </c>
      <c r="BK2867">
        <v>0</v>
      </c>
      <c r="BL2867" t="s">
        <v>188</v>
      </c>
      <c r="BM2867">
        <v>1</v>
      </c>
      <c r="BN2867">
        <v>1</v>
      </c>
      <c r="BO2867">
        <v>0</v>
      </c>
      <c r="BP2867">
        <v>0</v>
      </c>
      <c r="BS2867">
        <v>0</v>
      </c>
      <c r="BT2867">
        <v>0</v>
      </c>
      <c r="BU2867">
        <v>0</v>
      </c>
      <c r="CE2867" t="str">
        <f t="shared" si="1135"/>
        <v>15:12:29.268</v>
      </c>
      <c r="CF2867">
        <v>268226426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5</v>
      </c>
      <c r="CY2867">
        <v>7</v>
      </c>
      <c r="CZ2867" t="s">
        <v>133</v>
      </c>
      <c r="DA2867">
        <v>275</v>
      </c>
      <c r="DB2867">
        <v>0</v>
      </c>
      <c r="DC2867" t="s">
        <v>134</v>
      </c>
      <c r="DD2867" t="s">
        <v>135</v>
      </c>
      <c r="DG2867">
        <v>3322132</v>
      </c>
      <c r="DI2867">
        <v>1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>"05/01/2025 15:12:29.519"</f>
        <v>05/01/2025 15:12:29.519</v>
      </c>
      <c r="C2868" t="str">
        <f t="shared" si="1116"/>
        <v>FFDFD3C0</v>
      </c>
      <c r="D2868" t="s">
        <v>140</v>
      </c>
      <c r="E2868" t="str">
        <f>"13"</f>
        <v>13</v>
      </c>
      <c r="F2868">
        <v>1019</v>
      </c>
      <c r="G2868" t="s">
        <v>141</v>
      </c>
      <c r="J2868" t="s">
        <v>142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R2868" t="s">
        <v>127</v>
      </c>
      <c r="S2868" t="str">
        <f t="shared" si="1134"/>
        <v>15:12:29.000</v>
      </c>
      <c r="T2868" t="str">
        <f t="shared" si="1134"/>
        <v>15:12:29.000</v>
      </c>
      <c r="U2868" t="str">
        <f t="shared" si="1117"/>
        <v>A68FCB</v>
      </c>
      <c r="V2868">
        <v>0</v>
      </c>
      <c r="W2868">
        <v>0</v>
      </c>
      <c r="X2868">
        <v>2</v>
      </c>
      <c r="Y2868">
        <v>0</v>
      </c>
      <c r="AA2868">
        <v>1</v>
      </c>
      <c r="AB2868">
        <v>8</v>
      </c>
      <c r="AC2868">
        <v>3</v>
      </c>
      <c r="AD2868">
        <v>0</v>
      </c>
      <c r="AE2868">
        <v>9</v>
      </c>
      <c r="AF2868" t="s">
        <v>138</v>
      </c>
      <c r="AG2868">
        <v>0</v>
      </c>
      <c r="AH2868">
        <v>3</v>
      </c>
      <c r="AI2868">
        <v>2</v>
      </c>
      <c r="AJ2868">
        <v>0</v>
      </c>
      <c r="AK2868" t="s">
        <v>970</v>
      </c>
      <c r="AL2868">
        <v>39.106715000000001</v>
      </c>
      <c r="AM2868" t="s">
        <v>971</v>
      </c>
      <c r="AN2868">
        <v>-121.03266499999999</v>
      </c>
      <c r="AO2868">
        <v>25</v>
      </c>
      <c r="AP2868">
        <v>4400</v>
      </c>
      <c r="AQ2868" t="s">
        <v>131</v>
      </c>
      <c r="AR2868">
        <v>7</v>
      </c>
      <c r="AS2868">
        <v>85</v>
      </c>
      <c r="AT2868">
        <v>0</v>
      </c>
      <c r="BB2868" t="str">
        <f t="shared" si="1118"/>
        <v>1200</v>
      </c>
      <c r="BC2868">
        <v>1</v>
      </c>
      <c r="BD2868" t="str">
        <f t="shared" si="1119"/>
        <v xml:space="preserve">N52156  </v>
      </c>
      <c r="BE2868">
        <v>1</v>
      </c>
      <c r="BG2868">
        <v>0</v>
      </c>
      <c r="BH2868">
        <v>0</v>
      </c>
      <c r="BI2868">
        <v>0</v>
      </c>
      <c r="BJ2868">
        <v>4400</v>
      </c>
      <c r="BK2868">
        <v>0</v>
      </c>
      <c r="BL2868" t="s">
        <v>188</v>
      </c>
      <c r="BM2868">
        <v>1</v>
      </c>
      <c r="BN2868">
        <v>1</v>
      </c>
      <c r="BO2868">
        <v>0</v>
      </c>
      <c r="BP2868">
        <v>0</v>
      </c>
      <c r="BS2868">
        <v>0</v>
      </c>
      <c r="BT2868">
        <v>0</v>
      </c>
      <c r="BU2868">
        <v>0</v>
      </c>
      <c r="CE2868" t="str">
        <f t="shared" si="1135"/>
        <v>15:12:29.268</v>
      </c>
      <c r="CF2868">
        <v>268226426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5</v>
      </c>
      <c r="CY2868">
        <v>7</v>
      </c>
      <c r="CZ2868" t="s">
        <v>133</v>
      </c>
      <c r="DA2868">
        <v>275</v>
      </c>
      <c r="DB2868">
        <v>0</v>
      </c>
      <c r="DC2868" t="s">
        <v>134</v>
      </c>
      <c r="DD2868" t="s">
        <v>135</v>
      </c>
      <c r="DG2868">
        <v>3322132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>"05/01/2025 15:12:29.521"</f>
        <v>05/01/2025 15:12:29.521</v>
      </c>
      <c r="C2869" t="str">
        <f t="shared" si="1116"/>
        <v>FFDFD3C0</v>
      </c>
      <c r="D2869" t="s">
        <v>124</v>
      </c>
      <c r="E2869" t="str">
        <f>"06"</f>
        <v>06</v>
      </c>
      <c r="F2869">
        <v>2006</v>
      </c>
      <c r="G2869" t="s">
        <v>125</v>
      </c>
      <c r="J2869" t="s">
        <v>126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R2869" t="s">
        <v>127</v>
      </c>
      <c r="S2869" t="str">
        <f t="shared" si="1134"/>
        <v>15:12:29.000</v>
      </c>
      <c r="T2869" t="str">
        <f t="shared" si="1134"/>
        <v>15:12:29.000</v>
      </c>
      <c r="U2869" t="str">
        <f t="shared" si="1117"/>
        <v>A68FCB</v>
      </c>
      <c r="V2869">
        <v>0</v>
      </c>
      <c r="W2869">
        <v>0</v>
      </c>
      <c r="X2869">
        <v>2</v>
      </c>
      <c r="Y2869">
        <v>0</v>
      </c>
      <c r="AA2869">
        <v>1</v>
      </c>
      <c r="AB2869">
        <v>8</v>
      </c>
      <c r="AC2869">
        <v>3</v>
      </c>
      <c r="AD2869">
        <v>0</v>
      </c>
      <c r="AE2869">
        <v>9</v>
      </c>
      <c r="AF2869" t="s">
        <v>138</v>
      </c>
      <c r="AG2869">
        <v>0</v>
      </c>
      <c r="AH2869">
        <v>3</v>
      </c>
      <c r="AI2869">
        <v>2</v>
      </c>
      <c r="AJ2869">
        <v>0</v>
      </c>
      <c r="AK2869" t="s">
        <v>970</v>
      </c>
      <c r="AL2869">
        <v>39.106715000000001</v>
      </c>
      <c r="AM2869" t="s">
        <v>971</v>
      </c>
      <c r="AN2869">
        <v>-121.03266499999999</v>
      </c>
      <c r="AO2869">
        <v>25</v>
      </c>
      <c r="AP2869">
        <v>4400</v>
      </c>
      <c r="AQ2869" t="s">
        <v>131</v>
      </c>
      <c r="AR2869">
        <v>7</v>
      </c>
      <c r="AS2869">
        <v>85</v>
      </c>
      <c r="AT2869">
        <v>0</v>
      </c>
      <c r="BB2869" t="str">
        <f t="shared" si="1118"/>
        <v>1200</v>
      </c>
      <c r="BC2869">
        <v>1</v>
      </c>
      <c r="BD2869" t="str">
        <f t="shared" si="1119"/>
        <v xml:space="preserve">N52156  </v>
      </c>
      <c r="BE2869">
        <v>1</v>
      </c>
      <c r="BG2869">
        <v>0</v>
      </c>
      <c r="BH2869">
        <v>0</v>
      </c>
      <c r="BI2869">
        <v>0</v>
      </c>
      <c r="BJ2869">
        <v>4400</v>
      </c>
      <c r="BK2869">
        <v>0</v>
      </c>
      <c r="BL2869" t="s">
        <v>188</v>
      </c>
      <c r="BM2869">
        <v>1</v>
      </c>
      <c r="BN2869">
        <v>1</v>
      </c>
      <c r="BO2869">
        <v>0</v>
      </c>
      <c r="BP2869">
        <v>0</v>
      </c>
      <c r="BS2869">
        <v>0</v>
      </c>
      <c r="BT2869">
        <v>0</v>
      </c>
      <c r="BU2869">
        <v>0</v>
      </c>
      <c r="CE2869" t="str">
        <f t="shared" si="1135"/>
        <v>15:12:29.268</v>
      </c>
      <c r="CF2869">
        <v>268226426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5</v>
      </c>
      <c r="CY2869">
        <v>7</v>
      </c>
      <c r="CZ2869" t="s">
        <v>133</v>
      </c>
      <c r="DA2869">
        <v>275</v>
      </c>
      <c r="DB2869">
        <v>0</v>
      </c>
      <c r="DC2869" t="s">
        <v>134</v>
      </c>
      <c r="DD2869" t="s">
        <v>135</v>
      </c>
      <c r="DG2869">
        <v>3322132</v>
      </c>
      <c r="DI2869">
        <v>1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>"05/01/2025 15:12:30.655"</f>
        <v>05/01/2025 15:12:30.655</v>
      </c>
      <c r="C2870" t="str">
        <f t="shared" si="1116"/>
        <v>FFDFD3C0</v>
      </c>
      <c r="D2870" t="s">
        <v>143</v>
      </c>
      <c r="E2870" t="str">
        <f>"05"</f>
        <v>05</v>
      </c>
      <c r="H2870">
        <v>172</v>
      </c>
      <c r="I2870" t="s">
        <v>141</v>
      </c>
      <c r="J2870" t="s">
        <v>144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R2870" t="s">
        <v>127</v>
      </c>
      <c r="S2870" t="str">
        <f t="shared" ref="S2870:T2875" si="1136">"15:12:30.000"</f>
        <v>15:12:30.000</v>
      </c>
      <c r="T2870" t="str">
        <f t="shared" si="1136"/>
        <v>15:12:30.000</v>
      </c>
      <c r="U2870" t="str">
        <f t="shared" si="1117"/>
        <v>A68FCB</v>
      </c>
      <c r="V2870">
        <v>0</v>
      </c>
      <c r="W2870">
        <v>0</v>
      </c>
      <c r="X2870">
        <v>2</v>
      </c>
      <c r="Y2870">
        <v>0</v>
      </c>
      <c r="AA2870">
        <v>1</v>
      </c>
      <c r="AB2870">
        <v>8</v>
      </c>
      <c r="AC2870">
        <v>3</v>
      </c>
      <c r="AD2870">
        <v>0</v>
      </c>
      <c r="AE2870">
        <v>9</v>
      </c>
      <c r="AF2870" t="s">
        <v>138</v>
      </c>
      <c r="AG2870">
        <v>0</v>
      </c>
      <c r="AH2870">
        <v>3</v>
      </c>
      <c r="AI2870">
        <v>2</v>
      </c>
      <c r="AJ2870">
        <v>0</v>
      </c>
      <c r="AK2870" t="s">
        <v>972</v>
      </c>
      <c r="AL2870">
        <v>39.107121999999997</v>
      </c>
      <c r="AM2870" t="s">
        <v>973</v>
      </c>
      <c r="AN2870">
        <v>-121.032622</v>
      </c>
      <c r="AO2870">
        <v>25</v>
      </c>
      <c r="AP2870">
        <v>4400</v>
      </c>
      <c r="AQ2870" t="s">
        <v>131</v>
      </c>
      <c r="AR2870">
        <v>6</v>
      </c>
      <c r="AS2870">
        <v>86</v>
      </c>
      <c r="AT2870">
        <v>0</v>
      </c>
      <c r="BB2870" t="str">
        <f t="shared" si="1118"/>
        <v>1200</v>
      </c>
      <c r="BC2870">
        <v>1</v>
      </c>
      <c r="BD2870" t="str">
        <f t="shared" si="1119"/>
        <v xml:space="preserve">N52156  </v>
      </c>
      <c r="BE2870">
        <v>1</v>
      </c>
      <c r="BG2870">
        <v>0</v>
      </c>
      <c r="BH2870">
        <v>0</v>
      </c>
      <c r="BI2870">
        <v>0</v>
      </c>
      <c r="BJ2870">
        <v>4400</v>
      </c>
      <c r="BK2870">
        <v>0</v>
      </c>
      <c r="BL2870" t="s">
        <v>188</v>
      </c>
      <c r="BM2870">
        <v>1</v>
      </c>
      <c r="BN2870">
        <v>1</v>
      </c>
      <c r="BO2870">
        <v>0</v>
      </c>
      <c r="BP2870">
        <v>0</v>
      </c>
      <c r="BS2870">
        <v>0</v>
      </c>
      <c r="BT2870">
        <v>0</v>
      </c>
      <c r="BU2870">
        <v>0</v>
      </c>
      <c r="CE2870" t="str">
        <f t="shared" ref="CE2870:CE2875" si="1137">"15:12:30.443"</f>
        <v>15:12:30.443</v>
      </c>
      <c r="CF2870">
        <v>443226950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5</v>
      </c>
      <c r="CY2870">
        <v>7</v>
      </c>
      <c r="CZ2870" t="s">
        <v>133</v>
      </c>
      <c r="DA2870">
        <v>275</v>
      </c>
      <c r="DB2870">
        <v>0</v>
      </c>
      <c r="DC2870" t="s">
        <v>134</v>
      </c>
      <c r="DD2870" t="s">
        <v>135</v>
      </c>
      <c r="DG2870">
        <v>3322139</v>
      </c>
      <c r="DI2870">
        <v>1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>"05/01/2025 15:12:30.671"</f>
        <v>05/01/2025 15:12:30.671</v>
      </c>
      <c r="C2871" t="str">
        <f t="shared" si="1116"/>
        <v>FFDFD3C0</v>
      </c>
      <c r="D2871" t="s">
        <v>140</v>
      </c>
      <c r="E2871" t="str">
        <f>"13"</f>
        <v>13</v>
      </c>
      <c r="F2871">
        <v>1019</v>
      </c>
      <c r="G2871" t="s">
        <v>141</v>
      </c>
      <c r="J2871" t="s">
        <v>142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R2871" t="s">
        <v>127</v>
      </c>
      <c r="S2871" t="str">
        <f t="shared" si="1136"/>
        <v>15:12:30.000</v>
      </c>
      <c r="T2871" t="str">
        <f t="shared" si="1136"/>
        <v>15:12:30.000</v>
      </c>
      <c r="U2871" t="str">
        <f t="shared" si="1117"/>
        <v>A68FCB</v>
      </c>
      <c r="V2871">
        <v>0</v>
      </c>
      <c r="W2871">
        <v>0</v>
      </c>
      <c r="X2871">
        <v>2</v>
      </c>
      <c r="Y2871">
        <v>0</v>
      </c>
      <c r="AA2871">
        <v>1</v>
      </c>
      <c r="AB2871">
        <v>8</v>
      </c>
      <c r="AC2871">
        <v>3</v>
      </c>
      <c r="AD2871">
        <v>0</v>
      </c>
      <c r="AE2871">
        <v>9</v>
      </c>
      <c r="AF2871" t="s">
        <v>138</v>
      </c>
      <c r="AG2871">
        <v>0</v>
      </c>
      <c r="AH2871">
        <v>3</v>
      </c>
      <c r="AI2871">
        <v>2</v>
      </c>
      <c r="AJ2871">
        <v>0</v>
      </c>
      <c r="AK2871" t="s">
        <v>972</v>
      </c>
      <c r="AL2871">
        <v>39.107121999999997</v>
      </c>
      <c r="AM2871" t="s">
        <v>973</v>
      </c>
      <c r="AN2871">
        <v>-121.032622</v>
      </c>
      <c r="AO2871">
        <v>25</v>
      </c>
      <c r="AP2871">
        <v>4400</v>
      </c>
      <c r="AQ2871" t="s">
        <v>131</v>
      </c>
      <c r="AR2871">
        <v>6</v>
      </c>
      <c r="AS2871">
        <v>86</v>
      </c>
      <c r="AT2871">
        <v>0</v>
      </c>
      <c r="BB2871" t="str">
        <f t="shared" si="1118"/>
        <v>1200</v>
      </c>
      <c r="BC2871">
        <v>1</v>
      </c>
      <c r="BD2871" t="str">
        <f t="shared" si="1119"/>
        <v xml:space="preserve">N52156  </v>
      </c>
      <c r="BE2871">
        <v>1</v>
      </c>
      <c r="BG2871">
        <v>0</v>
      </c>
      <c r="BH2871">
        <v>0</v>
      </c>
      <c r="BI2871">
        <v>0</v>
      </c>
      <c r="BJ2871">
        <v>4400</v>
      </c>
      <c r="BK2871">
        <v>0</v>
      </c>
      <c r="BL2871" t="s">
        <v>188</v>
      </c>
      <c r="BM2871">
        <v>1</v>
      </c>
      <c r="BN2871">
        <v>1</v>
      </c>
      <c r="BO2871">
        <v>0</v>
      </c>
      <c r="BP2871">
        <v>0</v>
      </c>
      <c r="BS2871">
        <v>0</v>
      </c>
      <c r="BT2871">
        <v>0</v>
      </c>
      <c r="BU2871">
        <v>0</v>
      </c>
      <c r="CE2871" t="str">
        <f t="shared" si="1137"/>
        <v>15:12:30.443</v>
      </c>
      <c r="CF2871">
        <v>443226950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5</v>
      </c>
      <c r="CY2871">
        <v>7</v>
      </c>
      <c r="CZ2871" t="s">
        <v>133</v>
      </c>
      <c r="DA2871">
        <v>275</v>
      </c>
      <c r="DB2871">
        <v>0</v>
      </c>
      <c r="DC2871" t="s">
        <v>134</v>
      </c>
      <c r="DD2871" t="s">
        <v>135</v>
      </c>
      <c r="DG2871">
        <v>3322139</v>
      </c>
      <c r="DI2871">
        <v>1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>"05/01/2025 15:12:30.673"</f>
        <v>05/01/2025 15:12:30.673</v>
      </c>
      <c r="C2872" t="str">
        <f t="shared" si="1116"/>
        <v>FFDFD3C0</v>
      </c>
      <c r="D2872" t="s">
        <v>124</v>
      </c>
      <c r="E2872" t="str">
        <f>"06"</f>
        <v>06</v>
      </c>
      <c r="F2872">
        <v>2006</v>
      </c>
      <c r="G2872" t="s">
        <v>125</v>
      </c>
      <c r="J2872" t="s">
        <v>126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R2872" t="s">
        <v>127</v>
      </c>
      <c r="S2872" t="str">
        <f t="shared" si="1136"/>
        <v>15:12:30.000</v>
      </c>
      <c r="T2872" t="str">
        <f t="shared" si="1136"/>
        <v>15:12:30.000</v>
      </c>
      <c r="U2872" t="str">
        <f t="shared" si="1117"/>
        <v>A68FCB</v>
      </c>
      <c r="V2872">
        <v>0</v>
      </c>
      <c r="W2872">
        <v>0</v>
      </c>
      <c r="X2872">
        <v>2</v>
      </c>
      <c r="Y2872">
        <v>0</v>
      </c>
      <c r="AA2872">
        <v>1</v>
      </c>
      <c r="AB2872">
        <v>8</v>
      </c>
      <c r="AC2872">
        <v>3</v>
      </c>
      <c r="AD2872">
        <v>0</v>
      </c>
      <c r="AE2872">
        <v>9</v>
      </c>
      <c r="AF2872" t="s">
        <v>138</v>
      </c>
      <c r="AG2872">
        <v>0</v>
      </c>
      <c r="AH2872">
        <v>3</v>
      </c>
      <c r="AI2872">
        <v>2</v>
      </c>
      <c r="AJ2872">
        <v>0</v>
      </c>
      <c r="AK2872" t="s">
        <v>972</v>
      </c>
      <c r="AL2872">
        <v>39.107121999999997</v>
      </c>
      <c r="AM2872" t="s">
        <v>973</v>
      </c>
      <c r="AN2872">
        <v>-121.032622</v>
      </c>
      <c r="AO2872">
        <v>25</v>
      </c>
      <c r="AP2872">
        <v>4400</v>
      </c>
      <c r="AQ2872" t="s">
        <v>131</v>
      </c>
      <c r="AR2872">
        <v>6</v>
      </c>
      <c r="AS2872">
        <v>86</v>
      </c>
      <c r="AT2872">
        <v>0</v>
      </c>
      <c r="BB2872" t="str">
        <f t="shared" si="1118"/>
        <v>1200</v>
      </c>
      <c r="BC2872">
        <v>1</v>
      </c>
      <c r="BD2872" t="str">
        <f t="shared" si="1119"/>
        <v xml:space="preserve">N52156  </v>
      </c>
      <c r="BE2872">
        <v>1</v>
      </c>
      <c r="BG2872">
        <v>0</v>
      </c>
      <c r="BH2872">
        <v>0</v>
      </c>
      <c r="BI2872">
        <v>0</v>
      </c>
      <c r="BJ2872">
        <v>4400</v>
      </c>
      <c r="BK2872">
        <v>0</v>
      </c>
      <c r="BL2872" t="s">
        <v>188</v>
      </c>
      <c r="BM2872">
        <v>1</v>
      </c>
      <c r="BN2872">
        <v>1</v>
      </c>
      <c r="BO2872">
        <v>0</v>
      </c>
      <c r="BP2872">
        <v>0</v>
      </c>
      <c r="BS2872">
        <v>0</v>
      </c>
      <c r="BT2872">
        <v>0</v>
      </c>
      <c r="BU2872">
        <v>0</v>
      </c>
      <c r="CE2872" t="str">
        <f t="shared" si="1137"/>
        <v>15:12:30.443</v>
      </c>
      <c r="CF2872">
        <v>443226950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5</v>
      </c>
      <c r="CY2872">
        <v>7</v>
      </c>
      <c r="CZ2872" t="s">
        <v>133</v>
      </c>
      <c r="DA2872">
        <v>275</v>
      </c>
      <c r="DB2872">
        <v>0</v>
      </c>
      <c r="DC2872" t="s">
        <v>134</v>
      </c>
      <c r="DD2872" t="s">
        <v>135</v>
      </c>
      <c r="DG2872">
        <v>3322139</v>
      </c>
      <c r="DI2872">
        <v>1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>"05/01/2025 15:12:30.686"</f>
        <v>05/01/2025 15:12:30.686</v>
      </c>
      <c r="C2873" t="str">
        <f t="shared" si="1116"/>
        <v>FFDFD3C0</v>
      </c>
      <c r="D2873" t="s">
        <v>145</v>
      </c>
      <c r="E2873" t="str">
        <f>"09"</f>
        <v>09</v>
      </c>
      <c r="H2873">
        <v>51</v>
      </c>
      <c r="I2873" t="s">
        <v>147</v>
      </c>
      <c r="J2873" t="s">
        <v>138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R2873" t="s">
        <v>127</v>
      </c>
      <c r="S2873" t="str">
        <f t="shared" si="1136"/>
        <v>15:12:30.000</v>
      </c>
      <c r="T2873" t="str">
        <f t="shared" si="1136"/>
        <v>15:12:30.000</v>
      </c>
      <c r="U2873" t="str">
        <f t="shared" si="1117"/>
        <v>A68FCB</v>
      </c>
      <c r="V2873">
        <v>0</v>
      </c>
      <c r="W2873">
        <v>0</v>
      </c>
      <c r="X2873">
        <v>2</v>
      </c>
      <c r="Y2873">
        <v>0</v>
      </c>
      <c r="AA2873">
        <v>1</v>
      </c>
      <c r="AB2873">
        <v>8</v>
      </c>
      <c r="AC2873">
        <v>3</v>
      </c>
      <c r="AD2873">
        <v>0</v>
      </c>
      <c r="AE2873">
        <v>9</v>
      </c>
      <c r="AF2873" t="s">
        <v>138</v>
      </c>
      <c r="AG2873">
        <v>0</v>
      </c>
      <c r="AH2873">
        <v>3</v>
      </c>
      <c r="AI2873">
        <v>2</v>
      </c>
      <c r="AJ2873">
        <v>0</v>
      </c>
      <c r="AK2873" t="s">
        <v>972</v>
      </c>
      <c r="AL2873">
        <v>39.107121999999997</v>
      </c>
      <c r="AM2873" t="s">
        <v>973</v>
      </c>
      <c r="AN2873">
        <v>-121.032622</v>
      </c>
      <c r="AO2873">
        <v>25</v>
      </c>
      <c r="AP2873">
        <v>4400</v>
      </c>
      <c r="AQ2873" t="s">
        <v>131</v>
      </c>
      <c r="AR2873">
        <v>6</v>
      </c>
      <c r="AS2873">
        <v>86</v>
      </c>
      <c r="AT2873">
        <v>0</v>
      </c>
      <c r="BB2873" t="str">
        <f t="shared" si="1118"/>
        <v>1200</v>
      </c>
      <c r="BC2873">
        <v>1</v>
      </c>
      <c r="BD2873" t="str">
        <f t="shared" si="1119"/>
        <v xml:space="preserve">N52156  </v>
      </c>
      <c r="BE2873">
        <v>1</v>
      </c>
      <c r="BG2873">
        <v>0</v>
      </c>
      <c r="BH2873">
        <v>0</v>
      </c>
      <c r="BI2873">
        <v>0</v>
      </c>
      <c r="BJ2873">
        <v>4400</v>
      </c>
      <c r="BK2873">
        <v>0</v>
      </c>
      <c r="BL2873" t="s">
        <v>188</v>
      </c>
      <c r="BM2873">
        <v>1</v>
      </c>
      <c r="BN2873">
        <v>1</v>
      </c>
      <c r="BO2873">
        <v>0</v>
      </c>
      <c r="BP2873">
        <v>0</v>
      </c>
      <c r="BS2873">
        <v>0</v>
      </c>
      <c r="BT2873">
        <v>0</v>
      </c>
      <c r="BU2873">
        <v>0</v>
      </c>
      <c r="CE2873" t="str">
        <f t="shared" si="1137"/>
        <v>15:12:30.443</v>
      </c>
      <c r="CF2873">
        <v>443226950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5</v>
      </c>
      <c r="CY2873">
        <v>7</v>
      </c>
      <c r="CZ2873" t="s">
        <v>133</v>
      </c>
      <c r="DA2873">
        <v>275</v>
      </c>
      <c r="DB2873">
        <v>0</v>
      </c>
      <c r="DC2873" t="s">
        <v>134</v>
      </c>
      <c r="DD2873" t="s">
        <v>135</v>
      </c>
      <c r="DG2873">
        <v>3322139</v>
      </c>
      <c r="DI2873">
        <v>1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>"05/01/2025 15:12:30.686"</f>
        <v>05/01/2025 15:12:30.686</v>
      </c>
      <c r="C2874" t="str">
        <f t="shared" si="1116"/>
        <v>FFDFD3C0</v>
      </c>
      <c r="D2874" t="s">
        <v>145</v>
      </c>
      <c r="E2874" t="str">
        <f>"05"</f>
        <v>05</v>
      </c>
      <c r="H2874">
        <v>47</v>
      </c>
      <c r="I2874" t="s">
        <v>146</v>
      </c>
      <c r="J2874" t="s">
        <v>138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R2874" t="s">
        <v>127</v>
      </c>
      <c r="S2874" t="str">
        <f t="shared" si="1136"/>
        <v>15:12:30.000</v>
      </c>
      <c r="T2874" t="str">
        <f t="shared" si="1136"/>
        <v>15:12:30.000</v>
      </c>
      <c r="U2874" t="str">
        <f t="shared" si="1117"/>
        <v>A68FCB</v>
      </c>
      <c r="V2874">
        <v>0</v>
      </c>
      <c r="W2874">
        <v>0</v>
      </c>
      <c r="X2874">
        <v>2</v>
      </c>
      <c r="Y2874">
        <v>0</v>
      </c>
      <c r="AA2874">
        <v>1</v>
      </c>
      <c r="AB2874">
        <v>8</v>
      </c>
      <c r="AC2874">
        <v>3</v>
      </c>
      <c r="AD2874">
        <v>0</v>
      </c>
      <c r="AE2874">
        <v>9</v>
      </c>
      <c r="AF2874" t="s">
        <v>138</v>
      </c>
      <c r="AG2874">
        <v>0</v>
      </c>
      <c r="AH2874">
        <v>3</v>
      </c>
      <c r="AI2874">
        <v>2</v>
      </c>
      <c r="AJ2874">
        <v>0</v>
      </c>
      <c r="AK2874" t="s">
        <v>972</v>
      </c>
      <c r="AL2874">
        <v>39.107121999999997</v>
      </c>
      <c r="AM2874" t="s">
        <v>973</v>
      </c>
      <c r="AN2874">
        <v>-121.032622</v>
      </c>
      <c r="AO2874">
        <v>25</v>
      </c>
      <c r="AP2874">
        <v>4400</v>
      </c>
      <c r="AQ2874" t="s">
        <v>131</v>
      </c>
      <c r="AR2874">
        <v>6</v>
      </c>
      <c r="AS2874">
        <v>86</v>
      </c>
      <c r="AT2874">
        <v>0</v>
      </c>
      <c r="BB2874" t="str">
        <f t="shared" si="1118"/>
        <v>1200</v>
      </c>
      <c r="BC2874">
        <v>1</v>
      </c>
      <c r="BD2874" t="str">
        <f t="shared" si="1119"/>
        <v xml:space="preserve">N52156  </v>
      </c>
      <c r="BE2874">
        <v>1</v>
      </c>
      <c r="BG2874">
        <v>0</v>
      </c>
      <c r="BH2874">
        <v>0</v>
      </c>
      <c r="BI2874">
        <v>0</v>
      </c>
      <c r="BJ2874">
        <v>4400</v>
      </c>
      <c r="BK2874">
        <v>0</v>
      </c>
      <c r="BL2874" t="s">
        <v>188</v>
      </c>
      <c r="BM2874">
        <v>1</v>
      </c>
      <c r="BN2874">
        <v>1</v>
      </c>
      <c r="BO2874">
        <v>0</v>
      </c>
      <c r="BP2874">
        <v>0</v>
      </c>
      <c r="BS2874">
        <v>0</v>
      </c>
      <c r="BT2874">
        <v>0</v>
      </c>
      <c r="BU2874">
        <v>0</v>
      </c>
      <c r="CE2874" t="str">
        <f t="shared" si="1137"/>
        <v>15:12:30.443</v>
      </c>
      <c r="CF2874">
        <v>443226950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5</v>
      </c>
      <c r="CY2874">
        <v>7</v>
      </c>
      <c r="CZ2874" t="s">
        <v>133</v>
      </c>
      <c r="DA2874">
        <v>275</v>
      </c>
      <c r="DB2874">
        <v>0</v>
      </c>
      <c r="DC2874" t="s">
        <v>134</v>
      </c>
      <c r="DD2874" t="s">
        <v>135</v>
      </c>
      <c r="DG2874">
        <v>3322139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>"05/01/2025 15:12:30.698"</f>
        <v>05/01/2025 15:12:30.698</v>
      </c>
      <c r="C2875" t="str">
        <f t="shared" si="1116"/>
        <v>FFDFD3C0</v>
      </c>
      <c r="D2875" t="s">
        <v>136</v>
      </c>
      <c r="E2875" t="str">
        <f>"20"</f>
        <v>20</v>
      </c>
      <c r="H2875">
        <v>400</v>
      </c>
      <c r="I2875" t="s">
        <v>137</v>
      </c>
      <c r="J2875" t="s">
        <v>138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R2875" t="s">
        <v>127</v>
      </c>
      <c r="S2875" t="str">
        <f t="shared" si="1136"/>
        <v>15:12:30.000</v>
      </c>
      <c r="T2875" t="str">
        <f t="shared" si="1136"/>
        <v>15:12:30.000</v>
      </c>
      <c r="U2875" t="str">
        <f t="shared" si="1117"/>
        <v>A68FCB</v>
      </c>
      <c r="V2875">
        <v>0</v>
      </c>
      <c r="W2875">
        <v>0</v>
      </c>
      <c r="X2875">
        <v>2</v>
      </c>
      <c r="Y2875">
        <v>0</v>
      </c>
      <c r="AA2875">
        <v>1</v>
      </c>
      <c r="AB2875">
        <v>8</v>
      </c>
      <c r="AC2875">
        <v>3</v>
      </c>
      <c r="AD2875">
        <v>0</v>
      </c>
      <c r="AE2875">
        <v>9</v>
      </c>
      <c r="AF2875" t="s">
        <v>138</v>
      </c>
      <c r="AG2875">
        <v>0</v>
      </c>
      <c r="AH2875">
        <v>3</v>
      </c>
      <c r="AI2875">
        <v>2</v>
      </c>
      <c r="AJ2875">
        <v>0</v>
      </c>
      <c r="AK2875" t="s">
        <v>972</v>
      </c>
      <c r="AL2875">
        <v>39.107121999999997</v>
      </c>
      <c r="AM2875" t="s">
        <v>973</v>
      </c>
      <c r="AN2875">
        <v>-121.032622</v>
      </c>
      <c r="AO2875">
        <v>25</v>
      </c>
      <c r="AP2875">
        <v>4400</v>
      </c>
      <c r="AQ2875" t="s">
        <v>131</v>
      </c>
      <c r="AR2875">
        <v>6</v>
      </c>
      <c r="AS2875">
        <v>86</v>
      </c>
      <c r="AT2875">
        <v>0</v>
      </c>
      <c r="BB2875" t="str">
        <f t="shared" si="1118"/>
        <v>1200</v>
      </c>
      <c r="BC2875">
        <v>1</v>
      </c>
      <c r="BD2875" t="str">
        <f t="shared" si="1119"/>
        <v xml:space="preserve">N52156  </v>
      </c>
      <c r="BE2875">
        <v>1</v>
      </c>
      <c r="BG2875">
        <v>0</v>
      </c>
      <c r="BH2875">
        <v>0</v>
      </c>
      <c r="BI2875">
        <v>0</v>
      </c>
      <c r="BJ2875">
        <v>4400</v>
      </c>
      <c r="BK2875">
        <v>0</v>
      </c>
      <c r="BL2875" t="s">
        <v>188</v>
      </c>
      <c r="BM2875">
        <v>1</v>
      </c>
      <c r="BN2875">
        <v>1</v>
      </c>
      <c r="BO2875">
        <v>0</v>
      </c>
      <c r="BP2875">
        <v>0</v>
      </c>
      <c r="BS2875">
        <v>0</v>
      </c>
      <c r="BT2875">
        <v>0</v>
      </c>
      <c r="BU2875">
        <v>0</v>
      </c>
      <c r="CE2875" t="str">
        <f t="shared" si="1137"/>
        <v>15:12:30.443</v>
      </c>
      <c r="CF2875">
        <v>443226950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5</v>
      </c>
      <c r="CY2875">
        <v>7</v>
      </c>
      <c r="CZ2875" t="s">
        <v>133</v>
      </c>
      <c r="DA2875">
        <v>275</v>
      </c>
      <c r="DB2875">
        <v>0</v>
      </c>
      <c r="DC2875" t="s">
        <v>134</v>
      </c>
      <c r="DD2875" t="s">
        <v>135</v>
      </c>
      <c r="DG2875">
        <v>3322139</v>
      </c>
      <c r="DI2875">
        <v>1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>"05/01/2025 15:12:31.788"</f>
        <v>05/01/2025 15:12:31.788</v>
      </c>
      <c r="C2876" t="str">
        <f t="shared" si="1116"/>
        <v>FFDFD3C0</v>
      </c>
      <c r="D2876" t="s">
        <v>145</v>
      </c>
      <c r="E2876" t="str">
        <f>"09"</f>
        <v>09</v>
      </c>
      <c r="H2876">
        <v>51</v>
      </c>
      <c r="I2876" t="s">
        <v>147</v>
      </c>
      <c r="J2876" t="s">
        <v>138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R2876" t="s">
        <v>127</v>
      </c>
      <c r="S2876" t="str">
        <f t="shared" ref="S2876:T2881" si="1138">"15:12:31.000"</f>
        <v>15:12:31.000</v>
      </c>
      <c r="T2876" t="str">
        <f t="shared" si="1138"/>
        <v>15:12:31.000</v>
      </c>
      <c r="U2876" t="str">
        <f t="shared" si="1117"/>
        <v>A68FCB</v>
      </c>
      <c r="V2876">
        <v>0</v>
      </c>
      <c r="W2876">
        <v>0</v>
      </c>
      <c r="X2876">
        <v>2</v>
      </c>
      <c r="Y2876">
        <v>0</v>
      </c>
      <c r="AA2876">
        <v>1</v>
      </c>
      <c r="AB2876">
        <v>8</v>
      </c>
      <c r="AC2876">
        <v>3</v>
      </c>
      <c r="AD2876">
        <v>0</v>
      </c>
      <c r="AE2876">
        <v>9</v>
      </c>
      <c r="AF2876" t="s">
        <v>138</v>
      </c>
      <c r="AG2876">
        <v>0</v>
      </c>
      <c r="AH2876">
        <v>3</v>
      </c>
      <c r="AI2876">
        <v>2</v>
      </c>
      <c r="AJ2876">
        <v>0</v>
      </c>
      <c r="AK2876" t="s">
        <v>974</v>
      </c>
      <c r="AL2876">
        <v>39.107509</v>
      </c>
      <c r="AM2876" t="s">
        <v>975</v>
      </c>
      <c r="AN2876">
        <v>-121.032579</v>
      </c>
      <c r="AO2876">
        <v>25</v>
      </c>
      <c r="AP2876">
        <v>4400</v>
      </c>
      <c r="AQ2876" t="s">
        <v>131</v>
      </c>
      <c r="AR2876">
        <v>5</v>
      </c>
      <c r="AS2876">
        <v>86</v>
      </c>
      <c r="AT2876">
        <v>0</v>
      </c>
      <c r="BB2876" t="str">
        <f t="shared" si="1118"/>
        <v>1200</v>
      </c>
      <c r="BC2876">
        <v>1</v>
      </c>
      <c r="BD2876" t="str">
        <f t="shared" si="1119"/>
        <v xml:space="preserve">N52156  </v>
      </c>
      <c r="BE2876">
        <v>1</v>
      </c>
      <c r="BG2876">
        <v>0</v>
      </c>
      <c r="BH2876">
        <v>0</v>
      </c>
      <c r="BI2876">
        <v>0</v>
      </c>
      <c r="BJ2876">
        <v>4400</v>
      </c>
      <c r="BK2876">
        <v>0</v>
      </c>
      <c r="BL2876" t="s">
        <v>188</v>
      </c>
      <c r="BM2876">
        <v>1</v>
      </c>
      <c r="BN2876">
        <v>1</v>
      </c>
      <c r="BO2876">
        <v>0</v>
      </c>
      <c r="BP2876">
        <v>0</v>
      </c>
      <c r="BS2876">
        <v>0</v>
      </c>
      <c r="BT2876">
        <v>0</v>
      </c>
      <c r="BU2876">
        <v>0</v>
      </c>
      <c r="CE2876" t="str">
        <f t="shared" ref="CE2876:CE2881" si="1139">"15:12:31.583"</f>
        <v>15:12:31.583</v>
      </c>
      <c r="CF2876">
        <v>583477395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5</v>
      </c>
      <c r="CY2876">
        <v>7</v>
      </c>
      <c r="CZ2876" t="s">
        <v>133</v>
      </c>
      <c r="DA2876">
        <v>275</v>
      </c>
      <c r="DB2876">
        <v>0</v>
      </c>
      <c r="DC2876" t="s">
        <v>134</v>
      </c>
      <c r="DD2876" t="s">
        <v>135</v>
      </c>
      <c r="DG2876">
        <v>3322148</v>
      </c>
      <c r="DI2876">
        <v>1</v>
      </c>
      <c r="DJ2876">
        <v>0</v>
      </c>
      <c r="DK2876">
        <v>0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>"05/01/2025 15:12:31.788"</f>
        <v>05/01/2025 15:12:31.788</v>
      </c>
      <c r="C2877" t="str">
        <f t="shared" si="1116"/>
        <v>FFDFD3C0</v>
      </c>
      <c r="D2877" t="s">
        <v>145</v>
      </c>
      <c r="E2877" t="str">
        <f>"05"</f>
        <v>05</v>
      </c>
      <c r="H2877">
        <v>47</v>
      </c>
      <c r="I2877" t="s">
        <v>146</v>
      </c>
      <c r="J2877" t="s">
        <v>138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R2877" t="s">
        <v>127</v>
      </c>
      <c r="S2877" t="str">
        <f t="shared" si="1138"/>
        <v>15:12:31.000</v>
      </c>
      <c r="T2877" t="str">
        <f t="shared" si="1138"/>
        <v>15:12:31.000</v>
      </c>
      <c r="U2877" t="str">
        <f t="shared" si="1117"/>
        <v>A68FCB</v>
      </c>
      <c r="V2877">
        <v>0</v>
      </c>
      <c r="W2877">
        <v>0</v>
      </c>
      <c r="X2877">
        <v>2</v>
      </c>
      <c r="Y2877">
        <v>0</v>
      </c>
      <c r="AA2877">
        <v>1</v>
      </c>
      <c r="AB2877">
        <v>8</v>
      </c>
      <c r="AC2877">
        <v>3</v>
      </c>
      <c r="AD2877">
        <v>0</v>
      </c>
      <c r="AE2877">
        <v>9</v>
      </c>
      <c r="AF2877" t="s">
        <v>138</v>
      </c>
      <c r="AG2877">
        <v>0</v>
      </c>
      <c r="AH2877">
        <v>3</v>
      </c>
      <c r="AI2877">
        <v>2</v>
      </c>
      <c r="AJ2877">
        <v>0</v>
      </c>
      <c r="AK2877" t="s">
        <v>974</v>
      </c>
      <c r="AL2877">
        <v>39.107509</v>
      </c>
      <c r="AM2877" t="s">
        <v>975</v>
      </c>
      <c r="AN2877">
        <v>-121.032579</v>
      </c>
      <c r="AO2877">
        <v>25</v>
      </c>
      <c r="AP2877">
        <v>4400</v>
      </c>
      <c r="AQ2877" t="s">
        <v>131</v>
      </c>
      <c r="AR2877">
        <v>5</v>
      </c>
      <c r="AS2877">
        <v>86</v>
      </c>
      <c r="AT2877">
        <v>0</v>
      </c>
      <c r="BB2877" t="str">
        <f t="shared" si="1118"/>
        <v>1200</v>
      </c>
      <c r="BC2877">
        <v>1</v>
      </c>
      <c r="BD2877" t="str">
        <f t="shared" si="1119"/>
        <v xml:space="preserve">N52156  </v>
      </c>
      <c r="BE2877">
        <v>1</v>
      </c>
      <c r="BG2877">
        <v>0</v>
      </c>
      <c r="BH2877">
        <v>0</v>
      </c>
      <c r="BI2877">
        <v>0</v>
      </c>
      <c r="BJ2877">
        <v>4400</v>
      </c>
      <c r="BK2877">
        <v>0</v>
      </c>
      <c r="BL2877" t="s">
        <v>188</v>
      </c>
      <c r="BM2877">
        <v>1</v>
      </c>
      <c r="BN2877">
        <v>1</v>
      </c>
      <c r="BO2877">
        <v>0</v>
      </c>
      <c r="BP2877">
        <v>0</v>
      </c>
      <c r="BS2877">
        <v>0</v>
      </c>
      <c r="BT2877">
        <v>0</v>
      </c>
      <c r="BU2877">
        <v>0</v>
      </c>
      <c r="CE2877" t="str">
        <f t="shared" si="1139"/>
        <v>15:12:31.583</v>
      </c>
      <c r="CF2877">
        <v>583477395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5</v>
      </c>
      <c r="CY2877">
        <v>7</v>
      </c>
      <c r="CZ2877" t="s">
        <v>133</v>
      </c>
      <c r="DA2877">
        <v>275</v>
      </c>
      <c r="DB2877">
        <v>0</v>
      </c>
      <c r="DC2877" t="s">
        <v>134</v>
      </c>
      <c r="DD2877" t="s">
        <v>135</v>
      </c>
      <c r="DG2877">
        <v>3322148</v>
      </c>
      <c r="DI2877">
        <v>1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>"05/01/2025 15:12:31.799"</f>
        <v>05/01/2025 15:12:31.799</v>
      </c>
      <c r="C2878" t="str">
        <f t="shared" si="1116"/>
        <v>FFDFD3C0</v>
      </c>
      <c r="D2878" t="s">
        <v>136</v>
      </c>
      <c r="E2878" t="str">
        <f>"20"</f>
        <v>20</v>
      </c>
      <c r="H2878">
        <v>400</v>
      </c>
      <c r="I2878" t="s">
        <v>137</v>
      </c>
      <c r="J2878" t="s">
        <v>138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R2878" t="s">
        <v>127</v>
      </c>
      <c r="S2878" t="str">
        <f t="shared" si="1138"/>
        <v>15:12:31.000</v>
      </c>
      <c r="T2878" t="str">
        <f t="shared" si="1138"/>
        <v>15:12:31.000</v>
      </c>
      <c r="U2878" t="str">
        <f t="shared" si="1117"/>
        <v>A68FCB</v>
      </c>
      <c r="V2878">
        <v>0</v>
      </c>
      <c r="W2878">
        <v>0</v>
      </c>
      <c r="X2878">
        <v>2</v>
      </c>
      <c r="Y2878">
        <v>0</v>
      </c>
      <c r="AA2878">
        <v>1</v>
      </c>
      <c r="AB2878">
        <v>8</v>
      </c>
      <c r="AC2878">
        <v>3</v>
      </c>
      <c r="AD2878">
        <v>0</v>
      </c>
      <c r="AE2878">
        <v>9</v>
      </c>
      <c r="AF2878" t="s">
        <v>138</v>
      </c>
      <c r="AG2878">
        <v>0</v>
      </c>
      <c r="AH2878">
        <v>3</v>
      </c>
      <c r="AI2878">
        <v>2</v>
      </c>
      <c r="AJ2878">
        <v>0</v>
      </c>
      <c r="AK2878" t="s">
        <v>974</v>
      </c>
      <c r="AL2878">
        <v>39.107509</v>
      </c>
      <c r="AM2878" t="s">
        <v>975</v>
      </c>
      <c r="AN2878">
        <v>-121.032579</v>
      </c>
      <c r="AO2878">
        <v>25</v>
      </c>
      <c r="AP2878">
        <v>4400</v>
      </c>
      <c r="AQ2878" t="s">
        <v>131</v>
      </c>
      <c r="AR2878">
        <v>5</v>
      </c>
      <c r="AS2878">
        <v>86</v>
      </c>
      <c r="AT2878">
        <v>0</v>
      </c>
      <c r="BB2878" t="str">
        <f t="shared" si="1118"/>
        <v>1200</v>
      </c>
      <c r="BC2878">
        <v>1</v>
      </c>
      <c r="BD2878" t="str">
        <f t="shared" si="1119"/>
        <v xml:space="preserve">N52156  </v>
      </c>
      <c r="BE2878">
        <v>1</v>
      </c>
      <c r="BG2878">
        <v>0</v>
      </c>
      <c r="BH2878">
        <v>0</v>
      </c>
      <c r="BI2878">
        <v>0</v>
      </c>
      <c r="BJ2878">
        <v>4400</v>
      </c>
      <c r="BK2878">
        <v>0</v>
      </c>
      <c r="BL2878" t="s">
        <v>188</v>
      </c>
      <c r="BM2878">
        <v>1</v>
      </c>
      <c r="BN2878">
        <v>1</v>
      </c>
      <c r="BO2878">
        <v>0</v>
      </c>
      <c r="BP2878">
        <v>0</v>
      </c>
      <c r="BS2878">
        <v>0</v>
      </c>
      <c r="BT2878">
        <v>0</v>
      </c>
      <c r="BU2878">
        <v>0</v>
      </c>
      <c r="CE2878" t="str">
        <f t="shared" si="1139"/>
        <v>15:12:31.583</v>
      </c>
      <c r="CF2878">
        <v>583477395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5</v>
      </c>
      <c r="CY2878">
        <v>7</v>
      </c>
      <c r="CZ2878" t="s">
        <v>133</v>
      </c>
      <c r="DA2878">
        <v>275</v>
      </c>
      <c r="DB2878">
        <v>0</v>
      </c>
      <c r="DC2878" t="s">
        <v>134</v>
      </c>
      <c r="DD2878" t="s">
        <v>135</v>
      </c>
      <c r="DG2878">
        <v>3322148</v>
      </c>
      <c r="DI2878">
        <v>1</v>
      </c>
      <c r="DJ2878">
        <v>0</v>
      </c>
      <c r="DK2878">
        <v>1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>"05/01/2025 15:12:31.807"</f>
        <v>05/01/2025 15:12:31.807</v>
      </c>
      <c r="C2879" t="str">
        <f t="shared" si="1116"/>
        <v>FFDFD3C0</v>
      </c>
      <c r="D2879" t="s">
        <v>143</v>
      </c>
      <c r="E2879" t="str">
        <f>"05"</f>
        <v>05</v>
      </c>
      <c r="H2879">
        <v>172</v>
      </c>
      <c r="I2879" t="s">
        <v>141</v>
      </c>
      <c r="J2879" t="s">
        <v>144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R2879" t="s">
        <v>127</v>
      </c>
      <c r="S2879" t="str">
        <f t="shared" si="1138"/>
        <v>15:12:31.000</v>
      </c>
      <c r="T2879" t="str">
        <f t="shared" si="1138"/>
        <v>15:12:31.000</v>
      </c>
      <c r="U2879" t="str">
        <f t="shared" si="1117"/>
        <v>A68FCB</v>
      </c>
      <c r="V2879">
        <v>0</v>
      </c>
      <c r="W2879">
        <v>0</v>
      </c>
      <c r="X2879">
        <v>2</v>
      </c>
      <c r="Y2879">
        <v>0</v>
      </c>
      <c r="AA2879">
        <v>1</v>
      </c>
      <c r="AB2879">
        <v>8</v>
      </c>
      <c r="AC2879">
        <v>3</v>
      </c>
      <c r="AD2879">
        <v>0</v>
      </c>
      <c r="AE2879">
        <v>9</v>
      </c>
      <c r="AF2879" t="s">
        <v>138</v>
      </c>
      <c r="AG2879">
        <v>0</v>
      </c>
      <c r="AH2879">
        <v>3</v>
      </c>
      <c r="AI2879">
        <v>2</v>
      </c>
      <c r="AJ2879">
        <v>0</v>
      </c>
      <c r="AK2879" t="s">
        <v>974</v>
      </c>
      <c r="AL2879">
        <v>39.107509</v>
      </c>
      <c r="AM2879" t="s">
        <v>975</v>
      </c>
      <c r="AN2879">
        <v>-121.032579</v>
      </c>
      <c r="AO2879">
        <v>25</v>
      </c>
      <c r="AP2879">
        <v>4400</v>
      </c>
      <c r="AQ2879" t="s">
        <v>131</v>
      </c>
      <c r="AR2879">
        <v>5</v>
      </c>
      <c r="AS2879">
        <v>86</v>
      </c>
      <c r="AT2879">
        <v>0</v>
      </c>
      <c r="BB2879" t="str">
        <f t="shared" si="1118"/>
        <v>1200</v>
      </c>
      <c r="BC2879">
        <v>1</v>
      </c>
      <c r="BD2879" t="str">
        <f t="shared" si="1119"/>
        <v xml:space="preserve">N52156  </v>
      </c>
      <c r="BE2879">
        <v>1</v>
      </c>
      <c r="BG2879">
        <v>0</v>
      </c>
      <c r="BH2879">
        <v>0</v>
      </c>
      <c r="BI2879">
        <v>0</v>
      </c>
      <c r="BJ2879">
        <v>4400</v>
      </c>
      <c r="BK2879">
        <v>0</v>
      </c>
      <c r="BL2879" t="s">
        <v>188</v>
      </c>
      <c r="BM2879">
        <v>1</v>
      </c>
      <c r="BN2879">
        <v>1</v>
      </c>
      <c r="BO2879">
        <v>0</v>
      </c>
      <c r="BP2879">
        <v>0</v>
      </c>
      <c r="BS2879">
        <v>0</v>
      </c>
      <c r="BT2879">
        <v>0</v>
      </c>
      <c r="BU2879">
        <v>0</v>
      </c>
      <c r="CE2879" t="str">
        <f t="shared" si="1139"/>
        <v>15:12:31.583</v>
      </c>
      <c r="CF2879">
        <v>583477395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5</v>
      </c>
      <c r="CY2879">
        <v>7</v>
      </c>
      <c r="CZ2879" t="s">
        <v>133</v>
      </c>
      <c r="DA2879">
        <v>275</v>
      </c>
      <c r="DB2879">
        <v>0</v>
      </c>
      <c r="DC2879" t="s">
        <v>134</v>
      </c>
      <c r="DD2879" t="s">
        <v>135</v>
      </c>
      <c r="DG2879">
        <v>3322148</v>
      </c>
      <c r="DI2879">
        <v>1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>"05/01/2025 15:12:31.823"</f>
        <v>05/01/2025 15:12:31.823</v>
      </c>
      <c r="C2880" t="str">
        <f t="shared" si="1116"/>
        <v>FFDFD3C0</v>
      </c>
      <c r="D2880" t="s">
        <v>140</v>
      </c>
      <c r="E2880" t="str">
        <f>"13"</f>
        <v>13</v>
      </c>
      <c r="F2880">
        <v>1019</v>
      </c>
      <c r="G2880" t="s">
        <v>141</v>
      </c>
      <c r="J2880" t="s">
        <v>142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R2880" t="s">
        <v>127</v>
      </c>
      <c r="S2880" t="str">
        <f t="shared" si="1138"/>
        <v>15:12:31.000</v>
      </c>
      <c r="T2880" t="str">
        <f t="shared" si="1138"/>
        <v>15:12:31.000</v>
      </c>
      <c r="U2880" t="str">
        <f t="shared" si="1117"/>
        <v>A68FCB</v>
      </c>
      <c r="V2880">
        <v>0</v>
      </c>
      <c r="W2880">
        <v>0</v>
      </c>
      <c r="X2880">
        <v>2</v>
      </c>
      <c r="Y2880">
        <v>0</v>
      </c>
      <c r="AA2880">
        <v>1</v>
      </c>
      <c r="AB2880">
        <v>8</v>
      </c>
      <c r="AC2880">
        <v>3</v>
      </c>
      <c r="AD2880">
        <v>0</v>
      </c>
      <c r="AE2880">
        <v>9</v>
      </c>
      <c r="AF2880" t="s">
        <v>138</v>
      </c>
      <c r="AG2880">
        <v>0</v>
      </c>
      <c r="AH2880">
        <v>3</v>
      </c>
      <c r="AI2880">
        <v>2</v>
      </c>
      <c r="AJ2880">
        <v>0</v>
      </c>
      <c r="AK2880" t="s">
        <v>974</v>
      </c>
      <c r="AL2880">
        <v>39.107509</v>
      </c>
      <c r="AM2880" t="s">
        <v>975</v>
      </c>
      <c r="AN2880">
        <v>-121.032579</v>
      </c>
      <c r="AO2880">
        <v>25</v>
      </c>
      <c r="AP2880">
        <v>4400</v>
      </c>
      <c r="AQ2880" t="s">
        <v>131</v>
      </c>
      <c r="AR2880">
        <v>5</v>
      </c>
      <c r="AS2880">
        <v>86</v>
      </c>
      <c r="AT2880">
        <v>0</v>
      </c>
      <c r="BB2880" t="str">
        <f t="shared" si="1118"/>
        <v>1200</v>
      </c>
      <c r="BC2880">
        <v>1</v>
      </c>
      <c r="BD2880" t="str">
        <f t="shared" si="1119"/>
        <v xml:space="preserve">N52156  </v>
      </c>
      <c r="BE2880">
        <v>1</v>
      </c>
      <c r="BG2880">
        <v>0</v>
      </c>
      <c r="BH2880">
        <v>0</v>
      </c>
      <c r="BI2880">
        <v>0</v>
      </c>
      <c r="BJ2880">
        <v>4400</v>
      </c>
      <c r="BK2880">
        <v>0</v>
      </c>
      <c r="BL2880" t="s">
        <v>188</v>
      </c>
      <c r="BM2880">
        <v>1</v>
      </c>
      <c r="BN2880">
        <v>1</v>
      </c>
      <c r="BO2880">
        <v>0</v>
      </c>
      <c r="BP2880">
        <v>0</v>
      </c>
      <c r="BS2880">
        <v>0</v>
      </c>
      <c r="BT2880">
        <v>0</v>
      </c>
      <c r="BU2880">
        <v>0</v>
      </c>
      <c r="CE2880" t="str">
        <f t="shared" si="1139"/>
        <v>15:12:31.583</v>
      </c>
      <c r="CF2880">
        <v>583477395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5</v>
      </c>
      <c r="CY2880">
        <v>7</v>
      </c>
      <c r="CZ2880" t="s">
        <v>133</v>
      </c>
      <c r="DA2880">
        <v>275</v>
      </c>
      <c r="DB2880">
        <v>0</v>
      </c>
      <c r="DC2880" t="s">
        <v>134</v>
      </c>
      <c r="DD2880" t="s">
        <v>135</v>
      </c>
      <c r="DG2880">
        <v>3322148</v>
      </c>
      <c r="DI2880">
        <v>1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>"05/01/2025 15:12:31.825"</f>
        <v>05/01/2025 15:12:31.825</v>
      </c>
      <c r="C2881" t="str">
        <f t="shared" si="1116"/>
        <v>FFDFD3C0</v>
      </c>
      <c r="D2881" t="s">
        <v>124</v>
      </c>
      <c r="E2881" t="str">
        <f>"06"</f>
        <v>06</v>
      </c>
      <c r="F2881">
        <v>2006</v>
      </c>
      <c r="G2881" t="s">
        <v>125</v>
      </c>
      <c r="J2881" t="s">
        <v>126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R2881" t="s">
        <v>127</v>
      </c>
      <c r="S2881" t="str">
        <f t="shared" si="1138"/>
        <v>15:12:31.000</v>
      </c>
      <c r="T2881" t="str">
        <f t="shared" si="1138"/>
        <v>15:12:31.000</v>
      </c>
      <c r="U2881" t="str">
        <f t="shared" si="1117"/>
        <v>A68FCB</v>
      </c>
      <c r="V2881">
        <v>0</v>
      </c>
      <c r="W2881">
        <v>0</v>
      </c>
      <c r="X2881">
        <v>2</v>
      </c>
      <c r="Y2881">
        <v>0</v>
      </c>
      <c r="AA2881">
        <v>1</v>
      </c>
      <c r="AB2881">
        <v>8</v>
      </c>
      <c r="AC2881">
        <v>3</v>
      </c>
      <c r="AD2881">
        <v>0</v>
      </c>
      <c r="AE2881">
        <v>9</v>
      </c>
      <c r="AF2881" t="s">
        <v>138</v>
      </c>
      <c r="AG2881">
        <v>0</v>
      </c>
      <c r="AH2881">
        <v>3</v>
      </c>
      <c r="AI2881">
        <v>2</v>
      </c>
      <c r="AJ2881">
        <v>0</v>
      </c>
      <c r="AK2881" t="s">
        <v>974</v>
      </c>
      <c r="AL2881">
        <v>39.107509</v>
      </c>
      <c r="AM2881" t="s">
        <v>975</v>
      </c>
      <c r="AN2881">
        <v>-121.032579</v>
      </c>
      <c r="AO2881">
        <v>25</v>
      </c>
      <c r="AP2881">
        <v>4400</v>
      </c>
      <c r="AQ2881" t="s">
        <v>131</v>
      </c>
      <c r="AR2881">
        <v>5</v>
      </c>
      <c r="AS2881">
        <v>86</v>
      </c>
      <c r="AT2881">
        <v>0</v>
      </c>
      <c r="BB2881" t="str">
        <f t="shared" si="1118"/>
        <v>1200</v>
      </c>
      <c r="BC2881">
        <v>1</v>
      </c>
      <c r="BD2881" t="str">
        <f t="shared" si="1119"/>
        <v xml:space="preserve">N52156  </v>
      </c>
      <c r="BE2881">
        <v>1</v>
      </c>
      <c r="BG2881">
        <v>0</v>
      </c>
      <c r="BH2881">
        <v>0</v>
      </c>
      <c r="BI2881">
        <v>0</v>
      </c>
      <c r="BJ2881">
        <v>4400</v>
      </c>
      <c r="BK2881">
        <v>0</v>
      </c>
      <c r="BL2881" t="s">
        <v>188</v>
      </c>
      <c r="BM2881">
        <v>1</v>
      </c>
      <c r="BN2881">
        <v>1</v>
      </c>
      <c r="BO2881">
        <v>0</v>
      </c>
      <c r="BP2881">
        <v>0</v>
      </c>
      <c r="BS2881">
        <v>0</v>
      </c>
      <c r="BT2881">
        <v>0</v>
      </c>
      <c r="BU2881">
        <v>0</v>
      </c>
      <c r="CE2881" t="str">
        <f t="shared" si="1139"/>
        <v>15:12:31.583</v>
      </c>
      <c r="CF2881">
        <v>583477395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5</v>
      </c>
      <c r="CY2881">
        <v>7</v>
      </c>
      <c r="CZ2881" t="s">
        <v>133</v>
      </c>
      <c r="DA2881">
        <v>275</v>
      </c>
      <c r="DB2881">
        <v>0</v>
      </c>
      <c r="DC2881" t="s">
        <v>134</v>
      </c>
      <c r="DD2881" t="s">
        <v>135</v>
      </c>
      <c r="DG2881">
        <v>3322148</v>
      </c>
      <c r="DI2881">
        <v>1</v>
      </c>
      <c r="DJ2881">
        <v>0</v>
      </c>
      <c r="DK2881">
        <v>1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>"05/01/2025 15:12:33.177"</f>
        <v>05/01/2025 15:12:33.177</v>
      </c>
      <c r="C2882" t="str">
        <f t="shared" ref="C2882:C2945" si="1140">"FFDFD3C0"</f>
        <v>FFDFD3C0</v>
      </c>
      <c r="D2882" t="s">
        <v>124</v>
      </c>
      <c r="E2882" t="str">
        <f>"06"</f>
        <v>06</v>
      </c>
      <c r="F2882">
        <v>2006</v>
      </c>
      <c r="G2882" t="s">
        <v>125</v>
      </c>
      <c r="J2882" t="s">
        <v>126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R2882" t="s">
        <v>127</v>
      </c>
      <c r="S2882" t="str">
        <f t="shared" ref="S2882:T2887" si="1141">"15:12:32.000"</f>
        <v>15:12:32.000</v>
      </c>
      <c r="T2882" t="str">
        <f t="shared" si="1141"/>
        <v>15:12:32.000</v>
      </c>
      <c r="U2882" t="str">
        <f t="shared" ref="U2882:U2945" si="1142">"A68FCB"</f>
        <v>A68FCB</v>
      </c>
      <c r="V2882">
        <v>0</v>
      </c>
      <c r="W2882">
        <v>0</v>
      </c>
      <c r="X2882">
        <v>2</v>
      </c>
      <c r="Y2882">
        <v>0</v>
      </c>
      <c r="AA2882">
        <v>1</v>
      </c>
      <c r="AB2882">
        <v>8</v>
      </c>
      <c r="AC2882">
        <v>3</v>
      </c>
      <c r="AD2882">
        <v>0</v>
      </c>
      <c r="AE2882">
        <v>9</v>
      </c>
      <c r="AF2882" t="s">
        <v>138</v>
      </c>
      <c r="AG2882">
        <v>0</v>
      </c>
      <c r="AH2882">
        <v>3</v>
      </c>
      <c r="AI2882">
        <v>2</v>
      </c>
      <c r="AJ2882">
        <v>0</v>
      </c>
      <c r="AK2882" t="s">
        <v>976</v>
      </c>
      <c r="AL2882">
        <v>39.107916000000003</v>
      </c>
      <c r="AM2882" t="s">
        <v>977</v>
      </c>
      <c r="AN2882">
        <v>-121.03253599999999</v>
      </c>
      <c r="AO2882">
        <v>25</v>
      </c>
      <c r="AP2882">
        <v>4400</v>
      </c>
      <c r="AQ2882" t="s">
        <v>131</v>
      </c>
      <c r="AR2882">
        <v>4</v>
      </c>
      <c r="AS2882">
        <v>86</v>
      </c>
      <c r="AT2882">
        <v>64</v>
      </c>
      <c r="BB2882" t="str">
        <f t="shared" ref="BB2882:BB2945" si="1143">"1200"</f>
        <v>1200</v>
      </c>
      <c r="BC2882">
        <v>1</v>
      </c>
      <c r="BD2882" t="str">
        <f t="shared" ref="BD2882:BD2945" si="1144">"N52156  "</f>
        <v xml:space="preserve">N52156  </v>
      </c>
      <c r="BE2882">
        <v>1</v>
      </c>
      <c r="BG2882">
        <v>0</v>
      </c>
      <c r="BH2882">
        <v>0</v>
      </c>
      <c r="BI2882">
        <v>0</v>
      </c>
      <c r="BJ2882">
        <v>4400</v>
      </c>
      <c r="BK2882">
        <v>0</v>
      </c>
      <c r="BL2882" t="s">
        <v>188</v>
      </c>
      <c r="BM2882">
        <v>1</v>
      </c>
      <c r="BN2882">
        <v>1</v>
      </c>
      <c r="BO2882">
        <v>0</v>
      </c>
      <c r="BP2882">
        <v>0</v>
      </c>
      <c r="BS2882">
        <v>0</v>
      </c>
      <c r="BT2882">
        <v>0</v>
      </c>
      <c r="BU2882">
        <v>0</v>
      </c>
      <c r="CE2882" t="str">
        <f t="shared" ref="CE2882:CE2887" si="1145">"15:12:32.968"</f>
        <v>15:12:32.968</v>
      </c>
      <c r="CF2882">
        <v>967728456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5</v>
      </c>
      <c r="CY2882">
        <v>7</v>
      </c>
      <c r="CZ2882" t="s">
        <v>133</v>
      </c>
      <c r="DA2882">
        <v>275</v>
      </c>
      <c r="DB2882">
        <v>0</v>
      </c>
      <c r="DC2882" t="s">
        <v>134</v>
      </c>
      <c r="DD2882" t="s">
        <v>135</v>
      </c>
      <c r="DG2882">
        <v>3322154</v>
      </c>
      <c r="DI2882">
        <v>1</v>
      </c>
      <c r="DJ2882">
        <v>0</v>
      </c>
      <c r="DK2882">
        <v>0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>"05/01/2025 15:12:33.175"</f>
        <v>05/01/2025 15:12:33.175</v>
      </c>
      <c r="C2883" t="str">
        <f t="shared" si="1140"/>
        <v>FFDFD3C0</v>
      </c>
      <c r="D2883" t="s">
        <v>140</v>
      </c>
      <c r="E2883" t="str">
        <f>"13"</f>
        <v>13</v>
      </c>
      <c r="F2883">
        <v>1019</v>
      </c>
      <c r="G2883" t="s">
        <v>141</v>
      </c>
      <c r="J2883" t="s">
        <v>142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R2883" t="s">
        <v>127</v>
      </c>
      <c r="S2883" t="str">
        <f t="shared" si="1141"/>
        <v>15:12:32.000</v>
      </c>
      <c r="T2883" t="str">
        <f t="shared" si="1141"/>
        <v>15:12:32.000</v>
      </c>
      <c r="U2883" t="str">
        <f t="shared" si="1142"/>
        <v>A68FCB</v>
      </c>
      <c r="V2883">
        <v>0</v>
      </c>
      <c r="W2883">
        <v>0</v>
      </c>
      <c r="X2883">
        <v>2</v>
      </c>
      <c r="Y2883">
        <v>0</v>
      </c>
      <c r="AA2883">
        <v>1</v>
      </c>
      <c r="AB2883">
        <v>8</v>
      </c>
      <c r="AC2883">
        <v>3</v>
      </c>
      <c r="AD2883">
        <v>0</v>
      </c>
      <c r="AE2883">
        <v>9</v>
      </c>
      <c r="AF2883" t="s">
        <v>138</v>
      </c>
      <c r="AG2883">
        <v>0</v>
      </c>
      <c r="AH2883">
        <v>3</v>
      </c>
      <c r="AI2883">
        <v>2</v>
      </c>
      <c r="AJ2883">
        <v>0</v>
      </c>
      <c r="AK2883" t="s">
        <v>976</v>
      </c>
      <c r="AL2883">
        <v>39.107916000000003</v>
      </c>
      <c r="AM2883" t="s">
        <v>977</v>
      </c>
      <c r="AN2883">
        <v>-121.03253599999999</v>
      </c>
      <c r="AO2883">
        <v>25</v>
      </c>
      <c r="AP2883">
        <v>4400</v>
      </c>
      <c r="AQ2883" t="s">
        <v>131</v>
      </c>
      <c r="AR2883">
        <v>4</v>
      </c>
      <c r="AS2883">
        <v>86</v>
      </c>
      <c r="AT2883">
        <v>64</v>
      </c>
      <c r="BB2883" t="str">
        <f t="shared" si="1143"/>
        <v>1200</v>
      </c>
      <c r="BC2883">
        <v>1</v>
      </c>
      <c r="BD2883" t="str">
        <f t="shared" si="1144"/>
        <v xml:space="preserve">N52156  </v>
      </c>
      <c r="BE2883">
        <v>1</v>
      </c>
      <c r="BG2883">
        <v>0</v>
      </c>
      <c r="BH2883">
        <v>0</v>
      </c>
      <c r="BI2883">
        <v>0</v>
      </c>
      <c r="BJ2883">
        <v>4400</v>
      </c>
      <c r="BK2883">
        <v>0</v>
      </c>
      <c r="BL2883" t="s">
        <v>188</v>
      </c>
      <c r="BM2883">
        <v>1</v>
      </c>
      <c r="BN2883">
        <v>1</v>
      </c>
      <c r="BO2883">
        <v>0</v>
      </c>
      <c r="BP2883">
        <v>0</v>
      </c>
      <c r="BS2883">
        <v>0</v>
      </c>
      <c r="BT2883">
        <v>0</v>
      </c>
      <c r="BU2883">
        <v>0</v>
      </c>
      <c r="CE2883" t="str">
        <f t="shared" si="1145"/>
        <v>15:12:32.968</v>
      </c>
      <c r="CF2883">
        <v>967728456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5</v>
      </c>
      <c r="CY2883">
        <v>7</v>
      </c>
      <c r="CZ2883" t="s">
        <v>133</v>
      </c>
      <c r="DA2883">
        <v>275</v>
      </c>
      <c r="DB2883">
        <v>0</v>
      </c>
      <c r="DC2883" t="s">
        <v>134</v>
      </c>
      <c r="DD2883" t="s">
        <v>135</v>
      </c>
      <c r="DG2883">
        <v>3322154</v>
      </c>
      <c r="DI2883">
        <v>1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>"05/01/2025 15:12:33.190"</f>
        <v>05/01/2025 15:12:33.190</v>
      </c>
      <c r="C2884" t="str">
        <f t="shared" si="1140"/>
        <v>FFDFD3C0</v>
      </c>
      <c r="D2884" t="s">
        <v>145</v>
      </c>
      <c r="E2884" t="str">
        <f>"05"</f>
        <v>05</v>
      </c>
      <c r="H2884">
        <v>47</v>
      </c>
      <c r="I2884" t="s">
        <v>146</v>
      </c>
      <c r="J2884" t="s">
        <v>138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R2884" t="s">
        <v>127</v>
      </c>
      <c r="S2884" t="str">
        <f t="shared" si="1141"/>
        <v>15:12:32.000</v>
      </c>
      <c r="T2884" t="str">
        <f t="shared" si="1141"/>
        <v>15:12:32.000</v>
      </c>
      <c r="U2884" t="str">
        <f t="shared" si="1142"/>
        <v>A68FCB</v>
      </c>
      <c r="V2884">
        <v>0</v>
      </c>
      <c r="W2884">
        <v>0</v>
      </c>
      <c r="X2884">
        <v>2</v>
      </c>
      <c r="Y2884">
        <v>0</v>
      </c>
      <c r="AA2884">
        <v>1</v>
      </c>
      <c r="AB2884">
        <v>8</v>
      </c>
      <c r="AC2884">
        <v>3</v>
      </c>
      <c r="AD2884">
        <v>0</v>
      </c>
      <c r="AE2884">
        <v>9</v>
      </c>
      <c r="AF2884" t="s">
        <v>138</v>
      </c>
      <c r="AG2884">
        <v>0</v>
      </c>
      <c r="AH2884">
        <v>3</v>
      </c>
      <c r="AI2884">
        <v>2</v>
      </c>
      <c r="AJ2884">
        <v>0</v>
      </c>
      <c r="AK2884" t="s">
        <v>976</v>
      </c>
      <c r="AL2884">
        <v>39.107916000000003</v>
      </c>
      <c r="AM2884" t="s">
        <v>977</v>
      </c>
      <c r="AN2884">
        <v>-121.03253599999999</v>
      </c>
      <c r="AO2884">
        <v>25</v>
      </c>
      <c r="AP2884">
        <v>4400</v>
      </c>
      <c r="AQ2884" t="s">
        <v>131</v>
      </c>
      <c r="AR2884">
        <v>4</v>
      </c>
      <c r="AS2884">
        <v>86</v>
      </c>
      <c r="AT2884">
        <v>64</v>
      </c>
      <c r="BB2884" t="str">
        <f t="shared" si="1143"/>
        <v>1200</v>
      </c>
      <c r="BC2884">
        <v>1</v>
      </c>
      <c r="BD2884" t="str">
        <f t="shared" si="1144"/>
        <v xml:space="preserve">N52156  </v>
      </c>
      <c r="BE2884">
        <v>1</v>
      </c>
      <c r="BG2884">
        <v>0</v>
      </c>
      <c r="BH2884">
        <v>0</v>
      </c>
      <c r="BI2884">
        <v>0</v>
      </c>
      <c r="BJ2884">
        <v>4400</v>
      </c>
      <c r="BK2884">
        <v>0</v>
      </c>
      <c r="BL2884" t="s">
        <v>188</v>
      </c>
      <c r="BM2884">
        <v>1</v>
      </c>
      <c r="BN2884">
        <v>1</v>
      </c>
      <c r="BO2884">
        <v>0</v>
      </c>
      <c r="BP2884">
        <v>0</v>
      </c>
      <c r="BS2884">
        <v>0</v>
      </c>
      <c r="BT2884">
        <v>0</v>
      </c>
      <c r="BU2884">
        <v>0</v>
      </c>
      <c r="CE2884" t="str">
        <f t="shared" si="1145"/>
        <v>15:12:32.968</v>
      </c>
      <c r="CF2884">
        <v>967728456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5</v>
      </c>
      <c r="CY2884">
        <v>7</v>
      </c>
      <c r="CZ2884" t="s">
        <v>133</v>
      </c>
      <c r="DA2884">
        <v>275</v>
      </c>
      <c r="DB2884">
        <v>0</v>
      </c>
      <c r="DC2884" t="s">
        <v>134</v>
      </c>
      <c r="DD2884" t="s">
        <v>135</v>
      </c>
      <c r="DG2884">
        <v>3322154</v>
      </c>
      <c r="DI2884">
        <v>1</v>
      </c>
      <c r="DJ2884">
        <v>0</v>
      </c>
      <c r="DK2884">
        <v>1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>"05/01/2025 15:12:33.190"</f>
        <v>05/01/2025 15:12:33.190</v>
      </c>
      <c r="C2885" t="str">
        <f t="shared" si="1140"/>
        <v>FFDFD3C0</v>
      </c>
      <c r="D2885" t="s">
        <v>145</v>
      </c>
      <c r="E2885" t="str">
        <f>"09"</f>
        <v>09</v>
      </c>
      <c r="H2885">
        <v>51</v>
      </c>
      <c r="I2885" t="s">
        <v>147</v>
      </c>
      <c r="J2885" t="s">
        <v>138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R2885" t="s">
        <v>127</v>
      </c>
      <c r="S2885" t="str">
        <f t="shared" si="1141"/>
        <v>15:12:32.000</v>
      </c>
      <c r="T2885" t="str">
        <f t="shared" si="1141"/>
        <v>15:12:32.000</v>
      </c>
      <c r="U2885" t="str">
        <f t="shared" si="1142"/>
        <v>A68FCB</v>
      </c>
      <c r="V2885">
        <v>0</v>
      </c>
      <c r="W2885">
        <v>0</v>
      </c>
      <c r="X2885">
        <v>2</v>
      </c>
      <c r="Y2885">
        <v>0</v>
      </c>
      <c r="AA2885">
        <v>1</v>
      </c>
      <c r="AB2885">
        <v>8</v>
      </c>
      <c r="AC2885">
        <v>3</v>
      </c>
      <c r="AD2885">
        <v>0</v>
      </c>
      <c r="AE2885">
        <v>9</v>
      </c>
      <c r="AF2885" t="s">
        <v>138</v>
      </c>
      <c r="AG2885">
        <v>0</v>
      </c>
      <c r="AH2885">
        <v>3</v>
      </c>
      <c r="AI2885">
        <v>2</v>
      </c>
      <c r="AJ2885">
        <v>0</v>
      </c>
      <c r="AK2885" t="s">
        <v>976</v>
      </c>
      <c r="AL2885">
        <v>39.107916000000003</v>
      </c>
      <c r="AM2885" t="s">
        <v>977</v>
      </c>
      <c r="AN2885">
        <v>-121.03253599999999</v>
      </c>
      <c r="AO2885">
        <v>25</v>
      </c>
      <c r="AP2885">
        <v>4400</v>
      </c>
      <c r="AQ2885" t="s">
        <v>131</v>
      </c>
      <c r="AR2885">
        <v>4</v>
      </c>
      <c r="AS2885">
        <v>86</v>
      </c>
      <c r="AT2885">
        <v>64</v>
      </c>
      <c r="BB2885" t="str">
        <f t="shared" si="1143"/>
        <v>1200</v>
      </c>
      <c r="BC2885">
        <v>1</v>
      </c>
      <c r="BD2885" t="str">
        <f t="shared" si="1144"/>
        <v xml:space="preserve">N52156  </v>
      </c>
      <c r="BE2885">
        <v>1</v>
      </c>
      <c r="BG2885">
        <v>0</v>
      </c>
      <c r="BH2885">
        <v>0</v>
      </c>
      <c r="BI2885">
        <v>0</v>
      </c>
      <c r="BJ2885">
        <v>4400</v>
      </c>
      <c r="BK2885">
        <v>0</v>
      </c>
      <c r="BL2885" t="s">
        <v>188</v>
      </c>
      <c r="BM2885">
        <v>1</v>
      </c>
      <c r="BN2885">
        <v>1</v>
      </c>
      <c r="BO2885">
        <v>0</v>
      </c>
      <c r="BP2885">
        <v>0</v>
      </c>
      <c r="BS2885">
        <v>0</v>
      </c>
      <c r="BT2885">
        <v>0</v>
      </c>
      <c r="BU2885">
        <v>0</v>
      </c>
      <c r="CE2885" t="str">
        <f t="shared" si="1145"/>
        <v>15:12:32.968</v>
      </c>
      <c r="CF2885">
        <v>967728456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5</v>
      </c>
      <c r="CY2885">
        <v>7</v>
      </c>
      <c r="CZ2885" t="s">
        <v>133</v>
      </c>
      <c r="DA2885">
        <v>275</v>
      </c>
      <c r="DB2885">
        <v>0</v>
      </c>
      <c r="DC2885" t="s">
        <v>134</v>
      </c>
      <c r="DD2885" t="s">
        <v>135</v>
      </c>
      <c r="DG2885">
        <v>3322154</v>
      </c>
      <c r="DI2885">
        <v>1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>"05/01/2025 15:12:33.201"</f>
        <v>05/01/2025 15:12:33.201</v>
      </c>
      <c r="C2886" t="str">
        <f t="shared" si="1140"/>
        <v>FFDFD3C0</v>
      </c>
      <c r="D2886" t="s">
        <v>136</v>
      </c>
      <c r="E2886" t="str">
        <f>"20"</f>
        <v>20</v>
      </c>
      <c r="H2886">
        <v>400</v>
      </c>
      <c r="I2886" t="s">
        <v>137</v>
      </c>
      <c r="J2886" t="s">
        <v>138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R2886" t="s">
        <v>127</v>
      </c>
      <c r="S2886" t="str">
        <f t="shared" si="1141"/>
        <v>15:12:32.000</v>
      </c>
      <c r="T2886" t="str">
        <f t="shared" si="1141"/>
        <v>15:12:32.000</v>
      </c>
      <c r="U2886" t="str">
        <f t="shared" si="1142"/>
        <v>A68FCB</v>
      </c>
      <c r="V2886">
        <v>0</v>
      </c>
      <c r="W2886">
        <v>0</v>
      </c>
      <c r="X2886">
        <v>2</v>
      </c>
      <c r="Y2886">
        <v>0</v>
      </c>
      <c r="AA2886">
        <v>1</v>
      </c>
      <c r="AB2886">
        <v>8</v>
      </c>
      <c r="AC2886">
        <v>3</v>
      </c>
      <c r="AD2886">
        <v>0</v>
      </c>
      <c r="AE2886">
        <v>9</v>
      </c>
      <c r="AF2886" t="s">
        <v>138</v>
      </c>
      <c r="AG2886">
        <v>0</v>
      </c>
      <c r="AH2886">
        <v>3</v>
      </c>
      <c r="AI2886">
        <v>2</v>
      </c>
      <c r="AJ2886">
        <v>0</v>
      </c>
      <c r="AK2886" t="s">
        <v>976</v>
      </c>
      <c r="AL2886">
        <v>39.107916000000003</v>
      </c>
      <c r="AM2886" t="s">
        <v>977</v>
      </c>
      <c r="AN2886">
        <v>-121.03253599999999</v>
      </c>
      <c r="AO2886">
        <v>25</v>
      </c>
      <c r="AP2886">
        <v>4400</v>
      </c>
      <c r="AQ2886" t="s">
        <v>131</v>
      </c>
      <c r="AR2886">
        <v>4</v>
      </c>
      <c r="AS2886">
        <v>86</v>
      </c>
      <c r="AT2886">
        <v>64</v>
      </c>
      <c r="BB2886" t="str">
        <f t="shared" si="1143"/>
        <v>1200</v>
      </c>
      <c r="BC2886">
        <v>1</v>
      </c>
      <c r="BD2886" t="str">
        <f t="shared" si="1144"/>
        <v xml:space="preserve">N52156  </v>
      </c>
      <c r="BE2886">
        <v>1</v>
      </c>
      <c r="BG2886">
        <v>0</v>
      </c>
      <c r="BH2886">
        <v>0</v>
      </c>
      <c r="BI2886">
        <v>0</v>
      </c>
      <c r="BJ2886">
        <v>4400</v>
      </c>
      <c r="BK2886">
        <v>0</v>
      </c>
      <c r="BL2886" t="s">
        <v>188</v>
      </c>
      <c r="BM2886">
        <v>1</v>
      </c>
      <c r="BN2886">
        <v>1</v>
      </c>
      <c r="BO2886">
        <v>0</v>
      </c>
      <c r="BP2886">
        <v>0</v>
      </c>
      <c r="BS2886">
        <v>0</v>
      </c>
      <c r="BT2886">
        <v>0</v>
      </c>
      <c r="BU2886">
        <v>0</v>
      </c>
      <c r="CE2886" t="str">
        <f t="shared" si="1145"/>
        <v>15:12:32.968</v>
      </c>
      <c r="CF2886">
        <v>967728456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5</v>
      </c>
      <c r="CY2886">
        <v>7</v>
      </c>
      <c r="CZ2886" t="s">
        <v>133</v>
      </c>
      <c r="DA2886">
        <v>275</v>
      </c>
      <c r="DB2886">
        <v>0</v>
      </c>
      <c r="DC2886" t="s">
        <v>134</v>
      </c>
      <c r="DD2886" t="s">
        <v>135</v>
      </c>
      <c r="DG2886">
        <v>3322154</v>
      </c>
      <c r="DI2886">
        <v>1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>"05/01/2025 15:12:33.209"</f>
        <v>05/01/2025 15:12:33.209</v>
      </c>
      <c r="C2887" t="str">
        <f t="shared" si="1140"/>
        <v>FFDFD3C0</v>
      </c>
      <c r="D2887" t="s">
        <v>143</v>
      </c>
      <c r="E2887" t="str">
        <f>"05"</f>
        <v>05</v>
      </c>
      <c r="H2887">
        <v>172</v>
      </c>
      <c r="I2887" t="s">
        <v>141</v>
      </c>
      <c r="J2887" t="s">
        <v>144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R2887" t="s">
        <v>127</v>
      </c>
      <c r="S2887" t="str">
        <f t="shared" si="1141"/>
        <v>15:12:32.000</v>
      </c>
      <c r="T2887" t="str">
        <f t="shared" si="1141"/>
        <v>15:12:32.000</v>
      </c>
      <c r="U2887" t="str">
        <f t="shared" si="1142"/>
        <v>A68FCB</v>
      </c>
      <c r="V2887">
        <v>0</v>
      </c>
      <c r="W2887">
        <v>0</v>
      </c>
      <c r="X2887">
        <v>2</v>
      </c>
      <c r="Y2887">
        <v>0</v>
      </c>
      <c r="AA2887">
        <v>1</v>
      </c>
      <c r="AB2887">
        <v>8</v>
      </c>
      <c r="AC2887">
        <v>3</v>
      </c>
      <c r="AD2887">
        <v>0</v>
      </c>
      <c r="AE2887">
        <v>9</v>
      </c>
      <c r="AF2887" t="s">
        <v>138</v>
      </c>
      <c r="AG2887">
        <v>0</v>
      </c>
      <c r="AH2887">
        <v>3</v>
      </c>
      <c r="AI2887">
        <v>2</v>
      </c>
      <c r="AJ2887">
        <v>0</v>
      </c>
      <c r="AK2887" t="s">
        <v>976</v>
      </c>
      <c r="AL2887">
        <v>39.107916000000003</v>
      </c>
      <c r="AM2887" t="s">
        <v>977</v>
      </c>
      <c r="AN2887">
        <v>-121.03253599999999</v>
      </c>
      <c r="AO2887">
        <v>25</v>
      </c>
      <c r="AP2887">
        <v>4400</v>
      </c>
      <c r="AQ2887" t="s">
        <v>131</v>
      </c>
      <c r="AR2887">
        <v>4</v>
      </c>
      <c r="AS2887">
        <v>86</v>
      </c>
      <c r="AT2887">
        <v>64</v>
      </c>
      <c r="BB2887" t="str">
        <f t="shared" si="1143"/>
        <v>1200</v>
      </c>
      <c r="BC2887">
        <v>1</v>
      </c>
      <c r="BD2887" t="str">
        <f t="shared" si="1144"/>
        <v xml:space="preserve">N52156  </v>
      </c>
      <c r="BE2887">
        <v>1</v>
      </c>
      <c r="BG2887">
        <v>0</v>
      </c>
      <c r="BH2887">
        <v>0</v>
      </c>
      <c r="BI2887">
        <v>0</v>
      </c>
      <c r="BJ2887">
        <v>4400</v>
      </c>
      <c r="BK2887">
        <v>0</v>
      </c>
      <c r="BL2887" t="s">
        <v>188</v>
      </c>
      <c r="BM2887">
        <v>1</v>
      </c>
      <c r="BN2887">
        <v>1</v>
      </c>
      <c r="BO2887">
        <v>0</v>
      </c>
      <c r="BP2887">
        <v>0</v>
      </c>
      <c r="BS2887">
        <v>0</v>
      </c>
      <c r="BT2887">
        <v>0</v>
      </c>
      <c r="BU2887">
        <v>0</v>
      </c>
      <c r="CE2887" t="str">
        <f t="shared" si="1145"/>
        <v>15:12:32.968</v>
      </c>
      <c r="CF2887">
        <v>967728456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5</v>
      </c>
      <c r="CY2887">
        <v>7</v>
      </c>
      <c r="CZ2887" t="s">
        <v>133</v>
      </c>
      <c r="DA2887">
        <v>275</v>
      </c>
      <c r="DB2887">
        <v>0</v>
      </c>
      <c r="DC2887" t="s">
        <v>134</v>
      </c>
      <c r="DD2887" t="s">
        <v>135</v>
      </c>
      <c r="DG2887">
        <v>3322154</v>
      </c>
      <c r="DI2887">
        <v>1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>"05/01/2025 15:12:33.910"</f>
        <v>05/01/2025 15:12:33.910</v>
      </c>
      <c r="C2888" t="str">
        <f t="shared" si="1140"/>
        <v>FFDFD3C0</v>
      </c>
      <c r="D2888" t="s">
        <v>143</v>
      </c>
      <c r="E2888" t="str">
        <f>"05"</f>
        <v>05</v>
      </c>
      <c r="H2888">
        <v>172</v>
      </c>
      <c r="I2888" t="s">
        <v>141</v>
      </c>
      <c r="J2888" t="s">
        <v>144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R2888" t="s">
        <v>127</v>
      </c>
      <c r="S2888" t="str">
        <f t="shared" ref="S2888:T2893" si="1146">"15:12:33.000"</f>
        <v>15:12:33.000</v>
      </c>
      <c r="T2888" t="str">
        <f t="shared" si="1146"/>
        <v>15:12:33.000</v>
      </c>
      <c r="U2888" t="str">
        <f t="shared" si="1142"/>
        <v>A68FCB</v>
      </c>
      <c r="V2888">
        <v>0</v>
      </c>
      <c r="W2888">
        <v>0</v>
      </c>
      <c r="X2888">
        <v>2</v>
      </c>
      <c r="Y2888">
        <v>0</v>
      </c>
      <c r="AA2888">
        <v>1</v>
      </c>
      <c r="AB2888">
        <v>8</v>
      </c>
      <c r="AC2888">
        <v>3</v>
      </c>
      <c r="AD2888">
        <v>0</v>
      </c>
      <c r="AE2888">
        <v>9</v>
      </c>
      <c r="AF2888" t="s">
        <v>138</v>
      </c>
      <c r="AG2888">
        <v>0</v>
      </c>
      <c r="AH2888">
        <v>3</v>
      </c>
      <c r="AI2888">
        <v>2</v>
      </c>
      <c r="AJ2888">
        <v>0</v>
      </c>
      <c r="AK2888" t="s">
        <v>978</v>
      </c>
      <c r="AL2888">
        <v>39.108302999999999</v>
      </c>
      <c r="AM2888" t="s">
        <v>979</v>
      </c>
      <c r="AN2888">
        <v>-121.032515</v>
      </c>
      <c r="AO2888">
        <v>25</v>
      </c>
      <c r="AP2888">
        <v>4400</v>
      </c>
      <c r="AQ2888" t="s">
        <v>131</v>
      </c>
      <c r="AR2888">
        <v>3</v>
      </c>
      <c r="AS2888">
        <v>85</v>
      </c>
      <c r="AT2888">
        <v>64</v>
      </c>
      <c r="BB2888" t="str">
        <f t="shared" si="1143"/>
        <v>1200</v>
      </c>
      <c r="BC2888">
        <v>1</v>
      </c>
      <c r="BD2888" t="str">
        <f t="shared" si="1144"/>
        <v xml:space="preserve">N52156  </v>
      </c>
      <c r="BE2888">
        <v>1</v>
      </c>
      <c r="BG2888">
        <v>0</v>
      </c>
      <c r="BH2888">
        <v>0</v>
      </c>
      <c r="BI2888">
        <v>0</v>
      </c>
      <c r="BJ2888">
        <v>4400</v>
      </c>
      <c r="BK2888">
        <v>0</v>
      </c>
      <c r="BL2888" t="s">
        <v>188</v>
      </c>
      <c r="BM2888">
        <v>1</v>
      </c>
      <c r="BN2888">
        <v>1</v>
      </c>
      <c r="BO2888">
        <v>0</v>
      </c>
      <c r="BP2888">
        <v>0</v>
      </c>
      <c r="BS2888">
        <v>0</v>
      </c>
      <c r="BT2888">
        <v>0</v>
      </c>
      <c r="BU2888">
        <v>0</v>
      </c>
      <c r="CE2888" t="str">
        <f t="shared" ref="CE2888:CE2893" si="1147">"15:12:33.709"</f>
        <v>15:12:33.709</v>
      </c>
      <c r="CF2888">
        <v>708727864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5</v>
      </c>
      <c r="CY2888">
        <v>7</v>
      </c>
      <c r="CZ2888" t="s">
        <v>133</v>
      </c>
      <c r="DA2888">
        <v>275</v>
      </c>
      <c r="DB2888">
        <v>0</v>
      </c>
      <c r="DC2888" t="s">
        <v>134</v>
      </c>
      <c r="DD2888" t="s">
        <v>135</v>
      </c>
      <c r="DG2888">
        <v>3322157</v>
      </c>
      <c r="DI2888">
        <v>1</v>
      </c>
      <c r="DJ2888">
        <v>0</v>
      </c>
      <c r="DK2888">
        <v>0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>"05/01/2025 15:12:33.926"</f>
        <v>05/01/2025 15:12:33.926</v>
      </c>
      <c r="C2889" t="str">
        <f t="shared" si="1140"/>
        <v>FFDFD3C0</v>
      </c>
      <c r="D2889" t="s">
        <v>140</v>
      </c>
      <c r="E2889" t="str">
        <f>"13"</f>
        <v>13</v>
      </c>
      <c r="F2889">
        <v>1019</v>
      </c>
      <c r="G2889" t="s">
        <v>141</v>
      </c>
      <c r="J2889" t="s">
        <v>142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R2889" t="s">
        <v>127</v>
      </c>
      <c r="S2889" t="str">
        <f t="shared" si="1146"/>
        <v>15:12:33.000</v>
      </c>
      <c r="T2889" t="str">
        <f t="shared" si="1146"/>
        <v>15:12:33.000</v>
      </c>
      <c r="U2889" t="str">
        <f t="shared" si="1142"/>
        <v>A68FCB</v>
      </c>
      <c r="V2889">
        <v>0</v>
      </c>
      <c r="W2889">
        <v>0</v>
      </c>
      <c r="X2889">
        <v>2</v>
      </c>
      <c r="Y2889">
        <v>0</v>
      </c>
      <c r="AA2889">
        <v>1</v>
      </c>
      <c r="AB2889">
        <v>8</v>
      </c>
      <c r="AC2889">
        <v>3</v>
      </c>
      <c r="AD2889">
        <v>0</v>
      </c>
      <c r="AE2889">
        <v>9</v>
      </c>
      <c r="AF2889" t="s">
        <v>138</v>
      </c>
      <c r="AG2889">
        <v>0</v>
      </c>
      <c r="AH2889">
        <v>3</v>
      </c>
      <c r="AI2889">
        <v>2</v>
      </c>
      <c r="AJ2889">
        <v>0</v>
      </c>
      <c r="AK2889" t="s">
        <v>978</v>
      </c>
      <c r="AL2889">
        <v>39.108302999999999</v>
      </c>
      <c r="AM2889" t="s">
        <v>979</v>
      </c>
      <c r="AN2889">
        <v>-121.032515</v>
      </c>
      <c r="AO2889">
        <v>25</v>
      </c>
      <c r="AP2889">
        <v>4400</v>
      </c>
      <c r="AQ2889" t="s">
        <v>131</v>
      </c>
      <c r="AR2889">
        <v>3</v>
      </c>
      <c r="AS2889">
        <v>85</v>
      </c>
      <c r="AT2889">
        <v>64</v>
      </c>
      <c r="BB2889" t="str">
        <f t="shared" si="1143"/>
        <v>1200</v>
      </c>
      <c r="BC2889">
        <v>1</v>
      </c>
      <c r="BD2889" t="str">
        <f t="shared" si="1144"/>
        <v xml:space="preserve">N52156  </v>
      </c>
      <c r="BE2889">
        <v>1</v>
      </c>
      <c r="BG2889">
        <v>0</v>
      </c>
      <c r="BH2889">
        <v>0</v>
      </c>
      <c r="BI2889">
        <v>0</v>
      </c>
      <c r="BJ2889">
        <v>4400</v>
      </c>
      <c r="BK2889">
        <v>0</v>
      </c>
      <c r="BL2889" t="s">
        <v>188</v>
      </c>
      <c r="BM2889">
        <v>1</v>
      </c>
      <c r="BN2889">
        <v>1</v>
      </c>
      <c r="BO2889">
        <v>0</v>
      </c>
      <c r="BP2889">
        <v>0</v>
      </c>
      <c r="BS2889">
        <v>0</v>
      </c>
      <c r="BT2889">
        <v>0</v>
      </c>
      <c r="BU2889">
        <v>0</v>
      </c>
      <c r="CE2889" t="str">
        <f t="shared" si="1147"/>
        <v>15:12:33.709</v>
      </c>
      <c r="CF2889">
        <v>708727864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5</v>
      </c>
      <c r="CY2889">
        <v>7</v>
      </c>
      <c r="CZ2889" t="s">
        <v>133</v>
      </c>
      <c r="DA2889">
        <v>275</v>
      </c>
      <c r="DB2889">
        <v>0</v>
      </c>
      <c r="DC2889" t="s">
        <v>134</v>
      </c>
      <c r="DD2889" t="s">
        <v>135</v>
      </c>
      <c r="DG2889">
        <v>3322157</v>
      </c>
      <c r="DI2889">
        <v>1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>"05/01/2025 15:12:33.929"</f>
        <v>05/01/2025 15:12:33.929</v>
      </c>
      <c r="C2890" t="str">
        <f t="shared" si="1140"/>
        <v>FFDFD3C0</v>
      </c>
      <c r="D2890" t="s">
        <v>124</v>
      </c>
      <c r="E2890" t="str">
        <f>"06"</f>
        <v>06</v>
      </c>
      <c r="F2890">
        <v>2006</v>
      </c>
      <c r="G2890" t="s">
        <v>125</v>
      </c>
      <c r="J2890" t="s">
        <v>126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R2890" t="s">
        <v>127</v>
      </c>
      <c r="S2890" t="str">
        <f t="shared" si="1146"/>
        <v>15:12:33.000</v>
      </c>
      <c r="T2890" t="str">
        <f t="shared" si="1146"/>
        <v>15:12:33.000</v>
      </c>
      <c r="U2890" t="str">
        <f t="shared" si="1142"/>
        <v>A68FCB</v>
      </c>
      <c r="V2890">
        <v>0</v>
      </c>
      <c r="W2890">
        <v>0</v>
      </c>
      <c r="X2890">
        <v>2</v>
      </c>
      <c r="Y2890">
        <v>0</v>
      </c>
      <c r="AA2890">
        <v>1</v>
      </c>
      <c r="AB2890">
        <v>8</v>
      </c>
      <c r="AC2890">
        <v>3</v>
      </c>
      <c r="AD2890">
        <v>0</v>
      </c>
      <c r="AE2890">
        <v>9</v>
      </c>
      <c r="AF2890" t="s">
        <v>138</v>
      </c>
      <c r="AG2890">
        <v>0</v>
      </c>
      <c r="AH2890">
        <v>3</v>
      </c>
      <c r="AI2890">
        <v>2</v>
      </c>
      <c r="AJ2890">
        <v>0</v>
      </c>
      <c r="AK2890" t="s">
        <v>978</v>
      </c>
      <c r="AL2890">
        <v>39.108302999999999</v>
      </c>
      <c r="AM2890" t="s">
        <v>979</v>
      </c>
      <c r="AN2890">
        <v>-121.032515</v>
      </c>
      <c r="AO2890">
        <v>25</v>
      </c>
      <c r="AP2890">
        <v>4400</v>
      </c>
      <c r="AQ2890" t="s">
        <v>131</v>
      </c>
      <c r="AR2890">
        <v>3</v>
      </c>
      <c r="AS2890">
        <v>85</v>
      </c>
      <c r="AT2890">
        <v>64</v>
      </c>
      <c r="BB2890" t="str">
        <f t="shared" si="1143"/>
        <v>1200</v>
      </c>
      <c r="BC2890">
        <v>1</v>
      </c>
      <c r="BD2890" t="str">
        <f t="shared" si="1144"/>
        <v xml:space="preserve">N52156  </v>
      </c>
      <c r="BE2890">
        <v>1</v>
      </c>
      <c r="BG2890">
        <v>0</v>
      </c>
      <c r="BH2890">
        <v>0</v>
      </c>
      <c r="BI2890">
        <v>0</v>
      </c>
      <c r="BJ2890">
        <v>4400</v>
      </c>
      <c r="BK2890">
        <v>0</v>
      </c>
      <c r="BL2890" t="s">
        <v>188</v>
      </c>
      <c r="BM2890">
        <v>1</v>
      </c>
      <c r="BN2890">
        <v>1</v>
      </c>
      <c r="BO2890">
        <v>0</v>
      </c>
      <c r="BP2890">
        <v>0</v>
      </c>
      <c r="BS2890">
        <v>0</v>
      </c>
      <c r="BT2890">
        <v>0</v>
      </c>
      <c r="BU2890">
        <v>0</v>
      </c>
      <c r="CE2890" t="str">
        <f t="shared" si="1147"/>
        <v>15:12:33.709</v>
      </c>
      <c r="CF2890">
        <v>708727864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5</v>
      </c>
      <c r="CY2890">
        <v>7</v>
      </c>
      <c r="CZ2890" t="s">
        <v>133</v>
      </c>
      <c r="DA2890">
        <v>275</v>
      </c>
      <c r="DB2890">
        <v>0</v>
      </c>
      <c r="DC2890" t="s">
        <v>134</v>
      </c>
      <c r="DD2890" t="s">
        <v>135</v>
      </c>
      <c r="DG2890">
        <v>3322157</v>
      </c>
      <c r="DI2890">
        <v>1</v>
      </c>
      <c r="DJ2890">
        <v>0</v>
      </c>
      <c r="DK2890">
        <v>1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>"05/01/2025 15:12:33.941"</f>
        <v>05/01/2025 15:12:33.941</v>
      </c>
      <c r="C2891" t="str">
        <f t="shared" si="1140"/>
        <v>FFDFD3C0</v>
      </c>
      <c r="D2891" t="s">
        <v>145</v>
      </c>
      <c r="E2891" t="str">
        <f>"09"</f>
        <v>09</v>
      </c>
      <c r="H2891">
        <v>51</v>
      </c>
      <c r="I2891" t="s">
        <v>147</v>
      </c>
      <c r="J2891" t="s">
        <v>138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R2891" t="s">
        <v>127</v>
      </c>
      <c r="S2891" t="str">
        <f t="shared" si="1146"/>
        <v>15:12:33.000</v>
      </c>
      <c r="T2891" t="str">
        <f t="shared" si="1146"/>
        <v>15:12:33.000</v>
      </c>
      <c r="U2891" t="str">
        <f t="shared" si="1142"/>
        <v>A68FCB</v>
      </c>
      <c r="V2891">
        <v>0</v>
      </c>
      <c r="W2891">
        <v>0</v>
      </c>
      <c r="X2891">
        <v>2</v>
      </c>
      <c r="Y2891">
        <v>0</v>
      </c>
      <c r="AA2891">
        <v>1</v>
      </c>
      <c r="AB2891">
        <v>8</v>
      </c>
      <c r="AC2891">
        <v>3</v>
      </c>
      <c r="AD2891">
        <v>0</v>
      </c>
      <c r="AE2891">
        <v>9</v>
      </c>
      <c r="AF2891" t="s">
        <v>138</v>
      </c>
      <c r="AG2891">
        <v>0</v>
      </c>
      <c r="AH2891">
        <v>3</v>
      </c>
      <c r="AI2891">
        <v>2</v>
      </c>
      <c r="AJ2891">
        <v>0</v>
      </c>
      <c r="AK2891" t="s">
        <v>978</v>
      </c>
      <c r="AL2891">
        <v>39.108302999999999</v>
      </c>
      <c r="AM2891" t="s">
        <v>979</v>
      </c>
      <c r="AN2891">
        <v>-121.032515</v>
      </c>
      <c r="AO2891">
        <v>25</v>
      </c>
      <c r="AP2891">
        <v>4400</v>
      </c>
      <c r="AQ2891" t="s">
        <v>131</v>
      </c>
      <c r="AR2891">
        <v>3</v>
      </c>
      <c r="AS2891">
        <v>85</v>
      </c>
      <c r="AT2891">
        <v>64</v>
      </c>
      <c r="BB2891" t="str">
        <f t="shared" si="1143"/>
        <v>1200</v>
      </c>
      <c r="BC2891">
        <v>1</v>
      </c>
      <c r="BD2891" t="str">
        <f t="shared" si="1144"/>
        <v xml:space="preserve">N52156  </v>
      </c>
      <c r="BE2891">
        <v>1</v>
      </c>
      <c r="BG2891">
        <v>0</v>
      </c>
      <c r="BH2891">
        <v>0</v>
      </c>
      <c r="BI2891">
        <v>0</v>
      </c>
      <c r="BJ2891">
        <v>4400</v>
      </c>
      <c r="BK2891">
        <v>0</v>
      </c>
      <c r="BL2891" t="s">
        <v>188</v>
      </c>
      <c r="BM2891">
        <v>1</v>
      </c>
      <c r="BN2891">
        <v>1</v>
      </c>
      <c r="BO2891">
        <v>0</v>
      </c>
      <c r="BP2891">
        <v>0</v>
      </c>
      <c r="BS2891">
        <v>0</v>
      </c>
      <c r="BT2891">
        <v>0</v>
      </c>
      <c r="BU2891">
        <v>0</v>
      </c>
      <c r="CE2891" t="str">
        <f t="shared" si="1147"/>
        <v>15:12:33.709</v>
      </c>
      <c r="CF2891">
        <v>708727864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5</v>
      </c>
      <c r="CY2891">
        <v>7</v>
      </c>
      <c r="CZ2891" t="s">
        <v>133</v>
      </c>
      <c r="DA2891">
        <v>275</v>
      </c>
      <c r="DB2891">
        <v>0</v>
      </c>
      <c r="DC2891" t="s">
        <v>134</v>
      </c>
      <c r="DD2891" t="s">
        <v>135</v>
      </c>
      <c r="DG2891">
        <v>3322157</v>
      </c>
      <c r="DI2891">
        <v>1</v>
      </c>
      <c r="DJ2891">
        <v>0</v>
      </c>
      <c r="DK2891">
        <v>1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"05/01/2025 15:12:33.941"</f>
        <v>05/01/2025 15:12:33.941</v>
      </c>
      <c r="C2892" t="str">
        <f t="shared" si="1140"/>
        <v>FFDFD3C0</v>
      </c>
      <c r="D2892" t="s">
        <v>145</v>
      </c>
      <c r="E2892" t="str">
        <f>"05"</f>
        <v>05</v>
      </c>
      <c r="H2892">
        <v>47</v>
      </c>
      <c r="I2892" t="s">
        <v>146</v>
      </c>
      <c r="J2892" t="s">
        <v>138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R2892" t="s">
        <v>127</v>
      </c>
      <c r="S2892" t="str">
        <f t="shared" si="1146"/>
        <v>15:12:33.000</v>
      </c>
      <c r="T2892" t="str">
        <f t="shared" si="1146"/>
        <v>15:12:33.000</v>
      </c>
      <c r="U2892" t="str">
        <f t="shared" si="1142"/>
        <v>A68FCB</v>
      </c>
      <c r="V2892">
        <v>0</v>
      </c>
      <c r="W2892">
        <v>0</v>
      </c>
      <c r="X2892">
        <v>2</v>
      </c>
      <c r="Y2892">
        <v>0</v>
      </c>
      <c r="AA2892">
        <v>1</v>
      </c>
      <c r="AB2892">
        <v>8</v>
      </c>
      <c r="AC2892">
        <v>3</v>
      </c>
      <c r="AD2892">
        <v>0</v>
      </c>
      <c r="AE2892">
        <v>9</v>
      </c>
      <c r="AF2892" t="s">
        <v>138</v>
      </c>
      <c r="AG2892">
        <v>0</v>
      </c>
      <c r="AH2892">
        <v>3</v>
      </c>
      <c r="AI2892">
        <v>2</v>
      </c>
      <c r="AJ2892">
        <v>0</v>
      </c>
      <c r="AK2892" t="s">
        <v>978</v>
      </c>
      <c r="AL2892">
        <v>39.108302999999999</v>
      </c>
      <c r="AM2892" t="s">
        <v>979</v>
      </c>
      <c r="AN2892">
        <v>-121.032515</v>
      </c>
      <c r="AO2892">
        <v>25</v>
      </c>
      <c r="AP2892">
        <v>4400</v>
      </c>
      <c r="AQ2892" t="s">
        <v>131</v>
      </c>
      <c r="AR2892">
        <v>3</v>
      </c>
      <c r="AS2892">
        <v>85</v>
      </c>
      <c r="AT2892">
        <v>64</v>
      </c>
      <c r="BB2892" t="str">
        <f t="shared" si="1143"/>
        <v>1200</v>
      </c>
      <c r="BC2892">
        <v>1</v>
      </c>
      <c r="BD2892" t="str">
        <f t="shared" si="1144"/>
        <v xml:space="preserve">N52156  </v>
      </c>
      <c r="BE2892">
        <v>1</v>
      </c>
      <c r="BG2892">
        <v>0</v>
      </c>
      <c r="BH2892">
        <v>0</v>
      </c>
      <c r="BI2892">
        <v>0</v>
      </c>
      <c r="BJ2892">
        <v>4400</v>
      </c>
      <c r="BK2892">
        <v>0</v>
      </c>
      <c r="BL2892" t="s">
        <v>188</v>
      </c>
      <c r="BM2892">
        <v>1</v>
      </c>
      <c r="BN2892">
        <v>1</v>
      </c>
      <c r="BO2892">
        <v>0</v>
      </c>
      <c r="BP2892">
        <v>0</v>
      </c>
      <c r="BS2892">
        <v>0</v>
      </c>
      <c r="BT2892">
        <v>0</v>
      </c>
      <c r="BU2892">
        <v>0</v>
      </c>
      <c r="CE2892" t="str">
        <f t="shared" si="1147"/>
        <v>15:12:33.709</v>
      </c>
      <c r="CF2892">
        <v>708727864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5</v>
      </c>
      <c r="CY2892">
        <v>7</v>
      </c>
      <c r="CZ2892" t="s">
        <v>133</v>
      </c>
      <c r="DA2892">
        <v>275</v>
      </c>
      <c r="DB2892">
        <v>0</v>
      </c>
      <c r="DC2892" t="s">
        <v>134</v>
      </c>
      <c r="DD2892" t="s">
        <v>135</v>
      </c>
      <c r="DG2892">
        <v>3322157</v>
      </c>
      <c r="DI2892">
        <v>1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"05/01/2025 15:12:33.952"</f>
        <v>05/01/2025 15:12:33.952</v>
      </c>
      <c r="C2893" t="str">
        <f t="shared" si="1140"/>
        <v>FFDFD3C0</v>
      </c>
      <c r="D2893" t="s">
        <v>136</v>
      </c>
      <c r="E2893" t="str">
        <f>"20"</f>
        <v>20</v>
      </c>
      <c r="H2893">
        <v>400</v>
      </c>
      <c r="I2893" t="s">
        <v>137</v>
      </c>
      <c r="J2893" t="s">
        <v>138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R2893" t="s">
        <v>127</v>
      </c>
      <c r="S2893" t="str">
        <f t="shared" si="1146"/>
        <v>15:12:33.000</v>
      </c>
      <c r="T2893" t="str">
        <f t="shared" si="1146"/>
        <v>15:12:33.000</v>
      </c>
      <c r="U2893" t="str">
        <f t="shared" si="1142"/>
        <v>A68FCB</v>
      </c>
      <c r="V2893">
        <v>0</v>
      </c>
      <c r="W2893">
        <v>0</v>
      </c>
      <c r="X2893">
        <v>2</v>
      </c>
      <c r="Y2893">
        <v>0</v>
      </c>
      <c r="AA2893">
        <v>1</v>
      </c>
      <c r="AB2893">
        <v>8</v>
      </c>
      <c r="AC2893">
        <v>3</v>
      </c>
      <c r="AD2893">
        <v>0</v>
      </c>
      <c r="AE2893">
        <v>9</v>
      </c>
      <c r="AF2893" t="s">
        <v>138</v>
      </c>
      <c r="AG2893">
        <v>0</v>
      </c>
      <c r="AH2893">
        <v>3</v>
      </c>
      <c r="AI2893">
        <v>2</v>
      </c>
      <c r="AJ2893">
        <v>0</v>
      </c>
      <c r="AK2893" t="s">
        <v>978</v>
      </c>
      <c r="AL2893">
        <v>39.108302999999999</v>
      </c>
      <c r="AM2893" t="s">
        <v>979</v>
      </c>
      <c r="AN2893">
        <v>-121.032515</v>
      </c>
      <c r="AO2893">
        <v>25</v>
      </c>
      <c r="AP2893">
        <v>4400</v>
      </c>
      <c r="AQ2893" t="s">
        <v>131</v>
      </c>
      <c r="AR2893">
        <v>3</v>
      </c>
      <c r="AS2893">
        <v>85</v>
      </c>
      <c r="AT2893">
        <v>64</v>
      </c>
      <c r="BB2893" t="str">
        <f t="shared" si="1143"/>
        <v>1200</v>
      </c>
      <c r="BC2893">
        <v>1</v>
      </c>
      <c r="BD2893" t="str">
        <f t="shared" si="1144"/>
        <v xml:space="preserve">N52156  </v>
      </c>
      <c r="BE2893">
        <v>1</v>
      </c>
      <c r="BG2893">
        <v>0</v>
      </c>
      <c r="BH2893">
        <v>0</v>
      </c>
      <c r="BI2893">
        <v>0</v>
      </c>
      <c r="BJ2893">
        <v>4400</v>
      </c>
      <c r="BK2893">
        <v>0</v>
      </c>
      <c r="BL2893" t="s">
        <v>188</v>
      </c>
      <c r="BM2893">
        <v>1</v>
      </c>
      <c r="BN2893">
        <v>1</v>
      </c>
      <c r="BO2893">
        <v>0</v>
      </c>
      <c r="BP2893">
        <v>0</v>
      </c>
      <c r="BS2893">
        <v>0</v>
      </c>
      <c r="BT2893">
        <v>0</v>
      </c>
      <c r="BU2893">
        <v>0</v>
      </c>
      <c r="CE2893" t="str">
        <f t="shared" si="1147"/>
        <v>15:12:33.709</v>
      </c>
      <c r="CF2893">
        <v>708727864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5</v>
      </c>
      <c r="CY2893">
        <v>7</v>
      </c>
      <c r="CZ2893" t="s">
        <v>133</v>
      </c>
      <c r="DA2893">
        <v>275</v>
      </c>
      <c r="DB2893">
        <v>0</v>
      </c>
      <c r="DC2893" t="s">
        <v>134</v>
      </c>
      <c r="DD2893" t="s">
        <v>135</v>
      </c>
      <c r="DG2893">
        <v>3322157</v>
      </c>
      <c r="DI2893">
        <v>1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"05/01/2025 15:12:34.712"</f>
        <v>05/01/2025 15:12:34.712</v>
      </c>
      <c r="C2894" t="str">
        <f t="shared" si="1140"/>
        <v>FFDFD3C0</v>
      </c>
      <c r="D2894" t="s">
        <v>143</v>
      </c>
      <c r="E2894" t="str">
        <f>"05"</f>
        <v>05</v>
      </c>
      <c r="H2894">
        <v>172</v>
      </c>
      <c r="I2894" t="s">
        <v>141</v>
      </c>
      <c r="J2894" t="s">
        <v>144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R2894" t="s">
        <v>127</v>
      </c>
      <c r="S2894" t="str">
        <f t="shared" ref="S2894:T2899" si="1148">"15:12:34.000"</f>
        <v>15:12:34.000</v>
      </c>
      <c r="T2894" t="str">
        <f t="shared" si="1148"/>
        <v>15:12:34.000</v>
      </c>
      <c r="U2894" t="str">
        <f t="shared" si="1142"/>
        <v>A68FCB</v>
      </c>
      <c r="V2894">
        <v>0</v>
      </c>
      <c r="W2894">
        <v>0</v>
      </c>
      <c r="X2894">
        <v>2</v>
      </c>
      <c r="Y2894">
        <v>0</v>
      </c>
      <c r="AA2894">
        <v>1</v>
      </c>
      <c r="AB2894">
        <v>8</v>
      </c>
      <c r="AC2894">
        <v>3</v>
      </c>
      <c r="AD2894">
        <v>0</v>
      </c>
      <c r="AE2894">
        <v>9</v>
      </c>
      <c r="AF2894" t="s">
        <v>138</v>
      </c>
      <c r="AG2894">
        <v>0</v>
      </c>
      <c r="AH2894">
        <v>3</v>
      </c>
      <c r="AI2894">
        <v>2</v>
      </c>
      <c r="AJ2894">
        <v>0</v>
      </c>
      <c r="AK2894" t="s">
        <v>980</v>
      </c>
      <c r="AL2894">
        <v>39.108710000000002</v>
      </c>
      <c r="AM2894" t="s">
        <v>981</v>
      </c>
      <c r="AN2894">
        <v>-121.032493</v>
      </c>
      <c r="AO2894">
        <v>25</v>
      </c>
      <c r="AP2894">
        <v>4400</v>
      </c>
      <c r="AQ2894" t="s">
        <v>131</v>
      </c>
      <c r="AR2894">
        <v>3</v>
      </c>
      <c r="AS2894">
        <v>85</v>
      </c>
      <c r="AT2894">
        <v>128</v>
      </c>
      <c r="BB2894" t="str">
        <f t="shared" si="1143"/>
        <v>1200</v>
      </c>
      <c r="BC2894">
        <v>1</v>
      </c>
      <c r="BD2894" t="str">
        <f t="shared" si="1144"/>
        <v xml:space="preserve">N52156  </v>
      </c>
      <c r="BE2894">
        <v>1</v>
      </c>
      <c r="BG2894">
        <v>0</v>
      </c>
      <c r="BH2894">
        <v>0</v>
      </c>
      <c r="BI2894">
        <v>0</v>
      </c>
      <c r="BJ2894">
        <v>4400</v>
      </c>
      <c r="BK2894">
        <v>0</v>
      </c>
      <c r="BL2894" t="s">
        <v>188</v>
      </c>
      <c r="BM2894">
        <v>1</v>
      </c>
      <c r="BN2894">
        <v>1</v>
      </c>
      <c r="BO2894">
        <v>0</v>
      </c>
      <c r="BP2894">
        <v>0</v>
      </c>
      <c r="BS2894">
        <v>0</v>
      </c>
      <c r="BT2894">
        <v>0</v>
      </c>
      <c r="BU2894">
        <v>0</v>
      </c>
      <c r="CE2894" t="str">
        <f t="shared" ref="CE2894:CE2899" si="1149">"15:12:34.502"</f>
        <v>15:12:34.502</v>
      </c>
      <c r="CF2894">
        <v>502227386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5</v>
      </c>
      <c r="CY2894">
        <v>7</v>
      </c>
      <c r="CZ2894" t="s">
        <v>133</v>
      </c>
      <c r="DA2894">
        <v>275</v>
      </c>
      <c r="DB2894">
        <v>0</v>
      </c>
      <c r="DC2894" t="s">
        <v>134</v>
      </c>
      <c r="DD2894" t="s">
        <v>135</v>
      </c>
      <c r="DG2894">
        <v>3322160</v>
      </c>
      <c r="DI2894">
        <v>1</v>
      </c>
      <c r="DJ2894">
        <v>0</v>
      </c>
      <c r="DK2894">
        <v>0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"05/01/2025 15:12:34.728"</f>
        <v>05/01/2025 15:12:34.728</v>
      </c>
      <c r="C2895" t="str">
        <f t="shared" si="1140"/>
        <v>FFDFD3C0</v>
      </c>
      <c r="D2895" t="s">
        <v>140</v>
      </c>
      <c r="E2895" t="str">
        <f>"13"</f>
        <v>13</v>
      </c>
      <c r="F2895">
        <v>1019</v>
      </c>
      <c r="G2895" t="s">
        <v>141</v>
      </c>
      <c r="J2895" t="s">
        <v>142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R2895" t="s">
        <v>127</v>
      </c>
      <c r="S2895" t="str">
        <f t="shared" si="1148"/>
        <v>15:12:34.000</v>
      </c>
      <c r="T2895" t="str">
        <f t="shared" si="1148"/>
        <v>15:12:34.000</v>
      </c>
      <c r="U2895" t="str">
        <f t="shared" si="1142"/>
        <v>A68FCB</v>
      </c>
      <c r="V2895">
        <v>0</v>
      </c>
      <c r="W2895">
        <v>0</v>
      </c>
      <c r="X2895">
        <v>2</v>
      </c>
      <c r="Y2895">
        <v>0</v>
      </c>
      <c r="AA2895">
        <v>1</v>
      </c>
      <c r="AB2895">
        <v>8</v>
      </c>
      <c r="AC2895">
        <v>3</v>
      </c>
      <c r="AD2895">
        <v>0</v>
      </c>
      <c r="AE2895">
        <v>9</v>
      </c>
      <c r="AF2895" t="s">
        <v>138</v>
      </c>
      <c r="AG2895">
        <v>0</v>
      </c>
      <c r="AH2895">
        <v>3</v>
      </c>
      <c r="AI2895">
        <v>2</v>
      </c>
      <c r="AJ2895">
        <v>0</v>
      </c>
      <c r="AK2895" t="s">
        <v>980</v>
      </c>
      <c r="AL2895">
        <v>39.108710000000002</v>
      </c>
      <c r="AM2895" t="s">
        <v>981</v>
      </c>
      <c r="AN2895">
        <v>-121.032493</v>
      </c>
      <c r="AO2895">
        <v>25</v>
      </c>
      <c r="AP2895">
        <v>4400</v>
      </c>
      <c r="AQ2895" t="s">
        <v>131</v>
      </c>
      <c r="AR2895">
        <v>3</v>
      </c>
      <c r="AS2895">
        <v>85</v>
      </c>
      <c r="AT2895">
        <v>128</v>
      </c>
      <c r="BB2895" t="str">
        <f t="shared" si="1143"/>
        <v>1200</v>
      </c>
      <c r="BC2895">
        <v>1</v>
      </c>
      <c r="BD2895" t="str">
        <f t="shared" si="1144"/>
        <v xml:space="preserve">N52156  </v>
      </c>
      <c r="BE2895">
        <v>1</v>
      </c>
      <c r="BG2895">
        <v>0</v>
      </c>
      <c r="BH2895">
        <v>0</v>
      </c>
      <c r="BI2895">
        <v>0</v>
      </c>
      <c r="BJ2895">
        <v>4400</v>
      </c>
      <c r="BK2895">
        <v>0</v>
      </c>
      <c r="BL2895" t="s">
        <v>188</v>
      </c>
      <c r="BM2895">
        <v>1</v>
      </c>
      <c r="BN2895">
        <v>1</v>
      </c>
      <c r="BO2895">
        <v>0</v>
      </c>
      <c r="BP2895">
        <v>0</v>
      </c>
      <c r="BS2895">
        <v>0</v>
      </c>
      <c r="BT2895">
        <v>0</v>
      </c>
      <c r="BU2895">
        <v>0</v>
      </c>
      <c r="CE2895" t="str">
        <f t="shared" si="1149"/>
        <v>15:12:34.502</v>
      </c>
      <c r="CF2895">
        <v>502227386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5</v>
      </c>
      <c r="CY2895">
        <v>7</v>
      </c>
      <c r="CZ2895" t="s">
        <v>133</v>
      </c>
      <c r="DA2895">
        <v>275</v>
      </c>
      <c r="DB2895">
        <v>0</v>
      </c>
      <c r="DC2895" t="s">
        <v>134</v>
      </c>
      <c r="DD2895" t="s">
        <v>135</v>
      </c>
      <c r="DG2895">
        <v>3322160</v>
      </c>
      <c r="DI2895">
        <v>1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>"05/01/2025 15:12:34.730"</f>
        <v>05/01/2025 15:12:34.730</v>
      </c>
      <c r="C2896" t="str">
        <f t="shared" si="1140"/>
        <v>FFDFD3C0</v>
      </c>
      <c r="D2896" t="s">
        <v>124</v>
      </c>
      <c r="E2896" t="str">
        <f>"06"</f>
        <v>06</v>
      </c>
      <c r="F2896">
        <v>2006</v>
      </c>
      <c r="G2896" t="s">
        <v>125</v>
      </c>
      <c r="J2896" t="s">
        <v>126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R2896" t="s">
        <v>127</v>
      </c>
      <c r="S2896" t="str">
        <f t="shared" si="1148"/>
        <v>15:12:34.000</v>
      </c>
      <c r="T2896" t="str">
        <f t="shared" si="1148"/>
        <v>15:12:34.000</v>
      </c>
      <c r="U2896" t="str">
        <f t="shared" si="1142"/>
        <v>A68FCB</v>
      </c>
      <c r="V2896">
        <v>0</v>
      </c>
      <c r="W2896">
        <v>0</v>
      </c>
      <c r="X2896">
        <v>2</v>
      </c>
      <c r="Y2896">
        <v>0</v>
      </c>
      <c r="AA2896">
        <v>1</v>
      </c>
      <c r="AB2896">
        <v>8</v>
      </c>
      <c r="AC2896">
        <v>3</v>
      </c>
      <c r="AD2896">
        <v>0</v>
      </c>
      <c r="AE2896">
        <v>9</v>
      </c>
      <c r="AF2896" t="s">
        <v>138</v>
      </c>
      <c r="AG2896">
        <v>0</v>
      </c>
      <c r="AH2896">
        <v>3</v>
      </c>
      <c r="AI2896">
        <v>2</v>
      </c>
      <c r="AJ2896">
        <v>0</v>
      </c>
      <c r="AK2896" t="s">
        <v>980</v>
      </c>
      <c r="AL2896">
        <v>39.108710000000002</v>
      </c>
      <c r="AM2896" t="s">
        <v>981</v>
      </c>
      <c r="AN2896">
        <v>-121.032493</v>
      </c>
      <c r="AO2896">
        <v>25</v>
      </c>
      <c r="AP2896">
        <v>4400</v>
      </c>
      <c r="AQ2896" t="s">
        <v>131</v>
      </c>
      <c r="AR2896">
        <v>3</v>
      </c>
      <c r="AS2896">
        <v>85</v>
      </c>
      <c r="AT2896">
        <v>128</v>
      </c>
      <c r="BB2896" t="str">
        <f t="shared" si="1143"/>
        <v>1200</v>
      </c>
      <c r="BC2896">
        <v>1</v>
      </c>
      <c r="BD2896" t="str">
        <f t="shared" si="1144"/>
        <v xml:space="preserve">N52156  </v>
      </c>
      <c r="BE2896">
        <v>1</v>
      </c>
      <c r="BG2896">
        <v>0</v>
      </c>
      <c r="BH2896">
        <v>0</v>
      </c>
      <c r="BI2896">
        <v>0</v>
      </c>
      <c r="BJ2896">
        <v>4400</v>
      </c>
      <c r="BK2896">
        <v>0</v>
      </c>
      <c r="BL2896" t="s">
        <v>188</v>
      </c>
      <c r="BM2896">
        <v>1</v>
      </c>
      <c r="BN2896">
        <v>1</v>
      </c>
      <c r="BO2896">
        <v>0</v>
      </c>
      <c r="BP2896">
        <v>0</v>
      </c>
      <c r="BS2896">
        <v>0</v>
      </c>
      <c r="BT2896">
        <v>0</v>
      </c>
      <c r="BU2896">
        <v>0</v>
      </c>
      <c r="CE2896" t="str">
        <f t="shared" si="1149"/>
        <v>15:12:34.502</v>
      </c>
      <c r="CF2896">
        <v>502227386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5</v>
      </c>
      <c r="CY2896">
        <v>7</v>
      </c>
      <c r="CZ2896" t="s">
        <v>133</v>
      </c>
      <c r="DA2896">
        <v>275</v>
      </c>
      <c r="DB2896">
        <v>0</v>
      </c>
      <c r="DC2896" t="s">
        <v>134</v>
      </c>
      <c r="DD2896" t="s">
        <v>135</v>
      </c>
      <c r="DG2896">
        <v>3322160</v>
      </c>
      <c r="DI2896">
        <v>1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>"05/01/2025 15:12:34.743"</f>
        <v>05/01/2025 15:12:34.743</v>
      </c>
      <c r="C2897" t="str">
        <f t="shared" si="1140"/>
        <v>FFDFD3C0</v>
      </c>
      <c r="D2897" t="s">
        <v>145</v>
      </c>
      <c r="E2897" t="str">
        <f>"05"</f>
        <v>05</v>
      </c>
      <c r="H2897">
        <v>47</v>
      </c>
      <c r="I2897" t="s">
        <v>146</v>
      </c>
      <c r="J2897" t="s">
        <v>138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R2897" t="s">
        <v>127</v>
      </c>
      <c r="S2897" t="str">
        <f t="shared" si="1148"/>
        <v>15:12:34.000</v>
      </c>
      <c r="T2897" t="str">
        <f t="shared" si="1148"/>
        <v>15:12:34.000</v>
      </c>
      <c r="U2897" t="str">
        <f t="shared" si="1142"/>
        <v>A68FCB</v>
      </c>
      <c r="V2897">
        <v>0</v>
      </c>
      <c r="W2897">
        <v>0</v>
      </c>
      <c r="X2897">
        <v>2</v>
      </c>
      <c r="Y2897">
        <v>0</v>
      </c>
      <c r="AA2897">
        <v>1</v>
      </c>
      <c r="AB2897">
        <v>8</v>
      </c>
      <c r="AC2897">
        <v>3</v>
      </c>
      <c r="AD2897">
        <v>0</v>
      </c>
      <c r="AE2897">
        <v>9</v>
      </c>
      <c r="AF2897" t="s">
        <v>138</v>
      </c>
      <c r="AG2897">
        <v>0</v>
      </c>
      <c r="AH2897">
        <v>3</v>
      </c>
      <c r="AI2897">
        <v>2</v>
      </c>
      <c r="AJ2897">
        <v>0</v>
      </c>
      <c r="AK2897" t="s">
        <v>980</v>
      </c>
      <c r="AL2897">
        <v>39.108710000000002</v>
      </c>
      <c r="AM2897" t="s">
        <v>981</v>
      </c>
      <c r="AN2897">
        <v>-121.032493</v>
      </c>
      <c r="AO2897">
        <v>25</v>
      </c>
      <c r="AP2897">
        <v>4400</v>
      </c>
      <c r="AQ2897" t="s">
        <v>131</v>
      </c>
      <c r="AR2897">
        <v>3</v>
      </c>
      <c r="AS2897">
        <v>85</v>
      </c>
      <c r="AT2897">
        <v>128</v>
      </c>
      <c r="BB2897" t="str">
        <f t="shared" si="1143"/>
        <v>1200</v>
      </c>
      <c r="BC2897">
        <v>1</v>
      </c>
      <c r="BD2897" t="str">
        <f t="shared" si="1144"/>
        <v xml:space="preserve">N52156  </v>
      </c>
      <c r="BE2897">
        <v>1</v>
      </c>
      <c r="BG2897">
        <v>0</v>
      </c>
      <c r="BH2897">
        <v>0</v>
      </c>
      <c r="BI2897">
        <v>0</v>
      </c>
      <c r="BJ2897">
        <v>4400</v>
      </c>
      <c r="BK2897">
        <v>0</v>
      </c>
      <c r="BL2897" t="s">
        <v>188</v>
      </c>
      <c r="BM2897">
        <v>1</v>
      </c>
      <c r="BN2897">
        <v>1</v>
      </c>
      <c r="BO2897">
        <v>0</v>
      </c>
      <c r="BP2897">
        <v>0</v>
      </c>
      <c r="BS2897">
        <v>0</v>
      </c>
      <c r="BT2897">
        <v>0</v>
      </c>
      <c r="BU2897">
        <v>0</v>
      </c>
      <c r="CE2897" t="str">
        <f t="shared" si="1149"/>
        <v>15:12:34.502</v>
      </c>
      <c r="CF2897">
        <v>502227386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5</v>
      </c>
      <c r="CY2897">
        <v>7</v>
      </c>
      <c r="CZ2897" t="s">
        <v>133</v>
      </c>
      <c r="DA2897">
        <v>275</v>
      </c>
      <c r="DB2897">
        <v>0</v>
      </c>
      <c r="DC2897" t="s">
        <v>134</v>
      </c>
      <c r="DD2897" t="s">
        <v>135</v>
      </c>
      <c r="DG2897">
        <v>3322160</v>
      </c>
      <c r="DI2897">
        <v>1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>"05/01/2025 15:12:34.743"</f>
        <v>05/01/2025 15:12:34.743</v>
      </c>
      <c r="C2898" t="str">
        <f t="shared" si="1140"/>
        <v>FFDFD3C0</v>
      </c>
      <c r="D2898" t="s">
        <v>145</v>
      </c>
      <c r="E2898" t="str">
        <f>"09"</f>
        <v>09</v>
      </c>
      <c r="H2898">
        <v>51</v>
      </c>
      <c r="I2898" t="s">
        <v>147</v>
      </c>
      <c r="J2898" t="s">
        <v>138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R2898" t="s">
        <v>127</v>
      </c>
      <c r="S2898" t="str">
        <f t="shared" si="1148"/>
        <v>15:12:34.000</v>
      </c>
      <c r="T2898" t="str">
        <f t="shared" si="1148"/>
        <v>15:12:34.000</v>
      </c>
      <c r="U2898" t="str">
        <f t="shared" si="1142"/>
        <v>A68FCB</v>
      </c>
      <c r="V2898">
        <v>0</v>
      </c>
      <c r="W2898">
        <v>0</v>
      </c>
      <c r="X2898">
        <v>2</v>
      </c>
      <c r="Y2898">
        <v>0</v>
      </c>
      <c r="AA2898">
        <v>1</v>
      </c>
      <c r="AB2898">
        <v>8</v>
      </c>
      <c r="AC2898">
        <v>3</v>
      </c>
      <c r="AD2898">
        <v>0</v>
      </c>
      <c r="AE2898">
        <v>9</v>
      </c>
      <c r="AF2898" t="s">
        <v>138</v>
      </c>
      <c r="AG2898">
        <v>0</v>
      </c>
      <c r="AH2898">
        <v>3</v>
      </c>
      <c r="AI2898">
        <v>2</v>
      </c>
      <c r="AJ2898">
        <v>0</v>
      </c>
      <c r="AK2898" t="s">
        <v>980</v>
      </c>
      <c r="AL2898">
        <v>39.108710000000002</v>
      </c>
      <c r="AM2898" t="s">
        <v>981</v>
      </c>
      <c r="AN2898">
        <v>-121.032493</v>
      </c>
      <c r="AO2898">
        <v>25</v>
      </c>
      <c r="AP2898">
        <v>4400</v>
      </c>
      <c r="AQ2898" t="s">
        <v>131</v>
      </c>
      <c r="AR2898">
        <v>3</v>
      </c>
      <c r="AS2898">
        <v>85</v>
      </c>
      <c r="AT2898">
        <v>128</v>
      </c>
      <c r="BB2898" t="str">
        <f t="shared" si="1143"/>
        <v>1200</v>
      </c>
      <c r="BC2898">
        <v>1</v>
      </c>
      <c r="BD2898" t="str">
        <f t="shared" si="1144"/>
        <v xml:space="preserve">N52156  </v>
      </c>
      <c r="BE2898">
        <v>1</v>
      </c>
      <c r="BG2898">
        <v>0</v>
      </c>
      <c r="BH2898">
        <v>0</v>
      </c>
      <c r="BI2898">
        <v>0</v>
      </c>
      <c r="BJ2898">
        <v>4400</v>
      </c>
      <c r="BK2898">
        <v>0</v>
      </c>
      <c r="BL2898" t="s">
        <v>188</v>
      </c>
      <c r="BM2898">
        <v>1</v>
      </c>
      <c r="BN2898">
        <v>1</v>
      </c>
      <c r="BO2898">
        <v>0</v>
      </c>
      <c r="BP2898">
        <v>0</v>
      </c>
      <c r="BS2898">
        <v>0</v>
      </c>
      <c r="BT2898">
        <v>0</v>
      </c>
      <c r="BU2898">
        <v>0</v>
      </c>
      <c r="CE2898" t="str">
        <f t="shared" si="1149"/>
        <v>15:12:34.502</v>
      </c>
      <c r="CF2898">
        <v>502227386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5</v>
      </c>
      <c r="CY2898">
        <v>7</v>
      </c>
      <c r="CZ2898" t="s">
        <v>133</v>
      </c>
      <c r="DA2898">
        <v>275</v>
      </c>
      <c r="DB2898">
        <v>0</v>
      </c>
      <c r="DC2898" t="s">
        <v>134</v>
      </c>
      <c r="DD2898" t="s">
        <v>135</v>
      </c>
      <c r="DG2898">
        <v>3322160</v>
      </c>
      <c r="DI2898">
        <v>1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>"05/01/2025 15:12:34.754"</f>
        <v>05/01/2025 15:12:34.754</v>
      </c>
      <c r="C2899" t="str">
        <f t="shared" si="1140"/>
        <v>FFDFD3C0</v>
      </c>
      <c r="D2899" t="s">
        <v>136</v>
      </c>
      <c r="E2899" t="str">
        <f>"20"</f>
        <v>20</v>
      </c>
      <c r="H2899">
        <v>400</v>
      </c>
      <c r="I2899" t="s">
        <v>137</v>
      </c>
      <c r="J2899" t="s">
        <v>138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R2899" t="s">
        <v>127</v>
      </c>
      <c r="S2899" t="str">
        <f t="shared" si="1148"/>
        <v>15:12:34.000</v>
      </c>
      <c r="T2899" t="str">
        <f t="shared" si="1148"/>
        <v>15:12:34.000</v>
      </c>
      <c r="U2899" t="str">
        <f t="shared" si="1142"/>
        <v>A68FCB</v>
      </c>
      <c r="V2899">
        <v>0</v>
      </c>
      <c r="W2899">
        <v>0</v>
      </c>
      <c r="X2899">
        <v>2</v>
      </c>
      <c r="Y2899">
        <v>0</v>
      </c>
      <c r="AA2899">
        <v>1</v>
      </c>
      <c r="AB2899">
        <v>8</v>
      </c>
      <c r="AC2899">
        <v>3</v>
      </c>
      <c r="AD2899">
        <v>0</v>
      </c>
      <c r="AE2899">
        <v>9</v>
      </c>
      <c r="AF2899" t="s">
        <v>138</v>
      </c>
      <c r="AG2899">
        <v>0</v>
      </c>
      <c r="AH2899">
        <v>3</v>
      </c>
      <c r="AI2899">
        <v>2</v>
      </c>
      <c r="AJ2899">
        <v>0</v>
      </c>
      <c r="AK2899" t="s">
        <v>980</v>
      </c>
      <c r="AL2899">
        <v>39.108710000000002</v>
      </c>
      <c r="AM2899" t="s">
        <v>981</v>
      </c>
      <c r="AN2899">
        <v>-121.032493</v>
      </c>
      <c r="AO2899">
        <v>25</v>
      </c>
      <c r="AP2899">
        <v>4400</v>
      </c>
      <c r="AQ2899" t="s">
        <v>131</v>
      </c>
      <c r="AR2899">
        <v>3</v>
      </c>
      <c r="AS2899">
        <v>85</v>
      </c>
      <c r="AT2899">
        <v>128</v>
      </c>
      <c r="BB2899" t="str">
        <f t="shared" si="1143"/>
        <v>1200</v>
      </c>
      <c r="BC2899">
        <v>1</v>
      </c>
      <c r="BD2899" t="str">
        <f t="shared" si="1144"/>
        <v xml:space="preserve">N52156  </v>
      </c>
      <c r="BE2899">
        <v>1</v>
      </c>
      <c r="BG2899">
        <v>0</v>
      </c>
      <c r="BH2899">
        <v>0</v>
      </c>
      <c r="BI2899">
        <v>0</v>
      </c>
      <c r="BJ2899">
        <v>4400</v>
      </c>
      <c r="BK2899">
        <v>0</v>
      </c>
      <c r="BL2899" t="s">
        <v>188</v>
      </c>
      <c r="BM2899">
        <v>1</v>
      </c>
      <c r="BN2899">
        <v>1</v>
      </c>
      <c r="BO2899">
        <v>0</v>
      </c>
      <c r="BP2899">
        <v>0</v>
      </c>
      <c r="BS2899">
        <v>0</v>
      </c>
      <c r="BT2899">
        <v>0</v>
      </c>
      <c r="BU2899">
        <v>0</v>
      </c>
      <c r="CE2899" t="str">
        <f t="shared" si="1149"/>
        <v>15:12:34.502</v>
      </c>
      <c r="CF2899">
        <v>502227386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5</v>
      </c>
      <c r="CY2899">
        <v>7</v>
      </c>
      <c r="CZ2899" t="s">
        <v>133</v>
      </c>
      <c r="DA2899">
        <v>275</v>
      </c>
      <c r="DB2899">
        <v>0</v>
      </c>
      <c r="DC2899" t="s">
        <v>134</v>
      </c>
      <c r="DD2899" t="s">
        <v>135</v>
      </c>
      <c r="DG2899">
        <v>3322160</v>
      </c>
      <c r="DI2899">
        <v>1</v>
      </c>
      <c r="DJ2899">
        <v>0</v>
      </c>
      <c r="DK2899">
        <v>1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>"05/01/2025 15:12:35.864"</f>
        <v>05/01/2025 15:12:35.864</v>
      </c>
      <c r="C2900" t="str">
        <f t="shared" si="1140"/>
        <v>FFDFD3C0</v>
      </c>
      <c r="D2900" t="s">
        <v>143</v>
      </c>
      <c r="E2900" t="str">
        <f>"05"</f>
        <v>05</v>
      </c>
      <c r="H2900">
        <v>172</v>
      </c>
      <c r="I2900" t="s">
        <v>141</v>
      </c>
      <c r="J2900" t="s">
        <v>144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R2900" t="s">
        <v>127</v>
      </c>
      <c r="S2900" t="str">
        <f t="shared" ref="S2900:T2905" si="1150">"15:12:35.000"</f>
        <v>15:12:35.000</v>
      </c>
      <c r="T2900" t="str">
        <f t="shared" si="1150"/>
        <v>15:12:35.000</v>
      </c>
      <c r="U2900" t="str">
        <f t="shared" si="1142"/>
        <v>A68FCB</v>
      </c>
      <c r="V2900">
        <v>0</v>
      </c>
      <c r="W2900">
        <v>0</v>
      </c>
      <c r="X2900">
        <v>2</v>
      </c>
      <c r="Y2900">
        <v>0</v>
      </c>
      <c r="AA2900">
        <v>1</v>
      </c>
      <c r="AB2900">
        <v>8</v>
      </c>
      <c r="AC2900">
        <v>3</v>
      </c>
      <c r="AD2900">
        <v>0</v>
      </c>
      <c r="AE2900">
        <v>9</v>
      </c>
      <c r="AF2900" t="s">
        <v>138</v>
      </c>
      <c r="AG2900">
        <v>0</v>
      </c>
      <c r="AH2900">
        <v>3</v>
      </c>
      <c r="AI2900">
        <v>2</v>
      </c>
      <c r="AJ2900">
        <v>0</v>
      </c>
      <c r="AK2900" t="s">
        <v>982</v>
      </c>
      <c r="AL2900">
        <v>39.109096999999998</v>
      </c>
      <c r="AM2900" t="s">
        <v>983</v>
      </c>
      <c r="AN2900">
        <v>-121.032472</v>
      </c>
      <c r="AO2900">
        <v>25</v>
      </c>
      <c r="AP2900">
        <v>4400</v>
      </c>
      <c r="AQ2900" t="s">
        <v>131</v>
      </c>
      <c r="AR2900">
        <v>3</v>
      </c>
      <c r="AS2900">
        <v>85</v>
      </c>
      <c r="AT2900">
        <v>128</v>
      </c>
      <c r="BB2900" t="str">
        <f t="shared" si="1143"/>
        <v>1200</v>
      </c>
      <c r="BC2900">
        <v>1</v>
      </c>
      <c r="BD2900" t="str">
        <f t="shared" si="1144"/>
        <v xml:space="preserve">N52156  </v>
      </c>
      <c r="BE2900">
        <v>1</v>
      </c>
      <c r="BG2900">
        <v>0</v>
      </c>
      <c r="BH2900">
        <v>0</v>
      </c>
      <c r="BI2900">
        <v>0</v>
      </c>
      <c r="BJ2900">
        <v>4400</v>
      </c>
      <c r="BK2900">
        <v>0</v>
      </c>
      <c r="BL2900" t="s">
        <v>188</v>
      </c>
      <c r="BM2900">
        <v>1</v>
      </c>
      <c r="BN2900">
        <v>1</v>
      </c>
      <c r="BO2900">
        <v>0</v>
      </c>
      <c r="BP2900">
        <v>0</v>
      </c>
      <c r="BS2900">
        <v>0</v>
      </c>
      <c r="BT2900">
        <v>0</v>
      </c>
      <c r="BU2900">
        <v>0</v>
      </c>
      <c r="CE2900" t="str">
        <f t="shared" ref="CE2900:CE2905" si="1151">"15:12:35.644"</f>
        <v>15:12:35.644</v>
      </c>
      <c r="CF2900">
        <v>643727854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5</v>
      </c>
      <c r="CY2900">
        <v>7</v>
      </c>
      <c r="CZ2900" t="s">
        <v>133</v>
      </c>
      <c r="DA2900">
        <v>275</v>
      </c>
      <c r="DB2900">
        <v>0</v>
      </c>
      <c r="DC2900" t="s">
        <v>134</v>
      </c>
      <c r="DD2900" t="s">
        <v>135</v>
      </c>
      <c r="DG2900">
        <v>3322165</v>
      </c>
      <c r="DI2900">
        <v>1</v>
      </c>
      <c r="DJ2900">
        <v>0</v>
      </c>
      <c r="DK2900">
        <v>0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>"05/01/2025 15:12:35.879"</f>
        <v>05/01/2025 15:12:35.879</v>
      </c>
      <c r="C2901" t="str">
        <f t="shared" si="1140"/>
        <v>FFDFD3C0</v>
      </c>
      <c r="D2901" t="s">
        <v>140</v>
      </c>
      <c r="E2901" t="str">
        <f>"13"</f>
        <v>13</v>
      </c>
      <c r="F2901">
        <v>1019</v>
      </c>
      <c r="G2901" t="s">
        <v>141</v>
      </c>
      <c r="J2901" t="s">
        <v>142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R2901" t="s">
        <v>127</v>
      </c>
      <c r="S2901" t="str">
        <f t="shared" si="1150"/>
        <v>15:12:35.000</v>
      </c>
      <c r="T2901" t="str">
        <f t="shared" si="1150"/>
        <v>15:12:35.000</v>
      </c>
      <c r="U2901" t="str">
        <f t="shared" si="1142"/>
        <v>A68FCB</v>
      </c>
      <c r="V2901">
        <v>0</v>
      </c>
      <c r="W2901">
        <v>0</v>
      </c>
      <c r="X2901">
        <v>2</v>
      </c>
      <c r="Y2901">
        <v>0</v>
      </c>
      <c r="AA2901">
        <v>1</v>
      </c>
      <c r="AB2901">
        <v>8</v>
      </c>
      <c r="AC2901">
        <v>3</v>
      </c>
      <c r="AD2901">
        <v>0</v>
      </c>
      <c r="AE2901">
        <v>9</v>
      </c>
      <c r="AF2901" t="s">
        <v>138</v>
      </c>
      <c r="AG2901">
        <v>0</v>
      </c>
      <c r="AH2901">
        <v>3</v>
      </c>
      <c r="AI2901">
        <v>2</v>
      </c>
      <c r="AJ2901">
        <v>0</v>
      </c>
      <c r="AK2901" t="s">
        <v>982</v>
      </c>
      <c r="AL2901">
        <v>39.109096999999998</v>
      </c>
      <c r="AM2901" t="s">
        <v>983</v>
      </c>
      <c r="AN2901">
        <v>-121.032472</v>
      </c>
      <c r="AO2901">
        <v>25</v>
      </c>
      <c r="AP2901">
        <v>4400</v>
      </c>
      <c r="AQ2901" t="s">
        <v>131</v>
      </c>
      <c r="AR2901">
        <v>3</v>
      </c>
      <c r="AS2901">
        <v>85</v>
      </c>
      <c r="AT2901">
        <v>128</v>
      </c>
      <c r="BB2901" t="str">
        <f t="shared" si="1143"/>
        <v>1200</v>
      </c>
      <c r="BC2901">
        <v>1</v>
      </c>
      <c r="BD2901" t="str">
        <f t="shared" si="1144"/>
        <v xml:space="preserve">N52156  </v>
      </c>
      <c r="BE2901">
        <v>1</v>
      </c>
      <c r="BG2901">
        <v>0</v>
      </c>
      <c r="BH2901">
        <v>0</v>
      </c>
      <c r="BI2901">
        <v>0</v>
      </c>
      <c r="BJ2901">
        <v>4400</v>
      </c>
      <c r="BK2901">
        <v>0</v>
      </c>
      <c r="BL2901" t="s">
        <v>188</v>
      </c>
      <c r="BM2901">
        <v>1</v>
      </c>
      <c r="BN2901">
        <v>1</v>
      </c>
      <c r="BO2901">
        <v>0</v>
      </c>
      <c r="BP2901">
        <v>0</v>
      </c>
      <c r="BS2901">
        <v>0</v>
      </c>
      <c r="BT2901">
        <v>0</v>
      </c>
      <c r="BU2901">
        <v>0</v>
      </c>
      <c r="CE2901" t="str">
        <f t="shared" si="1151"/>
        <v>15:12:35.644</v>
      </c>
      <c r="CF2901">
        <v>643727854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5</v>
      </c>
      <c r="CY2901">
        <v>7</v>
      </c>
      <c r="CZ2901" t="s">
        <v>133</v>
      </c>
      <c r="DA2901">
        <v>275</v>
      </c>
      <c r="DB2901">
        <v>0</v>
      </c>
      <c r="DC2901" t="s">
        <v>134</v>
      </c>
      <c r="DD2901" t="s">
        <v>135</v>
      </c>
      <c r="DG2901">
        <v>3322165</v>
      </c>
      <c r="DI2901">
        <v>1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>"05/01/2025 15:12:35.882"</f>
        <v>05/01/2025 15:12:35.882</v>
      </c>
      <c r="C2902" t="str">
        <f t="shared" si="1140"/>
        <v>FFDFD3C0</v>
      </c>
      <c r="D2902" t="s">
        <v>124</v>
      </c>
      <c r="E2902" t="str">
        <f>"06"</f>
        <v>06</v>
      </c>
      <c r="F2902">
        <v>2006</v>
      </c>
      <c r="G2902" t="s">
        <v>125</v>
      </c>
      <c r="J2902" t="s">
        <v>126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R2902" t="s">
        <v>127</v>
      </c>
      <c r="S2902" t="str">
        <f t="shared" si="1150"/>
        <v>15:12:35.000</v>
      </c>
      <c r="T2902" t="str">
        <f t="shared" si="1150"/>
        <v>15:12:35.000</v>
      </c>
      <c r="U2902" t="str">
        <f t="shared" si="1142"/>
        <v>A68FCB</v>
      </c>
      <c r="V2902">
        <v>0</v>
      </c>
      <c r="W2902">
        <v>0</v>
      </c>
      <c r="X2902">
        <v>2</v>
      </c>
      <c r="Y2902">
        <v>0</v>
      </c>
      <c r="AA2902">
        <v>1</v>
      </c>
      <c r="AB2902">
        <v>8</v>
      </c>
      <c r="AC2902">
        <v>3</v>
      </c>
      <c r="AD2902">
        <v>0</v>
      </c>
      <c r="AE2902">
        <v>9</v>
      </c>
      <c r="AF2902" t="s">
        <v>138</v>
      </c>
      <c r="AG2902">
        <v>0</v>
      </c>
      <c r="AH2902">
        <v>3</v>
      </c>
      <c r="AI2902">
        <v>2</v>
      </c>
      <c r="AJ2902">
        <v>0</v>
      </c>
      <c r="AK2902" t="s">
        <v>982</v>
      </c>
      <c r="AL2902">
        <v>39.109096999999998</v>
      </c>
      <c r="AM2902" t="s">
        <v>983</v>
      </c>
      <c r="AN2902">
        <v>-121.032472</v>
      </c>
      <c r="AO2902">
        <v>25</v>
      </c>
      <c r="AP2902">
        <v>4400</v>
      </c>
      <c r="AQ2902" t="s">
        <v>131</v>
      </c>
      <c r="AR2902">
        <v>3</v>
      </c>
      <c r="AS2902">
        <v>85</v>
      </c>
      <c r="AT2902">
        <v>128</v>
      </c>
      <c r="BB2902" t="str">
        <f t="shared" si="1143"/>
        <v>1200</v>
      </c>
      <c r="BC2902">
        <v>1</v>
      </c>
      <c r="BD2902" t="str">
        <f t="shared" si="1144"/>
        <v xml:space="preserve">N52156  </v>
      </c>
      <c r="BE2902">
        <v>1</v>
      </c>
      <c r="BG2902">
        <v>0</v>
      </c>
      <c r="BH2902">
        <v>0</v>
      </c>
      <c r="BI2902">
        <v>0</v>
      </c>
      <c r="BJ2902">
        <v>4400</v>
      </c>
      <c r="BK2902">
        <v>0</v>
      </c>
      <c r="BL2902" t="s">
        <v>188</v>
      </c>
      <c r="BM2902">
        <v>1</v>
      </c>
      <c r="BN2902">
        <v>1</v>
      </c>
      <c r="BO2902">
        <v>0</v>
      </c>
      <c r="BP2902">
        <v>0</v>
      </c>
      <c r="BS2902">
        <v>0</v>
      </c>
      <c r="BT2902">
        <v>0</v>
      </c>
      <c r="BU2902">
        <v>0</v>
      </c>
      <c r="CE2902" t="str">
        <f t="shared" si="1151"/>
        <v>15:12:35.644</v>
      </c>
      <c r="CF2902">
        <v>643727854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5</v>
      </c>
      <c r="CY2902">
        <v>7</v>
      </c>
      <c r="CZ2902" t="s">
        <v>133</v>
      </c>
      <c r="DA2902">
        <v>275</v>
      </c>
      <c r="DB2902">
        <v>0</v>
      </c>
      <c r="DC2902" t="s">
        <v>134</v>
      </c>
      <c r="DD2902" t="s">
        <v>135</v>
      </c>
      <c r="DG2902">
        <v>3322165</v>
      </c>
      <c r="DI2902">
        <v>1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>"05/01/2025 15:12:35.895"</f>
        <v>05/01/2025 15:12:35.895</v>
      </c>
      <c r="C2903" t="str">
        <f t="shared" si="1140"/>
        <v>FFDFD3C0</v>
      </c>
      <c r="D2903" t="s">
        <v>145</v>
      </c>
      <c r="E2903" t="str">
        <f>"05"</f>
        <v>05</v>
      </c>
      <c r="H2903">
        <v>47</v>
      </c>
      <c r="I2903" t="s">
        <v>146</v>
      </c>
      <c r="J2903" t="s">
        <v>138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R2903" t="s">
        <v>127</v>
      </c>
      <c r="S2903" t="str">
        <f t="shared" si="1150"/>
        <v>15:12:35.000</v>
      </c>
      <c r="T2903" t="str">
        <f t="shared" si="1150"/>
        <v>15:12:35.000</v>
      </c>
      <c r="U2903" t="str">
        <f t="shared" si="1142"/>
        <v>A68FCB</v>
      </c>
      <c r="V2903">
        <v>0</v>
      </c>
      <c r="W2903">
        <v>0</v>
      </c>
      <c r="X2903">
        <v>2</v>
      </c>
      <c r="Y2903">
        <v>0</v>
      </c>
      <c r="AA2903">
        <v>1</v>
      </c>
      <c r="AB2903">
        <v>8</v>
      </c>
      <c r="AC2903">
        <v>3</v>
      </c>
      <c r="AD2903">
        <v>0</v>
      </c>
      <c r="AE2903">
        <v>9</v>
      </c>
      <c r="AF2903" t="s">
        <v>138</v>
      </c>
      <c r="AG2903">
        <v>0</v>
      </c>
      <c r="AH2903">
        <v>3</v>
      </c>
      <c r="AI2903">
        <v>2</v>
      </c>
      <c r="AJ2903">
        <v>0</v>
      </c>
      <c r="AK2903" t="s">
        <v>982</v>
      </c>
      <c r="AL2903">
        <v>39.109096999999998</v>
      </c>
      <c r="AM2903" t="s">
        <v>983</v>
      </c>
      <c r="AN2903">
        <v>-121.032472</v>
      </c>
      <c r="AO2903">
        <v>25</v>
      </c>
      <c r="AP2903">
        <v>4400</v>
      </c>
      <c r="AQ2903" t="s">
        <v>131</v>
      </c>
      <c r="AR2903">
        <v>3</v>
      </c>
      <c r="AS2903">
        <v>85</v>
      </c>
      <c r="AT2903">
        <v>128</v>
      </c>
      <c r="BB2903" t="str">
        <f t="shared" si="1143"/>
        <v>1200</v>
      </c>
      <c r="BC2903">
        <v>1</v>
      </c>
      <c r="BD2903" t="str">
        <f t="shared" si="1144"/>
        <v xml:space="preserve">N52156  </v>
      </c>
      <c r="BE2903">
        <v>1</v>
      </c>
      <c r="BG2903">
        <v>0</v>
      </c>
      <c r="BH2903">
        <v>0</v>
      </c>
      <c r="BI2903">
        <v>0</v>
      </c>
      <c r="BJ2903">
        <v>4400</v>
      </c>
      <c r="BK2903">
        <v>0</v>
      </c>
      <c r="BL2903" t="s">
        <v>188</v>
      </c>
      <c r="BM2903">
        <v>1</v>
      </c>
      <c r="BN2903">
        <v>1</v>
      </c>
      <c r="BO2903">
        <v>0</v>
      </c>
      <c r="BP2903">
        <v>0</v>
      </c>
      <c r="BS2903">
        <v>0</v>
      </c>
      <c r="BT2903">
        <v>0</v>
      </c>
      <c r="BU2903">
        <v>0</v>
      </c>
      <c r="CE2903" t="str">
        <f t="shared" si="1151"/>
        <v>15:12:35.644</v>
      </c>
      <c r="CF2903">
        <v>643727854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5</v>
      </c>
      <c r="CY2903">
        <v>7</v>
      </c>
      <c r="CZ2903" t="s">
        <v>133</v>
      </c>
      <c r="DA2903">
        <v>275</v>
      </c>
      <c r="DB2903">
        <v>0</v>
      </c>
      <c r="DC2903" t="s">
        <v>134</v>
      </c>
      <c r="DD2903" t="s">
        <v>135</v>
      </c>
      <c r="DG2903">
        <v>3322165</v>
      </c>
      <c r="DI2903">
        <v>1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>"05/01/2025 15:12:35.895"</f>
        <v>05/01/2025 15:12:35.895</v>
      </c>
      <c r="C2904" t="str">
        <f t="shared" si="1140"/>
        <v>FFDFD3C0</v>
      </c>
      <c r="D2904" t="s">
        <v>145</v>
      </c>
      <c r="E2904" t="str">
        <f>"09"</f>
        <v>09</v>
      </c>
      <c r="H2904">
        <v>51</v>
      </c>
      <c r="I2904" t="s">
        <v>147</v>
      </c>
      <c r="J2904" t="s">
        <v>138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R2904" t="s">
        <v>127</v>
      </c>
      <c r="S2904" t="str">
        <f t="shared" si="1150"/>
        <v>15:12:35.000</v>
      </c>
      <c r="T2904" t="str">
        <f t="shared" si="1150"/>
        <v>15:12:35.000</v>
      </c>
      <c r="U2904" t="str">
        <f t="shared" si="1142"/>
        <v>A68FCB</v>
      </c>
      <c r="V2904">
        <v>0</v>
      </c>
      <c r="W2904">
        <v>0</v>
      </c>
      <c r="X2904">
        <v>2</v>
      </c>
      <c r="Y2904">
        <v>0</v>
      </c>
      <c r="AA2904">
        <v>1</v>
      </c>
      <c r="AB2904">
        <v>8</v>
      </c>
      <c r="AC2904">
        <v>3</v>
      </c>
      <c r="AD2904">
        <v>0</v>
      </c>
      <c r="AE2904">
        <v>9</v>
      </c>
      <c r="AF2904" t="s">
        <v>138</v>
      </c>
      <c r="AG2904">
        <v>0</v>
      </c>
      <c r="AH2904">
        <v>3</v>
      </c>
      <c r="AI2904">
        <v>2</v>
      </c>
      <c r="AJ2904">
        <v>0</v>
      </c>
      <c r="AK2904" t="s">
        <v>982</v>
      </c>
      <c r="AL2904">
        <v>39.109096999999998</v>
      </c>
      <c r="AM2904" t="s">
        <v>983</v>
      </c>
      <c r="AN2904">
        <v>-121.032472</v>
      </c>
      <c r="AO2904">
        <v>25</v>
      </c>
      <c r="AP2904">
        <v>4400</v>
      </c>
      <c r="AQ2904" t="s">
        <v>131</v>
      </c>
      <c r="AR2904">
        <v>3</v>
      </c>
      <c r="AS2904">
        <v>85</v>
      </c>
      <c r="AT2904">
        <v>128</v>
      </c>
      <c r="BB2904" t="str">
        <f t="shared" si="1143"/>
        <v>1200</v>
      </c>
      <c r="BC2904">
        <v>1</v>
      </c>
      <c r="BD2904" t="str">
        <f t="shared" si="1144"/>
        <v xml:space="preserve">N52156  </v>
      </c>
      <c r="BE2904">
        <v>1</v>
      </c>
      <c r="BG2904">
        <v>0</v>
      </c>
      <c r="BH2904">
        <v>0</v>
      </c>
      <c r="BI2904">
        <v>0</v>
      </c>
      <c r="BJ2904">
        <v>4400</v>
      </c>
      <c r="BK2904">
        <v>0</v>
      </c>
      <c r="BL2904" t="s">
        <v>188</v>
      </c>
      <c r="BM2904">
        <v>1</v>
      </c>
      <c r="BN2904">
        <v>1</v>
      </c>
      <c r="BO2904">
        <v>0</v>
      </c>
      <c r="BP2904">
        <v>0</v>
      </c>
      <c r="BS2904">
        <v>0</v>
      </c>
      <c r="BT2904">
        <v>0</v>
      </c>
      <c r="BU2904">
        <v>0</v>
      </c>
      <c r="CE2904" t="str">
        <f t="shared" si="1151"/>
        <v>15:12:35.644</v>
      </c>
      <c r="CF2904">
        <v>643727854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5</v>
      </c>
      <c r="CY2904">
        <v>7</v>
      </c>
      <c r="CZ2904" t="s">
        <v>133</v>
      </c>
      <c r="DA2904">
        <v>275</v>
      </c>
      <c r="DB2904">
        <v>0</v>
      </c>
      <c r="DC2904" t="s">
        <v>134</v>
      </c>
      <c r="DD2904" t="s">
        <v>135</v>
      </c>
      <c r="DG2904">
        <v>3322165</v>
      </c>
      <c r="DI2904">
        <v>1</v>
      </c>
      <c r="DJ2904">
        <v>0</v>
      </c>
      <c r="DK2904">
        <v>1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>"05/01/2025 15:12:35.906"</f>
        <v>05/01/2025 15:12:35.906</v>
      </c>
      <c r="C2905" t="str">
        <f t="shared" si="1140"/>
        <v>FFDFD3C0</v>
      </c>
      <c r="D2905" t="s">
        <v>136</v>
      </c>
      <c r="E2905" t="str">
        <f>"20"</f>
        <v>20</v>
      </c>
      <c r="H2905">
        <v>400</v>
      </c>
      <c r="I2905" t="s">
        <v>137</v>
      </c>
      <c r="J2905" t="s">
        <v>138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R2905" t="s">
        <v>127</v>
      </c>
      <c r="S2905" t="str">
        <f t="shared" si="1150"/>
        <v>15:12:35.000</v>
      </c>
      <c r="T2905" t="str">
        <f t="shared" si="1150"/>
        <v>15:12:35.000</v>
      </c>
      <c r="U2905" t="str">
        <f t="shared" si="1142"/>
        <v>A68FCB</v>
      </c>
      <c r="V2905">
        <v>0</v>
      </c>
      <c r="W2905">
        <v>0</v>
      </c>
      <c r="X2905">
        <v>2</v>
      </c>
      <c r="Y2905">
        <v>0</v>
      </c>
      <c r="AA2905">
        <v>1</v>
      </c>
      <c r="AB2905">
        <v>8</v>
      </c>
      <c r="AC2905">
        <v>3</v>
      </c>
      <c r="AD2905">
        <v>0</v>
      </c>
      <c r="AE2905">
        <v>9</v>
      </c>
      <c r="AF2905" t="s">
        <v>138</v>
      </c>
      <c r="AG2905">
        <v>0</v>
      </c>
      <c r="AH2905">
        <v>3</v>
      </c>
      <c r="AI2905">
        <v>2</v>
      </c>
      <c r="AJ2905">
        <v>0</v>
      </c>
      <c r="AK2905" t="s">
        <v>982</v>
      </c>
      <c r="AL2905">
        <v>39.109096999999998</v>
      </c>
      <c r="AM2905" t="s">
        <v>983</v>
      </c>
      <c r="AN2905">
        <v>-121.032472</v>
      </c>
      <c r="AO2905">
        <v>25</v>
      </c>
      <c r="AP2905">
        <v>4400</v>
      </c>
      <c r="AQ2905" t="s">
        <v>131</v>
      </c>
      <c r="AR2905">
        <v>3</v>
      </c>
      <c r="AS2905">
        <v>85</v>
      </c>
      <c r="AT2905">
        <v>128</v>
      </c>
      <c r="BB2905" t="str">
        <f t="shared" si="1143"/>
        <v>1200</v>
      </c>
      <c r="BC2905">
        <v>1</v>
      </c>
      <c r="BD2905" t="str">
        <f t="shared" si="1144"/>
        <v xml:space="preserve">N52156  </v>
      </c>
      <c r="BE2905">
        <v>1</v>
      </c>
      <c r="BG2905">
        <v>0</v>
      </c>
      <c r="BH2905">
        <v>0</v>
      </c>
      <c r="BI2905">
        <v>0</v>
      </c>
      <c r="BJ2905">
        <v>4400</v>
      </c>
      <c r="BK2905">
        <v>0</v>
      </c>
      <c r="BL2905" t="s">
        <v>188</v>
      </c>
      <c r="BM2905">
        <v>1</v>
      </c>
      <c r="BN2905">
        <v>1</v>
      </c>
      <c r="BO2905">
        <v>0</v>
      </c>
      <c r="BP2905">
        <v>0</v>
      </c>
      <c r="BS2905">
        <v>0</v>
      </c>
      <c r="BT2905">
        <v>0</v>
      </c>
      <c r="BU2905">
        <v>0</v>
      </c>
      <c r="CE2905" t="str">
        <f t="shared" si="1151"/>
        <v>15:12:35.644</v>
      </c>
      <c r="CF2905">
        <v>643727854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5</v>
      </c>
      <c r="CY2905">
        <v>7</v>
      </c>
      <c r="CZ2905" t="s">
        <v>133</v>
      </c>
      <c r="DA2905">
        <v>275</v>
      </c>
      <c r="DB2905">
        <v>0</v>
      </c>
      <c r="DC2905" t="s">
        <v>134</v>
      </c>
      <c r="DD2905" t="s">
        <v>135</v>
      </c>
      <c r="DG2905">
        <v>3322165</v>
      </c>
      <c r="DI2905">
        <v>1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>"05/01/2025 15:12:36.647"</f>
        <v>05/01/2025 15:12:36.647</v>
      </c>
      <c r="C2906" t="str">
        <f t="shared" si="1140"/>
        <v>FFDFD3C0</v>
      </c>
      <c r="D2906" t="s">
        <v>145</v>
      </c>
      <c r="E2906" t="str">
        <f>"09"</f>
        <v>09</v>
      </c>
      <c r="H2906">
        <v>51</v>
      </c>
      <c r="I2906" t="s">
        <v>147</v>
      </c>
      <c r="J2906" t="s">
        <v>138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R2906" t="s">
        <v>127</v>
      </c>
      <c r="S2906" t="str">
        <f t="shared" ref="S2906:T2911" si="1152">"15:12:36.000"</f>
        <v>15:12:36.000</v>
      </c>
      <c r="T2906" t="str">
        <f t="shared" si="1152"/>
        <v>15:12:36.000</v>
      </c>
      <c r="U2906" t="str">
        <f t="shared" si="1142"/>
        <v>A68FCB</v>
      </c>
      <c r="V2906">
        <v>0</v>
      </c>
      <c r="W2906">
        <v>0</v>
      </c>
      <c r="X2906">
        <v>2</v>
      </c>
      <c r="Y2906">
        <v>0</v>
      </c>
      <c r="AA2906">
        <v>1</v>
      </c>
      <c r="AB2906">
        <v>8</v>
      </c>
      <c r="AC2906">
        <v>3</v>
      </c>
      <c r="AD2906">
        <v>0</v>
      </c>
      <c r="AE2906">
        <v>9</v>
      </c>
      <c r="AF2906" t="s">
        <v>138</v>
      </c>
      <c r="AG2906">
        <v>0</v>
      </c>
      <c r="AH2906">
        <v>3</v>
      </c>
      <c r="AI2906">
        <v>2</v>
      </c>
      <c r="AJ2906">
        <v>0</v>
      </c>
      <c r="AK2906" t="s">
        <v>984</v>
      </c>
      <c r="AL2906">
        <v>39.109504000000001</v>
      </c>
      <c r="AM2906" t="s">
        <v>985</v>
      </c>
      <c r="AN2906">
        <v>-121.03245</v>
      </c>
      <c r="AO2906">
        <v>25</v>
      </c>
      <c r="AP2906">
        <v>4400</v>
      </c>
      <c r="AQ2906" t="s">
        <v>131</v>
      </c>
      <c r="AR2906">
        <v>3</v>
      </c>
      <c r="AS2906">
        <v>85</v>
      </c>
      <c r="AT2906">
        <v>64</v>
      </c>
      <c r="BB2906" t="str">
        <f t="shared" si="1143"/>
        <v>1200</v>
      </c>
      <c r="BC2906">
        <v>1</v>
      </c>
      <c r="BD2906" t="str">
        <f t="shared" si="1144"/>
        <v xml:space="preserve">N52156  </v>
      </c>
      <c r="BE2906">
        <v>1</v>
      </c>
      <c r="BG2906">
        <v>0</v>
      </c>
      <c r="BH2906">
        <v>0</v>
      </c>
      <c r="BI2906">
        <v>0</v>
      </c>
      <c r="BJ2906">
        <v>4400</v>
      </c>
      <c r="BK2906">
        <v>0</v>
      </c>
      <c r="BL2906" t="s">
        <v>188</v>
      </c>
      <c r="BM2906">
        <v>1</v>
      </c>
      <c r="BN2906">
        <v>1</v>
      </c>
      <c r="BO2906">
        <v>0</v>
      </c>
      <c r="BP2906">
        <v>0</v>
      </c>
      <c r="BS2906">
        <v>0</v>
      </c>
      <c r="BT2906">
        <v>0</v>
      </c>
      <c r="BU2906">
        <v>0</v>
      </c>
      <c r="CE2906" t="str">
        <f t="shared" ref="CE2906:CE2911" si="1153">"15:12:36.446"</f>
        <v>15:12:36.446</v>
      </c>
      <c r="CF2906">
        <v>446477401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5</v>
      </c>
      <c r="CY2906">
        <v>7</v>
      </c>
      <c r="CZ2906" t="s">
        <v>133</v>
      </c>
      <c r="DA2906">
        <v>275</v>
      </c>
      <c r="DB2906">
        <v>0</v>
      </c>
      <c r="DC2906" t="s">
        <v>134</v>
      </c>
      <c r="DD2906" t="s">
        <v>135</v>
      </c>
      <c r="DG2906">
        <v>3322171</v>
      </c>
      <c r="DI2906">
        <v>1</v>
      </c>
      <c r="DJ2906">
        <v>0</v>
      </c>
      <c r="DK2906">
        <v>0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>"05/01/2025 15:12:36.647"</f>
        <v>05/01/2025 15:12:36.647</v>
      </c>
      <c r="C2907" t="str">
        <f t="shared" si="1140"/>
        <v>FFDFD3C0</v>
      </c>
      <c r="D2907" t="s">
        <v>145</v>
      </c>
      <c r="E2907" t="str">
        <f>"05"</f>
        <v>05</v>
      </c>
      <c r="H2907">
        <v>47</v>
      </c>
      <c r="I2907" t="s">
        <v>146</v>
      </c>
      <c r="J2907" t="s">
        <v>138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R2907" t="s">
        <v>127</v>
      </c>
      <c r="S2907" t="str">
        <f t="shared" si="1152"/>
        <v>15:12:36.000</v>
      </c>
      <c r="T2907" t="str">
        <f t="shared" si="1152"/>
        <v>15:12:36.000</v>
      </c>
      <c r="U2907" t="str">
        <f t="shared" si="1142"/>
        <v>A68FCB</v>
      </c>
      <c r="V2907">
        <v>0</v>
      </c>
      <c r="W2907">
        <v>0</v>
      </c>
      <c r="X2907">
        <v>2</v>
      </c>
      <c r="Y2907">
        <v>0</v>
      </c>
      <c r="AA2907">
        <v>1</v>
      </c>
      <c r="AB2907">
        <v>8</v>
      </c>
      <c r="AC2907">
        <v>3</v>
      </c>
      <c r="AD2907">
        <v>0</v>
      </c>
      <c r="AE2907">
        <v>9</v>
      </c>
      <c r="AF2907" t="s">
        <v>138</v>
      </c>
      <c r="AG2907">
        <v>0</v>
      </c>
      <c r="AH2907">
        <v>3</v>
      </c>
      <c r="AI2907">
        <v>2</v>
      </c>
      <c r="AJ2907">
        <v>0</v>
      </c>
      <c r="AK2907" t="s">
        <v>984</v>
      </c>
      <c r="AL2907">
        <v>39.109504000000001</v>
      </c>
      <c r="AM2907" t="s">
        <v>985</v>
      </c>
      <c r="AN2907">
        <v>-121.03245</v>
      </c>
      <c r="AO2907">
        <v>25</v>
      </c>
      <c r="AP2907">
        <v>4400</v>
      </c>
      <c r="AQ2907" t="s">
        <v>131</v>
      </c>
      <c r="AR2907">
        <v>3</v>
      </c>
      <c r="AS2907">
        <v>85</v>
      </c>
      <c r="AT2907">
        <v>64</v>
      </c>
      <c r="BB2907" t="str">
        <f t="shared" si="1143"/>
        <v>1200</v>
      </c>
      <c r="BC2907">
        <v>1</v>
      </c>
      <c r="BD2907" t="str">
        <f t="shared" si="1144"/>
        <v xml:space="preserve">N52156  </v>
      </c>
      <c r="BE2907">
        <v>1</v>
      </c>
      <c r="BG2907">
        <v>0</v>
      </c>
      <c r="BH2907">
        <v>0</v>
      </c>
      <c r="BI2907">
        <v>0</v>
      </c>
      <c r="BJ2907">
        <v>4400</v>
      </c>
      <c r="BK2907">
        <v>0</v>
      </c>
      <c r="BL2907" t="s">
        <v>188</v>
      </c>
      <c r="BM2907">
        <v>1</v>
      </c>
      <c r="BN2907">
        <v>1</v>
      </c>
      <c r="BO2907">
        <v>0</v>
      </c>
      <c r="BP2907">
        <v>0</v>
      </c>
      <c r="BS2907">
        <v>0</v>
      </c>
      <c r="BT2907">
        <v>0</v>
      </c>
      <c r="BU2907">
        <v>0</v>
      </c>
      <c r="CE2907" t="str">
        <f t="shared" si="1153"/>
        <v>15:12:36.446</v>
      </c>
      <c r="CF2907">
        <v>446477401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5</v>
      </c>
      <c r="CY2907">
        <v>7</v>
      </c>
      <c r="CZ2907" t="s">
        <v>133</v>
      </c>
      <c r="DA2907">
        <v>275</v>
      </c>
      <c r="DB2907">
        <v>0</v>
      </c>
      <c r="DC2907" t="s">
        <v>134</v>
      </c>
      <c r="DD2907" t="s">
        <v>135</v>
      </c>
      <c r="DG2907">
        <v>3322171</v>
      </c>
      <c r="DI2907">
        <v>1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>"05/01/2025 15:12:36.657"</f>
        <v>05/01/2025 15:12:36.657</v>
      </c>
      <c r="C2908" t="str">
        <f t="shared" si="1140"/>
        <v>FFDFD3C0</v>
      </c>
      <c r="D2908" t="s">
        <v>136</v>
      </c>
      <c r="E2908" t="str">
        <f>"20"</f>
        <v>20</v>
      </c>
      <c r="H2908">
        <v>400</v>
      </c>
      <c r="I2908" t="s">
        <v>137</v>
      </c>
      <c r="J2908" t="s">
        <v>138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R2908" t="s">
        <v>127</v>
      </c>
      <c r="S2908" t="str">
        <f t="shared" si="1152"/>
        <v>15:12:36.000</v>
      </c>
      <c r="T2908" t="str">
        <f t="shared" si="1152"/>
        <v>15:12:36.000</v>
      </c>
      <c r="U2908" t="str">
        <f t="shared" si="1142"/>
        <v>A68FCB</v>
      </c>
      <c r="V2908">
        <v>0</v>
      </c>
      <c r="W2908">
        <v>0</v>
      </c>
      <c r="X2908">
        <v>2</v>
      </c>
      <c r="Y2908">
        <v>0</v>
      </c>
      <c r="AA2908">
        <v>1</v>
      </c>
      <c r="AB2908">
        <v>8</v>
      </c>
      <c r="AC2908">
        <v>3</v>
      </c>
      <c r="AD2908">
        <v>0</v>
      </c>
      <c r="AE2908">
        <v>9</v>
      </c>
      <c r="AF2908" t="s">
        <v>138</v>
      </c>
      <c r="AG2908">
        <v>0</v>
      </c>
      <c r="AH2908">
        <v>3</v>
      </c>
      <c r="AI2908">
        <v>2</v>
      </c>
      <c r="AJ2908">
        <v>0</v>
      </c>
      <c r="AK2908" t="s">
        <v>984</v>
      </c>
      <c r="AL2908">
        <v>39.109504000000001</v>
      </c>
      <c r="AM2908" t="s">
        <v>985</v>
      </c>
      <c r="AN2908">
        <v>-121.03245</v>
      </c>
      <c r="AO2908">
        <v>25</v>
      </c>
      <c r="AP2908">
        <v>4400</v>
      </c>
      <c r="AQ2908" t="s">
        <v>131</v>
      </c>
      <c r="AR2908">
        <v>3</v>
      </c>
      <c r="AS2908">
        <v>85</v>
      </c>
      <c r="AT2908">
        <v>64</v>
      </c>
      <c r="BB2908" t="str">
        <f t="shared" si="1143"/>
        <v>1200</v>
      </c>
      <c r="BC2908">
        <v>1</v>
      </c>
      <c r="BD2908" t="str">
        <f t="shared" si="1144"/>
        <v xml:space="preserve">N52156  </v>
      </c>
      <c r="BE2908">
        <v>1</v>
      </c>
      <c r="BG2908">
        <v>0</v>
      </c>
      <c r="BH2908">
        <v>0</v>
      </c>
      <c r="BI2908">
        <v>0</v>
      </c>
      <c r="BJ2908">
        <v>4400</v>
      </c>
      <c r="BK2908">
        <v>0</v>
      </c>
      <c r="BL2908" t="s">
        <v>188</v>
      </c>
      <c r="BM2908">
        <v>1</v>
      </c>
      <c r="BN2908">
        <v>1</v>
      </c>
      <c r="BO2908">
        <v>0</v>
      </c>
      <c r="BP2908">
        <v>0</v>
      </c>
      <c r="BS2908">
        <v>0</v>
      </c>
      <c r="BT2908">
        <v>0</v>
      </c>
      <c r="BU2908">
        <v>0</v>
      </c>
      <c r="CE2908" t="str">
        <f t="shared" si="1153"/>
        <v>15:12:36.446</v>
      </c>
      <c r="CF2908">
        <v>446477401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5</v>
      </c>
      <c r="CY2908">
        <v>7</v>
      </c>
      <c r="CZ2908" t="s">
        <v>133</v>
      </c>
      <c r="DA2908">
        <v>275</v>
      </c>
      <c r="DB2908">
        <v>0</v>
      </c>
      <c r="DC2908" t="s">
        <v>134</v>
      </c>
      <c r="DD2908" t="s">
        <v>135</v>
      </c>
      <c r="DG2908">
        <v>3322171</v>
      </c>
      <c r="DI2908">
        <v>1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>"05/01/2025 15:12:36.665"</f>
        <v>05/01/2025 15:12:36.665</v>
      </c>
      <c r="C2909" t="str">
        <f t="shared" si="1140"/>
        <v>FFDFD3C0</v>
      </c>
      <c r="D2909" t="s">
        <v>143</v>
      </c>
      <c r="E2909" t="str">
        <f>"05"</f>
        <v>05</v>
      </c>
      <c r="H2909">
        <v>172</v>
      </c>
      <c r="I2909" t="s">
        <v>141</v>
      </c>
      <c r="J2909" t="s">
        <v>144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R2909" t="s">
        <v>127</v>
      </c>
      <c r="S2909" t="str">
        <f t="shared" si="1152"/>
        <v>15:12:36.000</v>
      </c>
      <c r="T2909" t="str">
        <f t="shared" si="1152"/>
        <v>15:12:36.000</v>
      </c>
      <c r="U2909" t="str">
        <f t="shared" si="1142"/>
        <v>A68FCB</v>
      </c>
      <c r="V2909">
        <v>0</v>
      </c>
      <c r="W2909">
        <v>0</v>
      </c>
      <c r="X2909">
        <v>2</v>
      </c>
      <c r="Y2909">
        <v>0</v>
      </c>
      <c r="AA2909">
        <v>1</v>
      </c>
      <c r="AB2909">
        <v>8</v>
      </c>
      <c r="AC2909">
        <v>3</v>
      </c>
      <c r="AD2909">
        <v>0</v>
      </c>
      <c r="AE2909">
        <v>9</v>
      </c>
      <c r="AF2909" t="s">
        <v>138</v>
      </c>
      <c r="AG2909">
        <v>0</v>
      </c>
      <c r="AH2909">
        <v>3</v>
      </c>
      <c r="AI2909">
        <v>2</v>
      </c>
      <c r="AJ2909">
        <v>0</v>
      </c>
      <c r="AK2909" t="s">
        <v>984</v>
      </c>
      <c r="AL2909">
        <v>39.109504000000001</v>
      </c>
      <c r="AM2909" t="s">
        <v>985</v>
      </c>
      <c r="AN2909">
        <v>-121.03245</v>
      </c>
      <c r="AO2909">
        <v>25</v>
      </c>
      <c r="AP2909">
        <v>4400</v>
      </c>
      <c r="AQ2909" t="s">
        <v>131</v>
      </c>
      <c r="AR2909">
        <v>3</v>
      </c>
      <c r="AS2909">
        <v>85</v>
      </c>
      <c r="AT2909">
        <v>64</v>
      </c>
      <c r="BB2909" t="str">
        <f t="shared" si="1143"/>
        <v>1200</v>
      </c>
      <c r="BC2909">
        <v>1</v>
      </c>
      <c r="BD2909" t="str">
        <f t="shared" si="1144"/>
        <v xml:space="preserve">N52156  </v>
      </c>
      <c r="BE2909">
        <v>1</v>
      </c>
      <c r="BG2909">
        <v>0</v>
      </c>
      <c r="BH2909">
        <v>0</v>
      </c>
      <c r="BI2909">
        <v>0</v>
      </c>
      <c r="BJ2909">
        <v>4400</v>
      </c>
      <c r="BK2909">
        <v>0</v>
      </c>
      <c r="BL2909" t="s">
        <v>188</v>
      </c>
      <c r="BM2909">
        <v>1</v>
      </c>
      <c r="BN2909">
        <v>1</v>
      </c>
      <c r="BO2909">
        <v>0</v>
      </c>
      <c r="BP2909">
        <v>0</v>
      </c>
      <c r="BS2909">
        <v>0</v>
      </c>
      <c r="BT2909">
        <v>0</v>
      </c>
      <c r="BU2909">
        <v>0</v>
      </c>
      <c r="CE2909" t="str">
        <f t="shared" si="1153"/>
        <v>15:12:36.446</v>
      </c>
      <c r="CF2909">
        <v>446477401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5</v>
      </c>
      <c r="CY2909">
        <v>7</v>
      </c>
      <c r="CZ2909" t="s">
        <v>133</v>
      </c>
      <c r="DA2909">
        <v>275</v>
      </c>
      <c r="DB2909">
        <v>0</v>
      </c>
      <c r="DC2909" t="s">
        <v>134</v>
      </c>
      <c r="DD2909" t="s">
        <v>135</v>
      </c>
      <c r="DG2909">
        <v>3322171</v>
      </c>
      <c r="DI2909">
        <v>1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>"05/01/2025 15:12:36.681"</f>
        <v>05/01/2025 15:12:36.681</v>
      </c>
      <c r="C2910" t="str">
        <f t="shared" si="1140"/>
        <v>FFDFD3C0</v>
      </c>
      <c r="D2910" t="s">
        <v>140</v>
      </c>
      <c r="E2910" t="str">
        <f>"13"</f>
        <v>13</v>
      </c>
      <c r="F2910">
        <v>1019</v>
      </c>
      <c r="G2910" t="s">
        <v>141</v>
      </c>
      <c r="J2910" t="s">
        <v>142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R2910" t="s">
        <v>127</v>
      </c>
      <c r="S2910" t="str">
        <f t="shared" si="1152"/>
        <v>15:12:36.000</v>
      </c>
      <c r="T2910" t="str">
        <f t="shared" si="1152"/>
        <v>15:12:36.000</v>
      </c>
      <c r="U2910" t="str">
        <f t="shared" si="1142"/>
        <v>A68FCB</v>
      </c>
      <c r="V2910">
        <v>0</v>
      </c>
      <c r="W2910">
        <v>0</v>
      </c>
      <c r="X2910">
        <v>2</v>
      </c>
      <c r="Y2910">
        <v>0</v>
      </c>
      <c r="AA2910">
        <v>1</v>
      </c>
      <c r="AB2910">
        <v>8</v>
      </c>
      <c r="AC2910">
        <v>3</v>
      </c>
      <c r="AD2910">
        <v>0</v>
      </c>
      <c r="AE2910">
        <v>9</v>
      </c>
      <c r="AF2910" t="s">
        <v>138</v>
      </c>
      <c r="AG2910">
        <v>0</v>
      </c>
      <c r="AH2910">
        <v>3</v>
      </c>
      <c r="AI2910">
        <v>2</v>
      </c>
      <c r="AJ2910">
        <v>0</v>
      </c>
      <c r="AK2910" t="s">
        <v>984</v>
      </c>
      <c r="AL2910">
        <v>39.109504000000001</v>
      </c>
      <c r="AM2910" t="s">
        <v>985</v>
      </c>
      <c r="AN2910">
        <v>-121.03245</v>
      </c>
      <c r="AO2910">
        <v>25</v>
      </c>
      <c r="AP2910">
        <v>4400</v>
      </c>
      <c r="AQ2910" t="s">
        <v>131</v>
      </c>
      <c r="AR2910">
        <v>3</v>
      </c>
      <c r="AS2910">
        <v>85</v>
      </c>
      <c r="AT2910">
        <v>64</v>
      </c>
      <c r="BB2910" t="str">
        <f t="shared" si="1143"/>
        <v>1200</v>
      </c>
      <c r="BC2910">
        <v>1</v>
      </c>
      <c r="BD2910" t="str">
        <f t="shared" si="1144"/>
        <v xml:space="preserve">N52156  </v>
      </c>
      <c r="BE2910">
        <v>1</v>
      </c>
      <c r="BG2910">
        <v>0</v>
      </c>
      <c r="BH2910">
        <v>0</v>
      </c>
      <c r="BI2910">
        <v>0</v>
      </c>
      <c r="BJ2910">
        <v>4400</v>
      </c>
      <c r="BK2910">
        <v>0</v>
      </c>
      <c r="BL2910" t="s">
        <v>188</v>
      </c>
      <c r="BM2910">
        <v>1</v>
      </c>
      <c r="BN2910">
        <v>1</v>
      </c>
      <c r="BO2910">
        <v>0</v>
      </c>
      <c r="BP2910">
        <v>0</v>
      </c>
      <c r="BS2910">
        <v>0</v>
      </c>
      <c r="BT2910">
        <v>0</v>
      </c>
      <c r="BU2910">
        <v>0</v>
      </c>
      <c r="CE2910" t="str">
        <f t="shared" si="1153"/>
        <v>15:12:36.446</v>
      </c>
      <c r="CF2910">
        <v>446477401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5</v>
      </c>
      <c r="CY2910">
        <v>7</v>
      </c>
      <c r="CZ2910" t="s">
        <v>133</v>
      </c>
      <c r="DA2910">
        <v>275</v>
      </c>
      <c r="DB2910">
        <v>0</v>
      </c>
      <c r="DC2910" t="s">
        <v>134</v>
      </c>
      <c r="DD2910" t="s">
        <v>135</v>
      </c>
      <c r="DG2910">
        <v>3322171</v>
      </c>
      <c r="DI2910">
        <v>1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>"05/01/2025 15:12:36.683"</f>
        <v>05/01/2025 15:12:36.683</v>
      </c>
      <c r="C2911" t="str">
        <f t="shared" si="1140"/>
        <v>FFDFD3C0</v>
      </c>
      <c r="D2911" t="s">
        <v>124</v>
      </c>
      <c r="E2911" t="str">
        <f>"06"</f>
        <v>06</v>
      </c>
      <c r="F2911">
        <v>2006</v>
      </c>
      <c r="G2911" t="s">
        <v>125</v>
      </c>
      <c r="J2911" t="s">
        <v>126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R2911" t="s">
        <v>127</v>
      </c>
      <c r="S2911" t="str">
        <f t="shared" si="1152"/>
        <v>15:12:36.000</v>
      </c>
      <c r="T2911" t="str">
        <f t="shared" si="1152"/>
        <v>15:12:36.000</v>
      </c>
      <c r="U2911" t="str">
        <f t="shared" si="1142"/>
        <v>A68FCB</v>
      </c>
      <c r="V2911">
        <v>0</v>
      </c>
      <c r="W2911">
        <v>0</v>
      </c>
      <c r="X2911">
        <v>2</v>
      </c>
      <c r="Y2911">
        <v>0</v>
      </c>
      <c r="AA2911">
        <v>1</v>
      </c>
      <c r="AB2911">
        <v>8</v>
      </c>
      <c r="AC2911">
        <v>3</v>
      </c>
      <c r="AD2911">
        <v>0</v>
      </c>
      <c r="AE2911">
        <v>9</v>
      </c>
      <c r="AF2911" t="s">
        <v>138</v>
      </c>
      <c r="AG2911">
        <v>0</v>
      </c>
      <c r="AH2911">
        <v>3</v>
      </c>
      <c r="AI2911">
        <v>2</v>
      </c>
      <c r="AJ2911">
        <v>0</v>
      </c>
      <c r="AK2911" t="s">
        <v>984</v>
      </c>
      <c r="AL2911">
        <v>39.109504000000001</v>
      </c>
      <c r="AM2911" t="s">
        <v>985</v>
      </c>
      <c r="AN2911">
        <v>-121.03245</v>
      </c>
      <c r="AO2911">
        <v>25</v>
      </c>
      <c r="AP2911">
        <v>4400</v>
      </c>
      <c r="AQ2911" t="s">
        <v>131</v>
      </c>
      <c r="AR2911">
        <v>3</v>
      </c>
      <c r="AS2911">
        <v>85</v>
      </c>
      <c r="AT2911">
        <v>64</v>
      </c>
      <c r="BB2911" t="str">
        <f t="shared" si="1143"/>
        <v>1200</v>
      </c>
      <c r="BC2911">
        <v>1</v>
      </c>
      <c r="BD2911" t="str">
        <f t="shared" si="1144"/>
        <v xml:space="preserve">N52156  </v>
      </c>
      <c r="BE2911">
        <v>1</v>
      </c>
      <c r="BG2911">
        <v>0</v>
      </c>
      <c r="BH2911">
        <v>0</v>
      </c>
      <c r="BI2911">
        <v>0</v>
      </c>
      <c r="BJ2911">
        <v>4400</v>
      </c>
      <c r="BK2911">
        <v>0</v>
      </c>
      <c r="BL2911" t="s">
        <v>188</v>
      </c>
      <c r="BM2911">
        <v>1</v>
      </c>
      <c r="BN2911">
        <v>1</v>
      </c>
      <c r="BO2911">
        <v>0</v>
      </c>
      <c r="BP2911">
        <v>0</v>
      </c>
      <c r="BS2911">
        <v>0</v>
      </c>
      <c r="BT2911">
        <v>0</v>
      </c>
      <c r="BU2911">
        <v>0</v>
      </c>
      <c r="CE2911" t="str">
        <f t="shared" si="1153"/>
        <v>15:12:36.446</v>
      </c>
      <c r="CF2911">
        <v>446477401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5</v>
      </c>
      <c r="CY2911">
        <v>7</v>
      </c>
      <c r="CZ2911" t="s">
        <v>133</v>
      </c>
      <c r="DA2911">
        <v>275</v>
      </c>
      <c r="DB2911">
        <v>0</v>
      </c>
      <c r="DC2911" t="s">
        <v>134</v>
      </c>
      <c r="DD2911" t="s">
        <v>135</v>
      </c>
      <c r="DG2911">
        <v>3322171</v>
      </c>
      <c r="DI2911">
        <v>1</v>
      </c>
      <c r="DJ2911">
        <v>0</v>
      </c>
      <c r="DK2911">
        <v>1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>"05/01/2025 15:12:37.998"</f>
        <v>05/01/2025 15:12:37.998</v>
      </c>
      <c r="C2912" t="str">
        <f t="shared" si="1140"/>
        <v>FFDFD3C0</v>
      </c>
      <c r="D2912" t="s">
        <v>145</v>
      </c>
      <c r="E2912" t="str">
        <f>"09"</f>
        <v>09</v>
      </c>
      <c r="H2912">
        <v>51</v>
      </c>
      <c r="I2912" t="s">
        <v>147</v>
      </c>
      <c r="J2912" t="s">
        <v>138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R2912" t="s">
        <v>127</v>
      </c>
      <c r="S2912" t="str">
        <f t="shared" ref="S2912:T2917" si="1154">"15:12:37.000"</f>
        <v>15:12:37.000</v>
      </c>
      <c r="T2912" t="str">
        <f t="shared" si="1154"/>
        <v>15:12:37.000</v>
      </c>
      <c r="U2912" t="str">
        <f t="shared" si="1142"/>
        <v>A68FCB</v>
      </c>
      <c r="V2912">
        <v>0</v>
      </c>
      <c r="W2912">
        <v>0</v>
      </c>
      <c r="X2912">
        <v>2</v>
      </c>
      <c r="Y2912">
        <v>0</v>
      </c>
      <c r="AA2912">
        <v>1</v>
      </c>
      <c r="AB2912">
        <v>8</v>
      </c>
      <c r="AC2912">
        <v>3</v>
      </c>
      <c r="AD2912">
        <v>0</v>
      </c>
      <c r="AE2912">
        <v>9</v>
      </c>
      <c r="AF2912" t="s">
        <v>138</v>
      </c>
      <c r="AG2912">
        <v>0</v>
      </c>
      <c r="AH2912">
        <v>3</v>
      </c>
      <c r="AI2912">
        <v>2</v>
      </c>
      <c r="AJ2912">
        <v>0</v>
      </c>
      <c r="AK2912" t="s">
        <v>986</v>
      </c>
      <c r="AL2912">
        <v>39.109912000000001</v>
      </c>
      <c r="AM2912" t="s">
        <v>987</v>
      </c>
      <c r="AN2912">
        <v>-121.03242899999999</v>
      </c>
      <c r="AO2912">
        <v>25</v>
      </c>
      <c r="AP2912">
        <v>4400</v>
      </c>
      <c r="AQ2912" t="s">
        <v>131</v>
      </c>
      <c r="AR2912">
        <v>4</v>
      </c>
      <c r="AS2912">
        <v>84</v>
      </c>
      <c r="AT2912">
        <v>64</v>
      </c>
      <c r="BB2912" t="str">
        <f t="shared" si="1143"/>
        <v>1200</v>
      </c>
      <c r="BC2912">
        <v>1</v>
      </c>
      <c r="BD2912" t="str">
        <f t="shared" si="1144"/>
        <v xml:space="preserve">N52156  </v>
      </c>
      <c r="BE2912">
        <v>1</v>
      </c>
      <c r="BG2912">
        <v>0</v>
      </c>
      <c r="BH2912">
        <v>0</v>
      </c>
      <c r="BI2912">
        <v>0</v>
      </c>
      <c r="BJ2912">
        <v>4400</v>
      </c>
      <c r="BK2912">
        <v>0</v>
      </c>
      <c r="BL2912" t="s">
        <v>188</v>
      </c>
      <c r="BM2912">
        <v>1</v>
      </c>
      <c r="BN2912">
        <v>1</v>
      </c>
      <c r="BO2912">
        <v>0</v>
      </c>
      <c r="BP2912">
        <v>0</v>
      </c>
      <c r="BS2912">
        <v>0</v>
      </c>
      <c r="BT2912">
        <v>0</v>
      </c>
      <c r="BU2912">
        <v>0</v>
      </c>
      <c r="CE2912" t="str">
        <f t="shared" ref="CE2912:CE2917" si="1155">"15:12:37.788"</f>
        <v>15:12:37.788</v>
      </c>
      <c r="CF2912">
        <v>788478356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5</v>
      </c>
      <c r="CY2912">
        <v>7</v>
      </c>
      <c r="CZ2912" t="s">
        <v>133</v>
      </c>
      <c r="DA2912">
        <v>275</v>
      </c>
      <c r="DB2912">
        <v>0</v>
      </c>
      <c r="DC2912" t="s">
        <v>134</v>
      </c>
      <c r="DD2912" t="s">
        <v>135</v>
      </c>
      <c r="DG2912">
        <v>3322176</v>
      </c>
      <c r="DI2912">
        <v>1</v>
      </c>
      <c r="DJ2912">
        <v>0</v>
      </c>
      <c r="DK2912">
        <v>0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>"05/01/2025 15:12:37.999"</f>
        <v>05/01/2025 15:12:37.999</v>
      </c>
      <c r="C2913" t="str">
        <f t="shared" si="1140"/>
        <v>FFDFD3C0</v>
      </c>
      <c r="D2913" t="s">
        <v>145</v>
      </c>
      <c r="E2913" t="str">
        <f>"05"</f>
        <v>05</v>
      </c>
      <c r="H2913">
        <v>47</v>
      </c>
      <c r="I2913" t="s">
        <v>146</v>
      </c>
      <c r="J2913" t="s">
        <v>138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R2913" t="s">
        <v>127</v>
      </c>
      <c r="S2913" t="str">
        <f t="shared" si="1154"/>
        <v>15:12:37.000</v>
      </c>
      <c r="T2913" t="str">
        <f t="shared" si="1154"/>
        <v>15:12:37.000</v>
      </c>
      <c r="U2913" t="str">
        <f t="shared" si="1142"/>
        <v>A68FCB</v>
      </c>
      <c r="V2913">
        <v>0</v>
      </c>
      <c r="W2913">
        <v>0</v>
      </c>
      <c r="X2913">
        <v>2</v>
      </c>
      <c r="Y2913">
        <v>0</v>
      </c>
      <c r="AA2913">
        <v>1</v>
      </c>
      <c r="AB2913">
        <v>8</v>
      </c>
      <c r="AC2913">
        <v>3</v>
      </c>
      <c r="AD2913">
        <v>0</v>
      </c>
      <c r="AE2913">
        <v>9</v>
      </c>
      <c r="AF2913" t="s">
        <v>138</v>
      </c>
      <c r="AG2913">
        <v>0</v>
      </c>
      <c r="AH2913">
        <v>3</v>
      </c>
      <c r="AI2913">
        <v>2</v>
      </c>
      <c r="AJ2913">
        <v>0</v>
      </c>
      <c r="AK2913" t="s">
        <v>986</v>
      </c>
      <c r="AL2913">
        <v>39.109912000000001</v>
      </c>
      <c r="AM2913" t="s">
        <v>987</v>
      </c>
      <c r="AN2913">
        <v>-121.03242899999999</v>
      </c>
      <c r="AO2913">
        <v>25</v>
      </c>
      <c r="AP2913">
        <v>4400</v>
      </c>
      <c r="AQ2913" t="s">
        <v>131</v>
      </c>
      <c r="AR2913">
        <v>4</v>
      </c>
      <c r="AS2913">
        <v>84</v>
      </c>
      <c r="AT2913">
        <v>64</v>
      </c>
      <c r="BB2913" t="str">
        <f t="shared" si="1143"/>
        <v>1200</v>
      </c>
      <c r="BC2913">
        <v>1</v>
      </c>
      <c r="BD2913" t="str">
        <f t="shared" si="1144"/>
        <v xml:space="preserve">N52156  </v>
      </c>
      <c r="BE2913">
        <v>1</v>
      </c>
      <c r="BG2913">
        <v>0</v>
      </c>
      <c r="BH2913">
        <v>0</v>
      </c>
      <c r="BI2913">
        <v>0</v>
      </c>
      <c r="BJ2913">
        <v>4400</v>
      </c>
      <c r="BK2913">
        <v>0</v>
      </c>
      <c r="BL2913" t="s">
        <v>188</v>
      </c>
      <c r="BM2913">
        <v>1</v>
      </c>
      <c r="BN2913">
        <v>1</v>
      </c>
      <c r="BO2913">
        <v>0</v>
      </c>
      <c r="BP2913">
        <v>0</v>
      </c>
      <c r="BS2913">
        <v>0</v>
      </c>
      <c r="BT2913">
        <v>0</v>
      </c>
      <c r="BU2913">
        <v>0</v>
      </c>
      <c r="CE2913" t="str">
        <f t="shared" si="1155"/>
        <v>15:12:37.788</v>
      </c>
      <c r="CF2913">
        <v>788478356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5</v>
      </c>
      <c r="CY2913">
        <v>7</v>
      </c>
      <c r="CZ2913" t="s">
        <v>133</v>
      </c>
      <c r="DA2913">
        <v>275</v>
      </c>
      <c r="DB2913">
        <v>0</v>
      </c>
      <c r="DC2913" t="s">
        <v>134</v>
      </c>
      <c r="DD2913" t="s">
        <v>135</v>
      </c>
      <c r="DG2913">
        <v>3322176</v>
      </c>
      <c r="DI2913">
        <v>1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>"05/01/2025 15:12:38.009"</f>
        <v>05/01/2025 15:12:38.009</v>
      </c>
      <c r="C2914" t="str">
        <f t="shared" si="1140"/>
        <v>FFDFD3C0</v>
      </c>
      <c r="D2914" t="s">
        <v>136</v>
      </c>
      <c r="E2914" t="str">
        <f>"20"</f>
        <v>20</v>
      </c>
      <c r="H2914">
        <v>400</v>
      </c>
      <c r="I2914" t="s">
        <v>137</v>
      </c>
      <c r="J2914" t="s">
        <v>138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R2914" t="s">
        <v>127</v>
      </c>
      <c r="S2914" t="str">
        <f t="shared" si="1154"/>
        <v>15:12:37.000</v>
      </c>
      <c r="T2914" t="str">
        <f t="shared" si="1154"/>
        <v>15:12:37.000</v>
      </c>
      <c r="U2914" t="str">
        <f t="shared" si="1142"/>
        <v>A68FCB</v>
      </c>
      <c r="V2914">
        <v>0</v>
      </c>
      <c r="W2914">
        <v>0</v>
      </c>
      <c r="X2914">
        <v>2</v>
      </c>
      <c r="Y2914">
        <v>0</v>
      </c>
      <c r="AA2914">
        <v>1</v>
      </c>
      <c r="AB2914">
        <v>8</v>
      </c>
      <c r="AC2914">
        <v>3</v>
      </c>
      <c r="AD2914">
        <v>0</v>
      </c>
      <c r="AE2914">
        <v>9</v>
      </c>
      <c r="AF2914" t="s">
        <v>138</v>
      </c>
      <c r="AG2914">
        <v>0</v>
      </c>
      <c r="AH2914">
        <v>3</v>
      </c>
      <c r="AI2914">
        <v>2</v>
      </c>
      <c r="AJ2914">
        <v>0</v>
      </c>
      <c r="AK2914" t="s">
        <v>986</v>
      </c>
      <c r="AL2914">
        <v>39.109912000000001</v>
      </c>
      <c r="AM2914" t="s">
        <v>987</v>
      </c>
      <c r="AN2914">
        <v>-121.03242899999999</v>
      </c>
      <c r="AO2914">
        <v>25</v>
      </c>
      <c r="AP2914">
        <v>4400</v>
      </c>
      <c r="AQ2914" t="s">
        <v>131</v>
      </c>
      <c r="AR2914">
        <v>4</v>
      </c>
      <c r="AS2914">
        <v>84</v>
      </c>
      <c r="AT2914">
        <v>64</v>
      </c>
      <c r="BB2914" t="str">
        <f t="shared" si="1143"/>
        <v>1200</v>
      </c>
      <c r="BC2914">
        <v>1</v>
      </c>
      <c r="BD2914" t="str">
        <f t="shared" si="1144"/>
        <v xml:space="preserve">N52156  </v>
      </c>
      <c r="BE2914">
        <v>1</v>
      </c>
      <c r="BG2914">
        <v>0</v>
      </c>
      <c r="BH2914">
        <v>0</v>
      </c>
      <c r="BI2914">
        <v>0</v>
      </c>
      <c r="BJ2914">
        <v>4400</v>
      </c>
      <c r="BK2914">
        <v>0</v>
      </c>
      <c r="BL2914" t="s">
        <v>188</v>
      </c>
      <c r="BM2914">
        <v>1</v>
      </c>
      <c r="BN2914">
        <v>1</v>
      </c>
      <c r="BO2914">
        <v>0</v>
      </c>
      <c r="BP2914">
        <v>0</v>
      </c>
      <c r="BS2914">
        <v>0</v>
      </c>
      <c r="BT2914">
        <v>0</v>
      </c>
      <c r="BU2914">
        <v>0</v>
      </c>
      <c r="CE2914" t="str">
        <f t="shared" si="1155"/>
        <v>15:12:37.788</v>
      </c>
      <c r="CF2914">
        <v>788478356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5</v>
      </c>
      <c r="CY2914">
        <v>7</v>
      </c>
      <c r="CZ2914" t="s">
        <v>133</v>
      </c>
      <c r="DA2914">
        <v>275</v>
      </c>
      <c r="DB2914">
        <v>0</v>
      </c>
      <c r="DC2914" t="s">
        <v>134</v>
      </c>
      <c r="DD2914" t="s">
        <v>135</v>
      </c>
      <c r="DG2914">
        <v>3322176</v>
      </c>
      <c r="DI2914">
        <v>1</v>
      </c>
      <c r="DJ2914">
        <v>0</v>
      </c>
      <c r="DK2914">
        <v>1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>"05/01/2025 15:12:38.017"</f>
        <v>05/01/2025 15:12:38.017</v>
      </c>
      <c r="C2915" t="str">
        <f t="shared" si="1140"/>
        <v>FFDFD3C0</v>
      </c>
      <c r="D2915" t="s">
        <v>143</v>
      </c>
      <c r="E2915" t="str">
        <f>"05"</f>
        <v>05</v>
      </c>
      <c r="H2915">
        <v>172</v>
      </c>
      <c r="I2915" t="s">
        <v>141</v>
      </c>
      <c r="J2915" t="s">
        <v>144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R2915" t="s">
        <v>127</v>
      </c>
      <c r="S2915" t="str">
        <f t="shared" si="1154"/>
        <v>15:12:37.000</v>
      </c>
      <c r="T2915" t="str">
        <f t="shared" si="1154"/>
        <v>15:12:37.000</v>
      </c>
      <c r="U2915" t="str">
        <f t="shared" si="1142"/>
        <v>A68FCB</v>
      </c>
      <c r="V2915">
        <v>0</v>
      </c>
      <c r="W2915">
        <v>0</v>
      </c>
      <c r="X2915">
        <v>2</v>
      </c>
      <c r="Y2915">
        <v>0</v>
      </c>
      <c r="AA2915">
        <v>1</v>
      </c>
      <c r="AB2915">
        <v>8</v>
      </c>
      <c r="AC2915">
        <v>3</v>
      </c>
      <c r="AD2915">
        <v>0</v>
      </c>
      <c r="AE2915">
        <v>9</v>
      </c>
      <c r="AF2915" t="s">
        <v>138</v>
      </c>
      <c r="AG2915">
        <v>0</v>
      </c>
      <c r="AH2915">
        <v>3</v>
      </c>
      <c r="AI2915">
        <v>2</v>
      </c>
      <c r="AJ2915">
        <v>0</v>
      </c>
      <c r="AK2915" t="s">
        <v>986</v>
      </c>
      <c r="AL2915">
        <v>39.109912000000001</v>
      </c>
      <c r="AM2915" t="s">
        <v>987</v>
      </c>
      <c r="AN2915">
        <v>-121.03242899999999</v>
      </c>
      <c r="AO2915">
        <v>25</v>
      </c>
      <c r="AP2915">
        <v>4400</v>
      </c>
      <c r="AQ2915" t="s">
        <v>131</v>
      </c>
      <c r="AR2915">
        <v>4</v>
      </c>
      <c r="AS2915">
        <v>84</v>
      </c>
      <c r="AT2915">
        <v>64</v>
      </c>
      <c r="BB2915" t="str">
        <f t="shared" si="1143"/>
        <v>1200</v>
      </c>
      <c r="BC2915">
        <v>1</v>
      </c>
      <c r="BD2915" t="str">
        <f t="shared" si="1144"/>
        <v xml:space="preserve">N52156  </v>
      </c>
      <c r="BE2915">
        <v>1</v>
      </c>
      <c r="BG2915">
        <v>0</v>
      </c>
      <c r="BH2915">
        <v>0</v>
      </c>
      <c r="BI2915">
        <v>0</v>
      </c>
      <c r="BJ2915">
        <v>4400</v>
      </c>
      <c r="BK2915">
        <v>0</v>
      </c>
      <c r="BL2915" t="s">
        <v>188</v>
      </c>
      <c r="BM2915">
        <v>1</v>
      </c>
      <c r="BN2915">
        <v>1</v>
      </c>
      <c r="BO2915">
        <v>0</v>
      </c>
      <c r="BP2915">
        <v>0</v>
      </c>
      <c r="BS2915">
        <v>0</v>
      </c>
      <c r="BT2915">
        <v>0</v>
      </c>
      <c r="BU2915">
        <v>0</v>
      </c>
      <c r="CE2915" t="str">
        <f t="shared" si="1155"/>
        <v>15:12:37.788</v>
      </c>
      <c r="CF2915">
        <v>788478356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5</v>
      </c>
      <c r="CY2915">
        <v>7</v>
      </c>
      <c r="CZ2915" t="s">
        <v>133</v>
      </c>
      <c r="DA2915">
        <v>275</v>
      </c>
      <c r="DB2915">
        <v>0</v>
      </c>
      <c r="DC2915" t="s">
        <v>134</v>
      </c>
      <c r="DD2915" t="s">
        <v>135</v>
      </c>
      <c r="DG2915">
        <v>3322176</v>
      </c>
      <c r="DI2915">
        <v>1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"05/01/2025 15:12:38.033"</f>
        <v>05/01/2025 15:12:38.033</v>
      </c>
      <c r="C2916" t="str">
        <f t="shared" si="1140"/>
        <v>FFDFD3C0</v>
      </c>
      <c r="D2916" t="s">
        <v>140</v>
      </c>
      <c r="E2916" t="str">
        <f>"13"</f>
        <v>13</v>
      </c>
      <c r="F2916">
        <v>1019</v>
      </c>
      <c r="G2916" t="s">
        <v>141</v>
      </c>
      <c r="J2916" t="s">
        <v>142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R2916" t="s">
        <v>127</v>
      </c>
      <c r="S2916" t="str">
        <f t="shared" si="1154"/>
        <v>15:12:37.000</v>
      </c>
      <c r="T2916" t="str">
        <f t="shared" si="1154"/>
        <v>15:12:37.000</v>
      </c>
      <c r="U2916" t="str">
        <f t="shared" si="1142"/>
        <v>A68FCB</v>
      </c>
      <c r="V2916">
        <v>0</v>
      </c>
      <c r="W2916">
        <v>0</v>
      </c>
      <c r="X2916">
        <v>2</v>
      </c>
      <c r="Y2916">
        <v>0</v>
      </c>
      <c r="AA2916">
        <v>1</v>
      </c>
      <c r="AB2916">
        <v>8</v>
      </c>
      <c r="AC2916">
        <v>3</v>
      </c>
      <c r="AD2916">
        <v>0</v>
      </c>
      <c r="AE2916">
        <v>9</v>
      </c>
      <c r="AF2916" t="s">
        <v>138</v>
      </c>
      <c r="AG2916">
        <v>0</v>
      </c>
      <c r="AH2916">
        <v>3</v>
      </c>
      <c r="AI2916">
        <v>2</v>
      </c>
      <c r="AJ2916">
        <v>0</v>
      </c>
      <c r="AK2916" t="s">
        <v>986</v>
      </c>
      <c r="AL2916">
        <v>39.109912000000001</v>
      </c>
      <c r="AM2916" t="s">
        <v>987</v>
      </c>
      <c r="AN2916">
        <v>-121.03242899999999</v>
      </c>
      <c r="AO2916">
        <v>25</v>
      </c>
      <c r="AP2916">
        <v>4400</v>
      </c>
      <c r="AQ2916" t="s">
        <v>131</v>
      </c>
      <c r="AR2916">
        <v>4</v>
      </c>
      <c r="AS2916">
        <v>84</v>
      </c>
      <c r="AT2916">
        <v>64</v>
      </c>
      <c r="BB2916" t="str">
        <f t="shared" si="1143"/>
        <v>1200</v>
      </c>
      <c r="BC2916">
        <v>1</v>
      </c>
      <c r="BD2916" t="str">
        <f t="shared" si="1144"/>
        <v xml:space="preserve">N52156  </v>
      </c>
      <c r="BE2916">
        <v>1</v>
      </c>
      <c r="BG2916">
        <v>0</v>
      </c>
      <c r="BH2916">
        <v>0</v>
      </c>
      <c r="BI2916">
        <v>0</v>
      </c>
      <c r="BJ2916">
        <v>4400</v>
      </c>
      <c r="BK2916">
        <v>0</v>
      </c>
      <c r="BL2916" t="s">
        <v>188</v>
      </c>
      <c r="BM2916">
        <v>1</v>
      </c>
      <c r="BN2916">
        <v>1</v>
      </c>
      <c r="BO2916">
        <v>0</v>
      </c>
      <c r="BP2916">
        <v>0</v>
      </c>
      <c r="BS2916">
        <v>0</v>
      </c>
      <c r="BT2916">
        <v>0</v>
      </c>
      <c r="BU2916">
        <v>0</v>
      </c>
      <c r="CE2916" t="str">
        <f t="shared" si="1155"/>
        <v>15:12:37.788</v>
      </c>
      <c r="CF2916">
        <v>788478356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5</v>
      </c>
      <c r="CY2916">
        <v>7</v>
      </c>
      <c r="CZ2916" t="s">
        <v>133</v>
      </c>
      <c r="DA2916">
        <v>275</v>
      </c>
      <c r="DB2916">
        <v>0</v>
      </c>
      <c r="DC2916" t="s">
        <v>134</v>
      </c>
      <c r="DD2916" t="s">
        <v>135</v>
      </c>
      <c r="DG2916">
        <v>3322176</v>
      </c>
      <c r="DI2916">
        <v>1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>"05/01/2025 15:12:38.036"</f>
        <v>05/01/2025 15:12:38.036</v>
      </c>
      <c r="C2917" t="str">
        <f t="shared" si="1140"/>
        <v>FFDFD3C0</v>
      </c>
      <c r="D2917" t="s">
        <v>124</v>
      </c>
      <c r="E2917" t="str">
        <f>"06"</f>
        <v>06</v>
      </c>
      <c r="F2917">
        <v>2006</v>
      </c>
      <c r="G2917" t="s">
        <v>125</v>
      </c>
      <c r="J2917" t="s">
        <v>126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R2917" t="s">
        <v>127</v>
      </c>
      <c r="S2917" t="str">
        <f t="shared" si="1154"/>
        <v>15:12:37.000</v>
      </c>
      <c r="T2917" t="str">
        <f t="shared" si="1154"/>
        <v>15:12:37.000</v>
      </c>
      <c r="U2917" t="str">
        <f t="shared" si="1142"/>
        <v>A68FCB</v>
      </c>
      <c r="V2917">
        <v>0</v>
      </c>
      <c r="W2917">
        <v>0</v>
      </c>
      <c r="X2917">
        <v>2</v>
      </c>
      <c r="Y2917">
        <v>0</v>
      </c>
      <c r="AA2917">
        <v>1</v>
      </c>
      <c r="AB2917">
        <v>8</v>
      </c>
      <c r="AC2917">
        <v>3</v>
      </c>
      <c r="AD2917">
        <v>0</v>
      </c>
      <c r="AE2917">
        <v>9</v>
      </c>
      <c r="AF2917" t="s">
        <v>138</v>
      </c>
      <c r="AG2917">
        <v>0</v>
      </c>
      <c r="AH2917">
        <v>3</v>
      </c>
      <c r="AI2917">
        <v>2</v>
      </c>
      <c r="AJ2917">
        <v>0</v>
      </c>
      <c r="AK2917" t="s">
        <v>986</v>
      </c>
      <c r="AL2917">
        <v>39.109912000000001</v>
      </c>
      <c r="AM2917" t="s">
        <v>987</v>
      </c>
      <c r="AN2917">
        <v>-121.03242899999999</v>
      </c>
      <c r="AO2917">
        <v>25</v>
      </c>
      <c r="AP2917">
        <v>4400</v>
      </c>
      <c r="AQ2917" t="s">
        <v>131</v>
      </c>
      <c r="AR2917">
        <v>4</v>
      </c>
      <c r="AS2917">
        <v>84</v>
      </c>
      <c r="AT2917">
        <v>64</v>
      </c>
      <c r="BB2917" t="str">
        <f t="shared" si="1143"/>
        <v>1200</v>
      </c>
      <c r="BC2917">
        <v>1</v>
      </c>
      <c r="BD2917" t="str">
        <f t="shared" si="1144"/>
        <v xml:space="preserve">N52156  </v>
      </c>
      <c r="BE2917">
        <v>1</v>
      </c>
      <c r="BG2917">
        <v>0</v>
      </c>
      <c r="BH2917">
        <v>0</v>
      </c>
      <c r="BI2917">
        <v>0</v>
      </c>
      <c r="BJ2917">
        <v>4400</v>
      </c>
      <c r="BK2917">
        <v>0</v>
      </c>
      <c r="BL2917" t="s">
        <v>188</v>
      </c>
      <c r="BM2917">
        <v>1</v>
      </c>
      <c r="BN2917">
        <v>1</v>
      </c>
      <c r="BO2917">
        <v>0</v>
      </c>
      <c r="BP2917">
        <v>0</v>
      </c>
      <c r="BS2917">
        <v>0</v>
      </c>
      <c r="BT2917">
        <v>0</v>
      </c>
      <c r="BU2917">
        <v>0</v>
      </c>
      <c r="CE2917" t="str">
        <f t="shared" si="1155"/>
        <v>15:12:37.788</v>
      </c>
      <c r="CF2917">
        <v>788478356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5</v>
      </c>
      <c r="CY2917">
        <v>7</v>
      </c>
      <c r="CZ2917" t="s">
        <v>133</v>
      </c>
      <c r="DA2917">
        <v>275</v>
      </c>
      <c r="DB2917">
        <v>0</v>
      </c>
      <c r="DC2917" t="s">
        <v>134</v>
      </c>
      <c r="DD2917" t="s">
        <v>135</v>
      </c>
      <c r="DG2917">
        <v>3322176</v>
      </c>
      <c r="DI2917">
        <v>1</v>
      </c>
      <c r="DJ2917">
        <v>0</v>
      </c>
      <c r="DK2917">
        <v>1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>"05/01/2025 15:12:38.599"</f>
        <v>05/01/2025 15:12:38.599</v>
      </c>
      <c r="C2918" t="str">
        <f t="shared" si="1140"/>
        <v>FFDFD3C0</v>
      </c>
      <c r="D2918" t="s">
        <v>145</v>
      </c>
      <c r="E2918" t="str">
        <f>"09"</f>
        <v>09</v>
      </c>
      <c r="H2918">
        <v>51</v>
      </c>
      <c r="I2918" t="s">
        <v>147</v>
      </c>
      <c r="J2918" t="s">
        <v>138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R2918" t="s">
        <v>127</v>
      </c>
      <c r="S2918" t="str">
        <f t="shared" ref="S2918:T2923" si="1156">"15:12:38.000"</f>
        <v>15:12:38.000</v>
      </c>
      <c r="T2918" t="str">
        <f t="shared" si="1156"/>
        <v>15:12:38.000</v>
      </c>
      <c r="U2918" t="str">
        <f t="shared" si="1142"/>
        <v>A68FCB</v>
      </c>
      <c r="V2918">
        <v>0</v>
      </c>
      <c r="W2918">
        <v>0</v>
      </c>
      <c r="X2918">
        <v>2</v>
      </c>
      <c r="Y2918">
        <v>0</v>
      </c>
      <c r="AA2918">
        <v>1</v>
      </c>
      <c r="AB2918">
        <v>8</v>
      </c>
      <c r="AC2918">
        <v>3</v>
      </c>
      <c r="AD2918">
        <v>0</v>
      </c>
      <c r="AE2918">
        <v>9</v>
      </c>
      <c r="AF2918" t="s">
        <v>138</v>
      </c>
      <c r="AG2918">
        <v>0</v>
      </c>
      <c r="AH2918">
        <v>3</v>
      </c>
      <c r="AI2918">
        <v>2</v>
      </c>
      <c r="AJ2918">
        <v>0</v>
      </c>
      <c r="AK2918" t="s">
        <v>988</v>
      </c>
      <c r="AL2918">
        <v>39.110298</v>
      </c>
      <c r="AM2918" t="s">
        <v>989</v>
      </c>
      <c r="AN2918">
        <v>-121.03240700000001</v>
      </c>
      <c r="AO2918">
        <v>25</v>
      </c>
      <c r="AP2918">
        <v>4400</v>
      </c>
      <c r="AQ2918" t="s">
        <v>131</v>
      </c>
      <c r="AR2918">
        <v>4</v>
      </c>
      <c r="AS2918">
        <v>84</v>
      </c>
      <c r="AT2918">
        <v>64</v>
      </c>
      <c r="BB2918" t="str">
        <f t="shared" si="1143"/>
        <v>1200</v>
      </c>
      <c r="BC2918">
        <v>1</v>
      </c>
      <c r="BD2918" t="str">
        <f t="shared" si="1144"/>
        <v xml:space="preserve">N52156  </v>
      </c>
      <c r="BE2918">
        <v>1</v>
      </c>
      <c r="BG2918">
        <v>0</v>
      </c>
      <c r="BH2918">
        <v>0</v>
      </c>
      <c r="BI2918">
        <v>0</v>
      </c>
      <c r="BJ2918">
        <v>4400</v>
      </c>
      <c r="BK2918">
        <v>0</v>
      </c>
      <c r="BL2918" t="s">
        <v>188</v>
      </c>
      <c r="BM2918">
        <v>1</v>
      </c>
      <c r="BN2918">
        <v>1</v>
      </c>
      <c r="BO2918">
        <v>0</v>
      </c>
      <c r="BP2918">
        <v>0</v>
      </c>
      <c r="BS2918">
        <v>0</v>
      </c>
      <c r="BT2918">
        <v>0</v>
      </c>
      <c r="BU2918">
        <v>0</v>
      </c>
      <c r="CE2918" t="str">
        <f t="shared" ref="CE2918:CE2923" si="1157">"15:12:38.400"</f>
        <v>15:12:38.400</v>
      </c>
      <c r="CF2918">
        <v>400477441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5</v>
      </c>
      <c r="CY2918">
        <v>7</v>
      </c>
      <c r="CZ2918" t="s">
        <v>133</v>
      </c>
      <c r="DA2918">
        <v>275</v>
      </c>
      <c r="DB2918">
        <v>0</v>
      </c>
      <c r="DC2918" t="s">
        <v>134</v>
      </c>
      <c r="DD2918" t="s">
        <v>135</v>
      </c>
      <c r="DG2918">
        <v>3322181</v>
      </c>
      <c r="DI2918">
        <v>1</v>
      </c>
      <c r="DJ2918">
        <v>0</v>
      </c>
      <c r="DK2918">
        <v>0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>"05/01/2025 15:12:38.600"</f>
        <v>05/01/2025 15:12:38.600</v>
      </c>
      <c r="C2919" t="str">
        <f t="shared" si="1140"/>
        <v>FFDFD3C0</v>
      </c>
      <c r="D2919" t="s">
        <v>145</v>
      </c>
      <c r="E2919" t="str">
        <f>"05"</f>
        <v>05</v>
      </c>
      <c r="H2919">
        <v>47</v>
      </c>
      <c r="I2919" t="s">
        <v>146</v>
      </c>
      <c r="J2919" t="s">
        <v>138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R2919" t="s">
        <v>127</v>
      </c>
      <c r="S2919" t="str">
        <f t="shared" si="1156"/>
        <v>15:12:38.000</v>
      </c>
      <c r="T2919" t="str">
        <f t="shared" si="1156"/>
        <v>15:12:38.000</v>
      </c>
      <c r="U2919" t="str">
        <f t="shared" si="1142"/>
        <v>A68FCB</v>
      </c>
      <c r="V2919">
        <v>0</v>
      </c>
      <c r="W2919">
        <v>0</v>
      </c>
      <c r="X2919">
        <v>2</v>
      </c>
      <c r="Y2919">
        <v>0</v>
      </c>
      <c r="AA2919">
        <v>1</v>
      </c>
      <c r="AB2919">
        <v>8</v>
      </c>
      <c r="AC2919">
        <v>3</v>
      </c>
      <c r="AD2919">
        <v>0</v>
      </c>
      <c r="AE2919">
        <v>9</v>
      </c>
      <c r="AF2919" t="s">
        <v>138</v>
      </c>
      <c r="AG2919">
        <v>0</v>
      </c>
      <c r="AH2919">
        <v>3</v>
      </c>
      <c r="AI2919">
        <v>2</v>
      </c>
      <c r="AJ2919">
        <v>0</v>
      </c>
      <c r="AK2919" t="s">
        <v>988</v>
      </c>
      <c r="AL2919">
        <v>39.110298</v>
      </c>
      <c r="AM2919" t="s">
        <v>989</v>
      </c>
      <c r="AN2919">
        <v>-121.03240700000001</v>
      </c>
      <c r="AO2919">
        <v>25</v>
      </c>
      <c r="AP2919">
        <v>4400</v>
      </c>
      <c r="AQ2919" t="s">
        <v>131</v>
      </c>
      <c r="AR2919">
        <v>4</v>
      </c>
      <c r="AS2919">
        <v>84</v>
      </c>
      <c r="AT2919">
        <v>64</v>
      </c>
      <c r="BB2919" t="str">
        <f t="shared" si="1143"/>
        <v>1200</v>
      </c>
      <c r="BC2919">
        <v>1</v>
      </c>
      <c r="BD2919" t="str">
        <f t="shared" si="1144"/>
        <v xml:space="preserve">N52156  </v>
      </c>
      <c r="BE2919">
        <v>1</v>
      </c>
      <c r="BG2919">
        <v>0</v>
      </c>
      <c r="BH2919">
        <v>0</v>
      </c>
      <c r="BI2919">
        <v>0</v>
      </c>
      <c r="BJ2919">
        <v>4400</v>
      </c>
      <c r="BK2919">
        <v>0</v>
      </c>
      <c r="BL2919" t="s">
        <v>188</v>
      </c>
      <c r="BM2919">
        <v>1</v>
      </c>
      <c r="BN2919">
        <v>1</v>
      </c>
      <c r="BO2919">
        <v>0</v>
      </c>
      <c r="BP2919">
        <v>0</v>
      </c>
      <c r="BS2919">
        <v>0</v>
      </c>
      <c r="BT2919">
        <v>0</v>
      </c>
      <c r="BU2919">
        <v>0</v>
      </c>
      <c r="CE2919" t="str">
        <f t="shared" si="1157"/>
        <v>15:12:38.400</v>
      </c>
      <c r="CF2919">
        <v>400477441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5</v>
      </c>
      <c r="CY2919">
        <v>7</v>
      </c>
      <c r="CZ2919" t="s">
        <v>133</v>
      </c>
      <c r="DA2919">
        <v>275</v>
      </c>
      <c r="DB2919">
        <v>0</v>
      </c>
      <c r="DC2919" t="s">
        <v>134</v>
      </c>
      <c r="DD2919" t="s">
        <v>135</v>
      </c>
      <c r="DG2919">
        <v>3322181</v>
      </c>
      <c r="DI2919">
        <v>1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>"05/01/2025 15:12:38.610"</f>
        <v>05/01/2025 15:12:38.610</v>
      </c>
      <c r="C2920" t="str">
        <f t="shared" si="1140"/>
        <v>FFDFD3C0</v>
      </c>
      <c r="D2920" t="s">
        <v>136</v>
      </c>
      <c r="E2920" t="str">
        <f>"20"</f>
        <v>20</v>
      </c>
      <c r="H2920">
        <v>400</v>
      </c>
      <c r="I2920" t="s">
        <v>137</v>
      </c>
      <c r="J2920" t="s">
        <v>138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R2920" t="s">
        <v>127</v>
      </c>
      <c r="S2920" t="str">
        <f t="shared" si="1156"/>
        <v>15:12:38.000</v>
      </c>
      <c r="T2920" t="str">
        <f t="shared" si="1156"/>
        <v>15:12:38.000</v>
      </c>
      <c r="U2920" t="str">
        <f t="shared" si="1142"/>
        <v>A68FCB</v>
      </c>
      <c r="V2920">
        <v>0</v>
      </c>
      <c r="W2920">
        <v>0</v>
      </c>
      <c r="X2920">
        <v>2</v>
      </c>
      <c r="Y2920">
        <v>0</v>
      </c>
      <c r="AA2920">
        <v>1</v>
      </c>
      <c r="AB2920">
        <v>8</v>
      </c>
      <c r="AC2920">
        <v>3</v>
      </c>
      <c r="AD2920">
        <v>0</v>
      </c>
      <c r="AE2920">
        <v>9</v>
      </c>
      <c r="AF2920" t="s">
        <v>138</v>
      </c>
      <c r="AG2920">
        <v>0</v>
      </c>
      <c r="AH2920">
        <v>3</v>
      </c>
      <c r="AI2920">
        <v>2</v>
      </c>
      <c r="AJ2920">
        <v>0</v>
      </c>
      <c r="AK2920" t="s">
        <v>988</v>
      </c>
      <c r="AL2920">
        <v>39.110298</v>
      </c>
      <c r="AM2920" t="s">
        <v>989</v>
      </c>
      <c r="AN2920">
        <v>-121.03240700000001</v>
      </c>
      <c r="AO2920">
        <v>25</v>
      </c>
      <c r="AP2920">
        <v>4400</v>
      </c>
      <c r="AQ2920" t="s">
        <v>131</v>
      </c>
      <c r="AR2920">
        <v>4</v>
      </c>
      <c r="AS2920">
        <v>84</v>
      </c>
      <c r="AT2920">
        <v>64</v>
      </c>
      <c r="BB2920" t="str">
        <f t="shared" si="1143"/>
        <v>1200</v>
      </c>
      <c r="BC2920">
        <v>1</v>
      </c>
      <c r="BD2920" t="str">
        <f t="shared" si="1144"/>
        <v xml:space="preserve">N52156  </v>
      </c>
      <c r="BE2920">
        <v>1</v>
      </c>
      <c r="BG2920">
        <v>0</v>
      </c>
      <c r="BH2920">
        <v>0</v>
      </c>
      <c r="BI2920">
        <v>0</v>
      </c>
      <c r="BJ2920">
        <v>4400</v>
      </c>
      <c r="BK2920">
        <v>0</v>
      </c>
      <c r="BL2920" t="s">
        <v>188</v>
      </c>
      <c r="BM2920">
        <v>1</v>
      </c>
      <c r="BN2920">
        <v>1</v>
      </c>
      <c r="BO2920">
        <v>0</v>
      </c>
      <c r="BP2920">
        <v>0</v>
      </c>
      <c r="BS2920">
        <v>0</v>
      </c>
      <c r="BT2920">
        <v>0</v>
      </c>
      <c r="BU2920">
        <v>0</v>
      </c>
      <c r="CE2920" t="str">
        <f t="shared" si="1157"/>
        <v>15:12:38.400</v>
      </c>
      <c r="CF2920">
        <v>400477441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5</v>
      </c>
      <c r="CY2920">
        <v>7</v>
      </c>
      <c r="CZ2920" t="s">
        <v>133</v>
      </c>
      <c r="DA2920">
        <v>275</v>
      </c>
      <c r="DB2920">
        <v>0</v>
      </c>
      <c r="DC2920" t="s">
        <v>134</v>
      </c>
      <c r="DD2920" t="s">
        <v>135</v>
      </c>
      <c r="DG2920">
        <v>3322181</v>
      </c>
      <c r="DI2920">
        <v>1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">
      <c r="A2921" t="str">
        <f>"05/01/2025 15:12:38.619"</f>
        <v>05/01/2025 15:12:38.619</v>
      </c>
      <c r="C2921" t="str">
        <f t="shared" si="1140"/>
        <v>FFDFD3C0</v>
      </c>
      <c r="D2921" t="s">
        <v>143</v>
      </c>
      <c r="E2921" t="str">
        <f>"05"</f>
        <v>05</v>
      </c>
      <c r="H2921">
        <v>172</v>
      </c>
      <c r="I2921" t="s">
        <v>141</v>
      </c>
      <c r="J2921" t="s">
        <v>144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R2921" t="s">
        <v>127</v>
      </c>
      <c r="S2921" t="str">
        <f t="shared" si="1156"/>
        <v>15:12:38.000</v>
      </c>
      <c r="T2921" t="str">
        <f t="shared" si="1156"/>
        <v>15:12:38.000</v>
      </c>
      <c r="U2921" t="str">
        <f t="shared" si="1142"/>
        <v>A68FCB</v>
      </c>
      <c r="V2921">
        <v>0</v>
      </c>
      <c r="W2921">
        <v>0</v>
      </c>
      <c r="X2921">
        <v>2</v>
      </c>
      <c r="Y2921">
        <v>0</v>
      </c>
      <c r="AA2921">
        <v>1</v>
      </c>
      <c r="AB2921">
        <v>8</v>
      </c>
      <c r="AC2921">
        <v>3</v>
      </c>
      <c r="AD2921">
        <v>0</v>
      </c>
      <c r="AE2921">
        <v>9</v>
      </c>
      <c r="AF2921" t="s">
        <v>138</v>
      </c>
      <c r="AG2921">
        <v>0</v>
      </c>
      <c r="AH2921">
        <v>3</v>
      </c>
      <c r="AI2921">
        <v>2</v>
      </c>
      <c r="AJ2921">
        <v>0</v>
      </c>
      <c r="AK2921" t="s">
        <v>988</v>
      </c>
      <c r="AL2921">
        <v>39.110298</v>
      </c>
      <c r="AM2921" t="s">
        <v>989</v>
      </c>
      <c r="AN2921">
        <v>-121.03240700000001</v>
      </c>
      <c r="AO2921">
        <v>25</v>
      </c>
      <c r="AP2921">
        <v>4400</v>
      </c>
      <c r="AQ2921" t="s">
        <v>131</v>
      </c>
      <c r="AR2921">
        <v>4</v>
      </c>
      <c r="AS2921">
        <v>84</v>
      </c>
      <c r="AT2921">
        <v>64</v>
      </c>
      <c r="BB2921" t="str">
        <f t="shared" si="1143"/>
        <v>1200</v>
      </c>
      <c r="BC2921">
        <v>1</v>
      </c>
      <c r="BD2921" t="str">
        <f t="shared" si="1144"/>
        <v xml:space="preserve">N52156  </v>
      </c>
      <c r="BE2921">
        <v>1</v>
      </c>
      <c r="BG2921">
        <v>0</v>
      </c>
      <c r="BH2921">
        <v>0</v>
      </c>
      <c r="BI2921">
        <v>0</v>
      </c>
      <c r="BJ2921">
        <v>4400</v>
      </c>
      <c r="BK2921">
        <v>0</v>
      </c>
      <c r="BL2921" t="s">
        <v>188</v>
      </c>
      <c r="BM2921">
        <v>1</v>
      </c>
      <c r="BN2921">
        <v>1</v>
      </c>
      <c r="BO2921">
        <v>0</v>
      </c>
      <c r="BP2921">
        <v>0</v>
      </c>
      <c r="BS2921">
        <v>0</v>
      </c>
      <c r="BT2921">
        <v>0</v>
      </c>
      <c r="BU2921">
        <v>0</v>
      </c>
      <c r="CE2921" t="str">
        <f t="shared" si="1157"/>
        <v>15:12:38.400</v>
      </c>
      <c r="CF2921">
        <v>400477441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5</v>
      </c>
      <c r="CY2921">
        <v>7</v>
      </c>
      <c r="CZ2921" t="s">
        <v>133</v>
      </c>
      <c r="DA2921">
        <v>275</v>
      </c>
      <c r="DB2921">
        <v>0</v>
      </c>
      <c r="DC2921" t="s">
        <v>134</v>
      </c>
      <c r="DD2921" t="s">
        <v>135</v>
      </c>
      <c r="DG2921">
        <v>3322181</v>
      </c>
      <c r="DI2921">
        <v>1</v>
      </c>
      <c r="DJ2921">
        <v>0</v>
      </c>
      <c r="DK2921">
        <v>1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">
      <c r="A2922" t="str">
        <f>"05/01/2025 15:12:38.634"</f>
        <v>05/01/2025 15:12:38.634</v>
      </c>
      <c r="C2922" t="str">
        <f t="shared" si="1140"/>
        <v>FFDFD3C0</v>
      </c>
      <c r="D2922" t="s">
        <v>140</v>
      </c>
      <c r="E2922" t="str">
        <f>"13"</f>
        <v>13</v>
      </c>
      <c r="F2922">
        <v>1019</v>
      </c>
      <c r="G2922" t="s">
        <v>141</v>
      </c>
      <c r="J2922" t="s">
        <v>142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R2922" t="s">
        <v>127</v>
      </c>
      <c r="S2922" t="str">
        <f t="shared" si="1156"/>
        <v>15:12:38.000</v>
      </c>
      <c r="T2922" t="str">
        <f t="shared" si="1156"/>
        <v>15:12:38.000</v>
      </c>
      <c r="U2922" t="str">
        <f t="shared" si="1142"/>
        <v>A68FCB</v>
      </c>
      <c r="V2922">
        <v>0</v>
      </c>
      <c r="W2922">
        <v>0</v>
      </c>
      <c r="X2922">
        <v>2</v>
      </c>
      <c r="Y2922">
        <v>0</v>
      </c>
      <c r="AA2922">
        <v>1</v>
      </c>
      <c r="AB2922">
        <v>8</v>
      </c>
      <c r="AC2922">
        <v>3</v>
      </c>
      <c r="AD2922">
        <v>0</v>
      </c>
      <c r="AE2922">
        <v>9</v>
      </c>
      <c r="AF2922" t="s">
        <v>138</v>
      </c>
      <c r="AG2922">
        <v>0</v>
      </c>
      <c r="AH2922">
        <v>3</v>
      </c>
      <c r="AI2922">
        <v>2</v>
      </c>
      <c r="AJ2922">
        <v>0</v>
      </c>
      <c r="AK2922" t="s">
        <v>988</v>
      </c>
      <c r="AL2922">
        <v>39.110298</v>
      </c>
      <c r="AM2922" t="s">
        <v>989</v>
      </c>
      <c r="AN2922">
        <v>-121.03240700000001</v>
      </c>
      <c r="AO2922">
        <v>25</v>
      </c>
      <c r="AP2922">
        <v>4400</v>
      </c>
      <c r="AQ2922" t="s">
        <v>131</v>
      </c>
      <c r="AR2922">
        <v>4</v>
      </c>
      <c r="AS2922">
        <v>84</v>
      </c>
      <c r="AT2922">
        <v>64</v>
      </c>
      <c r="BB2922" t="str">
        <f t="shared" si="1143"/>
        <v>1200</v>
      </c>
      <c r="BC2922">
        <v>1</v>
      </c>
      <c r="BD2922" t="str">
        <f t="shared" si="1144"/>
        <v xml:space="preserve">N52156  </v>
      </c>
      <c r="BE2922">
        <v>1</v>
      </c>
      <c r="BG2922">
        <v>0</v>
      </c>
      <c r="BH2922">
        <v>0</v>
      </c>
      <c r="BI2922">
        <v>0</v>
      </c>
      <c r="BJ2922">
        <v>4400</v>
      </c>
      <c r="BK2922">
        <v>0</v>
      </c>
      <c r="BL2922" t="s">
        <v>188</v>
      </c>
      <c r="BM2922">
        <v>1</v>
      </c>
      <c r="BN2922">
        <v>1</v>
      </c>
      <c r="BO2922">
        <v>0</v>
      </c>
      <c r="BP2922">
        <v>0</v>
      </c>
      <c r="BS2922">
        <v>0</v>
      </c>
      <c r="BT2922">
        <v>0</v>
      </c>
      <c r="BU2922">
        <v>0</v>
      </c>
      <c r="CE2922" t="str">
        <f t="shared" si="1157"/>
        <v>15:12:38.400</v>
      </c>
      <c r="CF2922">
        <v>400477441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5</v>
      </c>
      <c r="CY2922">
        <v>7</v>
      </c>
      <c r="CZ2922" t="s">
        <v>133</v>
      </c>
      <c r="DA2922">
        <v>275</v>
      </c>
      <c r="DB2922">
        <v>0</v>
      </c>
      <c r="DC2922" t="s">
        <v>134</v>
      </c>
      <c r="DD2922" t="s">
        <v>135</v>
      </c>
      <c r="DG2922">
        <v>3322181</v>
      </c>
      <c r="DI2922">
        <v>1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">
      <c r="A2923" t="str">
        <f>"05/01/2025 15:12:38.637"</f>
        <v>05/01/2025 15:12:38.637</v>
      </c>
      <c r="C2923" t="str">
        <f t="shared" si="1140"/>
        <v>FFDFD3C0</v>
      </c>
      <c r="D2923" t="s">
        <v>124</v>
      </c>
      <c r="E2923" t="str">
        <f>"06"</f>
        <v>06</v>
      </c>
      <c r="F2923">
        <v>2006</v>
      </c>
      <c r="G2923" t="s">
        <v>125</v>
      </c>
      <c r="J2923" t="s">
        <v>126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R2923" t="s">
        <v>127</v>
      </c>
      <c r="S2923" t="str">
        <f t="shared" si="1156"/>
        <v>15:12:38.000</v>
      </c>
      <c r="T2923" t="str">
        <f t="shared" si="1156"/>
        <v>15:12:38.000</v>
      </c>
      <c r="U2923" t="str">
        <f t="shared" si="1142"/>
        <v>A68FCB</v>
      </c>
      <c r="V2923">
        <v>0</v>
      </c>
      <c r="W2923">
        <v>0</v>
      </c>
      <c r="X2923">
        <v>2</v>
      </c>
      <c r="Y2923">
        <v>0</v>
      </c>
      <c r="AA2923">
        <v>1</v>
      </c>
      <c r="AB2923">
        <v>8</v>
      </c>
      <c r="AC2923">
        <v>3</v>
      </c>
      <c r="AD2923">
        <v>0</v>
      </c>
      <c r="AE2923">
        <v>9</v>
      </c>
      <c r="AF2923" t="s">
        <v>138</v>
      </c>
      <c r="AG2923">
        <v>0</v>
      </c>
      <c r="AH2923">
        <v>3</v>
      </c>
      <c r="AI2923">
        <v>2</v>
      </c>
      <c r="AJ2923">
        <v>0</v>
      </c>
      <c r="AK2923" t="s">
        <v>988</v>
      </c>
      <c r="AL2923">
        <v>39.110298</v>
      </c>
      <c r="AM2923" t="s">
        <v>989</v>
      </c>
      <c r="AN2923">
        <v>-121.03240700000001</v>
      </c>
      <c r="AO2923">
        <v>25</v>
      </c>
      <c r="AP2923">
        <v>4400</v>
      </c>
      <c r="AQ2923" t="s">
        <v>131</v>
      </c>
      <c r="AR2923">
        <v>4</v>
      </c>
      <c r="AS2923">
        <v>84</v>
      </c>
      <c r="AT2923">
        <v>64</v>
      </c>
      <c r="BB2923" t="str">
        <f t="shared" si="1143"/>
        <v>1200</v>
      </c>
      <c r="BC2923">
        <v>1</v>
      </c>
      <c r="BD2923" t="str">
        <f t="shared" si="1144"/>
        <v xml:space="preserve">N52156  </v>
      </c>
      <c r="BE2923">
        <v>1</v>
      </c>
      <c r="BG2923">
        <v>0</v>
      </c>
      <c r="BH2923">
        <v>0</v>
      </c>
      <c r="BI2923">
        <v>0</v>
      </c>
      <c r="BJ2923">
        <v>4400</v>
      </c>
      <c r="BK2923">
        <v>0</v>
      </c>
      <c r="BL2923" t="s">
        <v>188</v>
      </c>
      <c r="BM2923">
        <v>1</v>
      </c>
      <c r="BN2923">
        <v>1</v>
      </c>
      <c r="BO2923">
        <v>0</v>
      </c>
      <c r="BP2923">
        <v>0</v>
      </c>
      <c r="BS2923">
        <v>0</v>
      </c>
      <c r="BT2923">
        <v>0</v>
      </c>
      <c r="BU2923">
        <v>0</v>
      </c>
      <c r="CE2923" t="str">
        <f t="shared" si="1157"/>
        <v>15:12:38.400</v>
      </c>
      <c r="CF2923">
        <v>400477441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5</v>
      </c>
      <c r="CY2923">
        <v>7</v>
      </c>
      <c r="CZ2923" t="s">
        <v>133</v>
      </c>
      <c r="DA2923">
        <v>275</v>
      </c>
      <c r="DB2923">
        <v>0</v>
      </c>
      <c r="DC2923" t="s">
        <v>134</v>
      </c>
      <c r="DD2923" t="s">
        <v>135</v>
      </c>
      <c r="DG2923">
        <v>3322181</v>
      </c>
      <c r="DI2923">
        <v>1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>"05/01/2025 15:12:39.951"</f>
        <v>05/01/2025 15:12:39.951</v>
      </c>
      <c r="C2924" t="str">
        <f t="shared" si="1140"/>
        <v>FFDFD3C0</v>
      </c>
      <c r="D2924" t="s">
        <v>145</v>
      </c>
      <c r="E2924" t="str">
        <f>"09"</f>
        <v>09</v>
      </c>
      <c r="H2924">
        <v>51</v>
      </c>
      <c r="I2924" t="s">
        <v>147</v>
      </c>
      <c r="J2924" t="s">
        <v>138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R2924" t="s">
        <v>127</v>
      </c>
      <c r="S2924" t="str">
        <f t="shared" ref="S2924:T2929" si="1158">"15:12:39.000"</f>
        <v>15:12:39.000</v>
      </c>
      <c r="T2924" t="str">
        <f t="shared" si="1158"/>
        <v>15:12:39.000</v>
      </c>
      <c r="U2924" t="str">
        <f t="shared" si="1142"/>
        <v>A68FCB</v>
      </c>
      <c r="V2924">
        <v>0</v>
      </c>
      <c r="W2924">
        <v>0</v>
      </c>
      <c r="X2924">
        <v>2</v>
      </c>
      <c r="Y2924">
        <v>0</v>
      </c>
      <c r="AA2924">
        <v>1</v>
      </c>
      <c r="AB2924">
        <v>8</v>
      </c>
      <c r="AC2924">
        <v>3</v>
      </c>
      <c r="AD2924">
        <v>0</v>
      </c>
      <c r="AE2924">
        <v>9</v>
      </c>
      <c r="AF2924" t="s">
        <v>138</v>
      </c>
      <c r="AG2924">
        <v>0</v>
      </c>
      <c r="AH2924">
        <v>3</v>
      </c>
      <c r="AI2924">
        <v>2</v>
      </c>
      <c r="AJ2924">
        <v>0</v>
      </c>
      <c r="AK2924" t="s">
        <v>990</v>
      </c>
      <c r="AL2924">
        <v>39.110683999999999</v>
      </c>
      <c r="AM2924" t="s">
        <v>991</v>
      </c>
      <c r="AN2924">
        <v>-121.032386</v>
      </c>
      <c r="AO2924">
        <v>25</v>
      </c>
      <c r="AP2924">
        <v>4400</v>
      </c>
      <c r="AQ2924" t="s">
        <v>131</v>
      </c>
      <c r="AR2924">
        <v>4</v>
      </c>
      <c r="AS2924">
        <v>84</v>
      </c>
      <c r="AT2924">
        <v>64</v>
      </c>
      <c r="BB2924" t="str">
        <f t="shared" si="1143"/>
        <v>1200</v>
      </c>
      <c r="BC2924">
        <v>1</v>
      </c>
      <c r="BD2924" t="str">
        <f t="shared" si="1144"/>
        <v xml:space="preserve">N52156  </v>
      </c>
      <c r="BE2924">
        <v>1</v>
      </c>
      <c r="BG2924">
        <v>0</v>
      </c>
      <c r="BH2924">
        <v>0</v>
      </c>
      <c r="BI2924">
        <v>0</v>
      </c>
      <c r="BJ2924">
        <v>4400</v>
      </c>
      <c r="BK2924">
        <v>0</v>
      </c>
      <c r="BL2924" t="s">
        <v>188</v>
      </c>
      <c r="BM2924">
        <v>1</v>
      </c>
      <c r="BN2924">
        <v>1</v>
      </c>
      <c r="BO2924">
        <v>0</v>
      </c>
      <c r="BP2924">
        <v>0</v>
      </c>
      <c r="BS2924">
        <v>0</v>
      </c>
      <c r="BT2924">
        <v>0</v>
      </c>
      <c r="BU2924">
        <v>0</v>
      </c>
      <c r="CE2924" t="str">
        <f t="shared" ref="CE2924:CE2929" si="1159">"15:12:39.743"</f>
        <v>15:12:39.743</v>
      </c>
      <c r="CF2924">
        <v>742978618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5</v>
      </c>
      <c r="CY2924">
        <v>7</v>
      </c>
      <c r="CZ2924" t="s">
        <v>133</v>
      </c>
      <c r="DA2924">
        <v>275</v>
      </c>
      <c r="DB2924">
        <v>0</v>
      </c>
      <c r="DC2924" t="s">
        <v>134</v>
      </c>
      <c r="DD2924" t="s">
        <v>135</v>
      </c>
      <c r="DG2924">
        <v>3322187</v>
      </c>
      <c r="DI2924">
        <v>1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>"05/01/2025 15:12:39.952"</f>
        <v>05/01/2025 15:12:39.952</v>
      </c>
      <c r="C2925" t="str">
        <f t="shared" si="1140"/>
        <v>FFDFD3C0</v>
      </c>
      <c r="D2925" t="s">
        <v>145</v>
      </c>
      <c r="E2925" t="str">
        <f>"05"</f>
        <v>05</v>
      </c>
      <c r="H2925">
        <v>47</v>
      </c>
      <c r="I2925" t="s">
        <v>146</v>
      </c>
      <c r="J2925" t="s">
        <v>138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R2925" t="s">
        <v>127</v>
      </c>
      <c r="S2925" t="str">
        <f t="shared" si="1158"/>
        <v>15:12:39.000</v>
      </c>
      <c r="T2925" t="str">
        <f t="shared" si="1158"/>
        <v>15:12:39.000</v>
      </c>
      <c r="U2925" t="str">
        <f t="shared" si="1142"/>
        <v>A68FCB</v>
      </c>
      <c r="V2925">
        <v>0</v>
      </c>
      <c r="W2925">
        <v>0</v>
      </c>
      <c r="X2925">
        <v>2</v>
      </c>
      <c r="Y2925">
        <v>0</v>
      </c>
      <c r="AA2925">
        <v>1</v>
      </c>
      <c r="AB2925">
        <v>8</v>
      </c>
      <c r="AC2925">
        <v>3</v>
      </c>
      <c r="AD2925">
        <v>0</v>
      </c>
      <c r="AE2925">
        <v>9</v>
      </c>
      <c r="AF2925" t="s">
        <v>138</v>
      </c>
      <c r="AG2925">
        <v>0</v>
      </c>
      <c r="AH2925">
        <v>3</v>
      </c>
      <c r="AI2925">
        <v>2</v>
      </c>
      <c r="AJ2925">
        <v>0</v>
      </c>
      <c r="AK2925" t="s">
        <v>990</v>
      </c>
      <c r="AL2925">
        <v>39.110683999999999</v>
      </c>
      <c r="AM2925" t="s">
        <v>991</v>
      </c>
      <c r="AN2925">
        <v>-121.032386</v>
      </c>
      <c r="AO2925">
        <v>25</v>
      </c>
      <c r="AP2925">
        <v>4400</v>
      </c>
      <c r="AQ2925" t="s">
        <v>131</v>
      </c>
      <c r="AR2925">
        <v>4</v>
      </c>
      <c r="AS2925">
        <v>84</v>
      </c>
      <c r="AT2925">
        <v>64</v>
      </c>
      <c r="BB2925" t="str">
        <f t="shared" si="1143"/>
        <v>1200</v>
      </c>
      <c r="BC2925">
        <v>1</v>
      </c>
      <c r="BD2925" t="str">
        <f t="shared" si="1144"/>
        <v xml:space="preserve">N52156  </v>
      </c>
      <c r="BE2925">
        <v>1</v>
      </c>
      <c r="BG2925">
        <v>0</v>
      </c>
      <c r="BH2925">
        <v>0</v>
      </c>
      <c r="BI2925">
        <v>0</v>
      </c>
      <c r="BJ2925">
        <v>4400</v>
      </c>
      <c r="BK2925">
        <v>0</v>
      </c>
      <c r="BL2925" t="s">
        <v>188</v>
      </c>
      <c r="BM2925">
        <v>1</v>
      </c>
      <c r="BN2925">
        <v>1</v>
      </c>
      <c r="BO2925">
        <v>0</v>
      </c>
      <c r="BP2925">
        <v>0</v>
      </c>
      <c r="BS2925">
        <v>0</v>
      </c>
      <c r="BT2925">
        <v>0</v>
      </c>
      <c r="BU2925">
        <v>0</v>
      </c>
      <c r="CE2925" t="str">
        <f t="shared" si="1159"/>
        <v>15:12:39.743</v>
      </c>
      <c r="CF2925">
        <v>742978618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5</v>
      </c>
      <c r="CY2925">
        <v>7</v>
      </c>
      <c r="CZ2925" t="s">
        <v>133</v>
      </c>
      <c r="DA2925">
        <v>275</v>
      </c>
      <c r="DB2925">
        <v>0</v>
      </c>
      <c r="DC2925" t="s">
        <v>134</v>
      </c>
      <c r="DD2925" t="s">
        <v>135</v>
      </c>
      <c r="DG2925">
        <v>3322187</v>
      </c>
      <c r="DI2925">
        <v>1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>"05/01/2025 15:12:39.962"</f>
        <v>05/01/2025 15:12:39.962</v>
      </c>
      <c r="C2926" t="str">
        <f t="shared" si="1140"/>
        <v>FFDFD3C0</v>
      </c>
      <c r="D2926" t="s">
        <v>136</v>
      </c>
      <c r="E2926" t="str">
        <f>"20"</f>
        <v>20</v>
      </c>
      <c r="H2926">
        <v>400</v>
      </c>
      <c r="I2926" t="s">
        <v>137</v>
      </c>
      <c r="J2926" t="s">
        <v>138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R2926" t="s">
        <v>127</v>
      </c>
      <c r="S2926" t="str">
        <f t="shared" si="1158"/>
        <v>15:12:39.000</v>
      </c>
      <c r="T2926" t="str">
        <f t="shared" si="1158"/>
        <v>15:12:39.000</v>
      </c>
      <c r="U2926" t="str">
        <f t="shared" si="1142"/>
        <v>A68FCB</v>
      </c>
      <c r="V2926">
        <v>0</v>
      </c>
      <c r="W2926">
        <v>0</v>
      </c>
      <c r="X2926">
        <v>2</v>
      </c>
      <c r="Y2926">
        <v>0</v>
      </c>
      <c r="AA2926">
        <v>1</v>
      </c>
      <c r="AB2926">
        <v>8</v>
      </c>
      <c r="AC2926">
        <v>3</v>
      </c>
      <c r="AD2926">
        <v>0</v>
      </c>
      <c r="AE2926">
        <v>9</v>
      </c>
      <c r="AF2926" t="s">
        <v>138</v>
      </c>
      <c r="AG2926">
        <v>0</v>
      </c>
      <c r="AH2926">
        <v>3</v>
      </c>
      <c r="AI2926">
        <v>2</v>
      </c>
      <c r="AJ2926">
        <v>0</v>
      </c>
      <c r="AK2926" t="s">
        <v>990</v>
      </c>
      <c r="AL2926">
        <v>39.110683999999999</v>
      </c>
      <c r="AM2926" t="s">
        <v>991</v>
      </c>
      <c r="AN2926">
        <v>-121.032386</v>
      </c>
      <c r="AO2926">
        <v>25</v>
      </c>
      <c r="AP2926">
        <v>4400</v>
      </c>
      <c r="AQ2926" t="s">
        <v>131</v>
      </c>
      <c r="AR2926">
        <v>4</v>
      </c>
      <c r="AS2926">
        <v>84</v>
      </c>
      <c r="AT2926">
        <v>64</v>
      </c>
      <c r="BB2926" t="str">
        <f t="shared" si="1143"/>
        <v>1200</v>
      </c>
      <c r="BC2926">
        <v>1</v>
      </c>
      <c r="BD2926" t="str">
        <f t="shared" si="1144"/>
        <v xml:space="preserve">N52156  </v>
      </c>
      <c r="BE2926">
        <v>1</v>
      </c>
      <c r="BG2926">
        <v>0</v>
      </c>
      <c r="BH2926">
        <v>0</v>
      </c>
      <c r="BI2926">
        <v>0</v>
      </c>
      <c r="BJ2926">
        <v>4400</v>
      </c>
      <c r="BK2926">
        <v>0</v>
      </c>
      <c r="BL2926" t="s">
        <v>188</v>
      </c>
      <c r="BM2926">
        <v>1</v>
      </c>
      <c r="BN2926">
        <v>1</v>
      </c>
      <c r="BO2926">
        <v>0</v>
      </c>
      <c r="BP2926">
        <v>0</v>
      </c>
      <c r="BS2926">
        <v>0</v>
      </c>
      <c r="BT2926">
        <v>0</v>
      </c>
      <c r="BU2926">
        <v>0</v>
      </c>
      <c r="CE2926" t="str">
        <f t="shared" si="1159"/>
        <v>15:12:39.743</v>
      </c>
      <c r="CF2926">
        <v>742978618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5</v>
      </c>
      <c r="CY2926">
        <v>7</v>
      </c>
      <c r="CZ2926" t="s">
        <v>133</v>
      </c>
      <c r="DA2926">
        <v>275</v>
      </c>
      <c r="DB2926">
        <v>0</v>
      </c>
      <c r="DC2926" t="s">
        <v>134</v>
      </c>
      <c r="DD2926" t="s">
        <v>135</v>
      </c>
      <c r="DG2926">
        <v>3322187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>"05/01/2025 15:12:39.972"</f>
        <v>05/01/2025 15:12:39.972</v>
      </c>
      <c r="C2927" t="str">
        <f t="shared" si="1140"/>
        <v>FFDFD3C0</v>
      </c>
      <c r="D2927" t="s">
        <v>143</v>
      </c>
      <c r="E2927" t="str">
        <f>"05"</f>
        <v>05</v>
      </c>
      <c r="H2927">
        <v>172</v>
      </c>
      <c r="I2927" t="s">
        <v>141</v>
      </c>
      <c r="J2927" t="s">
        <v>144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R2927" t="s">
        <v>127</v>
      </c>
      <c r="S2927" t="str">
        <f t="shared" si="1158"/>
        <v>15:12:39.000</v>
      </c>
      <c r="T2927" t="str">
        <f t="shared" si="1158"/>
        <v>15:12:39.000</v>
      </c>
      <c r="U2927" t="str">
        <f t="shared" si="1142"/>
        <v>A68FCB</v>
      </c>
      <c r="V2927">
        <v>0</v>
      </c>
      <c r="W2927">
        <v>0</v>
      </c>
      <c r="X2927">
        <v>2</v>
      </c>
      <c r="Y2927">
        <v>0</v>
      </c>
      <c r="AA2927">
        <v>1</v>
      </c>
      <c r="AB2927">
        <v>8</v>
      </c>
      <c r="AC2927">
        <v>3</v>
      </c>
      <c r="AD2927">
        <v>0</v>
      </c>
      <c r="AE2927">
        <v>9</v>
      </c>
      <c r="AF2927" t="s">
        <v>138</v>
      </c>
      <c r="AG2927">
        <v>0</v>
      </c>
      <c r="AH2927">
        <v>3</v>
      </c>
      <c r="AI2927">
        <v>2</v>
      </c>
      <c r="AJ2927">
        <v>0</v>
      </c>
      <c r="AK2927" t="s">
        <v>990</v>
      </c>
      <c r="AL2927">
        <v>39.110683999999999</v>
      </c>
      <c r="AM2927" t="s">
        <v>991</v>
      </c>
      <c r="AN2927">
        <v>-121.032386</v>
      </c>
      <c r="AO2927">
        <v>25</v>
      </c>
      <c r="AP2927">
        <v>4400</v>
      </c>
      <c r="AQ2927" t="s">
        <v>131</v>
      </c>
      <c r="AR2927">
        <v>4</v>
      </c>
      <c r="AS2927">
        <v>84</v>
      </c>
      <c r="AT2927">
        <v>64</v>
      </c>
      <c r="BB2927" t="str">
        <f t="shared" si="1143"/>
        <v>1200</v>
      </c>
      <c r="BC2927">
        <v>1</v>
      </c>
      <c r="BD2927" t="str">
        <f t="shared" si="1144"/>
        <v xml:space="preserve">N52156  </v>
      </c>
      <c r="BE2927">
        <v>1</v>
      </c>
      <c r="BG2927">
        <v>0</v>
      </c>
      <c r="BH2927">
        <v>0</v>
      </c>
      <c r="BI2927">
        <v>0</v>
      </c>
      <c r="BJ2927">
        <v>4400</v>
      </c>
      <c r="BK2927">
        <v>0</v>
      </c>
      <c r="BL2927" t="s">
        <v>188</v>
      </c>
      <c r="BM2927">
        <v>1</v>
      </c>
      <c r="BN2927">
        <v>1</v>
      </c>
      <c r="BO2927">
        <v>0</v>
      </c>
      <c r="BP2927">
        <v>0</v>
      </c>
      <c r="BS2927">
        <v>0</v>
      </c>
      <c r="BT2927">
        <v>0</v>
      </c>
      <c r="BU2927">
        <v>0</v>
      </c>
      <c r="CE2927" t="str">
        <f t="shared" si="1159"/>
        <v>15:12:39.743</v>
      </c>
      <c r="CF2927">
        <v>742978618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5</v>
      </c>
      <c r="CY2927">
        <v>7</v>
      </c>
      <c r="CZ2927" t="s">
        <v>133</v>
      </c>
      <c r="DA2927">
        <v>275</v>
      </c>
      <c r="DB2927">
        <v>0</v>
      </c>
      <c r="DC2927" t="s">
        <v>134</v>
      </c>
      <c r="DD2927" t="s">
        <v>135</v>
      </c>
      <c r="DG2927">
        <v>3322187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>"05/01/2025 15:12:39.986"</f>
        <v>05/01/2025 15:12:39.986</v>
      </c>
      <c r="C2928" t="str">
        <f t="shared" si="1140"/>
        <v>FFDFD3C0</v>
      </c>
      <c r="D2928" t="s">
        <v>140</v>
      </c>
      <c r="E2928" t="str">
        <f>"13"</f>
        <v>13</v>
      </c>
      <c r="F2928">
        <v>1019</v>
      </c>
      <c r="G2928" t="s">
        <v>141</v>
      </c>
      <c r="J2928" t="s">
        <v>142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R2928" t="s">
        <v>127</v>
      </c>
      <c r="S2928" t="str">
        <f t="shared" si="1158"/>
        <v>15:12:39.000</v>
      </c>
      <c r="T2928" t="str">
        <f t="shared" si="1158"/>
        <v>15:12:39.000</v>
      </c>
      <c r="U2928" t="str">
        <f t="shared" si="1142"/>
        <v>A68FCB</v>
      </c>
      <c r="V2928">
        <v>0</v>
      </c>
      <c r="W2928">
        <v>0</v>
      </c>
      <c r="X2928">
        <v>2</v>
      </c>
      <c r="Y2928">
        <v>0</v>
      </c>
      <c r="AA2928">
        <v>1</v>
      </c>
      <c r="AB2928">
        <v>8</v>
      </c>
      <c r="AC2928">
        <v>3</v>
      </c>
      <c r="AD2928">
        <v>0</v>
      </c>
      <c r="AE2928">
        <v>9</v>
      </c>
      <c r="AF2928" t="s">
        <v>138</v>
      </c>
      <c r="AG2928">
        <v>0</v>
      </c>
      <c r="AH2928">
        <v>3</v>
      </c>
      <c r="AI2928">
        <v>2</v>
      </c>
      <c r="AJ2928">
        <v>0</v>
      </c>
      <c r="AK2928" t="s">
        <v>990</v>
      </c>
      <c r="AL2928">
        <v>39.110683999999999</v>
      </c>
      <c r="AM2928" t="s">
        <v>991</v>
      </c>
      <c r="AN2928">
        <v>-121.032386</v>
      </c>
      <c r="AO2928">
        <v>25</v>
      </c>
      <c r="AP2928">
        <v>4400</v>
      </c>
      <c r="AQ2928" t="s">
        <v>131</v>
      </c>
      <c r="AR2928">
        <v>4</v>
      </c>
      <c r="AS2928">
        <v>84</v>
      </c>
      <c r="AT2928">
        <v>64</v>
      </c>
      <c r="BB2928" t="str">
        <f t="shared" si="1143"/>
        <v>1200</v>
      </c>
      <c r="BC2928">
        <v>1</v>
      </c>
      <c r="BD2928" t="str">
        <f t="shared" si="1144"/>
        <v xml:space="preserve">N52156  </v>
      </c>
      <c r="BE2928">
        <v>1</v>
      </c>
      <c r="BG2928">
        <v>0</v>
      </c>
      <c r="BH2928">
        <v>0</v>
      </c>
      <c r="BI2928">
        <v>0</v>
      </c>
      <c r="BJ2928">
        <v>4400</v>
      </c>
      <c r="BK2928">
        <v>0</v>
      </c>
      <c r="BL2928" t="s">
        <v>188</v>
      </c>
      <c r="BM2928">
        <v>1</v>
      </c>
      <c r="BN2928">
        <v>1</v>
      </c>
      <c r="BO2928">
        <v>0</v>
      </c>
      <c r="BP2928">
        <v>0</v>
      </c>
      <c r="BS2928">
        <v>0</v>
      </c>
      <c r="BT2928">
        <v>0</v>
      </c>
      <c r="BU2928">
        <v>0</v>
      </c>
      <c r="CE2928" t="str">
        <f t="shared" si="1159"/>
        <v>15:12:39.743</v>
      </c>
      <c r="CF2928">
        <v>742978618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5</v>
      </c>
      <c r="CY2928">
        <v>7</v>
      </c>
      <c r="CZ2928" t="s">
        <v>133</v>
      </c>
      <c r="DA2928">
        <v>275</v>
      </c>
      <c r="DB2928">
        <v>0</v>
      </c>
      <c r="DC2928" t="s">
        <v>134</v>
      </c>
      <c r="DD2928" t="s">
        <v>135</v>
      </c>
      <c r="DG2928">
        <v>3322187</v>
      </c>
      <c r="DI2928">
        <v>1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>"05/01/2025 15:12:39.989"</f>
        <v>05/01/2025 15:12:39.989</v>
      </c>
      <c r="C2929" t="str">
        <f t="shared" si="1140"/>
        <v>FFDFD3C0</v>
      </c>
      <c r="D2929" t="s">
        <v>124</v>
      </c>
      <c r="E2929" t="str">
        <f>"06"</f>
        <v>06</v>
      </c>
      <c r="F2929">
        <v>2006</v>
      </c>
      <c r="G2929" t="s">
        <v>125</v>
      </c>
      <c r="J2929" t="s">
        <v>126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R2929" t="s">
        <v>127</v>
      </c>
      <c r="S2929" t="str">
        <f t="shared" si="1158"/>
        <v>15:12:39.000</v>
      </c>
      <c r="T2929" t="str">
        <f t="shared" si="1158"/>
        <v>15:12:39.000</v>
      </c>
      <c r="U2929" t="str">
        <f t="shared" si="1142"/>
        <v>A68FCB</v>
      </c>
      <c r="V2929">
        <v>0</v>
      </c>
      <c r="W2929">
        <v>0</v>
      </c>
      <c r="X2929">
        <v>2</v>
      </c>
      <c r="Y2929">
        <v>0</v>
      </c>
      <c r="AA2929">
        <v>1</v>
      </c>
      <c r="AB2929">
        <v>8</v>
      </c>
      <c r="AC2929">
        <v>3</v>
      </c>
      <c r="AD2929">
        <v>0</v>
      </c>
      <c r="AE2929">
        <v>9</v>
      </c>
      <c r="AF2929" t="s">
        <v>138</v>
      </c>
      <c r="AG2929">
        <v>0</v>
      </c>
      <c r="AH2929">
        <v>3</v>
      </c>
      <c r="AI2929">
        <v>2</v>
      </c>
      <c r="AJ2929">
        <v>0</v>
      </c>
      <c r="AK2929" t="s">
        <v>990</v>
      </c>
      <c r="AL2929">
        <v>39.110683999999999</v>
      </c>
      <c r="AM2929" t="s">
        <v>991</v>
      </c>
      <c r="AN2929">
        <v>-121.032386</v>
      </c>
      <c r="AO2929">
        <v>25</v>
      </c>
      <c r="AP2929">
        <v>4400</v>
      </c>
      <c r="AQ2929" t="s">
        <v>131</v>
      </c>
      <c r="AR2929">
        <v>4</v>
      </c>
      <c r="AS2929">
        <v>84</v>
      </c>
      <c r="AT2929">
        <v>64</v>
      </c>
      <c r="BB2929" t="str">
        <f t="shared" si="1143"/>
        <v>1200</v>
      </c>
      <c r="BC2929">
        <v>1</v>
      </c>
      <c r="BD2929" t="str">
        <f t="shared" si="1144"/>
        <v xml:space="preserve">N52156  </v>
      </c>
      <c r="BE2929">
        <v>1</v>
      </c>
      <c r="BG2929">
        <v>0</v>
      </c>
      <c r="BH2929">
        <v>0</v>
      </c>
      <c r="BI2929">
        <v>0</v>
      </c>
      <c r="BJ2929">
        <v>4400</v>
      </c>
      <c r="BK2929">
        <v>0</v>
      </c>
      <c r="BL2929" t="s">
        <v>188</v>
      </c>
      <c r="BM2929">
        <v>1</v>
      </c>
      <c r="BN2929">
        <v>1</v>
      </c>
      <c r="BO2929">
        <v>0</v>
      </c>
      <c r="BP2929">
        <v>0</v>
      </c>
      <c r="BS2929">
        <v>0</v>
      </c>
      <c r="BT2929">
        <v>0</v>
      </c>
      <c r="BU2929">
        <v>0</v>
      </c>
      <c r="CE2929" t="str">
        <f t="shared" si="1159"/>
        <v>15:12:39.743</v>
      </c>
      <c r="CF2929">
        <v>742978618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5</v>
      </c>
      <c r="CY2929">
        <v>7</v>
      </c>
      <c r="CZ2929" t="s">
        <v>133</v>
      </c>
      <c r="DA2929">
        <v>275</v>
      </c>
      <c r="DB2929">
        <v>0</v>
      </c>
      <c r="DC2929" t="s">
        <v>134</v>
      </c>
      <c r="DD2929" t="s">
        <v>135</v>
      </c>
      <c r="DG2929">
        <v>3322187</v>
      </c>
      <c r="DI2929">
        <v>1</v>
      </c>
      <c r="DJ2929">
        <v>0</v>
      </c>
      <c r="DK2929">
        <v>1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>"05/01/2025 15:12:40.973"</f>
        <v>05/01/2025 15:12:40.973</v>
      </c>
      <c r="C2930" t="str">
        <f t="shared" si="1140"/>
        <v>FFDFD3C0</v>
      </c>
      <c r="D2930" t="s">
        <v>143</v>
      </c>
      <c r="E2930" t="str">
        <f>"05"</f>
        <v>05</v>
      </c>
      <c r="H2930">
        <v>172</v>
      </c>
      <c r="I2930" t="s">
        <v>141</v>
      </c>
      <c r="J2930" t="s">
        <v>144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R2930" t="s">
        <v>127</v>
      </c>
      <c r="S2930" t="str">
        <f t="shared" ref="S2930:T2935" si="1160">"15:12:40.000"</f>
        <v>15:12:40.000</v>
      </c>
      <c r="T2930" t="str">
        <f t="shared" si="1160"/>
        <v>15:12:40.000</v>
      </c>
      <c r="U2930" t="str">
        <f t="shared" si="1142"/>
        <v>A68FCB</v>
      </c>
      <c r="V2930">
        <v>0</v>
      </c>
      <c r="W2930">
        <v>0</v>
      </c>
      <c r="X2930">
        <v>2</v>
      </c>
      <c r="Y2930">
        <v>0</v>
      </c>
      <c r="AA2930">
        <v>1</v>
      </c>
      <c r="AB2930">
        <v>8</v>
      </c>
      <c r="AC2930">
        <v>3</v>
      </c>
      <c r="AD2930">
        <v>0</v>
      </c>
      <c r="AE2930">
        <v>9</v>
      </c>
      <c r="AF2930" t="s">
        <v>138</v>
      </c>
      <c r="AG2930">
        <v>0</v>
      </c>
      <c r="AH2930">
        <v>3</v>
      </c>
      <c r="AI2930">
        <v>2</v>
      </c>
      <c r="AJ2930">
        <v>0</v>
      </c>
      <c r="AK2930" t="s">
        <v>992</v>
      </c>
      <c r="AL2930">
        <v>39.111091999999999</v>
      </c>
      <c r="AM2930" t="s">
        <v>993</v>
      </c>
      <c r="AN2930">
        <v>-121.032364</v>
      </c>
      <c r="AO2930">
        <v>25</v>
      </c>
      <c r="AP2930">
        <v>4400</v>
      </c>
      <c r="AQ2930" t="s">
        <v>131</v>
      </c>
      <c r="AR2930">
        <v>4</v>
      </c>
      <c r="AS2930">
        <v>84</v>
      </c>
      <c r="AT2930">
        <v>64</v>
      </c>
      <c r="BB2930" t="str">
        <f t="shared" si="1143"/>
        <v>1200</v>
      </c>
      <c r="BC2930">
        <v>1</v>
      </c>
      <c r="BD2930" t="str">
        <f t="shared" si="1144"/>
        <v xml:space="preserve">N52156  </v>
      </c>
      <c r="BE2930">
        <v>1</v>
      </c>
      <c r="BG2930">
        <v>0</v>
      </c>
      <c r="BH2930">
        <v>0</v>
      </c>
      <c r="BI2930">
        <v>0</v>
      </c>
      <c r="BJ2930">
        <v>4400</v>
      </c>
      <c r="BK2930">
        <v>0</v>
      </c>
      <c r="BL2930" t="s">
        <v>188</v>
      </c>
      <c r="BM2930">
        <v>1</v>
      </c>
      <c r="BN2930">
        <v>1</v>
      </c>
      <c r="BO2930">
        <v>0</v>
      </c>
      <c r="BP2930">
        <v>0</v>
      </c>
      <c r="BS2930">
        <v>0</v>
      </c>
      <c r="BT2930">
        <v>0</v>
      </c>
      <c r="BU2930">
        <v>0</v>
      </c>
      <c r="CE2930" t="str">
        <f t="shared" ref="CE2930:CE2935" si="1161">"15:12:40.764"</f>
        <v>15:12:40.764</v>
      </c>
      <c r="CF2930">
        <v>764228500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5</v>
      </c>
      <c r="CY2930">
        <v>7</v>
      </c>
      <c r="CZ2930" t="s">
        <v>133</v>
      </c>
      <c r="DA2930">
        <v>275</v>
      </c>
      <c r="DB2930">
        <v>0</v>
      </c>
      <c r="DC2930" t="s">
        <v>134</v>
      </c>
      <c r="DD2930" t="s">
        <v>135</v>
      </c>
      <c r="DG2930">
        <v>3322193</v>
      </c>
      <c r="DI2930">
        <v>1</v>
      </c>
      <c r="DJ2930">
        <v>0</v>
      </c>
      <c r="DK2930">
        <v>0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>"05/01/2025 15:12:40.987"</f>
        <v>05/01/2025 15:12:40.987</v>
      </c>
      <c r="C2931" t="str">
        <f t="shared" si="1140"/>
        <v>FFDFD3C0</v>
      </c>
      <c r="D2931" t="s">
        <v>140</v>
      </c>
      <c r="E2931" t="str">
        <f>"13"</f>
        <v>13</v>
      </c>
      <c r="F2931">
        <v>1019</v>
      </c>
      <c r="G2931" t="s">
        <v>141</v>
      </c>
      <c r="J2931" t="s">
        <v>142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R2931" t="s">
        <v>127</v>
      </c>
      <c r="S2931" t="str">
        <f t="shared" si="1160"/>
        <v>15:12:40.000</v>
      </c>
      <c r="T2931" t="str">
        <f t="shared" si="1160"/>
        <v>15:12:40.000</v>
      </c>
      <c r="U2931" t="str">
        <f t="shared" si="1142"/>
        <v>A68FCB</v>
      </c>
      <c r="V2931">
        <v>0</v>
      </c>
      <c r="W2931">
        <v>0</v>
      </c>
      <c r="X2931">
        <v>2</v>
      </c>
      <c r="Y2931">
        <v>0</v>
      </c>
      <c r="AA2931">
        <v>1</v>
      </c>
      <c r="AB2931">
        <v>8</v>
      </c>
      <c r="AC2931">
        <v>3</v>
      </c>
      <c r="AD2931">
        <v>0</v>
      </c>
      <c r="AE2931">
        <v>9</v>
      </c>
      <c r="AF2931" t="s">
        <v>138</v>
      </c>
      <c r="AG2931">
        <v>0</v>
      </c>
      <c r="AH2931">
        <v>3</v>
      </c>
      <c r="AI2931">
        <v>2</v>
      </c>
      <c r="AJ2931">
        <v>0</v>
      </c>
      <c r="AK2931" t="s">
        <v>992</v>
      </c>
      <c r="AL2931">
        <v>39.111091999999999</v>
      </c>
      <c r="AM2931" t="s">
        <v>993</v>
      </c>
      <c r="AN2931">
        <v>-121.032364</v>
      </c>
      <c r="AO2931">
        <v>25</v>
      </c>
      <c r="AP2931">
        <v>4400</v>
      </c>
      <c r="AQ2931" t="s">
        <v>131</v>
      </c>
      <c r="AR2931">
        <v>4</v>
      </c>
      <c r="AS2931">
        <v>84</v>
      </c>
      <c r="AT2931">
        <v>64</v>
      </c>
      <c r="BB2931" t="str">
        <f t="shared" si="1143"/>
        <v>1200</v>
      </c>
      <c r="BC2931">
        <v>1</v>
      </c>
      <c r="BD2931" t="str">
        <f t="shared" si="1144"/>
        <v xml:space="preserve">N52156  </v>
      </c>
      <c r="BE2931">
        <v>1</v>
      </c>
      <c r="BG2931">
        <v>0</v>
      </c>
      <c r="BH2931">
        <v>0</v>
      </c>
      <c r="BI2931">
        <v>0</v>
      </c>
      <c r="BJ2931">
        <v>4400</v>
      </c>
      <c r="BK2931">
        <v>0</v>
      </c>
      <c r="BL2931" t="s">
        <v>188</v>
      </c>
      <c r="BM2931">
        <v>1</v>
      </c>
      <c r="BN2931">
        <v>1</v>
      </c>
      <c r="BO2931">
        <v>0</v>
      </c>
      <c r="BP2931">
        <v>0</v>
      </c>
      <c r="BS2931">
        <v>0</v>
      </c>
      <c r="BT2931">
        <v>0</v>
      </c>
      <c r="BU2931">
        <v>0</v>
      </c>
      <c r="CE2931" t="str">
        <f t="shared" si="1161"/>
        <v>15:12:40.764</v>
      </c>
      <c r="CF2931">
        <v>764228500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5</v>
      </c>
      <c r="CY2931">
        <v>7</v>
      </c>
      <c r="CZ2931" t="s">
        <v>133</v>
      </c>
      <c r="DA2931">
        <v>275</v>
      </c>
      <c r="DB2931">
        <v>0</v>
      </c>
      <c r="DC2931" t="s">
        <v>134</v>
      </c>
      <c r="DD2931" t="s">
        <v>135</v>
      </c>
      <c r="DG2931">
        <v>3322193</v>
      </c>
      <c r="DI2931">
        <v>1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"05/01/2025 15:12:40.991"</f>
        <v>05/01/2025 15:12:40.991</v>
      </c>
      <c r="C2932" t="str">
        <f t="shared" si="1140"/>
        <v>FFDFD3C0</v>
      </c>
      <c r="D2932" t="s">
        <v>124</v>
      </c>
      <c r="E2932" t="str">
        <f>"06"</f>
        <v>06</v>
      </c>
      <c r="F2932">
        <v>2006</v>
      </c>
      <c r="G2932" t="s">
        <v>125</v>
      </c>
      <c r="J2932" t="s">
        <v>126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R2932" t="s">
        <v>127</v>
      </c>
      <c r="S2932" t="str">
        <f t="shared" si="1160"/>
        <v>15:12:40.000</v>
      </c>
      <c r="T2932" t="str">
        <f t="shared" si="1160"/>
        <v>15:12:40.000</v>
      </c>
      <c r="U2932" t="str">
        <f t="shared" si="1142"/>
        <v>A68FCB</v>
      </c>
      <c r="V2932">
        <v>0</v>
      </c>
      <c r="W2932">
        <v>0</v>
      </c>
      <c r="X2932">
        <v>2</v>
      </c>
      <c r="Y2932">
        <v>0</v>
      </c>
      <c r="AA2932">
        <v>1</v>
      </c>
      <c r="AB2932">
        <v>8</v>
      </c>
      <c r="AC2932">
        <v>3</v>
      </c>
      <c r="AD2932">
        <v>0</v>
      </c>
      <c r="AE2932">
        <v>9</v>
      </c>
      <c r="AF2932" t="s">
        <v>138</v>
      </c>
      <c r="AG2932">
        <v>0</v>
      </c>
      <c r="AH2932">
        <v>3</v>
      </c>
      <c r="AI2932">
        <v>2</v>
      </c>
      <c r="AJ2932">
        <v>0</v>
      </c>
      <c r="AK2932" t="s">
        <v>992</v>
      </c>
      <c r="AL2932">
        <v>39.111091999999999</v>
      </c>
      <c r="AM2932" t="s">
        <v>993</v>
      </c>
      <c r="AN2932">
        <v>-121.032364</v>
      </c>
      <c r="AO2932">
        <v>25</v>
      </c>
      <c r="AP2932">
        <v>4400</v>
      </c>
      <c r="AQ2932" t="s">
        <v>131</v>
      </c>
      <c r="AR2932">
        <v>4</v>
      </c>
      <c r="AS2932">
        <v>84</v>
      </c>
      <c r="AT2932">
        <v>64</v>
      </c>
      <c r="BB2932" t="str">
        <f t="shared" si="1143"/>
        <v>1200</v>
      </c>
      <c r="BC2932">
        <v>1</v>
      </c>
      <c r="BD2932" t="str">
        <f t="shared" si="1144"/>
        <v xml:space="preserve">N52156  </v>
      </c>
      <c r="BE2932">
        <v>1</v>
      </c>
      <c r="BG2932">
        <v>0</v>
      </c>
      <c r="BH2932">
        <v>0</v>
      </c>
      <c r="BI2932">
        <v>0</v>
      </c>
      <c r="BJ2932">
        <v>4400</v>
      </c>
      <c r="BK2932">
        <v>0</v>
      </c>
      <c r="BL2932" t="s">
        <v>188</v>
      </c>
      <c r="BM2932">
        <v>1</v>
      </c>
      <c r="BN2932">
        <v>1</v>
      </c>
      <c r="BO2932">
        <v>0</v>
      </c>
      <c r="BP2932">
        <v>0</v>
      </c>
      <c r="BS2932">
        <v>0</v>
      </c>
      <c r="BT2932">
        <v>0</v>
      </c>
      <c r="BU2932">
        <v>0</v>
      </c>
      <c r="CE2932" t="str">
        <f t="shared" si="1161"/>
        <v>15:12:40.764</v>
      </c>
      <c r="CF2932">
        <v>764228500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5</v>
      </c>
      <c r="CY2932">
        <v>7</v>
      </c>
      <c r="CZ2932" t="s">
        <v>133</v>
      </c>
      <c r="DA2932">
        <v>275</v>
      </c>
      <c r="DB2932">
        <v>0</v>
      </c>
      <c r="DC2932" t="s">
        <v>134</v>
      </c>
      <c r="DD2932" t="s">
        <v>135</v>
      </c>
      <c r="DG2932">
        <v>3322193</v>
      </c>
      <c r="DI2932">
        <v>1</v>
      </c>
      <c r="DJ2932">
        <v>0</v>
      </c>
      <c r="DK2932">
        <v>1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"05/01/2025 15:12:41.003"</f>
        <v>05/01/2025 15:12:41.003</v>
      </c>
      <c r="C2933" t="str">
        <f t="shared" si="1140"/>
        <v>FFDFD3C0</v>
      </c>
      <c r="D2933" t="s">
        <v>145</v>
      </c>
      <c r="E2933" t="str">
        <f>"09"</f>
        <v>09</v>
      </c>
      <c r="H2933">
        <v>51</v>
      </c>
      <c r="I2933" t="s">
        <v>147</v>
      </c>
      <c r="J2933" t="s">
        <v>138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R2933" t="s">
        <v>127</v>
      </c>
      <c r="S2933" t="str">
        <f t="shared" si="1160"/>
        <v>15:12:40.000</v>
      </c>
      <c r="T2933" t="str">
        <f t="shared" si="1160"/>
        <v>15:12:40.000</v>
      </c>
      <c r="U2933" t="str">
        <f t="shared" si="1142"/>
        <v>A68FCB</v>
      </c>
      <c r="V2933">
        <v>0</v>
      </c>
      <c r="W2933">
        <v>0</v>
      </c>
      <c r="X2933">
        <v>2</v>
      </c>
      <c r="Y2933">
        <v>0</v>
      </c>
      <c r="AA2933">
        <v>1</v>
      </c>
      <c r="AB2933">
        <v>8</v>
      </c>
      <c r="AC2933">
        <v>3</v>
      </c>
      <c r="AD2933">
        <v>0</v>
      </c>
      <c r="AE2933">
        <v>9</v>
      </c>
      <c r="AF2933" t="s">
        <v>138</v>
      </c>
      <c r="AG2933">
        <v>0</v>
      </c>
      <c r="AH2933">
        <v>3</v>
      </c>
      <c r="AI2933">
        <v>2</v>
      </c>
      <c r="AJ2933">
        <v>0</v>
      </c>
      <c r="AK2933" t="s">
        <v>992</v>
      </c>
      <c r="AL2933">
        <v>39.111091999999999</v>
      </c>
      <c r="AM2933" t="s">
        <v>993</v>
      </c>
      <c r="AN2933">
        <v>-121.032364</v>
      </c>
      <c r="AO2933">
        <v>25</v>
      </c>
      <c r="AP2933">
        <v>4400</v>
      </c>
      <c r="AQ2933" t="s">
        <v>131</v>
      </c>
      <c r="AR2933">
        <v>4</v>
      </c>
      <c r="AS2933">
        <v>84</v>
      </c>
      <c r="AT2933">
        <v>64</v>
      </c>
      <c r="BB2933" t="str">
        <f t="shared" si="1143"/>
        <v>1200</v>
      </c>
      <c r="BC2933">
        <v>1</v>
      </c>
      <c r="BD2933" t="str">
        <f t="shared" si="1144"/>
        <v xml:space="preserve">N52156  </v>
      </c>
      <c r="BE2933">
        <v>1</v>
      </c>
      <c r="BG2933">
        <v>0</v>
      </c>
      <c r="BH2933">
        <v>0</v>
      </c>
      <c r="BI2933">
        <v>0</v>
      </c>
      <c r="BJ2933">
        <v>4400</v>
      </c>
      <c r="BK2933">
        <v>0</v>
      </c>
      <c r="BL2933" t="s">
        <v>188</v>
      </c>
      <c r="BM2933">
        <v>1</v>
      </c>
      <c r="BN2933">
        <v>1</v>
      </c>
      <c r="BO2933">
        <v>0</v>
      </c>
      <c r="BP2933">
        <v>0</v>
      </c>
      <c r="BS2933">
        <v>0</v>
      </c>
      <c r="BT2933">
        <v>0</v>
      </c>
      <c r="BU2933">
        <v>0</v>
      </c>
      <c r="CE2933" t="str">
        <f t="shared" si="1161"/>
        <v>15:12:40.764</v>
      </c>
      <c r="CF2933">
        <v>764228500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5</v>
      </c>
      <c r="CY2933">
        <v>7</v>
      </c>
      <c r="CZ2933" t="s">
        <v>133</v>
      </c>
      <c r="DA2933">
        <v>275</v>
      </c>
      <c r="DB2933">
        <v>0</v>
      </c>
      <c r="DC2933" t="s">
        <v>134</v>
      </c>
      <c r="DD2933" t="s">
        <v>135</v>
      </c>
      <c r="DG2933">
        <v>3322193</v>
      </c>
      <c r="DI2933">
        <v>1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"05/01/2025 15:12:41.004"</f>
        <v>05/01/2025 15:12:41.004</v>
      </c>
      <c r="C2934" t="str">
        <f t="shared" si="1140"/>
        <v>FFDFD3C0</v>
      </c>
      <c r="D2934" t="s">
        <v>145</v>
      </c>
      <c r="E2934" t="str">
        <f>"05"</f>
        <v>05</v>
      </c>
      <c r="H2934">
        <v>47</v>
      </c>
      <c r="I2934" t="s">
        <v>146</v>
      </c>
      <c r="J2934" t="s">
        <v>138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R2934" t="s">
        <v>127</v>
      </c>
      <c r="S2934" t="str">
        <f t="shared" si="1160"/>
        <v>15:12:40.000</v>
      </c>
      <c r="T2934" t="str">
        <f t="shared" si="1160"/>
        <v>15:12:40.000</v>
      </c>
      <c r="U2934" t="str">
        <f t="shared" si="1142"/>
        <v>A68FCB</v>
      </c>
      <c r="V2934">
        <v>0</v>
      </c>
      <c r="W2934">
        <v>0</v>
      </c>
      <c r="X2934">
        <v>2</v>
      </c>
      <c r="Y2934">
        <v>0</v>
      </c>
      <c r="AA2934">
        <v>1</v>
      </c>
      <c r="AB2934">
        <v>8</v>
      </c>
      <c r="AC2934">
        <v>3</v>
      </c>
      <c r="AD2934">
        <v>0</v>
      </c>
      <c r="AE2934">
        <v>9</v>
      </c>
      <c r="AF2934" t="s">
        <v>138</v>
      </c>
      <c r="AG2934">
        <v>0</v>
      </c>
      <c r="AH2934">
        <v>3</v>
      </c>
      <c r="AI2934">
        <v>2</v>
      </c>
      <c r="AJ2934">
        <v>0</v>
      </c>
      <c r="AK2934" t="s">
        <v>992</v>
      </c>
      <c r="AL2934">
        <v>39.111091999999999</v>
      </c>
      <c r="AM2934" t="s">
        <v>993</v>
      </c>
      <c r="AN2934">
        <v>-121.032364</v>
      </c>
      <c r="AO2934">
        <v>25</v>
      </c>
      <c r="AP2934">
        <v>4400</v>
      </c>
      <c r="AQ2934" t="s">
        <v>131</v>
      </c>
      <c r="AR2934">
        <v>4</v>
      </c>
      <c r="AS2934">
        <v>84</v>
      </c>
      <c r="AT2934">
        <v>64</v>
      </c>
      <c r="BB2934" t="str">
        <f t="shared" si="1143"/>
        <v>1200</v>
      </c>
      <c r="BC2934">
        <v>1</v>
      </c>
      <c r="BD2934" t="str">
        <f t="shared" si="1144"/>
        <v xml:space="preserve">N52156  </v>
      </c>
      <c r="BE2934">
        <v>1</v>
      </c>
      <c r="BG2934">
        <v>0</v>
      </c>
      <c r="BH2934">
        <v>0</v>
      </c>
      <c r="BI2934">
        <v>0</v>
      </c>
      <c r="BJ2934">
        <v>4400</v>
      </c>
      <c r="BK2934">
        <v>0</v>
      </c>
      <c r="BL2934" t="s">
        <v>188</v>
      </c>
      <c r="BM2934">
        <v>1</v>
      </c>
      <c r="BN2934">
        <v>1</v>
      </c>
      <c r="BO2934">
        <v>0</v>
      </c>
      <c r="BP2934">
        <v>0</v>
      </c>
      <c r="BS2934">
        <v>0</v>
      </c>
      <c r="BT2934">
        <v>0</v>
      </c>
      <c r="BU2934">
        <v>0</v>
      </c>
      <c r="CE2934" t="str">
        <f t="shared" si="1161"/>
        <v>15:12:40.764</v>
      </c>
      <c r="CF2934">
        <v>764228500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5</v>
      </c>
      <c r="CY2934">
        <v>7</v>
      </c>
      <c r="CZ2934" t="s">
        <v>133</v>
      </c>
      <c r="DA2934">
        <v>275</v>
      </c>
      <c r="DB2934">
        <v>0</v>
      </c>
      <c r="DC2934" t="s">
        <v>134</v>
      </c>
      <c r="DD2934" t="s">
        <v>135</v>
      </c>
      <c r="DG2934">
        <v>3322193</v>
      </c>
      <c r="DI2934">
        <v>1</v>
      </c>
      <c r="DJ2934">
        <v>0</v>
      </c>
      <c r="DK2934">
        <v>1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"05/01/2025 15:12:41.014"</f>
        <v>05/01/2025 15:12:41.014</v>
      </c>
      <c r="C2935" t="str">
        <f t="shared" si="1140"/>
        <v>FFDFD3C0</v>
      </c>
      <c r="D2935" t="s">
        <v>136</v>
      </c>
      <c r="E2935" t="str">
        <f>"20"</f>
        <v>20</v>
      </c>
      <c r="H2935">
        <v>400</v>
      </c>
      <c r="I2935" t="s">
        <v>137</v>
      </c>
      <c r="J2935" t="s">
        <v>138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R2935" t="s">
        <v>127</v>
      </c>
      <c r="S2935" t="str">
        <f t="shared" si="1160"/>
        <v>15:12:40.000</v>
      </c>
      <c r="T2935" t="str">
        <f t="shared" si="1160"/>
        <v>15:12:40.000</v>
      </c>
      <c r="U2935" t="str">
        <f t="shared" si="1142"/>
        <v>A68FCB</v>
      </c>
      <c r="V2935">
        <v>0</v>
      </c>
      <c r="W2935">
        <v>0</v>
      </c>
      <c r="X2935">
        <v>2</v>
      </c>
      <c r="Y2935">
        <v>0</v>
      </c>
      <c r="AA2935">
        <v>1</v>
      </c>
      <c r="AB2935">
        <v>8</v>
      </c>
      <c r="AC2935">
        <v>3</v>
      </c>
      <c r="AD2935">
        <v>0</v>
      </c>
      <c r="AE2935">
        <v>9</v>
      </c>
      <c r="AF2935" t="s">
        <v>138</v>
      </c>
      <c r="AG2935">
        <v>0</v>
      </c>
      <c r="AH2935">
        <v>3</v>
      </c>
      <c r="AI2935">
        <v>2</v>
      </c>
      <c r="AJ2935">
        <v>0</v>
      </c>
      <c r="AK2935" t="s">
        <v>992</v>
      </c>
      <c r="AL2935">
        <v>39.111091999999999</v>
      </c>
      <c r="AM2935" t="s">
        <v>993</v>
      </c>
      <c r="AN2935">
        <v>-121.032364</v>
      </c>
      <c r="AO2935">
        <v>25</v>
      </c>
      <c r="AP2935">
        <v>4400</v>
      </c>
      <c r="AQ2935" t="s">
        <v>131</v>
      </c>
      <c r="AR2935">
        <v>4</v>
      </c>
      <c r="AS2935">
        <v>84</v>
      </c>
      <c r="AT2935">
        <v>64</v>
      </c>
      <c r="BB2935" t="str">
        <f t="shared" si="1143"/>
        <v>1200</v>
      </c>
      <c r="BC2935">
        <v>1</v>
      </c>
      <c r="BD2935" t="str">
        <f t="shared" si="1144"/>
        <v xml:space="preserve">N52156  </v>
      </c>
      <c r="BE2935">
        <v>1</v>
      </c>
      <c r="BG2935">
        <v>0</v>
      </c>
      <c r="BH2935">
        <v>0</v>
      </c>
      <c r="BI2935">
        <v>0</v>
      </c>
      <c r="BJ2935">
        <v>4400</v>
      </c>
      <c r="BK2935">
        <v>0</v>
      </c>
      <c r="BL2935" t="s">
        <v>188</v>
      </c>
      <c r="BM2935">
        <v>1</v>
      </c>
      <c r="BN2935">
        <v>1</v>
      </c>
      <c r="BO2935">
        <v>0</v>
      </c>
      <c r="BP2935">
        <v>0</v>
      </c>
      <c r="BS2935">
        <v>0</v>
      </c>
      <c r="BT2935">
        <v>0</v>
      </c>
      <c r="BU2935">
        <v>0</v>
      </c>
      <c r="CE2935" t="str">
        <f t="shared" si="1161"/>
        <v>15:12:40.764</v>
      </c>
      <c r="CF2935">
        <v>764228500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5</v>
      </c>
      <c r="CY2935">
        <v>7</v>
      </c>
      <c r="CZ2935" t="s">
        <v>133</v>
      </c>
      <c r="DA2935">
        <v>275</v>
      </c>
      <c r="DB2935">
        <v>0</v>
      </c>
      <c r="DC2935" t="s">
        <v>134</v>
      </c>
      <c r="DD2935" t="s">
        <v>135</v>
      </c>
      <c r="DG2935">
        <v>3322193</v>
      </c>
      <c r="DI2935">
        <v>1</v>
      </c>
      <c r="DJ2935">
        <v>0</v>
      </c>
      <c r="DK2935">
        <v>1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"05/01/2025 15:12:42.106"</f>
        <v>05/01/2025 15:12:42.106</v>
      </c>
      <c r="C2936" t="str">
        <f t="shared" si="1140"/>
        <v>FFDFD3C0</v>
      </c>
      <c r="D2936" t="s">
        <v>145</v>
      </c>
      <c r="E2936" t="str">
        <f>"05"</f>
        <v>05</v>
      </c>
      <c r="H2936">
        <v>47</v>
      </c>
      <c r="I2936" t="s">
        <v>146</v>
      </c>
      <c r="J2936" t="s">
        <v>138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R2936" t="s">
        <v>127</v>
      </c>
      <c r="S2936" t="str">
        <f t="shared" ref="S2936:T2941" si="1162">"15:12:41.000"</f>
        <v>15:12:41.000</v>
      </c>
      <c r="T2936" t="str">
        <f t="shared" si="1162"/>
        <v>15:12:41.000</v>
      </c>
      <c r="U2936" t="str">
        <f t="shared" si="1142"/>
        <v>A68FCB</v>
      </c>
      <c r="V2936">
        <v>0</v>
      </c>
      <c r="W2936">
        <v>0</v>
      </c>
      <c r="X2936">
        <v>2</v>
      </c>
      <c r="Y2936">
        <v>0</v>
      </c>
      <c r="AA2936">
        <v>1</v>
      </c>
      <c r="AB2936">
        <v>8</v>
      </c>
      <c r="AC2936">
        <v>3</v>
      </c>
      <c r="AD2936">
        <v>0</v>
      </c>
      <c r="AE2936">
        <v>9</v>
      </c>
      <c r="AF2936" t="s">
        <v>138</v>
      </c>
      <c r="AG2936">
        <v>0</v>
      </c>
      <c r="AH2936">
        <v>3</v>
      </c>
      <c r="AI2936">
        <v>2</v>
      </c>
      <c r="AJ2936">
        <v>0</v>
      </c>
      <c r="AK2936" t="s">
        <v>994</v>
      </c>
      <c r="AL2936">
        <v>39.111477999999998</v>
      </c>
      <c r="AM2936" t="s">
        <v>995</v>
      </c>
      <c r="AN2936">
        <v>-121.032343</v>
      </c>
      <c r="AO2936">
        <v>25</v>
      </c>
      <c r="AP2936">
        <v>4400</v>
      </c>
      <c r="AQ2936" t="s">
        <v>131</v>
      </c>
      <c r="AR2936">
        <v>4</v>
      </c>
      <c r="AS2936">
        <v>84</v>
      </c>
      <c r="AT2936">
        <v>0</v>
      </c>
      <c r="BB2936" t="str">
        <f t="shared" si="1143"/>
        <v>1200</v>
      </c>
      <c r="BC2936">
        <v>1</v>
      </c>
      <c r="BD2936" t="str">
        <f t="shared" si="1144"/>
        <v xml:space="preserve">N52156  </v>
      </c>
      <c r="BE2936">
        <v>1</v>
      </c>
      <c r="BG2936">
        <v>0</v>
      </c>
      <c r="BH2936">
        <v>0</v>
      </c>
      <c r="BI2936">
        <v>0</v>
      </c>
      <c r="BJ2936">
        <v>4425</v>
      </c>
      <c r="BK2936">
        <v>25</v>
      </c>
      <c r="BL2936" t="s">
        <v>188</v>
      </c>
      <c r="BM2936">
        <v>1</v>
      </c>
      <c r="BN2936">
        <v>1</v>
      </c>
      <c r="BO2936">
        <v>0</v>
      </c>
      <c r="BP2936">
        <v>0</v>
      </c>
      <c r="BS2936">
        <v>0</v>
      </c>
      <c r="BT2936">
        <v>0</v>
      </c>
      <c r="BU2936">
        <v>0</v>
      </c>
      <c r="CE2936" t="str">
        <f t="shared" ref="CE2936:CE2941" si="1163">"15:12:41.907"</f>
        <v>15:12:41.907</v>
      </c>
      <c r="CF2936">
        <v>907229195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5</v>
      </c>
      <c r="CY2936">
        <v>7</v>
      </c>
      <c r="CZ2936" t="s">
        <v>133</v>
      </c>
      <c r="DA2936">
        <v>275</v>
      </c>
      <c r="DB2936">
        <v>0</v>
      </c>
      <c r="DC2936" t="s">
        <v>134</v>
      </c>
      <c r="DD2936" t="s">
        <v>135</v>
      </c>
      <c r="DG2936">
        <v>3322200</v>
      </c>
      <c r="DI2936">
        <v>1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"05/01/2025 15:12:42.104"</f>
        <v>05/01/2025 15:12:42.104</v>
      </c>
      <c r="C2937" t="str">
        <f t="shared" si="1140"/>
        <v>FFDFD3C0</v>
      </c>
      <c r="D2937" t="s">
        <v>145</v>
      </c>
      <c r="E2937" t="str">
        <f>"09"</f>
        <v>09</v>
      </c>
      <c r="H2937">
        <v>51</v>
      </c>
      <c r="I2937" t="s">
        <v>147</v>
      </c>
      <c r="J2937" t="s">
        <v>138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R2937" t="s">
        <v>127</v>
      </c>
      <c r="S2937" t="str">
        <f t="shared" si="1162"/>
        <v>15:12:41.000</v>
      </c>
      <c r="T2937" t="str">
        <f t="shared" si="1162"/>
        <v>15:12:41.000</v>
      </c>
      <c r="U2937" t="str">
        <f t="shared" si="1142"/>
        <v>A68FCB</v>
      </c>
      <c r="V2937">
        <v>0</v>
      </c>
      <c r="W2937">
        <v>0</v>
      </c>
      <c r="X2937">
        <v>2</v>
      </c>
      <c r="Y2937">
        <v>0</v>
      </c>
      <c r="AA2937">
        <v>1</v>
      </c>
      <c r="AB2937">
        <v>8</v>
      </c>
      <c r="AC2937">
        <v>3</v>
      </c>
      <c r="AD2937">
        <v>0</v>
      </c>
      <c r="AE2937">
        <v>9</v>
      </c>
      <c r="AF2937" t="s">
        <v>138</v>
      </c>
      <c r="AG2937">
        <v>0</v>
      </c>
      <c r="AH2937">
        <v>3</v>
      </c>
      <c r="AI2937">
        <v>2</v>
      </c>
      <c r="AJ2937">
        <v>0</v>
      </c>
      <c r="AK2937" t="s">
        <v>994</v>
      </c>
      <c r="AL2937">
        <v>39.111477999999998</v>
      </c>
      <c r="AM2937" t="s">
        <v>995</v>
      </c>
      <c r="AN2937">
        <v>-121.032343</v>
      </c>
      <c r="AO2937">
        <v>25</v>
      </c>
      <c r="AP2937">
        <v>4400</v>
      </c>
      <c r="AQ2937" t="s">
        <v>131</v>
      </c>
      <c r="AR2937">
        <v>4</v>
      </c>
      <c r="AS2937">
        <v>84</v>
      </c>
      <c r="AT2937">
        <v>0</v>
      </c>
      <c r="BB2937" t="str">
        <f t="shared" si="1143"/>
        <v>1200</v>
      </c>
      <c r="BC2937">
        <v>1</v>
      </c>
      <c r="BD2937" t="str">
        <f t="shared" si="1144"/>
        <v xml:space="preserve">N52156  </v>
      </c>
      <c r="BE2937">
        <v>1</v>
      </c>
      <c r="BG2937">
        <v>0</v>
      </c>
      <c r="BH2937">
        <v>0</v>
      </c>
      <c r="BI2937">
        <v>0</v>
      </c>
      <c r="BJ2937">
        <v>4425</v>
      </c>
      <c r="BK2937">
        <v>25</v>
      </c>
      <c r="BL2937" t="s">
        <v>188</v>
      </c>
      <c r="BM2937">
        <v>1</v>
      </c>
      <c r="BN2937">
        <v>1</v>
      </c>
      <c r="BO2937">
        <v>0</v>
      </c>
      <c r="BP2937">
        <v>0</v>
      </c>
      <c r="BS2937">
        <v>0</v>
      </c>
      <c r="BT2937">
        <v>0</v>
      </c>
      <c r="BU2937">
        <v>0</v>
      </c>
      <c r="CE2937" t="str">
        <f t="shared" si="1163"/>
        <v>15:12:41.907</v>
      </c>
      <c r="CF2937">
        <v>907229195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5</v>
      </c>
      <c r="CY2937">
        <v>7</v>
      </c>
      <c r="CZ2937" t="s">
        <v>133</v>
      </c>
      <c r="DA2937">
        <v>275</v>
      </c>
      <c r="DB2937">
        <v>0</v>
      </c>
      <c r="DC2937" t="s">
        <v>134</v>
      </c>
      <c r="DD2937" t="s">
        <v>135</v>
      </c>
      <c r="DG2937">
        <v>3322200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"05/01/2025 15:12:42.115"</f>
        <v>05/01/2025 15:12:42.115</v>
      </c>
      <c r="C2938" t="str">
        <f t="shared" si="1140"/>
        <v>FFDFD3C0</v>
      </c>
      <c r="D2938" t="s">
        <v>136</v>
      </c>
      <c r="E2938" t="str">
        <f>"20"</f>
        <v>20</v>
      </c>
      <c r="H2938">
        <v>400</v>
      </c>
      <c r="I2938" t="s">
        <v>137</v>
      </c>
      <c r="J2938" t="s">
        <v>138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R2938" t="s">
        <v>127</v>
      </c>
      <c r="S2938" t="str">
        <f t="shared" si="1162"/>
        <v>15:12:41.000</v>
      </c>
      <c r="T2938" t="str">
        <f t="shared" si="1162"/>
        <v>15:12:41.000</v>
      </c>
      <c r="U2938" t="str">
        <f t="shared" si="1142"/>
        <v>A68FCB</v>
      </c>
      <c r="V2938">
        <v>0</v>
      </c>
      <c r="W2938">
        <v>0</v>
      </c>
      <c r="X2938">
        <v>2</v>
      </c>
      <c r="Y2938">
        <v>0</v>
      </c>
      <c r="AA2938">
        <v>1</v>
      </c>
      <c r="AB2938">
        <v>8</v>
      </c>
      <c r="AC2938">
        <v>3</v>
      </c>
      <c r="AD2938">
        <v>0</v>
      </c>
      <c r="AE2938">
        <v>9</v>
      </c>
      <c r="AF2938" t="s">
        <v>138</v>
      </c>
      <c r="AG2938">
        <v>0</v>
      </c>
      <c r="AH2938">
        <v>3</v>
      </c>
      <c r="AI2938">
        <v>2</v>
      </c>
      <c r="AJ2938">
        <v>0</v>
      </c>
      <c r="AK2938" t="s">
        <v>994</v>
      </c>
      <c r="AL2938">
        <v>39.111477999999998</v>
      </c>
      <c r="AM2938" t="s">
        <v>995</v>
      </c>
      <c r="AN2938">
        <v>-121.032343</v>
      </c>
      <c r="AO2938">
        <v>25</v>
      </c>
      <c r="AP2938">
        <v>4400</v>
      </c>
      <c r="AQ2938" t="s">
        <v>131</v>
      </c>
      <c r="AR2938">
        <v>4</v>
      </c>
      <c r="AS2938">
        <v>84</v>
      </c>
      <c r="AT2938">
        <v>0</v>
      </c>
      <c r="BB2938" t="str">
        <f t="shared" si="1143"/>
        <v>1200</v>
      </c>
      <c r="BC2938">
        <v>1</v>
      </c>
      <c r="BD2938" t="str">
        <f t="shared" si="1144"/>
        <v xml:space="preserve">N52156  </v>
      </c>
      <c r="BE2938">
        <v>1</v>
      </c>
      <c r="BG2938">
        <v>0</v>
      </c>
      <c r="BH2938">
        <v>0</v>
      </c>
      <c r="BI2938">
        <v>0</v>
      </c>
      <c r="BJ2938">
        <v>4425</v>
      </c>
      <c r="BK2938">
        <v>25</v>
      </c>
      <c r="BL2938" t="s">
        <v>188</v>
      </c>
      <c r="BM2938">
        <v>1</v>
      </c>
      <c r="BN2938">
        <v>1</v>
      </c>
      <c r="BO2938">
        <v>0</v>
      </c>
      <c r="BP2938">
        <v>0</v>
      </c>
      <c r="BS2938">
        <v>0</v>
      </c>
      <c r="BT2938">
        <v>0</v>
      </c>
      <c r="BU2938">
        <v>0</v>
      </c>
      <c r="CE2938" t="str">
        <f t="shared" si="1163"/>
        <v>15:12:41.907</v>
      </c>
      <c r="CF2938">
        <v>907229195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5</v>
      </c>
      <c r="CY2938">
        <v>7</v>
      </c>
      <c r="CZ2938" t="s">
        <v>133</v>
      </c>
      <c r="DA2938">
        <v>275</v>
      </c>
      <c r="DB2938">
        <v>0</v>
      </c>
      <c r="DC2938" t="s">
        <v>134</v>
      </c>
      <c r="DD2938" t="s">
        <v>135</v>
      </c>
      <c r="DG2938">
        <v>3322200</v>
      </c>
      <c r="DI2938">
        <v>1</v>
      </c>
      <c r="DJ2938">
        <v>0</v>
      </c>
      <c r="DK2938">
        <v>1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"05/01/2025 15:12:42.125"</f>
        <v>05/01/2025 15:12:42.125</v>
      </c>
      <c r="C2939" t="str">
        <f t="shared" si="1140"/>
        <v>FFDFD3C0</v>
      </c>
      <c r="D2939" t="s">
        <v>143</v>
      </c>
      <c r="E2939" t="str">
        <f>"05"</f>
        <v>05</v>
      </c>
      <c r="H2939">
        <v>172</v>
      </c>
      <c r="I2939" t="s">
        <v>141</v>
      </c>
      <c r="J2939" t="s">
        <v>144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R2939" t="s">
        <v>127</v>
      </c>
      <c r="S2939" t="str">
        <f t="shared" si="1162"/>
        <v>15:12:41.000</v>
      </c>
      <c r="T2939" t="str">
        <f t="shared" si="1162"/>
        <v>15:12:41.000</v>
      </c>
      <c r="U2939" t="str">
        <f t="shared" si="1142"/>
        <v>A68FCB</v>
      </c>
      <c r="V2939">
        <v>0</v>
      </c>
      <c r="W2939">
        <v>0</v>
      </c>
      <c r="X2939">
        <v>2</v>
      </c>
      <c r="Y2939">
        <v>0</v>
      </c>
      <c r="AA2939">
        <v>1</v>
      </c>
      <c r="AB2939">
        <v>8</v>
      </c>
      <c r="AC2939">
        <v>3</v>
      </c>
      <c r="AD2939">
        <v>0</v>
      </c>
      <c r="AE2939">
        <v>9</v>
      </c>
      <c r="AF2939" t="s">
        <v>138</v>
      </c>
      <c r="AG2939">
        <v>0</v>
      </c>
      <c r="AH2939">
        <v>3</v>
      </c>
      <c r="AI2939">
        <v>2</v>
      </c>
      <c r="AJ2939">
        <v>0</v>
      </c>
      <c r="AK2939" t="s">
        <v>994</v>
      </c>
      <c r="AL2939">
        <v>39.111477999999998</v>
      </c>
      <c r="AM2939" t="s">
        <v>995</v>
      </c>
      <c r="AN2939">
        <v>-121.032343</v>
      </c>
      <c r="AO2939">
        <v>25</v>
      </c>
      <c r="AP2939">
        <v>4400</v>
      </c>
      <c r="AQ2939" t="s">
        <v>131</v>
      </c>
      <c r="AR2939">
        <v>4</v>
      </c>
      <c r="AS2939">
        <v>84</v>
      </c>
      <c r="AT2939">
        <v>0</v>
      </c>
      <c r="BB2939" t="str">
        <f t="shared" si="1143"/>
        <v>1200</v>
      </c>
      <c r="BC2939">
        <v>1</v>
      </c>
      <c r="BD2939" t="str">
        <f t="shared" si="1144"/>
        <v xml:space="preserve">N52156  </v>
      </c>
      <c r="BE2939">
        <v>1</v>
      </c>
      <c r="BG2939">
        <v>0</v>
      </c>
      <c r="BH2939">
        <v>0</v>
      </c>
      <c r="BI2939">
        <v>0</v>
      </c>
      <c r="BJ2939">
        <v>4425</v>
      </c>
      <c r="BK2939">
        <v>25</v>
      </c>
      <c r="BL2939" t="s">
        <v>188</v>
      </c>
      <c r="BM2939">
        <v>1</v>
      </c>
      <c r="BN2939">
        <v>1</v>
      </c>
      <c r="BO2939">
        <v>0</v>
      </c>
      <c r="BP2939">
        <v>0</v>
      </c>
      <c r="BS2939">
        <v>0</v>
      </c>
      <c r="BT2939">
        <v>0</v>
      </c>
      <c r="BU2939">
        <v>0</v>
      </c>
      <c r="CE2939" t="str">
        <f t="shared" si="1163"/>
        <v>15:12:41.907</v>
      </c>
      <c r="CF2939">
        <v>907229195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5</v>
      </c>
      <c r="CY2939">
        <v>7</v>
      </c>
      <c r="CZ2939" t="s">
        <v>133</v>
      </c>
      <c r="DA2939">
        <v>275</v>
      </c>
      <c r="DB2939">
        <v>0</v>
      </c>
      <c r="DC2939" t="s">
        <v>134</v>
      </c>
      <c r="DD2939" t="s">
        <v>135</v>
      </c>
      <c r="DG2939">
        <v>3322200</v>
      </c>
      <c r="DI2939">
        <v>1</v>
      </c>
      <c r="DJ2939">
        <v>0</v>
      </c>
      <c r="DK2939">
        <v>1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"05/01/2025 15:12:42.142"</f>
        <v>05/01/2025 15:12:42.142</v>
      </c>
      <c r="C2940" t="str">
        <f t="shared" si="1140"/>
        <v>FFDFD3C0</v>
      </c>
      <c r="D2940" t="s">
        <v>124</v>
      </c>
      <c r="E2940" t="str">
        <f>"06"</f>
        <v>06</v>
      </c>
      <c r="F2940">
        <v>2006</v>
      </c>
      <c r="G2940" t="s">
        <v>125</v>
      </c>
      <c r="J2940" t="s">
        <v>126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R2940" t="s">
        <v>127</v>
      </c>
      <c r="S2940" t="str">
        <f t="shared" si="1162"/>
        <v>15:12:41.000</v>
      </c>
      <c r="T2940" t="str">
        <f t="shared" si="1162"/>
        <v>15:12:41.000</v>
      </c>
      <c r="U2940" t="str">
        <f t="shared" si="1142"/>
        <v>A68FCB</v>
      </c>
      <c r="V2940">
        <v>0</v>
      </c>
      <c r="W2940">
        <v>0</v>
      </c>
      <c r="X2940">
        <v>2</v>
      </c>
      <c r="Y2940">
        <v>0</v>
      </c>
      <c r="AA2940">
        <v>1</v>
      </c>
      <c r="AB2940">
        <v>8</v>
      </c>
      <c r="AC2940">
        <v>3</v>
      </c>
      <c r="AD2940">
        <v>0</v>
      </c>
      <c r="AE2940">
        <v>9</v>
      </c>
      <c r="AF2940" t="s">
        <v>138</v>
      </c>
      <c r="AG2940">
        <v>0</v>
      </c>
      <c r="AH2940">
        <v>3</v>
      </c>
      <c r="AI2940">
        <v>2</v>
      </c>
      <c r="AJ2940">
        <v>0</v>
      </c>
      <c r="AK2940" t="s">
        <v>994</v>
      </c>
      <c r="AL2940">
        <v>39.111477999999998</v>
      </c>
      <c r="AM2940" t="s">
        <v>995</v>
      </c>
      <c r="AN2940">
        <v>-121.032343</v>
      </c>
      <c r="AO2940">
        <v>25</v>
      </c>
      <c r="AP2940">
        <v>4400</v>
      </c>
      <c r="AQ2940" t="s">
        <v>131</v>
      </c>
      <c r="AR2940">
        <v>4</v>
      </c>
      <c r="AS2940">
        <v>84</v>
      </c>
      <c r="AT2940">
        <v>0</v>
      </c>
      <c r="BB2940" t="str">
        <f t="shared" si="1143"/>
        <v>1200</v>
      </c>
      <c r="BC2940">
        <v>1</v>
      </c>
      <c r="BD2940" t="str">
        <f t="shared" si="1144"/>
        <v xml:space="preserve">N52156  </v>
      </c>
      <c r="BE2940">
        <v>1</v>
      </c>
      <c r="BG2940">
        <v>0</v>
      </c>
      <c r="BH2940">
        <v>0</v>
      </c>
      <c r="BI2940">
        <v>0</v>
      </c>
      <c r="BJ2940">
        <v>4425</v>
      </c>
      <c r="BK2940">
        <v>25</v>
      </c>
      <c r="BL2940" t="s">
        <v>188</v>
      </c>
      <c r="BM2940">
        <v>1</v>
      </c>
      <c r="BN2940">
        <v>1</v>
      </c>
      <c r="BO2940">
        <v>0</v>
      </c>
      <c r="BP2940">
        <v>0</v>
      </c>
      <c r="BS2940">
        <v>0</v>
      </c>
      <c r="BT2940">
        <v>0</v>
      </c>
      <c r="BU2940">
        <v>0</v>
      </c>
      <c r="CE2940" t="str">
        <f t="shared" si="1163"/>
        <v>15:12:41.907</v>
      </c>
      <c r="CF2940">
        <v>907229195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5</v>
      </c>
      <c r="CY2940">
        <v>7</v>
      </c>
      <c r="CZ2940" t="s">
        <v>133</v>
      </c>
      <c r="DA2940">
        <v>275</v>
      </c>
      <c r="DB2940">
        <v>0</v>
      </c>
      <c r="DC2940" t="s">
        <v>134</v>
      </c>
      <c r="DD2940" t="s">
        <v>135</v>
      </c>
      <c r="DG2940">
        <v>3322200</v>
      </c>
      <c r="DI2940">
        <v>1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"05/01/2025 15:12:42.140"</f>
        <v>05/01/2025 15:12:42.140</v>
      </c>
      <c r="C2941" t="str">
        <f t="shared" si="1140"/>
        <v>FFDFD3C0</v>
      </c>
      <c r="D2941" t="s">
        <v>140</v>
      </c>
      <c r="E2941" t="str">
        <f>"13"</f>
        <v>13</v>
      </c>
      <c r="F2941">
        <v>1019</v>
      </c>
      <c r="G2941" t="s">
        <v>141</v>
      </c>
      <c r="J2941" t="s">
        <v>142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R2941" t="s">
        <v>127</v>
      </c>
      <c r="S2941" t="str">
        <f t="shared" si="1162"/>
        <v>15:12:41.000</v>
      </c>
      <c r="T2941" t="str">
        <f t="shared" si="1162"/>
        <v>15:12:41.000</v>
      </c>
      <c r="U2941" t="str">
        <f t="shared" si="1142"/>
        <v>A68FCB</v>
      </c>
      <c r="V2941">
        <v>0</v>
      </c>
      <c r="W2941">
        <v>0</v>
      </c>
      <c r="X2941">
        <v>2</v>
      </c>
      <c r="Y2941">
        <v>0</v>
      </c>
      <c r="AA2941">
        <v>1</v>
      </c>
      <c r="AB2941">
        <v>8</v>
      </c>
      <c r="AC2941">
        <v>3</v>
      </c>
      <c r="AD2941">
        <v>0</v>
      </c>
      <c r="AE2941">
        <v>9</v>
      </c>
      <c r="AF2941" t="s">
        <v>138</v>
      </c>
      <c r="AG2941">
        <v>0</v>
      </c>
      <c r="AH2941">
        <v>3</v>
      </c>
      <c r="AI2941">
        <v>2</v>
      </c>
      <c r="AJ2941">
        <v>0</v>
      </c>
      <c r="AK2941" t="s">
        <v>994</v>
      </c>
      <c r="AL2941">
        <v>39.111477999999998</v>
      </c>
      <c r="AM2941" t="s">
        <v>995</v>
      </c>
      <c r="AN2941">
        <v>-121.032343</v>
      </c>
      <c r="AO2941">
        <v>25</v>
      </c>
      <c r="AP2941">
        <v>4400</v>
      </c>
      <c r="AQ2941" t="s">
        <v>131</v>
      </c>
      <c r="AR2941">
        <v>4</v>
      </c>
      <c r="AS2941">
        <v>84</v>
      </c>
      <c r="AT2941">
        <v>0</v>
      </c>
      <c r="BB2941" t="str">
        <f t="shared" si="1143"/>
        <v>1200</v>
      </c>
      <c r="BC2941">
        <v>1</v>
      </c>
      <c r="BD2941" t="str">
        <f t="shared" si="1144"/>
        <v xml:space="preserve">N52156  </v>
      </c>
      <c r="BE2941">
        <v>1</v>
      </c>
      <c r="BG2941">
        <v>0</v>
      </c>
      <c r="BH2941">
        <v>0</v>
      </c>
      <c r="BI2941">
        <v>0</v>
      </c>
      <c r="BJ2941">
        <v>4425</v>
      </c>
      <c r="BK2941">
        <v>25</v>
      </c>
      <c r="BL2941" t="s">
        <v>188</v>
      </c>
      <c r="BM2941">
        <v>1</v>
      </c>
      <c r="BN2941">
        <v>1</v>
      </c>
      <c r="BO2941">
        <v>0</v>
      </c>
      <c r="BP2941">
        <v>0</v>
      </c>
      <c r="BS2941">
        <v>0</v>
      </c>
      <c r="BT2941">
        <v>0</v>
      </c>
      <c r="BU2941">
        <v>0</v>
      </c>
      <c r="CE2941" t="str">
        <f t="shared" si="1163"/>
        <v>15:12:41.907</v>
      </c>
      <c r="CF2941">
        <v>907229195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5</v>
      </c>
      <c r="CY2941">
        <v>7</v>
      </c>
      <c r="CZ2941" t="s">
        <v>133</v>
      </c>
      <c r="DA2941">
        <v>275</v>
      </c>
      <c r="DB2941">
        <v>0</v>
      </c>
      <c r="DC2941" t="s">
        <v>134</v>
      </c>
      <c r="DD2941" t="s">
        <v>135</v>
      </c>
      <c r="DG2941">
        <v>3322200</v>
      </c>
      <c r="DI2941">
        <v>1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"05/01/2025 15:12:43.142"</f>
        <v>05/01/2025 15:12:43.142</v>
      </c>
      <c r="C2942" t="str">
        <f t="shared" si="1140"/>
        <v>FFDFD3C0</v>
      </c>
      <c r="D2942" t="s">
        <v>140</v>
      </c>
      <c r="E2942" t="str">
        <f>"13"</f>
        <v>13</v>
      </c>
      <c r="F2942">
        <v>1019</v>
      </c>
      <c r="G2942" t="s">
        <v>141</v>
      </c>
      <c r="J2942" t="s">
        <v>142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R2942" t="s">
        <v>127</v>
      </c>
      <c r="S2942" t="str">
        <f t="shared" ref="S2942:T2947" si="1164">"15:12:42.000"</f>
        <v>15:12:42.000</v>
      </c>
      <c r="T2942" t="str">
        <f t="shared" si="1164"/>
        <v>15:12:42.000</v>
      </c>
      <c r="U2942" t="str">
        <f t="shared" si="1142"/>
        <v>A68FCB</v>
      </c>
      <c r="V2942">
        <v>0</v>
      </c>
      <c r="W2942">
        <v>0</v>
      </c>
      <c r="X2942">
        <v>2</v>
      </c>
      <c r="Y2942">
        <v>0</v>
      </c>
      <c r="AA2942">
        <v>1</v>
      </c>
      <c r="AB2942">
        <v>8</v>
      </c>
      <c r="AC2942">
        <v>3</v>
      </c>
      <c r="AD2942">
        <v>0</v>
      </c>
      <c r="AE2942">
        <v>9</v>
      </c>
      <c r="AF2942" t="s">
        <v>138</v>
      </c>
      <c r="AG2942">
        <v>0</v>
      </c>
      <c r="AH2942">
        <v>3</v>
      </c>
      <c r="AI2942">
        <v>2</v>
      </c>
      <c r="AJ2942">
        <v>0</v>
      </c>
      <c r="AK2942" t="s">
        <v>996</v>
      </c>
      <c r="AL2942">
        <v>39.111865000000002</v>
      </c>
      <c r="AM2942" t="s">
        <v>997</v>
      </c>
      <c r="AN2942">
        <v>-121.03230000000001</v>
      </c>
      <c r="AO2942">
        <v>25</v>
      </c>
      <c r="AP2942">
        <v>4400</v>
      </c>
      <c r="AQ2942" t="s">
        <v>131</v>
      </c>
      <c r="AR2942">
        <v>4</v>
      </c>
      <c r="AS2942">
        <v>84</v>
      </c>
      <c r="AT2942">
        <v>0</v>
      </c>
      <c r="BB2942" t="str">
        <f t="shared" si="1143"/>
        <v>1200</v>
      </c>
      <c r="BC2942">
        <v>1</v>
      </c>
      <c r="BD2942" t="str">
        <f t="shared" si="1144"/>
        <v xml:space="preserve">N52156  </v>
      </c>
      <c r="BE2942">
        <v>1</v>
      </c>
      <c r="BG2942">
        <v>0</v>
      </c>
      <c r="BH2942">
        <v>0</v>
      </c>
      <c r="BI2942">
        <v>0</v>
      </c>
      <c r="BJ2942">
        <v>4425</v>
      </c>
      <c r="BK2942">
        <v>25</v>
      </c>
      <c r="BL2942" t="s">
        <v>188</v>
      </c>
      <c r="BM2942">
        <v>1</v>
      </c>
      <c r="BN2942">
        <v>1</v>
      </c>
      <c r="BO2942">
        <v>0</v>
      </c>
      <c r="BP2942">
        <v>0</v>
      </c>
      <c r="BS2942">
        <v>0</v>
      </c>
      <c r="BT2942">
        <v>0</v>
      </c>
      <c r="BU2942">
        <v>0</v>
      </c>
      <c r="CE2942" t="str">
        <f t="shared" ref="CE2942:CE2947" si="1165">"15:12:42.913"</f>
        <v>15:12:42.913</v>
      </c>
      <c r="CF2942">
        <v>913479257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5</v>
      </c>
      <c r="CY2942">
        <v>7</v>
      </c>
      <c r="CZ2942" t="s">
        <v>133</v>
      </c>
      <c r="DA2942">
        <v>275</v>
      </c>
      <c r="DB2942">
        <v>0</v>
      </c>
      <c r="DC2942" t="s">
        <v>134</v>
      </c>
      <c r="DD2942" t="s">
        <v>135</v>
      </c>
      <c r="DG2942">
        <v>3322207</v>
      </c>
      <c r="DI2942">
        <v>1</v>
      </c>
      <c r="DJ2942">
        <v>0</v>
      </c>
      <c r="DK2942">
        <v>0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"05/01/2025 15:12:43.144"</f>
        <v>05/01/2025 15:12:43.144</v>
      </c>
      <c r="C2943" t="str">
        <f t="shared" si="1140"/>
        <v>FFDFD3C0</v>
      </c>
      <c r="D2943" t="s">
        <v>124</v>
      </c>
      <c r="E2943" t="str">
        <f>"06"</f>
        <v>06</v>
      </c>
      <c r="F2943">
        <v>2006</v>
      </c>
      <c r="G2943" t="s">
        <v>125</v>
      </c>
      <c r="J2943" t="s">
        <v>126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R2943" t="s">
        <v>127</v>
      </c>
      <c r="S2943" t="str">
        <f t="shared" si="1164"/>
        <v>15:12:42.000</v>
      </c>
      <c r="T2943" t="str">
        <f t="shared" si="1164"/>
        <v>15:12:42.000</v>
      </c>
      <c r="U2943" t="str">
        <f t="shared" si="1142"/>
        <v>A68FCB</v>
      </c>
      <c r="V2943">
        <v>0</v>
      </c>
      <c r="W2943">
        <v>0</v>
      </c>
      <c r="X2943">
        <v>2</v>
      </c>
      <c r="Y2943">
        <v>0</v>
      </c>
      <c r="AA2943">
        <v>1</v>
      </c>
      <c r="AB2943">
        <v>8</v>
      </c>
      <c r="AC2943">
        <v>3</v>
      </c>
      <c r="AD2943">
        <v>0</v>
      </c>
      <c r="AE2943">
        <v>9</v>
      </c>
      <c r="AF2943" t="s">
        <v>138</v>
      </c>
      <c r="AG2943">
        <v>0</v>
      </c>
      <c r="AH2943">
        <v>3</v>
      </c>
      <c r="AI2943">
        <v>2</v>
      </c>
      <c r="AJ2943">
        <v>0</v>
      </c>
      <c r="AK2943" t="s">
        <v>996</v>
      </c>
      <c r="AL2943">
        <v>39.111865000000002</v>
      </c>
      <c r="AM2943" t="s">
        <v>997</v>
      </c>
      <c r="AN2943">
        <v>-121.03230000000001</v>
      </c>
      <c r="AO2943">
        <v>25</v>
      </c>
      <c r="AP2943">
        <v>4400</v>
      </c>
      <c r="AQ2943" t="s">
        <v>131</v>
      </c>
      <c r="AR2943">
        <v>4</v>
      </c>
      <c r="AS2943">
        <v>84</v>
      </c>
      <c r="AT2943">
        <v>0</v>
      </c>
      <c r="BB2943" t="str">
        <f t="shared" si="1143"/>
        <v>1200</v>
      </c>
      <c r="BC2943">
        <v>1</v>
      </c>
      <c r="BD2943" t="str">
        <f t="shared" si="1144"/>
        <v xml:space="preserve">N52156  </v>
      </c>
      <c r="BE2943">
        <v>1</v>
      </c>
      <c r="BG2943">
        <v>0</v>
      </c>
      <c r="BH2943">
        <v>0</v>
      </c>
      <c r="BI2943">
        <v>0</v>
      </c>
      <c r="BJ2943">
        <v>4425</v>
      </c>
      <c r="BK2943">
        <v>25</v>
      </c>
      <c r="BL2943" t="s">
        <v>188</v>
      </c>
      <c r="BM2943">
        <v>1</v>
      </c>
      <c r="BN2943">
        <v>1</v>
      </c>
      <c r="BO2943">
        <v>0</v>
      </c>
      <c r="BP2943">
        <v>0</v>
      </c>
      <c r="BS2943">
        <v>0</v>
      </c>
      <c r="BT2943">
        <v>0</v>
      </c>
      <c r="BU2943">
        <v>0</v>
      </c>
      <c r="CE2943" t="str">
        <f t="shared" si="1165"/>
        <v>15:12:42.913</v>
      </c>
      <c r="CF2943">
        <v>913479257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5</v>
      </c>
      <c r="CY2943">
        <v>7</v>
      </c>
      <c r="CZ2943" t="s">
        <v>133</v>
      </c>
      <c r="DA2943">
        <v>275</v>
      </c>
      <c r="DB2943">
        <v>0</v>
      </c>
      <c r="DC2943" t="s">
        <v>134</v>
      </c>
      <c r="DD2943" t="s">
        <v>135</v>
      </c>
      <c r="DG2943">
        <v>3322207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"05/01/2025 15:12:43.158"</f>
        <v>05/01/2025 15:12:43.158</v>
      </c>
      <c r="C2944" t="str">
        <f t="shared" si="1140"/>
        <v>FFDFD3C0</v>
      </c>
      <c r="D2944" t="s">
        <v>145</v>
      </c>
      <c r="E2944" t="str">
        <f>"05"</f>
        <v>05</v>
      </c>
      <c r="H2944">
        <v>47</v>
      </c>
      <c r="I2944" t="s">
        <v>146</v>
      </c>
      <c r="J2944" t="s">
        <v>138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R2944" t="s">
        <v>127</v>
      </c>
      <c r="S2944" t="str">
        <f t="shared" si="1164"/>
        <v>15:12:42.000</v>
      </c>
      <c r="T2944" t="str">
        <f t="shared" si="1164"/>
        <v>15:12:42.000</v>
      </c>
      <c r="U2944" t="str">
        <f t="shared" si="1142"/>
        <v>A68FCB</v>
      </c>
      <c r="V2944">
        <v>0</v>
      </c>
      <c r="W2944">
        <v>0</v>
      </c>
      <c r="X2944">
        <v>2</v>
      </c>
      <c r="Y2944">
        <v>0</v>
      </c>
      <c r="AA2944">
        <v>1</v>
      </c>
      <c r="AB2944">
        <v>8</v>
      </c>
      <c r="AC2944">
        <v>3</v>
      </c>
      <c r="AD2944">
        <v>0</v>
      </c>
      <c r="AE2944">
        <v>9</v>
      </c>
      <c r="AF2944" t="s">
        <v>138</v>
      </c>
      <c r="AG2944">
        <v>0</v>
      </c>
      <c r="AH2944">
        <v>3</v>
      </c>
      <c r="AI2944">
        <v>2</v>
      </c>
      <c r="AJ2944">
        <v>0</v>
      </c>
      <c r="AK2944" t="s">
        <v>996</v>
      </c>
      <c r="AL2944">
        <v>39.111865000000002</v>
      </c>
      <c r="AM2944" t="s">
        <v>997</v>
      </c>
      <c r="AN2944">
        <v>-121.03230000000001</v>
      </c>
      <c r="AO2944">
        <v>25</v>
      </c>
      <c r="AP2944">
        <v>4400</v>
      </c>
      <c r="AQ2944" t="s">
        <v>131</v>
      </c>
      <c r="AR2944">
        <v>4</v>
      </c>
      <c r="AS2944">
        <v>84</v>
      </c>
      <c r="AT2944">
        <v>0</v>
      </c>
      <c r="BB2944" t="str">
        <f t="shared" si="1143"/>
        <v>1200</v>
      </c>
      <c r="BC2944">
        <v>1</v>
      </c>
      <c r="BD2944" t="str">
        <f t="shared" si="1144"/>
        <v xml:space="preserve">N52156  </v>
      </c>
      <c r="BE2944">
        <v>1</v>
      </c>
      <c r="BG2944">
        <v>0</v>
      </c>
      <c r="BH2944">
        <v>0</v>
      </c>
      <c r="BI2944">
        <v>0</v>
      </c>
      <c r="BJ2944">
        <v>4425</v>
      </c>
      <c r="BK2944">
        <v>25</v>
      </c>
      <c r="BL2944" t="s">
        <v>188</v>
      </c>
      <c r="BM2944">
        <v>1</v>
      </c>
      <c r="BN2944">
        <v>1</v>
      </c>
      <c r="BO2944">
        <v>0</v>
      </c>
      <c r="BP2944">
        <v>0</v>
      </c>
      <c r="BS2944">
        <v>0</v>
      </c>
      <c r="BT2944">
        <v>0</v>
      </c>
      <c r="BU2944">
        <v>0</v>
      </c>
      <c r="CE2944" t="str">
        <f t="shared" si="1165"/>
        <v>15:12:42.913</v>
      </c>
      <c r="CF2944">
        <v>913479257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5</v>
      </c>
      <c r="CY2944">
        <v>7</v>
      </c>
      <c r="CZ2944" t="s">
        <v>133</v>
      </c>
      <c r="DA2944">
        <v>275</v>
      </c>
      <c r="DB2944">
        <v>0</v>
      </c>
      <c r="DC2944" t="s">
        <v>134</v>
      </c>
      <c r="DD2944" t="s">
        <v>135</v>
      </c>
      <c r="DG2944">
        <v>3322207</v>
      </c>
      <c r="DI2944">
        <v>1</v>
      </c>
      <c r="DJ2944">
        <v>0</v>
      </c>
      <c r="DK2944">
        <v>1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>"05/01/2025 15:12:43.156"</f>
        <v>05/01/2025 15:12:43.156</v>
      </c>
      <c r="C2945" t="str">
        <f t="shared" si="1140"/>
        <v>FFDFD3C0</v>
      </c>
      <c r="D2945" t="s">
        <v>145</v>
      </c>
      <c r="E2945" t="str">
        <f>"09"</f>
        <v>09</v>
      </c>
      <c r="H2945">
        <v>51</v>
      </c>
      <c r="I2945" t="s">
        <v>147</v>
      </c>
      <c r="J2945" t="s">
        <v>138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R2945" t="s">
        <v>127</v>
      </c>
      <c r="S2945" t="str">
        <f t="shared" si="1164"/>
        <v>15:12:42.000</v>
      </c>
      <c r="T2945" t="str">
        <f t="shared" si="1164"/>
        <v>15:12:42.000</v>
      </c>
      <c r="U2945" t="str">
        <f t="shared" si="1142"/>
        <v>A68FCB</v>
      </c>
      <c r="V2945">
        <v>0</v>
      </c>
      <c r="W2945">
        <v>0</v>
      </c>
      <c r="X2945">
        <v>2</v>
      </c>
      <c r="Y2945">
        <v>0</v>
      </c>
      <c r="AA2945">
        <v>1</v>
      </c>
      <c r="AB2945">
        <v>8</v>
      </c>
      <c r="AC2945">
        <v>3</v>
      </c>
      <c r="AD2945">
        <v>0</v>
      </c>
      <c r="AE2945">
        <v>9</v>
      </c>
      <c r="AF2945" t="s">
        <v>138</v>
      </c>
      <c r="AG2945">
        <v>0</v>
      </c>
      <c r="AH2945">
        <v>3</v>
      </c>
      <c r="AI2945">
        <v>2</v>
      </c>
      <c r="AJ2945">
        <v>0</v>
      </c>
      <c r="AK2945" t="s">
        <v>996</v>
      </c>
      <c r="AL2945">
        <v>39.111865000000002</v>
      </c>
      <c r="AM2945" t="s">
        <v>997</v>
      </c>
      <c r="AN2945">
        <v>-121.03230000000001</v>
      </c>
      <c r="AO2945">
        <v>25</v>
      </c>
      <c r="AP2945">
        <v>4400</v>
      </c>
      <c r="AQ2945" t="s">
        <v>131</v>
      </c>
      <c r="AR2945">
        <v>4</v>
      </c>
      <c r="AS2945">
        <v>84</v>
      </c>
      <c r="AT2945">
        <v>0</v>
      </c>
      <c r="BB2945" t="str">
        <f t="shared" si="1143"/>
        <v>1200</v>
      </c>
      <c r="BC2945">
        <v>1</v>
      </c>
      <c r="BD2945" t="str">
        <f t="shared" si="1144"/>
        <v xml:space="preserve">N52156  </v>
      </c>
      <c r="BE2945">
        <v>1</v>
      </c>
      <c r="BG2945">
        <v>0</v>
      </c>
      <c r="BH2945">
        <v>0</v>
      </c>
      <c r="BI2945">
        <v>0</v>
      </c>
      <c r="BJ2945">
        <v>4425</v>
      </c>
      <c r="BK2945">
        <v>25</v>
      </c>
      <c r="BL2945" t="s">
        <v>188</v>
      </c>
      <c r="BM2945">
        <v>1</v>
      </c>
      <c r="BN2945">
        <v>1</v>
      </c>
      <c r="BO2945">
        <v>0</v>
      </c>
      <c r="BP2945">
        <v>0</v>
      </c>
      <c r="BS2945">
        <v>0</v>
      </c>
      <c r="BT2945">
        <v>0</v>
      </c>
      <c r="BU2945">
        <v>0</v>
      </c>
      <c r="CE2945" t="str">
        <f t="shared" si="1165"/>
        <v>15:12:42.913</v>
      </c>
      <c r="CF2945">
        <v>913479257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133</v>
      </c>
      <c r="DA2945">
        <v>275</v>
      </c>
      <c r="DB2945">
        <v>0</v>
      </c>
      <c r="DC2945" t="s">
        <v>134</v>
      </c>
      <c r="DD2945" t="s">
        <v>135</v>
      </c>
      <c r="DG2945">
        <v>3322207</v>
      </c>
      <c r="DI2945">
        <v>1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>"05/01/2025 15:12:43.167"</f>
        <v>05/01/2025 15:12:43.167</v>
      </c>
      <c r="C2946" t="str">
        <f t="shared" ref="C2946:C3009" si="1166">"FFDFD3C0"</f>
        <v>FFDFD3C0</v>
      </c>
      <c r="D2946" t="s">
        <v>136</v>
      </c>
      <c r="E2946" t="str">
        <f>"20"</f>
        <v>20</v>
      </c>
      <c r="H2946">
        <v>400</v>
      </c>
      <c r="I2946" t="s">
        <v>137</v>
      </c>
      <c r="J2946" t="s">
        <v>138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R2946" t="s">
        <v>127</v>
      </c>
      <c r="S2946" t="str">
        <f t="shared" si="1164"/>
        <v>15:12:42.000</v>
      </c>
      <c r="T2946" t="str">
        <f t="shared" si="1164"/>
        <v>15:12:42.000</v>
      </c>
      <c r="U2946" t="str">
        <f t="shared" ref="U2946:U3009" si="1167">"A68FCB"</f>
        <v>A68FCB</v>
      </c>
      <c r="V2946">
        <v>0</v>
      </c>
      <c r="W2946">
        <v>0</v>
      </c>
      <c r="X2946">
        <v>2</v>
      </c>
      <c r="Y2946">
        <v>0</v>
      </c>
      <c r="AA2946">
        <v>1</v>
      </c>
      <c r="AB2946">
        <v>8</v>
      </c>
      <c r="AC2946">
        <v>3</v>
      </c>
      <c r="AD2946">
        <v>0</v>
      </c>
      <c r="AE2946">
        <v>9</v>
      </c>
      <c r="AF2946" t="s">
        <v>138</v>
      </c>
      <c r="AG2946">
        <v>0</v>
      </c>
      <c r="AH2946">
        <v>3</v>
      </c>
      <c r="AI2946">
        <v>2</v>
      </c>
      <c r="AJ2946">
        <v>0</v>
      </c>
      <c r="AK2946" t="s">
        <v>996</v>
      </c>
      <c r="AL2946">
        <v>39.111865000000002</v>
      </c>
      <c r="AM2946" t="s">
        <v>997</v>
      </c>
      <c r="AN2946">
        <v>-121.03230000000001</v>
      </c>
      <c r="AO2946">
        <v>25</v>
      </c>
      <c r="AP2946">
        <v>4400</v>
      </c>
      <c r="AQ2946" t="s">
        <v>131</v>
      </c>
      <c r="AR2946">
        <v>4</v>
      </c>
      <c r="AS2946">
        <v>84</v>
      </c>
      <c r="AT2946">
        <v>0</v>
      </c>
      <c r="BB2946" t="str">
        <f t="shared" ref="BB2946:BB3009" si="1168">"1200"</f>
        <v>1200</v>
      </c>
      <c r="BC2946">
        <v>1</v>
      </c>
      <c r="BD2946" t="str">
        <f t="shared" ref="BD2946:BD3009" si="1169">"N52156  "</f>
        <v xml:space="preserve">N52156  </v>
      </c>
      <c r="BE2946">
        <v>1</v>
      </c>
      <c r="BG2946">
        <v>0</v>
      </c>
      <c r="BH2946">
        <v>0</v>
      </c>
      <c r="BI2946">
        <v>0</v>
      </c>
      <c r="BJ2946">
        <v>4425</v>
      </c>
      <c r="BK2946">
        <v>25</v>
      </c>
      <c r="BL2946" t="s">
        <v>188</v>
      </c>
      <c r="BM2946">
        <v>1</v>
      </c>
      <c r="BN2946">
        <v>1</v>
      </c>
      <c r="BO2946">
        <v>0</v>
      </c>
      <c r="BP2946">
        <v>0</v>
      </c>
      <c r="BS2946">
        <v>0</v>
      </c>
      <c r="BT2946">
        <v>0</v>
      </c>
      <c r="BU2946">
        <v>0</v>
      </c>
      <c r="CE2946" t="str">
        <f t="shared" si="1165"/>
        <v>15:12:42.913</v>
      </c>
      <c r="CF2946">
        <v>913479257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133</v>
      </c>
      <c r="DA2946">
        <v>275</v>
      </c>
      <c r="DB2946">
        <v>0</v>
      </c>
      <c r="DC2946" t="s">
        <v>134</v>
      </c>
      <c r="DD2946" t="s">
        <v>135</v>
      </c>
      <c r="DG2946">
        <v>3322207</v>
      </c>
      <c r="DI2946">
        <v>1</v>
      </c>
      <c r="DJ2946">
        <v>0</v>
      </c>
      <c r="DK2946">
        <v>1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>"05/01/2025 15:12:43.176"</f>
        <v>05/01/2025 15:12:43.176</v>
      </c>
      <c r="C2947" t="str">
        <f t="shared" si="1166"/>
        <v>FFDFD3C0</v>
      </c>
      <c r="D2947" t="s">
        <v>143</v>
      </c>
      <c r="E2947" t="str">
        <f>"05"</f>
        <v>05</v>
      </c>
      <c r="H2947">
        <v>172</v>
      </c>
      <c r="I2947" t="s">
        <v>141</v>
      </c>
      <c r="J2947" t="s">
        <v>144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R2947" t="s">
        <v>127</v>
      </c>
      <c r="S2947" t="str">
        <f t="shared" si="1164"/>
        <v>15:12:42.000</v>
      </c>
      <c r="T2947" t="str">
        <f t="shared" si="1164"/>
        <v>15:12:42.000</v>
      </c>
      <c r="U2947" t="str">
        <f t="shared" si="1167"/>
        <v>A68FCB</v>
      </c>
      <c r="V2947">
        <v>0</v>
      </c>
      <c r="W2947">
        <v>0</v>
      </c>
      <c r="X2947">
        <v>2</v>
      </c>
      <c r="Y2947">
        <v>0</v>
      </c>
      <c r="AA2947">
        <v>1</v>
      </c>
      <c r="AB2947">
        <v>8</v>
      </c>
      <c r="AC2947">
        <v>3</v>
      </c>
      <c r="AD2947">
        <v>0</v>
      </c>
      <c r="AE2947">
        <v>9</v>
      </c>
      <c r="AF2947" t="s">
        <v>138</v>
      </c>
      <c r="AG2947">
        <v>0</v>
      </c>
      <c r="AH2947">
        <v>3</v>
      </c>
      <c r="AI2947">
        <v>2</v>
      </c>
      <c r="AJ2947">
        <v>0</v>
      </c>
      <c r="AK2947" t="s">
        <v>996</v>
      </c>
      <c r="AL2947">
        <v>39.111865000000002</v>
      </c>
      <c r="AM2947" t="s">
        <v>997</v>
      </c>
      <c r="AN2947">
        <v>-121.03230000000001</v>
      </c>
      <c r="AO2947">
        <v>25</v>
      </c>
      <c r="AP2947">
        <v>4400</v>
      </c>
      <c r="AQ2947" t="s">
        <v>131</v>
      </c>
      <c r="AR2947">
        <v>4</v>
      </c>
      <c r="AS2947">
        <v>84</v>
      </c>
      <c r="AT2947">
        <v>0</v>
      </c>
      <c r="BB2947" t="str">
        <f t="shared" si="1168"/>
        <v>1200</v>
      </c>
      <c r="BC2947">
        <v>1</v>
      </c>
      <c r="BD2947" t="str">
        <f t="shared" si="1169"/>
        <v xml:space="preserve">N52156  </v>
      </c>
      <c r="BE2947">
        <v>1</v>
      </c>
      <c r="BG2947">
        <v>0</v>
      </c>
      <c r="BH2947">
        <v>0</v>
      </c>
      <c r="BI2947">
        <v>0</v>
      </c>
      <c r="BJ2947">
        <v>4425</v>
      </c>
      <c r="BK2947">
        <v>25</v>
      </c>
      <c r="BL2947" t="s">
        <v>188</v>
      </c>
      <c r="BM2947">
        <v>1</v>
      </c>
      <c r="BN2947">
        <v>1</v>
      </c>
      <c r="BO2947">
        <v>0</v>
      </c>
      <c r="BP2947">
        <v>0</v>
      </c>
      <c r="BS2947">
        <v>0</v>
      </c>
      <c r="BT2947">
        <v>0</v>
      </c>
      <c r="BU2947">
        <v>0</v>
      </c>
      <c r="CE2947" t="str">
        <f t="shared" si="1165"/>
        <v>15:12:42.913</v>
      </c>
      <c r="CF2947">
        <v>913479257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133</v>
      </c>
      <c r="DA2947">
        <v>275</v>
      </c>
      <c r="DB2947">
        <v>0</v>
      </c>
      <c r="DC2947" t="s">
        <v>134</v>
      </c>
      <c r="DD2947" t="s">
        <v>135</v>
      </c>
      <c r="DG2947">
        <v>3322207</v>
      </c>
      <c r="DI2947">
        <v>1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>"05/01/2025 15:12:43.693"</f>
        <v>05/01/2025 15:12:43.693</v>
      </c>
      <c r="C2948" t="str">
        <f t="shared" si="1166"/>
        <v>FFDFD3C0</v>
      </c>
      <c r="D2948" t="s">
        <v>140</v>
      </c>
      <c r="E2948" t="str">
        <f>"13"</f>
        <v>13</v>
      </c>
      <c r="F2948">
        <v>1019</v>
      </c>
      <c r="G2948" t="s">
        <v>141</v>
      </c>
      <c r="J2948" t="s">
        <v>142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R2948" t="s">
        <v>127</v>
      </c>
      <c r="S2948" t="str">
        <f t="shared" ref="S2948:T2953" si="1170">"15:12:43.000"</f>
        <v>15:12:43.000</v>
      </c>
      <c r="T2948" t="str">
        <f t="shared" si="1170"/>
        <v>15:12:43.000</v>
      </c>
      <c r="U2948" t="str">
        <f t="shared" si="1167"/>
        <v>A68FCB</v>
      </c>
      <c r="V2948">
        <v>0</v>
      </c>
      <c r="W2948">
        <v>0</v>
      </c>
      <c r="X2948">
        <v>2</v>
      </c>
      <c r="Y2948">
        <v>0</v>
      </c>
      <c r="AA2948">
        <v>1</v>
      </c>
      <c r="AB2948">
        <v>8</v>
      </c>
      <c r="AC2948">
        <v>3</v>
      </c>
      <c r="AD2948">
        <v>0</v>
      </c>
      <c r="AE2948">
        <v>9</v>
      </c>
      <c r="AF2948" t="s">
        <v>138</v>
      </c>
      <c r="AG2948">
        <v>0</v>
      </c>
      <c r="AH2948">
        <v>3</v>
      </c>
      <c r="AI2948">
        <v>2</v>
      </c>
      <c r="AJ2948">
        <v>0</v>
      </c>
      <c r="AK2948" t="s">
        <v>998</v>
      </c>
      <c r="AL2948">
        <v>39.112251000000001</v>
      </c>
      <c r="AM2948" t="s">
        <v>999</v>
      </c>
      <c r="AN2948">
        <v>-121.032257</v>
      </c>
      <c r="AO2948">
        <v>25</v>
      </c>
      <c r="AP2948">
        <v>4400</v>
      </c>
      <c r="AQ2948" t="s">
        <v>131</v>
      </c>
      <c r="AR2948">
        <v>3</v>
      </c>
      <c r="AS2948">
        <v>84</v>
      </c>
      <c r="AT2948">
        <v>0</v>
      </c>
      <c r="BB2948" t="str">
        <f t="shared" si="1168"/>
        <v>1200</v>
      </c>
      <c r="BC2948">
        <v>1</v>
      </c>
      <c r="BD2948" t="str">
        <f t="shared" si="1169"/>
        <v xml:space="preserve">N52156  </v>
      </c>
      <c r="BE2948">
        <v>1</v>
      </c>
      <c r="BG2948">
        <v>0</v>
      </c>
      <c r="BH2948">
        <v>0</v>
      </c>
      <c r="BI2948">
        <v>0</v>
      </c>
      <c r="BJ2948">
        <v>4425</v>
      </c>
      <c r="BK2948">
        <v>25</v>
      </c>
      <c r="BL2948" t="s">
        <v>188</v>
      </c>
      <c r="BM2948">
        <v>1</v>
      </c>
      <c r="BN2948">
        <v>1</v>
      </c>
      <c r="BO2948">
        <v>0</v>
      </c>
      <c r="BP2948">
        <v>0</v>
      </c>
      <c r="BS2948">
        <v>0</v>
      </c>
      <c r="BT2948">
        <v>0</v>
      </c>
      <c r="BU2948">
        <v>0</v>
      </c>
      <c r="CE2948" t="str">
        <f t="shared" ref="CE2948:CE2953" si="1171">"15:12:43.457"</f>
        <v>15:12:43.457</v>
      </c>
      <c r="CF2948">
        <v>457478167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133</v>
      </c>
      <c r="DA2948">
        <v>275</v>
      </c>
      <c r="DB2948">
        <v>0</v>
      </c>
      <c r="DC2948" t="s">
        <v>134</v>
      </c>
      <c r="DD2948" t="s">
        <v>135</v>
      </c>
      <c r="DG2948">
        <v>3322212</v>
      </c>
      <c r="DI2948">
        <v>1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>"05/01/2025 15:12:43.694"</f>
        <v>05/01/2025 15:12:43.694</v>
      </c>
      <c r="C2949" t="str">
        <f t="shared" si="1166"/>
        <v>FFDFD3C0</v>
      </c>
      <c r="D2949" t="s">
        <v>124</v>
      </c>
      <c r="E2949" t="str">
        <f>"06"</f>
        <v>06</v>
      </c>
      <c r="F2949">
        <v>2006</v>
      </c>
      <c r="G2949" t="s">
        <v>125</v>
      </c>
      <c r="J2949" t="s">
        <v>126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R2949" t="s">
        <v>127</v>
      </c>
      <c r="S2949" t="str">
        <f t="shared" si="1170"/>
        <v>15:12:43.000</v>
      </c>
      <c r="T2949" t="str">
        <f t="shared" si="1170"/>
        <v>15:12:43.000</v>
      </c>
      <c r="U2949" t="str">
        <f t="shared" si="1167"/>
        <v>A68FCB</v>
      </c>
      <c r="V2949">
        <v>0</v>
      </c>
      <c r="W2949">
        <v>0</v>
      </c>
      <c r="X2949">
        <v>2</v>
      </c>
      <c r="Y2949">
        <v>0</v>
      </c>
      <c r="AA2949">
        <v>1</v>
      </c>
      <c r="AB2949">
        <v>8</v>
      </c>
      <c r="AC2949">
        <v>3</v>
      </c>
      <c r="AD2949">
        <v>0</v>
      </c>
      <c r="AE2949">
        <v>9</v>
      </c>
      <c r="AF2949" t="s">
        <v>138</v>
      </c>
      <c r="AG2949">
        <v>0</v>
      </c>
      <c r="AH2949">
        <v>3</v>
      </c>
      <c r="AI2949">
        <v>2</v>
      </c>
      <c r="AJ2949">
        <v>0</v>
      </c>
      <c r="AK2949" t="s">
        <v>998</v>
      </c>
      <c r="AL2949">
        <v>39.112251000000001</v>
      </c>
      <c r="AM2949" t="s">
        <v>999</v>
      </c>
      <c r="AN2949">
        <v>-121.032257</v>
      </c>
      <c r="AO2949">
        <v>25</v>
      </c>
      <c r="AP2949">
        <v>4400</v>
      </c>
      <c r="AQ2949" t="s">
        <v>131</v>
      </c>
      <c r="AR2949">
        <v>3</v>
      </c>
      <c r="AS2949">
        <v>84</v>
      </c>
      <c r="AT2949">
        <v>0</v>
      </c>
      <c r="BB2949" t="str">
        <f t="shared" si="1168"/>
        <v>1200</v>
      </c>
      <c r="BC2949">
        <v>1</v>
      </c>
      <c r="BD2949" t="str">
        <f t="shared" si="1169"/>
        <v xml:space="preserve">N52156  </v>
      </c>
      <c r="BE2949">
        <v>1</v>
      </c>
      <c r="BG2949">
        <v>0</v>
      </c>
      <c r="BH2949">
        <v>0</v>
      </c>
      <c r="BI2949">
        <v>0</v>
      </c>
      <c r="BJ2949">
        <v>4425</v>
      </c>
      <c r="BK2949">
        <v>25</v>
      </c>
      <c r="BL2949" t="s">
        <v>188</v>
      </c>
      <c r="BM2949">
        <v>1</v>
      </c>
      <c r="BN2949">
        <v>1</v>
      </c>
      <c r="BO2949">
        <v>0</v>
      </c>
      <c r="BP2949">
        <v>0</v>
      </c>
      <c r="BS2949">
        <v>0</v>
      </c>
      <c r="BT2949">
        <v>0</v>
      </c>
      <c r="BU2949">
        <v>0</v>
      </c>
      <c r="CE2949" t="str">
        <f t="shared" si="1171"/>
        <v>15:12:43.457</v>
      </c>
      <c r="CF2949">
        <v>457478167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5</v>
      </c>
      <c r="CY2949">
        <v>7</v>
      </c>
      <c r="CZ2949" t="s">
        <v>133</v>
      </c>
      <c r="DA2949">
        <v>275</v>
      </c>
      <c r="DB2949">
        <v>0</v>
      </c>
      <c r="DC2949" t="s">
        <v>134</v>
      </c>
      <c r="DD2949" t="s">
        <v>135</v>
      </c>
      <c r="DG2949">
        <v>3322212</v>
      </c>
      <c r="DI2949">
        <v>1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>"05/01/2025 15:12:43.707"</f>
        <v>05/01/2025 15:12:43.707</v>
      </c>
      <c r="C2950" t="str">
        <f t="shared" si="1166"/>
        <v>FFDFD3C0</v>
      </c>
      <c r="D2950" t="s">
        <v>145</v>
      </c>
      <c r="E2950" t="str">
        <f>"09"</f>
        <v>09</v>
      </c>
      <c r="H2950">
        <v>51</v>
      </c>
      <c r="I2950" t="s">
        <v>147</v>
      </c>
      <c r="J2950" t="s">
        <v>138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R2950" t="s">
        <v>127</v>
      </c>
      <c r="S2950" t="str">
        <f t="shared" si="1170"/>
        <v>15:12:43.000</v>
      </c>
      <c r="T2950" t="str">
        <f t="shared" si="1170"/>
        <v>15:12:43.000</v>
      </c>
      <c r="U2950" t="str">
        <f t="shared" si="1167"/>
        <v>A68FCB</v>
      </c>
      <c r="V2950">
        <v>0</v>
      </c>
      <c r="W2950">
        <v>0</v>
      </c>
      <c r="X2950">
        <v>2</v>
      </c>
      <c r="Y2950">
        <v>0</v>
      </c>
      <c r="AA2950">
        <v>1</v>
      </c>
      <c r="AB2950">
        <v>8</v>
      </c>
      <c r="AC2950">
        <v>3</v>
      </c>
      <c r="AD2950">
        <v>0</v>
      </c>
      <c r="AE2950">
        <v>9</v>
      </c>
      <c r="AF2950" t="s">
        <v>138</v>
      </c>
      <c r="AG2950">
        <v>0</v>
      </c>
      <c r="AH2950">
        <v>3</v>
      </c>
      <c r="AI2950">
        <v>2</v>
      </c>
      <c r="AJ2950">
        <v>0</v>
      </c>
      <c r="AK2950" t="s">
        <v>998</v>
      </c>
      <c r="AL2950">
        <v>39.112251000000001</v>
      </c>
      <c r="AM2950" t="s">
        <v>999</v>
      </c>
      <c r="AN2950">
        <v>-121.032257</v>
      </c>
      <c r="AO2950">
        <v>25</v>
      </c>
      <c r="AP2950">
        <v>4400</v>
      </c>
      <c r="AQ2950" t="s">
        <v>131</v>
      </c>
      <c r="AR2950">
        <v>3</v>
      </c>
      <c r="AS2950">
        <v>84</v>
      </c>
      <c r="AT2950">
        <v>0</v>
      </c>
      <c r="BB2950" t="str">
        <f t="shared" si="1168"/>
        <v>1200</v>
      </c>
      <c r="BC2950">
        <v>1</v>
      </c>
      <c r="BD2950" t="str">
        <f t="shared" si="1169"/>
        <v xml:space="preserve">N52156  </v>
      </c>
      <c r="BE2950">
        <v>1</v>
      </c>
      <c r="BG2950">
        <v>0</v>
      </c>
      <c r="BH2950">
        <v>0</v>
      </c>
      <c r="BI2950">
        <v>0</v>
      </c>
      <c r="BJ2950">
        <v>4425</v>
      </c>
      <c r="BK2950">
        <v>25</v>
      </c>
      <c r="BL2950" t="s">
        <v>188</v>
      </c>
      <c r="BM2950">
        <v>1</v>
      </c>
      <c r="BN2950">
        <v>1</v>
      </c>
      <c r="BO2950">
        <v>0</v>
      </c>
      <c r="BP2950">
        <v>0</v>
      </c>
      <c r="BS2950">
        <v>0</v>
      </c>
      <c r="BT2950">
        <v>0</v>
      </c>
      <c r="BU2950">
        <v>0</v>
      </c>
      <c r="CE2950" t="str">
        <f t="shared" si="1171"/>
        <v>15:12:43.457</v>
      </c>
      <c r="CF2950">
        <v>457478167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5</v>
      </c>
      <c r="CY2950">
        <v>7</v>
      </c>
      <c r="CZ2950" t="s">
        <v>133</v>
      </c>
      <c r="DA2950">
        <v>275</v>
      </c>
      <c r="DB2950">
        <v>0</v>
      </c>
      <c r="DC2950" t="s">
        <v>134</v>
      </c>
      <c r="DD2950" t="s">
        <v>135</v>
      </c>
      <c r="DG2950">
        <v>3322212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>"05/01/2025 15:12:43.708"</f>
        <v>05/01/2025 15:12:43.708</v>
      </c>
      <c r="C2951" t="str">
        <f t="shared" si="1166"/>
        <v>FFDFD3C0</v>
      </c>
      <c r="D2951" t="s">
        <v>145</v>
      </c>
      <c r="E2951" t="str">
        <f>"05"</f>
        <v>05</v>
      </c>
      <c r="H2951">
        <v>47</v>
      </c>
      <c r="I2951" t="s">
        <v>146</v>
      </c>
      <c r="J2951" t="s">
        <v>138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R2951" t="s">
        <v>127</v>
      </c>
      <c r="S2951" t="str">
        <f t="shared" si="1170"/>
        <v>15:12:43.000</v>
      </c>
      <c r="T2951" t="str">
        <f t="shared" si="1170"/>
        <v>15:12:43.000</v>
      </c>
      <c r="U2951" t="str">
        <f t="shared" si="1167"/>
        <v>A68FCB</v>
      </c>
      <c r="V2951">
        <v>0</v>
      </c>
      <c r="W2951">
        <v>0</v>
      </c>
      <c r="X2951">
        <v>2</v>
      </c>
      <c r="Y2951">
        <v>0</v>
      </c>
      <c r="AA2951">
        <v>1</v>
      </c>
      <c r="AB2951">
        <v>8</v>
      </c>
      <c r="AC2951">
        <v>3</v>
      </c>
      <c r="AD2951">
        <v>0</v>
      </c>
      <c r="AE2951">
        <v>9</v>
      </c>
      <c r="AF2951" t="s">
        <v>138</v>
      </c>
      <c r="AG2951">
        <v>0</v>
      </c>
      <c r="AH2951">
        <v>3</v>
      </c>
      <c r="AI2951">
        <v>2</v>
      </c>
      <c r="AJ2951">
        <v>0</v>
      </c>
      <c r="AK2951" t="s">
        <v>998</v>
      </c>
      <c r="AL2951">
        <v>39.112251000000001</v>
      </c>
      <c r="AM2951" t="s">
        <v>999</v>
      </c>
      <c r="AN2951">
        <v>-121.032257</v>
      </c>
      <c r="AO2951">
        <v>25</v>
      </c>
      <c r="AP2951">
        <v>4400</v>
      </c>
      <c r="AQ2951" t="s">
        <v>131</v>
      </c>
      <c r="AR2951">
        <v>3</v>
      </c>
      <c r="AS2951">
        <v>84</v>
      </c>
      <c r="AT2951">
        <v>0</v>
      </c>
      <c r="BB2951" t="str">
        <f t="shared" si="1168"/>
        <v>1200</v>
      </c>
      <c r="BC2951">
        <v>1</v>
      </c>
      <c r="BD2951" t="str">
        <f t="shared" si="1169"/>
        <v xml:space="preserve">N52156  </v>
      </c>
      <c r="BE2951">
        <v>1</v>
      </c>
      <c r="BG2951">
        <v>0</v>
      </c>
      <c r="BH2951">
        <v>0</v>
      </c>
      <c r="BI2951">
        <v>0</v>
      </c>
      <c r="BJ2951">
        <v>4425</v>
      </c>
      <c r="BK2951">
        <v>25</v>
      </c>
      <c r="BL2951" t="s">
        <v>188</v>
      </c>
      <c r="BM2951">
        <v>1</v>
      </c>
      <c r="BN2951">
        <v>1</v>
      </c>
      <c r="BO2951">
        <v>0</v>
      </c>
      <c r="BP2951">
        <v>0</v>
      </c>
      <c r="BS2951">
        <v>0</v>
      </c>
      <c r="BT2951">
        <v>0</v>
      </c>
      <c r="BU2951">
        <v>0</v>
      </c>
      <c r="CE2951" t="str">
        <f t="shared" si="1171"/>
        <v>15:12:43.457</v>
      </c>
      <c r="CF2951">
        <v>457478167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5</v>
      </c>
      <c r="CY2951">
        <v>7</v>
      </c>
      <c r="CZ2951" t="s">
        <v>133</v>
      </c>
      <c r="DA2951">
        <v>275</v>
      </c>
      <c r="DB2951">
        <v>0</v>
      </c>
      <c r="DC2951" t="s">
        <v>134</v>
      </c>
      <c r="DD2951" t="s">
        <v>135</v>
      </c>
      <c r="DG2951">
        <v>3322212</v>
      </c>
      <c r="DI2951">
        <v>1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>"05/01/2025 15:12:43.719"</f>
        <v>05/01/2025 15:12:43.719</v>
      </c>
      <c r="C2952" t="str">
        <f t="shared" si="1166"/>
        <v>FFDFD3C0</v>
      </c>
      <c r="D2952" t="s">
        <v>136</v>
      </c>
      <c r="E2952" t="str">
        <f>"20"</f>
        <v>20</v>
      </c>
      <c r="H2952">
        <v>400</v>
      </c>
      <c r="I2952" t="s">
        <v>137</v>
      </c>
      <c r="J2952" t="s">
        <v>138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R2952" t="s">
        <v>127</v>
      </c>
      <c r="S2952" t="str">
        <f t="shared" si="1170"/>
        <v>15:12:43.000</v>
      </c>
      <c r="T2952" t="str">
        <f t="shared" si="1170"/>
        <v>15:12:43.000</v>
      </c>
      <c r="U2952" t="str">
        <f t="shared" si="1167"/>
        <v>A68FCB</v>
      </c>
      <c r="V2952">
        <v>0</v>
      </c>
      <c r="W2952">
        <v>0</v>
      </c>
      <c r="X2952">
        <v>2</v>
      </c>
      <c r="Y2952">
        <v>0</v>
      </c>
      <c r="AA2952">
        <v>1</v>
      </c>
      <c r="AB2952">
        <v>8</v>
      </c>
      <c r="AC2952">
        <v>3</v>
      </c>
      <c r="AD2952">
        <v>0</v>
      </c>
      <c r="AE2952">
        <v>9</v>
      </c>
      <c r="AF2952" t="s">
        <v>138</v>
      </c>
      <c r="AG2952">
        <v>0</v>
      </c>
      <c r="AH2952">
        <v>3</v>
      </c>
      <c r="AI2952">
        <v>2</v>
      </c>
      <c r="AJ2952">
        <v>0</v>
      </c>
      <c r="AK2952" t="s">
        <v>998</v>
      </c>
      <c r="AL2952">
        <v>39.112251000000001</v>
      </c>
      <c r="AM2952" t="s">
        <v>999</v>
      </c>
      <c r="AN2952">
        <v>-121.032257</v>
      </c>
      <c r="AO2952">
        <v>25</v>
      </c>
      <c r="AP2952">
        <v>4400</v>
      </c>
      <c r="AQ2952" t="s">
        <v>131</v>
      </c>
      <c r="AR2952">
        <v>3</v>
      </c>
      <c r="AS2952">
        <v>84</v>
      </c>
      <c r="AT2952">
        <v>0</v>
      </c>
      <c r="BB2952" t="str">
        <f t="shared" si="1168"/>
        <v>1200</v>
      </c>
      <c r="BC2952">
        <v>1</v>
      </c>
      <c r="BD2952" t="str">
        <f t="shared" si="1169"/>
        <v xml:space="preserve">N52156  </v>
      </c>
      <c r="BE2952">
        <v>1</v>
      </c>
      <c r="BG2952">
        <v>0</v>
      </c>
      <c r="BH2952">
        <v>0</v>
      </c>
      <c r="BI2952">
        <v>0</v>
      </c>
      <c r="BJ2952">
        <v>4425</v>
      </c>
      <c r="BK2952">
        <v>25</v>
      </c>
      <c r="BL2952" t="s">
        <v>188</v>
      </c>
      <c r="BM2952">
        <v>1</v>
      </c>
      <c r="BN2952">
        <v>1</v>
      </c>
      <c r="BO2952">
        <v>0</v>
      </c>
      <c r="BP2952">
        <v>0</v>
      </c>
      <c r="BS2952">
        <v>0</v>
      </c>
      <c r="BT2952">
        <v>0</v>
      </c>
      <c r="BU2952">
        <v>0</v>
      </c>
      <c r="CE2952" t="str">
        <f t="shared" si="1171"/>
        <v>15:12:43.457</v>
      </c>
      <c r="CF2952">
        <v>457478167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133</v>
      </c>
      <c r="DA2952">
        <v>275</v>
      </c>
      <c r="DB2952">
        <v>0</v>
      </c>
      <c r="DC2952" t="s">
        <v>134</v>
      </c>
      <c r="DD2952" t="s">
        <v>135</v>
      </c>
      <c r="DG2952">
        <v>3322212</v>
      </c>
      <c r="DI2952">
        <v>1</v>
      </c>
      <c r="DJ2952">
        <v>0</v>
      </c>
      <c r="DK2952">
        <v>1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>"05/01/2025 15:12:43.727"</f>
        <v>05/01/2025 15:12:43.727</v>
      </c>
      <c r="C2953" t="str">
        <f t="shared" si="1166"/>
        <v>FFDFD3C0</v>
      </c>
      <c r="D2953" t="s">
        <v>143</v>
      </c>
      <c r="E2953" t="str">
        <f>"05"</f>
        <v>05</v>
      </c>
      <c r="H2953">
        <v>172</v>
      </c>
      <c r="I2953" t="s">
        <v>141</v>
      </c>
      <c r="J2953" t="s">
        <v>144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R2953" t="s">
        <v>127</v>
      </c>
      <c r="S2953" t="str">
        <f t="shared" si="1170"/>
        <v>15:12:43.000</v>
      </c>
      <c r="T2953" t="str">
        <f t="shared" si="1170"/>
        <v>15:12:43.000</v>
      </c>
      <c r="U2953" t="str">
        <f t="shared" si="1167"/>
        <v>A68FCB</v>
      </c>
      <c r="V2953">
        <v>0</v>
      </c>
      <c r="W2953">
        <v>0</v>
      </c>
      <c r="X2953">
        <v>2</v>
      </c>
      <c r="Y2953">
        <v>0</v>
      </c>
      <c r="AA2953">
        <v>1</v>
      </c>
      <c r="AB2953">
        <v>8</v>
      </c>
      <c r="AC2953">
        <v>3</v>
      </c>
      <c r="AD2953">
        <v>0</v>
      </c>
      <c r="AE2953">
        <v>9</v>
      </c>
      <c r="AF2953" t="s">
        <v>138</v>
      </c>
      <c r="AG2953">
        <v>0</v>
      </c>
      <c r="AH2953">
        <v>3</v>
      </c>
      <c r="AI2953">
        <v>2</v>
      </c>
      <c r="AJ2953">
        <v>0</v>
      </c>
      <c r="AK2953" t="s">
        <v>998</v>
      </c>
      <c r="AL2953">
        <v>39.112251000000001</v>
      </c>
      <c r="AM2953" t="s">
        <v>999</v>
      </c>
      <c r="AN2953">
        <v>-121.032257</v>
      </c>
      <c r="AO2953">
        <v>25</v>
      </c>
      <c r="AP2953">
        <v>4400</v>
      </c>
      <c r="AQ2953" t="s">
        <v>131</v>
      </c>
      <c r="AR2953">
        <v>3</v>
      </c>
      <c r="AS2953">
        <v>84</v>
      </c>
      <c r="AT2953">
        <v>0</v>
      </c>
      <c r="BB2953" t="str">
        <f t="shared" si="1168"/>
        <v>1200</v>
      </c>
      <c r="BC2953">
        <v>1</v>
      </c>
      <c r="BD2953" t="str">
        <f t="shared" si="1169"/>
        <v xml:space="preserve">N52156  </v>
      </c>
      <c r="BE2953">
        <v>1</v>
      </c>
      <c r="BG2953">
        <v>0</v>
      </c>
      <c r="BH2953">
        <v>0</v>
      </c>
      <c r="BI2953">
        <v>0</v>
      </c>
      <c r="BJ2953">
        <v>4425</v>
      </c>
      <c r="BK2953">
        <v>25</v>
      </c>
      <c r="BL2953" t="s">
        <v>188</v>
      </c>
      <c r="BM2953">
        <v>1</v>
      </c>
      <c r="BN2953">
        <v>1</v>
      </c>
      <c r="BO2953">
        <v>0</v>
      </c>
      <c r="BP2953">
        <v>0</v>
      </c>
      <c r="BS2953">
        <v>0</v>
      </c>
      <c r="BT2953">
        <v>0</v>
      </c>
      <c r="BU2953">
        <v>0</v>
      </c>
      <c r="CE2953" t="str">
        <f t="shared" si="1171"/>
        <v>15:12:43.457</v>
      </c>
      <c r="CF2953">
        <v>457478167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5</v>
      </c>
      <c r="CY2953">
        <v>7</v>
      </c>
      <c r="CZ2953" t="s">
        <v>133</v>
      </c>
      <c r="DA2953">
        <v>275</v>
      </c>
      <c r="DB2953">
        <v>0</v>
      </c>
      <c r="DC2953" t="s">
        <v>134</v>
      </c>
      <c r="DD2953" t="s">
        <v>135</v>
      </c>
      <c r="DG2953">
        <v>3322212</v>
      </c>
      <c r="DI2953">
        <v>1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>"05/01/2025 15:12:44.870"</f>
        <v>05/01/2025 15:12:44.870</v>
      </c>
      <c r="C2954" t="str">
        <f t="shared" si="1166"/>
        <v>FFDFD3C0</v>
      </c>
      <c r="D2954" t="s">
        <v>136</v>
      </c>
      <c r="E2954" t="str">
        <f>"20"</f>
        <v>20</v>
      </c>
      <c r="H2954">
        <v>400</v>
      </c>
      <c r="I2954" t="s">
        <v>137</v>
      </c>
      <c r="J2954" t="s">
        <v>138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R2954" t="s">
        <v>127</v>
      </c>
      <c r="S2954" t="str">
        <f t="shared" ref="S2954:T2959" si="1172">"15:12:44.000"</f>
        <v>15:12:44.000</v>
      </c>
      <c r="T2954" t="str">
        <f t="shared" si="1172"/>
        <v>15:12:44.000</v>
      </c>
      <c r="U2954" t="str">
        <f t="shared" si="1167"/>
        <v>A68FCB</v>
      </c>
      <c r="V2954">
        <v>0</v>
      </c>
      <c r="W2954">
        <v>0</v>
      </c>
      <c r="X2954">
        <v>2</v>
      </c>
      <c r="Y2954">
        <v>0</v>
      </c>
      <c r="AA2954">
        <v>1</v>
      </c>
      <c r="AB2954">
        <v>8</v>
      </c>
      <c r="AC2954">
        <v>3</v>
      </c>
      <c r="AD2954">
        <v>0</v>
      </c>
      <c r="AE2954">
        <v>9</v>
      </c>
      <c r="AF2954" t="s">
        <v>138</v>
      </c>
      <c r="AG2954">
        <v>0</v>
      </c>
      <c r="AH2954">
        <v>3</v>
      </c>
      <c r="AI2954">
        <v>2</v>
      </c>
      <c r="AJ2954">
        <v>0</v>
      </c>
      <c r="AK2954" t="s">
        <v>1000</v>
      </c>
      <c r="AL2954">
        <v>39.112636999999999</v>
      </c>
      <c r="AM2954" t="s">
        <v>1001</v>
      </c>
      <c r="AN2954">
        <v>-121.032236</v>
      </c>
      <c r="AO2954">
        <v>25</v>
      </c>
      <c r="AP2954">
        <v>4400</v>
      </c>
      <c r="AQ2954" t="s">
        <v>131</v>
      </c>
      <c r="AR2954">
        <v>3</v>
      </c>
      <c r="AS2954">
        <v>84</v>
      </c>
      <c r="AT2954">
        <v>0</v>
      </c>
      <c r="BB2954" t="str">
        <f t="shared" si="1168"/>
        <v>1200</v>
      </c>
      <c r="BC2954">
        <v>1</v>
      </c>
      <c r="BD2954" t="str">
        <f t="shared" si="1169"/>
        <v xml:space="preserve">N52156  </v>
      </c>
      <c r="BE2954">
        <v>1</v>
      </c>
      <c r="BG2954">
        <v>0</v>
      </c>
      <c r="BH2954">
        <v>0</v>
      </c>
      <c r="BI2954">
        <v>0</v>
      </c>
      <c r="BJ2954">
        <v>4425</v>
      </c>
      <c r="BK2954">
        <v>25</v>
      </c>
      <c r="BL2954" t="s">
        <v>188</v>
      </c>
      <c r="BM2954">
        <v>1</v>
      </c>
      <c r="BN2954">
        <v>1</v>
      </c>
      <c r="BO2954">
        <v>0</v>
      </c>
      <c r="BP2954">
        <v>0</v>
      </c>
      <c r="BS2954">
        <v>0</v>
      </c>
      <c r="BT2954">
        <v>0</v>
      </c>
      <c r="BU2954">
        <v>0</v>
      </c>
      <c r="CE2954" t="str">
        <f t="shared" ref="CE2954:CE2959" si="1173">"15:12:44.673"</f>
        <v>15:12:44.673</v>
      </c>
      <c r="CF2954">
        <v>672728815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5</v>
      </c>
      <c r="CY2954">
        <v>7</v>
      </c>
      <c r="CZ2954" t="s">
        <v>133</v>
      </c>
      <c r="DA2954">
        <v>275</v>
      </c>
      <c r="DB2954">
        <v>0</v>
      </c>
      <c r="DC2954" t="s">
        <v>134</v>
      </c>
      <c r="DD2954" t="s">
        <v>135</v>
      </c>
      <c r="DG2954">
        <v>3322218</v>
      </c>
      <c r="DI2954">
        <v>1</v>
      </c>
      <c r="DJ2954">
        <v>0</v>
      </c>
      <c r="DK2954">
        <v>0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>"05/01/2025 15:12:44.879"</f>
        <v>05/01/2025 15:12:44.879</v>
      </c>
      <c r="C2955" t="str">
        <f t="shared" si="1166"/>
        <v>FFDFD3C0</v>
      </c>
      <c r="D2955" t="s">
        <v>143</v>
      </c>
      <c r="E2955" t="str">
        <f>"05"</f>
        <v>05</v>
      </c>
      <c r="H2955">
        <v>172</v>
      </c>
      <c r="I2955" t="s">
        <v>141</v>
      </c>
      <c r="J2955" t="s">
        <v>144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R2955" t="s">
        <v>127</v>
      </c>
      <c r="S2955" t="str">
        <f t="shared" si="1172"/>
        <v>15:12:44.000</v>
      </c>
      <c r="T2955" t="str">
        <f t="shared" si="1172"/>
        <v>15:12:44.000</v>
      </c>
      <c r="U2955" t="str">
        <f t="shared" si="1167"/>
        <v>A68FCB</v>
      </c>
      <c r="V2955">
        <v>0</v>
      </c>
      <c r="W2955">
        <v>0</v>
      </c>
      <c r="X2955">
        <v>2</v>
      </c>
      <c r="Y2955">
        <v>0</v>
      </c>
      <c r="AA2955">
        <v>1</v>
      </c>
      <c r="AB2955">
        <v>8</v>
      </c>
      <c r="AC2955">
        <v>3</v>
      </c>
      <c r="AD2955">
        <v>0</v>
      </c>
      <c r="AE2955">
        <v>9</v>
      </c>
      <c r="AF2955" t="s">
        <v>138</v>
      </c>
      <c r="AG2955">
        <v>0</v>
      </c>
      <c r="AH2955">
        <v>3</v>
      </c>
      <c r="AI2955">
        <v>2</v>
      </c>
      <c r="AJ2955">
        <v>0</v>
      </c>
      <c r="AK2955" t="s">
        <v>1000</v>
      </c>
      <c r="AL2955">
        <v>39.112636999999999</v>
      </c>
      <c r="AM2955" t="s">
        <v>1001</v>
      </c>
      <c r="AN2955">
        <v>-121.032236</v>
      </c>
      <c r="AO2955">
        <v>25</v>
      </c>
      <c r="AP2955">
        <v>4400</v>
      </c>
      <c r="AQ2955" t="s">
        <v>131</v>
      </c>
      <c r="AR2955">
        <v>3</v>
      </c>
      <c r="AS2955">
        <v>84</v>
      </c>
      <c r="AT2955">
        <v>0</v>
      </c>
      <c r="BB2955" t="str">
        <f t="shared" si="1168"/>
        <v>1200</v>
      </c>
      <c r="BC2955">
        <v>1</v>
      </c>
      <c r="BD2955" t="str">
        <f t="shared" si="1169"/>
        <v xml:space="preserve">N52156  </v>
      </c>
      <c r="BE2955">
        <v>1</v>
      </c>
      <c r="BG2955">
        <v>0</v>
      </c>
      <c r="BH2955">
        <v>0</v>
      </c>
      <c r="BI2955">
        <v>0</v>
      </c>
      <c r="BJ2955">
        <v>4425</v>
      </c>
      <c r="BK2955">
        <v>25</v>
      </c>
      <c r="BL2955" t="s">
        <v>188</v>
      </c>
      <c r="BM2955">
        <v>1</v>
      </c>
      <c r="BN2955">
        <v>1</v>
      </c>
      <c r="BO2955">
        <v>0</v>
      </c>
      <c r="BP2955">
        <v>0</v>
      </c>
      <c r="BS2955">
        <v>0</v>
      </c>
      <c r="BT2955">
        <v>0</v>
      </c>
      <c r="BU2955">
        <v>0</v>
      </c>
      <c r="CE2955" t="str">
        <f t="shared" si="1173"/>
        <v>15:12:44.673</v>
      </c>
      <c r="CF2955">
        <v>672728815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133</v>
      </c>
      <c r="DA2955">
        <v>275</v>
      </c>
      <c r="DB2955">
        <v>0</v>
      </c>
      <c r="DC2955" t="s">
        <v>134</v>
      </c>
      <c r="DD2955" t="s">
        <v>135</v>
      </c>
      <c r="DG2955">
        <v>3322218</v>
      </c>
      <c r="DI2955">
        <v>1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>"05/01/2025 15:12:44.895"</f>
        <v>05/01/2025 15:12:44.895</v>
      </c>
      <c r="C2956" t="str">
        <f t="shared" si="1166"/>
        <v>FFDFD3C0</v>
      </c>
      <c r="D2956" t="s">
        <v>140</v>
      </c>
      <c r="E2956" t="str">
        <f>"13"</f>
        <v>13</v>
      </c>
      <c r="F2956">
        <v>1019</v>
      </c>
      <c r="G2956" t="s">
        <v>141</v>
      </c>
      <c r="J2956" t="s">
        <v>142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R2956" t="s">
        <v>127</v>
      </c>
      <c r="S2956" t="str">
        <f t="shared" si="1172"/>
        <v>15:12:44.000</v>
      </c>
      <c r="T2956" t="str">
        <f t="shared" si="1172"/>
        <v>15:12:44.000</v>
      </c>
      <c r="U2956" t="str">
        <f t="shared" si="1167"/>
        <v>A68FCB</v>
      </c>
      <c r="V2956">
        <v>0</v>
      </c>
      <c r="W2956">
        <v>0</v>
      </c>
      <c r="X2956">
        <v>2</v>
      </c>
      <c r="Y2956">
        <v>0</v>
      </c>
      <c r="AA2956">
        <v>1</v>
      </c>
      <c r="AB2956">
        <v>8</v>
      </c>
      <c r="AC2956">
        <v>3</v>
      </c>
      <c r="AD2956">
        <v>0</v>
      </c>
      <c r="AE2956">
        <v>9</v>
      </c>
      <c r="AF2956" t="s">
        <v>138</v>
      </c>
      <c r="AG2956">
        <v>0</v>
      </c>
      <c r="AH2956">
        <v>3</v>
      </c>
      <c r="AI2956">
        <v>2</v>
      </c>
      <c r="AJ2956">
        <v>0</v>
      </c>
      <c r="AK2956" t="s">
        <v>1000</v>
      </c>
      <c r="AL2956">
        <v>39.112636999999999</v>
      </c>
      <c r="AM2956" t="s">
        <v>1001</v>
      </c>
      <c r="AN2956">
        <v>-121.032236</v>
      </c>
      <c r="AO2956">
        <v>25</v>
      </c>
      <c r="AP2956">
        <v>4400</v>
      </c>
      <c r="AQ2956" t="s">
        <v>131</v>
      </c>
      <c r="AR2956">
        <v>3</v>
      </c>
      <c r="AS2956">
        <v>84</v>
      </c>
      <c r="AT2956">
        <v>0</v>
      </c>
      <c r="BB2956" t="str">
        <f t="shared" si="1168"/>
        <v>1200</v>
      </c>
      <c r="BC2956">
        <v>1</v>
      </c>
      <c r="BD2956" t="str">
        <f t="shared" si="1169"/>
        <v xml:space="preserve">N52156  </v>
      </c>
      <c r="BE2956">
        <v>1</v>
      </c>
      <c r="BG2956">
        <v>0</v>
      </c>
      <c r="BH2956">
        <v>0</v>
      </c>
      <c r="BI2956">
        <v>0</v>
      </c>
      <c r="BJ2956">
        <v>4425</v>
      </c>
      <c r="BK2956">
        <v>25</v>
      </c>
      <c r="BL2956" t="s">
        <v>188</v>
      </c>
      <c r="BM2956">
        <v>1</v>
      </c>
      <c r="BN2956">
        <v>1</v>
      </c>
      <c r="BO2956">
        <v>0</v>
      </c>
      <c r="BP2956">
        <v>0</v>
      </c>
      <c r="BS2956">
        <v>0</v>
      </c>
      <c r="BT2956">
        <v>0</v>
      </c>
      <c r="BU2956">
        <v>0</v>
      </c>
      <c r="CE2956" t="str">
        <f t="shared" si="1173"/>
        <v>15:12:44.673</v>
      </c>
      <c r="CF2956">
        <v>672728815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5</v>
      </c>
      <c r="CY2956">
        <v>7</v>
      </c>
      <c r="CZ2956" t="s">
        <v>133</v>
      </c>
      <c r="DA2956">
        <v>275</v>
      </c>
      <c r="DB2956">
        <v>0</v>
      </c>
      <c r="DC2956" t="s">
        <v>134</v>
      </c>
      <c r="DD2956" t="s">
        <v>135</v>
      </c>
      <c r="DG2956">
        <v>3322218</v>
      </c>
      <c r="DI2956">
        <v>1</v>
      </c>
      <c r="DJ2956">
        <v>0</v>
      </c>
      <c r="DK2956">
        <v>1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>"05/01/2025 15:12:44.897"</f>
        <v>05/01/2025 15:12:44.897</v>
      </c>
      <c r="C2957" t="str">
        <f t="shared" si="1166"/>
        <v>FFDFD3C0</v>
      </c>
      <c r="D2957" t="s">
        <v>124</v>
      </c>
      <c r="E2957" t="str">
        <f>"06"</f>
        <v>06</v>
      </c>
      <c r="F2957">
        <v>2006</v>
      </c>
      <c r="G2957" t="s">
        <v>125</v>
      </c>
      <c r="J2957" t="s">
        <v>126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R2957" t="s">
        <v>127</v>
      </c>
      <c r="S2957" t="str">
        <f t="shared" si="1172"/>
        <v>15:12:44.000</v>
      </c>
      <c r="T2957" t="str">
        <f t="shared" si="1172"/>
        <v>15:12:44.000</v>
      </c>
      <c r="U2957" t="str">
        <f t="shared" si="1167"/>
        <v>A68FCB</v>
      </c>
      <c r="V2957">
        <v>0</v>
      </c>
      <c r="W2957">
        <v>0</v>
      </c>
      <c r="X2957">
        <v>2</v>
      </c>
      <c r="Y2957">
        <v>0</v>
      </c>
      <c r="AA2957">
        <v>1</v>
      </c>
      <c r="AB2957">
        <v>8</v>
      </c>
      <c r="AC2957">
        <v>3</v>
      </c>
      <c r="AD2957">
        <v>0</v>
      </c>
      <c r="AE2957">
        <v>9</v>
      </c>
      <c r="AF2957" t="s">
        <v>138</v>
      </c>
      <c r="AG2957">
        <v>0</v>
      </c>
      <c r="AH2957">
        <v>3</v>
      </c>
      <c r="AI2957">
        <v>2</v>
      </c>
      <c r="AJ2957">
        <v>0</v>
      </c>
      <c r="AK2957" t="s">
        <v>1000</v>
      </c>
      <c r="AL2957">
        <v>39.112636999999999</v>
      </c>
      <c r="AM2957" t="s">
        <v>1001</v>
      </c>
      <c r="AN2957">
        <v>-121.032236</v>
      </c>
      <c r="AO2957">
        <v>25</v>
      </c>
      <c r="AP2957">
        <v>4400</v>
      </c>
      <c r="AQ2957" t="s">
        <v>131</v>
      </c>
      <c r="AR2957">
        <v>3</v>
      </c>
      <c r="AS2957">
        <v>84</v>
      </c>
      <c r="AT2957">
        <v>0</v>
      </c>
      <c r="BB2957" t="str">
        <f t="shared" si="1168"/>
        <v>1200</v>
      </c>
      <c r="BC2957">
        <v>1</v>
      </c>
      <c r="BD2957" t="str">
        <f t="shared" si="1169"/>
        <v xml:space="preserve">N52156  </v>
      </c>
      <c r="BE2957">
        <v>1</v>
      </c>
      <c r="BG2957">
        <v>0</v>
      </c>
      <c r="BH2957">
        <v>0</v>
      </c>
      <c r="BI2957">
        <v>0</v>
      </c>
      <c r="BJ2957">
        <v>4425</v>
      </c>
      <c r="BK2957">
        <v>25</v>
      </c>
      <c r="BL2957" t="s">
        <v>188</v>
      </c>
      <c r="BM2957">
        <v>1</v>
      </c>
      <c r="BN2957">
        <v>1</v>
      </c>
      <c r="BO2957">
        <v>0</v>
      </c>
      <c r="BP2957">
        <v>0</v>
      </c>
      <c r="BS2957">
        <v>0</v>
      </c>
      <c r="BT2957">
        <v>0</v>
      </c>
      <c r="BU2957">
        <v>0</v>
      </c>
      <c r="CE2957" t="str">
        <f t="shared" si="1173"/>
        <v>15:12:44.673</v>
      </c>
      <c r="CF2957">
        <v>672728815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5</v>
      </c>
      <c r="CY2957">
        <v>7</v>
      </c>
      <c r="CZ2957" t="s">
        <v>133</v>
      </c>
      <c r="DA2957">
        <v>275</v>
      </c>
      <c r="DB2957">
        <v>0</v>
      </c>
      <c r="DC2957" t="s">
        <v>134</v>
      </c>
      <c r="DD2957" t="s">
        <v>135</v>
      </c>
      <c r="DG2957">
        <v>3322218</v>
      </c>
      <c r="DI2957">
        <v>1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>"05/01/2025 15:12:44.909"</f>
        <v>05/01/2025 15:12:44.909</v>
      </c>
      <c r="C2958" t="str">
        <f t="shared" si="1166"/>
        <v>FFDFD3C0</v>
      </c>
      <c r="D2958" t="s">
        <v>145</v>
      </c>
      <c r="E2958" t="str">
        <f>"09"</f>
        <v>09</v>
      </c>
      <c r="H2958">
        <v>51</v>
      </c>
      <c r="I2958" t="s">
        <v>147</v>
      </c>
      <c r="J2958" t="s">
        <v>138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R2958" t="s">
        <v>127</v>
      </c>
      <c r="S2958" t="str">
        <f t="shared" si="1172"/>
        <v>15:12:44.000</v>
      </c>
      <c r="T2958" t="str">
        <f t="shared" si="1172"/>
        <v>15:12:44.000</v>
      </c>
      <c r="U2958" t="str">
        <f t="shared" si="1167"/>
        <v>A68FCB</v>
      </c>
      <c r="V2958">
        <v>0</v>
      </c>
      <c r="W2958">
        <v>0</v>
      </c>
      <c r="X2958">
        <v>2</v>
      </c>
      <c r="Y2958">
        <v>0</v>
      </c>
      <c r="AA2958">
        <v>1</v>
      </c>
      <c r="AB2958">
        <v>8</v>
      </c>
      <c r="AC2958">
        <v>3</v>
      </c>
      <c r="AD2958">
        <v>0</v>
      </c>
      <c r="AE2958">
        <v>9</v>
      </c>
      <c r="AF2958" t="s">
        <v>138</v>
      </c>
      <c r="AG2958">
        <v>0</v>
      </c>
      <c r="AH2958">
        <v>3</v>
      </c>
      <c r="AI2958">
        <v>2</v>
      </c>
      <c r="AJ2958">
        <v>0</v>
      </c>
      <c r="AK2958" t="s">
        <v>1000</v>
      </c>
      <c r="AL2958">
        <v>39.112636999999999</v>
      </c>
      <c r="AM2958" t="s">
        <v>1001</v>
      </c>
      <c r="AN2958">
        <v>-121.032236</v>
      </c>
      <c r="AO2958">
        <v>25</v>
      </c>
      <c r="AP2958">
        <v>4400</v>
      </c>
      <c r="AQ2958" t="s">
        <v>131</v>
      </c>
      <c r="AR2958">
        <v>3</v>
      </c>
      <c r="AS2958">
        <v>84</v>
      </c>
      <c r="AT2958">
        <v>0</v>
      </c>
      <c r="BB2958" t="str">
        <f t="shared" si="1168"/>
        <v>1200</v>
      </c>
      <c r="BC2958">
        <v>1</v>
      </c>
      <c r="BD2958" t="str">
        <f t="shared" si="1169"/>
        <v xml:space="preserve">N52156  </v>
      </c>
      <c r="BE2958">
        <v>1</v>
      </c>
      <c r="BG2958">
        <v>0</v>
      </c>
      <c r="BH2958">
        <v>0</v>
      </c>
      <c r="BI2958">
        <v>0</v>
      </c>
      <c r="BJ2958">
        <v>4425</v>
      </c>
      <c r="BK2958">
        <v>25</v>
      </c>
      <c r="BL2958" t="s">
        <v>188</v>
      </c>
      <c r="BM2958">
        <v>1</v>
      </c>
      <c r="BN2958">
        <v>1</v>
      </c>
      <c r="BO2958">
        <v>0</v>
      </c>
      <c r="BP2958">
        <v>0</v>
      </c>
      <c r="BS2958">
        <v>0</v>
      </c>
      <c r="BT2958">
        <v>0</v>
      </c>
      <c r="BU2958">
        <v>0</v>
      </c>
      <c r="CE2958" t="str">
        <f t="shared" si="1173"/>
        <v>15:12:44.673</v>
      </c>
      <c r="CF2958">
        <v>672728815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5</v>
      </c>
      <c r="CY2958">
        <v>7</v>
      </c>
      <c r="CZ2958" t="s">
        <v>133</v>
      </c>
      <c r="DA2958">
        <v>275</v>
      </c>
      <c r="DB2958">
        <v>0</v>
      </c>
      <c r="DC2958" t="s">
        <v>134</v>
      </c>
      <c r="DD2958" t="s">
        <v>135</v>
      </c>
      <c r="DG2958">
        <v>3322218</v>
      </c>
      <c r="DI2958">
        <v>1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>"05/01/2025 15:12:44.911"</f>
        <v>05/01/2025 15:12:44.911</v>
      </c>
      <c r="C2959" t="str">
        <f t="shared" si="1166"/>
        <v>FFDFD3C0</v>
      </c>
      <c r="D2959" t="s">
        <v>145</v>
      </c>
      <c r="E2959" t="str">
        <f>"05"</f>
        <v>05</v>
      </c>
      <c r="H2959">
        <v>47</v>
      </c>
      <c r="I2959" t="s">
        <v>146</v>
      </c>
      <c r="J2959" t="s">
        <v>138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R2959" t="s">
        <v>127</v>
      </c>
      <c r="S2959" t="str">
        <f t="shared" si="1172"/>
        <v>15:12:44.000</v>
      </c>
      <c r="T2959" t="str">
        <f t="shared" si="1172"/>
        <v>15:12:44.000</v>
      </c>
      <c r="U2959" t="str">
        <f t="shared" si="1167"/>
        <v>A68FCB</v>
      </c>
      <c r="V2959">
        <v>0</v>
      </c>
      <c r="W2959">
        <v>0</v>
      </c>
      <c r="X2959">
        <v>2</v>
      </c>
      <c r="Y2959">
        <v>0</v>
      </c>
      <c r="AA2959">
        <v>1</v>
      </c>
      <c r="AB2959">
        <v>8</v>
      </c>
      <c r="AC2959">
        <v>3</v>
      </c>
      <c r="AD2959">
        <v>0</v>
      </c>
      <c r="AE2959">
        <v>9</v>
      </c>
      <c r="AF2959" t="s">
        <v>138</v>
      </c>
      <c r="AG2959">
        <v>0</v>
      </c>
      <c r="AH2959">
        <v>3</v>
      </c>
      <c r="AI2959">
        <v>2</v>
      </c>
      <c r="AJ2959">
        <v>0</v>
      </c>
      <c r="AK2959" t="s">
        <v>1000</v>
      </c>
      <c r="AL2959">
        <v>39.112636999999999</v>
      </c>
      <c r="AM2959" t="s">
        <v>1001</v>
      </c>
      <c r="AN2959">
        <v>-121.032236</v>
      </c>
      <c r="AO2959">
        <v>25</v>
      </c>
      <c r="AP2959">
        <v>4400</v>
      </c>
      <c r="AQ2959" t="s">
        <v>131</v>
      </c>
      <c r="AR2959">
        <v>3</v>
      </c>
      <c r="AS2959">
        <v>84</v>
      </c>
      <c r="AT2959">
        <v>0</v>
      </c>
      <c r="BB2959" t="str">
        <f t="shared" si="1168"/>
        <v>1200</v>
      </c>
      <c r="BC2959">
        <v>1</v>
      </c>
      <c r="BD2959" t="str">
        <f t="shared" si="1169"/>
        <v xml:space="preserve">N52156  </v>
      </c>
      <c r="BE2959">
        <v>1</v>
      </c>
      <c r="BG2959">
        <v>0</v>
      </c>
      <c r="BH2959">
        <v>0</v>
      </c>
      <c r="BI2959">
        <v>0</v>
      </c>
      <c r="BJ2959">
        <v>4425</v>
      </c>
      <c r="BK2959">
        <v>25</v>
      </c>
      <c r="BL2959" t="s">
        <v>188</v>
      </c>
      <c r="BM2959">
        <v>1</v>
      </c>
      <c r="BN2959">
        <v>1</v>
      </c>
      <c r="BO2959">
        <v>0</v>
      </c>
      <c r="BP2959">
        <v>0</v>
      </c>
      <c r="BS2959">
        <v>0</v>
      </c>
      <c r="BT2959">
        <v>0</v>
      </c>
      <c r="BU2959">
        <v>0</v>
      </c>
      <c r="CE2959" t="str">
        <f t="shared" si="1173"/>
        <v>15:12:44.673</v>
      </c>
      <c r="CF2959">
        <v>672728815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5</v>
      </c>
      <c r="CY2959">
        <v>7</v>
      </c>
      <c r="CZ2959" t="s">
        <v>133</v>
      </c>
      <c r="DA2959">
        <v>275</v>
      </c>
      <c r="DB2959">
        <v>0</v>
      </c>
      <c r="DC2959" t="s">
        <v>134</v>
      </c>
      <c r="DD2959" t="s">
        <v>135</v>
      </c>
      <c r="DG2959">
        <v>3322218</v>
      </c>
      <c r="DI2959">
        <v>1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>"05/01/2025 15:12:45.660"</f>
        <v>05/01/2025 15:12:45.660</v>
      </c>
      <c r="C2960" t="str">
        <f t="shared" si="1166"/>
        <v>FFDFD3C0</v>
      </c>
      <c r="D2960" t="s">
        <v>145</v>
      </c>
      <c r="E2960" t="str">
        <f>"09"</f>
        <v>09</v>
      </c>
      <c r="H2960">
        <v>51</v>
      </c>
      <c r="I2960" t="s">
        <v>147</v>
      </c>
      <c r="J2960" t="s">
        <v>138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R2960" t="s">
        <v>127</v>
      </c>
      <c r="S2960" t="str">
        <f t="shared" ref="S2960:T2965" si="1174">"15:12:45.000"</f>
        <v>15:12:45.000</v>
      </c>
      <c r="T2960" t="str">
        <f t="shared" si="1174"/>
        <v>15:12:45.000</v>
      </c>
      <c r="U2960" t="str">
        <f t="shared" si="1167"/>
        <v>A68FCB</v>
      </c>
      <c r="V2960">
        <v>0</v>
      </c>
      <c r="W2960">
        <v>0</v>
      </c>
      <c r="X2960">
        <v>2</v>
      </c>
      <c r="Y2960">
        <v>0</v>
      </c>
      <c r="AA2960">
        <v>1</v>
      </c>
      <c r="AB2960">
        <v>8</v>
      </c>
      <c r="AC2960">
        <v>3</v>
      </c>
      <c r="AD2960">
        <v>0</v>
      </c>
      <c r="AE2960">
        <v>9</v>
      </c>
      <c r="AF2960" t="s">
        <v>138</v>
      </c>
      <c r="AG2960">
        <v>0</v>
      </c>
      <c r="AH2960">
        <v>3</v>
      </c>
      <c r="AI2960">
        <v>2</v>
      </c>
      <c r="AJ2960">
        <v>0</v>
      </c>
      <c r="AK2960" t="s">
        <v>1002</v>
      </c>
      <c r="AL2960">
        <v>39.113022999999998</v>
      </c>
      <c r="AM2960" t="s">
        <v>1003</v>
      </c>
      <c r="AN2960">
        <v>-121.032214</v>
      </c>
      <c r="AO2960">
        <v>25</v>
      </c>
      <c r="AP2960">
        <v>4400</v>
      </c>
      <c r="AQ2960" t="s">
        <v>131</v>
      </c>
      <c r="AR2960">
        <v>3</v>
      </c>
      <c r="AS2960">
        <v>84</v>
      </c>
      <c r="AT2960">
        <v>0</v>
      </c>
      <c r="BB2960" t="str">
        <f t="shared" si="1168"/>
        <v>1200</v>
      </c>
      <c r="BC2960">
        <v>1</v>
      </c>
      <c r="BD2960" t="str">
        <f t="shared" si="1169"/>
        <v xml:space="preserve">N52156  </v>
      </c>
      <c r="BE2960">
        <v>1</v>
      </c>
      <c r="BG2960">
        <v>0</v>
      </c>
      <c r="BH2960">
        <v>0</v>
      </c>
      <c r="BI2960">
        <v>0</v>
      </c>
      <c r="BJ2960">
        <v>4425</v>
      </c>
      <c r="BK2960">
        <v>25</v>
      </c>
      <c r="BL2960" t="s">
        <v>188</v>
      </c>
      <c r="BM2960">
        <v>1</v>
      </c>
      <c r="BN2960">
        <v>1</v>
      </c>
      <c r="BO2960">
        <v>0</v>
      </c>
      <c r="BP2960">
        <v>0</v>
      </c>
      <c r="BS2960">
        <v>0</v>
      </c>
      <c r="BT2960">
        <v>0</v>
      </c>
      <c r="BU2960">
        <v>0</v>
      </c>
      <c r="CE2960" t="str">
        <f t="shared" ref="CE2960:CE2965" si="1175">"15:12:45.417"</f>
        <v>15:12:45.417</v>
      </c>
      <c r="CF2960">
        <v>417228243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5</v>
      </c>
      <c r="CY2960">
        <v>7</v>
      </c>
      <c r="CZ2960" t="s">
        <v>133</v>
      </c>
      <c r="DA2960">
        <v>275</v>
      </c>
      <c r="DB2960">
        <v>0</v>
      </c>
      <c r="DC2960" t="s">
        <v>134</v>
      </c>
      <c r="DD2960" t="s">
        <v>135</v>
      </c>
      <c r="DG2960">
        <v>3322225</v>
      </c>
      <c r="DI2960">
        <v>1</v>
      </c>
      <c r="DJ2960">
        <v>0</v>
      </c>
      <c r="DK2960">
        <v>0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>"05/01/2025 15:12:45.662"</f>
        <v>05/01/2025 15:12:45.662</v>
      </c>
      <c r="C2961" t="str">
        <f t="shared" si="1166"/>
        <v>FFDFD3C0</v>
      </c>
      <c r="D2961" t="s">
        <v>145</v>
      </c>
      <c r="E2961" t="str">
        <f>"05"</f>
        <v>05</v>
      </c>
      <c r="H2961">
        <v>47</v>
      </c>
      <c r="I2961" t="s">
        <v>146</v>
      </c>
      <c r="J2961" t="s">
        <v>138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R2961" t="s">
        <v>127</v>
      </c>
      <c r="S2961" t="str">
        <f t="shared" si="1174"/>
        <v>15:12:45.000</v>
      </c>
      <c r="T2961" t="str">
        <f t="shared" si="1174"/>
        <v>15:12:45.000</v>
      </c>
      <c r="U2961" t="str">
        <f t="shared" si="1167"/>
        <v>A68FCB</v>
      </c>
      <c r="V2961">
        <v>0</v>
      </c>
      <c r="W2961">
        <v>0</v>
      </c>
      <c r="X2961">
        <v>2</v>
      </c>
      <c r="Y2961">
        <v>0</v>
      </c>
      <c r="AA2961">
        <v>1</v>
      </c>
      <c r="AB2961">
        <v>8</v>
      </c>
      <c r="AC2961">
        <v>3</v>
      </c>
      <c r="AD2961">
        <v>0</v>
      </c>
      <c r="AE2961">
        <v>9</v>
      </c>
      <c r="AF2961" t="s">
        <v>138</v>
      </c>
      <c r="AG2961">
        <v>0</v>
      </c>
      <c r="AH2961">
        <v>3</v>
      </c>
      <c r="AI2961">
        <v>2</v>
      </c>
      <c r="AJ2961">
        <v>0</v>
      </c>
      <c r="AK2961" t="s">
        <v>1002</v>
      </c>
      <c r="AL2961">
        <v>39.113022999999998</v>
      </c>
      <c r="AM2961" t="s">
        <v>1003</v>
      </c>
      <c r="AN2961">
        <v>-121.032214</v>
      </c>
      <c r="AO2961">
        <v>25</v>
      </c>
      <c r="AP2961">
        <v>4400</v>
      </c>
      <c r="AQ2961" t="s">
        <v>131</v>
      </c>
      <c r="AR2961">
        <v>3</v>
      </c>
      <c r="AS2961">
        <v>84</v>
      </c>
      <c r="AT2961">
        <v>0</v>
      </c>
      <c r="BB2961" t="str">
        <f t="shared" si="1168"/>
        <v>1200</v>
      </c>
      <c r="BC2961">
        <v>1</v>
      </c>
      <c r="BD2961" t="str">
        <f t="shared" si="1169"/>
        <v xml:space="preserve">N52156  </v>
      </c>
      <c r="BE2961">
        <v>1</v>
      </c>
      <c r="BG2961">
        <v>0</v>
      </c>
      <c r="BH2961">
        <v>0</v>
      </c>
      <c r="BI2961">
        <v>0</v>
      </c>
      <c r="BJ2961">
        <v>4425</v>
      </c>
      <c r="BK2961">
        <v>25</v>
      </c>
      <c r="BL2961" t="s">
        <v>188</v>
      </c>
      <c r="BM2961">
        <v>1</v>
      </c>
      <c r="BN2961">
        <v>1</v>
      </c>
      <c r="BO2961">
        <v>0</v>
      </c>
      <c r="BP2961">
        <v>0</v>
      </c>
      <c r="BS2961">
        <v>0</v>
      </c>
      <c r="BT2961">
        <v>0</v>
      </c>
      <c r="BU2961">
        <v>0</v>
      </c>
      <c r="CE2961" t="str">
        <f t="shared" si="1175"/>
        <v>15:12:45.417</v>
      </c>
      <c r="CF2961">
        <v>417228243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5</v>
      </c>
      <c r="CY2961">
        <v>7</v>
      </c>
      <c r="CZ2961" t="s">
        <v>133</v>
      </c>
      <c r="DA2961">
        <v>275</v>
      </c>
      <c r="DB2961">
        <v>0</v>
      </c>
      <c r="DC2961" t="s">
        <v>134</v>
      </c>
      <c r="DD2961" t="s">
        <v>135</v>
      </c>
      <c r="DG2961">
        <v>3322225</v>
      </c>
      <c r="DI2961">
        <v>1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>"05/01/2025 15:12:45.671"</f>
        <v>05/01/2025 15:12:45.671</v>
      </c>
      <c r="C2962" t="str">
        <f t="shared" si="1166"/>
        <v>FFDFD3C0</v>
      </c>
      <c r="D2962" t="s">
        <v>136</v>
      </c>
      <c r="E2962" t="str">
        <f>"20"</f>
        <v>20</v>
      </c>
      <c r="H2962">
        <v>400</v>
      </c>
      <c r="I2962" t="s">
        <v>137</v>
      </c>
      <c r="J2962" t="s">
        <v>138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R2962" t="s">
        <v>127</v>
      </c>
      <c r="S2962" t="str">
        <f t="shared" si="1174"/>
        <v>15:12:45.000</v>
      </c>
      <c r="T2962" t="str">
        <f t="shared" si="1174"/>
        <v>15:12:45.000</v>
      </c>
      <c r="U2962" t="str">
        <f t="shared" si="1167"/>
        <v>A68FCB</v>
      </c>
      <c r="V2962">
        <v>0</v>
      </c>
      <c r="W2962">
        <v>0</v>
      </c>
      <c r="X2962">
        <v>2</v>
      </c>
      <c r="Y2962">
        <v>0</v>
      </c>
      <c r="AA2962">
        <v>1</v>
      </c>
      <c r="AB2962">
        <v>8</v>
      </c>
      <c r="AC2962">
        <v>3</v>
      </c>
      <c r="AD2962">
        <v>0</v>
      </c>
      <c r="AE2962">
        <v>9</v>
      </c>
      <c r="AF2962" t="s">
        <v>138</v>
      </c>
      <c r="AG2962">
        <v>0</v>
      </c>
      <c r="AH2962">
        <v>3</v>
      </c>
      <c r="AI2962">
        <v>2</v>
      </c>
      <c r="AJ2962">
        <v>0</v>
      </c>
      <c r="AK2962" t="s">
        <v>1002</v>
      </c>
      <c r="AL2962">
        <v>39.113022999999998</v>
      </c>
      <c r="AM2962" t="s">
        <v>1003</v>
      </c>
      <c r="AN2962">
        <v>-121.032214</v>
      </c>
      <c r="AO2962">
        <v>25</v>
      </c>
      <c r="AP2962">
        <v>4400</v>
      </c>
      <c r="AQ2962" t="s">
        <v>131</v>
      </c>
      <c r="AR2962">
        <v>3</v>
      </c>
      <c r="AS2962">
        <v>84</v>
      </c>
      <c r="AT2962">
        <v>0</v>
      </c>
      <c r="BB2962" t="str">
        <f t="shared" si="1168"/>
        <v>1200</v>
      </c>
      <c r="BC2962">
        <v>1</v>
      </c>
      <c r="BD2962" t="str">
        <f t="shared" si="1169"/>
        <v xml:space="preserve">N52156  </v>
      </c>
      <c r="BE2962">
        <v>1</v>
      </c>
      <c r="BG2962">
        <v>0</v>
      </c>
      <c r="BH2962">
        <v>0</v>
      </c>
      <c r="BI2962">
        <v>0</v>
      </c>
      <c r="BJ2962">
        <v>4425</v>
      </c>
      <c r="BK2962">
        <v>25</v>
      </c>
      <c r="BL2962" t="s">
        <v>188</v>
      </c>
      <c r="BM2962">
        <v>1</v>
      </c>
      <c r="BN2962">
        <v>1</v>
      </c>
      <c r="BO2962">
        <v>0</v>
      </c>
      <c r="BP2962">
        <v>0</v>
      </c>
      <c r="BS2962">
        <v>0</v>
      </c>
      <c r="BT2962">
        <v>0</v>
      </c>
      <c r="BU2962">
        <v>0</v>
      </c>
      <c r="CE2962" t="str">
        <f t="shared" si="1175"/>
        <v>15:12:45.417</v>
      </c>
      <c r="CF2962">
        <v>417228243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5</v>
      </c>
      <c r="CY2962">
        <v>7</v>
      </c>
      <c r="CZ2962" t="s">
        <v>133</v>
      </c>
      <c r="DA2962">
        <v>275</v>
      </c>
      <c r="DB2962">
        <v>0</v>
      </c>
      <c r="DC2962" t="s">
        <v>134</v>
      </c>
      <c r="DD2962" t="s">
        <v>135</v>
      </c>
      <c r="DG2962">
        <v>3322225</v>
      </c>
      <c r="DI2962">
        <v>1</v>
      </c>
      <c r="DJ2962">
        <v>0</v>
      </c>
      <c r="DK2962">
        <v>1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>"05/01/2025 15:12:45.681"</f>
        <v>05/01/2025 15:12:45.681</v>
      </c>
      <c r="C2963" t="str">
        <f t="shared" si="1166"/>
        <v>FFDFD3C0</v>
      </c>
      <c r="D2963" t="s">
        <v>143</v>
      </c>
      <c r="E2963" t="str">
        <f>"05"</f>
        <v>05</v>
      </c>
      <c r="H2963">
        <v>172</v>
      </c>
      <c r="I2963" t="s">
        <v>141</v>
      </c>
      <c r="J2963" t="s">
        <v>144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R2963" t="s">
        <v>127</v>
      </c>
      <c r="S2963" t="str">
        <f t="shared" si="1174"/>
        <v>15:12:45.000</v>
      </c>
      <c r="T2963" t="str">
        <f t="shared" si="1174"/>
        <v>15:12:45.000</v>
      </c>
      <c r="U2963" t="str">
        <f t="shared" si="1167"/>
        <v>A68FCB</v>
      </c>
      <c r="V2963">
        <v>0</v>
      </c>
      <c r="W2963">
        <v>0</v>
      </c>
      <c r="X2963">
        <v>2</v>
      </c>
      <c r="Y2963">
        <v>0</v>
      </c>
      <c r="AA2963">
        <v>1</v>
      </c>
      <c r="AB2963">
        <v>8</v>
      </c>
      <c r="AC2963">
        <v>3</v>
      </c>
      <c r="AD2963">
        <v>0</v>
      </c>
      <c r="AE2963">
        <v>9</v>
      </c>
      <c r="AF2963" t="s">
        <v>138</v>
      </c>
      <c r="AG2963">
        <v>0</v>
      </c>
      <c r="AH2963">
        <v>3</v>
      </c>
      <c r="AI2963">
        <v>2</v>
      </c>
      <c r="AJ2963">
        <v>0</v>
      </c>
      <c r="AK2963" t="s">
        <v>1002</v>
      </c>
      <c r="AL2963">
        <v>39.113022999999998</v>
      </c>
      <c r="AM2963" t="s">
        <v>1003</v>
      </c>
      <c r="AN2963">
        <v>-121.032214</v>
      </c>
      <c r="AO2963">
        <v>25</v>
      </c>
      <c r="AP2963">
        <v>4400</v>
      </c>
      <c r="AQ2963" t="s">
        <v>131</v>
      </c>
      <c r="AR2963">
        <v>3</v>
      </c>
      <c r="AS2963">
        <v>84</v>
      </c>
      <c r="AT2963">
        <v>0</v>
      </c>
      <c r="BB2963" t="str">
        <f t="shared" si="1168"/>
        <v>1200</v>
      </c>
      <c r="BC2963">
        <v>1</v>
      </c>
      <c r="BD2963" t="str">
        <f t="shared" si="1169"/>
        <v xml:space="preserve">N52156  </v>
      </c>
      <c r="BE2963">
        <v>1</v>
      </c>
      <c r="BG2963">
        <v>0</v>
      </c>
      <c r="BH2963">
        <v>0</v>
      </c>
      <c r="BI2963">
        <v>0</v>
      </c>
      <c r="BJ2963">
        <v>4425</v>
      </c>
      <c r="BK2963">
        <v>25</v>
      </c>
      <c r="BL2963" t="s">
        <v>188</v>
      </c>
      <c r="BM2963">
        <v>1</v>
      </c>
      <c r="BN2963">
        <v>1</v>
      </c>
      <c r="BO2963">
        <v>0</v>
      </c>
      <c r="BP2963">
        <v>0</v>
      </c>
      <c r="BS2963">
        <v>0</v>
      </c>
      <c r="BT2963">
        <v>0</v>
      </c>
      <c r="BU2963">
        <v>0</v>
      </c>
      <c r="CE2963" t="str">
        <f t="shared" si="1175"/>
        <v>15:12:45.417</v>
      </c>
      <c r="CF2963">
        <v>417228243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5</v>
      </c>
      <c r="CY2963">
        <v>7</v>
      </c>
      <c r="CZ2963" t="s">
        <v>133</v>
      </c>
      <c r="DA2963">
        <v>275</v>
      </c>
      <c r="DB2963">
        <v>0</v>
      </c>
      <c r="DC2963" t="s">
        <v>134</v>
      </c>
      <c r="DD2963" t="s">
        <v>135</v>
      </c>
      <c r="DG2963">
        <v>3322225</v>
      </c>
      <c r="DI2963">
        <v>1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>"05/01/2025 15:12:45.696"</f>
        <v>05/01/2025 15:12:45.696</v>
      </c>
      <c r="C2964" t="str">
        <f t="shared" si="1166"/>
        <v>FFDFD3C0</v>
      </c>
      <c r="D2964" t="s">
        <v>140</v>
      </c>
      <c r="E2964" t="str">
        <f>"13"</f>
        <v>13</v>
      </c>
      <c r="F2964">
        <v>1019</v>
      </c>
      <c r="G2964" t="s">
        <v>141</v>
      </c>
      <c r="J2964" t="s">
        <v>142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R2964" t="s">
        <v>127</v>
      </c>
      <c r="S2964" t="str">
        <f t="shared" si="1174"/>
        <v>15:12:45.000</v>
      </c>
      <c r="T2964" t="str">
        <f t="shared" si="1174"/>
        <v>15:12:45.000</v>
      </c>
      <c r="U2964" t="str">
        <f t="shared" si="1167"/>
        <v>A68FCB</v>
      </c>
      <c r="V2964">
        <v>0</v>
      </c>
      <c r="W2964">
        <v>0</v>
      </c>
      <c r="X2964">
        <v>2</v>
      </c>
      <c r="Y2964">
        <v>0</v>
      </c>
      <c r="AA2964">
        <v>1</v>
      </c>
      <c r="AB2964">
        <v>8</v>
      </c>
      <c r="AC2964">
        <v>3</v>
      </c>
      <c r="AD2964">
        <v>0</v>
      </c>
      <c r="AE2964">
        <v>9</v>
      </c>
      <c r="AF2964" t="s">
        <v>138</v>
      </c>
      <c r="AG2964">
        <v>0</v>
      </c>
      <c r="AH2964">
        <v>3</v>
      </c>
      <c r="AI2964">
        <v>2</v>
      </c>
      <c r="AJ2964">
        <v>0</v>
      </c>
      <c r="AK2964" t="s">
        <v>1002</v>
      </c>
      <c r="AL2964">
        <v>39.113022999999998</v>
      </c>
      <c r="AM2964" t="s">
        <v>1003</v>
      </c>
      <c r="AN2964">
        <v>-121.032214</v>
      </c>
      <c r="AO2964">
        <v>25</v>
      </c>
      <c r="AP2964">
        <v>4400</v>
      </c>
      <c r="AQ2964" t="s">
        <v>131</v>
      </c>
      <c r="AR2964">
        <v>3</v>
      </c>
      <c r="AS2964">
        <v>84</v>
      </c>
      <c r="AT2964">
        <v>0</v>
      </c>
      <c r="BB2964" t="str">
        <f t="shared" si="1168"/>
        <v>1200</v>
      </c>
      <c r="BC2964">
        <v>1</v>
      </c>
      <c r="BD2964" t="str">
        <f t="shared" si="1169"/>
        <v xml:space="preserve">N52156  </v>
      </c>
      <c r="BE2964">
        <v>1</v>
      </c>
      <c r="BG2964">
        <v>0</v>
      </c>
      <c r="BH2964">
        <v>0</v>
      </c>
      <c r="BI2964">
        <v>0</v>
      </c>
      <c r="BJ2964">
        <v>4425</v>
      </c>
      <c r="BK2964">
        <v>25</v>
      </c>
      <c r="BL2964" t="s">
        <v>188</v>
      </c>
      <c r="BM2964">
        <v>1</v>
      </c>
      <c r="BN2964">
        <v>1</v>
      </c>
      <c r="BO2964">
        <v>0</v>
      </c>
      <c r="BP2964">
        <v>0</v>
      </c>
      <c r="BS2964">
        <v>0</v>
      </c>
      <c r="BT2964">
        <v>0</v>
      </c>
      <c r="BU2964">
        <v>0</v>
      </c>
      <c r="CE2964" t="str">
        <f t="shared" si="1175"/>
        <v>15:12:45.417</v>
      </c>
      <c r="CF2964">
        <v>417228243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5</v>
      </c>
      <c r="CY2964">
        <v>7</v>
      </c>
      <c r="CZ2964" t="s">
        <v>133</v>
      </c>
      <c r="DA2964">
        <v>275</v>
      </c>
      <c r="DB2964">
        <v>0</v>
      </c>
      <c r="DC2964" t="s">
        <v>134</v>
      </c>
      <c r="DD2964" t="s">
        <v>135</v>
      </c>
      <c r="DG2964">
        <v>3322225</v>
      </c>
      <c r="DI2964">
        <v>1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>"05/01/2025 15:12:45.698"</f>
        <v>05/01/2025 15:12:45.698</v>
      </c>
      <c r="C2965" t="str">
        <f t="shared" si="1166"/>
        <v>FFDFD3C0</v>
      </c>
      <c r="D2965" t="s">
        <v>124</v>
      </c>
      <c r="E2965" t="str">
        <f>"06"</f>
        <v>06</v>
      </c>
      <c r="F2965">
        <v>2006</v>
      </c>
      <c r="G2965" t="s">
        <v>125</v>
      </c>
      <c r="J2965" t="s">
        <v>126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R2965" t="s">
        <v>127</v>
      </c>
      <c r="S2965" t="str">
        <f t="shared" si="1174"/>
        <v>15:12:45.000</v>
      </c>
      <c r="T2965" t="str">
        <f t="shared" si="1174"/>
        <v>15:12:45.000</v>
      </c>
      <c r="U2965" t="str">
        <f t="shared" si="1167"/>
        <v>A68FCB</v>
      </c>
      <c r="V2965">
        <v>0</v>
      </c>
      <c r="W2965">
        <v>0</v>
      </c>
      <c r="X2965">
        <v>2</v>
      </c>
      <c r="Y2965">
        <v>0</v>
      </c>
      <c r="AA2965">
        <v>1</v>
      </c>
      <c r="AB2965">
        <v>8</v>
      </c>
      <c r="AC2965">
        <v>3</v>
      </c>
      <c r="AD2965">
        <v>0</v>
      </c>
      <c r="AE2965">
        <v>9</v>
      </c>
      <c r="AF2965" t="s">
        <v>138</v>
      </c>
      <c r="AG2965">
        <v>0</v>
      </c>
      <c r="AH2965">
        <v>3</v>
      </c>
      <c r="AI2965">
        <v>2</v>
      </c>
      <c r="AJ2965">
        <v>0</v>
      </c>
      <c r="AK2965" t="s">
        <v>1002</v>
      </c>
      <c r="AL2965">
        <v>39.113022999999998</v>
      </c>
      <c r="AM2965" t="s">
        <v>1003</v>
      </c>
      <c r="AN2965">
        <v>-121.032214</v>
      </c>
      <c r="AO2965">
        <v>25</v>
      </c>
      <c r="AP2965">
        <v>4400</v>
      </c>
      <c r="AQ2965" t="s">
        <v>131</v>
      </c>
      <c r="AR2965">
        <v>3</v>
      </c>
      <c r="AS2965">
        <v>84</v>
      </c>
      <c r="AT2965">
        <v>0</v>
      </c>
      <c r="BB2965" t="str">
        <f t="shared" si="1168"/>
        <v>1200</v>
      </c>
      <c r="BC2965">
        <v>1</v>
      </c>
      <c r="BD2965" t="str">
        <f t="shared" si="1169"/>
        <v xml:space="preserve">N52156  </v>
      </c>
      <c r="BE2965">
        <v>1</v>
      </c>
      <c r="BG2965">
        <v>0</v>
      </c>
      <c r="BH2965">
        <v>0</v>
      </c>
      <c r="BI2965">
        <v>0</v>
      </c>
      <c r="BJ2965">
        <v>4425</v>
      </c>
      <c r="BK2965">
        <v>25</v>
      </c>
      <c r="BL2965" t="s">
        <v>188</v>
      </c>
      <c r="BM2965">
        <v>1</v>
      </c>
      <c r="BN2965">
        <v>1</v>
      </c>
      <c r="BO2965">
        <v>0</v>
      </c>
      <c r="BP2965">
        <v>0</v>
      </c>
      <c r="BS2965">
        <v>0</v>
      </c>
      <c r="BT2965">
        <v>0</v>
      </c>
      <c r="BU2965">
        <v>0</v>
      </c>
      <c r="CE2965" t="str">
        <f t="shared" si="1175"/>
        <v>15:12:45.417</v>
      </c>
      <c r="CF2965">
        <v>417228243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5</v>
      </c>
      <c r="CY2965">
        <v>7</v>
      </c>
      <c r="CZ2965" t="s">
        <v>133</v>
      </c>
      <c r="DA2965">
        <v>275</v>
      </c>
      <c r="DB2965">
        <v>0</v>
      </c>
      <c r="DC2965" t="s">
        <v>134</v>
      </c>
      <c r="DD2965" t="s">
        <v>135</v>
      </c>
      <c r="DG2965">
        <v>3322225</v>
      </c>
      <c r="DI2965">
        <v>1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>"05/01/2025 15:12:46.649"</f>
        <v>05/01/2025 15:12:46.649</v>
      </c>
      <c r="C2966" t="str">
        <f t="shared" si="1166"/>
        <v>FFDFD3C0</v>
      </c>
      <c r="D2966" t="s">
        <v>124</v>
      </c>
      <c r="E2966" t="str">
        <f>"06"</f>
        <v>06</v>
      </c>
      <c r="F2966">
        <v>2006</v>
      </c>
      <c r="G2966" t="s">
        <v>125</v>
      </c>
      <c r="J2966" t="s">
        <v>126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R2966" t="s">
        <v>127</v>
      </c>
      <c r="S2966" t="str">
        <f t="shared" ref="S2966:T2971" si="1176">"15:12:46.000"</f>
        <v>15:12:46.000</v>
      </c>
      <c r="T2966" t="str">
        <f t="shared" si="1176"/>
        <v>15:12:46.000</v>
      </c>
      <c r="U2966" t="str">
        <f t="shared" si="1167"/>
        <v>A68FCB</v>
      </c>
      <c r="V2966">
        <v>0</v>
      </c>
      <c r="W2966">
        <v>0</v>
      </c>
      <c r="X2966">
        <v>2</v>
      </c>
      <c r="Y2966">
        <v>0</v>
      </c>
      <c r="AA2966">
        <v>1</v>
      </c>
      <c r="AB2966">
        <v>8</v>
      </c>
      <c r="AC2966">
        <v>3</v>
      </c>
      <c r="AD2966">
        <v>0</v>
      </c>
      <c r="AE2966">
        <v>9</v>
      </c>
      <c r="AF2966" t="s">
        <v>138</v>
      </c>
      <c r="AG2966">
        <v>0</v>
      </c>
      <c r="AH2966">
        <v>3</v>
      </c>
      <c r="AI2966">
        <v>2</v>
      </c>
      <c r="AJ2966">
        <v>0</v>
      </c>
      <c r="AK2966" t="s">
        <v>1004</v>
      </c>
      <c r="AL2966">
        <v>39.113430999999999</v>
      </c>
      <c r="AM2966" t="s">
        <v>1005</v>
      </c>
      <c r="AN2966">
        <v>-121.03219300000001</v>
      </c>
      <c r="AO2966">
        <v>25</v>
      </c>
      <c r="AP2966">
        <v>4400</v>
      </c>
      <c r="AQ2966" t="s">
        <v>131</v>
      </c>
      <c r="AR2966">
        <v>3</v>
      </c>
      <c r="AS2966">
        <v>84</v>
      </c>
      <c r="AT2966">
        <v>0</v>
      </c>
      <c r="BB2966" t="str">
        <f t="shared" si="1168"/>
        <v>1200</v>
      </c>
      <c r="BC2966">
        <v>1</v>
      </c>
      <c r="BD2966" t="str">
        <f t="shared" si="1169"/>
        <v xml:space="preserve">N52156  </v>
      </c>
      <c r="BE2966">
        <v>1</v>
      </c>
      <c r="BG2966">
        <v>0</v>
      </c>
      <c r="BH2966">
        <v>0</v>
      </c>
      <c r="BI2966">
        <v>0</v>
      </c>
      <c r="BJ2966">
        <v>4425</v>
      </c>
      <c r="BK2966">
        <v>25</v>
      </c>
      <c r="BL2966" t="s">
        <v>188</v>
      </c>
      <c r="BM2966">
        <v>1</v>
      </c>
      <c r="BN2966">
        <v>1</v>
      </c>
      <c r="BO2966">
        <v>0</v>
      </c>
      <c r="BP2966">
        <v>0</v>
      </c>
      <c r="BS2966">
        <v>0</v>
      </c>
      <c r="BT2966">
        <v>0</v>
      </c>
      <c r="BU2966">
        <v>0</v>
      </c>
      <c r="CE2966" t="str">
        <f t="shared" ref="CE2966:CE2971" si="1177">"15:12:46.442"</f>
        <v>15:12:46.442</v>
      </c>
      <c r="CF2966">
        <v>441728360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5</v>
      </c>
      <c r="CY2966">
        <v>7</v>
      </c>
      <c r="CZ2966" t="s">
        <v>133</v>
      </c>
      <c r="DA2966">
        <v>275</v>
      </c>
      <c r="DB2966">
        <v>0</v>
      </c>
      <c r="DC2966" t="s">
        <v>134</v>
      </c>
      <c r="DD2966" t="s">
        <v>135</v>
      </c>
      <c r="DG2966">
        <v>3322231</v>
      </c>
      <c r="DI2966">
        <v>1</v>
      </c>
      <c r="DJ2966">
        <v>0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>"05/01/2025 15:12:46.648"</f>
        <v>05/01/2025 15:12:46.648</v>
      </c>
      <c r="C2967" t="str">
        <f t="shared" si="1166"/>
        <v>FFDFD3C0</v>
      </c>
      <c r="D2967" t="s">
        <v>140</v>
      </c>
      <c r="E2967" t="str">
        <f>"13"</f>
        <v>13</v>
      </c>
      <c r="F2967">
        <v>1019</v>
      </c>
      <c r="G2967" t="s">
        <v>141</v>
      </c>
      <c r="J2967" t="s">
        <v>142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R2967" t="s">
        <v>127</v>
      </c>
      <c r="S2967" t="str">
        <f t="shared" si="1176"/>
        <v>15:12:46.000</v>
      </c>
      <c r="T2967" t="str">
        <f t="shared" si="1176"/>
        <v>15:12:46.000</v>
      </c>
      <c r="U2967" t="str">
        <f t="shared" si="1167"/>
        <v>A68FCB</v>
      </c>
      <c r="V2967">
        <v>0</v>
      </c>
      <c r="W2967">
        <v>0</v>
      </c>
      <c r="X2967">
        <v>2</v>
      </c>
      <c r="Y2967">
        <v>0</v>
      </c>
      <c r="AA2967">
        <v>1</v>
      </c>
      <c r="AB2967">
        <v>8</v>
      </c>
      <c r="AC2967">
        <v>3</v>
      </c>
      <c r="AD2967">
        <v>0</v>
      </c>
      <c r="AE2967">
        <v>9</v>
      </c>
      <c r="AF2967" t="s">
        <v>138</v>
      </c>
      <c r="AG2967">
        <v>0</v>
      </c>
      <c r="AH2967">
        <v>3</v>
      </c>
      <c r="AI2967">
        <v>2</v>
      </c>
      <c r="AJ2967">
        <v>0</v>
      </c>
      <c r="AK2967" t="s">
        <v>1004</v>
      </c>
      <c r="AL2967">
        <v>39.113430999999999</v>
      </c>
      <c r="AM2967" t="s">
        <v>1005</v>
      </c>
      <c r="AN2967">
        <v>-121.03219300000001</v>
      </c>
      <c r="AO2967">
        <v>25</v>
      </c>
      <c r="AP2967">
        <v>4400</v>
      </c>
      <c r="AQ2967" t="s">
        <v>131</v>
      </c>
      <c r="AR2967">
        <v>3</v>
      </c>
      <c r="AS2967">
        <v>84</v>
      </c>
      <c r="AT2967">
        <v>0</v>
      </c>
      <c r="BB2967" t="str">
        <f t="shared" si="1168"/>
        <v>1200</v>
      </c>
      <c r="BC2967">
        <v>1</v>
      </c>
      <c r="BD2967" t="str">
        <f t="shared" si="1169"/>
        <v xml:space="preserve">N52156  </v>
      </c>
      <c r="BE2967">
        <v>1</v>
      </c>
      <c r="BG2967">
        <v>0</v>
      </c>
      <c r="BH2967">
        <v>0</v>
      </c>
      <c r="BI2967">
        <v>0</v>
      </c>
      <c r="BJ2967">
        <v>4425</v>
      </c>
      <c r="BK2967">
        <v>25</v>
      </c>
      <c r="BL2967" t="s">
        <v>188</v>
      </c>
      <c r="BM2967">
        <v>1</v>
      </c>
      <c r="BN2967">
        <v>1</v>
      </c>
      <c r="BO2967">
        <v>0</v>
      </c>
      <c r="BP2967">
        <v>0</v>
      </c>
      <c r="BS2967">
        <v>0</v>
      </c>
      <c r="BT2967">
        <v>0</v>
      </c>
      <c r="BU2967">
        <v>0</v>
      </c>
      <c r="CE2967" t="str">
        <f t="shared" si="1177"/>
        <v>15:12:46.442</v>
      </c>
      <c r="CF2967">
        <v>441728360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5</v>
      </c>
      <c r="CY2967">
        <v>7</v>
      </c>
      <c r="CZ2967" t="s">
        <v>133</v>
      </c>
      <c r="DA2967">
        <v>275</v>
      </c>
      <c r="DB2967">
        <v>0</v>
      </c>
      <c r="DC2967" t="s">
        <v>134</v>
      </c>
      <c r="DD2967" t="s">
        <v>135</v>
      </c>
      <c r="DG2967">
        <v>3322231</v>
      </c>
      <c r="DI2967">
        <v>1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>"05/01/2025 15:12:46.662"</f>
        <v>05/01/2025 15:12:46.662</v>
      </c>
      <c r="C2968" t="str">
        <f t="shared" si="1166"/>
        <v>FFDFD3C0</v>
      </c>
      <c r="D2968" t="s">
        <v>145</v>
      </c>
      <c r="E2968" t="str">
        <f>"09"</f>
        <v>09</v>
      </c>
      <c r="H2968">
        <v>51</v>
      </c>
      <c r="I2968" t="s">
        <v>147</v>
      </c>
      <c r="J2968" t="s">
        <v>138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R2968" t="s">
        <v>127</v>
      </c>
      <c r="S2968" t="str">
        <f t="shared" si="1176"/>
        <v>15:12:46.000</v>
      </c>
      <c r="T2968" t="str">
        <f t="shared" si="1176"/>
        <v>15:12:46.000</v>
      </c>
      <c r="U2968" t="str">
        <f t="shared" si="1167"/>
        <v>A68FCB</v>
      </c>
      <c r="V2968">
        <v>0</v>
      </c>
      <c r="W2968">
        <v>0</v>
      </c>
      <c r="X2968">
        <v>2</v>
      </c>
      <c r="Y2968">
        <v>0</v>
      </c>
      <c r="AA2968">
        <v>1</v>
      </c>
      <c r="AB2968">
        <v>8</v>
      </c>
      <c r="AC2968">
        <v>3</v>
      </c>
      <c r="AD2968">
        <v>0</v>
      </c>
      <c r="AE2968">
        <v>9</v>
      </c>
      <c r="AF2968" t="s">
        <v>138</v>
      </c>
      <c r="AG2968">
        <v>0</v>
      </c>
      <c r="AH2968">
        <v>3</v>
      </c>
      <c r="AI2968">
        <v>2</v>
      </c>
      <c r="AJ2968">
        <v>0</v>
      </c>
      <c r="AK2968" t="s">
        <v>1004</v>
      </c>
      <c r="AL2968">
        <v>39.113430999999999</v>
      </c>
      <c r="AM2968" t="s">
        <v>1005</v>
      </c>
      <c r="AN2968">
        <v>-121.03219300000001</v>
      </c>
      <c r="AO2968">
        <v>25</v>
      </c>
      <c r="AP2968">
        <v>4400</v>
      </c>
      <c r="AQ2968" t="s">
        <v>131</v>
      </c>
      <c r="AR2968">
        <v>3</v>
      </c>
      <c r="AS2968">
        <v>84</v>
      </c>
      <c r="AT2968">
        <v>0</v>
      </c>
      <c r="BB2968" t="str">
        <f t="shared" si="1168"/>
        <v>1200</v>
      </c>
      <c r="BC2968">
        <v>1</v>
      </c>
      <c r="BD2968" t="str">
        <f t="shared" si="1169"/>
        <v xml:space="preserve">N52156  </v>
      </c>
      <c r="BE2968">
        <v>1</v>
      </c>
      <c r="BG2968">
        <v>0</v>
      </c>
      <c r="BH2968">
        <v>0</v>
      </c>
      <c r="BI2968">
        <v>0</v>
      </c>
      <c r="BJ2968">
        <v>4425</v>
      </c>
      <c r="BK2968">
        <v>25</v>
      </c>
      <c r="BL2968" t="s">
        <v>188</v>
      </c>
      <c r="BM2968">
        <v>1</v>
      </c>
      <c r="BN2968">
        <v>1</v>
      </c>
      <c r="BO2968">
        <v>0</v>
      </c>
      <c r="BP2968">
        <v>0</v>
      </c>
      <c r="BS2968">
        <v>0</v>
      </c>
      <c r="BT2968">
        <v>0</v>
      </c>
      <c r="BU2968">
        <v>0</v>
      </c>
      <c r="CE2968" t="str">
        <f t="shared" si="1177"/>
        <v>15:12:46.442</v>
      </c>
      <c r="CF2968">
        <v>441728360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5</v>
      </c>
      <c r="CY2968">
        <v>7</v>
      </c>
      <c r="CZ2968" t="s">
        <v>133</v>
      </c>
      <c r="DA2968">
        <v>275</v>
      </c>
      <c r="DB2968">
        <v>0</v>
      </c>
      <c r="DC2968" t="s">
        <v>134</v>
      </c>
      <c r="DD2968" t="s">
        <v>135</v>
      </c>
      <c r="DG2968">
        <v>3322231</v>
      </c>
      <c r="DI2968">
        <v>1</v>
      </c>
      <c r="DJ2968">
        <v>0</v>
      </c>
      <c r="DK2968">
        <v>1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>"05/01/2025 15:12:46.665"</f>
        <v>05/01/2025 15:12:46.665</v>
      </c>
      <c r="C2969" t="str">
        <f t="shared" si="1166"/>
        <v>FFDFD3C0</v>
      </c>
      <c r="D2969" t="s">
        <v>145</v>
      </c>
      <c r="E2969" t="str">
        <f>"05"</f>
        <v>05</v>
      </c>
      <c r="H2969">
        <v>47</v>
      </c>
      <c r="I2969" t="s">
        <v>146</v>
      </c>
      <c r="J2969" t="s">
        <v>138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R2969" t="s">
        <v>127</v>
      </c>
      <c r="S2969" t="str">
        <f t="shared" si="1176"/>
        <v>15:12:46.000</v>
      </c>
      <c r="T2969" t="str">
        <f t="shared" si="1176"/>
        <v>15:12:46.000</v>
      </c>
      <c r="U2969" t="str">
        <f t="shared" si="1167"/>
        <v>A68FCB</v>
      </c>
      <c r="V2969">
        <v>0</v>
      </c>
      <c r="W2969">
        <v>0</v>
      </c>
      <c r="X2969">
        <v>2</v>
      </c>
      <c r="Y2969">
        <v>0</v>
      </c>
      <c r="AA2969">
        <v>1</v>
      </c>
      <c r="AB2969">
        <v>8</v>
      </c>
      <c r="AC2969">
        <v>3</v>
      </c>
      <c r="AD2969">
        <v>0</v>
      </c>
      <c r="AE2969">
        <v>9</v>
      </c>
      <c r="AF2969" t="s">
        <v>138</v>
      </c>
      <c r="AG2969">
        <v>0</v>
      </c>
      <c r="AH2969">
        <v>3</v>
      </c>
      <c r="AI2969">
        <v>2</v>
      </c>
      <c r="AJ2969">
        <v>0</v>
      </c>
      <c r="AK2969" t="s">
        <v>1004</v>
      </c>
      <c r="AL2969">
        <v>39.113430999999999</v>
      </c>
      <c r="AM2969" t="s">
        <v>1005</v>
      </c>
      <c r="AN2969">
        <v>-121.03219300000001</v>
      </c>
      <c r="AO2969">
        <v>25</v>
      </c>
      <c r="AP2969">
        <v>4400</v>
      </c>
      <c r="AQ2969" t="s">
        <v>131</v>
      </c>
      <c r="AR2969">
        <v>3</v>
      </c>
      <c r="AS2969">
        <v>84</v>
      </c>
      <c r="AT2969">
        <v>0</v>
      </c>
      <c r="BB2969" t="str">
        <f t="shared" si="1168"/>
        <v>1200</v>
      </c>
      <c r="BC2969">
        <v>1</v>
      </c>
      <c r="BD2969" t="str">
        <f t="shared" si="1169"/>
        <v xml:space="preserve">N52156  </v>
      </c>
      <c r="BE2969">
        <v>1</v>
      </c>
      <c r="BG2969">
        <v>0</v>
      </c>
      <c r="BH2969">
        <v>0</v>
      </c>
      <c r="BI2969">
        <v>0</v>
      </c>
      <c r="BJ2969">
        <v>4425</v>
      </c>
      <c r="BK2969">
        <v>25</v>
      </c>
      <c r="BL2969" t="s">
        <v>188</v>
      </c>
      <c r="BM2969">
        <v>1</v>
      </c>
      <c r="BN2969">
        <v>1</v>
      </c>
      <c r="BO2969">
        <v>0</v>
      </c>
      <c r="BP2969">
        <v>0</v>
      </c>
      <c r="BS2969">
        <v>0</v>
      </c>
      <c r="BT2969">
        <v>0</v>
      </c>
      <c r="BU2969">
        <v>0</v>
      </c>
      <c r="CE2969" t="str">
        <f t="shared" si="1177"/>
        <v>15:12:46.442</v>
      </c>
      <c r="CF2969">
        <v>441728360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133</v>
      </c>
      <c r="DA2969">
        <v>275</v>
      </c>
      <c r="DB2969">
        <v>0</v>
      </c>
      <c r="DC2969" t="s">
        <v>134</v>
      </c>
      <c r="DD2969" t="s">
        <v>135</v>
      </c>
      <c r="DG2969">
        <v>3322231</v>
      </c>
      <c r="DI2969">
        <v>1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>"05/01/2025 15:12:46.673"</f>
        <v>05/01/2025 15:12:46.673</v>
      </c>
      <c r="C2970" t="str">
        <f t="shared" si="1166"/>
        <v>FFDFD3C0</v>
      </c>
      <c r="D2970" t="s">
        <v>136</v>
      </c>
      <c r="E2970" t="str">
        <f>"20"</f>
        <v>20</v>
      </c>
      <c r="H2970">
        <v>400</v>
      </c>
      <c r="I2970" t="s">
        <v>137</v>
      </c>
      <c r="J2970" t="s">
        <v>138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R2970" t="s">
        <v>127</v>
      </c>
      <c r="S2970" t="str">
        <f t="shared" si="1176"/>
        <v>15:12:46.000</v>
      </c>
      <c r="T2970" t="str">
        <f t="shared" si="1176"/>
        <v>15:12:46.000</v>
      </c>
      <c r="U2970" t="str">
        <f t="shared" si="1167"/>
        <v>A68FCB</v>
      </c>
      <c r="V2970">
        <v>0</v>
      </c>
      <c r="W2970">
        <v>0</v>
      </c>
      <c r="X2970">
        <v>2</v>
      </c>
      <c r="Y2970">
        <v>0</v>
      </c>
      <c r="AA2970">
        <v>1</v>
      </c>
      <c r="AB2970">
        <v>8</v>
      </c>
      <c r="AC2970">
        <v>3</v>
      </c>
      <c r="AD2970">
        <v>0</v>
      </c>
      <c r="AE2970">
        <v>9</v>
      </c>
      <c r="AF2970" t="s">
        <v>138</v>
      </c>
      <c r="AG2970">
        <v>0</v>
      </c>
      <c r="AH2970">
        <v>3</v>
      </c>
      <c r="AI2970">
        <v>2</v>
      </c>
      <c r="AJ2970">
        <v>0</v>
      </c>
      <c r="AK2970" t="s">
        <v>1004</v>
      </c>
      <c r="AL2970">
        <v>39.113430999999999</v>
      </c>
      <c r="AM2970" t="s">
        <v>1005</v>
      </c>
      <c r="AN2970">
        <v>-121.03219300000001</v>
      </c>
      <c r="AO2970">
        <v>25</v>
      </c>
      <c r="AP2970">
        <v>4400</v>
      </c>
      <c r="AQ2970" t="s">
        <v>131</v>
      </c>
      <c r="AR2970">
        <v>3</v>
      </c>
      <c r="AS2970">
        <v>84</v>
      </c>
      <c r="AT2970">
        <v>0</v>
      </c>
      <c r="BB2970" t="str">
        <f t="shared" si="1168"/>
        <v>1200</v>
      </c>
      <c r="BC2970">
        <v>1</v>
      </c>
      <c r="BD2970" t="str">
        <f t="shared" si="1169"/>
        <v xml:space="preserve">N52156  </v>
      </c>
      <c r="BE2970">
        <v>1</v>
      </c>
      <c r="BG2970">
        <v>0</v>
      </c>
      <c r="BH2970">
        <v>0</v>
      </c>
      <c r="BI2970">
        <v>0</v>
      </c>
      <c r="BJ2970">
        <v>4425</v>
      </c>
      <c r="BK2970">
        <v>25</v>
      </c>
      <c r="BL2970" t="s">
        <v>188</v>
      </c>
      <c r="BM2970">
        <v>1</v>
      </c>
      <c r="BN2970">
        <v>1</v>
      </c>
      <c r="BO2970">
        <v>0</v>
      </c>
      <c r="BP2970">
        <v>0</v>
      </c>
      <c r="BS2970">
        <v>0</v>
      </c>
      <c r="BT2970">
        <v>0</v>
      </c>
      <c r="BU2970">
        <v>0</v>
      </c>
      <c r="CE2970" t="str">
        <f t="shared" si="1177"/>
        <v>15:12:46.442</v>
      </c>
      <c r="CF2970">
        <v>441728360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5</v>
      </c>
      <c r="CY2970">
        <v>7</v>
      </c>
      <c r="CZ2970" t="s">
        <v>133</v>
      </c>
      <c r="DA2970">
        <v>275</v>
      </c>
      <c r="DB2970">
        <v>0</v>
      </c>
      <c r="DC2970" t="s">
        <v>134</v>
      </c>
      <c r="DD2970" t="s">
        <v>135</v>
      </c>
      <c r="DG2970">
        <v>3322231</v>
      </c>
      <c r="DI2970">
        <v>1</v>
      </c>
      <c r="DJ2970">
        <v>0</v>
      </c>
      <c r="DK2970">
        <v>1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>"05/01/2025 15:12:46.682"</f>
        <v>05/01/2025 15:12:46.682</v>
      </c>
      <c r="C2971" t="str">
        <f t="shared" si="1166"/>
        <v>FFDFD3C0</v>
      </c>
      <c r="D2971" t="s">
        <v>143</v>
      </c>
      <c r="E2971" t="str">
        <f>"05"</f>
        <v>05</v>
      </c>
      <c r="H2971">
        <v>172</v>
      </c>
      <c r="I2971" t="s">
        <v>141</v>
      </c>
      <c r="J2971" t="s">
        <v>144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R2971" t="s">
        <v>127</v>
      </c>
      <c r="S2971" t="str">
        <f t="shared" si="1176"/>
        <v>15:12:46.000</v>
      </c>
      <c r="T2971" t="str">
        <f t="shared" si="1176"/>
        <v>15:12:46.000</v>
      </c>
      <c r="U2971" t="str">
        <f t="shared" si="1167"/>
        <v>A68FCB</v>
      </c>
      <c r="V2971">
        <v>0</v>
      </c>
      <c r="W2971">
        <v>0</v>
      </c>
      <c r="X2971">
        <v>2</v>
      </c>
      <c r="Y2971">
        <v>0</v>
      </c>
      <c r="AA2971">
        <v>1</v>
      </c>
      <c r="AB2971">
        <v>8</v>
      </c>
      <c r="AC2971">
        <v>3</v>
      </c>
      <c r="AD2971">
        <v>0</v>
      </c>
      <c r="AE2971">
        <v>9</v>
      </c>
      <c r="AF2971" t="s">
        <v>138</v>
      </c>
      <c r="AG2971">
        <v>0</v>
      </c>
      <c r="AH2971">
        <v>3</v>
      </c>
      <c r="AI2971">
        <v>2</v>
      </c>
      <c r="AJ2971">
        <v>0</v>
      </c>
      <c r="AK2971" t="s">
        <v>1004</v>
      </c>
      <c r="AL2971">
        <v>39.113430999999999</v>
      </c>
      <c r="AM2971" t="s">
        <v>1005</v>
      </c>
      <c r="AN2971">
        <v>-121.03219300000001</v>
      </c>
      <c r="AO2971">
        <v>25</v>
      </c>
      <c r="AP2971">
        <v>4400</v>
      </c>
      <c r="AQ2971" t="s">
        <v>131</v>
      </c>
      <c r="AR2971">
        <v>3</v>
      </c>
      <c r="AS2971">
        <v>84</v>
      </c>
      <c r="AT2971">
        <v>0</v>
      </c>
      <c r="BB2971" t="str">
        <f t="shared" si="1168"/>
        <v>1200</v>
      </c>
      <c r="BC2971">
        <v>1</v>
      </c>
      <c r="BD2971" t="str">
        <f t="shared" si="1169"/>
        <v xml:space="preserve">N52156  </v>
      </c>
      <c r="BE2971">
        <v>1</v>
      </c>
      <c r="BG2971">
        <v>0</v>
      </c>
      <c r="BH2971">
        <v>0</v>
      </c>
      <c r="BI2971">
        <v>0</v>
      </c>
      <c r="BJ2971">
        <v>4425</v>
      </c>
      <c r="BK2971">
        <v>25</v>
      </c>
      <c r="BL2971" t="s">
        <v>188</v>
      </c>
      <c r="BM2971">
        <v>1</v>
      </c>
      <c r="BN2971">
        <v>1</v>
      </c>
      <c r="BO2971">
        <v>0</v>
      </c>
      <c r="BP2971">
        <v>0</v>
      </c>
      <c r="BS2971">
        <v>0</v>
      </c>
      <c r="BT2971">
        <v>0</v>
      </c>
      <c r="BU2971">
        <v>0</v>
      </c>
      <c r="CE2971" t="str">
        <f t="shared" si="1177"/>
        <v>15:12:46.442</v>
      </c>
      <c r="CF2971">
        <v>441728360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5</v>
      </c>
      <c r="CY2971">
        <v>7</v>
      </c>
      <c r="CZ2971" t="s">
        <v>133</v>
      </c>
      <c r="DA2971">
        <v>275</v>
      </c>
      <c r="DB2971">
        <v>0</v>
      </c>
      <c r="DC2971" t="s">
        <v>134</v>
      </c>
      <c r="DD2971" t="s">
        <v>135</v>
      </c>
      <c r="DG2971">
        <v>3322231</v>
      </c>
      <c r="DI2971">
        <v>1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>"05/01/2025 15:12:48.201"</f>
        <v>05/01/2025 15:12:48.201</v>
      </c>
      <c r="C2972" t="str">
        <f t="shared" si="1166"/>
        <v>FFDFD3C0</v>
      </c>
      <c r="D2972" t="s">
        <v>140</v>
      </c>
      <c r="E2972" t="str">
        <f>"13"</f>
        <v>13</v>
      </c>
      <c r="F2972">
        <v>1019</v>
      </c>
      <c r="G2972" t="s">
        <v>141</v>
      </c>
      <c r="J2972" t="s">
        <v>142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R2972" t="s">
        <v>127</v>
      </c>
      <c r="S2972" t="str">
        <f t="shared" ref="S2972:T2977" si="1178">"15:12:47.000"</f>
        <v>15:12:47.000</v>
      </c>
      <c r="T2972" t="str">
        <f t="shared" si="1178"/>
        <v>15:12:47.000</v>
      </c>
      <c r="U2972" t="str">
        <f t="shared" si="1167"/>
        <v>A68FCB</v>
      </c>
      <c r="V2972">
        <v>0</v>
      </c>
      <c r="W2972">
        <v>0</v>
      </c>
      <c r="X2972">
        <v>2</v>
      </c>
      <c r="Y2972">
        <v>0</v>
      </c>
      <c r="AA2972">
        <v>1</v>
      </c>
      <c r="AB2972">
        <v>8</v>
      </c>
      <c r="AC2972">
        <v>3</v>
      </c>
      <c r="AD2972">
        <v>0</v>
      </c>
      <c r="AE2972">
        <v>9</v>
      </c>
      <c r="AF2972" t="s">
        <v>138</v>
      </c>
      <c r="AG2972">
        <v>0</v>
      </c>
      <c r="AH2972">
        <v>3</v>
      </c>
      <c r="AI2972">
        <v>2</v>
      </c>
      <c r="AJ2972">
        <v>0</v>
      </c>
      <c r="AK2972" t="s">
        <v>1006</v>
      </c>
      <c r="AL2972">
        <v>39.113816999999997</v>
      </c>
      <c r="AM2972" t="s">
        <v>1005</v>
      </c>
      <c r="AN2972">
        <v>-121.03219300000001</v>
      </c>
      <c r="AO2972">
        <v>25</v>
      </c>
      <c r="AP2972">
        <v>4400</v>
      </c>
      <c r="AQ2972" t="s">
        <v>131</v>
      </c>
      <c r="AR2972">
        <v>2</v>
      </c>
      <c r="AS2972">
        <v>84</v>
      </c>
      <c r="AT2972">
        <v>0</v>
      </c>
      <c r="BB2972" t="str">
        <f t="shared" si="1168"/>
        <v>1200</v>
      </c>
      <c r="BC2972">
        <v>1</v>
      </c>
      <c r="BD2972" t="str">
        <f t="shared" si="1169"/>
        <v xml:space="preserve">N52156  </v>
      </c>
      <c r="BE2972">
        <v>1</v>
      </c>
      <c r="BG2972">
        <v>0</v>
      </c>
      <c r="BH2972">
        <v>0</v>
      </c>
      <c r="BI2972">
        <v>0</v>
      </c>
      <c r="BJ2972">
        <v>4425</v>
      </c>
      <c r="BK2972">
        <v>25</v>
      </c>
      <c r="BL2972" t="s">
        <v>188</v>
      </c>
      <c r="BM2972">
        <v>1</v>
      </c>
      <c r="BN2972">
        <v>1</v>
      </c>
      <c r="BO2972">
        <v>0</v>
      </c>
      <c r="BP2972">
        <v>0</v>
      </c>
      <c r="BS2972">
        <v>0</v>
      </c>
      <c r="BT2972">
        <v>0</v>
      </c>
      <c r="BU2972">
        <v>0</v>
      </c>
      <c r="CE2972" t="str">
        <f t="shared" ref="CE2972:CE2977" si="1179">"15:12:47.986"</f>
        <v>15:12:47.986</v>
      </c>
      <c r="CF2972">
        <v>986479806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5</v>
      </c>
      <c r="CY2972">
        <v>7</v>
      </c>
      <c r="CZ2972" t="s">
        <v>133</v>
      </c>
      <c r="DA2972">
        <v>275</v>
      </c>
      <c r="DB2972">
        <v>0</v>
      </c>
      <c r="DC2972" t="s">
        <v>134</v>
      </c>
      <c r="DD2972" t="s">
        <v>135</v>
      </c>
      <c r="DG2972">
        <v>3322243</v>
      </c>
      <c r="DI2972">
        <v>1</v>
      </c>
      <c r="DJ2972">
        <v>0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>"05/01/2025 15:12:48.202"</f>
        <v>05/01/2025 15:12:48.202</v>
      </c>
      <c r="C2973" t="str">
        <f t="shared" si="1166"/>
        <v>FFDFD3C0</v>
      </c>
      <c r="D2973" t="s">
        <v>124</v>
      </c>
      <c r="E2973" t="str">
        <f>"06"</f>
        <v>06</v>
      </c>
      <c r="F2973">
        <v>2006</v>
      </c>
      <c r="G2973" t="s">
        <v>125</v>
      </c>
      <c r="J2973" t="s">
        <v>126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R2973" t="s">
        <v>127</v>
      </c>
      <c r="S2973" t="str">
        <f t="shared" si="1178"/>
        <v>15:12:47.000</v>
      </c>
      <c r="T2973" t="str">
        <f t="shared" si="1178"/>
        <v>15:12:47.000</v>
      </c>
      <c r="U2973" t="str">
        <f t="shared" si="1167"/>
        <v>A68FCB</v>
      </c>
      <c r="V2973">
        <v>0</v>
      </c>
      <c r="W2973">
        <v>0</v>
      </c>
      <c r="X2973">
        <v>2</v>
      </c>
      <c r="Y2973">
        <v>0</v>
      </c>
      <c r="AA2973">
        <v>1</v>
      </c>
      <c r="AB2973">
        <v>8</v>
      </c>
      <c r="AC2973">
        <v>3</v>
      </c>
      <c r="AD2973">
        <v>0</v>
      </c>
      <c r="AE2973">
        <v>9</v>
      </c>
      <c r="AF2973" t="s">
        <v>138</v>
      </c>
      <c r="AG2973">
        <v>0</v>
      </c>
      <c r="AH2973">
        <v>3</v>
      </c>
      <c r="AI2973">
        <v>2</v>
      </c>
      <c r="AJ2973">
        <v>0</v>
      </c>
      <c r="AK2973" t="s">
        <v>1006</v>
      </c>
      <c r="AL2973">
        <v>39.113816999999997</v>
      </c>
      <c r="AM2973" t="s">
        <v>1005</v>
      </c>
      <c r="AN2973">
        <v>-121.03219300000001</v>
      </c>
      <c r="AO2973">
        <v>25</v>
      </c>
      <c r="AP2973">
        <v>4400</v>
      </c>
      <c r="AQ2973" t="s">
        <v>131</v>
      </c>
      <c r="AR2973">
        <v>2</v>
      </c>
      <c r="AS2973">
        <v>84</v>
      </c>
      <c r="AT2973">
        <v>0</v>
      </c>
      <c r="BB2973" t="str">
        <f t="shared" si="1168"/>
        <v>1200</v>
      </c>
      <c r="BC2973">
        <v>1</v>
      </c>
      <c r="BD2973" t="str">
        <f t="shared" si="1169"/>
        <v xml:space="preserve">N52156  </v>
      </c>
      <c r="BE2973">
        <v>1</v>
      </c>
      <c r="BG2973">
        <v>0</v>
      </c>
      <c r="BH2973">
        <v>0</v>
      </c>
      <c r="BI2973">
        <v>0</v>
      </c>
      <c r="BJ2973">
        <v>4425</v>
      </c>
      <c r="BK2973">
        <v>25</v>
      </c>
      <c r="BL2973" t="s">
        <v>188</v>
      </c>
      <c r="BM2973">
        <v>1</v>
      </c>
      <c r="BN2973">
        <v>1</v>
      </c>
      <c r="BO2973">
        <v>0</v>
      </c>
      <c r="BP2973">
        <v>0</v>
      </c>
      <c r="BS2973">
        <v>0</v>
      </c>
      <c r="BT2973">
        <v>0</v>
      </c>
      <c r="BU2973">
        <v>0</v>
      </c>
      <c r="CE2973" t="str">
        <f t="shared" si="1179"/>
        <v>15:12:47.986</v>
      </c>
      <c r="CF2973">
        <v>986479806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5</v>
      </c>
      <c r="CY2973">
        <v>7</v>
      </c>
      <c r="CZ2973" t="s">
        <v>133</v>
      </c>
      <c r="DA2973">
        <v>275</v>
      </c>
      <c r="DB2973">
        <v>0</v>
      </c>
      <c r="DC2973" t="s">
        <v>134</v>
      </c>
      <c r="DD2973" t="s">
        <v>135</v>
      </c>
      <c r="DG2973">
        <v>3322243</v>
      </c>
      <c r="DI2973">
        <v>1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>"05/01/2025 15:12:48.214"</f>
        <v>05/01/2025 15:12:48.214</v>
      </c>
      <c r="C2974" t="str">
        <f t="shared" si="1166"/>
        <v>FFDFD3C0</v>
      </c>
      <c r="D2974" t="s">
        <v>145</v>
      </c>
      <c r="E2974" t="str">
        <f>"09"</f>
        <v>09</v>
      </c>
      <c r="H2974">
        <v>51</v>
      </c>
      <c r="I2974" t="s">
        <v>147</v>
      </c>
      <c r="J2974" t="s">
        <v>138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R2974" t="s">
        <v>127</v>
      </c>
      <c r="S2974" t="str">
        <f t="shared" si="1178"/>
        <v>15:12:47.000</v>
      </c>
      <c r="T2974" t="str">
        <f t="shared" si="1178"/>
        <v>15:12:47.000</v>
      </c>
      <c r="U2974" t="str">
        <f t="shared" si="1167"/>
        <v>A68FCB</v>
      </c>
      <c r="V2974">
        <v>0</v>
      </c>
      <c r="W2974">
        <v>0</v>
      </c>
      <c r="X2974">
        <v>2</v>
      </c>
      <c r="Y2974">
        <v>0</v>
      </c>
      <c r="AA2974">
        <v>1</v>
      </c>
      <c r="AB2974">
        <v>8</v>
      </c>
      <c r="AC2974">
        <v>3</v>
      </c>
      <c r="AD2974">
        <v>0</v>
      </c>
      <c r="AE2974">
        <v>9</v>
      </c>
      <c r="AF2974" t="s">
        <v>138</v>
      </c>
      <c r="AG2974">
        <v>0</v>
      </c>
      <c r="AH2974">
        <v>3</v>
      </c>
      <c r="AI2974">
        <v>2</v>
      </c>
      <c r="AJ2974">
        <v>0</v>
      </c>
      <c r="AK2974" t="s">
        <v>1006</v>
      </c>
      <c r="AL2974">
        <v>39.113816999999997</v>
      </c>
      <c r="AM2974" t="s">
        <v>1005</v>
      </c>
      <c r="AN2974">
        <v>-121.03219300000001</v>
      </c>
      <c r="AO2974">
        <v>25</v>
      </c>
      <c r="AP2974">
        <v>4400</v>
      </c>
      <c r="AQ2974" t="s">
        <v>131</v>
      </c>
      <c r="AR2974">
        <v>2</v>
      </c>
      <c r="AS2974">
        <v>84</v>
      </c>
      <c r="AT2974">
        <v>0</v>
      </c>
      <c r="BB2974" t="str">
        <f t="shared" si="1168"/>
        <v>1200</v>
      </c>
      <c r="BC2974">
        <v>1</v>
      </c>
      <c r="BD2974" t="str">
        <f t="shared" si="1169"/>
        <v xml:space="preserve">N52156  </v>
      </c>
      <c r="BE2974">
        <v>1</v>
      </c>
      <c r="BG2974">
        <v>0</v>
      </c>
      <c r="BH2974">
        <v>0</v>
      </c>
      <c r="BI2974">
        <v>0</v>
      </c>
      <c r="BJ2974">
        <v>4425</v>
      </c>
      <c r="BK2974">
        <v>25</v>
      </c>
      <c r="BL2974" t="s">
        <v>188</v>
      </c>
      <c r="BM2974">
        <v>1</v>
      </c>
      <c r="BN2974">
        <v>1</v>
      </c>
      <c r="BO2974">
        <v>0</v>
      </c>
      <c r="BP2974">
        <v>0</v>
      </c>
      <c r="BS2974">
        <v>0</v>
      </c>
      <c r="BT2974">
        <v>0</v>
      </c>
      <c r="BU2974">
        <v>0</v>
      </c>
      <c r="CE2974" t="str">
        <f t="shared" si="1179"/>
        <v>15:12:47.986</v>
      </c>
      <c r="CF2974">
        <v>986479806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5</v>
      </c>
      <c r="CY2974">
        <v>7</v>
      </c>
      <c r="CZ2974" t="s">
        <v>133</v>
      </c>
      <c r="DA2974">
        <v>275</v>
      </c>
      <c r="DB2974">
        <v>0</v>
      </c>
      <c r="DC2974" t="s">
        <v>134</v>
      </c>
      <c r="DD2974" t="s">
        <v>135</v>
      </c>
      <c r="DG2974">
        <v>3322243</v>
      </c>
      <c r="DI2974">
        <v>1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>"05/01/2025 15:12:48.217"</f>
        <v>05/01/2025 15:12:48.217</v>
      </c>
      <c r="C2975" t="str">
        <f t="shared" si="1166"/>
        <v>FFDFD3C0</v>
      </c>
      <c r="D2975" t="s">
        <v>145</v>
      </c>
      <c r="E2975" t="str">
        <f>"05"</f>
        <v>05</v>
      </c>
      <c r="H2975">
        <v>47</v>
      </c>
      <c r="I2975" t="s">
        <v>146</v>
      </c>
      <c r="J2975" t="s">
        <v>138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R2975" t="s">
        <v>127</v>
      </c>
      <c r="S2975" t="str">
        <f t="shared" si="1178"/>
        <v>15:12:47.000</v>
      </c>
      <c r="T2975" t="str">
        <f t="shared" si="1178"/>
        <v>15:12:47.000</v>
      </c>
      <c r="U2975" t="str">
        <f t="shared" si="1167"/>
        <v>A68FCB</v>
      </c>
      <c r="V2975">
        <v>0</v>
      </c>
      <c r="W2975">
        <v>0</v>
      </c>
      <c r="X2975">
        <v>2</v>
      </c>
      <c r="Y2975">
        <v>0</v>
      </c>
      <c r="AA2975">
        <v>1</v>
      </c>
      <c r="AB2975">
        <v>8</v>
      </c>
      <c r="AC2975">
        <v>3</v>
      </c>
      <c r="AD2975">
        <v>0</v>
      </c>
      <c r="AE2975">
        <v>9</v>
      </c>
      <c r="AF2975" t="s">
        <v>138</v>
      </c>
      <c r="AG2975">
        <v>0</v>
      </c>
      <c r="AH2975">
        <v>3</v>
      </c>
      <c r="AI2975">
        <v>2</v>
      </c>
      <c r="AJ2975">
        <v>0</v>
      </c>
      <c r="AK2975" t="s">
        <v>1006</v>
      </c>
      <c r="AL2975">
        <v>39.113816999999997</v>
      </c>
      <c r="AM2975" t="s">
        <v>1005</v>
      </c>
      <c r="AN2975">
        <v>-121.03219300000001</v>
      </c>
      <c r="AO2975">
        <v>25</v>
      </c>
      <c r="AP2975">
        <v>4400</v>
      </c>
      <c r="AQ2975" t="s">
        <v>131</v>
      </c>
      <c r="AR2975">
        <v>2</v>
      </c>
      <c r="AS2975">
        <v>84</v>
      </c>
      <c r="AT2975">
        <v>0</v>
      </c>
      <c r="BB2975" t="str">
        <f t="shared" si="1168"/>
        <v>1200</v>
      </c>
      <c r="BC2975">
        <v>1</v>
      </c>
      <c r="BD2975" t="str">
        <f t="shared" si="1169"/>
        <v xml:space="preserve">N52156  </v>
      </c>
      <c r="BE2975">
        <v>1</v>
      </c>
      <c r="BG2975">
        <v>0</v>
      </c>
      <c r="BH2975">
        <v>0</v>
      </c>
      <c r="BI2975">
        <v>0</v>
      </c>
      <c r="BJ2975">
        <v>4425</v>
      </c>
      <c r="BK2975">
        <v>25</v>
      </c>
      <c r="BL2975" t="s">
        <v>188</v>
      </c>
      <c r="BM2975">
        <v>1</v>
      </c>
      <c r="BN2975">
        <v>1</v>
      </c>
      <c r="BO2975">
        <v>0</v>
      </c>
      <c r="BP2975">
        <v>0</v>
      </c>
      <c r="BS2975">
        <v>0</v>
      </c>
      <c r="BT2975">
        <v>0</v>
      </c>
      <c r="BU2975">
        <v>0</v>
      </c>
      <c r="CE2975" t="str">
        <f t="shared" si="1179"/>
        <v>15:12:47.986</v>
      </c>
      <c r="CF2975">
        <v>986479806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5</v>
      </c>
      <c r="CY2975">
        <v>7</v>
      </c>
      <c r="CZ2975" t="s">
        <v>133</v>
      </c>
      <c r="DA2975">
        <v>275</v>
      </c>
      <c r="DB2975">
        <v>0</v>
      </c>
      <c r="DC2975" t="s">
        <v>134</v>
      </c>
      <c r="DD2975" t="s">
        <v>135</v>
      </c>
      <c r="DG2975">
        <v>3322243</v>
      </c>
      <c r="DI2975">
        <v>1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>"05/01/2025 15:12:48.226"</f>
        <v>05/01/2025 15:12:48.226</v>
      </c>
      <c r="C2976" t="str">
        <f t="shared" si="1166"/>
        <v>FFDFD3C0</v>
      </c>
      <c r="D2976" t="s">
        <v>136</v>
      </c>
      <c r="E2976" t="str">
        <f>"20"</f>
        <v>20</v>
      </c>
      <c r="H2976">
        <v>400</v>
      </c>
      <c r="I2976" t="s">
        <v>137</v>
      </c>
      <c r="J2976" t="s">
        <v>138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R2976" t="s">
        <v>127</v>
      </c>
      <c r="S2976" t="str">
        <f t="shared" si="1178"/>
        <v>15:12:47.000</v>
      </c>
      <c r="T2976" t="str">
        <f t="shared" si="1178"/>
        <v>15:12:47.000</v>
      </c>
      <c r="U2976" t="str">
        <f t="shared" si="1167"/>
        <v>A68FCB</v>
      </c>
      <c r="V2976">
        <v>0</v>
      </c>
      <c r="W2976">
        <v>0</v>
      </c>
      <c r="X2976">
        <v>2</v>
      </c>
      <c r="Y2976">
        <v>0</v>
      </c>
      <c r="AA2976">
        <v>1</v>
      </c>
      <c r="AB2976">
        <v>8</v>
      </c>
      <c r="AC2976">
        <v>3</v>
      </c>
      <c r="AD2976">
        <v>0</v>
      </c>
      <c r="AE2976">
        <v>9</v>
      </c>
      <c r="AF2976" t="s">
        <v>138</v>
      </c>
      <c r="AG2976">
        <v>0</v>
      </c>
      <c r="AH2976">
        <v>3</v>
      </c>
      <c r="AI2976">
        <v>2</v>
      </c>
      <c r="AJ2976">
        <v>0</v>
      </c>
      <c r="AK2976" t="s">
        <v>1006</v>
      </c>
      <c r="AL2976">
        <v>39.113816999999997</v>
      </c>
      <c r="AM2976" t="s">
        <v>1005</v>
      </c>
      <c r="AN2976">
        <v>-121.03219300000001</v>
      </c>
      <c r="AO2976">
        <v>25</v>
      </c>
      <c r="AP2976">
        <v>4400</v>
      </c>
      <c r="AQ2976" t="s">
        <v>131</v>
      </c>
      <c r="AR2976">
        <v>2</v>
      </c>
      <c r="AS2976">
        <v>84</v>
      </c>
      <c r="AT2976">
        <v>0</v>
      </c>
      <c r="BB2976" t="str">
        <f t="shared" si="1168"/>
        <v>1200</v>
      </c>
      <c r="BC2976">
        <v>1</v>
      </c>
      <c r="BD2976" t="str">
        <f t="shared" si="1169"/>
        <v xml:space="preserve">N52156  </v>
      </c>
      <c r="BE2976">
        <v>1</v>
      </c>
      <c r="BG2976">
        <v>0</v>
      </c>
      <c r="BH2976">
        <v>0</v>
      </c>
      <c r="BI2976">
        <v>0</v>
      </c>
      <c r="BJ2976">
        <v>4425</v>
      </c>
      <c r="BK2976">
        <v>25</v>
      </c>
      <c r="BL2976" t="s">
        <v>188</v>
      </c>
      <c r="BM2976">
        <v>1</v>
      </c>
      <c r="BN2976">
        <v>1</v>
      </c>
      <c r="BO2976">
        <v>0</v>
      </c>
      <c r="BP2976">
        <v>0</v>
      </c>
      <c r="BS2976">
        <v>0</v>
      </c>
      <c r="BT2976">
        <v>0</v>
      </c>
      <c r="BU2976">
        <v>0</v>
      </c>
      <c r="CE2976" t="str">
        <f t="shared" si="1179"/>
        <v>15:12:47.986</v>
      </c>
      <c r="CF2976">
        <v>986479806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5</v>
      </c>
      <c r="CY2976">
        <v>7</v>
      </c>
      <c r="CZ2976" t="s">
        <v>133</v>
      </c>
      <c r="DA2976">
        <v>275</v>
      </c>
      <c r="DB2976">
        <v>0</v>
      </c>
      <c r="DC2976" t="s">
        <v>134</v>
      </c>
      <c r="DD2976" t="s">
        <v>135</v>
      </c>
      <c r="DG2976">
        <v>3322243</v>
      </c>
      <c r="DI2976">
        <v>1</v>
      </c>
      <c r="DJ2976">
        <v>0</v>
      </c>
      <c r="DK2976">
        <v>1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>"05/01/2025 15:12:48.235"</f>
        <v>05/01/2025 15:12:48.235</v>
      </c>
      <c r="C2977" t="str">
        <f t="shared" si="1166"/>
        <v>FFDFD3C0</v>
      </c>
      <c r="D2977" t="s">
        <v>143</v>
      </c>
      <c r="E2977" t="str">
        <f>"05"</f>
        <v>05</v>
      </c>
      <c r="H2977">
        <v>172</v>
      </c>
      <c r="I2977" t="s">
        <v>141</v>
      </c>
      <c r="J2977" t="s">
        <v>144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R2977" t="s">
        <v>127</v>
      </c>
      <c r="S2977" t="str">
        <f t="shared" si="1178"/>
        <v>15:12:47.000</v>
      </c>
      <c r="T2977" t="str">
        <f t="shared" si="1178"/>
        <v>15:12:47.000</v>
      </c>
      <c r="U2977" t="str">
        <f t="shared" si="1167"/>
        <v>A68FCB</v>
      </c>
      <c r="V2977">
        <v>0</v>
      </c>
      <c r="W2977">
        <v>0</v>
      </c>
      <c r="X2977">
        <v>2</v>
      </c>
      <c r="Y2977">
        <v>0</v>
      </c>
      <c r="AA2977">
        <v>1</v>
      </c>
      <c r="AB2977">
        <v>8</v>
      </c>
      <c r="AC2977">
        <v>3</v>
      </c>
      <c r="AD2977">
        <v>0</v>
      </c>
      <c r="AE2977">
        <v>9</v>
      </c>
      <c r="AF2977" t="s">
        <v>138</v>
      </c>
      <c r="AG2977">
        <v>0</v>
      </c>
      <c r="AH2977">
        <v>3</v>
      </c>
      <c r="AI2977">
        <v>2</v>
      </c>
      <c r="AJ2977">
        <v>0</v>
      </c>
      <c r="AK2977" t="s">
        <v>1006</v>
      </c>
      <c r="AL2977">
        <v>39.113816999999997</v>
      </c>
      <c r="AM2977" t="s">
        <v>1005</v>
      </c>
      <c r="AN2977">
        <v>-121.03219300000001</v>
      </c>
      <c r="AO2977">
        <v>25</v>
      </c>
      <c r="AP2977">
        <v>4400</v>
      </c>
      <c r="AQ2977" t="s">
        <v>131</v>
      </c>
      <c r="AR2977">
        <v>2</v>
      </c>
      <c r="AS2977">
        <v>84</v>
      </c>
      <c r="AT2977">
        <v>0</v>
      </c>
      <c r="BB2977" t="str">
        <f t="shared" si="1168"/>
        <v>1200</v>
      </c>
      <c r="BC2977">
        <v>1</v>
      </c>
      <c r="BD2977" t="str">
        <f t="shared" si="1169"/>
        <v xml:space="preserve">N52156  </v>
      </c>
      <c r="BE2977">
        <v>1</v>
      </c>
      <c r="BG2977">
        <v>0</v>
      </c>
      <c r="BH2977">
        <v>0</v>
      </c>
      <c r="BI2977">
        <v>0</v>
      </c>
      <c r="BJ2977">
        <v>4425</v>
      </c>
      <c r="BK2977">
        <v>25</v>
      </c>
      <c r="BL2977" t="s">
        <v>188</v>
      </c>
      <c r="BM2977">
        <v>1</v>
      </c>
      <c r="BN2977">
        <v>1</v>
      </c>
      <c r="BO2977">
        <v>0</v>
      </c>
      <c r="BP2977">
        <v>0</v>
      </c>
      <c r="BS2977">
        <v>0</v>
      </c>
      <c r="BT2977">
        <v>0</v>
      </c>
      <c r="BU2977">
        <v>0</v>
      </c>
      <c r="CE2977" t="str">
        <f t="shared" si="1179"/>
        <v>15:12:47.986</v>
      </c>
      <c r="CF2977">
        <v>986479806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5</v>
      </c>
      <c r="CY2977">
        <v>7</v>
      </c>
      <c r="CZ2977" t="s">
        <v>133</v>
      </c>
      <c r="DA2977">
        <v>275</v>
      </c>
      <c r="DB2977">
        <v>0</v>
      </c>
      <c r="DC2977" t="s">
        <v>134</v>
      </c>
      <c r="DD2977" t="s">
        <v>135</v>
      </c>
      <c r="DG2977">
        <v>3322243</v>
      </c>
      <c r="DI2977">
        <v>1</v>
      </c>
      <c r="DJ2977">
        <v>0</v>
      </c>
      <c r="DK2977">
        <v>1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>"05/01/2025 15:12:48.627"</f>
        <v>05/01/2025 15:12:48.627</v>
      </c>
      <c r="C2978" t="str">
        <f t="shared" si="1166"/>
        <v>FFDFD3C0</v>
      </c>
      <c r="D2978" t="s">
        <v>136</v>
      </c>
      <c r="E2978" t="str">
        <f>"20"</f>
        <v>20</v>
      </c>
      <c r="H2978">
        <v>400</v>
      </c>
      <c r="I2978" t="s">
        <v>137</v>
      </c>
      <c r="J2978" t="s">
        <v>138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R2978" t="s">
        <v>127</v>
      </c>
      <c r="S2978" t="str">
        <f t="shared" ref="S2978:T2983" si="1180">"15:12:48.000"</f>
        <v>15:12:48.000</v>
      </c>
      <c r="T2978" t="str">
        <f t="shared" si="1180"/>
        <v>15:12:48.000</v>
      </c>
      <c r="U2978" t="str">
        <f t="shared" si="1167"/>
        <v>A68FCB</v>
      </c>
      <c r="V2978">
        <v>0</v>
      </c>
      <c r="W2978">
        <v>0</v>
      </c>
      <c r="X2978">
        <v>2</v>
      </c>
      <c r="Y2978">
        <v>0</v>
      </c>
      <c r="AA2978">
        <v>1</v>
      </c>
      <c r="AB2978">
        <v>8</v>
      </c>
      <c r="AC2978">
        <v>3</v>
      </c>
      <c r="AD2978">
        <v>0</v>
      </c>
      <c r="AE2978">
        <v>9</v>
      </c>
      <c r="AF2978" t="s">
        <v>138</v>
      </c>
      <c r="AG2978">
        <v>0</v>
      </c>
      <c r="AH2978">
        <v>3</v>
      </c>
      <c r="AI2978">
        <v>2</v>
      </c>
      <c r="AJ2978">
        <v>0</v>
      </c>
      <c r="AK2978" t="s">
        <v>1007</v>
      </c>
      <c r="AL2978">
        <v>39.114203000000003</v>
      </c>
      <c r="AM2978" t="s">
        <v>1008</v>
      </c>
      <c r="AN2978">
        <v>-121.03217100000001</v>
      </c>
      <c r="AO2978">
        <v>25</v>
      </c>
      <c r="AP2978">
        <v>4400</v>
      </c>
      <c r="AQ2978" t="s">
        <v>131</v>
      </c>
      <c r="AR2978">
        <v>2</v>
      </c>
      <c r="AS2978">
        <v>83</v>
      </c>
      <c r="AT2978">
        <v>0</v>
      </c>
      <c r="BB2978" t="str">
        <f t="shared" si="1168"/>
        <v>1200</v>
      </c>
      <c r="BC2978">
        <v>1</v>
      </c>
      <c r="BD2978" t="str">
        <f t="shared" si="1169"/>
        <v xml:space="preserve">N52156  </v>
      </c>
      <c r="BE2978">
        <v>1</v>
      </c>
      <c r="BG2978">
        <v>0</v>
      </c>
      <c r="BH2978">
        <v>0</v>
      </c>
      <c r="BI2978">
        <v>0</v>
      </c>
      <c r="BJ2978">
        <v>4425</v>
      </c>
      <c r="BK2978">
        <v>25</v>
      </c>
      <c r="BL2978" t="s">
        <v>188</v>
      </c>
      <c r="BM2978">
        <v>1</v>
      </c>
      <c r="BN2978">
        <v>1</v>
      </c>
      <c r="BO2978">
        <v>0</v>
      </c>
      <c r="BP2978">
        <v>0</v>
      </c>
      <c r="BS2978">
        <v>0</v>
      </c>
      <c r="BT2978">
        <v>0</v>
      </c>
      <c r="BU2978">
        <v>0</v>
      </c>
      <c r="CE2978" t="str">
        <f t="shared" ref="CE2978:CE2983" si="1181">"15:12:48.420"</f>
        <v>15:12:48.420</v>
      </c>
      <c r="CF2978">
        <v>419978433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5</v>
      </c>
      <c r="CY2978">
        <v>7</v>
      </c>
      <c r="CZ2978" t="s">
        <v>133</v>
      </c>
      <c r="DA2978">
        <v>275</v>
      </c>
      <c r="DB2978">
        <v>0</v>
      </c>
      <c r="DC2978" t="s">
        <v>134</v>
      </c>
      <c r="DD2978" t="s">
        <v>135</v>
      </c>
      <c r="DG2978">
        <v>3322246</v>
      </c>
      <c r="DI2978">
        <v>1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>"05/01/2025 15:12:48.636"</f>
        <v>05/01/2025 15:12:48.636</v>
      </c>
      <c r="C2979" t="str">
        <f t="shared" si="1166"/>
        <v>FFDFD3C0</v>
      </c>
      <c r="D2979" t="s">
        <v>143</v>
      </c>
      <c r="E2979" t="str">
        <f>"05"</f>
        <v>05</v>
      </c>
      <c r="H2979">
        <v>172</v>
      </c>
      <c r="I2979" t="s">
        <v>141</v>
      </c>
      <c r="J2979" t="s">
        <v>144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R2979" t="s">
        <v>127</v>
      </c>
      <c r="S2979" t="str">
        <f t="shared" si="1180"/>
        <v>15:12:48.000</v>
      </c>
      <c r="T2979" t="str">
        <f t="shared" si="1180"/>
        <v>15:12:48.000</v>
      </c>
      <c r="U2979" t="str">
        <f t="shared" si="1167"/>
        <v>A68FCB</v>
      </c>
      <c r="V2979">
        <v>0</v>
      </c>
      <c r="W2979">
        <v>0</v>
      </c>
      <c r="X2979">
        <v>2</v>
      </c>
      <c r="Y2979">
        <v>0</v>
      </c>
      <c r="AA2979">
        <v>1</v>
      </c>
      <c r="AB2979">
        <v>8</v>
      </c>
      <c r="AC2979">
        <v>3</v>
      </c>
      <c r="AD2979">
        <v>0</v>
      </c>
      <c r="AE2979">
        <v>9</v>
      </c>
      <c r="AF2979" t="s">
        <v>138</v>
      </c>
      <c r="AG2979">
        <v>0</v>
      </c>
      <c r="AH2979">
        <v>3</v>
      </c>
      <c r="AI2979">
        <v>2</v>
      </c>
      <c r="AJ2979">
        <v>0</v>
      </c>
      <c r="AK2979" t="s">
        <v>1007</v>
      </c>
      <c r="AL2979">
        <v>39.114203000000003</v>
      </c>
      <c r="AM2979" t="s">
        <v>1008</v>
      </c>
      <c r="AN2979">
        <v>-121.03217100000001</v>
      </c>
      <c r="AO2979">
        <v>25</v>
      </c>
      <c r="AP2979">
        <v>4400</v>
      </c>
      <c r="AQ2979" t="s">
        <v>131</v>
      </c>
      <c r="AR2979">
        <v>2</v>
      </c>
      <c r="AS2979">
        <v>83</v>
      </c>
      <c r="AT2979">
        <v>0</v>
      </c>
      <c r="BB2979" t="str">
        <f t="shared" si="1168"/>
        <v>1200</v>
      </c>
      <c r="BC2979">
        <v>1</v>
      </c>
      <c r="BD2979" t="str">
        <f t="shared" si="1169"/>
        <v xml:space="preserve">N52156  </v>
      </c>
      <c r="BE2979">
        <v>1</v>
      </c>
      <c r="BG2979">
        <v>0</v>
      </c>
      <c r="BH2979">
        <v>0</v>
      </c>
      <c r="BI2979">
        <v>0</v>
      </c>
      <c r="BJ2979">
        <v>4425</v>
      </c>
      <c r="BK2979">
        <v>25</v>
      </c>
      <c r="BL2979" t="s">
        <v>188</v>
      </c>
      <c r="BM2979">
        <v>1</v>
      </c>
      <c r="BN2979">
        <v>1</v>
      </c>
      <c r="BO2979">
        <v>0</v>
      </c>
      <c r="BP2979">
        <v>0</v>
      </c>
      <c r="BS2979">
        <v>0</v>
      </c>
      <c r="BT2979">
        <v>0</v>
      </c>
      <c r="BU2979">
        <v>0</v>
      </c>
      <c r="CE2979" t="str">
        <f t="shared" si="1181"/>
        <v>15:12:48.420</v>
      </c>
      <c r="CF2979">
        <v>419978433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5</v>
      </c>
      <c r="CY2979">
        <v>7</v>
      </c>
      <c r="CZ2979" t="s">
        <v>133</v>
      </c>
      <c r="DA2979">
        <v>275</v>
      </c>
      <c r="DB2979">
        <v>0</v>
      </c>
      <c r="DC2979" t="s">
        <v>134</v>
      </c>
      <c r="DD2979" t="s">
        <v>135</v>
      </c>
      <c r="DG2979">
        <v>3322246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>"05/01/2025 15:12:48.651"</f>
        <v>05/01/2025 15:12:48.651</v>
      </c>
      <c r="C2980" t="str">
        <f t="shared" si="1166"/>
        <v>FFDFD3C0</v>
      </c>
      <c r="D2980" t="s">
        <v>140</v>
      </c>
      <c r="E2980" t="str">
        <f>"13"</f>
        <v>13</v>
      </c>
      <c r="F2980">
        <v>1019</v>
      </c>
      <c r="G2980" t="s">
        <v>141</v>
      </c>
      <c r="J2980" t="s">
        <v>142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R2980" t="s">
        <v>127</v>
      </c>
      <c r="S2980" t="str">
        <f t="shared" si="1180"/>
        <v>15:12:48.000</v>
      </c>
      <c r="T2980" t="str">
        <f t="shared" si="1180"/>
        <v>15:12:48.000</v>
      </c>
      <c r="U2980" t="str">
        <f t="shared" si="1167"/>
        <v>A68FCB</v>
      </c>
      <c r="V2980">
        <v>0</v>
      </c>
      <c r="W2980">
        <v>0</v>
      </c>
      <c r="X2980">
        <v>2</v>
      </c>
      <c r="Y2980">
        <v>0</v>
      </c>
      <c r="AA2980">
        <v>1</v>
      </c>
      <c r="AB2980">
        <v>8</v>
      </c>
      <c r="AC2980">
        <v>3</v>
      </c>
      <c r="AD2980">
        <v>0</v>
      </c>
      <c r="AE2980">
        <v>9</v>
      </c>
      <c r="AF2980" t="s">
        <v>138</v>
      </c>
      <c r="AG2980">
        <v>0</v>
      </c>
      <c r="AH2980">
        <v>3</v>
      </c>
      <c r="AI2980">
        <v>2</v>
      </c>
      <c r="AJ2980">
        <v>0</v>
      </c>
      <c r="AK2980" t="s">
        <v>1007</v>
      </c>
      <c r="AL2980">
        <v>39.114203000000003</v>
      </c>
      <c r="AM2980" t="s">
        <v>1008</v>
      </c>
      <c r="AN2980">
        <v>-121.03217100000001</v>
      </c>
      <c r="AO2980">
        <v>25</v>
      </c>
      <c r="AP2980">
        <v>4400</v>
      </c>
      <c r="AQ2980" t="s">
        <v>131</v>
      </c>
      <c r="AR2980">
        <v>2</v>
      </c>
      <c r="AS2980">
        <v>83</v>
      </c>
      <c r="AT2980">
        <v>0</v>
      </c>
      <c r="BB2980" t="str">
        <f t="shared" si="1168"/>
        <v>1200</v>
      </c>
      <c r="BC2980">
        <v>1</v>
      </c>
      <c r="BD2980" t="str">
        <f t="shared" si="1169"/>
        <v xml:space="preserve">N52156  </v>
      </c>
      <c r="BE2980">
        <v>1</v>
      </c>
      <c r="BG2980">
        <v>0</v>
      </c>
      <c r="BH2980">
        <v>0</v>
      </c>
      <c r="BI2980">
        <v>0</v>
      </c>
      <c r="BJ2980">
        <v>4425</v>
      </c>
      <c r="BK2980">
        <v>25</v>
      </c>
      <c r="BL2980" t="s">
        <v>188</v>
      </c>
      <c r="BM2980">
        <v>1</v>
      </c>
      <c r="BN2980">
        <v>1</v>
      </c>
      <c r="BO2980">
        <v>0</v>
      </c>
      <c r="BP2980">
        <v>0</v>
      </c>
      <c r="BS2980">
        <v>0</v>
      </c>
      <c r="BT2980">
        <v>0</v>
      </c>
      <c r="BU2980">
        <v>0</v>
      </c>
      <c r="CE2980" t="str">
        <f t="shared" si="1181"/>
        <v>15:12:48.420</v>
      </c>
      <c r="CF2980">
        <v>419978433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5</v>
      </c>
      <c r="CY2980">
        <v>7</v>
      </c>
      <c r="CZ2980" t="s">
        <v>133</v>
      </c>
      <c r="DA2980">
        <v>275</v>
      </c>
      <c r="DB2980">
        <v>0</v>
      </c>
      <c r="DC2980" t="s">
        <v>134</v>
      </c>
      <c r="DD2980" t="s">
        <v>135</v>
      </c>
      <c r="DG2980">
        <v>3322246</v>
      </c>
      <c r="DI2980">
        <v>1</v>
      </c>
      <c r="DJ2980">
        <v>0</v>
      </c>
      <c r="DK2980">
        <v>1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>"05/01/2025 15:12:48.652"</f>
        <v>05/01/2025 15:12:48.652</v>
      </c>
      <c r="C2981" t="str">
        <f t="shared" si="1166"/>
        <v>FFDFD3C0</v>
      </c>
      <c r="D2981" t="s">
        <v>124</v>
      </c>
      <c r="E2981" t="str">
        <f>"06"</f>
        <v>06</v>
      </c>
      <c r="F2981">
        <v>2006</v>
      </c>
      <c r="G2981" t="s">
        <v>125</v>
      </c>
      <c r="J2981" t="s">
        <v>126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R2981" t="s">
        <v>127</v>
      </c>
      <c r="S2981" t="str">
        <f t="shared" si="1180"/>
        <v>15:12:48.000</v>
      </c>
      <c r="T2981" t="str">
        <f t="shared" si="1180"/>
        <v>15:12:48.000</v>
      </c>
      <c r="U2981" t="str">
        <f t="shared" si="1167"/>
        <v>A68FCB</v>
      </c>
      <c r="V2981">
        <v>0</v>
      </c>
      <c r="W2981">
        <v>0</v>
      </c>
      <c r="X2981">
        <v>2</v>
      </c>
      <c r="Y2981">
        <v>0</v>
      </c>
      <c r="AA2981">
        <v>1</v>
      </c>
      <c r="AB2981">
        <v>8</v>
      </c>
      <c r="AC2981">
        <v>3</v>
      </c>
      <c r="AD2981">
        <v>0</v>
      </c>
      <c r="AE2981">
        <v>9</v>
      </c>
      <c r="AF2981" t="s">
        <v>138</v>
      </c>
      <c r="AG2981">
        <v>0</v>
      </c>
      <c r="AH2981">
        <v>3</v>
      </c>
      <c r="AI2981">
        <v>2</v>
      </c>
      <c r="AJ2981">
        <v>0</v>
      </c>
      <c r="AK2981" t="s">
        <v>1007</v>
      </c>
      <c r="AL2981">
        <v>39.114203000000003</v>
      </c>
      <c r="AM2981" t="s">
        <v>1008</v>
      </c>
      <c r="AN2981">
        <v>-121.03217100000001</v>
      </c>
      <c r="AO2981">
        <v>25</v>
      </c>
      <c r="AP2981">
        <v>4400</v>
      </c>
      <c r="AQ2981" t="s">
        <v>131</v>
      </c>
      <c r="AR2981">
        <v>2</v>
      </c>
      <c r="AS2981">
        <v>83</v>
      </c>
      <c r="AT2981">
        <v>0</v>
      </c>
      <c r="BB2981" t="str">
        <f t="shared" si="1168"/>
        <v>1200</v>
      </c>
      <c r="BC2981">
        <v>1</v>
      </c>
      <c r="BD2981" t="str">
        <f t="shared" si="1169"/>
        <v xml:space="preserve">N52156  </v>
      </c>
      <c r="BE2981">
        <v>1</v>
      </c>
      <c r="BG2981">
        <v>0</v>
      </c>
      <c r="BH2981">
        <v>0</v>
      </c>
      <c r="BI2981">
        <v>0</v>
      </c>
      <c r="BJ2981">
        <v>4425</v>
      </c>
      <c r="BK2981">
        <v>25</v>
      </c>
      <c r="BL2981" t="s">
        <v>188</v>
      </c>
      <c r="BM2981">
        <v>1</v>
      </c>
      <c r="BN2981">
        <v>1</v>
      </c>
      <c r="BO2981">
        <v>0</v>
      </c>
      <c r="BP2981">
        <v>0</v>
      </c>
      <c r="BS2981">
        <v>0</v>
      </c>
      <c r="BT2981">
        <v>0</v>
      </c>
      <c r="BU2981">
        <v>0</v>
      </c>
      <c r="CE2981" t="str">
        <f t="shared" si="1181"/>
        <v>15:12:48.420</v>
      </c>
      <c r="CF2981">
        <v>419978433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5</v>
      </c>
      <c r="CY2981">
        <v>7</v>
      </c>
      <c r="CZ2981" t="s">
        <v>133</v>
      </c>
      <c r="DA2981">
        <v>275</v>
      </c>
      <c r="DB2981">
        <v>0</v>
      </c>
      <c r="DC2981" t="s">
        <v>134</v>
      </c>
      <c r="DD2981" t="s">
        <v>135</v>
      </c>
      <c r="DG2981">
        <v>3322246</v>
      </c>
      <c r="DI2981">
        <v>1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>"05/01/2025 15:12:48.665"</f>
        <v>05/01/2025 15:12:48.665</v>
      </c>
      <c r="C2982" t="str">
        <f t="shared" si="1166"/>
        <v>FFDFD3C0</v>
      </c>
      <c r="D2982" t="s">
        <v>145</v>
      </c>
      <c r="E2982" t="str">
        <f>"09"</f>
        <v>09</v>
      </c>
      <c r="H2982">
        <v>51</v>
      </c>
      <c r="I2982" t="s">
        <v>147</v>
      </c>
      <c r="J2982" t="s">
        <v>138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R2982" t="s">
        <v>127</v>
      </c>
      <c r="S2982" t="str">
        <f t="shared" si="1180"/>
        <v>15:12:48.000</v>
      </c>
      <c r="T2982" t="str">
        <f t="shared" si="1180"/>
        <v>15:12:48.000</v>
      </c>
      <c r="U2982" t="str">
        <f t="shared" si="1167"/>
        <v>A68FCB</v>
      </c>
      <c r="V2982">
        <v>0</v>
      </c>
      <c r="W2982">
        <v>0</v>
      </c>
      <c r="X2982">
        <v>2</v>
      </c>
      <c r="Y2982">
        <v>0</v>
      </c>
      <c r="AA2982">
        <v>1</v>
      </c>
      <c r="AB2982">
        <v>8</v>
      </c>
      <c r="AC2982">
        <v>3</v>
      </c>
      <c r="AD2982">
        <v>0</v>
      </c>
      <c r="AE2982">
        <v>9</v>
      </c>
      <c r="AF2982" t="s">
        <v>138</v>
      </c>
      <c r="AG2982">
        <v>0</v>
      </c>
      <c r="AH2982">
        <v>3</v>
      </c>
      <c r="AI2982">
        <v>2</v>
      </c>
      <c r="AJ2982">
        <v>0</v>
      </c>
      <c r="AK2982" t="s">
        <v>1007</v>
      </c>
      <c r="AL2982">
        <v>39.114203000000003</v>
      </c>
      <c r="AM2982" t="s">
        <v>1008</v>
      </c>
      <c r="AN2982">
        <v>-121.03217100000001</v>
      </c>
      <c r="AO2982">
        <v>25</v>
      </c>
      <c r="AP2982">
        <v>4400</v>
      </c>
      <c r="AQ2982" t="s">
        <v>131</v>
      </c>
      <c r="AR2982">
        <v>2</v>
      </c>
      <c r="AS2982">
        <v>83</v>
      </c>
      <c r="AT2982">
        <v>0</v>
      </c>
      <c r="BB2982" t="str">
        <f t="shared" si="1168"/>
        <v>1200</v>
      </c>
      <c r="BC2982">
        <v>1</v>
      </c>
      <c r="BD2982" t="str">
        <f t="shared" si="1169"/>
        <v xml:space="preserve">N52156  </v>
      </c>
      <c r="BE2982">
        <v>1</v>
      </c>
      <c r="BG2982">
        <v>0</v>
      </c>
      <c r="BH2982">
        <v>0</v>
      </c>
      <c r="BI2982">
        <v>0</v>
      </c>
      <c r="BJ2982">
        <v>4425</v>
      </c>
      <c r="BK2982">
        <v>25</v>
      </c>
      <c r="BL2982" t="s">
        <v>188</v>
      </c>
      <c r="BM2982">
        <v>1</v>
      </c>
      <c r="BN2982">
        <v>1</v>
      </c>
      <c r="BO2982">
        <v>0</v>
      </c>
      <c r="BP2982">
        <v>0</v>
      </c>
      <c r="BS2982">
        <v>0</v>
      </c>
      <c r="BT2982">
        <v>0</v>
      </c>
      <c r="BU2982">
        <v>0</v>
      </c>
      <c r="CE2982" t="str">
        <f t="shared" si="1181"/>
        <v>15:12:48.420</v>
      </c>
      <c r="CF2982">
        <v>419978433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5</v>
      </c>
      <c r="CY2982">
        <v>7</v>
      </c>
      <c r="CZ2982" t="s">
        <v>133</v>
      </c>
      <c r="DA2982">
        <v>275</v>
      </c>
      <c r="DB2982">
        <v>0</v>
      </c>
      <c r="DC2982" t="s">
        <v>134</v>
      </c>
      <c r="DD2982" t="s">
        <v>135</v>
      </c>
      <c r="DG2982">
        <v>3322246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>"05/01/2025 15:12:48.668"</f>
        <v>05/01/2025 15:12:48.668</v>
      </c>
      <c r="C2983" t="str">
        <f t="shared" si="1166"/>
        <v>FFDFD3C0</v>
      </c>
      <c r="D2983" t="s">
        <v>145</v>
      </c>
      <c r="E2983" t="str">
        <f>"05"</f>
        <v>05</v>
      </c>
      <c r="H2983">
        <v>47</v>
      </c>
      <c r="I2983" t="s">
        <v>146</v>
      </c>
      <c r="J2983" t="s">
        <v>138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R2983" t="s">
        <v>127</v>
      </c>
      <c r="S2983" t="str">
        <f t="shared" si="1180"/>
        <v>15:12:48.000</v>
      </c>
      <c r="T2983" t="str">
        <f t="shared" si="1180"/>
        <v>15:12:48.000</v>
      </c>
      <c r="U2983" t="str">
        <f t="shared" si="1167"/>
        <v>A68FCB</v>
      </c>
      <c r="V2983">
        <v>0</v>
      </c>
      <c r="W2983">
        <v>0</v>
      </c>
      <c r="X2983">
        <v>2</v>
      </c>
      <c r="Y2983">
        <v>0</v>
      </c>
      <c r="AA2983">
        <v>1</v>
      </c>
      <c r="AB2983">
        <v>8</v>
      </c>
      <c r="AC2983">
        <v>3</v>
      </c>
      <c r="AD2983">
        <v>0</v>
      </c>
      <c r="AE2983">
        <v>9</v>
      </c>
      <c r="AF2983" t="s">
        <v>138</v>
      </c>
      <c r="AG2983">
        <v>0</v>
      </c>
      <c r="AH2983">
        <v>3</v>
      </c>
      <c r="AI2983">
        <v>2</v>
      </c>
      <c r="AJ2983">
        <v>0</v>
      </c>
      <c r="AK2983" t="s">
        <v>1007</v>
      </c>
      <c r="AL2983">
        <v>39.114203000000003</v>
      </c>
      <c r="AM2983" t="s">
        <v>1008</v>
      </c>
      <c r="AN2983">
        <v>-121.03217100000001</v>
      </c>
      <c r="AO2983">
        <v>25</v>
      </c>
      <c r="AP2983">
        <v>4400</v>
      </c>
      <c r="AQ2983" t="s">
        <v>131</v>
      </c>
      <c r="AR2983">
        <v>2</v>
      </c>
      <c r="AS2983">
        <v>83</v>
      </c>
      <c r="AT2983">
        <v>0</v>
      </c>
      <c r="BB2983" t="str">
        <f t="shared" si="1168"/>
        <v>1200</v>
      </c>
      <c r="BC2983">
        <v>1</v>
      </c>
      <c r="BD2983" t="str">
        <f t="shared" si="1169"/>
        <v xml:space="preserve">N52156  </v>
      </c>
      <c r="BE2983">
        <v>1</v>
      </c>
      <c r="BG2983">
        <v>0</v>
      </c>
      <c r="BH2983">
        <v>0</v>
      </c>
      <c r="BI2983">
        <v>0</v>
      </c>
      <c r="BJ2983">
        <v>4425</v>
      </c>
      <c r="BK2983">
        <v>25</v>
      </c>
      <c r="BL2983" t="s">
        <v>188</v>
      </c>
      <c r="BM2983">
        <v>1</v>
      </c>
      <c r="BN2983">
        <v>1</v>
      </c>
      <c r="BO2983">
        <v>0</v>
      </c>
      <c r="BP2983">
        <v>0</v>
      </c>
      <c r="BS2983">
        <v>0</v>
      </c>
      <c r="BT2983">
        <v>0</v>
      </c>
      <c r="BU2983">
        <v>0</v>
      </c>
      <c r="CE2983" t="str">
        <f t="shared" si="1181"/>
        <v>15:12:48.420</v>
      </c>
      <c r="CF2983">
        <v>419978433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5</v>
      </c>
      <c r="CY2983">
        <v>7</v>
      </c>
      <c r="CZ2983" t="s">
        <v>133</v>
      </c>
      <c r="DA2983">
        <v>275</v>
      </c>
      <c r="DB2983">
        <v>0</v>
      </c>
      <c r="DC2983" t="s">
        <v>134</v>
      </c>
      <c r="DD2983" t="s">
        <v>135</v>
      </c>
      <c r="DG2983">
        <v>3322246</v>
      </c>
      <c r="DI2983">
        <v>1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>"05/01/2025 15:12:49.567"</f>
        <v>05/01/2025 15:12:49.567</v>
      </c>
      <c r="C2984" t="str">
        <f t="shared" si="1166"/>
        <v>FFDFD3C0</v>
      </c>
      <c r="D2984" t="s">
        <v>145</v>
      </c>
      <c r="E2984" t="str">
        <f>"09"</f>
        <v>09</v>
      </c>
      <c r="H2984">
        <v>51</v>
      </c>
      <c r="I2984" t="s">
        <v>147</v>
      </c>
      <c r="J2984" t="s">
        <v>138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R2984" t="s">
        <v>127</v>
      </c>
      <c r="S2984" t="str">
        <f t="shared" ref="S2984:T2989" si="1182">"15:12:49.000"</f>
        <v>15:12:49.000</v>
      </c>
      <c r="T2984" t="str">
        <f t="shared" si="1182"/>
        <v>15:12:49.000</v>
      </c>
      <c r="U2984" t="str">
        <f t="shared" si="1167"/>
        <v>A68FCB</v>
      </c>
      <c r="V2984">
        <v>0</v>
      </c>
      <c r="W2984">
        <v>0</v>
      </c>
      <c r="X2984">
        <v>2</v>
      </c>
      <c r="Y2984">
        <v>0</v>
      </c>
      <c r="AA2984">
        <v>1</v>
      </c>
      <c r="AB2984">
        <v>8</v>
      </c>
      <c r="AC2984">
        <v>3</v>
      </c>
      <c r="AD2984">
        <v>0</v>
      </c>
      <c r="AE2984">
        <v>9</v>
      </c>
      <c r="AF2984" t="s">
        <v>138</v>
      </c>
      <c r="AG2984">
        <v>0</v>
      </c>
      <c r="AH2984">
        <v>3</v>
      </c>
      <c r="AI2984">
        <v>2</v>
      </c>
      <c r="AJ2984">
        <v>0</v>
      </c>
      <c r="AK2984" t="s">
        <v>1009</v>
      </c>
      <c r="AL2984">
        <v>39.114610999999996</v>
      </c>
      <c r="AM2984" t="s">
        <v>1008</v>
      </c>
      <c r="AN2984">
        <v>-121.03217100000001</v>
      </c>
      <c r="AO2984">
        <v>25</v>
      </c>
      <c r="AP2984">
        <v>4400</v>
      </c>
      <c r="AQ2984" t="s">
        <v>131</v>
      </c>
      <c r="AR2984">
        <v>1</v>
      </c>
      <c r="AS2984">
        <v>83</v>
      </c>
      <c r="AT2984">
        <v>0</v>
      </c>
      <c r="BB2984" t="str">
        <f t="shared" si="1168"/>
        <v>1200</v>
      </c>
      <c r="BC2984">
        <v>1</v>
      </c>
      <c r="BD2984" t="str">
        <f t="shared" si="1169"/>
        <v xml:space="preserve">N52156  </v>
      </c>
      <c r="BE2984">
        <v>1</v>
      </c>
      <c r="BG2984">
        <v>0</v>
      </c>
      <c r="BH2984">
        <v>0</v>
      </c>
      <c r="BI2984">
        <v>0</v>
      </c>
      <c r="BJ2984">
        <v>4425</v>
      </c>
      <c r="BK2984">
        <v>25</v>
      </c>
      <c r="BL2984" t="s">
        <v>188</v>
      </c>
      <c r="BM2984">
        <v>1</v>
      </c>
      <c r="BN2984">
        <v>1</v>
      </c>
      <c r="BO2984">
        <v>0</v>
      </c>
      <c r="BP2984">
        <v>0</v>
      </c>
      <c r="BS2984">
        <v>0</v>
      </c>
      <c r="BT2984">
        <v>0</v>
      </c>
      <c r="BU2984">
        <v>0</v>
      </c>
      <c r="CE2984" t="str">
        <f t="shared" ref="CE2984:CE2989" si="1183">"15:12:49.365"</f>
        <v>15:12:49.365</v>
      </c>
      <c r="CF2984">
        <v>364978370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5</v>
      </c>
      <c r="CY2984">
        <v>7</v>
      </c>
      <c r="CZ2984" t="s">
        <v>133</v>
      </c>
      <c r="DA2984">
        <v>275</v>
      </c>
      <c r="DB2984">
        <v>0</v>
      </c>
      <c r="DC2984" t="s">
        <v>134</v>
      </c>
      <c r="DD2984" t="s">
        <v>135</v>
      </c>
      <c r="DG2984">
        <v>3322252</v>
      </c>
      <c r="DI2984">
        <v>1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>"05/01/2025 15:12:49.570"</f>
        <v>05/01/2025 15:12:49.570</v>
      </c>
      <c r="C2985" t="str">
        <f t="shared" si="1166"/>
        <v>FFDFD3C0</v>
      </c>
      <c r="D2985" t="s">
        <v>145</v>
      </c>
      <c r="E2985" t="str">
        <f>"05"</f>
        <v>05</v>
      </c>
      <c r="H2985">
        <v>47</v>
      </c>
      <c r="I2985" t="s">
        <v>146</v>
      </c>
      <c r="J2985" t="s">
        <v>138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R2985" t="s">
        <v>127</v>
      </c>
      <c r="S2985" t="str">
        <f t="shared" si="1182"/>
        <v>15:12:49.000</v>
      </c>
      <c r="T2985" t="str">
        <f t="shared" si="1182"/>
        <v>15:12:49.000</v>
      </c>
      <c r="U2985" t="str">
        <f t="shared" si="1167"/>
        <v>A68FCB</v>
      </c>
      <c r="V2985">
        <v>0</v>
      </c>
      <c r="W2985">
        <v>0</v>
      </c>
      <c r="X2985">
        <v>2</v>
      </c>
      <c r="Y2985">
        <v>0</v>
      </c>
      <c r="AA2985">
        <v>1</v>
      </c>
      <c r="AB2985">
        <v>8</v>
      </c>
      <c r="AC2985">
        <v>3</v>
      </c>
      <c r="AD2985">
        <v>0</v>
      </c>
      <c r="AE2985">
        <v>9</v>
      </c>
      <c r="AF2985" t="s">
        <v>138</v>
      </c>
      <c r="AG2985">
        <v>0</v>
      </c>
      <c r="AH2985">
        <v>3</v>
      </c>
      <c r="AI2985">
        <v>2</v>
      </c>
      <c r="AJ2985">
        <v>0</v>
      </c>
      <c r="AK2985" t="s">
        <v>1009</v>
      </c>
      <c r="AL2985">
        <v>39.114610999999996</v>
      </c>
      <c r="AM2985" t="s">
        <v>1008</v>
      </c>
      <c r="AN2985">
        <v>-121.03217100000001</v>
      </c>
      <c r="AO2985">
        <v>25</v>
      </c>
      <c r="AP2985">
        <v>4400</v>
      </c>
      <c r="AQ2985" t="s">
        <v>131</v>
      </c>
      <c r="AR2985">
        <v>1</v>
      </c>
      <c r="AS2985">
        <v>83</v>
      </c>
      <c r="AT2985">
        <v>0</v>
      </c>
      <c r="BB2985" t="str">
        <f t="shared" si="1168"/>
        <v>1200</v>
      </c>
      <c r="BC2985">
        <v>1</v>
      </c>
      <c r="BD2985" t="str">
        <f t="shared" si="1169"/>
        <v xml:space="preserve">N52156  </v>
      </c>
      <c r="BE2985">
        <v>1</v>
      </c>
      <c r="BG2985">
        <v>0</v>
      </c>
      <c r="BH2985">
        <v>0</v>
      </c>
      <c r="BI2985">
        <v>0</v>
      </c>
      <c r="BJ2985">
        <v>4425</v>
      </c>
      <c r="BK2985">
        <v>25</v>
      </c>
      <c r="BL2985" t="s">
        <v>188</v>
      </c>
      <c r="BM2985">
        <v>1</v>
      </c>
      <c r="BN2985">
        <v>1</v>
      </c>
      <c r="BO2985">
        <v>0</v>
      </c>
      <c r="BP2985">
        <v>0</v>
      </c>
      <c r="BS2985">
        <v>0</v>
      </c>
      <c r="BT2985">
        <v>0</v>
      </c>
      <c r="BU2985">
        <v>0</v>
      </c>
      <c r="CE2985" t="str">
        <f t="shared" si="1183"/>
        <v>15:12:49.365</v>
      </c>
      <c r="CF2985">
        <v>364978370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5</v>
      </c>
      <c r="CY2985">
        <v>7</v>
      </c>
      <c r="CZ2985" t="s">
        <v>133</v>
      </c>
      <c r="DA2985">
        <v>275</v>
      </c>
      <c r="DB2985">
        <v>0</v>
      </c>
      <c r="DC2985" t="s">
        <v>134</v>
      </c>
      <c r="DD2985" t="s">
        <v>135</v>
      </c>
      <c r="DG2985">
        <v>3322252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>"05/01/2025 15:12:49.579"</f>
        <v>05/01/2025 15:12:49.579</v>
      </c>
      <c r="C2986" t="str">
        <f t="shared" si="1166"/>
        <v>FFDFD3C0</v>
      </c>
      <c r="D2986" t="s">
        <v>136</v>
      </c>
      <c r="E2986" t="str">
        <f>"20"</f>
        <v>20</v>
      </c>
      <c r="H2986">
        <v>400</v>
      </c>
      <c r="I2986" t="s">
        <v>137</v>
      </c>
      <c r="J2986" t="s">
        <v>138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R2986" t="s">
        <v>127</v>
      </c>
      <c r="S2986" t="str">
        <f t="shared" si="1182"/>
        <v>15:12:49.000</v>
      </c>
      <c r="T2986" t="str">
        <f t="shared" si="1182"/>
        <v>15:12:49.000</v>
      </c>
      <c r="U2986" t="str">
        <f t="shared" si="1167"/>
        <v>A68FCB</v>
      </c>
      <c r="V2986">
        <v>0</v>
      </c>
      <c r="W2986">
        <v>0</v>
      </c>
      <c r="X2986">
        <v>2</v>
      </c>
      <c r="Y2986">
        <v>0</v>
      </c>
      <c r="AA2986">
        <v>1</v>
      </c>
      <c r="AB2986">
        <v>8</v>
      </c>
      <c r="AC2986">
        <v>3</v>
      </c>
      <c r="AD2986">
        <v>0</v>
      </c>
      <c r="AE2986">
        <v>9</v>
      </c>
      <c r="AF2986" t="s">
        <v>138</v>
      </c>
      <c r="AG2986">
        <v>0</v>
      </c>
      <c r="AH2986">
        <v>3</v>
      </c>
      <c r="AI2986">
        <v>2</v>
      </c>
      <c r="AJ2986">
        <v>0</v>
      </c>
      <c r="AK2986" t="s">
        <v>1009</v>
      </c>
      <c r="AL2986">
        <v>39.114610999999996</v>
      </c>
      <c r="AM2986" t="s">
        <v>1008</v>
      </c>
      <c r="AN2986">
        <v>-121.03217100000001</v>
      </c>
      <c r="AO2986">
        <v>25</v>
      </c>
      <c r="AP2986">
        <v>4400</v>
      </c>
      <c r="AQ2986" t="s">
        <v>131</v>
      </c>
      <c r="AR2986">
        <v>1</v>
      </c>
      <c r="AS2986">
        <v>83</v>
      </c>
      <c r="AT2986">
        <v>0</v>
      </c>
      <c r="BB2986" t="str">
        <f t="shared" si="1168"/>
        <v>1200</v>
      </c>
      <c r="BC2986">
        <v>1</v>
      </c>
      <c r="BD2986" t="str">
        <f t="shared" si="1169"/>
        <v xml:space="preserve">N52156  </v>
      </c>
      <c r="BE2986">
        <v>1</v>
      </c>
      <c r="BG2986">
        <v>0</v>
      </c>
      <c r="BH2986">
        <v>0</v>
      </c>
      <c r="BI2986">
        <v>0</v>
      </c>
      <c r="BJ2986">
        <v>4425</v>
      </c>
      <c r="BK2986">
        <v>25</v>
      </c>
      <c r="BL2986" t="s">
        <v>188</v>
      </c>
      <c r="BM2986">
        <v>1</v>
      </c>
      <c r="BN2986">
        <v>1</v>
      </c>
      <c r="BO2986">
        <v>0</v>
      </c>
      <c r="BP2986">
        <v>0</v>
      </c>
      <c r="BS2986">
        <v>0</v>
      </c>
      <c r="BT2986">
        <v>0</v>
      </c>
      <c r="BU2986">
        <v>0</v>
      </c>
      <c r="CE2986" t="str">
        <f t="shared" si="1183"/>
        <v>15:12:49.365</v>
      </c>
      <c r="CF2986">
        <v>364978370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5</v>
      </c>
      <c r="CY2986">
        <v>7</v>
      </c>
      <c r="CZ2986" t="s">
        <v>133</v>
      </c>
      <c r="DA2986">
        <v>275</v>
      </c>
      <c r="DB2986">
        <v>0</v>
      </c>
      <c r="DC2986" t="s">
        <v>134</v>
      </c>
      <c r="DD2986" t="s">
        <v>135</v>
      </c>
      <c r="DG2986">
        <v>3322252</v>
      </c>
      <c r="DI2986">
        <v>1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"05/01/2025 15:12:49.587"</f>
        <v>05/01/2025 15:12:49.587</v>
      </c>
      <c r="C2987" t="str">
        <f t="shared" si="1166"/>
        <v>FFDFD3C0</v>
      </c>
      <c r="D2987" t="s">
        <v>143</v>
      </c>
      <c r="E2987" t="str">
        <f>"05"</f>
        <v>05</v>
      </c>
      <c r="H2987">
        <v>172</v>
      </c>
      <c r="I2987" t="s">
        <v>141</v>
      </c>
      <c r="J2987" t="s">
        <v>144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R2987" t="s">
        <v>127</v>
      </c>
      <c r="S2987" t="str">
        <f t="shared" si="1182"/>
        <v>15:12:49.000</v>
      </c>
      <c r="T2987" t="str">
        <f t="shared" si="1182"/>
        <v>15:12:49.000</v>
      </c>
      <c r="U2987" t="str">
        <f t="shared" si="1167"/>
        <v>A68FCB</v>
      </c>
      <c r="V2987">
        <v>0</v>
      </c>
      <c r="W2987">
        <v>0</v>
      </c>
      <c r="X2987">
        <v>2</v>
      </c>
      <c r="Y2987">
        <v>0</v>
      </c>
      <c r="AA2987">
        <v>1</v>
      </c>
      <c r="AB2987">
        <v>8</v>
      </c>
      <c r="AC2987">
        <v>3</v>
      </c>
      <c r="AD2987">
        <v>0</v>
      </c>
      <c r="AE2987">
        <v>9</v>
      </c>
      <c r="AF2987" t="s">
        <v>138</v>
      </c>
      <c r="AG2987">
        <v>0</v>
      </c>
      <c r="AH2987">
        <v>3</v>
      </c>
      <c r="AI2987">
        <v>2</v>
      </c>
      <c r="AJ2987">
        <v>0</v>
      </c>
      <c r="AK2987" t="s">
        <v>1009</v>
      </c>
      <c r="AL2987">
        <v>39.114610999999996</v>
      </c>
      <c r="AM2987" t="s">
        <v>1008</v>
      </c>
      <c r="AN2987">
        <v>-121.03217100000001</v>
      </c>
      <c r="AO2987">
        <v>25</v>
      </c>
      <c r="AP2987">
        <v>4400</v>
      </c>
      <c r="AQ2987" t="s">
        <v>131</v>
      </c>
      <c r="AR2987">
        <v>1</v>
      </c>
      <c r="AS2987">
        <v>83</v>
      </c>
      <c r="AT2987">
        <v>0</v>
      </c>
      <c r="BB2987" t="str">
        <f t="shared" si="1168"/>
        <v>1200</v>
      </c>
      <c r="BC2987">
        <v>1</v>
      </c>
      <c r="BD2987" t="str">
        <f t="shared" si="1169"/>
        <v xml:space="preserve">N52156  </v>
      </c>
      <c r="BE2987">
        <v>1</v>
      </c>
      <c r="BG2987">
        <v>0</v>
      </c>
      <c r="BH2987">
        <v>0</v>
      </c>
      <c r="BI2987">
        <v>0</v>
      </c>
      <c r="BJ2987">
        <v>4425</v>
      </c>
      <c r="BK2987">
        <v>25</v>
      </c>
      <c r="BL2987" t="s">
        <v>188</v>
      </c>
      <c r="BM2987">
        <v>1</v>
      </c>
      <c r="BN2987">
        <v>1</v>
      </c>
      <c r="BO2987">
        <v>0</v>
      </c>
      <c r="BP2987">
        <v>0</v>
      </c>
      <c r="BS2987">
        <v>0</v>
      </c>
      <c r="BT2987">
        <v>0</v>
      </c>
      <c r="BU2987">
        <v>0</v>
      </c>
      <c r="CE2987" t="str">
        <f t="shared" si="1183"/>
        <v>15:12:49.365</v>
      </c>
      <c r="CF2987">
        <v>364978370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5</v>
      </c>
      <c r="CY2987">
        <v>7</v>
      </c>
      <c r="CZ2987" t="s">
        <v>133</v>
      </c>
      <c r="DA2987">
        <v>275</v>
      </c>
      <c r="DB2987">
        <v>0</v>
      </c>
      <c r="DC2987" t="s">
        <v>134</v>
      </c>
      <c r="DD2987" t="s">
        <v>135</v>
      </c>
      <c r="DG2987">
        <v>3322252</v>
      </c>
      <c r="DI2987">
        <v>1</v>
      </c>
      <c r="DJ2987">
        <v>0</v>
      </c>
      <c r="DK2987">
        <v>1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"05/01/2025 15:12:49.603"</f>
        <v>05/01/2025 15:12:49.603</v>
      </c>
      <c r="C2988" t="str">
        <f t="shared" si="1166"/>
        <v>FFDFD3C0</v>
      </c>
      <c r="D2988" t="s">
        <v>140</v>
      </c>
      <c r="E2988" t="str">
        <f>"13"</f>
        <v>13</v>
      </c>
      <c r="F2988">
        <v>1019</v>
      </c>
      <c r="G2988" t="s">
        <v>141</v>
      </c>
      <c r="J2988" t="s">
        <v>142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R2988" t="s">
        <v>127</v>
      </c>
      <c r="S2988" t="str">
        <f t="shared" si="1182"/>
        <v>15:12:49.000</v>
      </c>
      <c r="T2988" t="str">
        <f t="shared" si="1182"/>
        <v>15:12:49.000</v>
      </c>
      <c r="U2988" t="str">
        <f t="shared" si="1167"/>
        <v>A68FCB</v>
      </c>
      <c r="V2988">
        <v>0</v>
      </c>
      <c r="W2988">
        <v>0</v>
      </c>
      <c r="X2988">
        <v>2</v>
      </c>
      <c r="Y2988">
        <v>0</v>
      </c>
      <c r="AA2988">
        <v>1</v>
      </c>
      <c r="AB2988">
        <v>8</v>
      </c>
      <c r="AC2988">
        <v>3</v>
      </c>
      <c r="AD2988">
        <v>0</v>
      </c>
      <c r="AE2988">
        <v>9</v>
      </c>
      <c r="AF2988" t="s">
        <v>138</v>
      </c>
      <c r="AG2988">
        <v>0</v>
      </c>
      <c r="AH2988">
        <v>3</v>
      </c>
      <c r="AI2988">
        <v>2</v>
      </c>
      <c r="AJ2988">
        <v>0</v>
      </c>
      <c r="AK2988" t="s">
        <v>1009</v>
      </c>
      <c r="AL2988">
        <v>39.114610999999996</v>
      </c>
      <c r="AM2988" t="s">
        <v>1008</v>
      </c>
      <c r="AN2988">
        <v>-121.03217100000001</v>
      </c>
      <c r="AO2988">
        <v>25</v>
      </c>
      <c r="AP2988">
        <v>4400</v>
      </c>
      <c r="AQ2988" t="s">
        <v>131</v>
      </c>
      <c r="AR2988">
        <v>1</v>
      </c>
      <c r="AS2988">
        <v>83</v>
      </c>
      <c r="AT2988">
        <v>0</v>
      </c>
      <c r="BB2988" t="str">
        <f t="shared" si="1168"/>
        <v>1200</v>
      </c>
      <c r="BC2988">
        <v>1</v>
      </c>
      <c r="BD2988" t="str">
        <f t="shared" si="1169"/>
        <v xml:space="preserve">N52156  </v>
      </c>
      <c r="BE2988">
        <v>1</v>
      </c>
      <c r="BG2988">
        <v>0</v>
      </c>
      <c r="BH2988">
        <v>0</v>
      </c>
      <c r="BI2988">
        <v>0</v>
      </c>
      <c r="BJ2988">
        <v>4425</v>
      </c>
      <c r="BK2988">
        <v>25</v>
      </c>
      <c r="BL2988" t="s">
        <v>188</v>
      </c>
      <c r="BM2988">
        <v>1</v>
      </c>
      <c r="BN2988">
        <v>1</v>
      </c>
      <c r="BO2988">
        <v>0</v>
      </c>
      <c r="BP2988">
        <v>0</v>
      </c>
      <c r="BS2988">
        <v>0</v>
      </c>
      <c r="BT2988">
        <v>0</v>
      </c>
      <c r="BU2988">
        <v>0</v>
      </c>
      <c r="CE2988" t="str">
        <f t="shared" si="1183"/>
        <v>15:12:49.365</v>
      </c>
      <c r="CF2988">
        <v>364978370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5</v>
      </c>
      <c r="CY2988">
        <v>7</v>
      </c>
      <c r="CZ2988" t="s">
        <v>133</v>
      </c>
      <c r="DA2988">
        <v>275</v>
      </c>
      <c r="DB2988">
        <v>0</v>
      </c>
      <c r="DC2988" t="s">
        <v>134</v>
      </c>
      <c r="DD2988" t="s">
        <v>135</v>
      </c>
      <c r="DG2988">
        <v>3322252</v>
      </c>
      <c r="DI2988">
        <v>1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"05/01/2025 15:12:49.604"</f>
        <v>05/01/2025 15:12:49.604</v>
      </c>
      <c r="C2989" t="str">
        <f t="shared" si="1166"/>
        <v>FFDFD3C0</v>
      </c>
      <c r="D2989" t="s">
        <v>124</v>
      </c>
      <c r="E2989" t="str">
        <f>"06"</f>
        <v>06</v>
      </c>
      <c r="F2989">
        <v>2006</v>
      </c>
      <c r="G2989" t="s">
        <v>125</v>
      </c>
      <c r="J2989" t="s">
        <v>126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R2989" t="s">
        <v>127</v>
      </c>
      <c r="S2989" t="str">
        <f t="shared" si="1182"/>
        <v>15:12:49.000</v>
      </c>
      <c r="T2989" t="str">
        <f t="shared" si="1182"/>
        <v>15:12:49.000</v>
      </c>
      <c r="U2989" t="str">
        <f t="shared" si="1167"/>
        <v>A68FCB</v>
      </c>
      <c r="V2989">
        <v>0</v>
      </c>
      <c r="W2989">
        <v>0</v>
      </c>
      <c r="X2989">
        <v>2</v>
      </c>
      <c r="Y2989">
        <v>0</v>
      </c>
      <c r="AA2989">
        <v>1</v>
      </c>
      <c r="AB2989">
        <v>8</v>
      </c>
      <c r="AC2989">
        <v>3</v>
      </c>
      <c r="AD2989">
        <v>0</v>
      </c>
      <c r="AE2989">
        <v>9</v>
      </c>
      <c r="AF2989" t="s">
        <v>138</v>
      </c>
      <c r="AG2989">
        <v>0</v>
      </c>
      <c r="AH2989">
        <v>3</v>
      </c>
      <c r="AI2989">
        <v>2</v>
      </c>
      <c r="AJ2989">
        <v>0</v>
      </c>
      <c r="AK2989" t="s">
        <v>1009</v>
      </c>
      <c r="AL2989">
        <v>39.114610999999996</v>
      </c>
      <c r="AM2989" t="s">
        <v>1008</v>
      </c>
      <c r="AN2989">
        <v>-121.03217100000001</v>
      </c>
      <c r="AO2989">
        <v>25</v>
      </c>
      <c r="AP2989">
        <v>4400</v>
      </c>
      <c r="AQ2989" t="s">
        <v>131</v>
      </c>
      <c r="AR2989">
        <v>1</v>
      </c>
      <c r="AS2989">
        <v>83</v>
      </c>
      <c r="AT2989">
        <v>0</v>
      </c>
      <c r="BB2989" t="str">
        <f t="shared" si="1168"/>
        <v>1200</v>
      </c>
      <c r="BC2989">
        <v>1</v>
      </c>
      <c r="BD2989" t="str">
        <f t="shared" si="1169"/>
        <v xml:space="preserve">N52156  </v>
      </c>
      <c r="BE2989">
        <v>1</v>
      </c>
      <c r="BG2989">
        <v>0</v>
      </c>
      <c r="BH2989">
        <v>0</v>
      </c>
      <c r="BI2989">
        <v>0</v>
      </c>
      <c r="BJ2989">
        <v>4425</v>
      </c>
      <c r="BK2989">
        <v>25</v>
      </c>
      <c r="BL2989" t="s">
        <v>188</v>
      </c>
      <c r="BM2989">
        <v>1</v>
      </c>
      <c r="BN2989">
        <v>1</v>
      </c>
      <c r="BO2989">
        <v>0</v>
      </c>
      <c r="BP2989">
        <v>0</v>
      </c>
      <c r="BS2989">
        <v>0</v>
      </c>
      <c r="BT2989">
        <v>0</v>
      </c>
      <c r="BU2989">
        <v>0</v>
      </c>
      <c r="CE2989" t="str">
        <f t="shared" si="1183"/>
        <v>15:12:49.365</v>
      </c>
      <c r="CF2989">
        <v>364978370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5</v>
      </c>
      <c r="CY2989">
        <v>7</v>
      </c>
      <c r="CZ2989" t="s">
        <v>133</v>
      </c>
      <c r="DA2989">
        <v>275</v>
      </c>
      <c r="DB2989">
        <v>0</v>
      </c>
      <c r="DC2989" t="s">
        <v>134</v>
      </c>
      <c r="DD2989" t="s">
        <v>135</v>
      </c>
      <c r="DG2989">
        <v>3322252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"05/01/2025 15:12:50.438"</f>
        <v>05/01/2025 15:12:50.438</v>
      </c>
      <c r="C2990" t="str">
        <f t="shared" si="1166"/>
        <v>FFDFD3C0</v>
      </c>
      <c r="D2990" t="s">
        <v>143</v>
      </c>
      <c r="E2990" t="str">
        <f>"05"</f>
        <v>05</v>
      </c>
      <c r="H2990">
        <v>172</v>
      </c>
      <c r="I2990" t="s">
        <v>141</v>
      </c>
      <c r="J2990" t="s">
        <v>144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R2990" t="s">
        <v>127</v>
      </c>
      <c r="S2990" t="str">
        <f t="shared" ref="S2990:T2995" si="1184">"15:12:50.000"</f>
        <v>15:12:50.000</v>
      </c>
      <c r="T2990" t="str">
        <f t="shared" si="1184"/>
        <v>15:12:50.000</v>
      </c>
      <c r="U2990" t="str">
        <f t="shared" si="1167"/>
        <v>A68FCB</v>
      </c>
      <c r="V2990">
        <v>0</v>
      </c>
      <c r="W2990">
        <v>0</v>
      </c>
      <c r="X2990">
        <v>2</v>
      </c>
      <c r="Y2990">
        <v>0</v>
      </c>
      <c r="AA2990">
        <v>1</v>
      </c>
      <c r="AB2990">
        <v>8</v>
      </c>
      <c r="AC2990">
        <v>3</v>
      </c>
      <c r="AD2990">
        <v>0</v>
      </c>
      <c r="AE2990">
        <v>9</v>
      </c>
      <c r="AF2990" t="s">
        <v>138</v>
      </c>
      <c r="AG2990">
        <v>0</v>
      </c>
      <c r="AH2990">
        <v>3</v>
      </c>
      <c r="AI2990">
        <v>2</v>
      </c>
      <c r="AJ2990">
        <v>0</v>
      </c>
      <c r="AK2990" t="s">
        <v>1010</v>
      </c>
      <c r="AL2990">
        <v>39.114997000000002</v>
      </c>
      <c r="AM2990" t="s">
        <v>1011</v>
      </c>
      <c r="AN2990">
        <v>-121.03215</v>
      </c>
      <c r="AO2990">
        <v>25</v>
      </c>
      <c r="AP2990">
        <v>4400</v>
      </c>
      <c r="AQ2990" t="s">
        <v>131</v>
      </c>
      <c r="AR2990">
        <v>2</v>
      </c>
      <c r="AS2990">
        <v>83</v>
      </c>
      <c r="AT2990">
        <v>0</v>
      </c>
      <c r="BB2990" t="str">
        <f t="shared" si="1168"/>
        <v>1200</v>
      </c>
      <c r="BC2990">
        <v>1</v>
      </c>
      <c r="BD2990" t="str">
        <f t="shared" si="1169"/>
        <v xml:space="preserve">N52156  </v>
      </c>
      <c r="BE2990">
        <v>1</v>
      </c>
      <c r="BG2990">
        <v>0</v>
      </c>
      <c r="BH2990">
        <v>0</v>
      </c>
      <c r="BI2990">
        <v>0</v>
      </c>
      <c r="BJ2990">
        <v>4425</v>
      </c>
      <c r="BK2990">
        <v>25</v>
      </c>
      <c r="BL2990" t="s">
        <v>188</v>
      </c>
      <c r="BM2990">
        <v>1</v>
      </c>
      <c r="BN2990">
        <v>1</v>
      </c>
      <c r="BO2990">
        <v>0</v>
      </c>
      <c r="BP2990">
        <v>0</v>
      </c>
      <c r="BS2990">
        <v>0</v>
      </c>
      <c r="BT2990">
        <v>0</v>
      </c>
      <c r="BU2990">
        <v>0</v>
      </c>
      <c r="CE2990" t="str">
        <f t="shared" ref="CE2990:CE2995" si="1185">"15:12:50.208"</f>
        <v>15:12:50.208</v>
      </c>
      <c r="CF2990">
        <v>207728005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5</v>
      </c>
      <c r="CY2990">
        <v>7</v>
      </c>
      <c r="CZ2990" t="s">
        <v>133</v>
      </c>
      <c r="DA2990">
        <v>275</v>
      </c>
      <c r="DB2990">
        <v>0</v>
      </c>
      <c r="DC2990" t="s">
        <v>134</v>
      </c>
      <c r="DD2990" t="s">
        <v>135</v>
      </c>
      <c r="DG2990">
        <v>3322257</v>
      </c>
      <c r="DI2990">
        <v>1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"05/01/2025 15:12:50.455"</f>
        <v>05/01/2025 15:12:50.455</v>
      </c>
      <c r="C2991" t="str">
        <f t="shared" si="1166"/>
        <v>FFDFD3C0</v>
      </c>
      <c r="D2991" t="s">
        <v>124</v>
      </c>
      <c r="E2991" t="str">
        <f>"06"</f>
        <v>06</v>
      </c>
      <c r="F2991">
        <v>2006</v>
      </c>
      <c r="G2991" t="s">
        <v>125</v>
      </c>
      <c r="J2991" t="s">
        <v>126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R2991" t="s">
        <v>127</v>
      </c>
      <c r="S2991" t="str">
        <f t="shared" si="1184"/>
        <v>15:12:50.000</v>
      </c>
      <c r="T2991" t="str">
        <f t="shared" si="1184"/>
        <v>15:12:50.000</v>
      </c>
      <c r="U2991" t="str">
        <f t="shared" si="1167"/>
        <v>A68FCB</v>
      </c>
      <c r="V2991">
        <v>0</v>
      </c>
      <c r="W2991">
        <v>0</v>
      </c>
      <c r="X2991">
        <v>2</v>
      </c>
      <c r="Y2991">
        <v>0</v>
      </c>
      <c r="AA2991">
        <v>1</v>
      </c>
      <c r="AB2991">
        <v>8</v>
      </c>
      <c r="AC2991">
        <v>3</v>
      </c>
      <c r="AD2991">
        <v>0</v>
      </c>
      <c r="AE2991">
        <v>9</v>
      </c>
      <c r="AF2991" t="s">
        <v>138</v>
      </c>
      <c r="AG2991">
        <v>0</v>
      </c>
      <c r="AH2991">
        <v>3</v>
      </c>
      <c r="AI2991">
        <v>2</v>
      </c>
      <c r="AJ2991">
        <v>0</v>
      </c>
      <c r="AK2991" t="s">
        <v>1010</v>
      </c>
      <c r="AL2991">
        <v>39.114997000000002</v>
      </c>
      <c r="AM2991" t="s">
        <v>1011</v>
      </c>
      <c r="AN2991">
        <v>-121.03215</v>
      </c>
      <c r="AO2991">
        <v>25</v>
      </c>
      <c r="AP2991">
        <v>4400</v>
      </c>
      <c r="AQ2991" t="s">
        <v>131</v>
      </c>
      <c r="AR2991">
        <v>2</v>
      </c>
      <c r="AS2991">
        <v>83</v>
      </c>
      <c r="AT2991">
        <v>0</v>
      </c>
      <c r="BB2991" t="str">
        <f t="shared" si="1168"/>
        <v>1200</v>
      </c>
      <c r="BC2991">
        <v>1</v>
      </c>
      <c r="BD2991" t="str">
        <f t="shared" si="1169"/>
        <v xml:space="preserve">N52156  </v>
      </c>
      <c r="BE2991">
        <v>1</v>
      </c>
      <c r="BG2991">
        <v>0</v>
      </c>
      <c r="BH2991">
        <v>0</v>
      </c>
      <c r="BI2991">
        <v>0</v>
      </c>
      <c r="BJ2991">
        <v>4425</v>
      </c>
      <c r="BK2991">
        <v>25</v>
      </c>
      <c r="BL2991" t="s">
        <v>188</v>
      </c>
      <c r="BM2991">
        <v>1</v>
      </c>
      <c r="BN2991">
        <v>1</v>
      </c>
      <c r="BO2991">
        <v>0</v>
      </c>
      <c r="BP2991">
        <v>0</v>
      </c>
      <c r="BS2991">
        <v>0</v>
      </c>
      <c r="BT2991">
        <v>0</v>
      </c>
      <c r="BU2991">
        <v>0</v>
      </c>
      <c r="CE2991" t="str">
        <f t="shared" si="1185"/>
        <v>15:12:50.208</v>
      </c>
      <c r="CF2991">
        <v>207728005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5</v>
      </c>
      <c r="CY2991">
        <v>7</v>
      </c>
      <c r="CZ2991" t="s">
        <v>133</v>
      </c>
      <c r="DA2991">
        <v>275</v>
      </c>
      <c r="DB2991">
        <v>0</v>
      </c>
      <c r="DC2991" t="s">
        <v>134</v>
      </c>
      <c r="DD2991" t="s">
        <v>135</v>
      </c>
      <c r="DG2991">
        <v>3322257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"05/01/2025 15:12:50.454"</f>
        <v>05/01/2025 15:12:50.454</v>
      </c>
      <c r="C2992" t="str">
        <f t="shared" si="1166"/>
        <v>FFDFD3C0</v>
      </c>
      <c r="D2992" t="s">
        <v>140</v>
      </c>
      <c r="E2992" t="str">
        <f>"13"</f>
        <v>13</v>
      </c>
      <c r="F2992">
        <v>1019</v>
      </c>
      <c r="G2992" t="s">
        <v>141</v>
      </c>
      <c r="J2992" t="s">
        <v>142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R2992" t="s">
        <v>127</v>
      </c>
      <c r="S2992" t="str">
        <f t="shared" si="1184"/>
        <v>15:12:50.000</v>
      </c>
      <c r="T2992" t="str">
        <f t="shared" si="1184"/>
        <v>15:12:50.000</v>
      </c>
      <c r="U2992" t="str">
        <f t="shared" si="1167"/>
        <v>A68FCB</v>
      </c>
      <c r="V2992">
        <v>0</v>
      </c>
      <c r="W2992">
        <v>0</v>
      </c>
      <c r="X2992">
        <v>2</v>
      </c>
      <c r="Y2992">
        <v>0</v>
      </c>
      <c r="AA2992">
        <v>1</v>
      </c>
      <c r="AB2992">
        <v>8</v>
      </c>
      <c r="AC2992">
        <v>3</v>
      </c>
      <c r="AD2992">
        <v>0</v>
      </c>
      <c r="AE2992">
        <v>9</v>
      </c>
      <c r="AF2992" t="s">
        <v>138</v>
      </c>
      <c r="AG2992">
        <v>0</v>
      </c>
      <c r="AH2992">
        <v>3</v>
      </c>
      <c r="AI2992">
        <v>2</v>
      </c>
      <c r="AJ2992">
        <v>0</v>
      </c>
      <c r="AK2992" t="s">
        <v>1010</v>
      </c>
      <c r="AL2992">
        <v>39.114997000000002</v>
      </c>
      <c r="AM2992" t="s">
        <v>1011</v>
      </c>
      <c r="AN2992">
        <v>-121.03215</v>
      </c>
      <c r="AO2992">
        <v>25</v>
      </c>
      <c r="AP2992">
        <v>4400</v>
      </c>
      <c r="AQ2992" t="s">
        <v>131</v>
      </c>
      <c r="AR2992">
        <v>2</v>
      </c>
      <c r="AS2992">
        <v>83</v>
      </c>
      <c r="AT2992">
        <v>0</v>
      </c>
      <c r="BB2992" t="str">
        <f t="shared" si="1168"/>
        <v>1200</v>
      </c>
      <c r="BC2992">
        <v>1</v>
      </c>
      <c r="BD2992" t="str">
        <f t="shared" si="1169"/>
        <v xml:space="preserve">N52156  </v>
      </c>
      <c r="BE2992">
        <v>1</v>
      </c>
      <c r="BG2992">
        <v>0</v>
      </c>
      <c r="BH2992">
        <v>0</v>
      </c>
      <c r="BI2992">
        <v>0</v>
      </c>
      <c r="BJ2992">
        <v>4425</v>
      </c>
      <c r="BK2992">
        <v>25</v>
      </c>
      <c r="BL2992" t="s">
        <v>188</v>
      </c>
      <c r="BM2992">
        <v>1</v>
      </c>
      <c r="BN2992">
        <v>1</v>
      </c>
      <c r="BO2992">
        <v>0</v>
      </c>
      <c r="BP2992">
        <v>0</v>
      </c>
      <c r="BS2992">
        <v>0</v>
      </c>
      <c r="BT2992">
        <v>0</v>
      </c>
      <c r="BU2992">
        <v>0</v>
      </c>
      <c r="CE2992" t="str">
        <f t="shared" si="1185"/>
        <v>15:12:50.208</v>
      </c>
      <c r="CF2992">
        <v>207728005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5</v>
      </c>
      <c r="CY2992">
        <v>7</v>
      </c>
      <c r="CZ2992" t="s">
        <v>133</v>
      </c>
      <c r="DA2992">
        <v>275</v>
      </c>
      <c r="DB2992">
        <v>0</v>
      </c>
      <c r="DC2992" t="s">
        <v>134</v>
      </c>
      <c r="DD2992" t="s">
        <v>135</v>
      </c>
      <c r="DG2992">
        <v>3322257</v>
      </c>
      <c r="DI2992">
        <v>1</v>
      </c>
      <c r="DJ2992">
        <v>0</v>
      </c>
      <c r="DK2992">
        <v>1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"05/01/2025 15:12:50.471"</f>
        <v>05/01/2025 15:12:50.471</v>
      </c>
      <c r="C2993" t="str">
        <f t="shared" si="1166"/>
        <v>FFDFD3C0</v>
      </c>
      <c r="D2993" t="s">
        <v>145</v>
      </c>
      <c r="E2993" t="str">
        <f>"05"</f>
        <v>05</v>
      </c>
      <c r="H2993">
        <v>47</v>
      </c>
      <c r="I2993" t="s">
        <v>146</v>
      </c>
      <c r="J2993" t="s">
        <v>138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R2993" t="s">
        <v>127</v>
      </c>
      <c r="S2993" t="str">
        <f t="shared" si="1184"/>
        <v>15:12:50.000</v>
      </c>
      <c r="T2993" t="str">
        <f t="shared" si="1184"/>
        <v>15:12:50.000</v>
      </c>
      <c r="U2993" t="str">
        <f t="shared" si="1167"/>
        <v>A68FCB</v>
      </c>
      <c r="V2993">
        <v>0</v>
      </c>
      <c r="W2993">
        <v>0</v>
      </c>
      <c r="X2993">
        <v>2</v>
      </c>
      <c r="Y2993">
        <v>0</v>
      </c>
      <c r="AA2993">
        <v>1</v>
      </c>
      <c r="AB2993">
        <v>8</v>
      </c>
      <c r="AC2993">
        <v>3</v>
      </c>
      <c r="AD2993">
        <v>0</v>
      </c>
      <c r="AE2993">
        <v>9</v>
      </c>
      <c r="AF2993" t="s">
        <v>138</v>
      </c>
      <c r="AG2993">
        <v>0</v>
      </c>
      <c r="AH2993">
        <v>3</v>
      </c>
      <c r="AI2993">
        <v>2</v>
      </c>
      <c r="AJ2993">
        <v>0</v>
      </c>
      <c r="AK2993" t="s">
        <v>1010</v>
      </c>
      <c r="AL2993">
        <v>39.114997000000002</v>
      </c>
      <c r="AM2993" t="s">
        <v>1011</v>
      </c>
      <c r="AN2993">
        <v>-121.03215</v>
      </c>
      <c r="AO2993">
        <v>25</v>
      </c>
      <c r="AP2993">
        <v>4400</v>
      </c>
      <c r="AQ2993" t="s">
        <v>131</v>
      </c>
      <c r="AR2993">
        <v>2</v>
      </c>
      <c r="AS2993">
        <v>83</v>
      </c>
      <c r="AT2993">
        <v>0</v>
      </c>
      <c r="BB2993" t="str">
        <f t="shared" si="1168"/>
        <v>1200</v>
      </c>
      <c r="BC2993">
        <v>1</v>
      </c>
      <c r="BD2993" t="str">
        <f t="shared" si="1169"/>
        <v xml:space="preserve">N52156  </v>
      </c>
      <c r="BE2993">
        <v>1</v>
      </c>
      <c r="BG2993">
        <v>0</v>
      </c>
      <c r="BH2993">
        <v>0</v>
      </c>
      <c r="BI2993">
        <v>0</v>
      </c>
      <c r="BJ2993">
        <v>4425</v>
      </c>
      <c r="BK2993">
        <v>25</v>
      </c>
      <c r="BL2993" t="s">
        <v>188</v>
      </c>
      <c r="BM2993">
        <v>1</v>
      </c>
      <c r="BN2993">
        <v>1</v>
      </c>
      <c r="BO2993">
        <v>0</v>
      </c>
      <c r="BP2993">
        <v>0</v>
      </c>
      <c r="BS2993">
        <v>0</v>
      </c>
      <c r="BT2993">
        <v>0</v>
      </c>
      <c r="BU2993">
        <v>0</v>
      </c>
      <c r="CE2993" t="str">
        <f t="shared" si="1185"/>
        <v>15:12:50.208</v>
      </c>
      <c r="CF2993">
        <v>207728005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5</v>
      </c>
      <c r="CY2993">
        <v>7</v>
      </c>
      <c r="CZ2993" t="s">
        <v>133</v>
      </c>
      <c r="DA2993">
        <v>275</v>
      </c>
      <c r="DB2993">
        <v>0</v>
      </c>
      <c r="DC2993" t="s">
        <v>134</v>
      </c>
      <c r="DD2993" t="s">
        <v>135</v>
      </c>
      <c r="DG2993">
        <v>3322257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"05/01/2025 15:12:50.468"</f>
        <v>05/01/2025 15:12:50.468</v>
      </c>
      <c r="C2994" t="str">
        <f t="shared" si="1166"/>
        <v>FFDFD3C0</v>
      </c>
      <c r="D2994" t="s">
        <v>145</v>
      </c>
      <c r="E2994" t="str">
        <f>"09"</f>
        <v>09</v>
      </c>
      <c r="H2994">
        <v>51</v>
      </c>
      <c r="I2994" t="s">
        <v>147</v>
      </c>
      <c r="J2994" t="s">
        <v>138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R2994" t="s">
        <v>127</v>
      </c>
      <c r="S2994" t="str">
        <f t="shared" si="1184"/>
        <v>15:12:50.000</v>
      </c>
      <c r="T2994" t="str">
        <f t="shared" si="1184"/>
        <v>15:12:50.000</v>
      </c>
      <c r="U2994" t="str">
        <f t="shared" si="1167"/>
        <v>A68FCB</v>
      </c>
      <c r="V2994">
        <v>0</v>
      </c>
      <c r="W2994">
        <v>0</v>
      </c>
      <c r="X2994">
        <v>2</v>
      </c>
      <c r="Y2994">
        <v>0</v>
      </c>
      <c r="AA2994">
        <v>1</v>
      </c>
      <c r="AB2994">
        <v>8</v>
      </c>
      <c r="AC2994">
        <v>3</v>
      </c>
      <c r="AD2994">
        <v>0</v>
      </c>
      <c r="AE2994">
        <v>9</v>
      </c>
      <c r="AF2994" t="s">
        <v>138</v>
      </c>
      <c r="AG2994">
        <v>0</v>
      </c>
      <c r="AH2994">
        <v>3</v>
      </c>
      <c r="AI2994">
        <v>2</v>
      </c>
      <c r="AJ2994">
        <v>0</v>
      </c>
      <c r="AK2994" t="s">
        <v>1010</v>
      </c>
      <c r="AL2994">
        <v>39.114997000000002</v>
      </c>
      <c r="AM2994" t="s">
        <v>1011</v>
      </c>
      <c r="AN2994">
        <v>-121.03215</v>
      </c>
      <c r="AO2994">
        <v>25</v>
      </c>
      <c r="AP2994">
        <v>4400</v>
      </c>
      <c r="AQ2994" t="s">
        <v>131</v>
      </c>
      <c r="AR2994">
        <v>2</v>
      </c>
      <c r="AS2994">
        <v>83</v>
      </c>
      <c r="AT2994">
        <v>0</v>
      </c>
      <c r="BB2994" t="str">
        <f t="shared" si="1168"/>
        <v>1200</v>
      </c>
      <c r="BC2994">
        <v>1</v>
      </c>
      <c r="BD2994" t="str">
        <f t="shared" si="1169"/>
        <v xml:space="preserve">N52156  </v>
      </c>
      <c r="BE2994">
        <v>1</v>
      </c>
      <c r="BG2994">
        <v>0</v>
      </c>
      <c r="BH2994">
        <v>0</v>
      </c>
      <c r="BI2994">
        <v>0</v>
      </c>
      <c r="BJ2994">
        <v>4425</v>
      </c>
      <c r="BK2994">
        <v>25</v>
      </c>
      <c r="BL2994" t="s">
        <v>188</v>
      </c>
      <c r="BM2994">
        <v>1</v>
      </c>
      <c r="BN2994">
        <v>1</v>
      </c>
      <c r="BO2994">
        <v>0</v>
      </c>
      <c r="BP2994">
        <v>0</v>
      </c>
      <c r="BS2994">
        <v>0</v>
      </c>
      <c r="BT2994">
        <v>0</v>
      </c>
      <c r="BU2994">
        <v>0</v>
      </c>
      <c r="CE2994" t="str">
        <f t="shared" si="1185"/>
        <v>15:12:50.208</v>
      </c>
      <c r="CF2994">
        <v>207728005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133</v>
      </c>
      <c r="DA2994">
        <v>275</v>
      </c>
      <c r="DB2994">
        <v>0</v>
      </c>
      <c r="DC2994" t="s">
        <v>134</v>
      </c>
      <c r="DD2994" t="s">
        <v>135</v>
      </c>
      <c r="DG2994">
        <v>3322257</v>
      </c>
      <c r="DI2994">
        <v>1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">
      <c r="A2995" t="str">
        <f>"05/01/2025 15:12:50.480"</f>
        <v>05/01/2025 15:12:50.480</v>
      </c>
      <c r="C2995" t="str">
        <f t="shared" si="1166"/>
        <v>FFDFD3C0</v>
      </c>
      <c r="D2995" t="s">
        <v>136</v>
      </c>
      <c r="E2995" t="str">
        <f>"20"</f>
        <v>20</v>
      </c>
      <c r="H2995">
        <v>400</v>
      </c>
      <c r="I2995" t="s">
        <v>137</v>
      </c>
      <c r="J2995" t="s">
        <v>138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R2995" t="s">
        <v>127</v>
      </c>
      <c r="S2995" t="str">
        <f t="shared" si="1184"/>
        <v>15:12:50.000</v>
      </c>
      <c r="T2995" t="str">
        <f t="shared" si="1184"/>
        <v>15:12:50.000</v>
      </c>
      <c r="U2995" t="str">
        <f t="shared" si="1167"/>
        <v>A68FCB</v>
      </c>
      <c r="V2995">
        <v>0</v>
      </c>
      <c r="W2995">
        <v>0</v>
      </c>
      <c r="X2995">
        <v>2</v>
      </c>
      <c r="Y2995">
        <v>0</v>
      </c>
      <c r="AA2995">
        <v>1</v>
      </c>
      <c r="AB2995">
        <v>8</v>
      </c>
      <c r="AC2995">
        <v>3</v>
      </c>
      <c r="AD2995">
        <v>0</v>
      </c>
      <c r="AE2995">
        <v>9</v>
      </c>
      <c r="AF2995" t="s">
        <v>138</v>
      </c>
      <c r="AG2995">
        <v>0</v>
      </c>
      <c r="AH2995">
        <v>3</v>
      </c>
      <c r="AI2995">
        <v>2</v>
      </c>
      <c r="AJ2995">
        <v>0</v>
      </c>
      <c r="AK2995" t="s">
        <v>1010</v>
      </c>
      <c r="AL2995">
        <v>39.114997000000002</v>
      </c>
      <c r="AM2995" t="s">
        <v>1011</v>
      </c>
      <c r="AN2995">
        <v>-121.03215</v>
      </c>
      <c r="AO2995">
        <v>25</v>
      </c>
      <c r="AP2995">
        <v>4400</v>
      </c>
      <c r="AQ2995" t="s">
        <v>131</v>
      </c>
      <c r="AR2995">
        <v>2</v>
      </c>
      <c r="AS2995">
        <v>83</v>
      </c>
      <c r="AT2995">
        <v>0</v>
      </c>
      <c r="BB2995" t="str">
        <f t="shared" si="1168"/>
        <v>1200</v>
      </c>
      <c r="BC2995">
        <v>1</v>
      </c>
      <c r="BD2995" t="str">
        <f t="shared" si="1169"/>
        <v xml:space="preserve">N52156  </v>
      </c>
      <c r="BE2995">
        <v>1</v>
      </c>
      <c r="BG2995">
        <v>0</v>
      </c>
      <c r="BH2995">
        <v>0</v>
      </c>
      <c r="BI2995">
        <v>0</v>
      </c>
      <c r="BJ2995">
        <v>4425</v>
      </c>
      <c r="BK2995">
        <v>25</v>
      </c>
      <c r="BL2995" t="s">
        <v>188</v>
      </c>
      <c r="BM2995">
        <v>1</v>
      </c>
      <c r="BN2995">
        <v>1</v>
      </c>
      <c r="BO2995">
        <v>0</v>
      </c>
      <c r="BP2995">
        <v>0</v>
      </c>
      <c r="BS2995">
        <v>0</v>
      </c>
      <c r="BT2995">
        <v>0</v>
      </c>
      <c r="BU2995">
        <v>0</v>
      </c>
      <c r="CE2995" t="str">
        <f t="shared" si="1185"/>
        <v>15:12:50.208</v>
      </c>
      <c r="CF2995">
        <v>207728005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5</v>
      </c>
      <c r="CY2995">
        <v>7</v>
      </c>
      <c r="CZ2995" t="s">
        <v>133</v>
      </c>
      <c r="DA2995">
        <v>275</v>
      </c>
      <c r="DB2995">
        <v>0</v>
      </c>
      <c r="DC2995" t="s">
        <v>134</v>
      </c>
      <c r="DD2995" t="s">
        <v>135</v>
      </c>
      <c r="DG2995">
        <v>3322257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">
      <c r="A2996" t="str">
        <f>"05/01/2025 15:12:51.957"</f>
        <v>05/01/2025 15:12:51.957</v>
      </c>
      <c r="C2996" t="str">
        <f t="shared" si="1166"/>
        <v>FFDFD3C0</v>
      </c>
      <c r="D2996" t="s">
        <v>124</v>
      </c>
      <c r="E2996" t="str">
        <f>"06"</f>
        <v>06</v>
      </c>
      <c r="F2996">
        <v>2006</v>
      </c>
      <c r="G2996" t="s">
        <v>125</v>
      </c>
      <c r="J2996" t="s">
        <v>126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R2996" t="s">
        <v>127</v>
      </c>
      <c r="S2996" t="str">
        <f t="shared" ref="S2996:T3001" si="1186">"15:12:51.000"</f>
        <v>15:12:51.000</v>
      </c>
      <c r="T2996" t="str">
        <f t="shared" si="1186"/>
        <v>15:12:51.000</v>
      </c>
      <c r="U2996" t="str">
        <f t="shared" si="1167"/>
        <v>A68FCB</v>
      </c>
      <c r="V2996">
        <v>0</v>
      </c>
      <c r="W2996">
        <v>0</v>
      </c>
      <c r="X2996">
        <v>2</v>
      </c>
      <c r="Y2996">
        <v>0</v>
      </c>
      <c r="AA2996">
        <v>1</v>
      </c>
      <c r="AB2996">
        <v>8</v>
      </c>
      <c r="AC2996">
        <v>3</v>
      </c>
      <c r="AD2996">
        <v>0</v>
      </c>
      <c r="AE2996">
        <v>9</v>
      </c>
      <c r="AF2996" t="s">
        <v>138</v>
      </c>
      <c r="AG2996">
        <v>0</v>
      </c>
      <c r="AH2996">
        <v>3</v>
      </c>
      <c r="AI2996">
        <v>2</v>
      </c>
      <c r="AJ2996">
        <v>0</v>
      </c>
      <c r="AK2996" t="s">
        <v>1012</v>
      </c>
      <c r="AL2996">
        <v>39.115405000000003</v>
      </c>
      <c r="AM2996" t="s">
        <v>1011</v>
      </c>
      <c r="AN2996">
        <v>-121.03215</v>
      </c>
      <c r="AO2996">
        <v>25</v>
      </c>
      <c r="AP2996">
        <v>4400</v>
      </c>
      <c r="AQ2996" t="s">
        <v>131</v>
      </c>
      <c r="AR2996">
        <v>2</v>
      </c>
      <c r="AS2996">
        <v>83</v>
      </c>
      <c r="AT2996">
        <v>0</v>
      </c>
      <c r="BB2996" t="str">
        <f t="shared" si="1168"/>
        <v>1200</v>
      </c>
      <c r="BC2996">
        <v>1</v>
      </c>
      <c r="BD2996" t="str">
        <f t="shared" si="1169"/>
        <v xml:space="preserve">N52156  </v>
      </c>
      <c r="BE2996">
        <v>1</v>
      </c>
      <c r="BG2996">
        <v>0</v>
      </c>
      <c r="BH2996">
        <v>0</v>
      </c>
      <c r="BI2996">
        <v>0</v>
      </c>
      <c r="BJ2996">
        <v>4425</v>
      </c>
      <c r="BK2996">
        <v>25</v>
      </c>
      <c r="BL2996" t="s">
        <v>188</v>
      </c>
      <c r="BM2996">
        <v>1</v>
      </c>
      <c r="BN2996">
        <v>1</v>
      </c>
      <c r="BO2996">
        <v>0</v>
      </c>
      <c r="BP2996">
        <v>0</v>
      </c>
      <c r="BS2996">
        <v>0</v>
      </c>
      <c r="BT2996">
        <v>0</v>
      </c>
      <c r="BU2996">
        <v>0</v>
      </c>
      <c r="CE2996" t="str">
        <f t="shared" ref="CE2996:CE3001" si="1187">"15:12:51.753"</f>
        <v>15:12:51.753</v>
      </c>
      <c r="CF2996">
        <v>752979494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133</v>
      </c>
      <c r="DA2996">
        <v>275</v>
      </c>
      <c r="DB2996">
        <v>0</v>
      </c>
      <c r="DC2996" t="s">
        <v>134</v>
      </c>
      <c r="DD2996" t="s">
        <v>135</v>
      </c>
      <c r="DG2996">
        <v>3322262</v>
      </c>
      <c r="DI2996">
        <v>1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">
      <c r="A2997" t="str">
        <f>"05/01/2025 15:12:51.957"</f>
        <v>05/01/2025 15:12:51.957</v>
      </c>
      <c r="C2997" t="str">
        <f t="shared" si="1166"/>
        <v>FFDFD3C0</v>
      </c>
      <c r="D2997" t="s">
        <v>140</v>
      </c>
      <c r="E2997" t="str">
        <f>"13"</f>
        <v>13</v>
      </c>
      <c r="F2997">
        <v>1019</v>
      </c>
      <c r="G2997" t="s">
        <v>141</v>
      </c>
      <c r="J2997" t="s">
        <v>142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R2997" t="s">
        <v>127</v>
      </c>
      <c r="S2997" t="str">
        <f t="shared" si="1186"/>
        <v>15:12:51.000</v>
      </c>
      <c r="T2997" t="str">
        <f t="shared" si="1186"/>
        <v>15:12:51.000</v>
      </c>
      <c r="U2997" t="str">
        <f t="shared" si="1167"/>
        <v>A68FCB</v>
      </c>
      <c r="V2997">
        <v>0</v>
      </c>
      <c r="W2997">
        <v>0</v>
      </c>
      <c r="X2997">
        <v>2</v>
      </c>
      <c r="Y2997">
        <v>0</v>
      </c>
      <c r="AA2997">
        <v>1</v>
      </c>
      <c r="AB2997">
        <v>8</v>
      </c>
      <c r="AC2997">
        <v>3</v>
      </c>
      <c r="AD2997">
        <v>0</v>
      </c>
      <c r="AE2997">
        <v>9</v>
      </c>
      <c r="AF2997" t="s">
        <v>138</v>
      </c>
      <c r="AG2997">
        <v>0</v>
      </c>
      <c r="AH2997">
        <v>3</v>
      </c>
      <c r="AI2997">
        <v>2</v>
      </c>
      <c r="AJ2997">
        <v>0</v>
      </c>
      <c r="AK2997" t="s">
        <v>1012</v>
      </c>
      <c r="AL2997">
        <v>39.115405000000003</v>
      </c>
      <c r="AM2997" t="s">
        <v>1011</v>
      </c>
      <c r="AN2997">
        <v>-121.03215</v>
      </c>
      <c r="AO2997">
        <v>25</v>
      </c>
      <c r="AP2997">
        <v>4400</v>
      </c>
      <c r="AQ2997" t="s">
        <v>131</v>
      </c>
      <c r="AR2997">
        <v>2</v>
      </c>
      <c r="AS2997">
        <v>83</v>
      </c>
      <c r="AT2997">
        <v>0</v>
      </c>
      <c r="BB2997" t="str">
        <f t="shared" si="1168"/>
        <v>1200</v>
      </c>
      <c r="BC2997">
        <v>1</v>
      </c>
      <c r="BD2997" t="str">
        <f t="shared" si="1169"/>
        <v xml:space="preserve">N52156  </v>
      </c>
      <c r="BE2997">
        <v>1</v>
      </c>
      <c r="BG2997">
        <v>0</v>
      </c>
      <c r="BH2997">
        <v>0</v>
      </c>
      <c r="BI2997">
        <v>0</v>
      </c>
      <c r="BJ2997">
        <v>4425</v>
      </c>
      <c r="BK2997">
        <v>25</v>
      </c>
      <c r="BL2997" t="s">
        <v>188</v>
      </c>
      <c r="BM2997">
        <v>1</v>
      </c>
      <c r="BN2997">
        <v>1</v>
      </c>
      <c r="BO2997">
        <v>0</v>
      </c>
      <c r="BP2997">
        <v>0</v>
      </c>
      <c r="BS2997">
        <v>0</v>
      </c>
      <c r="BT2997">
        <v>0</v>
      </c>
      <c r="BU2997">
        <v>0</v>
      </c>
      <c r="CE2997" t="str">
        <f t="shared" si="1187"/>
        <v>15:12:51.753</v>
      </c>
      <c r="CF2997">
        <v>752979494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5</v>
      </c>
      <c r="CY2997">
        <v>7</v>
      </c>
      <c r="CZ2997" t="s">
        <v>133</v>
      </c>
      <c r="DA2997">
        <v>275</v>
      </c>
      <c r="DB2997">
        <v>0</v>
      </c>
      <c r="DC2997" t="s">
        <v>134</v>
      </c>
      <c r="DD2997" t="s">
        <v>135</v>
      </c>
      <c r="DG2997">
        <v>3322262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">
      <c r="A2998" t="str">
        <f>"05/01/2025 15:12:51.971"</f>
        <v>05/01/2025 15:12:51.971</v>
      </c>
      <c r="C2998" t="str">
        <f t="shared" si="1166"/>
        <v>FFDFD3C0</v>
      </c>
      <c r="D2998" t="s">
        <v>145</v>
      </c>
      <c r="E2998" t="str">
        <f>"09"</f>
        <v>09</v>
      </c>
      <c r="H2998">
        <v>51</v>
      </c>
      <c r="I2998" t="s">
        <v>147</v>
      </c>
      <c r="J2998" t="s">
        <v>138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R2998" t="s">
        <v>127</v>
      </c>
      <c r="S2998" t="str">
        <f t="shared" si="1186"/>
        <v>15:12:51.000</v>
      </c>
      <c r="T2998" t="str">
        <f t="shared" si="1186"/>
        <v>15:12:51.000</v>
      </c>
      <c r="U2998" t="str">
        <f t="shared" si="1167"/>
        <v>A68FCB</v>
      </c>
      <c r="V2998">
        <v>0</v>
      </c>
      <c r="W2998">
        <v>0</v>
      </c>
      <c r="X2998">
        <v>2</v>
      </c>
      <c r="Y2998">
        <v>0</v>
      </c>
      <c r="AA2998">
        <v>1</v>
      </c>
      <c r="AB2998">
        <v>8</v>
      </c>
      <c r="AC2998">
        <v>3</v>
      </c>
      <c r="AD2998">
        <v>0</v>
      </c>
      <c r="AE2998">
        <v>9</v>
      </c>
      <c r="AF2998" t="s">
        <v>138</v>
      </c>
      <c r="AG2998">
        <v>0</v>
      </c>
      <c r="AH2998">
        <v>3</v>
      </c>
      <c r="AI2998">
        <v>2</v>
      </c>
      <c r="AJ2998">
        <v>0</v>
      </c>
      <c r="AK2998" t="s">
        <v>1012</v>
      </c>
      <c r="AL2998">
        <v>39.115405000000003</v>
      </c>
      <c r="AM2998" t="s">
        <v>1011</v>
      </c>
      <c r="AN2998">
        <v>-121.03215</v>
      </c>
      <c r="AO2998">
        <v>25</v>
      </c>
      <c r="AP2998">
        <v>4400</v>
      </c>
      <c r="AQ2998" t="s">
        <v>131</v>
      </c>
      <c r="AR2998">
        <v>2</v>
      </c>
      <c r="AS2998">
        <v>83</v>
      </c>
      <c r="AT2998">
        <v>0</v>
      </c>
      <c r="BB2998" t="str">
        <f t="shared" si="1168"/>
        <v>1200</v>
      </c>
      <c r="BC2998">
        <v>1</v>
      </c>
      <c r="BD2998" t="str">
        <f t="shared" si="1169"/>
        <v xml:space="preserve">N52156  </v>
      </c>
      <c r="BE2998">
        <v>1</v>
      </c>
      <c r="BG2998">
        <v>0</v>
      </c>
      <c r="BH2998">
        <v>0</v>
      </c>
      <c r="BI2998">
        <v>0</v>
      </c>
      <c r="BJ2998">
        <v>4425</v>
      </c>
      <c r="BK2998">
        <v>25</v>
      </c>
      <c r="BL2998" t="s">
        <v>188</v>
      </c>
      <c r="BM2998">
        <v>1</v>
      </c>
      <c r="BN2998">
        <v>1</v>
      </c>
      <c r="BO2998">
        <v>0</v>
      </c>
      <c r="BP2998">
        <v>0</v>
      </c>
      <c r="BS2998">
        <v>0</v>
      </c>
      <c r="BT2998">
        <v>0</v>
      </c>
      <c r="BU2998">
        <v>0</v>
      </c>
      <c r="CE2998" t="str">
        <f t="shared" si="1187"/>
        <v>15:12:51.753</v>
      </c>
      <c r="CF2998">
        <v>752979494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5</v>
      </c>
      <c r="CY2998">
        <v>7</v>
      </c>
      <c r="CZ2998" t="s">
        <v>133</v>
      </c>
      <c r="DA2998">
        <v>275</v>
      </c>
      <c r="DB2998">
        <v>0</v>
      </c>
      <c r="DC2998" t="s">
        <v>134</v>
      </c>
      <c r="DD2998" t="s">
        <v>135</v>
      </c>
      <c r="DG2998">
        <v>3322262</v>
      </c>
      <c r="DI2998">
        <v>1</v>
      </c>
      <c r="DJ2998">
        <v>0</v>
      </c>
      <c r="DK2998">
        <v>1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">
      <c r="A2999" t="str">
        <f>"05/01/2025 15:12:51.974"</f>
        <v>05/01/2025 15:12:51.974</v>
      </c>
      <c r="C2999" t="str">
        <f t="shared" si="1166"/>
        <v>FFDFD3C0</v>
      </c>
      <c r="D2999" t="s">
        <v>145</v>
      </c>
      <c r="E2999" t="str">
        <f>"05"</f>
        <v>05</v>
      </c>
      <c r="H2999">
        <v>47</v>
      </c>
      <c r="I2999" t="s">
        <v>146</v>
      </c>
      <c r="J2999" t="s">
        <v>138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R2999" t="s">
        <v>127</v>
      </c>
      <c r="S2999" t="str">
        <f t="shared" si="1186"/>
        <v>15:12:51.000</v>
      </c>
      <c r="T2999" t="str">
        <f t="shared" si="1186"/>
        <v>15:12:51.000</v>
      </c>
      <c r="U2999" t="str">
        <f t="shared" si="1167"/>
        <v>A68FCB</v>
      </c>
      <c r="V2999">
        <v>0</v>
      </c>
      <c r="W2999">
        <v>0</v>
      </c>
      <c r="X2999">
        <v>2</v>
      </c>
      <c r="Y2999">
        <v>0</v>
      </c>
      <c r="AA2999">
        <v>1</v>
      </c>
      <c r="AB2999">
        <v>8</v>
      </c>
      <c r="AC2999">
        <v>3</v>
      </c>
      <c r="AD2999">
        <v>0</v>
      </c>
      <c r="AE2999">
        <v>9</v>
      </c>
      <c r="AF2999" t="s">
        <v>138</v>
      </c>
      <c r="AG2999">
        <v>0</v>
      </c>
      <c r="AH2999">
        <v>3</v>
      </c>
      <c r="AI2999">
        <v>2</v>
      </c>
      <c r="AJ2999">
        <v>0</v>
      </c>
      <c r="AK2999" t="s">
        <v>1012</v>
      </c>
      <c r="AL2999">
        <v>39.115405000000003</v>
      </c>
      <c r="AM2999" t="s">
        <v>1011</v>
      </c>
      <c r="AN2999">
        <v>-121.03215</v>
      </c>
      <c r="AO2999">
        <v>25</v>
      </c>
      <c r="AP2999">
        <v>4400</v>
      </c>
      <c r="AQ2999" t="s">
        <v>131</v>
      </c>
      <c r="AR2999">
        <v>2</v>
      </c>
      <c r="AS2999">
        <v>83</v>
      </c>
      <c r="AT2999">
        <v>0</v>
      </c>
      <c r="BB2999" t="str">
        <f t="shared" si="1168"/>
        <v>1200</v>
      </c>
      <c r="BC2999">
        <v>1</v>
      </c>
      <c r="BD2999" t="str">
        <f t="shared" si="1169"/>
        <v xml:space="preserve">N52156  </v>
      </c>
      <c r="BE2999">
        <v>1</v>
      </c>
      <c r="BG2999">
        <v>0</v>
      </c>
      <c r="BH2999">
        <v>0</v>
      </c>
      <c r="BI2999">
        <v>0</v>
      </c>
      <c r="BJ2999">
        <v>4425</v>
      </c>
      <c r="BK2999">
        <v>25</v>
      </c>
      <c r="BL2999" t="s">
        <v>188</v>
      </c>
      <c r="BM2999">
        <v>1</v>
      </c>
      <c r="BN2999">
        <v>1</v>
      </c>
      <c r="BO2999">
        <v>0</v>
      </c>
      <c r="BP2999">
        <v>0</v>
      </c>
      <c r="BS2999">
        <v>0</v>
      </c>
      <c r="BT2999">
        <v>0</v>
      </c>
      <c r="BU2999">
        <v>0</v>
      </c>
      <c r="CE2999" t="str">
        <f t="shared" si="1187"/>
        <v>15:12:51.753</v>
      </c>
      <c r="CF2999">
        <v>752979494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5</v>
      </c>
      <c r="CY2999">
        <v>7</v>
      </c>
      <c r="CZ2999" t="s">
        <v>133</v>
      </c>
      <c r="DA2999">
        <v>275</v>
      </c>
      <c r="DB2999">
        <v>0</v>
      </c>
      <c r="DC2999" t="s">
        <v>134</v>
      </c>
      <c r="DD2999" t="s">
        <v>135</v>
      </c>
      <c r="DG2999">
        <v>3322262</v>
      </c>
      <c r="DI2999">
        <v>1</v>
      </c>
      <c r="DJ2999">
        <v>0</v>
      </c>
      <c r="DK2999">
        <v>1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">
      <c r="A3000" t="str">
        <f>"05/01/2025 15:12:51.983"</f>
        <v>05/01/2025 15:12:51.983</v>
      </c>
      <c r="C3000" t="str">
        <f t="shared" si="1166"/>
        <v>FFDFD3C0</v>
      </c>
      <c r="D3000" t="s">
        <v>136</v>
      </c>
      <c r="E3000" t="str">
        <f>"20"</f>
        <v>20</v>
      </c>
      <c r="H3000">
        <v>400</v>
      </c>
      <c r="I3000" t="s">
        <v>137</v>
      </c>
      <c r="J3000" t="s">
        <v>138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R3000" t="s">
        <v>127</v>
      </c>
      <c r="S3000" t="str">
        <f t="shared" si="1186"/>
        <v>15:12:51.000</v>
      </c>
      <c r="T3000" t="str">
        <f t="shared" si="1186"/>
        <v>15:12:51.000</v>
      </c>
      <c r="U3000" t="str">
        <f t="shared" si="1167"/>
        <v>A68FCB</v>
      </c>
      <c r="V3000">
        <v>0</v>
      </c>
      <c r="W3000">
        <v>0</v>
      </c>
      <c r="X3000">
        <v>2</v>
      </c>
      <c r="Y3000">
        <v>0</v>
      </c>
      <c r="AA3000">
        <v>1</v>
      </c>
      <c r="AB3000">
        <v>8</v>
      </c>
      <c r="AC3000">
        <v>3</v>
      </c>
      <c r="AD3000">
        <v>0</v>
      </c>
      <c r="AE3000">
        <v>9</v>
      </c>
      <c r="AF3000" t="s">
        <v>138</v>
      </c>
      <c r="AG3000">
        <v>0</v>
      </c>
      <c r="AH3000">
        <v>3</v>
      </c>
      <c r="AI3000">
        <v>2</v>
      </c>
      <c r="AJ3000">
        <v>0</v>
      </c>
      <c r="AK3000" t="s">
        <v>1012</v>
      </c>
      <c r="AL3000">
        <v>39.115405000000003</v>
      </c>
      <c r="AM3000" t="s">
        <v>1011</v>
      </c>
      <c r="AN3000">
        <v>-121.03215</v>
      </c>
      <c r="AO3000">
        <v>25</v>
      </c>
      <c r="AP3000">
        <v>4400</v>
      </c>
      <c r="AQ3000" t="s">
        <v>131</v>
      </c>
      <c r="AR3000">
        <v>2</v>
      </c>
      <c r="AS3000">
        <v>83</v>
      </c>
      <c r="AT3000">
        <v>0</v>
      </c>
      <c r="BB3000" t="str">
        <f t="shared" si="1168"/>
        <v>1200</v>
      </c>
      <c r="BC3000">
        <v>1</v>
      </c>
      <c r="BD3000" t="str">
        <f t="shared" si="1169"/>
        <v xml:space="preserve">N52156  </v>
      </c>
      <c r="BE3000">
        <v>1</v>
      </c>
      <c r="BG3000">
        <v>0</v>
      </c>
      <c r="BH3000">
        <v>0</v>
      </c>
      <c r="BI3000">
        <v>0</v>
      </c>
      <c r="BJ3000">
        <v>4425</v>
      </c>
      <c r="BK3000">
        <v>25</v>
      </c>
      <c r="BL3000" t="s">
        <v>188</v>
      </c>
      <c r="BM3000">
        <v>1</v>
      </c>
      <c r="BN3000">
        <v>1</v>
      </c>
      <c r="BO3000">
        <v>0</v>
      </c>
      <c r="BP3000">
        <v>0</v>
      </c>
      <c r="BS3000">
        <v>0</v>
      </c>
      <c r="BT3000">
        <v>0</v>
      </c>
      <c r="BU3000">
        <v>0</v>
      </c>
      <c r="CE3000" t="str">
        <f t="shared" si="1187"/>
        <v>15:12:51.753</v>
      </c>
      <c r="CF3000">
        <v>752979494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5</v>
      </c>
      <c r="CY3000">
        <v>7</v>
      </c>
      <c r="CZ3000" t="s">
        <v>133</v>
      </c>
      <c r="DA3000">
        <v>275</v>
      </c>
      <c r="DB3000">
        <v>0</v>
      </c>
      <c r="DC3000" t="s">
        <v>134</v>
      </c>
      <c r="DD3000" t="s">
        <v>135</v>
      </c>
      <c r="DG3000">
        <v>3322262</v>
      </c>
      <c r="DI3000">
        <v>1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">
      <c r="A3001" t="str">
        <f>"05/01/2025 15:12:51.991"</f>
        <v>05/01/2025 15:12:51.991</v>
      </c>
      <c r="C3001" t="str">
        <f t="shared" si="1166"/>
        <v>FFDFD3C0</v>
      </c>
      <c r="D3001" t="s">
        <v>143</v>
      </c>
      <c r="E3001" t="str">
        <f>"05"</f>
        <v>05</v>
      </c>
      <c r="H3001">
        <v>172</v>
      </c>
      <c r="I3001" t="s">
        <v>141</v>
      </c>
      <c r="J3001" t="s">
        <v>144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R3001" t="s">
        <v>127</v>
      </c>
      <c r="S3001" t="str">
        <f t="shared" si="1186"/>
        <v>15:12:51.000</v>
      </c>
      <c r="T3001" t="str">
        <f t="shared" si="1186"/>
        <v>15:12:51.000</v>
      </c>
      <c r="U3001" t="str">
        <f t="shared" si="1167"/>
        <v>A68FCB</v>
      </c>
      <c r="V3001">
        <v>0</v>
      </c>
      <c r="W3001">
        <v>0</v>
      </c>
      <c r="X3001">
        <v>2</v>
      </c>
      <c r="Y3001">
        <v>0</v>
      </c>
      <c r="AA3001">
        <v>1</v>
      </c>
      <c r="AB3001">
        <v>8</v>
      </c>
      <c r="AC3001">
        <v>3</v>
      </c>
      <c r="AD3001">
        <v>0</v>
      </c>
      <c r="AE3001">
        <v>9</v>
      </c>
      <c r="AF3001" t="s">
        <v>138</v>
      </c>
      <c r="AG3001">
        <v>0</v>
      </c>
      <c r="AH3001">
        <v>3</v>
      </c>
      <c r="AI3001">
        <v>2</v>
      </c>
      <c r="AJ3001">
        <v>0</v>
      </c>
      <c r="AK3001" t="s">
        <v>1012</v>
      </c>
      <c r="AL3001">
        <v>39.115405000000003</v>
      </c>
      <c r="AM3001" t="s">
        <v>1011</v>
      </c>
      <c r="AN3001">
        <v>-121.03215</v>
      </c>
      <c r="AO3001">
        <v>25</v>
      </c>
      <c r="AP3001">
        <v>4400</v>
      </c>
      <c r="AQ3001" t="s">
        <v>131</v>
      </c>
      <c r="AR3001">
        <v>2</v>
      </c>
      <c r="AS3001">
        <v>83</v>
      </c>
      <c r="AT3001">
        <v>0</v>
      </c>
      <c r="BB3001" t="str">
        <f t="shared" si="1168"/>
        <v>1200</v>
      </c>
      <c r="BC3001">
        <v>1</v>
      </c>
      <c r="BD3001" t="str">
        <f t="shared" si="1169"/>
        <v xml:space="preserve">N52156  </v>
      </c>
      <c r="BE3001">
        <v>1</v>
      </c>
      <c r="BG3001">
        <v>0</v>
      </c>
      <c r="BH3001">
        <v>0</v>
      </c>
      <c r="BI3001">
        <v>0</v>
      </c>
      <c r="BJ3001">
        <v>4425</v>
      </c>
      <c r="BK3001">
        <v>25</v>
      </c>
      <c r="BL3001" t="s">
        <v>188</v>
      </c>
      <c r="BM3001">
        <v>1</v>
      </c>
      <c r="BN3001">
        <v>1</v>
      </c>
      <c r="BO3001">
        <v>0</v>
      </c>
      <c r="BP3001">
        <v>0</v>
      </c>
      <c r="BS3001">
        <v>0</v>
      </c>
      <c r="BT3001">
        <v>0</v>
      </c>
      <c r="BU3001">
        <v>0</v>
      </c>
      <c r="CE3001" t="str">
        <f t="shared" si="1187"/>
        <v>15:12:51.753</v>
      </c>
      <c r="CF3001">
        <v>752979494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5</v>
      </c>
      <c r="CY3001">
        <v>7</v>
      </c>
      <c r="CZ3001" t="s">
        <v>133</v>
      </c>
      <c r="DA3001">
        <v>275</v>
      </c>
      <c r="DB3001">
        <v>0</v>
      </c>
      <c r="DC3001" t="s">
        <v>134</v>
      </c>
      <c r="DD3001" t="s">
        <v>135</v>
      </c>
      <c r="DG3001">
        <v>3322262</v>
      </c>
      <c r="DI3001">
        <v>1</v>
      </c>
      <c r="DJ3001">
        <v>0</v>
      </c>
      <c r="DK3001">
        <v>1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">
      <c r="A3002" t="str">
        <f>"05/01/2025 15:12:52.808"</f>
        <v>05/01/2025 15:12:52.808</v>
      </c>
      <c r="C3002" t="str">
        <f t="shared" si="1166"/>
        <v>FFDFD3C0</v>
      </c>
      <c r="D3002" t="s">
        <v>124</v>
      </c>
      <c r="E3002" t="str">
        <f>"06"</f>
        <v>06</v>
      </c>
      <c r="F3002">
        <v>2006</v>
      </c>
      <c r="G3002" t="s">
        <v>125</v>
      </c>
      <c r="J3002" t="s">
        <v>126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R3002" t="s">
        <v>127</v>
      </c>
      <c r="S3002" t="str">
        <f t="shared" ref="S3002:T3007" si="1188">"15:12:52.000"</f>
        <v>15:12:52.000</v>
      </c>
      <c r="T3002" t="str">
        <f t="shared" si="1188"/>
        <v>15:12:52.000</v>
      </c>
      <c r="U3002" t="str">
        <f t="shared" si="1167"/>
        <v>A68FCB</v>
      </c>
      <c r="V3002">
        <v>0</v>
      </c>
      <c r="W3002">
        <v>0</v>
      </c>
      <c r="X3002">
        <v>2</v>
      </c>
      <c r="Y3002">
        <v>0</v>
      </c>
      <c r="AA3002">
        <v>1</v>
      </c>
      <c r="AB3002">
        <v>8</v>
      </c>
      <c r="AC3002">
        <v>3</v>
      </c>
      <c r="AD3002">
        <v>0</v>
      </c>
      <c r="AE3002">
        <v>9</v>
      </c>
      <c r="AF3002" t="s">
        <v>138</v>
      </c>
      <c r="AG3002">
        <v>0</v>
      </c>
      <c r="AH3002">
        <v>3</v>
      </c>
      <c r="AI3002">
        <v>2</v>
      </c>
      <c r="AJ3002">
        <v>0</v>
      </c>
      <c r="AK3002" t="s">
        <v>1013</v>
      </c>
      <c r="AL3002">
        <v>39.115769999999998</v>
      </c>
      <c r="AM3002" t="s">
        <v>1014</v>
      </c>
      <c r="AN3002">
        <v>-121.032128</v>
      </c>
      <c r="AO3002">
        <v>25</v>
      </c>
      <c r="AP3002">
        <v>4400</v>
      </c>
      <c r="AQ3002" t="s">
        <v>131</v>
      </c>
      <c r="AR3002">
        <v>1</v>
      </c>
      <c r="AS3002">
        <v>83</v>
      </c>
      <c r="AT3002">
        <v>0</v>
      </c>
      <c r="BB3002" t="str">
        <f t="shared" si="1168"/>
        <v>1200</v>
      </c>
      <c r="BC3002">
        <v>1</v>
      </c>
      <c r="BD3002" t="str">
        <f t="shared" si="1169"/>
        <v xml:space="preserve">N52156  </v>
      </c>
      <c r="BE3002">
        <v>1</v>
      </c>
      <c r="BG3002">
        <v>0</v>
      </c>
      <c r="BH3002">
        <v>0</v>
      </c>
      <c r="BI3002">
        <v>0</v>
      </c>
      <c r="BJ3002">
        <v>4425</v>
      </c>
      <c r="BK3002">
        <v>25</v>
      </c>
      <c r="BL3002" t="s">
        <v>188</v>
      </c>
      <c r="BM3002">
        <v>1</v>
      </c>
      <c r="BN3002">
        <v>1</v>
      </c>
      <c r="BO3002">
        <v>0</v>
      </c>
      <c r="BP3002">
        <v>0</v>
      </c>
      <c r="BS3002">
        <v>0</v>
      </c>
      <c r="BT3002">
        <v>0</v>
      </c>
      <c r="BU3002">
        <v>0</v>
      </c>
      <c r="CE3002" t="str">
        <f t="shared" ref="CE3002:CE3007" si="1189">"15:12:52.605"</f>
        <v>15:12:52.605</v>
      </c>
      <c r="CF3002">
        <v>604729190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5</v>
      </c>
      <c r="CY3002">
        <v>7</v>
      </c>
      <c r="CZ3002" t="s">
        <v>133</v>
      </c>
      <c r="DA3002">
        <v>275</v>
      </c>
      <c r="DB3002">
        <v>0</v>
      </c>
      <c r="DC3002" t="s">
        <v>134</v>
      </c>
      <c r="DD3002" t="s">
        <v>135</v>
      </c>
      <c r="DG3002">
        <v>3322266</v>
      </c>
      <c r="DI3002">
        <v>1</v>
      </c>
      <c r="DJ3002">
        <v>0</v>
      </c>
      <c r="DK3002">
        <v>0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">
      <c r="A3003" t="str">
        <f>"05/01/2025 15:12:52.809"</f>
        <v>05/01/2025 15:12:52.809</v>
      </c>
      <c r="C3003" t="str">
        <f t="shared" si="1166"/>
        <v>FFDFD3C0</v>
      </c>
      <c r="D3003" t="s">
        <v>140</v>
      </c>
      <c r="E3003" t="str">
        <f>"13"</f>
        <v>13</v>
      </c>
      <c r="F3003">
        <v>1019</v>
      </c>
      <c r="G3003" t="s">
        <v>141</v>
      </c>
      <c r="J3003" t="s">
        <v>142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R3003" t="s">
        <v>127</v>
      </c>
      <c r="S3003" t="str">
        <f t="shared" si="1188"/>
        <v>15:12:52.000</v>
      </c>
      <c r="T3003" t="str">
        <f t="shared" si="1188"/>
        <v>15:12:52.000</v>
      </c>
      <c r="U3003" t="str">
        <f t="shared" si="1167"/>
        <v>A68FCB</v>
      </c>
      <c r="V3003">
        <v>0</v>
      </c>
      <c r="W3003">
        <v>0</v>
      </c>
      <c r="X3003">
        <v>2</v>
      </c>
      <c r="Y3003">
        <v>0</v>
      </c>
      <c r="AA3003">
        <v>1</v>
      </c>
      <c r="AB3003">
        <v>8</v>
      </c>
      <c r="AC3003">
        <v>3</v>
      </c>
      <c r="AD3003">
        <v>0</v>
      </c>
      <c r="AE3003">
        <v>9</v>
      </c>
      <c r="AF3003" t="s">
        <v>138</v>
      </c>
      <c r="AG3003">
        <v>0</v>
      </c>
      <c r="AH3003">
        <v>3</v>
      </c>
      <c r="AI3003">
        <v>2</v>
      </c>
      <c r="AJ3003">
        <v>0</v>
      </c>
      <c r="AK3003" t="s">
        <v>1013</v>
      </c>
      <c r="AL3003">
        <v>39.115769999999998</v>
      </c>
      <c r="AM3003" t="s">
        <v>1014</v>
      </c>
      <c r="AN3003">
        <v>-121.032128</v>
      </c>
      <c r="AO3003">
        <v>25</v>
      </c>
      <c r="AP3003">
        <v>4400</v>
      </c>
      <c r="AQ3003" t="s">
        <v>131</v>
      </c>
      <c r="AR3003">
        <v>1</v>
      </c>
      <c r="AS3003">
        <v>83</v>
      </c>
      <c r="AT3003">
        <v>0</v>
      </c>
      <c r="BB3003" t="str">
        <f t="shared" si="1168"/>
        <v>1200</v>
      </c>
      <c r="BC3003">
        <v>1</v>
      </c>
      <c r="BD3003" t="str">
        <f t="shared" si="1169"/>
        <v xml:space="preserve">N52156  </v>
      </c>
      <c r="BE3003">
        <v>1</v>
      </c>
      <c r="BG3003">
        <v>0</v>
      </c>
      <c r="BH3003">
        <v>0</v>
      </c>
      <c r="BI3003">
        <v>0</v>
      </c>
      <c r="BJ3003">
        <v>4425</v>
      </c>
      <c r="BK3003">
        <v>25</v>
      </c>
      <c r="BL3003" t="s">
        <v>188</v>
      </c>
      <c r="BM3003">
        <v>1</v>
      </c>
      <c r="BN3003">
        <v>1</v>
      </c>
      <c r="BO3003">
        <v>0</v>
      </c>
      <c r="BP3003">
        <v>0</v>
      </c>
      <c r="BS3003">
        <v>0</v>
      </c>
      <c r="BT3003">
        <v>0</v>
      </c>
      <c r="BU3003">
        <v>0</v>
      </c>
      <c r="CE3003" t="str">
        <f t="shared" si="1189"/>
        <v>15:12:52.605</v>
      </c>
      <c r="CF3003">
        <v>604729190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5</v>
      </c>
      <c r="CY3003">
        <v>7</v>
      </c>
      <c r="CZ3003" t="s">
        <v>133</v>
      </c>
      <c r="DA3003">
        <v>275</v>
      </c>
      <c r="DB3003">
        <v>0</v>
      </c>
      <c r="DC3003" t="s">
        <v>134</v>
      </c>
      <c r="DD3003" t="s">
        <v>135</v>
      </c>
      <c r="DG3003">
        <v>3322266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">
      <c r="A3004" t="str">
        <f>"05/01/2025 15:12:52.823"</f>
        <v>05/01/2025 15:12:52.823</v>
      </c>
      <c r="C3004" t="str">
        <f t="shared" si="1166"/>
        <v>FFDFD3C0</v>
      </c>
      <c r="D3004" t="s">
        <v>145</v>
      </c>
      <c r="E3004" t="str">
        <f>"09"</f>
        <v>09</v>
      </c>
      <c r="H3004">
        <v>51</v>
      </c>
      <c r="I3004" t="s">
        <v>147</v>
      </c>
      <c r="J3004" t="s">
        <v>138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R3004" t="s">
        <v>127</v>
      </c>
      <c r="S3004" t="str">
        <f t="shared" si="1188"/>
        <v>15:12:52.000</v>
      </c>
      <c r="T3004" t="str">
        <f t="shared" si="1188"/>
        <v>15:12:52.000</v>
      </c>
      <c r="U3004" t="str">
        <f t="shared" si="1167"/>
        <v>A68FCB</v>
      </c>
      <c r="V3004">
        <v>0</v>
      </c>
      <c r="W3004">
        <v>0</v>
      </c>
      <c r="X3004">
        <v>2</v>
      </c>
      <c r="Y3004">
        <v>0</v>
      </c>
      <c r="AA3004">
        <v>1</v>
      </c>
      <c r="AB3004">
        <v>8</v>
      </c>
      <c r="AC3004">
        <v>3</v>
      </c>
      <c r="AD3004">
        <v>0</v>
      </c>
      <c r="AE3004">
        <v>9</v>
      </c>
      <c r="AF3004" t="s">
        <v>138</v>
      </c>
      <c r="AG3004">
        <v>0</v>
      </c>
      <c r="AH3004">
        <v>3</v>
      </c>
      <c r="AI3004">
        <v>2</v>
      </c>
      <c r="AJ3004">
        <v>0</v>
      </c>
      <c r="AK3004" t="s">
        <v>1013</v>
      </c>
      <c r="AL3004">
        <v>39.115769999999998</v>
      </c>
      <c r="AM3004" t="s">
        <v>1014</v>
      </c>
      <c r="AN3004">
        <v>-121.032128</v>
      </c>
      <c r="AO3004">
        <v>25</v>
      </c>
      <c r="AP3004">
        <v>4400</v>
      </c>
      <c r="AQ3004" t="s">
        <v>131</v>
      </c>
      <c r="AR3004">
        <v>1</v>
      </c>
      <c r="AS3004">
        <v>83</v>
      </c>
      <c r="AT3004">
        <v>0</v>
      </c>
      <c r="BB3004" t="str">
        <f t="shared" si="1168"/>
        <v>1200</v>
      </c>
      <c r="BC3004">
        <v>1</v>
      </c>
      <c r="BD3004" t="str">
        <f t="shared" si="1169"/>
        <v xml:space="preserve">N52156  </v>
      </c>
      <c r="BE3004">
        <v>1</v>
      </c>
      <c r="BG3004">
        <v>0</v>
      </c>
      <c r="BH3004">
        <v>0</v>
      </c>
      <c r="BI3004">
        <v>0</v>
      </c>
      <c r="BJ3004">
        <v>4425</v>
      </c>
      <c r="BK3004">
        <v>25</v>
      </c>
      <c r="BL3004" t="s">
        <v>188</v>
      </c>
      <c r="BM3004">
        <v>1</v>
      </c>
      <c r="BN3004">
        <v>1</v>
      </c>
      <c r="BO3004">
        <v>0</v>
      </c>
      <c r="BP3004">
        <v>0</v>
      </c>
      <c r="BS3004">
        <v>0</v>
      </c>
      <c r="BT3004">
        <v>0</v>
      </c>
      <c r="BU3004">
        <v>0</v>
      </c>
      <c r="CE3004" t="str">
        <f t="shared" si="1189"/>
        <v>15:12:52.605</v>
      </c>
      <c r="CF3004">
        <v>604729190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5</v>
      </c>
      <c r="CY3004">
        <v>7</v>
      </c>
      <c r="CZ3004" t="s">
        <v>133</v>
      </c>
      <c r="DA3004">
        <v>275</v>
      </c>
      <c r="DB3004">
        <v>0</v>
      </c>
      <c r="DC3004" t="s">
        <v>134</v>
      </c>
      <c r="DD3004" t="s">
        <v>135</v>
      </c>
      <c r="DG3004">
        <v>3322266</v>
      </c>
      <c r="DI3004">
        <v>1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">
      <c r="A3005" t="str">
        <f>"05/01/2025 15:12:52.825"</f>
        <v>05/01/2025 15:12:52.825</v>
      </c>
      <c r="C3005" t="str">
        <f t="shared" si="1166"/>
        <v>FFDFD3C0</v>
      </c>
      <c r="D3005" t="s">
        <v>145</v>
      </c>
      <c r="E3005" t="str">
        <f>"05"</f>
        <v>05</v>
      </c>
      <c r="H3005">
        <v>47</v>
      </c>
      <c r="I3005" t="s">
        <v>146</v>
      </c>
      <c r="J3005" t="s">
        <v>138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R3005" t="s">
        <v>127</v>
      </c>
      <c r="S3005" t="str">
        <f t="shared" si="1188"/>
        <v>15:12:52.000</v>
      </c>
      <c r="T3005" t="str">
        <f t="shared" si="1188"/>
        <v>15:12:52.000</v>
      </c>
      <c r="U3005" t="str">
        <f t="shared" si="1167"/>
        <v>A68FCB</v>
      </c>
      <c r="V3005">
        <v>0</v>
      </c>
      <c r="W3005">
        <v>0</v>
      </c>
      <c r="X3005">
        <v>2</v>
      </c>
      <c r="Y3005">
        <v>0</v>
      </c>
      <c r="AA3005">
        <v>1</v>
      </c>
      <c r="AB3005">
        <v>8</v>
      </c>
      <c r="AC3005">
        <v>3</v>
      </c>
      <c r="AD3005">
        <v>0</v>
      </c>
      <c r="AE3005">
        <v>9</v>
      </c>
      <c r="AF3005" t="s">
        <v>138</v>
      </c>
      <c r="AG3005">
        <v>0</v>
      </c>
      <c r="AH3005">
        <v>3</v>
      </c>
      <c r="AI3005">
        <v>2</v>
      </c>
      <c r="AJ3005">
        <v>0</v>
      </c>
      <c r="AK3005" t="s">
        <v>1013</v>
      </c>
      <c r="AL3005">
        <v>39.115769999999998</v>
      </c>
      <c r="AM3005" t="s">
        <v>1014</v>
      </c>
      <c r="AN3005">
        <v>-121.032128</v>
      </c>
      <c r="AO3005">
        <v>25</v>
      </c>
      <c r="AP3005">
        <v>4400</v>
      </c>
      <c r="AQ3005" t="s">
        <v>131</v>
      </c>
      <c r="AR3005">
        <v>1</v>
      </c>
      <c r="AS3005">
        <v>83</v>
      </c>
      <c r="AT3005">
        <v>0</v>
      </c>
      <c r="BB3005" t="str">
        <f t="shared" si="1168"/>
        <v>1200</v>
      </c>
      <c r="BC3005">
        <v>1</v>
      </c>
      <c r="BD3005" t="str">
        <f t="shared" si="1169"/>
        <v xml:space="preserve">N52156  </v>
      </c>
      <c r="BE3005">
        <v>1</v>
      </c>
      <c r="BG3005">
        <v>0</v>
      </c>
      <c r="BH3005">
        <v>0</v>
      </c>
      <c r="BI3005">
        <v>0</v>
      </c>
      <c r="BJ3005">
        <v>4425</v>
      </c>
      <c r="BK3005">
        <v>25</v>
      </c>
      <c r="BL3005" t="s">
        <v>188</v>
      </c>
      <c r="BM3005">
        <v>1</v>
      </c>
      <c r="BN3005">
        <v>1</v>
      </c>
      <c r="BO3005">
        <v>0</v>
      </c>
      <c r="BP3005">
        <v>0</v>
      </c>
      <c r="BS3005">
        <v>0</v>
      </c>
      <c r="BT3005">
        <v>0</v>
      </c>
      <c r="BU3005">
        <v>0</v>
      </c>
      <c r="CE3005" t="str">
        <f t="shared" si="1189"/>
        <v>15:12:52.605</v>
      </c>
      <c r="CF3005">
        <v>604729190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5</v>
      </c>
      <c r="CY3005">
        <v>7</v>
      </c>
      <c r="CZ3005" t="s">
        <v>133</v>
      </c>
      <c r="DA3005">
        <v>275</v>
      </c>
      <c r="DB3005">
        <v>0</v>
      </c>
      <c r="DC3005" t="s">
        <v>134</v>
      </c>
      <c r="DD3005" t="s">
        <v>135</v>
      </c>
      <c r="DG3005">
        <v>3322266</v>
      </c>
      <c r="DI3005">
        <v>1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">
      <c r="A3006" t="str">
        <f>"05/01/2025 15:12:52.834"</f>
        <v>05/01/2025 15:12:52.834</v>
      </c>
      <c r="C3006" t="str">
        <f t="shared" si="1166"/>
        <v>FFDFD3C0</v>
      </c>
      <c r="D3006" t="s">
        <v>136</v>
      </c>
      <c r="E3006" t="str">
        <f>"20"</f>
        <v>20</v>
      </c>
      <c r="H3006">
        <v>400</v>
      </c>
      <c r="I3006" t="s">
        <v>137</v>
      </c>
      <c r="J3006" t="s">
        <v>138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R3006" t="s">
        <v>127</v>
      </c>
      <c r="S3006" t="str">
        <f t="shared" si="1188"/>
        <v>15:12:52.000</v>
      </c>
      <c r="T3006" t="str">
        <f t="shared" si="1188"/>
        <v>15:12:52.000</v>
      </c>
      <c r="U3006" t="str">
        <f t="shared" si="1167"/>
        <v>A68FCB</v>
      </c>
      <c r="V3006">
        <v>0</v>
      </c>
      <c r="W3006">
        <v>0</v>
      </c>
      <c r="X3006">
        <v>2</v>
      </c>
      <c r="Y3006">
        <v>0</v>
      </c>
      <c r="AA3006">
        <v>1</v>
      </c>
      <c r="AB3006">
        <v>8</v>
      </c>
      <c r="AC3006">
        <v>3</v>
      </c>
      <c r="AD3006">
        <v>0</v>
      </c>
      <c r="AE3006">
        <v>9</v>
      </c>
      <c r="AF3006" t="s">
        <v>138</v>
      </c>
      <c r="AG3006">
        <v>0</v>
      </c>
      <c r="AH3006">
        <v>3</v>
      </c>
      <c r="AI3006">
        <v>2</v>
      </c>
      <c r="AJ3006">
        <v>0</v>
      </c>
      <c r="AK3006" t="s">
        <v>1013</v>
      </c>
      <c r="AL3006">
        <v>39.115769999999998</v>
      </c>
      <c r="AM3006" t="s">
        <v>1014</v>
      </c>
      <c r="AN3006">
        <v>-121.032128</v>
      </c>
      <c r="AO3006">
        <v>25</v>
      </c>
      <c r="AP3006">
        <v>4400</v>
      </c>
      <c r="AQ3006" t="s">
        <v>131</v>
      </c>
      <c r="AR3006">
        <v>1</v>
      </c>
      <c r="AS3006">
        <v>83</v>
      </c>
      <c r="AT3006">
        <v>0</v>
      </c>
      <c r="BB3006" t="str">
        <f t="shared" si="1168"/>
        <v>1200</v>
      </c>
      <c r="BC3006">
        <v>1</v>
      </c>
      <c r="BD3006" t="str">
        <f t="shared" si="1169"/>
        <v xml:space="preserve">N52156  </v>
      </c>
      <c r="BE3006">
        <v>1</v>
      </c>
      <c r="BG3006">
        <v>0</v>
      </c>
      <c r="BH3006">
        <v>0</v>
      </c>
      <c r="BI3006">
        <v>0</v>
      </c>
      <c r="BJ3006">
        <v>4425</v>
      </c>
      <c r="BK3006">
        <v>25</v>
      </c>
      <c r="BL3006" t="s">
        <v>188</v>
      </c>
      <c r="BM3006">
        <v>1</v>
      </c>
      <c r="BN3006">
        <v>1</v>
      </c>
      <c r="BO3006">
        <v>0</v>
      </c>
      <c r="BP3006">
        <v>0</v>
      </c>
      <c r="BS3006">
        <v>0</v>
      </c>
      <c r="BT3006">
        <v>0</v>
      </c>
      <c r="BU3006">
        <v>0</v>
      </c>
      <c r="CE3006" t="str">
        <f t="shared" si="1189"/>
        <v>15:12:52.605</v>
      </c>
      <c r="CF3006">
        <v>604729190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5</v>
      </c>
      <c r="CY3006">
        <v>7</v>
      </c>
      <c r="CZ3006" t="s">
        <v>133</v>
      </c>
      <c r="DA3006">
        <v>275</v>
      </c>
      <c r="DB3006">
        <v>0</v>
      </c>
      <c r="DC3006" t="s">
        <v>134</v>
      </c>
      <c r="DD3006" t="s">
        <v>135</v>
      </c>
      <c r="DG3006">
        <v>3322266</v>
      </c>
      <c r="DI3006">
        <v>1</v>
      </c>
      <c r="DJ3006">
        <v>0</v>
      </c>
      <c r="DK3006">
        <v>1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">
      <c r="A3007" t="str">
        <f>"05/01/2025 15:12:52.843"</f>
        <v>05/01/2025 15:12:52.843</v>
      </c>
      <c r="C3007" t="str">
        <f t="shared" si="1166"/>
        <v>FFDFD3C0</v>
      </c>
      <c r="D3007" t="s">
        <v>143</v>
      </c>
      <c r="E3007" t="str">
        <f>"05"</f>
        <v>05</v>
      </c>
      <c r="H3007">
        <v>172</v>
      </c>
      <c r="I3007" t="s">
        <v>141</v>
      </c>
      <c r="J3007" t="s">
        <v>144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R3007" t="s">
        <v>127</v>
      </c>
      <c r="S3007" t="str">
        <f t="shared" si="1188"/>
        <v>15:12:52.000</v>
      </c>
      <c r="T3007" t="str">
        <f t="shared" si="1188"/>
        <v>15:12:52.000</v>
      </c>
      <c r="U3007" t="str">
        <f t="shared" si="1167"/>
        <v>A68FCB</v>
      </c>
      <c r="V3007">
        <v>0</v>
      </c>
      <c r="W3007">
        <v>0</v>
      </c>
      <c r="X3007">
        <v>2</v>
      </c>
      <c r="Y3007">
        <v>0</v>
      </c>
      <c r="AA3007">
        <v>1</v>
      </c>
      <c r="AB3007">
        <v>8</v>
      </c>
      <c r="AC3007">
        <v>3</v>
      </c>
      <c r="AD3007">
        <v>0</v>
      </c>
      <c r="AE3007">
        <v>9</v>
      </c>
      <c r="AF3007" t="s">
        <v>138</v>
      </c>
      <c r="AG3007">
        <v>0</v>
      </c>
      <c r="AH3007">
        <v>3</v>
      </c>
      <c r="AI3007">
        <v>2</v>
      </c>
      <c r="AJ3007">
        <v>0</v>
      </c>
      <c r="AK3007" t="s">
        <v>1013</v>
      </c>
      <c r="AL3007">
        <v>39.115769999999998</v>
      </c>
      <c r="AM3007" t="s">
        <v>1014</v>
      </c>
      <c r="AN3007">
        <v>-121.032128</v>
      </c>
      <c r="AO3007">
        <v>25</v>
      </c>
      <c r="AP3007">
        <v>4400</v>
      </c>
      <c r="AQ3007" t="s">
        <v>131</v>
      </c>
      <c r="AR3007">
        <v>1</v>
      </c>
      <c r="AS3007">
        <v>83</v>
      </c>
      <c r="AT3007">
        <v>0</v>
      </c>
      <c r="BB3007" t="str">
        <f t="shared" si="1168"/>
        <v>1200</v>
      </c>
      <c r="BC3007">
        <v>1</v>
      </c>
      <c r="BD3007" t="str">
        <f t="shared" si="1169"/>
        <v xml:space="preserve">N52156  </v>
      </c>
      <c r="BE3007">
        <v>1</v>
      </c>
      <c r="BG3007">
        <v>0</v>
      </c>
      <c r="BH3007">
        <v>0</v>
      </c>
      <c r="BI3007">
        <v>0</v>
      </c>
      <c r="BJ3007">
        <v>4425</v>
      </c>
      <c r="BK3007">
        <v>25</v>
      </c>
      <c r="BL3007" t="s">
        <v>188</v>
      </c>
      <c r="BM3007">
        <v>1</v>
      </c>
      <c r="BN3007">
        <v>1</v>
      </c>
      <c r="BO3007">
        <v>0</v>
      </c>
      <c r="BP3007">
        <v>0</v>
      </c>
      <c r="BS3007">
        <v>0</v>
      </c>
      <c r="BT3007">
        <v>0</v>
      </c>
      <c r="BU3007">
        <v>0</v>
      </c>
      <c r="CE3007" t="str">
        <f t="shared" si="1189"/>
        <v>15:12:52.605</v>
      </c>
      <c r="CF3007">
        <v>604729190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5</v>
      </c>
      <c r="CY3007">
        <v>7</v>
      </c>
      <c r="CZ3007" t="s">
        <v>133</v>
      </c>
      <c r="DA3007">
        <v>275</v>
      </c>
      <c r="DB3007">
        <v>0</v>
      </c>
      <c r="DC3007" t="s">
        <v>134</v>
      </c>
      <c r="DD3007" t="s">
        <v>135</v>
      </c>
      <c r="DG3007">
        <v>3322266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">
      <c r="A3008" t="str">
        <f>"05/01/2025 15:12:53.560"</f>
        <v>05/01/2025 15:12:53.560</v>
      </c>
      <c r="C3008" t="str">
        <f t="shared" si="1166"/>
        <v>FFDFD3C0</v>
      </c>
      <c r="D3008" t="s">
        <v>124</v>
      </c>
      <c r="E3008" t="str">
        <f>"06"</f>
        <v>06</v>
      </c>
      <c r="F3008">
        <v>2006</v>
      </c>
      <c r="G3008" t="s">
        <v>125</v>
      </c>
      <c r="J3008" t="s">
        <v>126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R3008" t="s">
        <v>127</v>
      </c>
      <c r="S3008" t="str">
        <f t="shared" ref="S3008:T3013" si="1190">"15:12:53.000"</f>
        <v>15:12:53.000</v>
      </c>
      <c r="T3008" t="str">
        <f t="shared" si="1190"/>
        <v>15:12:53.000</v>
      </c>
      <c r="U3008" t="str">
        <f t="shared" si="1167"/>
        <v>A68FCB</v>
      </c>
      <c r="V3008">
        <v>0</v>
      </c>
      <c r="W3008">
        <v>0</v>
      </c>
      <c r="X3008">
        <v>2</v>
      </c>
      <c r="Y3008">
        <v>0</v>
      </c>
      <c r="AA3008">
        <v>1</v>
      </c>
      <c r="AB3008">
        <v>8</v>
      </c>
      <c r="AC3008">
        <v>3</v>
      </c>
      <c r="AD3008">
        <v>0</v>
      </c>
      <c r="AE3008">
        <v>9</v>
      </c>
      <c r="AF3008" t="s">
        <v>138</v>
      </c>
      <c r="AG3008">
        <v>0</v>
      </c>
      <c r="AH3008">
        <v>3</v>
      </c>
      <c r="AI3008">
        <v>2</v>
      </c>
      <c r="AJ3008">
        <v>0</v>
      </c>
      <c r="AK3008" t="s">
        <v>1015</v>
      </c>
      <c r="AL3008">
        <v>39.116155999999997</v>
      </c>
      <c r="AM3008" t="s">
        <v>1016</v>
      </c>
      <c r="AN3008">
        <v>-121.032107</v>
      </c>
      <c r="AO3008">
        <v>25</v>
      </c>
      <c r="AP3008">
        <v>4400</v>
      </c>
      <c r="AQ3008" t="s">
        <v>131</v>
      </c>
      <c r="AR3008">
        <v>1</v>
      </c>
      <c r="AS3008">
        <v>83</v>
      </c>
      <c r="AT3008">
        <v>0</v>
      </c>
      <c r="BB3008" t="str">
        <f t="shared" si="1168"/>
        <v>1200</v>
      </c>
      <c r="BC3008">
        <v>1</v>
      </c>
      <c r="BD3008" t="str">
        <f t="shared" si="1169"/>
        <v xml:space="preserve">N52156  </v>
      </c>
      <c r="BE3008">
        <v>1</v>
      </c>
      <c r="BG3008">
        <v>0</v>
      </c>
      <c r="BH3008">
        <v>0</v>
      </c>
      <c r="BI3008">
        <v>0</v>
      </c>
      <c r="BJ3008">
        <v>4425</v>
      </c>
      <c r="BK3008">
        <v>25</v>
      </c>
      <c r="BL3008" t="s">
        <v>188</v>
      </c>
      <c r="BM3008">
        <v>1</v>
      </c>
      <c r="BN3008">
        <v>1</v>
      </c>
      <c r="BO3008">
        <v>0</v>
      </c>
      <c r="BP3008">
        <v>0</v>
      </c>
      <c r="BS3008">
        <v>0</v>
      </c>
      <c r="BT3008">
        <v>0</v>
      </c>
      <c r="BU3008">
        <v>0</v>
      </c>
      <c r="CE3008" t="str">
        <f t="shared" ref="CE3008:CE3013" si="1191">"15:12:53.350"</f>
        <v>15:12:53.350</v>
      </c>
      <c r="CF3008">
        <v>350228569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5</v>
      </c>
      <c r="CY3008">
        <v>7</v>
      </c>
      <c r="CZ3008" t="s">
        <v>133</v>
      </c>
      <c r="DA3008">
        <v>275</v>
      </c>
      <c r="DB3008">
        <v>0</v>
      </c>
      <c r="DC3008" t="s">
        <v>134</v>
      </c>
      <c r="DD3008" t="s">
        <v>135</v>
      </c>
      <c r="DG3008">
        <v>3322271</v>
      </c>
      <c r="DI3008">
        <v>1</v>
      </c>
      <c r="DJ3008">
        <v>0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">
      <c r="A3009" t="str">
        <f>"05/01/2025 15:12:53.560"</f>
        <v>05/01/2025 15:12:53.560</v>
      </c>
      <c r="C3009" t="str">
        <f t="shared" si="1166"/>
        <v>FFDFD3C0</v>
      </c>
      <c r="D3009" t="s">
        <v>140</v>
      </c>
      <c r="E3009" t="str">
        <f>"13"</f>
        <v>13</v>
      </c>
      <c r="F3009">
        <v>1019</v>
      </c>
      <c r="G3009" t="s">
        <v>141</v>
      </c>
      <c r="J3009" t="s">
        <v>142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R3009" t="s">
        <v>127</v>
      </c>
      <c r="S3009" t="str">
        <f t="shared" si="1190"/>
        <v>15:12:53.000</v>
      </c>
      <c r="T3009" t="str">
        <f t="shared" si="1190"/>
        <v>15:12:53.000</v>
      </c>
      <c r="U3009" t="str">
        <f t="shared" si="1167"/>
        <v>A68FCB</v>
      </c>
      <c r="V3009">
        <v>0</v>
      </c>
      <c r="W3009">
        <v>0</v>
      </c>
      <c r="X3009">
        <v>2</v>
      </c>
      <c r="Y3009">
        <v>0</v>
      </c>
      <c r="AA3009">
        <v>1</v>
      </c>
      <c r="AB3009">
        <v>8</v>
      </c>
      <c r="AC3009">
        <v>3</v>
      </c>
      <c r="AD3009">
        <v>0</v>
      </c>
      <c r="AE3009">
        <v>9</v>
      </c>
      <c r="AF3009" t="s">
        <v>138</v>
      </c>
      <c r="AG3009">
        <v>0</v>
      </c>
      <c r="AH3009">
        <v>3</v>
      </c>
      <c r="AI3009">
        <v>2</v>
      </c>
      <c r="AJ3009">
        <v>0</v>
      </c>
      <c r="AK3009" t="s">
        <v>1015</v>
      </c>
      <c r="AL3009">
        <v>39.116155999999997</v>
      </c>
      <c r="AM3009" t="s">
        <v>1016</v>
      </c>
      <c r="AN3009">
        <v>-121.032107</v>
      </c>
      <c r="AO3009">
        <v>25</v>
      </c>
      <c r="AP3009">
        <v>4400</v>
      </c>
      <c r="AQ3009" t="s">
        <v>131</v>
      </c>
      <c r="AR3009">
        <v>1</v>
      </c>
      <c r="AS3009">
        <v>83</v>
      </c>
      <c r="AT3009">
        <v>0</v>
      </c>
      <c r="BB3009" t="str">
        <f t="shared" si="1168"/>
        <v>1200</v>
      </c>
      <c r="BC3009">
        <v>1</v>
      </c>
      <c r="BD3009" t="str">
        <f t="shared" si="1169"/>
        <v xml:space="preserve">N52156  </v>
      </c>
      <c r="BE3009">
        <v>1</v>
      </c>
      <c r="BG3009">
        <v>0</v>
      </c>
      <c r="BH3009">
        <v>0</v>
      </c>
      <c r="BI3009">
        <v>0</v>
      </c>
      <c r="BJ3009">
        <v>4425</v>
      </c>
      <c r="BK3009">
        <v>25</v>
      </c>
      <c r="BL3009" t="s">
        <v>188</v>
      </c>
      <c r="BM3009">
        <v>1</v>
      </c>
      <c r="BN3009">
        <v>1</v>
      </c>
      <c r="BO3009">
        <v>0</v>
      </c>
      <c r="BP3009">
        <v>0</v>
      </c>
      <c r="BS3009">
        <v>0</v>
      </c>
      <c r="BT3009">
        <v>0</v>
      </c>
      <c r="BU3009">
        <v>0</v>
      </c>
      <c r="CE3009" t="str">
        <f t="shared" si="1191"/>
        <v>15:12:53.350</v>
      </c>
      <c r="CF3009">
        <v>350228569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5</v>
      </c>
      <c r="CY3009">
        <v>7</v>
      </c>
      <c r="CZ3009" t="s">
        <v>133</v>
      </c>
      <c r="DA3009">
        <v>275</v>
      </c>
      <c r="DB3009">
        <v>0</v>
      </c>
      <c r="DC3009" t="s">
        <v>134</v>
      </c>
      <c r="DD3009" t="s">
        <v>135</v>
      </c>
      <c r="DG3009">
        <v>3322271</v>
      </c>
      <c r="DI3009">
        <v>1</v>
      </c>
      <c r="DJ3009">
        <v>0</v>
      </c>
      <c r="DK3009">
        <v>1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">
      <c r="A3010" t="str">
        <f>"05/01/2025 15:12:53.576"</f>
        <v>05/01/2025 15:12:53.576</v>
      </c>
      <c r="C3010" t="str">
        <f t="shared" ref="C3010:C3073" si="1192">"FFDFD3C0"</f>
        <v>FFDFD3C0</v>
      </c>
      <c r="D3010" t="s">
        <v>145</v>
      </c>
      <c r="E3010" t="str">
        <f>"05"</f>
        <v>05</v>
      </c>
      <c r="H3010">
        <v>47</v>
      </c>
      <c r="I3010" t="s">
        <v>146</v>
      </c>
      <c r="J3010" t="s">
        <v>138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R3010" t="s">
        <v>127</v>
      </c>
      <c r="S3010" t="str">
        <f t="shared" si="1190"/>
        <v>15:12:53.000</v>
      </c>
      <c r="T3010" t="str">
        <f t="shared" si="1190"/>
        <v>15:12:53.000</v>
      </c>
      <c r="U3010" t="str">
        <f t="shared" ref="U3010:U3073" si="1193">"A68FCB"</f>
        <v>A68FCB</v>
      </c>
      <c r="V3010">
        <v>0</v>
      </c>
      <c r="W3010">
        <v>0</v>
      </c>
      <c r="X3010">
        <v>2</v>
      </c>
      <c r="Y3010">
        <v>0</v>
      </c>
      <c r="AA3010">
        <v>1</v>
      </c>
      <c r="AB3010">
        <v>8</v>
      </c>
      <c r="AC3010">
        <v>3</v>
      </c>
      <c r="AD3010">
        <v>0</v>
      </c>
      <c r="AE3010">
        <v>9</v>
      </c>
      <c r="AF3010" t="s">
        <v>138</v>
      </c>
      <c r="AG3010">
        <v>0</v>
      </c>
      <c r="AH3010">
        <v>3</v>
      </c>
      <c r="AI3010">
        <v>2</v>
      </c>
      <c r="AJ3010">
        <v>0</v>
      </c>
      <c r="AK3010" t="s">
        <v>1015</v>
      </c>
      <c r="AL3010">
        <v>39.116155999999997</v>
      </c>
      <c r="AM3010" t="s">
        <v>1016</v>
      </c>
      <c r="AN3010">
        <v>-121.032107</v>
      </c>
      <c r="AO3010">
        <v>25</v>
      </c>
      <c r="AP3010">
        <v>4400</v>
      </c>
      <c r="AQ3010" t="s">
        <v>131</v>
      </c>
      <c r="AR3010">
        <v>1</v>
      </c>
      <c r="AS3010">
        <v>83</v>
      </c>
      <c r="AT3010">
        <v>0</v>
      </c>
      <c r="BB3010" t="str">
        <f t="shared" ref="BB3010:BB3073" si="1194">"1200"</f>
        <v>1200</v>
      </c>
      <c r="BC3010">
        <v>1</v>
      </c>
      <c r="BD3010" t="str">
        <f t="shared" ref="BD3010:BD3073" si="1195">"N52156  "</f>
        <v xml:space="preserve">N52156  </v>
      </c>
      <c r="BE3010">
        <v>1</v>
      </c>
      <c r="BG3010">
        <v>0</v>
      </c>
      <c r="BH3010">
        <v>0</v>
      </c>
      <c r="BI3010">
        <v>0</v>
      </c>
      <c r="BJ3010">
        <v>4425</v>
      </c>
      <c r="BK3010">
        <v>25</v>
      </c>
      <c r="BL3010" t="s">
        <v>188</v>
      </c>
      <c r="BM3010">
        <v>1</v>
      </c>
      <c r="BN3010">
        <v>1</v>
      </c>
      <c r="BO3010">
        <v>0</v>
      </c>
      <c r="BP3010">
        <v>0</v>
      </c>
      <c r="BS3010">
        <v>0</v>
      </c>
      <c r="BT3010">
        <v>0</v>
      </c>
      <c r="BU3010">
        <v>0</v>
      </c>
      <c r="CE3010" t="str">
        <f t="shared" si="1191"/>
        <v>15:12:53.350</v>
      </c>
      <c r="CF3010">
        <v>350228569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5</v>
      </c>
      <c r="CY3010">
        <v>7</v>
      </c>
      <c r="CZ3010" t="s">
        <v>133</v>
      </c>
      <c r="DA3010">
        <v>275</v>
      </c>
      <c r="DB3010">
        <v>0</v>
      </c>
      <c r="DC3010" t="s">
        <v>134</v>
      </c>
      <c r="DD3010" t="s">
        <v>135</v>
      </c>
      <c r="DG3010">
        <v>3322271</v>
      </c>
      <c r="DI3010">
        <v>1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">
      <c r="A3011" t="str">
        <f>"05/01/2025 15:12:53.574"</f>
        <v>05/01/2025 15:12:53.574</v>
      </c>
      <c r="C3011" t="str">
        <f t="shared" si="1192"/>
        <v>FFDFD3C0</v>
      </c>
      <c r="D3011" t="s">
        <v>145</v>
      </c>
      <c r="E3011" t="str">
        <f>"09"</f>
        <v>09</v>
      </c>
      <c r="H3011">
        <v>51</v>
      </c>
      <c r="I3011" t="s">
        <v>147</v>
      </c>
      <c r="J3011" t="s">
        <v>138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R3011" t="s">
        <v>127</v>
      </c>
      <c r="S3011" t="str">
        <f t="shared" si="1190"/>
        <v>15:12:53.000</v>
      </c>
      <c r="T3011" t="str">
        <f t="shared" si="1190"/>
        <v>15:12:53.000</v>
      </c>
      <c r="U3011" t="str">
        <f t="shared" si="1193"/>
        <v>A68FCB</v>
      </c>
      <c r="V3011">
        <v>0</v>
      </c>
      <c r="W3011">
        <v>0</v>
      </c>
      <c r="X3011">
        <v>2</v>
      </c>
      <c r="Y3011">
        <v>0</v>
      </c>
      <c r="AA3011">
        <v>1</v>
      </c>
      <c r="AB3011">
        <v>8</v>
      </c>
      <c r="AC3011">
        <v>3</v>
      </c>
      <c r="AD3011">
        <v>0</v>
      </c>
      <c r="AE3011">
        <v>9</v>
      </c>
      <c r="AF3011" t="s">
        <v>138</v>
      </c>
      <c r="AG3011">
        <v>0</v>
      </c>
      <c r="AH3011">
        <v>3</v>
      </c>
      <c r="AI3011">
        <v>2</v>
      </c>
      <c r="AJ3011">
        <v>0</v>
      </c>
      <c r="AK3011" t="s">
        <v>1015</v>
      </c>
      <c r="AL3011">
        <v>39.116155999999997</v>
      </c>
      <c r="AM3011" t="s">
        <v>1016</v>
      </c>
      <c r="AN3011">
        <v>-121.032107</v>
      </c>
      <c r="AO3011">
        <v>25</v>
      </c>
      <c r="AP3011">
        <v>4400</v>
      </c>
      <c r="AQ3011" t="s">
        <v>131</v>
      </c>
      <c r="AR3011">
        <v>1</v>
      </c>
      <c r="AS3011">
        <v>83</v>
      </c>
      <c r="AT3011">
        <v>0</v>
      </c>
      <c r="BB3011" t="str">
        <f t="shared" si="1194"/>
        <v>1200</v>
      </c>
      <c r="BC3011">
        <v>1</v>
      </c>
      <c r="BD3011" t="str">
        <f t="shared" si="1195"/>
        <v xml:space="preserve">N52156  </v>
      </c>
      <c r="BE3011">
        <v>1</v>
      </c>
      <c r="BG3011">
        <v>0</v>
      </c>
      <c r="BH3011">
        <v>0</v>
      </c>
      <c r="BI3011">
        <v>0</v>
      </c>
      <c r="BJ3011">
        <v>4425</v>
      </c>
      <c r="BK3011">
        <v>25</v>
      </c>
      <c r="BL3011" t="s">
        <v>188</v>
      </c>
      <c r="BM3011">
        <v>1</v>
      </c>
      <c r="BN3011">
        <v>1</v>
      </c>
      <c r="BO3011">
        <v>0</v>
      </c>
      <c r="BP3011">
        <v>0</v>
      </c>
      <c r="BS3011">
        <v>0</v>
      </c>
      <c r="BT3011">
        <v>0</v>
      </c>
      <c r="BU3011">
        <v>0</v>
      </c>
      <c r="CE3011" t="str">
        <f t="shared" si="1191"/>
        <v>15:12:53.350</v>
      </c>
      <c r="CF3011">
        <v>350228569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133</v>
      </c>
      <c r="DA3011">
        <v>275</v>
      </c>
      <c r="DB3011">
        <v>0</v>
      </c>
      <c r="DC3011" t="s">
        <v>134</v>
      </c>
      <c r="DD3011" t="s">
        <v>135</v>
      </c>
      <c r="DG3011">
        <v>3322271</v>
      </c>
      <c r="DI3011">
        <v>1</v>
      </c>
      <c r="DJ3011">
        <v>0</v>
      </c>
      <c r="DK3011">
        <v>1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">
      <c r="A3012" t="str">
        <f>"05/01/2025 15:12:53.585"</f>
        <v>05/01/2025 15:12:53.585</v>
      </c>
      <c r="C3012" t="str">
        <f t="shared" si="1192"/>
        <v>FFDFD3C0</v>
      </c>
      <c r="D3012" t="s">
        <v>136</v>
      </c>
      <c r="E3012" t="str">
        <f>"20"</f>
        <v>20</v>
      </c>
      <c r="H3012">
        <v>400</v>
      </c>
      <c r="I3012" t="s">
        <v>137</v>
      </c>
      <c r="J3012" t="s">
        <v>138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R3012" t="s">
        <v>127</v>
      </c>
      <c r="S3012" t="str">
        <f t="shared" si="1190"/>
        <v>15:12:53.000</v>
      </c>
      <c r="T3012" t="str">
        <f t="shared" si="1190"/>
        <v>15:12:53.000</v>
      </c>
      <c r="U3012" t="str">
        <f t="shared" si="1193"/>
        <v>A68FCB</v>
      </c>
      <c r="V3012">
        <v>0</v>
      </c>
      <c r="W3012">
        <v>0</v>
      </c>
      <c r="X3012">
        <v>2</v>
      </c>
      <c r="Y3012">
        <v>0</v>
      </c>
      <c r="AA3012">
        <v>1</v>
      </c>
      <c r="AB3012">
        <v>8</v>
      </c>
      <c r="AC3012">
        <v>3</v>
      </c>
      <c r="AD3012">
        <v>0</v>
      </c>
      <c r="AE3012">
        <v>9</v>
      </c>
      <c r="AF3012" t="s">
        <v>138</v>
      </c>
      <c r="AG3012">
        <v>0</v>
      </c>
      <c r="AH3012">
        <v>3</v>
      </c>
      <c r="AI3012">
        <v>2</v>
      </c>
      <c r="AJ3012">
        <v>0</v>
      </c>
      <c r="AK3012" t="s">
        <v>1015</v>
      </c>
      <c r="AL3012">
        <v>39.116155999999997</v>
      </c>
      <c r="AM3012" t="s">
        <v>1016</v>
      </c>
      <c r="AN3012">
        <v>-121.032107</v>
      </c>
      <c r="AO3012">
        <v>25</v>
      </c>
      <c r="AP3012">
        <v>4400</v>
      </c>
      <c r="AQ3012" t="s">
        <v>131</v>
      </c>
      <c r="AR3012">
        <v>1</v>
      </c>
      <c r="AS3012">
        <v>83</v>
      </c>
      <c r="AT3012">
        <v>0</v>
      </c>
      <c r="BB3012" t="str">
        <f t="shared" si="1194"/>
        <v>1200</v>
      </c>
      <c r="BC3012">
        <v>1</v>
      </c>
      <c r="BD3012" t="str">
        <f t="shared" si="1195"/>
        <v xml:space="preserve">N52156  </v>
      </c>
      <c r="BE3012">
        <v>1</v>
      </c>
      <c r="BG3012">
        <v>0</v>
      </c>
      <c r="BH3012">
        <v>0</v>
      </c>
      <c r="BI3012">
        <v>0</v>
      </c>
      <c r="BJ3012">
        <v>4425</v>
      </c>
      <c r="BK3012">
        <v>25</v>
      </c>
      <c r="BL3012" t="s">
        <v>188</v>
      </c>
      <c r="BM3012">
        <v>1</v>
      </c>
      <c r="BN3012">
        <v>1</v>
      </c>
      <c r="BO3012">
        <v>0</v>
      </c>
      <c r="BP3012">
        <v>0</v>
      </c>
      <c r="BS3012">
        <v>0</v>
      </c>
      <c r="BT3012">
        <v>0</v>
      </c>
      <c r="BU3012">
        <v>0</v>
      </c>
      <c r="CE3012" t="str">
        <f t="shared" si="1191"/>
        <v>15:12:53.350</v>
      </c>
      <c r="CF3012">
        <v>350228569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5</v>
      </c>
      <c r="CY3012">
        <v>7</v>
      </c>
      <c r="CZ3012" t="s">
        <v>133</v>
      </c>
      <c r="DA3012">
        <v>275</v>
      </c>
      <c r="DB3012">
        <v>0</v>
      </c>
      <c r="DC3012" t="s">
        <v>134</v>
      </c>
      <c r="DD3012" t="s">
        <v>135</v>
      </c>
      <c r="DG3012">
        <v>3322271</v>
      </c>
      <c r="DI3012">
        <v>1</v>
      </c>
      <c r="DJ3012">
        <v>0</v>
      </c>
      <c r="DK3012">
        <v>1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">
      <c r="A3013" t="str">
        <f>"05/01/2025 15:12:53.593"</f>
        <v>05/01/2025 15:12:53.593</v>
      </c>
      <c r="C3013" t="str">
        <f t="shared" si="1192"/>
        <v>FFDFD3C0</v>
      </c>
      <c r="D3013" t="s">
        <v>143</v>
      </c>
      <c r="E3013" t="str">
        <f>"05"</f>
        <v>05</v>
      </c>
      <c r="H3013">
        <v>172</v>
      </c>
      <c r="I3013" t="s">
        <v>141</v>
      </c>
      <c r="J3013" t="s">
        <v>144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R3013" t="s">
        <v>127</v>
      </c>
      <c r="S3013" t="str">
        <f t="shared" si="1190"/>
        <v>15:12:53.000</v>
      </c>
      <c r="T3013" t="str">
        <f t="shared" si="1190"/>
        <v>15:12:53.000</v>
      </c>
      <c r="U3013" t="str">
        <f t="shared" si="1193"/>
        <v>A68FCB</v>
      </c>
      <c r="V3013">
        <v>0</v>
      </c>
      <c r="W3013">
        <v>0</v>
      </c>
      <c r="X3013">
        <v>2</v>
      </c>
      <c r="Y3013">
        <v>0</v>
      </c>
      <c r="AA3013">
        <v>1</v>
      </c>
      <c r="AB3013">
        <v>8</v>
      </c>
      <c r="AC3013">
        <v>3</v>
      </c>
      <c r="AD3013">
        <v>0</v>
      </c>
      <c r="AE3013">
        <v>9</v>
      </c>
      <c r="AF3013" t="s">
        <v>138</v>
      </c>
      <c r="AG3013">
        <v>0</v>
      </c>
      <c r="AH3013">
        <v>3</v>
      </c>
      <c r="AI3013">
        <v>2</v>
      </c>
      <c r="AJ3013">
        <v>0</v>
      </c>
      <c r="AK3013" t="s">
        <v>1015</v>
      </c>
      <c r="AL3013">
        <v>39.116155999999997</v>
      </c>
      <c r="AM3013" t="s">
        <v>1016</v>
      </c>
      <c r="AN3013">
        <v>-121.032107</v>
      </c>
      <c r="AO3013">
        <v>25</v>
      </c>
      <c r="AP3013">
        <v>4400</v>
      </c>
      <c r="AQ3013" t="s">
        <v>131</v>
      </c>
      <c r="AR3013">
        <v>1</v>
      </c>
      <c r="AS3013">
        <v>83</v>
      </c>
      <c r="AT3013">
        <v>0</v>
      </c>
      <c r="BB3013" t="str">
        <f t="shared" si="1194"/>
        <v>1200</v>
      </c>
      <c r="BC3013">
        <v>1</v>
      </c>
      <c r="BD3013" t="str">
        <f t="shared" si="1195"/>
        <v xml:space="preserve">N52156  </v>
      </c>
      <c r="BE3013">
        <v>1</v>
      </c>
      <c r="BG3013">
        <v>0</v>
      </c>
      <c r="BH3013">
        <v>0</v>
      </c>
      <c r="BI3013">
        <v>0</v>
      </c>
      <c r="BJ3013">
        <v>4425</v>
      </c>
      <c r="BK3013">
        <v>25</v>
      </c>
      <c r="BL3013" t="s">
        <v>188</v>
      </c>
      <c r="BM3013">
        <v>1</v>
      </c>
      <c r="BN3013">
        <v>1</v>
      </c>
      <c r="BO3013">
        <v>0</v>
      </c>
      <c r="BP3013">
        <v>0</v>
      </c>
      <c r="BS3013">
        <v>0</v>
      </c>
      <c r="BT3013">
        <v>0</v>
      </c>
      <c r="BU3013">
        <v>0</v>
      </c>
      <c r="CE3013" t="str">
        <f t="shared" si="1191"/>
        <v>15:12:53.350</v>
      </c>
      <c r="CF3013">
        <v>350228569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5</v>
      </c>
      <c r="CY3013">
        <v>7</v>
      </c>
      <c r="CZ3013" t="s">
        <v>133</v>
      </c>
      <c r="DA3013">
        <v>275</v>
      </c>
      <c r="DB3013">
        <v>0</v>
      </c>
      <c r="DC3013" t="s">
        <v>134</v>
      </c>
      <c r="DD3013" t="s">
        <v>135</v>
      </c>
      <c r="DG3013">
        <v>3322271</v>
      </c>
      <c r="DI3013">
        <v>1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">
      <c r="A3014" t="str">
        <f>"05/01/2025 15:12:54.637"</f>
        <v>05/01/2025 15:12:54.637</v>
      </c>
      <c r="C3014" t="str">
        <f t="shared" si="1192"/>
        <v>FFDFD3C0</v>
      </c>
      <c r="D3014" t="s">
        <v>136</v>
      </c>
      <c r="E3014" t="str">
        <f>"20"</f>
        <v>20</v>
      </c>
      <c r="H3014">
        <v>400</v>
      </c>
      <c r="I3014" t="s">
        <v>137</v>
      </c>
      <c r="J3014" t="s">
        <v>138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R3014" t="s">
        <v>127</v>
      </c>
      <c r="S3014" t="str">
        <f t="shared" ref="S3014:T3019" si="1196">"15:12:54.000"</f>
        <v>15:12:54.000</v>
      </c>
      <c r="T3014" t="str">
        <f t="shared" si="1196"/>
        <v>15:12:54.000</v>
      </c>
      <c r="U3014" t="str">
        <f t="shared" si="1193"/>
        <v>A68FCB</v>
      </c>
      <c r="V3014">
        <v>0</v>
      </c>
      <c r="W3014">
        <v>0</v>
      </c>
      <c r="X3014">
        <v>2</v>
      </c>
      <c r="Y3014">
        <v>0</v>
      </c>
      <c r="AA3014">
        <v>1</v>
      </c>
      <c r="AB3014">
        <v>8</v>
      </c>
      <c r="AC3014">
        <v>3</v>
      </c>
      <c r="AD3014">
        <v>0</v>
      </c>
      <c r="AE3014">
        <v>9</v>
      </c>
      <c r="AF3014" t="s">
        <v>138</v>
      </c>
      <c r="AG3014">
        <v>0</v>
      </c>
      <c r="AH3014">
        <v>3</v>
      </c>
      <c r="AI3014">
        <v>2</v>
      </c>
      <c r="AJ3014">
        <v>0</v>
      </c>
      <c r="AK3014" t="s">
        <v>1017</v>
      </c>
      <c r="AL3014">
        <v>39.116542000000003</v>
      </c>
      <c r="AM3014" t="s">
        <v>1016</v>
      </c>
      <c r="AN3014">
        <v>-121.032107</v>
      </c>
      <c r="AO3014">
        <v>25</v>
      </c>
      <c r="AP3014">
        <v>4400</v>
      </c>
      <c r="AQ3014" t="s">
        <v>131</v>
      </c>
      <c r="AR3014">
        <v>2</v>
      </c>
      <c r="AS3014">
        <v>83</v>
      </c>
      <c r="AT3014">
        <v>0</v>
      </c>
      <c r="BB3014" t="str">
        <f t="shared" si="1194"/>
        <v>1200</v>
      </c>
      <c r="BC3014">
        <v>1</v>
      </c>
      <c r="BD3014" t="str">
        <f t="shared" si="1195"/>
        <v xml:space="preserve">N52156  </v>
      </c>
      <c r="BE3014">
        <v>1</v>
      </c>
      <c r="BG3014">
        <v>0</v>
      </c>
      <c r="BH3014">
        <v>0</v>
      </c>
      <c r="BI3014">
        <v>0</v>
      </c>
      <c r="BJ3014">
        <v>4425</v>
      </c>
      <c r="BK3014">
        <v>25</v>
      </c>
      <c r="BL3014" t="s">
        <v>188</v>
      </c>
      <c r="BM3014">
        <v>1</v>
      </c>
      <c r="BN3014">
        <v>1</v>
      </c>
      <c r="BO3014">
        <v>0</v>
      </c>
      <c r="BP3014">
        <v>0</v>
      </c>
      <c r="BS3014">
        <v>0</v>
      </c>
      <c r="BT3014">
        <v>0</v>
      </c>
      <c r="BU3014">
        <v>0</v>
      </c>
      <c r="CE3014" t="str">
        <f t="shared" ref="CE3014:CE3019" si="1197">"15:12:54.411"</f>
        <v>15:12:54.411</v>
      </c>
      <c r="CF3014">
        <v>410978809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5</v>
      </c>
      <c r="CY3014">
        <v>7</v>
      </c>
      <c r="CZ3014" t="s">
        <v>133</v>
      </c>
      <c r="DA3014">
        <v>275</v>
      </c>
      <c r="DB3014">
        <v>0</v>
      </c>
      <c r="DC3014" t="s">
        <v>134</v>
      </c>
      <c r="DD3014" t="s">
        <v>135</v>
      </c>
      <c r="DG3014">
        <v>3322276</v>
      </c>
      <c r="DI3014">
        <v>1</v>
      </c>
      <c r="DJ3014">
        <v>0</v>
      </c>
      <c r="DK3014">
        <v>0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">
      <c r="A3015" t="str">
        <f>"05/01/2025 15:12:54.645"</f>
        <v>05/01/2025 15:12:54.645</v>
      </c>
      <c r="C3015" t="str">
        <f t="shared" si="1192"/>
        <v>FFDFD3C0</v>
      </c>
      <c r="D3015" t="s">
        <v>143</v>
      </c>
      <c r="E3015" t="str">
        <f>"05"</f>
        <v>05</v>
      </c>
      <c r="H3015">
        <v>172</v>
      </c>
      <c r="I3015" t="s">
        <v>141</v>
      </c>
      <c r="J3015" t="s">
        <v>144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R3015" t="s">
        <v>127</v>
      </c>
      <c r="S3015" t="str">
        <f t="shared" si="1196"/>
        <v>15:12:54.000</v>
      </c>
      <c r="T3015" t="str">
        <f t="shared" si="1196"/>
        <v>15:12:54.000</v>
      </c>
      <c r="U3015" t="str">
        <f t="shared" si="1193"/>
        <v>A68FCB</v>
      </c>
      <c r="V3015">
        <v>0</v>
      </c>
      <c r="W3015">
        <v>0</v>
      </c>
      <c r="X3015">
        <v>2</v>
      </c>
      <c r="Y3015">
        <v>0</v>
      </c>
      <c r="AA3015">
        <v>1</v>
      </c>
      <c r="AB3015">
        <v>8</v>
      </c>
      <c r="AC3015">
        <v>3</v>
      </c>
      <c r="AD3015">
        <v>0</v>
      </c>
      <c r="AE3015">
        <v>9</v>
      </c>
      <c r="AF3015" t="s">
        <v>138</v>
      </c>
      <c r="AG3015">
        <v>0</v>
      </c>
      <c r="AH3015">
        <v>3</v>
      </c>
      <c r="AI3015">
        <v>2</v>
      </c>
      <c r="AJ3015">
        <v>0</v>
      </c>
      <c r="AK3015" t="s">
        <v>1017</v>
      </c>
      <c r="AL3015">
        <v>39.116542000000003</v>
      </c>
      <c r="AM3015" t="s">
        <v>1016</v>
      </c>
      <c r="AN3015">
        <v>-121.032107</v>
      </c>
      <c r="AO3015">
        <v>25</v>
      </c>
      <c r="AP3015">
        <v>4400</v>
      </c>
      <c r="AQ3015" t="s">
        <v>131</v>
      </c>
      <c r="AR3015">
        <v>2</v>
      </c>
      <c r="AS3015">
        <v>83</v>
      </c>
      <c r="AT3015">
        <v>0</v>
      </c>
      <c r="BB3015" t="str">
        <f t="shared" si="1194"/>
        <v>1200</v>
      </c>
      <c r="BC3015">
        <v>1</v>
      </c>
      <c r="BD3015" t="str">
        <f t="shared" si="1195"/>
        <v xml:space="preserve">N52156  </v>
      </c>
      <c r="BE3015">
        <v>1</v>
      </c>
      <c r="BG3015">
        <v>0</v>
      </c>
      <c r="BH3015">
        <v>0</v>
      </c>
      <c r="BI3015">
        <v>0</v>
      </c>
      <c r="BJ3015">
        <v>4425</v>
      </c>
      <c r="BK3015">
        <v>25</v>
      </c>
      <c r="BL3015" t="s">
        <v>188</v>
      </c>
      <c r="BM3015">
        <v>1</v>
      </c>
      <c r="BN3015">
        <v>1</v>
      </c>
      <c r="BO3015">
        <v>0</v>
      </c>
      <c r="BP3015">
        <v>0</v>
      </c>
      <c r="BS3015">
        <v>0</v>
      </c>
      <c r="BT3015">
        <v>0</v>
      </c>
      <c r="BU3015">
        <v>0</v>
      </c>
      <c r="CE3015" t="str">
        <f t="shared" si="1197"/>
        <v>15:12:54.411</v>
      </c>
      <c r="CF3015">
        <v>410978809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5</v>
      </c>
      <c r="CY3015">
        <v>7</v>
      </c>
      <c r="CZ3015" t="s">
        <v>133</v>
      </c>
      <c r="DA3015">
        <v>275</v>
      </c>
      <c r="DB3015">
        <v>0</v>
      </c>
      <c r="DC3015" t="s">
        <v>134</v>
      </c>
      <c r="DD3015" t="s">
        <v>135</v>
      </c>
      <c r="DG3015">
        <v>3322276</v>
      </c>
      <c r="DI3015">
        <v>1</v>
      </c>
      <c r="DJ3015">
        <v>0</v>
      </c>
      <c r="DK3015">
        <v>1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">
      <c r="A3016" t="str">
        <f>"05/01/2025 15:12:54.661"</f>
        <v>05/01/2025 15:12:54.661</v>
      </c>
      <c r="C3016" t="str">
        <f t="shared" si="1192"/>
        <v>FFDFD3C0</v>
      </c>
      <c r="D3016" t="s">
        <v>124</v>
      </c>
      <c r="E3016" t="str">
        <f>"06"</f>
        <v>06</v>
      </c>
      <c r="F3016">
        <v>2006</v>
      </c>
      <c r="G3016" t="s">
        <v>125</v>
      </c>
      <c r="J3016" t="s">
        <v>126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R3016" t="s">
        <v>127</v>
      </c>
      <c r="S3016" t="str">
        <f t="shared" si="1196"/>
        <v>15:12:54.000</v>
      </c>
      <c r="T3016" t="str">
        <f t="shared" si="1196"/>
        <v>15:12:54.000</v>
      </c>
      <c r="U3016" t="str">
        <f t="shared" si="1193"/>
        <v>A68FCB</v>
      </c>
      <c r="V3016">
        <v>0</v>
      </c>
      <c r="W3016">
        <v>0</v>
      </c>
      <c r="X3016">
        <v>2</v>
      </c>
      <c r="Y3016">
        <v>0</v>
      </c>
      <c r="AA3016">
        <v>1</v>
      </c>
      <c r="AB3016">
        <v>8</v>
      </c>
      <c r="AC3016">
        <v>3</v>
      </c>
      <c r="AD3016">
        <v>0</v>
      </c>
      <c r="AE3016">
        <v>9</v>
      </c>
      <c r="AF3016" t="s">
        <v>138</v>
      </c>
      <c r="AG3016">
        <v>0</v>
      </c>
      <c r="AH3016">
        <v>3</v>
      </c>
      <c r="AI3016">
        <v>2</v>
      </c>
      <c r="AJ3016">
        <v>0</v>
      </c>
      <c r="AK3016" t="s">
        <v>1017</v>
      </c>
      <c r="AL3016">
        <v>39.116542000000003</v>
      </c>
      <c r="AM3016" t="s">
        <v>1016</v>
      </c>
      <c r="AN3016">
        <v>-121.032107</v>
      </c>
      <c r="AO3016">
        <v>25</v>
      </c>
      <c r="AP3016">
        <v>4400</v>
      </c>
      <c r="AQ3016" t="s">
        <v>131</v>
      </c>
      <c r="AR3016">
        <v>2</v>
      </c>
      <c r="AS3016">
        <v>83</v>
      </c>
      <c r="AT3016">
        <v>0</v>
      </c>
      <c r="BB3016" t="str">
        <f t="shared" si="1194"/>
        <v>1200</v>
      </c>
      <c r="BC3016">
        <v>1</v>
      </c>
      <c r="BD3016" t="str">
        <f t="shared" si="1195"/>
        <v xml:space="preserve">N52156  </v>
      </c>
      <c r="BE3016">
        <v>1</v>
      </c>
      <c r="BG3016">
        <v>0</v>
      </c>
      <c r="BH3016">
        <v>0</v>
      </c>
      <c r="BI3016">
        <v>0</v>
      </c>
      <c r="BJ3016">
        <v>4425</v>
      </c>
      <c r="BK3016">
        <v>25</v>
      </c>
      <c r="BL3016" t="s">
        <v>188</v>
      </c>
      <c r="BM3016">
        <v>1</v>
      </c>
      <c r="BN3016">
        <v>1</v>
      </c>
      <c r="BO3016">
        <v>0</v>
      </c>
      <c r="BP3016">
        <v>0</v>
      </c>
      <c r="BS3016">
        <v>0</v>
      </c>
      <c r="BT3016">
        <v>0</v>
      </c>
      <c r="BU3016">
        <v>0</v>
      </c>
      <c r="CE3016" t="str">
        <f t="shared" si="1197"/>
        <v>15:12:54.411</v>
      </c>
      <c r="CF3016">
        <v>410978809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5</v>
      </c>
      <c r="CY3016">
        <v>7</v>
      </c>
      <c r="CZ3016" t="s">
        <v>133</v>
      </c>
      <c r="DA3016">
        <v>275</v>
      </c>
      <c r="DB3016">
        <v>0</v>
      </c>
      <c r="DC3016" t="s">
        <v>134</v>
      </c>
      <c r="DD3016" t="s">
        <v>135</v>
      </c>
      <c r="DG3016">
        <v>3322276</v>
      </c>
      <c r="DI3016">
        <v>1</v>
      </c>
      <c r="DJ3016">
        <v>0</v>
      </c>
      <c r="DK3016">
        <v>1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">
      <c r="A3017" t="str">
        <f>"05/01/2025 15:12:54.662"</f>
        <v>05/01/2025 15:12:54.662</v>
      </c>
      <c r="C3017" t="str">
        <f t="shared" si="1192"/>
        <v>FFDFD3C0</v>
      </c>
      <c r="D3017" t="s">
        <v>140</v>
      </c>
      <c r="E3017" t="str">
        <f>"13"</f>
        <v>13</v>
      </c>
      <c r="F3017">
        <v>1019</v>
      </c>
      <c r="G3017" t="s">
        <v>141</v>
      </c>
      <c r="J3017" t="s">
        <v>142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R3017" t="s">
        <v>127</v>
      </c>
      <c r="S3017" t="str">
        <f t="shared" si="1196"/>
        <v>15:12:54.000</v>
      </c>
      <c r="T3017" t="str">
        <f t="shared" si="1196"/>
        <v>15:12:54.000</v>
      </c>
      <c r="U3017" t="str">
        <f t="shared" si="1193"/>
        <v>A68FCB</v>
      </c>
      <c r="V3017">
        <v>0</v>
      </c>
      <c r="W3017">
        <v>0</v>
      </c>
      <c r="X3017">
        <v>2</v>
      </c>
      <c r="Y3017">
        <v>0</v>
      </c>
      <c r="AA3017">
        <v>1</v>
      </c>
      <c r="AB3017">
        <v>8</v>
      </c>
      <c r="AC3017">
        <v>3</v>
      </c>
      <c r="AD3017">
        <v>0</v>
      </c>
      <c r="AE3017">
        <v>9</v>
      </c>
      <c r="AF3017" t="s">
        <v>138</v>
      </c>
      <c r="AG3017">
        <v>0</v>
      </c>
      <c r="AH3017">
        <v>3</v>
      </c>
      <c r="AI3017">
        <v>2</v>
      </c>
      <c r="AJ3017">
        <v>0</v>
      </c>
      <c r="AK3017" t="s">
        <v>1017</v>
      </c>
      <c r="AL3017">
        <v>39.116542000000003</v>
      </c>
      <c r="AM3017" t="s">
        <v>1016</v>
      </c>
      <c r="AN3017">
        <v>-121.032107</v>
      </c>
      <c r="AO3017">
        <v>25</v>
      </c>
      <c r="AP3017">
        <v>4400</v>
      </c>
      <c r="AQ3017" t="s">
        <v>131</v>
      </c>
      <c r="AR3017">
        <v>2</v>
      </c>
      <c r="AS3017">
        <v>83</v>
      </c>
      <c r="AT3017">
        <v>0</v>
      </c>
      <c r="BB3017" t="str">
        <f t="shared" si="1194"/>
        <v>1200</v>
      </c>
      <c r="BC3017">
        <v>1</v>
      </c>
      <c r="BD3017" t="str">
        <f t="shared" si="1195"/>
        <v xml:space="preserve">N52156  </v>
      </c>
      <c r="BE3017">
        <v>1</v>
      </c>
      <c r="BG3017">
        <v>0</v>
      </c>
      <c r="BH3017">
        <v>0</v>
      </c>
      <c r="BI3017">
        <v>0</v>
      </c>
      <c r="BJ3017">
        <v>4425</v>
      </c>
      <c r="BK3017">
        <v>25</v>
      </c>
      <c r="BL3017" t="s">
        <v>188</v>
      </c>
      <c r="BM3017">
        <v>1</v>
      </c>
      <c r="BN3017">
        <v>1</v>
      </c>
      <c r="BO3017">
        <v>0</v>
      </c>
      <c r="BP3017">
        <v>0</v>
      </c>
      <c r="BS3017">
        <v>0</v>
      </c>
      <c r="BT3017">
        <v>0</v>
      </c>
      <c r="BU3017">
        <v>0</v>
      </c>
      <c r="CE3017" t="str">
        <f t="shared" si="1197"/>
        <v>15:12:54.411</v>
      </c>
      <c r="CF3017">
        <v>410978809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5</v>
      </c>
      <c r="CY3017">
        <v>7</v>
      </c>
      <c r="CZ3017" t="s">
        <v>133</v>
      </c>
      <c r="DA3017">
        <v>275</v>
      </c>
      <c r="DB3017">
        <v>0</v>
      </c>
      <c r="DC3017" t="s">
        <v>134</v>
      </c>
      <c r="DD3017" t="s">
        <v>135</v>
      </c>
      <c r="DG3017">
        <v>3322276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">
      <c r="A3018" t="str">
        <f>"05/01/2025 15:12:54.676"</f>
        <v>05/01/2025 15:12:54.676</v>
      </c>
      <c r="C3018" t="str">
        <f t="shared" si="1192"/>
        <v>FFDFD3C0</v>
      </c>
      <c r="D3018" t="s">
        <v>145</v>
      </c>
      <c r="E3018" t="str">
        <f>"09"</f>
        <v>09</v>
      </c>
      <c r="H3018">
        <v>51</v>
      </c>
      <c r="I3018" t="s">
        <v>147</v>
      </c>
      <c r="J3018" t="s">
        <v>138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R3018" t="s">
        <v>127</v>
      </c>
      <c r="S3018" t="str">
        <f t="shared" si="1196"/>
        <v>15:12:54.000</v>
      </c>
      <c r="T3018" t="str">
        <f t="shared" si="1196"/>
        <v>15:12:54.000</v>
      </c>
      <c r="U3018" t="str">
        <f t="shared" si="1193"/>
        <v>A68FCB</v>
      </c>
      <c r="V3018">
        <v>0</v>
      </c>
      <c r="W3018">
        <v>0</v>
      </c>
      <c r="X3018">
        <v>2</v>
      </c>
      <c r="Y3018">
        <v>0</v>
      </c>
      <c r="AA3018">
        <v>1</v>
      </c>
      <c r="AB3018">
        <v>8</v>
      </c>
      <c r="AC3018">
        <v>3</v>
      </c>
      <c r="AD3018">
        <v>0</v>
      </c>
      <c r="AE3018">
        <v>9</v>
      </c>
      <c r="AF3018" t="s">
        <v>138</v>
      </c>
      <c r="AG3018">
        <v>0</v>
      </c>
      <c r="AH3018">
        <v>3</v>
      </c>
      <c r="AI3018">
        <v>2</v>
      </c>
      <c r="AJ3018">
        <v>0</v>
      </c>
      <c r="AK3018" t="s">
        <v>1017</v>
      </c>
      <c r="AL3018">
        <v>39.116542000000003</v>
      </c>
      <c r="AM3018" t="s">
        <v>1016</v>
      </c>
      <c r="AN3018">
        <v>-121.032107</v>
      </c>
      <c r="AO3018">
        <v>25</v>
      </c>
      <c r="AP3018">
        <v>4400</v>
      </c>
      <c r="AQ3018" t="s">
        <v>131</v>
      </c>
      <c r="AR3018">
        <v>2</v>
      </c>
      <c r="AS3018">
        <v>83</v>
      </c>
      <c r="AT3018">
        <v>0</v>
      </c>
      <c r="BB3018" t="str">
        <f t="shared" si="1194"/>
        <v>1200</v>
      </c>
      <c r="BC3018">
        <v>1</v>
      </c>
      <c r="BD3018" t="str">
        <f t="shared" si="1195"/>
        <v xml:space="preserve">N52156  </v>
      </c>
      <c r="BE3018">
        <v>1</v>
      </c>
      <c r="BG3018">
        <v>0</v>
      </c>
      <c r="BH3018">
        <v>0</v>
      </c>
      <c r="BI3018">
        <v>0</v>
      </c>
      <c r="BJ3018">
        <v>4425</v>
      </c>
      <c r="BK3018">
        <v>25</v>
      </c>
      <c r="BL3018" t="s">
        <v>188</v>
      </c>
      <c r="BM3018">
        <v>1</v>
      </c>
      <c r="BN3018">
        <v>1</v>
      </c>
      <c r="BO3018">
        <v>0</v>
      </c>
      <c r="BP3018">
        <v>0</v>
      </c>
      <c r="BS3018">
        <v>0</v>
      </c>
      <c r="BT3018">
        <v>0</v>
      </c>
      <c r="BU3018">
        <v>0</v>
      </c>
      <c r="CE3018" t="str">
        <f t="shared" si="1197"/>
        <v>15:12:54.411</v>
      </c>
      <c r="CF3018">
        <v>410978809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5</v>
      </c>
      <c r="CY3018">
        <v>7</v>
      </c>
      <c r="CZ3018" t="s">
        <v>133</v>
      </c>
      <c r="DA3018">
        <v>275</v>
      </c>
      <c r="DB3018">
        <v>0</v>
      </c>
      <c r="DC3018" t="s">
        <v>134</v>
      </c>
      <c r="DD3018" t="s">
        <v>135</v>
      </c>
      <c r="DG3018">
        <v>3322276</v>
      </c>
      <c r="DI3018">
        <v>1</v>
      </c>
      <c r="DJ3018">
        <v>0</v>
      </c>
      <c r="DK3018">
        <v>1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">
      <c r="A3019" t="str">
        <f>"05/01/2025 15:12:54.678"</f>
        <v>05/01/2025 15:12:54.678</v>
      </c>
      <c r="C3019" t="str">
        <f t="shared" si="1192"/>
        <v>FFDFD3C0</v>
      </c>
      <c r="D3019" t="s">
        <v>145</v>
      </c>
      <c r="E3019" t="str">
        <f>"05"</f>
        <v>05</v>
      </c>
      <c r="H3019">
        <v>47</v>
      </c>
      <c r="I3019" t="s">
        <v>146</v>
      </c>
      <c r="J3019" t="s">
        <v>138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R3019" t="s">
        <v>127</v>
      </c>
      <c r="S3019" t="str">
        <f t="shared" si="1196"/>
        <v>15:12:54.000</v>
      </c>
      <c r="T3019" t="str">
        <f t="shared" si="1196"/>
        <v>15:12:54.000</v>
      </c>
      <c r="U3019" t="str">
        <f t="shared" si="1193"/>
        <v>A68FCB</v>
      </c>
      <c r="V3019">
        <v>0</v>
      </c>
      <c r="W3019">
        <v>0</v>
      </c>
      <c r="X3019">
        <v>2</v>
      </c>
      <c r="Y3019">
        <v>0</v>
      </c>
      <c r="AA3019">
        <v>1</v>
      </c>
      <c r="AB3019">
        <v>8</v>
      </c>
      <c r="AC3019">
        <v>3</v>
      </c>
      <c r="AD3019">
        <v>0</v>
      </c>
      <c r="AE3019">
        <v>9</v>
      </c>
      <c r="AF3019" t="s">
        <v>138</v>
      </c>
      <c r="AG3019">
        <v>0</v>
      </c>
      <c r="AH3019">
        <v>3</v>
      </c>
      <c r="AI3019">
        <v>2</v>
      </c>
      <c r="AJ3019">
        <v>0</v>
      </c>
      <c r="AK3019" t="s">
        <v>1017</v>
      </c>
      <c r="AL3019">
        <v>39.116542000000003</v>
      </c>
      <c r="AM3019" t="s">
        <v>1016</v>
      </c>
      <c r="AN3019">
        <v>-121.032107</v>
      </c>
      <c r="AO3019">
        <v>25</v>
      </c>
      <c r="AP3019">
        <v>4400</v>
      </c>
      <c r="AQ3019" t="s">
        <v>131</v>
      </c>
      <c r="AR3019">
        <v>2</v>
      </c>
      <c r="AS3019">
        <v>83</v>
      </c>
      <c r="AT3019">
        <v>0</v>
      </c>
      <c r="BB3019" t="str">
        <f t="shared" si="1194"/>
        <v>1200</v>
      </c>
      <c r="BC3019">
        <v>1</v>
      </c>
      <c r="BD3019" t="str">
        <f t="shared" si="1195"/>
        <v xml:space="preserve">N52156  </v>
      </c>
      <c r="BE3019">
        <v>1</v>
      </c>
      <c r="BG3019">
        <v>0</v>
      </c>
      <c r="BH3019">
        <v>0</v>
      </c>
      <c r="BI3019">
        <v>0</v>
      </c>
      <c r="BJ3019">
        <v>4425</v>
      </c>
      <c r="BK3019">
        <v>25</v>
      </c>
      <c r="BL3019" t="s">
        <v>188</v>
      </c>
      <c r="BM3019">
        <v>1</v>
      </c>
      <c r="BN3019">
        <v>1</v>
      </c>
      <c r="BO3019">
        <v>0</v>
      </c>
      <c r="BP3019">
        <v>0</v>
      </c>
      <c r="BS3019">
        <v>0</v>
      </c>
      <c r="BT3019">
        <v>0</v>
      </c>
      <c r="BU3019">
        <v>0</v>
      </c>
      <c r="CE3019" t="str">
        <f t="shared" si="1197"/>
        <v>15:12:54.411</v>
      </c>
      <c r="CF3019">
        <v>410978809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5</v>
      </c>
      <c r="CY3019">
        <v>7</v>
      </c>
      <c r="CZ3019" t="s">
        <v>133</v>
      </c>
      <c r="DA3019">
        <v>275</v>
      </c>
      <c r="DB3019">
        <v>0</v>
      </c>
      <c r="DC3019" t="s">
        <v>134</v>
      </c>
      <c r="DD3019" t="s">
        <v>135</v>
      </c>
      <c r="DG3019">
        <v>3322276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">
      <c r="A3020" t="str">
        <f>"05/01/2025 15:12:55.562"</f>
        <v>05/01/2025 15:12:55.562</v>
      </c>
      <c r="C3020" t="str">
        <f t="shared" si="1192"/>
        <v>FFDFD3C0</v>
      </c>
      <c r="D3020" t="s">
        <v>124</v>
      </c>
      <c r="E3020" t="str">
        <f>"06"</f>
        <v>06</v>
      </c>
      <c r="F3020">
        <v>2006</v>
      </c>
      <c r="G3020" t="s">
        <v>125</v>
      </c>
      <c r="J3020" t="s">
        <v>126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R3020" t="s">
        <v>127</v>
      </c>
      <c r="S3020" t="str">
        <f t="shared" ref="S3020:T3025" si="1198">"15:12:55.000"</f>
        <v>15:12:55.000</v>
      </c>
      <c r="T3020" t="str">
        <f t="shared" si="1198"/>
        <v>15:12:55.000</v>
      </c>
      <c r="U3020" t="str">
        <f t="shared" si="1193"/>
        <v>A68FCB</v>
      </c>
      <c r="V3020">
        <v>0</v>
      </c>
      <c r="W3020">
        <v>0</v>
      </c>
      <c r="X3020">
        <v>2</v>
      </c>
      <c r="Y3020">
        <v>0</v>
      </c>
      <c r="AA3020">
        <v>1</v>
      </c>
      <c r="AB3020">
        <v>8</v>
      </c>
      <c r="AC3020">
        <v>3</v>
      </c>
      <c r="AD3020">
        <v>0</v>
      </c>
      <c r="AE3020">
        <v>9</v>
      </c>
      <c r="AF3020" t="s">
        <v>138</v>
      </c>
      <c r="AG3020">
        <v>0</v>
      </c>
      <c r="AH3020">
        <v>3</v>
      </c>
      <c r="AI3020">
        <v>2</v>
      </c>
      <c r="AJ3020">
        <v>0</v>
      </c>
      <c r="AK3020" t="s">
        <v>1018</v>
      </c>
      <c r="AL3020">
        <v>39.116928999999999</v>
      </c>
      <c r="AM3020" t="s">
        <v>1019</v>
      </c>
      <c r="AN3020">
        <v>-121.032085</v>
      </c>
      <c r="AO3020">
        <v>25</v>
      </c>
      <c r="AP3020">
        <v>4400</v>
      </c>
      <c r="AQ3020" t="s">
        <v>131</v>
      </c>
      <c r="AR3020">
        <v>2</v>
      </c>
      <c r="AS3020">
        <v>83</v>
      </c>
      <c r="AT3020">
        <v>-64</v>
      </c>
      <c r="BB3020" t="str">
        <f t="shared" si="1194"/>
        <v>1200</v>
      </c>
      <c r="BC3020">
        <v>1</v>
      </c>
      <c r="BD3020" t="str">
        <f t="shared" si="1195"/>
        <v xml:space="preserve">N52156  </v>
      </c>
      <c r="BE3020">
        <v>1</v>
      </c>
      <c r="BG3020">
        <v>0</v>
      </c>
      <c r="BH3020">
        <v>0</v>
      </c>
      <c r="BI3020">
        <v>0</v>
      </c>
      <c r="BJ3020">
        <v>4425</v>
      </c>
      <c r="BK3020">
        <v>25</v>
      </c>
      <c r="BL3020" t="s">
        <v>188</v>
      </c>
      <c r="BM3020">
        <v>1</v>
      </c>
      <c r="BN3020">
        <v>1</v>
      </c>
      <c r="BO3020">
        <v>0</v>
      </c>
      <c r="BP3020">
        <v>0</v>
      </c>
      <c r="BS3020">
        <v>0</v>
      </c>
      <c r="BT3020">
        <v>0</v>
      </c>
      <c r="BU3020">
        <v>0</v>
      </c>
      <c r="CE3020" t="str">
        <f t="shared" ref="CE3020:CE3025" si="1199">"15:12:55.357"</f>
        <v>15:12:55.357</v>
      </c>
      <c r="CF3020">
        <v>356978708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5</v>
      </c>
      <c r="CY3020">
        <v>7</v>
      </c>
      <c r="CZ3020" t="s">
        <v>133</v>
      </c>
      <c r="DA3020">
        <v>275</v>
      </c>
      <c r="DB3020">
        <v>0</v>
      </c>
      <c r="DC3020" t="s">
        <v>134</v>
      </c>
      <c r="DD3020" t="s">
        <v>135</v>
      </c>
      <c r="DG3020">
        <v>3322282</v>
      </c>
      <c r="DI3020">
        <v>1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">
      <c r="A3021" t="str">
        <f>"05/01/2025 15:12:55.563"</f>
        <v>05/01/2025 15:12:55.563</v>
      </c>
      <c r="C3021" t="str">
        <f t="shared" si="1192"/>
        <v>FFDFD3C0</v>
      </c>
      <c r="D3021" t="s">
        <v>140</v>
      </c>
      <c r="E3021" t="str">
        <f>"13"</f>
        <v>13</v>
      </c>
      <c r="F3021">
        <v>1019</v>
      </c>
      <c r="G3021" t="s">
        <v>141</v>
      </c>
      <c r="J3021" t="s">
        <v>142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R3021" t="s">
        <v>127</v>
      </c>
      <c r="S3021" t="str">
        <f t="shared" si="1198"/>
        <v>15:12:55.000</v>
      </c>
      <c r="T3021" t="str">
        <f t="shared" si="1198"/>
        <v>15:12:55.000</v>
      </c>
      <c r="U3021" t="str">
        <f t="shared" si="1193"/>
        <v>A68FCB</v>
      </c>
      <c r="V3021">
        <v>0</v>
      </c>
      <c r="W3021">
        <v>0</v>
      </c>
      <c r="X3021">
        <v>2</v>
      </c>
      <c r="Y3021">
        <v>0</v>
      </c>
      <c r="AA3021">
        <v>1</v>
      </c>
      <c r="AB3021">
        <v>8</v>
      </c>
      <c r="AC3021">
        <v>3</v>
      </c>
      <c r="AD3021">
        <v>0</v>
      </c>
      <c r="AE3021">
        <v>9</v>
      </c>
      <c r="AF3021" t="s">
        <v>138</v>
      </c>
      <c r="AG3021">
        <v>0</v>
      </c>
      <c r="AH3021">
        <v>3</v>
      </c>
      <c r="AI3021">
        <v>2</v>
      </c>
      <c r="AJ3021">
        <v>0</v>
      </c>
      <c r="AK3021" t="s">
        <v>1018</v>
      </c>
      <c r="AL3021">
        <v>39.116928999999999</v>
      </c>
      <c r="AM3021" t="s">
        <v>1019</v>
      </c>
      <c r="AN3021">
        <v>-121.032085</v>
      </c>
      <c r="AO3021">
        <v>25</v>
      </c>
      <c r="AP3021">
        <v>4400</v>
      </c>
      <c r="AQ3021" t="s">
        <v>131</v>
      </c>
      <c r="AR3021">
        <v>2</v>
      </c>
      <c r="AS3021">
        <v>83</v>
      </c>
      <c r="AT3021">
        <v>-64</v>
      </c>
      <c r="BB3021" t="str">
        <f t="shared" si="1194"/>
        <v>1200</v>
      </c>
      <c r="BC3021">
        <v>1</v>
      </c>
      <c r="BD3021" t="str">
        <f t="shared" si="1195"/>
        <v xml:space="preserve">N52156  </v>
      </c>
      <c r="BE3021">
        <v>1</v>
      </c>
      <c r="BG3021">
        <v>0</v>
      </c>
      <c r="BH3021">
        <v>0</v>
      </c>
      <c r="BI3021">
        <v>0</v>
      </c>
      <c r="BJ3021">
        <v>4425</v>
      </c>
      <c r="BK3021">
        <v>25</v>
      </c>
      <c r="BL3021" t="s">
        <v>188</v>
      </c>
      <c r="BM3021">
        <v>1</v>
      </c>
      <c r="BN3021">
        <v>1</v>
      </c>
      <c r="BO3021">
        <v>0</v>
      </c>
      <c r="BP3021">
        <v>0</v>
      </c>
      <c r="BS3021">
        <v>0</v>
      </c>
      <c r="BT3021">
        <v>0</v>
      </c>
      <c r="BU3021">
        <v>0</v>
      </c>
      <c r="CE3021" t="str">
        <f t="shared" si="1199"/>
        <v>15:12:55.357</v>
      </c>
      <c r="CF3021">
        <v>356978708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5</v>
      </c>
      <c r="CY3021">
        <v>7</v>
      </c>
      <c r="CZ3021" t="s">
        <v>133</v>
      </c>
      <c r="DA3021">
        <v>275</v>
      </c>
      <c r="DB3021">
        <v>0</v>
      </c>
      <c r="DC3021" t="s">
        <v>134</v>
      </c>
      <c r="DD3021" t="s">
        <v>135</v>
      </c>
      <c r="DG3021">
        <v>3322282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">
      <c r="A3022" t="str">
        <f>"05/01/2025 15:12:55.577"</f>
        <v>05/01/2025 15:12:55.577</v>
      </c>
      <c r="C3022" t="str">
        <f t="shared" si="1192"/>
        <v>FFDFD3C0</v>
      </c>
      <c r="D3022" t="s">
        <v>145</v>
      </c>
      <c r="E3022" t="str">
        <f>"09"</f>
        <v>09</v>
      </c>
      <c r="H3022">
        <v>51</v>
      </c>
      <c r="I3022" t="s">
        <v>147</v>
      </c>
      <c r="J3022" t="s">
        <v>138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R3022" t="s">
        <v>127</v>
      </c>
      <c r="S3022" t="str">
        <f t="shared" si="1198"/>
        <v>15:12:55.000</v>
      </c>
      <c r="T3022" t="str">
        <f t="shared" si="1198"/>
        <v>15:12:55.000</v>
      </c>
      <c r="U3022" t="str">
        <f t="shared" si="1193"/>
        <v>A68FCB</v>
      </c>
      <c r="V3022">
        <v>0</v>
      </c>
      <c r="W3022">
        <v>0</v>
      </c>
      <c r="X3022">
        <v>2</v>
      </c>
      <c r="Y3022">
        <v>0</v>
      </c>
      <c r="AA3022">
        <v>1</v>
      </c>
      <c r="AB3022">
        <v>8</v>
      </c>
      <c r="AC3022">
        <v>3</v>
      </c>
      <c r="AD3022">
        <v>0</v>
      </c>
      <c r="AE3022">
        <v>9</v>
      </c>
      <c r="AF3022" t="s">
        <v>138</v>
      </c>
      <c r="AG3022">
        <v>0</v>
      </c>
      <c r="AH3022">
        <v>3</v>
      </c>
      <c r="AI3022">
        <v>2</v>
      </c>
      <c r="AJ3022">
        <v>0</v>
      </c>
      <c r="AK3022" t="s">
        <v>1018</v>
      </c>
      <c r="AL3022">
        <v>39.116928999999999</v>
      </c>
      <c r="AM3022" t="s">
        <v>1019</v>
      </c>
      <c r="AN3022">
        <v>-121.032085</v>
      </c>
      <c r="AO3022">
        <v>25</v>
      </c>
      <c r="AP3022">
        <v>4400</v>
      </c>
      <c r="AQ3022" t="s">
        <v>131</v>
      </c>
      <c r="AR3022">
        <v>2</v>
      </c>
      <c r="AS3022">
        <v>83</v>
      </c>
      <c r="AT3022">
        <v>-64</v>
      </c>
      <c r="BB3022" t="str">
        <f t="shared" si="1194"/>
        <v>1200</v>
      </c>
      <c r="BC3022">
        <v>1</v>
      </c>
      <c r="BD3022" t="str">
        <f t="shared" si="1195"/>
        <v xml:space="preserve">N52156  </v>
      </c>
      <c r="BE3022">
        <v>1</v>
      </c>
      <c r="BG3022">
        <v>0</v>
      </c>
      <c r="BH3022">
        <v>0</v>
      </c>
      <c r="BI3022">
        <v>0</v>
      </c>
      <c r="BJ3022">
        <v>4425</v>
      </c>
      <c r="BK3022">
        <v>25</v>
      </c>
      <c r="BL3022" t="s">
        <v>188</v>
      </c>
      <c r="BM3022">
        <v>1</v>
      </c>
      <c r="BN3022">
        <v>1</v>
      </c>
      <c r="BO3022">
        <v>0</v>
      </c>
      <c r="BP3022">
        <v>0</v>
      </c>
      <c r="BS3022">
        <v>0</v>
      </c>
      <c r="BT3022">
        <v>0</v>
      </c>
      <c r="BU3022">
        <v>0</v>
      </c>
      <c r="CE3022" t="str">
        <f t="shared" si="1199"/>
        <v>15:12:55.357</v>
      </c>
      <c r="CF3022">
        <v>356978708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133</v>
      </c>
      <c r="DA3022">
        <v>275</v>
      </c>
      <c r="DB3022">
        <v>0</v>
      </c>
      <c r="DC3022" t="s">
        <v>134</v>
      </c>
      <c r="DD3022" t="s">
        <v>135</v>
      </c>
      <c r="DG3022">
        <v>3322282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">
      <c r="A3023" t="str">
        <f>"05/01/2025 15:12:55.579"</f>
        <v>05/01/2025 15:12:55.579</v>
      </c>
      <c r="C3023" t="str">
        <f t="shared" si="1192"/>
        <v>FFDFD3C0</v>
      </c>
      <c r="D3023" t="s">
        <v>145</v>
      </c>
      <c r="E3023" t="str">
        <f>"05"</f>
        <v>05</v>
      </c>
      <c r="H3023">
        <v>47</v>
      </c>
      <c r="I3023" t="s">
        <v>146</v>
      </c>
      <c r="J3023" t="s">
        <v>138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R3023" t="s">
        <v>127</v>
      </c>
      <c r="S3023" t="str">
        <f t="shared" si="1198"/>
        <v>15:12:55.000</v>
      </c>
      <c r="T3023" t="str">
        <f t="shared" si="1198"/>
        <v>15:12:55.000</v>
      </c>
      <c r="U3023" t="str">
        <f t="shared" si="1193"/>
        <v>A68FCB</v>
      </c>
      <c r="V3023">
        <v>0</v>
      </c>
      <c r="W3023">
        <v>0</v>
      </c>
      <c r="X3023">
        <v>2</v>
      </c>
      <c r="Y3023">
        <v>0</v>
      </c>
      <c r="AA3023">
        <v>1</v>
      </c>
      <c r="AB3023">
        <v>8</v>
      </c>
      <c r="AC3023">
        <v>3</v>
      </c>
      <c r="AD3023">
        <v>0</v>
      </c>
      <c r="AE3023">
        <v>9</v>
      </c>
      <c r="AF3023" t="s">
        <v>138</v>
      </c>
      <c r="AG3023">
        <v>0</v>
      </c>
      <c r="AH3023">
        <v>3</v>
      </c>
      <c r="AI3023">
        <v>2</v>
      </c>
      <c r="AJ3023">
        <v>0</v>
      </c>
      <c r="AK3023" t="s">
        <v>1018</v>
      </c>
      <c r="AL3023">
        <v>39.116928999999999</v>
      </c>
      <c r="AM3023" t="s">
        <v>1019</v>
      </c>
      <c r="AN3023">
        <v>-121.032085</v>
      </c>
      <c r="AO3023">
        <v>25</v>
      </c>
      <c r="AP3023">
        <v>4400</v>
      </c>
      <c r="AQ3023" t="s">
        <v>131</v>
      </c>
      <c r="AR3023">
        <v>2</v>
      </c>
      <c r="AS3023">
        <v>83</v>
      </c>
      <c r="AT3023">
        <v>-64</v>
      </c>
      <c r="BB3023" t="str">
        <f t="shared" si="1194"/>
        <v>1200</v>
      </c>
      <c r="BC3023">
        <v>1</v>
      </c>
      <c r="BD3023" t="str">
        <f t="shared" si="1195"/>
        <v xml:space="preserve">N52156  </v>
      </c>
      <c r="BE3023">
        <v>1</v>
      </c>
      <c r="BG3023">
        <v>0</v>
      </c>
      <c r="BH3023">
        <v>0</v>
      </c>
      <c r="BI3023">
        <v>0</v>
      </c>
      <c r="BJ3023">
        <v>4425</v>
      </c>
      <c r="BK3023">
        <v>25</v>
      </c>
      <c r="BL3023" t="s">
        <v>188</v>
      </c>
      <c r="BM3023">
        <v>1</v>
      </c>
      <c r="BN3023">
        <v>1</v>
      </c>
      <c r="BO3023">
        <v>0</v>
      </c>
      <c r="BP3023">
        <v>0</v>
      </c>
      <c r="BS3023">
        <v>0</v>
      </c>
      <c r="BT3023">
        <v>0</v>
      </c>
      <c r="BU3023">
        <v>0</v>
      </c>
      <c r="CE3023" t="str">
        <f t="shared" si="1199"/>
        <v>15:12:55.357</v>
      </c>
      <c r="CF3023">
        <v>356978708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133</v>
      </c>
      <c r="DA3023">
        <v>275</v>
      </c>
      <c r="DB3023">
        <v>0</v>
      </c>
      <c r="DC3023" t="s">
        <v>134</v>
      </c>
      <c r="DD3023" t="s">
        <v>135</v>
      </c>
      <c r="DG3023">
        <v>3322282</v>
      </c>
      <c r="DI3023">
        <v>1</v>
      </c>
      <c r="DJ3023">
        <v>0</v>
      </c>
      <c r="DK3023">
        <v>1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">
      <c r="A3024" t="str">
        <f>"05/01/2025 15:12:55.589"</f>
        <v>05/01/2025 15:12:55.589</v>
      </c>
      <c r="C3024" t="str">
        <f t="shared" si="1192"/>
        <v>FFDFD3C0</v>
      </c>
      <c r="D3024" t="s">
        <v>136</v>
      </c>
      <c r="E3024" t="str">
        <f>"20"</f>
        <v>20</v>
      </c>
      <c r="H3024">
        <v>400</v>
      </c>
      <c r="I3024" t="s">
        <v>137</v>
      </c>
      <c r="J3024" t="s">
        <v>138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R3024" t="s">
        <v>127</v>
      </c>
      <c r="S3024" t="str">
        <f t="shared" si="1198"/>
        <v>15:12:55.000</v>
      </c>
      <c r="T3024" t="str">
        <f t="shared" si="1198"/>
        <v>15:12:55.000</v>
      </c>
      <c r="U3024" t="str">
        <f t="shared" si="1193"/>
        <v>A68FCB</v>
      </c>
      <c r="V3024">
        <v>0</v>
      </c>
      <c r="W3024">
        <v>0</v>
      </c>
      <c r="X3024">
        <v>2</v>
      </c>
      <c r="Y3024">
        <v>0</v>
      </c>
      <c r="AA3024">
        <v>1</v>
      </c>
      <c r="AB3024">
        <v>8</v>
      </c>
      <c r="AC3024">
        <v>3</v>
      </c>
      <c r="AD3024">
        <v>0</v>
      </c>
      <c r="AE3024">
        <v>9</v>
      </c>
      <c r="AF3024" t="s">
        <v>138</v>
      </c>
      <c r="AG3024">
        <v>0</v>
      </c>
      <c r="AH3024">
        <v>3</v>
      </c>
      <c r="AI3024">
        <v>2</v>
      </c>
      <c r="AJ3024">
        <v>0</v>
      </c>
      <c r="AK3024" t="s">
        <v>1018</v>
      </c>
      <c r="AL3024">
        <v>39.116928999999999</v>
      </c>
      <c r="AM3024" t="s">
        <v>1019</v>
      </c>
      <c r="AN3024">
        <v>-121.032085</v>
      </c>
      <c r="AO3024">
        <v>25</v>
      </c>
      <c r="AP3024">
        <v>4400</v>
      </c>
      <c r="AQ3024" t="s">
        <v>131</v>
      </c>
      <c r="AR3024">
        <v>2</v>
      </c>
      <c r="AS3024">
        <v>83</v>
      </c>
      <c r="AT3024">
        <v>-64</v>
      </c>
      <c r="BB3024" t="str">
        <f t="shared" si="1194"/>
        <v>1200</v>
      </c>
      <c r="BC3024">
        <v>1</v>
      </c>
      <c r="BD3024" t="str">
        <f t="shared" si="1195"/>
        <v xml:space="preserve">N52156  </v>
      </c>
      <c r="BE3024">
        <v>1</v>
      </c>
      <c r="BG3024">
        <v>0</v>
      </c>
      <c r="BH3024">
        <v>0</v>
      </c>
      <c r="BI3024">
        <v>0</v>
      </c>
      <c r="BJ3024">
        <v>4425</v>
      </c>
      <c r="BK3024">
        <v>25</v>
      </c>
      <c r="BL3024" t="s">
        <v>188</v>
      </c>
      <c r="BM3024">
        <v>1</v>
      </c>
      <c r="BN3024">
        <v>1</v>
      </c>
      <c r="BO3024">
        <v>0</v>
      </c>
      <c r="BP3024">
        <v>0</v>
      </c>
      <c r="BS3024">
        <v>0</v>
      </c>
      <c r="BT3024">
        <v>0</v>
      </c>
      <c r="BU3024">
        <v>0</v>
      </c>
      <c r="CE3024" t="str">
        <f t="shared" si="1199"/>
        <v>15:12:55.357</v>
      </c>
      <c r="CF3024">
        <v>356978708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5</v>
      </c>
      <c r="CY3024">
        <v>7</v>
      </c>
      <c r="CZ3024" t="s">
        <v>133</v>
      </c>
      <c r="DA3024">
        <v>275</v>
      </c>
      <c r="DB3024">
        <v>0</v>
      </c>
      <c r="DC3024" t="s">
        <v>134</v>
      </c>
      <c r="DD3024" t="s">
        <v>135</v>
      </c>
      <c r="DG3024">
        <v>3322282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">
      <c r="A3025" t="str">
        <f>"05/01/2025 15:12:55.597"</f>
        <v>05/01/2025 15:12:55.597</v>
      </c>
      <c r="C3025" t="str">
        <f t="shared" si="1192"/>
        <v>FFDFD3C0</v>
      </c>
      <c r="D3025" t="s">
        <v>143</v>
      </c>
      <c r="E3025" t="str">
        <f>"05"</f>
        <v>05</v>
      </c>
      <c r="H3025">
        <v>172</v>
      </c>
      <c r="I3025" t="s">
        <v>141</v>
      </c>
      <c r="J3025" t="s">
        <v>144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R3025" t="s">
        <v>127</v>
      </c>
      <c r="S3025" t="str">
        <f t="shared" si="1198"/>
        <v>15:12:55.000</v>
      </c>
      <c r="T3025" t="str">
        <f t="shared" si="1198"/>
        <v>15:12:55.000</v>
      </c>
      <c r="U3025" t="str">
        <f t="shared" si="1193"/>
        <v>A68FCB</v>
      </c>
      <c r="V3025">
        <v>0</v>
      </c>
      <c r="W3025">
        <v>0</v>
      </c>
      <c r="X3025">
        <v>2</v>
      </c>
      <c r="Y3025">
        <v>0</v>
      </c>
      <c r="AA3025">
        <v>1</v>
      </c>
      <c r="AB3025">
        <v>8</v>
      </c>
      <c r="AC3025">
        <v>3</v>
      </c>
      <c r="AD3025">
        <v>0</v>
      </c>
      <c r="AE3025">
        <v>9</v>
      </c>
      <c r="AF3025" t="s">
        <v>138</v>
      </c>
      <c r="AG3025">
        <v>0</v>
      </c>
      <c r="AH3025">
        <v>3</v>
      </c>
      <c r="AI3025">
        <v>2</v>
      </c>
      <c r="AJ3025">
        <v>0</v>
      </c>
      <c r="AK3025" t="s">
        <v>1018</v>
      </c>
      <c r="AL3025">
        <v>39.116928999999999</v>
      </c>
      <c r="AM3025" t="s">
        <v>1019</v>
      </c>
      <c r="AN3025">
        <v>-121.032085</v>
      </c>
      <c r="AO3025">
        <v>25</v>
      </c>
      <c r="AP3025">
        <v>4400</v>
      </c>
      <c r="AQ3025" t="s">
        <v>131</v>
      </c>
      <c r="AR3025">
        <v>2</v>
      </c>
      <c r="AS3025">
        <v>83</v>
      </c>
      <c r="AT3025">
        <v>-64</v>
      </c>
      <c r="BB3025" t="str">
        <f t="shared" si="1194"/>
        <v>1200</v>
      </c>
      <c r="BC3025">
        <v>1</v>
      </c>
      <c r="BD3025" t="str">
        <f t="shared" si="1195"/>
        <v xml:space="preserve">N52156  </v>
      </c>
      <c r="BE3025">
        <v>1</v>
      </c>
      <c r="BG3025">
        <v>0</v>
      </c>
      <c r="BH3025">
        <v>0</v>
      </c>
      <c r="BI3025">
        <v>0</v>
      </c>
      <c r="BJ3025">
        <v>4425</v>
      </c>
      <c r="BK3025">
        <v>25</v>
      </c>
      <c r="BL3025" t="s">
        <v>188</v>
      </c>
      <c r="BM3025">
        <v>1</v>
      </c>
      <c r="BN3025">
        <v>1</v>
      </c>
      <c r="BO3025">
        <v>0</v>
      </c>
      <c r="BP3025">
        <v>0</v>
      </c>
      <c r="BS3025">
        <v>0</v>
      </c>
      <c r="BT3025">
        <v>0</v>
      </c>
      <c r="BU3025">
        <v>0</v>
      </c>
      <c r="CE3025" t="str">
        <f t="shared" si="1199"/>
        <v>15:12:55.357</v>
      </c>
      <c r="CF3025">
        <v>356978708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5</v>
      </c>
      <c r="CY3025">
        <v>7</v>
      </c>
      <c r="CZ3025" t="s">
        <v>133</v>
      </c>
      <c r="DA3025">
        <v>275</v>
      </c>
      <c r="DB3025">
        <v>0</v>
      </c>
      <c r="DC3025" t="s">
        <v>134</v>
      </c>
      <c r="DD3025" t="s">
        <v>135</v>
      </c>
      <c r="DG3025">
        <v>3322282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">
      <c r="A3026" t="str">
        <f>"05/01/2025 15:12:56.429"</f>
        <v>05/01/2025 15:12:56.429</v>
      </c>
      <c r="C3026" t="str">
        <f t="shared" si="1192"/>
        <v>FFDFD3C0</v>
      </c>
      <c r="D3026" t="s">
        <v>145</v>
      </c>
      <c r="E3026" t="str">
        <f>"09"</f>
        <v>09</v>
      </c>
      <c r="H3026">
        <v>51</v>
      </c>
      <c r="I3026" t="s">
        <v>147</v>
      </c>
      <c r="J3026" t="s">
        <v>138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R3026" t="s">
        <v>127</v>
      </c>
      <c r="S3026" t="str">
        <f t="shared" ref="S3026:T3031" si="1200">"15:12:56.000"</f>
        <v>15:12:56.000</v>
      </c>
      <c r="T3026" t="str">
        <f t="shared" si="1200"/>
        <v>15:12:56.000</v>
      </c>
      <c r="U3026" t="str">
        <f t="shared" si="1193"/>
        <v>A68FCB</v>
      </c>
      <c r="V3026">
        <v>0</v>
      </c>
      <c r="W3026">
        <v>0</v>
      </c>
      <c r="X3026">
        <v>2</v>
      </c>
      <c r="Y3026">
        <v>0</v>
      </c>
      <c r="AA3026">
        <v>1</v>
      </c>
      <c r="AB3026">
        <v>8</v>
      </c>
      <c r="AC3026">
        <v>3</v>
      </c>
      <c r="AD3026">
        <v>0</v>
      </c>
      <c r="AE3026">
        <v>9</v>
      </c>
      <c r="AF3026" t="s">
        <v>138</v>
      </c>
      <c r="AG3026">
        <v>0</v>
      </c>
      <c r="AH3026">
        <v>3</v>
      </c>
      <c r="AI3026">
        <v>2</v>
      </c>
      <c r="AJ3026">
        <v>0</v>
      </c>
      <c r="AK3026" t="s">
        <v>1020</v>
      </c>
      <c r="AL3026">
        <v>39.117314999999998</v>
      </c>
      <c r="AM3026" t="s">
        <v>1021</v>
      </c>
      <c r="AN3026">
        <v>-121.03206400000001</v>
      </c>
      <c r="AO3026">
        <v>25</v>
      </c>
      <c r="AP3026">
        <v>4400</v>
      </c>
      <c r="AQ3026" t="s">
        <v>131</v>
      </c>
      <c r="AR3026">
        <v>2</v>
      </c>
      <c r="AS3026">
        <v>83</v>
      </c>
      <c r="AT3026">
        <v>0</v>
      </c>
      <c r="BB3026" t="str">
        <f t="shared" si="1194"/>
        <v>1200</v>
      </c>
      <c r="BC3026">
        <v>1</v>
      </c>
      <c r="BD3026" t="str">
        <f t="shared" si="1195"/>
        <v xml:space="preserve">N52156  </v>
      </c>
      <c r="BE3026">
        <v>1</v>
      </c>
      <c r="BG3026">
        <v>0</v>
      </c>
      <c r="BH3026">
        <v>0</v>
      </c>
      <c r="BI3026">
        <v>0</v>
      </c>
      <c r="BJ3026">
        <v>4425</v>
      </c>
      <c r="BK3026">
        <v>25</v>
      </c>
      <c r="BL3026" t="s">
        <v>188</v>
      </c>
      <c r="BM3026">
        <v>1</v>
      </c>
      <c r="BN3026">
        <v>1</v>
      </c>
      <c r="BO3026">
        <v>0</v>
      </c>
      <c r="BP3026">
        <v>0</v>
      </c>
      <c r="BS3026">
        <v>0</v>
      </c>
      <c r="BT3026">
        <v>0</v>
      </c>
      <c r="BU3026">
        <v>0</v>
      </c>
      <c r="CE3026" t="str">
        <f t="shared" ref="CE3026:CE3031" si="1201">"15:12:56.227"</f>
        <v>15:12:56.227</v>
      </c>
      <c r="CF3026">
        <v>226728440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5</v>
      </c>
      <c r="CY3026">
        <v>7</v>
      </c>
      <c r="CZ3026" t="s">
        <v>133</v>
      </c>
      <c r="DA3026">
        <v>275</v>
      </c>
      <c r="DB3026">
        <v>0</v>
      </c>
      <c r="DC3026" t="s">
        <v>134</v>
      </c>
      <c r="DD3026" t="s">
        <v>135</v>
      </c>
      <c r="DG3026">
        <v>3322287</v>
      </c>
      <c r="DI3026">
        <v>1</v>
      </c>
      <c r="DJ3026">
        <v>0</v>
      </c>
      <c r="DK3026">
        <v>0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">
      <c r="A3027" t="str">
        <f>"05/01/2025 15:12:56.430"</f>
        <v>05/01/2025 15:12:56.430</v>
      </c>
      <c r="C3027" t="str">
        <f t="shared" si="1192"/>
        <v>FFDFD3C0</v>
      </c>
      <c r="D3027" t="s">
        <v>145</v>
      </c>
      <c r="E3027" t="str">
        <f>"05"</f>
        <v>05</v>
      </c>
      <c r="H3027">
        <v>47</v>
      </c>
      <c r="I3027" t="s">
        <v>146</v>
      </c>
      <c r="J3027" t="s">
        <v>138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R3027" t="s">
        <v>127</v>
      </c>
      <c r="S3027" t="str">
        <f t="shared" si="1200"/>
        <v>15:12:56.000</v>
      </c>
      <c r="T3027" t="str">
        <f t="shared" si="1200"/>
        <v>15:12:56.000</v>
      </c>
      <c r="U3027" t="str">
        <f t="shared" si="1193"/>
        <v>A68FCB</v>
      </c>
      <c r="V3027">
        <v>0</v>
      </c>
      <c r="W3027">
        <v>0</v>
      </c>
      <c r="X3027">
        <v>2</v>
      </c>
      <c r="Y3027">
        <v>0</v>
      </c>
      <c r="AA3027">
        <v>1</v>
      </c>
      <c r="AB3027">
        <v>8</v>
      </c>
      <c r="AC3027">
        <v>3</v>
      </c>
      <c r="AD3027">
        <v>0</v>
      </c>
      <c r="AE3027">
        <v>9</v>
      </c>
      <c r="AF3027" t="s">
        <v>138</v>
      </c>
      <c r="AG3027">
        <v>0</v>
      </c>
      <c r="AH3027">
        <v>3</v>
      </c>
      <c r="AI3027">
        <v>2</v>
      </c>
      <c r="AJ3027">
        <v>0</v>
      </c>
      <c r="AK3027" t="s">
        <v>1020</v>
      </c>
      <c r="AL3027">
        <v>39.117314999999998</v>
      </c>
      <c r="AM3027" t="s">
        <v>1021</v>
      </c>
      <c r="AN3027">
        <v>-121.03206400000001</v>
      </c>
      <c r="AO3027">
        <v>25</v>
      </c>
      <c r="AP3027">
        <v>4400</v>
      </c>
      <c r="AQ3027" t="s">
        <v>131</v>
      </c>
      <c r="AR3027">
        <v>2</v>
      </c>
      <c r="AS3027">
        <v>83</v>
      </c>
      <c r="AT3027">
        <v>0</v>
      </c>
      <c r="BB3027" t="str">
        <f t="shared" si="1194"/>
        <v>1200</v>
      </c>
      <c r="BC3027">
        <v>1</v>
      </c>
      <c r="BD3027" t="str">
        <f t="shared" si="1195"/>
        <v xml:space="preserve">N52156  </v>
      </c>
      <c r="BE3027">
        <v>1</v>
      </c>
      <c r="BG3027">
        <v>0</v>
      </c>
      <c r="BH3027">
        <v>0</v>
      </c>
      <c r="BI3027">
        <v>0</v>
      </c>
      <c r="BJ3027">
        <v>4425</v>
      </c>
      <c r="BK3027">
        <v>25</v>
      </c>
      <c r="BL3027" t="s">
        <v>188</v>
      </c>
      <c r="BM3027">
        <v>1</v>
      </c>
      <c r="BN3027">
        <v>1</v>
      </c>
      <c r="BO3027">
        <v>0</v>
      </c>
      <c r="BP3027">
        <v>0</v>
      </c>
      <c r="BS3027">
        <v>0</v>
      </c>
      <c r="BT3027">
        <v>0</v>
      </c>
      <c r="BU3027">
        <v>0</v>
      </c>
      <c r="CE3027" t="str">
        <f t="shared" si="1201"/>
        <v>15:12:56.227</v>
      </c>
      <c r="CF3027">
        <v>226728440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5</v>
      </c>
      <c r="CY3027">
        <v>7</v>
      </c>
      <c r="CZ3027" t="s">
        <v>133</v>
      </c>
      <c r="DA3027">
        <v>275</v>
      </c>
      <c r="DB3027">
        <v>0</v>
      </c>
      <c r="DC3027" t="s">
        <v>134</v>
      </c>
      <c r="DD3027" t="s">
        <v>135</v>
      </c>
      <c r="DG3027">
        <v>3322287</v>
      </c>
      <c r="DI3027">
        <v>1</v>
      </c>
      <c r="DJ3027">
        <v>0</v>
      </c>
      <c r="DK3027">
        <v>1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">
      <c r="A3028" t="str">
        <f>"05/01/2025 15:12:56.441"</f>
        <v>05/01/2025 15:12:56.441</v>
      </c>
      <c r="C3028" t="str">
        <f t="shared" si="1192"/>
        <v>FFDFD3C0</v>
      </c>
      <c r="D3028" t="s">
        <v>136</v>
      </c>
      <c r="E3028" t="str">
        <f>"20"</f>
        <v>20</v>
      </c>
      <c r="H3028">
        <v>400</v>
      </c>
      <c r="I3028" t="s">
        <v>137</v>
      </c>
      <c r="J3028" t="s">
        <v>138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R3028" t="s">
        <v>127</v>
      </c>
      <c r="S3028" t="str">
        <f t="shared" si="1200"/>
        <v>15:12:56.000</v>
      </c>
      <c r="T3028" t="str">
        <f t="shared" si="1200"/>
        <v>15:12:56.000</v>
      </c>
      <c r="U3028" t="str">
        <f t="shared" si="1193"/>
        <v>A68FCB</v>
      </c>
      <c r="V3028">
        <v>0</v>
      </c>
      <c r="W3028">
        <v>0</v>
      </c>
      <c r="X3028">
        <v>2</v>
      </c>
      <c r="Y3028">
        <v>0</v>
      </c>
      <c r="AA3028">
        <v>1</v>
      </c>
      <c r="AB3028">
        <v>8</v>
      </c>
      <c r="AC3028">
        <v>3</v>
      </c>
      <c r="AD3028">
        <v>0</v>
      </c>
      <c r="AE3028">
        <v>9</v>
      </c>
      <c r="AF3028" t="s">
        <v>138</v>
      </c>
      <c r="AG3028">
        <v>0</v>
      </c>
      <c r="AH3028">
        <v>3</v>
      </c>
      <c r="AI3028">
        <v>2</v>
      </c>
      <c r="AJ3028">
        <v>0</v>
      </c>
      <c r="AK3028" t="s">
        <v>1020</v>
      </c>
      <c r="AL3028">
        <v>39.117314999999998</v>
      </c>
      <c r="AM3028" t="s">
        <v>1021</v>
      </c>
      <c r="AN3028">
        <v>-121.03206400000001</v>
      </c>
      <c r="AO3028">
        <v>25</v>
      </c>
      <c r="AP3028">
        <v>4400</v>
      </c>
      <c r="AQ3028" t="s">
        <v>131</v>
      </c>
      <c r="AR3028">
        <v>2</v>
      </c>
      <c r="AS3028">
        <v>83</v>
      </c>
      <c r="AT3028">
        <v>0</v>
      </c>
      <c r="BB3028" t="str">
        <f t="shared" si="1194"/>
        <v>1200</v>
      </c>
      <c r="BC3028">
        <v>1</v>
      </c>
      <c r="BD3028" t="str">
        <f t="shared" si="1195"/>
        <v xml:space="preserve">N52156  </v>
      </c>
      <c r="BE3028">
        <v>1</v>
      </c>
      <c r="BG3028">
        <v>0</v>
      </c>
      <c r="BH3028">
        <v>0</v>
      </c>
      <c r="BI3028">
        <v>0</v>
      </c>
      <c r="BJ3028">
        <v>4425</v>
      </c>
      <c r="BK3028">
        <v>25</v>
      </c>
      <c r="BL3028" t="s">
        <v>188</v>
      </c>
      <c r="BM3028">
        <v>1</v>
      </c>
      <c r="BN3028">
        <v>1</v>
      </c>
      <c r="BO3028">
        <v>0</v>
      </c>
      <c r="BP3028">
        <v>0</v>
      </c>
      <c r="BS3028">
        <v>0</v>
      </c>
      <c r="BT3028">
        <v>0</v>
      </c>
      <c r="BU3028">
        <v>0</v>
      </c>
      <c r="CE3028" t="str">
        <f t="shared" si="1201"/>
        <v>15:12:56.227</v>
      </c>
      <c r="CF3028">
        <v>226728440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5</v>
      </c>
      <c r="CY3028">
        <v>7</v>
      </c>
      <c r="CZ3028" t="s">
        <v>133</v>
      </c>
      <c r="DA3028">
        <v>275</v>
      </c>
      <c r="DB3028">
        <v>0</v>
      </c>
      <c r="DC3028" t="s">
        <v>134</v>
      </c>
      <c r="DD3028" t="s">
        <v>135</v>
      </c>
      <c r="DG3028">
        <v>3322287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">
      <c r="A3029" t="str">
        <f>"05/01/2025 15:12:56.449"</f>
        <v>05/01/2025 15:12:56.449</v>
      </c>
      <c r="C3029" t="str">
        <f t="shared" si="1192"/>
        <v>FFDFD3C0</v>
      </c>
      <c r="D3029" t="s">
        <v>143</v>
      </c>
      <c r="E3029" t="str">
        <f>"05"</f>
        <v>05</v>
      </c>
      <c r="H3029">
        <v>172</v>
      </c>
      <c r="I3029" t="s">
        <v>141</v>
      </c>
      <c r="J3029" t="s">
        <v>144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R3029" t="s">
        <v>127</v>
      </c>
      <c r="S3029" t="str">
        <f t="shared" si="1200"/>
        <v>15:12:56.000</v>
      </c>
      <c r="T3029" t="str">
        <f t="shared" si="1200"/>
        <v>15:12:56.000</v>
      </c>
      <c r="U3029" t="str">
        <f t="shared" si="1193"/>
        <v>A68FCB</v>
      </c>
      <c r="V3029">
        <v>0</v>
      </c>
      <c r="W3029">
        <v>0</v>
      </c>
      <c r="X3029">
        <v>2</v>
      </c>
      <c r="Y3029">
        <v>0</v>
      </c>
      <c r="AA3029">
        <v>1</v>
      </c>
      <c r="AB3029">
        <v>8</v>
      </c>
      <c r="AC3029">
        <v>3</v>
      </c>
      <c r="AD3029">
        <v>0</v>
      </c>
      <c r="AE3029">
        <v>9</v>
      </c>
      <c r="AF3029" t="s">
        <v>138</v>
      </c>
      <c r="AG3029">
        <v>0</v>
      </c>
      <c r="AH3029">
        <v>3</v>
      </c>
      <c r="AI3029">
        <v>2</v>
      </c>
      <c r="AJ3029">
        <v>0</v>
      </c>
      <c r="AK3029" t="s">
        <v>1020</v>
      </c>
      <c r="AL3029">
        <v>39.117314999999998</v>
      </c>
      <c r="AM3029" t="s">
        <v>1021</v>
      </c>
      <c r="AN3029">
        <v>-121.03206400000001</v>
      </c>
      <c r="AO3029">
        <v>25</v>
      </c>
      <c r="AP3029">
        <v>4400</v>
      </c>
      <c r="AQ3029" t="s">
        <v>131</v>
      </c>
      <c r="AR3029">
        <v>2</v>
      </c>
      <c r="AS3029">
        <v>83</v>
      </c>
      <c r="AT3029">
        <v>0</v>
      </c>
      <c r="BB3029" t="str">
        <f t="shared" si="1194"/>
        <v>1200</v>
      </c>
      <c r="BC3029">
        <v>1</v>
      </c>
      <c r="BD3029" t="str">
        <f t="shared" si="1195"/>
        <v xml:space="preserve">N52156  </v>
      </c>
      <c r="BE3029">
        <v>1</v>
      </c>
      <c r="BG3029">
        <v>0</v>
      </c>
      <c r="BH3029">
        <v>0</v>
      </c>
      <c r="BI3029">
        <v>0</v>
      </c>
      <c r="BJ3029">
        <v>4425</v>
      </c>
      <c r="BK3029">
        <v>25</v>
      </c>
      <c r="BL3029" t="s">
        <v>188</v>
      </c>
      <c r="BM3029">
        <v>1</v>
      </c>
      <c r="BN3029">
        <v>1</v>
      </c>
      <c r="BO3029">
        <v>0</v>
      </c>
      <c r="BP3029">
        <v>0</v>
      </c>
      <c r="BS3029">
        <v>0</v>
      </c>
      <c r="BT3029">
        <v>0</v>
      </c>
      <c r="BU3029">
        <v>0</v>
      </c>
      <c r="CE3029" t="str">
        <f t="shared" si="1201"/>
        <v>15:12:56.227</v>
      </c>
      <c r="CF3029">
        <v>226728440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5</v>
      </c>
      <c r="CY3029">
        <v>7</v>
      </c>
      <c r="CZ3029" t="s">
        <v>133</v>
      </c>
      <c r="DA3029">
        <v>275</v>
      </c>
      <c r="DB3029">
        <v>0</v>
      </c>
      <c r="DC3029" t="s">
        <v>134</v>
      </c>
      <c r="DD3029" t="s">
        <v>135</v>
      </c>
      <c r="DG3029">
        <v>3322287</v>
      </c>
      <c r="DI3029">
        <v>1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">
      <c r="A3030" t="str">
        <f>"05/01/2025 15:12:56.464"</f>
        <v>05/01/2025 15:12:56.464</v>
      </c>
      <c r="C3030" t="str">
        <f t="shared" si="1192"/>
        <v>FFDFD3C0</v>
      </c>
      <c r="D3030" t="s">
        <v>124</v>
      </c>
      <c r="E3030" t="str">
        <f>"06"</f>
        <v>06</v>
      </c>
      <c r="F3030">
        <v>2006</v>
      </c>
      <c r="G3030" t="s">
        <v>125</v>
      </c>
      <c r="J3030" t="s">
        <v>126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R3030" t="s">
        <v>127</v>
      </c>
      <c r="S3030" t="str">
        <f t="shared" si="1200"/>
        <v>15:12:56.000</v>
      </c>
      <c r="T3030" t="str">
        <f t="shared" si="1200"/>
        <v>15:12:56.000</v>
      </c>
      <c r="U3030" t="str">
        <f t="shared" si="1193"/>
        <v>A68FCB</v>
      </c>
      <c r="V3030">
        <v>0</v>
      </c>
      <c r="W3030">
        <v>0</v>
      </c>
      <c r="X3030">
        <v>2</v>
      </c>
      <c r="Y3030">
        <v>0</v>
      </c>
      <c r="AA3030">
        <v>1</v>
      </c>
      <c r="AB3030">
        <v>8</v>
      </c>
      <c r="AC3030">
        <v>3</v>
      </c>
      <c r="AD3030">
        <v>0</v>
      </c>
      <c r="AE3030">
        <v>9</v>
      </c>
      <c r="AF3030" t="s">
        <v>138</v>
      </c>
      <c r="AG3030">
        <v>0</v>
      </c>
      <c r="AH3030">
        <v>3</v>
      </c>
      <c r="AI3030">
        <v>2</v>
      </c>
      <c r="AJ3030">
        <v>0</v>
      </c>
      <c r="AK3030" t="s">
        <v>1020</v>
      </c>
      <c r="AL3030">
        <v>39.117314999999998</v>
      </c>
      <c r="AM3030" t="s">
        <v>1021</v>
      </c>
      <c r="AN3030">
        <v>-121.03206400000001</v>
      </c>
      <c r="AO3030">
        <v>25</v>
      </c>
      <c r="AP3030">
        <v>4400</v>
      </c>
      <c r="AQ3030" t="s">
        <v>131</v>
      </c>
      <c r="AR3030">
        <v>2</v>
      </c>
      <c r="AS3030">
        <v>83</v>
      </c>
      <c r="AT3030">
        <v>0</v>
      </c>
      <c r="BB3030" t="str">
        <f t="shared" si="1194"/>
        <v>1200</v>
      </c>
      <c r="BC3030">
        <v>1</v>
      </c>
      <c r="BD3030" t="str">
        <f t="shared" si="1195"/>
        <v xml:space="preserve">N52156  </v>
      </c>
      <c r="BE3030">
        <v>1</v>
      </c>
      <c r="BG3030">
        <v>0</v>
      </c>
      <c r="BH3030">
        <v>0</v>
      </c>
      <c r="BI3030">
        <v>0</v>
      </c>
      <c r="BJ3030">
        <v>4425</v>
      </c>
      <c r="BK3030">
        <v>25</v>
      </c>
      <c r="BL3030" t="s">
        <v>188</v>
      </c>
      <c r="BM3030">
        <v>1</v>
      </c>
      <c r="BN3030">
        <v>1</v>
      </c>
      <c r="BO3030">
        <v>0</v>
      </c>
      <c r="BP3030">
        <v>0</v>
      </c>
      <c r="BS3030">
        <v>0</v>
      </c>
      <c r="BT3030">
        <v>0</v>
      </c>
      <c r="BU3030">
        <v>0</v>
      </c>
      <c r="CE3030" t="str">
        <f t="shared" si="1201"/>
        <v>15:12:56.227</v>
      </c>
      <c r="CF3030">
        <v>226728440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5</v>
      </c>
      <c r="CY3030">
        <v>7</v>
      </c>
      <c r="CZ3030" t="s">
        <v>133</v>
      </c>
      <c r="DA3030">
        <v>275</v>
      </c>
      <c r="DB3030">
        <v>0</v>
      </c>
      <c r="DC3030" t="s">
        <v>134</v>
      </c>
      <c r="DD3030" t="s">
        <v>135</v>
      </c>
      <c r="DG3030">
        <v>3322287</v>
      </c>
      <c r="DI3030">
        <v>1</v>
      </c>
      <c r="DJ3030">
        <v>0</v>
      </c>
      <c r="DK3030">
        <v>1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">
      <c r="A3031" t="str">
        <f>"05/01/2025 15:12:56.465"</f>
        <v>05/01/2025 15:12:56.465</v>
      </c>
      <c r="C3031" t="str">
        <f t="shared" si="1192"/>
        <v>FFDFD3C0</v>
      </c>
      <c r="D3031" t="s">
        <v>140</v>
      </c>
      <c r="E3031" t="str">
        <f>"13"</f>
        <v>13</v>
      </c>
      <c r="F3031">
        <v>1019</v>
      </c>
      <c r="G3031" t="s">
        <v>141</v>
      </c>
      <c r="J3031" t="s">
        <v>142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R3031" t="s">
        <v>127</v>
      </c>
      <c r="S3031" t="str">
        <f t="shared" si="1200"/>
        <v>15:12:56.000</v>
      </c>
      <c r="T3031" t="str">
        <f t="shared" si="1200"/>
        <v>15:12:56.000</v>
      </c>
      <c r="U3031" t="str">
        <f t="shared" si="1193"/>
        <v>A68FCB</v>
      </c>
      <c r="V3031">
        <v>0</v>
      </c>
      <c r="W3031">
        <v>0</v>
      </c>
      <c r="X3031">
        <v>2</v>
      </c>
      <c r="Y3031">
        <v>0</v>
      </c>
      <c r="AA3031">
        <v>1</v>
      </c>
      <c r="AB3031">
        <v>8</v>
      </c>
      <c r="AC3031">
        <v>3</v>
      </c>
      <c r="AD3031">
        <v>0</v>
      </c>
      <c r="AE3031">
        <v>9</v>
      </c>
      <c r="AF3031" t="s">
        <v>138</v>
      </c>
      <c r="AG3031">
        <v>0</v>
      </c>
      <c r="AH3031">
        <v>3</v>
      </c>
      <c r="AI3031">
        <v>2</v>
      </c>
      <c r="AJ3031">
        <v>0</v>
      </c>
      <c r="AK3031" t="s">
        <v>1020</v>
      </c>
      <c r="AL3031">
        <v>39.117314999999998</v>
      </c>
      <c r="AM3031" t="s">
        <v>1021</v>
      </c>
      <c r="AN3031">
        <v>-121.03206400000001</v>
      </c>
      <c r="AO3031">
        <v>25</v>
      </c>
      <c r="AP3031">
        <v>4400</v>
      </c>
      <c r="AQ3031" t="s">
        <v>131</v>
      </c>
      <c r="AR3031">
        <v>2</v>
      </c>
      <c r="AS3031">
        <v>83</v>
      </c>
      <c r="AT3031">
        <v>0</v>
      </c>
      <c r="BB3031" t="str">
        <f t="shared" si="1194"/>
        <v>1200</v>
      </c>
      <c r="BC3031">
        <v>1</v>
      </c>
      <c r="BD3031" t="str">
        <f t="shared" si="1195"/>
        <v xml:space="preserve">N52156  </v>
      </c>
      <c r="BE3031">
        <v>1</v>
      </c>
      <c r="BG3031">
        <v>0</v>
      </c>
      <c r="BH3031">
        <v>0</v>
      </c>
      <c r="BI3031">
        <v>0</v>
      </c>
      <c r="BJ3031">
        <v>4425</v>
      </c>
      <c r="BK3031">
        <v>25</v>
      </c>
      <c r="BL3031" t="s">
        <v>188</v>
      </c>
      <c r="BM3031">
        <v>1</v>
      </c>
      <c r="BN3031">
        <v>1</v>
      </c>
      <c r="BO3031">
        <v>0</v>
      </c>
      <c r="BP3031">
        <v>0</v>
      </c>
      <c r="BS3031">
        <v>0</v>
      </c>
      <c r="BT3031">
        <v>0</v>
      </c>
      <c r="BU3031">
        <v>0</v>
      </c>
      <c r="CE3031" t="str">
        <f t="shared" si="1201"/>
        <v>15:12:56.227</v>
      </c>
      <c r="CF3031">
        <v>226728440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5</v>
      </c>
      <c r="CY3031">
        <v>7</v>
      </c>
      <c r="CZ3031" t="s">
        <v>133</v>
      </c>
      <c r="DA3031">
        <v>275</v>
      </c>
      <c r="DB3031">
        <v>0</v>
      </c>
      <c r="DC3031" t="s">
        <v>134</v>
      </c>
      <c r="DD3031" t="s">
        <v>135</v>
      </c>
      <c r="DG3031">
        <v>3322287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">
      <c r="A3032" t="str">
        <f>"05/01/2025 15:12:57.984"</f>
        <v>05/01/2025 15:12:57.984</v>
      </c>
      <c r="C3032" t="str">
        <f t="shared" si="1192"/>
        <v>FFDFD3C0</v>
      </c>
      <c r="D3032" t="s">
        <v>145</v>
      </c>
      <c r="E3032" t="str">
        <f>"05"</f>
        <v>05</v>
      </c>
      <c r="H3032">
        <v>47</v>
      </c>
      <c r="I3032" t="s">
        <v>146</v>
      </c>
      <c r="J3032" t="s">
        <v>138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R3032" t="s">
        <v>127</v>
      </c>
      <c r="S3032" t="str">
        <f t="shared" ref="S3032:T3037" si="1202">"15:12:57.000"</f>
        <v>15:12:57.000</v>
      </c>
      <c r="T3032" t="str">
        <f t="shared" si="1202"/>
        <v>15:12:57.000</v>
      </c>
      <c r="U3032" t="str">
        <f t="shared" si="1193"/>
        <v>A68FCB</v>
      </c>
      <c r="V3032">
        <v>0</v>
      </c>
      <c r="W3032">
        <v>0</v>
      </c>
      <c r="X3032">
        <v>2</v>
      </c>
      <c r="Y3032">
        <v>0</v>
      </c>
      <c r="AA3032">
        <v>1</v>
      </c>
      <c r="AB3032">
        <v>8</v>
      </c>
      <c r="AC3032">
        <v>3</v>
      </c>
      <c r="AD3032">
        <v>0</v>
      </c>
      <c r="AE3032">
        <v>9</v>
      </c>
      <c r="AF3032" t="s">
        <v>138</v>
      </c>
      <c r="AG3032">
        <v>0</v>
      </c>
      <c r="AH3032">
        <v>3</v>
      </c>
      <c r="AI3032">
        <v>2</v>
      </c>
      <c r="AJ3032">
        <v>0</v>
      </c>
      <c r="AK3032" t="s">
        <v>1022</v>
      </c>
      <c r="AL3032">
        <v>39.117700999999997</v>
      </c>
      <c r="AM3032" t="s">
        <v>1023</v>
      </c>
      <c r="AN3032">
        <v>-121.032043</v>
      </c>
      <c r="AO3032">
        <v>25</v>
      </c>
      <c r="AP3032">
        <v>4400</v>
      </c>
      <c r="AQ3032" t="s">
        <v>131</v>
      </c>
      <c r="AR3032">
        <v>2</v>
      </c>
      <c r="AS3032">
        <v>83</v>
      </c>
      <c r="AT3032">
        <v>0</v>
      </c>
      <c r="BB3032" t="str">
        <f t="shared" si="1194"/>
        <v>1200</v>
      </c>
      <c r="BC3032">
        <v>1</v>
      </c>
      <c r="BD3032" t="str">
        <f t="shared" si="1195"/>
        <v xml:space="preserve">N52156  </v>
      </c>
      <c r="BE3032">
        <v>1</v>
      </c>
      <c r="BG3032">
        <v>0</v>
      </c>
      <c r="BH3032">
        <v>0</v>
      </c>
      <c r="BI3032">
        <v>0</v>
      </c>
      <c r="BJ3032">
        <v>4425</v>
      </c>
      <c r="BK3032">
        <v>25</v>
      </c>
      <c r="BL3032" t="s">
        <v>188</v>
      </c>
      <c r="BM3032">
        <v>1</v>
      </c>
      <c r="BN3032">
        <v>1</v>
      </c>
      <c r="BO3032">
        <v>0</v>
      </c>
      <c r="BP3032">
        <v>0</v>
      </c>
      <c r="BS3032">
        <v>0</v>
      </c>
      <c r="BT3032">
        <v>0</v>
      </c>
      <c r="BU3032">
        <v>0</v>
      </c>
      <c r="CE3032" t="str">
        <f t="shared" ref="CE3032:CE3037" si="1203">"15:12:57.773"</f>
        <v>15:12:57.773</v>
      </c>
      <c r="CF3032">
        <v>773230192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5</v>
      </c>
      <c r="CY3032">
        <v>7</v>
      </c>
      <c r="CZ3032" t="s">
        <v>133</v>
      </c>
      <c r="DA3032">
        <v>275</v>
      </c>
      <c r="DB3032">
        <v>0</v>
      </c>
      <c r="DC3032" t="s">
        <v>134</v>
      </c>
      <c r="DD3032" t="s">
        <v>135</v>
      </c>
      <c r="DG3032">
        <v>3322295</v>
      </c>
      <c r="DI3032">
        <v>1</v>
      </c>
      <c r="DJ3032">
        <v>0</v>
      </c>
      <c r="DK3032">
        <v>0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">
      <c r="A3033" t="str">
        <f>"05/01/2025 15:12:57.982"</f>
        <v>05/01/2025 15:12:57.982</v>
      </c>
      <c r="C3033" t="str">
        <f t="shared" si="1192"/>
        <v>FFDFD3C0</v>
      </c>
      <c r="D3033" t="s">
        <v>145</v>
      </c>
      <c r="E3033" t="str">
        <f>"09"</f>
        <v>09</v>
      </c>
      <c r="H3033">
        <v>51</v>
      </c>
      <c r="I3033" t="s">
        <v>147</v>
      </c>
      <c r="J3033" t="s">
        <v>138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R3033" t="s">
        <v>127</v>
      </c>
      <c r="S3033" t="str">
        <f t="shared" si="1202"/>
        <v>15:12:57.000</v>
      </c>
      <c r="T3033" t="str">
        <f t="shared" si="1202"/>
        <v>15:12:57.000</v>
      </c>
      <c r="U3033" t="str">
        <f t="shared" si="1193"/>
        <v>A68FCB</v>
      </c>
      <c r="V3033">
        <v>0</v>
      </c>
      <c r="W3033">
        <v>0</v>
      </c>
      <c r="X3033">
        <v>2</v>
      </c>
      <c r="Y3033">
        <v>0</v>
      </c>
      <c r="AA3033">
        <v>1</v>
      </c>
      <c r="AB3033">
        <v>8</v>
      </c>
      <c r="AC3033">
        <v>3</v>
      </c>
      <c r="AD3033">
        <v>0</v>
      </c>
      <c r="AE3033">
        <v>9</v>
      </c>
      <c r="AF3033" t="s">
        <v>138</v>
      </c>
      <c r="AG3033">
        <v>0</v>
      </c>
      <c r="AH3033">
        <v>3</v>
      </c>
      <c r="AI3033">
        <v>2</v>
      </c>
      <c r="AJ3033">
        <v>0</v>
      </c>
      <c r="AK3033" t="s">
        <v>1022</v>
      </c>
      <c r="AL3033">
        <v>39.117700999999997</v>
      </c>
      <c r="AM3033" t="s">
        <v>1023</v>
      </c>
      <c r="AN3033">
        <v>-121.032043</v>
      </c>
      <c r="AO3033">
        <v>25</v>
      </c>
      <c r="AP3033">
        <v>4400</v>
      </c>
      <c r="AQ3033" t="s">
        <v>131</v>
      </c>
      <c r="AR3033">
        <v>2</v>
      </c>
      <c r="AS3033">
        <v>83</v>
      </c>
      <c r="AT3033">
        <v>0</v>
      </c>
      <c r="BB3033" t="str">
        <f t="shared" si="1194"/>
        <v>1200</v>
      </c>
      <c r="BC3033">
        <v>1</v>
      </c>
      <c r="BD3033" t="str">
        <f t="shared" si="1195"/>
        <v xml:space="preserve">N52156  </v>
      </c>
      <c r="BE3033">
        <v>1</v>
      </c>
      <c r="BG3033">
        <v>0</v>
      </c>
      <c r="BH3033">
        <v>0</v>
      </c>
      <c r="BI3033">
        <v>0</v>
      </c>
      <c r="BJ3033">
        <v>4425</v>
      </c>
      <c r="BK3033">
        <v>25</v>
      </c>
      <c r="BL3033" t="s">
        <v>188</v>
      </c>
      <c r="BM3033">
        <v>1</v>
      </c>
      <c r="BN3033">
        <v>1</v>
      </c>
      <c r="BO3033">
        <v>0</v>
      </c>
      <c r="BP3033">
        <v>0</v>
      </c>
      <c r="BS3033">
        <v>0</v>
      </c>
      <c r="BT3033">
        <v>0</v>
      </c>
      <c r="BU3033">
        <v>0</v>
      </c>
      <c r="CE3033" t="str">
        <f t="shared" si="1203"/>
        <v>15:12:57.773</v>
      </c>
      <c r="CF3033">
        <v>773230192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5</v>
      </c>
      <c r="CY3033">
        <v>7</v>
      </c>
      <c r="CZ3033" t="s">
        <v>133</v>
      </c>
      <c r="DA3033">
        <v>275</v>
      </c>
      <c r="DB3033">
        <v>0</v>
      </c>
      <c r="DC3033" t="s">
        <v>134</v>
      </c>
      <c r="DD3033" t="s">
        <v>135</v>
      </c>
      <c r="DG3033">
        <v>3322295</v>
      </c>
      <c r="DI3033">
        <v>1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">
      <c r="A3034" t="str">
        <f>"05/01/2025 15:12:57.994"</f>
        <v>05/01/2025 15:12:57.994</v>
      </c>
      <c r="C3034" t="str">
        <f t="shared" si="1192"/>
        <v>FFDFD3C0</v>
      </c>
      <c r="D3034" t="s">
        <v>136</v>
      </c>
      <c r="E3034" t="str">
        <f>"20"</f>
        <v>20</v>
      </c>
      <c r="H3034">
        <v>400</v>
      </c>
      <c r="I3034" t="s">
        <v>137</v>
      </c>
      <c r="J3034" t="s">
        <v>138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R3034" t="s">
        <v>127</v>
      </c>
      <c r="S3034" t="str">
        <f t="shared" si="1202"/>
        <v>15:12:57.000</v>
      </c>
      <c r="T3034" t="str">
        <f t="shared" si="1202"/>
        <v>15:12:57.000</v>
      </c>
      <c r="U3034" t="str">
        <f t="shared" si="1193"/>
        <v>A68FCB</v>
      </c>
      <c r="V3034">
        <v>0</v>
      </c>
      <c r="W3034">
        <v>0</v>
      </c>
      <c r="X3034">
        <v>2</v>
      </c>
      <c r="Y3034">
        <v>0</v>
      </c>
      <c r="AA3034">
        <v>1</v>
      </c>
      <c r="AB3034">
        <v>8</v>
      </c>
      <c r="AC3034">
        <v>3</v>
      </c>
      <c r="AD3034">
        <v>0</v>
      </c>
      <c r="AE3034">
        <v>9</v>
      </c>
      <c r="AF3034" t="s">
        <v>138</v>
      </c>
      <c r="AG3034">
        <v>0</v>
      </c>
      <c r="AH3034">
        <v>3</v>
      </c>
      <c r="AI3034">
        <v>2</v>
      </c>
      <c r="AJ3034">
        <v>0</v>
      </c>
      <c r="AK3034" t="s">
        <v>1022</v>
      </c>
      <c r="AL3034">
        <v>39.117700999999997</v>
      </c>
      <c r="AM3034" t="s">
        <v>1023</v>
      </c>
      <c r="AN3034">
        <v>-121.032043</v>
      </c>
      <c r="AO3034">
        <v>25</v>
      </c>
      <c r="AP3034">
        <v>4400</v>
      </c>
      <c r="AQ3034" t="s">
        <v>131</v>
      </c>
      <c r="AR3034">
        <v>2</v>
      </c>
      <c r="AS3034">
        <v>83</v>
      </c>
      <c r="AT3034">
        <v>0</v>
      </c>
      <c r="BB3034" t="str">
        <f t="shared" si="1194"/>
        <v>1200</v>
      </c>
      <c r="BC3034">
        <v>1</v>
      </c>
      <c r="BD3034" t="str">
        <f t="shared" si="1195"/>
        <v xml:space="preserve">N52156  </v>
      </c>
      <c r="BE3034">
        <v>1</v>
      </c>
      <c r="BG3034">
        <v>0</v>
      </c>
      <c r="BH3034">
        <v>0</v>
      </c>
      <c r="BI3034">
        <v>0</v>
      </c>
      <c r="BJ3034">
        <v>4425</v>
      </c>
      <c r="BK3034">
        <v>25</v>
      </c>
      <c r="BL3034" t="s">
        <v>188</v>
      </c>
      <c r="BM3034">
        <v>1</v>
      </c>
      <c r="BN3034">
        <v>1</v>
      </c>
      <c r="BO3034">
        <v>0</v>
      </c>
      <c r="BP3034">
        <v>0</v>
      </c>
      <c r="BS3034">
        <v>0</v>
      </c>
      <c r="BT3034">
        <v>0</v>
      </c>
      <c r="BU3034">
        <v>0</v>
      </c>
      <c r="CE3034" t="str">
        <f t="shared" si="1203"/>
        <v>15:12:57.773</v>
      </c>
      <c r="CF3034">
        <v>773230192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5</v>
      </c>
      <c r="CY3034">
        <v>7</v>
      </c>
      <c r="CZ3034" t="s">
        <v>133</v>
      </c>
      <c r="DA3034">
        <v>275</v>
      </c>
      <c r="DB3034">
        <v>0</v>
      </c>
      <c r="DC3034" t="s">
        <v>134</v>
      </c>
      <c r="DD3034" t="s">
        <v>135</v>
      </c>
      <c r="DG3034">
        <v>3322295</v>
      </c>
      <c r="DI3034">
        <v>1</v>
      </c>
      <c r="DJ3034">
        <v>0</v>
      </c>
      <c r="DK3034">
        <v>1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">
      <c r="A3035" t="str">
        <f>"05/01/2025 15:12:58.001"</f>
        <v>05/01/2025 15:12:58.001</v>
      </c>
      <c r="C3035" t="str">
        <f t="shared" si="1192"/>
        <v>FFDFD3C0</v>
      </c>
      <c r="D3035" t="s">
        <v>143</v>
      </c>
      <c r="E3035" t="str">
        <f>"05"</f>
        <v>05</v>
      </c>
      <c r="H3035">
        <v>172</v>
      </c>
      <c r="I3035" t="s">
        <v>141</v>
      </c>
      <c r="J3035" t="s">
        <v>144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R3035" t="s">
        <v>127</v>
      </c>
      <c r="S3035" t="str">
        <f t="shared" si="1202"/>
        <v>15:12:57.000</v>
      </c>
      <c r="T3035" t="str">
        <f t="shared" si="1202"/>
        <v>15:12:57.000</v>
      </c>
      <c r="U3035" t="str">
        <f t="shared" si="1193"/>
        <v>A68FCB</v>
      </c>
      <c r="V3035">
        <v>0</v>
      </c>
      <c r="W3035">
        <v>0</v>
      </c>
      <c r="X3035">
        <v>2</v>
      </c>
      <c r="Y3035">
        <v>0</v>
      </c>
      <c r="AA3035">
        <v>1</v>
      </c>
      <c r="AB3035">
        <v>8</v>
      </c>
      <c r="AC3035">
        <v>3</v>
      </c>
      <c r="AD3035">
        <v>0</v>
      </c>
      <c r="AE3035">
        <v>9</v>
      </c>
      <c r="AF3035" t="s">
        <v>138</v>
      </c>
      <c r="AG3035">
        <v>0</v>
      </c>
      <c r="AH3035">
        <v>3</v>
      </c>
      <c r="AI3035">
        <v>2</v>
      </c>
      <c r="AJ3035">
        <v>0</v>
      </c>
      <c r="AK3035" t="s">
        <v>1022</v>
      </c>
      <c r="AL3035">
        <v>39.117700999999997</v>
      </c>
      <c r="AM3035" t="s">
        <v>1023</v>
      </c>
      <c r="AN3035">
        <v>-121.032043</v>
      </c>
      <c r="AO3035">
        <v>25</v>
      </c>
      <c r="AP3035">
        <v>4400</v>
      </c>
      <c r="AQ3035" t="s">
        <v>131</v>
      </c>
      <c r="AR3035">
        <v>2</v>
      </c>
      <c r="AS3035">
        <v>83</v>
      </c>
      <c r="AT3035">
        <v>0</v>
      </c>
      <c r="BB3035" t="str">
        <f t="shared" si="1194"/>
        <v>1200</v>
      </c>
      <c r="BC3035">
        <v>1</v>
      </c>
      <c r="BD3035" t="str">
        <f t="shared" si="1195"/>
        <v xml:space="preserve">N52156  </v>
      </c>
      <c r="BE3035">
        <v>1</v>
      </c>
      <c r="BG3035">
        <v>0</v>
      </c>
      <c r="BH3035">
        <v>0</v>
      </c>
      <c r="BI3035">
        <v>0</v>
      </c>
      <c r="BJ3035">
        <v>4425</v>
      </c>
      <c r="BK3035">
        <v>25</v>
      </c>
      <c r="BL3035" t="s">
        <v>188</v>
      </c>
      <c r="BM3035">
        <v>1</v>
      </c>
      <c r="BN3035">
        <v>1</v>
      </c>
      <c r="BO3035">
        <v>0</v>
      </c>
      <c r="BP3035">
        <v>0</v>
      </c>
      <c r="BS3035">
        <v>0</v>
      </c>
      <c r="BT3035">
        <v>0</v>
      </c>
      <c r="BU3035">
        <v>0</v>
      </c>
      <c r="CE3035" t="str">
        <f t="shared" si="1203"/>
        <v>15:12:57.773</v>
      </c>
      <c r="CF3035">
        <v>773230192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5</v>
      </c>
      <c r="CY3035">
        <v>7</v>
      </c>
      <c r="CZ3035" t="s">
        <v>133</v>
      </c>
      <c r="DA3035">
        <v>275</v>
      </c>
      <c r="DB3035">
        <v>0</v>
      </c>
      <c r="DC3035" t="s">
        <v>134</v>
      </c>
      <c r="DD3035" t="s">
        <v>135</v>
      </c>
      <c r="DG3035">
        <v>3322295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">
      <c r="A3036" t="str">
        <f>"05/01/2025 15:12:58.017"</f>
        <v>05/01/2025 15:12:58.017</v>
      </c>
      <c r="C3036" t="str">
        <f t="shared" si="1192"/>
        <v>FFDFD3C0</v>
      </c>
      <c r="D3036" t="s">
        <v>124</v>
      </c>
      <c r="E3036" t="str">
        <f>"06"</f>
        <v>06</v>
      </c>
      <c r="F3036">
        <v>2006</v>
      </c>
      <c r="G3036" t="s">
        <v>125</v>
      </c>
      <c r="J3036" t="s">
        <v>126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R3036" t="s">
        <v>127</v>
      </c>
      <c r="S3036" t="str">
        <f t="shared" si="1202"/>
        <v>15:12:57.000</v>
      </c>
      <c r="T3036" t="str">
        <f t="shared" si="1202"/>
        <v>15:12:57.000</v>
      </c>
      <c r="U3036" t="str">
        <f t="shared" si="1193"/>
        <v>A68FCB</v>
      </c>
      <c r="V3036">
        <v>0</v>
      </c>
      <c r="W3036">
        <v>0</v>
      </c>
      <c r="X3036">
        <v>2</v>
      </c>
      <c r="Y3036">
        <v>0</v>
      </c>
      <c r="AA3036">
        <v>1</v>
      </c>
      <c r="AB3036">
        <v>8</v>
      </c>
      <c r="AC3036">
        <v>3</v>
      </c>
      <c r="AD3036">
        <v>0</v>
      </c>
      <c r="AE3036">
        <v>9</v>
      </c>
      <c r="AF3036" t="s">
        <v>138</v>
      </c>
      <c r="AG3036">
        <v>0</v>
      </c>
      <c r="AH3036">
        <v>3</v>
      </c>
      <c r="AI3036">
        <v>2</v>
      </c>
      <c r="AJ3036">
        <v>0</v>
      </c>
      <c r="AK3036" t="s">
        <v>1022</v>
      </c>
      <c r="AL3036">
        <v>39.117700999999997</v>
      </c>
      <c r="AM3036" t="s">
        <v>1023</v>
      </c>
      <c r="AN3036">
        <v>-121.032043</v>
      </c>
      <c r="AO3036">
        <v>25</v>
      </c>
      <c r="AP3036">
        <v>4400</v>
      </c>
      <c r="AQ3036" t="s">
        <v>131</v>
      </c>
      <c r="AR3036">
        <v>2</v>
      </c>
      <c r="AS3036">
        <v>83</v>
      </c>
      <c r="AT3036">
        <v>0</v>
      </c>
      <c r="BB3036" t="str">
        <f t="shared" si="1194"/>
        <v>1200</v>
      </c>
      <c r="BC3036">
        <v>1</v>
      </c>
      <c r="BD3036" t="str">
        <f t="shared" si="1195"/>
        <v xml:space="preserve">N52156  </v>
      </c>
      <c r="BE3036">
        <v>1</v>
      </c>
      <c r="BG3036">
        <v>0</v>
      </c>
      <c r="BH3036">
        <v>0</v>
      </c>
      <c r="BI3036">
        <v>0</v>
      </c>
      <c r="BJ3036">
        <v>4425</v>
      </c>
      <c r="BK3036">
        <v>25</v>
      </c>
      <c r="BL3036" t="s">
        <v>188</v>
      </c>
      <c r="BM3036">
        <v>1</v>
      </c>
      <c r="BN3036">
        <v>1</v>
      </c>
      <c r="BO3036">
        <v>0</v>
      </c>
      <c r="BP3036">
        <v>0</v>
      </c>
      <c r="BS3036">
        <v>0</v>
      </c>
      <c r="BT3036">
        <v>0</v>
      </c>
      <c r="BU3036">
        <v>0</v>
      </c>
      <c r="CE3036" t="str">
        <f t="shared" si="1203"/>
        <v>15:12:57.773</v>
      </c>
      <c r="CF3036">
        <v>773230192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5</v>
      </c>
      <c r="CY3036">
        <v>7</v>
      </c>
      <c r="CZ3036" t="s">
        <v>133</v>
      </c>
      <c r="DA3036">
        <v>275</v>
      </c>
      <c r="DB3036">
        <v>0</v>
      </c>
      <c r="DC3036" t="s">
        <v>134</v>
      </c>
      <c r="DD3036" t="s">
        <v>135</v>
      </c>
      <c r="DG3036">
        <v>3322295</v>
      </c>
      <c r="DI3036">
        <v>1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">
      <c r="A3037" t="str">
        <f>"05/01/2025 15:12:58.018"</f>
        <v>05/01/2025 15:12:58.018</v>
      </c>
      <c r="C3037" t="str">
        <f t="shared" si="1192"/>
        <v>FFDFD3C0</v>
      </c>
      <c r="D3037" t="s">
        <v>140</v>
      </c>
      <c r="E3037" t="str">
        <f>"13"</f>
        <v>13</v>
      </c>
      <c r="F3037">
        <v>1019</v>
      </c>
      <c r="G3037" t="s">
        <v>141</v>
      </c>
      <c r="J3037" t="s">
        <v>142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R3037" t="s">
        <v>127</v>
      </c>
      <c r="S3037" t="str">
        <f t="shared" si="1202"/>
        <v>15:12:57.000</v>
      </c>
      <c r="T3037" t="str">
        <f t="shared" si="1202"/>
        <v>15:12:57.000</v>
      </c>
      <c r="U3037" t="str">
        <f t="shared" si="1193"/>
        <v>A68FCB</v>
      </c>
      <c r="V3037">
        <v>0</v>
      </c>
      <c r="W3037">
        <v>0</v>
      </c>
      <c r="X3037">
        <v>2</v>
      </c>
      <c r="Y3037">
        <v>0</v>
      </c>
      <c r="AA3037">
        <v>1</v>
      </c>
      <c r="AB3037">
        <v>8</v>
      </c>
      <c r="AC3037">
        <v>3</v>
      </c>
      <c r="AD3037">
        <v>0</v>
      </c>
      <c r="AE3037">
        <v>9</v>
      </c>
      <c r="AF3037" t="s">
        <v>138</v>
      </c>
      <c r="AG3037">
        <v>0</v>
      </c>
      <c r="AH3037">
        <v>3</v>
      </c>
      <c r="AI3037">
        <v>2</v>
      </c>
      <c r="AJ3037">
        <v>0</v>
      </c>
      <c r="AK3037" t="s">
        <v>1022</v>
      </c>
      <c r="AL3037">
        <v>39.117700999999997</v>
      </c>
      <c r="AM3037" t="s">
        <v>1023</v>
      </c>
      <c r="AN3037">
        <v>-121.032043</v>
      </c>
      <c r="AO3037">
        <v>25</v>
      </c>
      <c r="AP3037">
        <v>4400</v>
      </c>
      <c r="AQ3037" t="s">
        <v>131</v>
      </c>
      <c r="AR3037">
        <v>2</v>
      </c>
      <c r="AS3037">
        <v>83</v>
      </c>
      <c r="AT3037">
        <v>0</v>
      </c>
      <c r="BB3037" t="str">
        <f t="shared" si="1194"/>
        <v>1200</v>
      </c>
      <c r="BC3037">
        <v>1</v>
      </c>
      <c r="BD3037" t="str">
        <f t="shared" si="1195"/>
        <v xml:space="preserve">N52156  </v>
      </c>
      <c r="BE3037">
        <v>1</v>
      </c>
      <c r="BG3037">
        <v>0</v>
      </c>
      <c r="BH3037">
        <v>0</v>
      </c>
      <c r="BI3037">
        <v>0</v>
      </c>
      <c r="BJ3037">
        <v>4425</v>
      </c>
      <c r="BK3037">
        <v>25</v>
      </c>
      <c r="BL3037" t="s">
        <v>188</v>
      </c>
      <c r="BM3037">
        <v>1</v>
      </c>
      <c r="BN3037">
        <v>1</v>
      </c>
      <c r="BO3037">
        <v>0</v>
      </c>
      <c r="BP3037">
        <v>0</v>
      </c>
      <c r="BS3037">
        <v>0</v>
      </c>
      <c r="BT3037">
        <v>0</v>
      </c>
      <c r="BU3037">
        <v>0</v>
      </c>
      <c r="CE3037" t="str">
        <f t="shared" si="1203"/>
        <v>15:12:57.773</v>
      </c>
      <c r="CF3037">
        <v>773230192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5</v>
      </c>
      <c r="CY3037">
        <v>7</v>
      </c>
      <c r="CZ3037" t="s">
        <v>133</v>
      </c>
      <c r="DA3037">
        <v>275</v>
      </c>
      <c r="DB3037">
        <v>0</v>
      </c>
      <c r="DC3037" t="s">
        <v>134</v>
      </c>
      <c r="DD3037" t="s">
        <v>135</v>
      </c>
      <c r="DG3037">
        <v>3322295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">
      <c r="A3038" t="str">
        <f>"05/01/2025 15:12:59.084"</f>
        <v>05/01/2025 15:12:59.084</v>
      </c>
      <c r="C3038" t="str">
        <f t="shared" si="1192"/>
        <v>FFDFD3C0</v>
      </c>
      <c r="D3038" t="s">
        <v>145</v>
      </c>
      <c r="E3038" t="str">
        <f>"09"</f>
        <v>09</v>
      </c>
      <c r="H3038">
        <v>51</v>
      </c>
      <c r="I3038" t="s">
        <v>147</v>
      </c>
      <c r="J3038" t="s">
        <v>138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R3038" t="s">
        <v>127</v>
      </c>
      <c r="S3038" t="str">
        <f t="shared" ref="S3038:T3043" si="1204">"15:12:58.000"</f>
        <v>15:12:58.000</v>
      </c>
      <c r="T3038" t="str">
        <f t="shared" si="1204"/>
        <v>15:12:58.000</v>
      </c>
      <c r="U3038" t="str">
        <f t="shared" si="1193"/>
        <v>A68FCB</v>
      </c>
      <c r="V3038">
        <v>0</v>
      </c>
      <c r="W3038">
        <v>0</v>
      </c>
      <c r="X3038">
        <v>2</v>
      </c>
      <c r="Y3038">
        <v>0</v>
      </c>
      <c r="AA3038">
        <v>1</v>
      </c>
      <c r="AB3038">
        <v>8</v>
      </c>
      <c r="AC3038">
        <v>3</v>
      </c>
      <c r="AD3038">
        <v>0</v>
      </c>
      <c r="AE3038">
        <v>9</v>
      </c>
      <c r="AF3038" t="s">
        <v>138</v>
      </c>
      <c r="AG3038">
        <v>0</v>
      </c>
      <c r="AH3038">
        <v>3</v>
      </c>
      <c r="AI3038">
        <v>2</v>
      </c>
      <c r="AJ3038">
        <v>0</v>
      </c>
      <c r="AK3038" t="s">
        <v>1024</v>
      </c>
      <c r="AL3038">
        <v>39.118087000000003</v>
      </c>
      <c r="AM3038" t="s">
        <v>1025</v>
      </c>
      <c r="AN3038">
        <v>-121.032021</v>
      </c>
      <c r="AO3038">
        <v>25</v>
      </c>
      <c r="AP3038">
        <v>4400</v>
      </c>
      <c r="AQ3038" t="s">
        <v>131</v>
      </c>
      <c r="AR3038">
        <v>1</v>
      </c>
      <c r="AS3038">
        <v>83</v>
      </c>
      <c r="AT3038">
        <v>0</v>
      </c>
      <c r="BB3038" t="str">
        <f t="shared" si="1194"/>
        <v>1200</v>
      </c>
      <c r="BC3038">
        <v>1</v>
      </c>
      <c r="BD3038" t="str">
        <f t="shared" si="1195"/>
        <v xml:space="preserve">N52156  </v>
      </c>
      <c r="BE3038">
        <v>1</v>
      </c>
      <c r="BG3038">
        <v>0</v>
      </c>
      <c r="BH3038">
        <v>0</v>
      </c>
      <c r="BI3038">
        <v>0</v>
      </c>
      <c r="BJ3038">
        <v>4425</v>
      </c>
      <c r="BK3038">
        <v>25</v>
      </c>
      <c r="BL3038" t="s">
        <v>188</v>
      </c>
      <c r="BM3038">
        <v>1</v>
      </c>
      <c r="BN3038">
        <v>1</v>
      </c>
      <c r="BO3038">
        <v>0</v>
      </c>
      <c r="BP3038">
        <v>0</v>
      </c>
      <c r="BS3038">
        <v>0</v>
      </c>
      <c r="BT3038">
        <v>0</v>
      </c>
      <c r="BU3038">
        <v>0</v>
      </c>
      <c r="CE3038" t="str">
        <f t="shared" ref="CE3038:CE3043" si="1205">"15:12:58.852"</f>
        <v>15:12:58.852</v>
      </c>
      <c r="CF3038">
        <v>851980438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5</v>
      </c>
      <c r="CY3038">
        <v>7</v>
      </c>
      <c r="CZ3038" t="s">
        <v>133</v>
      </c>
      <c r="DA3038">
        <v>275</v>
      </c>
      <c r="DB3038">
        <v>0</v>
      </c>
      <c r="DC3038" t="s">
        <v>134</v>
      </c>
      <c r="DD3038" t="s">
        <v>135</v>
      </c>
      <c r="DG3038">
        <v>3322300</v>
      </c>
      <c r="DI3038">
        <v>1</v>
      </c>
      <c r="DJ3038">
        <v>0</v>
      </c>
      <c r="DK3038">
        <v>0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">
      <c r="A3039" t="str">
        <f>"05/01/2025 15:12:59.085"</f>
        <v>05/01/2025 15:12:59.085</v>
      </c>
      <c r="C3039" t="str">
        <f t="shared" si="1192"/>
        <v>FFDFD3C0</v>
      </c>
      <c r="D3039" t="s">
        <v>145</v>
      </c>
      <c r="E3039" t="str">
        <f>"05"</f>
        <v>05</v>
      </c>
      <c r="H3039">
        <v>47</v>
      </c>
      <c r="I3039" t="s">
        <v>146</v>
      </c>
      <c r="J3039" t="s">
        <v>138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R3039" t="s">
        <v>127</v>
      </c>
      <c r="S3039" t="str">
        <f t="shared" si="1204"/>
        <v>15:12:58.000</v>
      </c>
      <c r="T3039" t="str">
        <f t="shared" si="1204"/>
        <v>15:12:58.000</v>
      </c>
      <c r="U3039" t="str">
        <f t="shared" si="1193"/>
        <v>A68FCB</v>
      </c>
      <c r="V3039">
        <v>0</v>
      </c>
      <c r="W3039">
        <v>0</v>
      </c>
      <c r="X3039">
        <v>2</v>
      </c>
      <c r="Y3039">
        <v>0</v>
      </c>
      <c r="AA3039">
        <v>1</v>
      </c>
      <c r="AB3039">
        <v>8</v>
      </c>
      <c r="AC3039">
        <v>3</v>
      </c>
      <c r="AD3039">
        <v>0</v>
      </c>
      <c r="AE3039">
        <v>9</v>
      </c>
      <c r="AF3039" t="s">
        <v>138</v>
      </c>
      <c r="AG3039">
        <v>0</v>
      </c>
      <c r="AH3039">
        <v>3</v>
      </c>
      <c r="AI3039">
        <v>2</v>
      </c>
      <c r="AJ3039">
        <v>0</v>
      </c>
      <c r="AK3039" t="s">
        <v>1024</v>
      </c>
      <c r="AL3039">
        <v>39.118087000000003</v>
      </c>
      <c r="AM3039" t="s">
        <v>1025</v>
      </c>
      <c r="AN3039">
        <v>-121.032021</v>
      </c>
      <c r="AO3039">
        <v>25</v>
      </c>
      <c r="AP3039">
        <v>4400</v>
      </c>
      <c r="AQ3039" t="s">
        <v>131</v>
      </c>
      <c r="AR3039">
        <v>1</v>
      </c>
      <c r="AS3039">
        <v>83</v>
      </c>
      <c r="AT3039">
        <v>0</v>
      </c>
      <c r="BB3039" t="str">
        <f t="shared" si="1194"/>
        <v>1200</v>
      </c>
      <c r="BC3039">
        <v>1</v>
      </c>
      <c r="BD3039" t="str">
        <f t="shared" si="1195"/>
        <v xml:space="preserve">N52156  </v>
      </c>
      <c r="BE3039">
        <v>1</v>
      </c>
      <c r="BG3039">
        <v>0</v>
      </c>
      <c r="BH3039">
        <v>0</v>
      </c>
      <c r="BI3039">
        <v>0</v>
      </c>
      <c r="BJ3039">
        <v>4425</v>
      </c>
      <c r="BK3039">
        <v>25</v>
      </c>
      <c r="BL3039" t="s">
        <v>188</v>
      </c>
      <c r="BM3039">
        <v>1</v>
      </c>
      <c r="BN3039">
        <v>1</v>
      </c>
      <c r="BO3039">
        <v>0</v>
      </c>
      <c r="BP3039">
        <v>0</v>
      </c>
      <c r="BS3039">
        <v>0</v>
      </c>
      <c r="BT3039">
        <v>0</v>
      </c>
      <c r="BU3039">
        <v>0</v>
      </c>
      <c r="CE3039" t="str">
        <f t="shared" si="1205"/>
        <v>15:12:58.852</v>
      </c>
      <c r="CF3039">
        <v>851980438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5</v>
      </c>
      <c r="CY3039">
        <v>7</v>
      </c>
      <c r="CZ3039" t="s">
        <v>133</v>
      </c>
      <c r="DA3039">
        <v>275</v>
      </c>
      <c r="DB3039">
        <v>0</v>
      </c>
      <c r="DC3039" t="s">
        <v>134</v>
      </c>
      <c r="DD3039" t="s">
        <v>135</v>
      </c>
      <c r="DG3039">
        <v>3322300</v>
      </c>
      <c r="DI3039">
        <v>1</v>
      </c>
      <c r="DJ3039">
        <v>0</v>
      </c>
      <c r="DK3039">
        <v>1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">
      <c r="A3040" t="str">
        <f>"05/01/2025 15:12:59.095"</f>
        <v>05/01/2025 15:12:59.095</v>
      </c>
      <c r="C3040" t="str">
        <f t="shared" si="1192"/>
        <v>FFDFD3C0</v>
      </c>
      <c r="D3040" t="s">
        <v>136</v>
      </c>
      <c r="E3040" t="str">
        <f>"20"</f>
        <v>20</v>
      </c>
      <c r="H3040">
        <v>400</v>
      </c>
      <c r="I3040" t="s">
        <v>137</v>
      </c>
      <c r="J3040" t="s">
        <v>138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R3040" t="s">
        <v>127</v>
      </c>
      <c r="S3040" t="str">
        <f t="shared" si="1204"/>
        <v>15:12:58.000</v>
      </c>
      <c r="T3040" t="str">
        <f t="shared" si="1204"/>
        <v>15:12:58.000</v>
      </c>
      <c r="U3040" t="str">
        <f t="shared" si="1193"/>
        <v>A68FCB</v>
      </c>
      <c r="V3040">
        <v>0</v>
      </c>
      <c r="W3040">
        <v>0</v>
      </c>
      <c r="X3040">
        <v>2</v>
      </c>
      <c r="Y3040">
        <v>0</v>
      </c>
      <c r="AA3040">
        <v>1</v>
      </c>
      <c r="AB3040">
        <v>8</v>
      </c>
      <c r="AC3040">
        <v>3</v>
      </c>
      <c r="AD3040">
        <v>0</v>
      </c>
      <c r="AE3040">
        <v>9</v>
      </c>
      <c r="AF3040" t="s">
        <v>138</v>
      </c>
      <c r="AG3040">
        <v>0</v>
      </c>
      <c r="AH3040">
        <v>3</v>
      </c>
      <c r="AI3040">
        <v>2</v>
      </c>
      <c r="AJ3040">
        <v>0</v>
      </c>
      <c r="AK3040" t="s">
        <v>1024</v>
      </c>
      <c r="AL3040">
        <v>39.118087000000003</v>
      </c>
      <c r="AM3040" t="s">
        <v>1025</v>
      </c>
      <c r="AN3040">
        <v>-121.032021</v>
      </c>
      <c r="AO3040">
        <v>25</v>
      </c>
      <c r="AP3040">
        <v>4400</v>
      </c>
      <c r="AQ3040" t="s">
        <v>131</v>
      </c>
      <c r="AR3040">
        <v>1</v>
      </c>
      <c r="AS3040">
        <v>83</v>
      </c>
      <c r="AT3040">
        <v>0</v>
      </c>
      <c r="BB3040" t="str">
        <f t="shared" si="1194"/>
        <v>1200</v>
      </c>
      <c r="BC3040">
        <v>1</v>
      </c>
      <c r="BD3040" t="str">
        <f t="shared" si="1195"/>
        <v xml:space="preserve">N52156  </v>
      </c>
      <c r="BE3040">
        <v>1</v>
      </c>
      <c r="BG3040">
        <v>0</v>
      </c>
      <c r="BH3040">
        <v>0</v>
      </c>
      <c r="BI3040">
        <v>0</v>
      </c>
      <c r="BJ3040">
        <v>4425</v>
      </c>
      <c r="BK3040">
        <v>25</v>
      </c>
      <c r="BL3040" t="s">
        <v>188</v>
      </c>
      <c r="BM3040">
        <v>1</v>
      </c>
      <c r="BN3040">
        <v>1</v>
      </c>
      <c r="BO3040">
        <v>0</v>
      </c>
      <c r="BP3040">
        <v>0</v>
      </c>
      <c r="BS3040">
        <v>0</v>
      </c>
      <c r="BT3040">
        <v>0</v>
      </c>
      <c r="BU3040">
        <v>0</v>
      </c>
      <c r="CE3040" t="str">
        <f t="shared" si="1205"/>
        <v>15:12:58.852</v>
      </c>
      <c r="CF3040">
        <v>851980438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5</v>
      </c>
      <c r="CY3040">
        <v>7</v>
      </c>
      <c r="CZ3040" t="s">
        <v>133</v>
      </c>
      <c r="DA3040">
        <v>275</v>
      </c>
      <c r="DB3040">
        <v>0</v>
      </c>
      <c r="DC3040" t="s">
        <v>134</v>
      </c>
      <c r="DD3040" t="s">
        <v>135</v>
      </c>
      <c r="DG3040">
        <v>3322300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">
      <c r="A3041" t="str">
        <f>"05/01/2025 15:12:59.104"</f>
        <v>05/01/2025 15:12:59.104</v>
      </c>
      <c r="C3041" t="str">
        <f t="shared" si="1192"/>
        <v>FFDFD3C0</v>
      </c>
      <c r="D3041" t="s">
        <v>143</v>
      </c>
      <c r="E3041" t="str">
        <f>"05"</f>
        <v>05</v>
      </c>
      <c r="H3041">
        <v>172</v>
      </c>
      <c r="I3041" t="s">
        <v>141</v>
      </c>
      <c r="J3041" t="s">
        <v>144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R3041" t="s">
        <v>127</v>
      </c>
      <c r="S3041" t="str">
        <f t="shared" si="1204"/>
        <v>15:12:58.000</v>
      </c>
      <c r="T3041" t="str">
        <f t="shared" si="1204"/>
        <v>15:12:58.000</v>
      </c>
      <c r="U3041" t="str">
        <f t="shared" si="1193"/>
        <v>A68FCB</v>
      </c>
      <c r="V3041">
        <v>0</v>
      </c>
      <c r="W3041">
        <v>0</v>
      </c>
      <c r="X3041">
        <v>2</v>
      </c>
      <c r="Y3041">
        <v>0</v>
      </c>
      <c r="AA3041">
        <v>1</v>
      </c>
      <c r="AB3041">
        <v>8</v>
      </c>
      <c r="AC3041">
        <v>3</v>
      </c>
      <c r="AD3041">
        <v>0</v>
      </c>
      <c r="AE3041">
        <v>9</v>
      </c>
      <c r="AF3041" t="s">
        <v>138</v>
      </c>
      <c r="AG3041">
        <v>0</v>
      </c>
      <c r="AH3041">
        <v>3</v>
      </c>
      <c r="AI3041">
        <v>2</v>
      </c>
      <c r="AJ3041">
        <v>0</v>
      </c>
      <c r="AK3041" t="s">
        <v>1024</v>
      </c>
      <c r="AL3041">
        <v>39.118087000000003</v>
      </c>
      <c r="AM3041" t="s">
        <v>1025</v>
      </c>
      <c r="AN3041">
        <v>-121.032021</v>
      </c>
      <c r="AO3041">
        <v>25</v>
      </c>
      <c r="AP3041">
        <v>4400</v>
      </c>
      <c r="AQ3041" t="s">
        <v>131</v>
      </c>
      <c r="AR3041">
        <v>1</v>
      </c>
      <c r="AS3041">
        <v>83</v>
      </c>
      <c r="AT3041">
        <v>0</v>
      </c>
      <c r="BB3041" t="str">
        <f t="shared" si="1194"/>
        <v>1200</v>
      </c>
      <c r="BC3041">
        <v>1</v>
      </c>
      <c r="BD3041" t="str">
        <f t="shared" si="1195"/>
        <v xml:space="preserve">N52156  </v>
      </c>
      <c r="BE3041">
        <v>1</v>
      </c>
      <c r="BG3041">
        <v>0</v>
      </c>
      <c r="BH3041">
        <v>0</v>
      </c>
      <c r="BI3041">
        <v>0</v>
      </c>
      <c r="BJ3041">
        <v>4425</v>
      </c>
      <c r="BK3041">
        <v>25</v>
      </c>
      <c r="BL3041" t="s">
        <v>188</v>
      </c>
      <c r="BM3041">
        <v>1</v>
      </c>
      <c r="BN3041">
        <v>1</v>
      </c>
      <c r="BO3041">
        <v>0</v>
      </c>
      <c r="BP3041">
        <v>0</v>
      </c>
      <c r="BS3041">
        <v>0</v>
      </c>
      <c r="BT3041">
        <v>0</v>
      </c>
      <c r="BU3041">
        <v>0</v>
      </c>
      <c r="CE3041" t="str">
        <f t="shared" si="1205"/>
        <v>15:12:58.852</v>
      </c>
      <c r="CF3041">
        <v>851980438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5</v>
      </c>
      <c r="CY3041">
        <v>7</v>
      </c>
      <c r="CZ3041" t="s">
        <v>133</v>
      </c>
      <c r="DA3041">
        <v>275</v>
      </c>
      <c r="DB3041">
        <v>0</v>
      </c>
      <c r="DC3041" t="s">
        <v>134</v>
      </c>
      <c r="DD3041" t="s">
        <v>135</v>
      </c>
      <c r="DG3041">
        <v>3322300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">
      <c r="A3042" t="str">
        <f>"05/01/2025 15:12:59.119"</f>
        <v>05/01/2025 15:12:59.119</v>
      </c>
      <c r="C3042" t="str">
        <f t="shared" si="1192"/>
        <v>FFDFD3C0</v>
      </c>
      <c r="D3042" t="s">
        <v>124</v>
      </c>
      <c r="E3042" t="str">
        <f>"06"</f>
        <v>06</v>
      </c>
      <c r="F3042">
        <v>2006</v>
      </c>
      <c r="G3042" t="s">
        <v>125</v>
      </c>
      <c r="J3042" t="s">
        <v>126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R3042" t="s">
        <v>127</v>
      </c>
      <c r="S3042" t="str">
        <f t="shared" si="1204"/>
        <v>15:12:58.000</v>
      </c>
      <c r="T3042" t="str">
        <f t="shared" si="1204"/>
        <v>15:12:58.000</v>
      </c>
      <c r="U3042" t="str">
        <f t="shared" si="1193"/>
        <v>A68FCB</v>
      </c>
      <c r="V3042">
        <v>0</v>
      </c>
      <c r="W3042">
        <v>0</v>
      </c>
      <c r="X3042">
        <v>2</v>
      </c>
      <c r="Y3042">
        <v>0</v>
      </c>
      <c r="AA3042">
        <v>1</v>
      </c>
      <c r="AB3042">
        <v>8</v>
      </c>
      <c r="AC3042">
        <v>3</v>
      </c>
      <c r="AD3042">
        <v>0</v>
      </c>
      <c r="AE3042">
        <v>9</v>
      </c>
      <c r="AF3042" t="s">
        <v>138</v>
      </c>
      <c r="AG3042">
        <v>0</v>
      </c>
      <c r="AH3042">
        <v>3</v>
      </c>
      <c r="AI3042">
        <v>2</v>
      </c>
      <c r="AJ3042">
        <v>0</v>
      </c>
      <c r="AK3042" t="s">
        <v>1024</v>
      </c>
      <c r="AL3042">
        <v>39.118087000000003</v>
      </c>
      <c r="AM3042" t="s">
        <v>1025</v>
      </c>
      <c r="AN3042">
        <v>-121.032021</v>
      </c>
      <c r="AO3042">
        <v>25</v>
      </c>
      <c r="AP3042">
        <v>4400</v>
      </c>
      <c r="AQ3042" t="s">
        <v>131</v>
      </c>
      <c r="AR3042">
        <v>1</v>
      </c>
      <c r="AS3042">
        <v>83</v>
      </c>
      <c r="AT3042">
        <v>0</v>
      </c>
      <c r="BB3042" t="str">
        <f t="shared" si="1194"/>
        <v>1200</v>
      </c>
      <c r="BC3042">
        <v>1</v>
      </c>
      <c r="BD3042" t="str">
        <f t="shared" si="1195"/>
        <v xml:space="preserve">N52156  </v>
      </c>
      <c r="BE3042">
        <v>1</v>
      </c>
      <c r="BG3042">
        <v>0</v>
      </c>
      <c r="BH3042">
        <v>0</v>
      </c>
      <c r="BI3042">
        <v>0</v>
      </c>
      <c r="BJ3042">
        <v>4425</v>
      </c>
      <c r="BK3042">
        <v>25</v>
      </c>
      <c r="BL3042" t="s">
        <v>188</v>
      </c>
      <c r="BM3042">
        <v>1</v>
      </c>
      <c r="BN3042">
        <v>1</v>
      </c>
      <c r="BO3042">
        <v>0</v>
      </c>
      <c r="BP3042">
        <v>0</v>
      </c>
      <c r="BS3042">
        <v>0</v>
      </c>
      <c r="BT3042">
        <v>0</v>
      </c>
      <c r="BU3042">
        <v>0</v>
      </c>
      <c r="CE3042" t="str">
        <f t="shared" si="1205"/>
        <v>15:12:58.852</v>
      </c>
      <c r="CF3042">
        <v>851980438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5</v>
      </c>
      <c r="CY3042">
        <v>7</v>
      </c>
      <c r="CZ3042" t="s">
        <v>133</v>
      </c>
      <c r="DA3042">
        <v>275</v>
      </c>
      <c r="DB3042">
        <v>0</v>
      </c>
      <c r="DC3042" t="s">
        <v>134</v>
      </c>
      <c r="DD3042" t="s">
        <v>135</v>
      </c>
      <c r="DG3042">
        <v>3322300</v>
      </c>
      <c r="DI3042">
        <v>1</v>
      </c>
      <c r="DJ3042">
        <v>0</v>
      </c>
      <c r="DK3042">
        <v>1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">
      <c r="A3043" t="str">
        <f>"05/01/2025 15:12:59.120"</f>
        <v>05/01/2025 15:12:59.120</v>
      </c>
      <c r="C3043" t="str">
        <f t="shared" si="1192"/>
        <v>FFDFD3C0</v>
      </c>
      <c r="D3043" t="s">
        <v>140</v>
      </c>
      <c r="E3043" t="str">
        <f>"13"</f>
        <v>13</v>
      </c>
      <c r="F3043">
        <v>1019</v>
      </c>
      <c r="G3043" t="s">
        <v>141</v>
      </c>
      <c r="J3043" t="s">
        <v>142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R3043" t="s">
        <v>127</v>
      </c>
      <c r="S3043" t="str">
        <f t="shared" si="1204"/>
        <v>15:12:58.000</v>
      </c>
      <c r="T3043" t="str">
        <f t="shared" si="1204"/>
        <v>15:12:58.000</v>
      </c>
      <c r="U3043" t="str">
        <f t="shared" si="1193"/>
        <v>A68FCB</v>
      </c>
      <c r="V3043">
        <v>0</v>
      </c>
      <c r="W3043">
        <v>0</v>
      </c>
      <c r="X3043">
        <v>2</v>
      </c>
      <c r="Y3043">
        <v>0</v>
      </c>
      <c r="AA3043">
        <v>1</v>
      </c>
      <c r="AB3043">
        <v>8</v>
      </c>
      <c r="AC3043">
        <v>3</v>
      </c>
      <c r="AD3043">
        <v>0</v>
      </c>
      <c r="AE3043">
        <v>9</v>
      </c>
      <c r="AF3043" t="s">
        <v>138</v>
      </c>
      <c r="AG3043">
        <v>0</v>
      </c>
      <c r="AH3043">
        <v>3</v>
      </c>
      <c r="AI3043">
        <v>2</v>
      </c>
      <c r="AJ3043">
        <v>0</v>
      </c>
      <c r="AK3043" t="s">
        <v>1024</v>
      </c>
      <c r="AL3043">
        <v>39.118087000000003</v>
      </c>
      <c r="AM3043" t="s">
        <v>1025</v>
      </c>
      <c r="AN3043">
        <v>-121.032021</v>
      </c>
      <c r="AO3043">
        <v>25</v>
      </c>
      <c r="AP3043">
        <v>4400</v>
      </c>
      <c r="AQ3043" t="s">
        <v>131</v>
      </c>
      <c r="AR3043">
        <v>1</v>
      </c>
      <c r="AS3043">
        <v>83</v>
      </c>
      <c r="AT3043">
        <v>0</v>
      </c>
      <c r="BB3043" t="str">
        <f t="shared" si="1194"/>
        <v>1200</v>
      </c>
      <c r="BC3043">
        <v>1</v>
      </c>
      <c r="BD3043" t="str">
        <f t="shared" si="1195"/>
        <v xml:space="preserve">N52156  </v>
      </c>
      <c r="BE3043">
        <v>1</v>
      </c>
      <c r="BG3043">
        <v>0</v>
      </c>
      <c r="BH3043">
        <v>0</v>
      </c>
      <c r="BI3043">
        <v>0</v>
      </c>
      <c r="BJ3043">
        <v>4425</v>
      </c>
      <c r="BK3043">
        <v>25</v>
      </c>
      <c r="BL3043" t="s">
        <v>188</v>
      </c>
      <c r="BM3043">
        <v>1</v>
      </c>
      <c r="BN3043">
        <v>1</v>
      </c>
      <c r="BO3043">
        <v>0</v>
      </c>
      <c r="BP3043">
        <v>0</v>
      </c>
      <c r="BS3043">
        <v>0</v>
      </c>
      <c r="BT3043">
        <v>0</v>
      </c>
      <c r="BU3043">
        <v>0</v>
      </c>
      <c r="CE3043" t="str">
        <f t="shared" si="1205"/>
        <v>15:12:58.852</v>
      </c>
      <c r="CF3043">
        <v>851980438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5</v>
      </c>
      <c r="CY3043">
        <v>7</v>
      </c>
      <c r="CZ3043" t="s">
        <v>133</v>
      </c>
      <c r="DA3043">
        <v>275</v>
      </c>
      <c r="DB3043">
        <v>0</v>
      </c>
      <c r="DC3043" t="s">
        <v>134</v>
      </c>
      <c r="DD3043" t="s">
        <v>135</v>
      </c>
      <c r="DG3043">
        <v>3322300</v>
      </c>
      <c r="DI3043">
        <v>1</v>
      </c>
      <c r="DJ3043">
        <v>0</v>
      </c>
      <c r="DK3043">
        <v>1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">
      <c r="A3044" t="str">
        <f>"05/01/2025 15:13:00.005"</f>
        <v>05/01/2025 15:13:00.005</v>
      </c>
      <c r="C3044" t="str">
        <f t="shared" si="1192"/>
        <v>FFDFD3C0</v>
      </c>
      <c r="D3044" t="s">
        <v>143</v>
      </c>
      <c r="E3044" t="str">
        <f>"05"</f>
        <v>05</v>
      </c>
      <c r="H3044">
        <v>172</v>
      </c>
      <c r="I3044" t="s">
        <v>141</v>
      </c>
      <c r="J3044" t="s">
        <v>144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R3044" t="s">
        <v>127</v>
      </c>
      <c r="S3044" t="str">
        <f t="shared" ref="S3044:T3049" si="1206">"15:12:59.000"</f>
        <v>15:12:59.000</v>
      </c>
      <c r="T3044" t="str">
        <f t="shared" si="1206"/>
        <v>15:12:59.000</v>
      </c>
      <c r="U3044" t="str">
        <f t="shared" si="1193"/>
        <v>A68FCB</v>
      </c>
      <c r="V3044">
        <v>0</v>
      </c>
      <c r="W3044">
        <v>0</v>
      </c>
      <c r="X3044">
        <v>2</v>
      </c>
      <c r="Y3044">
        <v>0</v>
      </c>
      <c r="AA3044">
        <v>1</v>
      </c>
      <c r="AB3044">
        <v>8</v>
      </c>
      <c r="AC3044">
        <v>3</v>
      </c>
      <c r="AD3044">
        <v>0</v>
      </c>
      <c r="AE3044">
        <v>9</v>
      </c>
      <c r="AF3044" t="s">
        <v>138</v>
      </c>
      <c r="AG3044">
        <v>0</v>
      </c>
      <c r="AH3044">
        <v>3</v>
      </c>
      <c r="AI3044">
        <v>2</v>
      </c>
      <c r="AJ3044">
        <v>0</v>
      </c>
      <c r="AK3044" t="s">
        <v>1026</v>
      </c>
      <c r="AL3044">
        <v>39.118473999999999</v>
      </c>
      <c r="AM3044" t="s">
        <v>1025</v>
      </c>
      <c r="AN3044">
        <v>-121.032021</v>
      </c>
      <c r="AO3044">
        <v>25</v>
      </c>
      <c r="AP3044">
        <v>4400</v>
      </c>
      <c r="AQ3044" t="s">
        <v>131</v>
      </c>
      <c r="AR3044">
        <v>1</v>
      </c>
      <c r="AS3044">
        <v>83</v>
      </c>
      <c r="AT3044">
        <v>0</v>
      </c>
      <c r="BB3044" t="str">
        <f t="shared" si="1194"/>
        <v>1200</v>
      </c>
      <c r="BC3044">
        <v>1</v>
      </c>
      <c r="BD3044" t="str">
        <f t="shared" si="1195"/>
        <v xml:space="preserve">N52156  </v>
      </c>
      <c r="BE3044">
        <v>1</v>
      </c>
      <c r="BG3044">
        <v>0</v>
      </c>
      <c r="BH3044">
        <v>0</v>
      </c>
      <c r="BI3044">
        <v>0</v>
      </c>
      <c r="BJ3044">
        <v>4425</v>
      </c>
      <c r="BK3044">
        <v>25</v>
      </c>
      <c r="BL3044" t="s">
        <v>188</v>
      </c>
      <c r="BM3044">
        <v>1</v>
      </c>
      <c r="BN3044">
        <v>1</v>
      </c>
      <c r="BO3044">
        <v>0</v>
      </c>
      <c r="BP3044">
        <v>0</v>
      </c>
      <c r="BS3044">
        <v>0</v>
      </c>
      <c r="BT3044">
        <v>0</v>
      </c>
      <c r="BU3044">
        <v>0</v>
      </c>
      <c r="CE3044" t="str">
        <f t="shared" ref="CE3044:CE3049" si="1207">"15:12:59.799"</f>
        <v>15:12:59.799</v>
      </c>
      <c r="CF3044">
        <v>798730345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5</v>
      </c>
      <c r="CY3044">
        <v>7</v>
      </c>
      <c r="CZ3044" t="s">
        <v>133</v>
      </c>
      <c r="DA3044">
        <v>275</v>
      </c>
      <c r="DB3044">
        <v>0</v>
      </c>
      <c r="DC3044" t="s">
        <v>134</v>
      </c>
      <c r="DD3044" t="s">
        <v>135</v>
      </c>
      <c r="DG3044">
        <v>3322306</v>
      </c>
      <c r="DI3044">
        <v>1</v>
      </c>
      <c r="DJ3044">
        <v>0</v>
      </c>
      <c r="DK3044">
        <v>0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">
      <c r="A3045" t="str">
        <f>"05/01/2025 15:13:00.020"</f>
        <v>05/01/2025 15:13:00.020</v>
      </c>
      <c r="C3045" t="str">
        <f t="shared" si="1192"/>
        <v>FFDFD3C0</v>
      </c>
      <c r="D3045" t="s">
        <v>124</v>
      </c>
      <c r="E3045" t="str">
        <f>"06"</f>
        <v>06</v>
      </c>
      <c r="F3045">
        <v>2006</v>
      </c>
      <c r="G3045" t="s">
        <v>125</v>
      </c>
      <c r="J3045" t="s">
        <v>126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R3045" t="s">
        <v>127</v>
      </c>
      <c r="S3045" t="str">
        <f t="shared" si="1206"/>
        <v>15:12:59.000</v>
      </c>
      <c r="T3045" t="str">
        <f t="shared" si="1206"/>
        <v>15:12:59.000</v>
      </c>
      <c r="U3045" t="str">
        <f t="shared" si="1193"/>
        <v>A68FCB</v>
      </c>
      <c r="V3045">
        <v>0</v>
      </c>
      <c r="W3045">
        <v>0</v>
      </c>
      <c r="X3045">
        <v>2</v>
      </c>
      <c r="Y3045">
        <v>0</v>
      </c>
      <c r="AA3045">
        <v>1</v>
      </c>
      <c r="AB3045">
        <v>8</v>
      </c>
      <c r="AC3045">
        <v>3</v>
      </c>
      <c r="AD3045">
        <v>0</v>
      </c>
      <c r="AE3045">
        <v>9</v>
      </c>
      <c r="AF3045" t="s">
        <v>138</v>
      </c>
      <c r="AG3045">
        <v>0</v>
      </c>
      <c r="AH3045">
        <v>3</v>
      </c>
      <c r="AI3045">
        <v>2</v>
      </c>
      <c r="AJ3045">
        <v>0</v>
      </c>
      <c r="AK3045" t="s">
        <v>1026</v>
      </c>
      <c r="AL3045">
        <v>39.118473999999999</v>
      </c>
      <c r="AM3045" t="s">
        <v>1025</v>
      </c>
      <c r="AN3045">
        <v>-121.032021</v>
      </c>
      <c r="AO3045">
        <v>25</v>
      </c>
      <c r="AP3045">
        <v>4400</v>
      </c>
      <c r="AQ3045" t="s">
        <v>131</v>
      </c>
      <c r="AR3045">
        <v>1</v>
      </c>
      <c r="AS3045">
        <v>83</v>
      </c>
      <c r="AT3045">
        <v>0</v>
      </c>
      <c r="BB3045" t="str">
        <f t="shared" si="1194"/>
        <v>1200</v>
      </c>
      <c r="BC3045">
        <v>1</v>
      </c>
      <c r="BD3045" t="str">
        <f t="shared" si="1195"/>
        <v xml:space="preserve">N52156  </v>
      </c>
      <c r="BE3045">
        <v>1</v>
      </c>
      <c r="BG3045">
        <v>0</v>
      </c>
      <c r="BH3045">
        <v>0</v>
      </c>
      <c r="BI3045">
        <v>0</v>
      </c>
      <c r="BJ3045">
        <v>4425</v>
      </c>
      <c r="BK3045">
        <v>25</v>
      </c>
      <c r="BL3045" t="s">
        <v>188</v>
      </c>
      <c r="BM3045">
        <v>1</v>
      </c>
      <c r="BN3045">
        <v>1</v>
      </c>
      <c r="BO3045">
        <v>0</v>
      </c>
      <c r="BP3045">
        <v>0</v>
      </c>
      <c r="BS3045">
        <v>0</v>
      </c>
      <c r="BT3045">
        <v>0</v>
      </c>
      <c r="BU3045">
        <v>0</v>
      </c>
      <c r="CE3045" t="str">
        <f t="shared" si="1207"/>
        <v>15:12:59.799</v>
      </c>
      <c r="CF3045">
        <v>798730345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5</v>
      </c>
      <c r="CY3045">
        <v>7</v>
      </c>
      <c r="CZ3045" t="s">
        <v>133</v>
      </c>
      <c r="DA3045">
        <v>275</v>
      </c>
      <c r="DB3045">
        <v>0</v>
      </c>
      <c r="DC3045" t="s">
        <v>134</v>
      </c>
      <c r="DD3045" t="s">
        <v>135</v>
      </c>
      <c r="DG3045">
        <v>3322306</v>
      </c>
      <c r="DI3045">
        <v>1</v>
      </c>
      <c r="DJ3045">
        <v>0</v>
      </c>
      <c r="DK3045">
        <v>1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">
      <c r="A3046" t="str">
        <f>"05/01/2025 15:13:00.021"</f>
        <v>05/01/2025 15:13:00.021</v>
      </c>
      <c r="C3046" t="str">
        <f t="shared" si="1192"/>
        <v>FFDFD3C0</v>
      </c>
      <c r="D3046" t="s">
        <v>140</v>
      </c>
      <c r="E3046" t="str">
        <f>"13"</f>
        <v>13</v>
      </c>
      <c r="F3046">
        <v>1019</v>
      </c>
      <c r="G3046" t="s">
        <v>141</v>
      </c>
      <c r="J3046" t="s">
        <v>142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R3046" t="s">
        <v>127</v>
      </c>
      <c r="S3046" t="str">
        <f t="shared" si="1206"/>
        <v>15:12:59.000</v>
      </c>
      <c r="T3046" t="str">
        <f t="shared" si="1206"/>
        <v>15:12:59.000</v>
      </c>
      <c r="U3046" t="str">
        <f t="shared" si="1193"/>
        <v>A68FCB</v>
      </c>
      <c r="V3046">
        <v>0</v>
      </c>
      <c r="W3046">
        <v>0</v>
      </c>
      <c r="X3046">
        <v>2</v>
      </c>
      <c r="Y3046">
        <v>0</v>
      </c>
      <c r="AA3046">
        <v>1</v>
      </c>
      <c r="AB3046">
        <v>8</v>
      </c>
      <c r="AC3046">
        <v>3</v>
      </c>
      <c r="AD3046">
        <v>0</v>
      </c>
      <c r="AE3046">
        <v>9</v>
      </c>
      <c r="AF3046" t="s">
        <v>138</v>
      </c>
      <c r="AG3046">
        <v>0</v>
      </c>
      <c r="AH3046">
        <v>3</v>
      </c>
      <c r="AI3046">
        <v>2</v>
      </c>
      <c r="AJ3046">
        <v>0</v>
      </c>
      <c r="AK3046" t="s">
        <v>1026</v>
      </c>
      <c r="AL3046">
        <v>39.118473999999999</v>
      </c>
      <c r="AM3046" t="s">
        <v>1025</v>
      </c>
      <c r="AN3046">
        <v>-121.032021</v>
      </c>
      <c r="AO3046">
        <v>25</v>
      </c>
      <c r="AP3046">
        <v>4400</v>
      </c>
      <c r="AQ3046" t="s">
        <v>131</v>
      </c>
      <c r="AR3046">
        <v>1</v>
      </c>
      <c r="AS3046">
        <v>83</v>
      </c>
      <c r="AT3046">
        <v>0</v>
      </c>
      <c r="BB3046" t="str">
        <f t="shared" si="1194"/>
        <v>1200</v>
      </c>
      <c r="BC3046">
        <v>1</v>
      </c>
      <c r="BD3046" t="str">
        <f t="shared" si="1195"/>
        <v xml:space="preserve">N52156  </v>
      </c>
      <c r="BE3046">
        <v>1</v>
      </c>
      <c r="BG3046">
        <v>0</v>
      </c>
      <c r="BH3046">
        <v>0</v>
      </c>
      <c r="BI3046">
        <v>0</v>
      </c>
      <c r="BJ3046">
        <v>4425</v>
      </c>
      <c r="BK3046">
        <v>25</v>
      </c>
      <c r="BL3046" t="s">
        <v>188</v>
      </c>
      <c r="BM3046">
        <v>1</v>
      </c>
      <c r="BN3046">
        <v>1</v>
      </c>
      <c r="BO3046">
        <v>0</v>
      </c>
      <c r="BP3046">
        <v>0</v>
      </c>
      <c r="BS3046">
        <v>0</v>
      </c>
      <c r="BT3046">
        <v>0</v>
      </c>
      <c r="BU3046">
        <v>0</v>
      </c>
      <c r="CE3046" t="str">
        <f t="shared" si="1207"/>
        <v>15:12:59.799</v>
      </c>
      <c r="CF3046">
        <v>798730345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5</v>
      </c>
      <c r="CY3046">
        <v>7</v>
      </c>
      <c r="CZ3046" t="s">
        <v>133</v>
      </c>
      <c r="DA3046">
        <v>275</v>
      </c>
      <c r="DB3046">
        <v>0</v>
      </c>
      <c r="DC3046" t="s">
        <v>134</v>
      </c>
      <c r="DD3046" t="s">
        <v>135</v>
      </c>
      <c r="DG3046">
        <v>3322306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">
      <c r="A3047" t="str">
        <f>"05/01/2025 15:13:00.036"</f>
        <v>05/01/2025 15:13:00.036</v>
      </c>
      <c r="C3047" t="str">
        <f t="shared" si="1192"/>
        <v>FFDFD3C0</v>
      </c>
      <c r="D3047" t="s">
        <v>145</v>
      </c>
      <c r="E3047" t="str">
        <f>"09"</f>
        <v>09</v>
      </c>
      <c r="H3047">
        <v>51</v>
      </c>
      <c r="I3047" t="s">
        <v>147</v>
      </c>
      <c r="J3047" t="s">
        <v>138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R3047" t="s">
        <v>127</v>
      </c>
      <c r="S3047" t="str">
        <f t="shared" si="1206"/>
        <v>15:12:59.000</v>
      </c>
      <c r="T3047" t="str">
        <f t="shared" si="1206"/>
        <v>15:12:59.000</v>
      </c>
      <c r="U3047" t="str">
        <f t="shared" si="1193"/>
        <v>A68FCB</v>
      </c>
      <c r="V3047">
        <v>0</v>
      </c>
      <c r="W3047">
        <v>0</v>
      </c>
      <c r="X3047">
        <v>2</v>
      </c>
      <c r="Y3047">
        <v>0</v>
      </c>
      <c r="AA3047">
        <v>1</v>
      </c>
      <c r="AB3047">
        <v>8</v>
      </c>
      <c r="AC3047">
        <v>3</v>
      </c>
      <c r="AD3047">
        <v>0</v>
      </c>
      <c r="AE3047">
        <v>9</v>
      </c>
      <c r="AF3047" t="s">
        <v>138</v>
      </c>
      <c r="AG3047">
        <v>0</v>
      </c>
      <c r="AH3047">
        <v>3</v>
      </c>
      <c r="AI3047">
        <v>2</v>
      </c>
      <c r="AJ3047">
        <v>0</v>
      </c>
      <c r="AK3047" t="s">
        <v>1026</v>
      </c>
      <c r="AL3047">
        <v>39.118473999999999</v>
      </c>
      <c r="AM3047" t="s">
        <v>1025</v>
      </c>
      <c r="AN3047">
        <v>-121.032021</v>
      </c>
      <c r="AO3047">
        <v>25</v>
      </c>
      <c r="AP3047">
        <v>4400</v>
      </c>
      <c r="AQ3047" t="s">
        <v>131</v>
      </c>
      <c r="AR3047">
        <v>1</v>
      </c>
      <c r="AS3047">
        <v>83</v>
      </c>
      <c r="AT3047">
        <v>0</v>
      </c>
      <c r="BB3047" t="str">
        <f t="shared" si="1194"/>
        <v>1200</v>
      </c>
      <c r="BC3047">
        <v>1</v>
      </c>
      <c r="BD3047" t="str">
        <f t="shared" si="1195"/>
        <v xml:space="preserve">N52156  </v>
      </c>
      <c r="BE3047">
        <v>1</v>
      </c>
      <c r="BG3047">
        <v>0</v>
      </c>
      <c r="BH3047">
        <v>0</v>
      </c>
      <c r="BI3047">
        <v>0</v>
      </c>
      <c r="BJ3047">
        <v>4425</v>
      </c>
      <c r="BK3047">
        <v>25</v>
      </c>
      <c r="BL3047" t="s">
        <v>188</v>
      </c>
      <c r="BM3047">
        <v>1</v>
      </c>
      <c r="BN3047">
        <v>1</v>
      </c>
      <c r="BO3047">
        <v>0</v>
      </c>
      <c r="BP3047">
        <v>0</v>
      </c>
      <c r="BS3047">
        <v>0</v>
      </c>
      <c r="BT3047">
        <v>0</v>
      </c>
      <c r="BU3047">
        <v>0</v>
      </c>
      <c r="CE3047" t="str">
        <f t="shared" si="1207"/>
        <v>15:12:59.799</v>
      </c>
      <c r="CF3047">
        <v>798730345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5</v>
      </c>
      <c r="CY3047">
        <v>7</v>
      </c>
      <c r="CZ3047" t="s">
        <v>133</v>
      </c>
      <c r="DA3047">
        <v>275</v>
      </c>
      <c r="DB3047">
        <v>0</v>
      </c>
      <c r="DC3047" t="s">
        <v>134</v>
      </c>
      <c r="DD3047" t="s">
        <v>135</v>
      </c>
      <c r="DG3047">
        <v>3322306</v>
      </c>
      <c r="DI3047">
        <v>1</v>
      </c>
      <c r="DJ3047">
        <v>0</v>
      </c>
      <c r="DK3047">
        <v>1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">
      <c r="A3048" t="str">
        <f>"05/01/2025 15:13:00.037"</f>
        <v>05/01/2025 15:13:00.037</v>
      </c>
      <c r="C3048" t="str">
        <f t="shared" si="1192"/>
        <v>FFDFD3C0</v>
      </c>
      <c r="D3048" t="s">
        <v>145</v>
      </c>
      <c r="E3048" t="str">
        <f>"05"</f>
        <v>05</v>
      </c>
      <c r="H3048">
        <v>47</v>
      </c>
      <c r="I3048" t="s">
        <v>146</v>
      </c>
      <c r="J3048" t="s">
        <v>138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R3048" t="s">
        <v>127</v>
      </c>
      <c r="S3048" t="str">
        <f t="shared" si="1206"/>
        <v>15:12:59.000</v>
      </c>
      <c r="T3048" t="str">
        <f t="shared" si="1206"/>
        <v>15:12:59.000</v>
      </c>
      <c r="U3048" t="str">
        <f t="shared" si="1193"/>
        <v>A68FCB</v>
      </c>
      <c r="V3048">
        <v>0</v>
      </c>
      <c r="W3048">
        <v>0</v>
      </c>
      <c r="X3048">
        <v>2</v>
      </c>
      <c r="Y3048">
        <v>0</v>
      </c>
      <c r="AA3048">
        <v>1</v>
      </c>
      <c r="AB3048">
        <v>8</v>
      </c>
      <c r="AC3048">
        <v>3</v>
      </c>
      <c r="AD3048">
        <v>0</v>
      </c>
      <c r="AE3048">
        <v>9</v>
      </c>
      <c r="AF3048" t="s">
        <v>138</v>
      </c>
      <c r="AG3048">
        <v>0</v>
      </c>
      <c r="AH3048">
        <v>3</v>
      </c>
      <c r="AI3048">
        <v>2</v>
      </c>
      <c r="AJ3048">
        <v>0</v>
      </c>
      <c r="AK3048" t="s">
        <v>1026</v>
      </c>
      <c r="AL3048">
        <v>39.118473999999999</v>
      </c>
      <c r="AM3048" t="s">
        <v>1025</v>
      </c>
      <c r="AN3048">
        <v>-121.032021</v>
      </c>
      <c r="AO3048">
        <v>25</v>
      </c>
      <c r="AP3048">
        <v>4400</v>
      </c>
      <c r="AQ3048" t="s">
        <v>131</v>
      </c>
      <c r="AR3048">
        <v>1</v>
      </c>
      <c r="AS3048">
        <v>83</v>
      </c>
      <c r="AT3048">
        <v>0</v>
      </c>
      <c r="BB3048" t="str">
        <f t="shared" si="1194"/>
        <v>1200</v>
      </c>
      <c r="BC3048">
        <v>1</v>
      </c>
      <c r="BD3048" t="str">
        <f t="shared" si="1195"/>
        <v xml:space="preserve">N52156  </v>
      </c>
      <c r="BE3048">
        <v>1</v>
      </c>
      <c r="BG3048">
        <v>0</v>
      </c>
      <c r="BH3048">
        <v>0</v>
      </c>
      <c r="BI3048">
        <v>0</v>
      </c>
      <c r="BJ3048">
        <v>4425</v>
      </c>
      <c r="BK3048">
        <v>25</v>
      </c>
      <c r="BL3048" t="s">
        <v>188</v>
      </c>
      <c r="BM3048">
        <v>1</v>
      </c>
      <c r="BN3048">
        <v>1</v>
      </c>
      <c r="BO3048">
        <v>0</v>
      </c>
      <c r="BP3048">
        <v>0</v>
      </c>
      <c r="BS3048">
        <v>0</v>
      </c>
      <c r="BT3048">
        <v>0</v>
      </c>
      <c r="BU3048">
        <v>0</v>
      </c>
      <c r="CE3048" t="str">
        <f t="shared" si="1207"/>
        <v>15:12:59.799</v>
      </c>
      <c r="CF3048">
        <v>798730345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5</v>
      </c>
      <c r="CY3048">
        <v>7</v>
      </c>
      <c r="CZ3048" t="s">
        <v>133</v>
      </c>
      <c r="DA3048">
        <v>275</v>
      </c>
      <c r="DB3048">
        <v>0</v>
      </c>
      <c r="DC3048" t="s">
        <v>134</v>
      </c>
      <c r="DD3048" t="s">
        <v>135</v>
      </c>
      <c r="DG3048">
        <v>3322306</v>
      </c>
      <c r="DI3048">
        <v>1</v>
      </c>
      <c r="DJ3048">
        <v>0</v>
      </c>
      <c r="DK3048">
        <v>1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">
      <c r="A3049" t="str">
        <f>"05/01/2025 15:13:00.047"</f>
        <v>05/01/2025 15:13:00.047</v>
      </c>
      <c r="C3049" t="str">
        <f t="shared" si="1192"/>
        <v>FFDFD3C0</v>
      </c>
      <c r="D3049" t="s">
        <v>136</v>
      </c>
      <c r="E3049" t="str">
        <f>"20"</f>
        <v>20</v>
      </c>
      <c r="H3049">
        <v>400</v>
      </c>
      <c r="I3049" t="s">
        <v>137</v>
      </c>
      <c r="J3049" t="s">
        <v>138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R3049" t="s">
        <v>127</v>
      </c>
      <c r="S3049" t="str">
        <f t="shared" si="1206"/>
        <v>15:12:59.000</v>
      </c>
      <c r="T3049" t="str">
        <f t="shared" si="1206"/>
        <v>15:12:59.000</v>
      </c>
      <c r="U3049" t="str">
        <f t="shared" si="1193"/>
        <v>A68FCB</v>
      </c>
      <c r="V3049">
        <v>0</v>
      </c>
      <c r="W3049">
        <v>0</v>
      </c>
      <c r="X3049">
        <v>2</v>
      </c>
      <c r="Y3049">
        <v>0</v>
      </c>
      <c r="AA3049">
        <v>1</v>
      </c>
      <c r="AB3049">
        <v>8</v>
      </c>
      <c r="AC3049">
        <v>3</v>
      </c>
      <c r="AD3049">
        <v>0</v>
      </c>
      <c r="AE3049">
        <v>9</v>
      </c>
      <c r="AF3049" t="s">
        <v>138</v>
      </c>
      <c r="AG3049">
        <v>0</v>
      </c>
      <c r="AH3049">
        <v>3</v>
      </c>
      <c r="AI3049">
        <v>2</v>
      </c>
      <c r="AJ3049">
        <v>0</v>
      </c>
      <c r="AK3049" t="s">
        <v>1026</v>
      </c>
      <c r="AL3049">
        <v>39.118473999999999</v>
      </c>
      <c r="AM3049" t="s">
        <v>1025</v>
      </c>
      <c r="AN3049">
        <v>-121.032021</v>
      </c>
      <c r="AO3049">
        <v>25</v>
      </c>
      <c r="AP3049">
        <v>4400</v>
      </c>
      <c r="AQ3049" t="s">
        <v>131</v>
      </c>
      <c r="AR3049">
        <v>1</v>
      </c>
      <c r="AS3049">
        <v>83</v>
      </c>
      <c r="AT3049">
        <v>0</v>
      </c>
      <c r="BB3049" t="str">
        <f t="shared" si="1194"/>
        <v>1200</v>
      </c>
      <c r="BC3049">
        <v>1</v>
      </c>
      <c r="BD3049" t="str">
        <f t="shared" si="1195"/>
        <v xml:space="preserve">N52156  </v>
      </c>
      <c r="BE3049">
        <v>1</v>
      </c>
      <c r="BG3049">
        <v>0</v>
      </c>
      <c r="BH3049">
        <v>0</v>
      </c>
      <c r="BI3049">
        <v>0</v>
      </c>
      <c r="BJ3049">
        <v>4425</v>
      </c>
      <c r="BK3049">
        <v>25</v>
      </c>
      <c r="BL3049" t="s">
        <v>188</v>
      </c>
      <c r="BM3049">
        <v>1</v>
      </c>
      <c r="BN3049">
        <v>1</v>
      </c>
      <c r="BO3049">
        <v>0</v>
      </c>
      <c r="BP3049">
        <v>0</v>
      </c>
      <c r="BS3049">
        <v>0</v>
      </c>
      <c r="BT3049">
        <v>0</v>
      </c>
      <c r="BU3049">
        <v>0</v>
      </c>
      <c r="CE3049" t="str">
        <f t="shared" si="1207"/>
        <v>15:12:59.799</v>
      </c>
      <c r="CF3049">
        <v>798730345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5</v>
      </c>
      <c r="CY3049">
        <v>7</v>
      </c>
      <c r="CZ3049" t="s">
        <v>133</v>
      </c>
      <c r="DA3049">
        <v>275</v>
      </c>
      <c r="DB3049">
        <v>0</v>
      </c>
      <c r="DC3049" t="s">
        <v>134</v>
      </c>
      <c r="DD3049" t="s">
        <v>135</v>
      </c>
      <c r="DG3049">
        <v>3322306</v>
      </c>
      <c r="DI3049">
        <v>1</v>
      </c>
      <c r="DJ3049">
        <v>0</v>
      </c>
      <c r="DK3049">
        <v>1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">
      <c r="A3050" t="str">
        <f>"05/01/2025 15:13:00.698"</f>
        <v>05/01/2025 15:13:00.698</v>
      </c>
      <c r="C3050" t="str">
        <f t="shared" si="1192"/>
        <v>FFDFD3C0</v>
      </c>
      <c r="D3050" t="s">
        <v>136</v>
      </c>
      <c r="E3050" t="str">
        <f>"20"</f>
        <v>20</v>
      </c>
      <c r="H3050">
        <v>400</v>
      </c>
      <c r="I3050" t="s">
        <v>137</v>
      </c>
      <c r="J3050" t="s">
        <v>138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R3050" t="s">
        <v>127</v>
      </c>
      <c r="S3050" t="str">
        <f t="shared" ref="S3050:T3055" si="1208">"15:13:00.000"</f>
        <v>15:13:00.000</v>
      </c>
      <c r="T3050" t="str">
        <f t="shared" si="1208"/>
        <v>15:13:00.000</v>
      </c>
      <c r="U3050" t="str">
        <f t="shared" si="1193"/>
        <v>A68FCB</v>
      </c>
      <c r="V3050">
        <v>0</v>
      </c>
      <c r="W3050">
        <v>0</v>
      </c>
      <c r="X3050">
        <v>2</v>
      </c>
      <c r="Y3050">
        <v>0</v>
      </c>
      <c r="AA3050">
        <v>1</v>
      </c>
      <c r="AB3050">
        <v>8</v>
      </c>
      <c r="AC3050">
        <v>3</v>
      </c>
      <c r="AD3050">
        <v>0</v>
      </c>
      <c r="AE3050">
        <v>9</v>
      </c>
      <c r="AF3050" t="s">
        <v>138</v>
      </c>
      <c r="AG3050">
        <v>0</v>
      </c>
      <c r="AH3050">
        <v>3</v>
      </c>
      <c r="AI3050">
        <v>2</v>
      </c>
      <c r="AJ3050">
        <v>0</v>
      </c>
      <c r="AK3050" t="s">
        <v>1027</v>
      </c>
      <c r="AL3050">
        <v>39.118859999999998</v>
      </c>
      <c r="AM3050" t="s">
        <v>1028</v>
      </c>
      <c r="AN3050">
        <v>-121.032</v>
      </c>
      <c r="AO3050">
        <v>25</v>
      </c>
      <c r="AP3050">
        <v>4400</v>
      </c>
      <c r="AQ3050" t="s">
        <v>131</v>
      </c>
      <c r="AR3050">
        <v>0</v>
      </c>
      <c r="AS3050">
        <v>83</v>
      </c>
      <c r="AT3050">
        <v>0</v>
      </c>
      <c r="BB3050" t="str">
        <f t="shared" si="1194"/>
        <v>1200</v>
      </c>
      <c r="BC3050">
        <v>1</v>
      </c>
      <c r="BD3050" t="str">
        <f t="shared" si="1195"/>
        <v xml:space="preserve">N52156  </v>
      </c>
      <c r="BE3050">
        <v>1</v>
      </c>
      <c r="BG3050">
        <v>0</v>
      </c>
      <c r="BH3050">
        <v>0</v>
      </c>
      <c r="BI3050">
        <v>0</v>
      </c>
      <c r="BJ3050">
        <v>4425</v>
      </c>
      <c r="BK3050">
        <v>25</v>
      </c>
      <c r="BL3050" t="s">
        <v>188</v>
      </c>
      <c r="BM3050">
        <v>1</v>
      </c>
      <c r="BN3050">
        <v>1</v>
      </c>
      <c r="BO3050">
        <v>0</v>
      </c>
      <c r="BP3050">
        <v>0</v>
      </c>
      <c r="BS3050">
        <v>0</v>
      </c>
      <c r="BT3050">
        <v>0</v>
      </c>
      <c r="BU3050">
        <v>0</v>
      </c>
      <c r="CE3050" t="str">
        <f t="shared" ref="CE3050:CE3055" si="1209">"15:13:00.486"</f>
        <v>15:13:00.486</v>
      </c>
      <c r="CF3050">
        <v>486479623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5</v>
      </c>
      <c r="CY3050">
        <v>7</v>
      </c>
      <c r="CZ3050" t="s">
        <v>133</v>
      </c>
      <c r="DA3050">
        <v>275</v>
      </c>
      <c r="DB3050">
        <v>0</v>
      </c>
      <c r="DC3050" t="s">
        <v>134</v>
      </c>
      <c r="DD3050" t="s">
        <v>135</v>
      </c>
      <c r="DG3050">
        <v>3322310</v>
      </c>
      <c r="DI3050">
        <v>1</v>
      </c>
      <c r="DJ3050">
        <v>0</v>
      </c>
      <c r="DK3050">
        <v>0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">
      <c r="A3051" t="str">
        <f>"05/01/2025 15:13:00.707"</f>
        <v>05/01/2025 15:13:00.707</v>
      </c>
      <c r="C3051" t="str">
        <f t="shared" si="1192"/>
        <v>FFDFD3C0</v>
      </c>
      <c r="D3051" t="s">
        <v>143</v>
      </c>
      <c r="E3051" t="str">
        <f>"05"</f>
        <v>05</v>
      </c>
      <c r="H3051">
        <v>172</v>
      </c>
      <c r="I3051" t="s">
        <v>141</v>
      </c>
      <c r="J3051" t="s">
        <v>144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R3051" t="s">
        <v>127</v>
      </c>
      <c r="S3051" t="str">
        <f t="shared" si="1208"/>
        <v>15:13:00.000</v>
      </c>
      <c r="T3051" t="str">
        <f t="shared" si="1208"/>
        <v>15:13:00.000</v>
      </c>
      <c r="U3051" t="str">
        <f t="shared" si="1193"/>
        <v>A68FCB</v>
      </c>
      <c r="V3051">
        <v>0</v>
      </c>
      <c r="W3051">
        <v>0</v>
      </c>
      <c r="X3051">
        <v>2</v>
      </c>
      <c r="Y3051">
        <v>0</v>
      </c>
      <c r="AA3051">
        <v>1</v>
      </c>
      <c r="AB3051">
        <v>8</v>
      </c>
      <c r="AC3051">
        <v>3</v>
      </c>
      <c r="AD3051">
        <v>0</v>
      </c>
      <c r="AE3051">
        <v>9</v>
      </c>
      <c r="AF3051" t="s">
        <v>138</v>
      </c>
      <c r="AG3051">
        <v>0</v>
      </c>
      <c r="AH3051">
        <v>3</v>
      </c>
      <c r="AI3051">
        <v>2</v>
      </c>
      <c r="AJ3051">
        <v>0</v>
      </c>
      <c r="AK3051" t="s">
        <v>1027</v>
      </c>
      <c r="AL3051">
        <v>39.118859999999998</v>
      </c>
      <c r="AM3051" t="s">
        <v>1028</v>
      </c>
      <c r="AN3051">
        <v>-121.032</v>
      </c>
      <c r="AO3051">
        <v>25</v>
      </c>
      <c r="AP3051">
        <v>4400</v>
      </c>
      <c r="AQ3051" t="s">
        <v>131</v>
      </c>
      <c r="AR3051">
        <v>0</v>
      </c>
      <c r="AS3051">
        <v>83</v>
      </c>
      <c r="AT3051">
        <v>0</v>
      </c>
      <c r="BB3051" t="str">
        <f t="shared" si="1194"/>
        <v>1200</v>
      </c>
      <c r="BC3051">
        <v>1</v>
      </c>
      <c r="BD3051" t="str">
        <f t="shared" si="1195"/>
        <v xml:space="preserve">N52156  </v>
      </c>
      <c r="BE3051">
        <v>1</v>
      </c>
      <c r="BG3051">
        <v>0</v>
      </c>
      <c r="BH3051">
        <v>0</v>
      </c>
      <c r="BI3051">
        <v>0</v>
      </c>
      <c r="BJ3051">
        <v>4425</v>
      </c>
      <c r="BK3051">
        <v>25</v>
      </c>
      <c r="BL3051" t="s">
        <v>188</v>
      </c>
      <c r="BM3051">
        <v>1</v>
      </c>
      <c r="BN3051">
        <v>1</v>
      </c>
      <c r="BO3051">
        <v>0</v>
      </c>
      <c r="BP3051">
        <v>0</v>
      </c>
      <c r="BS3051">
        <v>0</v>
      </c>
      <c r="BT3051">
        <v>0</v>
      </c>
      <c r="BU3051">
        <v>0</v>
      </c>
      <c r="CE3051" t="str">
        <f t="shared" si="1209"/>
        <v>15:13:00.486</v>
      </c>
      <c r="CF3051">
        <v>486479623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5</v>
      </c>
      <c r="CY3051">
        <v>7</v>
      </c>
      <c r="CZ3051" t="s">
        <v>133</v>
      </c>
      <c r="DA3051">
        <v>275</v>
      </c>
      <c r="DB3051">
        <v>0</v>
      </c>
      <c r="DC3051" t="s">
        <v>134</v>
      </c>
      <c r="DD3051" t="s">
        <v>135</v>
      </c>
      <c r="DG3051">
        <v>3322310</v>
      </c>
      <c r="DI3051">
        <v>1</v>
      </c>
      <c r="DJ3051">
        <v>0</v>
      </c>
      <c r="DK3051">
        <v>1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">
      <c r="A3052" t="str">
        <f>"05/01/2025 15:13:00.721"</f>
        <v>05/01/2025 15:13:00.721</v>
      </c>
      <c r="C3052" t="str">
        <f t="shared" si="1192"/>
        <v>FFDFD3C0</v>
      </c>
      <c r="D3052" t="s">
        <v>124</v>
      </c>
      <c r="E3052" t="str">
        <f>"06"</f>
        <v>06</v>
      </c>
      <c r="F3052">
        <v>2006</v>
      </c>
      <c r="G3052" t="s">
        <v>125</v>
      </c>
      <c r="J3052" t="s">
        <v>126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R3052" t="s">
        <v>127</v>
      </c>
      <c r="S3052" t="str">
        <f t="shared" si="1208"/>
        <v>15:13:00.000</v>
      </c>
      <c r="T3052" t="str">
        <f t="shared" si="1208"/>
        <v>15:13:00.000</v>
      </c>
      <c r="U3052" t="str">
        <f t="shared" si="1193"/>
        <v>A68FCB</v>
      </c>
      <c r="V3052">
        <v>0</v>
      </c>
      <c r="W3052">
        <v>0</v>
      </c>
      <c r="X3052">
        <v>2</v>
      </c>
      <c r="Y3052">
        <v>0</v>
      </c>
      <c r="AA3052">
        <v>1</v>
      </c>
      <c r="AB3052">
        <v>8</v>
      </c>
      <c r="AC3052">
        <v>3</v>
      </c>
      <c r="AD3052">
        <v>0</v>
      </c>
      <c r="AE3052">
        <v>9</v>
      </c>
      <c r="AF3052" t="s">
        <v>138</v>
      </c>
      <c r="AG3052">
        <v>0</v>
      </c>
      <c r="AH3052">
        <v>3</v>
      </c>
      <c r="AI3052">
        <v>2</v>
      </c>
      <c r="AJ3052">
        <v>0</v>
      </c>
      <c r="AK3052" t="s">
        <v>1027</v>
      </c>
      <c r="AL3052">
        <v>39.118859999999998</v>
      </c>
      <c r="AM3052" t="s">
        <v>1028</v>
      </c>
      <c r="AN3052">
        <v>-121.032</v>
      </c>
      <c r="AO3052">
        <v>25</v>
      </c>
      <c r="AP3052">
        <v>4400</v>
      </c>
      <c r="AQ3052" t="s">
        <v>131</v>
      </c>
      <c r="AR3052">
        <v>0</v>
      </c>
      <c r="AS3052">
        <v>83</v>
      </c>
      <c r="AT3052">
        <v>0</v>
      </c>
      <c r="BB3052" t="str">
        <f t="shared" si="1194"/>
        <v>1200</v>
      </c>
      <c r="BC3052">
        <v>1</v>
      </c>
      <c r="BD3052" t="str">
        <f t="shared" si="1195"/>
        <v xml:space="preserve">N52156  </v>
      </c>
      <c r="BE3052">
        <v>1</v>
      </c>
      <c r="BG3052">
        <v>0</v>
      </c>
      <c r="BH3052">
        <v>0</v>
      </c>
      <c r="BI3052">
        <v>0</v>
      </c>
      <c r="BJ3052">
        <v>4425</v>
      </c>
      <c r="BK3052">
        <v>25</v>
      </c>
      <c r="BL3052" t="s">
        <v>188</v>
      </c>
      <c r="BM3052">
        <v>1</v>
      </c>
      <c r="BN3052">
        <v>1</v>
      </c>
      <c r="BO3052">
        <v>0</v>
      </c>
      <c r="BP3052">
        <v>0</v>
      </c>
      <c r="BS3052">
        <v>0</v>
      </c>
      <c r="BT3052">
        <v>0</v>
      </c>
      <c r="BU3052">
        <v>0</v>
      </c>
      <c r="CE3052" t="str">
        <f t="shared" si="1209"/>
        <v>15:13:00.486</v>
      </c>
      <c r="CF3052">
        <v>486479623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5</v>
      </c>
      <c r="CY3052">
        <v>7</v>
      </c>
      <c r="CZ3052" t="s">
        <v>133</v>
      </c>
      <c r="DA3052">
        <v>275</v>
      </c>
      <c r="DB3052">
        <v>0</v>
      </c>
      <c r="DC3052" t="s">
        <v>134</v>
      </c>
      <c r="DD3052" t="s">
        <v>135</v>
      </c>
      <c r="DG3052">
        <v>3322310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">
      <c r="A3053" t="str">
        <f>"05/01/2025 15:13:00.722"</f>
        <v>05/01/2025 15:13:00.722</v>
      </c>
      <c r="C3053" t="str">
        <f t="shared" si="1192"/>
        <v>FFDFD3C0</v>
      </c>
      <c r="D3053" t="s">
        <v>140</v>
      </c>
      <c r="E3053" t="str">
        <f>"13"</f>
        <v>13</v>
      </c>
      <c r="F3053">
        <v>1019</v>
      </c>
      <c r="G3053" t="s">
        <v>141</v>
      </c>
      <c r="J3053" t="s">
        <v>142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R3053" t="s">
        <v>127</v>
      </c>
      <c r="S3053" t="str">
        <f t="shared" si="1208"/>
        <v>15:13:00.000</v>
      </c>
      <c r="T3053" t="str">
        <f t="shared" si="1208"/>
        <v>15:13:00.000</v>
      </c>
      <c r="U3053" t="str">
        <f t="shared" si="1193"/>
        <v>A68FCB</v>
      </c>
      <c r="V3053">
        <v>0</v>
      </c>
      <c r="W3053">
        <v>0</v>
      </c>
      <c r="X3053">
        <v>2</v>
      </c>
      <c r="Y3053">
        <v>0</v>
      </c>
      <c r="AA3053">
        <v>1</v>
      </c>
      <c r="AB3053">
        <v>8</v>
      </c>
      <c r="AC3053">
        <v>3</v>
      </c>
      <c r="AD3053">
        <v>0</v>
      </c>
      <c r="AE3053">
        <v>9</v>
      </c>
      <c r="AF3053" t="s">
        <v>138</v>
      </c>
      <c r="AG3053">
        <v>0</v>
      </c>
      <c r="AH3053">
        <v>3</v>
      </c>
      <c r="AI3053">
        <v>2</v>
      </c>
      <c r="AJ3053">
        <v>0</v>
      </c>
      <c r="AK3053" t="s">
        <v>1027</v>
      </c>
      <c r="AL3053">
        <v>39.118859999999998</v>
      </c>
      <c r="AM3053" t="s">
        <v>1028</v>
      </c>
      <c r="AN3053">
        <v>-121.032</v>
      </c>
      <c r="AO3053">
        <v>25</v>
      </c>
      <c r="AP3053">
        <v>4400</v>
      </c>
      <c r="AQ3053" t="s">
        <v>131</v>
      </c>
      <c r="AR3053">
        <v>0</v>
      </c>
      <c r="AS3053">
        <v>83</v>
      </c>
      <c r="AT3053">
        <v>0</v>
      </c>
      <c r="BB3053" t="str">
        <f t="shared" si="1194"/>
        <v>1200</v>
      </c>
      <c r="BC3053">
        <v>1</v>
      </c>
      <c r="BD3053" t="str">
        <f t="shared" si="1195"/>
        <v xml:space="preserve">N52156  </v>
      </c>
      <c r="BE3053">
        <v>1</v>
      </c>
      <c r="BG3053">
        <v>0</v>
      </c>
      <c r="BH3053">
        <v>0</v>
      </c>
      <c r="BI3053">
        <v>0</v>
      </c>
      <c r="BJ3053">
        <v>4425</v>
      </c>
      <c r="BK3053">
        <v>25</v>
      </c>
      <c r="BL3053" t="s">
        <v>188</v>
      </c>
      <c r="BM3053">
        <v>1</v>
      </c>
      <c r="BN3053">
        <v>1</v>
      </c>
      <c r="BO3053">
        <v>0</v>
      </c>
      <c r="BP3053">
        <v>0</v>
      </c>
      <c r="BS3053">
        <v>0</v>
      </c>
      <c r="BT3053">
        <v>0</v>
      </c>
      <c r="BU3053">
        <v>0</v>
      </c>
      <c r="CE3053" t="str">
        <f t="shared" si="1209"/>
        <v>15:13:00.486</v>
      </c>
      <c r="CF3053">
        <v>486479623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5</v>
      </c>
      <c r="CY3053">
        <v>7</v>
      </c>
      <c r="CZ3053" t="s">
        <v>133</v>
      </c>
      <c r="DA3053">
        <v>275</v>
      </c>
      <c r="DB3053">
        <v>0</v>
      </c>
      <c r="DC3053" t="s">
        <v>134</v>
      </c>
      <c r="DD3053" t="s">
        <v>135</v>
      </c>
      <c r="DG3053">
        <v>3322310</v>
      </c>
      <c r="DI3053">
        <v>1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">
      <c r="A3054" t="str">
        <f>"05/01/2025 15:13:00.737"</f>
        <v>05/01/2025 15:13:00.737</v>
      </c>
      <c r="C3054" t="str">
        <f t="shared" si="1192"/>
        <v>FFDFD3C0</v>
      </c>
      <c r="D3054" t="s">
        <v>145</v>
      </c>
      <c r="E3054" t="str">
        <f>"09"</f>
        <v>09</v>
      </c>
      <c r="H3054">
        <v>51</v>
      </c>
      <c r="I3054" t="s">
        <v>147</v>
      </c>
      <c r="J3054" t="s">
        <v>138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R3054" t="s">
        <v>127</v>
      </c>
      <c r="S3054" t="str">
        <f t="shared" si="1208"/>
        <v>15:13:00.000</v>
      </c>
      <c r="T3054" t="str">
        <f t="shared" si="1208"/>
        <v>15:13:00.000</v>
      </c>
      <c r="U3054" t="str">
        <f t="shared" si="1193"/>
        <v>A68FCB</v>
      </c>
      <c r="V3054">
        <v>0</v>
      </c>
      <c r="W3054">
        <v>0</v>
      </c>
      <c r="X3054">
        <v>2</v>
      </c>
      <c r="Y3054">
        <v>0</v>
      </c>
      <c r="AA3054">
        <v>1</v>
      </c>
      <c r="AB3054">
        <v>8</v>
      </c>
      <c r="AC3054">
        <v>3</v>
      </c>
      <c r="AD3054">
        <v>0</v>
      </c>
      <c r="AE3054">
        <v>9</v>
      </c>
      <c r="AF3054" t="s">
        <v>138</v>
      </c>
      <c r="AG3054">
        <v>0</v>
      </c>
      <c r="AH3054">
        <v>3</v>
      </c>
      <c r="AI3054">
        <v>2</v>
      </c>
      <c r="AJ3054">
        <v>0</v>
      </c>
      <c r="AK3054" t="s">
        <v>1027</v>
      </c>
      <c r="AL3054">
        <v>39.118859999999998</v>
      </c>
      <c r="AM3054" t="s">
        <v>1028</v>
      </c>
      <c r="AN3054">
        <v>-121.032</v>
      </c>
      <c r="AO3054">
        <v>25</v>
      </c>
      <c r="AP3054">
        <v>4400</v>
      </c>
      <c r="AQ3054" t="s">
        <v>131</v>
      </c>
      <c r="AR3054">
        <v>0</v>
      </c>
      <c r="AS3054">
        <v>83</v>
      </c>
      <c r="AT3054">
        <v>0</v>
      </c>
      <c r="BB3054" t="str">
        <f t="shared" si="1194"/>
        <v>1200</v>
      </c>
      <c r="BC3054">
        <v>1</v>
      </c>
      <c r="BD3054" t="str">
        <f t="shared" si="1195"/>
        <v xml:space="preserve">N52156  </v>
      </c>
      <c r="BE3054">
        <v>1</v>
      </c>
      <c r="BG3054">
        <v>0</v>
      </c>
      <c r="BH3054">
        <v>0</v>
      </c>
      <c r="BI3054">
        <v>0</v>
      </c>
      <c r="BJ3054">
        <v>4425</v>
      </c>
      <c r="BK3054">
        <v>25</v>
      </c>
      <c r="BL3054" t="s">
        <v>188</v>
      </c>
      <c r="BM3054">
        <v>1</v>
      </c>
      <c r="BN3054">
        <v>1</v>
      </c>
      <c r="BO3054">
        <v>0</v>
      </c>
      <c r="BP3054">
        <v>0</v>
      </c>
      <c r="BS3054">
        <v>0</v>
      </c>
      <c r="BT3054">
        <v>0</v>
      </c>
      <c r="BU3054">
        <v>0</v>
      </c>
      <c r="CE3054" t="str">
        <f t="shared" si="1209"/>
        <v>15:13:00.486</v>
      </c>
      <c r="CF3054">
        <v>486479623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5</v>
      </c>
      <c r="CY3054">
        <v>7</v>
      </c>
      <c r="CZ3054" t="s">
        <v>133</v>
      </c>
      <c r="DA3054">
        <v>275</v>
      </c>
      <c r="DB3054">
        <v>0</v>
      </c>
      <c r="DC3054" t="s">
        <v>134</v>
      </c>
      <c r="DD3054" t="s">
        <v>135</v>
      </c>
      <c r="DG3054">
        <v>3322310</v>
      </c>
      <c r="DI3054">
        <v>1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">
      <c r="A3055" t="str">
        <f>"05/01/2025 15:13:00.738"</f>
        <v>05/01/2025 15:13:00.738</v>
      </c>
      <c r="C3055" t="str">
        <f t="shared" si="1192"/>
        <v>FFDFD3C0</v>
      </c>
      <c r="D3055" t="s">
        <v>145</v>
      </c>
      <c r="E3055" t="str">
        <f>"05"</f>
        <v>05</v>
      </c>
      <c r="H3055">
        <v>47</v>
      </c>
      <c r="I3055" t="s">
        <v>146</v>
      </c>
      <c r="J3055" t="s">
        <v>138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R3055" t="s">
        <v>127</v>
      </c>
      <c r="S3055" t="str">
        <f t="shared" si="1208"/>
        <v>15:13:00.000</v>
      </c>
      <c r="T3055" t="str">
        <f t="shared" si="1208"/>
        <v>15:13:00.000</v>
      </c>
      <c r="U3055" t="str">
        <f t="shared" si="1193"/>
        <v>A68FCB</v>
      </c>
      <c r="V3055">
        <v>0</v>
      </c>
      <c r="W3055">
        <v>0</v>
      </c>
      <c r="X3055">
        <v>2</v>
      </c>
      <c r="Y3055">
        <v>0</v>
      </c>
      <c r="AA3055">
        <v>1</v>
      </c>
      <c r="AB3055">
        <v>8</v>
      </c>
      <c r="AC3055">
        <v>3</v>
      </c>
      <c r="AD3055">
        <v>0</v>
      </c>
      <c r="AE3055">
        <v>9</v>
      </c>
      <c r="AF3055" t="s">
        <v>138</v>
      </c>
      <c r="AG3055">
        <v>0</v>
      </c>
      <c r="AH3055">
        <v>3</v>
      </c>
      <c r="AI3055">
        <v>2</v>
      </c>
      <c r="AJ3055">
        <v>0</v>
      </c>
      <c r="AK3055" t="s">
        <v>1027</v>
      </c>
      <c r="AL3055">
        <v>39.118859999999998</v>
      </c>
      <c r="AM3055" t="s">
        <v>1028</v>
      </c>
      <c r="AN3055">
        <v>-121.032</v>
      </c>
      <c r="AO3055">
        <v>25</v>
      </c>
      <c r="AP3055">
        <v>4400</v>
      </c>
      <c r="AQ3055" t="s">
        <v>131</v>
      </c>
      <c r="AR3055">
        <v>0</v>
      </c>
      <c r="AS3055">
        <v>83</v>
      </c>
      <c r="AT3055">
        <v>0</v>
      </c>
      <c r="BB3055" t="str">
        <f t="shared" si="1194"/>
        <v>1200</v>
      </c>
      <c r="BC3055">
        <v>1</v>
      </c>
      <c r="BD3055" t="str">
        <f t="shared" si="1195"/>
        <v xml:space="preserve">N52156  </v>
      </c>
      <c r="BE3055">
        <v>1</v>
      </c>
      <c r="BG3055">
        <v>0</v>
      </c>
      <c r="BH3055">
        <v>0</v>
      </c>
      <c r="BI3055">
        <v>0</v>
      </c>
      <c r="BJ3055">
        <v>4425</v>
      </c>
      <c r="BK3055">
        <v>25</v>
      </c>
      <c r="BL3055" t="s">
        <v>188</v>
      </c>
      <c r="BM3055">
        <v>1</v>
      </c>
      <c r="BN3055">
        <v>1</v>
      </c>
      <c r="BO3055">
        <v>0</v>
      </c>
      <c r="BP3055">
        <v>0</v>
      </c>
      <c r="BS3055">
        <v>0</v>
      </c>
      <c r="BT3055">
        <v>0</v>
      </c>
      <c r="BU3055">
        <v>0</v>
      </c>
      <c r="CE3055" t="str">
        <f t="shared" si="1209"/>
        <v>15:13:00.486</v>
      </c>
      <c r="CF3055">
        <v>486479623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5</v>
      </c>
      <c r="CY3055">
        <v>7</v>
      </c>
      <c r="CZ3055" t="s">
        <v>133</v>
      </c>
      <c r="DA3055">
        <v>275</v>
      </c>
      <c r="DB3055">
        <v>0</v>
      </c>
      <c r="DC3055" t="s">
        <v>134</v>
      </c>
      <c r="DD3055" t="s">
        <v>135</v>
      </c>
      <c r="DG3055">
        <v>3322310</v>
      </c>
      <c r="DI3055">
        <v>1</v>
      </c>
      <c r="DJ3055">
        <v>0</v>
      </c>
      <c r="DK3055">
        <v>1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">
      <c r="A3056" t="str">
        <f>"05/01/2025 15:13:02.039"</f>
        <v>05/01/2025 15:13:02.039</v>
      </c>
      <c r="C3056" t="str">
        <f t="shared" si="1192"/>
        <v>FFDFD3C0</v>
      </c>
      <c r="D3056" t="s">
        <v>145</v>
      </c>
      <c r="E3056" t="str">
        <f>"09"</f>
        <v>09</v>
      </c>
      <c r="H3056">
        <v>51</v>
      </c>
      <c r="I3056" t="s">
        <v>147</v>
      </c>
      <c r="J3056" t="s">
        <v>138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R3056" t="s">
        <v>127</v>
      </c>
      <c r="S3056" t="str">
        <f t="shared" ref="S3056:T3061" si="1210">"15:13:01.000"</f>
        <v>15:13:01.000</v>
      </c>
      <c r="T3056" t="str">
        <f t="shared" si="1210"/>
        <v>15:13:01.000</v>
      </c>
      <c r="U3056" t="str">
        <f t="shared" si="1193"/>
        <v>A68FCB</v>
      </c>
      <c r="V3056">
        <v>0</v>
      </c>
      <c r="W3056">
        <v>0</v>
      </c>
      <c r="X3056">
        <v>2</v>
      </c>
      <c r="Y3056">
        <v>0</v>
      </c>
      <c r="AA3056">
        <v>1</v>
      </c>
      <c r="AB3056">
        <v>8</v>
      </c>
      <c r="AC3056">
        <v>3</v>
      </c>
      <c r="AD3056">
        <v>0</v>
      </c>
      <c r="AE3056">
        <v>9</v>
      </c>
      <c r="AF3056" t="s">
        <v>138</v>
      </c>
      <c r="AG3056">
        <v>0</v>
      </c>
      <c r="AH3056">
        <v>3</v>
      </c>
      <c r="AI3056">
        <v>2</v>
      </c>
      <c r="AJ3056">
        <v>0</v>
      </c>
      <c r="AK3056" t="s">
        <v>1029</v>
      </c>
      <c r="AL3056">
        <v>39.119267000000001</v>
      </c>
      <c r="AM3056" t="s">
        <v>1028</v>
      </c>
      <c r="AN3056">
        <v>-121.032</v>
      </c>
      <c r="AO3056">
        <v>25</v>
      </c>
      <c r="AP3056">
        <v>4400</v>
      </c>
      <c r="AQ3056" t="s">
        <v>131</v>
      </c>
      <c r="AR3056">
        <v>1</v>
      </c>
      <c r="AS3056">
        <v>83</v>
      </c>
      <c r="AT3056">
        <v>0</v>
      </c>
      <c r="BB3056" t="str">
        <f t="shared" si="1194"/>
        <v>1200</v>
      </c>
      <c r="BC3056">
        <v>1</v>
      </c>
      <c r="BD3056" t="str">
        <f t="shared" si="1195"/>
        <v xml:space="preserve">N52156  </v>
      </c>
      <c r="BE3056">
        <v>1</v>
      </c>
      <c r="BG3056">
        <v>0</v>
      </c>
      <c r="BH3056">
        <v>0</v>
      </c>
      <c r="BI3056">
        <v>0</v>
      </c>
      <c r="BJ3056">
        <v>4425</v>
      </c>
      <c r="BK3056">
        <v>25</v>
      </c>
      <c r="BL3056" t="s">
        <v>188</v>
      </c>
      <c r="BM3056">
        <v>1</v>
      </c>
      <c r="BN3056">
        <v>1</v>
      </c>
      <c r="BO3056">
        <v>0</v>
      </c>
      <c r="BP3056">
        <v>0</v>
      </c>
      <c r="BS3056">
        <v>0</v>
      </c>
      <c r="BT3056">
        <v>0</v>
      </c>
      <c r="BU3056">
        <v>0</v>
      </c>
      <c r="CE3056" t="str">
        <f t="shared" ref="CE3056:CE3061" si="1211">"15:13:01.833"</f>
        <v>15:13:01.833</v>
      </c>
      <c r="CF3056">
        <v>833480581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5</v>
      </c>
      <c r="CY3056">
        <v>7</v>
      </c>
      <c r="CZ3056" t="s">
        <v>133</v>
      </c>
      <c r="DA3056">
        <v>275</v>
      </c>
      <c r="DB3056">
        <v>0</v>
      </c>
      <c r="DC3056" t="s">
        <v>134</v>
      </c>
      <c r="DD3056" t="s">
        <v>135</v>
      </c>
      <c r="DG3056">
        <v>3322319</v>
      </c>
      <c r="DI3056">
        <v>1</v>
      </c>
      <c r="DJ3056">
        <v>0</v>
      </c>
      <c r="DK3056">
        <v>0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">
      <c r="A3057" t="str">
        <f>"05/01/2025 15:13:02.041"</f>
        <v>05/01/2025 15:13:02.041</v>
      </c>
      <c r="C3057" t="str">
        <f t="shared" si="1192"/>
        <v>FFDFD3C0</v>
      </c>
      <c r="D3057" t="s">
        <v>145</v>
      </c>
      <c r="E3057" t="str">
        <f>"05"</f>
        <v>05</v>
      </c>
      <c r="H3057">
        <v>47</v>
      </c>
      <c r="I3057" t="s">
        <v>146</v>
      </c>
      <c r="J3057" t="s">
        <v>138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R3057" t="s">
        <v>127</v>
      </c>
      <c r="S3057" t="str">
        <f t="shared" si="1210"/>
        <v>15:13:01.000</v>
      </c>
      <c r="T3057" t="str">
        <f t="shared" si="1210"/>
        <v>15:13:01.000</v>
      </c>
      <c r="U3057" t="str">
        <f t="shared" si="1193"/>
        <v>A68FCB</v>
      </c>
      <c r="V3057">
        <v>0</v>
      </c>
      <c r="W3057">
        <v>0</v>
      </c>
      <c r="X3057">
        <v>2</v>
      </c>
      <c r="Y3057">
        <v>0</v>
      </c>
      <c r="AA3057">
        <v>1</v>
      </c>
      <c r="AB3057">
        <v>8</v>
      </c>
      <c r="AC3057">
        <v>3</v>
      </c>
      <c r="AD3057">
        <v>0</v>
      </c>
      <c r="AE3057">
        <v>9</v>
      </c>
      <c r="AF3057" t="s">
        <v>138</v>
      </c>
      <c r="AG3057">
        <v>0</v>
      </c>
      <c r="AH3057">
        <v>3</v>
      </c>
      <c r="AI3057">
        <v>2</v>
      </c>
      <c r="AJ3057">
        <v>0</v>
      </c>
      <c r="AK3057" t="s">
        <v>1029</v>
      </c>
      <c r="AL3057">
        <v>39.119267000000001</v>
      </c>
      <c r="AM3057" t="s">
        <v>1028</v>
      </c>
      <c r="AN3057">
        <v>-121.032</v>
      </c>
      <c r="AO3057">
        <v>25</v>
      </c>
      <c r="AP3057">
        <v>4400</v>
      </c>
      <c r="AQ3057" t="s">
        <v>131</v>
      </c>
      <c r="AR3057">
        <v>1</v>
      </c>
      <c r="AS3057">
        <v>83</v>
      </c>
      <c r="AT3057">
        <v>0</v>
      </c>
      <c r="BB3057" t="str">
        <f t="shared" si="1194"/>
        <v>1200</v>
      </c>
      <c r="BC3057">
        <v>1</v>
      </c>
      <c r="BD3057" t="str">
        <f t="shared" si="1195"/>
        <v xml:space="preserve">N52156  </v>
      </c>
      <c r="BE3057">
        <v>1</v>
      </c>
      <c r="BG3057">
        <v>0</v>
      </c>
      <c r="BH3057">
        <v>0</v>
      </c>
      <c r="BI3057">
        <v>0</v>
      </c>
      <c r="BJ3057">
        <v>4425</v>
      </c>
      <c r="BK3057">
        <v>25</v>
      </c>
      <c r="BL3057" t="s">
        <v>188</v>
      </c>
      <c r="BM3057">
        <v>1</v>
      </c>
      <c r="BN3057">
        <v>1</v>
      </c>
      <c r="BO3057">
        <v>0</v>
      </c>
      <c r="BP3057">
        <v>0</v>
      </c>
      <c r="BS3057">
        <v>0</v>
      </c>
      <c r="BT3057">
        <v>0</v>
      </c>
      <c r="BU3057">
        <v>0</v>
      </c>
      <c r="CE3057" t="str">
        <f t="shared" si="1211"/>
        <v>15:13:01.833</v>
      </c>
      <c r="CF3057">
        <v>833480581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5</v>
      </c>
      <c r="CY3057">
        <v>7</v>
      </c>
      <c r="CZ3057" t="s">
        <v>133</v>
      </c>
      <c r="DA3057">
        <v>275</v>
      </c>
      <c r="DB3057">
        <v>0</v>
      </c>
      <c r="DC3057" t="s">
        <v>134</v>
      </c>
      <c r="DD3057" t="s">
        <v>135</v>
      </c>
      <c r="DG3057">
        <v>3322319</v>
      </c>
      <c r="DI3057">
        <v>1</v>
      </c>
      <c r="DJ3057">
        <v>0</v>
      </c>
      <c r="DK3057">
        <v>1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">
      <c r="A3058" t="str">
        <f>"05/01/2025 15:13:02.050"</f>
        <v>05/01/2025 15:13:02.050</v>
      </c>
      <c r="C3058" t="str">
        <f t="shared" si="1192"/>
        <v>FFDFD3C0</v>
      </c>
      <c r="D3058" t="s">
        <v>136</v>
      </c>
      <c r="E3058" t="str">
        <f>"20"</f>
        <v>20</v>
      </c>
      <c r="H3058">
        <v>400</v>
      </c>
      <c r="I3058" t="s">
        <v>137</v>
      </c>
      <c r="J3058" t="s">
        <v>138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R3058" t="s">
        <v>127</v>
      </c>
      <c r="S3058" t="str">
        <f t="shared" si="1210"/>
        <v>15:13:01.000</v>
      </c>
      <c r="T3058" t="str">
        <f t="shared" si="1210"/>
        <v>15:13:01.000</v>
      </c>
      <c r="U3058" t="str">
        <f t="shared" si="1193"/>
        <v>A68FCB</v>
      </c>
      <c r="V3058">
        <v>0</v>
      </c>
      <c r="W3058">
        <v>0</v>
      </c>
      <c r="X3058">
        <v>2</v>
      </c>
      <c r="Y3058">
        <v>0</v>
      </c>
      <c r="AA3058">
        <v>1</v>
      </c>
      <c r="AB3058">
        <v>8</v>
      </c>
      <c r="AC3058">
        <v>3</v>
      </c>
      <c r="AD3058">
        <v>0</v>
      </c>
      <c r="AE3058">
        <v>9</v>
      </c>
      <c r="AF3058" t="s">
        <v>138</v>
      </c>
      <c r="AG3058">
        <v>0</v>
      </c>
      <c r="AH3058">
        <v>3</v>
      </c>
      <c r="AI3058">
        <v>2</v>
      </c>
      <c r="AJ3058">
        <v>0</v>
      </c>
      <c r="AK3058" t="s">
        <v>1029</v>
      </c>
      <c r="AL3058">
        <v>39.119267000000001</v>
      </c>
      <c r="AM3058" t="s">
        <v>1028</v>
      </c>
      <c r="AN3058">
        <v>-121.032</v>
      </c>
      <c r="AO3058">
        <v>25</v>
      </c>
      <c r="AP3058">
        <v>4400</v>
      </c>
      <c r="AQ3058" t="s">
        <v>131</v>
      </c>
      <c r="AR3058">
        <v>1</v>
      </c>
      <c r="AS3058">
        <v>83</v>
      </c>
      <c r="AT3058">
        <v>0</v>
      </c>
      <c r="BB3058" t="str">
        <f t="shared" si="1194"/>
        <v>1200</v>
      </c>
      <c r="BC3058">
        <v>1</v>
      </c>
      <c r="BD3058" t="str">
        <f t="shared" si="1195"/>
        <v xml:space="preserve">N52156  </v>
      </c>
      <c r="BE3058">
        <v>1</v>
      </c>
      <c r="BG3058">
        <v>0</v>
      </c>
      <c r="BH3058">
        <v>0</v>
      </c>
      <c r="BI3058">
        <v>0</v>
      </c>
      <c r="BJ3058">
        <v>4425</v>
      </c>
      <c r="BK3058">
        <v>25</v>
      </c>
      <c r="BL3058" t="s">
        <v>188</v>
      </c>
      <c r="BM3058">
        <v>1</v>
      </c>
      <c r="BN3058">
        <v>1</v>
      </c>
      <c r="BO3058">
        <v>0</v>
      </c>
      <c r="BP3058">
        <v>0</v>
      </c>
      <c r="BS3058">
        <v>0</v>
      </c>
      <c r="BT3058">
        <v>0</v>
      </c>
      <c r="BU3058">
        <v>0</v>
      </c>
      <c r="CE3058" t="str">
        <f t="shared" si="1211"/>
        <v>15:13:01.833</v>
      </c>
      <c r="CF3058">
        <v>833480581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5</v>
      </c>
      <c r="CY3058">
        <v>7</v>
      </c>
      <c r="CZ3058" t="s">
        <v>133</v>
      </c>
      <c r="DA3058">
        <v>275</v>
      </c>
      <c r="DB3058">
        <v>0</v>
      </c>
      <c r="DC3058" t="s">
        <v>134</v>
      </c>
      <c r="DD3058" t="s">
        <v>135</v>
      </c>
      <c r="DG3058">
        <v>3322319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">
      <c r="A3059" t="str">
        <f>"05/01/2025 15:13:02.059"</f>
        <v>05/01/2025 15:13:02.059</v>
      </c>
      <c r="C3059" t="str">
        <f t="shared" si="1192"/>
        <v>FFDFD3C0</v>
      </c>
      <c r="D3059" t="s">
        <v>143</v>
      </c>
      <c r="E3059" t="str">
        <f>"05"</f>
        <v>05</v>
      </c>
      <c r="H3059">
        <v>172</v>
      </c>
      <c r="I3059" t="s">
        <v>141</v>
      </c>
      <c r="J3059" t="s">
        <v>144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R3059" t="s">
        <v>127</v>
      </c>
      <c r="S3059" t="str">
        <f t="shared" si="1210"/>
        <v>15:13:01.000</v>
      </c>
      <c r="T3059" t="str">
        <f t="shared" si="1210"/>
        <v>15:13:01.000</v>
      </c>
      <c r="U3059" t="str">
        <f t="shared" si="1193"/>
        <v>A68FCB</v>
      </c>
      <c r="V3059">
        <v>0</v>
      </c>
      <c r="W3059">
        <v>0</v>
      </c>
      <c r="X3059">
        <v>2</v>
      </c>
      <c r="Y3059">
        <v>0</v>
      </c>
      <c r="AA3059">
        <v>1</v>
      </c>
      <c r="AB3059">
        <v>8</v>
      </c>
      <c r="AC3059">
        <v>3</v>
      </c>
      <c r="AD3059">
        <v>0</v>
      </c>
      <c r="AE3059">
        <v>9</v>
      </c>
      <c r="AF3059" t="s">
        <v>138</v>
      </c>
      <c r="AG3059">
        <v>0</v>
      </c>
      <c r="AH3059">
        <v>3</v>
      </c>
      <c r="AI3059">
        <v>2</v>
      </c>
      <c r="AJ3059">
        <v>0</v>
      </c>
      <c r="AK3059" t="s">
        <v>1029</v>
      </c>
      <c r="AL3059">
        <v>39.119267000000001</v>
      </c>
      <c r="AM3059" t="s">
        <v>1028</v>
      </c>
      <c r="AN3059">
        <v>-121.032</v>
      </c>
      <c r="AO3059">
        <v>25</v>
      </c>
      <c r="AP3059">
        <v>4400</v>
      </c>
      <c r="AQ3059" t="s">
        <v>131</v>
      </c>
      <c r="AR3059">
        <v>1</v>
      </c>
      <c r="AS3059">
        <v>83</v>
      </c>
      <c r="AT3059">
        <v>0</v>
      </c>
      <c r="BB3059" t="str">
        <f t="shared" si="1194"/>
        <v>1200</v>
      </c>
      <c r="BC3059">
        <v>1</v>
      </c>
      <c r="BD3059" t="str">
        <f t="shared" si="1195"/>
        <v xml:space="preserve">N52156  </v>
      </c>
      <c r="BE3059">
        <v>1</v>
      </c>
      <c r="BG3059">
        <v>0</v>
      </c>
      <c r="BH3059">
        <v>0</v>
      </c>
      <c r="BI3059">
        <v>0</v>
      </c>
      <c r="BJ3059">
        <v>4425</v>
      </c>
      <c r="BK3059">
        <v>25</v>
      </c>
      <c r="BL3059" t="s">
        <v>188</v>
      </c>
      <c r="BM3059">
        <v>1</v>
      </c>
      <c r="BN3059">
        <v>1</v>
      </c>
      <c r="BO3059">
        <v>0</v>
      </c>
      <c r="BP3059">
        <v>0</v>
      </c>
      <c r="BS3059">
        <v>0</v>
      </c>
      <c r="BT3059">
        <v>0</v>
      </c>
      <c r="BU3059">
        <v>0</v>
      </c>
      <c r="CE3059" t="str">
        <f t="shared" si="1211"/>
        <v>15:13:01.833</v>
      </c>
      <c r="CF3059">
        <v>833480581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5</v>
      </c>
      <c r="CY3059">
        <v>7</v>
      </c>
      <c r="CZ3059" t="s">
        <v>133</v>
      </c>
      <c r="DA3059">
        <v>275</v>
      </c>
      <c r="DB3059">
        <v>0</v>
      </c>
      <c r="DC3059" t="s">
        <v>134</v>
      </c>
      <c r="DD3059" t="s">
        <v>135</v>
      </c>
      <c r="DG3059">
        <v>3322319</v>
      </c>
      <c r="DI3059">
        <v>1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">
      <c r="A3060" t="str">
        <f>"05/01/2025 15:13:02.075"</f>
        <v>05/01/2025 15:13:02.075</v>
      </c>
      <c r="C3060" t="str">
        <f t="shared" si="1192"/>
        <v>FFDFD3C0</v>
      </c>
      <c r="D3060" t="s">
        <v>140</v>
      </c>
      <c r="E3060" t="str">
        <f>"13"</f>
        <v>13</v>
      </c>
      <c r="F3060">
        <v>1019</v>
      </c>
      <c r="G3060" t="s">
        <v>141</v>
      </c>
      <c r="J3060" t="s">
        <v>142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R3060" t="s">
        <v>127</v>
      </c>
      <c r="S3060" t="str">
        <f t="shared" si="1210"/>
        <v>15:13:01.000</v>
      </c>
      <c r="T3060" t="str">
        <f t="shared" si="1210"/>
        <v>15:13:01.000</v>
      </c>
      <c r="U3060" t="str">
        <f t="shared" si="1193"/>
        <v>A68FCB</v>
      </c>
      <c r="V3060">
        <v>0</v>
      </c>
      <c r="W3060">
        <v>0</v>
      </c>
      <c r="X3060">
        <v>2</v>
      </c>
      <c r="Y3060">
        <v>0</v>
      </c>
      <c r="AA3060">
        <v>1</v>
      </c>
      <c r="AB3060">
        <v>8</v>
      </c>
      <c r="AC3060">
        <v>3</v>
      </c>
      <c r="AD3060">
        <v>0</v>
      </c>
      <c r="AE3060">
        <v>9</v>
      </c>
      <c r="AF3060" t="s">
        <v>138</v>
      </c>
      <c r="AG3060">
        <v>0</v>
      </c>
      <c r="AH3060">
        <v>3</v>
      </c>
      <c r="AI3060">
        <v>2</v>
      </c>
      <c r="AJ3060">
        <v>0</v>
      </c>
      <c r="AK3060" t="s">
        <v>1029</v>
      </c>
      <c r="AL3060">
        <v>39.119267000000001</v>
      </c>
      <c r="AM3060" t="s">
        <v>1028</v>
      </c>
      <c r="AN3060">
        <v>-121.032</v>
      </c>
      <c r="AO3060">
        <v>25</v>
      </c>
      <c r="AP3060">
        <v>4400</v>
      </c>
      <c r="AQ3060" t="s">
        <v>131</v>
      </c>
      <c r="AR3060">
        <v>1</v>
      </c>
      <c r="AS3060">
        <v>83</v>
      </c>
      <c r="AT3060">
        <v>0</v>
      </c>
      <c r="BB3060" t="str">
        <f t="shared" si="1194"/>
        <v>1200</v>
      </c>
      <c r="BC3060">
        <v>1</v>
      </c>
      <c r="BD3060" t="str">
        <f t="shared" si="1195"/>
        <v xml:space="preserve">N52156  </v>
      </c>
      <c r="BE3060">
        <v>1</v>
      </c>
      <c r="BG3060">
        <v>0</v>
      </c>
      <c r="BH3060">
        <v>0</v>
      </c>
      <c r="BI3060">
        <v>0</v>
      </c>
      <c r="BJ3060">
        <v>4425</v>
      </c>
      <c r="BK3060">
        <v>25</v>
      </c>
      <c r="BL3060" t="s">
        <v>188</v>
      </c>
      <c r="BM3060">
        <v>1</v>
      </c>
      <c r="BN3060">
        <v>1</v>
      </c>
      <c r="BO3060">
        <v>0</v>
      </c>
      <c r="BP3060">
        <v>0</v>
      </c>
      <c r="BS3060">
        <v>0</v>
      </c>
      <c r="BT3060">
        <v>0</v>
      </c>
      <c r="BU3060">
        <v>0</v>
      </c>
      <c r="CE3060" t="str">
        <f t="shared" si="1211"/>
        <v>15:13:01.833</v>
      </c>
      <c r="CF3060">
        <v>833480581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5</v>
      </c>
      <c r="CY3060">
        <v>7</v>
      </c>
      <c r="CZ3060" t="s">
        <v>133</v>
      </c>
      <c r="DA3060">
        <v>275</v>
      </c>
      <c r="DB3060">
        <v>0</v>
      </c>
      <c r="DC3060" t="s">
        <v>134</v>
      </c>
      <c r="DD3060" t="s">
        <v>135</v>
      </c>
      <c r="DG3060">
        <v>3322319</v>
      </c>
      <c r="DI3060">
        <v>1</v>
      </c>
      <c r="DJ3060">
        <v>0</v>
      </c>
      <c r="DK3060">
        <v>1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">
      <c r="A3061" t="str">
        <f>"05/01/2025 15:13:02.074"</f>
        <v>05/01/2025 15:13:02.074</v>
      </c>
      <c r="C3061" t="str">
        <f t="shared" si="1192"/>
        <v>FFDFD3C0</v>
      </c>
      <c r="D3061" t="s">
        <v>124</v>
      </c>
      <c r="E3061" t="str">
        <f>"06"</f>
        <v>06</v>
      </c>
      <c r="F3061">
        <v>2006</v>
      </c>
      <c r="G3061" t="s">
        <v>125</v>
      </c>
      <c r="J3061" t="s">
        <v>126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R3061" t="s">
        <v>127</v>
      </c>
      <c r="S3061" t="str">
        <f t="shared" si="1210"/>
        <v>15:13:01.000</v>
      </c>
      <c r="T3061" t="str">
        <f t="shared" si="1210"/>
        <v>15:13:01.000</v>
      </c>
      <c r="U3061" t="str">
        <f t="shared" si="1193"/>
        <v>A68FCB</v>
      </c>
      <c r="V3061">
        <v>0</v>
      </c>
      <c r="W3061">
        <v>0</v>
      </c>
      <c r="X3061">
        <v>2</v>
      </c>
      <c r="Y3061">
        <v>0</v>
      </c>
      <c r="AA3061">
        <v>1</v>
      </c>
      <c r="AB3061">
        <v>8</v>
      </c>
      <c r="AC3061">
        <v>3</v>
      </c>
      <c r="AD3061">
        <v>0</v>
      </c>
      <c r="AE3061">
        <v>9</v>
      </c>
      <c r="AF3061" t="s">
        <v>138</v>
      </c>
      <c r="AG3061">
        <v>0</v>
      </c>
      <c r="AH3061">
        <v>3</v>
      </c>
      <c r="AI3061">
        <v>2</v>
      </c>
      <c r="AJ3061">
        <v>0</v>
      </c>
      <c r="AK3061" t="s">
        <v>1029</v>
      </c>
      <c r="AL3061">
        <v>39.119267000000001</v>
      </c>
      <c r="AM3061" t="s">
        <v>1028</v>
      </c>
      <c r="AN3061">
        <v>-121.032</v>
      </c>
      <c r="AO3061">
        <v>25</v>
      </c>
      <c r="AP3061">
        <v>4400</v>
      </c>
      <c r="AQ3061" t="s">
        <v>131</v>
      </c>
      <c r="AR3061">
        <v>1</v>
      </c>
      <c r="AS3061">
        <v>83</v>
      </c>
      <c r="AT3061">
        <v>0</v>
      </c>
      <c r="BB3061" t="str">
        <f t="shared" si="1194"/>
        <v>1200</v>
      </c>
      <c r="BC3061">
        <v>1</v>
      </c>
      <c r="BD3061" t="str">
        <f t="shared" si="1195"/>
        <v xml:space="preserve">N52156  </v>
      </c>
      <c r="BE3061">
        <v>1</v>
      </c>
      <c r="BG3061">
        <v>0</v>
      </c>
      <c r="BH3061">
        <v>0</v>
      </c>
      <c r="BI3061">
        <v>0</v>
      </c>
      <c r="BJ3061">
        <v>4425</v>
      </c>
      <c r="BK3061">
        <v>25</v>
      </c>
      <c r="BL3061" t="s">
        <v>188</v>
      </c>
      <c r="BM3061">
        <v>1</v>
      </c>
      <c r="BN3061">
        <v>1</v>
      </c>
      <c r="BO3061">
        <v>0</v>
      </c>
      <c r="BP3061">
        <v>0</v>
      </c>
      <c r="BS3061">
        <v>0</v>
      </c>
      <c r="BT3061">
        <v>0</v>
      </c>
      <c r="BU3061">
        <v>0</v>
      </c>
      <c r="CE3061" t="str">
        <f t="shared" si="1211"/>
        <v>15:13:01.833</v>
      </c>
      <c r="CF3061">
        <v>833480581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5</v>
      </c>
      <c r="CY3061">
        <v>7</v>
      </c>
      <c r="CZ3061" t="s">
        <v>133</v>
      </c>
      <c r="DA3061">
        <v>275</v>
      </c>
      <c r="DB3061">
        <v>0</v>
      </c>
      <c r="DC3061" t="s">
        <v>134</v>
      </c>
      <c r="DD3061" t="s">
        <v>135</v>
      </c>
      <c r="DG3061">
        <v>3322319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">
      <c r="A3062" t="str">
        <f>"05/01/2025 15:13:02.540"</f>
        <v>05/01/2025 15:13:02.540</v>
      </c>
      <c r="C3062" t="str">
        <f t="shared" si="1192"/>
        <v>FFDFD3C0</v>
      </c>
      <c r="D3062" t="s">
        <v>145</v>
      </c>
      <c r="E3062" t="str">
        <f>"09"</f>
        <v>09</v>
      </c>
      <c r="H3062">
        <v>51</v>
      </c>
      <c r="I3062" t="s">
        <v>147</v>
      </c>
      <c r="J3062" t="s">
        <v>138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R3062" t="s">
        <v>127</v>
      </c>
      <c r="S3062" t="str">
        <f t="shared" ref="S3062:T3067" si="1212">"15:13:02.000"</f>
        <v>15:13:02.000</v>
      </c>
      <c r="T3062" t="str">
        <f t="shared" si="1212"/>
        <v>15:13:02.000</v>
      </c>
      <c r="U3062" t="str">
        <f t="shared" si="1193"/>
        <v>A68FCB</v>
      </c>
      <c r="V3062">
        <v>0</v>
      </c>
      <c r="W3062">
        <v>0</v>
      </c>
      <c r="X3062">
        <v>2</v>
      </c>
      <c r="Y3062">
        <v>0</v>
      </c>
      <c r="AA3062">
        <v>1</v>
      </c>
      <c r="AB3062">
        <v>8</v>
      </c>
      <c r="AC3062">
        <v>3</v>
      </c>
      <c r="AD3062">
        <v>0</v>
      </c>
      <c r="AE3062">
        <v>9</v>
      </c>
      <c r="AF3062" t="s">
        <v>138</v>
      </c>
      <c r="AG3062">
        <v>0</v>
      </c>
      <c r="AH3062">
        <v>3</v>
      </c>
      <c r="AI3062">
        <v>2</v>
      </c>
      <c r="AJ3062">
        <v>0</v>
      </c>
      <c r="AK3062" t="s">
        <v>1030</v>
      </c>
      <c r="AL3062">
        <v>39.119653999999997</v>
      </c>
      <c r="AM3062" t="s">
        <v>1025</v>
      </c>
      <c r="AN3062">
        <v>-121.032021</v>
      </c>
      <c r="AO3062">
        <v>25</v>
      </c>
      <c r="AP3062">
        <v>4400</v>
      </c>
      <c r="AQ3062" t="s">
        <v>131</v>
      </c>
      <c r="AR3062">
        <v>1</v>
      </c>
      <c r="AS3062">
        <v>83</v>
      </c>
      <c r="AT3062">
        <v>0</v>
      </c>
      <c r="BB3062" t="str">
        <f t="shared" si="1194"/>
        <v>1200</v>
      </c>
      <c r="BC3062">
        <v>1</v>
      </c>
      <c r="BD3062" t="str">
        <f t="shared" si="1195"/>
        <v xml:space="preserve">N52156  </v>
      </c>
      <c r="BE3062">
        <v>1</v>
      </c>
      <c r="BG3062">
        <v>0</v>
      </c>
      <c r="BH3062">
        <v>0</v>
      </c>
      <c r="BI3062">
        <v>0</v>
      </c>
      <c r="BJ3062">
        <v>4425</v>
      </c>
      <c r="BK3062">
        <v>25</v>
      </c>
      <c r="BL3062" t="s">
        <v>188</v>
      </c>
      <c r="BM3062">
        <v>1</v>
      </c>
      <c r="BN3062">
        <v>1</v>
      </c>
      <c r="BO3062">
        <v>0</v>
      </c>
      <c r="BP3062">
        <v>0</v>
      </c>
      <c r="BS3062">
        <v>0</v>
      </c>
      <c r="BT3062">
        <v>0</v>
      </c>
      <c r="BU3062">
        <v>0</v>
      </c>
      <c r="CE3062" t="str">
        <f t="shared" ref="CE3062:CE3067" si="1213">"15:13:02.330"</f>
        <v>15:13:02.330</v>
      </c>
      <c r="CF3062">
        <v>330479309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5</v>
      </c>
      <c r="CY3062">
        <v>7</v>
      </c>
      <c r="CZ3062" t="s">
        <v>133</v>
      </c>
      <c r="DA3062">
        <v>275</v>
      </c>
      <c r="DB3062">
        <v>0</v>
      </c>
      <c r="DC3062" t="s">
        <v>134</v>
      </c>
      <c r="DD3062" t="s">
        <v>135</v>
      </c>
      <c r="DG3062">
        <v>3322322</v>
      </c>
      <c r="DI3062">
        <v>1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">
      <c r="A3063" t="str">
        <f>"05/01/2025 15:13:02.541"</f>
        <v>05/01/2025 15:13:02.541</v>
      </c>
      <c r="C3063" t="str">
        <f t="shared" si="1192"/>
        <v>FFDFD3C0</v>
      </c>
      <c r="D3063" t="s">
        <v>145</v>
      </c>
      <c r="E3063" t="str">
        <f>"05"</f>
        <v>05</v>
      </c>
      <c r="H3063">
        <v>47</v>
      </c>
      <c r="I3063" t="s">
        <v>146</v>
      </c>
      <c r="J3063" t="s">
        <v>138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R3063" t="s">
        <v>127</v>
      </c>
      <c r="S3063" t="str">
        <f t="shared" si="1212"/>
        <v>15:13:02.000</v>
      </c>
      <c r="T3063" t="str">
        <f t="shared" si="1212"/>
        <v>15:13:02.000</v>
      </c>
      <c r="U3063" t="str">
        <f t="shared" si="1193"/>
        <v>A68FCB</v>
      </c>
      <c r="V3063">
        <v>0</v>
      </c>
      <c r="W3063">
        <v>0</v>
      </c>
      <c r="X3063">
        <v>2</v>
      </c>
      <c r="Y3063">
        <v>0</v>
      </c>
      <c r="AA3063">
        <v>1</v>
      </c>
      <c r="AB3063">
        <v>8</v>
      </c>
      <c r="AC3063">
        <v>3</v>
      </c>
      <c r="AD3063">
        <v>0</v>
      </c>
      <c r="AE3063">
        <v>9</v>
      </c>
      <c r="AF3063" t="s">
        <v>138</v>
      </c>
      <c r="AG3063">
        <v>0</v>
      </c>
      <c r="AH3063">
        <v>3</v>
      </c>
      <c r="AI3063">
        <v>2</v>
      </c>
      <c r="AJ3063">
        <v>0</v>
      </c>
      <c r="AK3063" t="s">
        <v>1030</v>
      </c>
      <c r="AL3063">
        <v>39.119653999999997</v>
      </c>
      <c r="AM3063" t="s">
        <v>1025</v>
      </c>
      <c r="AN3063">
        <v>-121.032021</v>
      </c>
      <c r="AO3063">
        <v>25</v>
      </c>
      <c r="AP3063">
        <v>4400</v>
      </c>
      <c r="AQ3063" t="s">
        <v>131</v>
      </c>
      <c r="AR3063">
        <v>1</v>
      </c>
      <c r="AS3063">
        <v>83</v>
      </c>
      <c r="AT3063">
        <v>0</v>
      </c>
      <c r="BB3063" t="str">
        <f t="shared" si="1194"/>
        <v>1200</v>
      </c>
      <c r="BC3063">
        <v>1</v>
      </c>
      <c r="BD3063" t="str">
        <f t="shared" si="1195"/>
        <v xml:space="preserve">N52156  </v>
      </c>
      <c r="BE3063">
        <v>1</v>
      </c>
      <c r="BG3063">
        <v>0</v>
      </c>
      <c r="BH3063">
        <v>0</v>
      </c>
      <c r="BI3063">
        <v>0</v>
      </c>
      <c r="BJ3063">
        <v>4425</v>
      </c>
      <c r="BK3063">
        <v>25</v>
      </c>
      <c r="BL3063" t="s">
        <v>188</v>
      </c>
      <c r="BM3063">
        <v>1</v>
      </c>
      <c r="BN3063">
        <v>1</v>
      </c>
      <c r="BO3063">
        <v>0</v>
      </c>
      <c r="BP3063">
        <v>0</v>
      </c>
      <c r="BS3063">
        <v>0</v>
      </c>
      <c r="BT3063">
        <v>0</v>
      </c>
      <c r="BU3063">
        <v>0</v>
      </c>
      <c r="CE3063" t="str">
        <f t="shared" si="1213"/>
        <v>15:13:02.330</v>
      </c>
      <c r="CF3063">
        <v>330479309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5</v>
      </c>
      <c r="CY3063">
        <v>7</v>
      </c>
      <c r="CZ3063" t="s">
        <v>133</v>
      </c>
      <c r="DA3063">
        <v>275</v>
      </c>
      <c r="DB3063">
        <v>0</v>
      </c>
      <c r="DC3063" t="s">
        <v>134</v>
      </c>
      <c r="DD3063" t="s">
        <v>135</v>
      </c>
      <c r="DG3063">
        <v>3322322</v>
      </c>
      <c r="DI3063">
        <v>1</v>
      </c>
      <c r="DJ3063">
        <v>0</v>
      </c>
      <c r="DK3063">
        <v>1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">
      <c r="A3064" t="str">
        <f>"05/01/2025 15:13:02.551"</f>
        <v>05/01/2025 15:13:02.551</v>
      </c>
      <c r="C3064" t="str">
        <f t="shared" si="1192"/>
        <v>FFDFD3C0</v>
      </c>
      <c r="D3064" t="s">
        <v>136</v>
      </c>
      <c r="E3064" t="str">
        <f>"20"</f>
        <v>20</v>
      </c>
      <c r="H3064">
        <v>400</v>
      </c>
      <c r="I3064" t="s">
        <v>137</v>
      </c>
      <c r="J3064" t="s">
        <v>138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R3064" t="s">
        <v>127</v>
      </c>
      <c r="S3064" t="str">
        <f t="shared" si="1212"/>
        <v>15:13:02.000</v>
      </c>
      <c r="T3064" t="str">
        <f t="shared" si="1212"/>
        <v>15:13:02.000</v>
      </c>
      <c r="U3064" t="str">
        <f t="shared" si="1193"/>
        <v>A68FCB</v>
      </c>
      <c r="V3064">
        <v>0</v>
      </c>
      <c r="W3064">
        <v>0</v>
      </c>
      <c r="X3064">
        <v>2</v>
      </c>
      <c r="Y3064">
        <v>0</v>
      </c>
      <c r="AA3064">
        <v>1</v>
      </c>
      <c r="AB3064">
        <v>8</v>
      </c>
      <c r="AC3064">
        <v>3</v>
      </c>
      <c r="AD3064">
        <v>0</v>
      </c>
      <c r="AE3064">
        <v>9</v>
      </c>
      <c r="AF3064" t="s">
        <v>138</v>
      </c>
      <c r="AG3064">
        <v>0</v>
      </c>
      <c r="AH3064">
        <v>3</v>
      </c>
      <c r="AI3064">
        <v>2</v>
      </c>
      <c r="AJ3064">
        <v>0</v>
      </c>
      <c r="AK3064" t="s">
        <v>1030</v>
      </c>
      <c r="AL3064">
        <v>39.119653999999997</v>
      </c>
      <c r="AM3064" t="s">
        <v>1025</v>
      </c>
      <c r="AN3064">
        <v>-121.032021</v>
      </c>
      <c r="AO3064">
        <v>25</v>
      </c>
      <c r="AP3064">
        <v>4400</v>
      </c>
      <c r="AQ3064" t="s">
        <v>131</v>
      </c>
      <c r="AR3064">
        <v>1</v>
      </c>
      <c r="AS3064">
        <v>83</v>
      </c>
      <c r="AT3064">
        <v>0</v>
      </c>
      <c r="BB3064" t="str">
        <f t="shared" si="1194"/>
        <v>1200</v>
      </c>
      <c r="BC3064">
        <v>1</v>
      </c>
      <c r="BD3064" t="str">
        <f t="shared" si="1195"/>
        <v xml:space="preserve">N52156  </v>
      </c>
      <c r="BE3064">
        <v>1</v>
      </c>
      <c r="BG3064">
        <v>0</v>
      </c>
      <c r="BH3064">
        <v>0</v>
      </c>
      <c r="BI3064">
        <v>0</v>
      </c>
      <c r="BJ3064">
        <v>4425</v>
      </c>
      <c r="BK3064">
        <v>25</v>
      </c>
      <c r="BL3064" t="s">
        <v>188</v>
      </c>
      <c r="BM3064">
        <v>1</v>
      </c>
      <c r="BN3064">
        <v>1</v>
      </c>
      <c r="BO3064">
        <v>0</v>
      </c>
      <c r="BP3064">
        <v>0</v>
      </c>
      <c r="BS3064">
        <v>0</v>
      </c>
      <c r="BT3064">
        <v>0</v>
      </c>
      <c r="BU3064">
        <v>0</v>
      </c>
      <c r="CE3064" t="str">
        <f t="shared" si="1213"/>
        <v>15:13:02.330</v>
      </c>
      <c r="CF3064">
        <v>330479309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5</v>
      </c>
      <c r="CY3064">
        <v>7</v>
      </c>
      <c r="CZ3064" t="s">
        <v>133</v>
      </c>
      <c r="DA3064">
        <v>275</v>
      </c>
      <c r="DB3064">
        <v>0</v>
      </c>
      <c r="DC3064" t="s">
        <v>134</v>
      </c>
      <c r="DD3064" t="s">
        <v>135</v>
      </c>
      <c r="DG3064">
        <v>3322322</v>
      </c>
      <c r="DI3064">
        <v>1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">
      <c r="A3065" t="str">
        <f>"05/01/2025 15:13:02.560"</f>
        <v>05/01/2025 15:13:02.560</v>
      </c>
      <c r="C3065" t="str">
        <f t="shared" si="1192"/>
        <v>FFDFD3C0</v>
      </c>
      <c r="D3065" t="s">
        <v>143</v>
      </c>
      <c r="E3065" t="str">
        <f>"05"</f>
        <v>05</v>
      </c>
      <c r="H3065">
        <v>172</v>
      </c>
      <c r="I3065" t="s">
        <v>141</v>
      </c>
      <c r="J3065" t="s">
        <v>144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R3065" t="s">
        <v>127</v>
      </c>
      <c r="S3065" t="str">
        <f t="shared" si="1212"/>
        <v>15:13:02.000</v>
      </c>
      <c r="T3065" t="str">
        <f t="shared" si="1212"/>
        <v>15:13:02.000</v>
      </c>
      <c r="U3065" t="str">
        <f t="shared" si="1193"/>
        <v>A68FCB</v>
      </c>
      <c r="V3065">
        <v>0</v>
      </c>
      <c r="W3065">
        <v>0</v>
      </c>
      <c r="X3065">
        <v>2</v>
      </c>
      <c r="Y3065">
        <v>0</v>
      </c>
      <c r="AA3065">
        <v>1</v>
      </c>
      <c r="AB3065">
        <v>8</v>
      </c>
      <c r="AC3065">
        <v>3</v>
      </c>
      <c r="AD3065">
        <v>0</v>
      </c>
      <c r="AE3065">
        <v>9</v>
      </c>
      <c r="AF3065" t="s">
        <v>138</v>
      </c>
      <c r="AG3065">
        <v>0</v>
      </c>
      <c r="AH3065">
        <v>3</v>
      </c>
      <c r="AI3065">
        <v>2</v>
      </c>
      <c r="AJ3065">
        <v>0</v>
      </c>
      <c r="AK3065" t="s">
        <v>1030</v>
      </c>
      <c r="AL3065">
        <v>39.119653999999997</v>
      </c>
      <c r="AM3065" t="s">
        <v>1025</v>
      </c>
      <c r="AN3065">
        <v>-121.032021</v>
      </c>
      <c r="AO3065">
        <v>25</v>
      </c>
      <c r="AP3065">
        <v>4400</v>
      </c>
      <c r="AQ3065" t="s">
        <v>131</v>
      </c>
      <c r="AR3065">
        <v>1</v>
      </c>
      <c r="AS3065">
        <v>83</v>
      </c>
      <c r="AT3065">
        <v>0</v>
      </c>
      <c r="BB3065" t="str">
        <f t="shared" si="1194"/>
        <v>1200</v>
      </c>
      <c r="BC3065">
        <v>1</v>
      </c>
      <c r="BD3065" t="str">
        <f t="shared" si="1195"/>
        <v xml:space="preserve">N52156  </v>
      </c>
      <c r="BE3065">
        <v>1</v>
      </c>
      <c r="BG3065">
        <v>0</v>
      </c>
      <c r="BH3065">
        <v>0</v>
      </c>
      <c r="BI3065">
        <v>0</v>
      </c>
      <c r="BJ3065">
        <v>4425</v>
      </c>
      <c r="BK3065">
        <v>25</v>
      </c>
      <c r="BL3065" t="s">
        <v>188</v>
      </c>
      <c r="BM3065">
        <v>1</v>
      </c>
      <c r="BN3065">
        <v>1</v>
      </c>
      <c r="BO3065">
        <v>0</v>
      </c>
      <c r="BP3065">
        <v>0</v>
      </c>
      <c r="BS3065">
        <v>0</v>
      </c>
      <c r="BT3065">
        <v>0</v>
      </c>
      <c r="BU3065">
        <v>0</v>
      </c>
      <c r="CE3065" t="str">
        <f t="shared" si="1213"/>
        <v>15:13:02.330</v>
      </c>
      <c r="CF3065">
        <v>330479309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5</v>
      </c>
      <c r="CY3065">
        <v>7</v>
      </c>
      <c r="CZ3065" t="s">
        <v>133</v>
      </c>
      <c r="DA3065">
        <v>275</v>
      </c>
      <c r="DB3065">
        <v>0</v>
      </c>
      <c r="DC3065" t="s">
        <v>134</v>
      </c>
      <c r="DD3065" t="s">
        <v>135</v>
      </c>
      <c r="DG3065">
        <v>3322322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">
      <c r="A3066" t="str">
        <f>"05/01/2025 15:13:02.574"</f>
        <v>05/01/2025 15:13:02.574</v>
      </c>
      <c r="C3066" t="str">
        <f t="shared" si="1192"/>
        <v>FFDFD3C0</v>
      </c>
      <c r="D3066" t="s">
        <v>124</v>
      </c>
      <c r="E3066" t="str">
        <f>"06"</f>
        <v>06</v>
      </c>
      <c r="F3066">
        <v>2006</v>
      </c>
      <c r="G3066" t="s">
        <v>125</v>
      </c>
      <c r="J3066" t="s">
        <v>126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R3066" t="s">
        <v>127</v>
      </c>
      <c r="S3066" t="str">
        <f t="shared" si="1212"/>
        <v>15:13:02.000</v>
      </c>
      <c r="T3066" t="str">
        <f t="shared" si="1212"/>
        <v>15:13:02.000</v>
      </c>
      <c r="U3066" t="str">
        <f t="shared" si="1193"/>
        <v>A68FCB</v>
      </c>
      <c r="V3066">
        <v>0</v>
      </c>
      <c r="W3066">
        <v>0</v>
      </c>
      <c r="X3066">
        <v>2</v>
      </c>
      <c r="Y3066">
        <v>0</v>
      </c>
      <c r="AA3066">
        <v>1</v>
      </c>
      <c r="AB3066">
        <v>8</v>
      </c>
      <c r="AC3066">
        <v>3</v>
      </c>
      <c r="AD3066">
        <v>0</v>
      </c>
      <c r="AE3066">
        <v>9</v>
      </c>
      <c r="AF3066" t="s">
        <v>138</v>
      </c>
      <c r="AG3066">
        <v>0</v>
      </c>
      <c r="AH3066">
        <v>3</v>
      </c>
      <c r="AI3066">
        <v>2</v>
      </c>
      <c r="AJ3066">
        <v>0</v>
      </c>
      <c r="AK3066" t="s">
        <v>1030</v>
      </c>
      <c r="AL3066">
        <v>39.119653999999997</v>
      </c>
      <c r="AM3066" t="s">
        <v>1025</v>
      </c>
      <c r="AN3066">
        <v>-121.032021</v>
      </c>
      <c r="AO3066">
        <v>25</v>
      </c>
      <c r="AP3066">
        <v>4400</v>
      </c>
      <c r="AQ3066" t="s">
        <v>131</v>
      </c>
      <c r="AR3066">
        <v>1</v>
      </c>
      <c r="AS3066">
        <v>83</v>
      </c>
      <c r="AT3066">
        <v>0</v>
      </c>
      <c r="BB3066" t="str">
        <f t="shared" si="1194"/>
        <v>1200</v>
      </c>
      <c r="BC3066">
        <v>1</v>
      </c>
      <c r="BD3066" t="str">
        <f t="shared" si="1195"/>
        <v xml:space="preserve">N52156  </v>
      </c>
      <c r="BE3066">
        <v>1</v>
      </c>
      <c r="BG3066">
        <v>0</v>
      </c>
      <c r="BH3066">
        <v>0</v>
      </c>
      <c r="BI3066">
        <v>0</v>
      </c>
      <c r="BJ3066">
        <v>4425</v>
      </c>
      <c r="BK3066">
        <v>25</v>
      </c>
      <c r="BL3066" t="s">
        <v>188</v>
      </c>
      <c r="BM3066">
        <v>1</v>
      </c>
      <c r="BN3066">
        <v>1</v>
      </c>
      <c r="BO3066">
        <v>0</v>
      </c>
      <c r="BP3066">
        <v>0</v>
      </c>
      <c r="BS3066">
        <v>0</v>
      </c>
      <c r="BT3066">
        <v>0</v>
      </c>
      <c r="BU3066">
        <v>0</v>
      </c>
      <c r="CE3066" t="str">
        <f t="shared" si="1213"/>
        <v>15:13:02.330</v>
      </c>
      <c r="CF3066">
        <v>330479309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5</v>
      </c>
      <c r="CY3066">
        <v>7</v>
      </c>
      <c r="CZ3066" t="s">
        <v>133</v>
      </c>
      <c r="DA3066">
        <v>275</v>
      </c>
      <c r="DB3066">
        <v>0</v>
      </c>
      <c r="DC3066" t="s">
        <v>134</v>
      </c>
      <c r="DD3066" t="s">
        <v>135</v>
      </c>
      <c r="DG3066">
        <v>3322322</v>
      </c>
      <c r="DI3066">
        <v>1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">
      <c r="A3067" t="str">
        <f>"05/01/2025 15:13:02.576"</f>
        <v>05/01/2025 15:13:02.576</v>
      </c>
      <c r="C3067" t="str">
        <f t="shared" si="1192"/>
        <v>FFDFD3C0</v>
      </c>
      <c r="D3067" t="s">
        <v>140</v>
      </c>
      <c r="E3067" t="str">
        <f>"13"</f>
        <v>13</v>
      </c>
      <c r="F3067">
        <v>1019</v>
      </c>
      <c r="G3067" t="s">
        <v>141</v>
      </c>
      <c r="J3067" t="s">
        <v>142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R3067" t="s">
        <v>127</v>
      </c>
      <c r="S3067" t="str">
        <f t="shared" si="1212"/>
        <v>15:13:02.000</v>
      </c>
      <c r="T3067" t="str">
        <f t="shared" si="1212"/>
        <v>15:13:02.000</v>
      </c>
      <c r="U3067" t="str">
        <f t="shared" si="1193"/>
        <v>A68FCB</v>
      </c>
      <c r="V3067">
        <v>0</v>
      </c>
      <c r="W3067">
        <v>0</v>
      </c>
      <c r="X3067">
        <v>2</v>
      </c>
      <c r="Y3067">
        <v>0</v>
      </c>
      <c r="AA3067">
        <v>1</v>
      </c>
      <c r="AB3067">
        <v>8</v>
      </c>
      <c r="AC3067">
        <v>3</v>
      </c>
      <c r="AD3067">
        <v>0</v>
      </c>
      <c r="AE3067">
        <v>9</v>
      </c>
      <c r="AF3067" t="s">
        <v>138</v>
      </c>
      <c r="AG3067">
        <v>0</v>
      </c>
      <c r="AH3067">
        <v>3</v>
      </c>
      <c r="AI3067">
        <v>2</v>
      </c>
      <c r="AJ3067">
        <v>0</v>
      </c>
      <c r="AK3067" t="s">
        <v>1030</v>
      </c>
      <c r="AL3067">
        <v>39.119653999999997</v>
      </c>
      <c r="AM3067" t="s">
        <v>1025</v>
      </c>
      <c r="AN3067">
        <v>-121.032021</v>
      </c>
      <c r="AO3067">
        <v>25</v>
      </c>
      <c r="AP3067">
        <v>4400</v>
      </c>
      <c r="AQ3067" t="s">
        <v>131</v>
      </c>
      <c r="AR3067">
        <v>1</v>
      </c>
      <c r="AS3067">
        <v>83</v>
      </c>
      <c r="AT3067">
        <v>0</v>
      </c>
      <c r="BB3067" t="str">
        <f t="shared" si="1194"/>
        <v>1200</v>
      </c>
      <c r="BC3067">
        <v>1</v>
      </c>
      <c r="BD3067" t="str">
        <f t="shared" si="1195"/>
        <v xml:space="preserve">N52156  </v>
      </c>
      <c r="BE3067">
        <v>1</v>
      </c>
      <c r="BG3067">
        <v>0</v>
      </c>
      <c r="BH3067">
        <v>0</v>
      </c>
      <c r="BI3067">
        <v>0</v>
      </c>
      <c r="BJ3067">
        <v>4425</v>
      </c>
      <c r="BK3067">
        <v>25</v>
      </c>
      <c r="BL3067" t="s">
        <v>188</v>
      </c>
      <c r="BM3067">
        <v>1</v>
      </c>
      <c r="BN3067">
        <v>1</v>
      </c>
      <c r="BO3067">
        <v>0</v>
      </c>
      <c r="BP3067">
        <v>0</v>
      </c>
      <c r="BS3067">
        <v>0</v>
      </c>
      <c r="BT3067">
        <v>0</v>
      </c>
      <c r="BU3067">
        <v>0</v>
      </c>
      <c r="CE3067" t="str">
        <f t="shared" si="1213"/>
        <v>15:13:02.330</v>
      </c>
      <c r="CF3067">
        <v>330479309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5</v>
      </c>
      <c r="CY3067">
        <v>7</v>
      </c>
      <c r="CZ3067" t="s">
        <v>133</v>
      </c>
      <c r="DA3067">
        <v>275</v>
      </c>
      <c r="DB3067">
        <v>0</v>
      </c>
      <c r="DC3067" t="s">
        <v>134</v>
      </c>
      <c r="DD3067" t="s">
        <v>135</v>
      </c>
      <c r="DG3067">
        <v>3322322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3">
      <c r="A3068" t="str">
        <f>"05/01/2025 15:13:03.893"</f>
        <v>05/01/2025 15:13:03.893</v>
      </c>
      <c r="C3068" t="str">
        <f t="shared" si="1192"/>
        <v>FFDFD3C0</v>
      </c>
      <c r="D3068" t="s">
        <v>145</v>
      </c>
      <c r="E3068" t="str">
        <f>"09"</f>
        <v>09</v>
      </c>
      <c r="H3068">
        <v>51</v>
      </c>
      <c r="I3068" t="s">
        <v>147</v>
      </c>
      <c r="J3068" t="s">
        <v>138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R3068" t="s">
        <v>127</v>
      </c>
      <c r="S3068" t="str">
        <f t="shared" ref="S3068:T3073" si="1214">"15:13:03.000"</f>
        <v>15:13:03.000</v>
      </c>
      <c r="T3068" t="str">
        <f t="shared" si="1214"/>
        <v>15:13:03.000</v>
      </c>
      <c r="U3068" t="str">
        <f t="shared" si="1193"/>
        <v>A68FCB</v>
      </c>
      <c r="V3068">
        <v>0</v>
      </c>
      <c r="W3068">
        <v>0</v>
      </c>
      <c r="X3068">
        <v>2</v>
      </c>
      <c r="Y3068">
        <v>0</v>
      </c>
      <c r="AA3068">
        <v>1</v>
      </c>
      <c r="AB3068">
        <v>8</v>
      </c>
      <c r="AC3068">
        <v>3</v>
      </c>
      <c r="AD3068">
        <v>0</v>
      </c>
      <c r="AE3068">
        <v>9</v>
      </c>
      <c r="AF3068" t="s">
        <v>138</v>
      </c>
      <c r="AG3068">
        <v>0</v>
      </c>
      <c r="AH3068">
        <v>3</v>
      </c>
      <c r="AI3068">
        <v>2</v>
      </c>
      <c r="AJ3068">
        <v>0</v>
      </c>
      <c r="AK3068" t="s">
        <v>1031</v>
      </c>
      <c r="AL3068">
        <v>39.120040000000003</v>
      </c>
      <c r="AM3068" t="s">
        <v>1028</v>
      </c>
      <c r="AN3068">
        <v>-121.032</v>
      </c>
      <c r="AO3068">
        <v>25</v>
      </c>
      <c r="AP3068">
        <v>4400</v>
      </c>
      <c r="AQ3068" t="s">
        <v>131</v>
      </c>
      <c r="AR3068">
        <v>1</v>
      </c>
      <c r="AS3068">
        <v>83</v>
      </c>
      <c r="AT3068">
        <v>0</v>
      </c>
      <c r="BB3068" t="str">
        <f t="shared" si="1194"/>
        <v>1200</v>
      </c>
      <c r="BC3068">
        <v>1</v>
      </c>
      <c r="BD3068" t="str">
        <f t="shared" si="1195"/>
        <v xml:space="preserve">N52156  </v>
      </c>
      <c r="BE3068">
        <v>1</v>
      </c>
      <c r="BG3068">
        <v>0</v>
      </c>
      <c r="BH3068">
        <v>0</v>
      </c>
      <c r="BI3068">
        <v>0</v>
      </c>
      <c r="BJ3068">
        <v>4425</v>
      </c>
      <c r="BK3068">
        <v>25</v>
      </c>
      <c r="BL3068" t="s">
        <v>188</v>
      </c>
      <c r="BM3068">
        <v>1</v>
      </c>
      <c r="BN3068">
        <v>1</v>
      </c>
      <c r="BO3068">
        <v>0</v>
      </c>
      <c r="BP3068">
        <v>0</v>
      </c>
      <c r="BS3068">
        <v>0</v>
      </c>
      <c r="BT3068">
        <v>0</v>
      </c>
      <c r="BU3068">
        <v>0</v>
      </c>
      <c r="CE3068" t="str">
        <f t="shared" ref="CE3068:CE3073" si="1215">"15:13:03.677"</f>
        <v>15:13:03.677</v>
      </c>
      <c r="CF3068">
        <v>677480305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5</v>
      </c>
      <c r="CY3068">
        <v>7</v>
      </c>
      <c r="CZ3068" t="s">
        <v>133</v>
      </c>
      <c r="DA3068">
        <v>275</v>
      </c>
      <c r="DB3068">
        <v>0</v>
      </c>
      <c r="DC3068" t="s">
        <v>134</v>
      </c>
      <c r="DD3068" t="s">
        <v>135</v>
      </c>
      <c r="DG3068">
        <v>3322329</v>
      </c>
      <c r="DI3068">
        <v>1</v>
      </c>
      <c r="DJ3068">
        <v>0</v>
      </c>
      <c r="DK3068">
        <v>0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3">
      <c r="A3069" t="str">
        <f>"05/01/2025 15:13:03.894"</f>
        <v>05/01/2025 15:13:03.894</v>
      </c>
      <c r="C3069" t="str">
        <f t="shared" si="1192"/>
        <v>FFDFD3C0</v>
      </c>
      <c r="D3069" t="s">
        <v>145</v>
      </c>
      <c r="E3069" t="str">
        <f>"05"</f>
        <v>05</v>
      </c>
      <c r="H3069">
        <v>47</v>
      </c>
      <c r="I3069" t="s">
        <v>146</v>
      </c>
      <c r="J3069" t="s">
        <v>138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R3069" t="s">
        <v>127</v>
      </c>
      <c r="S3069" t="str">
        <f t="shared" si="1214"/>
        <v>15:13:03.000</v>
      </c>
      <c r="T3069" t="str">
        <f t="shared" si="1214"/>
        <v>15:13:03.000</v>
      </c>
      <c r="U3069" t="str">
        <f t="shared" si="1193"/>
        <v>A68FCB</v>
      </c>
      <c r="V3069">
        <v>0</v>
      </c>
      <c r="W3069">
        <v>0</v>
      </c>
      <c r="X3069">
        <v>2</v>
      </c>
      <c r="Y3069">
        <v>0</v>
      </c>
      <c r="AA3069">
        <v>1</v>
      </c>
      <c r="AB3069">
        <v>8</v>
      </c>
      <c r="AC3069">
        <v>3</v>
      </c>
      <c r="AD3069">
        <v>0</v>
      </c>
      <c r="AE3069">
        <v>9</v>
      </c>
      <c r="AF3069" t="s">
        <v>138</v>
      </c>
      <c r="AG3069">
        <v>0</v>
      </c>
      <c r="AH3069">
        <v>3</v>
      </c>
      <c r="AI3069">
        <v>2</v>
      </c>
      <c r="AJ3069">
        <v>0</v>
      </c>
      <c r="AK3069" t="s">
        <v>1031</v>
      </c>
      <c r="AL3069">
        <v>39.120040000000003</v>
      </c>
      <c r="AM3069" t="s">
        <v>1028</v>
      </c>
      <c r="AN3069">
        <v>-121.032</v>
      </c>
      <c r="AO3069">
        <v>25</v>
      </c>
      <c r="AP3069">
        <v>4400</v>
      </c>
      <c r="AQ3069" t="s">
        <v>131</v>
      </c>
      <c r="AR3069">
        <v>1</v>
      </c>
      <c r="AS3069">
        <v>83</v>
      </c>
      <c r="AT3069">
        <v>0</v>
      </c>
      <c r="BB3069" t="str">
        <f t="shared" si="1194"/>
        <v>1200</v>
      </c>
      <c r="BC3069">
        <v>1</v>
      </c>
      <c r="BD3069" t="str">
        <f t="shared" si="1195"/>
        <v xml:space="preserve">N52156  </v>
      </c>
      <c r="BE3069">
        <v>1</v>
      </c>
      <c r="BG3069">
        <v>0</v>
      </c>
      <c r="BH3069">
        <v>0</v>
      </c>
      <c r="BI3069">
        <v>0</v>
      </c>
      <c r="BJ3069">
        <v>4425</v>
      </c>
      <c r="BK3069">
        <v>25</v>
      </c>
      <c r="BL3069" t="s">
        <v>188</v>
      </c>
      <c r="BM3069">
        <v>1</v>
      </c>
      <c r="BN3069">
        <v>1</v>
      </c>
      <c r="BO3069">
        <v>0</v>
      </c>
      <c r="BP3069">
        <v>0</v>
      </c>
      <c r="BS3069">
        <v>0</v>
      </c>
      <c r="BT3069">
        <v>0</v>
      </c>
      <c r="BU3069">
        <v>0</v>
      </c>
      <c r="CE3069" t="str">
        <f t="shared" si="1215"/>
        <v>15:13:03.677</v>
      </c>
      <c r="CF3069">
        <v>677480305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5</v>
      </c>
      <c r="CY3069">
        <v>7</v>
      </c>
      <c r="CZ3069" t="s">
        <v>133</v>
      </c>
      <c r="DA3069">
        <v>275</v>
      </c>
      <c r="DB3069">
        <v>0</v>
      </c>
      <c r="DC3069" t="s">
        <v>134</v>
      </c>
      <c r="DD3069" t="s">
        <v>135</v>
      </c>
      <c r="DG3069">
        <v>3322329</v>
      </c>
      <c r="DI3069">
        <v>1</v>
      </c>
      <c r="DJ3069">
        <v>0</v>
      </c>
      <c r="DK3069">
        <v>1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3">
      <c r="A3070" t="str">
        <f>"05/01/2025 15:13:03.904"</f>
        <v>05/01/2025 15:13:03.904</v>
      </c>
      <c r="C3070" t="str">
        <f t="shared" si="1192"/>
        <v>FFDFD3C0</v>
      </c>
      <c r="D3070" t="s">
        <v>136</v>
      </c>
      <c r="E3070" t="str">
        <f>"20"</f>
        <v>20</v>
      </c>
      <c r="H3070">
        <v>400</v>
      </c>
      <c r="I3070" t="s">
        <v>137</v>
      </c>
      <c r="J3070" t="s">
        <v>138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R3070" t="s">
        <v>127</v>
      </c>
      <c r="S3070" t="str">
        <f t="shared" si="1214"/>
        <v>15:13:03.000</v>
      </c>
      <c r="T3070" t="str">
        <f t="shared" si="1214"/>
        <v>15:13:03.000</v>
      </c>
      <c r="U3070" t="str">
        <f t="shared" si="1193"/>
        <v>A68FCB</v>
      </c>
      <c r="V3070">
        <v>0</v>
      </c>
      <c r="W3070">
        <v>0</v>
      </c>
      <c r="X3070">
        <v>2</v>
      </c>
      <c r="Y3070">
        <v>0</v>
      </c>
      <c r="AA3070">
        <v>1</v>
      </c>
      <c r="AB3070">
        <v>8</v>
      </c>
      <c r="AC3070">
        <v>3</v>
      </c>
      <c r="AD3070">
        <v>0</v>
      </c>
      <c r="AE3070">
        <v>9</v>
      </c>
      <c r="AF3070" t="s">
        <v>138</v>
      </c>
      <c r="AG3070">
        <v>0</v>
      </c>
      <c r="AH3070">
        <v>3</v>
      </c>
      <c r="AI3070">
        <v>2</v>
      </c>
      <c r="AJ3070">
        <v>0</v>
      </c>
      <c r="AK3070" t="s">
        <v>1031</v>
      </c>
      <c r="AL3070">
        <v>39.120040000000003</v>
      </c>
      <c r="AM3070" t="s">
        <v>1028</v>
      </c>
      <c r="AN3070">
        <v>-121.032</v>
      </c>
      <c r="AO3070">
        <v>25</v>
      </c>
      <c r="AP3070">
        <v>4400</v>
      </c>
      <c r="AQ3070" t="s">
        <v>131</v>
      </c>
      <c r="AR3070">
        <v>1</v>
      </c>
      <c r="AS3070">
        <v>83</v>
      </c>
      <c r="AT3070">
        <v>0</v>
      </c>
      <c r="BB3070" t="str">
        <f t="shared" si="1194"/>
        <v>1200</v>
      </c>
      <c r="BC3070">
        <v>1</v>
      </c>
      <c r="BD3070" t="str">
        <f t="shared" si="1195"/>
        <v xml:space="preserve">N52156  </v>
      </c>
      <c r="BE3070">
        <v>1</v>
      </c>
      <c r="BG3070">
        <v>0</v>
      </c>
      <c r="BH3070">
        <v>0</v>
      </c>
      <c r="BI3070">
        <v>0</v>
      </c>
      <c r="BJ3070">
        <v>4425</v>
      </c>
      <c r="BK3070">
        <v>25</v>
      </c>
      <c r="BL3070" t="s">
        <v>188</v>
      </c>
      <c r="BM3070">
        <v>1</v>
      </c>
      <c r="BN3070">
        <v>1</v>
      </c>
      <c r="BO3070">
        <v>0</v>
      </c>
      <c r="BP3070">
        <v>0</v>
      </c>
      <c r="BS3070">
        <v>0</v>
      </c>
      <c r="BT3070">
        <v>0</v>
      </c>
      <c r="BU3070">
        <v>0</v>
      </c>
      <c r="CE3070" t="str">
        <f t="shared" si="1215"/>
        <v>15:13:03.677</v>
      </c>
      <c r="CF3070">
        <v>677480305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5</v>
      </c>
      <c r="CY3070">
        <v>7</v>
      </c>
      <c r="CZ3070" t="s">
        <v>133</v>
      </c>
      <c r="DA3070">
        <v>275</v>
      </c>
      <c r="DB3070">
        <v>0</v>
      </c>
      <c r="DC3070" t="s">
        <v>134</v>
      </c>
      <c r="DD3070" t="s">
        <v>135</v>
      </c>
      <c r="DG3070">
        <v>3322329</v>
      </c>
      <c r="DI3070">
        <v>1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3">
      <c r="A3071" t="str">
        <f>"05/01/2025 15:13:03.912"</f>
        <v>05/01/2025 15:13:03.912</v>
      </c>
      <c r="C3071" t="str">
        <f t="shared" si="1192"/>
        <v>FFDFD3C0</v>
      </c>
      <c r="D3071" t="s">
        <v>143</v>
      </c>
      <c r="E3071" t="str">
        <f>"05"</f>
        <v>05</v>
      </c>
      <c r="H3071">
        <v>172</v>
      </c>
      <c r="I3071" t="s">
        <v>141</v>
      </c>
      <c r="J3071" t="s">
        <v>144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R3071" t="s">
        <v>127</v>
      </c>
      <c r="S3071" t="str">
        <f t="shared" si="1214"/>
        <v>15:13:03.000</v>
      </c>
      <c r="T3071" t="str">
        <f t="shared" si="1214"/>
        <v>15:13:03.000</v>
      </c>
      <c r="U3071" t="str">
        <f t="shared" si="1193"/>
        <v>A68FCB</v>
      </c>
      <c r="V3071">
        <v>0</v>
      </c>
      <c r="W3071">
        <v>0</v>
      </c>
      <c r="X3071">
        <v>2</v>
      </c>
      <c r="Y3071">
        <v>0</v>
      </c>
      <c r="AA3071">
        <v>1</v>
      </c>
      <c r="AB3071">
        <v>8</v>
      </c>
      <c r="AC3071">
        <v>3</v>
      </c>
      <c r="AD3071">
        <v>0</v>
      </c>
      <c r="AE3071">
        <v>9</v>
      </c>
      <c r="AF3071" t="s">
        <v>138</v>
      </c>
      <c r="AG3071">
        <v>0</v>
      </c>
      <c r="AH3071">
        <v>3</v>
      </c>
      <c r="AI3071">
        <v>2</v>
      </c>
      <c r="AJ3071">
        <v>0</v>
      </c>
      <c r="AK3071" t="s">
        <v>1031</v>
      </c>
      <c r="AL3071">
        <v>39.120040000000003</v>
      </c>
      <c r="AM3071" t="s">
        <v>1028</v>
      </c>
      <c r="AN3071">
        <v>-121.032</v>
      </c>
      <c r="AO3071">
        <v>25</v>
      </c>
      <c r="AP3071">
        <v>4400</v>
      </c>
      <c r="AQ3071" t="s">
        <v>131</v>
      </c>
      <c r="AR3071">
        <v>1</v>
      </c>
      <c r="AS3071">
        <v>83</v>
      </c>
      <c r="AT3071">
        <v>0</v>
      </c>
      <c r="BB3071" t="str">
        <f t="shared" si="1194"/>
        <v>1200</v>
      </c>
      <c r="BC3071">
        <v>1</v>
      </c>
      <c r="BD3071" t="str">
        <f t="shared" si="1195"/>
        <v xml:space="preserve">N52156  </v>
      </c>
      <c r="BE3071">
        <v>1</v>
      </c>
      <c r="BG3071">
        <v>0</v>
      </c>
      <c r="BH3071">
        <v>0</v>
      </c>
      <c r="BI3071">
        <v>0</v>
      </c>
      <c r="BJ3071">
        <v>4425</v>
      </c>
      <c r="BK3071">
        <v>25</v>
      </c>
      <c r="BL3071" t="s">
        <v>188</v>
      </c>
      <c r="BM3071">
        <v>1</v>
      </c>
      <c r="BN3071">
        <v>1</v>
      </c>
      <c r="BO3071">
        <v>0</v>
      </c>
      <c r="BP3071">
        <v>0</v>
      </c>
      <c r="BS3071">
        <v>0</v>
      </c>
      <c r="BT3071">
        <v>0</v>
      </c>
      <c r="BU3071">
        <v>0</v>
      </c>
      <c r="CE3071" t="str">
        <f t="shared" si="1215"/>
        <v>15:13:03.677</v>
      </c>
      <c r="CF3071">
        <v>677480305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5</v>
      </c>
      <c r="CY3071">
        <v>7</v>
      </c>
      <c r="CZ3071" t="s">
        <v>133</v>
      </c>
      <c r="DA3071">
        <v>275</v>
      </c>
      <c r="DB3071">
        <v>0</v>
      </c>
      <c r="DC3071" t="s">
        <v>134</v>
      </c>
      <c r="DD3071" t="s">
        <v>135</v>
      </c>
      <c r="DG3071">
        <v>3322329</v>
      </c>
      <c r="DI3071">
        <v>1</v>
      </c>
      <c r="DJ3071">
        <v>0</v>
      </c>
      <c r="DK3071">
        <v>1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3">
      <c r="A3072" t="str">
        <f>"05/01/2025 15:13:03.927"</f>
        <v>05/01/2025 15:13:03.927</v>
      </c>
      <c r="C3072" t="str">
        <f t="shared" si="1192"/>
        <v>FFDFD3C0</v>
      </c>
      <c r="D3072" t="s">
        <v>124</v>
      </c>
      <c r="E3072" t="str">
        <f>"06"</f>
        <v>06</v>
      </c>
      <c r="F3072">
        <v>2006</v>
      </c>
      <c r="G3072" t="s">
        <v>125</v>
      </c>
      <c r="J3072" t="s">
        <v>126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R3072" t="s">
        <v>127</v>
      </c>
      <c r="S3072" t="str">
        <f t="shared" si="1214"/>
        <v>15:13:03.000</v>
      </c>
      <c r="T3072" t="str">
        <f t="shared" si="1214"/>
        <v>15:13:03.000</v>
      </c>
      <c r="U3072" t="str">
        <f t="shared" si="1193"/>
        <v>A68FCB</v>
      </c>
      <c r="V3072">
        <v>0</v>
      </c>
      <c r="W3072">
        <v>0</v>
      </c>
      <c r="X3072">
        <v>2</v>
      </c>
      <c r="Y3072">
        <v>0</v>
      </c>
      <c r="AA3072">
        <v>1</v>
      </c>
      <c r="AB3072">
        <v>8</v>
      </c>
      <c r="AC3072">
        <v>3</v>
      </c>
      <c r="AD3072">
        <v>0</v>
      </c>
      <c r="AE3072">
        <v>9</v>
      </c>
      <c r="AF3072" t="s">
        <v>138</v>
      </c>
      <c r="AG3072">
        <v>0</v>
      </c>
      <c r="AH3072">
        <v>3</v>
      </c>
      <c r="AI3072">
        <v>2</v>
      </c>
      <c r="AJ3072">
        <v>0</v>
      </c>
      <c r="AK3072" t="s">
        <v>1031</v>
      </c>
      <c r="AL3072">
        <v>39.120040000000003</v>
      </c>
      <c r="AM3072" t="s">
        <v>1028</v>
      </c>
      <c r="AN3072">
        <v>-121.032</v>
      </c>
      <c r="AO3072">
        <v>25</v>
      </c>
      <c r="AP3072">
        <v>4400</v>
      </c>
      <c r="AQ3072" t="s">
        <v>131</v>
      </c>
      <c r="AR3072">
        <v>1</v>
      </c>
      <c r="AS3072">
        <v>83</v>
      </c>
      <c r="AT3072">
        <v>0</v>
      </c>
      <c r="BB3072" t="str">
        <f t="shared" si="1194"/>
        <v>1200</v>
      </c>
      <c r="BC3072">
        <v>1</v>
      </c>
      <c r="BD3072" t="str">
        <f t="shared" si="1195"/>
        <v xml:space="preserve">N52156  </v>
      </c>
      <c r="BE3072">
        <v>1</v>
      </c>
      <c r="BG3072">
        <v>0</v>
      </c>
      <c r="BH3072">
        <v>0</v>
      </c>
      <c r="BI3072">
        <v>0</v>
      </c>
      <c r="BJ3072">
        <v>4425</v>
      </c>
      <c r="BK3072">
        <v>25</v>
      </c>
      <c r="BL3072" t="s">
        <v>188</v>
      </c>
      <c r="BM3072">
        <v>1</v>
      </c>
      <c r="BN3072">
        <v>1</v>
      </c>
      <c r="BO3072">
        <v>0</v>
      </c>
      <c r="BP3072">
        <v>0</v>
      </c>
      <c r="BS3072">
        <v>0</v>
      </c>
      <c r="BT3072">
        <v>0</v>
      </c>
      <c r="BU3072">
        <v>0</v>
      </c>
      <c r="CE3072" t="str">
        <f t="shared" si="1215"/>
        <v>15:13:03.677</v>
      </c>
      <c r="CF3072">
        <v>677480305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5</v>
      </c>
      <c r="CY3072">
        <v>7</v>
      </c>
      <c r="CZ3072" t="s">
        <v>133</v>
      </c>
      <c r="DA3072">
        <v>275</v>
      </c>
      <c r="DB3072">
        <v>0</v>
      </c>
      <c r="DC3072" t="s">
        <v>134</v>
      </c>
      <c r="DD3072" t="s">
        <v>135</v>
      </c>
      <c r="DG3072">
        <v>3322329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3">
      <c r="A3073" t="str">
        <f>"05/01/2025 15:13:03.928"</f>
        <v>05/01/2025 15:13:03.928</v>
      </c>
      <c r="C3073" t="str">
        <f t="shared" si="1192"/>
        <v>FFDFD3C0</v>
      </c>
      <c r="D3073" t="s">
        <v>140</v>
      </c>
      <c r="E3073" t="str">
        <f>"13"</f>
        <v>13</v>
      </c>
      <c r="F3073">
        <v>1019</v>
      </c>
      <c r="G3073" t="s">
        <v>141</v>
      </c>
      <c r="J3073" t="s">
        <v>142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R3073" t="s">
        <v>127</v>
      </c>
      <c r="S3073" t="str">
        <f t="shared" si="1214"/>
        <v>15:13:03.000</v>
      </c>
      <c r="T3073" t="str">
        <f t="shared" si="1214"/>
        <v>15:13:03.000</v>
      </c>
      <c r="U3073" t="str">
        <f t="shared" si="1193"/>
        <v>A68FCB</v>
      </c>
      <c r="V3073">
        <v>0</v>
      </c>
      <c r="W3073">
        <v>0</v>
      </c>
      <c r="X3073">
        <v>2</v>
      </c>
      <c r="Y3073">
        <v>0</v>
      </c>
      <c r="AA3073">
        <v>1</v>
      </c>
      <c r="AB3073">
        <v>8</v>
      </c>
      <c r="AC3073">
        <v>3</v>
      </c>
      <c r="AD3073">
        <v>0</v>
      </c>
      <c r="AE3073">
        <v>9</v>
      </c>
      <c r="AF3073" t="s">
        <v>138</v>
      </c>
      <c r="AG3073">
        <v>0</v>
      </c>
      <c r="AH3073">
        <v>3</v>
      </c>
      <c r="AI3073">
        <v>2</v>
      </c>
      <c r="AJ3073">
        <v>0</v>
      </c>
      <c r="AK3073" t="s">
        <v>1031</v>
      </c>
      <c r="AL3073">
        <v>39.120040000000003</v>
      </c>
      <c r="AM3073" t="s">
        <v>1028</v>
      </c>
      <c r="AN3073">
        <v>-121.032</v>
      </c>
      <c r="AO3073">
        <v>25</v>
      </c>
      <c r="AP3073">
        <v>4400</v>
      </c>
      <c r="AQ3073" t="s">
        <v>131</v>
      </c>
      <c r="AR3073">
        <v>1</v>
      </c>
      <c r="AS3073">
        <v>83</v>
      </c>
      <c r="AT3073">
        <v>0</v>
      </c>
      <c r="BB3073" t="str">
        <f t="shared" si="1194"/>
        <v>1200</v>
      </c>
      <c r="BC3073">
        <v>1</v>
      </c>
      <c r="BD3073" t="str">
        <f t="shared" si="1195"/>
        <v xml:space="preserve">N52156  </v>
      </c>
      <c r="BE3073">
        <v>1</v>
      </c>
      <c r="BG3073">
        <v>0</v>
      </c>
      <c r="BH3073">
        <v>0</v>
      </c>
      <c r="BI3073">
        <v>0</v>
      </c>
      <c r="BJ3073">
        <v>4425</v>
      </c>
      <c r="BK3073">
        <v>25</v>
      </c>
      <c r="BL3073" t="s">
        <v>188</v>
      </c>
      <c r="BM3073">
        <v>1</v>
      </c>
      <c r="BN3073">
        <v>1</v>
      </c>
      <c r="BO3073">
        <v>0</v>
      </c>
      <c r="BP3073">
        <v>0</v>
      </c>
      <c r="BS3073">
        <v>0</v>
      </c>
      <c r="BT3073">
        <v>0</v>
      </c>
      <c r="BU3073">
        <v>0</v>
      </c>
      <c r="CE3073" t="str">
        <f t="shared" si="1215"/>
        <v>15:13:03.677</v>
      </c>
      <c r="CF3073">
        <v>677480305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5</v>
      </c>
      <c r="CY3073">
        <v>7</v>
      </c>
      <c r="CZ3073" t="s">
        <v>133</v>
      </c>
      <c r="DA3073">
        <v>275</v>
      </c>
      <c r="DB3073">
        <v>0</v>
      </c>
      <c r="DC3073" t="s">
        <v>134</v>
      </c>
      <c r="DD3073" t="s">
        <v>135</v>
      </c>
      <c r="DG3073">
        <v>3322329</v>
      </c>
      <c r="DI3073">
        <v>1</v>
      </c>
      <c r="DJ3073">
        <v>0</v>
      </c>
      <c r="DK3073">
        <v>1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">
      <c r="A3074" t="str">
        <f>"05/01/2025 15:13:05.195"</f>
        <v>05/01/2025 15:13:05.195</v>
      </c>
      <c r="C3074" t="str">
        <f t="shared" ref="C3074:C3137" si="1216">"FFDFD3C0"</f>
        <v>FFDFD3C0</v>
      </c>
      <c r="D3074" t="s">
        <v>145</v>
      </c>
      <c r="E3074" t="str">
        <f>"09"</f>
        <v>09</v>
      </c>
      <c r="H3074">
        <v>51</v>
      </c>
      <c r="I3074" t="s">
        <v>147</v>
      </c>
      <c r="J3074" t="s">
        <v>138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R3074" t="s">
        <v>127</v>
      </c>
      <c r="S3074" t="str">
        <f t="shared" ref="S3074:T3079" si="1217">"15:13:04.000"</f>
        <v>15:13:04.000</v>
      </c>
      <c r="T3074" t="str">
        <f t="shared" si="1217"/>
        <v>15:13:04.000</v>
      </c>
      <c r="U3074" t="str">
        <f t="shared" ref="U3074:U3137" si="1218">"A68FCB"</f>
        <v>A68FCB</v>
      </c>
      <c r="V3074">
        <v>0</v>
      </c>
      <c r="W3074">
        <v>0</v>
      </c>
      <c r="X3074">
        <v>2</v>
      </c>
      <c r="Y3074">
        <v>0</v>
      </c>
      <c r="AA3074">
        <v>1</v>
      </c>
      <c r="AB3074">
        <v>8</v>
      </c>
      <c r="AC3074">
        <v>3</v>
      </c>
      <c r="AD3074">
        <v>0</v>
      </c>
      <c r="AE3074">
        <v>9</v>
      </c>
      <c r="AF3074" t="s">
        <v>138</v>
      </c>
      <c r="AG3074">
        <v>0</v>
      </c>
      <c r="AH3074">
        <v>3</v>
      </c>
      <c r="AI3074">
        <v>2</v>
      </c>
      <c r="AJ3074">
        <v>0</v>
      </c>
      <c r="AK3074" t="s">
        <v>1032</v>
      </c>
      <c r="AL3074">
        <v>39.120426000000002</v>
      </c>
      <c r="AM3074" t="s">
        <v>1033</v>
      </c>
      <c r="AN3074">
        <v>-121.031978</v>
      </c>
      <c r="AO3074">
        <v>25</v>
      </c>
      <c r="AP3074">
        <v>4400</v>
      </c>
      <c r="AQ3074" t="s">
        <v>131</v>
      </c>
      <c r="AR3074">
        <v>1</v>
      </c>
      <c r="AS3074">
        <v>83</v>
      </c>
      <c r="AT3074">
        <v>0</v>
      </c>
      <c r="BB3074" t="str">
        <f t="shared" ref="BB3074:BB3137" si="1219">"1200"</f>
        <v>1200</v>
      </c>
      <c r="BC3074">
        <v>1</v>
      </c>
      <c r="BD3074" t="str">
        <f t="shared" ref="BD3074:BD3137" si="1220">"N52156  "</f>
        <v xml:space="preserve">N52156  </v>
      </c>
      <c r="BE3074">
        <v>1</v>
      </c>
      <c r="BG3074">
        <v>0</v>
      </c>
      <c r="BH3074">
        <v>0</v>
      </c>
      <c r="BI3074">
        <v>0</v>
      </c>
      <c r="BJ3074">
        <v>4425</v>
      </c>
      <c r="BK3074">
        <v>25</v>
      </c>
      <c r="BL3074" t="s">
        <v>188</v>
      </c>
      <c r="BM3074">
        <v>1</v>
      </c>
      <c r="BN3074">
        <v>1</v>
      </c>
      <c r="BO3074">
        <v>0</v>
      </c>
      <c r="BP3074">
        <v>0</v>
      </c>
      <c r="BS3074">
        <v>0</v>
      </c>
      <c r="BT3074">
        <v>0</v>
      </c>
      <c r="BU3074">
        <v>0</v>
      </c>
      <c r="CE3074" t="str">
        <f t="shared" ref="CE3074:CE3079" si="1221">"15:13:04.983"</f>
        <v>15:13:04.983</v>
      </c>
      <c r="CF3074">
        <v>983481132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5</v>
      </c>
      <c r="CY3074">
        <v>7</v>
      </c>
      <c r="CZ3074" t="s">
        <v>133</v>
      </c>
      <c r="DA3074">
        <v>275</v>
      </c>
      <c r="DB3074">
        <v>0</v>
      </c>
      <c r="DC3074" t="s">
        <v>134</v>
      </c>
      <c r="DD3074" t="s">
        <v>135</v>
      </c>
      <c r="DG3074">
        <v>3322336</v>
      </c>
      <c r="DI3074">
        <v>1</v>
      </c>
      <c r="DJ3074">
        <v>0</v>
      </c>
      <c r="DK3074">
        <v>0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">
      <c r="A3075" t="str">
        <f>"05/01/2025 15:13:05.196"</f>
        <v>05/01/2025 15:13:05.196</v>
      </c>
      <c r="C3075" t="str">
        <f t="shared" si="1216"/>
        <v>FFDFD3C0</v>
      </c>
      <c r="D3075" t="s">
        <v>145</v>
      </c>
      <c r="E3075" t="str">
        <f>"05"</f>
        <v>05</v>
      </c>
      <c r="H3075">
        <v>47</v>
      </c>
      <c r="I3075" t="s">
        <v>146</v>
      </c>
      <c r="J3075" t="s">
        <v>138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R3075" t="s">
        <v>127</v>
      </c>
      <c r="S3075" t="str">
        <f t="shared" si="1217"/>
        <v>15:13:04.000</v>
      </c>
      <c r="T3075" t="str">
        <f t="shared" si="1217"/>
        <v>15:13:04.000</v>
      </c>
      <c r="U3075" t="str">
        <f t="shared" si="1218"/>
        <v>A68FCB</v>
      </c>
      <c r="V3075">
        <v>0</v>
      </c>
      <c r="W3075">
        <v>0</v>
      </c>
      <c r="X3075">
        <v>2</v>
      </c>
      <c r="Y3075">
        <v>0</v>
      </c>
      <c r="AA3075">
        <v>1</v>
      </c>
      <c r="AB3075">
        <v>8</v>
      </c>
      <c r="AC3075">
        <v>3</v>
      </c>
      <c r="AD3075">
        <v>0</v>
      </c>
      <c r="AE3075">
        <v>9</v>
      </c>
      <c r="AF3075" t="s">
        <v>138</v>
      </c>
      <c r="AG3075">
        <v>0</v>
      </c>
      <c r="AH3075">
        <v>3</v>
      </c>
      <c r="AI3075">
        <v>2</v>
      </c>
      <c r="AJ3075">
        <v>0</v>
      </c>
      <c r="AK3075" t="s">
        <v>1032</v>
      </c>
      <c r="AL3075">
        <v>39.120426000000002</v>
      </c>
      <c r="AM3075" t="s">
        <v>1033</v>
      </c>
      <c r="AN3075">
        <v>-121.031978</v>
      </c>
      <c r="AO3075">
        <v>25</v>
      </c>
      <c r="AP3075">
        <v>4400</v>
      </c>
      <c r="AQ3075" t="s">
        <v>131</v>
      </c>
      <c r="AR3075">
        <v>1</v>
      </c>
      <c r="AS3075">
        <v>83</v>
      </c>
      <c r="AT3075">
        <v>0</v>
      </c>
      <c r="BB3075" t="str">
        <f t="shared" si="1219"/>
        <v>1200</v>
      </c>
      <c r="BC3075">
        <v>1</v>
      </c>
      <c r="BD3075" t="str">
        <f t="shared" si="1220"/>
        <v xml:space="preserve">N52156  </v>
      </c>
      <c r="BE3075">
        <v>1</v>
      </c>
      <c r="BG3075">
        <v>0</v>
      </c>
      <c r="BH3075">
        <v>0</v>
      </c>
      <c r="BI3075">
        <v>0</v>
      </c>
      <c r="BJ3075">
        <v>4425</v>
      </c>
      <c r="BK3075">
        <v>25</v>
      </c>
      <c r="BL3075" t="s">
        <v>188</v>
      </c>
      <c r="BM3075">
        <v>1</v>
      </c>
      <c r="BN3075">
        <v>1</v>
      </c>
      <c r="BO3075">
        <v>0</v>
      </c>
      <c r="BP3075">
        <v>0</v>
      </c>
      <c r="BS3075">
        <v>0</v>
      </c>
      <c r="BT3075">
        <v>0</v>
      </c>
      <c r="BU3075">
        <v>0</v>
      </c>
      <c r="CE3075" t="str">
        <f t="shared" si="1221"/>
        <v>15:13:04.983</v>
      </c>
      <c r="CF3075">
        <v>983481132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5</v>
      </c>
      <c r="CY3075">
        <v>7</v>
      </c>
      <c r="CZ3075" t="s">
        <v>133</v>
      </c>
      <c r="DA3075">
        <v>275</v>
      </c>
      <c r="DB3075">
        <v>0</v>
      </c>
      <c r="DC3075" t="s">
        <v>134</v>
      </c>
      <c r="DD3075" t="s">
        <v>135</v>
      </c>
      <c r="DG3075">
        <v>3322336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">
      <c r="A3076" t="str">
        <f>"05/01/2025 15:13:05.207"</f>
        <v>05/01/2025 15:13:05.207</v>
      </c>
      <c r="C3076" t="str">
        <f t="shared" si="1216"/>
        <v>FFDFD3C0</v>
      </c>
      <c r="D3076" t="s">
        <v>136</v>
      </c>
      <c r="E3076" t="str">
        <f>"20"</f>
        <v>20</v>
      </c>
      <c r="H3076">
        <v>400</v>
      </c>
      <c r="I3076" t="s">
        <v>137</v>
      </c>
      <c r="J3076" t="s">
        <v>138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R3076" t="s">
        <v>127</v>
      </c>
      <c r="S3076" t="str">
        <f t="shared" si="1217"/>
        <v>15:13:04.000</v>
      </c>
      <c r="T3076" t="str">
        <f t="shared" si="1217"/>
        <v>15:13:04.000</v>
      </c>
      <c r="U3076" t="str">
        <f t="shared" si="1218"/>
        <v>A68FCB</v>
      </c>
      <c r="V3076">
        <v>0</v>
      </c>
      <c r="W3076">
        <v>0</v>
      </c>
      <c r="X3076">
        <v>2</v>
      </c>
      <c r="Y3076">
        <v>0</v>
      </c>
      <c r="AA3076">
        <v>1</v>
      </c>
      <c r="AB3076">
        <v>8</v>
      </c>
      <c r="AC3076">
        <v>3</v>
      </c>
      <c r="AD3076">
        <v>0</v>
      </c>
      <c r="AE3076">
        <v>9</v>
      </c>
      <c r="AF3076" t="s">
        <v>138</v>
      </c>
      <c r="AG3076">
        <v>0</v>
      </c>
      <c r="AH3076">
        <v>3</v>
      </c>
      <c r="AI3076">
        <v>2</v>
      </c>
      <c r="AJ3076">
        <v>0</v>
      </c>
      <c r="AK3076" t="s">
        <v>1032</v>
      </c>
      <c r="AL3076">
        <v>39.120426000000002</v>
      </c>
      <c r="AM3076" t="s">
        <v>1033</v>
      </c>
      <c r="AN3076">
        <v>-121.031978</v>
      </c>
      <c r="AO3076">
        <v>25</v>
      </c>
      <c r="AP3076">
        <v>4400</v>
      </c>
      <c r="AQ3076" t="s">
        <v>131</v>
      </c>
      <c r="AR3076">
        <v>1</v>
      </c>
      <c r="AS3076">
        <v>83</v>
      </c>
      <c r="AT3076">
        <v>0</v>
      </c>
      <c r="BB3076" t="str">
        <f t="shared" si="1219"/>
        <v>1200</v>
      </c>
      <c r="BC3076">
        <v>1</v>
      </c>
      <c r="BD3076" t="str">
        <f t="shared" si="1220"/>
        <v xml:space="preserve">N52156  </v>
      </c>
      <c r="BE3076">
        <v>1</v>
      </c>
      <c r="BG3076">
        <v>0</v>
      </c>
      <c r="BH3076">
        <v>0</v>
      </c>
      <c r="BI3076">
        <v>0</v>
      </c>
      <c r="BJ3076">
        <v>4425</v>
      </c>
      <c r="BK3076">
        <v>25</v>
      </c>
      <c r="BL3076" t="s">
        <v>188</v>
      </c>
      <c r="BM3076">
        <v>1</v>
      </c>
      <c r="BN3076">
        <v>1</v>
      </c>
      <c r="BO3076">
        <v>0</v>
      </c>
      <c r="BP3076">
        <v>0</v>
      </c>
      <c r="BS3076">
        <v>0</v>
      </c>
      <c r="BT3076">
        <v>0</v>
      </c>
      <c r="BU3076">
        <v>0</v>
      </c>
      <c r="CE3076" t="str">
        <f t="shared" si="1221"/>
        <v>15:13:04.983</v>
      </c>
      <c r="CF3076">
        <v>983481132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5</v>
      </c>
      <c r="CY3076">
        <v>7</v>
      </c>
      <c r="CZ3076" t="s">
        <v>133</v>
      </c>
      <c r="DA3076">
        <v>275</v>
      </c>
      <c r="DB3076">
        <v>0</v>
      </c>
      <c r="DC3076" t="s">
        <v>134</v>
      </c>
      <c r="DD3076" t="s">
        <v>135</v>
      </c>
      <c r="DG3076">
        <v>3322336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">
      <c r="A3077" t="str">
        <f>"05/01/2025 15:13:05.215"</f>
        <v>05/01/2025 15:13:05.215</v>
      </c>
      <c r="C3077" t="str">
        <f t="shared" si="1216"/>
        <v>FFDFD3C0</v>
      </c>
      <c r="D3077" t="s">
        <v>143</v>
      </c>
      <c r="E3077" t="str">
        <f>"05"</f>
        <v>05</v>
      </c>
      <c r="H3077">
        <v>172</v>
      </c>
      <c r="I3077" t="s">
        <v>141</v>
      </c>
      <c r="J3077" t="s">
        <v>144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R3077" t="s">
        <v>127</v>
      </c>
      <c r="S3077" t="str">
        <f t="shared" si="1217"/>
        <v>15:13:04.000</v>
      </c>
      <c r="T3077" t="str">
        <f t="shared" si="1217"/>
        <v>15:13:04.000</v>
      </c>
      <c r="U3077" t="str">
        <f t="shared" si="1218"/>
        <v>A68FCB</v>
      </c>
      <c r="V3077">
        <v>0</v>
      </c>
      <c r="W3077">
        <v>0</v>
      </c>
      <c r="X3077">
        <v>2</v>
      </c>
      <c r="Y3077">
        <v>0</v>
      </c>
      <c r="AA3077">
        <v>1</v>
      </c>
      <c r="AB3077">
        <v>8</v>
      </c>
      <c r="AC3077">
        <v>3</v>
      </c>
      <c r="AD3077">
        <v>0</v>
      </c>
      <c r="AE3077">
        <v>9</v>
      </c>
      <c r="AF3077" t="s">
        <v>138</v>
      </c>
      <c r="AG3077">
        <v>0</v>
      </c>
      <c r="AH3077">
        <v>3</v>
      </c>
      <c r="AI3077">
        <v>2</v>
      </c>
      <c r="AJ3077">
        <v>0</v>
      </c>
      <c r="AK3077" t="s">
        <v>1032</v>
      </c>
      <c r="AL3077">
        <v>39.120426000000002</v>
      </c>
      <c r="AM3077" t="s">
        <v>1033</v>
      </c>
      <c r="AN3077">
        <v>-121.031978</v>
      </c>
      <c r="AO3077">
        <v>25</v>
      </c>
      <c r="AP3077">
        <v>4400</v>
      </c>
      <c r="AQ3077" t="s">
        <v>131</v>
      </c>
      <c r="AR3077">
        <v>1</v>
      </c>
      <c r="AS3077">
        <v>83</v>
      </c>
      <c r="AT3077">
        <v>0</v>
      </c>
      <c r="BB3077" t="str">
        <f t="shared" si="1219"/>
        <v>1200</v>
      </c>
      <c r="BC3077">
        <v>1</v>
      </c>
      <c r="BD3077" t="str">
        <f t="shared" si="1220"/>
        <v xml:space="preserve">N52156  </v>
      </c>
      <c r="BE3077">
        <v>1</v>
      </c>
      <c r="BG3077">
        <v>0</v>
      </c>
      <c r="BH3077">
        <v>0</v>
      </c>
      <c r="BI3077">
        <v>0</v>
      </c>
      <c r="BJ3077">
        <v>4425</v>
      </c>
      <c r="BK3077">
        <v>25</v>
      </c>
      <c r="BL3077" t="s">
        <v>188</v>
      </c>
      <c r="BM3077">
        <v>1</v>
      </c>
      <c r="BN3077">
        <v>1</v>
      </c>
      <c r="BO3077">
        <v>0</v>
      </c>
      <c r="BP3077">
        <v>0</v>
      </c>
      <c r="BS3077">
        <v>0</v>
      </c>
      <c r="BT3077">
        <v>0</v>
      </c>
      <c r="BU3077">
        <v>0</v>
      </c>
      <c r="CE3077" t="str">
        <f t="shared" si="1221"/>
        <v>15:13:04.983</v>
      </c>
      <c r="CF3077">
        <v>983481132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5</v>
      </c>
      <c r="CY3077">
        <v>7</v>
      </c>
      <c r="CZ3077" t="s">
        <v>133</v>
      </c>
      <c r="DA3077">
        <v>275</v>
      </c>
      <c r="DB3077">
        <v>0</v>
      </c>
      <c r="DC3077" t="s">
        <v>134</v>
      </c>
      <c r="DD3077" t="s">
        <v>135</v>
      </c>
      <c r="DG3077">
        <v>3322336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">
      <c r="A3078" t="str">
        <f>"05/01/2025 15:13:05.229"</f>
        <v>05/01/2025 15:13:05.229</v>
      </c>
      <c r="C3078" t="str">
        <f t="shared" si="1216"/>
        <v>FFDFD3C0</v>
      </c>
      <c r="D3078" t="s">
        <v>124</v>
      </c>
      <c r="E3078" t="str">
        <f>"06"</f>
        <v>06</v>
      </c>
      <c r="F3078">
        <v>2006</v>
      </c>
      <c r="G3078" t="s">
        <v>125</v>
      </c>
      <c r="J3078" t="s">
        <v>126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R3078" t="s">
        <v>127</v>
      </c>
      <c r="S3078" t="str">
        <f t="shared" si="1217"/>
        <v>15:13:04.000</v>
      </c>
      <c r="T3078" t="str">
        <f t="shared" si="1217"/>
        <v>15:13:04.000</v>
      </c>
      <c r="U3078" t="str">
        <f t="shared" si="1218"/>
        <v>A68FCB</v>
      </c>
      <c r="V3078">
        <v>0</v>
      </c>
      <c r="W3078">
        <v>0</v>
      </c>
      <c r="X3078">
        <v>2</v>
      </c>
      <c r="Y3078">
        <v>0</v>
      </c>
      <c r="AA3078">
        <v>1</v>
      </c>
      <c r="AB3078">
        <v>8</v>
      </c>
      <c r="AC3078">
        <v>3</v>
      </c>
      <c r="AD3078">
        <v>0</v>
      </c>
      <c r="AE3078">
        <v>9</v>
      </c>
      <c r="AF3078" t="s">
        <v>138</v>
      </c>
      <c r="AG3078">
        <v>0</v>
      </c>
      <c r="AH3078">
        <v>3</v>
      </c>
      <c r="AI3078">
        <v>2</v>
      </c>
      <c r="AJ3078">
        <v>0</v>
      </c>
      <c r="AK3078" t="s">
        <v>1032</v>
      </c>
      <c r="AL3078">
        <v>39.120426000000002</v>
      </c>
      <c r="AM3078" t="s">
        <v>1033</v>
      </c>
      <c r="AN3078">
        <v>-121.031978</v>
      </c>
      <c r="AO3078">
        <v>25</v>
      </c>
      <c r="AP3078">
        <v>4400</v>
      </c>
      <c r="AQ3078" t="s">
        <v>131</v>
      </c>
      <c r="AR3078">
        <v>1</v>
      </c>
      <c r="AS3078">
        <v>83</v>
      </c>
      <c r="AT3078">
        <v>0</v>
      </c>
      <c r="BB3078" t="str">
        <f t="shared" si="1219"/>
        <v>1200</v>
      </c>
      <c r="BC3078">
        <v>1</v>
      </c>
      <c r="BD3078" t="str">
        <f t="shared" si="1220"/>
        <v xml:space="preserve">N52156  </v>
      </c>
      <c r="BE3078">
        <v>1</v>
      </c>
      <c r="BG3078">
        <v>0</v>
      </c>
      <c r="BH3078">
        <v>0</v>
      </c>
      <c r="BI3078">
        <v>0</v>
      </c>
      <c r="BJ3078">
        <v>4425</v>
      </c>
      <c r="BK3078">
        <v>25</v>
      </c>
      <c r="BL3078" t="s">
        <v>188</v>
      </c>
      <c r="BM3078">
        <v>1</v>
      </c>
      <c r="BN3078">
        <v>1</v>
      </c>
      <c r="BO3078">
        <v>0</v>
      </c>
      <c r="BP3078">
        <v>0</v>
      </c>
      <c r="BS3078">
        <v>0</v>
      </c>
      <c r="BT3078">
        <v>0</v>
      </c>
      <c r="BU3078">
        <v>0</v>
      </c>
      <c r="CE3078" t="str">
        <f t="shared" si="1221"/>
        <v>15:13:04.983</v>
      </c>
      <c r="CF3078">
        <v>983481132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5</v>
      </c>
      <c r="CY3078">
        <v>7</v>
      </c>
      <c r="CZ3078" t="s">
        <v>133</v>
      </c>
      <c r="DA3078">
        <v>275</v>
      </c>
      <c r="DB3078">
        <v>0</v>
      </c>
      <c r="DC3078" t="s">
        <v>134</v>
      </c>
      <c r="DD3078" t="s">
        <v>135</v>
      </c>
      <c r="DG3078">
        <v>3322336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">
      <c r="A3079" t="str">
        <f>"05/01/2025 15:13:05.230"</f>
        <v>05/01/2025 15:13:05.230</v>
      </c>
      <c r="C3079" t="str">
        <f t="shared" si="1216"/>
        <v>FFDFD3C0</v>
      </c>
      <c r="D3079" t="s">
        <v>140</v>
      </c>
      <c r="E3079" t="str">
        <f>"13"</f>
        <v>13</v>
      </c>
      <c r="F3079">
        <v>1019</v>
      </c>
      <c r="G3079" t="s">
        <v>141</v>
      </c>
      <c r="J3079" t="s">
        <v>142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R3079" t="s">
        <v>127</v>
      </c>
      <c r="S3079" t="str">
        <f t="shared" si="1217"/>
        <v>15:13:04.000</v>
      </c>
      <c r="T3079" t="str">
        <f t="shared" si="1217"/>
        <v>15:13:04.000</v>
      </c>
      <c r="U3079" t="str">
        <f t="shared" si="1218"/>
        <v>A68FCB</v>
      </c>
      <c r="V3079">
        <v>0</v>
      </c>
      <c r="W3079">
        <v>0</v>
      </c>
      <c r="X3079">
        <v>2</v>
      </c>
      <c r="Y3079">
        <v>0</v>
      </c>
      <c r="AA3079">
        <v>1</v>
      </c>
      <c r="AB3079">
        <v>8</v>
      </c>
      <c r="AC3079">
        <v>3</v>
      </c>
      <c r="AD3079">
        <v>0</v>
      </c>
      <c r="AE3079">
        <v>9</v>
      </c>
      <c r="AF3079" t="s">
        <v>138</v>
      </c>
      <c r="AG3079">
        <v>0</v>
      </c>
      <c r="AH3079">
        <v>3</v>
      </c>
      <c r="AI3079">
        <v>2</v>
      </c>
      <c r="AJ3079">
        <v>0</v>
      </c>
      <c r="AK3079" t="s">
        <v>1032</v>
      </c>
      <c r="AL3079">
        <v>39.120426000000002</v>
      </c>
      <c r="AM3079" t="s">
        <v>1033</v>
      </c>
      <c r="AN3079">
        <v>-121.031978</v>
      </c>
      <c r="AO3079">
        <v>25</v>
      </c>
      <c r="AP3079">
        <v>4400</v>
      </c>
      <c r="AQ3079" t="s">
        <v>131</v>
      </c>
      <c r="AR3079">
        <v>1</v>
      </c>
      <c r="AS3079">
        <v>83</v>
      </c>
      <c r="AT3079">
        <v>0</v>
      </c>
      <c r="BB3079" t="str">
        <f t="shared" si="1219"/>
        <v>1200</v>
      </c>
      <c r="BC3079">
        <v>1</v>
      </c>
      <c r="BD3079" t="str">
        <f t="shared" si="1220"/>
        <v xml:space="preserve">N52156  </v>
      </c>
      <c r="BE3079">
        <v>1</v>
      </c>
      <c r="BG3079">
        <v>0</v>
      </c>
      <c r="BH3079">
        <v>0</v>
      </c>
      <c r="BI3079">
        <v>0</v>
      </c>
      <c r="BJ3079">
        <v>4425</v>
      </c>
      <c r="BK3079">
        <v>25</v>
      </c>
      <c r="BL3079" t="s">
        <v>188</v>
      </c>
      <c r="BM3079">
        <v>1</v>
      </c>
      <c r="BN3079">
        <v>1</v>
      </c>
      <c r="BO3079">
        <v>0</v>
      </c>
      <c r="BP3079">
        <v>0</v>
      </c>
      <c r="BS3079">
        <v>0</v>
      </c>
      <c r="BT3079">
        <v>0</v>
      </c>
      <c r="BU3079">
        <v>0</v>
      </c>
      <c r="CE3079" t="str">
        <f t="shared" si="1221"/>
        <v>15:13:04.983</v>
      </c>
      <c r="CF3079">
        <v>983481132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5</v>
      </c>
      <c r="CY3079">
        <v>7</v>
      </c>
      <c r="CZ3079" t="s">
        <v>133</v>
      </c>
      <c r="DA3079">
        <v>275</v>
      </c>
      <c r="DB3079">
        <v>0</v>
      </c>
      <c r="DC3079" t="s">
        <v>134</v>
      </c>
      <c r="DD3079" t="s">
        <v>135</v>
      </c>
      <c r="DG3079">
        <v>3322336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">
      <c r="A3080" t="str">
        <f>"05/01/2025 15:13:05.747"</f>
        <v>05/01/2025 15:13:05.747</v>
      </c>
      <c r="C3080" t="str">
        <f t="shared" si="1216"/>
        <v>FFDFD3C0</v>
      </c>
      <c r="D3080" t="s">
        <v>145</v>
      </c>
      <c r="E3080" t="str">
        <f>"05"</f>
        <v>05</v>
      </c>
      <c r="H3080">
        <v>47</v>
      </c>
      <c r="I3080" t="s">
        <v>146</v>
      </c>
      <c r="J3080" t="s">
        <v>138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R3080" t="s">
        <v>127</v>
      </c>
      <c r="S3080" t="str">
        <f t="shared" ref="S3080:T3085" si="1222">"15:13:05.000"</f>
        <v>15:13:05.000</v>
      </c>
      <c r="T3080" t="str">
        <f t="shared" si="1222"/>
        <v>15:13:05.000</v>
      </c>
      <c r="U3080" t="str">
        <f t="shared" si="1218"/>
        <v>A68FCB</v>
      </c>
      <c r="V3080">
        <v>0</v>
      </c>
      <c r="W3080">
        <v>0</v>
      </c>
      <c r="X3080">
        <v>2</v>
      </c>
      <c r="Y3080">
        <v>0</v>
      </c>
      <c r="AA3080">
        <v>1</v>
      </c>
      <c r="AB3080">
        <v>8</v>
      </c>
      <c r="AC3080">
        <v>3</v>
      </c>
      <c r="AD3080">
        <v>0</v>
      </c>
      <c r="AE3080">
        <v>9</v>
      </c>
      <c r="AF3080" t="s">
        <v>138</v>
      </c>
      <c r="AG3080">
        <v>0</v>
      </c>
      <c r="AH3080">
        <v>3</v>
      </c>
      <c r="AI3080">
        <v>2</v>
      </c>
      <c r="AJ3080">
        <v>0</v>
      </c>
      <c r="AK3080" t="s">
        <v>1034</v>
      </c>
      <c r="AL3080">
        <v>39.120812000000001</v>
      </c>
      <c r="AM3080" t="s">
        <v>1033</v>
      </c>
      <c r="AN3080">
        <v>-121.031978</v>
      </c>
      <c r="AO3080">
        <v>25</v>
      </c>
      <c r="AP3080">
        <v>4400</v>
      </c>
      <c r="AQ3080" t="s">
        <v>131</v>
      </c>
      <c r="AR3080">
        <v>2</v>
      </c>
      <c r="AS3080">
        <v>83</v>
      </c>
      <c r="AT3080">
        <v>0</v>
      </c>
      <c r="BB3080" t="str">
        <f t="shared" si="1219"/>
        <v>1200</v>
      </c>
      <c r="BC3080">
        <v>1</v>
      </c>
      <c r="BD3080" t="str">
        <f t="shared" si="1220"/>
        <v xml:space="preserve">N52156  </v>
      </c>
      <c r="BE3080">
        <v>1</v>
      </c>
      <c r="BG3080">
        <v>0</v>
      </c>
      <c r="BH3080">
        <v>0</v>
      </c>
      <c r="BI3080">
        <v>0</v>
      </c>
      <c r="BJ3080">
        <v>4425</v>
      </c>
      <c r="BK3080">
        <v>25</v>
      </c>
      <c r="BL3080" t="s">
        <v>188</v>
      </c>
      <c r="BM3080">
        <v>1</v>
      </c>
      <c r="BN3080">
        <v>1</v>
      </c>
      <c r="BO3080">
        <v>0</v>
      </c>
      <c r="BP3080">
        <v>0</v>
      </c>
      <c r="BS3080">
        <v>0</v>
      </c>
      <c r="BT3080">
        <v>0</v>
      </c>
      <c r="BU3080">
        <v>0</v>
      </c>
      <c r="CE3080" t="str">
        <f t="shared" ref="CE3080:CE3085" si="1223">"15:13:05.531"</f>
        <v>15:13:05.531</v>
      </c>
      <c r="CF3080">
        <v>530730044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5</v>
      </c>
      <c r="CY3080">
        <v>7</v>
      </c>
      <c r="CZ3080" t="s">
        <v>133</v>
      </c>
      <c r="DA3080">
        <v>275</v>
      </c>
      <c r="DB3080">
        <v>0</v>
      </c>
      <c r="DC3080" t="s">
        <v>134</v>
      </c>
      <c r="DD3080" t="s">
        <v>135</v>
      </c>
      <c r="DG3080">
        <v>3322342</v>
      </c>
      <c r="DI3080">
        <v>1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">
      <c r="A3081" t="str">
        <f>"05/01/2025 15:13:05.745"</f>
        <v>05/01/2025 15:13:05.745</v>
      </c>
      <c r="C3081" t="str">
        <f t="shared" si="1216"/>
        <v>FFDFD3C0</v>
      </c>
      <c r="D3081" t="s">
        <v>145</v>
      </c>
      <c r="E3081" t="str">
        <f>"09"</f>
        <v>09</v>
      </c>
      <c r="H3081">
        <v>51</v>
      </c>
      <c r="I3081" t="s">
        <v>147</v>
      </c>
      <c r="J3081" t="s">
        <v>138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R3081" t="s">
        <v>127</v>
      </c>
      <c r="S3081" t="str">
        <f t="shared" si="1222"/>
        <v>15:13:05.000</v>
      </c>
      <c r="T3081" t="str">
        <f t="shared" si="1222"/>
        <v>15:13:05.000</v>
      </c>
      <c r="U3081" t="str">
        <f t="shared" si="1218"/>
        <v>A68FCB</v>
      </c>
      <c r="V3081">
        <v>0</v>
      </c>
      <c r="W3081">
        <v>0</v>
      </c>
      <c r="X3081">
        <v>2</v>
      </c>
      <c r="Y3081">
        <v>0</v>
      </c>
      <c r="AA3081">
        <v>1</v>
      </c>
      <c r="AB3081">
        <v>8</v>
      </c>
      <c r="AC3081">
        <v>3</v>
      </c>
      <c r="AD3081">
        <v>0</v>
      </c>
      <c r="AE3081">
        <v>9</v>
      </c>
      <c r="AF3081" t="s">
        <v>138</v>
      </c>
      <c r="AG3081">
        <v>0</v>
      </c>
      <c r="AH3081">
        <v>3</v>
      </c>
      <c r="AI3081">
        <v>2</v>
      </c>
      <c r="AJ3081">
        <v>0</v>
      </c>
      <c r="AK3081" t="s">
        <v>1034</v>
      </c>
      <c r="AL3081">
        <v>39.120812000000001</v>
      </c>
      <c r="AM3081" t="s">
        <v>1033</v>
      </c>
      <c r="AN3081">
        <v>-121.031978</v>
      </c>
      <c r="AO3081">
        <v>25</v>
      </c>
      <c r="AP3081">
        <v>4400</v>
      </c>
      <c r="AQ3081" t="s">
        <v>131</v>
      </c>
      <c r="AR3081">
        <v>2</v>
      </c>
      <c r="AS3081">
        <v>83</v>
      </c>
      <c r="AT3081">
        <v>0</v>
      </c>
      <c r="BB3081" t="str">
        <f t="shared" si="1219"/>
        <v>1200</v>
      </c>
      <c r="BC3081">
        <v>1</v>
      </c>
      <c r="BD3081" t="str">
        <f t="shared" si="1220"/>
        <v xml:space="preserve">N52156  </v>
      </c>
      <c r="BE3081">
        <v>1</v>
      </c>
      <c r="BG3081">
        <v>0</v>
      </c>
      <c r="BH3081">
        <v>0</v>
      </c>
      <c r="BI3081">
        <v>0</v>
      </c>
      <c r="BJ3081">
        <v>4425</v>
      </c>
      <c r="BK3081">
        <v>25</v>
      </c>
      <c r="BL3081" t="s">
        <v>188</v>
      </c>
      <c r="BM3081">
        <v>1</v>
      </c>
      <c r="BN3081">
        <v>1</v>
      </c>
      <c r="BO3081">
        <v>0</v>
      </c>
      <c r="BP3081">
        <v>0</v>
      </c>
      <c r="BS3081">
        <v>0</v>
      </c>
      <c r="BT3081">
        <v>0</v>
      </c>
      <c r="BU3081">
        <v>0</v>
      </c>
      <c r="CE3081" t="str">
        <f t="shared" si="1223"/>
        <v>15:13:05.531</v>
      </c>
      <c r="CF3081">
        <v>530730044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5</v>
      </c>
      <c r="CY3081">
        <v>7</v>
      </c>
      <c r="CZ3081" t="s">
        <v>133</v>
      </c>
      <c r="DA3081">
        <v>275</v>
      </c>
      <c r="DB3081">
        <v>0</v>
      </c>
      <c r="DC3081" t="s">
        <v>134</v>
      </c>
      <c r="DD3081" t="s">
        <v>135</v>
      </c>
      <c r="DG3081">
        <v>3322342</v>
      </c>
      <c r="DI3081">
        <v>1</v>
      </c>
      <c r="DJ3081">
        <v>0</v>
      </c>
      <c r="DK3081">
        <v>1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">
      <c r="A3082" t="str">
        <f>"05/01/2025 15:13:05.758"</f>
        <v>05/01/2025 15:13:05.758</v>
      </c>
      <c r="C3082" t="str">
        <f t="shared" si="1216"/>
        <v>FFDFD3C0</v>
      </c>
      <c r="D3082" t="s">
        <v>136</v>
      </c>
      <c r="E3082" t="str">
        <f>"20"</f>
        <v>20</v>
      </c>
      <c r="H3082">
        <v>400</v>
      </c>
      <c r="I3082" t="s">
        <v>137</v>
      </c>
      <c r="J3082" t="s">
        <v>138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R3082" t="s">
        <v>127</v>
      </c>
      <c r="S3082" t="str">
        <f t="shared" si="1222"/>
        <v>15:13:05.000</v>
      </c>
      <c r="T3082" t="str">
        <f t="shared" si="1222"/>
        <v>15:13:05.000</v>
      </c>
      <c r="U3082" t="str">
        <f t="shared" si="1218"/>
        <v>A68FCB</v>
      </c>
      <c r="V3082">
        <v>0</v>
      </c>
      <c r="W3082">
        <v>0</v>
      </c>
      <c r="X3082">
        <v>2</v>
      </c>
      <c r="Y3082">
        <v>0</v>
      </c>
      <c r="AA3082">
        <v>1</v>
      </c>
      <c r="AB3082">
        <v>8</v>
      </c>
      <c r="AC3082">
        <v>3</v>
      </c>
      <c r="AD3082">
        <v>0</v>
      </c>
      <c r="AE3082">
        <v>9</v>
      </c>
      <c r="AF3082" t="s">
        <v>138</v>
      </c>
      <c r="AG3082">
        <v>0</v>
      </c>
      <c r="AH3082">
        <v>3</v>
      </c>
      <c r="AI3082">
        <v>2</v>
      </c>
      <c r="AJ3082">
        <v>0</v>
      </c>
      <c r="AK3082" t="s">
        <v>1034</v>
      </c>
      <c r="AL3082">
        <v>39.120812000000001</v>
      </c>
      <c r="AM3082" t="s">
        <v>1033</v>
      </c>
      <c r="AN3082">
        <v>-121.031978</v>
      </c>
      <c r="AO3082">
        <v>25</v>
      </c>
      <c r="AP3082">
        <v>4400</v>
      </c>
      <c r="AQ3082" t="s">
        <v>131</v>
      </c>
      <c r="AR3082">
        <v>2</v>
      </c>
      <c r="AS3082">
        <v>83</v>
      </c>
      <c r="AT3082">
        <v>0</v>
      </c>
      <c r="BB3082" t="str">
        <f t="shared" si="1219"/>
        <v>1200</v>
      </c>
      <c r="BC3082">
        <v>1</v>
      </c>
      <c r="BD3082" t="str">
        <f t="shared" si="1220"/>
        <v xml:space="preserve">N52156  </v>
      </c>
      <c r="BE3082">
        <v>1</v>
      </c>
      <c r="BG3082">
        <v>0</v>
      </c>
      <c r="BH3082">
        <v>0</v>
      </c>
      <c r="BI3082">
        <v>0</v>
      </c>
      <c r="BJ3082">
        <v>4425</v>
      </c>
      <c r="BK3082">
        <v>25</v>
      </c>
      <c r="BL3082" t="s">
        <v>188</v>
      </c>
      <c r="BM3082">
        <v>1</v>
      </c>
      <c r="BN3082">
        <v>1</v>
      </c>
      <c r="BO3082">
        <v>0</v>
      </c>
      <c r="BP3082">
        <v>0</v>
      </c>
      <c r="BS3082">
        <v>0</v>
      </c>
      <c r="BT3082">
        <v>0</v>
      </c>
      <c r="BU3082">
        <v>0</v>
      </c>
      <c r="CE3082" t="str">
        <f t="shared" si="1223"/>
        <v>15:13:05.531</v>
      </c>
      <c r="CF3082">
        <v>530730044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5</v>
      </c>
      <c r="CY3082">
        <v>7</v>
      </c>
      <c r="CZ3082" t="s">
        <v>133</v>
      </c>
      <c r="DA3082">
        <v>275</v>
      </c>
      <c r="DB3082">
        <v>0</v>
      </c>
      <c r="DC3082" t="s">
        <v>134</v>
      </c>
      <c r="DD3082" t="s">
        <v>135</v>
      </c>
      <c r="DG3082">
        <v>3322342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">
      <c r="A3083" t="str">
        <f>"05/01/2025 15:13:05.766"</f>
        <v>05/01/2025 15:13:05.766</v>
      </c>
      <c r="C3083" t="str">
        <f t="shared" si="1216"/>
        <v>FFDFD3C0</v>
      </c>
      <c r="D3083" t="s">
        <v>143</v>
      </c>
      <c r="E3083" t="str">
        <f>"05"</f>
        <v>05</v>
      </c>
      <c r="H3083">
        <v>172</v>
      </c>
      <c r="I3083" t="s">
        <v>141</v>
      </c>
      <c r="J3083" t="s">
        <v>144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R3083" t="s">
        <v>127</v>
      </c>
      <c r="S3083" t="str">
        <f t="shared" si="1222"/>
        <v>15:13:05.000</v>
      </c>
      <c r="T3083" t="str">
        <f t="shared" si="1222"/>
        <v>15:13:05.000</v>
      </c>
      <c r="U3083" t="str">
        <f t="shared" si="1218"/>
        <v>A68FCB</v>
      </c>
      <c r="V3083">
        <v>0</v>
      </c>
      <c r="W3083">
        <v>0</v>
      </c>
      <c r="X3083">
        <v>2</v>
      </c>
      <c r="Y3083">
        <v>0</v>
      </c>
      <c r="AA3083">
        <v>1</v>
      </c>
      <c r="AB3083">
        <v>8</v>
      </c>
      <c r="AC3083">
        <v>3</v>
      </c>
      <c r="AD3083">
        <v>0</v>
      </c>
      <c r="AE3083">
        <v>9</v>
      </c>
      <c r="AF3083" t="s">
        <v>138</v>
      </c>
      <c r="AG3083">
        <v>0</v>
      </c>
      <c r="AH3083">
        <v>3</v>
      </c>
      <c r="AI3083">
        <v>2</v>
      </c>
      <c r="AJ3083">
        <v>0</v>
      </c>
      <c r="AK3083" t="s">
        <v>1034</v>
      </c>
      <c r="AL3083">
        <v>39.120812000000001</v>
      </c>
      <c r="AM3083" t="s">
        <v>1033</v>
      </c>
      <c r="AN3083">
        <v>-121.031978</v>
      </c>
      <c r="AO3083">
        <v>25</v>
      </c>
      <c r="AP3083">
        <v>4400</v>
      </c>
      <c r="AQ3083" t="s">
        <v>131</v>
      </c>
      <c r="AR3083">
        <v>2</v>
      </c>
      <c r="AS3083">
        <v>83</v>
      </c>
      <c r="AT3083">
        <v>0</v>
      </c>
      <c r="BB3083" t="str">
        <f t="shared" si="1219"/>
        <v>1200</v>
      </c>
      <c r="BC3083">
        <v>1</v>
      </c>
      <c r="BD3083" t="str">
        <f t="shared" si="1220"/>
        <v xml:space="preserve">N52156  </v>
      </c>
      <c r="BE3083">
        <v>1</v>
      </c>
      <c r="BG3083">
        <v>0</v>
      </c>
      <c r="BH3083">
        <v>0</v>
      </c>
      <c r="BI3083">
        <v>0</v>
      </c>
      <c r="BJ3083">
        <v>4425</v>
      </c>
      <c r="BK3083">
        <v>25</v>
      </c>
      <c r="BL3083" t="s">
        <v>188</v>
      </c>
      <c r="BM3083">
        <v>1</v>
      </c>
      <c r="BN3083">
        <v>1</v>
      </c>
      <c r="BO3083">
        <v>0</v>
      </c>
      <c r="BP3083">
        <v>0</v>
      </c>
      <c r="BS3083">
        <v>0</v>
      </c>
      <c r="BT3083">
        <v>0</v>
      </c>
      <c r="BU3083">
        <v>0</v>
      </c>
      <c r="CE3083" t="str">
        <f t="shared" si="1223"/>
        <v>15:13:05.531</v>
      </c>
      <c r="CF3083">
        <v>530730044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5</v>
      </c>
      <c r="CY3083">
        <v>7</v>
      </c>
      <c r="CZ3083" t="s">
        <v>133</v>
      </c>
      <c r="DA3083">
        <v>275</v>
      </c>
      <c r="DB3083">
        <v>0</v>
      </c>
      <c r="DC3083" t="s">
        <v>134</v>
      </c>
      <c r="DD3083" t="s">
        <v>135</v>
      </c>
      <c r="DG3083">
        <v>3322342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">
      <c r="A3084" t="str">
        <f>"05/01/2025 15:13:05.780"</f>
        <v>05/01/2025 15:13:05.780</v>
      </c>
      <c r="C3084" t="str">
        <f t="shared" si="1216"/>
        <v>FFDFD3C0</v>
      </c>
      <c r="D3084" t="s">
        <v>124</v>
      </c>
      <c r="E3084" t="str">
        <f>"06"</f>
        <v>06</v>
      </c>
      <c r="F3084">
        <v>2006</v>
      </c>
      <c r="G3084" t="s">
        <v>125</v>
      </c>
      <c r="J3084" t="s">
        <v>126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R3084" t="s">
        <v>127</v>
      </c>
      <c r="S3084" t="str">
        <f t="shared" si="1222"/>
        <v>15:13:05.000</v>
      </c>
      <c r="T3084" t="str">
        <f t="shared" si="1222"/>
        <v>15:13:05.000</v>
      </c>
      <c r="U3084" t="str">
        <f t="shared" si="1218"/>
        <v>A68FCB</v>
      </c>
      <c r="V3084">
        <v>0</v>
      </c>
      <c r="W3084">
        <v>0</v>
      </c>
      <c r="X3084">
        <v>2</v>
      </c>
      <c r="Y3084">
        <v>0</v>
      </c>
      <c r="AA3084">
        <v>1</v>
      </c>
      <c r="AB3084">
        <v>8</v>
      </c>
      <c r="AC3084">
        <v>3</v>
      </c>
      <c r="AD3084">
        <v>0</v>
      </c>
      <c r="AE3084">
        <v>9</v>
      </c>
      <c r="AF3084" t="s">
        <v>138</v>
      </c>
      <c r="AG3084">
        <v>0</v>
      </c>
      <c r="AH3084">
        <v>3</v>
      </c>
      <c r="AI3084">
        <v>2</v>
      </c>
      <c r="AJ3084">
        <v>0</v>
      </c>
      <c r="AK3084" t="s">
        <v>1034</v>
      </c>
      <c r="AL3084">
        <v>39.120812000000001</v>
      </c>
      <c r="AM3084" t="s">
        <v>1033</v>
      </c>
      <c r="AN3084">
        <v>-121.031978</v>
      </c>
      <c r="AO3084">
        <v>25</v>
      </c>
      <c r="AP3084">
        <v>4400</v>
      </c>
      <c r="AQ3084" t="s">
        <v>131</v>
      </c>
      <c r="AR3084">
        <v>2</v>
      </c>
      <c r="AS3084">
        <v>83</v>
      </c>
      <c r="AT3084">
        <v>0</v>
      </c>
      <c r="BB3084" t="str">
        <f t="shared" si="1219"/>
        <v>1200</v>
      </c>
      <c r="BC3084">
        <v>1</v>
      </c>
      <c r="BD3084" t="str">
        <f t="shared" si="1220"/>
        <v xml:space="preserve">N52156  </v>
      </c>
      <c r="BE3084">
        <v>1</v>
      </c>
      <c r="BG3084">
        <v>0</v>
      </c>
      <c r="BH3084">
        <v>0</v>
      </c>
      <c r="BI3084">
        <v>0</v>
      </c>
      <c r="BJ3084">
        <v>4425</v>
      </c>
      <c r="BK3084">
        <v>25</v>
      </c>
      <c r="BL3084" t="s">
        <v>188</v>
      </c>
      <c r="BM3084">
        <v>1</v>
      </c>
      <c r="BN3084">
        <v>1</v>
      </c>
      <c r="BO3084">
        <v>0</v>
      </c>
      <c r="BP3084">
        <v>0</v>
      </c>
      <c r="BS3084">
        <v>0</v>
      </c>
      <c r="BT3084">
        <v>0</v>
      </c>
      <c r="BU3084">
        <v>0</v>
      </c>
      <c r="CE3084" t="str">
        <f t="shared" si="1223"/>
        <v>15:13:05.531</v>
      </c>
      <c r="CF3084">
        <v>530730044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5</v>
      </c>
      <c r="CY3084">
        <v>7</v>
      </c>
      <c r="CZ3084" t="s">
        <v>133</v>
      </c>
      <c r="DA3084">
        <v>275</v>
      </c>
      <c r="DB3084">
        <v>0</v>
      </c>
      <c r="DC3084" t="s">
        <v>134</v>
      </c>
      <c r="DD3084" t="s">
        <v>135</v>
      </c>
      <c r="DG3084">
        <v>3322342</v>
      </c>
      <c r="DI3084">
        <v>1</v>
      </c>
      <c r="DJ3084">
        <v>0</v>
      </c>
      <c r="DK3084">
        <v>1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">
      <c r="A3085" t="str">
        <f>"05/01/2025 15:13:05.781"</f>
        <v>05/01/2025 15:13:05.781</v>
      </c>
      <c r="C3085" t="str">
        <f t="shared" si="1216"/>
        <v>FFDFD3C0</v>
      </c>
      <c r="D3085" t="s">
        <v>140</v>
      </c>
      <c r="E3085" t="str">
        <f>"13"</f>
        <v>13</v>
      </c>
      <c r="F3085">
        <v>1019</v>
      </c>
      <c r="G3085" t="s">
        <v>141</v>
      </c>
      <c r="J3085" t="s">
        <v>142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R3085" t="s">
        <v>127</v>
      </c>
      <c r="S3085" t="str">
        <f t="shared" si="1222"/>
        <v>15:13:05.000</v>
      </c>
      <c r="T3085" t="str">
        <f t="shared" si="1222"/>
        <v>15:13:05.000</v>
      </c>
      <c r="U3085" t="str">
        <f t="shared" si="1218"/>
        <v>A68FCB</v>
      </c>
      <c r="V3085">
        <v>0</v>
      </c>
      <c r="W3085">
        <v>0</v>
      </c>
      <c r="X3085">
        <v>2</v>
      </c>
      <c r="Y3085">
        <v>0</v>
      </c>
      <c r="AA3085">
        <v>1</v>
      </c>
      <c r="AB3085">
        <v>8</v>
      </c>
      <c r="AC3085">
        <v>3</v>
      </c>
      <c r="AD3085">
        <v>0</v>
      </c>
      <c r="AE3085">
        <v>9</v>
      </c>
      <c r="AF3085" t="s">
        <v>138</v>
      </c>
      <c r="AG3085">
        <v>0</v>
      </c>
      <c r="AH3085">
        <v>3</v>
      </c>
      <c r="AI3085">
        <v>2</v>
      </c>
      <c r="AJ3085">
        <v>0</v>
      </c>
      <c r="AK3085" t="s">
        <v>1034</v>
      </c>
      <c r="AL3085">
        <v>39.120812000000001</v>
      </c>
      <c r="AM3085" t="s">
        <v>1033</v>
      </c>
      <c r="AN3085">
        <v>-121.031978</v>
      </c>
      <c r="AO3085">
        <v>25</v>
      </c>
      <c r="AP3085">
        <v>4400</v>
      </c>
      <c r="AQ3085" t="s">
        <v>131</v>
      </c>
      <c r="AR3085">
        <v>2</v>
      </c>
      <c r="AS3085">
        <v>83</v>
      </c>
      <c r="AT3085">
        <v>0</v>
      </c>
      <c r="BB3085" t="str">
        <f t="shared" si="1219"/>
        <v>1200</v>
      </c>
      <c r="BC3085">
        <v>1</v>
      </c>
      <c r="BD3085" t="str">
        <f t="shared" si="1220"/>
        <v xml:space="preserve">N52156  </v>
      </c>
      <c r="BE3085">
        <v>1</v>
      </c>
      <c r="BG3085">
        <v>0</v>
      </c>
      <c r="BH3085">
        <v>0</v>
      </c>
      <c r="BI3085">
        <v>0</v>
      </c>
      <c r="BJ3085">
        <v>4425</v>
      </c>
      <c r="BK3085">
        <v>25</v>
      </c>
      <c r="BL3085" t="s">
        <v>188</v>
      </c>
      <c r="BM3085">
        <v>1</v>
      </c>
      <c r="BN3085">
        <v>1</v>
      </c>
      <c r="BO3085">
        <v>0</v>
      </c>
      <c r="BP3085">
        <v>0</v>
      </c>
      <c r="BS3085">
        <v>0</v>
      </c>
      <c r="BT3085">
        <v>0</v>
      </c>
      <c r="BU3085">
        <v>0</v>
      </c>
      <c r="CE3085" t="str">
        <f t="shared" si="1223"/>
        <v>15:13:05.531</v>
      </c>
      <c r="CF3085">
        <v>530730044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5</v>
      </c>
      <c r="CY3085">
        <v>7</v>
      </c>
      <c r="CZ3085" t="s">
        <v>133</v>
      </c>
      <c r="DA3085">
        <v>275</v>
      </c>
      <c r="DB3085">
        <v>0</v>
      </c>
      <c r="DC3085" t="s">
        <v>134</v>
      </c>
      <c r="DD3085" t="s">
        <v>135</v>
      </c>
      <c r="DG3085">
        <v>3322342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">
      <c r="A3086" t="str">
        <f>"05/01/2025 15:13:06.446"</f>
        <v>05/01/2025 15:13:06.446</v>
      </c>
      <c r="C3086" t="str">
        <f t="shared" si="1216"/>
        <v>FFDFD3C0</v>
      </c>
      <c r="D3086" t="s">
        <v>145</v>
      </c>
      <c r="E3086" t="str">
        <f>"09"</f>
        <v>09</v>
      </c>
      <c r="H3086">
        <v>51</v>
      </c>
      <c r="I3086" t="s">
        <v>147</v>
      </c>
      <c r="J3086" t="s">
        <v>138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R3086" t="s">
        <v>127</v>
      </c>
      <c r="S3086" t="str">
        <f t="shared" ref="S3086:T3091" si="1224">"15:13:06.000"</f>
        <v>15:13:06.000</v>
      </c>
      <c r="T3086" t="str">
        <f t="shared" si="1224"/>
        <v>15:13:06.000</v>
      </c>
      <c r="U3086" t="str">
        <f t="shared" si="1218"/>
        <v>A68FCB</v>
      </c>
      <c r="V3086">
        <v>0</v>
      </c>
      <c r="W3086">
        <v>0</v>
      </c>
      <c r="X3086">
        <v>2</v>
      </c>
      <c r="Y3086">
        <v>0</v>
      </c>
      <c r="AA3086">
        <v>1</v>
      </c>
      <c r="AB3086">
        <v>8</v>
      </c>
      <c r="AC3086">
        <v>3</v>
      </c>
      <c r="AD3086">
        <v>0</v>
      </c>
      <c r="AE3086">
        <v>9</v>
      </c>
      <c r="AF3086" t="s">
        <v>138</v>
      </c>
      <c r="AG3086">
        <v>0</v>
      </c>
      <c r="AH3086">
        <v>3</v>
      </c>
      <c r="AI3086">
        <v>2</v>
      </c>
      <c r="AJ3086">
        <v>0</v>
      </c>
      <c r="AK3086" t="s">
        <v>1035</v>
      </c>
      <c r="AL3086">
        <v>39.121177000000003</v>
      </c>
      <c r="AM3086" t="s">
        <v>1036</v>
      </c>
      <c r="AN3086">
        <v>-121.03195700000001</v>
      </c>
      <c r="AO3086">
        <v>25</v>
      </c>
      <c r="AP3086">
        <v>4400</v>
      </c>
      <c r="AQ3086" t="s">
        <v>131</v>
      </c>
      <c r="AR3086">
        <v>2</v>
      </c>
      <c r="AS3086">
        <v>83</v>
      </c>
      <c r="AT3086">
        <v>0</v>
      </c>
      <c r="BB3086" t="str">
        <f t="shared" si="1219"/>
        <v>1200</v>
      </c>
      <c r="BC3086">
        <v>1</v>
      </c>
      <c r="BD3086" t="str">
        <f t="shared" si="1220"/>
        <v xml:space="preserve">N52156  </v>
      </c>
      <c r="BE3086">
        <v>1</v>
      </c>
      <c r="BG3086">
        <v>0</v>
      </c>
      <c r="BH3086">
        <v>0</v>
      </c>
      <c r="BI3086">
        <v>0</v>
      </c>
      <c r="BJ3086">
        <v>4425</v>
      </c>
      <c r="BK3086">
        <v>25</v>
      </c>
      <c r="BL3086" t="s">
        <v>188</v>
      </c>
      <c r="BM3086">
        <v>1</v>
      </c>
      <c r="BN3086">
        <v>1</v>
      </c>
      <c r="BO3086">
        <v>0</v>
      </c>
      <c r="BP3086">
        <v>0</v>
      </c>
      <c r="BS3086">
        <v>0</v>
      </c>
      <c r="BT3086">
        <v>0</v>
      </c>
      <c r="BU3086">
        <v>0</v>
      </c>
      <c r="CE3086" t="str">
        <f t="shared" ref="CE3086:CE3091" si="1225">"15:13:06.245"</f>
        <v>15:13:06.245</v>
      </c>
      <c r="CF3086">
        <v>245479356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5</v>
      </c>
      <c r="CY3086">
        <v>7</v>
      </c>
      <c r="CZ3086" t="s">
        <v>133</v>
      </c>
      <c r="DA3086">
        <v>275</v>
      </c>
      <c r="DB3086">
        <v>0</v>
      </c>
      <c r="DC3086" t="s">
        <v>134</v>
      </c>
      <c r="DD3086" t="s">
        <v>135</v>
      </c>
      <c r="DG3086">
        <v>3322345</v>
      </c>
      <c r="DI3086">
        <v>1</v>
      </c>
      <c r="DJ3086">
        <v>0</v>
      </c>
      <c r="DK3086">
        <v>0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">
      <c r="A3087" t="str">
        <f>"05/01/2025 15:13:06.448"</f>
        <v>05/01/2025 15:13:06.448</v>
      </c>
      <c r="C3087" t="str">
        <f t="shared" si="1216"/>
        <v>FFDFD3C0</v>
      </c>
      <c r="D3087" t="s">
        <v>145</v>
      </c>
      <c r="E3087" t="str">
        <f>"05"</f>
        <v>05</v>
      </c>
      <c r="H3087">
        <v>47</v>
      </c>
      <c r="I3087" t="s">
        <v>146</v>
      </c>
      <c r="J3087" t="s">
        <v>138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R3087" t="s">
        <v>127</v>
      </c>
      <c r="S3087" t="str">
        <f t="shared" si="1224"/>
        <v>15:13:06.000</v>
      </c>
      <c r="T3087" t="str">
        <f t="shared" si="1224"/>
        <v>15:13:06.000</v>
      </c>
      <c r="U3087" t="str">
        <f t="shared" si="1218"/>
        <v>A68FCB</v>
      </c>
      <c r="V3087">
        <v>0</v>
      </c>
      <c r="W3087">
        <v>0</v>
      </c>
      <c r="X3087">
        <v>2</v>
      </c>
      <c r="Y3087">
        <v>0</v>
      </c>
      <c r="AA3087">
        <v>1</v>
      </c>
      <c r="AB3087">
        <v>8</v>
      </c>
      <c r="AC3087">
        <v>3</v>
      </c>
      <c r="AD3087">
        <v>0</v>
      </c>
      <c r="AE3087">
        <v>9</v>
      </c>
      <c r="AF3087" t="s">
        <v>138</v>
      </c>
      <c r="AG3087">
        <v>0</v>
      </c>
      <c r="AH3087">
        <v>3</v>
      </c>
      <c r="AI3087">
        <v>2</v>
      </c>
      <c r="AJ3087">
        <v>0</v>
      </c>
      <c r="AK3087" t="s">
        <v>1035</v>
      </c>
      <c r="AL3087">
        <v>39.121177000000003</v>
      </c>
      <c r="AM3087" t="s">
        <v>1036</v>
      </c>
      <c r="AN3087">
        <v>-121.03195700000001</v>
      </c>
      <c r="AO3087">
        <v>25</v>
      </c>
      <c r="AP3087">
        <v>4400</v>
      </c>
      <c r="AQ3087" t="s">
        <v>131</v>
      </c>
      <c r="AR3087">
        <v>2</v>
      </c>
      <c r="AS3087">
        <v>83</v>
      </c>
      <c r="AT3087">
        <v>0</v>
      </c>
      <c r="BB3087" t="str">
        <f t="shared" si="1219"/>
        <v>1200</v>
      </c>
      <c r="BC3087">
        <v>1</v>
      </c>
      <c r="BD3087" t="str">
        <f t="shared" si="1220"/>
        <v xml:space="preserve">N52156  </v>
      </c>
      <c r="BE3087">
        <v>1</v>
      </c>
      <c r="BG3087">
        <v>0</v>
      </c>
      <c r="BH3087">
        <v>0</v>
      </c>
      <c r="BI3087">
        <v>0</v>
      </c>
      <c r="BJ3087">
        <v>4425</v>
      </c>
      <c r="BK3087">
        <v>25</v>
      </c>
      <c r="BL3087" t="s">
        <v>188</v>
      </c>
      <c r="BM3087">
        <v>1</v>
      </c>
      <c r="BN3087">
        <v>1</v>
      </c>
      <c r="BO3087">
        <v>0</v>
      </c>
      <c r="BP3087">
        <v>0</v>
      </c>
      <c r="BS3087">
        <v>0</v>
      </c>
      <c r="BT3087">
        <v>0</v>
      </c>
      <c r="BU3087">
        <v>0</v>
      </c>
      <c r="CE3087" t="str">
        <f t="shared" si="1225"/>
        <v>15:13:06.245</v>
      </c>
      <c r="CF3087">
        <v>245479356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5</v>
      </c>
      <c r="CY3087">
        <v>7</v>
      </c>
      <c r="CZ3087" t="s">
        <v>133</v>
      </c>
      <c r="DA3087">
        <v>275</v>
      </c>
      <c r="DB3087">
        <v>0</v>
      </c>
      <c r="DC3087" t="s">
        <v>134</v>
      </c>
      <c r="DD3087" t="s">
        <v>135</v>
      </c>
      <c r="DG3087">
        <v>3322345</v>
      </c>
      <c r="DI3087">
        <v>1</v>
      </c>
      <c r="DJ3087">
        <v>0</v>
      </c>
      <c r="DK3087">
        <v>1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3">
      <c r="A3088" t="str">
        <f>"05/01/2025 15:13:06.459"</f>
        <v>05/01/2025 15:13:06.459</v>
      </c>
      <c r="C3088" t="str">
        <f t="shared" si="1216"/>
        <v>FFDFD3C0</v>
      </c>
      <c r="D3088" t="s">
        <v>136</v>
      </c>
      <c r="E3088" t="str">
        <f>"20"</f>
        <v>20</v>
      </c>
      <c r="H3088">
        <v>400</v>
      </c>
      <c r="I3088" t="s">
        <v>137</v>
      </c>
      <c r="J3088" t="s">
        <v>138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R3088" t="s">
        <v>127</v>
      </c>
      <c r="S3088" t="str">
        <f t="shared" si="1224"/>
        <v>15:13:06.000</v>
      </c>
      <c r="T3088" t="str">
        <f t="shared" si="1224"/>
        <v>15:13:06.000</v>
      </c>
      <c r="U3088" t="str">
        <f t="shared" si="1218"/>
        <v>A68FCB</v>
      </c>
      <c r="V3088">
        <v>0</v>
      </c>
      <c r="W3088">
        <v>0</v>
      </c>
      <c r="X3088">
        <v>2</v>
      </c>
      <c r="Y3088">
        <v>0</v>
      </c>
      <c r="AA3088">
        <v>1</v>
      </c>
      <c r="AB3088">
        <v>8</v>
      </c>
      <c r="AC3088">
        <v>3</v>
      </c>
      <c r="AD3088">
        <v>0</v>
      </c>
      <c r="AE3088">
        <v>9</v>
      </c>
      <c r="AF3088" t="s">
        <v>138</v>
      </c>
      <c r="AG3088">
        <v>0</v>
      </c>
      <c r="AH3088">
        <v>3</v>
      </c>
      <c r="AI3088">
        <v>2</v>
      </c>
      <c r="AJ3088">
        <v>0</v>
      </c>
      <c r="AK3088" t="s">
        <v>1035</v>
      </c>
      <c r="AL3088">
        <v>39.121177000000003</v>
      </c>
      <c r="AM3088" t="s">
        <v>1036</v>
      </c>
      <c r="AN3088">
        <v>-121.03195700000001</v>
      </c>
      <c r="AO3088">
        <v>25</v>
      </c>
      <c r="AP3088">
        <v>4400</v>
      </c>
      <c r="AQ3088" t="s">
        <v>131</v>
      </c>
      <c r="AR3088">
        <v>2</v>
      </c>
      <c r="AS3088">
        <v>83</v>
      </c>
      <c r="AT3088">
        <v>0</v>
      </c>
      <c r="BB3088" t="str">
        <f t="shared" si="1219"/>
        <v>1200</v>
      </c>
      <c r="BC3088">
        <v>1</v>
      </c>
      <c r="BD3088" t="str">
        <f t="shared" si="1220"/>
        <v xml:space="preserve">N52156  </v>
      </c>
      <c r="BE3088">
        <v>1</v>
      </c>
      <c r="BG3088">
        <v>0</v>
      </c>
      <c r="BH3088">
        <v>0</v>
      </c>
      <c r="BI3088">
        <v>0</v>
      </c>
      <c r="BJ3088">
        <v>4425</v>
      </c>
      <c r="BK3088">
        <v>25</v>
      </c>
      <c r="BL3088" t="s">
        <v>188</v>
      </c>
      <c r="BM3088">
        <v>1</v>
      </c>
      <c r="BN3088">
        <v>1</v>
      </c>
      <c r="BO3088">
        <v>0</v>
      </c>
      <c r="BP3088">
        <v>0</v>
      </c>
      <c r="BS3088">
        <v>0</v>
      </c>
      <c r="BT3088">
        <v>0</v>
      </c>
      <c r="BU3088">
        <v>0</v>
      </c>
      <c r="CE3088" t="str">
        <f t="shared" si="1225"/>
        <v>15:13:06.245</v>
      </c>
      <c r="CF3088">
        <v>245479356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5</v>
      </c>
      <c r="CY3088">
        <v>7</v>
      </c>
      <c r="CZ3088" t="s">
        <v>133</v>
      </c>
      <c r="DA3088">
        <v>275</v>
      </c>
      <c r="DB3088">
        <v>0</v>
      </c>
      <c r="DC3088" t="s">
        <v>134</v>
      </c>
      <c r="DD3088" t="s">
        <v>135</v>
      </c>
      <c r="DG3088">
        <v>3322345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3">
      <c r="A3089" t="str">
        <f>"05/01/2025 15:13:06.468"</f>
        <v>05/01/2025 15:13:06.468</v>
      </c>
      <c r="C3089" t="str">
        <f t="shared" si="1216"/>
        <v>FFDFD3C0</v>
      </c>
      <c r="D3089" t="s">
        <v>143</v>
      </c>
      <c r="E3089" t="str">
        <f>"05"</f>
        <v>05</v>
      </c>
      <c r="H3089">
        <v>172</v>
      </c>
      <c r="I3089" t="s">
        <v>141</v>
      </c>
      <c r="J3089" t="s">
        <v>144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R3089" t="s">
        <v>127</v>
      </c>
      <c r="S3089" t="str">
        <f t="shared" si="1224"/>
        <v>15:13:06.000</v>
      </c>
      <c r="T3089" t="str">
        <f t="shared" si="1224"/>
        <v>15:13:06.000</v>
      </c>
      <c r="U3089" t="str">
        <f t="shared" si="1218"/>
        <v>A68FCB</v>
      </c>
      <c r="V3089">
        <v>0</v>
      </c>
      <c r="W3089">
        <v>0</v>
      </c>
      <c r="X3089">
        <v>2</v>
      </c>
      <c r="Y3089">
        <v>0</v>
      </c>
      <c r="AA3089">
        <v>1</v>
      </c>
      <c r="AB3089">
        <v>8</v>
      </c>
      <c r="AC3089">
        <v>3</v>
      </c>
      <c r="AD3089">
        <v>0</v>
      </c>
      <c r="AE3089">
        <v>9</v>
      </c>
      <c r="AF3089" t="s">
        <v>138</v>
      </c>
      <c r="AG3089">
        <v>0</v>
      </c>
      <c r="AH3089">
        <v>3</v>
      </c>
      <c r="AI3089">
        <v>2</v>
      </c>
      <c r="AJ3089">
        <v>0</v>
      </c>
      <c r="AK3089" t="s">
        <v>1035</v>
      </c>
      <c r="AL3089">
        <v>39.121177000000003</v>
      </c>
      <c r="AM3089" t="s">
        <v>1036</v>
      </c>
      <c r="AN3089">
        <v>-121.03195700000001</v>
      </c>
      <c r="AO3089">
        <v>25</v>
      </c>
      <c r="AP3089">
        <v>4400</v>
      </c>
      <c r="AQ3089" t="s">
        <v>131</v>
      </c>
      <c r="AR3089">
        <v>2</v>
      </c>
      <c r="AS3089">
        <v>83</v>
      </c>
      <c r="AT3089">
        <v>0</v>
      </c>
      <c r="BB3089" t="str">
        <f t="shared" si="1219"/>
        <v>1200</v>
      </c>
      <c r="BC3089">
        <v>1</v>
      </c>
      <c r="BD3089" t="str">
        <f t="shared" si="1220"/>
        <v xml:space="preserve">N52156  </v>
      </c>
      <c r="BE3089">
        <v>1</v>
      </c>
      <c r="BG3089">
        <v>0</v>
      </c>
      <c r="BH3089">
        <v>0</v>
      </c>
      <c r="BI3089">
        <v>0</v>
      </c>
      <c r="BJ3089">
        <v>4425</v>
      </c>
      <c r="BK3089">
        <v>25</v>
      </c>
      <c r="BL3089" t="s">
        <v>188</v>
      </c>
      <c r="BM3089">
        <v>1</v>
      </c>
      <c r="BN3089">
        <v>1</v>
      </c>
      <c r="BO3089">
        <v>0</v>
      </c>
      <c r="BP3089">
        <v>0</v>
      </c>
      <c r="BS3089">
        <v>0</v>
      </c>
      <c r="BT3089">
        <v>0</v>
      </c>
      <c r="BU3089">
        <v>0</v>
      </c>
      <c r="CE3089" t="str">
        <f t="shared" si="1225"/>
        <v>15:13:06.245</v>
      </c>
      <c r="CF3089">
        <v>245479356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5</v>
      </c>
      <c r="CY3089">
        <v>7</v>
      </c>
      <c r="CZ3089" t="s">
        <v>133</v>
      </c>
      <c r="DA3089">
        <v>275</v>
      </c>
      <c r="DB3089">
        <v>0</v>
      </c>
      <c r="DC3089" t="s">
        <v>134</v>
      </c>
      <c r="DD3089" t="s">
        <v>135</v>
      </c>
      <c r="DG3089">
        <v>3322345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3">
      <c r="A3090" t="str">
        <f>"05/01/2025 15:13:06.482"</f>
        <v>05/01/2025 15:13:06.482</v>
      </c>
      <c r="C3090" t="str">
        <f t="shared" si="1216"/>
        <v>FFDFD3C0</v>
      </c>
      <c r="D3090" t="s">
        <v>140</v>
      </c>
      <c r="E3090" t="str">
        <f>"13"</f>
        <v>13</v>
      </c>
      <c r="F3090">
        <v>1019</v>
      </c>
      <c r="G3090" t="s">
        <v>141</v>
      </c>
      <c r="J3090" t="s">
        <v>142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R3090" t="s">
        <v>127</v>
      </c>
      <c r="S3090" t="str">
        <f t="shared" si="1224"/>
        <v>15:13:06.000</v>
      </c>
      <c r="T3090" t="str">
        <f t="shared" si="1224"/>
        <v>15:13:06.000</v>
      </c>
      <c r="U3090" t="str">
        <f t="shared" si="1218"/>
        <v>A68FCB</v>
      </c>
      <c r="V3090">
        <v>0</v>
      </c>
      <c r="W3090">
        <v>0</v>
      </c>
      <c r="X3090">
        <v>2</v>
      </c>
      <c r="Y3090">
        <v>0</v>
      </c>
      <c r="AA3090">
        <v>1</v>
      </c>
      <c r="AB3090">
        <v>8</v>
      </c>
      <c r="AC3090">
        <v>3</v>
      </c>
      <c r="AD3090">
        <v>0</v>
      </c>
      <c r="AE3090">
        <v>9</v>
      </c>
      <c r="AF3090" t="s">
        <v>138</v>
      </c>
      <c r="AG3090">
        <v>0</v>
      </c>
      <c r="AH3090">
        <v>3</v>
      </c>
      <c r="AI3090">
        <v>2</v>
      </c>
      <c r="AJ3090">
        <v>0</v>
      </c>
      <c r="AK3090" t="s">
        <v>1035</v>
      </c>
      <c r="AL3090">
        <v>39.121177000000003</v>
      </c>
      <c r="AM3090" t="s">
        <v>1036</v>
      </c>
      <c r="AN3090">
        <v>-121.03195700000001</v>
      </c>
      <c r="AO3090">
        <v>25</v>
      </c>
      <c r="AP3090">
        <v>4400</v>
      </c>
      <c r="AQ3090" t="s">
        <v>131</v>
      </c>
      <c r="AR3090">
        <v>2</v>
      </c>
      <c r="AS3090">
        <v>83</v>
      </c>
      <c r="AT3090">
        <v>0</v>
      </c>
      <c r="BB3090" t="str">
        <f t="shared" si="1219"/>
        <v>1200</v>
      </c>
      <c r="BC3090">
        <v>1</v>
      </c>
      <c r="BD3090" t="str">
        <f t="shared" si="1220"/>
        <v xml:space="preserve">N52156  </v>
      </c>
      <c r="BE3090">
        <v>1</v>
      </c>
      <c r="BG3090">
        <v>0</v>
      </c>
      <c r="BH3090">
        <v>0</v>
      </c>
      <c r="BI3090">
        <v>0</v>
      </c>
      <c r="BJ3090">
        <v>4425</v>
      </c>
      <c r="BK3090">
        <v>25</v>
      </c>
      <c r="BL3090" t="s">
        <v>188</v>
      </c>
      <c r="BM3090">
        <v>1</v>
      </c>
      <c r="BN3090">
        <v>1</v>
      </c>
      <c r="BO3090">
        <v>0</v>
      </c>
      <c r="BP3090">
        <v>0</v>
      </c>
      <c r="BS3090">
        <v>0</v>
      </c>
      <c r="BT3090">
        <v>0</v>
      </c>
      <c r="BU3090">
        <v>0</v>
      </c>
      <c r="CE3090" t="str">
        <f t="shared" si="1225"/>
        <v>15:13:06.245</v>
      </c>
      <c r="CF3090">
        <v>245479356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5</v>
      </c>
      <c r="CY3090">
        <v>7</v>
      </c>
      <c r="CZ3090" t="s">
        <v>133</v>
      </c>
      <c r="DA3090">
        <v>275</v>
      </c>
      <c r="DB3090">
        <v>0</v>
      </c>
      <c r="DC3090" t="s">
        <v>134</v>
      </c>
      <c r="DD3090" t="s">
        <v>135</v>
      </c>
      <c r="DG3090">
        <v>3322345</v>
      </c>
      <c r="DI3090">
        <v>1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3">
      <c r="A3091" t="str">
        <f>"05/01/2025 15:13:06.481"</f>
        <v>05/01/2025 15:13:06.481</v>
      </c>
      <c r="C3091" t="str">
        <f t="shared" si="1216"/>
        <v>FFDFD3C0</v>
      </c>
      <c r="D3091" t="s">
        <v>124</v>
      </c>
      <c r="E3091" t="str">
        <f>"06"</f>
        <v>06</v>
      </c>
      <c r="F3091">
        <v>2006</v>
      </c>
      <c r="G3091" t="s">
        <v>125</v>
      </c>
      <c r="J3091" t="s">
        <v>126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R3091" t="s">
        <v>127</v>
      </c>
      <c r="S3091" t="str">
        <f t="shared" si="1224"/>
        <v>15:13:06.000</v>
      </c>
      <c r="T3091" t="str">
        <f t="shared" si="1224"/>
        <v>15:13:06.000</v>
      </c>
      <c r="U3091" t="str">
        <f t="shared" si="1218"/>
        <v>A68FCB</v>
      </c>
      <c r="V3091">
        <v>0</v>
      </c>
      <c r="W3091">
        <v>0</v>
      </c>
      <c r="X3091">
        <v>2</v>
      </c>
      <c r="Y3091">
        <v>0</v>
      </c>
      <c r="AA3091">
        <v>1</v>
      </c>
      <c r="AB3091">
        <v>8</v>
      </c>
      <c r="AC3091">
        <v>3</v>
      </c>
      <c r="AD3091">
        <v>0</v>
      </c>
      <c r="AE3091">
        <v>9</v>
      </c>
      <c r="AF3091" t="s">
        <v>138</v>
      </c>
      <c r="AG3091">
        <v>0</v>
      </c>
      <c r="AH3091">
        <v>3</v>
      </c>
      <c r="AI3091">
        <v>2</v>
      </c>
      <c r="AJ3091">
        <v>0</v>
      </c>
      <c r="AK3091" t="s">
        <v>1035</v>
      </c>
      <c r="AL3091">
        <v>39.121177000000003</v>
      </c>
      <c r="AM3091" t="s">
        <v>1036</v>
      </c>
      <c r="AN3091">
        <v>-121.03195700000001</v>
      </c>
      <c r="AO3091">
        <v>25</v>
      </c>
      <c r="AP3091">
        <v>4400</v>
      </c>
      <c r="AQ3091" t="s">
        <v>131</v>
      </c>
      <c r="AR3091">
        <v>2</v>
      </c>
      <c r="AS3091">
        <v>83</v>
      </c>
      <c r="AT3091">
        <v>0</v>
      </c>
      <c r="BB3091" t="str">
        <f t="shared" si="1219"/>
        <v>1200</v>
      </c>
      <c r="BC3091">
        <v>1</v>
      </c>
      <c r="BD3091" t="str">
        <f t="shared" si="1220"/>
        <v xml:space="preserve">N52156  </v>
      </c>
      <c r="BE3091">
        <v>1</v>
      </c>
      <c r="BG3091">
        <v>0</v>
      </c>
      <c r="BH3091">
        <v>0</v>
      </c>
      <c r="BI3091">
        <v>0</v>
      </c>
      <c r="BJ3091">
        <v>4425</v>
      </c>
      <c r="BK3091">
        <v>25</v>
      </c>
      <c r="BL3091" t="s">
        <v>188</v>
      </c>
      <c r="BM3091">
        <v>1</v>
      </c>
      <c r="BN3091">
        <v>1</v>
      </c>
      <c r="BO3091">
        <v>0</v>
      </c>
      <c r="BP3091">
        <v>0</v>
      </c>
      <c r="BS3091">
        <v>0</v>
      </c>
      <c r="BT3091">
        <v>0</v>
      </c>
      <c r="BU3091">
        <v>0</v>
      </c>
      <c r="CE3091" t="str">
        <f t="shared" si="1225"/>
        <v>15:13:06.245</v>
      </c>
      <c r="CF3091">
        <v>245479356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5</v>
      </c>
      <c r="CY3091">
        <v>7</v>
      </c>
      <c r="CZ3091" t="s">
        <v>133</v>
      </c>
      <c r="DA3091">
        <v>275</v>
      </c>
      <c r="DB3091">
        <v>0</v>
      </c>
      <c r="DC3091" t="s">
        <v>134</v>
      </c>
      <c r="DD3091" t="s">
        <v>135</v>
      </c>
      <c r="DG3091">
        <v>3322345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3">
      <c r="A3092" t="str">
        <f>"05/01/2025 15:13:07.799"</f>
        <v>05/01/2025 15:13:07.799</v>
      </c>
      <c r="C3092" t="str">
        <f t="shared" si="1216"/>
        <v>FFDFD3C0</v>
      </c>
      <c r="D3092" t="s">
        <v>145</v>
      </c>
      <c r="E3092" t="str">
        <f>"09"</f>
        <v>09</v>
      </c>
      <c r="H3092">
        <v>51</v>
      </c>
      <c r="I3092" t="s">
        <v>147</v>
      </c>
      <c r="J3092" t="s">
        <v>138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R3092" t="s">
        <v>127</v>
      </c>
      <c r="S3092" t="str">
        <f t="shared" ref="S3092:T3097" si="1226">"15:13:07.000"</f>
        <v>15:13:07.000</v>
      </c>
      <c r="T3092" t="str">
        <f t="shared" si="1226"/>
        <v>15:13:07.000</v>
      </c>
      <c r="U3092" t="str">
        <f t="shared" si="1218"/>
        <v>A68FCB</v>
      </c>
      <c r="V3092">
        <v>0</v>
      </c>
      <c r="W3092">
        <v>0</v>
      </c>
      <c r="X3092">
        <v>2</v>
      </c>
      <c r="Y3092">
        <v>0</v>
      </c>
      <c r="AA3092">
        <v>1</v>
      </c>
      <c r="AB3092">
        <v>8</v>
      </c>
      <c r="AC3092">
        <v>3</v>
      </c>
      <c r="AD3092">
        <v>0</v>
      </c>
      <c r="AE3092">
        <v>9</v>
      </c>
      <c r="AF3092" t="s">
        <v>138</v>
      </c>
      <c r="AG3092">
        <v>0</v>
      </c>
      <c r="AH3092">
        <v>3</v>
      </c>
      <c r="AI3092">
        <v>2</v>
      </c>
      <c r="AJ3092">
        <v>0</v>
      </c>
      <c r="AK3092" t="s">
        <v>1037</v>
      </c>
      <c r="AL3092">
        <v>39.121585000000003</v>
      </c>
      <c r="AM3092" t="s">
        <v>1038</v>
      </c>
      <c r="AN3092">
        <v>-121.031935</v>
      </c>
      <c r="AO3092">
        <v>25</v>
      </c>
      <c r="AP3092">
        <v>4400</v>
      </c>
      <c r="AQ3092" t="s">
        <v>131</v>
      </c>
      <c r="AR3092">
        <v>2</v>
      </c>
      <c r="AS3092">
        <v>83</v>
      </c>
      <c r="AT3092">
        <v>-64</v>
      </c>
      <c r="BB3092" t="str">
        <f t="shared" si="1219"/>
        <v>1200</v>
      </c>
      <c r="BC3092">
        <v>1</v>
      </c>
      <c r="BD3092" t="str">
        <f t="shared" si="1220"/>
        <v xml:space="preserve">N52156  </v>
      </c>
      <c r="BE3092">
        <v>1</v>
      </c>
      <c r="BG3092">
        <v>0</v>
      </c>
      <c r="BH3092">
        <v>0</v>
      </c>
      <c r="BI3092">
        <v>0</v>
      </c>
      <c r="BJ3092">
        <v>4425</v>
      </c>
      <c r="BK3092">
        <v>25</v>
      </c>
      <c r="BL3092" t="s">
        <v>188</v>
      </c>
      <c r="BM3092">
        <v>1</v>
      </c>
      <c r="BN3092">
        <v>1</v>
      </c>
      <c r="BO3092">
        <v>0</v>
      </c>
      <c r="BP3092">
        <v>0</v>
      </c>
      <c r="BS3092">
        <v>0</v>
      </c>
      <c r="BT3092">
        <v>0</v>
      </c>
      <c r="BU3092">
        <v>0</v>
      </c>
      <c r="CE3092" t="str">
        <f t="shared" ref="CE3092:CE3097" si="1227">"15:13:07.593"</f>
        <v>15:13:07.593</v>
      </c>
      <c r="CF3092">
        <v>592980315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5</v>
      </c>
      <c r="CY3092">
        <v>7</v>
      </c>
      <c r="CZ3092" t="s">
        <v>133</v>
      </c>
      <c r="DA3092">
        <v>275</v>
      </c>
      <c r="DB3092">
        <v>0</v>
      </c>
      <c r="DC3092" t="s">
        <v>134</v>
      </c>
      <c r="DD3092" t="s">
        <v>135</v>
      </c>
      <c r="DG3092">
        <v>3322355</v>
      </c>
      <c r="DI3092">
        <v>1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3">
      <c r="A3093" t="str">
        <f>"05/01/2025 15:13:07.801"</f>
        <v>05/01/2025 15:13:07.801</v>
      </c>
      <c r="C3093" t="str">
        <f t="shared" si="1216"/>
        <v>FFDFD3C0</v>
      </c>
      <c r="D3093" t="s">
        <v>145</v>
      </c>
      <c r="E3093" t="str">
        <f>"05"</f>
        <v>05</v>
      </c>
      <c r="H3093">
        <v>47</v>
      </c>
      <c r="I3093" t="s">
        <v>146</v>
      </c>
      <c r="J3093" t="s">
        <v>138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R3093" t="s">
        <v>127</v>
      </c>
      <c r="S3093" t="str">
        <f t="shared" si="1226"/>
        <v>15:13:07.000</v>
      </c>
      <c r="T3093" t="str">
        <f t="shared" si="1226"/>
        <v>15:13:07.000</v>
      </c>
      <c r="U3093" t="str">
        <f t="shared" si="1218"/>
        <v>A68FCB</v>
      </c>
      <c r="V3093">
        <v>0</v>
      </c>
      <c r="W3093">
        <v>0</v>
      </c>
      <c r="X3093">
        <v>2</v>
      </c>
      <c r="Y3093">
        <v>0</v>
      </c>
      <c r="AA3093">
        <v>1</v>
      </c>
      <c r="AB3093">
        <v>8</v>
      </c>
      <c r="AC3093">
        <v>3</v>
      </c>
      <c r="AD3093">
        <v>0</v>
      </c>
      <c r="AE3093">
        <v>9</v>
      </c>
      <c r="AF3093" t="s">
        <v>138</v>
      </c>
      <c r="AG3093">
        <v>0</v>
      </c>
      <c r="AH3093">
        <v>3</v>
      </c>
      <c r="AI3093">
        <v>2</v>
      </c>
      <c r="AJ3093">
        <v>0</v>
      </c>
      <c r="AK3093" t="s">
        <v>1037</v>
      </c>
      <c r="AL3093">
        <v>39.121585000000003</v>
      </c>
      <c r="AM3093" t="s">
        <v>1038</v>
      </c>
      <c r="AN3093">
        <v>-121.031935</v>
      </c>
      <c r="AO3093">
        <v>25</v>
      </c>
      <c r="AP3093">
        <v>4400</v>
      </c>
      <c r="AQ3093" t="s">
        <v>131</v>
      </c>
      <c r="AR3093">
        <v>2</v>
      </c>
      <c r="AS3093">
        <v>83</v>
      </c>
      <c r="AT3093">
        <v>-64</v>
      </c>
      <c r="BB3093" t="str">
        <f t="shared" si="1219"/>
        <v>1200</v>
      </c>
      <c r="BC3093">
        <v>1</v>
      </c>
      <c r="BD3093" t="str">
        <f t="shared" si="1220"/>
        <v xml:space="preserve">N52156  </v>
      </c>
      <c r="BE3093">
        <v>1</v>
      </c>
      <c r="BG3093">
        <v>0</v>
      </c>
      <c r="BH3093">
        <v>0</v>
      </c>
      <c r="BI3093">
        <v>0</v>
      </c>
      <c r="BJ3093">
        <v>4425</v>
      </c>
      <c r="BK3093">
        <v>25</v>
      </c>
      <c r="BL3093" t="s">
        <v>188</v>
      </c>
      <c r="BM3093">
        <v>1</v>
      </c>
      <c r="BN3093">
        <v>1</v>
      </c>
      <c r="BO3093">
        <v>0</v>
      </c>
      <c r="BP3093">
        <v>0</v>
      </c>
      <c r="BS3093">
        <v>0</v>
      </c>
      <c r="BT3093">
        <v>0</v>
      </c>
      <c r="BU3093">
        <v>0</v>
      </c>
      <c r="CE3093" t="str">
        <f t="shared" si="1227"/>
        <v>15:13:07.593</v>
      </c>
      <c r="CF3093">
        <v>592980315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5</v>
      </c>
      <c r="CY3093">
        <v>7</v>
      </c>
      <c r="CZ3093" t="s">
        <v>133</v>
      </c>
      <c r="DA3093">
        <v>275</v>
      </c>
      <c r="DB3093">
        <v>0</v>
      </c>
      <c r="DC3093" t="s">
        <v>134</v>
      </c>
      <c r="DD3093" t="s">
        <v>135</v>
      </c>
      <c r="DG3093">
        <v>3322355</v>
      </c>
      <c r="DI3093">
        <v>1</v>
      </c>
      <c r="DJ3093">
        <v>0</v>
      </c>
      <c r="DK3093">
        <v>1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3">
      <c r="A3094" t="str">
        <f>"05/01/2025 15:13:07.811"</f>
        <v>05/01/2025 15:13:07.811</v>
      </c>
      <c r="C3094" t="str">
        <f t="shared" si="1216"/>
        <v>FFDFD3C0</v>
      </c>
      <c r="D3094" t="s">
        <v>136</v>
      </c>
      <c r="E3094" t="str">
        <f>"20"</f>
        <v>20</v>
      </c>
      <c r="H3094">
        <v>400</v>
      </c>
      <c r="I3094" t="s">
        <v>137</v>
      </c>
      <c r="J3094" t="s">
        <v>138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R3094" t="s">
        <v>127</v>
      </c>
      <c r="S3094" t="str">
        <f t="shared" si="1226"/>
        <v>15:13:07.000</v>
      </c>
      <c r="T3094" t="str">
        <f t="shared" si="1226"/>
        <v>15:13:07.000</v>
      </c>
      <c r="U3094" t="str">
        <f t="shared" si="1218"/>
        <v>A68FCB</v>
      </c>
      <c r="V3094">
        <v>0</v>
      </c>
      <c r="W3094">
        <v>0</v>
      </c>
      <c r="X3094">
        <v>2</v>
      </c>
      <c r="Y3094">
        <v>0</v>
      </c>
      <c r="AA3094">
        <v>1</v>
      </c>
      <c r="AB3094">
        <v>8</v>
      </c>
      <c r="AC3094">
        <v>3</v>
      </c>
      <c r="AD3094">
        <v>0</v>
      </c>
      <c r="AE3094">
        <v>9</v>
      </c>
      <c r="AF3094" t="s">
        <v>138</v>
      </c>
      <c r="AG3094">
        <v>0</v>
      </c>
      <c r="AH3094">
        <v>3</v>
      </c>
      <c r="AI3094">
        <v>2</v>
      </c>
      <c r="AJ3094">
        <v>0</v>
      </c>
      <c r="AK3094" t="s">
        <v>1037</v>
      </c>
      <c r="AL3094">
        <v>39.121585000000003</v>
      </c>
      <c r="AM3094" t="s">
        <v>1038</v>
      </c>
      <c r="AN3094">
        <v>-121.031935</v>
      </c>
      <c r="AO3094">
        <v>25</v>
      </c>
      <c r="AP3094">
        <v>4400</v>
      </c>
      <c r="AQ3094" t="s">
        <v>131</v>
      </c>
      <c r="AR3094">
        <v>2</v>
      </c>
      <c r="AS3094">
        <v>83</v>
      </c>
      <c r="AT3094">
        <v>-64</v>
      </c>
      <c r="BB3094" t="str">
        <f t="shared" si="1219"/>
        <v>1200</v>
      </c>
      <c r="BC3094">
        <v>1</v>
      </c>
      <c r="BD3094" t="str">
        <f t="shared" si="1220"/>
        <v xml:space="preserve">N52156  </v>
      </c>
      <c r="BE3094">
        <v>1</v>
      </c>
      <c r="BG3094">
        <v>0</v>
      </c>
      <c r="BH3094">
        <v>0</v>
      </c>
      <c r="BI3094">
        <v>0</v>
      </c>
      <c r="BJ3094">
        <v>4425</v>
      </c>
      <c r="BK3094">
        <v>25</v>
      </c>
      <c r="BL3094" t="s">
        <v>188</v>
      </c>
      <c r="BM3094">
        <v>1</v>
      </c>
      <c r="BN3094">
        <v>1</v>
      </c>
      <c r="BO3094">
        <v>0</v>
      </c>
      <c r="BP3094">
        <v>0</v>
      </c>
      <c r="BS3094">
        <v>0</v>
      </c>
      <c r="BT3094">
        <v>0</v>
      </c>
      <c r="BU3094">
        <v>0</v>
      </c>
      <c r="CE3094" t="str">
        <f t="shared" si="1227"/>
        <v>15:13:07.593</v>
      </c>
      <c r="CF3094">
        <v>592980315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5</v>
      </c>
      <c r="CY3094">
        <v>7</v>
      </c>
      <c r="CZ3094" t="s">
        <v>133</v>
      </c>
      <c r="DA3094">
        <v>275</v>
      </c>
      <c r="DB3094">
        <v>0</v>
      </c>
      <c r="DC3094" t="s">
        <v>134</v>
      </c>
      <c r="DD3094" t="s">
        <v>135</v>
      </c>
      <c r="DG3094">
        <v>3322355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3">
      <c r="A3095" t="str">
        <f>"05/01/2025 15:13:07.820"</f>
        <v>05/01/2025 15:13:07.820</v>
      </c>
      <c r="C3095" t="str">
        <f t="shared" si="1216"/>
        <v>FFDFD3C0</v>
      </c>
      <c r="D3095" t="s">
        <v>143</v>
      </c>
      <c r="E3095" t="str">
        <f>"05"</f>
        <v>05</v>
      </c>
      <c r="H3095">
        <v>172</v>
      </c>
      <c r="I3095" t="s">
        <v>141</v>
      </c>
      <c r="J3095" t="s">
        <v>144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R3095" t="s">
        <v>127</v>
      </c>
      <c r="S3095" t="str">
        <f t="shared" si="1226"/>
        <v>15:13:07.000</v>
      </c>
      <c r="T3095" t="str">
        <f t="shared" si="1226"/>
        <v>15:13:07.000</v>
      </c>
      <c r="U3095" t="str">
        <f t="shared" si="1218"/>
        <v>A68FCB</v>
      </c>
      <c r="V3095">
        <v>0</v>
      </c>
      <c r="W3095">
        <v>0</v>
      </c>
      <c r="X3095">
        <v>2</v>
      </c>
      <c r="Y3095">
        <v>0</v>
      </c>
      <c r="AA3095">
        <v>1</v>
      </c>
      <c r="AB3095">
        <v>8</v>
      </c>
      <c r="AC3095">
        <v>3</v>
      </c>
      <c r="AD3095">
        <v>0</v>
      </c>
      <c r="AE3095">
        <v>9</v>
      </c>
      <c r="AF3095" t="s">
        <v>138</v>
      </c>
      <c r="AG3095">
        <v>0</v>
      </c>
      <c r="AH3095">
        <v>3</v>
      </c>
      <c r="AI3095">
        <v>2</v>
      </c>
      <c r="AJ3095">
        <v>0</v>
      </c>
      <c r="AK3095" t="s">
        <v>1037</v>
      </c>
      <c r="AL3095">
        <v>39.121585000000003</v>
      </c>
      <c r="AM3095" t="s">
        <v>1038</v>
      </c>
      <c r="AN3095">
        <v>-121.031935</v>
      </c>
      <c r="AO3095">
        <v>25</v>
      </c>
      <c r="AP3095">
        <v>4400</v>
      </c>
      <c r="AQ3095" t="s">
        <v>131</v>
      </c>
      <c r="AR3095">
        <v>2</v>
      </c>
      <c r="AS3095">
        <v>83</v>
      </c>
      <c r="AT3095">
        <v>-64</v>
      </c>
      <c r="BB3095" t="str">
        <f t="shared" si="1219"/>
        <v>1200</v>
      </c>
      <c r="BC3095">
        <v>1</v>
      </c>
      <c r="BD3095" t="str">
        <f t="shared" si="1220"/>
        <v xml:space="preserve">N52156  </v>
      </c>
      <c r="BE3095">
        <v>1</v>
      </c>
      <c r="BG3095">
        <v>0</v>
      </c>
      <c r="BH3095">
        <v>0</v>
      </c>
      <c r="BI3095">
        <v>0</v>
      </c>
      <c r="BJ3095">
        <v>4425</v>
      </c>
      <c r="BK3095">
        <v>25</v>
      </c>
      <c r="BL3095" t="s">
        <v>188</v>
      </c>
      <c r="BM3095">
        <v>1</v>
      </c>
      <c r="BN3095">
        <v>1</v>
      </c>
      <c r="BO3095">
        <v>0</v>
      </c>
      <c r="BP3095">
        <v>0</v>
      </c>
      <c r="BS3095">
        <v>0</v>
      </c>
      <c r="BT3095">
        <v>0</v>
      </c>
      <c r="BU3095">
        <v>0</v>
      </c>
      <c r="CE3095" t="str">
        <f t="shared" si="1227"/>
        <v>15:13:07.593</v>
      </c>
      <c r="CF3095">
        <v>592980315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5</v>
      </c>
      <c r="CY3095">
        <v>7</v>
      </c>
      <c r="CZ3095" t="s">
        <v>133</v>
      </c>
      <c r="DA3095">
        <v>275</v>
      </c>
      <c r="DB3095">
        <v>0</v>
      </c>
      <c r="DC3095" t="s">
        <v>134</v>
      </c>
      <c r="DD3095" t="s">
        <v>135</v>
      </c>
      <c r="DG3095">
        <v>3322355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3">
      <c r="A3096" t="str">
        <f>"05/01/2025 15:13:07.834"</f>
        <v>05/01/2025 15:13:07.834</v>
      </c>
      <c r="C3096" t="str">
        <f t="shared" si="1216"/>
        <v>FFDFD3C0</v>
      </c>
      <c r="D3096" t="s">
        <v>124</v>
      </c>
      <c r="E3096" t="str">
        <f>"06"</f>
        <v>06</v>
      </c>
      <c r="F3096">
        <v>2006</v>
      </c>
      <c r="G3096" t="s">
        <v>125</v>
      </c>
      <c r="J3096" t="s">
        <v>126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R3096" t="s">
        <v>127</v>
      </c>
      <c r="S3096" t="str">
        <f t="shared" si="1226"/>
        <v>15:13:07.000</v>
      </c>
      <c r="T3096" t="str">
        <f t="shared" si="1226"/>
        <v>15:13:07.000</v>
      </c>
      <c r="U3096" t="str">
        <f t="shared" si="1218"/>
        <v>A68FCB</v>
      </c>
      <c r="V3096">
        <v>0</v>
      </c>
      <c r="W3096">
        <v>0</v>
      </c>
      <c r="X3096">
        <v>2</v>
      </c>
      <c r="Y3096">
        <v>0</v>
      </c>
      <c r="AA3096">
        <v>1</v>
      </c>
      <c r="AB3096">
        <v>8</v>
      </c>
      <c r="AC3096">
        <v>3</v>
      </c>
      <c r="AD3096">
        <v>0</v>
      </c>
      <c r="AE3096">
        <v>9</v>
      </c>
      <c r="AF3096" t="s">
        <v>138</v>
      </c>
      <c r="AG3096">
        <v>0</v>
      </c>
      <c r="AH3096">
        <v>3</v>
      </c>
      <c r="AI3096">
        <v>2</v>
      </c>
      <c r="AJ3096">
        <v>0</v>
      </c>
      <c r="AK3096" t="s">
        <v>1037</v>
      </c>
      <c r="AL3096">
        <v>39.121585000000003</v>
      </c>
      <c r="AM3096" t="s">
        <v>1038</v>
      </c>
      <c r="AN3096">
        <v>-121.031935</v>
      </c>
      <c r="AO3096">
        <v>25</v>
      </c>
      <c r="AP3096">
        <v>4400</v>
      </c>
      <c r="AQ3096" t="s">
        <v>131</v>
      </c>
      <c r="AR3096">
        <v>2</v>
      </c>
      <c r="AS3096">
        <v>83</v>
      </c>
      <c r="AT3096">
        <v>-64</v>
      </c>
      <c r="BB3096" t="str">
        <f t="shared" si="1219"/>
        <v>1200</v>
      </c>
      <c r="BC3096">
        <v>1</v>
      </c>
      <c r="BD3096" t="str">
        <f t="shared" si="1220"/>
        <v xml:space="preserve">N52156  </v>
      </c>
      <c r="BE3096">
        <v>1</v>
      </c>
      <c r="BG3096">
        <v>0</v>
      </c>
      <c r="BH3096">
        <v>0</v>
      </c>
      <c r="BI3096">
        <v>0</v>
      </c>
      <c r="BJ3096">
        <v>4425</v>
      </c>
      <c r="BK3096">
        <v>25</v>
      </c>
      <c r="BL3096" t="s">
        <v>188</v>
      </c>
      <c r="BM3096">
        <v>1</v>
      </c>
      <c r="BN3096">
        <v>1</v>
      </c>
      <c r="BO3096">
        <v>0</v>
      </c>
      <c r="BP3096">
        <v>0</v>
      </c>
      <c r="BS3096">
        <v>0</v>
      </c>
      <c r="BT3096">
        <v>0</v>
      </c>
      <c r="BU3096">
        <v>0</v>
      </c>
      <c r="CE3096" t="str">
        <f t="shared" si="1227"/>
        <v>15:13:07.593</v>
      </c>
      <c r="CF3096">
        <v>592980315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5</v>
      </c>
      <c r="CY3096">
        <v>7</v>
      </c>
      <c r="CZ3096" t="s">
        <v>133</v>
      </c>
      <c r="DA3096">
        <v>275</v>
      </c>
      <c r="DB3096">
        <v>0</v>
      </c>
      <c r="DC3096" t="s">
        <v>134</v>
      </c>
      <c r="DD3096" t="s">
        <v>135</v>
      </c>
      <c r="DG3096">
        <v>3322355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3">
      <c r="A3097" t="str">
        <f>"05/01/2025 15:13:07.834"</f>
        <v>05/01/2025 15:13:07.834</v>
      </c>
      <c r="C3097" t="str">
        <f t="shared" si="1216"/>
        <v>FFDFD3C0</v>
      </c>
      <c r="D3097" t="s">
        <v>140</v>
      </c>
      <c r="E3097" t="str">
        <f>"13"</f>
        <v>13</v>
      </c>
      <c r="F3097">
        <v>1019</v>
      </c>
      <c r="G3097" t="s">
        <v>141</v>
      </c>
      <c r="J3097" t="s">
        <v>142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R3097" t="s">
        <v>127</v>
      </c>
      <c r="S3097" t="str">
        <f t="shared" si="1226"/>
        <v>15:13:07.000</v>
      </c>
      <c r="T3097" t="str">
        <f t="shared" si="1226"/>
        <v>15:13:07.000</v>
      </c>
      <c r="U3097" t="str">
        <f t="shared" si="1218"/>
        <v>A68FCB</v>
      </c>
      <c r="V3097">
        <v>0</v>
      </c>
      <c r="W3097">
        <v>0</v>
      </c>
      <c r="X3097">
        <v>2</v>
      </c>
      <c r="Y3097">
        <v>0</v>
      </c>
      <c r="AA3097">
        <v>1</v>
      </c>
      <c r="AB3097">
        <v>8</v>
      </c>
      <c r="AC3097">
        <v>3</v>
      </c>
      <c r="AD3097">
        <v>0</v>
      </c>
      <c r="AE3097">
        <v>9</v>
      </c>
      <c r="AF3097" t="s">
        <v>138</v>
      </c>
      <c r="AG3097">
        <v>0</v>
      </c>
      <c r="AH3097">
        <v>3</v>
      </c>
      <c r="AI3097">
        <v>2</v>
      </c>
      <c r="AJ3097">
        <v>0</v>
      </c>
      <c r="AK3097" t="s">
        <v>1037</v>
      </c>
      <c r="AL3097">
        <v>39.121585000000003</v>
      </c>
      <c r="AM3097" t="s">
        <v>1038</v>
      </c>
      <c r="AN3097">
        <v>-121.031935</v>
      </c>
      <c r="AO3097">
        <v>25</v>
      </c>
      <c r="AP3097">
        <v>4400</v>
      </c>
      <c r="AQ3097" t="s">
        <v>131</v>
      </c>
      <c r="AR3097">
        <v>2</v>
      </c>
      <c r="AS3097">
        <v>83</v>
      </c>
      <c r="AT3097">
        <v>-64</v>
      </c>
      <c r="BB3097" t="str">
        <f t="shared" si="1219"/>
        <v>1200</v>
      </c>
      <c r="BC3097">
        <v>1</v>
      </c>
      <c r="BD3097" t="str">
        <f t="shared" si="1220"/>
        <v xml:space="preserve">N52156  </v>
      </c>
      <c r="BE3097">
        <v>1</v>
      </c>
      <c r="BG3097">
        <v>0</v>
      </c>
      <c r="BH3097">
        <v>0</v>
      </c>
      <c r="BI3097">
        <v>0</v>
      </c>
      <c r="BJ3097">
        <v>4425</v>
      </c>
      <c r="BK3097">
        <v>25</v>
      </c>
      <c r="BL3097" t="s">
        <v>188</v>
      </c>
      <c r="BM3097">
        <v>1</v>
      </c>
      <c r="BN3097">
        <v>1</v>
      </c>
      <c r="BO3097">
        <v>0</v>
      </c>
      <c r="BP3097">
        <v>0</v>
      </c>
      <c r="BS3097">
        <v>0</v>
      </c>
      <c r="BT3097">
        <v>0</v>
      </c>
      <c r="BU3097">
        <v>0</v>
      </c>
      <c r="CE3097" t="str">
        <f t="shared" si="1227"/>
        <v>15:13:07.593</v>
      </c>
      <c r="CF3097">
        <v>592980315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5</v>
      </c>
      <c r="CY3097">
        <v>7</v>
      </c>
      <c r="CZ3097" t="s">
        <v>133</v>
      </c>
      <c r="DA3097">
        <v>275</v>
      </c>
      <c r="DB3097">
        <v>0</v>
      </c>
      <c r="DC3097" t="s">
        <v>134</v>
      </c>
      <c r="DD3097" t="s">
        <v>135</v>
      </c>
      <c r="DG3097">
        <v>3322355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3">
      <c r="A3098" t="str">
        <f>"05/01/2025 15:13:08.721"</f>
        <v>05/01/2025 15:13:08.721</v>
      </c>
      <c r="C3098" t="str">
        <f t="shared" si="1216"/>
        <v>FFDFD3C0</v>
      </c>
      <c r="D3098" t="s">
        <v>143</v>
      </c>
      <c r="E3098" t="str">
        <f>"05"</f>
        <v>05</v>
      </c>
      <c r="H3098">
        <v>172</v>
      </c>
      <c r="I3098" t="s">
        <v>141</v>
      </c>
      <c r="J3098" t="s">
        <v>144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R3098" t="s">
        <v>127</v>
      </c>
      <c r="S3098" t="str">
        <f t="shared" ref="S3098:T3103" si="1228">"15:13:08.000"</f>
        <v>15:13:08.000</v>
      </c>
      <c r="T3098" t="str">
        <f t="shared" si="1228"/>
        <v>15:13:08.000</v>
      </c>
      <c r="U3098" t="str">
        <f t="shared" si="1218"/>
        <v>A68FCB</v>
      </c>
      <c r="V3098">
        <v>0</v>
      </c>
      <c r="W3098">
        <v>0</v>
      </c>
      <c r="X3098">
        <v>2</v>
      </c>
      <c r="Y3098">
        <v>0</v>
      </c>
      <c r="AA3098">
        <v>1</v>
      </c>
      <c r="AB3098">
        <v>8</v>
      </c>
      <c r="AC3098">
        <v>3</v>
      </c>
      <c r="AD3098">
        <v>0</v>
      </c>
      <c r="AE3098">
        <v>9</v>
      </c>
      <c r="AF3098" t="s">
        <v>138</v>
      </c>
      <c r="AG3098">
        <v>0</v>
      </c>
      <c r="AH3098">
        <v>3</v>
      </c>
      <c r="AI3098">
        <v>2</v>
      </c>
      <c r="AJ3098">
        <v>0</v>
      </c>
      <c r="AK3098" t="s">
        <v>1039</v>
      </c>
      <c r="AL3098">
        <v>39.121971000000002</v>
      </c>
      <c r="AM3098" t="s">
        <v>1038</v>
      </c>
      <c r="AN3098">
        <v>-121.031935</v>
      </c>
      <c r="AO3098">
        <v>25</v>
      </c>
      <c r="AP3098">
        <v>4400</v>
      </c>
      <c r="AQ3098" t="s">
        <v>131</v>
      </c>
      <c r="AR3098">
        <v>2</v>
      </c>
      <c r="AS3098">
        <v>83</v>
      </c>
      <c r="AT3098">
        <v>-128</v>
      </c>
      <c r="BB3098" t="str">
        <f t="shared" si="1219"/>
        <v>1200</v>
      </c>
      <c r="BC3098">
        <v>1</v>
      </c>
      <c r="BD3098" t="str">
        <f t="shared" si="1220"/>
        <v xml:space="preserve">N52156  </v>
      </c>
      <c r="BE3098">
        <v>1</v>
      </c>
      <c r="BG3098">
        <v>0</v>
      </c>
      <c r="BH3098">
        <v>0</v>
      </c>
      <c r="BI3098">
        <v>0</v>
      </c>
      <c r="BJ3098">
        <v>4425</v>
      </c>
      <c r="BK3098">
        <v>25</v>
      </c>
      <c r="BL3098" t="s">
        <v>188</v>
      </c>
      <c r="BM3098">
        <v>1</v>
      </c>
      <c r="BN3098">
        <v>1</v>
      </c>
      <c r="BO3098">
        <v>0</v>
      </c>
      <c r="BP3098">
        <v>0</v>
      </c>
      <c r="BS3098">
        <v>0</v>
      </c>
      <c r="BT3098">
        <v>0</v>
      </c>
      <c r="BU3098">
        <v>0</v>
      </c>
      <c r="CE3098" t="str">
        <f t="shared" ref="CE3098:CE3103" si="1229">"15:13:08.517"</f>
        <v>15:13:08.517</v>
      </c>
      <c r="CF3098">
        <v>516980180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5</v>
      </c>
      <c r="CY3098">
        <v>7</v>
      </c>
      <c r="CZ3098" t="s">
        <v>133</v>
      </c>
      <c r="DA3098">
        <v>275</v>
      </c>
      <c r="DB3098">
        <v>0</v>
      </c>
      <c r="DC3098" t="s">
        <v>134</v>
      </c>
      <c r="DD3098" t="s">
        <v>135</v>
      </c>
      <c r="DG3098">
        <v>3322361</v>
      </c>
      <c r="DI3098">
        <v>1</v>
      </c>
      <c r="DJ3098">
        <v>0</v>
      </c>
      <c r="DK3098">
        <v>0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3">
      <c r="A3099" t="str">
        <f>"05/01/2025 15:13:08.735"</f>
        <v>05/01/2025 15:13:08.735</v>
      </c>
      <c r="C3099" t="str">
        <f t="shared" si="1216"/>
        <v>FFDFD3C0</v>
      </c>
      <c r="D3099" t="s">
        <v>124</v>
      </c>
      <c r="E3099" t="str">
        <f>"06"</f>
        <v>06</v>
      </c>
      <c r="F3099">
        <v>2006</v>
      </c>
      <c r="G3099" t="s">
        <v>125</v>
      </c>
      <c r="J3099" t="s">
        <v>126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R3099" t="s">
        <v>127</v>
      </c>
      <c r="S3099" t="str">
        <f t="shared" si="1228"/>
        <v>15:13:08.000</v>
      </c>
      <c r="T3099" t="str">
        <f t="shared" si="1228"/>
        <v>15:13:08.000</v>
      </c>
      <c r="U3099" t="str">
        <f t="shared" si="1218"/>
        <v>A68FCB</v>
      </c>
      <c r="V3099">
        <v>0</v>
      </c>
      <c r="W3099">
        <v>0</v>
      </c>
      <c r="X3099">
        <v>2</v>
      </c>
      <c r="Y3099">
        <v>0</v>
      </c>
      <c r="AA3099">
        <v>1</v>
      </c>
      <c r="AB3099">
        <v>8</v>
      </c>
      <c r="AC3099">
        <v>3</v>
      </c>
      <c r="AD3099">
        <v>0</v>
      </c>
      <c r="AE3099">
        <v>9</v>
      </c>
      <c r="AF3099" t="s">
        <v>138</v>
      </c>
      <c r="AG3099">
        <v>0</v>
      </c>
      <c r="AH3099">
        <v>3</v>
      </c>
      <c r="AI3099">
        <v>2</v>
      </c>
      <c r="AJ3099">
        <v>0</v>
      </c>
      <c r="AK3099" t="s">
        <v>1039</v>
      </c>
      <c r="AL3099">
        <v>39.121971000000002</v>
      </c>
      <c r="AM3099" t="s">
        <v>1038</v>
      </c>
      <c r="AN3099">
        <v>-121.031935</v>
      </c>
      <c r="AO3099">
        <v>25</v>
      </c>
      <c r="AP3099">
        <v>4400</v>
      </c>
      <c r="AQ3099" t="s">
        <v>131</v>
      </c>
      <c r="AR3099">
        <v>2</v>
      </c>
      <c r="AS3099">
        <v>83</v>
      </c>
      <c r="AT3099">
        <v>-128</v>
      </c>
      <c r="BB3099" t="str">
        <f t="shared" si="1219"/>
        <v>1200</v>
      </c>
      <c r="BC3099">
        <v>1</v>
      </c>
      <c r="BD3099" t="str">
        <f t="shared" si="1220"/>
        <v xml:space="preserve">N52156  </v>
      </c>
      <c r="BE3099">
        <v>1</v>
      </c>
      <c r="BG3099">
        <v>0</v>
      </c>
      <c r="BH3099">
        <v>0</v>
      </c>
      <c r="BI3099">
        <v>0</v>
      </c>
      <c r="BJ3099">
        <v>4425</v>
      </c>
      <c r="BK3099">
        <v>25</v>
      </c>
      <c r="BL3099" t="s">
        <v>188</v>
      </c>
      <c r="BM3099">
        <v>1</v>
      </c>
      <c r="BN3099">
        <v>1</v>
      </c>
      <c r="BO3099">
        <v>0</v>
      </c>
      <c r="BP3099">
        <v>0</v>
      </c>
      <c r="BS3099">
        <v>0</v>
      </c>
      <c r="BT3099">
        <v>0</v>
      </c>
      <c r="BU3099">
        <v>0</v>
      </c>
      <c r="CE3099" t="str">
        <f t="shared" si="1229"/>
        <v>15:13:08.517</v>
      </c>
      <c r="CF3099">
        <v>516980180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5</v>
      </c>
      <c r="CY3099">
        <v>7</v>
      </c>
      <c r="CZ3099" t="s">
        <v>133</v>
      </c>
      <c r="DA3099">
        <v>275</v>
      </c>
      <c r="DB3099">
        <v>0</v>
      </c>
      <c r="DC3099" t="s">
        <v>134</v>
      </c>
      <c r="DD3099" t="s">
        <v>135</v>
      </c>
      <c r="DG3099">
        <v>3322361</v>
      </c>
      <c r="DI3099">
        <v>1</v>
      </c>
      <c r="DJ3099">
        <v>0</v>
      </c>
      <c r="DK3099">
        <v>1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3">
      <c r="A3100" t="str">
        <f>"05/01/2025 15:13:08.736"</f>
        <v>05/01/2025 15:13:08.736</v>
      </c>
      <c r="C3100" t="str">
        <f t="shared" si="1216"/>
        <v>FFDFD3C0</v>
      </c>
      <c r="D3100" t="s">
        <v>140</v>
      </c>
      <c r="E3100" t="str">
        <f>"13"</f>
        <v>13</v>
      </c>
      <c r="F3100">
        <v>1019</v>
      </c>
      <c r="G3100" t="s">
        <v>141</v>
      </c>
      <c r="J3100" t="s">
        <v>142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R3100" t="s">
        <v>127</v>
      </c>
      <c r="S3100" t="str">
        <f t="shared" si="1228"/>
        <v>15:13:08.000</v>
      </c>
      <c r="T3100" t="str">
        <f t="shared" si="1228"/>
        <v>15:13:08.000</v>
      </c>
      <c r="U3100" t="str">
        <f t="shared" si="1218"/>
        <v>A68FCB</v>
      </c>
      <c r="V3100">
        <v>0</v>
      </c>
      <c r="W3100">
        <v>0</v>
      </c>
      <c r="X3100">
        <v>2</v>
      </c>
      <c r="Y3100">
        <v>0</v>
      </c>
      <c r="AA3100">
        <v>1</v>
      </c>
      <c r="AB3100">
        <v>8</v>
      </c>
      <c r="AC3100">
        <v>3</v>
      </c>
      <c r="AD3100">
        <v>0</v>
      </c>
      <c r="AE3100">
        <v>9</v>
      </c>
      <c r="AF3100" t="s">
        <v>138</v>
      </c>
      <c r="AG3100">
        <v>0</v>
      </c>
      <c r="AH3100">
        <v>3</v>
      </c>
      <c r="AI3100">
        <v>2</v>
      </c>
      <c r="AJ3100">
        <v>0</v>
      </c>
      <c r="AK3100" t="s">
        <v>1039</v>
      </c>
      <c r="AL3100">
        <v>39.121971000000002</v>
      </c>
      <c r="AM3100" t="s">
        <v>1038</v>
      </c>
      <c r="AN3100">
        <v>-121.031935</v>
      </c>
      <c r="AO3100">
        <v>25</v>
      </c>
      <c r="AP3100">
        <v>4400</v>
      </c>
      <c r="AQ3100" t="s">
        <v>131</v>
      </c>
      <c r="AR3100">
        <v>2</v>
      </c>
      <c r="AS3100">
        <v>83</v>
      </c>
      <c r="AT3100">
        <v>-128</v>
      </c>
      <c r="BB3100" t="str">
        <f t="shared" si="1219"/>
        <v>1200</v>
      </c>
      <c r="BC3100">
        <v>1</v>
      </c>
      <c r="BD3100" t="str">
        <f t="shared" si="1220"/>
        <v xml:space="preserve">N52156  </v>
      </c>
      <c r="BE3100">
        <v>1</v>
      </c>
      <c r="BG3100">
        <v>0</v>
      </c>
      <c r="BH3100">
        <v>0</v>
      </c>
      <c r="BI3100">
        <v>0</v>
      </c>
      <c r="BJ3100">
        <v>4425</v>
      </c>
      <c r="BK3100">
        <v>25</v>
      </c>
      <c r="BL3100" t="s">
        <v>188</v>
      </c>
      <c r="BM3100">
        <v>1</v>
      </c>
      <c r="BN3100">
        <v>1</v>
      </c>
      <c r="BO3100">
        <v>0</v>
      </c>
      <c r="BP3100">
        <v>0</v>
      </c>
      <c r="BS3100">
        <v>0</v>
      </c>
      <c r="BT3100">
        <v>0</v>
      </c>
      <c r="BU3100">
        <v>0</v>
      </c>
      <c r="CE3100" t="str">
        <f t="shared" si="1229"/>
        <v>15:13:08.517</v>
      </c>
      <c r="CF3100">
        <v>516980180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5</v>
      </c>
      <c r="CY3100">
        <v>7</v>
      </c>
      <c r="CZ3100" t="s">
        <v>133</v>
      </c>
      <c r="DA3100">
        <v>275</v>
      </c>
      <c r="DB3100">
        <v>0</v>
      </c>
      <c r="DC3100" t="s">
        <v>134</v>
      </c>
      <c r="DD3100" t="s">
        <v>135</v>
      </c>
      <c r="DG3100">
        <v>3322361</v>
      </c>
      <c r="DI3100">
        <v>1</v>
      </c>
      <c r="DJ3100">
        <v>0</v>
      </c>
      <c r="DK3100">
        <v>1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3">
      <c r="A3101" t="str">
        <f>"05/01/2025 15:13:08.750"</f>
        <v>05/01/2025 15:13:08.750</v>
      </c>
      <c r="C3101" t="str">
        <f t="shared" si="1216"/>
        <v>FFDFD3C0</v>
      </c>
      <c r="D3101" t="s">
        <v>145</v>
      </c>
      <c r="E3101" t="str">
        <f>"09"</f>
        <v>09</v>
      </c>
      <c r="H3101">
        <v>51</v>
      </c>
      <c r="I3101" t="s">
        <v>147</v>
      </c>
      <c r="J3101" t="s">
        <v>138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R3101" t="s">
        <v>127</v>
      </c>
      <c r="S3101" t="str">
        <f t="shared" si="1228"/>
        <v>15:13:08.000</v>
      </c>
      <c r="T3101" t="str">
        <f t="shared" si="1228"/>
        <v>15:13:08.000</v>
      </c>
      <c r="U3101" t="str">
        <f t="shared" si="1218"/>
        <v>A68FCB</v>
      </c>
      <c r="V3101">
        <v>0</v>
      </c>
      <c r="W3101">
        <v>0</v>
      </c>
      <c r="X3101">
        <v>2</v>
      </c>
      <c r="Y3101">
        <v>0</v>
      </c>
      <c r="AA3101">
        <v>1</v>
      </c>
      <c r="AB3101">
        <v>8</v>
      </c>
      <c r="AC3101">
        <v>3</v>
      </c>
      <c r="AD3101">
        <v>0</v>
      </c>
      <c r="AE3101">
        <v>9</v>
      </c>
      <c r="AF3101" t="s">
        <v>138</v>
      </c>
      <c r="AG3101">
        <v>0</v>
      </c>
      <c r="AH3101">
        <v>3</v>
      </c>
      <c r="AI3101">
        <v>2</v>
      </c>
      <c r="AJ3101">
        <v>0</v>
      </c>
      <c r="AK3101" t="s">
        <v>1039</v>
      </c>
      <c r="AL3101">
        <v>39.121971000000002</v>
      </c>
      <c r="AM3101" t="s">
        <v>1038</v>
      </c>
      <c r="AN3101">
        <v>-121.031935</v>
      </c>
      <c r="AO3101">
        <v>25</v>
      </c>
      <c r="AP3101">
        <v>4400</v>
      </c>
      <c r="AQ3101" t="s">
        <v>131</v>
      </c>
      <c r="AR3101">
        <v>2</v>
      </c>
      <c r="AS3101">
        <v>83</v>
      </c>
      <c r="AT3101">
        <v>-128</v>
      </c>
      <c r="BB3101" t="str">
        <f t="shared" si="1219"/>
        <v>1200</v>
      </c>
      <c r="BC3101">
        <v>1</v>
      </c>
      <c r="BD3101" t="str">
        <f t="shared" si="1220"/>
        <v xml:space="preserve">N52156  </v>
      </c>
      <c r="BE3101">
        <v>1</v>
      </c>
      <c r="BG3101">
        <v>0</v>
      </c>
      <c r="BH3101">
        <v>0</v>
      </c>
      <c r="BI3101">
        <v>0</v>
      </c>
      <c r="BJ3101">
        <v>4425</v>
      </c>
      <c r="BK3101">
        <v>25</v>
      </c>
      <c r="BL3101" t="s">
        <v>188</v>
      </c>
      <c r="BM3101">
        <v>1</v>
      </c>
      <c r="BN3101">
        <v>1</v>
      </c>
      <c r="BO3101">
        <v>0</v>
      </c>
      <c r="BP3101">
        <v>0</v>
      </c>
      <c r="BS3101">
        <v>0</v>
      </c>
      <c r="BT3101">
        <v>0</v>
      </c>
      <c r="BU3101">
        <v>0</v>
      </c>
      <c r="CE3101" t="str">
        <f t="shared" si="1229"/>
        <v>15:13:08.517</v>
      </c>
      <c r="CF3101">
        <v>516980180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5</v>
      </c>
      <c r="CY3101">
        <v>7</v>
      </c>
      <c r="CZ3101" t="s">
        <v>133</v>
      </c>
      <c r="DA3101">
        <v>275</v>
      </c>
      <c r="DB3101">
        <v>0</v>
      </c>
      <c r="DC3101" t="s">
        <v>134</v>
      </c>
      <c r="DD3101" t="s">
        <v>135</v>
      </c>
      <c r="DG3101">
        <v>3322361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3">
      <c r="A3102" t="str">
        <f>"05/01/2025 15:13:08.752"</f>
        <v>05/01/2025 15:13:08.752</v>
      </c>
      <c r="C3102" t="str">
        <f t="shared" si="1216"/>
        <v>FFDFD3C0</v>
      </c>
      <c r="D3102" t="s">
        <v>145</v>
      </c>
      <c r="E3102" t="str">
        <f>"05"</f>
        <v>05</v>
      </c>
      <c r="H3102">
        <v>47</v>
      </c>
      <c r="I3102" t="s">
        <v>146</v>
      </c>
      <c r="J3102" t="s">
        <v>138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R3102" t="s">
        <v>127</v>
      </c>
      <c r="S3102" t="str">
        <f t="shared" si="1228"/>
        <v>15:13:08.000</v>
      </c>
      <c r="T3102" t="str">
        <f t="shared" si="1228"/>
        <v>15:13:08.000</v>
      </c>
      <c r="U3102" t="str">
        <f t="shared" si="1218"/>
        <v>A68FCB</v>
      </c>
      <c r="V3102">
        <v>0</v>
      </c>
      <c r="W3102">
        <v>0</v>
      </c>
      <c r="X3102">
        <v>2</v>
      </c>
      <c r="Y3102">
        <v>0</v>
      </c>
      <c r="AA3102">
        <v>1</v>
      </c>
      <c r="AB3102">
        <v>8</v>
      </c>
      <c r="AC3102">
        <v>3</v>
      </c>
      <c r="AD3102">
        <v>0</v>
      </c>
      <c r="AE3102">
        <v>9</v>
      </c>
      <c r="AF3102" t="s">
        <v>138</v>
      </c>
      <c r="AG3102">
        <v>0</v>
      </c>
      <c r="AH3102">
        <v>3</v>
      </c>
      <c r="AI3102">
        <v>2</v>
      </c>
      <c r="AJ3102">
        <v>0</v>
      </c>
      <c r="AK3102" t="s">
        <v>1039</v>
      </c>
      <c r="AL3102">
        <v>39.121971000000002</v>
      </c>
      <c r="AM3102" t="s">
        <v>1038</v>
      </c>
      <c r="AN3102">
        <v>-121.031935</v>
      </c>
      <c r="AO3102">
        <v>25</v>
      </c>
      <c r="AP3102">
        <v>4400</v>
      </c>
      <c r="AQ3102" t="s">
        <v>131</v>
      </c>
      <c r="AR3102">
        <v>2</v>
      </c>
      <c r="AS3102">
        <v>83</v>
      </c>
      <c r="AT3102">
        <v>-128</v>
      </c>
      <c r="BB3102" t="str">
        <f t="shared" si="1219"/>
        <v>1200</v>
      </c>
      <c r="BC3102">
        <v>1</v>
      </c>
      <c r="BD3102" t="str">
        <f t="shared" si="1220"/>
        <v xml:space="preserve">N52156  </v>
      </c>
      <c r="BE3102">
        <v>1</v>
      </c>
      <c r="BG3102">
        <v>0</v>
      </c>
      <c r="BH3102">
        <v>0</v>
      </c>
      <c r="BI3102">
        <v>0</v>
      </c>
      <c r="BJ3102">
        <v>4425</v>
      </c>
      <c r="BK3102">
        <v>25</v>
      </c>
      <c r="BL3102" t="s">
        <v>188</v>
      </c>
      <c r="BM3102">
        <v>1</v>
      </c>
      <c r="BN3102">
        <v>1</v>
      </c>
      <c r="BO3102">
        <v>0</v>
      </c>
      <c r="BP3102">
        <v>0</v>
      </c>
      <c r="BS3102">
        <v>0</v>
      </c>
      <c r="BT3102">
        <v>0</v>
      </c>
      <c r="BU3102">
        <v>0</v>
      </c>
      <c r="CE3102" t="str">
        <f t="shared" si="1229"/>
        <v>15:13:08.517</v>
      </c>
      <c r="CF3102">
        <v>516980180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5</v>
      </c>
      <c r="CY3102">
        <v>7</v>
      </c>
      <c r="CZ3102" t="s">
        <v>133</v>
      </c>
      <c r="DA3102">
        <v>275</v>
      </c>
      <c r="DB3102">
        <v>0</v>
      </c>
      <c r="DC3102" t="s">
        <v>134</v>
      </c>
      <c r="DD3102" t="s">
        <v>135</v>
      </c>
      <c r="DG3102">
        <v>3322361</v>
      </c>
      <c r="DI3102">
        <v>1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3">
      <c r="A3103" t="str">
        <f>"05/01/2025 15:13:08.763"</f>
        <v>05/01/2025 15:13:08.763</v>
      </c>
      <c r="C3103" t="str">
        <f t="shared" si="1216"/>
        <v>FFDFD3C0</v>
      </c>
      <c r="D3103" t="s">
        <v>136</v>
      </c>
      <c r="E3103" t="str">
        <f>"20"</f>
        <v>20</v>
      </c>
      <c r="H3103">
        <v>400</v>
      </c>
      <c r="I3103" t="s">
        <v>137</v>
      </c>
      <c r="J3103" t="s">
        <v>138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R3103" t="s">
        <v>127</v>
      </c>
      <c r="S3103" t="str">
        <f t="shared" si="1228"/>
        <v>15:13:08.000</v>
      </c>
      <c r="T3103" t="str">
        <f t="shared" si="1228"/>
        <v>15:13:08.000</v>
      </c>
      <c r="U3103" t="str">
        <f t="shared" si="1218"/>
        <v>A68FCB</v>
      </c>
      <c r="V3103">
        <v>0</v>
      </c>
      <c r="W3103">
        <v>0</v>
      </c>
      <c r="X3103">
        <v>2</v>
      </c>
      <c r="Y3103">
        <v>0</v>
      </c>
      <c r="AA3103">
        <v>1</v>
      </c>
      <c r="AB3103">
        <v>8</v>
      </c>
      <c r="AC3103">
        <v>3</v>
      </c>
      <c r="AD3103">
        <v>0</v>
      </c>
      <c r="AE3103">
        <v>9</v>
      </c>
      <c r="AF3103" t="s">
        <v>138</v>
      </c>
      <c r="AG3103">
        <v>0</v>
      </c>
      <c r="AH3103">
        <v>3</v>
      </c>
      <c r="AI3103">
        <v>2</v>
      </c>
      <c r="AJ3103">
        <v>0</v>
      </c>
      <c r="AK3103" t="s">
        <v>1039</v>
      </c>
      <c r="AL3103">
        <v>39.121971000000002</v>
      </c>
      <c r="AM3103" t="s">
        <v>1038</v>
      </c>
      <c r="AN3103">
        <v>-121.031935</v>
      </c>
      <c r="AO3103">
        <v>25</v>
      </c>
      <c r="AP3103">
        <v>4400</v>
      </c>
      <c r="AQ3103" t="s">
        <v>131</v>
      </c>
      <c r="AR3103">
        <v>2</v>
      </c>
      <c r="AS3103">
        <v>83</v>
      </c>
      <c r="AT3103">
        <v>-128</v>
      </c>
      <c r="BB3103" t="str">
        <f t="shared" si="1219"/>
        <v>1200</v>
      </c>
      <c r="BC3103">
        <v>1</v>
      </c>
      <c r="BD3103" t="str">
        <f t="shared" si="1220"/>
        <v xml:space="preserve">N52156  </v>
      </c>
      <c r="BE3103">
        <v>1</v>
      </c>
      <c r="BG3103">
        <v>0</v>
      </c>
      <c r="BH3103">
        <v>0</v>
      </c>
      <c r="BI3103">
        <v>0</v>
      </c>
      <c r="BJ3103">
        <v>4425</v>
      </c>
      <c r="BK3103">
        <v>25</v>
      </c>
      <c r="BL3103" t="s">
        <v>188</v>
      </c>
      <c r="BM3103">
        <v>1</v>
      </c>
      <c r="BN3103">
        <v>1</v>
      </c>
      <c r="BO3103">
        <v>0</v>
      </c>
      <c r="BP3103">
        <v>0</v>
      </c>
      <c r="BS3103">
        <v>0</v>
      </c>
      <c r="BT3103">
        <v>0</v>
      </c>
      <c r="BU3103">
        <v>0</v>
      </c>
      <c r="CE3103" t="str">
        <f t="shared" si="1229"/>
        <v>15:13:08.517</v>
      </c>
      <c r="CF3103">
        <v>516980180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5</v>
      </c>
      <c r="CY3103">
        <v>7</v>
      </c>
      <c r="CZ3103" t="s">
        <v>133</v>
      </c>
      <c r="DA3103">
        <v>275</v>
      </c>
      <c r="DB3103">
        <v>0</v>
      </c>
      <c r="DC3103" t="s">
        <v>134</v>
      </c>
      <c r="DD3103" t="s">
        <v>135</v>
      </c>
      <c r="DG3103">
        <v>3322361</v>
      </c>
      <c r="DI3103">
        <v>1</v>
      </c>
      <c r="DJ3103">
        <v>0</v>
      </c>
      <c r="DK3103">
        <v>1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3">
      <c r="A3104" t="str">
        <f>"05/01/2025 15:13:09.674"</f>
        <v>05/01/2025 15:13:09.674</v>
      </c>
      <c r="C3104" t="str">
        <f t="shared" si="1216"/>
        <v>FFDFD3C0</v>
      </c>
      <c r="D3104" t="s">
        <v>143</v>
      </c>
      <c r="E3104" t="str">
        <f>"05"</f>
        <v>05</v>
      </c>
      <c r="H3104">
        <v>172</v>
      </c>
      <c r="I3104" t="s">
        <v>141</v>
      </c>
      <c r="J3104" t="s">
        <v>144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R3104" t="s">
        <v>127</v>
      </c>
      <c r="S3104" t="str">
        <f t="shared" ref="S3104:T3109" si="1230">"15:13:09.000"</f>
        <v>15:13:09.000</v>
      </c>
      <c r="T3104" t="str">
        <f t="shared" si="1230"/>
        <v>15:13:09.000</v>
      </c>
      <c r="U3104" t="str">
        <f t="shared" si="1218"/>
        <v>A68FCB</v>
      </c>
      <c r="V3104">
        <v>0</v>
      </c>
      <c r="W3104">
        <v>0</v>
      </c>
      <c r="X3104">
        <v>2</v>
      </c>
      <c r="Y3104">
        <v>0</v>
      </c>
      <c r="AA3104">
        <v>1</v>
      </c>
      <c r="AB3104">
        <v>8</v>
      </c>
      <c r="AC3104">
        <v>3</v>
      </c>
      <c r="AD3104">
        <v>0</v>
      </c>
      <c r="AE3104">
        <v>9</v>
      </c>
      <c r="AF3104" t="s">
        <v>138</v>
      </c>
      <c r="AG3104">
        <v>0</v>
      </c>
      <c r="AH3104">
        <v>3</v>
      </c>
      <c r="AI3104">
        <v>2</v>
      </c>
      <c r="AJ3104">
        <v>0</v>
      </c>
      <c r="AK3104" t="s">
        <v>1040</v>
      </c>
      <c r="AL3104">
        <v>39.122335999999997</v>
      </c>
      <c r="AM3104" t="s">
        <v>1041</v>
      </c>
      <c r="AN3104">
        <v>-121.031892</v>
      </c>
      <c r="AO3104">
        <v>25</v>
      </c>
      <c r="AP3104">
        <v>4400</v>
      </c>
      <c r="AQ3104" t="s">
        <v>131</v>
      </c>
      <c r="AR3104">
        <v>3</v>
      </c>
      <c r="AS3104">
        <v>83</v>
      </c>
      <c r="AT3104">
        <v>-128</v>
      </c>
      <c r="BB3104" t="str">
        <f t="shared" si="1219"/>
        <v>1200</v>
      </c>
      <c r="BC3104">
        <v>1</v>
      </c>
      <c r="BD3104" t="str">
        <f t="shared" si="1220"/>
        <v xml:space="preserve">N52156  </v>
      </c>
      <c r="BE3104">
        <v>1</v>
      </c>
      <c r="BG3104">
        <v>0</v>
      </c>
      <c r="BH3104">
        <v>0</v>
      </c>
      <c r="BI3104">
        <v>0</v>
      </c>
      <c r="BJ3104">
        <v>4425</v>
      </c>
      <c r="BK3104">
        <v>25</v>
      </c>
      <c r="BL3104" t="s">
        <v>188</v>
      </c>
      <c r="BM3104">
        <v>1</v>
      </c>
      <c r="BN3104">
        <v>1</v>
      </c>
      <c r="BO3104">
        <v>0</v>
      </c>
      <c r="BP3104">
        <v>0</v>
      </c>
      <c r="BS3104">
        <v>0</v>
      </c>
      <c r="BT3104">
        <v>0</v>
      </c>
      <c r="BU3104">
        <v>0</v>
      </c>
      <c r="CE3104" t="str">
        <f t="shared" ref="CE3104:CE3109" si="1231">"15:13:09.465"</f>
        <v>15:13:09.465</v>
      </c>
      <c r="CF3104">
        <v>464980356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5</v>
      </c>
      <c r="CY3104">
        <v>7</v>
      </c>
      <c r="CZ3104" t="s">
        <v>133</v>
      </c>
      <c r="DA3104">
        <v>275</v>
      </c>
      <c r="DB3104">
        <v>0</v>
      </c>
      <c r="DC3104" t="s">
        <v>134</v>
      </c>
      <c r="DD3104" t="s">
        <v>135</v>
      </c>
      <c r="DG3104">
        <v>3322368</v>
      </c>
      <c r="DI3104">
        <v>1</v>
      </c>
      <c r="DJ3104">
        <v>0</v>
      </c>
      <c r="DK3104">
        <v>0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3">
      <c r="A3105" t="str">
        <f>"05/01/2025 15:13:09.687"</f>
        <v>05/01/2025 15:13:09.687</v>
      </c>
      <c r="C3105" t="str">
        <f t="shared" si="1216"/>
        <v>FFDFD3C0</v>
      </c>
      <c r="D3105" t="s">
        <v>124</v>
      </c>
      <c r="E3105" t="str">
        <f>"06"</f>
        <v>06</v>
      </c>
      <c r="F3105">
        <v>2006</v>
      </c>
      <c r="G3105" t="s">
        <v>125</v>
      </c>
      <c r="J3105" t="s">
        <v>126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R3105" t="s">
        <v>127</v>
      </c>
      <c r="S3105" t="str">
        <f t="shared" si="1230"/>
        <v>15:13:09.000</v>
      </c>
      <c r="T3105" t="str">
        <f t="shared" si="1230"/>
        <v>15:13:09.000</v>
      </c>
      <c r="U3105" t="str">
        <f t="shared" si="1218"/>
        <v>A68FCB</v>
      </c>
      <c r="V3105">
        <v>0</v>
      </c>
      <c r="W3105">
        <v>0</v>
      </c>
      <c r="X3105">
        <v>2</v>
      </c>
      <c r="Y3105">
        <v>0</v>
      </c>
      <c r="AA3105">
        <v>1</v>
      </c>
      <c r="AB3105">
        <v>8</v>
      </c>
      <c r="AC3105">
        <v>3</v>
      </c>
      <c r="AD3105">
        <v>0</v>
      </c>
      <c r="AE3105">
        <v>9</v>
      </c>
      <c r="AF3105" t="s">
        <v>138</v>
      </c>
      <c r="AG3105">
        <v>0</v>
      </c>
      <c r="AH3105">
        <v>3</v>
      </c>
      <c r="AI3105">
        <v>2</v>
      </c>
      <c r="AJ3105">
        <v>0</v>
      </c>
      <c r="AK3105" t="s">
        <v>1040</v>
      </c>
      <c r="AL3105">
        <v>39.122335999999997</v>
      </c>
      <c r="AM3105" t="s">
        <v>1041</v>
      </c>
      <c r="AN3105">
        <v>-121.031892</v>
      </c>
      <c r="AO3105">
        <v>25</v>
      </c>
      <c r="AP3105">
        <v>4400</v>
      </c>
      <c r="AQ3105" t="s">
        <v>131</v>
      </c>
      <c r="AR3105">
        <v>3</v>
      </c>
      <c r="AS3105">
        <v>83</v>
      </c>
      <c r="AT3105">
        <v>-128</v>
      </c>
      <c r="BB3105" t="str">
        <f t="shared" si="1219"/>
        <v>1200</v>
      </c>
      <c r="BC3105">
        <v>1</v>
      </c>
      <c r="BD3105" t="str">
        <f t="shared" si="1220"/>
        <v xml:space="preserve">N52156  </v>
      </c>
      <c r="BE3105">
        <v>1</v>
      </c>
      <c r="BG3105">
        <v>0</v>
      </c>
      <c r="BH3105">
        <v>0</v>
      </c>
      <c r="BI3105">
        <v>0</v>
      </c>
      <c r="BJ3105">
        <v>4425</v>
      </c>
      <c r="BK3105">
        <v>25</v>
      </c>
      <c r="BL3105" t="s">
        <v>188</v>
      </c>
      <c r="BM3105">
        <v>1</v>
      </c>
      <c r="BN3105">
        <v>1</v>
      </c>
      <c r="BO3105">
        <v>0</v>
      </c>
      <c r="BP3105">
        <v>0</v>
      </c>
      <c r="BS3105">
        <v>0</v>
      </c>
      <c r="BT3105">
        <v>0</v>
      </c>
      <c r="BU3105">
        <v>0</v>
      </c>
      <c r="CE3105" t="str">
        <f t="shared" si="1231"/>
        <v>15:13:09.465</v>
      </c>
      <c r="CF3105">
        <v>464980356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5</v>
      </c>
      <c r="CY3105">
        <v>7</v>
      </c>
      <c r="CZ3105" t="s">
        <v>133</v>
      </c>
      <c r="DA3105">
        <v>275</v>
      </c>
      <c r="DB3105">
        <v>0</v>
      </c>
      <c r="DC3105" t="s">
        <v>134</v>
      </c>
      <c r="DD3105" t="s">
        <v>135</v>
      </c>
      <c r="DG3105">
        <v>3322368</v>
      </c>
      <c r="DI3105">
        <v>1</v>
      </c>
      <c r="DJ3105">
        <v>0</v>
      </c>
      <c r="DK3105">
        <v>1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3">
      <c r="A3106" t="str">
        <f>"05/01/2025 15:13:09.688"</f>
        <v>05/01/2025 15:13:09.688</v>
      </c>
      <c r="C3106" t="str">
        <f t="shared" si="1216"/>
        <v>FFDFD3C0</v>
      </c>
      <c r="D3106" t="s">
        <v>140</v>
      </c>
      <c r="E3106" t="str">
        <f>"13"</f>
        <v>13</v>
      </c>
      <c r="F3106">
        <v>1019</v>
      </c>
      <c r="G3106" t="s">
        <v>141</v>
      </c>
      <c r="J3106" t="s">
        <v>142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R3106" t="s">
        <v>127</v>
      </c>
      <c r="S3106" t="str">
        <f t="shared" si="1230"/>
        <v>15:13:09.000</v>
      </c>
      <c r="T3106" t="str">
        <f t="shared" si="1230"/>
        <v>15:13:09.000</v>
      </c>
      <c r="U3106" t="str">
        <f t="shared" si="1218"/>
        <v>A68FCB</v>
      </c>
      <c r="V3106">
        <v>0</v>
      </c>
      <c r="W3106">
        <v>0</v>
      </c>
      <c r="X3106">
        <v>2</v>
      </c>
      <c r="Y3106">
        <v>0</v>
      </c>
      <c r="AA3106">
        <v>1</v>
      </c>
      <c r="AB3106">
        <v>8</v>
      </c>
      <c r="AC3106">
        <v>3</v>
      </c>
      <c r="AD3106">
        <v>0</v>
      </c>
      <c r="AE3106">
        <v>9</v>
      </c>
      <c r="AF3106" t="s">
        <v>138</v>
      </c>
      <c r="AG3106">
        <v>0</v>
      </c>
      <c r="AH3106">
        <v>3</v>
      </c>
      <c r="AI3106">
        <v>2</v>
      </c>
      <c r="AJ3106">
        <v>0</v>
      </c>
      <c r="AK3106" t="s">
        <v>1040</v>
      </c>
      <c r="AL3106">
        <v>39.122335999999997</v>
      </c>
      <c r="AM3106" t="s">
        <v>1041</v>
      </c>
      <c r="AN3106">
        <v>-121.031892</v>
      </c>
      <c r="AO3106">
        <v>25</v>
      </c>
      <c r="AP3106">
        <v>4400</v>
      </c>
      <c r="AQ3106" t="s">
        <v>131</v>
      </c>
      <c r="AR3106">
        <v>3</v>
      </c>
      <c r="AS3106">
        <v>83</v>
      </c>
      <c r="AT3106">
        <v>-128</v>
      </c>
      <c r="BB3106" t="str">
        <f t="shared" si="1219"/>
        <v>1200</v>
      </c>
      <c r="BC3106">
        <v>1</v>
      </c>
      <c r="BD3106" t="str">
        <f t="shared" si="1220"/>
        <v xml:space="preserve">N52156  </v>
      </c>
      <c r="BE3106">
        <v>1</v>
      </c>
      <c r="BG3106">
        <v>0</v>
      </c>
      <c r="BH3106">
        <v>0</v>
      </c>
      <c r="BI3106">
        <v>0</v>
      </c>
      <c r="BJ3106">
        <v>4425</v>
      </c>
      <c r="BK3106">
        <v>25</v>
      </c>
      <c r="BL3106" t="s">
        <v>188</v>
      </c>
      <c r="BM3106">
        <v>1</v>
      </c>
      <c r="BN3106">
        <v>1</v>
      </c>
      <c r="BO3106">
        <v>0</v>
      </c>
      <c r="BP3106">
        <v>0</v>
      </c>
      <c r="BS3106">
        <v>0</v>
      </c>
      <c r="BT3106">
        <v>0</v>
      </c>
      <c r="BU3106">
        <v>0</v>
      </c>
      <c r="CE3106" t="str">
        <f t="shared" si="1231"/>
        <v>15:13:09.465</v>
      </c>
      <c r="CF3106">
        <v>464980356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5</v>
      </c>
      <c r="CY3106">
        <v>7</v>
      </c>
      <c r="CZ3106" t="s">
        <v>133</v>
      </c>
      <c r="DA3106">
        <v>275</v>
      </c>
      <c r="DB3106">
        <v>0</v>
      </c>
      <c r="DC3106" t="s">
        <v>134</v>
      </c>
      <c r="DD3106" t="s">
        <v>135</v>
      </c>
      <c r="DG3106">
        <v>3322368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3">
      <c r="A3107" t="str">
        <f>"05/01/2025 15:13:09.701"</f>
        <v>05/01/2025 15:13:09.701</v>
      </c>
      <c r="C3107" t="str">
        <f t="shared" si="1216"/>
        <v>FFDFD3C0</v>
      </c>
      <c r="D3107" t="s">
        <v>145</v>
      </c>
      <c r="E3107" t="str">
        <f>"09"</f>
        <v>09</v>
      </c>
      <c r="H3107">
        <v>51</v>
      </c>
      <c r="I3107" t="s">
        <v>147</v>
      </c>
      <c r="J3107" t="s">
        <v>138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R3107" t="s">
        <v>127</v>
      </c>
      <c r="S3107" t="str">
        <f t="shared" si="1230"/>
        <v>15:13:09.000</v>
      </c>
      <c r="T3107" t="str">
        <f t="shared" si="1230"/>
        <v>15:13:09.000</v>
      </c>
      <c r="U3107" t="str">
        <f t="shared" si="1218"/>
        <v>A68FCB</v>
      </c>
      <c r="V3107">
        <v>0</v>
      </c>
      <c r="W3107">
        <v>0</v>
      </c>
      <c r="X3107">
        <v>2</v>
      </c>
      <c r="Y3107">
        <v>0</v>
      </c>
      <c r="AA3107">
        <v>1</v>
      </c>
      <c r="AB3107">
        <v>8</v>
      </c>
      <c r="AC3107">
        <v>3</v>
      </c>
      <c r="AD3107">
        <v>0</v>
      </c>
      <c r="AE3107">
        <v>9</v>
      </c>
      <c r="AF3107" t="s">
        <v>138</v>
      </c>
      <c r="AG3107">
        <v>0</v>
      </c>
      <c r="AH3107">
        <v>3</v>
      </c>
      <c r="AI3107">
        <v>2</v>
      </c>
      <c r="AJ3107">
        <v>0</v>
      </c>
      <c r="AK3107" t="s">
        <v>1040</v>
      </c>
      <c r="AL3107">
        <v>39.122335999999997</v>
      </c>
      <c r="AM3107" t="s">
        <v>1041</v>
      </c>
      <c r="AN3107">
        <v>-121.031892</v>
      </c>
      <c r="AO3107">
        <v>25</v>
      </c>
      <c r="AP3107">
        <v>4400</v>
      </c>
      <c r="AQ3107" t="s">
        <v>131</v>
      </c>
      <c r="AR3107">
        <v>3</v>
      </c>
      <c r="AS3107">
        <v>83</v>
      </c>
      <c r="AT3107">
        <v>-128</v>
      </c>
      <c r="BB3107" t="str">
        <f t="shared" si="1219"/>
        <v>1200</v>
      </c>
      <c r="BC3107">
        <v>1</v>
      </c>
      <c r="BD3107" t="str">
        <f t="shared" si="1220"/>
        <v xml:space="preserve">N52156  </v>
      </c>
      <c r="BE3107">
        <v>1</v>
      </c>
      <c r="BG3107">
        <v>0</v>
      </c>
      <c r="BH3107">
        <v>0</v>
      </c>
      <c r="BI3107">
        <v>0</v>
      </c>
      <c r="BJ3107">
        <v>4425</v>
      </c>
      <c r="BK3107">
        <v>25</v>
      </c>
      <c r="BL3107" t="s">
        <v>188</v>
      </c>
      <c r="BM3107">
        <v>1</v>
      </c>
      <c r="BN3107">
        <v>1</v>
      </c>
      <c r="BO3107">
        <v>0</v>
      </c>
      <c r="BP3107">
        <v>0</v>
      </c>
      <c r="BS3107">
        <v>0</v>
      </c>
      <c r="BT3107">
        <v>0</v>
      </c>
      <c r="BU3107">
        <v>0</v>
      </c>
      <c r="CE3107" t="str">
        <f t="shared" si="1231"/>
        <v>15:13:09.465</v>
      </c>
      <c r="CF3107">
        <v>464980356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5</v>
      </c>
      <c r="CY3107">
        <v>7</v>
      </c>
      <c r="CZ3107" t="s">
        <v>133</v>
      </c>
      <c r="DA3107">
        <v>275</v>
      </c>
      <c r="DB3107">
        <v>0</v>
      </c>
      <c r="DC3107" t="s">
        <v>134</v>
      </c>
      <c r="DD3107" t="s">
        <v>135</v>
      </c>
      <c r="DG3107">
        <v>3322368</v>
      </c>
      <c r="DI3107">
        <v>1</v>
      </c>
      <c r="DJ3107">
        <v>0</v>
      </c>
      <c r="DK3107">
        <v>1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3">
      <c r="A3108" t="str">
        <f>"05/01/2025 15:13:09.703"</f>
        <v>05/01/2025 15:13:09.703</v>
      </c>
      <c r="C3108" t="str">
        <f t="shared" si="1216"/>
        <v>FFDFD3C0</v>
      </c>
      <c r="D3108" t="s">
        <v>145</v>
      </c>
      <c r="E3108" t="str">
        <f>"05"</f>
        <v>05</v>
      </c>
      <c r="H3108">
        <v>47</v>
      </c>
      <c r="I3108" t="s">
        <v>146</v>
      </c>
      <c r="J3108" t="s">
        <v>138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R3108" t="s">
        <v>127</v>
      </c>
      <c r="S3108" t="str">
        <f t="shared" si="1230"/>
        <v>15:13:09.000</v>
      </c>
      <c r="T3108" t="str">
        <f t="shared" si="1230"/>
        <v>15:13:09.000</v>
      </c>
      <c r="U3108" t="str">
        <f t="shared" si="1218"/>
        <v>A68FCB</v>
      </c>
      <c r="V3108">
        <v>0</v>
      </c>
      <c r="W3108">
        <v>0</v>
      </c>
      <c r="X3108">
        <v>2</v>
      </c>
      <c r="Y3108">
        <v>0</v>
      </c>
      <c r="AA3108">
        <v>1</v>
      </c>
      <c r="AB3108">
        <v>8</v>
      </c>
      <c r="AC3108">
        <v>3</v>
      </c>
      <c r="AD3108">
        <v>0</v>
      </c>
      <c r="AE3108">
        <v>9</v>
      </c>
      <c r="AF3108" t="s">
        <v>138</v>
      </c>
      <c r="AG3108">
        <v>0</v>
      </c>
      <c r="AH3108">
        <v>3</v>
      </c>
      <c r="AI3108">
        <v>2</v>
      </c>
      <c r="AJ3108">
        <v>0</v>
      </c>
      <c r="AK3108" t="s">
        <v>1040</v>
      </c>
      <c r="AL3108">
        <v>39.122335999999997</v>
      </c>
      <c r="AM3108" t="s">
        <v>1041</v>
      </c>
      <c r="AN3108">
        <v>-121.031892</v>
      </c>
      <c r="AO3108">
        <v>25</v>
      </c>
      <c r="AP3108">
        <v>4400</v>
      </c>
      <c r="AQ3108" t="s">
        <v>131</v>
      </c>
      <c r="AR3108">
        <v>3</v>
      </c>
      <c r="AS3108">
        <v>83</v>
      </c>
      <c r="AT3108">
        <v>-128</v>
      </c>
      <c r="BB3108" t="str">
        <f t="shared" si="1219"/>
        <v>1200</v>
      </c>
      <c r="BC3108">
        <v>1</v>
      </c>
      <c r="BD3108" t="str">
        <f t="shared" si="1220"/>
        <v xml:space="preserve">N52156  </v>
      </c>
      <c r="BE3108">
        <v>1</v>
      </c>
      <c r="BG3108">
        <v>0</v>
      </c>
      <c r="BH3108">
        <v>0</v>
      </c>
      <c r="BI3108">
        <v>0</v>
      </c>
      <c r="BJ3108">
        <v>4425</v>
      </c>
      <c r="BK3108">
        <v>25</v>
      </c>
      <c r="BL3108" t="s">
        <v>188</v>
      </c>
      <c r="BM3108">
        <v>1</v>
      </c>
      <c r="BN3108">
        <v>1</v>
      </c>
      <c r="BO3108">
        <v>0</v>
      </c>
      <c r="BP3108">
        <v>0</v>
      </c>
      <c r="BS3108">
        <v>0</v>
      </c>
      <c r="BT3108">
        <v>0</v>
      </c>
      <c r="BU3108">
        <v>0</v>
      </c>
      <c r="CE3108" t="str">
        <f t="shared" si="1231"/>
        <v>15:13:09.465</v>
      </c>
      <c r="CF3108">
        <v>464980356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5</v>
      </c>
      <c r="CY3108">
        <v>7</v>
      </c>
      <c r="CZ3108" t="s">
        <v>133</v>
      </c>
      <c r="DA3108">
        <v>275</v>
      </c>
      <c r="DB3108">
        <v>0</v>
      </c>
      <c r="DC3108" t="s">
        <v>134</v>
      </c>
      <c r="DD3108" t="s">
        <v>135</v>
      </c>
      <c r="DG3108">
        <v>3322368</v>
      </c>
      <c r="DI3108">
        <v>1</v>
      </c>
      <c r="DJ3108">
        <v>0</v>
      </c>
      <c r="DK3108">
        <v>1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3">
      <c r="A3109" t="str">
        <f>"05/01/2025 15:13:09.714"</f>
        <v>05/01/2025 15:13:09.714</v>
      </c>
      <c r="C3109" t="str">
        <f t="shared" si="1216"/>
        <v>FFDFD3C0</v>
      </c>
      <c r="D3109" t="s">
        <v>136</v>
      </c>
      <c r="E3109" t="str">
        <f>"20"</f>
        <v>20</v>
      </c>
      <c r="H3109">
        <v>400</v>
      </c>
      <c r="I3109" t="s">
        <v>137</v>
      </c>
      <c r="J3109" t="s">
        <v>138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R3109" t="s">
        <v>127</v>
      </c>
      <c r="S3109" t="str">
        <f t="shared" si="1230"/>
        <v>15:13:09.000</v>
      </c>
      <c r="T3109" t="str">
        <f t="shared" si="1230"/>
        <v>15:13:09.000</v>
      </c>
      <c r="U3109" t="str">
        <f t="shared" si="1218"/>
        <v>A68FCB</v>
      </c>
      <c r="V3109">
        <v>0</v>
      </c>
      <c r="W3109">
        <v>0</v>
      </c>
      <c r="X3109">
        <v>2</v>
      </c>
      <c r="Y3109">
        <v>0</v>
      </c>
      <c r="AA3109">
        <v>1</v>
      </c>
      <c r="AB3109">
        <v>8</v>
      </c>
      <c r="AC3109">
        <v>3</v>
      </c>
      <c r="AD3109">
        <v>0</v>
      </c>
      <c r="AE3109">
        <v>9</v>
      </c>
      <c r="AF3109" t="s">
        <v>138</v>
      </c>
      <c r="AG3109">
        <v>0</v>
      </c>
      <c r="AH3109">
        <v>3</v>
      </c>
      <c r="AI3109">
        <v>2</v>
      </c>
      <c r="AJ3109">
        <v>0</v>
      </c>
      <c r="AK3109" t="s">
        <v>1040</v>
      </c>
      <c r="AL3109">
        <v>39.122335999999997</v>
      </c>
      <c r="AM3109" t="s">
        <v>1041</v>
      </c>
      <c r="AN3109">
        <v>-121.031892</v>
      </c>
      <c r="AO3109">
        <v>25</v>
      </c>
      <c r="AP3109">
        <v>4400</v>
      </c>
      <c r="AQ3109" t="s">
        <v>131</v>
      </c>
      <c r="AR3109">
        <v>3</v>
      </c>
      <c r="AS3109">
        <v>83</v>
      </c>
      <c r="AT3109">
        <v>-128</v>
      </c>
      <c r="BB3109" t="str">
        <f t="shared" si="1219"/>
        <v>1200</v>
      </c>
      <c r="BC3109">
        <v>1</v>
      </c>
      <c r="BD3109" t="str">
        <f t="shared" si="1220"/>
        <v xml:space="preserve">N52156  </v>
      </c>
      <c r="BE3109">
        <v>1</v>
      </c>
      <c r="BG3109">
        <v>0</v>
      </c>
      <c r="BH3109">
        <v>0</v>
      </c>
      <c r="BI3109">
        <v>0</v>
      </c>
      <c r="BJ3109">
        <v>4425</v>
      </c>
      <c r="BK3109">
        <v>25</v>
      </c>
      <c r="BL3109" t="s">
        <v>188</v>
      </c>
      <c r="BM3109">
        <v>1</v>
      </c>
      <c r="BN3109">
        <v>1</v>
      </c>
      <c r="BO3109">
        <v>0</v>
      </c>
      <c r="BP3109">
        <v>0</v>
      </c>
      <c r="BS3109">
        <v>0</v>
      </c>
      <c r="BT3109">
        <v>0</v>
      </c>
      <c r="BU3109">
        <v>0</v>
      </c>
      <c r="CE3109" t="str">
        <f t="shared" si="1231"/>
        <v>15:13:09.465</v>
      </c>
      <c r="CF3109">
        <v>464980356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5</v>
      </c>
      <c r="CY3109">
        <v>7</v>
      </c>
      <c r="CZ3109" t="s">
        <v>133</v>
      </c>
      <c r="DA3109">
        <v>275</v>
      </c>
      <c r="DB3109">
        <v>0</v>
      </c>
      <c r="DC3109" t="s">
        <v>134</v>
      </c>
      <c r="DD3109" t="s">
        <v>135</v>
      </c>
      <c r="DG3109">
        <v>3322368</v>
      </c>
      <c r="DI3109">
        <v>1</v>
      </c>
      <c r="DJ3109">
        <v>0</v>
      </c>
      <c r="DK3109">
        <v>1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3">
      <c r="A3110" t="str">
        <f>"05/01/2025 15:13:10.603"</f>
        <v>05/01/2025 15:13:10.603</v>
      </c>
      <c r="C3110" t="str">
        <f t="shared" si="1216"/>
        <v>FFDFD3C0</v>
      </c>
      <c r="D3110" t="s">
        <v>145</v>
      </c>
      <c r="E3110" t="str">
        <f>"09"</f>
        <v>09</v>
      </c>
      <c r="H3110">
        <v>51</v>
      </c>
      <c r="I3110" t="s">
        <v>147</v>
      </c>
      <c r="J3110" t="s">
        <v>138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R3110" t="s">
        <v>127</v>
      </c>
      <c r="S3110" t="str">
        <f t="shared" ref="S3110:T3115" si="1232">"15:13:10.000"</f>
        <v>15:13:10.000</v>
      </c>
      <c r="T3110" t="str">
        <f t="shared" si="1232"/>
        <v>15:13:10.000</v>
      </c>
      <c r="U3110" t="str">
        <f t="shared" si="1218"/>
        <v>A68FCB</v>
      </c>
      <c r="V3110">
        <v>0</v>
      </c>
      <c r="W3110">
        <v>0</v>
      </c>
      <c r="X3110">
        <v>2</v>
      </c>
      <c r="Y3110">
        <v>0</v>
      </c>
      <c r="AA3110">
        <v>1</v>
      </c>
      <c r="AB3110">
        <v>8</v>
      </c>
      <c r="AC3110">
        <v>3</v>
      </c>
      <c r="AD3110">
        <v>0</v>
      </c>
      <c r="AE3110">
        <v>9</v>
      </c>
      <c r="AF3110" t="s">
        <v>138</v>
      </c>
      <c r="AG3110">
        <v>0</v>
      </c>
      <c r="AH3110">
        <v>3</v>
      </c>
      <c r="AI3110">
        <v>2</v>
      </c>
      <c r="AJ3110">
        <v>0</v>
      </c>
      <c r="AK3110" t="s">
        <v>1042</v>
      </c>
      <c r="AL3110">
        <v>39.122722000000003</v>
      </c>
      <c r="AM3110" t="s">
        <v>1043</v>
      </c>
      <c r="AN3110">
        <v>-121.031871</v>
      </c>
      <c r="AO3110">
        <v>25</v>
      </c>
      <c r="AP3110">
        <v>4400</v>
      </c>
      <c r="AQ3110" t="s">
        <v>131</v>
      </c>
      <c r="AR3110">
        <v>3</v>
      </c>
      <c r="AS3110">
        <v>83</v>
      </c>
      <c r="AT3110">
        <v>-192</v>
      </c>
      <c r="BB3110" t="str">
        <f t="shared" si="1219"/>
        <v>1200</v>
      </c>
      <c r="BC3110">
        <v>1</v>
      </c>
      <c r="BD3110" t="str">
        <f t="shared" si="1220"/>
        <v xml:space="preserve">N52156  </v>
      </c>
      <c r="BE3110">
        <v>1</v>
      </c>
      <c r="BG3110">
        <v>0</v>
      </c>
      <c r="BH3110">
        <v>0</v>
      </c>
      <c r="BI3110">
        <v>0</v>
      </c>
      <c r="BJ3110">
        <v>4425</v>
      </c>
      <c r="BK3110">
        <v>25</v>
      </c>
      <c r="BL3110" t="s">
        <v>188</v>
      </c>
      <c r="BM3110">
        <v>1</v>
      </c>
      <c r="BN3110">
        <v>1</v>
      </c>
      <c r="BO3110">
        <v>0</v>
      </c>
      <c r="BP3110">
        <v>0</v>
      </c>
      <c r="BS3110">
        <v>0</v>
      </c>
      <c r="BT3110">
        <v>0</v>
      </c>
      <c r="BU3110">
        <v>0</v>
      </c>
      <c r="CE3110" t="str">
        <f t="shared" ref="CE3110:CE3115" si="1233">"15:13:10.398"</f>
        <v>15:13:10.398</v>
      </c>
      <c r="CF3110">
        <v>397730282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5</v>
      </c>
      <c r="CY3110">
        <v>7</v>
      </c>
      <c r="CZ3110" t="s">
        <v>133</v>
      </c>
      <c r="DA3110">
        <v>275</v>
      </c>
      <c r="DB3110">
        <v>0</v>
      </c>
      <c r="DC3110" t="s">
        <v>134</v>
      </c>
      <c r="DD3110" t="s">
        <v>135</v>
      </c>
      <c r="DG3110">
        <v>3322373</v>
      </c>
      <c r="DI3110">
        <v>1</v>
      </c>
      <c r="DJ3110">
        <v>0</v>
      </c>
      <c r="DK3110">
        <v>0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3">
      <c r="A3111" t="str">
        <f>"05/01/2025 15:13:10.605"</f>
        <v>05/01/2025 15:13:10.605</v>
      </c>
      <c r="C3111" t="str">
        <f t="shared" si="1216"/>
        <v>FFDFD3C0</v>
      </c>
      <c r="D3111" t="s">
        <v>145</v>
      </c>
      <c r="E3111" t="str">
        <f>"05"</f>
        <v>05</v>
      </c>
      <c r="H3111">
        <v>47</v>
      </c>
      <c r="I3111" t="s">
        <v>146</v>
      </c>
      <c r="J3111" t="s">
        <v>138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R3111" t="s">
        <v>127</v>
      </c>
      <c r="S3111" t="str">
        <f t="shared" si="1232"/>
        <v>15:13:10.000</v>
      </c>
      <c r="T3111" t="str">
        <f t="shared" si="1232"/>
        <v>15:13:10.000</v>
      </c>
      <c r="U3111" t="str">
        <f t="shared" si="1218"/>
        <v>A68FCB</v>
      </c>
      <c r="V3111">
        <v>0</v>
      </c>
      <c r="W3111">
        <v>0</v>
      </c>
      <c r="X3111">
        <v>2</v>
      </c>
      <c r="Y3111">
        <v>0</v>
      </c>
      <c r="AA3111">
        <v>1</v>
      </c>
      <c r="AB3111">
        <v>8</v>
      </c>
      <c r="AC3111">
        <v>3</v>
      </c>
      <c r="AD3111">
        <v>0</v>
      </c>
      <c r="AE3111">
        <v>9</v>
      </c>
      <c r="AF3111" t="s">
        <v>138</v>
      </c>
      <c r="AG3111">
        <v>0</v>
      </c>
      <c r="AH3111">
        <v>3</v>
      </c>
      <c r="AI3111">
        <v>2</v>
      </c>
      <c r="AJ3111">
        <v>0</v>
      </c>
      <c r="AK3111" t="s">
        <v>1042</v>
      </c>
      <c r="AL3111">
        <v>39.122722000000003</v>
      </c>
      <c r="AM3111" t="s">
        <v>1043</v>
      </c>
      <c r="AN3111">
        <v>-121.031871</v>
      </c>
      <c r="AO3111">
        <v>25</v>
      </c>
      <c r="AP3111">
        <v>4400</v>
      </c>
      <c r="AQ3111" t="s">
        <v>131</v>
      </c>
      <c r="AR3111">
        <v>3</v>
      </c>
      <c r="AS3111">
        <v>83</v>
      </c>
      <c r="AT3111">
        <v>-192</v>
      </c>
      <c r="BB3111" t="str">
        <f t="shared" si="1219"/>
        <v>1200</v>
      </c>
      <c r="BC3111">
        <v>1</v>
      </c>
      <c r="BD3111" t="str">
        <f t="shared" si="1220"/>
        <v xml:space="preserve">N52156  </v>
      </c>
      <c r="BE3111">
        <v>1</v>
      </c>
      <c r="BG3111">
        <v>0</v>
      </c>
      <c r="BH3111">
        <v>0</v>
      </c>
      <c r="BI3111">
        <v>0</v>
      </c>
      <c r="BJ3111">
        <v>4425</v>
      </c>
      <c r="BK3111">
        <v>25</v>
      </c>
      <c r="BL3111" t="s">
        <v>188</v>
      </c>
      <c r="BM3111">
        <v>1</v>
      </c>
      <c r="BN3111">
        <v>1</v>
      </c>
      <c r="BO3111">
        <v>0</v>
      </c>
      <c r="BP3111">
        <v>0</v>
      </c>
      <c r="BS3111">
        <v>0</v>
      </c>
      <c r="BT3111">
        <v>0</v>
      </c>
      <c r="BU3111">
        <v>0</v>
      </c>
      <c r="CE3111" t="str">
        <f t="shared" si="1233"/>
        <v>15:13:10.398</v>
      </c>
      <c r="CF3111">
        <v>397730282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5</v>
      </c>
      <c r="CY3111">
        <v>7</v>
      </c>
      <c r="CZ3111" t="s">
        <v>133</v>
      </c>
      <c r="DA3111">
        <v>275</v>
      </c>
      <c r="DB3111">
        <v>0</v>
      </c>
      <c r="DC3111" t="s">
        <v>134</v>
      </c>
      <c r="DD3111" t="s">
        <v>135</v>
      </c>
      <c r="DG3111">
        <v>3322373</v>
      </c>
      <c r="DI3111">
        <v>1</v>
      </c>
      <c r="DJ3111">
        <v>0</v>
      </c>
      <c r="DK3111">
        <v>1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3">
      <c r="A3112" t="str">
        <f>"05/01/2025 15:13:10.616"</f>
        <v>05/01/2025 15:13:10.616</v>
      </c>
      <c r="C3112" t="str">
        <f t="shared" si="1216"/>
        <v>FFDFD3C0</v>
      </c>
      <c r="D3112" t="s">
        <v>136</v>
      </c>
      <c r="E3112" t="str">
        <f>"20"</f>
        <v>20</v>
      </c>
      <c r="H3112">
        <v>400</v>
      </c>
      <c r="I3112" t="s">
        <v>137</v>
      </c>
      <c r="J3112" t="s">
        <v>138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R3112" t="s">
        <v>127</v>
      </c>
      <c r="S3112" t="str">
        <f t="shared" si="1232"/>
        <v>15:13:10.000</v>
      </c>
      <c r="T3112" t="str">
        <f t="shared" si="1232"/>
        <v>15:13:10.000</v>
      </c>
      <c r="U3112" t="str">
        <f t="shared" si="1218"/>
        <v>A68FCB</v>
      </c>
      <c r="V3112">
        <v>0</v>
      </c>
      <c r="W3112">
        <v>0</v>
      </c>
      <c r="X3112">
        <v>2</v>
      </c>
      <c r="Y3112">
        <v>0</v>
      </c>
      <c r="AA3112">
        <v>1</v>
      </c>
      <c r="AB3112">
        <v>8</v>
      </c>
      <c r="AC3112">
        <v>3</v>
      </c>
      <c r="AD3112">
        <v>0</v>
      </c>
      <c r="AE3112">
        <v>9</v>
      </c>
      <c r="AF3112" t="s">
        <v>138</v>
      </c>
      <c r="AG3112">
        <v>0</v>
      </c>
      <c r="AH3112">
        <v>3</v>
      </c>
      <c r="AI3112">
        <v>2</v>
      </c>
      <c r="AJ3112">
        <v>0</v>
      </c>
      <c r="AK3112" t="s">
        <v>1042</v>
      </c>
      <c r="AL3112">
        <v>39.122722000000003</v>
      </c>
      <c r="AM3112" t="s">
        <v>1043</v>
      </c>
      <c r="AN3112">
        <v>-121.031871</v>
      </c>
      <c r="AO3112">
        <v>25</v>
      </c>
      <c r="AP3112">
        <v>4400</v>
      </c>
      <c r="AQ3112" t="s">
        <v>131</v>
      </c>
      <c r="AR3112">
        <v>3</v>
      </c>
      <c r="AS3112">
        <v>83</v>
      </c>
      <c r="AT3112">
        <v>-192</v>
      </c>
      <c r="BB3112" t="str">
        <f t="shared" si="1219"/>
        <v>1200</v>
      </c>
      <c r="BC3112">
        <v>1</v>
      </c>
      <c r="BD3112" t="str">
        <f t="shared" si="1220"/>
        <v xml:space="preserve">N52156  </v>
      </c>
      <c r="BE3112">
        <v>1</v>
      </c>
      <c r="BG3112">
        <v>0</v>
      </c>
      <c r="BH3112">
        <v>0</v>
      </c>
      <c r="BI3112">
        <v>0</v>
      </c>
      <c r="BJ3112">
        <v>4425</v>
      </c>
      <c r="BK3112">
        <v>25</v>
      </c>
      <c r="BL3112" t="s">
        <v>188</v>
      </c>
      <c r="BM3112">
        <v>1</v>
      </c>
      <c r="BN3112">
        <v>1</v>
      </c>
      <c r="BO3112">
        <v>0</v>
      </c>
      <c r="BP3112">
        <v>0</v>
      </c>
      <c r="BS3112">
        <v>0</v>
      </c>
      <c r="BT3112">
        <v>0</v>
      </c>
      <c r="BU3112">
        <v>0</v>
      </c>
      <c r="CE3112" t="str">
        <f t="shared" si="1233"/>
        <v>15:13:10.398</v>
      </c>
      <c r="CF3112">
        <v>397730282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5</v>
      </c>
      <c r="CY3112">
        <v>7</v>
      </c>
      <c r="CZ3112" t="s">
        <v>133</v>
      </c>
      <c r="DA3112">
        <v>275</v>
      </c>
      <c r="DB3112">
        <v>0</v>
      </c>
      <c r="DC3112" t="s">
        <v>134</v>
      </c>
      <c r="DD3112" t="s">
        <v>135</v>
      </c>
      <c r="DG3112">
        <v>3322373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3">
      <c r="A3113" t="str">
        <f>"05/01/2025 15:13:10.625"</f>
        <v>05/01/2025 15:13:10.625</v>
      </c>
      <c r="C3113" t="str">
        <f t="shared" si="1216"/>
        <v>FFDFD3C0</v>
      </c>
      <c r="D3113" t="s">
        <v>143</v>
      </c>
      <c r="E3113" t="str">
        <f>"05"</f>
        <v>05</v>
      </c>
      <c r="H3113">
        <v>172</v>
      </c>
      <c r="I3113" t="s">
        <v>141</v>
      </c>
      <c r="J3113" t="s">
        <v>144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R3113" t="s">
        <v>127</v>
      </c>
      <c r="S3113" t="str">
        <f t="shared" si="1232"/>
        <v>15:13:10.000</v>
      </c>
      <c r="T3113" t="str">
        <f t="shared" si="1232"/>
        <v>15:13:10.000</v>
      </c>
      <c r="U3113" t="str">
        <f t="shared" si="1218"/>
        <v>A68FCB</v>
      </c>
      <c r="V3113">
        <v>0</v>
      </c>
      <c r="W3113">
        <v>0</v>
      </c>
      <c r="X3113">
        <v>2</v>
      </c>
      <c r="Y3113">
        <v>0</v>
      </c>
      <c r="AA3113">
        <v>1</v>
      </c>
      <c r="AB3113">
        <v>8</v>
      </c>
      <c r="AC3113">
        <v>3</v>
      </c>
      <c r="AD3113">
        <v>0</v>
      </c>
      <c r="AE3113">
        <v>9</v>
      </c>
      <c r="AF3113" t="s">
        <v>138</v>
      </c>
      <c r="AG3113">
        <v>0</v>
      </c>
      <c r="AH3113">
        <v>3</v>
      </c>
      <c r="AI3113">
        <v>2</v>
      </c>
      <c r="AJ3113">
        <v>0</v>
      </c>
      <c r="AK3113" t="s">
        <v>1042</v>
      </c>
      <c r="AL3113">
        <v>39.122722000000003</v>
      </c>
      <c r="AM3113" t="s">
        <v>1043</v>
      </c>
      <c r="AN3113">
        <v>-121.031871</v>
      </c>
      <c r="AO3113">
        <v>25</v>
      </c>
      <c r="AP3113">
        <v>4400</v>
      </c>
      <c r="AQ3113" t="s">
        <v>131</v>
      </c>
      <c r="AR3113">
        <v>3</v>
      </c>
      <c r="AS3113">
        <v>83</v>
      </c>
      <c r="AT3113">
        <v>-192</v>
      </c>
      <c r="BB3113" t="str">
        <f t="shared" si="1219"/>
        <v>1200</v>
      </c>
      <c r="BC3113">
        <v>1</v>
      </c>
      <c r="BD3113" t="str">
        <f t="shared" si="1220"/>
        <v xml:space="preserve">N52156  </v>
      </c>
      <c r="BE3113">
        <v>1</v>
      </c>
      <c r="BG3113">
        <v>0</v>
      </c>
      <c r="BH3113">
        <v>0</v>
      </c>
      <c r="BI3113">
        <v>0</v>
      </c>
      <c r="BJ3113">
        <v>4425</v>
      </c>
      <c r="BK3113">
        <v>25</v>
      </c>
      <c r="BL3113" t="s">
        <v>188</v>
      </c>
      <c r="BM3113">
        <v>1</v>
      </c>
      <c r="BN3113">
        <v>1</v>
      </c>
      <c r="BO3113">
        <v>0</v>
      </c>
      <c r="BP3113">
        <v>0</v>
      </c>
      <c r="BS3113">
        <v>0</v>
      </c>
      <c r="BT3113">
        <v>0</v>
      </c>
      <c r="BU3113">
        <v>0</v>
      </c>
      <c r="CE3113" t="str">
        <f t="shared" si="1233"/>
        <v>15:13:10.398</v>
      </c>
      <c r="CF3113">
        <v>397730282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5</v>
      </c>
      <c r="CY3113">
        <v>7</v>
      </c>
      <c r="CZ3113" t="s">
        <v>133</v>
      </c>
      <c r="DA3113">
        <v>275</v>
      </c>
      <c r="DB3113">
        <v>0</v>
      </c>
      <c r="DC3113" t="s">
        <v>134</v>
      </c>
      <c r="DD3113" t="s">
        <v>135</v>
      </c>
      <c r="DG3113">
        <v>3322373</v>
      </c>
      <c r="DI3113">
        <v>1</v>
      </c>
      <c r="DJ3113">
        <v>0</v>
      </c>
      <c r="DK3113">
        <v>1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3">
      <c r="A3114" t="str">
        <f>"05/01/2025 15:13:10.638"</f>
        <v>05/01/2025 15:13:10.638</v>
      </c>
      <c r="C3114" t="str">
        <f t="shared" si="1216"/>
        <v>FFDFD3C0</v>
      </c>
      <c r="D3114" t="s">
        <v>124</v>
      </c>
      <c r="E3114" t="str">
        <f>"06"</f>
        <v>06</v>
      </c>
      <c r="F3114">
        <v>2006</v>
      </c>
      <c r="G3114" t="s">
        <v>125</v>
      </c>
      <c r="J3114" t="s">
        <v>126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R3114" t="s">
        <v>127</v>
      </c>
      <c r="S3114" t="str">
        <f t="shared" si="1232"/>
        <v>15:13:10.000</v>
      </c>
      <c r="T3114" t="str">
        <f t="shared" si="1232"/>
        <v>15:13:10.000</v>
      </c>
      <c r="U3114" t="str">
        <f t="shared" si="1218"/>
        <v>A68FCB</v>
      </c>
      <c r="V3114">
        <v>0</v>
      </c>
      <c r="W3114">
        <v>0</v>
      </c>
      <c r="X3114">
        <v>2</v>
      </c>
      <c r="Y3114">
        <v>0</v>
      </c>
      <c r="AA3114">
        <v>1</v>
      </c>
      <c r="AB3114">
        <v>8</v>
      </c>
      <c r="AC3114">
        <v>3</v>
      </c>
      <c r="AD3114">
        <v>0</v>
      </c>
      <c r="AE3114">
        <v>9</v>
      </c>
      <c r="AF3114" t="s">
        <v>138</v>
      </c>
      <c r="AG3114">
        <v>0</v>
      </c>
      <c r="AH3114">
        <v>3</v>
      </c>
      <c r="AI3114">
        <v>2</v>
      </c>
      <c r="AJ3114">
        <v>0</v>
      </c>
      <c r="AK3114" t="s">
        <v>1042</v>
      </c>
      <c r="AL3114">
        <v>39.122722000000003</v>
      </c>
      <c r="AM3114" t="s">
        <v>1043</v>
      </c>
      <c r="AN3114">
        <v>-121.031871</v>
      </c>
      <c r="AO3114">
        <v>25</v>
      </c>
      <c r="AP3114">
        <v>4400</v>
      </c>
      <c r="AQ3114" t="s">
        <v>131</v>
      </c>
      <c r="AR3114">
        <v>3</v>
      </c>
      <c r="AS3114">
        <v>83</v>
      </c>
      <c r="AT3114">
        <v>-192</v>
      </c>
      <c r="BB3114" t="str">
        <f t="shared" si="1219"/>
        <v>1200</v>
      </c>
      <c r="BC3114">
        <v>1</v>
      </c>
      <c r="BD3114" t="str">
        <f t="shared" si="1220"/>
        <v xml:space="preserve">N52156  </v>
      </c>
      <c r="BE3114">
        <v>1</v>
      </c>
      <c r="BG3114">
        <v>0</v>
      </c>
      <c r="BH3114">
        <v>0</v>
      </c>
      <c r="BI3114">
        <v>0</v>
      </c>
      <c r="BJ3114">
        <v>4425</v>
      </c>
      <c r="BK3114">
        <v>25</v>
      </c>
      <c r="BL3114" t="s">
        <v>188</v>
      </c>
      <c r="BM3114">
        <v>1</v>
      </c>
      <c r="BN3114">
        <v>1</v>
      </c>
      <c r="BO3114">
        <v>0</v>
      </c>
      <c r="BP3114">
        <v>0</v>
      </c>
      <c r="BS3114">
        <v>0</v>
      </c>
      <c r="BT3114">
        <v>0</v>
      </c>
      <c r="BU3114">
        <v>0</v>
      </c>
      <c r="CE3114" t="str">
        <f t="shared" si="1233"/>
        <v>15:13:10.398</v>
      </c>
      <c r="CF3114">
        <v>397730282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5</v>
      </c>
      <c r="CY3114">
        <v>7</v>
      </c>
      <c r="CZ3114" t="s">
        <v>133</v>
      </c>
      <c r="DA3114">
        <v>275</v>
      </c>
      <c r="DB3114">
        <v>0</v>
      </c>
      <c r="DC3114" t="s">
        <v>134</v>
      </c>
      <c r="DD3114" t="s">
        <v>135</v>
      </c>
      <c r="DG3114">
        <v>3322373</v>
      </c>
      <c r="DI3114">
        <v>1</v>
      </c>
      <c r="DJ3114">
        <v>0</v>
      </c>
      <c r="DK3114">
        <v>1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3">
      <c r="A3115" t="str">
        <f>"05/01/2025 15:13:10.640"</f>
        <v>05/01/2025 15:13:10.640</v>
      </c>
      <c r="C3115" t="str">
        <f t="shared" si="1216"/>
        <v>FFDFD3C0</v>
      </c>
      <c r="D3115" t="s">
        <v>140</v>
      </c>
      <c r="E3115" t="str">
        <f>"13"</f>
        <v>13</v>
      </c>
      <c r="F3115">
        <v>1019</v>
      </c>
      <c r="G3115" t="s">
        <v>141</v>
      </c>
      <c r="J3115" t="s">
        <v>142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R3115" t="s">
        <v>127</v>
      </c>
      <c r="S3115" t="str">
        <f t="shared" si="1232"/>
        <v>15:13:10.000</v>
      </c>
      <c r="T3115" t="str">
        <f t="shared" si="1232"/>
        <v>15:13:10.000</v>
      </c>
      <c r="U3115" t="str">
        <f t="shared" si="1218"/>
        <v>A68FCB</v>
      </c>
      <c r="V3115">
        <v>0</v>
      </c>
      <c r="W3115">
        <v>0</v>
      </c>
      <c r="X3115">
        <v>2</v>
      </c>
      <c r="Y3115">
        <v>0</v>
      </c>
      <c r="AA3115">
        <v>1</v>
      </c>
      <c r="AB3115">
        <v>8</v>
      </c>
      <c r="AC3115">
        <v>3</v>
      </c>
      <c r="AD3115">
        <v>0</v>
      </c>
      <c r="AE3115">
        <v>9</v>
      </c>
      <c r="AF3115" t="s">
        <v>138</v>
      </c>
      <c r="AG3115">
        <v>0</v>
      </c>
      <c r="AH3115">
        <v>3</v>
      </c>
      <c r="AI3115">
        <v>2</v>
      </c>
      <c r="AJ3115">
        <v>0</v>
      </c>
      <c r="AK3115" t="s">
        <v>1042</v>
      </c>
      <c r="AL3115">
        <v>39.122722000000003</v>
      </c>
      <c r="AM3115" t="s">
        <v>1043</v>
      </c>
      <c r="AN3115">
        <v>-121.031871</v>
      </c>
      <c r="AO3115">
        <v>25</v>
      </c>
      <c r="AP3115">
        <v>4400</v>
      </c>
      <c r="AQ3115" t="s">
        <v>131</v>
      </c>
      <c r="AR3115">
        <v>3</v>
      </c>
      <c r="AS3115">
        <v>83</v>
      </c>
      <c r="AT3115">
        <v>-192</v>
      </c>
      <c r="BB3115" t="str">
        <f t="shared" si="1219"/>
        <v>1200</v>
      </c>
      <c r="BC3115">
        <v>1</v>
      </c>
      <c r="BD3115" t="str">
        <f t="shared" si="1220"/>
        <v xml:space="preserve">N52156  </v>
      </c>
      <c r="BE3115">
        <v>1</v>
      </c>
      <c r="BG3115">
        <v>0</v>
      </c>
      <c r="BH3115">
        <v>0</v>
      </c>
      <c r="BI3115">
        <v>0</v>
      </c>
      <c r="BJ3115">
        <v>4425</v>
      </c>
      <c r="BK3115">
        <v>25</v>
      </c>
      <c r="BL3115" t="s">
        <v>188</v>
      </c>
      <c r="BM3115">
        <v>1</v>
      </c>
      <c r="BN3115">
        <v>1</v>
      </c>
      <c r="BO3115">
        <v>0</v>
      </c>
      <c r="BP3115">
        <v>0</v>
      </c>
      <c r="BS3115">
        <v>0</v>
      </c>
      <c r="BT3115">
        <v>0</v>
      </c>
      <c r="BU3115">
        <v>0</v>
      </c>
      <c r="CE3115" t="str">
        <f t="shared" si="1233"/>
        <v>15:13:10.398</v>
      </c>
      <c r="CF3115">
        <v>397730282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5</v>
      </c>
      <c r="CY3115">
        <v>7</v>
      </c>
      <c r="CZ3115" t="s">
        <v>133</v>
      </c>
      <c r="DA3115">
        <v>275</v>
      </c>
      <c r="DB3115">
        <v>0</v>
      </c>
      <c r="DC3115" t="s">
        <v>134</v>
      </c>
      <c r="DD3115" t="s">
        <v>135</v>
      </c>
      <c r="DG3115">
        <v>3322373</v>
      </c>
      <c r="DI3115">
        <v>1</v>
      </c>
      <c r="DJ3115">
        <v>0</v>
      </c>
      <c r="DK3115">
        <v>1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3">
      <c r="A3116" t="str">
        <f>"05/01/2025 15:13:12.168"</f>
        <v>05/01/2025 15:13:12.168</v>
      </c>
      <c r="C3116" t="str">
        <f t="shared" si="1216"/>
        <v>FFDFD3C0</v>
      </c>
      <c r="D3116" t="s">
        <v>136</v>
      </c>
      <c r="E3116" t="str">
        <f>"20"</f>
        <v>20</v>
      </c>
      <c r="H3116">
        <v>400</v>
      </c>
      <c r="I3116" t="s">
        <v>137</v>
      </c>
      <c r="J3116" t="s">
        <v>138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R3116" t="s">
        <v>127</v>
      </c>
      <c r="S3116" t="str">
        <f t="shared" ref="S3116:T3121" si="1234">"15:13:11.000"</f>
        <v>15:13:11.000</v>
      </c>
      <c r="T3116" t="str">
        <f t="shared" si="1234"/>
        <v>15:13:11.000</v>
      </c>
      <c r="U3116" t="str">
        <f t="shared" si="1218"/>
        <v>A68FCB</v>
      </c>
      <c r="V3116">
        <v>0</v>
      </c>
      <c r="W3116">
        <v>0</v>
      </c>
      <c r="X3116">
        <v>2</v>
      </c>
      <c r="Y3116">
        <v>0</v>
      </c>
      <c r="AA3116">
        <v>1</v>
      </c>
      <c r="AB3116">
        <v>8</v>
      </c>
      <c r="AC3116">
        <v>3</v>
      </c>
      <c r="AD3116">
        <v>0</v>
      </c>
      <c r="AE3116">
        <v>9</v>
      </c>
      <c r="AF3116" t="s">
        <v>138</v>
      </c>
      <c r="AG3116">
        <v>0</v>
      </c>
      <c r="AH3116">
        <v>3</v>
      </c>
      <c r="AI3116">
        <v>2</v>
      </c>
      <c r="AJ3116">
        <v>0</v>
      </c>
      <c r="AK3116" t="s">
        <v>1044</v>
      </c>
      <c r="AL3116">
        <v>39.123108000000002</v>
      </c>
      <c r="AM3116" t="s">
        <v>1045</v>
      </c>
      <c r="AN3116">
        <v>-121.03184899999999</v>
      </c>
      <c r="AO3116">
        <v>25</v>
      </c>
      <c r="AP3116">
        <v>4400</v>
      </c>
      <c r="AQ3116" t="s">
        <v>131</v>
      </c>
      <c r="AR3116">
        <v>3</v>
      </c>
      <c r="AS3116">
        <v>84</v>
      </c>
      <c r="AT3116">
        <v>-192</v>
      </c>
      <c r="BB3116" t="str">
        <f t="shared" si="1219"/>
        <v>1200</v>
      </c>
      <c r="BC3116">
        <v>1</v>
      </c>
      <c r="BD3116" t="str">
        <f t="shared" si="1220"/>
        <v xml:space="preserve">N52156  </v>
      </c>
      <c r="BE3116">
        <v>1</v>
      </c>
      <c r="BG3116">
        <v>0</v>
      </c>
      <c r="BH3116">
        <v>0</v>
      </c>
      <c r="BI3116">
        <v>0</v>
      </c>
      <c r="BJ3116">
        <v>4425</v>
      </c>
      <c r="BK3116">
        <v>25</v>
      </c>
      <c r="BL3116" t="s">
        <v>188</v>
      </c>
      <c r="BM3116">
        <v>1</v>
      </c>
      <c r="BN3116">
        <v>1</v>
      </c>
      <c r="BO3116">
        <v>0</v>
      </c>
      <c r="BP3116">
        <v>0</v>
      </c>
      <c r="BS3116">
        <v>0</v>
      </c>
      <c r="BT3116">
        <v>0</v>
      </c>
      <c r="BU3116">
        <v>0</v>
      </c>
      <c r="CE3116" t="str">
        <f t="shared" ref="CE3116:CE3121" si="1235">"15:13:11.946"</f>
        <v>15:13:11.946</v>
      </c>
      <c r="CF3116">
        <v>946481736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5</v>
      </c>
      <c r="CY3116">
        <v>7</v>
      </c>
      <c r="CZ3116" t="s">
        <v>133</v>
      </c>
      <c r="DA3116">
        <v>275</v>
      </c>
      <c r="DB3116">
        <v>0</v>
      </c>
      <c r="DC3116" t="s">
        <v>134</v>
      </c>
      <c r="DD3116" t="s">
        <v>135</v>
      </c>
      <c r="DG3116">
        <v>3322384</v>
      </c>
      <c r="DI3116">
        <v>1</v>
      </c>
      <c r="DJ3116">
        <v>0</v>
      </c>
      <c r="DK3116">
        <v>0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3">
      <c r="A3117" t="str">
        <f>"05/01/2025 15:13:12.178"</f>
        <v>05/01/2025 15:13:12.178</v>
      </c>
      <c r="C3117" t="str">
        <f t="shared" si="1216"/>
        <v>FFDFD3C0</v>
      </c>
      <c r="D3117" t="s">
        <v>143</v>
      </c>
      <c r="E3117" t="str">
        <f>"05"</f>
        <v>05</v>
      </c>
      <c r="H3117">
        <v>172</v>
      </c>
      <c r="I3117" t="s">
        <v>141</v>
      </c>
      <c r="J3117" t="s">
        <v>144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R3117" t="s">
        <v>127</v>
      </c>
      <c r="S3117" t="str">
        <f t="shared" si="1234"/>
        <v>15:13:11.000</v>
      </c>
      <c r="T3117" t="str">
        <f t="shared" si="1234"/>
        <v>15:13:11.000</v>
      </c>
      <c r="U3117" t="str">
        <f t="shared" si="1218"/>
        <v>A68FCB</v>
      </c>
      <c r="V3117">
        <v>0</v>
      </c>
      <c r="W3117">
        <v>0</v>
      </c>
      <c r="X3117">
        <v>2</v>
      </c>
      <c r="Y3117">
        <v>0</v>
      </c>
      <c r="AA3117">
        <v>1</v>
      </c>
      <c r="AB3117">
        <v>8</v>
      </c>
      <c r="AC3117">
        <v>3</v>
      </c>
      <c r="AD3117">
        <v>0</v>
      </c>
      <c r="AE3117">
        <v>9</v>
      </c>
      <c r="AF3117" t="s">
        <v>138</v>
      </c>
      <c r="AG3117">
        <v>0</v>
      </c>
      <c r="AH3117">
        <v>3</v>
      </c>
      <c r="AI3117">
        <v>2</v>
      </c>
      <c r="AJ3117">
        <v>0</v>
      </c>
      <c r="AK3117" t="s">
        <v>1044</v>
      </c>
      <c r="AL3117">
        <v>39.123108000000002</v>
      </c>
      <c r="AM3117" t="s">
        <v>1045</v>
      </c>
      <c r="AN3117">
        <v>-121.03184899999999</v>
      </c>
      <c r="AO3117">
        <v>25</v>
      </c>
      <c r="AP3117">
        <v>4400</v>
      </c>
      <c r="AQ3117" t="s">
        <v>131</v>
      </c>
      <c r="AR3117">
        <v>3</v>
      </c>
      <c r="AS3117">
        <v>84</v>
      </c>
      <c r="AT3117">
        <v>-192</v>
      </c>
      <c r="BB3117" t="str">
        <f t="shared" si="1219"/>
        <v>1200</v>
      </c>
      <c r="BC3117">
        <v>1</v>
      </c>
      <c r="BD3117" t="str">
        <f t="shared" si="1220"/>
        <v xml:space="preserve">N52156  </v>
      </c>
      <c r="BE3117">
        <v>1</v>
      </c>
      <c r="BG3117">
        <v>0</v>
      </c>
      <c r="BH3117">
        <v>0</v>
      </c>
      <c r="BI3117">
        <v>0</v>
      </c>
      <c r="BJ3117">
        <v>4425</v>
      </c>
      <c r="BK3117">
        <v>25</v>
      </c>
      <c r="BL3117" t="s">
        <v>188</v>
      </c>
      <c r="BM3117">
        <v>1</v>
      </c>
      <c r="BN3117">
        <v>1</v>
      </c>
      <c r="BO3117">
        <v>0</v>
      </c>
      <c r="BP3117">
        <v>0</v>
      </c>
      <c r="BS3117">
        <v>0</v>
      </c>
      <c r="BT3117">
        <v>0</v>
      </c>
      <c r="BU3117">
        <v>0</v>
      </c>
      <c r="CE3117" t="str">
        <f t="shared" si="1235"/>
        <v>15:13:11.946</v>
      </c>
      <c r="CF3117">
        <v>946481736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5</v>
      </c>
      <c r="CY3117">
        <v>7</v>
      </c>
      <c r="CZ3117" t="s">
        <v>133</v>
      </c>
      <c r="DA3117">
        <v>275</v>
      </c>
      <c r="DB3117">
        <v>0</v>
      </c>
      <c r="DC3117" t="s">
        <v>134</v>
      </c>
      <c r="DD3117" t="s">
        <v>135</v>
      </c>
      <c r="DG3117">
        <v>3322384</v>
      </c>
      <c r="DI3117">
        <v>1</v>
      </c>
      <c r="DJ3117">
        <v>0</v>
      </c>
      <c r="DK3117">
        <v>1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3">
      <c r="A3118" t="str">
        <f>"05/01/2025 15:13:12.191"</f>
        <v>05/01/2025 15:13:12.191</v>
      </c>
      <c r="C3118" t="str">
        <f t="shared" si="1216"/>
        <v>FFDFD3C0</v>
      </c>
      <c r="D3118" t="s">
        <v>124</v>
      </c>
      <c r="E3118" t="str">
        <f>"06"</f>
        <v>06</v>
      </c>
      <c r="F3118">
        <v>2006</v>
      </c>
      <c r="G3118" t="s">
        <v>125</v>
      </c>
      <c r="J3118" t="s">
        <v>126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R3118" t="s">
        <v>127</v>
      </c>
      <c r="S3118" t="str">
        <f t="shared" si="1234"/>
        <v>15:13:11.000</v>
      </c>
      <c r="T3118" t="str">
        <f t="shared" si="1234"/>
        <v>15:13:11.000</v>
      </c>
      <c r="U3118" t="str">
        <f t="shared" si="1218"/>
        <v>A68FCB</v>
      </c>
      <c r="V3118">
        <v>0</v>
      </c>
      <c r="W3118">
        <v>0</v>
      </c>
      <c r="X3118">
        <v>2</v>
      </c>
      <c r="Y3118">
        <v>0</v>
      </c>
      <c r="AA3118">
        <v>1</v>
      </c>
      <c r="AB3118">
        <v>8</v>
      </c>
      <c r="AC3118">
        <v>3</v>
      </c>
      <c r="AD3118">
        <v>0</v>
      </c>
      <c r="AE3118">
        <v>9</v>
      </c>
      <c r="AF3118" t="s">
        <v>138</v>
      </c>
      <c r="AG3118">
        <v>0</v>
      </c>
      <c r="AH3118">
        <v>3</v>
      </c>
      <c r="AI3118">
        <v>2</v>
      </c>
      <c r="AJ3118">
        <v>0</v>
      </c>
      <c r="AK3118" t="s">
        <v>1044</v>
      </c>
      <c r="AL3118">
        <v>39.123108000000002</v>
      </c>
      <c r="AM3118" t="s">
        <v>1045</v>
      </c>
      <c r="AN3118">
        <v>-121.03184899999999</v>
      </c>
      <c r="AO3118">
        <v>25</v>
      </c>
      <c r="AP3118">
        <v>4400</v>
      </c>
      <c r="AQ3118" t="s">
        <v>131</v>
      </c>
      <c r="AR3118">
        <v>3</v>
      </c>
      <c r="AS3118">
        <v>84</v>
      </c>
      <c r="AT3118">
        <v>-192</v>
      </c>
      <c r="BB3118" t="str">
        <f t="shared" si="1219"/>
        <v>1200</v>
      </c>
      <c r="BC3118">
        <v>1</v>
      </c>
      <c r="BD3118" t="str">
        <f t="shared" si="1220"/>
        <v xml:space="preserve">N52156  </v>
      </c>
      <c r="BE3118">
        <v>1</v>
      </c>
      <c r="BG3118">
        <v>0</v>
      </c>
      <c r="BH3118">
        <v>0</v>
      </c>
      <c r="BI3118">
        <v>0</v>
      </c>
      <c r="BJ3118">
        <v>4425</v>
      </c>
      <c r="BK3118">
        <v>25</v>
      </c>
      <c r="BL3118" t="s">
        <v>188</v>
      </c>
      <c r="BM3118">
        <v>1</v>
      </c>
      <c r="BN3118">
        <v>1</v>
      </c>
      <c r="BO3118">
        <v>0</v>
      </c>
      <c r="BP3118">
        <v>0</v>
      </c>
      <c r="BS3118">
        <v>0</v>
      </c>
      <c r="BT3118">
        <v>0</v>
      </c>
      <c r="BU3118">
        <v>0</v>
      </c>
      <c r="CE3118" t="str">
        <f t="shared" si="1235"/>
        <v>15:13:11.946</v>
      </c>
      <c r="CF3118">
        <v>946481736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5</v>
      </c>
      <c r="CY3118">
        <v>7</v>
      </c>
      <c r="CZ3118" t="s">
        <v>133</v>
      </c>
      <c r="DA3118">
        <v>275</v>
      </c>
      <c r="DB3118">
        <v>0</v>
      </c>
      <c r="DC3118" t="s">
        <v>134</v>
      </c>
      <c r="DD3118" t="s">
        <v>135</v>
      </c>
      <c r="DG3118">
        <v>3322384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3">
      <c r="A3119" t="str">
        <f>"05/01/2025 15:13:12.192"</f>
        <v>05/01/2025 15:13:12.192</v>
      </c>
      <c r="C3119" t="str">
        <f t="shared" si="1216"/>
        <v>FFDFD3C0</v>
      </c>
      <c r="D3119" t="s">
        <v>140</v>
      </c>
      <c r="E3119" t="str">
        <f>"13"</f>
        <v>13</v>
      </c>
      <c r="F3119">
        <v>1019</v>
      </c>
      <c r="G3119" t="s">
        <v>141</v>
      </c>
      <c r="J3119" t="s">
        <v>142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R3119" t="s">
        <v>127</v>
      </c>
      <c r="S3119" t="str">
        <f t="shared" si="1234"/>
        <v>15:13:11.000</v>
      </c>
      <c r="T3119" t="str">
        <f t="shared" si="1234"/>
        <v>15:13:11.000</v>
      </c>
      <c r="U3119" t="str">
        <f t="shared" si="1218"/>
        <v>A68FCB</v>
      </c>
      <c r="V3119">
        <v>0</v>
      </c>
      <c r="W3119">
        <v>0</v>
      </c>
      <c r="X3119">
        <v>2</v>
      </c>
      <c r="Y3119">
        <v>0</v>
      </c>
      <c r="AA3119">
        <v>1</v>
      </c>
      <c r="AB3119">
        <v>8</v>
      </c>
      <c r="AC3119">
        <v>3</v>
      </c>
      <c r="AD3119">
        <v>0</v>
      </c>
      <c r="AE3119">
        <v>9</v>
      </c>
      <c r="AF3119" t="s">
        <v>138</v>
      </c>
      <c r="AG3119">
        <v>0</v>
      </c>
      <c r="AH3119">
        <v>3</v>
      </c>
      <c r="AI3119">
        <v>2</v>
      </c>
      <c r="AJ3119">
        <v>0</v>
      </c>
      <c r="AK3119" t="s">
        <v>1044</v>
      </c>
      <c r="AL3119">
        <v>39.123108000000002</v>
      </c>
      <c r="AM3119" t="s">
        <v>1045</v>
      </c>
      <c r="AN3119">
        <v>-121.03184899999999</v>
      </c>
      <c r="AO3119">
        <v>25</v>
      </c>
      <c r="AP3119">
        <v>4400</v>
      </c>
      <c r="AQ3119" t="s">
        <v>131</v>
      </c>
      <c r="AR3119">
        <v>3</v>
      </c>
      <c r="AS3119">
        <v>84</v>
      </c>
      <c r="AT3119">
        <v>-192</v>
      </c>
      <c r="BB3119" t="str">
        <f t="shared" si="1219"/>
        <v>1200</v>
      </c>
      <c r="BC3119">
        <v>1</v>
      </c>
      <c r="BD3119" t="str">
        <f t="shared" si="1220"/>
        <v xml:space="preserve">N52156  </v>
      </c>
      <c r="BE3119">
        <v>1</v>
      </c>
      <c r="BG3119">
        <v>0</v>
      </c>
      <c r="BH3119">
        <v>0</v>
      </c>
      <c r="BI3119">
        <v>0</v>
      </c>
      <c r="BJ3119">
        <v>4425</v>
      </c>
      <c r="BK3119">
        <v>25</v>
      </c>
      <c r="BL3119" t="s">
        <v>188</v>
      </c>
      <c r="BM3119">
        <v>1</v>
      </c>
      <c r="BN3119">
        <v>1</v>
      </c>
      <c r="BO3119">
        <v>0</v>
      </c>
      <c r="BP3119">
        <v>0</v>
      </c>
      <c r="BS3119">
        <v>0</v>
      </c>
      <c r="BT3119">
        <v>0</v>
      </c>
      <c r="BU3119">
        <v>0</v>
      </c>
      <c r="CE3119" t="str">
        <f t="shared" si="1235"/>
        <v>15:13:11.946</v>
      </c>
      <c r="CF3119">
        <v>946481736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5</v>
      </c>
      <c r="CY3119">
        <v>7</v>
      </c>
      <c r="CZ3119" t="s">
        <v>133</v>
      </c>
      <c r="DA3119">
        <v>275</v>
      </c>
      <c r="DB3119">
        <v>0</v>
      </c>
      <c r="DC3119" t="s">
        <v>134</v>
      </c>
      <c r="DD3119" t="s">
        <v>135</v>
      </c>
      <c r="DG3119">
        <v>3322384</v>
      </c>
      <c r="DI3119">
        <v>1</v>
      </c>
      <c r="DJ3119">
        <v>0</v>
      </c>
      <c r="DK3119">
        <v>1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3">
      <c r="A3120" t="str">
        <f>"05/01/2025 15:13:12.207"</f>
        <v>05/01/2025 15:13:12.207</v>
      </c>
      <c r="C3120" t="str">
        <f t="shared" si="1216"/>
        <v>FFDFD3C0</v>
      </c>
      <c r="D3120" t="s">
        <v>145</v>
      </c>
      <c r="E3120" t="str">
        <f>"05"</f>
        <v>05</v>
      </c>
      <c r="H3120">
        <v>47</v>
      </c>
      <c r="I3120" t="s">
        <v>146</v>
      </c>
      <c r="J3120" t="s">
        <v>138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R3120" t="s">
        <v>127</v>
      </c>
      <c r="S3120" t="str">
        <f t="shared" si="1234"/>
        <v>15:13:11.000</v>
      </c>
      <c r="T3120" t="str">
        <f t="shared" si="1234"/>
        <v>15:13:11.000</v>
      </c>
      <c r="U3120" t="str">
        <f t="shared" si="1218"/>
        <v>A68FCB</v>
      </c>
      <c r="V3120">
        <v>0</v>
      </c>
      <c r="W3120">
        <v>0</v>
      </c>
      <c r="X3120">
        <v>2</v>
      </c>
      <c r="Y3120">
        <v>0</v>
      </c>
      <c r="AA3120">
        <v>1</v>
      </c>
      <c r="AB3120">
        <v>8</v>
      </c>
      <c r="AC3120">
        <v>3</v>
      </c>
      <c r="AD3120">
        <v>0</v>
      </c>
      <c r="AE3120">
        <v>9</v>
      </c>
      <c r="AF3120" t="s">
        <v>138</v>
      </c>
      <c r="AG3120">
        <v>0</v>
      </c>
      <c r="AH3120">
        <v>3</v>
      </c>
      <c r="AI3120">
        <v>2</v>
      </c>
      <c r="AJ3120">
        <v>0</v>
      </c>
      <c r="AK3120" t="s">
        <v>1044</v>
      </c>
      <c r="AL3120">
        <v>39.123108000000002</v>
      </c>
      <c r="AM3120" t="s">
        <v>1045</v>
      </c>
      <c r="AN3120">
        <v>-121.03184899999999</v>
      </c>
      <c r="AO3120">
        <v>25</v>
      </c>
      <c r="AP3120">
        <v>4400</v>
      </c>
      <c r="AQ3120" t="s">
        <v>131</v>
      </c>
      <c r="AR3120">
        <v>3</v>
      </c>
      <c r="AS3120">
        <v>84</v>
      </c>
      <c r="AT3120">
        <v>-192</v>
      </c>
      <c r="BB3120" t="str">
        <f t="shared" si="1219"/>
        <v>1200</v>
      </c>
      <c r="BC3120">
        <v>1</v>
      </c>
      <c r="BD3120" t="str">
        <f t="shared" si="1220"/>
        <v xml:space="preserve">N52156  </v>
      </c>
      <c r="BE3120">
        <v>1</v>
      </c>
      <c r="BG3120">
        <v>0</v>
      </c>
      <c r="BH3120">
        <v>0</v>
      </c>
      <c r="BI3120">
        <v>0</v>
      </c>
      <c r="BJ3120">
        <v>4425</v>
      </c>
      <c r="BK3120">
        <v>25</v>
      </c>
      <c r="BL3120" t="s">
        <v>188</v>
      </c>
      <c r="BM3120">
        <v>1</v>
      </c>
      <c r="BN3120">
        <v>1</v>
      </c>
      <c r="BO3120">
        <v>0</v>
      </c>
      <c r="BP3120">
        <v>0</v>
      </c>
      <c r="BS3120">
        <v>0</v>
      </c>
      <c r="BT3120">
        <v>0</v>
      </c>
      <c r="BU3120">
        <v>0</v>
      </c>
      <c r="CE3120" t="str">
        <f t="shared" si="1235"/>
        <v>15:13:11.946</v>
      </c>
      <c r="CF3120">
        <v>946481736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5</v>
      </c>
      <c r="CY3120">
        <v>7</v>
      </c>
      <c r="CZ3120" t="s">
        <v>133</v>
      </c>
      <c r="DA3120">
        <v>275</v>
      </c>
      <c r="DB3120">
        <v>0</v>
      </c>
      <c r="DC3120" t="s">
        <v>134</v>
      </c>
      <c r="DD3120" t="s">
        <v>135</v>
      </c>
      <c r="DG3120">
        <v>3322384</v>
      </c>
      <c r="DI3120">
        <v>1</v>
      </c>
      <c r="DJ3120">
        <v>0</v>
      </c>
      <c r="DK3120">
        <v>1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3">
      <c r="A3121" t="str">
        <f>"05/01/2025 15:13:12.206"</f>
        <v>05/01/2025 15:13:12.206</v>
      </c>
      <c r="C3121" t="str">
        <f t="shared" si="1216"/>
        <v>FFDFD3C0</v>
      </c>
      <c r="D3121" t="s">
        <v>145</v>
      </c>
      <c r="E3121" t="str">
        <f>"09"</f>
        <v>09</v>
      </c>
      <c r="H3121">
        <v>51</v>
      </c>
      <c r="I3121" t="s">
        <v>147</v>
      </c>
      <c r="J3121" t="s">
        <v>138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R3121" t="s">
        <v>127</v>
      </c>
      <c r="S3121" t="str">
        <f t="shared" si="1234"/>
        <v>15:13:11.000</v>
      </c>
      <c r="T3121" t="str">
        <f t="shared" si="1234"/>
        <v>15:13:11.000</v>
      </c>
      <c r="U3121" t="str">
        <f t="shared" si="1218"/>
        <v>A68FCB</v>
      </c>
      <c r="V3121">
        <v>0</v>
      </c>
      <c r="W3121">
        <v>0</v>
      </c>
      <c r="X3121">
        <v>2</v>
      </c>
      <c r="Y3121">
        <v>0</v>
      </c>
      <c r="AA3121">
        <v>1</v>
      </c>
      <c r="AB3121">
        <v>8</v>
      </c>
      <c r="AC3121">
        <v>3</v>
      </c>
      <c r="AD3121">
        <v>0</v>
      </c>
      <c r="AE3121">
        <v>9</v>
      </c>
      <c r="AF3121" t="s">
        <v>138</v>
      </c>
      <c r="AG3121">
        <v>0</v>
      </c>
      <c r="AH3121">
        <v>3</v>
      </c>
      <c r="AI3121">
        <v>2</v>
      </c>
      <c r="AJ3121">
        <v>0</v>
      </c>
      <c r="AK3121" t="s">
        <v>1044</v>
      </c>
      <c r="AL3121">
        <v>39.123108000000002</v>
      </c>
      <c r="AM3121" t="s">
        <v>1045</v>
      </c>
      <c r="AN3121">
        <v>-121.03184899999999</v>
      </c>
      <c r="AO3121">
        <v>25</v>
      </c>
      <c r="AP3121">
        <v>4400</v>
      </c>
      <c r="AQ3121" t="s">
        <v>131</v>
      </c>
      <c r="AR3121">
        <v>3</v>
      </c>
      <c r="AS3121">
        <v>84</v>
      </c>
      <c r="AT3121">
        <v>-192</v>
      </c>
      <c r="BB3121" t="str">
        <f t="shared" si="1219"/>
        <v>1200</v>
      </c>
      <c r="BC3121">
        <v>1</v>
      </c>
      <c r="BD3121" t="str">
        <f t="shared" si="1220"/>
        <v xml:space="preserve">N52156  </v>
      </c>
      <c r="BE3121">
        <v>1</v>
      </c>
      <c r="BG3121">
        <v>0</v>
      </c>
      <c r="BH3121">
        <v>0</v>
      </c>
      <c r="BI3121">
        <v>0</v>
      </c>
      <c r="BJ3121">
        <v>4425</v>
      </c>
      <c r="BK3121">
        <v>25</v>
      </c>
      <c r="BL3121" t="s">
        <v>188</v>
      </c>
      <c r="BM3121">
        <v>1</v>
      </c>
      <c r="BN3121">
        <v>1</v>
      </c>
      <c r="BO3121">
        <v>0</v>
      </c>
      <c r="BP3121">
        <v>0</v>
      </c>
      <c r="BS3121">
        <v>0</v>
      </c>
      <c r="BT3121">
        <v>0</v>
      </c>
      <c r="BU3121">
        <v>0</v>
      </c>
      <c r="CE3121" t="str">
        <f t="shared" si="1235"/>
        <v>15:13:11.946</v>
      </c>
      <c r="CF3121">
        <v>946481736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5</v>
      </c>
      <c r="CY3121">
        <v>7</v>
      </c>
      <c r="CZ3121" t="s">
        <v>133</v>
      </c>
      <c r="DA3121">
        <v>275</v>
      </c>
      <c r="DB3121">
        <v>0</v>
      </c>
      <c r="DC3121" t="s">
        <v>134</v>
      </c>
      <c r="DD3121" t="s">
        <v>135</v>
      </c>
      <c r="DG3121">
        <v>3322384</v>
      </c>
      <c r="DI3121">
        <v>1</v>
      </c>
      <c r="DJ3121">
        <v>0</v>
      </c>
      <c r="DK3121">
        <v>1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3">
      <c r="A3122" t="str">
        <f>"05/01/2025 15:13:12.692"</f>
        <v>05/01/2025 15:13:12.692</v>
      </c>
      <c r="C3122" t="str">
        <f t="shared" si="1216"/>
        <v>FFDFD3C0</v>
      </c>
      <c r="D3122" t="s">
        <v>124</v>
      </c>
      <c r="E3122" t="str">
        <f>"06"</f>
        <v>06</v>
      </c>
      <c r="F3122">
        <v>2006</v>
      </c>
      <c r="G3122" t="s">
        <v>125</v>
      </c>
      <c r="J3122" t="s">
        <v>126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R3122" t="s">
        <v>127</v>
      </c>
      <c r="S3122" t="str">
        <f t="shared" ref="S3122:T3127" si="1236">"15:13:12.000"</f>
        <v>15:13:12.000</v>
      </c>
      <c r="T3122" t="str">
        <f t="shared" si="1236"/>
        <v>15:13:12.000</v>
      </c>
      <c r="U3122" t="str">
        <f t="shared" si="1218"/>
        <v>A68FCB</v>
      </c>
      <c r="V3122">
        <v>0</v>
      </c>
      <c r="W3122">
        <v>0</v>
      </c>
      <c r="X3122">
        <v>2</v>
      </c>
      <c r="Y3122">
        <v>0</v>
      </c>
      <c r="AA3122">
        <v>1</v>
      </c>
      <c r="AB3122">
        <v>8</v>
      </c>
      <c r="AC3122">
        <v>3</v>
      </c>
      <c r="AD3122">
        <v>0</v>
      </c>
      <c r="AE3122">
        <v>9</v>
      </c>
      <c r="AF3122" t="s">
        <v>138</v>
      </c>
      <c r="AG3122">
        <v>0</v>
      </c>
      <c r="AH3122">
        <v>3</v>
      </c>
      <c r="AI3122">
        <v>2</v>
      </c>
      <c r="AJ3122">
        <v>0</v>
      </c>
      <c r="AK3122" t="s">
        <v>1046</v>
      </c>
      <c r="AL3122">
        <v>39.123516000000002</v>
      </c>
      <c r="AM3122" t="s">
        <v>1045</v>
      </c>
      <c r="AN3122">
        <v>-121.03184899999999</v>
      </c>
      <c r="AO3122">
        <v>25</v>
      </c>
      <c r="AP3122">
        <v>4400</v>
      </c>
      <c r="AQ3122" t="s">
        <v>131</v>
      </c>
      <c r="AR3122">
        <v>3</v>
      </c>
      <c r="AS3122">
        <v>84</v>
      </c>
      <c r="AT3122">
        <v>-192</v>
      </c>
      <c r="BB3122" t="str">
        <f t="shared" si="1219"/>
        <v>1200</v>
      </c>
      <c r="BC3122">
        <v>1</v>
      </c>
      <c r="BD3122" t="str">
        <f t="shared" si="1220"/>
        <v xml:space="preserve">N52156  </v>
      </c>
      <c r="BE3122">
        <v>1</v>
      </c>
      <c r="BG3122">
        <v>0</v>
      </c>
      <c r="BH3122">
        <v>0</v>
      </c>
      <c r="BI3122">
        <v>0</v>
      </c>
      <c r="BJ3122">
        <v>4425</v>
      </c>
      <c r="BK3122">
        <v>25</v>
      </c>
      <c r="BL3122" t="s">
        <v>188</v>
      </c>
      <c r="BM3122">
        <v>1</v>
      </c>
      <c r="BN3122">
        <v>1</v>
      </c>
      <c r="BO3122">
        <v>0</v>
      </c>
      <c r="BP3122">
        <v>0</v>
      </c>
      <c r="BS3122">
        <v>0</v>
      </c>
      <c r="BT3122">
        <v>0</v>
      </c>
      <c r="BU3122">
        <v>0</v>
      </c>
      <c r="CE3122" t="str">
        <f t="shared" ref="CE3122:CE3127" si="1237">"15:13:12.488"</f>
        <v>15:13:12.488</v>
      </c>
      <c r="CF3122">
        <v>488480617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5</v>
      </c>
      <c r="CY3122">
        <v>7</v>
      </c>
      <c r="CZ3122" t="s">
        <v>133</v>
      </c>
      <c r="DA3122">
        <v>275</v>
      </c>
      <c r="DB3122">
        <v>0</v>
      </c>
      <c r="DC3122" t="s">
        <v>134</v>
      </c>
      <c r="DD3122" t="s">
        <v>135</v>
      </c>
      <c r="DG3122">
        <v>3322388</v>
      </c>
      <c r="DI3122">
        <v>1</v>
      </c>
      <c r="DJ3122">
        <v>0</v>
      </c>
      <c r="DK3122">
        <v>0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3">
      <c r="A3123" t="str">
        <f>"05/01/2025 15:13:12.693"</f>
        <v>05/01/2025 15:13:12.693</v>
      </c>
      <c r="C3123" t="str">
        <f t="shared" si="1216"/>
        <v>FFDFD3C0</v>
      </c>
      <c r="D3123" t="s">
        <v>140</v>
      </c>
      <c r="E3123" t="str">
        <f>"13"</f>
        <v>13</v>
      </c>
      <c r="F3123">
        <v>1019</v>
      </c>
      <c r="G3123" t="s">
        <v>141</v>
      </c>
      <c r="J3123" t="s">
        <v>142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R3123" t="s">
        <v>127</v>
      </c>
      <c r="S3123" t="str">
        <f t="shared" si="1236"/>
        <v>15:13:12.000</v>
      </c>
      <c r="T3123" t="str">
        <f t="shared" si="1236"/>
        <v>15:13:12.000</v>
      </c>
      <c r="U3123" t="str">
        <f t="shared" si="1218"/>
        <v>A68FCB</v>
      </c>
      <c r="V3123">
        <v>0</v>
      </c>
      <c r="W3123">
        <v>0</v>
      </c>
      <c r="X3123">
        <v>2</v>
      </c>
      <c r="Y3123">
        <v>0</v>
      </c>
      <c r="AA3123">
        <v>1</v>
      </c>
      <c r="AB3123">
        <v>8</v>
      </c>
      <c r="AC3123">
        <v>3</v>
      </c>
      <c r="AD3123">
        <v>0</v>
      </c>
      <c r="AE3123">
        <v>9</v>
      </c>
      <c r="AF3123" t="s">
        <v>138</v>
      </c>
      <c r="AG3123">
        <v>0</v>
      </c>
      <c r="AH3123">
        <v>3</v>
      </c>
      <c r="AI3123">
        <v>2</v>
      </c>
      <c r="AJ3123">
        <v>0</v>
      </c>
      <c r="AK3123" t="s">
        <v>1046</v>
      </c>
      <c r="AL3123">
        <v>39.123516000000002</v>
      </c>
      <c r="AM3123" t="s">
        <v>1045</v>
      </c>
      <c r="AN3123">
        <v>-121.03184899999999</v>
      </c>
      <c r="AO3123">
        <v>25</v>
      </c>
      <c r="AP3123">
        <v>4400</v>
      </c>
      <c r="AQ3123" t="s">
        <v>131</v>
      </c>
      <c r="AR3123">
        <v>3</v>
      </c>
      <c r="AS3123">
        <v>84</v>
      </c>
      <c r="AT3123">
        <v>-192</v>
      </c>
      <c r="BB3123" t="str">
        <f t="shared" si="1219"/>
        <v>1200</v>
      </c>
      <c r="BC3123">
        <v>1</v>
      </c>
      <c r="BD3123" t="str">
        <f t="shared" si="1220"/>
        <v xml:space="preserve">N52156  </v>
      </c>
      <c r="BE3123">
        <v>1</v>
      </c>
      <c r="BG3123">
        <v>0</v>
      </c>
      <c r="BH3123">
        <v>0</v>
      </c>
      <c r="BI3123">
        <v>0</v>
      </c>
      <c r="BJ3123">
        <v>4425</v>
      </c>
      <c r="BK3123">
        <v>25</v>
      </c>
      <c r="BL3123" t="s">
        <v>188</v>
      </c>
      <c r="BM3123">
        <v>1</v>
      </c>
      <c r="BN3123">
        <v>1</v>
      </c>
      <c r="BO3123">
        <v>0</v>
      </c>
      <c r="BP3123">
        <v>0</v>
      </c>
      <c r="BS3123">
        <v>0</v>
      </c>
      <c r="BT3123">
        <v>0</v>
      </c>
      <c r="BU3123">
        <v>0</v>
      </c>
      <c r="CE3123" t="str">
        <f t="shared" si="1237"/>
        <v>15:13:12.488</v>
      </c>
      <c r="CF3123">
        <v>488480617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5</v>
      </c>
      <c r="CY3123">
        <v>7</v>
      </c>
      <c r="CZ3123" t="s">
        <v>133</v>
      </c>
      <c r="DA3123">
        <v>275</v>
      </c>
      <c r="DB3123">
        <v>0</v>
      </c>
      <c r="DC3123" t="s">
        <v>134</v>
      </c>
      <c r="DD3123" t="s">
        <v>135</v>
      </c>
      <c r="DG3123">
        <v>3322388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3">
      <c r="A3124" t="str">
        <f>"05/01/2025 15:13:12.706"</f>
        <v>05/01/2025 15:13:12.706</v>
      </c>
      <c r="C3124" t="str">
        <f t="shared" si="1216"/>
        <v>FFDFD3C0</v>
      </c>
      <c r="D3124" t="s">
        <v>145</v>
      </c>
      <c r="E3124" t="str">
        <f>"09"</f>
        <v>09</v>
      </c>
      <c r="H3124">
        <v>51</v>
      </c>
      <c r="I3124" t="s">
        <v>147</v>
      </c>
      <c r="J3124" t="s">
        <v>138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R3124" t="s">
        <v>127</v>
      </c>
      <c r="S3124" t="str">
        <f t="shared" si="1236"/>
        <v>15:13:12.000</v>
      </c>
      <c r="T3124" t="str">
        <f t="shared" si="1236"/>
        <v>15:13:12.000</v>
      </c>
      <c r="U3124" t="str">
        <f t="shared" si="1218"/>
        <v>A68FCB</v>
      </c>
      <c r="V3124">
        <v>0</v>
      </c>
      <c r="W3124">
        <v>0</v>
      </c>
      <c r="X3124">
        <v>2</v>
      </c>
      <c r="Y3124">
        <v>0</v>
      </c>
      <c r="AA3124">
        <v>1</v>
      </c>
      <c r="AB3124">
        <v>8</v>
      </c>
      <c r="AC3124">
        <v>3</v>
      </c>
      <c r="AD3124">
        <v>0</v>
      </c>
      <c r="AE3124">
        <v>9</v>
      </c>
      <c r="AF3124" t="s">
        <v>138</v>
      </c>
      <c r="AG3124">
        <v>0</v>
      </c>
      <c r="AH3124">
        <v>3</v>
      </c>
      <c r="AI3124">
        <v>2</v>
      </c>
      <c r="AJ3124">
        <v>0</v>
      </c>
      <c r="AK3124" t="s">
        <v>1046</v>
      </c>
      <c r="AL3124">
        <v>39.123516000000002</v>
      </c>
      <c r="AM3124" t="s">
        <v>1045</v>
      </c>
      <c r="AN3124">
        <v>-121.03184899999999</v>
      </c>
      <c r="AO3124">
        <v>25</v>
      </c>
      <c r="AP3124">
        <v>4400</v>
      </c>
      <c r="AQ3124" t="s">
        <v>131</v>
      </c>
      <c r="AR3124">
        <v>3</v>
      </c>
      <c r="AS3124">
        <v>84</v>
      </c>
      <c r="AT3124">
        <v>-192</v>
      </c>
      <c r="BB3124" t="str">
        <f t="shared" si="1219"/>
        <v>1200</v>
      </c>
      <c r="BC3124">
        <v>1</v>
      </c>
      <c r="BD3124" t="str">
        <f t="shared" si="1220"/>
        <v xml:space="preserve">N52156  </v>
      </c>
      <c r="BE3124">
        <v>1</v>
      </c>
      <c r="BG3124">
        <v>0</v>
      </c>
      <c r="BH3124">
        <v>0</v>
      </c>
      <c r="BI3124">
        <v>0</v>
      </c>
      <c r="BJ3124">
        <v>4425</v>
      </c>
      <c r="BK3124">
        <v>25</v>
      </c>
      <c r="BL3124" t="s">
        <v>188</v>
      </c>
      <c r="BM3124">
        <v>1</v>
      </c>
      <c r="BN3124">
        <v>1</v>
      </c>
      <c r="BO3124">
        <v>0</v>
      </c>
      <c r="BP3124">
        <v>0</v>
      </c>
      <c r="BS3124">
        <v>0</v>
      </c>
      <c r="BT3124">
        <v>0</v>
      </c>
      <c r="BU3124">
        <v>0</v>
      </c>
      <c r="CE3124" t="str">
        <f t="shared" si="1237"/>
        <v>15:13:12.488</v>
      </c>
      <c r="CF3124">
        <v>488480617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5</v>
      </c>
      <c r="CY3124">
        <v>7</v>
      </c>
      <c r="CZ3124" t="s">
        <v>133</v>
      </c>
      <c r="DA3124">
        <v>275</v>
      </c>
      <c r="DB3124">
        <v>0</v>
      </c>
      <c r="DC3124" t="s">
        <v>134</v>
      </c>
      <c r="DD3124" t="s">
        <v>135</v>
      </c>
      <c r="DG3124">
        <v>3322388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3">
      <c r="A3125" t="str">
        <f>"05/01/2025 15:13:12.708"</f>
        <v>05/01/2025 15:13:12.708</v>
      </c>
      <c r="C3125" t="str">
        <f t="shared" si="1216"/>
        <v>FFDFD3C0</v>
      </c>
      <c r="D3125" t="s">
        <v>145</v>
      </c>
      <c r="E3125" t="str">
        <f>"05"</f>
        <v>05</v>
      </c>
      <c r="H3125">
        <v>47</v>
      </c>
      <c r="I3125" t="s">
        <v>146</v>
      </c>
      <c r="J3125" t="s">
        <v>138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R3125" t="s">
        <v>127</v>
      </c>
      <c r="S3125" t="str">
        <f t="shared" si="1236"/>
        <v>15:13:12.000</v>
      </c>
      <c r="T3125" t="str">
        <f t="shared" si="1236"/>
        <v>15:13:12.000</v>
      </c>
      <c r="U3125" t="str">
        <f t="shared" si="1218"/>
        <v>A68FCB</v>
      </c>
      <c r="V3125">
        <v>0</v>
      </c>
      <c r="W3125">
        <v>0</v>
      </c>
      <c r="X3125">
        <v>2</v>
      </c>
      <c r="Y3125">
        <v>0</v>
      </c>
      <c r="AA3125">
        <v>1</v>
      </c>
      <c r="AB3125">
        <v>8</v>
      </c>
      <c r="AC3125">
        <v>3</v>
      </c>
      <c r="AD3125">
        <v>0</v>
      </c>
      <c r="AE3125">
        <v>9</v>
      </c>
      <c r="AF3125" t="s">
        <v>138</v>
      </c>
      <c r="AG3125">
        <v>0</v>
      </c>
      <c r="AH3125">
        <v>3</v>
      </c>
      <c r="AI3125">
        <v>2</v>
      </c>
      <c r="AJ3125">
        <v>0</v>
      </c>
      <c r="AK3125" t="s">
        <v>1046</v>
      </c>
      <c r="AL3125">
        <v>39.123516000000002</v>
      </c>
      <c r="AM3125" t="s">
        <v>1045</v>
      </c>
      <c r="AN3125">
        <v>-121.03184899999999</v>
      </c>
      <c r="AO3125">
        <v>25</v>
      </c>
      <c r="AP3125">
        <v>4400</v>
      </c>
      <c r="AQ3125" t="s">
        <v>131</v>
      </c>
      <c r="AR3125">
        <v>3</v>
      </c>
      <c r="AS3125">
        <v>84</v>
      </c>
      <c r="AT3125">
        <v>-192</v>
      </c>
      <c r="BB3125" t="str">
        <f t="shared" si="1219"/>
        <v>1200</v>
      </c>
      <c r="BC3125">
        <v>1</v>
      </c>
      <c r="BD3125" t="str">
        <f t="shared" si="1220"/>
        <v xml:space="preserve">N52156  </v>
      </c>
      <c r="BE3125">
        <v>1</v>
      </c>
      <c r="BG3125">
        <v>0</v>
      </c>
      <c r="BH3125">
        <v>0</v>
      </c>
      <c r="BI3125">
        <v>0</v>
      </c>
      <c r="BJ3125">
        <v>4425</v>
      </c>
      <c r="BK3125">
        <v>25</v>
      </c>
      <c r="BL3125" t="s">
        <v>188</v>
      </c>
      <c r="BM3125">
        <v>1</v>
      </c>
      <c r="BN3125">
        <v>1</v>
      </c>
      <c r="BO3125">
        <v>0</v>
      </c>
      <c r="BP3125">
        <v>0</v>
      </c>
      <c r="BS3125">
        <v>0</v>
      </c>
      <c r="BT3125">
        <v>0</v>
      </c>
      <c r="BU3125">
        <v>0</v>
      </c>
      <c r="CE3125" t="str">
        <f t="shared" si="1237"/>
        <v>15:13:12.488</v>
      </c>
      <c r="CF3125">
        <v>488480617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5</v>
      </c>
      <c r="CY3125">
        <v>7</v>
      </c>
      <c r="CZ3125" t="s">
        <v>133</v>
      </c>
      <c r="DA3125">
        <v>275</v>
      </c>
      <c r="DB3125">
        <v>0</v>
      </c>
      <c r="DC3125" t="s">
        <v>134</v>
      </c>
      <c r="DD3125" t="s">
        <v>135</v>
      </c>
      <c r="DG3125">
        <v>3322388</v>
      </c>
      <c r="DI3125">
        <v>1</v>
      </c>
      <c r="DJ3125">
        <v>0</v>
      </c>
      <c r="DK3125">
        <v>1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3">
      <c r="A3126" t="str">
        <f>"05/01/2025 15:13:12.719"</f>
        <v>05/01/2025 15:13:12.719</v>
      </c>
      <c r="C3126" t="str">
        <f t="shared" si="1216"/>
        <v>FFDFD3C0</v>
      </c>
      <c r="D3126" t="s">
        <v>136</v>
      </c>
      <c r="E3126" t="str">
        <f>"20"</f>
        <v>20</v>
      </c>
      <c r="H3126">
        <v>400</v>
      </c>
      <c r="I3126" t="s">
        <v>137</v>
      </c>
      <c r="J3126" t="s">
        <v>138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R3126" t="s">
        <v>127</v>
      </c>
      <c r="S3126" t="str">
        <f t="shared" si="1236"/>
        <v>15:13:12.000</v>
      </c>
      <c r="T3126" t="str">
        <f t="shared" si="1236"/>
        <v>15:13:12.000</v>
      </c>
      <c r="U3126" t="str">
        <f t="shared" si="1218"/>
        <v>A68FCB</v>
      </c>
      <c r="V3126">
        <v>0</v>
      </c>
      <c r="W3126">
        <v>0</v>
      </c>
      <c r="X3126">
        <v>2</v>
      </c>
      <c r="Y3126">
        <v>0</v>
      </c>
      <c r="AA3126">
        <v>1</v>
      </c>
      <c r="AB3126">
        <v>8</v>
      </c>
      <c r="AC3126">
        <v>3</v>
      </c>
      <c r="AD3126">
        <v>0</v>
      </c>
      <c r="AE3126">
        <v>9</v>
      </c>
      <c r="AF3126" t="s">
        <v>138</v>
      </c>
      <c r="AG3126">
        <v>0</v>
      </c>
      <c r="AH3126">
        <v>3</v>
      </c>
      <c r="AI3126">
        <v>2</v>
      </c>
      <c r="AJ3126">
        <v>0</v>
      </c>
      <c r="AK3126" t="s">
        <v>1046</v>
      </c>
      <c r="AL3126">
        <v>39.123516000000002</v>
      </c>
      <c r="AM3126" t="s">
        <v>1045</v>
      </c>
      <c r="AN3126">
        <v>-121.03184899999999</v>
      </c>
      <c r="AO3126">
        <v>25</v>
      </c>
      <c r="AP3126">
        <v>4400</v>
      </c>
      <c r="AQ3126" t="s">
        <v>131</v>
      </c>
      <c r="AR3126">
        <v>3</v>
      </c>
      <c r="AS3126">
        <v>84</v>
      </c>
      <c r="AT3126">
        <v>-192</v>
      </c>
      <c r="BB3126" t="str">
        <f t="shared" si="1219"/>
        <v>1200</v>
      </c>
      <c r="BC3126">
        <v>1</v>
      </c>
      <c r="BD3126" t="str">
        <f t="shared" si="1220"/>
        <v xml:space="preserve">N52156  </v>
      </c>
      <c r="BE3126">
        <v>1</v>
      </c>
      <c r="BG3126">
        <v>0</v>
      </c>
      <c r="BH3126">
        <v>0</v>
      </c>
      <c r="BI3126">
        <v>0</v>
      </c>
      <c r="BJ3126">
        <v>4425</v>
      </c>
      <c r="BK3126">
        <v>25</v>
      </c>
      <c r="BL3126" t="s">
        <v>188</v>
      </c>
      <c r="BM3126">
        <v>1</v>
      </c>
      <c r="BN3126">
        <v>1</v>
      </c>
      <c r="BO3126">
        <v>0</v>
      </c>
      <c r="BP3126">
        <v>0</v>
      </c>
      <c r="BS3126">
        <v>0</v>
      </c>
      <c r="BT3126">
        <v>0</v>
      </c>
      <c r="BU3126">
        <v>0</v>
      </c>
      <c r="CE3126" t="str">
        <f t="shared" si="1237"/>
        <v>15:13:12.488</v>
      </c>
      <c r="CF3126">
        <v>488480617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5</v>
      </c>
      <c r="CY3126">
        <v>7</v>
      </c>
      <c r="CZ3126" t="s">
        <v>133</v>
      </c>
      <c r="DA3126">
        <v>275</v>
      </c>
      <c r="DB3126">
        <v>0</v>
      </c>
      <c r="DC3126" t="s">
        <v>134</v>
      </c>
      <c r="DD3126" t="s">
        <v>135</v>
      </c>
      <c r="DG3126">
        <v>3322388</v>
      </c>
      <c r="DI3126">
        <v>1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3">
      <c r="A3127" t="str">
        <f>"05/01/2025 15:13:12.729"</f>
        <v>05/01/2025 15:13:12.729</v>
      </c>
      <c r="C3127" t="str">
        <f t="shared" si="1216"/>
        <v>FFDFD3C0</v>
      </c>
      <c r="D3127" t="s">
        <v>143</v>
      </c>
      <c r="E3127" t="str">
        <f>"05"</f>
        <v>05</v>
      </c>
      <c r="H3127">
        <v>172</v>
      </c>
      <c r="I3127" t="s">
        <v>141</v>
      </c>
      <c r="J3127" t="s">
        <v>144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R3127" t="s">
        <v>127</v>
      </c>
      <c r="S3127" t="str">
        <f t="shared" si="1236"/>
        <v>15:13:12.000</v>
      </c>
      <c r="T3127" t="str">
        <f t="shared" si="1236"/>
        <v>15:13:12.000</v>
      </c>
      <c r="U3127" t="str">
        <f t="shared" si="1218"/>
        <v>A68FCB</v>
      </c>
      <c r="V3127">
        <v>0</v>
      </c>
      <c r="W3127">
        <v>0</v>
      </c>
      <c r="X3127">
        <v>2</v>
      </c>
      <c r="Y3127">
        <v>0</v>
      </c>
      <c r="AA3127">
        <v>1</v>
      </c>
      <c r="AB3127">
        <v>8</v>
      </c>
      <c r="AC3127">
        <v>3</v>
      </c>
      <c r="AD3127">
        <v>0</v>
      </c>
      <c r="AE3127">
        <v>9</v>
      </c>
      <c r="AF3127" t="s">
        <v>138</v>
      </c>
      <c r="AG3127">
        <v>0</v>
      </c>
      <c r="AH3127">
        <v>3</v>
      </c>
      <c r="AI3127">
        <v>2</v>
      </c>
      <c r="AJ3127">
        <v>0</v>
      </c>
      <c r="AK3127" t="s">
        <v>1046</v>
      </c>
      <c r="AL3127">
        <v>39.123516000000002</v>
      </c>
      <c r="AM3127" t="s">
        <v>1045</v>
      </c>
      <c r="AN3127">
        <v>-121.03184899999999</v>
      </c>
      <c r="AO3127">
        <v>25</v>
      </c>
      <c r="AP3127">
        <v>4400</v>
      </c>
      <c r="AQ3127" t="s">
        <v>131</v>
      </c>
      <c r="AR3127">
        <v>3</v>
      </c>
      <c r="AS3127">
        <v>84</v>
      </c>
      <c r="AT3127">
        <v>-192</v>
      </c>
      <c r="BB3127" t="str">
        <f t="shared" si="1219"/>
        <v>1200</v>
      </c>
      <c r="BC3127">
        <v>1</v>
      </c>
      <c r="BD3127" t="str">
        <f t="shared" si="1220"/>
        <v xml:space="preserve">N52156  </v>
      </c>
      <c r="BE3127">
        <v>1</v>
      </c>
      <c r="BG3127">
        <v>0</v>
      </c>
      <c r="BH3127">
        <v>0</v>
      </c>
      <c r="BI3127">
        <v>0</v>
      </c>
      <c r="BJ3127">
        <v>4425</v>
      </c>
      <c r="BK3127">
        <v>25</v>
      </c>
      <c r="BL3127" t="s">
        <v>188</v>
      </c>
      <c r="BM3127">
        <v>1</v>
      </c>
      <c r="BN3127">
        <v>1</v>
      </c>
      <c r="BO3127">
        <v>0</v>
      </c>
      <c r="BP3127">
        <v>0</v>
      </c>
      <c r="BS3127">
        <v>0</v>
      </c>
      <c r="BT3127">
        <v>0</v>
      </c>
      <c r="BU3127">
        <v>0</v>
      </c>
      <c r="CE3127" t="str">
        <f t="shared" si="1237"/>
        <v>15:13:12.488</v>
      </c>
      <c r="CF3127">
        <v>488480617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5</v>
      </c>
      <c r="CY3127">
        <v>7</v>
      </c>
      <c r="CZ3127" t="s">
        <v>133</v>
      </c>
      <c r="DA3127">
        <v>275</v>
      </c>
      <c r="DB3127">
        <v>0</v>
      </c>
      <c r="DC3127" t="s">
        <v>134</v>
      </c>
      <c r="DD3127" t="s">
        <v>135</v>
      </c>
      <c r="DG3127">
        <v>3322388</v>
      </c>
      <c r="DI3127">
        <v>1</v>
      </c>
      <c r="DJ3127">
        <v>0</v>
      </c>
      <c r="DK3127">
        <v>1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3">
      <c r="A3128" t="str">
        <f>"05/01/2025 15:13:14.044"</f>
        <v>05/01/2025 15:13:14.044</v>
      </c>
      <c r="C3128" t="str">
        <f t="shared" si="1216"/>
        <v>FFDFD3C0</v>
      </c>
      <c r="D3128" t="s">
        <v>124</v>
      </c>
      <c r="E3128" t="str">
        <f>"06"</f>
        <v>06</v>
      </c>
      <c r="F3128">
        <v>2006</v>
      </c>
      <c r="G3128" t="s">
        <v>125</v>
      </c>
      <c r="J3128" t="s">
        <v>126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R3128" t="s">
        <v>127</v>
      </c>
      <c r="S3128" t="str">
        <f t="shared" ref="S3128:T3133" si="1238">"15:13:13.000"</f>
        <v>15:13:13.000</v>
      </c>
      <c r="T3128" t="str">
        <f t="shared" si="1238"/>
        <v>15:13:13.000</v>
      </c>
      <c r="U3128" t="str">
        <f t="shared" si="1218"/>
        <v>A68FCB</v>
      </c>
      <c r="V3128">
        <v>0</v>
      </c>
      <c r="W3128">
        <v>0</v>
      </c>
      <c r="X3128">
        <v>2</v>
      </c>
      <c r="Y3128">
        <v>0</v>
      </c>
      <c r="AA3128">
        <v>1</v>
      </c>
      <c r="AB3128">
        <v>8</v>
      </c>
      <c r="AC3128">
        <v>3</v>
      </c>
      <c r="AD3128">
        <v>0</v>
      </c>
      <c r="AE3128">
        <v>9</v>
      </c>
      <c r="AF3128" t="s">
        <v>138</v>
      </c>
      <c r="AG3128">
        <v>0</v>
      </c>
      <c r="AH3128">
        <v>3</v>
      </c>
      <c r="AI3128">
        <v>2</v>
      </c>
      <c r="AJ3128">
        <v>0</v>
      </c>
      <c r="AK3128" t="s">
        <v>1047</v>
      </c>
      <c r="AL3128">
        <v>39.123902000000001</v>
      </c>
      <c r="AM3128" t="s">
        <v>1048</v>
      </c>
      <c r="AN3128">
        <v>-121.031806</v>
      </c>
      <c r="AO3128">
        <v>25</v>
      </c>
      <c r="AP3128">
        <v>4400</v>
      </c>
      <c r="AQ3128" t="s">
        <v>131</v>
      </c>
      <c r="AR3128">
        <v>3</v>
      </c>
      <c r="AS3128">
        <v>84</v>
      </c>
      <c r="AT3128">
        <v>-256</v>
      </c>
      <c r="BB3128" t="str">
        <f t="shared" si="1219"/>
        <v>1200</v>
      </c>
      <c r="BC3128">
        <v>1</v>
      </c>
      <c r="BD3128" t="str">
        <f t="shared" si="1220"/>
        <v xml:space="preserve">N52156  </v>
      </c>
      <c r="BE3128">
        <v>1</v>
      </c>
      <c r="BG3128">
        <v>0</v>
      </c>
      <c r="BH3128">
        <v>0</v>
      </c>
      <c r="BI3128">
        <v>0</v>
      </c>
      <c r="BJ3128">
        <v>4400</v>
      </c>
      <c r="BK3128">
        <v>0</v>
      </c>
      <c r="BL3128" t="s">
        <v>188</v>
      </c>
      <c r="BM3128">
        <v>1</v>
      </c>
      <c r="BN3128">
        <v>1</v>
      </c>
      <c r="BO3128">
        <v>0</v>
      </c>
      <c r="BP3128">
        <v>0</v>
      </c>
      <c r="BS3128">
        <v>0</v>
      </c>
      <c r="BT3128">
        <v>0</v>
      </c>
      <c r="BU3128">
        <v>0</v>
      </c>
      <c r="CE3128" t="str">
        <f t="shared" ref="CE3128:CE3133" si="1239">"15:13:13.837"</f>
        <v>15:13:13.837</v>
      </c>
      <c r="CF3128">
        <v>837481593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5</v>
      </c>
      <c r="CY3128">
        <v>7</v>
      </c>
      <c r="CZ3128" t="s">
        <v>133</v>
      </c>
      <c r="DA3128">
        <v>275</v>
      </c>
      <c r="DB3128">
        <v>0</v>
      </c>
      <c r="DC3128" t="s">
        <v>134</v>
      </c>
      <c r="DD3128" t="s">
        <v>135</v>
      </c>
      <c r="DG3128">
        <v>3322396</v>
      </c>
      <c r="DI3128">
        <v>1</v>
      </c>
      <c r="DJ3128">
        <v>0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3">
      <c r="A3129" t="str">
        <f>"05/01/2025 15:13:14.045"</f>
        <v>05/01/2025 15:13:14.045</v>
      </c>
      <c r="C3129" t="str">
        <f t="shared" si="1216"/>
        <v>FFDFD3C0</v>
      </c>
      <c r="D3129" t="s">
        <v>140</v>
      </c>
      <c r="E3129" t="str">
        <f>"13"</f>
        <v>13</v>
      </c>
      <c r="F3129">
        <v>1019</v>
      </c>
      <c r="G3129" t="s">
        <v>141</v>
      </c>
      <c r="J3129" t="s">
        <v>142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R3129" t="s">
        <v>127</v>
      </c>
      <c r="S3129" t="str">
        <f t="shared" si="1238"/>
        <v>15:13:13.000</v>
      </c>
      <c r="T3129" t="str">
        <f t="shared" si="1238"/>
        <v>15:13:13.000</v>
      </c>
      <c r="U3129" t="str">
        <f t="shared" si="1218"/>
        <v>A68FCB</v>
      </c>
      <c r="V3129">
        <v>0</v>
      </c>
      <c r="W3129">
        <v>0</v>
      </c>
      <c r="X3129">
        <v>2</v>
      </c>
      <c r="Y3129">
        <v>0</v>
      </c>
      <c r="AA3129">
        <v>1</v>
      </c>
      <c r="AB3129">
        <v>8</v>
      </c>
      <c r="AC3129">
        <v>3</v>
      </c>
      <c r="AD3129">
        <v>0</v>
      </c>
      <c r="AE3129">
        <v>9</v>
      </c>
      <c r="AF3129" t="s">
        <v>138</v>
      </c>
      <c r="AG3129">
        <v>0</v>
      </c>
      <c r="AH3129">
        <v>3</v>
      </c>
      <c r="AI3129">
        <v>2</v>
      </c>
      <c r="AJ3129">
        <v>0</v>
      </c>
      <c r="AK3129" t="s">
        <v>1047</v>
      </c>
      <c r="AL3129">
        <v>39.123902000000001</v>
      </c>
      <c r="AM3129" t="s">
        <v>1048</v>
      </c>
      <c r="AN3129">
        <v>-121.031806</v>
      </c>
      <c r="AO3129">
        <v>25</v>
      </c>
      <c r="AP3129">
        <v>4400</v>
      </c>
      <c r="AQ3129" t="s">
        <v>131</v>
      </c>
      <c r="AR3129">
        <v>3</v>
      </c>
      <c r="AS3129">
        <v>84</v>
      </c>
      <c r="AT3129">
        <v>-256</v>
      </c>
      <c r="BB3129" t="str">
        <f t="shared" si="1219"/>
        <v>1200</v>
      </c>
      <c r="BC3129">
        <v>1</v>
      </c>
      <c r="BD3129" t="str">
        <f t="shared" si="1220"/>
        <v xml:space="preserve">N52156  </v>
      </c>
      <c r="BE3129">
        <v>1</v>
      </c>
      <c r="BG3129">
        <v>0</v>
      </c>
      <c r="BH3129">
        <v>0</v>
      </c>
      <c r="BI3129">
        <v>0</v>
      </c>
      <c r="BJ3129">
        <v>4400</v>
      </c>
      <c r="BK3129">
        <v>0</v>
      </c>
      <c r="BL3129" t="s">
        <v>188</v>
      </c>
      <c r="BM3129">
        <v>1</v>
      </c>
      <c r="BN3129">
        <v>1</v>
      </c>
      <c r="BO3129">
        <v>0</v>
      </c>
      <c r="BP3129">
        <v>0</v>
      </c>
      <c r="BS3129">
        <v>0</v>
      </c>
      <c r="BT3129">
        <v>0</v>
      </c>
      <c r="BU3129">
        <v>0</v>
      </c>
      <c r="CE3129" t="str">
        <f t="shared" si="1239"/>
        <v>15:13:13.837</v>
      </c>
      <c r="CF3129">
        <v>837481593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5</v>
      </c>
      <c r="CY3129">
        <v>7</v>
      </c>
      <c r="CZ3129" t="s">
        <v>133</v>
      </c>
      <c r="DA3129">
        <v>275</v>
      </c>
      <c r="DB3129">
        <v>0</v>
      </c>
      <c r="DC3129" t="s">
        <v>134</v>
      </c>
      <c r="DD3129" t="s">
        <v>135</v>
      </c>
      <c r="DG3129">
        <v>3322396</v>
      </c>
      <c r="DI3129">
        <v>1</v>
      </c>
      <c r="DJ3129">
        <v>0</v>
      </c>
      <c r="DK3129">
        <v>1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3">
      <c r="A3130" t="str">
        <f>"05/01/2025 15:13:14.059"</f>
        <v>05/01/2025 15:13:14.059</v>
      </c>
      <c r="C3130" t="str">
        <f t="shared" si="1216"/>
        <v>FFDFD3C0</v>
      </c>
      <c r="D3130" t="s">
        <v>145</v>
      </c>
      <c r="E3130" t="str">
        <f>"09"</f>
        <v>09</v>
      </c>
      <c r="H3130">
        <v>51</v>
      </c>
      <c r="I3130" t="s">
        <v>147</v>
      </c>
      <c r="J3130" t="s">
        <v>138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R3130" t="s">
        <v>127</v>
      </c>
      <c r="S3130" t="str">
        <f t="shared" si="1238"/>
        <v>15:13:13.000</v>
      </c>
      <c r="T3130" t="str">
        <f t="shared" si="1238"/>
        <v>15:13:13.000</v>
      </c>
      <c r="U3130" t="str">
        <f t="shared" si="1218"/>
        <v>A68FCB</v>
      </c>
      <c r="V3130">
        <v>0</v>
      </c>
      <c r="W3130">
        <v>0</v>
      </c>
      <c r="X3130">
        <v>2</v>
      </c>
      <c r="Y3130">
        <v>0</v>
      </c>
      <c r="AA3130">
        <v>1</v>
      </c>
      <c r="AB3130">
        <v>8</v>
      </c>
      <c r="AC3130">
        <v>3</v>
      </c>
      <c r="AD3130">
        <v>0</v>
      </c>
      <c r="AE3130">
        <v>9</v>
      </c>
      <c r="AF3130" t="s">
        <v>138</v>
      </c>
      <c r="AG3130">
        <v>0</v>
      </c>
      <c r="AH3130">
        <v>3</v>
      </c>
      <c r="AI3130">
        <v>2</v>
      </c>
      <c r="AJ3130">
        <v>0</v>
      </c>
      <c r="AK3130" t="s">
        <v>1047</v>
      </c>
      <c r="AL3130">
        <v>39.123902000000001</v>
      </c>
      <c r="AM3130" t="s">
        <v>1048</v>
      </c>
      <c r="AN3130">
        <v>-121.031806</v>
      </c>
      <c r="AO3130">
        <v>25</v>
      </c>
      <c r="AP3130">
        <v>4400</v>
      </c>
      <c r="AQ3130" t="s">
        <v>131</v>
      </c>
      <c r="AR3130">
        <v>3</v>
      </c>
      <c r="AS3130">
        <v>84</v>
      </c>
      <c r="AT3130">
        <v>-256</v>
      </c>
      <c r="BB3130" t="str">
        <f t="shared" si="1219"/>
        <v>1200</v>
      </c>
      <c r="BC3130">
        <v>1</v>
      </c>
      <c r="BD3130" t="str">
        <f t="shared" si="1220"/>
        <v xml:space="preserve">N52156  </v>
      </c>
      <c r="BE3130">
        <v>1</v>
      </c>
      <c r="BG3130">
        <v>0</v>
      </c>
      <c r="BH3130">
        <v>0</v>
      </c>
      <c r="BI3130">
        <v>0</v>
      </c>
      <c r="BJ3130">
        <v>4400</v>
      </c>
      <c r="BK3130">
        <v>0</v>
      </c>
      <c r="BL3130" t="s">
        <v>188</v>
      </c>
      <c r="BM3130">
        <v>1</v>
      </c>
      <c r="BN3130">
        <v>1</v>
      </c>
      <c r="BO3130">
        <v>0</v>
      </c>
      <c r="BP3130">
        <v>0</v>
      </c>
      <c r="BS3130">
        <v>0</v>
      </c>
      <c r="BT3130">
        <v>0</v>
      </c>
      <c r="BU3130">
        <v>0</v>
      </c>
      <c r="CE3130" t="str">
        <f t="shared" si="1239"/>
        <v>15:13:13.837</v>
      </c>
      <c r="CF3130">
        <v>837481593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5</v>
      </c>
      <c r="CY3130">
        <v>7</v>
      </c>
      <c r="CZ3130" t="s">
        <v>133</v>
      </c>
      <c r="DA3130">
        <v>275</v>
      </c>
      <c r="DB3130">
        <v>0</v>
      </c>
      <c r="DC3130" t="s">
        <v>134</v>
      </c>
      <c r="DD3130" t="s">
        <v>135</v>
      </c>
      <c r="DG3130">
        <v>3322396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3">
      <c r="A3131" t="str">
        <f>"05/01/2025 15:13:14.060"</f>
        <v>05/01/2025 15:13:14.060</v>
      </c>
      <c r="C3131" t="str">
        <f t="shared" si="1216"/>
        <v>FFDFD3C0</v>
      </c>
      <c r="D3131" t="s">
        <v>145</v>
      </c>
      <c r="E3131" t="str">
        <f>"05"</f>
        <v>05</v>
      </c>
      <c r="H3131">
        <v>47</v>
      </c>
      <c r="I3131" t="s">
        <v>146</v>
      </c>
      <c r="J3131" t="s">
        <v>138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R3131" t="s">
        <v>127</v>
      </c>
      <c r="S3131" t="str">
        <f t="shared" si="1238"/>
        <v>15:13:13.000</v>
      </c>
      <c r="T3131" t="str">
        <f t="shared" si="1238"/>
        <v>15:13:13.000</v>
      </c>
      <c r="U3131" t="str">
        <f t="shared" si="1218"/>
        <v>A68FCB</v>
      </c>
      <c r="V3131">
        <v>0</v>
      </c>
      <c r="W3131">
        <v>0</v>
      </c>
      <c r="X3131">
        <v>2</v>
      </c>
      <c r="Y3131">
        <v>0</v>
      </c>
      <c r="AA3131">
        <v>1</v>
      </c>
      <c r="AB3131">
        <v>8</v>
      </c>
      <c r="AC3131">
        <v>3</v>
      </c>
      <c r="AD3131">
        <v>0</v>
      </c>
      <c r="AE3131">
        <v>9</v>
      </c>
      <c r="AF3131" t="s">
        <v>138</v>
      </c>
      <c r="AG3131">
        <v>0</v>
      </c>
      <c r="AH3131">
        <v>3</v>
      </c>
      <c r="AI3131">
        <v>2</v>
      </c>
      <c r="AJ3131">
        <v>0</v>
      </c>
      <c r="AK3131" t="s">
        <v>1047</v>
      </c>
      <c r="AL3131">
        <v>39.123902000000001</v>
      </c>
      <c r="AM3131" t="s">
        <v>1048</v>
      </c>
      <c r="AN3131">
        <v>-121.031806</v>
      </c>
      <c r="AO3131">
        <v>25</v>
      </c>
      <c r="AP3131">
        <v>4400</v>
      </c>
      <c r="AQ3131" t="s">
        <v>131</v>
      </c>
      <c r="AR3131">
        <v>3</v>
      </c>
      <c r="AS3131">
        <v>84</v>
      </c>
      <c r="AT3131">
        <v>-256</v>
      </c>
      <c r="BB3131" t="str">
        <f t="shared" si="1219"/>
        <v>1200</v>
      </c>
      <c r="BC3131">
        <v>1</v>
      </c>
      <c r="BD3131" t="str">
        <f t="shared" si="1220"/>
        <v xml:space="preserve">N52156  </v>
      </c>
      <c r="BE3131">
        <v>1</v>
      </c>
      <c r="BG3131">
        <v>0</v>
      </c>
      <c r="BH3131">
        <v>0</v>
      </c>
      <c r="BI3131">
        <v>0</v>
      </c>
      <c r="BJ3131">
        <v>4400</v>
      </c>
      <c r="BK3131">
        <v>0</v>
      </c>
      <c r="BL3131" t="s">
        <v>188</v>
      </c>
      <c r="BM3131">
        <v>1</v>
      </c>
      <c r="BN3131">
        <v>1</v>
      </c>
      <c r="BO3131">
        <v>0</v>
      </c>
      <c r="BP3131">
        <v>0</v>
      </c>
      <c r="BS3131">
        <v>0</v>
      </c>
      <c r="BT3131">
        <v>0</v>
      </c>
      <c r="BU3131">
        <v>0</v>
      </c>
      <c r="CE3131" t="str">
        <f t="shared" si="1239"/>
        <v>15:13:13.837</v>
      </c>
      <c r="CF3131">
        <v>837481593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5</v>
      </c>
      <c r="CY3131">
        <v>7</v>
      </c>
      <c r="CZ3131" t="s">
        <v>133</v>
      </c>
      <c r="DA3131">
        <v>275</v>
      </c>
      <c r="DB3131">
        <v>0</v>
      </c>
      <c r="DC3131" t="s">
        <v>134</v>
      </c>
      <c r="DD3131" t="s">
        <v>135</v>
      </c>
      <c r="DG3131">
        <v>3322396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3">
      <c r="A3132" t="str">
        <f>"05/01/2025 15:13:14.071"</f>
        <v>05/01/2025 15:13:14.071</v>
      </c>
      <c r="C3132" t="str">
        <f t="shared" si="1216"/>
        <v>FFDFD3C0</v>
      </c>
      <c r="D3132" t="s">
        <v>136</v>
      </c>
      <c r="E3132" t="str">
        <f>"20"</f>
        <v>20</v>
      </c>
      <c r="H3132">
        <v>400</v>
      </c>
      <c r="I3132" t="s">
        <v>137</v>
      </c>
      <c r="J3132" t="s">
        <v>138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R3132" t="s">
        <v>127</v>
      </c>
      <c r="S3132" t="str">
        <f t="shared" si="1238"/>
        <v>15:13:13.000</v>
      </c>
      <c r="T3132" t="str">
        <f t="shared" si="1238"/>
        <v>15:13:13.000</v>
      </c>
      <c r="U3132" t="str">
        <f t="shared" si="1218"/>
        <v>A68FCB</v>
      </c>
      <c r="V3132">
        <v>0</v>
      </c>
      <c r="W3132">
        <v>0</v>
      </c>
      <c r="X3132">
        <v>2</v>
      </c>
      <c r="Y3132">
        <v>0</v>
      </c>
      <c r="AA3132">
        <v>1</v>
      </c>
      <c r="AB3132">
        <v>8</v>
      </c>
      <c r="AC3132">
        <v>3</v>
      </c>
      <c r="AD3132">
        <v>0</v>
      </c>
      <c r="AE3132">
        <v>9</v>
      </c>
      <c r="AF3132" t="s">
        <v>138</v>
      </c>
      <c r="AG3132">
        <v>0</v>
      </c>
      <c r="AH3132">
        <v>3</v>
      </c>
      <c r="AI3132">
        <v>2</v>
      </c>
      <c r="AJ3132">
        <v>0</v>
      </c>
      <c r="AK3132" t="s">
        <v>1047</v>
      </c>
      <c r="AL3132">
        <v>39.123902000000001</v>
      </c>
      <c r="AM3132" t="s">
        <v>1048</v>
      </c>
      <c r="AN3132">
        <v>-121.031806</v>
      </c>
      <c r="AO3132">
        <v>25</v>
      </c>
      <c r="AP3132">
        <v>4400</v>
      </c>
      <c r="AQ3132" t="s">
        <v>131</v>
      </c>
      <c r="AR3132">
        <v>3</v>
      </c>
      <c r="AS3132">
        <v>84</v>
      </c>
      <c r="AT3132">
        <v>-256</v>
      </c>
      <c r="BB3132" t="str">
        <f t="shared" si="1219"/>
        <v>1200</v>
      </c>
      <c r="BC3132">
        <v>1</v>
      </c>
      <c r="BD3132" t="str">
        <f t="shared" si="1220"/>
        <v xml:space="preserve">N52156  </v>
      </c>
      <c r="BE3132">
        <v>1</v>
      </c>
      <c r="BG3132">
        <v>0</v>
      </c>
      <c r="BH3132">
        <v>0</v>
      </c>
      <c r="BI3132">
        <v>0</v>
      </c>
      <c r="BJ3132">
        <v>4400</v>
      </c>
      <c r="BK3132">
        <v>0</v>
      </c>
      <c r="BL3132" t="s">
        <v>188</v>
      </c>
      <c r="BM3132">
        <v>1</v>
      </c>
      <c r="BN3132">
        <v>1</v>
      </c>
      <c r="BO3132">
        <v>0</v>
      </c>
      <c r="BP3132">
        <v>0</v>
      </c>
      <c r="BS3132">
        <v>0</v>
      </c>
      <c r="BT3132">
        <v>0</v>
      </c>
      <c r="BU3132">
        <v>0</v>
      </c>
      <c r="CE3132" t="str">
        <f t="shared" si="1239"/>
        <v>15:13:13.837</v>
      </c>
      <c r="CF3132">
        <v>837481593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5</v>
      </c>
      <c r="CY3132">
        <v>7</v>
      </c>
      <c r="CZ3132" t="s">
        <v>133</v>
      </c>
      <c r="DA3132">
        <v>275</v>
      </c>
      <c r="DB3132">
        <v>0</v>
      </c>
      <c r="DC3132" t="s">
        <v>134</v>
      </c>
      <c r="DD3132" t="s">
        <v>135</v>
      </c>
      <c r="DG3132">
        <v>3322396</v>
      </c>
      <c r="DI3132">
        <v>1</v>
      </c>
      <c r="DJ3132">
        <v>0</v>
      </c>
      <c r="DK3132">
        <v>1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3">
      <c r="A3133" t="str">
        <f>"05/01/2025 15:13:14.082"</f>
        <v>05/01/2025 15:13:14.082</v>
      </c>
      <c r="C3133" t="str">
        <f t="shared" si="1216"/>
        <v>FFDFD3C0</v>
      </c>
      <c r="D3133" t="s">
        <v>143</v>
      </c>
      <c r="E3133" t="str">
        <f>"05"</f>
        <v>05</v>
      </c>
      <c r="H3133">
        <v>172</v>
      </c>
      <c r="I3133" t="s">
        <v>141</v>
      </c>
      <c r="J3133" t="s">
        <v>144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R3133" t="s">
        <v>127</v>
      </c>
      <c r="S3133" t="str">
        <f t="shared" si="1238"/>
        <v>15:13:13.000</v>
      </c>
      <c r="T3133" t="str">
        <f t="shared" si="1238"/>
        <v>15:13:13.000</v>
      </c>
      <c r="U3133" t="str">
        <f t="shared" si="1218"/>
        <v>A68FCB</v>
      </c>
      <c r="V3133">
        <v>0</v>
      </c>
      <c r="W3133">
        <v>0</v>
      </c>
      <c r="X3133">
        <v>2</v>
      </c>
      <c r="Y3133">
        <v>0</v>
      </c>
      <c r="AA3133">
        <v>1</v>
      </c>
      <c r="AB3133">
        <v>8</v>
      </c>
      <c r="AC3133">
        <v>3</v>
      </c>
      <c r="AD3133">
        <v>0</v>
      </c>
      <c r="AE3133">
        <v>9</v>
      </c>
      <c r="AF3133" t="s">
        <v>138</v>
      </c>
      <c r="AG3133">
        <v>0</v>
      </c>
      <c r="AH3133">
        <v>3</v>
      </c>
      <c r="AI3133">
        <v>2</v>
      </c>
      <c r="AJ3133">
        <v>0</v>
      </c>
      <c r="AK3133" t="s">
        <v>1047</v>
      </c>
      <c r="AL3133">
        <v>39.123902000000001</v>
      </c>
      <c r="AM3133" t="s">
        <v>1048</v>
      </c>
      <c r="AN3133">
        <v>-121.031806</v>
      </c>
      <c r="AO3133">
        <v>25</v>
      </c>
      <c r="AP3133">
        <v>4400</v>
      </c>
      <c r="AQ3133" t="s">
        <v>131</v>
      </c>
      <c r="AR3133">
        <v>3</v>
      </c>
      <c r="AS3133">
        <v>84</v>
      </c>
      <c r="AT3133">
        <v>-256</v>
      </c>
      <c r="BB3133" t="str">
        <f t="shared" si="1219"/>
        <v>1200</v>
      </c>
      <c r="BC3133">
        <v>1</v>
      </c>
      <c r="BD3133" t="str">
        <f t="shared" si="1220"/>
        <v xml:space="preserve">N52156  </v>
      </c>
      <c r="BE3133">
        <v>1</v>
      </c>
      <c r="BG3133">
        <v>0</v>
      </c>
      <c r="BH3133">
        <v>0</v>
      </c>
      <c r="BI3133">
        <v>0</v>
      </c>
      <c r="BJ3133">
        <v>4400</v>
      </c>
      <c r="BK3133">
        <v>0</v>
      </c>
      <c r="BL3133" t="s">
        <v>188</v>
      </c>
      <c r="BM3133">
        <v>1</v>
      </c>
      <c r="BN3133">
        <v>1</v>
      </c>
      <c r="BO3133">
        <v>0</v>
      </c>
      <c r="BP3133">
        <v>0</v>
      </c>
      <c r="BS3133">
        <v>0</v>
      </c>
      <c r="BT3133">
        <v>0</v>
      </c>
      <c r="BU3133">
        <v>0</v>
      </c>
      <c r="CE3133" t="str">
        <f t="shared" si="1239"/>
        <v>15:13:13.837</v>
      </c>
      <c r="CF3133">
        <v>837481593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5</v>
      </c>
      <c r="CY3133">
        <v>7</v>
      </c>
      <c r="CZ3133" t="s">
        <v>133</v>
      </c>
      <c r="DA3133">
        <v>275</v>
      </c>
      <c r="DB3133">
        <v>0</v>
      </c>
      <c r="DC3133" t="s">
        <v>134</v>
      </c>
      <c r="DD3133" t="s">
        <v>135</v>
      </c>
      <c r="DG3133">
        <v>3322396</v>
      </c>
      <c r="DI3133">
        <v>1</v>
      </c>
      <c r="DJ3133">
        <v>0</v>
      </c>
      <c r="DK3133">
        <v>1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3">
      <c r="A3134" t="str">
        <f>"05/01/2025 15:13:14.623"</f>
        <v>05/01/2025 15:13:14.623</v>
      </c>
      <c r="C3134" t="str">
        <f t="shared" si="1216"/>
        <v>FFDFD3C0</v>
      </c>
      <c r="D3134" t="s">
        <v>136</v>
      </c>
      <c r="E3134" t="str">
        <f>"20"</f>
        <v>20</v>
      </c>
      <c r="H3134">
        <v>400</v>
      </c>
      <c r="I3134" t="s">
        <v>137</v>
      </c>
      <c r="J3134" t="s">
        <v>138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R3134" t="s">
        <v>127</v>
      </c>
      <c r="S3134" t="str">
        <f t="shared" ref="S3134:T3139" si="1240">"15:13:14.000"</f>
        <v>15:13:14.000</v>
      </c>
      <c r="T3134" t="str">
        <f t="shared" si="1240"/>
        <v>15:13:14.000</v>
      </c>
      <c r="U3134" t="str">
        <f t="shared" si="1218"/>
        <v>A68FCB</v>
      </c>
      <c r="V3134">
        <v>0</v>
      </c>
      <c r="W3134">
        <v>0</v>
      </c>
      <c r="X3134">
        <v>2</v>
      </c>
      <c r="Y3134">
        <v>0</v>
      </c>
      <c r="AA3134">
        <v>1</v>
      </c>
      <c r="AB3134">
        <v>8</v>
      </c>
      <c r="AC3134">
        <v>3</v>
      </c>
      <c r="AD3134">
        <v>0</v>
      </c>
      <c r="AE3134">
        <v>9</v>
      </c>
      <c r="AF3134" t="s">
        <v>138</v>
      </c>
      <c r="AG3134">
        <v>0</v>
      </c>
      <c r="AH3134">
        <v>3</v>
      </c>
      <c r="AI3134">
        <v>2</v>
      </c>
      <c r="AJ3134">
        <v>0</v>
      </c>
      <c r="AK3134" t="s">
        <v>1049</v>
      </c>
      <c r="AL3134">
        <v>39.124310000000001</v>
      </c>
      <c r="AM3134" t="s">
        <v>1048</v>
      </c>
      <c r="AN3134">
        <v>-121.031806</v>
      </c>
      <c r="AO3134">
        <v>25</v>
      </c>
      <c r="AP3134">
        <v>4400</v>
      </c>
      <c r="AQ3134" t="s">
        <v>131</v>
      </c>
      <c r="AR3134">
        <v>3</v>
      </c>
      <c r="AS3134">
        <v>84</v>
      </c>
      <c r="AT3134">
        <v>-256</v>
      </c>
      <c r="BB3134" t="str">
        <f t="shared" si="1219"/>
        <v>1200</v>
      </c>
      <c r="BC3134">
        <v>1</v>
      </c>
      <c r="BD3134" t="str">
        <f t="shared" si="1220"/>
        <v xml:space="preserve">N52156  </v>
      </c>
      <c r="BE3134">
        <v>1</v>
      </c>
      <c r="BG3134">
        <v>0</v>
      </c>
      <c r="BH3134">
        <v>0</v>
      </c>
      <c r="BI3134">
        <v>0</v>
      </c>
      <c r="BJ3134">
        <v>4400</v>
      </c>
      <c r="BK3134">
        <v>0</v>
      </c>
      <c r="BL3134" t="s">
        <v>188</v>
      </c>
      <c r="BM3134">
        <v>1</v>
      </c>
      <c r="BN3134">
        <v>1</v>
      </c>
      <c r="BO3134">
        <v>0</v>
      </c>
      <c r="BP3134">
        <v>0</v>
      </c>
      <c r="BS3134">
        <v>0</v>
      </c>
      <c r="BT3134">
        <v>0</v>
      </c>
      <c r="BU3134">
        <v>0</v>
      </c>
      <c r="CE3134" t="str">
        <f t="shared" ref="CE3134:CE3139" si="1241">"15:13:14.389"</f>
        <v>15:13:14.389</v>
      </c>
      <c r="CF3134">
        <v>388730515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5</v>
      </c>
      <c r="CY3134">
        <v>7</v>
      </c>
      <c r="CZ3134" t="s">
        <v>133</v>
      </c>
      <c r="DA3134">
        <v>275</v>
      </c>
      <c r="DB3134">
        <v>0</v>
      </c>
      <c r="DC3134" t="s">
        <v>134</v>
      </c>
      <c r="DD3134" t="s">
        <v>135</v>
      </c>
      <c r="DG3134">
        <v>3322401</v>
      </c>
      <c r="DI3134">
        <v>1</v>
      </c>
      <c r="DJ3134">
        <v>0</v>
      </c>
      <c r="DK3134">
        <v>0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3">
      <c r="A3135" t="str">
        <f>"05/01/2025 15:13:14.632"</f>
        <v>05/01/2025 15:13:14.632</v>
      </c>
      <c r="C3135" t="str">
        <f t="shared" si="1216"/>
        <v>FFDFD3C0</v>
      </c>
      <c r="D3135" t="s">
        <v>143</v>
      </c>
      <c r="E3135" t="str">
        <f>"05"</f>
        <v>05</v>
      </c>
      <c r="H3135">
        <v>172</v>
      </c>
      <c r="I3135" t="s">
        <v>141</v>
      </c>
      <c r="J3135" t="s">
        <v>144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R3135" t="s">
        <v>127</v>
      </c>
      <c r="S3135" t="str">
        <f t="shared" si="1240"/>
        <v>15:13:14.000</v>
      </c>
      <c r="T3135" t="str">
        <f t="shared" si="1240"/>
        <v>15:13:14.000</v>
      </c>
      <c r="U3135" t="str">
        <f t="shared" si="1218"/>
        <v>A68FCB</v>
      </c>
      <c r="V3135">
        <v>0</v>
      </c>
      <c r="W3135">
        <v>0</v>
      </c>
      <c r="X3135">
        <v>2</v>
      </c>
      <c r="Y3135">
        <v>0</v>
      </c>
      <c r="AA3135">
        <v>1</v>
      </c>
      <c r="AB3135">
        <v>8</v>
      </c>
      <c r="AC3135">
        <v>3</v>
      </c>
      <c r="AD3135">
        <v>0</v>
      </c>
      <c r="AE3135">
        <v>9</v>
      </c>
      <c r="AF3135" t="s">
        <v>138</v>
      </c>
      <c r="AG3135">
        <v>0</v>
      </c>
      <c r="AH3135">
        <v>3</v>
      </c>
      <c r="AI3135">
        <v>2</v>
      </c>
      <c r="AJ3135">
        <v>0</v>
      </c>
      <c r="AK3135" t="s">
        <v>1049</v>
      </c>
      <c r="AL3135">
        <v>39.124310000000001</v>
      </c>
      <c r="AM3135" t="s">
        <v>1048</v>
      </c>
      <c r="AN3135">
        <v>-121.031806</v>
      </c>
      <c r="AO3135">
        <v>25</v>
      </c>
      <c r="AP3135">
        <v>4400</v>
      </c>
      <c r="AQ3135" t="s">
        <v>131</v>
      </c>
      <c r="AR3135">
        <v>3</v>
      </c>
      <c r="AS3135">
        <v>84</v>
      </c>
      <c r="AT3135">
        <v>-256</v>
      </c>
      <c r="BB3135" t="str">
        <f t="shared" si="1219"/>
        <v>1200</v>
      </c>
      <c r="BC3135">
        <v>1</v>
      </c>
      <c r="BD3135" t="str">
        <f t="shared" si="1220"/>
        <v xml:space="preserve">N52156  </v>
      </c>
      <c r="BE3135">
        <v>1</v>
      </c>
      <c r="BG3135">
        <v>0</v>
      </c>
      <c r="BH3135">
        <v>0</v>
      </c>
      <c r="BI3135">
        <v>0</v>
      </c>
      <c r="BJ3135">
        <v>4400</v>
      </c>
      <c r="BK3135">
        <v>0</v>
      </c>
      <c r="BL3135" t="s">
        <v>188</v>
      </c>
      <c r="BM3135">
        <v>1</v>
      </c>
      <c r="BN3135">
        <v>1</v>
      </c>
      <c r="BO3135">
        <v>0</v>
      </c>
      <c r="BP3135">
        <v>0</v>
      </c>
      <c r="BS3135">
        <v>0</v>
      </c>
      <c r="BT3135">
        <v>0</v>
      </c>
      <c r="BU3135">
        <v>0</v>
      </c>
      <c r="CE3135" t="str">
        <f t="shared" si="1241"/>
        <v>15:13:14.389</v>
      </c>
      <c r="CF3135">
        <v>388730515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5</v>
      </c>
      <c r="CY3135">
        <v>7</v>
      </c>
      <c r="CZ3135" t="s">
        <v>133</v>
      </c>
      <c r="DA3135">
        <v>275</v>
      </c>
      <c r="DB3135">
        <v>0</v>
      </c>
      <c r="DC3135" t="s">
        <v>134</v>
      </c>
      <c r="DD3135" t="s">
        <v>135</v>
      </c>
      <c r="DG3135">
        <v>3322401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3">
      <c r="A3136" t="str">
        <f>"05/01/2025 15:13:14.646"</f>
        <v>05/01/2025 15:13:14.646</v>
      </c>
      <c r="C3136" t="str">
        <f t="shared" si="1216"/>
        <v>FFDFD3C0</v>
      </c>
      <c r="D3136" t="s">
        <v>140</v>
      </c>
      <c r="E3136" t="str">
        <f>"13"</f>
        <v>13</v>
      </c>
      <c r="F3136">
        <v>1019</v>
      </c>
      <c r="G3136" t="s">
        <v>141</v>
      </c>
      <c r="J3136" t="s">
        <v>142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R3136" t="s">
        <v>127</v>
      </c>
      <c r="S3136" t="str">
        <f t="shared" si="1240"/>
        <v>15:13:14.000</v>
      </c>
      <c r="T3136" t="str">
        <f t="shared" si="1240"/>
        <v>15:13:14.000</v>
      </c>
      <c r="U3136" t="str">
        <f t="shared" si="1218"/>
        <v>A68FCB</v>
      </c>
      <c r="V3136">
        <v>0</v>
      </c>
      <c r="W3136">
        <v>0</v>
      </c>
      <c r="X3136">
        <v>2</v>
      </c>
      <c r="Y3136">
        <v>0</v>
      </c>
      <c r="AA3136">
        <v>1</v>
      </c>
      <c r="AB3136">
        <v>8</v>
      </c>
      <c r="AC3136">
        <v>3</v>
      </c>
      <c r="AD3136">
        <v>0</v>
      </c>
      <c r="AE3136">
        <v>9</v>
      </c>
      <c r="AF3136" t="s">
        <v>138</v>
      </c>
      <c r="AG3136">
        <v>0</v>
      </c>
      <c r="AH3136">
        <v>3</v>
      </c>
      <c r="AI3136">
        <v>2</v>
      </c>
      <c r="AJ3136">
        <v>0</v>
      </c>
      <c r="AK3136" t="s">
        <v>1049</v>
      </c>
      <c r="AL3136">
        <v>39.124310000000001</v>
      </c>
      <c r="AM3136" t="s">
        <v>1048</v>
      </c>
      <c r="AN3136">
        <v>-121.031806</v>
      </c>
      <c r="AO3136">
        <v>25</v>
      </c>
      <c r="AP3136">
        <v>4400</v>
      </c>
      <c r="AQ3136" t="s">
        <v>131</v>
      </c>
      <c r="AR3136">
        <v>3</v>
      </c>
      <c r="AS3136">
        <v>84</v>
      </c>
      <c r="AT3136">
        <v>-256</v>
      </c>
      <c r="BB3136" t="str">
        <f t="shared" si="1219"/>
        <v>1200</v>
      </c>
      <c r="BC3136">
        <v>1</v>
      </c>
      <c r="BD3136" t="str">
        <f t="shared" si="1220"/>
        <v xml:space="preserve">N52156  </v>
      </c>
      <c r="BE3136">
        <v>1</v>
      </c>
      <c r="BG3136">
        <v>0</v>
      </c>
      <c r="BH3136">
        <v>0</v>
      </c>
      <c r="BI3136">
        <v>0</v>
      </c>
      <c r="BJ3136">
        <v>4400</v>
      </c>
      <c r="BK3136">
        <v>0</v>
      </c>
      <c r="BL3136" t="s">
        <v>188</v>
      </c>
      <c r="BM3136">
        <v>1</v>
      </c>
      <c r="BN3136">
        <v>1</v>
      </c>
      <c r="BO3136">
        <v>0</v>
      </c>
      <c r="BP3136">
        <v>0</v>
      </c>
      <c r="BS3136">
        <v>0</v>
      </c>
      <c r="BT3136">
        <v>0</v>
      </c>
      <c r="BU3136">
        <v>0</v>
      </c>
      <c r="CE3136" t="str">
        <f t="shared" si="1241"/>
        <v>15:13:14.389</v>
      </c>
      <c r="CF3136">
        <v>388730515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5</v>
      </c>
      <c r="CY3136">
        <v>7</v>
      </c>
      <c r="CZ3136" t="s">
        <v>133</v>
      </c>
      <c r="DA3136">
        <v>275</v>
      </c>
      <c r="DB3136">
        <v>0</v>
      </c>
      <c r="DC3136" t="s">
        <v>134</v>
      </c>
      <c r="DD3136" t="s">
        <v>135</v>
      </c>
      <c r="DG3136">
        <v>3322401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3">
      <c r="A3137" t="str">
        <f>"05/01/2025 15:13:14.645"</f>
        <v>05/01/2025 15:13:14.645</v>
      </c>
      <c r="C3137" t="str">
        <f t="shared" si="1216"/>
        <v>FFDFD3C0</v>
      </c>
      <c r="D3137" t="s">
        <v>124</v>
      </c>
      <c r="E3137" t="str">
        <f>"06"</f>
        <v>06</v>
      </c>
      <c r="F3137">
        <v>2006</v>
      </c>
      <c r="G3137" t="s">
        <v>125</v>
      </c>
      <c r="J3137" t="s">
        <v>126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R3137" t="s">
        <v>127</v>
      </c>
      <c r="S3137" t="str">
        <f t="shared" si="1240"/>
        <v>15:13:14.000</v>
      </c>
      <c r="T3137" t="str">
        <f t="shared" si="1240"/>
        <v>15:13:14.000</v>
      </c>
      <c r="U3137" t="str">
        <f t="shared" si="1218"/>
        <v>A68FCB</v>
      </c>
      <c r="V3137">
        <v>0</v>
      </c>
      <c r="W3137">
        <v>0</v>
      </c>
      <c r="X3137">
        <v>2</v>
      </c>
      <c r="Y3137">
        <v>0</v>
      </c>
      <c r="AA3137">
        <v>1</v>
      </c>
      <c r="AB3137">
        <v>8</v>
      </c>
      <c r="AC3137">
        <v>3</v>
      </c>
      <c r="AD3137">
        <v>0</v>
      </c>
      <c r="AE3137">
        <v>9</v>
      </c>
      <c r="AF3137" t="s">
        <v>138</v>
      </c>
      <c r="AG3137">
        <v>0</v>
      </c>
      <c r="AH3137">
        <v>3</v>
      </c>
      <c r="AI3137">
        <v>2</v>
      </c>
      <c r="AJ3137">
        <v>0</v>
      </c>
      <c r="AK3137" t="s">
        <v>1049</v>
      </c>
      <c r="AL3137">
        <v>39.124310000000001</v>
      </c>
      <c r="AM3137" t="s">
        <v>1048</v>
      </c>
      <c r="AN3137">
        <v>-121.031806</v>
      </c>
      <c r="AO3137">
        <v>25</v>
      </c>
      <c r="AP3137">
        <v>4400</v>
      </c>
      <c r="AQ3137" t="s">
        <v>131</v>
      </c>
      <c r="AR3137">
        <v>3</v>
      </c>
      <c r="AS3137">
        <v>84</v>
      </c>
      <c r="AT3137">
        <v>-256</v>
      </c>
      <c r="BB3137" t="str">
        <f t="shared" si="1219"/>
        <v>1200</v>
      </c>
      <c r="BC3137">
        <v>1</v>
      </c>
      <c r="BD3137" t="str">
        <f t="shared" si="1220"/>
        <v xml:space="preserve">N52156  </v>
      </c>
      <c r="BE3137">
        <v>1</v>
      </c>
      <c r="BG3137">
        <v>0</v>
      </c>
      <c r="BH3137">
        <v>0</v>
      </c>
      <c r="BI3137">
        <v>0</v>
      </c>
      <c r="BJ3137">
        <v>4400</v>
      </c>
      <c r="BK3137">
        <v>0</v>
      </c>
      <c r="BL3137" t="s">
        <v>188</v>
      </c>
      <c r="BM3137">
        <v>1</v>
      </c>
      <c r="BN3137">
        <v>1</v>
      </c>
      <c r="BO3137">
        <v>0</v>
      </c>
      <c r="BP3137">
        <v>0</v>
      </c>
      <c r="BS3137">
        <v>0</v>
      </c>
      <c r="BT3137">
        <v>0</v>
      </c>
      <c r="BU3137">
        <v>0</v>
      </c>
      <c r="CE3137" t="str">
        <f t="shared" si="1241"/>
        <v>15:13:14.389</v>
      </c>
      <c r="CF3137">
        <v>388730515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5</v>
      </c>
      <c r="CY3137">
        <v>7</v>
      </c>
      <c r="CZ3137" t="s">
        <v>133</v>
      </c>
      <c r="DA3137">
        <v>275</v>
      </c>
      <c r="DB3137">
        <v>0</v>
      </c>
      <c r="DC3137" t="s">
        <v>134</v>
      </c>
      <c r="DD3137" t="s">
        <v>135</v>
      </c>
      <c r="DG3137">
        <v>3322401</v>
      </c>
      <c r="DI3137">
        <v>1</v>
      </c>
      <c r="DJ3137">
        <v>0</v>
      </c>
      <c r="DK3137">
        <v>1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3">
      <c r="A3138" t="str">
        <f>"05/01/2025 15:13:14.659"</f>
        <v>05/01/2025 15:13:14.659</v>
      </c>
      <c r="C3138" t="str">
        <f t="shared" ref="C3138:C3201" si="1242">"FFDFD3C0"</f>
        <v>FFDFD3C0</v>
      </c>
      <c r="D3138" t="s">
        <v>145</v>
      </c>
      <c r="E3138" t="str">
        <f>"09"</f>
        <v>09</v>
      </c>
      <c r="H3138">
        <v>51</v>
      </c>
      <c r="I3138" t="s">
        <v>147</v>
      </c>
      <c r="J3138" t="s">
        <v>138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R3138" t="s">
        <v>127</v>
      </c>
      <c r="S3138" t="str">
        <f t="shared" si="1240"/>
        <v>15:13:14.000</v>
      </c>
      <c r="T3138" t="str">
        <f t="shared" si="1240"/>
        <v>15:13:14.000</v>
      </c>
      <c r="U3138" t="str">
        <f t="shared" ref="U3138:U3201" si="1243">"A68FCB"</f>
        <v>A68FCB</v>
      </c>
      <c r="V3138">
        <v>0</v>
      </c>
      <c r="W3138">
        <v>0</v>
      </c>
      <c r="X3138">
        <v>2</v>
      </c>
      <c r="Y3138">
        <v>0</v>
      </c>
      <c r="AA3138">
        <v>1</v>
      </c>
      <c r="AB3138">
        <v>8</v>
      </c>
      <c r="AC3138">
        <v>3</v>
      </c>
      <c r="AD3138">
        <v>0</v>
      </c>
      <c r="AE3138">
        <v>9</v>
      </c>
      <c r="AF3138" t="s">
        <v>138</v>
      </c>
      <c r="AG3138">
        <v>0</v>
      </c>
      <c r="AH3138">
        <v>3</v>
      </c>
      <c r="AI3138">
        <v>2</v>
      </c>
      <c r="AJ3138">
        <v>0</v>
      </c>
      <c r="AK3138" t="s">
        <v>1049</v>
      </c>
      <c r="AL3138">
        <v>39.124310000000001</v>
      </c>
      <c r="AM3138" t="s">
        <v>1048</v>
      </c>
      <c r="AN3138">
        <v>-121.031806</v>
      </c>
      <c r="AO3138">
        <v>25</v>
      </c>
      <c r="AP3138">
        <v>4400</v>
      </c>
      <c r="AQ3138" t="s">
        <v>131</v>
      </c>
      <c r="AR3138">
        <v>3</v>
      </c>
      <c r="AS3138">
        <v>84</v>
      </c>
      <c r="AT3138">
        <v>-256</v>
      </c>
      <c r="BB3138" t="str">
        <f t="shared" ref="BB3138:BB3201" si="1244">"1200"</f>
        <v>1200</v>
      </c>
      <c r="BC3138">
        <v>1</v>
      </c>
      <c r="BD3138" t="str">
        <f t="shared" ref="BD3138:BD3201" si="1245">"N52156  "</f>
        <v xml:space="preserve">N52156  </v>
      </c>
      <c r="BE3138">
        <v>1</v>
      </c>
      <c r="BG3138">
        <v>0</v>
      </c>
      <c r="BH3138">
        <v>0</v>
      </c>
      <c r="BI3138">
        <v>0</v>
      </c>
      <c r="BJ3138">
        <v>4400</v>
      </c>
      <c r="BK3138">
        <v>0</v>
      </c>
      <c r="BL3138" t="s">
        <v>188</v>
      </c>
      <c r="BM3138">
        <v>1</v>
      </c>
      <c r="BN3138">
        <v>1</v>
      </c>
      <c r="BO3138">
        <v>0</v>
      </c>
      <c r="BP3138">
        <v>0</v>
      </c>
      <c r="BS3138">
        <v>0</v>
      </c>
      <c r="BT3138">
        <v>0</v>
      </c>
      <c r="BU3138">
        <v>0</v>
      </c>
      <c r="CE3138" t="str">
        <f t="shared" si="1241"/>
        <v>15:13:14.389</v>
      </c>
      <c r="CF3138">
        <v>388730515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5</v>
      </c>
      <c r="CY3138">
        <v>7</v>
      </c>
      <c r="CZ3138" t="s">
        <v>133</v>
      </c>
      <c r="DA3138">
        <v>275</v>
      </c>
      <c r="DB3138">
        <v>0</v>
      </c>
      <c r="DC3138" t="s">
        <v>134</v>
      </c>
      <c r="DD3138" t="s">
        <v>135</v>
      </c>
      <c r="DG3138">
        <v>3322401</v>
      </c>
      <c r="DI3138">
        <v>1</v>
      </c>
      <c r="DJ3138">
        <v>0</v>
      </c>
      <c r="DK3138">
        <v>1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3">
      <c r="A3139" t="str">
        <f>"05/01/2025 15:13:14.662"</f>
        <v>05/01/2025 15:13:14.662</v>
      </c>
      <c r="C3139" t="str">
        <f t="shared" si="1242"/>
        <v>FFDFD3C0</v>
      </c>
      <c r="D3139" t="s">
        <v>145</v>
      </c>
      <c r="E3139" t="str">
        <f>"05"</f>
        <v>05</v>
      </c>
      <c r="H3139">
        <v>47</v>
      </c>
      <c r="I3139" t="s">
        <v>146</v>
      </c>
      <c r="J3139" t="s">
        <v>138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R3139" t="s">
        <v>127</v>
      </c>
      <c r="S3139" t="str">
        <f t="shared" si="1240"/>
        <v>15:13:14.000</v>
      </c>
      <c r="T3139" t="str">
        <f t="shared" si="1240"/>
        <v>15:13:14.000</v>
      </c>
      <c r="U3139" t="str">
        <f t="shared" si="1243"/>
        <v>A68FCB</v>
      </c>
      <c r="V3139">
        <v>0</v>
      </c>
      <c r="W3139">
        <v>0</v>
      </c>
      <c r="X3139">
        <v>2</v>
      </c>
      <c r="Y3139">
        <v>0</v>
      </c>
      <c r="AA3139">
        <v>1</v>
      </c>
      <c r="AB3139">
        <v>8</v>
      </c>
      <c r="AC3139">
        <v>3</v>
      </c>
      <c r="AD3139">
        <v>0</v>
      </c>
      <c r="AE3139">
        <v>9</v>
      </c>
      <c r="AF3139" t="s">
        <v>138</v>
      </c>
      <c r="AG3139">
        <v>0</v>
      </c>
      <c r="AH3139">
        <v>3</v>
      </c>
      <c r="AI3139">
        <v>2</v>
      </c>
      <c r="AJ3139">
        <v>0</v>
      </c>
      <c r="AK3139" t="s">
        <v>1049</v>
      </c>
      <c r="AL3139">
        <v>39.124310000000001</v>
      </c>
      <c r="AM3139" t="s">
        <v>1048</v>
      </c>
      <c r="AN3139">
        <v>-121.031806</v>
      </c>
      <c r="AO3139">
        <v>25</v>
      </c>
      <c r="AP3139">
        <v>4400</v>
      </c>
      <c r="AQ3139" t="s">
        <v>131</v>
      </c>
      <c r="AR3139">
        <v>3</v>
      </c>
      <c r="AS3139">
        <v>84</v>
      </c>
      <c r="AT3139">
        <v>-256</v>
      </c>
      <c r="BB3139" t="str">
        <f t="shared" si="1244"/>
        <v>1200</v>
      </c>
      <c r="BC3139">
        <v>1</v>
      </c>
      <c r="BD3139" t="str">
        <f t="shared" si="1245"/>
        <v xml:space="preserve">N52156  </v>
      </c>
      <c r="BE3139">
        <v>1</v>
      </c>
      <c r="BG3139">
        <v>0</v>
      </c>
      <c r="BH3139">
        <v>0</v>
      </c>
      <c r="BI3139">
        <v>0</v>
      </c>
      <c r="BJ3139">
        <v>4400</v>
      </c>
      <c r="BK3139">
        <v>0</v>
      </c>
      <c r="BL3139" t="s">
        <v>188</v>
      </c>
      <c r="BM3139">
        <v>1</v>
      </c>
      <c r="BN3139">
        <v>1</v>
      </c>
      <c r="BO3139">
        <v>0</v>
      </c>
      <c r="BP3139">
        <v>0</v>
      </c>
      <c r="BS3139">
        <v>0</v>
      </c>
      <c r="BT3139">
        <v>0</v>
      </c>
      <c r="BU3139">
        <v>0</v>
      </c>
      <c r="CE3139" t="str">
        <f t="shared" si="1241"/>
        <v>15:13:14.389</v>
      </c>
      <c r="CF3139">
        <v>388730515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5</v>
      </c>
      <c r="CY3139">
        <v>7</v>
      </c>
      <c r="CZ3139" t="s">
        <v>133</v>
      </c>
      <c r="DA3139">
        <v>275</v>
      </c>
      <c r="DB3139">
        <v>0</v>
      </c>
      <c r="DC3139" t="s">
        <v>134</v>
      </c>
      <c r="DD3139" t="s">
        <v>135</v>
      </c>
      <c r="DG3139">
        <v>3322401</v>
      </c>
      <c r="DI3139">
        <v>1</v>
      </c>
      <c r="DJ3139">
        <v>0</v>
      </c>
      <c r="DK3139">
        <v>1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3">
      <c r="A3140" t="str">
        <f>"05/01/2025 15:13:16.162"</f>
        <v>05/01/2025 15:13:16.162</v>
      </c>
      <c r="C3140" t="str">
        <f t="shared" si="1242"/>
        <v>FFDFD3C0</v>
      </c>
      <c r="D3140" t="s">
        <v>145</v>
      </c>
      <c r="E3140" t="str">
        <f>"09"</f>
        <v>09</v>
      </c>
      <c r="H3140">
        <v>51</v>
      </c>
      <c r="I3140" t="s">
        <v>147</v>
      </c>
      <c r="J3140" t="s">
        <v>138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R3140" t="s">
        <v>127</v>
      </c>
      <c r="S3140" t="str">
        <f t="shared" ref="S3140:T3145" si="1246">"15:13:15.000"</f>
        <v>15:13:15.000</v>
      </c>
      <c r="T3140" t="str">
        <f t="shared" si="1246"/>
        <v>15:13:15.000</v>
      </c>
      <c r="U3140" t="str">
        <f t="shared" si="1243"/>
        <v>A68FCB</v>
      </c>
      <c r="V3140">
        <v>0</v>
      </c>
      <c r="W3140">
        <v>0</v>
      </c>
      <c r="X3140">
        <v>2</v>
      </c>
      <c r="Y3140">
        <v>0</v>
      </c>
      <c r="AA3140">
        <v>1</v>
      </c>
      <c r="AB3140">
        <v>8</v>
      </c>
      <c r="AC3140">
        <v>3</v>
      </c>
      <c r="AD3140">
        <v>0</v>
      </c>
      <c r="AE3140">
        <v>9</v>
      </c>
      <c r="AF3140" t="s">
        <v>138</v>
      </c>
      <c r="AG3140">
        <v>0</v>
      </c>
      <c r="AH3140">
        <v>3</v>
      </c>
      <c r="AI3140">
        <v>2</v>
      </c>
      <c r="AJ3140">
        <v>0</v>
      </c>
      <c r="AK3140" t="s">
        <v>1050</v>
      </c>
      <c r="AL3140">
        <v>39.124696</v>
      </c>
      <c r="AM3140" t="s">
        <v>1051</v>
      </c>
      <c r="AN3140">
        <v>-121.031785</v>
      </c>
      <c r="AO3140">
        <v>25</v>
      </c>
      <c r="AP3140">
        <v>4400</v>
      </c>
      <c r="AQ3140" t="s">
        <v>131</v>
      </c>
      <c r="AR3140">
        <v>3</v>
      </c>
      <c r="AS3140">
        <v>84</v>
      </c>
      <c r="AT3140">
        <v>-256</v>
      </c>
      <c r="BB3140" t="str">
        <f t="shared" si="1244"/>
        <v>1200</v>
      </c>
      <c r="BC3140">
        <v>1</v>
      </c>
      <c r="BD3140" t="str">
        <f t="shared" si="1245"/>
        <v xml:space="preserve">N52156  </v>
      </c>
      <c r="BE3140">
        <v>1</v>
      </c>
      <c r="BG3140">
        <v>0</v>
      </c>
      <c r="BH3140">
        <v>0</v>
      </c>
      <c r="BI3140">
        <v>0</v>
      </c>
      <c r="BJ3140">
        <v>4400</v>
      </c>
      <c r="BK3140">
        <v>0</v>
      </c>
      <c r="BL3140" t="s">
        <v>188</v>
      </c>
      <c r="BM3140">
        <v>1</v>
      </c>
      <c r="BN3140">
        <v>1</v>
      </c>
      <c r="BO3140">
        <v>0</v>
      </c>
      <c r="BP3140">
        <v>0</v>
      </c>
      <c r="BS3140">
        <v>0</v>
      </c>
      <c r="BT3140">
        <v>0</v>
      </c>
      <c r="BU3140">
        <v>0</v>
      </c>
      <c r="CE3140" t="str">
        <f t="shared" ref="CE3140:CE3145" si="1247">"15:13:15.938"</f>
        <v>15:13:15.938</v>
      </c>
      <c r="CF3140">
        <v>938232021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5</v>
      </c>
      <c r="CY3140">
        <v>7</v>
      </c>
      <c r="CZ3140" t="s">
        <v>133</v>
      </c>
      <c r="DA3140">
        <v>275</v>
      </c>
      <c r="DB3140">
        <v>0</v>
      </c>
      <c r="DC3140" t="s">
        <v>134</v>
      </c>
      <c r="DD3140" t="s">
        <v>135</v>
      </c>
      <c r="DG3140">
        <v>3322409</v>
      </c>
      <c r="DI3140">
        <v>1</v>
      </c>
      <c r="DJ3140">
        <v>0</v>
      </c>
      <c r="DK3140">
        <v>0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3">
      <c r="A3141" t="str">
        <f>"05/01/2025 15:13:16.164"</f>
        <v>05/01/2025 15:13:16.164</v>
      </c>
      <c r="C3141" t="str">
        <f t="shared" si="1242"/>
        <v>FFDFD3C0</v>
      </c>
      <c r="D3141" t="s">
        <v>145</v>
      </c>
      <c r="E3141" t="str">
        <f>"05"</f>
        <v>05</v>
      </c>
      <c r="H3141">
        <v>47</v>
      </c>
      <c r="I3141" t="s">
        <v>146</v>
      </c>
      <c r="J3141" t="s">
        <v>138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R3141" t="s">
        <v>127</v>
      </c>
      <c r="S3141" t="str">
        <f t="shared" si="1246"/>
        <v>15:13:15.000</v>
      </c>
      <c r="T3141" t="str">
        <f t="shared" si="1246"/>
        <v>15:13:15.000</v>
      </c>
      <c r="U3141" t="str">
        <f t="shared" si="1243"/>
        <v>A68FCB</v>
      </c>
      <c r="V3141">
        <v>0</v>
      </c>
      <c r="W3141">
        <v>0</v>
      </c>
      <c r="X3141">
        <v>2</v>
      </c>
      <c r="Y3141">
        <v>0</v>
      </c>
      <c r="AA3141">
        <v>1</v>
      </c>
      <c r="AB3141">
        <v>8</v>
      </c>
      <c r="AC3141">
        <v>3</v>
      </c>
      <c r="AD3141">
        <v>0</v>
      </c>
      <c r="AE3141">
        <v>9</v>
      </c>
      <c r="AF3141" t="s">
        <v>138</v>
      </c>
      <c r="AG3141">
        <v>0</v>
      </c>
      <c r="AH3141">
        <v>3</v>
      </c>
      <c r="AI3141">
        <v>2</v>
      </c>
      <c r="AJ3141">
        <v>0</v>
      </c>
      <c r="AK3141" t="s">
        <v>1050</v>
      </c>
      <c r="AL3141">
        <v>39.124696</v>
      </c>
      <c r="AM3141" t="s">
        <v>1051</v>
      </c>
      <c r="AN3141">
        <v>-121.031785</v>
      </c>
      <c r="AO3141">
        <v>25</v>
      </c>
      <c r="AP3141">
        <v>4400</v>
      </c>
      <c r="AQ3141" t="s">
        <v>131</v>
      </c>
      <c r="AR3141">
        <v>3</v>
      </c>
      <c r="AS3141">
        <v>84</v>
      </c>
      <c r="AT3141">
        <v>-256</v>
      </c>
      <c r="BB3141" t="str">
        <f t="shared" si="1244"/>
        <v>1200</v>
      </c>
      <c r="BC3141">
        <v>1</v>
      </c>
      <c r="BD3141" t="str">
        <f t="shared" si="1245"/>
        <v xml:space="preserve">N52156  </v>
      </c>
      <c r="BE3141">
        <v>1</v>
      </c>
      <c r="BG3141">
        <v>0</v>
      </c>
      <c r="BH3141">
        <v>0</v>
      </c>
      <c r="BI3141">
        <v>0</v>
      </c>
      <c r="BJ3141">
        <v>4400</v>
      </c>
      <c r="BK3141">
        <v>0</v>
      </c>
      <c r="BL3141" t="s">
        <v>188</v>
      </c>
      <c r="BM3141">
        <v>1</v>
      </c>
      <c r="BN3141">
        <v>1</v>
      </c>
      <c r="BO3141">
        <v>0</v>
      </c>
      <c r="BP3141">
        <v>0</v>
      </c>
      <c r="BS3141">
        <v>0</v>
      </c>
      <c r="BT3141">
        <v>0</v>
      </c>
      <c r="BU3141">
        <v>0</v>
      </c>
      <c r="CE3141" t="str">
        <f t="shared" si="1247"/>
        <v>15:13:15.938</v>
      </c>
      <c r="CF3141">
        <v>938232021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5</v>
      </c>
      <c r="CY3141">
        <v>7</v>
      </c>
      <c r="CZ3141" t="s">
        <v>133</v>
      </c>
      <c r="DA3141">
        <v>275</v>
      </c>
      <c r="DB3141">
        <v>0</v>
      </c>
      <c r="DC3141" t="s">
        <v>134</v>
      </c>
      <c r="DD3141" t="s">
        <v>135</v>
      </c>
      <c r="DG3141">
        <v>3322409</v>
      </c>
      <c r="DI3141">
        <v>1</v>
      </c>
      <c r="DJ3141">
        <v>0</v>
      </c>
      <c r="DK3141">
        <v>1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3">
      <c r="A3142" t="str">
        <f>"05/01/2025 15:13:16.175"</f>
        <v>05/01/2025 15:13:16.175</v>
      </c>
      <c r="C3142" t="str">
        <f t="shared" si="1242"/>
        <v>FFDFD3C0</v>
      </c>
      <c r="D3142" t="s">
        <v>136</v>
      </c>
      <c r="E3142" t="str">
        <f>"20"</f>
        <v>20</v>
      </c>
      <c r="H3142">
        <v>400</v>
      </c>
      <c r="I3142" t="s">
        <v>137</v>
      </c>
      <c r="J3142" t="s">
        <v>138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R3142" t="s">
        <v>127</v>
      </c>
      <c r="S3142" t="str">
        <f t="shared" si="1246"/>
        <v>15:13:15.000</v>
      </c>
      <c r="T3142" t="str">
        <f t="shared" si="1246"/>
        <v>15:13:15.000</v>
      </c>
      <c r="U3142" t="str">
        <f t="shared" si="1243"/>
        <v>A68FCB</v>
      </c>
      <c r="V3142">
        <v>0</v>
      </c>
      <c r="W3142">
        <v>0</v>
      </c>
      <c r="X3142">
        <v>2</v>
      </c>
      <c r="Y3142">
        <v>0</v>
      </c>
      <c r="AA3142">
        <v>1</v>
      </c>
      <c r="AB3142">
        <v>8</v>
      </c>
      <c r="AC3142">
        <v>3</v>
      </c>
      <c r="AD3142">
        <v>0</v>
      </c>
      <c r="AE3142">
        <v>9</v>
      </c>
      <c r="AF3142" t="s">
        <v>138</v>
      </c>
      <c r="AG3142">
        <v>0</v>
      </c>
      <c r="AH3142">
        <v>3</v>
      </c>
      <c r="AI3142">
        <v>2</v>
      </c>
      <c r="AJ3142">
        <v>0</v>
      </c>
      <c r="AK3142" t="s">
        <v>1050</v>
      </c>
      <c r="AL3142">
        <v>39.124696</v>
      </c>
      <c r="AM3142" t="s">
        <v>1051</v>
      </c>
      <c r="AN3142">
        <v>-121.031785</v>
      </c>
      <c r="AO3142">
        <v>25</v>
      </c>
      <c r="AP3142">
        <v>4400</v>
      </c>
      <c r="AQ3142" t="s">
        <v>131</v>
      </c>
      <c r="AR3142">
        <v>3</v>
      </c>
      <c r="AS3142">
        <v>84</v>
      </c>
      <c r="AT3142">
        <v>-256</v>
      </c>
      <c r="BB3142" t="str">
        <f t="shared" si="1244"/>
        <v>1200</v>
      </c>
      <c r="BC3142">
        <v>1</v>
      </c>
      <c r="BD3142" t="str">
        <f t="shared" si="1245"/>
        <v xml:space="preserve">N52156  </v>
      </c>
      <c r="BE3142">
        <v>1</v>
      </c>
      <c r="BG3142">
        <v>0</v>
      </c>
      <c r="BH3142">
        <v>0</v>
      </c>
      <c r="BI3142">
        <v>0</v>
      </c>
      <c r="BJ3142">
        <v>4400</v>
      </c>
      <c r="BK3142">
        <v>0</v>
      </c>
      <c r="BL3142" t="s">
        <v>188</v>
      </c>
      <c r="BM3142">
        <v>1</v>
      </c>
      <c r="BN3142">
        <v>1</v>
      </c>
      <c r="BO3142">
        <v>0</v>
      </c>
      <c r="BP3142">
        <v>0</v>
      </c>
      <c r="BS3142">
        <v>0</v>
      </c>
      <c r="BT3142">
        <v>0</v>
      </c>
      <c r="BU3142">
        <v>0</v>
      </c>
      <c r="CE3142" t="str">
        <f t="shared" si="1247"/>
        <v>15:13:15.938</v>
      </c>
      <c r="CF3142">
        <v>938232021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5</v>
      </c>
      <c r="CY3142">
        <v>7</v>
      </c>
      <c r="CZ3142" t="s">
        <v>133</v>
      </c>
      <c r="DA3142">
        <v>275</v>
      </c>
      <c r="DB3142">
        <v>0</v>
      </c>
      <c r="DC3142" t="s">
        <v>134</v>
      </c>
      <c r="DD3142" t="s">
        <v>135</v>
      </c>
      <c r="DG3142">
        <v>3322409</v>
      </c>
      <c r="DI3142">
        <v>1</v>
      </c>
      <c r="DJ3142">
        <v>0</v>
      </c>
      <c r="DK3142">
        <v>1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3">
      <c r="A3143" t="str">
        <f>"05/01/2025 15:13:16.185"</f>
        <v>05/01/2025 15:13:16.185</v>
      </c>
      <c r="C3143" t="str">
        <f t="shared" si="1242"/>
        <v>FFDFD3C0</v>
      </c>
      <c r="D3143" t="s">
        <v>143</v>
      </c>
      <c r="E3143" t="str">
        <f>"05"</f>
        <v>05</v>
      </c>
      <c r="H3143">
        <v>172</v>
      </c>
      <c r="I3143" t="s">
        <v>141</v>
      </c>
      <c r="J3143" t="s">
        <v>144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R3143" t="s">
        <v>127</v>
      </c>
      <c r="S3143" t="str">
        <f t="shared" si="1246"/>
        <v>15:13:15.000</v>
      </c>
      <c r="T3143" t="str">
        <f t="shared" si="1246"/>
        <v>15:13:15.000</v>
      </c>
      <c r="U3143" t="str">
        <f t="shared" si="1243"/>
        <v>A68FCB</v>
      </c>
      <c r="V3143">
        <v>0</v>
      </c>
      <c r="W3143">
        <v>0</v>
      </c>
      <c r="X3143">
        <v>2</v>
      </c>
      <c r="Y3143">
        <v>0</v>
      </c>
      <c r="AA3143">
        <v>1</v>
      </c>
      <c r="AB3143">
        <v>8</v>
      </c>
      <c r="AC3143">
        <v>3</v>
      </c>
      <c r="AD3143">
        <v>0</v>
      </c>
      <c r="AE3143">
        <v>9</v>
      </c>
      <c r="AF3143" t="s">
        <v>138</v>
      </c>
      <c r="AG3143">
        <v>0</v>
      </c>
      <c r="AH3143">
        <v>3</v>
      </c>
      <c r="AI3143">
        <v>2</v>
      </c>
      <c r="AJ3143">
        <v>0</v>
      </c>
      <c r="AK3143" t="s">
        <v>1050</v>
      </c>
      <c r="AL3143">
        <v>39.124696</v>
      </c>
      <c r="AM3143" t="s">
        <v>1051</v>
      </c>
      <c r="AN3143">
        <v>-121.031785</v>
      </c>
      <c r="AO3143">
        <v>25</v>
      </c>
      <c r="AP3143">
        <v>4400</v>
      </c>
      <c r="AQ3143" t="s">
        <v>131</v>
      </c>
      <c r="AR3143">
        <v>3</v>
      </c>
      <c r="AS3143">
        <v>84</v>
      </c>
      <c r="AT3143">
        <v>-256</v>
      </c>
      <c r="BB3143" t="str">
        <f t="shared" si="1244"/>
        <v>1200</v>
      </c>
      <c r="BC3143">
        <v>1</v>
      </c>
      <c r="BD3143" t="str">
        <f t="shared" si="1245"/>
        <v xml:space="preserve">N52156  </v>
      </c>
      <c r="BE3143">
        <v>1</v>
      </c>
      <c r="BG3143">
        <v>0</v>
      </c>
      <c r="BH3143">
        <v>0</v>
      </c>
      <c r="BI3143">
        <v>0</v>
      </c>
      <c r="BJ3143">
        <v>4400</v>
      </c>
      <c r="BK3143">
        <v>0</v>
      </c>
      <c r="BL3143" t="s">
        <v>188</v>
      </c>
      <c r="BM3143">
        <v>1</v>
      </c>
      <c r="BN3143">
        <v>1</v>
      </c>
      <c r="BO3143">
        <v>0</v>
      </c>
      <c r="BP3143">
        <v>0</v>
      </c>
      <c r="BS3143">
        <v>0</v>
      </c>
      <c r="BT3143">
        <v>0</v>
      </c>
      <c r="BU3143">
        <v>0</v>
      </c>
      <c r="CE3143" t="str">
        <f t="shared" si="1247"/>
        <v>15:13:15.938</v>
      </c>
      <c r="CF3143">
        <v>938232021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5</v>
      </c>
      <c r="CY3143">
        <v>7</v>
      </c>
      <c r="CZ3143" t="s">
        <v>133</v>
      </c>
      <c r="DA3143">
        <v>275</v>
      </c>
      <c r="DB3143">
        <v>0</v>
      </c>
      <c r="DC3143" t="s">
        <v>134</v>
      </c>
      <c r="DD3143" t="s">
        <v>135</v>
      </c>
      <c r="DG3143">
        <v>3322409</v>
      </c>
      <c r="DI3143">
        <v>1</v>
      </c>
      <c r="DJ3143">
        <v>0</v>
      </c>
      <c r="DK3143">
        <v>1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3">
      <c r="A3144" t="str">
        <f>"05/01/2025 15:13:16.198"</f>
        <v>05/01/2025 15:13:16.198</v>
      </c>
      <c r="C3144" t="str">
        <f t="shared" si="1242"/>
        <v>FFDFD3C0</v>
      </c>
      <c r="D3144" t="s">
        <v>140</v>
      </c>
      <c r="E3144" t="str">
        <f>"13"</f>
        <v>13</v>
      </c>
      <c r="F3144">
        <v>1019</v>
      </c>
      <c r="G3144" t="s">
        <v>141</v>
      </c>
      <c r="J3144" t="s">
        <v>142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R3144" t="s">
        <v>127</v>
      </c>
      <c r="S3144" t="str">
        <f t="shared" si="1246"/>
        <v>15:13:15.000</v>
      </c>
      <c r="T3144" t="str">
        <f t="shared" si="1246"/>
        <v>15:13:15.000</v>
      </c>
      <c r="U3144" t="str">
        <f t="shared" si="1243"/>
        <v>A68FCB</v>
      </c>
      <c r="V3144">
        <v>0</v>
      </c>
      <c r="W3144">
        <v>0</v>
      </c>
      <c r="X3144">
        <v>2</v>
      </c>
      <c r="Y3144">
        <v>0</v>
      </c>
      <c r="AA3144">
        <v>1</v>
      </c>
      <c r="AB3144">
        <v>8</v>
      </c>
      <c r="AC3144">
        <v>3</v>
      </c>
      <c r="AD3144">
        <v>0</v>
      </c>
      <c r="AE3144">
        <v>9</v>
      </c>
      <c r="AF3144" t="s">
        <v>138</v>
      </c>
      <c r="AG3144">
        <v>0</v>
      </c>
      <c r="AH3144">
        <v>3</v>
      </c>
      <c r="AI3144">
        <v>2</v>
      </c>
      <c r="AJ3144">
        <v>0</v>
      </c>
      <c r="AK3144" t="s">
        <v>1050</v>
      </c>
      <c r="AL3144">
        <v>39.124696</v>
      </c>
      <c r="AM3144" t="s">
        <v>1051</v>
      </c>
      <c r="AN3144">
        <v>-121.031785</v>
      </c>
      <c r="AO3144">
        <v>25</v>
      </c>
      <c r="AP3144">
        <v>4400</v>
      </c>
      <c r="AQ3144" t="s">
        <v>131</v>
      </c>
      <c r="AR3144">
        <v>3</v>
      </c>
      <c r="AS3144">
        <v>84</v>
      </c>
      <c r="AT3144">
        <v>-256</v>
      </c>
      <c r="BB3144" t="str">
        <f t="shared" si="1244"/>
        <v>1200</v>
      </c>
      <c r="BC3144">
        <v>1</v>
      </c>
      <c r="BD3144" t="str">
        <f t="shared" si="1245"/>
        <v xml:space="preserve">N52156  </v>
      </c>
      <c r="BE3144">
        <v>1</v>
      </c>
      <c r="BG3144">
        <v>0</v>
      </c>
      <c r="BH3144">
        <v>0</v>
      </c>
      <c r="BI3144">
        <v>0</v>
      </c>
      <c r="BJ3144">
        <v>4400</v>
      </c>
      <c r="BK3144">
        <v>0</v>
      </c>
      <c r="BL3144" t="s">
        <v>188</v>
      </c>
      <c r="BM3144">
        <v>1</v>
      </c>
      <c r="BN3144">
        <v>1</v>
      </c>
      <c r="BO3144">
        <v>0</v>
      </c>
      <c r="BP3144">
        <v>0</v>
      </c>
      <c r="BS3144">
        <v>0</v>
      </c>
      <c r="BT3144">
        <v>0</v>
      </c>
      <c r="BU3144">
        <v>0</v>
      </c>
      <c r="CE3144" t="str">
        <f t="shared" si="1247"/>
        <v>15:13:15.938</v>
      </c>
      <c r="CF3144">
        <v>938232021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5</v>
      </c>
      <c r="CY3144">
        <v>7</v>
      </c>
      <c r="CZ3144" t="s">
        <v>133</v>
      </c>
      <c r="DA3144">
        <v>275</v>
      </c>
      <c r="DB3144">
        <v>0</v>
      </c>
      <c r="DC3144" t="s">
        <v>134</v>
      </c>
      <c r="DD3144" t="s">
        <v>135</v>
      </c>
      <c r="DG3144">
        <v>3322409</v>
      </c>
      <c r="DI3144">
        <v>1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3">
      <c r="A3145" t="str">
        <f>"05/01/2025 15:13:16.198"</f>
        <v>05/01/2025 15:13:16.198</v>
      </c>
      <c r="C3145" t="str">
        <f t="shared" si="1242"/>
        <v>FFDFD3C0</v>
      </c>
      <c r="D3145" t="s">
        <v>124</v>
      </c>
      <c r="E3145" t="str">
        <f>"06"</f>
        <v>06</v>
      </c>
      <c r="F3145">
        <v>2006</v>
      </c>
      <c r="G3145" t="s">
        <v>125</v>
      </c>
      <c r="J3145" t="s">
        <v>126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R3145" t="s">
        <v>127</v>
      </c>
      <c r="S3145" t="str">
        <f t="shared" si="1246"/>
        <v>15:13:15.000</v>
      </c>
      <c r="T3145" t="str">
        <f t="shared" si="1246"/>
        <v>15:13:15.000</v>
      </c>
      <c r="U3145" t="str">
        <f t="shared" si="1243"/>
        <v>A68FCB</v>
      </c>
      <c r="V3145">
        <v>0</v>
      </c>
      <c r="W3145">
        <v>0</v>
      </c>
      <c r="X3145">
        <v>2</v>
      </c>
      <c r="Y3145">
        <v>0</v>
      </c>
      <c r="AA3145">
        <v>1</v>
      </c>
      <c r="AB3145">
        <v>8</v>
      </c>
      <c r="AC3145">
        <v>3</v>
      </c>
      <c r="AD3145">
        <v>0</v>
      </c>
      <c r="AE3145">
        <v>9</v>
      </c>
      <c r="AF3145" t="s">
        <v>138</v>
      </c>
      <c r="AG3145">
        <v>0</v>
      </c>
      <c r="AH3145">
        <v>3</v>
      </c>
      <c r="AI3145">
        <v>2</v>
      </c>
      <c r="AJ3145">
        <v>0</v>
      </c>
      <c r="AK3145" t="s">
        <v>1050</v>
      </c>
      <c r="AL3145">
        <v>39.124696</v>
      </c>
      <c r="AM3145" t="s">
        <v>1051</v>
      </c>
      <c r="AN3145">
        <v>-121.031785</v>
      </c>
      <c r="AO3145">
        <v>25</v>
      </c>
      <c r="AP3145">
        <v>4400</v>
      </c>
      <c r="AQ3145" t="s">
        <v>131</v>
      </c>
      <c r="AR3145">
        <v>3</v>
      </c>
      <c r="AS3145">
        <v>84</v>
      </c>
      <c r="AT3145">
        <v>-256</v>
      </c>
      <c r="BB3145" t="str">
        <f t="shared" si="1244"/>
        <v>1200</v>
      </c>
      <c r="BC3145">
        <v>1</v>
      </c>
      <c r="BD3145" t="str">
        <f t="shared" si="1245"/>
        <v xml:space="preserve">N52156  </v>
      </c>
      <c r="BE3145">
        <v>1</v>
      </c>
      <c r="BG3145">
        <v>0</v>
      </c>
      <c r="BH3145">
        <v>0</v>
      </c>
      <c r="BI3145">
        <v>0</v>
      </c>
      <c r="BJ3145">
        <v>4400</v>
      </c>
      <c r="BK3145">
        <v>0</v>
      </c>
      <c r="BL3145" t="s">
        <v>188</v>
      </c>
      <c r="BM3145">
        <v>1</v>
      </c>
      <c r="BN3145">
        <v>1</v>
      </c>
      <c r="BO3145">
        <v>0</v>
      </c>
      <c r="BP3145">
        <v>0</v>
      </c>
      <c r="BS3145">
        <v>0</v>
      </c>
      <c r="BT3145">
        <v>0</v>
      </c>
      <c r="BU3145">
        <v>0</v>
      </c>
      <c r="CE3145" t="str">
        <f t="shared" si="1247"/>
        <v>15:13:15.938</v>
      </c>
      <c r="CF3145">
        <v>938232021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5</v>
      </c>
      <c r="CY3145">
        <v>7</v>
      </c>
      <c r="CZ3145" t="s">
        <v>133</v>
      </c>
      <c r="DA3145">
        <v>275</v>
      </c>
      <c r="DB3145">
        <v>0</v>
      </c>
      <c r="DC3145" t="s">
        <v>134</v>
      </c>
      <c r="DD3145" t="s">
        <v>135</v>
      </c>
      <c r="DG3145">
        <v>3322409</v>
      </c>
      <c r="DI3145">
        <v>1</v>
      </c>
      <c r="DJ3145">
        <v>0</v>
      </c>
      <c r="DK3145">
        <v>1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3">
      <c r="A3146" t="str">
        <f>"05/01/2025 15:13:16.499"</f>
        <v>05/01/2025 15:13:16.499</v>
      </c>
      <c r="C3146" t="str">
        <f t="shared" si="1242"/>
        <v>FFDFD3C0</v>
      </c>
      <c r="D3146" t="s">
        <v>124</v>
      </c>
      <c r="E3146" t="str">
        <f>"06"</f>
        <v>06</v>
      </c>
      <c r="F3146">
        <v>2006</v>
      </c>
      <c r="G3146" t="s">
        <v>125</v>
      </c>
      <c r="J3146" t="s">
        <v>126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R3146" t="s">
        <v>127</v>
      </c>
      <c r="S3146" t="str">
        <f t="shared" ref="S3146:T3151" si="1248">"15:13:16.000"</f>
        <v>15:13:16.000</v>
      </c>
      <c r="T3146" t="str">
        <f t="shared" si="1248"/>
        <v>15:13:16.000</v>
      </c>
      <c r="U3146" t="str">
        <f t="shared" si="1243"/>
        <v>A68FCB</v>
      </c>
      <c r="V3146">
        <v>0</v>
      </c>
      <c r="W3146">
        <v>0</v>
      </c>
      <c r="X3146">
        <v>2</v>
      </c>
      <c r="Y3146">
        <v>0</v>
      </c>
      <c r="AA3146">
        <v>1</v>
      </c>
      <c r="AB3146">
        <v>8</v>
      </c>
      <c r="AC3146">
        <v>3</v>
      </c>
      <c r="AD3146">
        <v>0</v>
      </c>
      <c r="AE3146">
        <v>9</v>
      </c>
      <c r="AF3146" t="s">
        <v>138</v>
      </c>
      <c r="AG3146">
        <v>0</v>
      </c>
      <c r="AH3146">
        <v>3</v>
      </c>
      <c r="AI3146">
        <v>2</v>
      </c>
      <c r="AJ3146">
        <v>0</v>
      </c>
      <c r="AK3146" t="s">
        <v>1052</v>
      </c>
      <c r="AL3146">
        <v>39.125081999999999</v>
      </c>
      <c r="AM3146" t="s">
        <v>1053</v>
      </c>
      <c r="AN3146">
        <v>-121.031764</v>
      </c>
      <c r="AO3146">
        <v>25</v>
      </c>
      <c r="AP3146">
        <v>4400</v>
      </c>
      <c r="AQ3146" t="s">
        <v>131</v>
      </c>
      <c r="AR3146">
        <v>3</v>
      </c>
      <c r="AS3146">
        <v>84</v>
      </c>
      <c r="AT3146">
        <v>-256</v>
      </c>
      <c r="BB3146" t="str">
        <f t="shared" si="1244"/>
        <v>1200</v>
      </c>
      <c r="BC3146">
        <v>1</v>
      </c>
      <c r="BD3146" t="str">
        <f t="shared" si="1245"/>
        <v xml:space="preserve">N52156  </v>
      </c>
      <c r="BE3146">
        <v>1</v>
      </c>
      <c r="BG3146">
        <v>0</v>
      </c>
      <c r="BH3146">
        <v>0</v>
      </c>
      <c r="BI3146">
        <v>0</v>
      </c>
      <c r="BJ3146">
        <v>4400</v>
      </c>
      <c r="BK3146">
        <v>0</v>
      </c>
      <c r="BL3146" t="s">
        <v>188</v>
      </c>
      <c r="BM3146">
        <v>1</v>
      </c>
      <c r="BN3146">
        <v>1</v>
      </c>
      <c r="BO3146">
        <v>0</v>
      </c>
      <c r="BP3146">
        <v>0</v>
      </c>
      <c r="BS3146">
        <v>0</v>
      </c>
      <c r="BT3146">
        <v>0</v>
      </c>
      <c r="BU3146">
        <v>0</v>
      </c>
      <c r="CE3146" t="str">
        <f t="shared" ref="CE3146:CE3151" si="1249">"15:13:16.298"</f>
        <v>15:13:16.298</v>
      </c>
      <c r="CF3146">
        <v>298480410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5</v>
      </c>
      <c r="CY3146">
        <v>7</v>
      </c>
      <c r="CZ3146" t="s">
        <v>133</v>
      </c>
      <c r="DA3146">
        <v>275</v>
      </c>
      <c r="DB3146">
        <v>0</v>
      </c>
      <c r="DC3146" t="s">
        <v>134</v>
      </c>
      <c r="DD3146" t="s">
        <v>135</v>
      </c>
      <c r="DG3146">
        <v>3322412</v>
      </c>
      <c r="DI3146">
        <v>1</v>
      </c>
      <c r="DJ3146">
        <v>0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">
      <c r="A3147" t="str">
        <f>"05/01/2025 15:13:16.499"</f>
        <v>05/01/2025 15:13:16.499</v>
      </c>
      <c r="C3147" t="str">
        <f t="shared" si="1242"/>
        <v>FFDFD3C0</v>
      </c>
      <c r="D3147" t="s">
        <v>140</v>
      </c>
      <c r="E3147" t="str">
        <f>"13"</f>
        <v>13</v>
      </c>
      <c r="F3147">
        <v>1019</v>
      </c>
      <c r="G3147" t="s">
        <v>141</v>
      </c>
      <c r="J3147" t="s">
        <v>142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R3147" t="s">
        <v>127</v>
      </c>
      <c r="S3147" t="str">
        <f t="shared" si="1248"/>
        <v>15:13:16.000</v>
      </c>
      <c r="T3147" t="str">
        <f t="shared" si="1248"/>
        <v>15:13:16.000</v>
      </c>
      <c r="U3147" t="str">
        <f t="shared" si="1243"/>
        <v>A68FCB</v>
      </c>
      <c r="V3147">
        <v>0</v>
      </c>
      <c r="W3147">
        <v>0</v>
      </c>
      <c r="X3147">
        <v>2</v>
      </c>
      <c r="Y3147">
        <v>0</v>
      </c>
      <c r="AA3147">
        <v>1</v>
      </c>
      <c r="AB3147">
        <v>8</v>
      </c>
      <c r="AC3147">
        <v>3</v>
      </c>
      <c r="AD3147">
        <v>0</v>
      </c>
      <c r="AE3147">
        <v>9</v>
      </c>
      <c r="AF3147" t="s">
        <v>138</v>
      </c>
      <c r="AG3147">
        <v>0</v>
      </c>
      <c r="AH3147">
        <v>3</v>
      </c>
      <c r="AI3147">
        <v>2</v>
      </c>
      <c r="AJ3147">
        <v>0</v>
      </c>
      <c r="AK3147" t="s">
        <v>1052</v>
      </c>
      <c r="AL3147">
        <v>39.125081999999999</v>
      </c>
      <c r="AM3147" t="s">
        <v>1053</v>
      </c>
      <c r="AN3147">
        <v>-121.031764</v>
      </c>
      <c r="AO3147">
        <v>25</v>
      </c>
      <c r="AP3147">
        <v>4400</v>
      </c>
      <c r="AQ3147" t="s">
        <v>131</v>
      </c>
      <c r="AR3147">
        <v>3</v>
      </c>
      <c r="AS3147">
        <v>84</v>
      </c>
      <c r="AT3147">
        <v>-256</v>
      </c>
      <c r="BB3147" t="str">
        <f t="shared" si="1244"/>
        <v>1200</v>
      </c>
      <c r="BC3147">
        <v>1</v>
      </c>
      <c r="BD3147" t="str">
        <f t="shared" si="1245"/>
        <v xml:space="preserve">N52156  </v>
      </c>
      <c r="BE3147">
        <v>1</v>
      </c>
      <c r="BG3147">
        <v>0</v>
      </c>
      <c r="BH3147">
        <v>0</v>
      </c>
      <c r="BI3147">
        <v>0</v>
      </c>
      <c r="BJ3147">
        <v>4400</v>
      </c>
      <c r="BK3147">
        <v>0</v>
      </c>
      <c r="BL3147" t="s">
        <v>188</v>
      </c>
      <c r="BM3147">
        <v>1</v>
      </c>
      <c r="BN3147">
        <v>1</v>
      </c>
      <c r="BO3147">
        <v>0</v>
      </c>
      <c r="BP3147">
        <v>0</v>
      </c>
      <c r="BS3147">
        <v>0</v>
      </c>
      <c r="BT3147">
        <v>0</v>
      </c>
      <c r="BU3147">
        <v>0</v>
      </c>
      <c r="CE3147" t="str">
        <f t="shared" si="1249"/>
        <v>15:13:16.298</v>
      </c>
      <c r="CF3147">
        <v>298480410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5</v>
      </c>
      <c r="CY3147">
        <v>7</v>
      </c>
      <c r="CZ3147" t="s">
        <v>133</v>
      </c>
      <c r="DA3147">
        <v>275</v>
      </c>
      <c r="DB3147">
        <v>0</v>
      </c>
      <c r="DC3147" t="s">
        <v>134</v>
      </c>
      <c r="DD3147" t="s">
        <v>135</v>
      </c>
      <c r="DG3147">
        <v>3322412</v>
      </c>
      <c r="DI3147">
        <v>1</v>
      </c>
      <c r="DJ3147">
        <v>0</v>
      </c>
      <c r="DK3147">
        <v>1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3">
      <c r="A3148" t="str">
        <f>"05/01/2025 15:13:16.512"</f>
        <v>05/01/2025 15:13:16.512</v>
      </c>
      <c r="C3148" t="str">
        <f t="shared" si="1242"/>
        <v>FFDFD3C0</v>
      </c>
      <c r="D3148" t="s">
        <v>145</v>
      </c>
      <c r="E3148" t="str">
        <f>"09"</f>
        <v>09</v>
      </c>
      <c r="H3148">
        <v>51</v>
      </c>
      <c r="I3148" t="s">
        <v>147</v>
      </c>
      <c r="J3148" t="s">
        <v>138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R3148" t="s">
        <v>127</v>
      </c>
      <c r="S3148" t="str">
        <f t="shared" si="1248"/>
        <v>15:13:16.000</v>
      </c>
      <c r="T3148" t="str">
        <f t="shared" si="1248"/>
        <v>15:13:16.000</v>
      </c>
      <c r="U3148" t="str">
        <f t="shared" si="1243"/>
        <v>A68FCB</v>
      </c>
      <c r="V3148">
        <v>0</v>
      </c>
      <c r="W3148">
        <v>0</v>
      </c>
      <c r="X3148">
        <v>2</v>
      </c>
      <c r="Y3148">
        <v>0</v>
      </c>
      <c r="AA3148">
        <v>1</v>
      </c>
      <c r="AB3148">
        <v>8</v>
      </c>
      <c r="AC3148">
        <v>3</v>
      </c>
      <c r="AD3148">
        <v>0</v>
      </c>
      <c r="AE3148">
        <v>9</v>
      </c>
      <c r="AF3148" t="s">
        <v>138</v>
      </c>
      <c r="AG3148">
        <v>0</v>
      </c>
      <c r="AH3148">
        <v>3</v>
      </c>
      <c r="AI3148">
        <v>2</v>
      </c>
      <c r="AJ3148">
        <v>0</v>
      </c>
      <c r="AK3148" t="s">
        <v>1052</v>
      </c>
      <c r="AL3148">
        <v>39.125081999999999</v>
      </c>
      <c r="AM3148" t="s">
        <v>1053</v>
      </c>
      <c r="AN3148">
        <v>-121.031764</v>
      </c>
      <c r="AO3148">
        <v>25</v>
      </c>
      <c r="AP3148">
        <v>4400</v>
      </c>
      <c r="AQ3148" t="s">
        <v>131</v>
      </c>
      <c r="AR3148">
        <v>3</v>
      </c>
      <c r="AS3148">
        <v>84</v>
      </c>
      <c r="AT3148">
        <v>-256</v>
      </c>
      <c r="BB3148" t="str">
        <f t="shared" si="1244"/>
        <v>1200</v>
      </c>
      <c r="BC3148">
        <v>1</v>
      </c>
      <c r="BD3148" t="str">
        <f t="shared" si="1245"/>
        <v xml:space="preserve">N52156  </v>
      </c>
      <c r="BE3148">
        <v>1</v>
      </c>
      <c r="BG3148">
        <v>0</v>
      </c>
      <c r="BH3148">
        <v>0</v>
      </c>
      <c r="BI3148">
        <v>0</v>
      </c>
      <c r="BJ3148">
        <v>4400</v>
      </c>
      <c r="BK3148">
        <v>0</v>
      </c>
      <c r="BL3148" t="s">
        <v>188</v>
      </c>
      <c r="BM3148">
        <v>1</v>
      </c>
      <c r="BN3148">
        <v>1</v>
      </c>
      <c r="BO3148">
        <v>0</v>
      </c>
      <c r="BP3148">
        <v>0</v>
      </c>
      <c r="BS3148">
        <v>0</v>
      </c>
      <c r="BT3148">
        <v>0</v>
      </c>
      <c r="BU3148">
        <v>0</v>
      </c>
      <c r="CE3148" t="str">
        <f t="shared" si="1249"/>
        <v>15:13:16.298</v>
      </c>
      <c r="CF3148">
        <v>298480410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5</v>
      </c>
      <c r="CY3148">
        <v>7</v>
      </c>
      <c r="CZ3148" t="s">
        <v>133</v>
      </c>
      <c r="DA3148">
        <v>275</v>
      </c>
      <c r="DB3148">
        <v>0</v>
      </c>
      <c r="DC3148" t="s">
        <v>134</v>
      </c>
      <c r="DD3148" t="s">
        <v>135</v>
      </c>
      <c r="DG3148">
        <v>3322412</v>
      </c>
      <c r="DI3148">
        <v>1</v>
      </c>
      <c r="DJ3148">
        <v>0</v>
      </c>
      <c r="DK3148">
        <v>1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">
      <c r="A3149" t="str">
        <f>"05/01/2025 15:13:16.514"</f>
        <v>05/01/2025 15:13:16.514</v>
      </c>
      <c r="C3149" t="str">
        <f t="shared" si="1242"/>
        <v>FFDFD3C0</v>
      </c>
      <c r="D3149" t="s">
        <v>145</v>
      </c>
      <c r="E3149" t="str">
        <f>"05"</f>
        <v>05</v>
      </c>
      <c r="H3149">
        <v>47</v>
      </c>
      <c r="I3149" t="s">
        <v>146</v>
      </c>
      <c r="J3149" t="s">
        <v>138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R3149" t="s">
        <v>127</v>
      </c>
      <c r="S3149" t="str">
        <f t="shared" si="1248"/>
        <v>15:13:16.000</v>
      </c>
      <c r="T3149" t="str">
        <f t="shared" si="1248"/>
        <v>15:13:16.000</v>
      </c>
      <c r="U3149" t="str">
        <f t="shared" si="1243"/>
        <v>A68FCB</v>
      </c>
      <c r="V3149">
        <v>0</v>
      </c>
      <c r="W3149">
        <v>0</v>
      </c>
      <c r="X3149">
        <v>2</v>
      </c>
      <c r="Y3149">
        <v>0</v>
      </c>
      <c r="AA3149">
        <v>1</v>
      </c>
      <c r="AB3149">
        <v>8</v>
      </c>
      <c r="AC3149">
        <v>3</v>
      </c>
      <c r="AD3149">
        <v>0</v>
      </c>
      <c r="AE3149">
        <v>9</v>
      </c>
      <c r="AF3149" t="s">
        <v>138</v>
      </c>
      <c r="AG3149">
        <v>0</v>
      </c>
      <c r="AH3149">
        <v>3</v>
      </c>
      <c r="AI3149">
        <v>2</v>
      </c>
      <c r="AJ3149">
        <v>0</v>
      </c>
      <c r="AK3149" t="s">
        <v>1052</v>
      </c>
      <c r="AL3149">
        <v>39.125081999999999</v>
      </c>
      <c r="AM3149" t="s">
        <v>1053</v>
      </c>
      <c r="AN3149">
        <v>-121.031764</v>
      </c>
      <c r="AO3149">
        <v>25</v>
      </c>
      <c r="AP3149">
        <v>4400</v>
      </c>
      <c r="AQ3149" t="s">
        <v>131</v>
      </c>
      <c r="AR3149">
        <v>3</v>
      </c>
      <c r="AS3149">
        <v>84</v>
      </c>
      <c r="AT3149">
        <v>-256</v>
      </c>
      <c r="BB3149" t="str">
        <f t="shared" si="1244"/>
        <v>1200</v>
      </c>
      <c r="BC3149">
        <v>1</v>
      </c>
      <c r="BD3149" t="str">
        <f t="shared" si="1245"/>
        <v xml:space="preserve">N52156  </v>
      </c>
      <c r="BE3149">
        <v>1</v>
      </c>
      <c r="BG3149">
        <v>0</v>
      </c>
      <c r="BH3149">
        <v>0</v>
      </c>
      <c r="BI3149">
        <v>0</v>
      </c>
      <c r="BJ3149">
        <v>4400</v>
      </c>
      <c r="BK3149">
        <v>0</v>
      </c>
      <c r="BL3149" t="s">
        <v>188</v>
      </c>
      <c r="BM3149">
        <v>1</v>
      </c>
      <c r="BN3149">
        <v>1</v>
      </c>
      <c r="BO3149">
        <v>0</v>
      </c>
      <c r="BP3149">
        <v>0</v>
      </c>
      <c r="BS3149">
        <v>0</v>
      </c>
      <c r="BT3149">
        <v>0</v>
      </c>
      <c r="BU3149">
        <v>0</v>
      </c>
      <c r="CE3149" t="str">
        <f t="shared" si="1249"/>
        <v>15:13:16.298</v>
      </c>
      <c r="CF3149">
        <v>298480410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5</v>
      </c>
      <c r="CY3149">
        <v>7</v>
      </c>
      <c r="CZ3149" t="s">
        <v>133</v>
      </c>
      <c r="DA3149">
        <v>275</v>
      </c>
      <c r="DB3149">
        <v>0</v>
      </c>
      <c r="DC3149" t="s">
        <v>134</v>
      </c>
      <c r="DD3149" t="s">
        <v>135</v>
      </c>
      <c r="DG3149">
        <v>3322412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">
      <c r="A3150" t="str">
        <f>"05/01/2025 15:13:16.525"</f>
        <v>05/01/2025 15:13:16.525</v>
      </c>
      <c r="C3150" t="str">
        <f t="shared" si="1242"/>
        <v>FFDFD3C0</v>
      </c>
      <c r="D3150" t="s">
        <v>136</v>
      </c>
      <c r="E3150" t="str">
        <f>"20"</f>
        <v>20</v>
      </c>
      <c r="H3150">
        <v>400</v>
      </c>
      <c r="I3150" t="s">
        <v>137</v>
      </c>
      <c r="J3150" t="s">
        <v>138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R3150" t="s">
        <v>127</v>
      </c>
      <c r="S3150" t="str">
        <f t="shared" si="1248"/>
        <v>15:13:16.000</v>
      </c>
      <c r="T3150" t="str">
        <f t="shared" si="1248"/>
        <v>15:13:16.000</v>
      </c>
      <c r="U3150" t="str">
        <f t="shared" si="1243"/>
        <v>A68FCB</v>
      </c>
      <c r="V3150">
        <v>0</v>
      </c>
      <c r="W3150">
        <v>0</v>
      </c>
      <c r="X3150">
        <v>2</v>
      </c>
      <c r="Y3150">
        <v>0</v>
      </c>
      <c r="AA3150">
        <v>1</v>
      </c>
      <c r="AB3150">
        <v>8</v>
      </c>
      <c r="AC3150">
        <v>3</v>
      </c>
      <c r="AD3150">
        <v>0</v>
      </c>
      <c r="AE3150">
        <v>9</v>
      </c>
      <c r="AF3150" t="s">
        <v>138</v>
      </c>
      <c r="AG3150">
        <v>0</v>
      </c>
      <c r="AH3150">
        <v>3</v>
      </c>
      <c r="AI3150">
        <v>2</v>
      </c>
      <c r="AJ3150">
        <v>0</v>
      </c>
      <c r="AK3150" t="s">
        <v>1052</v>
      </c>
      <c r="AL3150">
        <v>39.125081999999999</v>
      </c>
      <c r="AM3150" t="s">
        <v>1053</v>
      </c>
      <c r="AN3150">
        <v>-121.031764</v>
      </c>
      <c r="AO3150">
        <v>25</v>
      </c>
      <c r="AP3150">
        <v>4400</v>
      </c>
      <c r="AQ3150" t="s">
        <v>131</v>
      </c>
      <c r="AR3150">
        <v>3</v>
      </c>
      <c r="AS3150">
        <v>84</v>
      </c>
      <c r="AT3150">
        <v>-256</v>
      </c>
      <c r="BB3150" t="str">
        <f t="shared" si="1244"/>
        <v>1200</v>
      </c>
      <c r="BC3150">
        <v>1</v>
      </c>
      <c r="BD3150" t="str">
        <f t="shared" si="1245"/>
        <v xml:space="preserve">N52156  </v>
      </c>
      <c r="BE3150">
        <v>1</v>
      </c>
      <c r="BG3150">
        <v>0</v>
      </c>
      <c r="BH3150">
        <v>0</v>
      </c>
      <c r="BI3150">
        <v>0</v>
      </c>
      <c r="BJ3150">
        <v>4400</v>
      </c>
      <c r="BK3150">
        <v>0</v>
      </c>
      <c r="BL3150" t="s">
        <v>188</v>
      </c>
      <c r="BM3150">
        <v>1</v>
      </c>
      <c r="BN3150">
        <v>1</v>
      </c>
      <c r="BO3150">
        <v>0</v>
      </c>
      <c r="BP3150">
        <v>0</v>
      </c>
      <c r="BS3150">
        <v>0</v>
      </c>
      <c r="BT3150">
        <v>0</v>
      </c>
      <c r="BU3150">
        <v>0</v>
      </c>
      <c r="CE3150" t="str">
        <f t="shared" si="1249"/>
        <v>15:13:16.298</v>
      </c>
      <c r="CF3150">
        <v>298480410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5</v>
      </c>
      <c r="CY3150">
        <v>7</v>
      </c>
      <c r="CZ3150" t="s">
        <v>133</v>
      </c>
      <c r="DA3150">
        <v>275</v>
      </c>
      <c r="DB3150">
        <v>0</v>
      </c>
      <c r="DC3150" t="s">
        <v>134</v>
      </c>
      <c r="DD3150" t="s">
        <v>135</v>
      </c>
      <c r="DG3150">
        <v>3322412</v>
      </c>
      <c r="DI3150">
        <v>1</v>
      </c>
      <c r="DJ3150">
        <v>0</v>
      </c>
      <c r="DK3150">
        <v>1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">
      <c r="A3151" t="str">
        <f>"05/01/2025 15:13:16.536"</f>
        <v>05/01/2025 15:13:16.536</v>
      </c>
      <c r="C3151" t="str">
        <f t="shared" si="1242"/>
        <v>FFDFD3C0</v>
      </c>
      <c r="D3151" t="s">
        <v>143</v>
      </c>
      <c r="E3151" t="str">
        <f>"05"</f>
        <v>05</v>
      </c>
      <c r="H3151">
        <v>172</v>
      </c>
      <c r="I3151" t="s">
        <v>141</v>
      </c>
      <c r="J3151" t="s">
        <v>144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R3151" t="s">
        <v>127</v>
      </c>
      <c r="S3151" t="str">
        <f t="shared" si="1248"/>
        <v>15:13:16.000</v>
      </c>
      <c r="T3151" t="str">
        <f t="shared" si="1248"/>
        <v>15:13:16.000</v>
      </c>
      <c r="U3151" t="str">
        <f t="shared" si="1243"/>
        <v>A68FCB</v>
      </c>
      <c r="V3151">
        <v>0</v>
      </c>
      <c r="W3151">
        <v>0</v>
      </c>
      <c r="X3151">
        <v>2</v>
      </c>
      <c r="Y3151">
        <v>0</v>
      </c>
      <c r="AA3151">
        <v>1</v>
      </c>
      <c r="AB3151">
        <v>8</v>
      </c>
      <c r="AC3151">
        <v>3</v>
      </c>
      <c r="AD3151">
        <v>0</v>
      </c>
      <c r="AE3151">
        <v>9</v>
      </c>
      <c r="AF3151" t="s">
        <v>138</v>
      </c>
      <c r="AG3151">
        <v>0</v>
      </c>
      <c r="AH3151">
        <v>3</v>
      </c>
      <c r="AI3151">
        <v>2</v>
      </c>
      <c r="AJ3151">
        <v>0</v>
      </c>
      <c r="AK3151" t="s">
        <v>1052</v>
      </c>
      <c r="AL3151">
        <v>39.125081999999999</v>
      </c>
      <c r="AM3151" t="s">
        <v>1053</v>
      </c>
      <c r="AN3151">
        <v>-121.031764</v>
      </c>
      <c r="AO3151">
        <v>25</v>
      </c>
      <c r="AP3151">
        <v>4400</v>
      </c>
      <c r="AQ3151" t="s">
        <v>131</v>
      </c>
      <c r="AR3151">
        <v>3</v>
      </c>
      <c r="AS3151">
        <v>84</v>
      </c>
      <c r="AT3151">
        <v>-256</v>
      </c>
      <c r="BB3151" t="str">
        <f t="shared" si="1244"/>
        <v>1200</v>
      </c>
      <c r="BC3151">
        <v>1</v>
      </c>
      <c r="BD3151" t="str">
        <f t="shared" si="1245"/>
        <v xml:space="preserve">N52156  </v>
      </c>
      <c r="BE3151">
        <v>1</v>
      </c>
      <c r="BG3151">
        <v>0</v>
      </c>
      <c r="BH3151">
        <v>0</v>
      </c>
      <c r="BI3151">
        <v>0</v>
      </c>
      <c r="BJ3151">
        <v>4400</v>
      </c>
      <c r="BK3151">
        <v>0</v>
      </c>
      <c r="BL3151" t="s">
        <v>188</v>
      </c>
      <c r="BM3151">
        <v>1</v>
      </c>
      <c r="BN3151">
        <v>1</v>
      </c>
      <c r="BO3151">
        <v>0</v>
      </c>
      <c r="BP3151">
        <v>0</v>
      </c>
      <c r="BS3151">
        <v>0</v>
      </c>
      <c r="BT3151">
        <v>0</v>
      </c>
      <c r="BU3151">
        <v>0</v>
      </c>
      <c r="CE3151" t="str">
        <f t="shared" si="1249"/>
        <v>15:13:16.298</v>
      </c>
      <c r="CF3151">
        <v>298480410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5</v>
      </c>
      <c r="CY3151">
        <v>7</v>
      </c>
      <c r="CZ3151" t="s">
        <v>133</v>
      </c>
      <c r="DA3151">
        <v>275</v>
      </c>
      <c r="DB3151">
        <v>0</v>
      </c>
      <c r="DC3151" t="s">
        <v>134</v>
      </c>
      <c r="DD3151" t="s">
        <v>135</v>
      </c>
      <c r="DG3151">
        <v>3322412</v>
      </c>
      <c r="DI3151">
        <v>1</v>
      </c>
      <c r="DJ3151">
        <v>0</v>
      </c>
      <c r="DK3151">
        <v>1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">
      <c r="A3152" t="str">
        <f>"05/01/2025 15:13:17.865"</f>
        <v>05/01/2025 15:13:17.865</v>
      </c>
      <c r="C3152" t="str">
        <f t="shared" si="1242"/>
        <v>FFDFD3C0</v>
      </c>
      <c r="D3152" t="s">
        <v>145</v>
      </c>
      <c r="E3152" t="str">
        <f>"09"</f>
        <v>09</v>
      </c>
      <c r="H3152">
        <v>51</v>
      </c>
      <c r="I3152" t="s">
        <v>147</v>
      </c>
      <c r="J3152" t="s">
        <v>138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R3152" t="s">
        <v>127</v>
      </c>
      <c r="S3152" t="str">
        <f t="shared" ref="S3152:T3157" si="1250">"15:13:17.000"</f>
        <v>15:13:17.000</v>
      </c>
      <c r="T3152" t="str">
        <f t="shared" si="1250"/>
        <v>15:13:17.000</v>
      </c>
      <c r="U3152" t="str">
        <f t="shared" si="1243"/>
        <v>A68FCB</v>
      </c>
      <c r="V3152">
        <v>0</v>
      </c>
      <c r="W3152">
        <v>0</v>
      </c>
      <c r="X3152">
        <v>2</v>
      </c>
      <c r="Y3152">
        <v>0</v>
      </c>
      <c r="AA3152">
        <v>1</v>
      </c>
      <c r="AB3152">
        <v>8</v>
      </c>
      <c r="AC3152">
        <v>3</v>
      </c>
      <c r="AD3152">
        <v>0</v>
      </c>
      <c r="AE3152">
        <v>9</v>
      </c>
      <c r="AF3152" t="s">
        <v>138</v>
      </c>
      <c r="AG3152">
        <v>0</v>
      </c>
      <c r="AH3152">
        <v>3</v>
      </c>
      <c r="AI3152">
        <v>2</v>
      </c>
      <c r="AJ3152">
        <v>0</v>
      </c>
      <c r="AK3152" t="s">
        <v>1054</v>
      </c>
      <c r="AL3152">
        <v>39.125489999999999</v>
      </c>
      <c r="AM3152" t="s">
        <v>1055</v>
      </c>
      <c r="AN3152">
        <v>-121.03174199999999</v>
      </c>
      <c r="AO3152">
        <v>25</v>
      </c>
      <c r="AP3152">
        <v>4400</v>
      </c>
      <c r="AQ3152" t="s">
        <v>131</v>
      </c>
      <c r="AR3152">
        <v>2</v>
      </c>
      <c r="AS3152">
        <v>84</v>
      </c>
      <c r="AT3152">
        <v>-192</v>
      </c>
      <c r="BB3152" t="str">
        <f t="shared" si="1244"/>
        <v>1200</v>
      </c>
      <c r="BC3152">
        <v>1</v>
      </c>
      <c r="BD3152" t="str">
        <f t="shared" si="1245"/>
        <v xml:space="preserve">N52156  </v>
      </c>
      <c r="BE3152">
        <v>1</v>
      </c>
      <c r="BG3152">
        <v>0</v>
      </c>
      <c r="BH3152">
        <v>0</v>
      </c>
      <c r="BI3152">
        <v>0</v>
      </c>
      <c r="BJ3152">
        <v>4400</v>
      </c>
      <c r="BK3152">
        <v>0</v>
      </c>
      <c r="BL3152" t="s">
        <v>188</v>
      </c>
      <c r="BM3152">
        <v>1</v>
      </c>
      <c r="BN3152">
        <v>1</v>
      </c>
      <c r="BO3152">
        <v>0</v>
      </c>
      <c r="BP3152">
        <v>0</v>
      </c>
      <c r="BS3152">
        <v>0</v>
      </c>
      <c r="BT3152">
        <v>0</v>
      </c>
      <c r="BU3152">
        <v>0</v>
      </c>
      <c r="CE3152" t="str">
        <f t="shared" ref="CE3152:CE3157" si="1251">"15:13:17.648"</f>
        <v>15:13:17.648</v>
      </c>
      <c r="CF3152">
        <v>648481419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5</v>
      </c>
      <c r="CY3152">
        <v>7</v>
      </c>
      <c r="CZ3152" t="s">
        <v>133</v>
      </c>
      <c r="DA3152">
        <v>275</v>
      </c>
      <c r="DB3152">
        <v>0</v>
      </c>
      <c r="DC3152" t="s">
        <v>134</v>
      </c>
      <c r="DD3152" t="s">
        <v>135</v>
      </c>
      <c r="DG3152">
        <v>3322421</v>
      </c>
      <c r="DI3152">
        <v>1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">
      <c r="A3153" t="str">
        <f>"05/01/2025 15:13:17.867"</f>
        <v>05/01/2025 15:13:17.867</v>
      </c>
      <c r="C3153" t="str">
        <f t="shared" si="1242"/>
        <v>FFDFD3C0</v>
      </c>
      <c r="D3153" t="s">
        <v>145</v>
      </c>
      <c r="E3153" t="str">
        <f>"05"</f>
        <v>05</v>
      </c>
      <c r="H3153">
        <v>47</v>
      </c>
      <c r="I3153" t="s">
        <v>146</v>
      </c>
      <c r="J3153" t="s">
        <v>138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R3153" t="s">
        <v>127</v>
      </c>
      <c r="S3153" t="str">
        <f t="shared" si="1250"/>
        <v>15:13:17.000</v>
      </c>
      <c r="T3153" t="str">
        <f t="shared" si="1250"/>
        <v>15:13:17.000</v>
      </c>
      <c r="U3153" t="str">
        <f t="shared" si="1243"/>
        <v>A68FCB</v>
      </c>
      <c r="V3153">
        <v>0</v>
      </c>
      <c r="W3153">
        <v>0</v>
      </c>
      <c r="X3153">
        <v>2</v>
      </c>
      <c r="Y3153">
        <v>0</v>
      </c>
      <c r="AA3153">
        <v>1</v>
      </c>
      <c r="AB3153">
        <v>8</v>
      </c>
      <c r="AC3153">
        <v>3</v>
      </c>
      <c r="AD3153">
        <v>0</v>
      </c>
      <c r="AE3153">
        <v>9</v>
      </c>
      <c r="AF3153" t="s">
        <v>138</v>
      </c>
      <c r="AG3153">
        <v>0</v>
      </c>
      <c r="AH3153">
        <v>3</v>
      </c>
      <c r="AI3153">
        <v>2</v>
      </c>
      <c r="AJ3153">
        <v>0</v>
      </c>
      <c r="AK3153" t="s">
        <v>1054</v>
      </c>
      <c r="AL3153">
        <v>39.125489999999999</v>
      </c>
      <c r="AM3153" t="s">
        <v>1055</v>
      </c>
      <c r="AN3153">
        <v>-121.03174199999999</v>
      </c>
      <c r="AO3153">
        <v>25</v>
      </c>
      <c r="AP3153">
        <v>4400</v>
      </c>
      <c r="AQ3153" t="s">
        <v>131</v>
      </c>
      <c r="AR3153">
        <v>2</v>
      </c>
      <c r="AS3153">
        <v>84</v>
      </c>
      <c r="AT3153">
        <v>-192</v>
      </c>
      <c r="BB3153" t="str">
        <f t="shared" si="1244"/>
        <v>1200</v>
      </c>
      <c r="BC3153">
        <v>1</v>
      </c>
      <c r="BD3153" t="str">
        <f t="shared" si="1245"/>
        <v xml:space="preserve">N52156  </v>
      </c>
      <c r="BE3153">
        <v>1</v>
      </c>
      <c r="BG3153">
        <v>0</v>
      </c>
      <c r="BH3153">
        <v>0</v>
      </c>
      <c r="BI3153">
        <v>0</v>
      </c>
      <c r="BJ3153">
        <v>4400</v>
      </c>
      <c r="BK3153">
        <v>0</v>
      </c>
      <c r="BL3153" t="s">
        <v>188</v>
      </c>
      <c r="BM3153">
        <v>1</v>
      </c>
      <c r="BN3153">
        <v>1</v>
      </c>
      <c r="BO3153">
        <v>0</v>
      </c>
      <c r="BP3153">
        <v>0</v>
      </c>
      <c r="BS3153">
        <v>0</v>
      </c>
      <c r="BT3153">
        <v>0</v>
      </c>
      <c r="BU3153">
        <v>0</v>
      </c>
      <c r="CE3153" t="str">
        <f t="shared" si="1251"/>
        <v>15:13:17.648</v>
      </c>
      <c r="CF3153">
        <v>648481419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5</v>
      </c>
      <c r="CY3153">
        <v>7</v>
      </c>
      <c r="CZ3153" t="s">
        <v>133</v>
      </c>
      <c r="DA3153">
        <v>275</v>
      </c>
      <c r="DB3153">
        <v>0</v>
      </c>
      <c r="DC3153" t="s">
        <v>134</v>
      </c>
      <c r="DD3153" t="s">
        <v>135</v>
      </c>
      <c r="DG3153">
        <v>3322421</v>
      </c>
      <c r="DI3153">
        <v>1</v>
      </c>
      <c r="DJ3153">
        <v>0</v>
      </c>
      <c r="DK3153">
        <v>1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">
      <c r="A3154" t="str">
        <f>"05/01/2025 15:13:17.878"</f>
        <v>05/01/2025 15:13:17.878</v>
      </c>
      <c r="C3154" t="str">
        <f t="shared" si="1242"/>
        <v>FFDFD3C0</v>
      </c>
      <c r="D3154" t="s">
        <v>136</v>
      </c>
      <c r="E3154" t="str">
        <f>"20"</f>
        <v>20</v>
      </c>
      <c r="H3154">
        <v>400</v>
      </c>
      <c r="I3154" t="s">
        <v>137</v>
      </c>
      <c r="J3154" t="s">
        <v>138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R3154" t="s">
        <v>127</v>
      </c>
      <c r="S3154" t="str">
        <f t="shared" si="1250"/>
        <v>15:13:17.000</v>
      </c>
      <c r="T3154" t="str">
        <f t="shared" si="1250"/>
        <v>15:13:17.000</v>
      </c>
      <c r="U3154" t="str">
        <f t="shared" si="1243"/>
        <v>A68FCB</v>
      </c>
      <c r="V3154">
        <v>0</v>
      </c>
      <c r="W3154">
        <v>0</v>
      </c>
      <c r="X3154">
        <v>2</v>
      </c>
      <c r="Y3154">
        <v>0</v>
      </c>
      <c r="AA3154">
        <v>1</v>
      </c>
      <c r="AB3154">
        <v>8</v>
      </c>
      <c r="AC3154">
        <v>3</v>
      </c>
      <c r="AD3154">
        <v>0</v>
      </c>
      <c r="AE3154">
        <v>9</v>
      </c>
      <c r="AF3154" t="s">
        <v>138</v>
      </c>
      <c r="AG3154">
        <v>0</v>
      </c>
      <c r="AH3154">
        <v>3</v>
      </c>
      <c r="AI3154">
        <v>2</v>
      </c>
      <c r="AJ3154">
        <v>0</v>
      </c>
      <c r="AK3154" t="s">
        <v>1054</v>
      </c>
      <c r="AL3154">
        <v>39.125489999999999</v>
      </c>
      <c r="AM3154" t="s">
        <v>1055</v>
      </c>
      <c r="AN3154">
        <v>-121.03174199999999</v>
      </c>
      <c r="AO3154">
        <v>25</v>
      </c>
      <c r="AP3154">
        <v>4400</v>
      </c>
      <c r="AQ3154" t="s">
        <v>131</v>
      </c>
      <c r="AR3154">
        <v>2</v>
      </c>
      <c r="AS3154">
        <v>84</v>
      </c>
      <c r="AT3154">
        <v>-192</v>
      </c>
      <c r="BB3154" t="str">
        <f t="shared" si="1244"/>
        <v>1200</v>
      </c>
      <c r="BC3154">
        <v>1</v>
      </c>
      <c r="BD3154" t="str">
        <f t="shared" si="1245"/>
        <v xml:space="preserve">N52156  </v>
      </c>
      <c r="BE3154">
        <v>1</v>
      </c>
      <c r="BG3154">
        <v>0</v>
      </c>
      <c r="BH3154">
        <v>0</v>
      </c>
      <c r="BI3154">
        <v>0</v>
      </c>
      <c r="BJ3154">
        <v>4400</v>
      </c>
      <c r="BK3154">
        <v>0</v>
      </c>
      <c r="BL3154" t="s">
        <v>188</v>
      </c>
      <c r="BM3154">
        <v>1</v>
      </c>
      <c r="BN3154">
        <v>1</v>
      </c>
      <c r="BO3154">
        <v>0</v>
      </c>
      <c r="BP3154">
        <v>0</v>
      </c>
      <c r="BS3154">
        <v>0</v>
      </c>
      <c r="BT3154">
        <v>0</v>
      </c>
      <c r="BU3154">
        <v>0</v>
      </c>
      <c r="CE3154" t="str">
        <f t="shared" si="1251"/>
        <v>15:13:17.648</v>
      </c>
      <c r="CF3154">
        <v>648481419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5</v>
      </c>
      <c r="CY3154">
        <v>7</v>
      </c>
      <c r="CZ3154" t="s">
        <v>133</v>
      </c>
      <c r="DA3154">
        <v>275</v>
      </c>
      <c r="DB3154">
        <v>0</v>
      </c>
      <c r="DC3154" t="s">
        <v>134</v>
      </c>
      <c r="DD3154" t="s">
        <v>135</v>
      </c>
      <c r="DG3154">
        <v>3322421</v>
      </c>
      <c r="DI3154">
        <v>1</v>
      </c>
      <c r="DJ3154">
        <v>0</v>
      </c>
      <c r="DK3154">
        <v>1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3">
      <c r="A3155" t="str">
        <f>"05/01/2025 15:13:17.888"</f>
        <v>05/01/2025 15:13:17.888</v>
      </c>
      <c r="C3155" t="str">
        <f t="shared" si="1242"/>
        <v>FFDFD3C0</v>
      </c>
      <c r="D3155" t="s">
        <v>143</v>
      </c>
      <c r="E3155" t="str">
        <f>"05"</f>
        <v>05</v>
      </c>
      <c r="H3155">
        <v>172</v>
      </c>
      <c r="I3155" t="s">
        <v>141</v>
      </c>
      <c r="J3155" t="s">
        <v>144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R3155" t="s">
        <v>127</v>
      </c>
      <c r="S3155" t="str">
        <f t="shared" si="1250"/>
        <v>15:13:17.000</v>
      </c>
      <c r="T3155" t="str">
        <f t="shared" si="1250"/>
        <v>15:13:17.000</v>
      </c>
      <c r="U3155" t="str">
        <f t="shared" si="1243"/>
        <v>A68FCB</v>
      </c>
      <c r="V3155">
        <v>0</v>
      </c>
      <c r="W3155">
        <v>0</v>
      </c>
      <c r="X3155">
        <v>2</v>
      </c>
      <c r="Y3155">
        <v>0</v>
      </c>
      <c r="AA3155">
        <v>1</v>
      </c>
      <c r="AB3155">
        <v>8</v>
      </c>
      <c r="AC3155">
        <v>3</v>
      </c>
      <c r="AD3155">
        <v>0</v>
      </c>
      <c r="AE3155">
        <v>9</v>
      </c>
      <c r="AF3155" t="s">
        <v>138</v>
      </c>
      <c r="AG3155">
        <v>0</v>
      </c>
      <c r="AH3155">
        <v>3</v>
      </c>
      <c r="AI3155">
        <v>2</v>
      </c>
      <c r="AJ3155">
        <v>0</v>
      </c>
      <c r="AK3155" t="s">
        <v>1054</v>
      </c>
      <c r="AL3155">
        <v>39.125489999999999</v>
      </c>
      <c r="AM3155" t="s">
        <v>1055</v>
      </c>
      <c r="AN3155">
        <v>-121.03174199999999</v>
      </c>
      <c r="AO3155">
        <v>25</v>
      </c>
      <c r="AP3155">
        <v>4400</v>
      </c>
      <c r="AQ3155" t="s">
        <v>131</v>
      </c>
      <c r="AR3155">
        <v>2</v>
      </c>
      <c r="AS3155">
        <v>84</v>
      </c>
      <c r="AT3155">
        <v>-192</v>
      </c>
      <c r="BB3155" t="str">
        <f t="shared" si="1244"/>
        <v>1200</v>
      </c>
      <c r="BC3155">
        <v>1</v>
      </c>
      <c r="BD3155" t="str">
        <f t="shared" si="1245"/>
        <v xml:space="preserve">N52156  </v>
      </c>
      <c r="BE3155">
        <v>1</v>
      </c>
      <c r="BG3155">
        <v>0</v>
      </c>
      <c r="BH3155">
        <v>0</v>
      </c>
      <c r="BI3155">
        <v>0</v>
      </c>
      <c r="BJ3155">
        <v>4400</v>
      </c>
      <c r="BK3155">
        <v>0</v>
      </c>
      <c r="BL3155" t="s">
        <v>188</v>
      </c>
      <c r="BM3155">
        <v>1</v>
      </c>
      <c r="BN3155">
        <v>1</v>
      </c>
      <c r="BO3155">
        <v>0</v>
      </c>
      <c r="BP3155">
        <v>0</v>
      </c>
      <c r="BS3155">
        <v>0</v>
      </c>
      <c r="BT3155">
        <v>0</v>
      </c>
      <c r="BU3155">
        <v>0</v>
      </c>
      <c r="CE3155" t="str">
        <f t="shared" si="1251"/>
        <v>15:13:17.648</v>
      </c>
      <c r="CF3155">
        <v>648481419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5</v>
      </c>
      <c r="CY3155">
        <v>7</v>
      </c>
      <c r="CZ3155" t="s">
        <v>133</v>
      </c>
      <c r="DA3155">
        <v>275</v>
      </c>
      <c r="DB3155">
        <v>0</v>
      </c>
      <c r="DC3155" t="s">
        <v>134</v>
      </c>
      <c r="DD3155" t="s">
        <v>135</v>
      </c>
      <c r="DG3155">
        <v>3322421</v>
      </c>
      <c r="DI3155">
        <v>1</v>
      </c>
      <c r="DJ3155">
        <v>0</v>
      </c>
      <c r="DK3155">
        <v>1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">
      <c r="A3156" t="str">
        <f>"05/01/2025 15:13:17.902"</f>
        <v>05/01/2025 15:13:17.902</v>
      </c>
      <c r="C3156" t="str">
        <f t="shared" si="1242"/>
        <v>FFDFD3C0</v>
      </c>
      <c r="D3156" t="s">
        <v>140</v>
      </c>
      <c r="E3156" t="str">
        <f>"13"</f>
        <v>13</v>
      </c>
      <c r="F3156">
        <v>1019</v>
      </c>
      <c r="G3156" t="s">
        <v>141</v>
      </c>
      <c r="J3156" t="s">
        <v>142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R3156" t="s">
        <v>127</v>
      </c>
      <c r="S3156" t="str">
        <f t="shared" si="1250"/>
        <v>15:13:17.000</v>
      </c>
      <c r="T3156" t="str">
        <f t="shared" si="1250"/>
        <v>15:13:17.000</v>
      </c>
      <c r="U3156" t="str">
        <f t="shared" si="1243"/>
        <v>A68FCB</v>
      </c>
      <c r="V3156">
        <v>0</v>
      </c>
      <c r="W3156">
        <v>0</v>
      </c>
      <c r="X3156">
        <v>2</v>
      </c>
      <c r="Y3156">
        <v>0</v>
      </c>
      <c r="AA3156">
        <v>1</v>
      </c>
      <c r="AB3156">
        <v>8</v>
      </c>
      <c r="AC3156">
        <v>3</v>
      </c>
      <c r="AD3156">
        <v>0</v>
      </c>
      <c r="AE3156">
        <v>9</v>
      </c>
      <c r="AF3156" t="s">
        <v>138</v>
      </c>
      <c r="AG3156">
        <v>0</v>
      </c>
      <c r="AH3156">
        <v>3</v>
      </c>
      <c r="AI3156">
        <v>2</v>
      </c>
      <c r="AJ3156">
        <v>0</v>
      </c>
      <c r="AK3156" t="s">
        <v>1054</v>
      </c>
      <c r="AL3156">
        <v>39.125489999999999</v>
      </c>
      <c r="AM3156" t="s">
        <v>1055</v>
      </c>
      <c r="AN3156">
        <v>-121.03174199999999</v>
      </c>
      <c r="AO3156">
        <v>25</v>
      </c>
      <c r="AP3156">
        <v>4400</v>
      </c>
      <c r="AQ3156" t="s">
        <v>131</v>
      </c>
      <c r="AR3156">
        <v>2</v>
      </c>
      <c r="AS3156">
        <v>84</v>
      </c>
      <c r="AT3156">
        <v>-192</v>
      </c>
      <c r="BB3156" t="str">
        <f t="shared" si="1244"/>
        <v>1200</v>
      </c>
      <c r="BC3156">
        <v>1</v>
      </c>
      <c r="BD3156" t="str">
        <f t="shared" si="1245"/>
        <v xml:space="preserve">N52156  </v>
      </c>
      <c r="BE3156">
        <v>1</v>
      </c>
      <c r="BG3156">
        <v>0</v>
      </c>
      <c r="BH3156">
        <v>0</v>
      </c>
      <c r="BI3156">
        <v>0</v>
      </c>
      <c r="BJ3156">
        <v>4400</v>
      </c>
      <c r="BK3156">
        <v>0</v>
      </c>
      <c r="BL3156" t="s">
        <v>188</v>
      </c>
      <c r="BM3156">
        <v>1</v>
      </c>
      <c r="BN3156">
        <v>1</v>
      </c>
      <c r="BO3156">
        <v>0</v>
      </c>
      <c r="BP3156">
        <v>0</v>
      </c>
      <c r="BS3156">
        <v>0</v>
      </c>
      <c r="BT3156">
        <v>0</v>
      </c>
      <c r="BU3156">
        <v>0</v>
      </c>
      <c r="CE3156" t="str">
        <f t="shared" si="1251"/>
        <v>15:13:17.648</v>
      </c>
      <c r="CF3156">
        <v>648481419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5</v>
      </c>
      <c r="CY3156">
        <v>7</v>
      </c>
      <c r="CZ3156" t="s">
        <v>133</v>
      </c>
      <c r="DA3156">
        <v>275</v>
      </c>
      <c r="DB3156">
        <v>0</v>
      </c>
      <c r="DC3156" t="s">
        <v>134</v>
      </c>
      <c r="DD3156" t="s">
        <v>135</v>
      </c>
      <c r="DG3156">
        <v>3322421</v>
      </c>
      <c r="DI3156">
        <v>1</v>
      </c>
      <c r="DJ3156">
        <v>0</v>
      </c>
      <c r="DK3156">
        <v>1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">
      <c r="A3157" t="str">
        <f>"05/01/2025 15:13:17.901"</f>
        <v>05/01/2025 15:13:17.901</v>
      </c>
      <c r="C3157" t="str">
        <f t="shared" si="1242"/>
        <v>FFDFD3C0</v>
      </c>
      <c r="D3157" t="s">
        <v>124</v>
      </c>
      <c r="E3157" t="str">
        <f>"06"</f>
        <v>06</v>
      </c>
      <c r="F3157">
        <v>2006</v>
      </c>
      <c r="G3157" t="s">
        <v>125</v>
      </c>
      <c r="J3157" t="s">
        <v>126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R3157" t="s">
        <v>127</v>
      </c>
      <c r="S3157" t="str">
        <f t="shared" si="1250"/>
        <v>15:13:17.000</v>
      </c>
      <c r="T3157" t="str">
        <f t="shared" si="1250"/>
        <v>15:13:17.000</v>
      </c>
      <c r="U3157" t="str">
        <f t="shared" si="1243"/>
        <v>A68FCB</v>
      </c>
      <c r="V3157">
        <v>0</v>
      </c>
      <c r="W3157">
        <v>0</v>
      </c>
      <c r="X3157">
        <v>2</v>
      </c>
      <c r="Y3157">
        <v>0</v>
      </c>
      <c r="AA3157">
        <v>1</v>
      </c>
      <c r="AB3157">
        <v>8</v>
      </c>
      <c r="AC3157">
        <v>3</v>
      </c>
      <c r="AD3157">
        <v>0</v>
      </c>
      <c r="AE3157">
        <v>9</v>
      </c>
      <c r="AF3157" t="s">
        <v>138</v>
      </c>
      <c r="AG3157">
        <v>0</v>
      </c>
      <c r="AH3157">
        <v>3</v>
      </c>
      <c r="AI3157">
        <v>2</v>
      </c>
      <c r="AJ3157">
        <v>0</v>
      </c>
      <c r="AK3157" t="s">
        <v>1054</v>
      </c>
      <c r="AL3157">
        <v>39.125489999999999</v>
      </c>
      <c r="AM3157" t="s">
        <v>1055</v>
      </c>
      <c r="AN3157">
        <v>-121.03174199999999</v>
      </c>
      <c r="AO3157">
        <v>25</v>
      </c>
      <c r="AP3157">
        <v>4400</v>
      </c>
      <c r="AQ3157" t="s">
        <v>131</v>
      </c>
      <c r="AR3157">
        <v>2</v>
      </c>
      <c r="AS3157">
        <v>84</v>
      </c>
      <c r="AT3157">
        <v>-192</v>
      </c>
      <c r="BB3157" t="str">
        <f t="shared" si="1244"/>
        <v>1200</v>
      </c>
      <c r="BC3157">
        <v>1</v>
      </c>
      <c r="BD3157" t="str">
        <f t="shared" si="1245"/>
        <v xml:space="preserve">N52156  </v>
      </c>
      <c r="BE3157">
        <v>1</v>
      </c>
      <c r="BG3157">
        <v>0</v>
      </c>
      <c r="BH3157">
        <v>0</v>
      </c>
      <c r="BI3157">
        <v>0</v>
      </c>
      <c r="BJ3157">
        <v>4400</v>
      </c>
      <c r="BK3157">
        <v>0</v>
      </c>
      <c r="BL3157" t="s">
        <v>188</v>
      </c>
      <c r="BM3157">
        <v>1</v>
      </c>
      <c r="BN3157">
        <v>1</v>
      </c>
      <c r="BO3157">
        <v>0</v>
      </c>
      <c r="BP3157">
        <v>0</v>
      </c>
      <c r="BS3157">
        <v>0</v>
      </c>
      <c r="BT3157">
        <v>0</v>
      </c>
      <c r="BU3157">
        <v>0</v>
      </c>
      <c r="CE3157" t="str">
        <f t="shared" si="1251"/>
        <v>15:13:17.648</v>
      </c>
      <c r="CF3157">
        <v>648481419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5</v>
      </c>
      <c r="CY3157">
        <v>7</v>
      </c>
      <c r="CZ3157" t="s">
        <v>133</v>
      </c>
      <c r="DA3157">
        <v>275</v>
      </c>
      <c r="DB3157">
        <v>0</v>
      </c>
      <c r="DC3157" t="s">
        <v>134</v>
      </c>
      <c r="DD3157" t="s">
        <v>135</v>
      </c>
      <c r="DG3157">
        <v>3322421</v>
      </c>
      <c r="DI3157">
        <v>1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">
      <c r="A3158" t="str">
        <f>"05/01/2025 15:13:18.418"</f>
        <v>05/01/2025 15:13:18.418</v>
      </c>
      <c r="C3158" t="str">
        <f t="shared" si="1242"/>
        <v>FFDFD3C0</v>
      </c>
      <c r="D3158" t="s">
        <v>145</v>
      </c>
      <c r="E3158" t="str">
        <f>"05"</f>
        <v>05</v>
      </c>
      <c r="H3158">
        <v>47</v>
      </c>
      <c r="I3158" t="s">
        <v>146</v>
      </c>
      <c r="J3158" t="s">
        <v>138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R3158" t="s">
        <v>127</v>
      </c>
      <c r="S3158" t="str">
        <f t="shared" ref="S3158:T3163" si="1252">"15:13:18.000"</f>
        <v>15:13:18.000</v>
      </c>
      <c r="T3158" t="str">
        <f t="shared" si="1252"/>
        <v>15:13:18.000</v>
      </c>
      <c r="U3158" t="str">
        <f t="shared" si="1243"/>
        <v>A68FCB</v>
      </c>
      <c r="V3158">
        <v>0</v>
      </c>
      <c r="W3158">
        <v>0</v>
      </c>
      <c r="X3158">
        <v>2</v>
      </c>
      <c r="Y3158">
        <v>0</v>
      </c>
      <c r="AA3158">
        <v>1</v>
      </c>
      <c r="AB3158">
        <v>8</v>
      </c>
      <c r="AC3158">
        <v>3</v>
      </c>
      <c r="AD3158">
        <v>0</v>
      </c>
      <c r="AE3158">
        <v>9</v>
      </c>
      <c r="AF3158" t="s">
        <v>138</v>
      </c>
      <c r="AG3158">
        <v>0</v>
      </c>
      <c r="AH3158">
        <v>3</v>
      </c>
      <c r="AI3158">
        <v>2</v>
      </c>
      <c r="AJ3158">
        <v>0</v>
      </c>
      <c r="AK3158" t="s">
        <v>1056</v>
      </c>
      <c r="AL3158">
        <v>39.125875999999998</v>
      </c>
      <c r="AM3158" t="s">
        <v>1057</v>
      </c>
      <c r="AN3158">
        <v>-121.031721</v>
      </c>
      <c r="AO3158">
        <v>25</v>
      </c>
      <c r="AP3158">
        <v>4400</v>
      </c>
      <c r="AQ3158" t="s">
        <v>131</v>
      </c>
      <c r="AR3158">
        <v>2</v>
      </c>
      <c r="AS3158">
        <v>84</v>
      </c>
      <c r="AT3158">
        <v>-192</v>
      </c>
      <c r="BB3158" t="str">
        <f t="shared" si="1244"/>
        <v>1200</v>
      </c>
      <c r="BC3158">
        <v>1</v>
      </c>
      <c r="BD3158" t="str">
        <f t="shared" si="1245"/>
        <v xml:space="preserve">N52156  </v>
      </c>
      <c r="BE3158">
        <v>1</v>
      </c>
      <c r="BG3158">
        <v>0</v>
      </c>
      <c r="BH3158">
        <v>0</v>
      </c>
      <c r="BI3158">
        <v>0</v>
      </c>
      <c r="BJ3158">
        <v>4400</v>
      </c>
      <c r="BK3158">
        <v>0</v>
      </c>
      <c r="BL3158" t="s">
        <v>188</v>
      </c>
      <c r="BM3158">
        <v>1</v>
      </c>
      <c r="BN3158">
        <v>1</v>
      </c>
      <c r="BO3158">
        <v>0</v>
      </c>
      <c r="BP3158">
        <v>0</v>
      </c>
      <c r="BS3158">
        <v>0</v>
      </c>
      <c r="BT3158">
        <v>0</v>
      </c>
      <c r="BU3158">
        <v>0</v>
      </c>
      <c r="CE3158" t="str">
        <f t="shared" ref="CE3158:CE3163" si="1253">"15:13:18.218"</f>
        <v>15:13:18.218</v>
      </c>
      <c r="CF3158">
        <v>217980379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5</v>
      </c>
      <c r="CY3158">
        <v>7</v>
      </c>
      <c r="CZ3158" t="s">
        <v>133</v>
      </c>
      <c r="DA3158">
        <v>275</v>
      </c>
      <c r="DB3158">
        <v>0</v>
      </c>
      <c r="DC3158" t="s">
        <v>134</v>
      </c>
      <c r="DD3158" t="s">
        <v>135</v>
      </c>
      <c r="DG3158">
        <v>3322425</v>
      </c>
      <c r="DI3158">
        <v>1</v>
      </c>
      <c r="DJ3158">
        <v>0</v>
      </c>
      <c r="DK3158">
        <v>0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">
      <c r="A3159" t="str">
        <f>"05/01/2025 15:13:18.416"</f>
        <v>05/01/2025 15:13:18.416</v>
      </c>
      <c r="C3159" t="str">
        <f t="shared" si="1242"/>
        <v>FFDFD3C0</v>
      </c>
      <c r="D3159" t="s">
        <v>145</v>
      </c>
      <c r="E3159" t="str">
        <f>"09"</f>
        <v>09</v>
      </c>
      <c r="H3159">
        <v>51</v>
      </c>
      <c r="I3159" t="s">
        <v>147</v>
      </c>
      <c r="J3159" t="s">
        <v>138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R3159" t="s">
        <v>127</v>
      </c>
      <c r="S3159" t="str">
        <f t="shared" si="1252"/>
        <v>15:13:18.000</v>
      </c>
      <c r="T3159" t="str">
        <f t="shared" si="1252"/>
        <v>15:13:18.000</v>
      </c>
      <c r="U3159" t="str">
        <f t="shared" si="1243"/>
        <v>A68FCB</v>
      </c>
      <c r="V3159">
        <v>0</v>
      </c>
      <c r="W3159">
        <v>0</v>
      </c>
      <c r="X3159">
        <v>2</v>
      </c>
      <c r="Y3159">
        <v>0</v>
      </c>
      <c r="AA3159">
        <v>1</v>
      </c>
      <c r="AB3159">
        <v>8</v>
      </c>
      <c r="AC3159">
        <v>3</v>
      </c>
      <c r="AD3159">
        <v>0</v>
      </c>
      <c r="AE3159">
        <v>9</v>
      </c>
      <c r="AF3159" t="s">
        <v>138</v>
      </c>
      <c r="AG3159">
        <v>0</v>
      </c>
      <c r="AH3159">
        <v>3</v>
      </c>
      <c r="AI3159">
        <v>2</v>
      </c>
      <c r="AJ3159">
        <v>0</v>
      </c>
      <c r="AK3159" t="s">
        <v>1056</v>
      </c>
      <c r="AL3159">
        <v>39.125875999999998</v>
      </c>
      <c r="AM3159" t="s">
        <v>1057</v>
      </c>
      <c r="AN3159">
        <v>-121.031721</v>
      </c>
      <c r="AO3159">
        <v>25</v>
      </c>
      <c r="AP3159">
        <v>4400</v>
      </c>
      <c r="AQ3159" t="s">
        <v>131</v>
      </c>
      <c r="AR3159">
        <v>2</v>
      </c>
      <c r="AS3159">
        <v>84</v>
      </c>
      <c r="AT3159">
        <v>-192</v>
      </c>
      <c r="BB3159" t="str">
        <f t="shared" si="1244"/>
        <v>1200</v>
      </c>
      <c r="BC3159">
        <v>1</v>
      </c>
      <c r="BD3159" t="str">
        <f t="shared" si="1245"/>
        <v xml:space="preserve">N52156  </v>
      </c>
      <c r="BE3159">
        <v>1</v>
      </c>
      <c r="BG3159">
        <v>0</v>
      </c>
      <c r="BH3159">
        <v>0</v>
      </c>
      <c r="BI3159">
        <v>0</v>
      </c>
      <c r="BJ3159">
        <v>4400</v>
      </c>
      <c r="BK3159">
        <v>0</v>
      </c>
      <c r="BL3159" t="s">
        <v>188</v>
      </c>
      <c r="BM3159">
        <v>1</v>
      </c>
      <c r="BN3159">
        <v>1</v>
      </c>
      <c r="BO3159">
        <v>0</v>
      </c>
      <c r="BP3159">
        <v>0</v>
      </c>
      <c r="BS3159">
        <v>0</v>
      </c>
      <c r="BT3159">
        <v>0</v>
      </c>
      <c r="BU3159">
        <v>0</v>
      </c>
      <c r="CE3159" t="str">
        <f t="shared" si="1253"/>
        <v>15:13:18.218</v>
      </c>
      <c r="CF3159">
        <v>217980379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5</v>
      </c>
      <c r="CY3159">
        <v>7</v>
      </c>
      <c r="CZ3159" t="s">
        <v>133</v>
      </c>
      <c r="DA3159">
        <v>275</v>
      </c>
      <c r="DB3159">
        <v>0</v>
      </c>
      <c r="DC3159" t="s">
        <v>134</v>
      </c>
      <c r="DD3159" t="s">
        <v>135</v>
      </c>
      <c r="DG3159">
        <v>3322425</v>
      </c>
      <c r="DI3159">
        <v>1</v>
      </c>
      <c r="DJ3159">
        <v>0</v>
      </c>
      <c r="DK3159">
        <v>1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">
      <c r="A3160" t="str">
        <f>"05/01/2025 15:13:18.428"</f>
        <v>05/01/2025 15:13:18.428</v>
      </c>
      <c r="C3160" t="str">
        <f t="shared" si="1242"/>
        <v>FFDFD3C0</v>
      </c>
      <c r="D3160" t="s">
        <v>136</v>
      </c>
      <c r="E3160" t="str">
        <f>"20"</f>
        <v>20</v>
      </c>
      <c r="H3160">
        <v>400</v>
      </c>
      <c r="I3160" t="s">
        <v>137</v>
      </c>
      <c r="J3160" t="s">
        <v>138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R3160" t="s">
        <v>127</v>
      </c>
      <c r="S3160" t="str">
        <f t="shared" si="1252"/>
        <v>15:13:18.000</v>
      </c>
      <c r="T3160" t="str">
        <f t="shared" si="1252"/>
        <v>15:13:18.000</v>
      </c>
      <c r="U3160" t="str">
        <f t="shared" si="1243"/>
        <v>A68FCB</v>
      </c>
      <c r="V3160">
        <v>0</v>
      </c>
      <c r="W3160">
        <v>0</v>
      </c>
      <c r="X3160">
        <v>2</v>
      </c>
      <c r="Y3160">
        <v>0</v>
      </c>
      <c r="AA3160">
        <v>1</v>
      </c>
      <c r="AB3160">
        <v>8</v>
      </c>
      <c r="AC3160">
        <v>3</v>
      </c>
      <c r="AD3160">
        <v>0</v>
      </c>
      <c r="AE3160">
        <v>9</v>
      </c>
      <c r="AF3160" t="s">
        <v>138</v>
      </c>
      <c r="AG3160">
        <v>0</v>
      </c>
      <c r="AH3160">
        <v>3</v>
      </c>
      <c r="AI3160">
        <v>2</v>
      </c>
      <c r="AJ3160">
        <v>0</v>
      </c>
      <c r="AK3160" t="s">
        <v>1056</v>
      </c>
      <c r="AL3160">
        <v>39.125875999999998</v>
      </c>
      <c r="AM3160" t="s">
        <v>1057</v>
      </c>
      <c r="AN3160">
        <v>-121.031721</v>
      </c>
      <c r="AO3160">
        <v>25</v>
      </c>
      <c r="AP3160">
        <v>4400</v>
      </c>
      <c r="AQ3160" t="s">
        <v>131</v>
      </c>
      <c r="AR3160">
        <v>2</v>
      </c>
      <c r="AS3160">
        <v>84</v>
      </c>
      <c r="AT3160">
        <v>-192</v>
      </c>
      <c r="BB3160" t="str">
        <f t="shared" si="1244"/>
        <v>1200</v>
      </c>
      <c r="BC3160">
        <v>1</v>
      </c>
      <c r="BD3160" t="str">
        <f t="shared" si="1245"/>
        <v xml:space="preserve">N52156  </v>
      </c>
      <c r="BE3160">
        <v>1</v>
      </c>
      <c r="BG3160">
        <v>0</v>
      </c>
      <c r="BH3160">
        <v>0</v>
      </c>
      <c r="BI3160">
        <v>0</v>
      </c>
      <c r="BJ3160">
        <v>4400</v>
      </c>
      <c r="BK3160">
        <v>0</v>
      </c>
      <c r="BL3160" t="s">
        <v>188</v>
      </c>
      <c r="BM3160">
        <v>1</v>
      </c>
      <c r="BN3160">
        <v>1</v>
      </c>
      <c r="BO3160">
        <v>0</v>
      </c>
      <c r="BP3160">
        <v>0</v>
      </c>
      <c r="BS3160">
        <v>0</v>
      </c>
      <c r="BT3160">
        <v>0</v>
      </c>
      <c r="BU3160">
        <v>0</v>
      </c>
      <c r="CE3160" t="str">
        <f t="shared" si="1253"/>
        <v>15:13:18.218</v>
      </c>
      <c r="CF3160">
        <v>217980379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5</v>
      </c>
      <c r="CY3160">
        <v>7</v>
      </c>
      <c r="CZ3160" t="s">
        <v>133</v>
      </c>
      <c r="DA3160">
        <v>275</v>
      </c>
      <c r="DB3160">
        <v>0</v>
      </c>
      <c r="DC3160" t="s">
        <v>134</v>
      </c>
      <c r="DD3160" t="s">
        <v>135</v>
      </c>
      <c r="DG3160">
        <v>3322425</v>
      </c>
      <c r="DI3160">
        <v>1</v>
      </c>
      <c r="DJ3160">
        <v>0</v>
      </c>
      <c r="DK3160">
        <v>1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">
      <c r="A3161" t="str">
        <f>"05/01/2025 15:13:18.439"</f>
        <v>05/01/2025 15:13:18.439</v>
      </c>
      <c r="C3161" t="str">
        <f t="shared" si="1242"/>
        <v>FFDFD3C0</v>
      </c>
      <c r="D3161" t="s">
        <v>143</v>
      </c>
      <c r="E3161" t="str">
        <f>"05"</f>
        <v>05</v>
      </c>
      <c r="H3161">
        <v>172</v>
      </c>
      <c r="I3161" t="s">
        <v>141</v>
      </c>
      <c r="J3161" t="s">
        <v>144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R3161" t="s">
        <v>127</v>
      </c>
      <c r="S3161" t="str">
        <f t="shared" si="1252"/>
        <v>15:13:18.000</v>
      </c>
      <c r="T3161" t="str">
        <f t="shared" si="1252"/>
        <v>15:13:18.000</v>
      </c>
      <c r="U3161" t="str">
        <f t="shared" si="1243"/>
        <v>A68FCB</v>
      </c>
      <c r="V3161">
        <v>0</v>
      </c>
      <c r="W3161">
        <v>0</v>
      </c>
      <c r="X3161">
        <v>2</v>
      </c>
      <c r="Y3161">
        <v>0</v>
      </c>
      <c r="AA3161">
        <v>1</v>
      </c>
      <c r="AB3161">
        <v>8</v>
      </c>
      <c r="AC3161">
        <v>3</v>
      </c>
      <c r="AD3161">
        <v>0</v>
      </c>
      <c r="AE3161">
        <v>9</v>
      </c>
      <c r="AF3161" t="s">
        <v>138</v>
      </c>
      <c r="AG3161">
        <v>0</v>
      </c>
      <c r="AH3161">
        <v>3</v>
      </c>
      <c r="AI3161">
        <v>2</v>
      </c>
      <c r="AJ3161">
        <v>0</v>
      </c>
      <c r="AK3161" t="s">
        <v>1056</v>
      </c>
      <c r="AL3161">
        <v>39.125875999999998</v>
      </c>
      <c r="AM3161" t="s">
        <v>1057</v>
      </c>
      <c r="AN3161">
        <v>-121.031721</v>
      </c>
      <c r="AO3161">
        <v>25</v>
      </c>
      <c r="AP3161">
        <v>4400</v>
      </c>
      <c r="AQ3161" t="s">
        <v>131</v>
      </c>
      <c r="AR3161">
        <v>2</v>
      </c>
      <c r="AS3161">
        <v>84</v>
      </c>
      <c r="AT3161">
        <v>-192</v>
      </c>
      <c r="BB3161" t="str">
        <f t="shared" si="1244"/>
        <v>1200</v>
      </c>
      <c r="BC3161">
        <v>1</v>
      </c>
      <c r="BD3161" t="str">
        <f t="shared" si="1245"/>
        <v xml:space="preserve">N52156  </v>
      </c>
      <c r="BE3161">
        <v>1</v>
      </c>
      <c r="BG3161">
        <v>0</v>
      </c>
      <c r="BH3161">
        <v>0</v>
      </c>
      <c r="BI3161">
        <v>0</v>
      </c>
      <c r="BJ3161">
        <v>4400</v>
      </c>
      <c r="BK3161">
        <v>0</v>
      </c>
      <c r="BL3161" t="s">
        <v>188</v>
      </c>
      <c r="BM3161">
        <v>1</v>
      </c>
      <c r="BN3161">
        <v>1</v>
      </c>
      <c r="BO3161">
        <v>0</v>
      </c>
      <c r="BP3161">
        <v>0</v>
      </c>
      <c r="BS3161">
        <v>0</v>
      </c>
      <c r="BT3161">
        <v>0</v>
      </c>
      <c r="BU3161">
        <v>0</v>
      </c>
      <c r="CE3161" t="str">
        <f t="shared" si="1253"/>
        <v>15:13:18.218</v>
      </c>
      <c r="CF3161">
        <v>217980379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5</v>
      </c>
      <c r="CY3161">
        <v>7</v>
      </c>
      <c r="CZ3161" t="s">
        <v>133</v>
      </c>
      <c r="DA3161">
        <v>275</v>
      </c>
      <c r="DB3161">
        <v>0</v>
      </c>
      <c r="DC3161" t="s">
        <v>134</v>
      </c>
      <c r="DD3161" t="s">
        <v>135</v>
      </c>
      <c r="DG3161">
        <v>3322425</v>
      </c>
      <c r="DI3161">
        <v>1</v>
      </c>
      <c r="DJ3161">
        <v>0</v>
      </c>
      <c r="DK3161">
        <v>1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3">
      <c r="A3162" t="str">
        <f>"05/01/2025 15:13:18.453"</f>
        <v>05/01/2025 15:13:18.453</v>
      </c>
      <c r="C3162" t="str">
        <f t="shared" si="1242"/>
        <v>FFDFD3C0</v>
      </c>
      <c r="D3162" t="s">
        <v>124</v>
      </c>
      <c r="E3162" t="str">
        <f>"06"</f>
        <v>06</v>
      </c>
      <c r="F3162">
        <v>2006</v>
      </c>
      <c r="G3162" t="s">
        <v>125</v>
      </c>
      <c r="J3162" t="s">
        <v>126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R3162" t="s">
        <v>127</v>
      </c>
      <c r="S3162" t="str">
        <f t="shared" si="1252"/>
        <v>15:13:18.000</v>
      </c>
      <c r="T3162" t="str">
        <f t="shared" si="1252"/>
        <v>15:13:18.000</v>
      </c>
      <c r="U3162" t="str">
        <f t="shared" si="1243"/>
        <v>A68FCB</v>
      </c>
      <c r="V3162">
        <v>0</v>
      </c>
      <c r="W3162">
        <v>0</v>
      </c>
      <c r="X3162">
        <v>2</v>
      </c>
      <c r="Y3162">
        <v>0</v>
      </c>
      <c r="AA3162">
        <v>1</v>
      </c>
      <c r="AB3162">
        <v>8</v>
      </c>
      <c r="AC3162">
        <v>3</v>
      </c>
      <c r="AD3162">
        <v>0</v>
      </c>
      <c r="AE3162">
        <v>9</v>
      </c>
      <c r="AF3162" t="s">
        <v>138</v>
      </c>
      <c r="AG3162">
        <v>0</v>
      </c>
      <c r="AH3162">
        <v>3</v>
      </c>
      <c r="AI3162">
        <v>2</v>
      </c>
      <c r="AJ3162">
        <v>0</v>
      </c>
      <c r="AK3162" t="s">
        <v>1056</v>
      </c>
      <c r="AL3162">
        <v>39.125875999999998</v>
      </c>
      <c r="AM3162" t="s">
        <v>1057</v>
      </c>
      <c r="AN3162">
        <v>-121.031721</v>
      </c>
      <c r="AO3162">
        <v>25</v>
      </c>
      <c r="AP3162">
        <v>4400</v>
      </c>
      <c r="AQ3162" t="s">
        <v>131</v>
      </c>
      <c r="AR3162">
        <v>2</v>
      </c>
      <c r="AS3162">
        <v>84</v>
      </c>
      <c r="AT3162">
        <v>-192</v>
      </c>
      <c r="BB3162" t="str">
        <f t="shared" si="1244"/>
        <v>1200</v>
      </c>
      <c r="BC3162">
        <v>1</v>
      </c>
      <c r="BD3162" t="str">
        <f t="shared" si="1245"/>
        <v xml:space="preserve">N52156  </v>
      </c>
      <c r="BE3162">
        <v>1</v>
      </c>
      <c r="BG3162">
        <v>0</v>
      </c>
      <c r="BH3162">
        <v>0</v>
      </c>
      <c r="BI3162">
        <v>0</v>
      </c>
      <c r="BJ3162">
        <v>4400</v>
      </c>
      <c r="BK3162">
        <v>0</v>
      </c>
      <c r="BL3162" t="s">
        <v>188</v>
      </c>
      <c r="BM3162">
        <v>1</v>
      </c>
      <c r="BN3162">
        <v>1</v>
      </c>
      <c r="BO3162">
        <v>0</v>
      </c>
      <c r="BP3162">
        <v>0</v>
      </c>
      <c r="BS3162">
        <v>0</v>
      </c>
      <c r="BT3162">
        <v>0</v>
      </c>
      <c r="BU3162">
        <v>0</v>
      </c>
      <c r="CE3162" t="str">
        <f t="shared" si="1253"/>
        <v>15:13:18.218</v>
      </c>
      <c r="CF3162">
        <v>217980379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5</v>
      </c>
      <c r="CY3162">
        <v>7</v>
      </c>
      <c r="CZ3162" t="s">
        <v>133</v>
      </c>
      <c r="DA3162">
        <v>275</v>
      </c>
      <c r="DB3162">
        <v>0</v>
      </c>
      <c r="DC3162" t="s">
        <v>134</v>
      </c>
      <c r="DD3162" t="s">
        <v>135</v>
      </c>
      <c r="DG3162">
        <v>3322425</v>
      </c>
      <c r="DI3162">
        <v>1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3">
      <c r="A3163" t="str">
        <f>"05/01/2025 15:13:18.453"</f>
        <v>05/01/2025 15:13:18.453</v>
      </c>
      <c r="C3163" t="str">
        <f t="shared" si="1242"/>
        <v>FFDFD3C0</v>
      </c>
      <c r="D3163" t="s">
        <v>140</v>
      </c>
      <c r="E3163" t="str">
        <f>"13"</f>
        <v>13</v>
      </c>
      <c r="F3163">
        <v>1019</v>
      </c>
      <c r="G3163" t="s">
        <v>141</v>
      </c>
      <c r="J3163" t="s">
        <v>142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R3163" t="s">
        <v>127</v>
      </c>
      <c r="S3163" t="str">
        <f t="shared" si="1252"/>
        <v>15:13:18.000</v>
      </c>
      <c r="T3163" t="str">
        <f t="shared" si="1252"/>
        <v>15:13:18.000</v>
      </c>
      <c r="U3163" t="str">
        <f t="shared" si="1243"/>
        <v>A68FCB</v>
      </c>
      <c r="V3163">
        <v>0</v>
      </c>
      <c r="W3163">
        <v>0</v>
      </c>
      <c r="X3163">
        <v>2</v>
      </c>
      <c r="Y3163">
        <v>0</v>
      </c>
      <c r="AA3163">
        <v>1</v>
      </c>
      <c r="AB3163">
        <v>8</v>
      </c>
      <c r="AC3163">
        <v>3</v>
      </c>
      <c r="AD3163">
        <v>0</v>
      </c>
      <c r="AE3163">
        <v>9</v>
      </c>
      <c r="AF3163" t="s">
        <v>138</v>
      </c>
      <c r="AG3163">
        <v>0</v>
      </c>
      <c r="AH3163">
        <v>3</v>
      </c>
      <c r="AI3163">
        <v>2</v>
      </c>
      <c r="AJ3163">
        <v>0</v>
      </c>
      <c r="AK3163" t="s">
        <v>1056</v>
      </c>
      <c r="AL3163">
        <v>39.125875999999998</v>
      </c>
      <c r="AM3163" t="s">
        <v>1057</v>
      </c>
      <c r="AN3163">
        <v>-121.031721</v>
      </c>
      <c r="AO3163">
        <v>25</v>
      </c>
      <c r="AP3163">
        <v>4400</v>
      </c>
      <c r="AQ3163" t="s">
        <v>131</v>
      </c>
      <c r="AR3163">
        <v>2</v>
      </c>
      <c r="AS3163">
        <v>84</v>
      </c>
      <c r="AT3163">
        <v>-192</v>
      </c>
      <c r="BB3163" t="str">
        <f t="shared" si="1244"/>
        <v>1200</v>
      </c>
      <c r="BC3163">
        <v>1</v>
      </c>
      <c r="BD3163" t="str">
        <f t="shared" si="1245"/>
        <v xml:space="preserve">N52156  </v>
      </c>
      <c r="BE3163">
        <v>1</v>
      </c>
      <c r="BG3163">
        <v>0</v>
      </c>
      <c r="BH3163">
        <v>0</v>
      </c>
      <c r="BI3163">
        <v>0</v>
      </c>
      <c r="BJ3163">
        <v>4400</v>
      </c>
      <c r="BK3163">
        <v>0</v>
      </c>
      <c r="BL3163" t="s">
        <v>188</v>
      </c>
      <c r="BM3163">
        <v>1</v>
      </c>
      <c r="BN3163">
        <v>1</v>
      </c>
      <c r="BO3163">
        <v>0</v>
      </c>
      <c r="BP3163">
        <v>0</v>
      </c>
      <c r="BS3163">
        <v>0</v>
      </c>
      <c r="BT3163">
        <v>0</v>
      </c>
      <c r="BU3163">
        <v>0</v>
      </c>
      <c r="CE3163" t="str">
        <f t="shared" si="1253"/>
        <v>15:13:18.218</v>
      </c>
      <c r="CF3163">
        <v>217980379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5</v>
      </c>
      <c r="CY3163">
        <v>7</v>
      </c>
      <c r="CZ3163" t="s">
        <v>133</v>
      </c>
      <c r="DA3163">
        <v>275</v>
      </c>
      <c r="DB3163">
        <v>0</v>
      </c>
      <c r="DC3163" t="s">
        <v>134</v>
      </c>
      <c r="DD3163" t="s">
        <v>135</v>
      </c>
      <c r="DG3163">
        <v>3322425</v>
      </c>
      <c r="DI3163">
        <v>1</v>
      </c>
      <c r="DJ3163">
        <v>0</v>
      </c>
      <c r="DK3163">
        <v>1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3">
      <c r="A3164" t="str">
        <f>"05/01/2025 15:13:20.181"</f>
        <v>05/01/2025 15:13:20.181</v>
      </c>
      <c r="C3164" t="str">
        <f t="shared" si="1242"/>
        <v>FFDFD3C0</v>
      </c>
      <c r="D3164" t="s">
        <v>136</v>
      </c>
      <c r="E3164" t="str">
        <f>"20"</f>
        <v>20</v>
      </c>
      <c r="H3164">
        <v>400</v>
      </c>
      <c r="I3164" t="s">
        <v>137</v>
      </c>
      <c r="J3164" t="s">
        <v>138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R3164" t="s">
        <v>127</v>
      </c>
      <c r="S3164" t="str">
        <f t="shared" ref="S3164:T3169" si="1254">"15:13:19.000"</f>
        <v>15:13:19.000</v>
      </c>
      <c r="T3164" t="str">
        <f t="shared" si="1254"/>
        <v>15:13:19.000</v>
      </c>
      <c r="U3164" t="str">
        <f t="shared" si="1243"/>
        <v>A68FCB</v>
      </c>
      <c r="V3164">
        <v>0</v>
      </c>
      <c r="W3164">
        <v>0</v>
      </c>
      <c r="X3164">
        <v>2</v>
      </c>
      <c r="Y3164">
        <v>0</v>
      </c>
      <c r="AA3164">
        <v>1</v>
      </c>
      <c r="AB3164">
        <v>8</v>
      </c>
      <c r="AC3164">
        <v>3</v>
      </c>
      <c r="AD3164">
        <v>0</v>
      </c>
      <c r="AE3164">
        <v>9</v>
      </c>
      <c r="AF3164" t="s">
        <v>138</v>
      </c>
      <c r="AG3164">
        <v>0</v>
      </c>
      <c r="AH3164">
        <v>3</v>
      </c>
      <c r="AI3164">
        <v>2</v>
      </c>
      <c r="AJ3164">
        <v>0</v>
      </c>
      <c r="AK3164" t="s">
        <v>1058</v>
      </c>
      <c r="AL3164">
        <v>39.126263000000002</v>
      </c>
      <c r="AM3164" t="s">
        <v>1059</v>
      </c>
      <c r="AN3164">
        <v>-121.031699</v>
      </c>
      <c r="AO3164">
        <v>25</v>
      </c>
      <c r="AP3164">
        <v>4300</v>
      </c>
      <c r="AQ3164" t="s">
        <v>131</v>
      </c>
      <c r="AR3164">
        <v>3</v>
      </c>
      <c r="AS3164">
        <v>84</v>
      </c>
      <c r="AT3164">
        <v>-256</v>
      </c>
      <c r="BB3164" t="str">
        <f t="shared" si="1244"/>
        <v>1200</v>
      </c>
      <c r="BC3164">
        <v>1</v>
      </c>
      <c r="BD3164" t="str">
        <f t="shared" si="1245"/>
        <v xml:space="preserve">N52156  </v>
      </c>
      <c r="BE3164">
        <v>1</v>
      </c>
      <c r="BG3164">
        <v>0</v>
      </c>
      <c r="BH3164">
        <v>0</v>
      </c>
      <c r="BI3164">
        <v>0</v>
      </c>
      <c r="BJ3164">
        <v>4375</v>
      </c>
      <c r="BK3164">
        <v>75</v>
      </c>
      <c r="BL3164" t="s">
        <v>188</v>
      </c>
      <c r="BM3164">
        <v>1</v>
      </c>
      <c r="BN3164">
        <v>1</v>
      </c>
      <c r="BO3164">
        <v>0</v>
      </c>
      <c r="BP3164">
        <v>0</v>
      </c>
      <c r="BS3164">
        <v>0</v>
      </c>
      <c r="BT3164">
        <v>0</v>
      </c>
      <c r="BU3164">
        <v>0</v>
      </c>
      <c r="CE3164" t="str">
        <f t="shared" ref="CE3164:CE3169" si="1255">"15:13:19.968"</f>
        <v>15:13:19.968</v>
      </c>
      <c r="CF3164">
        <v>968482352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4</v>
      </c>
      <c r="CY3164">
        <v>7</v>
      </c>
      <c r="CZ3164" t="s">
        <v>133</v>
      </c>
      <c r="DA3164">
        <v>275</v>
      </c>
      <c r="DB3164">
        <v>0</v>
      </c>
      <c r="DC3164" t="s">
        <v>134</v>
      </c>
      <c r="DD3164" t="s">
        <v>135</v>
      </c>
      <c r="DG3164">
        <v>3322437</v>
      </c>
      <c r="DI3164">
        <v>1</v>
      </c>
      <c r="DJ3164">
        <v>0</v>
      </c>
      <c r="DK3164">
        <v>0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3">
      <c r="A3165" t="str">
        <f>"05/01/2025 15:13:20.192"</f>
        <v>05/01/2025 15:13:20.192</v>
      </c>
      <c r="C3165" t="str">
        <f t="shared" si="1242"/>
        <v>FFDFD3C0</v>
      </c>
      <c r="D3165" t="s">
        <v>143</v>
      </c>
      <c r="E3165" t="str">
        <f>"05"</f>
        <v>05</v>
      </c>
      <c r="H3165">
        <v>172</v>
      </c>
      <c r="I3165" t="s">
        <v>141</v>
      </c>
      <c r="J3165" t="s">
        <v>144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R3165" t="s">
        <v>127</v>
      </c>
      <c r="S3165" t="str">
        <f t="shared" si="1254"/>
        <v>15:13:19.000</v>
      </c>
      <c r="T3165" t="str">
        <f t="shared" si="1254"/>
        <v>15:13:19.000</v>
      </c>
      <c r="U3165" t="str">
        <f t="shared" si="1243"/>
        <v>A68FCB</v>
      </c>
      <c r="V3165">
        <v>0</v>
      </c>
      <c r="W3165">
        <v>0</v>
      </c>
      <c r="X3165">
        <v>2</v>
      </c>
      <c r="Y3165">
        <v>0</v>
      </c>
      <c r="AA3165">
        <v>1</v>
      </c>
      <c r="AB3165">
        <v>8</v>
      </c>
      <c r="AC3165">
        <v>3</v>
      </c>
      <c r="AD3165">
        <v>0</v>
      </c>
      <c r="AE3165">
        <v>9</v>
      </c>
      <c r="AF3165" t="s">
        <v>138</v>
      </c>
      <c r="AG3165">
        <v>0</v>
      </c>
      <c r="AH3165">
        <v>3</v>
      </c>
      <c r="AI3165">
        <v>2</v>
      </c>
      <c r="AJ3165">
        <v>0</v>
      </c>
      <c r="AK3165" t="s">
        <v>1058</v>
      </c>
      <c r="AL3165">
        <v>39.126263000000002</v>
      </c>
      <c r="AM3165" t="s">
        <v>1059</v>
      </c>
      <c r="AN3165">
        <v>-121.031699</v>
      </c>
      <c r="AO3165">
        <v>25</v>
      </c>
      <c r="AP3165">
        <v>4300</v>
      </c>
      <c r="AQ3165" t="s">
        <v>131</v>
      </c>
      <c r="AR3165">
        <v>3</v>
      </c>
      <c r="AS3165">
        <v>84</v>
      </c>
      <c r="AT3165">
        <v>-256</v>
      </c>
      <c r="BB3165" t="str">
        <f t="shared" si="1244"/>
        <v>1200</v>
      </c>
      <c r="BC3165">
        <v>1</v>
      </c>
      <c r="BD3165" t="str">
        <f t="shared" si="1245"/>
        <v xml:space="preserve">N52156  </v>
      </c>
      <c r="BE3165">
        <v>1</v>
      </c>
      <c r="BG3165">
        <v>0</v>
      </c>
      <c r="BH3165">
        <v>0</v>
      </c>
      <c r="BI3165">
        <v>0</v>
      </c>
      <c r="BJ3165">
        <v>4375</v>
      </c>
      <c r="BK3165">
        <v>75</v>
      </c>
      <c r="BL3165" t="s">
        <v>188</v>
      </c>
      <c r="BM3165">
        <v>1</v>
      </c>
      <c r="BN3165">
        <v>1</v>
      </c>
      <c r="BO3165">
        <v>0</v>
      </c>
      <c r="BP3165">
        <v>0</v>
      </c>
      <c r="BS3165">
        <v>0</v>
      </c>
      <c r="BT3165">
        <v>0</v>
      </c>
      <c r="BU3165">
        <v>0</v>
      </c>
      <c r="CE3165" t="str">
        <f t="shared" si="1255"/>
        <v>15:13:19.968</v>
      </c>
      <c r="CF3165">
        <v>968482352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4</v>
      </c>
      <c r="CY3165">
        <v>7</v>
      </c>
      <c r="CZ3165" t="s">
        <v>133</v>
      </c>
      <c r="DA3165">
        <v>275</v>
      </c>
      <c r="DB3165">
        <v>0</v>
      </c>
      <c r="DC3165" t="s">
        <v>134</v>
      </c>
      <c r="DD3165" t="s">
        <v>135</v>
      </c>
      <c r="DG3165">
        <v>3322437</v>
      </c>
      <c r="DI3165">
        <v>1</v>
      </c>
      <c r="DJ3165">
        <v>0</v>
      </c>
      <c r="DK3165">
        <v>1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">
      <c r="A3166" t="str">
        <f>"05/01/2025 15:13:20.206"</f>
        <v>05/01/2025 15:13:20.206</v>
      </c>
      <c r="C3166" t="str">
        <f t="shared" si="1242"/>
        <v>FFDFD3C0</v>
      </c>
      <c r="D3166" t="s">
        <v>124</v>
      </c>
      <c r="E3166" t="str">
        <f>"06"</f>
        <v>06</v>
      </c>
      <c r="F3166">
        <v>2006</v>
      </c>
      <c r="G3166" t="s">
        <v>125</v>
      </c>
      <c r="J3166" t="s">
        <v>126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R3166" t="s">
        <v>127</v>
      </c>
      <c r="S3166" t="str">
        <f t="shared" si="1254"/>
        <v>15:13:19.000</v>
      </c>
      <c r="T3166" t="str">
        <f t="shared" si="1254"/>
        <v>15:13:19.000</v>
      </c>
      <c r="U3166" t="str">
        <f t="shared" si="1243"/>
        <v>A68FCB</v>
      </c>
      <c r="V3166">
        <v>0</v>
      </c>
      <c r="W3166">
        <v>0</v>
      </c>
      <c r="X3166">
        <v>2</v>
      </c>
      <c r="Y3166">
        <v>0</v>
      </c>
      <c r="AA3166">
        <v>1</v>
      </c>
      <c r="AB3166">
        <v>8</v>
      </c>
      <c r="AC3166">
        <v>3</v>
      </c>
      <c r="AD3166">
        <v>0</v>
      </c>
      <c r="AE3166">
        <v>9</v>
      </c>
      <c r="AF3166" t="s">
        <v>138</v>
      </c>
      <c r="AG3166">
        <v>0</v>
      </c>
      <c r="AH3166">
        <v>3</v>
      </c>
      <c r="AI3166">
        <v>2</v>
      </c>
      <c r="AJ3166">
        <v>0</v>
      </c>
      <c r="AK3166" t="s">
        <v>1058</v>
      </c>
      <c r="AL3166">
        <v>39.126263000000002</v>
      </c>
      <c r="AM3166" t="s">
        <v>1059</v>
      </c>
      <c r="AN3166">
        <v>-121.031699</v>
      </c>
      <c r="AO3166">
        <v>25</v>
      </c>
      <c r="AP3166">
        <v>4300</v>
      </c>
      <c r="AQ3166" t="s">
        <v>131</v>
      </c>
      <c r="AR3166">
        <v>3</v>
      </c>
      <c r="AS3166">
        <v>84</v>
      </c>
      <c r="AT3166">
        <v>-256</v>
      </c>
      <c r="BB3166" t="str">
        <f t="shared" si="1244"/>
        <v>1200</v>
      </c>
      <c r="BC3166">
        <v>1</v>
      </c>
      <c r="BD3166" t="str">
        <f t="shared" si="1245"/>
        <v xml:space="preserve">N52156  </v>
      </c>
      <c r="BE3166">
        <v>1</v>
      </c>
      <c r="BG3166">
        <v>0</v>
      </c>
      <c r="BH3166">
        <v>0</v>
      </c>
      <c r="BI3166">
        <v>0</v>
      </c>
      <c r="BJ3166">
        <v>4375</v>
      </c>
      <c r="BK3166">
        <v>75</v>
      </c>
      <c r="BL3166" t="s">
        <v>188</v>
      </c>
      <c r="BM3166">
        <v>1</v>
      </c>
      <c r="BN3166">
        <v>1</v>
      </c>
      <c r="BO3166">
        <v>0</v>
      </c>
      <c r="BP3166">
        <v>0</v>
      </c>
      <c r="BS3166">
        <v>0</v>
      </c>
      <c r="BT3166">
        <v>0</v>
      </c>
      <c r="BU3166">
        <v>0</v>
      </c>
      <c r="CE3166" t="str">
        <f t="shared" si="1255"/>
        <v>15:13:19.968</v>
      </c>
      <c r="CF3166">
        <v>968482352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4</v>
      </c>
      <c r="CY3166">
        <v>7</v>
      </c>
      <c r="CZ3166" t="s">
        <v>133</v>
      </c>
      <c r="DA3166">
        <v>275</v>
      </c>
      <c r="DB3166">
        <v>0</v>
      </c>
      <c r="DC3166" t="s">
        <v>134</v>
      </c>
      <c r="DD3166" t="s">
        <v>135</v>
      </c>
      <c r="DG3166">
        <v>3322437</v>
      </c>
      <c r="DI3166">
        <v>1</v>
      </c>
      <c r="DJ3166">
        <v>0</v>
      </c>
      <c r="DK3166">
        <v>1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">
      <c r="A3167" t="str">
        <f>"05/01/2025 15:13:20.206"</f>
        <v>05/01/2025 15:13:20.206</v>
      </c>
      <c r="C3167" t="str">
        <f t="shared" si="1242"/>
        <v>FFDFD3C0</v>
      </c>
      <c r="D3167" t="s">
        <v>140</v>
      </c>
      <c r="E3167" t="str">
        <f>"13"</f>
        <v>13</v>
      </c>
      <c r="F3167">
        <v>1019</v>
      </c>
      <c r="G3167" t="s">
        <v>141</v>
      </c>
      <c r="J3167" t="s">
        <v>142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R3167" t="s">
        <v>127</v>
      </c>
      <c r="S3167" t="str">
        <f t="shared" si="1254"/>
        <v>15:13:19.000</v>
      </c>
      <c r="T3167" t="str">
        <f t="shared" si="1254"/>
        <v>15:13:19.000</v>
      </c>
      <c r="U3167" t="str">
        <f t="shared" si="1243"/>
        <v>A68FCB</v>
      </c>
      <c r="V3167">
        <v>0</v>
      </c>
      <c r="W3167">
        <v>0</v>
      </c>
      <c r="X3167">
        <v>2</v>
      </c>
      <c r="Y3167">
        <v>0</v>
      </c>
      <c r="AA3167">
        <v>1</v>
      </c>
      <c r="AB3167">
        <v>8</v>
      </c>
      <c r="AC3167">
        <v>3</v>
      </c>
      <c r="AD3167">
        <v>0</v>
      </c>
      <c r="AE3167">
        <v>9</v>
      </c>
      <c r="AF3167" t="s">
        <v>138</v>
      </c>
      <c r="AG3167">
        <v>0</v>
      </c>
      <c r="AH3167">
        <v>3</v>
      </c>
      <c r="AI3167">
        <v>2</v>
      </c>
      <c r="AJ3167">
        <v>0</v>
      </c>
      <c r="AK3167" t="s">
        <v>1058</v>
      </c>
      <c r="AL3167">
        <v>39.126263000000002</v>
      </c>
      <c r="AM3167" t="s">
        <v>1059</v>
      </c>
      <c r="AN3167">
        <v>-121.031699</v>
      </c>
      <c r="AO3167">
        <v>25</v>
      </c>
      <c r="AP3167">
        <v>4300</v>
      </c>
      <c r="AQ3167" t="s">
        <v>131</v>
      </c>
      <c r="AR3167">
        <v>3</v>
      </c>
      <c r="AS3167">
        <v>84</v>
      </c>
      <c r="AT3167">
        <v>-256</v>
      </c>
      <c r="BB3167" t="str">
        <f t="shared" si="1244"/>
        <v>1200</v>
      </c>
      <c r="BC3167">
        <v>1</v>
      </c>
      <c r="BD3167" t="str">
        <f t="shared" si="1245"/>
        <v xml:space="preserve">N52156  </v>
      </c>
      <c r="BE3167">
        <v>1</v>
      </c>
      <c r="BG3167">
        <v>0</v>
      </c>
      <c r="BH3167">
        <v>0</v>
      </c>
      <c r="BI3167">
        <v>0</v>
      </c>
      <c r="BJ3167">
        <v>4375</v>
      </c>
      <c r="BK3167">
        <v>75</v>
      </c>
      <c r="BL3167" t="s">
        <v>188</v>
      </c>
      <c r="BM3167">
        <v>1</v>
      </c>
      <c r="BN3167">
        <v>1</v>
      </c>
      <c r="BO3167">
        <v>0</v>
      </c>
      <c r="BP3167">
        <v>0</v>
      </c>
      <c r="BS3167">
        <v>0</v>
      </c>
      <c r="BT3167">
        <v>0</v>
      </c>
      <c r="BU3167">
        <v>0</v>
      </c>
      <c r="CE3167" t="str">
        <f t="shared" si="1255"/>
        <v>15:13:19.968</v>
      </c>
      <c r="CF3167">
        <v>968482352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4</v>
      </c>
      <c r="CY3167">
        <v>7</v>
      </c>
      <c r="CZ3167" t="s">
        <v>133</v>
      </c>
      <c r="DA3167">
        <v>275</v>
      </c>
      <c r="DB3167">
        <v>0</v>
      </c>
      <c r="DC3167" t="s">
        <v>134</v>
      </c>
      <c r="DD3167" t="s">
        <v>135</v>
      </c>
      <c r="DG3167">
        <v>3322437</v>
      </c>
      <c r="DI3167">
        <v>1</v>
      </c>
      <c r="DJ3167">
        <v>0</v>
      </c>
      <c r="DK3167">
        <v>1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">
      <c r="A3168" t="str">
        <f>"05/01/2025 15:13:20.218"</f>
        <v>05/01/2025 15:13:20.218</v>
      </c>
      <c r="C3168" t="str">
        <f t="shared" si="1242"/>
        <v>FFDFD3C0</v>
      </c>
      <c r="D3168" t="s">
        <v>145</v>
      </c>
      <c r="E3168" t="str">
        <f>"09"</f>
        <v>09</v>
      </c>
      <c r="H3168">
        <v>51</v>
      </c>
      <c r="I3168" t="s">
        <v>147</v>
      </c>
      <c r="J3168" t="s">
        <v>138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R3168" t="s">
        <v>127</v>
      </c>
      <c r="S3168" t="str">
        <f t="shared" si="1254"/>
        <v>15:13:19.000</v>
      </c>
      <c r="T3168" t="str">
        <f t="shared" si="1254"/>
        <v>15:13:19.000</v>
      </c>
      <c r="U3168" t="str">
        <f t="shared" si="1243"/>
        <v>A68FCB</v>
      </c>
      <c r="V3168">
        <v>0</v>
      </c>
      <c r="W3168">
        <v>0</v>
      </c>
      <c r="X3168">
        <v>2</v>
      </c>
      <c r="Y3168">
        <v>0</v>
      </c>
      <c r="AA3168">
        <v>1</v>
      </c>
      <c r="AB3168">
        <v>8</v>
      </c>
      <c r="AC3168">
        <v>3</v>
      </c>
      <c r="AD3168">
        <v>0</v>
      </c>
      <c r="AE3168">
        <v>9</v>
      </c>
      <c r="AF3168" t="s">
        <v>138</v>
      </c>
      <c r="AG3168">
        <v>0</v>
      </c>
      <c r="AH3168">
        <v>3</v>
      </c>
      <c r="AI3168">
        <v>2</v>
      </c>
      <c r="AJ3168">
        <v>0</v>
      </c>
      <c r="AK3168" t="s">
        <v>1058</v>
      </c>
      <c r="AL3168">
        <v>39.126263000000002</v>
      </c>
      <c r="AM3168" t="s">
        <v>1059</v>
      </c>
      <c r="AN3168">
        <v>-121.031699</v>
      </c>
      <c r="AO3168">
        <v>25</v>
      </c>
      <c r="AP3168">
        <v>4300</v>
      </c>
      <c r="AQ3168" t="s">
        <v>131</v>
      </c>
      <c r="AR3168">
        <v>3</v>
      </c>
      <c r="AS3168">
        <v>84</v>
      </c>
      <c r="AT3168">
        <v>-256</v>
      </c>
      <c r="BB3168" t="str">
        <f t="shared" si="1244"/>
        <v>1200</v>
      </c>
      <c r="BC3168">
        <v>1</v>
      </c>
      <c r="BD3168" t="str">
        <f t="shared" si="1245"/>
        <v xml:space="preserve">N52156  </v>
      </c>
      <c r="BE3168">
        <v>1</v>
      </c>
      <c r="BG3168">
        <v>0</v>
      </c>
      <c r="BH3168">
        <v>0</v>
      </c>
      <c r="BI3168">
        <v>0</v>
      </c>
      <c r="BJ3168">
        <v>4375</v>
      </c>
      <c r="BK3168">
        <v>75</v>
      </c>
      <c r="BL3168" t="s">
        <v>188</v>
      </c>
      <c r="BM3168">
        <v>1</v>
      </c>
      <c r="BN3168">
        <v>1</v>
      </c>
      <c r="BO3168">
        <v>0</v>
      </c>
      <c r="BP3168">
        <v>0</v>
      </c>
      <c r="BS3168">
        <v>0</v>
      </c>
      <c r="BT3168">
        <v>0</v>
      </c>
      <c r="BU3168">
        <v>0</v>
      </c>
      <c r="CE3168" t="str">
        <f t="shared" si="1255"/>
        <v>15:13:19.968</v>
      </c>
      <c r="CF3168">
        <v>968482352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4</v>
      </c>
      <c r="CY3168">
        <v>7</v>
      </c>
      <c r="CZ3168" t="s">
        <v>133</v>
      </c>
      <c r="DA3168">
        <v>275</v>
      </c>
      <c r="DB3168">
        <v>0</v>
      </c>
      <c r="DC3168" t="s">
        <v>134</v>
      </c>
      <c r="DD3168" t="s">
        <v>135</v>
      </c>
      <c r="DG3168">
        <v>3322437</v>
      </c>
      <c r="DI3168">
        <v>1</v>
      </c>
      <c r="DJ3168">
        <v>0</v>
      </c>
      <c r="DK3168">
        <v>1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3">
      <c r="A3169" t="str">
        <f>"05/01/2025 15:13:20.220"</f>
        <v>05/01/2025 15:13:20.220</v>
      </c>
      <c r="C3169" t="str">
        <f t="shared" si="1242"/>
        <v>FFDFD3C0</v>
      </c>
      <c r="D3169" t="s">
        <v>145</v>
      </c>
      <c r="E3169" t="str">
        <f>"05"</f>
        <v>05</v>
      </c>
      <c r="H3169">
        <v>47</v>
      </c>
      <c r="I3169" t="s">
        <v>146</v>
      </c>
      <c r="J3169" t="s">
        <v>138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R3169" t="s">
        <v>127</v>
      </c>
      <c r="S3169" t="str">
        <f t="shared" si="1254"/>
        <v>15:13:19.000</v>
      </c>
      <c r="T3169" t="str">
        <f t="shared" si="1254"/>
        <v>15:13:19.000</v>
      </c>
      <c r="U3169" t="str">
        <f t="shared" si="1243"/>
        <v>A68FCB</v>
      </c>
      <c r="V3169">
        <v>0</v>
      </c>
      <c r="W3169">
        <v>0</v>
      </c>
      <c r="X3169">
        <v>2</v>
      </c>
      <c r="Y3169">
        <v>0</v>
      </c>
      <c r="AA3169">
        <v>1</v>
      </c>
      <c r="AB3169">
        <v>8</v>
      </c>
      <c r="AC3169">
        <v>3</v>
      </c>
      <c r="AD3169">
        <v>0</v>
      </c>
      <c r="AE3169">
        <v>9</v>
      </c>
      <c r="AF3169" t="s">
        <v>138</v>
      </c>
      <c r="AG3169">
        <v>0</v>
      </c>
      <c r="AH3169">
        <v>3</v>
      </c>
      <c r="AI3169">
        <v>2</v>
      </c>
      <c r="AJ3169">
        <v>0</v>
      </c>
      <c r="AK3169" t="s">
        <v>1058</v>
      </c>
      <c r="AL3169">
        <v>39.126263000000002</v>
      </c>
      <c r="AM3169" t="s">
        <v>1059</v>
      </c>
      <c r="AN3169">
        <v>-121.031699</v>
      </c>
      <c r="AO3169">
        <v>25</v>
      </c>
      <c r="AP3169">
        <v>4300</v>
      </c>
      <c r="AQ3169" t="s">
        <v>131</v>
      </c>
      <c r="AR3169">
        <v>3</v>
      </c>
      <c r="AS3169">
        <v>84</v>
      </c>
      <c r="AT3169">
        <v>-256</v>
      </c>
      <c r="BB3169" t="str">
        <f t="shared" si="1244"/>
        <v>1200</v>
      </c>
      <c r="BC3169">
        <v>1</v>
      </c>
      <c r="BD3169" t="str">
        <f t="shared" si="1245"/>
        <v xml:space="preserve">N52156  </v>
      </c>
      <c r="BE3169">
        <v>1</v>
      </c>
      <c r="BG3169">
        <v>0</v>
      </c>
      <c r="BH3169">
        <v>0</v>
      </c>
      <c r="BI3169">
        <v>0</v>
      </c>
      <c r="BJ3169">
        <v>4375</v>
      </c>
      <c r="BK3169">
        <v>75</v>
      </c>
      <c r="BL3169" t="s">
        <v>188</v>
      </c>
      <c r="BM3169">
        <v>1</v>
      </c>
      <c r="BN3169">
        <v>1</v>
      </c>
      <c r="BO3169">
        <v>0</v>
      </c>
      <c r="BP3169">
        <v>0</v>
      </c>
      <c r="BS3169">
        <v>0</v>
      </c>
      <c r="BT3169">
        <v>0</v>
      </c>
      <c r="BU3169">
        <v>0</v>
      </c>
      <c r="CE3169" t="str">
        <f t="shared" si="1255"/>
        <v>15:13:19.968</v>
      </c>
      <c r="CF3169">
        <v>968482352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4</v>
      </c>
      <c r="CY3169">
        <v>7</v>
      </c>
      <c r="CZ3169" t="s">
        <v>133</v>
      </c>
      <c r="DA3169">
        <v>275</v>
      </c>
      <c r="DB3169">
        <v>0</v>
      </c>
      <c r="DC3169" t="s">
        <v>134</v>
      </c>
      <c r="DD3169" t="s">
        <v>135</v>
      </c>
      <c r="DG3169">
        <v>3322437</v>
      </c>
      <c r="DI3169">
        <v>1</v>
      </c>
      <c r="DJ3169">
        <v>0</v>
      </c>
      <c r="DK3169">
        <v>1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">
      <c r="A3170" t="str">
        <f>"05/01/2025 15:13:20.758"</f>
        <v>05/01/2025 15:13:20.758</v>
      </c>
      <c r="C3170" t="str">
        <f t="shared" si="1242"/>
        <v>FFDFD3C0</v>
      </c>
      <c r="D3170" t="s">
        <v>124</v>
      </c>
      <c r="E3170" t="str">
        <f>"06"</f>
        <v>06</v>
      </c>
      <c r="F3170">
        <v>2006</v>
      </c>
      <c r="G3170" t="s">
        <v>125</v>
      </c>
      <c r="J3170" t="s">
        <v>126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R3170" t="s">
        <v>127</v>
      </c>
      <c r="S3170" t="str">
        <f t="shared" ref="S3170:T3175" si="1256">"15:13:20.000"</f>
        <v>15:13:20.000</v>
      </c>
      <c r="T3170" t="str">
        <f t="shared" si="1256"/>
        <v>15:13:20.000</v>
      </c>
      <c r="U3170" t="str">
        <f t="shared" si="1243"/>
        <v>A68FCB</v>
      </c>
      <c r="V3170">
        <v>0</v>
      </c>
      <c r="W3170">
        <v>0</v>
      </c>
      <c r="X3170">
        <v>2</v>
      </c>
      <c r="Y3170">
        <v>0</v>
      </c>
      <c r="AA3170">
        <v>1</v>
      </c>
      <c r="AB3170">
        <v>8</v>
      </c>
      <c r="AC3170">
        <v>3</v>
      </c>
      <c r="AD3170">
        <v>0</v>
      </c>
      <c r="AE3170">
        <v>9</v>
      </c>
      <c r="AF3170" t="s">
        <v>138</v>
      </c>
      <c r="AG3170">
        <v>0</v>
      </c>
      <c r="AH3170">
        <v>3</v>
      </c>
      <c r="AI3170">
        <v>2</v>
      </c>
      <c r="AJ3170">
        <v>0</v>
      </c>
      <c r="AK3170" t="s">
        <v>1060</v>
      </c>
      <c r="AL3170">
        <v>39.126669999999997</v>
      </c>
      <c r="AM3170" t="s">
        <v>1061</v>
      </c>
      <c r="AN3170">
        <v>-121.031678</v>
      </c>
      <c r="AO3170">
        <v>25</v>
      </c>
      <c r="AP3170">
        <v>4300</v>
      </c>
      <c r="AQ3170" t="s">
        <v>131</v>
      </c>
      <c r="AR3170">
        <v>3</v>
      </c>
      <c r="AS3170">
        <v>85</v>
      </c>
      <c r="AT3170">
        <v>-256</v>
      </c>
      <c r="BB3170" t="str">
        <f t="shared" si="1244"/>
        <v>1200</v>
      </c>
      <c r="BC3170">
        <v>1</v>
      </c>
      <c r="BD3170" t="str">
        <f t="shared" si="1245"/>
        <v xml:space="preserve">N52156  </v>
      </c>
      <c r="BE3170">
        <v>1</v>
      </c>
      <c r="BG3170">
        <v>0</v>
      </c>
      <c r="BH3170">
        <v>0</v>
      </c>
      <c r="BI3170">
        <v>0</v>
      </c>
      <c r="BJ3170">
        <v>4375</v>
      </c>
      <c r="BK3170">
        <v>75</v>
      </c>
      <c r="BL3170" t="s">
        <v>188</v>
      </c>
      <c r="BM3170">
        <v>1</v>
      </c>
      <c r="BN3170">
        <v>1</v>
      </c>
      <c r="BO3170">
        <v>0</v>
      </c>
      <c r="BP3170">
        <v>0</v>
      </c>
      <c r="BS3170">
        <v>0</v>
      </c>
      <c r="BT3170">
        <v>0</v>
      </c>
      <c r="BU3170">
        <v>0</v>
      </c>
      <c r="CE3170" t="str">
        <f t="shared" ref="CE3170:CE3175" si="1257">"15:13:20.547"</f>
        <v>15:13:20.547</v>
      </c>
      <c r="CF3170">
        <v>547231358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4</v>
      </c>
      <c r="CY3170">
        <v>7</v>
      </c>
      <c r="CZ3170" t="s">
        <v>133</v>
      </c>
      <c r="DA3170">
        <v>275</v>
      </c>
      <c r="DB3170">
        <v>0</v>
      </c>
      <c r="DC3170" t="s">
        <v>134</v>
      </c>
      <c r="DD3170" t="s">
        <v>135</v>
      </c>
      <c r="DG3170">
        <v>3322441</v>
      </c>
      <c r="DI3170">
        <v>1</v>
      </c>
      <c r="DJ3170">
        <v>0</v>
      </c>
      <c r="DK3170">
        <v>0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">
      <c r="A3171" t="str">
        <f>"05/01/2025 15:13:20.758"</f>
        <v>05/01/2025 15:13:20.758</v>
      </c>
      <c r="C3171" t="str">
        <f t="shared" si="1242"/>
        <v>FFDFD3C0</v>
      </c>
      <c r="D3171" t="s">
        <v>140</v>
      </c>
      <c r="E3171" t="str">
        <f>"13"</f>
        <v>13</v>
      </c>
      <c r="F3171">
        <v>1019</v>
      </c>
      <c r="G3171" t="s">
        <v>141</v>
      </c>
      <c r="J3171" t="s">
        <v>142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R3171" t="s">
        <v>127</v>
      </c>
      <c r="S3171" t="str">
        <f t="shared" si="1256"/>
        <v>15:13:20.000</v>
      </c>
      <c r="T3171" t="str">
        <f t="shared" si="1256"/>
        <v>15:13:20.000</v>
      </c>
      <c r="U3171" t="str">
        <f t="shared" si="1243"/>
        <v>A68FCB</v>
      </c>
      <c r="V3171">
        <v>0</v>
      </c>
      <c r="W3171">
        <v>0</v>
      </c>
      <c r="X3171">
        <v>2</v>
      </c>
      <c r="Y3171">
        <v>0</v>
      </c>
      <c r="AA3171">
        <v>1</v>
      </c>
      <c r="AB3171">
        <v>8</v>
      </c>
      <c r="AC3171">
        <v>3</v>
      </c>
      <c r="AD3171">
        <v>0</v>
      </c>
      <c r="AE3171">
        <v>9</v>
      </c>
      <c r="AF3171" t="s">
        <v>138</v>
      </c>
      <c r="AG3171">
        <v>0</v>
      </c>
      <c r="AH3171">
        <v>3</v>
      </c>
      <c r="AI3171">
        <v>2</v>
      </c>
      <c r="AJ3171">
        <v>0</v>
      </c>
      <c r="AK3171" t="s">
        <v>1060</v>
      </c>
      <c r="AL3171">
        <v>39.126669999999997</v>
      </c>
      <c r="AM3171" t="s">
        <v>1061</v>
      </c>
      <c r="AN3171">
        <v>-121.031678</v>
      </c>
      <c r="AO3171">
        <v>25</v>
      </c>
      <c r="AP3171">
        <v>4300</v>
      </c>
      <c r="AQ3171" t="s">
        <v>131</v>
      </c>
      <c r="AR3171">
        <v>3</v>
      </c>
      <c r="AS3171">
        <v>85</v>
      </c>
      <c r="AT3171">
        <v>-256</v>
      </c>
      <c r="BB3171" t="str">
        <f t="shared" si="1244"/>
        <v>1200</v>
      </c>
      <c r="BC3171">
        <v>1</v>
      </c>
      <c r="BD3171" t="str">
        <f t="shared" si="1245"/>
        <v xml:space="preserve">N52156  </v>
      </c>
      <c r="BE3171">
        <v>1</v>
      </c>
      <c r="BG3171">
        <v>0</v>
      </c>
      <c r="BH3171">
        <v>0</v>
      </c>
      <c r="BI3171">
        <v>0</v>
      </c>
      <c r="BJ3171">
        <v>4375</v>
      </c>
      <c r="BK3171">
        <v>75</v>
      </c>
      <c r="BL3171" t="s">
        <v>188</v>
      </c>
      <c r="BM3171">
        <v>1</v>
      </c>
      <c r="BN3171">
        <v>1</v>
      </c>
      <c r="BO3171">
        <v>0</v>
      </c>
      <c r="BP3171">
        <v>0</v>
      </c>
      <c r="BS3171">
        <v>0</v>
      </c>
      <c r="BT3171">
        <v>0</v>
      </c>
      <c r="BU3171">
        <v>0</v>
      </c>
      <c r="CE3171" t="str">
        <f t="shared" si="1257"/>
        <v>15:13:20.547</v>
      </c>
      <c r="CF3171">
        <v>547231358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4</v>
      </c>
      <c r="CY3171">
        <v>7</v>
      </c>
      <c r="CZ3171" t="s">
        <v>133</v>
      </c>
      <c r="DA3171">
        <v>275</v>
      </c>
      <c r="DB3171">
        <v>0</v>
      </c>
      <c r="DC3171" t="s">
        <v>134</v>
      </c>
      <c r="DD3171" t="s">
        <v>135</v>
      </c>
      <c r="DG3171">
        <v>3322441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">
      <c r="A3172" t="str">
        <f>"05/01/2025 15:13:20.769"</f>
        <v>05/01/2025 15:13:20.769</v>
      </c>
      <c r="C3172" t="str">
        <f t="shared" si="1242"/>
        <v>FFDFD3C0</v>
      </c>
      <c r="D3172" t="s">
        <v>145</v>
      </c>
      <c r="E3172" t="str">
        <f>"09"</f>
        <v>09</v>
      </c>
      <c r="H3172">
        <v>51</v>
      </c>
      <c r="I3172" t="s">
        <v>147</v>
      </c>
      <c r="J3172" t="s">
        <v>138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R3172" t="s">
        <v>127</v>
      </c>
      <c r="S3172" t="str">
        <f t="shared" si="1256"/>
        <v>15:13:20.000</v>
      </c>
      <c r="T3172" t="str">
        <f t="shared" si="1256"/>
        <v>15:13:20.000</v>
      </c>
      <c r="U3172" t="str">
        <f t="shared" si="1243"/>
        <v>A68FCB</v>
      </c>
      <c r="V3172">
        <v>0</v>
      </c>
      <c r="W3172">
        <v>0</v>
      </c>
      <c r="X3172">
        <v>2</v>
      </c>
      <c r="Y3172">
        <v>0</v>
      </c>
      <c r="AA3172">
        <v>1</v>
      </c>
      <c r="AB3172">
        <v>8</v>
      </c>
      <c r="AC3172">
        <v>3</v>
      </c>
      <c r="AD3172">
        <v>0</v>
      </c>
      <c r="AE3172">
        <v>9</v>
      </c>
      <c r="AF3172" t="s">
        <v>138</v>
      </c>
      <c r="AG3172">
        <v>0</v>
      </c>
      <c r="AH3172">
        <v>3</v>
      </c>
      <c r="AI3172">
        <v>2</v>
      </c>
      <c r="AJ3172">
        <v>0</v>
      </c>
      <c r="AK3172" t="s">
        <v>1060</v>
      </c>
      <c r="AL3172">
        <v>39.126669999999997</v>
      </c>
      <c r="AM3172" t="s">
        <v>1061</v>
      </c>
      <c r="AN3172">
        <v>-121.031678</v>
      </c>
      <c r="AO3172">
        <v>25</v>
      </c>
      <c r="AP3172">
        <v>4300</v>
      </c>
      <c r="AQ3172" t="s">
        <v>131</v>
      </c>
      <c r="AR3172">
        <v>3</v>
      </c>
      <c r="AS3172">
        <v>85</v>
      </c>
      <c r="AT3172">
        <v>-256</v>
      </c>
      <c r="BB3172" t="str">
        <f t="shared" si="1244"/>
        <v>1200</v>
      </c>
      <c r="BC3172">
        <v>1</v>
      </c>
      <c r="BD3172" t="str">
        <f t="shared" si="1245"/>
        <v xml:space="preserve">N52156  </v>
      </c>
      <c r="BE3172">
        <v>1</v>
      </c>
      <c r="BG3172">
        <v>0</v>
      </c>
      <c r="BH3172">
        <v>0</v>
      </c>
      <c r="BI3172">
        <v>0</v>
      </c>
      <c r="BJ3172">
        <v>4375</v>
      </c>
      <c r="BK3172">
        <v>75</v>
      </c>
      <c r="BL3172" t="s">
        <v>188</v>
      </c>
      <c r="BM3172">
        <v>1</v>
      </c>
      <c r="BN3172">
        <v>1</v>
      </c>
      <c r="BO3172">
        <v>0</v>
      </c>
      <c r="BP3172">
        <v>0</v>
      </c>
      <c r="BS3172">
        <v>0</v>
      </c>
      <c r="BT3172">
        <v>0</v>
      </c>
      <c r="BU3172">
        <v>0</v>
      </c>
      <c r="CE3172" t="str">
        <f t="shared" si="1257"/>
        <v>15:13:20.547</v>
      </c>
      <c r="CF3172">
        <v>547231358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4</v>
      </c>
      <c r="CY3172">
        <v>7</v>
      </c>
      <c r="CZ3172" t="s">
        <v>133</v>
      </c>
      <c r="DA3172">
        <v>275</v>
      </c>
      <c r="DB3172">
        <v>0</v>
      </c>
      <c r="DC3172" t="s">
        <v>134</v>
      </c>
      <c r="DD3172" t="s">
        <v>135</v>
      </c>
      <c r="DG3172">
        <v>3322441</v>
      </c>
      <c r="DI3172">
        <v>1</v>
      </c>
      <c r="DJ3172">
        <v>0</v>
      </c>
      <c r="DK3172">
        <v>1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">
      <c r="A3173" t="str">
        <f>"05/01/2025 15:13:20.771"</f>
        <v>05/01/2025 15:13:20.771</v>
      </c>
      <c r="C3173" t="str">
        <f t="shared" si="1242"/>
        <v>FFDFD3C0</v>
      </c>
      <c r="D3173" t="s">
        <v>145</v>
      </c>
      <c r="E3173" t="str">
        <f>"05"</f>
        <v>05</v>
      </c>
      <c r="H3173">
        <v>47</v>
      </c>
      <c r="I3173" t="s">
        <v>146</v>
      </c>
      <c r="J3173" t="s">
        <v>138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R3173" t="s">
        <v>127</v>
      </c>
      <c r="S3173" t="str">
        <f t="shared" si="1256"/>
        <v>15:13:20.000</v>
      </c>
      <c r="T3173" t="str">
        <f t="shared" si="1256"/>
        <v>15:13:20.000</v>
      </c>
      <c r="U3173" t="str">
        <f t="shared" si="1243"/>
        <v>A68FCB</v>
      </c>
      <c r="V3173">
        <v>0</v>
      </c>
      <c r="W3173">
        <v>0</v>
      </c>
      <c r="X3173">
        <v>2</v>
      </c>
      <c r="Y3173">
        <v>0</v>
      </c>
      <c r="AA3173">
        <v>1</v>
      </c>
      <c r="AB3173">
        <v>8</v>
      </c>
      <c r="AC3173">
        <v>3</v>
      </c>
      <c r="AD3173">
        <v>0</v>
      </c>
      <c r="AE3173">
        <v>9</v>
      </c>
      <c r="AF3173" t="s">
        <v>138</v>
      </c>
      <c r="AG3173">
        <v>0</v>
      </c>
      <c r="AH3173">
        <v>3</v>
      </c>
      <c r="AI3173">
        <v>2</v>
      </c>
      <c r="AJ3173">
        <v>0</v>
      </c>
      <c r="AK3173" t="s">
        <v>1060</v>
      </c>
      <c r="AL3173">
        <v>39.126669999999997</v>
      </c>
      <c r="AM3173" t="s">
        <v>1061</v>
      </c>
      <c r="AN3173">
        <v>-121.031678</v>
      </c>
      <c r="AO3173">
        <v>25</v>
      </c>
      <c r="AP3173">
        <v>4300</v>
      </c>
      <c r="AQ3173" t="s">
        <v>131</v>
      </c>
      <c r="AR3173">
        <v>3</v>
      </c>
      <c r="AS3173">
        <v>85</v>
      </c>
      <c r="AT3173">
        <v>-256</v>
      </c>
      <c r="BB3173" t="str">
        <f t="shared" si="1244"/>
        <v>1200</v>
      </c>
      <c r="BC3173">
        <v>1</v>
      </c>
      <c r="BD3173" t="str">
        <f t="shared" si="1245"/>
        <v xml:space="preserve">N52156  </v>
      </c>
      <c r="BE3173">
        <v>1</v>
      </c>
      <c r="BG3173">
        <v>0</v>
      </c>
      <c r="BH3173">
        <v>0</v>
      </c>
      <c r="BI3173">
        <v>0</v>
      </c>
      <c r="BJ3173">
        <v>4375</v>
      </c>
      <c r="BK3173">
        <v>75</v>
      </c>
      <c r="BL3173" t="s">
        <v>188</v>
      </c>
      <c r="BM3173">
        <v>1</v>
      </c>
      <c r="BN3173">
        <v>1</v>
      </c>
      <c r="BO3173">
        <v>0</v>
      </c>
      <c r="BP3173">
        <v>0</v>
      </c>
      <c r="BS3173">
        <v>0</v>
      </c>
      <c r="BT3173">
        <v>0</v>
      </c>
      <c r="BU3173">
        <v>0</v>
      </c>
      <c r="CE3173" t="str">
        <f t="shared" si="1257"/>
        <v>15:13:20.547</v>
      </c>
      <c r="CF3173">
        <v>547231358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4</v>
      </c>
      <c r="CY3173">
        <v>7</v>
      </c>
      <c r="CZ3173" t="s">
        <v>133</v>
      </c>
      <c r="DA3173">
        <v>275</v>
      </c>
      <c r="DB3173">
        <v>0</v>
      </c>
      <c r="DC3173" t="s">
        <v>134</v>
      </c>
      <c r="DD3173" t="s">
        <v>135</v>
      </c>
      <c r="DG3173">
        <v>3322441</v>
      </c>
      <c r="DI3173">
        <v>1</v>
      </c>
      <c r="DJ3173">
        <v>0</v>
      </c>
      <c r="DK3173">
        <v>1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">
      <c r="A3174" t="str">
        <f>"05/01/2025 15:13:20.782"</f>
        <v>05/01/2025 15:13:20.782</v>
      </c>
      <c r="C3174" t="str">
        <f t="shared" si="1242"/>
        <v>FFDFD3C0</v>
      </c>
      <c r="D3174" t="s">
        <v>136</v>
      </c>
      <c r="E3174" t="str">
        <f>"20"</f>
        <v>20</v>
      </c>
      <c r="H3174">
        <v>400</v>
      </c>
      <c r="I3174" t="s">
        <v>137</v>
      </c>
      <c r="J3174" t="s">
        <v>138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R3174" t="s">
        <v>127</v>
      </c>
      <c r="S3174" t="str">
        <f t="shared" si="1256"/>
        <v>15:13:20.000</v>
      </c>
      <c r="T3174" t="str">
        <f t="shared" si="1256"/>
        <v>15:13:20.000</v>
      </c>
      <c r="U3174" t="str">
        <f t="shared" si="1243"/>
        <v>A68FCB</v>
      </c>
      <c r="V3174">
        <v>0</v>
      </c>
      <c r="W3174">
        <v>0</v>
      </c>
      <c r="X3174">
        <v>2</v>
      </c>
      <c r="Y3174">
        <v>0</v>
      </c>
      <c r="AA3174">
        <v>1</v>
      </c>
      <c r="AB3174">
        <v>8</v>
      </c>
      <c r="AC3174">
        <v>3</v>
      </c>
      <c r="AD3174">
        <v>0</v>
      </c>
      <c r="AE3174">
        <v>9</v>
      </c>
      <c r="AF3174" t="s">
        <v>138</v>
      </c>
      <c r="AG3174">
        <v>0</v>
      </c>
      <c r="AH3174">
        <v>3</v>
      </c>
      <c r="AI3174">
        <v>2</v>
      </c>
      <c r="AJ3174">
        <v>0</v>
      </c>
      <c r="AK3174" t="s">
        <v>1060</v>
      </c>
      <c r="AL3174">
        <v>39.126669999999997</v>
      </c>
      <c r="AM3174" t="s">
        <v>1061</v>
      </c>
      <c r="AN3174">
        <v>-121.031678</v>
      </c>
      <c r="AO3174">
        <v>25</v>
      </c>
      <c r="AP3174">
        <v>4300</v>
      </c>
      <c r="AQ3174" t="s">
        <v>131</v>
      </c>
      <c r="AR3174">
        <v>3</v>
      </c>
      <c r="AS3174">
        <v>85</v>
      </c>
      <c r="AT3174">
        <v>-256</v>
      </c>
      <c r="BB3174" t="str">
        <f t="shared" si="1244"/>
        <v>1200</v>
      </c>
      <c r="BC3174">
        <v>1</v>
      </c>
      <c r="BD3174" t="str">
        <f t="shared" si="1245"/>
        <v xml:space="preserve">N52156  </v>
      </c>
      <c r="BE3174">
        <v>1</v>
      </c>
      <c r="BG3174">
        <v>0</v>
      </c>
      <c r="BH3174">
        <v>0</v>
      </c>
      <c r="BI3174">
        <v>0</v>
      </c>
      <c r="BJ3174">
        <v>4375</v>
      </c>
      <c r="BK3174">
        <v>75</v>
      </c>
      <c r="BL3174" t="s">
        <v>188</v>
      </c>
      <c r="BM3174">
        <v>1</v>
      </c>
      <c r="BN3174">
        <v>1</v>
      </c>
      <c r="BO3174">
        <v>0</v>
      </c>
      <c r="BP3174">
        <v>0</v>
      </c>
      <c r="BS3174">
        <v>0</v>
      </c>
      <c r="BT3174">
        <v>0</v>
      </c>
      <c r="BU3174">
        <v>0</v>
      </c>
      <c r="CE3174" t="str">
        <f t="shared" si="1257"/>
        <v>15:13:20.547</v>
      </c>
      <c r="CF3174">
        <v>547231358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4</v>
      </c>
      <c r="CY3174">
        <v>7</v>
      </c>
      <c r="CZ3174" t="s">
        <v>133</v>
      </c>
      <c r="DA3174">
        <v>275</v>
      </c>
      <c r="DB3174">
        <v>0</v>
      </c>
      <c r="DC3174" t="s">
        <v>134</v>
      </c>
      <c r="DD3174" t="s">
        <v>135</v>
      </c>
      <c r="DG3174">
        <v>3322441</v>
      </c>
      <c r="DI3174">
        <v>1</v>
      </c>
      <c r="DJ3174">
        <v>0</v>
      </c>
      <c r="DK3174">
        <v>1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">
      <c r="A3175" t="str">
        <f>"05/01/2025 15:13:20.793"</f>
        <v>05/01/2025 15:13:20.793</v>
      </c>
      <c r="C3175" t="str">
        <f t="shared" si="1242"/>
        <v>FFDFD3C0</v>
      </c>
      <c r="D3175" t="s">
        <v>143</v>
      </c>
      <c r="E3175" t="str">
        <f>"05"</f>
        <v>05</v>
      </c>
      <c r="H3175">
        <v>172</v>
      </c>
      <c r="I3175" t="s">
        <v>141</v>
      </c>
      <c r="J3175" t="s">
        <v>144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R3175" t="s">
        <v>127</v>
      </c>
      <c r="S3175" t="str">
        <f t="shared" si="1256"/>
        <v>15:13:20.000</v>
      </c>
      <c r="T3175" t="str">
        <f t="shared" si="1256"/>
        <v>15:13:20.000</v>
      </c>
      <c r="U3175" t="str">
        <f t="shared" si="1243"/>
        <v>A68FCB</v>
      </c>
      <c r="V3175">
        <v>0</v>
      </c>
      <c r="W3175">
        <v>0</v>
      </c>
      <c r="X3175">
        <v>2</v>
      </c>
      <c r="Y3175">
        <v>0</v>
      </c>
      <c r="AA3175">
        <v>1</v>
      </c>
      <c r="AB3175">
        <v>8</v>
      </c>
      <c r="AC3175">
        <v>3</v>
      </c>
      <c r="AD3175">
        <v>0</v>
      </c>
      <c r="AE3175">
        <v>9</v>
      </c>
      <c r="AF3175" t="s">
        <v>138</v>
      </c>
      <c r="AG3175">
        <v>0</v>
      </c>
      <c r="AH3175">
        <v>3</v>
      </c>
      <c r="AI3175">
        <v>2</v>
      </c>
      <c r="AJ3175">
        <v>0</v>
      </c>
      <c r="AK3175" t="s">
        <v>1060</v>
      </c>
      <c r="AL3175">
        <v>39.126669999999997</v>
      </c>
      <c r="AM3175" t="s">
        <v>1061</v>
      </c>
      <c r="AN3175">
        <v>-121.031678</v>
      </c>
      <c r="AO3175">
        <v>25</v>
      </c>
      <c r="AP3175">
        <v>4300</v>
      </c>
      <c r="AQ3175" t="s">
        <v>131</v>
      </c>
      <c r="AR3175">
        <v>3</v>
      </c>
      <c r="AS3175">
        <v>85</v>
      </c>
      <c r="AT3175">
        <v>-256</v>
      </c>
      <c r="BB3175" t="str">
        <f t="shared" si="1244"/>
        <v>1200</v>
      </c>
      <c r="BC3175">
        <v>1</v>
      </c>
      <c r="BD3175" t="str">
        <f t="shared" si="1245"/>
        <v xml:space="preserve">N52156  </v>
      </c>
      <c r="BE3175">
        <v>1</v>
      </c>
      <c r="BG3175">
        <v>0</v>
      </c>
      <c r="BH3175">
        <v>0</v>
      </c>
      <c r="BI3175">
        <v>0</v>
      </c>
      <c r="BJ3175">
        <v>4375</v>
      </c>
      <c r="BK3175">
        <v>75</v>
      </c>
      <c r="BL3175" t="s">
        <v>188</v>
      </c>
      <c r="BM3175">
        <v>1</v>
      </c>
      <c r="BN3175">
        <v>1</v>
      </c>
      <c r="BO3175">
        <v>0</v>
      </c>
      <c r="BP3175">
        <v>0</v>
      </c>
      <c r="BS3175">
        <v>0</v>
      </c>
      <c r="BT3175">
        <v>0</v>
      </c>
      <c r="BU3175">
        <v>0</v>
      </c>
      <c r="CE3175" t="str">
        <f t="shared" si="1257"/>
        <v>15:13:20.547</v>
      </c>
      <c r="CF3175">
        <v>547231358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4</v>
      </c>
      <c r="CY3175">
        <v>7</v>
      </c>
      <c r="CZ3175" t="s">
        <v>133</v>
      </c>
      <c r="DA3175">
        <v>275</v>
      </c>
      <c r="DB3175">
        <v>0</v>
      </c>
      <c r="DC3175" t="s">
        <v>134</v>
      </c>
      <c r="DD3175" t="s">
        <v>135</v>
      </c>
      <c r="DG3175">
        <v>3322441</v>
      </c>
      <c r="DI3175">
        <v>1</v>
      </c>
      <c r="DJ3175">
        <v>0</v>
      </c>
      <c r="DK3175">
        <v>1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">
      <c r="A3176" t="str">
        <f>"05/01/2025 15:13:21.921"</f>
        <v>05/01/2025 15:13:21.921</v>
      </c>
      <c r="C3176" t="str">
        <f t="shared" si="1242"/>
        <v>FFDFD3C0</v>
      </c>
      <c r="D3176" t="s">
        <v>145</v>
      </c>
      <c r="E3176" t="str">
        <f>"09"</f>
        <v>09</v>
      </c>
      <c r="H3176">
        <v>51</v>
      </c>
      <c r="I3176" t="s">
        <v>147</v>
      </c>
      <c r="J3176" t="s">
        <v>138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R3176" t="s">
        <v>127</v>
      </c>
      <c r="S3176" t="str">
        <f t="shared" ref="S3176:T3181" si="1258">"15:13:21.000"</f>
        <v>15:13:21.000</v>
      </c>
      <c r="T3176" t="str">
        <f t="shared" si="1258"/>
        <v>15:13:21.000</v>
      </c>
      <c r="U3176" t="str">
        <f t="shared" si="1243"/>
        <v>A68FCB</v>
      </c>
      <c r="V3176">
        <v>0</v>
      </c>
      <c r="W3176">
        <v>0</v>
      </c>
      <c r="X3176">
        <v>2</v>
      </c>
      <c r="Y3176">
        <v>0</v>
      </c>
      <c r="AA3176">
        <v>1</v>
      </c>
      <c r="AB3176">
        <v>8</v>
      </c>
      <c r="AC3176">
        <v>3</v>
      </c>
      <c r="AD3176">
        <v>0</v>
      </c>
      <c r="AE3176">
        <v>9</v>
      </c>
      <c r="AF3176" t="s">
        <v>138</v>
      </c>
      <c r="AG3176">
        <v>0</v>
      </c>
      <c r="AH3176">
        <v>3</v>
      </c>
      <c r="AI3176">
        <v>2</v>
      </c>
      <c r="AJ3176">
        <v>0</v>
      </c>
      <c r="AK3176" t="s">
        <v>1062</v>
      </c>
      <c r="AL3176">
        <v>39.127057000000001</v>
      </c>
      <c r="AM3176" t="s">
        <v>1061</v>
      </c>
      <c r="AN3176">
        <v>-121.031678</v>
      </c>
      <c r="AO3176">
        <v>25</v>
      </c>
      <c r="AP3176">
        <v>4300</v>
      </c>
      <c r="AQ3176" t="s">
        <v>131</v>
      </c>
      <c r="AR3176">
        <v>3</v>
      </c>
      <c r="AS3176">
        <v>85</v>
      </c>
      <c r="AT3176">
        <v>-192</v>
      </c>
      <c r="BB3176" t="str">
        <f t="shared" si="1244"/>
        <v>1200</v>
      </c>
      <c r="BC3176">
        <v>1</v>
      </c>
      <c r="BD3176" t="str">
        <f t="shared" si="1245"/>
        <v xml:space="preserve">N52156  </v>
      </c>
      <c r="BE3176">
        <v>1</v>
      </c>
      <c r="BG3176">
        <v>0</v>
      </c>
      <c r="BH3176">
        <v>0</v>
      </c>
      <c r="BI3176">
        <v>0</v>
      </c>
      <c r="BJ3176">
        <v>4375</v>
      </c>
      <c r="BK3176">
        <v>75</v>
      </c>
      <c r="BL3176" t="s">
        <v>188</v>
      </c>
      <c r="BM3176">
        <v>1</v>
      </c>
      <c r="BN3176">
        <v>1</v>
      </c>
      <c r="BO3176">
        <v>0</v>
      </c>
      <c r="BP3176">
        <v>0</v>
      </c>
      <c r="BS3176">
        <v>0</v>
      </c>
      <c r="BT3176">
        <v>0</v>
      </c>
      <c r="BU3176">
        <v>0</v>
      </c>
      <c r="CE3176" t="str">
        <f t="shared" ref="CE3176:CE3181" si="1259">"15:13:21.698"</f>
        <v>15:13:21.698</v>
      </c>
      <c r="CF3176">
        <v>697981823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4</v>
      </c>
      <c r="CY3176">
        <v>7</v>
      </c>
      <c r="CZ3176" t="s">
        <v>133</v>
      </c>
      <c r="DA3176">
        <v>275</v>
      </c>
      <c r="DB3176">
        <v>0</v>
      </c>
      <c r="DC3176" t="s">
        <v>134</v>
      </c>
      <c r="DD3176" t="s">
        <v>135</v>
      </c>
      <c r="DG3176">
        <v>3322448</v>
      </c>
      <c r="DI3176">
        <v>1</v>
      </c>
      <c r="DJ3176">
        <v>0</v>
      </c>
      <c r="DK3176">
        <v>0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">
      <c r="A3177" t="str">
        <f>"05/01/2025 15:13:21.923"</f>
        <v>05/01/2025 15:13:21.923</v>
      </c>
      <c r="C3177" t="str">
        <f t="shared" si="1242"/>
        <v>FFDFD3C0</v>
      </c>
      <c r="D3177" t="s">
        <v>145</v>
      </c>
      <c r="E3177" t="str">
        <f>"05"</f>
        <v>05</v>
      </c>
      <c r="H3177">
        <v>47</v>
      </c>
      <c r="I3177" t="s">
        <v>146</v>
      </c>
      <c r="J3177" t="s">
        <v>138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R3177" t="s">
        <v>127</v>
      </c>
      <c r="S3177" t="str">
        <f t="shared" si="1258"/>
        <v>15:13:21.000</v>
      </c>
      <c r="T3177" t="str">
        <f t="shared" si="1258"/>
        <v>15:13:21.000</v>
      </c>
      <c r="U3177" t="str">
        <f t="shared" si="1243"/>
        <v>A68FCB</v>
      </c>
      <c r="V3177">
        <v>0</v>
      </c>
      <c r="W3177">
        <v>0</v>
      </c>
      <c r="X3177">
        <v>2</v>
      </c>
      <c r="Y3177">
        <v>0</v>
      </c>
      <c r="AA3177">
        <v>1</v>
      </c>
      <c r="AB3177">
        <v>8</v>
      </c>
      <c r="AC3177">
        <v>3</v>
      </c>
      <c r="AD3177">
        <v>0</v>
      </c>
      <c r="AE3177">
        <v>9</v>
      </c>
      <c r="AF3177" t="s">
        <v>138</v>
      </c>
      <c r="AG3177">
        <v>0</v>
      </c>
      <c r="AH3177">
        <v>3</v>
      </c>
      <c r="AI3177">
        <v>2</v>
      </c>
      <c r="AJ3177">
        <v>0</v>
      </c>
      <c r="AK3177" t="s">
        <v>1062</v>
      </c>
      <c r="AL3177">
        <v>39.127057000000001</v>
      </c>
      <c r="AM3177" t="s">
        <v>1061</v>
      </c>
      <c r="AN3177">
        <v>-121.031678</v>
      </c>
      <c r="AO3177">
        <v>25</v>
      </c>
      <c r="AP3177">
        <v>4300</v>
      </c>
      <c r="AQ3177" t="s">
        <v>131</v>
      </c>
      <c r="AR3177">
        <v>3</v>
      </c>
      <c r="AS3177">
        <v>85</v>
      </c>
      <c r="AT3177">
        <v>-192</v>
      </c>
      <c r="BB3177" t="str">
        <f t="shared" si="1244"/>
        <v>1200</v>
      </c>
      <c r="BC3177">
        <v>1</v>
      </c>
      <c r="BD3177" t="str">
        <f t="shared" si="1245"/>
        <v xml:space="preserve">N52156  </v>
      </c>
      <c r="BE3177">
        <v>1</v>
      </c>
      <c r="BG3177">
        <v>0</v>
      </c>
      <c r="BH3177">
        <v>0</v>
      </c>
      <c r="BI3177">
        <v>0</v>
      </c>
      <c r="BJ3177">
        <v>4375</v>
      </c>
      <c r="BK3177">
        <v>75</v>
      </c>
      <c r="BL3177" t="s">
        <v>188</v>
      </c>
      <c r="BM3177">
        <v>1</v>
      </c>
      <c r="BN3177">
        <v>1</v>
      </c>
      <c r="BO3177">
        <v>0</v>
      </c>
      <c r="BP3177">
        <v>0</v>
      </c>
      <c r="BS3177">
        <v>0</v>
      </c>
      <c r="BT3177">
        <v>0</v>
      </c>
      <c r="BU3177">
        <v>0</v>
      </c>
      <c r="CE3177" t="str">
        <f t="shared" si="1259"/>
        <v>15:13:21.698</v>
      </c>
      <c r="CF3177">
        <v>697981823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4</v>
      </c>
      <c r="CY3177">
        <v>7</v>
      </c>
      <c r="CZ3177" t="s">
        <v>133</v>
      </c>
      <c r="DA3177">
        <v>275</v>
      </c>
      <c r="DB3177">
        <v>0</v>
      </c>
      <c r="DC3177" t="s">
        <v>134</v>
      </c>
      <c r="DD3177" t="s">
        <v>135</v>
      </c>
      <c r="DG3177">
        <v>3322448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">
      <c r="A3178" t="str">
        <f>"05/01/2025 15:13:21.935"</f>
        <v>05/01/2025 15:13:21.935</v>
      </c>
      <c r="C3178" t="str">
        <f t="shared" si="1242"/>
        <v>FFDFD3C0</v>
      </c>
      <c r="D3178" t="s">
        <v>136</v>
      </c>
      <c r="E3178" t="str">
        <f>"20"</f>
        <v>20</v>
      </c>
      <c r="H3178">
        <v>400</v>
      </c>
      <c r="I3178" t="s">
        <v>137</v>
      </c>
      <c r="J3178" t="s">
        <v>138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R3178" t="s">
        <v>127</v>
      </c>
      <c r="S3178" t="str">
        <f t="shared" si="1258"/>
        <v>15:13:21.000</v>
      </c>
      <c r="T3178" t="str">
        <f t="shared" si="1258"/>
        <v>15:13:21.000</v>
      </c>
      <c r="U3178" t="str">
        <f t="shared" si="1243"/>
        <v>A68FCB</v>
      </c>
      <c r="V3178">
        <v>0</v>
      </c>
      <c r="W3178">
        <v>0</v>
      </c>
      <c r="X3178">
        <v>2</v>
      </c>
      <c r="Y3178">
        <v>0</v>
      </c>
      <c r="AA3178">
        <v>1</v>
      </c>
      <c r="AB3178">
        <v>8</v>
      </c>
      <c r="AC3178">
        <v>3</v>
      </c>
      <c r="AD3178">
        <v>0</v>
      </c>
      <c r="AE3178">
        <v>9</v>
      </c>
      <c r="AF3178" t="s">
        <v>138</v>
      </c>
      <c r="AG3178">
        <v>0</v>
      </c>
      <c r="AH3178">
        <v>3</v>
      </c>
      <c r="AI3178">
        <v>2</v>
      </c>
      <c r="AJ3178">
        <v>0</v>
      </c>
      <c r="AK3178" t="s">
        <v>1062</v>
      </c>
      <c r="AL3178">
        <v>39.127057000000001</v>
      </c>
      <c r="AM3178" t="s">
        <v>1061</v>
      </c>
      <c r="AN3178">
        <v>-121.031678</v>
      </c>
      <c r="AO3178">
        <v>25</v>
      </c>
      <c r="AP3178">
        <v>4300</v>
      </c>
      <c r="AQ3178" t="s">
        <v>131</v>
      </c>
      <c r="AR3178">
        <v>3</v>
      </c>
      <c r="AS3178">
        <v>85</v>
      </c>
      <c r="AT3178">
        <v>-192</v>
      </c>
      <c r="BB3178" t="str">
        <f t="shared" si="1244"/>
        <v>1200</v>
      </c>
      <c r="BC3178">
        <v>1</v>
      </c>
      <c r="BD3178" t="str">
        <f t="shared" si="1245"/>
        <v xml:space="preserve">N52156  </v>
      </c>
      <c r="BE3178">
        <v>1</v>
      </c>
      <c r="BG3178">
        <v>0</v>
      </c>
      <c r="BH3178">
        <v>0</v>
      </c>
      <c r="BI3178">
        <v>0</v>
      </c>
      <c r="BJ3178">
        <v>4375</v>
      </c>
      <c r="BK3178">
        <v>75</v>
      </c>
      <c r="BL3178" t="s">
        <v>188</v>
      </c>
      <c r="BM3178">
        <v>1</v>
      </c>
      <c r="BN3178">
        <v>1</v>
      </c>
      <c r="BO3178">
        <v>0</v>
      </c>
      <c r="BP3178">
        <v>0</v>
      </c>
      <c r="BS3178">
        <v>0</v>
      </c>
      <c r="BT3178">
        <v>0</v>
      </c>
      <c r="BU3178">
        <v>0</v>
      </c>
      <c r="CE3178" t="str">
        <f t="shared" si="1259"/>
        <v>15:13:21.698</v>
      </c>
      <c r="CF3178">
        <v>697981823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4</v>
      </c>
      <c r="CY3178">
        <v>7</v>
      </c>
      <c r="CZ3178" t="s">
        <v>133</v>
      </c>
      <c r="DA3178">
        <v>275</v>
      </c>
      <c r="DB3178">
        <v>0</v>
      </c>
      <c r="DC3178" t="s">
        <v>134</v>
      </c>
      <c r="DD3178" t="s">
        <v>135</v>
      </c>
      <c r="DG3178">
        <v>3322448</v>
      </c>
      <c r="DI3178">
        <v>1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">
      <c r="A3179" t="str">
        <f>"05/01/2025 15:13:21.945"</f>
        <v>05/01/2025 15:13:21.945</v>
      </c>
      <c r="C3179" t="str">
        <f t="shared" si="1242"/>
        <v>FFDFD3C0</v>
      </c>
      <c r="D3179" t="s">
        <v>143</v>
      </c>
      <c r="E3179" t="str">
        <f>"05"</f>
        <v>05</v>
      </c>
      <c r="H3179">
        <v>172</v>
      </c>
      <c r="I3179" t="s">
        <v>141</v>
      </c>
      <c r="J3179" t="s">
        <v>144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R3179" t="s">
        <v>127</v>
      </c>
      <c r="S3179" t="str">
        <f t="shared" si="1258"/>
        <v>15:13:21.000</v>
      </c>
      <c r="T3179" t="str">
        <f t="shared" si="1258"/>
        <v>15:13:21.000</v>
      </c>
      <c r="U3179" t="str">
        <f t="shared" si="1243"/>
        <v>A68FCB</v>
      </c>
      <c r="V3179">
        <v>0</v>
      </c>
      <c r="W3179">
        <v>0</v>
      </c>
      <c r="X3179">
        <v>2</v>
      </c>
      <c r="Y3179">
        <v>0</v>
      </c>
      <c r="AA3179">
        <v>1</v>
      </c>
      <c r="AB3179">
        <v>8</v>
      </c>
      <c r="AC3179">
        <v>3</v>
      </c>
      <c r="AD3179">
        <v>0</v>
      </c>
      <c r="AE3179">
        <v>9</v>
      </c>
      <c r="AF3179" t="s">
        <v>138</v>
      </c>
      <c r="AG3179">
        <v>0</v>
      </c>
      <c r="AH3179">
        <v>3</v>
      </c>
      <c r="AI3179">
        <v>2</v>
      </c>
      <c r="AJ3179">
        <v>0</v>
      </c>
      <c r="AK3179" t="s">
        <v>1062</v>
      </c>
      <c r="AL3179">
        <v>39.127057000000001</v>
      </c>
      <c r="AM3179" t="s">
        <v>1061</v>
      </c>
      <c r="AN3179">
        <v>-121.031678</v>
      </c>
      <c r="AO3179">
        <v>25</v>
      </c>
      <c r="AP3179">
        <v>4300</v>
      </c>
      <c r="AQ3179" t="s">
        <v>131</v>
      </c>
      <c r="AR3179">
        <v>3</v>
      </c>
      <c r="AS3179">
        <v>85</v>
      </c>
      <c r="AT3179">
        <v>-192</v>
      </c>
      <c r="BB3179" t="str">
        <f t="shared" si="1244"/>
        <v>1200</v>
      </c>
      <c r="BC3179">
        <v>1</v>
      </c>
      <c r="BD3179" t="str">
        <f t="shared" si="1245"/>
        <v xml:space="preserve">N52156  </v>
      </c>
      <c r="BE3179">
        <v>1</v>
      </c>
      <c r="BG3179">
        <v>0</v>
      </c>
      <c r="BH3179">
        <v>0</v>
      </c>
      <c r="BI3179">
        <v>0</v>
      </c>
      <c r="BJ3179">
        <v>4375</v>
      </c>
      <c r="BK3179">
        <v>75</v>
      </c>
      <c r="BL3179" t="s">
        <v>188</v>
      </c>
      <c r="BM3179">
        <v>1</v>
      </c>
      <c r="BN3179">
        <v>1</v>
      </c>
      <c r="BO3179">
        <v>0</v>
      </c>
      <c r="BP3179">
        <v>0</v>
      </c>
      <c r="BS3179">
        <v>0</v>
      </c>
      <c r="BT3179">
        <v>0</v>
      </c>
      <c r="BU3179">
        <v>0</v>
      </c>
      <c r="CE3179" t="str">
        <f t="shared" si="1259"/>
        <v>15:13:21.698</v>
      </c>
      <c r="CF3179">
        <v>697981823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4</v>
      </c>
      <c r="CY3179">
        <v>7</v>
      </c>
      <c r="CZ3179" t="s">
        <v>133</v>
      </c>
      <c r="DA3179">
        <v>275</v>
      </c>
      <c r="DB3179">
        <v>0</v>
      </c>
      <c r="DC3179" t="s">
        <v>134</v>
      </c>
      <c r="DD3179" t="s">
        <v>135</v>
      </c>
      <c r="DG3179">
        <v>3322448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">
      <c r="A3180" t="str">
        <f>"05/01/2025 15:13:21.959"</f>
        <v>05/01/2025 15:13:21.959</v>
      </c>
      <c r="C3180" t="str">
        <f t="shared" si="1242"/>
        <v>FFDFD3C0</v>
      </c>
      <c r="D3180" t="s">
        <v>140</v>
      </c>
      <c r="E3180" t="str">
        <f>"13"</f>
        <v>13</v>
      </c>
      <c r="F3180">
        <v>1019</v>
      </c>
      <c r="G3180" t="s">
        <v>141</v>
      </c>
      <c r="J3180" t="s">
        <v>142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R3180" t="s">
        <v>127</v>
      </c>
      <c r="S3180" t="str">
        <f t="shared" si="1258"/>
        <v>15:13:21.000</v>
      </c>
      <c r="T3180" t="str">
        <f t="shared" si="1258"/>
        <v>15:13:21.000</v>
      </c>
      <c r="U3180" t="str">
        <f t="shared" si="1243"/>
        <v>A68FCB</v>
      </c>
      <c r="V3180">
        <v>0</v>
      </c>
      <c r="W3180">
        <v>0</v>
      </c>
      <c r="X3180">
        <v>2</v>
      </c>
      <c r="Y3180">
        <v>0</v>
      </c>
      <c r="AA3180">
        <v>1</v>
      </c>
      <c r="AB3180">
        <v>8</v>
      </c>
      <c r="AC3180">
        <v>3</v>
      </c>
      <c r="AD3180">
        <v>0</v>
      </c>
      <c r="AE3180">
        <v>9</v>
      </c>
      <c r="AF3180" t="s">
        <v>138</v>
      </c>
      <c r="AG3180">
        <v>0</v>
      </c>
      <c r="AH3180">
        <v>3</v>
      </c>
      <c r="AI3180">
        <v>2</v>
      </c>
      <c r="AJ3180">
        <v>0</v>
      </c>
      <c r="AK3180" t="s">
        <v>1062</v>
      </c>
      <c r="AL3180">
        <v>39.127057000000001</v>
      </c>
      <c r="AM3180" t="s">
        <v>1061</v>
      </c>
      <c r="AN3180">
        <v>-121.031678</v>
      </c>
      <c r="AO3180">
        <v>25</v>
      </c>
      <c r="AP3180">
        <v>4300</v>
      </c>
      <c r="AQ3180" t="s">
        <v>131</v>
      </c>
      <c r="AR3180">
        <v>3</v>
      </c>
      <c r="AS3180">
        <v>85</v>
      </c>
      <c r="AT3180">
        <v>-192</v>
      </c>
      <c r="BB3180" t="str">
        <f t="shared" si="1244"/>
        <v>1200</v>
      </c>
      <c r="BC3180">
        <v>1</v>
      </c>
      <c r="BD3180" t="str">
        <f t="shared" si="1245"/>
        <v xml:space="preserve">N52156  </v>
      </c>
      <c r="BE3180">
        <v>1</v>
      </c>
      <c r="BG3180">
        <v>0</v>
      </c>
      <c r="BH3180">
        <v>0</v>
      </c>
      <c r="BI3180">
        <v>0</v>
      </c>
      <c r="BJ3180">
        <v>4375</v>
      </c>
      <c r="BK3180">
        <v>75</v>
      </c>
      <c r="BL3180" t="s">
        <v>188</v>
      </c>
      <c r="BM3180">
        <v>1</v>
      </c>
      <c r="BN3180">
        <v>1</v>
      </c>
      <c r="BO3180">
        <v>0</v>
      </c>
      <c r="BP3180">
        <v>0</v>
      </c>
      <c r="BS3180">
        <v>0</v>
      </c>
      <c r="BT3180">
        <v>0</v>
      </c>
      <c r="BU3180">
        <v>0</v>
      </c>
      <c r="CE3180" t="str">
        <f t="shared" si="1259"/>
        <v>15:13:21.698</v>
      </c>
      <c r="CF3180">
        <v>697981823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4</v>
      </c>
      <c r="CY3180">
        <v>7</v>
      </c>
      <c r="CZ3180" t="s">
        <v>133</v>
      </c>
      <c r="DA3180">
        <v>275</v>
      </c>
      <c r="DB3180">
        <v>0</v>
      </c>
      <c r="DC3180" t="s">
        <v>134</v>
      </c>
      <c r="DD3180" t="s">
        <v>135</v>
      </c>
      <c r="DG3180">
        <v>3322448</v>
      </c>
      <c r="DI3180">
        <v>1</v>
      </c>
      <c r="DJ3180">
        <v>0</v>
      </c>
      <c r="DK3180">
        <v>1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">
      <c r="A3181" t="str">
        <f>"05/01/2025 15:13:21.959"</f>
        <v>05/01/2025 15:13:21.959</v>
      </c>
      <c r="C3181" t="str">
        <f t="shared" si="1242"/>
        <v>FFDFD3C0</v>
      </c>
      <c r="D3181" t="s">
        <v>124</v>
      </c>
      <c r="E3181" t="str">
        <f>"06"</f>
        <v>06</v>
      </c>
      <c r="F3181">
        <v>2006</v>
      </c>
      <c r="G3181" t="s">
        <v>125</v>
      </c>
      <c r="J3181" t="s">
        <v>126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R3181" t="s">
        <v>127</v>
      </c>
      <c r="S3181" t="str">
        <f t="shared" si="1258"/>
        <v>15:13:21.000</v>
      </c>
      <c r="T3181" t="str">
        <f t="shared" si="1258"/>
        <v>15:13:21.000</v>
      </c>
      <c r="U3181" t="str">
        <f t="shared" si="1243"/>
        <v>A68FCB</v>
      </c>
      <c r="V3181">
        <v>0</v>
      </c>
      <c r="W3181">
        <v>0</v>
      </c>
      <c r="X3181">
        <v>2</v>
      </c>
      <c r="Y3181">
        <v>0</v>
      </c>
      <c r="AA3181">
        <v>1</v>
      </c>
      <c r="AB3181">
        <v>8</v>
      </c>
      <c r="AC3181">
        <v>3</v>
      </c>
      <c r="AD3181">
        <v>0</v>
      </c>
      <c r="AE3181">
        <v>9</v>
      </c>
      <c r="AF3181" t="s">
        <v>138</v>
      </c>
      <c r="AG3181">
        <v>0</v>
      </c>
      <c r="AH3181">
        <v>3</v>
      </c>
      <c r="AI3181">
        <v>2</v>
      </c>
      <c r="AJ3181">
        <v>0</v>
      </c>
      <c r="AK3181" t="s">
        <v>1062</v>
      </c>
      <c r="AL3181">
        <v>39.127057000000001</v>
      </c>
      <c r="AM3181" t="s">
        <v>1061</v>
      </c>
      <c r="AN3181">
        <v>-121.031678</v>
      </c>
      <c r="AO3181">
        <v>25</v>
      </c>
      <c r="AP3181">
        <v>4300</v>
      </c>
      <c r="AQ3181" t="s">
        <v>131</v>
      </c>
      <c r="AR3181">
        <v>3</v>
      </c>
      <c r="AS3181">
        <v>85</v>
      </c>
      <c r="AT3181">
        <v>-192</v>
      </c>
      <c r="BB3181" t="str">
        <f t="shared" si="1244"/>
        <v>1200</v>
      </c>
      <c r="BC3181">
        <v>1</v>
      </c>
      <c r="BD3181" t="str">
        <f t="shared" si="1245"/>
        <v xml:space="preserve">N52156  </v>
      </c>
      <c r="BE3181">
        <v>1</v>
      </c>
      <c r="BG3181">
        <v>0</v>
      </c>
      <c r="BH3181">
        <v>0</v>
      </c>
      <c r="BI3181">
        <v>0</v>
      </c>
      <c r="BJ3181">
        <v>4375</v>
      </c>
      <c r="BK3181">
        <v>75</v>
      </c>
      <c r="BL3181" t="s">
        <v>188</v>
      </c>
      <c r="BM3181">
        <v>1</v>
      </c>
      <c r="BN3181">
        <v>1</v>
      </c>
      <c r="BO3181">
        <v>0</v>
      </c>
      <c r="BP3181">
        <v>0</v>
      </c>
      <c r="BS3181">
        <v>0</v>
      </c>
      <c r="BT3181">
        <v>0</v>
      </c>
      <c r="BU3181">
        <v>0</v>
      </c>
      <c r="CE3181" t="str">
        <f t="shared" si="1259"/>
        <v>15:13:21.698</v>
      </c>
      <c r="CF3181">
        <v>697981823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4</v>
      </c>
      <c r="CY3181">
        <v>7</v>
      </c>
      <c r="CZ3181" t="s">
        <v>133</v>
      </c>
      <c r="DA3181">
        <v>275</v>
      </c>
      <c r="DB3181">
        <v>0</v>
      </c>
      <c r="DC3181" t="s">
        <v>134</v>
      </c>
      <c r="DD3181" t="s">
        <v>135</v>
      </c>
      <c r="DG3181">
        <v>3322448</v>
      </c>
      <c r="DI3181">
        <v>1</v>
      </c>
      <c r="DJ3181">
        <v>0</v>
      </c>
      <c r="DK3181">
        <v>1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3">
      <c r="A3182" t="str">
        <f>"05/01/2025 15:13:22.896"</f>
        <v>05/01/2025 15:13:22.896</v>
      </c>
      <c r="C3182" t="str">
        <f t="shared" si="1242"/>
        <v>FFDFD3C0</v>
      </c>
      <c r="D3182" t="s">
        <v>143</v>
      </c>
      <c r="E3182" t="str">
        <f>"05"</f>
        <v>05</v>
      </c>
      <c r="H3182">
        <v>172</v>
      </c>
      <c r="I3182" t="s">
        <v>141</v>
      </c>
      <c r="J3182" t="s">
        <v>144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R3182" t="s">
        <v>127</v>
      </c>
      <c r="S3182" t="str">
        <f t="shared" ref="S3182:T3187" si="1260">"15:13:22.000"</f>
        <v>15:13:22.000</v>
      </c>
      <c r="T3182" t="str">
        <f t="shared" si="1260"/>
        <v>15:13:22.000</v>
      </c>
      <c r="U3182" t="str">
        <f t="shared" si="1243"/>
        <v>A68FCB</v>
      </c>
      <c r="V3182">
        <v>0</v>
      </c>
      <c r="W3182">
        <v>0</v>
      </c>
      <c r="X3182">
        <v>2</v>
      </c>
      <c r="Y3182">
        <v>0</v>
      </c>
      <c r="AA3182">
        <v>1</v>
      </c>
      <c r="AB3182">
        <v>8</v>
      </c>
      <c r="AC3182">
        <v>3</v>
      </c>
      <c r="AD3182">
        <v>0</v>
      </c>
      <c r="AE3182">
        <v>9</v>
      </c>
      <c r="AF3182" t="s">
        <v>138</v>
      </c>
      <c r="AG3182">
        <v>0</v>
      </c>
      <c r="AH3182">
        <v>3</v>
      </c>
      <c r="AI3182">
        <v>2</v>
      </c>
      <c r="AJ3182">
        <v>0</v>
      </c>
      <c r="AK3182" t="s">
        <v>1063</v>
      </c>
      <c r="AL3182">
        <v>39.127443</v>
      </c>
      <c r="AM3182" t="s">
        <v>1064</v>
      </c>
      <c r="AN3182">
        <v>-121.031656</v>
      </c>
      <c r="AO3182">
        <v>25</v>
      </c>
      <c r="AP3182">
        <v>4300</v>
      </c>
      <c r="AQ3182" t="s">
        <v>131</v>
      </c>
      <c r="AR3182">
        <v>5</v>
      </c>
      <c r="AS3182">
        <v>85</v>
      </c>
      <c r="AT3182">
        <v>-192</v>
      </c>
      <c r="BB3182" t="str">
        <f t="shared" si="1244"/>
        <v>1200</v>
      </c>
      <c r="BC3182">
        <v>1</v>
      </c>
      <c r="BD3182" t="str">
        <f t="shared" si="1245"/>
        <v xml:space="preserve">N52156  </v>
      </c>
      <c r="BE3182">
        <v>1</v>
      </c>
      <c r="BG3182">
        <v>0</v>
      </c>
      <c r="BH3182">
        <v>0</v>
      </c>
      <c r="BI3182">
        <v>0</v>
      </c>
      <c r="BJ3182">
        <v>4375</v>
      </c>
      <c r="BK3182">
        <v>75</v>
      </c>
      <c r="BL3182" t="s">
        <v>188</v>
      </c>
      <c r="BM3182">
        <v>1</v>
      </c>
      <c r="BN3182">
        <v>1</v>
      </c>
      <c r="BO3182">
        <v>0</v>
      </c>
      <c r="BP3182">
        <v>0</v>
      </c>
      <c r="BS3182">
        <v>0</v>
      </c>
      <c r="BT3182">
        <v>0</v>
      </c>
      <c r="BU3182">
        <v>0</v>
      </c>
      <c r="CE3182" t="str">
        <f t="shared" ref="CE3182:CE3187" si="1261">"15:13:22.686"</f>
        <v>15:13:22.686</v>
      </c>
      <c r="CF3182">
        <v>685807040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3</v>
      </c>
      <c r="CY3182">
        <v>7</v>
      </c>
      <c r="CZ3182" t="s">
        <v>133</v>
      </c>
      <c r="DA3182">
        <v>276</v>
      </c>
      <c r="DB3182">
        <v>0</v>
      </c>
      <c r="DC3182" t="s">
        <v>402</v>
      </c>
      <c r="DD3182" t="s">
        <v>403</v>
      </c>
      <c r="DG3182">
        <v>1627930</v>
      </c>
      <c r="DI3182">
        <v>1</v>
      </c>
      <c r="DJ3182">
        <v>0</v>
      </c>
      <c r="DK3182">
        <v>0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3">
      <c r="A3183" t="str">
        <f>"05/01/2025 15:13:22.911"</f>
        <v>05/01/2025 15:13:22.911</v>
      </c>
      <c r="C3183" t="str">
        <f t="shared" si="1242"/>
        <v>FFDFD3C0</v>
      </c>
      <c r="D3183" t="s">
        <v>124</v>
      </c>
      <c r="E3183" t="str">
        <f>"06"</f>
        <v>06</v>
      </c>
      <c r="F3183">
        <v>2006</v>
      </c>
      <c r="G3183" t="s">
        <v>125</v>
      </c>
      <c r="J3183" t="s">
        <v>126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R3183" t="s">
        <v>127</v>
      </c>
      <c r="S3183" t="str">
        <f t="shared" si="1260"/>
        <v>15:13:22.000</v>
      </c>
      <c r="T3183" t="str">
        <f t="shared" si="1260"/>
        <v>15:13:22.000</v>
      </c>
      <c r="U3183" t="str">
        <f t="shared" si="1243"/>
        <v>A68FCB</v>
      </c>
      <c r="V3183">
        <v>0</v>
      </c>
      <c r="W3183">
        <v>0</v>
      </c>
      <c r="X3183">
        <v>2</v>
      </c>
      <c r="Y3183">
        <v>0</v>
      </c>
      <c r="AA3183">
        <v>1</v>
      </c>
      <c r="AB3183">
        <v>8</v>
      </c>
      <c r="AC3183">
        <v>3</v>
      </c>
      <c r="AD3183">
        <v>0</v>
      </c>
      <c r="AE3183">
        <v>9</v>
      </c>
      <c r="AF3183" t="s">
        <v>138</v>
      </c>
      <c r="AG3183">
        <v>0</v>
      </c>
      <c r="AH3183">
        <v>3</v>
      </c>
      <c r="AI3183">
        <v>2</v>
      </c>
      <c r="AJ3183">
        <v>0</v>
      </c>
      <c r="AK3183" t="s">
        <v>1063</v>
      </c>
      <c r="AL3183">
        <v>39.127443</v>
      </c>
      <c r="AM3183" t="s">
        <v>1064</v>
      </c>
      <c r="AN3183">
        <v>-121.031656</v>
      </c>
      <c r="AO3183">
        <v>25</v>
      </c>
      <c r="AP3183">
        <v>4300</v>
      </c>
      <c r="AQ3183" t="s">
        <v>131</v>
      </c>
      <c r="AR3183">
        <v>5</v>
      </c>
      <c r="AS3183">
        <v>85</v>
      </c>
      <c r="AT3183">
        <v>-192</v>
      </c>
      <c r="BB3183" t="str">
        <f t="shared" si="1244"/>
        <v>1200</v>
      </c>
      <c r="BC3183">
        <v>1</v>
      </c>
      <c r="BD3183" t="str">
        <f t="shared" si="1245"/>
        <v xml:space="preserve">N52156  </v>
      </c>
      <c r="BE3183">
        <v>1</v>
      </c>
      <c r="BG3183">
        <v>0</v>
      </c>
      <c r="BH3183">
        <v>0</v>
      </c>
      <c r="BI3183">
        <v>0</v>
      </c>
      <c r="BJ3183">
        <v>4375</v>
      </c>
      <c r="BK3183">
        <v>75</v>
      </c>
      <c r="BL3183" t="s">
        <v>188</v>
      </c>
      <c r="BM3183">
        <v>1</v>
      </c>
      <c r="BN3183">
        <v>1</v>
      </c>
      <c r="BO3183">
        <v>0</v>
      </c>
      <c r="BP3183">
        <v>0</v>
      </c>
      <c r="BS3183">
        <v>0</v>
      </c>
      <c r="BT3183">
        <v>0</v>
      </c>
      <c r="BU3183">
        <v>0</v>
      </c>
      <c r="CE3183" t="str">
        <f t="shared" si="1261"/>
        <v>15:13:22.686</v>
      </c>
      <c r="CF3183">
        <v>685807040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3</v>
      </c>
      <c r="CY3183">
        <v>7</v>
      </c>
      <c r="CZ3183" t="s">
        <v>133</v>
      </c>
      <c r="DA3183">
        <v>276</v>
      </c>
      <c r="DB3183">
        <v>0</v>
      </c>
      <c r="DC3183" t="s">
        <v>402</v>
      </c>
      <c r="DD3183" t="s">
        <v>403</v>
      </c>
      <c r="DG3183">
        <v>1627930</v>
      </c>
      <c r="DI3183">
        <v>1</v>
      </c>
      <c r="DJ3183">
        <v>0</v>
      </c>
      <c r="DK3183">
        <v>1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3">
      <c r="A3184" t="str">
        <f>"05/01/2025 15:13:22.911"</f>
        <v>05/01/2025 15:13:22.911</v>
      </c>
      <c r="C3184" t="str">
        <f t="shared" si="1242"/>
        <v>FFDFD3C0</v>
      </c>
      <c r="D3184" t="s">
        <v>140</v>
      </c>
      <c r="E3184" t="str">
        <f>"13"</f>
        <v>13</v>
      </c>
      <c r="F3184">
        <v>1019</v>
      </c>
      <c r="G3184" t="s">
        <v>141</v>
      </c>
      <c r="J3184" t="s">
        <v>142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R3184" t="s">
        <v>127</v>
      </c>
      <c r="S3184" t="str">
        <f t="shared" si="1260"/>
        <v>15:13:22.000</v>
      </c>
      <c r="T3184" t="str">
        <f t="shared" si="1260"/>
        <v>15:13:22.000</v>
      </c>
      <c r="U3184" t="str">
        <f t="shared" si="1243"/>
        <v>A68FCB</v>
      </c>
      <c r="V3184">
        <v>0</v>
      </c>
      <c r="W3184">
        <v>0</v>
      </c>
      <c r="X3184">
        <v>2</v>
      </c>
      <c r="Y3184">
        <v>0</v>
      </c>
      <c r="AA3184">
        <v>1</v>
      </c>
      <c r="AB3184">
        <v>8</v>
      </c>
      <c r="AC3184">
        <v>3</v>
      </c>
      <c r="AD3184">
        <v>0</v>
      </c>
      <c r="AE3184">
        <v>9</v>
      </c>
      <c r="AF3184" t="s">
        <v>138</v>
      </c>
      <c r="AG3184">
        <v>0</v>
      </c>
      <c r="AH3184">
        <v>3</v>
      </c>
      <c r="AI3184">
        <v>2</v>
      </c>
      <c r="AJ3184">
        <v>0</v>
      </c>
      <c r="AK3184" t="s">
        <v>1063</v>
      </c>
      <c r="AL3184">
        <v>39.127443</v>
      </c>
      <c r="AM3184" t="s">
        <v>1064</v>
      </c>
      <c r="AN3184">
        <v>-121.031656</v>
      </c>
      <c r="AO3184">
        <v>25</v>
      </c>
      <c r="AP3184">
        <v>4300</v>
      </c>
      <c r="AQ3184" t="s">
        <v>131</v>
      </c>
      <c r="AR3184">
        <v>5</v>
      </c>
      <c r="AS3184">
        <v>85</v>
      </c>
      <c r="AT3184">
        <v>-192</v>
      </c>
      <c r="BB3184" t="str">
        <f t="shared" si="1244"/>
        <v>1200</v>
      </c>
      <c r="BC3184">
        <v>1</v>
      </c>
      <c r="BD3184" t="str">
        <f t="shared" si="1245"/>
        <v xml:space="preserve">N52156  </v>
      </c>
      <c r="BE3184">
        <v>1</v>
      </c>
      <c r="BG3184">
        <v>0</v>
      </c>
      <c r="BH3184">
        <v>0</v>
      </c>
      <c r="BI3184">
        <v>0</v>
      </c>
      <c r="BJ3184">
        <v>4375</v>
      </c>
      <c r="BK3184">
        <v>75</v>
      </c>
      <c r="BL3184" t="s">
        <v>188</v>
      </c>
      <c r="BM3184">
        <v>1</v>
      </c>
      <c r="BN3184">
        <v>1</v>
      </c>
      <c r="BO3184">
        <v>0</v>
      </c>
      <c r="BP3184">
        <v>0</v>
      </c>
      <c r="BS3184">
        <v>0</v>
      </c>
      <c r="BT3184">
        <v>0</v>
      </c>
      <c r="BU3184">
        <v>0</v>
      </c>
      <c r="CE3184" t="str">
        <f t="shared" si="1261"/>
        <v>15:13:22.686</v>
      </c>
      <c r="CF3184">
        <v>685807040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3</v>
      </c>
      <c r="CY3184">
        <v>7</v>
      </c>
      <c r="CZ3184" t="s">
        <v>133</v>
      </c>
      <c r="DA3184">
        <v>276</v>
      </c>
      <c r="DB3184">
        <v>0</v>
      </c>
      <c r="DC3184" t="s">
        <v>402</v>
      </c>
      <c r="DD3184" t="s">
        <v>403</v>
      </c>
      <c r="DG3184">
        <v>1627930</v>
      </c>
      <c r="DI3184">
        <v>1</v>
      </c>
      <c r="DJ3184">
        <v>0</v>
      </c>
      <c r="DK3184">
        <v>1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3">
      <c r="A3185" t="str">
        <f>"05/01/2025 15:13:22.924"</f>
        <v>05/01/2025 15:13:22.924</v>
      </c>
      <c r="C3185" t="str">
        <f t="shared" si="1242"/>
        <v>FFDFD3C0</v>
      </c>
      <c r="D3185" t="s">
        <v>145</v>
      </c>
      <c r="E3185" t="str">
        <f>"09"</f>
        <v>09</v>
      </c>
      <c r="H3185">
        <v>51</v>
      </c>
      <c r="I3185" t="s">
        <v>147</v>
      </c>
      <c r="J3185" t="s">
        <v>138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R3185" t="s">
        <v>127</v>
      </c>
      <c r="S3185" t="str">
        <f t="shared" si="1260"/>
        <v>15:13:22.000</v>
      </c>
      <c r="T3185" t="str">
        <f t="shared" si="1260"/>
        <v>15:13:22.000</v>
      </c>
      <c r="U3185" t="str">
        <f t="shared" si="1243"/>
        <v>A68FCB</v>
      </c>
      <c r="V3185">
        <v>0</v>
      </c>
      <c r="W3185">
        <v>0</v>
      </c>
      <c r="X3185">
        <v>2</v>
      </c>
      <c r="Y3185">
        <v>0</v>
      </c>
      <c r="AA3185">
        <v>1</v>
      </c>
      <c r="AB3185">
        <v>8</v>
      </c>
      <c r="AC3185">
        <v>3</v>
      </c>
      <c r="AD3185">
        <v>0</v>
      </c>
      <c r="AE3185">
        <v>9</v>
      </c>
      <c r="AF3185" t="s">
        <v>138</v>
      </c>
      <c r="AG3185">
        <v>0</v>
      </c>
      <c r="AH3185">
        <v>3</v>
      </c>
      <c r="AI3185">
        <v>2</v>
      </c>
      <c r="AJ3185">
        <v>0</v>
      </c>
      <c r="AK3185" t="s">
        <v>1063</v>
      </c>
      <c r="AL3185">
        <v>39.127443</v>
      </c>
      <c r="AM3185" t="s">
        <v>1064</v>
      </c>
      <c r="AN3185">
        <v>-121.031656</v>
      </c>
      <c r="AO3185">
        <v>25</v>
      </c>
      <c r="AP3185">
        <v>4300</v>
      </c>
      <c r="AQ3185" t="s">
        <v>131</v>
      </c>
      <c r="AR3185">
        <v>5</v>
      </c>
      <c r="AS3185">
        <v>85</v>
      </c>
      <c r="AT3185">
        <v>-192</v>
      </c>
      <c r="BB3185" t="str">
        <f t="shared" si="1244"/>
        <v>1200</v>
      </c>
      <c r="BC3185">
        <v>1</v>
      </c>
      <c r="BD3185" t="str">
        <f t="shared" si="1245"/>
        <v xml:space="preserve">N52156  </v>
      </c>
      <c r="BE3185">
        <v>1</v>
      </c>
      <c r="BG3185">
        <v>0</v>
      </c>
      <c r="BH3185">
        <v>0</v>
      </c>
      <c r="BI3185">
        <v>0</v>
      </c>
      <c r="BJ3185">
        <v>4375</v>
      </c>
      <c r="BK3185">
        <v>75</v>
      </c>
      <c r="BL3185" t="s">
        <v>188</v>
      </c>
      <c r="BM3185">
        <v>1</v>
      </c>
      <c r="BN3185">
        <v>1</v>
      </c>
      <c r="BO3185">
        <v>0</v>
      </c>
      <c r="BP3185">
        <v>0</v>
      </c>
      <c r="BS3185">
        <v>0</v>
      </c>
      <c r="BT3185">
        <v>0</v>
      </c>
      <c r="BU3185">
        <v>0</v>
      </c>
      <c r="CE3185" t="str">
        <f t="shared" si="1261"/>
        <v>15:13:22.686</v>
      </c>
      <c r="CF3185">
        <v>685807040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3</v>
      </c>
      <c r="CY3185">
        <v>7</v>
      </c>
      <c r="CZ3185" t="s">
        <v>133</v>
      </c>
      <c r="DA3185">
        <v>276</v>
      </c>
      <c r="DB3185">
        <v>0</v>
      </c>
      <c r="DC3185" t="s">
        <v>402</v>
      </c>
      <c r="DD3185" t="s">
        <v>403</v>
      </c>
      <c r="DG3185">
        <v>1627930</v>
      </c>
      <c r="DI3185">
        <v>1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3">
      <c r="A3186" t="str">
        <f>"05/01/2025 15:13:22.924"</f>
        <v>05/01/2025 15:13:22.924</v>
      </c>
      <c r="C3186" t="str">
        <f t="shared" si="1242"/>
        <v>FFDFD3C0</v>
      </c>
      <c r="D3186" t="s">
        <v>145</v>
      </c>
      <c r="E3186" t="str">
        <f>"05"</f>
        <v>05</v>
      </c>
      <c r="H3186">
        <v>47</v>
      </c>
      <c r="I3186" t="s">
        <v>146</v>
      </c>
      <c r="J3186" t="s">
        <v>138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R3186" t="s">
        <v>127</v>
      </c>
      <c r="S3186" t="str">
        <f t="shared" si="1260"/>
        <v>15:13:22.000</v>
      </c>
      <c r="T3186" t="str">
        <f t="shared" si="1260"/>
        <v>15:13:22.000</v>
      </c>
      <c r="U3186" t="str">
        <f t="shared" si="1243"/>
        <v>A68FCB</v>
      </c>
      <c r="V3186">
        <v>0</v>
      </c>
      <c r="W3186">
        <v>0</v>
      </c>
      <c r="X3186">
        <v>2</v>
      </c>
      <c r="Y3186">
        <v>0</v>
      </c>
      <c r="AA3186">
        <v>1</v>
      </c>
      <c r="AB3186">
        <v>8</v>
      </c>
      <c r="AC3186">
        <v>3</v>
      </c>
      <c r="AD3186">
        <v>0</v>
      </c>
      <c r="AE3186">
        <v>9</v>
      </c>
      <c r="AF3186" t="s">
        <v>138</v>
      </c>
      <c r="AG3186">
        <v>0</v>
      </c>
      <c r="AH3186">
        <v>3</v>
      </c>
      <c r="AI3186">
        <v>2</v>
      </c>
      <c r="AJ3186">
        <v>0</v>
      </c>
      <c r="AK3186" t="s">
        <v>1063</v>
      </c>
      <c r="AL3186">
        <v>39.127443</v>
      </c>
      <c r="AM3186" t="s">
        <v>1064</v>
      </c>
      <c r="AN3186">
        <v>-121.031656</v>
      </c>
      <c r="AO3186">
        <v>25</v>
      </c>
      <c r="AP3186">
        <v>4300</v>
      </c>
      <c r="AQ3186" t="s">
        <v>131</v>
      </c>
      <c r="AR3186">
        <v>5</v>
      </c>
      <c r="AS3186">
        <v>85</v>
      </c>
      <c r="AT3186">
        <v>-192</v>
      </c>
      <c r="BB3186" t="str">
        <f t="shared" si="1244"/>
        <v>1200</v>
      </c>
      <c r="BC3186">
        <v>1</v>
      </c>
      <c r="BD3186" t="str">
        <f t="shared" si="1245"/>
        <v xml:space="preserve">N52156  </v>
      </c>
      <c r="BE3186">
        <v>1</v>
      </c>
      <c r="BG3186">
        <v>0</v>
      </c>
      <c r="BH3186">
        <v>0</v>
      </c>
      <c r="BI3186">
        <v>0</v>
      </c>
      <c r="BJ3186">
        <v>4375</v>
      </c>
      <c r="BK3186">
        <v>75</v>
      </c>
      <c r="BL3186" t="s">
        <v>188</v>
      </c>
      <c r="BM3186">
        <v>1</v>
      </c>
      <c r="BN3186">
        <v>1</v>
      </c>
      <c r="BO3186">
        <v>0</v>
      </c>
      <c r="BP3186">
        <v>0</v>
      </c>
      <c r="BS3186">
        <v>0</v>
      </c>
      <c r="BT3186">
        <v>0</v>
      </c>
      <c r="BU3186">
        <v>0</v>
      </c>
      <c r="CE3186" t="str">
        <f t="shared" si="1261"/>
        <v>15:13:22.686</v>
      </c>
      <c r="CF3186">
        <v>685807040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3</v>
      </c>
      <c r="CY3186">
        <v>7</v>
      </c>
      <c r="CZ3186" t="s">
        <v>133</v>
      </c>
      <c r="DA3186">
        <v>276</v>
      </c>
      <c r="DB3186">
        <v>0</v>
      </c>
      <c r="DC3186" t="s">
        <v>402</v>
      </c>
      <c r="DD3186" t="s">
        <v>403</v>
      </c>
      <c r="DG3186">
        <v>1627930</v>
      </c>
      <c r="DI3186">
        <v>1</v>
      </c>
      <c r="DJ3186">
        <v>0</v>
      </c>
      <c r="DK3186">
        <v>1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3">
      <c r="A3187" t="str">
        <f>"05/01/2025 15:13:22.936"</f>
        <v>05/01/2025 15:13:22.936</v>
      </c>
      <c r="C3187" t="str">
        <f t="shared" si="1242"/>
        <v>FFDFD3C0</v>
      </c>
      <c r="D3187" t="s">
        <v>136</v>
      </c>
      <c r="E3187" t="str">
        <f>"20"</f>
        <v>20</v>
      </c>
      <c r="H3187">
        <v>400</v>
      </c>
      <c r="I3187" t="s">
        <v>137</v>
      </c>
      <c r="J3187" t="s">
        <v>138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R3187" t="s">
        <v>127</v>
      </c>
      <c r="S3187" t="str">
        <f t="shared" si="1260"/>
        <v>15:13:22.000</v>
      </c>
      <c r="T3187" t="str">
        <f t="shared" si="1260"/>
        <v>15:13:22.000</v>
      </c>
      <c r="U3187" t="str">
        <f t="shared" si="1243"/>
        <v>A68FCB</v>
      </c>
      <c r="V3187">
        <v>0</v>
      </c>
      <c r="W3187">
        <v>0</v>
      </c>
      <c r="X3187">
        <v>2</v>
      </c>
      <c r="Y3187">
        <v>0</v>
      </c>
      <c r="AA3187">
        <v>1</v>
      </c>
      <c r="AB3187">
        <v>8</v>
      </c>
      <c r="AC3187">
        <v>3</v>
      </c>
      <c r="AD3187">
        <v>0</v>
      </c>
      <c r="AE3187">
        <v>9</v>
      </c>
      <c r="AF3187" t="s">
        <v>138</v>
      </c>
      <c r="AG3187">
        <v>0</v>
      </c>
      <c r="AH3187">
        <v>3</v>
      </c>
      <c r="AI3187">
        <v>2</v>
      </c>
      <c r="AJ3187">
        <v>0</v>
      </c>
      <c r="AK3187" t="s">
        <v>1063</v>
      </c>
      <c r="AL3187">
        <v>39.127443</v>
      </c>
      <c r="AM3187" t="s">
        <v>1064</v>
      </c>
      <c r="AN3187">
        <v>-121.031656</v>
      </c>
      <c r="AO3187">
        <v>25</v>
      </c>
      <c r="AP3187">
        <v>4300</v>
      </c>
      <c r="AQ3187" t="s">
        <v>131</v>
      </c>
      <c r="AR3187">
        <v>5</v>
      </c>
      <c r="AS3187">
        <v>85</v>
      </c>
      <c r="AT3187">
        <v>-192</v>
      </c>
      <c r="BB3187" t="str">
        <f t="shared" si="1244"/>
        <v>1200</v>
      </c>
      <c r="BC3187">
        <v>1</v>
      </c>
      <c r="BD3187" t="str">
        <f t="shared" si="1245"/>
        <v xml:space="preserve">N52156  </v>
      </c>
      <c r="BE3187">
        <v>1</v>
      </c>
      <c r="BG3187">
        <v>0</v>
      </c>
      <c r="BH3187">
        <v>0</v>
      </c>
      <c r="BI3187">
        <v>0</v>
      </c>
      <c r="BJ3187">
        <v>4375</v>
      </c>
      <c r="BK3187">
        <v>75</v>
      </c>
      <c r="BL3187" t="s">
        <v>188</v>
      </c>
      <c r="BM3187">
        <v>1</v>
      </c>
      <c r="BN3187">
        <v>1</v>
      </c>
      <c r="BO3187">
        <v>0</v>
      </c>
      <c r="BP3187">
        <v>0</v>
      </c>
      <c r="BS3187">
        <v>0</v>
      </c>
      <c r="BT3187">
        <v>0</v>
      </c>
      <c r="BU3187">
        <v>0</v>
      </c>
      <c r="CE3187" t="str">
        <f t="shared" si="1261"/>
        <v>15:13:22.686</v>
      </c>
      <c r="CF3187">
        <v>685807040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3</v>
      </c>
      <c r="CY3187">
        <v>7</v>
      </c>
      <c r="CZ3187" t="s">
        <v>133</v>
      </c>
      <c r="DA3187">
        <v>276</v>
      </c>
      <c r="DB3187">
        <v>0</v>
      </c>
      <c r="DC3187" t="s">
        <v>402</v>
      </c>
      <c r="DD3187" t="s">
        <v>403</v>
      </c>
      <c r="DG3187">
        <v>1627930</v>
      </c>
      <c r="DI3187">
        <v>1</v>
      </c>
      <c r="DJ3187">
        <v>0</v>
      </c>
      <c r="DK3187">
        <v>1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3">
      <c r="A3188" t="str">
        <f>"05/01/2025 15:13:23.648"</f>
        <v>05/01/2025 15:13:23.648</v>
      </c>
      <c r="C3188" t="str">
        <f t="shared" si="1242"/>
        <v>FFDFD3C0</v>
      </c>
      <c r="D3188" t="s">
        <v>143</v>
      </c>
      <c r="E3188" t="str">
        <f>"05"</f>
        <v>05</v>
      </c>
      <c r="H3188">
        <v>172</v>
      </c>
      <c r="I3188" t="s">
        <v>141</v>
      </c>
      <c r="J3188" t="s">
        <v>144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R3188" t="s">
        <v>127</v>
      </c>
      <c r="S3188" t="str">
        <f t="shared" ref="S3188:T3193" si="1262">"15:13:23.000"</f>
        <v>15:13:23.000</v>
      </c>
      <c r="T3188" t="str">
        <f t="shared" si="1262"/>
        <v>15:13:23.000</v>
      </c>
      <c r="U3188" t="str">
        <f t="shared" si="1243"/>
        <v>A68FCB</v>
      </c>
      <c r="V3188">
        <v>0</v>
      </c>
      <c r="W3188">
        <v>0</v>
      </c>
      <c r="X3188">
        <v>2</v>
      </c>
      <c r="Y3188">
        <v>0</v>
      </c>
      <c r="AA3188">
        <v>1</v>
      </c>
      <c r="AB3188">
        <v>8</v>
      </c>
      <c r="AC3188">
        <v>3</v>
      </c>
      <c r="AD3188">
        <v>0</v>
      </c>
      <c r="AE3188">
        <v>9</v>
      </c>
      <c r="AF3188" t="s">
        <v>138</v>
      </c>
      <c r="AG3188">
        <v>0</v>
      </c>
      <c r="AH3188">
        <v>3</v>
      </c>
      <c r="AI3188">
        <v>2</v>
      </c>
      <c r="AJ3188">
        <v>0</v>
      </c>
      <c r="AK3188" t="s">
        <v>1065</v>
      </c>
      <c r="AL3188">
        <v>39.127851</v>
      </c>
      <c r="AM3188" t="s">
        <v>1066</v>
      </c>
      <c r="AN3188">
        <v>-121.03161299999999</v>
      </c>
      <c r="AO3188">
        <v>25</v>
      </c>
      <c r="AP3188">
        <v>4300</v>
      </c>
      <c r="AQ3188" t="s">
        <v>131</v>
      </c>
      <c r="AR3188">
        <v>5</v>
      </c>
      <c r="AS3188">
        <v>85</v>
      </c>
      <c r="AT3188">
        <v>-192</v>
      </c>
      <c r="BB3188" t="str">
        <f t="shared" si="1244"/>
        <v>1200</v>
      </c>
      <c r="BC3188">
        <v>1</v>
      </c>
      <c r="BD3188" t="str">
        <f t="shared" si="1245"/>
        <v xml:space="preserve">N52156  </v>
      </c>
      <c r="BE3188">
        <v>1</v>
      </c>
      <c r="BG3188">
        <v>0</v>
      </c>
      <c r="BH3188">
        <v>0</v>
      </c>
      <c r="BI3188">
        <v>0</v>
      </c>
      <c r="BJ3188">
        <v>4375</v>
      </c>
      <c r="BK3188">
        <v>75</v>
      </c>
      <c r="BL3188" t="s">
        <v>188</v>
      </c>
      <c r="BM3188">
        <v>1</v>
      </c>
      <c r="BN3188">
        <v>1</v>
      </c>
      <c r="BO3188">
        <v>0</v>
      </c>
      <c r="BP3188">
        <v>0</v>
      </c>
      <c r="BS3188">
        <v>0</v>
      </c>
      <c r="BT3188">
        <v>0</v>
      </c>
      <c r="BU3188">
        <v>0</v>
      </c>
      <c r="CE3188" t="str">
        <f t="shared" ref="CE3188:CE3193" si="1263">"15:13:23.437"</f>
        <v>15:13:23.437</v>
      </c>
      <c r="CF3188">
        <v>437056493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3</v>
      </c>
      <c r="CY3188">
        <v>7</v>
      </c>
      <c r="CZ3188" t="s">
        <v>133</v>
      </c>
      <c r="DA3188">
        <v>276</v>
      </c>
      <c r="DB3188">
        <v>0</v>
      </c>
      <c r="DC3188" t="s">
        <v>402</v>
      </c>
      <c r="DD3188" t="s">
        <v>403</v>
      </c>
      <c r="DG3188">
        <v>1627932</v>
      </c>
      <c r="DI3188">
        <v>1</v>
      </c>
      <c r="DJ3188">
        <v>0</v>
      </c>
      <c r="DK3188">
        <v>0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3">
      <c r="A3189" t="str">
        <f>"05/01/2025 15:13:23.662"</f>
        <v>05/01/2025 15:13:23.662</v>
      </c>
      <c r="C3189" t="str">
        <f t="shared" si="1242"/>
        <v>FFDFD3C0</v>
      </c>
      <c r="D3189" t="s">
        <v>140</v>
      </c>
      <c r="E3189" t="str">
        <f>"13"</f>
        <v>13</v>
      </c>
      <c r="F3189">
        <v>1019</v>
      </c>
      <c r="G3189" t="s">
        <v>141</v>
      </c>
      <c r="J3189" t="s">
        <v>142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R3189" t="s">
        <v>127</v>
      </c>
      <c r="S3189" t="str">
        <f t="shared" si="1262"/>
        <v>15:13:23.000</v>
      </c>
      <c r="T3189" t="str">
        <f t="shared" si="1262"/>
        <v>15:13:23.000</v>
      </c>
      <c r="U3189" t="str">
        <f t="shared" si="1243"/>
        <v>A68FCB</v>
      </c>
      <c r="V3189">
        <v>0</v>
      </c>
      <c r="W3189">
        <v>0</v>
      </c>
      <c r="X3189">
        <v>2</v>
      </c>
      <c r="Y3189">
        <v>0</v>
      </c>
      <c r="AA3189">
        <v>1</v>
      </c>
      <c r="AB3189">
        <v>8</v>
      </c>
      <c r="AC3189">
        <v>3</v>
      </c>
      <c r="AD3189">
        <v>0</v>
      </c>
      <c r="AE3189">
        <v>9</v>
      </c>
      <c r="AF3189" t="s">
        <v>138</v>
      </c>
      <c r="AG3189">
        <v>0</v>
      </c>
      <c r="AH3189">
        <v>3</v>
      </c>
      <c r="AI3189">
        <v>2</v>
      </c>
      <c r="AJ3189">
        <v>0</v>
      </c>
      <c r="AK3189" t="s">
        <v>1065</v>
      </c>
      <c r="AL3189">
        <v>39.127851</v>
      </c>
      <c r="AM3189" t="s">
        <v>1066</v>
      </c>
      <c r="AN3189">
        <v>-121.03161299999999</v>
      </c>
      <c r="AO3189">
        <v>25</v>
      </c>
      <c r="AP3189">
        <v>4300</v>
      </c>
      <c r="AQ3189" t="s">
        <v>131</v>
      </c>
      <c r="AR3189">
        <v>5</v>
      </c>
      <c r="AS3189">
        <v>85</v>
      </c>
      <c r="AT3189">
        <v>-192</v>
      </c>
      <c r="BB3189" t="str">
        <f t="shared" si="1244"/>
        <v>1200</v>
      </c>
      <c r="BC3189">
        <v>1</v>
      </c>
      <c r="BD3189" t="str">
        <f t="shared" si="1245"/>
        <v xml:space="preserve">N52156  </v>
      </c>
      <c r="BE3189">
        <v>1</v>
      </c>
      <c r="BG3189">
        <v>0</v>
      </c>
      <c r="BH3189">
        <v>0</v>
      </c>
      <c r="BI3189">
        <v>0</v>
      </c>
      <c r="BJ3189">
        <v>4375</v>
      </c>
      <c r="BK3189">
        <v>75</v>
      </c>
      <c r="BL3189" t="s">
        <v>188</v>
      </c>
      <c r="BM3189">
        <v>1</v>
      </c>
      <c r="BN3189">
        <v>1</v>
      </c>
      <c r="BO3189">
        <v>0</v>
      </c>
      <c r="BP3189">
        <v>0</v>
      </c>
      <c r="BS3189">
        <v>0</v>
      </c>
      <c r="BT3189">
        <v>0</v>
      </c>
      <c r="BU3189">
        <v>0</v>
      </c>
      <c r="CE3189" t="str">
        <f t="shared" si="1263"/>
        <v>15:13:23.437</v>
      </c>
      <c r="CF3189">
        <v>437056493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3</v>
      </c>
      <c r="CY3189">
        <v>7</v>
      </c>
      <c r="CZ3189" t="s">
        <v>133</v>
      </c>
      <c r="DA3189">
        <v>276</v>
      </c>
      <c r="DB3189">
        <v>0</v>
      </c>
      <c r="DC3189" t="s">
        <v>402</v>
      </c>
      <c r="DD3189" t="s">
        <v>403</v>
      </c>
      <c r="DG3189">
        <v>1627932</v>
      </c>
      <c r="DI3189">
        <v>1</v>
      </c>
      <c r="DJ3189">
        <v>0</v>
      </c>
      <c r="DK3189">
        <v>1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3">
      <c r="A3190" t="str">
        <f>"05/01/2025 15:13:23.663"</f>
        <v>05/01/2025 15:13:23.663</v>
      </c>
      <c r="C3190" t="str">
        <f t="shared" si="1242"/>
        <v>FFDFD3C0</v>
      </c>
      <c r="D3190" t="s">
        <v>124</v>
      </c>
      <c r="E3190" t="str">
        <f>"06"</f>
        <v>06</v>
      </c>
      <c r="F3190">
        <v>2006</v>
      </c>
      <c r="G3190" t="s">
        <v>125</v>
      </c>
      <c r="J3190" t="s">
        <v>126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R3190" t="s">
        <v>127</v>
      </c>
      <c r="S3190" t="str">
        <f t="shared" si="1262"/>
        <v>15:13:23.000</v>
      </c>
      <c r="T3190" t="str">
        <f t="shared" si="1262"/>
        <v>15:13:23.000</v>
      </c>
      <c r="U3190" t="str">
        <f t="shared" si="1243"/>
        <v>A68FCB</v>
      </c>
      <c r="V3190">
        <v>0</v>
      </c>
      <c r="W3190">
        <v>0</v>
      </c>
      <c r="X3190">
        <v>2</v>
      </c>
      <c r="Y3190">
        <v>0</v>
      </c>
      <c r="AA3190">
        <v>1</v>
      </c>
      <c r="AB3190">
        <v>8</v>
      </c>
      <c r="AC3190">
        <v>3</v>
      </c>
      <c r="AD3190">
        <v>0</v>
      </c>
      <c r="AE3190">
        <v>9</v>
      </c>
      <c r="AF3190" t="s">
        <v>138</v>
      </c>
      <c r="AG3190">
        <v>0</v>
      </c>
      <c r="AH3190">
        <v>3</v>
      </c>
      <c r="AI3190">
        <v>2</v>
      </c>
      <c r="AJ3190">
        <v>0</v>
      </c>
      <c r="AK3190" t="s">
        <v>1065</v>
      </c>
      <c r="AL3190">
        <v>39.127851</v>
      </c>
      <c r="AM3190" t="s">
        <v>1066</v>
      </c>
      <c r="AN3190">
        <v>-121.03161299999999</v>
      </c>
      <c r="AO3190">
        <v>25</v>
      </c>
      <c r="AP3190">
        <v>4300</v>
      </c>
      <c r="AQ3190" t="s">
        <v>131</v>
      </c>
      <c r="AR3190">
        <v>5</v>
      </c>
      <c r="AS3190">
        <v>85</v>
      </c>
      <c r="AT3190">
        <v>-192</v>
      </c>
      <c r="BB3190" t="str">
        <f t="shared" si="1244"/>
        <v>1200</v>
      </c>
      <c r="BC3190">
        <v>1</v>
      </c>
      <c r="BD3190" t="str">
        <f t="shared" si="1245"/>
        <v xml:space="preserve">N52156  </v>
      </c>
      <c r="BE3190">
        <v>1</v>
      </c>
      <c r="BG3190">
        <v>0</v>
      </c>
      <c r="BH3190">
        <v>0</v>
      </c>
      <c r="BI3190">
        <v>0</v>
      </c>
      <c r="BJ3190">
        <v>4375</v>
      </c>
      <c r="BK3190">
        <v>75</v>
      </c>
      <c r="BL3190" t="s">
        <v>188</v>
      </c>
      <c r="BM3190">
        <v>1</v>
      </c>
      <c r="BN3190">
        <v>1</v>
      </c>
      <c r="BO3190">
        <v>0</v>
      </c>
      <c r="BP3190">
        <v>0</v>
      </c>
      <c r="BS3190">
        <v>0</v>
      </c>
      <c r="BT3190">
        <v>0</v>
      </c>
      <c r="BU3190">
        <v>0</v>
      </c>
      <c r="CE3190" t="str">
        <f t="shared" si="1263"/>
        <v>15:13:23.437</v>
      </c>
      <c r="CF3190">
        <v>437056493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3</v>
      </c>
      <c r="CY3190">
        <v>7</v>
      </c>
      <c r="CZ3190" t="s">
        <v>133</v>
      </c>
      <c r="DA3190">
        <v>276</v>
      </c>
      <c r="DB3190">
        <v>0</v>
      </c>
      <c r="DC3190" t="s">
        <v>402</v>
      </c>
      <c r="DD3190" t="s">
        <v>403</v>
      </c>
      <c r="DG3190">
        <v>1627932</v>
      </c>
      <c r="DI3190">
        <v>1</v>
      </c>
      <c r="DJ3190">
        <v>0</v>
      </c>
      <c r="DK3190">
        <v>1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3">
      <c r="A3191" t="str">
        <f>"05/01/2025 15:13:23.676"</f>
        <v>05/01/2025 15:13:23.676</v>
      </c>
      <c r="C3191" t="str">
        <f t="shared" si="1242"/>
        <v>FFDFD3C0</v>
      </c>
      <c r="D3191" t="s">
        <v>145</v>
      </c>
      <c r="E3191" t="str">
        <f>"05"</f>
        <v>05</v>
      </c>
      <c r="H3191">
        <v>47</v>
      </c>
      <c r="I3191" t="s">
        <v>146</v>
      </c>
      <c r="J3191" t="s">
        <v>138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R3191" t="s">
        <v>127</v>
      </c>
      <c r="S3191" t="str">
        <f t="shared" si="1262"/>
        <v>15:13:23.000</v>
      </c>
      <c r="T3191" t="str">
        <f t="shared" si="1262"/>
        <v>15:13:23.000</v>
      </c>
      <c r="U3191" t="str">
        <f t="shared" si="1243"/>
        <v>A68FCB</v>
      </c>
      <c r="V3191">
        <v>0</v>
      </c>
      <c r="W3191">
        <v>0</v>
      </c>
      <c r="X3191">
        <v>2</v>
      </c>
      <c r="Y3191">
        <v>0</v>
      </c>
      <c r="AA3191">
        <v>1</v>
      </c>
      <c r="AB3191">
        <v>8</v>
      </c>
      <c r="AC3191">
        <v>3</v>
      </c>
      <c r="AD3191">
        <v>0</v>
      </c>
      <c r="AE3191">
        <v>9</v>
      </c>
      <c r="AF3191" t="s">
        <v>138</v>
      </c>
      <c r="AG3191">
        <v>0</v>
      </c>
      <c r="AH3191">
        <v>3</v>
      </c>
      <c r="AI3191">
        <v>2</v>
      </c>
      <c r="AJ3191">
        <v>0</v>
      </c>
      <c r="AK3191" t="s">
        <v>1065</v>
      </c>
      <c r="AL3191">
        <v>39.127851</v>
      </c>
      <c r="AM3191" t="s">
        <v>1066</v>
      </c>
      <c r="AN3191">
        <v>-121.03161299999999</v>
      </c>
      <c r="AO3191">
        <v>25</v>
      </c>
      <c r="AP3191">
        <v>4300</v>
      </c>
      <c r="AQ3191" t="s">
        <v>131</v>
      </c>
      <c r="AR3191">
        <v>5</v>
      </c>
      <c r="AS3191">
        <v>85</v>
      </c>
      <c r="AT3191">
        <v>-192</v>
      </c>
      <c r="BB3191" t="str">
        <f t="shared" si="1244"/>
        <v>1200</v>
      </c>
      <c r="BC3191">
        <v>1</v>
      </c>
      <c r="BD3191" t="str">
        <f t="shared" si="1245"/>
        <v xml:space="preserve">N52156  </v>
      </c>
      <c r="BE3191">
        <v>1</v>
      </c>
      <c r="BG3191">
        <v>0</v>
      </c>
      <c r="BH3191">
        <v>0</v>
      </c>
      <c r="BI3191">
        <v>0</v>
      </c>
      <c r="BJ3191">
        <v>4375</v>
      </c>
      <c r="BK3191">
        <v>75</v>
      </c>
      <c r="BL3191" t="s">
        <v>188</v>
      </c>
      <c r="BM3191">
        <v>1</v>
      </c>
      <c r="BN3191">
        <v>1</v>
      </c>
      <c r="BO3191">
        <v>0</v>
      </c>
      <c r="BP3191">
        <v>0</v>
      </c>
      <c r="BS3191">
        <v>0</v>
      </c>
      <c r="BT3191">
        <v>0</v>
      </c>
      <c r="BU3191">
        <v>0</v>
      </c>
      <c r="CE3191" t="str">
        <f t="shared" si="1263"/>
        <v>15:13:23.437</v>
      </c>
      <c r="CF3191">
        <v>437056493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3</v>
      </c>
      <c r="CY3191">
        <v>7</v>
      </c>
      <c r="CZ3191" t="s">
        <v>133</v>
      </c>
      <c r="DA3191">
        <v>276</v>
      </c>
      <c r="DB3191">
        <v>0</v>
      </c>
      <c r="DC3191" t="s">
        <v>402</v>
      </c>
      <c r="DD3191" t="s">
        <v>403</v>
      </c>
      <c r="DG3191">
        <v>1627932</v>
      </c>
      <c r="DI3191">
        <v>1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3">
      <c r="A3192" t="str">
        <f>"05/01/2025 15:13:23.675"</f>
        <v>05/01/2025 15:13:23.675</v>
      </c>
      <c r="C3192" t="str">
        <f t="shared" si="1242"/>
        <v>FFDFD3C0</v>
      </c>
      <c r="D3192" t="s">
        <v>145</v>
      </c>
      <c r="E3192" t="str">
        <f>"09"</f>
        <v>09</v>
      </c>
      <c r="H3192">
        <v>51</v>
      </c>
      <c r="I3192" t="s">
        <v>147</v>
      </c>
      <c r="J3192" t="s">
        <v>138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R3192" t="s">
        <v>127</v>
      </c>
      <c r="S3192" t="str">
        <f t="shared" si="1262"/>
        <v>15:13:23.000</v>
      </c>
      <c r="T3192" t="str">
        <f t="shared" si="1262"/>
        <v>15:13:23.000</v>
      </c>
      <c r="U3192" t="str">
        <f t="shared" si="1243"/>
        <v>A68FCB</v>
      </c>
      <c r="V3192">
        <v>0</v>
      </c>
      <c r="W3192">
        <v>0</v>
      </c>
      <c r="X3192">
        <v>2</v>
      </c>
      <c r="Y3192">
        <v>0</v>
      </c>
      <c r="AA3192">
        <v>1</v>
      </c>
      <c r="AB3192">
        <v>8</v>
      </c>
      <c r="AC3192">
        <v>3</v>
      </c>
      <c r="AD3192">
        <v>0</v>
      </c>
      <c r="AE3192">
        <v>9</v>
      </c>
      <c r="AF3192" t="s">
        <v>138</v>
      </c>
      <c r="AG3192">
        <v>0</v>
      </c>
      <c r="AH3192">
        <v>3</v>
      </c>
      <c r="AI3192">
        <v>2</v>
      </c>
      <c r="AJ3192">
        <v>0</v>
      </c>
      <c r="AK3192" t="s">
        <v>1065</v>
      </c>
      <c r="AL3192">
        <v>39.127851</v>
      </c>
      <c r="AM3192" t="s">
        <v>1066</v>
      </c>
      <c r="AN3192">
        <v>-121.03161299999999</v>
      </c>
      <c r="AO3192">
        <v>25</v>
      </c>
      <c r="AP3192">
        <v>4300</v>
      </c>
      <c r="AQ3192" t="s">
        <v>131</v>
      </c>
      <c r="AR3192">
        <v>5</v>
      </c>
      <c r="AS3192">
        <v>85</v>
      </c>
      <c r="AT3192">
        <v>-192</v>
      </c>
      <c r="BB3192" t="str">
        <f t="shared" si="1244"/>
        <v>1200</v>
      </c>
      <c r="BC3192">
        <v>1</v>
      </c>
      <c r="BD3192" t="str">
        <f t="shared" si="1245"/>
        <v xml:space="preserve">N52156  </v>
      </c>
      <c r="BE3192">
        <v>1</v>
      </c>
      <c r="BG3192">
        <v>0</v>
      </c>
      <c r="BH3192">
        <v>0</v>
      </c>
      <c r="BI3192">
        <v>0</v>
      </c>
      <c r="BJ3192">
        <v>4375</v>
      </c>
      <c r="BK3192">
        <v>75</v>
      </c>
      <c r="BL3192" t="s">
        <v>188</v>
      </c>
      <c r="BM3192">
        <v>1</v>
      </c>
      <c r="BN3192">
        <v>1</v>
      </c>
      <c r="BO3192">
        <v>0</v>
      </c>
      <c r="BP3192">
        <v>0</v>
      </c>
      <c r="BS3192">
        <v>0</v>
      </c>
      <c r="BT3192">
        <v>0</v>
      </c>
      <c r="BU3192">
        <v>0</v>
      </c>
      <c r="CE3192" t="str">
        <f t="shared" si="1263"/>
        <v>15:13:23.437</v>
      </c>
      <c r="CF3192">
        <v>437056493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3</v>
      </c>
      <c r="CY3192">
        <v>7</v>
      </c>
      <c r="CZ3192" t="s">
        <v>133</v>
      </c>
      <c r="DA3192">
        <v>276</v>
      </c>
      <c r="DB3192">
        <v>0</v>
      </c>
      <c r="DC3192" t="s">
        <v>402</v>
      </c>
      <c r="DD3192" t="s">
        <v>403</v>
      </c>
      <c r="DG3192">
        <v>1627932</v>
      </c>
      <c r="DI3192">
        <v>1</v>
      </c>
      <c r="DJ3192">
        <v>0</v>
      </c>
      <c r="DK3192">
        <v>1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3">
      <c r="A3193" t="str">
        <f>"05/01/2025 15:13:23.688"</f>
        <v>05/01/2025 15:13:23.688</v>
      </c>
      <c r="C3193" t="str">
        <f t="shared" si="1242"/>
        <v>FFDFD3C0</v>
      </c>
      <c r="D3193" t="s">
        <v>136</v>
      </c>
      <c r="E3193" t="str">
        <f>"20"</f>
        <v>20</v>
      </c>
      <c r="H3193">
        <v>400</v>
      </c>
      <c r="I3193" t="s">
        <v>137</v>
      </c>
      <c r="J3193" t="s">
        <v>138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R3193" t="s">
        <v>127</v>
      </c>
      <c r="S3193" t="str">
        <f t="shared" si="1262"/>
        <v>15:13:23.000</v>
      </c>
      <c r="T3193" t="str">
        <f t="shared" si="1262"/>
        <v>15:13:23.000</v>
      </c>
      <c r="U3193" t="str">
        <f t="shared" si="1243"/>
        <v>A68FCB</v>
      </c>
      <c r="V3193">
        <v>0</v>
      </c>
      <c r="W3193">
        <v>0</v>
      </c>
      <c r="X3193">
        <v>2</v>
      </c>
      <c r="Y3193">
        <v>0</v>
      </c>
      <c r="AA3193">
        <v>1</v>
      </c>
      <c r="AB3193">
        <v>8</v>
      </c>
      <c r="AC3193">
        <v>3</v>
      </c>
      <c r="AD3193">
        <v>0</v>
      </c>
      <c r="AE3193">
        <v>9</v>
      </c>
      <c r="AF3193" t="s">
        <v>138</v>
      </c>
      <c r="AG3193">
        <v>0</v>
      </c>
      <c r="AH3193">
        <v>3</v>
      </c>
      <c r="AI3193">
        <v>2</v>
      </c>
      <c r="AJ3193">
        <v>0</v>
      </c>
      <c r="AK3193" t="s">
        <v>1065</v>
      </c>
      <c r="AL3193">
        <v>39.127851</v>
      </c>
      <c r="AM3193" t="s">
        <v>1066</v>
      </c>
      <c r="AN3193">
        <v>-121.03161299999999</v>
      </c>
      <c r="AO3193">
        <v>25</v>
      </c>
      <c r="AP3193">
        <v>4300</v>
      </c>
      <c r="AQ3193" t="s">
        <v>131</v>
      </c>
      <c r="AR3193">
        <v>5</v>
      </c>
      <c r="AS3193">
        <v>85</v>
      </c>
      <c r="AT3193">
        <v>-192</v>
      </c>
      <c r="BB3193" t="str">
        <f t="shared" si="1244"/>
        <v>1200</v>
      </c>
      <c r="BC3193">
        <v>1</v>
      </c>
      <c r="BD3193" t="str">
        <f t="shared" si="1245"/>
        <v xml:space="preserve">N52156  </v>
      </c>
      <c r="BE3193">
        <v>1</v>
      </c>
      <c r="BG3193">
        <v>0</v>
      </c>
      <c r="BH3193">
        <v>0</v>
      </c>
      <c r="BI3193">
        <v>0</v>
      </c>
      <c r="BJ3193">
        <v>4375</v>
      </c>
      <c r="BK3193">
        <v>75</v>
      </c>
      <c r="BL3193" t="s">
        <v>188</v>
      </c>
      <c r="BM3193">
        <v>1</v>
      </c>
      <c r="BN3193">
        <v>1</v>
      </c>
      <c r="BO3193">
        <v>0</v>
      </c>
      <c r="BP3193">
        <v>0</v>
      </c>
      <c r="BS3193">
        <v>0</v>
      </c>
      <c r="BT3193">
        <v>0</v>
      </c>
      <c r="BU3193">
        <v>0</v>
      </c>
      <c r="CE3193" t="str">
        <f t="shared" si="1263"/>
        <v>15:13:23.437</v>
      </c>
      <c r="CF3193">
        <v>437056493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3</v>
      </c>
      <c r="CY3193">
        <v>7</v>
      </c>
      <c r="CZ3193" t="s">
        <v>133</v>
      </c>
      <c r="DA3193">
        <v>276</v>
      </c>
      <c r="DB3193">
        <v>0</v>
      </c>
      <c r="DC3193" t="s">
        <v>402</v>
      </c>
      <c r="DD3193" t="s">
        <v>403</v>
      </c>
      <c r="DG3193">
        <v>1627932</v>
      </c>
      <c r="DI3193">
        <v>1</v>
      </c>
      <c r="DJ3193">
        <v>0</v>
      </c>
      <c r="DK3193">
        <v>1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3">
      <c r="A3194" t="str">
        <f>"05/01/2025 15:13:24.627"</f>
        <v>05/01/2025 15:13:24.627</v>
      </c>
      <c r="C3194" t="str">
        <f t="shared" si="1242"/>
        <v>FFDFD3C0</v>
      </c>
      <c r="D3194" t="s">
        <v>145</v>
      </c>
      <c r="E3194" t="str">
        <f>"05"</f>
        <v>05</v>
      </c>
      <c r="H3194">
        <v>47</v>
      </c>
      <c r="I3194" t="s">
        <v>146</v>
      </c>
      <c r="J3194" t="s">
        <v>138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R3194" t="s">
        <v>127</v>
      </c>
      <c r="S3194" t="str">
        <f t="shared" ref="S3194:T3199" si="1264">"15:13:24.000"</f>
        <v>15:13:24.000</v>
      </c>
      <c r="T3194" t="str">
        <f t="shared" si="1264"/>
        <v>15:13:24.000</v>
      </c>
      <c r="U3194" t="str">
        <f t="shared" si="1243"/>
        <v>A68FCB</v>
      </c>
      <c r="V3194">
        <v>0</v>
      </c>
      <c r="W3194">
        <v>0</v>
      </c>
      <c r="X3194">
        <v>2</v>
      </c>
      <c r="Y3194">
        <v>0</v>
      </c>
      <c r="AA3194">
        <v>1</v>
      </c>
      <c r="AB3194">
        <v>8</v>
      </c>
      <c r="AC3194">
        <v>3</v>
      </c>
      <c r="AD3194">
        <v>0</v>
      </c>
      <c r="AE3194">
        <v>9</v>
      </c>
      <c r="AF3194" t="s">
        <v>138</v>
      </c>
      <c r="AG3194">
        <v>0</v>
      </c>
      <c r="AH3194">
        <v>3</v>
      </c>
      <c r="AI3194">
        <v>2</v>
      </c>
      <c r="AJ3194">
        <v>0</v>
      </c>
      <c r="AK3194" t="s">
        <v>1067</v>
      </c>
      <c r="AL3194">
        <v>39.128236999999999</v>
      </c>
      <c r="AM3194" t="s">
        <v>1068</v>
      </c>
      <c r="AN3194">
        <v>-121.031592</v>
      </c>
      <c r="AO3194">
        <v>25</v>
      </c>
      <c r="AP3194">
        <v>4300</v>
      </c>
      <c r="AQ3194" t="s">
        <v>131</v>
      </c>
      <c r="AR3194">
        <v>5</v>
      </c>
      <c r="AS3194">
        <v>85</v>
      </c>
      <c r="AT3194">
        <v>-128</v>
      </c>
      <c r="BB3194" t="str">
        <f t="shared" si="1244"/>
        <v>1200</v>
      </c>
      <c r="BC3194">
        <v>1</v>
      </c>
      <c r="BD3194" t="str">
        <f t="shared" si="1245"/>
        <v xml:space="preserve">N52156  </v>
      </c>
      <c r="BE3194">
        <v>1</v>
      </c>
      <c r="BG3194">
        <v>0</v>
      </c>
      <c r="BH3194">
        <v>0</v>
      </c>
      <c r="BI3194">
        <v>0</v>
      </c>
      <c r="BJ3194">
        <v>4375</v>
      </c>
      <c r="BK3194">
        <v>75</v>
      </c>
      <c r="BL3194" t="s">
        <v>188</v>
      </c>
      <c r="BM3194">
        <v>1</v>
      </c>
      <c r="BN3194">
        <v>1</v>
      </c>
      <c r="BO3194">
        <v>0</v>
      </c>
      <c r="BP3194">
        <v>0</v>
      </c>
      <c r="BS3194">
        <v>0</v>
      </c>
      <c r="BT3194">
        <v>0</v>
      </c>
      <c r="BU3194">
        <v>0</v>
      </c>
      <c r="CE3194" t="str">
        <f t="shared" ref="CE3194:CE3199" si="1265">"15:13:24.434"</f>
        <v>15:13:24.434</v>
      </c>
      <c r="CF3194">
        <v>433981342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3</v>
      </c>
      <c r="CY3194">
        <v>7</v>
      </c>
      <c r="CZ3194" t="s">
        <v>133</v>
      </c>
      <c r="DA3194">
        <v>275</v>
      </c>
      <c r="DB3194">
        <v>0</v>
      </c>
      <c r="DC3194" t="s">
        <v>134</v>
      </c>
      <c r="DD3194" t="s">
        <v>135</v>
      </c>
      <c r="DG3194">
        <v>3322465</v>
      </c>
      <c r="DI3194">
        <v>1</v>
      </c>
      <c r="DJ3194">
        <v>0</v>
      </c>
      <c r="DK3194">
        <v>0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3">
      <c r="A3195" t="str">
        <f>"05/01/2025 15:13:24.639"</f>
        <v>05/01/2025 15:13:24.639</v>
      </c>
      <c r="C3195" t="str">
        <f t="shared" si="1242"/>
        <v>FFDFD3C0</v>
      </c>
      <c r="D3195" t="s">
        <v>136</v>
      </c>
      <c r="E3195" t="str">
        <f>"20"</f>
        <v>20</v>
      </c>
      <c r="H3195">
        <v>400</v>
      </c>
      <c r="I3195" t="s">
        <v>137</v>
      </c>
      <c r="J3195" t="s">
        <v>138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R3195" t="s">
        <v>127</v>
      </c>
      <c r="S3195" t="str">
        <f t="shared" si="1264"/>
        <v>15:13:24.000</v>
      </c>
      <c r="T3195" t="str">
        <f t="shared" si="1264"/>
        <v>15:13:24.000</v>
      </c>
      <c r="U3195" t="str">
        <f t="shared" si="1243"/>
        <v>A68FCB</v>
      </c>
      <c r="V3195">
        <v>0</v>
      </c>
      <c r="W3195">
        <v>0</v>
      </c>
      <c r="X3195">
        <v>2</v>
      </c>
      <c r="Y3195">
        <v>0</v>
      </c>
      <c r="AA3195">
        <v>1</v>
      </c>
      <c r="AB3195">
        <v>8</v>
      </c>
      <c r="AC3195">
        <v>3</v>
      </c>
      <c r="AD3195">
        <v>0</v>
      </c>
      <c r="AE3195">
        <v>9</v>
      </c>
      <c r="AF3195" t="s">
        <v>138</v>
      </c>
      <c r="AG3195">
        <v>0</v>
      </c>
      <c r="AH3195">
        <v>3</v>
      </c>
      <c r="AI3195">
        <v>2</v>
      </c>
      <c r="AJ3195">
        <v>0</v>
      </c>
      <c r="AK3195" t="s">
        <v>1067</v>
      </c>
      <c r="AL3195">
        <v>39.128236999999999</v>
      </c>
      <c r="AM3195" t="s">
        <v>1068</v>
      </c>
      <c r="AN3195">
        <v>-121.031592</v>
      </c>
      <c r="AO3195">
        <v>25</v>
      </c>
      <c r="AP3195">
        <v>4300</v>
      </c>
      <c r="AQ3195" t="s">
        <v>131</v>
      </c>
      <c r="AR3195">
        <v>5</v>
      </c>
      <c r="AS3195">
        <v>85</v>
      </c>
      <c r="AT3195">
        <v>-128</v>
      </c>
      <c r="BB3195" t="str">
        <f t="shared" si="1244"/>
        <v>1200</v>
      </c>
      <c r="BC3195">
        <v>1</v>
      </c>
      <c r="BD3195" t="str">
        <f t="shared" si="1245"/>
        <v xml:space="preserve">N52156  </v>
      </c>
      <c r="BE3195">
        <v>1</v>
      </c>
      <c r="BG3195">
        <v>0</v>
      </c>
      <c r="BH3195">
        <v>0</v>
      </c>
      <c r="BI3195">
        <v>0</v>
      </c>
      <c r="BJ3195">
        <v>4375</v>
      </c>
      <c r="BK3195">
        <v>75</v>
      </c>
      <c r="BL3195" t="s">
        <v>188</v>
      </c>
      <c r="BM3195">
        <v>1</v>
      </c>
      <c r="BN3195">
        <v>1</v>
      </c>
      <c r="BO3195">
        <v>0</v>
      </c>
      <c r="BP3195">
        <v>0</v>
      </c>
      <c r="BS3195">
        <v>0</v>
      </c>
      <c r="BT3195">
        <v>0</v>
      </c>
      <c r="BU3195">
        <v>0</v>
      </c>
      <c r="CE3195" t="str">
        <f t="shared" si="1265"/>
        <v>15:13:24.434</v>
      </c>
      <c r="CF3195">
        <v>433981342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3</v>
      </c>
      <c r="CY3195">
        <v>7</v>
      </c>
      <c r="CZ3195" t="s">
        <v>133</v>
      </c>
      <c r="DA3195">
        <v>275</v>
      </c>
      <c r="DB3195">
        <v>0</v>
      </c>
      <c r="DC3195" t="s">
        <v>134</v>
      </c>
      <c r="DD3195" t="s">
        <v>135</v>
      </c>
      <c r="DG3195">
        <v>3322465</v>
      </c>
      <c r="DI3195">
        <v>1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3">
      <c r="A3196" t="str">
        <f>"05/01/2025 15:13:24.650"</f>
        <v>05/01/2025 15:13:24.650</v>
      </c>
      <c r="C3196" t="str">
        <f t="shared" si="1242"/>
        <v>FFDFD3C0</v>
      </c>
      <c r="D3196" t="s">
        <v>143</v>
      </c>
      <c r="E3196" t="str">
        <f>"05"</f>
        <v>05</v>
      </c>
      <c r="H3196">
        <v>172</v>
      </c>
      <c r="I3196" t="s">
        <v>141</v>
      </c>
      <c r="J3196" t="s">
        <v>144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R3196" t="s">
        <v>127</v>
      </c>
      <c r="S3196" t="str">
        <f t="shared" si="1264"/>
        <v>15:13:24.000</v>
      </c>
      <c r="T3196" t="str">
        <f t="shared" si="1264"/>
        <v>15:13:24.000</v>
      </c>
      <c r="U3196" t="str">
        <f t="shared" si="1243"/>
        <v>A68FCB</v>
      </c>
      <c r="V3196">
        <v>0</v>
      </c>
      <c r="W3196">
        <v>0</v>
      </c>
      <c r="X3196">
        <v>2</v>
      </c>
      <c r="Y3196">
        <v>0</v>
      </c>
      <c r="AA3196">
        <v>1</v>
      </c>
      <c r="AB3196">
        <v>8</v>
      </c>
      <c r="AC3196">
        <v>3</v>
      </c>
      <c r="AD3196">
        <v>0</v>
      </c>
      <c r="AE3196">
        <v>9</v>
      </c>
      <c r="AF3196" t="s">
        <v>138</v>
      </c>
      <c r="AG3196">
        <v>0</v>
      </c>
      <c r="AH3196">
        <v>3</v>
      </c>
      <c r="AI3196">
        <v>2</v>
      </c>
      <c r="AJ3196">
        <v>0</v>
      </c>
      <c r="AK3196" t="s">
        <v>1067</v>
      </c>
      <c r="AL3196">
        <v>39.128236999999999</v>
      </c>
      <c r="AM3196" t="s">
        <v>1068</v>
      </c>
      <c r="AN3196">
        <v>-121.031592</v>
      </c>
      <c r="AO3196">
        <v>25</v>
      </c>
      <c r="AP3196">
        <v>4300</v>
      </c>
      <c r="AQ3196" t="s">
        <v>131</v>
      </c>
      <c r="AR3196">
        <v>5</v>
      </c>
      <c r="AS3196">
        <v>85</v>
      </c>
      <c r="AT3196">
        <v>-128</v>
      </c>
      <c r="BB3196" t="str">
        <f t="shared" si="1244"/>
        <v>1200</v>
      </c>
      <c r="BC3196">
        <v>1</v>
      </c>
      <c r="BD3196" t="str">
        <f t="shared" si="1245"/>
        <v xml:space="preserve">N52156  </v>
      </c>
      <c r="BE3196">
        <v>1</v>
      </c>
      <c r="BG3196">
        <v>0</v>
      </c>
      <c r="BH3196">
        <v>0</v>
      </c>
      <c r="BI3196">
        <v>0</v>
      </c>
      <c r="BJ3196">
        <v>4375</v>
      </c>
      <c r="BK3196">
        <v>75</v>
      </c>
      <c r="BL3196" t="s">
        <v>188</v>
      </c>
      <c r="BM3196">
        <v>1</v>
      </c>
      <c r="BN3196">
        <v>1</v>
      </c>
      <c r="BO3196">
        <v>0</v>
      </c>
      <c r="BP3196">
        <v>0</v>
      </c>
      <c r="BS3196">
        <v>0</v>
      </c>
      <c r="BT3196">
        <v>0</v>
      </c>
      <c r="BU3196">
        <v>0</v>
      </c>
      <c r="CE3196" t="str">
        <f t="shared" si="1265"/>
        <v>15:13:24.434</v>
      </c>
      <c r="CF3196">
        <v>433981342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3</v>
      </c>
      <c r="CY3196">
        <v>7</v>
      </c>
      <c r="CZ3196" t="s">
        <v>133</v>
      </c>
      <c r="DA3196">
        <v>275</v>
      </c>
      <c r="DB3196">
        <v>0</v>
      </c>
      <c r="DC3196" t="s">
        <v>134</v>
      </c>
      <c r="DD3196" t="s">
        <v>135</v>
      </c>
      <c r="DG3196">
        <v>3322465</v>
      </c>
      <c r="DI3196">
        <v>1</v>
      </c>
      <c r="DJ3196">
        <v>0</v>
      </c>
      <c r="DK3196">
        <v>1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3">
      <c r="A3197" t="str">
        <f>"05/01/2025 15:13:24.664"</f>
        <v>05/01/2025 15:13:24.664</v>
      </c>
      <c r="C3197" t="str">
        <f t="shared" si="1242"/>
        <v>FFDFD3C0</v>
      </c>
      <c r="D3197" t="s">
        <v>124</v>
      </c>
      <c r="E3197" t="str">
        <f>"06"</f>
        <v>06</v>
      </c>
      <c r="F3197">
        <v>2006</v>
      </c>
      <c r="G3197" t="s">
        <v>125</v>
      </c>
      <c r="J3197" t="s">
        <v>126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R3197" t="s">
        <v>127</v>
      </c>
      <c r="S3197" t="str">
        <f t="shared" si="1264"/>
        <v>15:13:24.000</v>
      </c>
      <c r="T3197" t="str">
        <f t="shared" si="1264"/>
        <v>15:13:24.000</v>
      </c>
      <c r="U3197" t="str">
        <f t="shared" si="1243"/>
        <v>A68FCB</v>
      </c>
      <c r="V3197">
        <v>0</v>
      </c>
      <c r="W3197">
        <v>0</v>
      </c>
      <c r="X3197">
        <v>2</v>
      </c>
      <c r="Y3197">
        <v>0</v>
      </c>
      <c r="AA3197">
        <v>1</v>
      </c>
      <c r="AB3197">
        <v>8</v>
      </c>
      <c r="AC3197">
        <v>3</v>
      </c>
      <c r="AD3197">
        <v>0</v>
      </c>
      <c r="AE3197">
        <v>9</v>
      </c>
      <c r="AF3197" t="s">
        <v>138</v>
      </c>
      <c r="AG3197">
        <v>0</v>
      </c>
      <c r="AH3197">
        <v>3</v>
      </c>
      <c r="AI3197">
        <v>2</v>
      </c>
      <c r="AJ3197">
        <v>0</v>
      </c>
      <c r="AK3197" t="s">
        <v>1067</v>
      </c>
      <c r="AL3197">
        <v>39.128236999999999</v>
      </c>
      <c r="AM3197" t="s">
        <v>1068</v>
      </c>
      <c r="AN3197">
        <v>-121.031592</v>
      </c>
      <c r="AO3197">
        <v>25</v>
      </c>
      <c r="AP3197">
        <v>4300</v>
      </c>
      <c r="AQ3197" t="s">
        <v>131</v>
      </c>
      <c r="AR3197">
        <v>5</v>
      </c>
      <c r="AS3197">
        <v>85</v>
      </c>
      <c r="AT3197">
        <v>-128</v>
      </c>
      <c r="BB3197" t="str">
        <f t="shared" si="1244"/>
        <v>1200</v>
      </c>
      <c r="BC3197">
        <v>1</v>
      </c>
      <c r="BD3197" t="str">
        <f t="shared" si="1245"/>
        <v xml:space="preserve">N52156  </v>
      </c>
      <c r="BE3197">
        <v>1</v>
      </c>
      <c r="BG3197">
        <v>0</v>
      </c>
      <c r="BH3197">
        <v>0</v>
      </c>
      <c r="BI3197">
        <v>0</v>
      </c>
      <c r="BJ3197">
        <v>4375</v>
      </c>
      <c r="BK3197">
        <v>75</v>
      </c>
      <c r="BL3197" t="s">
        <v>188</v>
      </c>
      <c r="BM3197">
        <v>1</v>
      </c>
      <c r="BN3197">
        <v>1</v>
      </c>
      <c r="BO3197">
        <v>0</v>
      </c>
      <c r="BP3197">
        <v>0</v>
      </c>
      <c r="BS3197">
        <v>0</v>
      </c>
      <c r="BT3197">
        <v>0</v>
      </c>
      <c r="BU3197">
        <v>0</v>
      </c>
      <c r="CE3197" t="str">
        <f t="shared" si="1265"/>
        <v>15:13:24.434</v>
      </c>
      <c r="CF3197">
        <v>433981342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3</v>
      </c>
      <c r="CY3197">
        <v>7</v>
      </c>
      <c r="CZ3197" t="s">
        <v>133</v>
      </c>
      <c r="DA3197">
        <v>275</v>
      </c>
      <c r="DB3197">
        <v>0</v>
      </c>
      <c r="DC3197" t="s">
        <v>134</v>
      </c>
      <c r="DD3197" t="s">
        <v>135</v>
      </c>
      <c r="DG3197">
        <v>3322465</v>
      </c>
      <c r="DI3197">
        <v>1</v>
      </c>
      <c r="DJ3197">
        <v>0</v>
      </c>
      <c r="DK3197">
        <v>1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3">
      <c r="A3198" t="str">
        <f>"05/01/2025 15:13:24.665"</f>
        <v>05/01/2025 15:13:24.665</v>
      </c>
      <c r="C3198" t="str">
        <f t="shared" si="1242"/>
        <v>FFDFD3C0</v>
      </c>
      <c r="D3198" t="s">
        <v>140</v>
      </c>
      <c r="E3198" t="str">
        <f>"13"</f>
        <v>13</v>
      </c>
      <c r="F3198">
        <v>1019</v>
      </c>
      <c r="G3198" t="s">
        <v>141</v>
      </c>
      <c r="J3198" t="s">
        <v>142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R3198" t="s">
        <v>127</v>
      </c>
      <c r="S3198" t="str">
        <f t="shared" si="1264"/>
        <v>15:13:24.000</v>
      </c>
      <c r="T3198" t="str">
        <f t="shared" si="1264"/>
        <v>15:13:24.000</v>
      </c>
      <c r="U3198" t="str">
        <f t="shared" si="1243"/>
        <v>A68FCB</v>
      </c>
      <c r="V3198">
        <v>0</v>
      </c>
      <c r="W3198">
        <v>0</v>
      </c>
      <c r="X3198">
        <v>2</v>
      </c>
      <c r="Y3198">
        <v>0</v>
      </c>
      <c r="AA3198">
        <v>1</v>
      </c>
      <c r="AB3198">
        <v>8</v>
      </c>
      <c r="AC3198">
        <v>3</v>
      </c>
      <c r="AD3198">
        <v>0</v>
      </c>
      <c r="AE3198">
        <v>9</v>
      </c>
      <c r="AF3198" t="s">
        <v>138</v>
      </c>
      <c r="AG3198">
        <v>0</v>
      </c>
      <c r="AH3198">
        <v>3</v>
      </c>
      <c r="AI3198">
        <v>2</v>
      </c>
      <c r="AJ3198">
        <v>0</v>
      </c>
      <c r="AK3198" t="s">
        <v>1067</v>
      </c>
      <c r="AL3198">
        <v>39.128236999999999</v>
      </c>
      <c r="AM3198" t="s">
        <v>1068</v>
      </c>
      <c r="AN3198">
        <v>-121.031592</v>
      </c>
      <c r="AO3198">
        <v>25</v>
      </c>
      <c r="AP3198">
        <v>4300</v>
      </c>
      <c r="AQ3198" t="s">
        <v>131</v>
      </c>
      <c r="AR3198">
        <v>5</v>
      </c>
      <c r="AS3198">
        <v>85</v>
      </c>
      <c r="AT3198">
        <v>-128</v>
      </c>
      <c r="BB3198" t="str">
        <f t="shared" si="1244"/>
        <v>1200</v>
      </c>
      <c r="BC3198">
        <v>1</v>
      </c>
      <c r="BD3198" t="str">
        <f t="shared" si="1245"/>
        <v xml:space="preserve">N52156  </v>
      </c>
      <c r="BE3198">
        <v>1</v>
      </c>
      <c r="BG3198">
        <v>0</v>
      </c>
      <c r="BH3198">
        <v>0</v>
      </c>
      <c r="BI3198">
        <v>0</v>
      </c>
      <c r="BJ3198">
        <v>4375</v>
      </c>
      <c r="BK3198">
        <v>75</v>
      </c>
      <c r="BL3198" t="s">
        <v>188</v>
      </c>
      <c r="BM3198">
        <v>1</v>
      </c>
      <c r="BN3198">
        <v>1</v>
      </c>
      <c r="BO3198">
        <v>0</v>
      </c>
      <c r="BP3198">
        <v>0</v>
      </c>
      <c r="BS3198">
        <v>0</v>
      </c>
      <c r="BT3198">
        <v>0</v>
      </c>
      <c r="BU3198">
        <v>0</v>
      </c>
      <c r="CE3198" t="str">
        <f t="shared" si="1265"/>
        <v>15:13:24.434</v>
      </c>
      <c r="CF3198">
        <v>433981342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3</v>
      </c>
      <c r="CY3198">
        <v>7</v>
      </c>
      <c r="CZ3198" t="s">
        <v>133</v>
      </c>
      <c r="DA3198">
        <v>275</v>
      </c>
      <c r="DB3198">
        <v>0</v>
      </c>
      <c r="DC3198" t="s">
        <v>134</v>
      </c>
      <c r="DD3198" t="s">
        <v>135</v>
      </c>
      <c r="DG3198">
        <v>3322465</v>
      </c>
      <c r="DI3198">
        <v>1</v>
      </c>
      <c r="DJ3198">
        <v>0</v>
      </c>
      <c r="DK3198">
        <v>1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3">
      <c r="A3199" t="str">
        <f>"05/01/2025 15:13:24.676"</f>
        <v>05/01/2025 15:13:24.676</v>
      </c>
      <c r="C3199" t="str">
        <f t="shared" si="1242"/>
        <v>FFDFD3C0</v>
      </c>
      <c r="D3199" t="s">
        <v>145</v>
      </c>
      <c r="E3199" t="str">
        <f>"09"</f>
        <v>09</v>
      </c>
      <c r="H3199">
        <v>51</v>
      </c>
      <c r="I3199" t="s">
        <v>147</v>
      </c>
      <c r="J3199" t="s">
        <v>138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R3199" t="s">
        <v>127</v>
      </c>
      <c r="S3199" t="str">
        <f t="shared" si="1264"/>
        <v>15:13:24.000</v>
      </c>
      <c r="T3199" t="str">
        <f t="shared" si="1264"/>
        <v>15:13:24.000</v>
      </c>
      <c r="U3199" t="str">
        <f t="shared" si="1243"/>
        <v>A68FCB</v>
      </c>
      <c r="V3199">
        <v>0</v>
      </c>
      <c r="W3199">
        <v>0</v>
      </c>
      <c r="X3199">
        <v>2</v>
      </c>
      <c r="Y3199">
        <v>0</v>
      </c>
      <c r="AA3199">
        <v>1</v>
      </c>
      <c r="AB3199">
        <v>8</v>
      </c>
      <c r="AC3199">
        <v>3</v>
      </c>
      <c r="AD3199">
        <v>0</v>
      </c>
      <c r="AE3199">
        <v>9</v>
      </c>
      <c r="AF3199" t="s">
        <v>138</v>
      </c>
      <c r="AG3199">
        <v>0</v>
      </c>
      <c r="AH3199">
        <v>3</v>
      </c>
      <c r="AI3199">
        <v>2</v>
      </c>
      <c r="AJ3199">
        <v>0</v>
      </c>
      <c r="AK3199" t="s">
        <v>1067</v>
      </c>
      <c r="AL3199">
        <v>39.128236999999999</v>
      </c>
      <c r="AM3199" t="s">
        <v>1068</v>
      </c>
      <c r="AN3199">
        <v>-121.031592</v>
      </c>
      <c r="AO3199">
        <v>25</v>
      </c>
      <c r="AP3199">
        <v>4300</v>
      </c>
      <c r="AQ3199" t="s">
        <v>131</v>
      </c>
      <c r="AR3199">
        <v>5</v>
      </c>
      <c r="AS3199">
        <v>85</v>
      </c>
      <c r="AT3199">
        <v>-128</v>
      </c>
      <c r="BB3199" t="str">
        <f t="shared" si="1244"/>
        <v>1200</v>
      </c>
      <c r="BC3199">
        <v>1</v>
      </c>
      <c r="BD3199" t="str">
        <f t="shared" si="1245"/>
        <v xml:space="preserve">N52156  </v>
      </c>
      <c r="BE3199">
        <v>1</v>
      </c>
      <c r="BG3199">
        <v>0</v>
      </c>
      <c r="BH3199">
        <v>0</v>
      </c>
      <c r="BI3199">
        <v>0</v>
      </c>
      <c r="BJ3199">
        <v>4375</v>
      </c>
      <c r="BK3199">
        <v>75</v>
      </c>
      <c r="BL3199" t="s">
        <v>188</v>
      </c>
      <c r="BM3199">
        <v>1</v>
      </c>
      <c r="BN3199">
        <v>1</v>
      </c>
      <c r="BO3199">
        <v>0</v>
      </c>
      <c r="BP3199">
        <v>0</v>
      </c>
      <c r="BS3199">
        <v>0</v>
      </c>
      <c r="BT3199">
        <v>0</v>
      </c>
      <c r="BU3199">
        <v>0</v>
      </c>
      <c r="CE3199" t="str">
        <f t="shared" si="1265"/>
        <v>15:13:24.434</v>
      </c>
      <c r="CF3199">
        <v>433981342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3</v>
      </c>
      <c r="CY3199">
        <v>7</v>
      </c>
      <c r="CZ3199" t="s">
        <v>133</v>
      </c>
      <c r="DA3199">
        <v>275</v>
      </c>
      <c r="DB3199">
        <v>0</v>
      </c>
      <c r="DC3199" t="s">
        <v>134</v>
      </c>
      <c r="DD3199" t="s">
        <v>135</v>
      </c>
      <c r="DG3199">
        <v>3322465</v>
      </c>
      <c r="DI3199">
        <v>1</v>
      </c>
      <c r="DJ3199">
        <v>0</v>
      </c>
      <c r="DK3199">
        <v>1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3">
      <c r="A3200" t="str">
        <f>"05/01/2025 15:13:25.590"</f>
        <v>05/01/2025 15:13:25.590</v>
      </c>
      <c r="C3200" t="str">
        <f t="shared" si="1242"/>
        <v>FFDFD3C0</v>
      </c>
      <c r="D3200" t="s">
        <v>136</v>
      </c>
      <c r="E3200" t="str">
        <f>"20"</f>
        <v>20</v>
      </c>
      <c r="H3200">
        <v>400</v>
      </c>
      <c r="I3200" t="s">
        <v>137</v>
      </c>
      <c r="J3200" t="s">
        <v>138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R3200" t="s">
        <v>127</v>
      </c>
      <c r="S3200" t="str">
        <f t="shared" ref="S3200:T3205" si="1266">"15:13:25.000"</f>
        <v>15:13:25.000</v>
      </c>
      <c r="T3200" t="str">
        <f t="shared" si="1266"/>
        <v>15:13:25.000</v>
      </c>
      <c r="U3200" t="str">
        <f t="shared" si="1243"/>
        <v>A68FCB</v>
      </c>
      <c r="V3200">
        <v>0</v>
      </c>
      <c r="W3200">
        <v>0</v>
      </c>
      <c r="X3200">
        <v>2</v>
      </c>
      <c r="Y3200">
        <v>0</v>
      </c>
      <c r="AA3200">
        <v>1</v>
      </c>
      <c r="AB3200">
        <v>8</v>
      </c>
      <c r="AC3200">
        <v>3</v>
      </c>
      <c r="AD3200">
        <v>0</v>
      </c>
      <c r="AE3200">
        <v>9</v>
      </c>
      <c r="AF3200" t="s">
        <v>138</v>
      </c>
      <c r="AG3200">
        <v>0</v>
      </c>
      <c r="AH3200">
        <v>3</v>
      </c>
      <c r="AI3200">
        <v>2</v>
      </c>
      <c r="AJ3200">
        <v>0</v>
      </c>
      <c r="AK3200" t="s">
        <v>1069</v>
      </c>
      <c r="AL3200">
        <v>39.128622999999997</v>
      </c>
      <c r="AM3200" t="s">
        <v>1070</v>
      </c>
      <c r="AN3200">
        <v>-121.031549</v>
      </c>
      <c r="AO3200">
        <v>25</v>
      </c>
      <c r="AP3200">
        <v>4300</v>
      </c>
      <c r="AQ3200" t="s">
        <v>131</v>
      </c>
      <c r="AR3200">
        <v>6</v>
      </c>
      <c r="AS3200">
        <v>85</v>
      </c>
      <c r="AT3200">
        <v>-128</v>
      </c>
      <c r="BB3200" t="str">
        <f t="shared" si="1244"/>
        <v>1200</v>
      </c>
      <c r="BC3200">
        <v>1</v>
      </c>
      <c r="BD3200" t="str">
        <f t="shared" si="1245"/>
        <v xml:space="preserve">N52156  </v>
      </c>
      <c r="BE3200">
        <v>1</v>
      </c>
      <c r="BG3200">
        <v>0</v>
      </c>
      <c r="BH3200">
        <v>0</v>
      </c>
      <c r="BI3200">
        <v>0</v>
      </c>
      <c r="BJ3200">
        <v>4375</v>
      </c>
      <c r="BK3200">
        <v>75</v>
      </c>
      <c r="BL3200" t="s">
        <v>188</v>
      </c>
      <c r="BM3200">
        <v>1</v>
      </c>
      <c r="BN3200">
        <v>1</v>
      </c>
      <c r="BO3200">
        <v>0</v>
      </c>
      <c r="BP3200">
        <v>0</v>
      </c>
      <c r="BS3200">
        <v>0</v>
      </c>
      <c r="BT3200">
        <v>0</v>
      </c>
      <c r="BU3200">
        <v>0</v>
      </c>
      <c r="CE3200" t="str">
        <f t="shared" ref="CE3200:CE3205" si="1267">"15:13:25.386"</f>
        <v>15:13:25.386</v>
      </c>
      <c r="CF3200">
        <v>386306588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3</v>
      </c>
      <c r="CY3200">
        <v>7</v>
      </c>
      <c r="CZ3200" t="s">
        <v>133</v>
      </c>
      <c r="DA3200">
        <v>276</v>
      </c>
      <c r="DB3200">
        <v>0</v>
      </c>
      <c r="DC3200" t="s">
        <v>402</v>
      </c>
      <c r="DD3200" t="s">
        <v>403</v>
      </c>
      <c r="DG3200">
        <v>1627937</v>
      </c>
      <c r="DI3200">
        <v>1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3">
      <c r="A3201" t="str">
        <f>"05/01/2025 15:13:25.601"</f>
        <v>05/01/2025 15:13:25.601</v>
      </c>
      <c r="C3201" t="str">
        <f t="shared" si="1242"/>
        <v>FFDFD3C0</v>
      </c>
      <c r="D3201" t="s">
        <v>143</v>
      </c>
      <c r="E3201" t="str">
        <f>"05"</f>
        <v>05</v>
      </c>
      <c r="H3201">
        <v>172</v>
      </c>
      <c r="I3201" t="s">
        <v>141</v>
      </c>
      <c r="J3201" t="s">
        <v>144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R3201" t="s">
        <v>127</v>
      </c>
      <c r="S3201" t="str">
        <f t="shared" si="1266"/>
        <v>15:13:25.000</v>
      </c>
      <c r="T3201" t="str">
        <f t="shared" si="1266"/>
        <v>15:13:25.000</v>
      </c>
      <c r="U3201" t="str">
        <f t="shared" si="1243"/>
        <v>A68FCB</v>
      </c>
      <c r="V3201">
        <v>0</v>
      </c>
      <c r="W3201">
        <v>0</v>
      </c>
      <c r="X3201">
        <v>2</v>
      </c>
      <c r="Y3201">
        <v>0</v>
      </c>
      <c r="AA3201">
        <v>1</v>
      </c>
      <c r="AB3201">
        <v>8</v>
      </c>
      <c r="AC3201">
        <v>3</v>
      </c>
      <c r="AD3201">
        <v>0</v>
      </c>
      <c r="AE3201">
        <v>9</v>
      </c>
      <c r="AF3201" t="s">
        <v>138</v>
      </c>
      <c r="AG3201">
        <v>0</v>
      </c>
      <c r="AH3201">
        <v>3</v>
      </c>
      <c r="AI3201">
        <v>2</v>
      </c>
      <c r="AJ3201">
        <v>0</v>
      </c>
      <c r="AK3201" t="s">
        <v>1069</v>
      </c>
      <c r="AL3201">
        <v>39.128622999999997</v>
      </c>
      <c r="AM3201" t="s">
        <v>1070</v>
      </c>
      <c r="AN3201">
        <v>-121.031549</v>
      </c>
      <c r="AO3201">
        <v>25</v>
      </c>
      <c r="AP3201">
        <v>4300</v>
      </c>
      <c r="AQ3201" t="s">
        <v>131</v>
      </c>
      <c r="AR3201">
        <v>6</v>
      </c>
      <c r="AS3201">
        <v>85</v>
      </c>
      <c r="AT3201">
        <v>-128</v>
      </c>
      <c r="BB3201" t="str">
        <f t="shared" si="1244"/>
        <v>1200</v>
      </c>
      <c r="BC3201">
        <v>1</v>
      </c>
      <c r="BD3201" t="str">
        <f t="shared" si="1245"/>
        <v xml:space="preserve">N52156  </v>
      </c>
      <c r="BE3201">
        <v>1</v>
      </c>
      <c r="BG3201">
        <v>0</v>
      </c>
      <c r="BH3201">
        <v>0</v>
      </c>
      <c r="BI3201">
        <v>0</v>
      </c>
      <c r="BJ3201">
        <v>4375</v>
      </c>
      <c r="BK3201">
        <v>75</v>
      </c>
      <c r="BL3201" t="s">
        <v>188</v>
      </c>
      <c r="BM3201">
        <v>1</v>
      </c>
      <c r="BN3201">
        <v>1</v>
      </c>
      <c r="BO3201">
        <v>0</v>
      </c>
      <c r="BP3201">
        <v>0</v>
      </c>
      <c r="BS3201">
        <v>0</v>
      </c>
      <c r="BT3201">
        <v>0</v>
      </c>
      <c r="BU3201">
        <v>0</v>
      </c>
      <c r="CE3201" t="str">
        <f t="shared" si="1267"/>
        <v>15:13:25.386</v>
      </c>
      <c r="CF3201">
        <v>386306588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3</v>
      </c>
      <c r="CY3201">
        <v>7</v>
      </c>
      <c r="CZ3201" t="s">
        <v>133</v>
      </c>
      <c r="DA3201">
        <v>276</v>
      </c>
      <c r="DB3201">
        <v>0</v>
      </c>
      <c r="DC3201" t="s">
        <v>402</v>
      </c>
      <c r="DD3201" t="s">
        <v>403</v>
      </c>
      <c r="DG3201">
        <v>1627937</v>
      </c>
      <c r="DI3201">
        <v>1</v>
      </c>
      <c r="DJ3201">
        <v>0</v>
      </c>
      <c r="DK3201">
        <v>1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3">
      <c r="A3202" t="str">
        <f>"05/01/2025 15:13:25.616"</f>
        <v>05/01/2025 15:13:25.616</v>
      </c>
      <c r="C3202" t="str">
        <f t="shared" ref="C3202:C3265" si="1268">"FFDFD3C0"</f>
        <v>FFDFD3C0</v>
      </c>
      <c r="D3202" t="s">
        <v>124</v>
      </c>
      <c r="E3202" t="str">
        <f>"06"</f>
        <v>06</v>
      </c>
      <c r="F3202">
        <v>2006</v>
      </c>
      <c r="G3202" t="s">
        <v>125</v>
      </c>
      <c r="J3202" t="s">
        <v>126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R3202" t="s">
        <v>127</v>
      </c>
      <c r="S3202" t="str">
        <f t="shared" si="1266"/>
        <v>15:13:25.000</v>
      </c>
      <c r="T3202" t="str">
        <f t="shared" si="1266"/>
        <v>15:13:25.000</v>
      </c>
      <c r="U3202" t="str">
        <f t="shared" ref="U3202:U3265" si="1269">"A68FCB"</f>
        <v>A68FCB</v>
      </c>
      <c r="V3202">
        <v>0</v>
      </c>
      <c r="W3202">
        <v>0</v>
      </c>
      <c r="X3202">
        <v>2</v>
      </c>
      <c r="Y3202">
        <v>0</v>
      </c>
      <c r="AA3202">
        <v>1</v>
      </c>
      <c r="AB3202">
        <v>8</v>
      </c>
      <c r="AC3202">
        <v>3</v>
      </c>
      <c r="AD3202">
        <v>0</v>
      </c>
      <c r="AE3202">
        <v>9</v>
      </c>
      <c r="AF3202" t="s">
        <v>138</v>
      </c>
      <c r="AG3202">
        <v>0</v>
      </c>
      <c r="AH3202">
        <v>3</v>
      </c>
      <c r="AI3202">
        <v>2</v>
      </c>
      <c r="AJ3202">
        <v>0</v>
      </c>
      <c r="AK3202" t="s">
        <v>1069</v>
      </c>
      <c r="AL3202">
        <v>39.128622999999997</v>
      </c>
      <c r="AM3202" t="s">
        <v>1070</v>
      </c>
      <c r="AN3202">
        <v>-121.031549</v>
      </c>
      <c r="AO3202">
        <v>25</v>
      </c>
      <c r="AP3202">
        <v>4300</v>
      </c>
      <c r="AQ3202" t="s">
        <v>131</v>
      </c>
      <c r="AR3202">
        <v>6</v>
      </c>
      <c r="AS3202">
        <v>85</v>
      </c>
      <c r="AT3202">
        <v>-128</v>
      </c>
      <c r="BB3202" t="str">
        <f t="shared" ref="BB3202:BB3265" si="1270">"1200"</f>
        <v>1200</v>
      </c>
      <c r="BC3202">
        <v>1</v>
      </c>
      <c r="BD3202" t="str">
        <f t="shared" ref="BD3202:BD3265" si="1271">"N52156  "</f>
        <v xml:space="preserve">N52156  </v>
      </c>
      <c r="BE3202">
        <v>1</v>
      </c>
      <c r="BG3202">
        <v>0</v>
      </c>
      <c r="BH3202">
        <v>0</v>
      </c>
      <c r="BI3202">
        <v>0</v>
      </c>
      <c r="BJ3202">
        <v>4375</v>
      </c>
      <c r="BK3202">
        <v>75</v>
      </c>
      <c r="BL3202" t="s">
        <v>188</v>
      </c>
      <c r="BM3202">
        <v>1</v>
      </c>
      <c r="BN3202">
        <v>1</v>
      </c>
      <c r="BO3202">
        <v>0</v>
      </c>
      <c r="BP3202">
        <v>0</v>
      </c>
      <c r="BS3202">
        <v>0</v>
      </c>
      <c r="BT3202">
        <v>0</v>
      </c>
      <c r="BU3202">
        <v>0</v>
      </c>
      <c r="CE3202" t="str">
        <f t="shared" si="1267"/>
        <v>15:13:25.386</v>
      </c>
      <c r="CF3202">
        <v>386306588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3</v>
      </c>
      <c r="CY3202">
        <v>7</v>
      </c>
      <c r="CZ3202" t="s">
        <v>133</v>
      </c>
      <c r="DA3202">
        <v>276</v>
      </c>
      <c r="DB3202">
        <v>0</v>
      </c>
      <c r="DC3202" t="s">
        <v>402</v>
      </c>
      <c r="DD3202" t="s">
        <v>403</v>
      </c>
      <c r="DG3202">
        <v>1627937</v>
      </c>
      <c r="DI3202">
        <v>1</v>
      </c>
      <c r="DJ3202">
        <v>0</v>
      </c>
      <c r="DK3202">
        <v>1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3">
      <c r="A3203" t="str">
        <f>"05/01/2025 15:13:25.617"</f>
        <v>05/01/2025 15:13:25.617</v>
      </c>
      <c r="C3203" t="str">
        <f t="shared" si="1268"/>
        <v>FFDFD3C0</v>
      </c>
      <c r="D3203" t="s">
        <v>140</v>
      </c>
      <c r="E3203" t="str">
        <f>"13"</f>
        <v>13</v>
      </c>
      <c r="F3203">
        <v>1019</v>
      </c>
      <c r="G3203" t="s">
        <v>141</v>
      </c>
      <c r="J3203" t="s">
        <v>142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R3203" t="s">
        <v>127</v>
      </c>
      <c r="S3203" t="str">
        <f t="shared" si="1266"/>
        <v>15:13:25.000</v>
      </c>
      <c r="T3203" t="str">
        <f t="shared" si="1266"/>
        <v>15:13:25.000</v>
      </c>
      <c r="U3203" t="str">
        <f t="shared" si="1269"/>
        <v>A68FCB</v>
      </c>
      <c r="V3203">
        <v>0</v>
      </c>
      <c r="W3203">
        <v>0</v>
      </c>
      <c r="X3203">
        <v>2</v>
      </c>
      <c r="Y3203">
        <v>0</v>
      </c>
      <c r="AA3203">
        <v>1</v>
      </c>
      <c r="AB3203">
        <v>8</v>
      </c>
      <c r="AC3203">
        <v>3</v>
      </c>
      <c r="AD3203">
        <v>0</v>
      </c>
      <c r="AE3203">
        <v>9</v>
      </c>
      <c r="AF3203" t="s">
        <v>138</v>
      </c>
      <c r="AG3203">
        <v>0</v>
      </c>
      <c r="AH3203">
        <v>3</v>
      </c>
      <c r="AI3203">
        <v>2</v>
      </c>
      <c r="AJ3203">
        <v>0</v>
      </c>
      <c r="AK3203" t="s">
        <v>1069</v>
      </c>
      <c r="AL3203">
        <v>39.128622999999997</v>
      </c>
      <c r="AM3203" t="s">
        <v>1070</v>
      </c>
      <c r="AN3203">
        <v>-121.031549</v>
      </c>
      <c r="AO3203">
        <v>25</v>
      </c>
      <c r="AP3203">
        <v>4300</v>
      </c>
      <c r="AQ3203" t="s">
        <v>131</v>
      </c>
      <c r="AR3203">
        <v>6</v>
      </c>
      <c r="AS3203">
        <v>85</v>
      </c>
      <c r="AT3203">
        <v>-128</v>
      </c>
      <c r="BB3203" t="str">
        <f t="shared" si="1270"/>
        <v>1200</v>
      </c>
      <c r="BC3203">
        <v>1</v>
      </c>
      <c r="BD3203" t="str">
        <f t="shared" si="1271"/>
        <v xml:space="preserve">N52156  </v>
      </c>
      <c r="BE3203">
        <v>1</v>
      </c>
      <c r="BG3203">
        <v>0</v>
      </c>
      <c r="BH3203">
        <v>0</v>
      </c>
      <c r="BI3203">
        <v>0</v>
      </c>
      <c r="BJ3203">
        <v>4375</v>
      </c>
      <c r="BK3203">
        <v>75</v>
      </c>
      <c r="BL3203" t="s">
        <v>188</v>
      </c>
      <c r="BM3203">
        <v>1</v>
      </c>
      <c r="BN3203">
        <v>1</v>
      </c>
      <c r="BO3203">
        <v>0</v>
      </c>
      <c r="BP3203">
        <v>0</v>
      </c>
      <c r="BS3203">
        <v>0</v>
      </c>
      <c r="BT3203">
        <v>0</v>
      </c>
      <c r="BU3203">
        <v>0</v>
      </c>
      <c r="CE3203" t="str">
        <f t="shared" si="1267"/>
        <v>15:13:25.386</v>
      </c>
      <c r="CF3203">
        <v>386306588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3</v>
      </c>
      <c r="CY3203">
        <v>7</v>
      </c>
      <c r="CZ3203" t="s">
        <v>133</v>
      </c>
      <c r="DA3203">
        <v>276</v>
      </c>
      <c r="DB3203">
        <v>0</v>
      </c>
      <c r="DC3203" t="s">
        <v>402</v>
      </c>
      <c r="DD3203" t="s">
        <v>403</v>
      </c>
      <c r="DG3203">
        <v>1627937</v>
      </c>
      <c r="DI3203">
        <v>1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3">
      <c r="A3204" t="str">
        <f>"05/01/2025 15:13:25.628"</f>
        <v>05/01/2025 15:13:25.628</v>
      </c>
      <c r="C3204" t="str">
        <f t="shared" si="1268"/>
        <v>FFDFD3C0</v>
      </c>
      <c r="D3204" t="s">
        <v>145</v>
      </c>
      <c r="E3204" t="str">
        <f>"09"</f>
        <v>09</v>
      </c>
      <c r="H3204">
        <v>51</v>
      </c>
      <c r="I3204" t="s">
        <v>147</v>
      </c>
      <c r="J3204" t="s">
        <v>138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R3204" t="s">
        <v>127</v>
      </c>
      <c r="S3204" t="str">
        <f t="shared" si="1266"/>
        <v>15:13:25.000</v>
      </c>
      <c r="T3204" t="str">
        <f t="shared" si="1266"/>
        <v>15:13:25.000</v>
      </c>
      <c r="U3204" t="str">
        <f t="shared" si="1269"/>
        <v>A68FCB</v>
      </c>
      <c r="V3204">
        <v>0</v>
      </c>
      <c r="W3204">
        <v>0</v>
      </c>
      <c r="X3204">
        <v>2</v>
      </c>
      <c r="Y3204">
        <v>0</v>
      </c>
      <c r="AA3204">
        <v>1</v>
      </c>
      <c r="AB3204">
        <v>8</v>
      </c>
      <c r="AC3204">
        <v>3</v>
      </c>
      <c r="AD3204">
        <v>0</v>
      </c>
      <c r="AE3204">
        <v>9</v>
      </c>
      <c r="AF3204" t="s">
        <v>138</v>
      </c>
      <c r="AG3204">
        <v>0</v>
      </c>
      <c r="AH3204">
        <v>3</v>
      </c>
      <c r="AI3204">
        <v>2</v>
      </c>
      <c r="AJ3204">
        <v>0</v>
      </c>
      <c r="AK3204" t="s">
        <v>1069</v>
      </c>
      <c r="AL3204">
        <v>39.128622999999997</v>
      </c>
      <c r="AM3204" t="s">
        <v>1070</v>
      </c>
      <c r="AN3204">
        <v>-121.031549</v>
      </c>
      <c r="AO3204">
        <v>25</v>
      </c>
      <c r="AP3204">
        <v>4300</v>
      </c>
      <c r="AQ3204" t="s">
        <v>131</v>
      </c>
      <c r="AR3204">
        <v>6</v>
      </c>
      <c r="AS3204">
        <v>85</v>
      </c>
      <c r="AT3204">
        <v>-128</v>
      </c>
      <c r="BB3204" t="str">
        <f t="shared" si="1270"/>
        <v>1200</v>
      </c>
      <c r="BC3204">
        <v>1</v>
      </c>
      <c r="BD3204" t="str">
        <f t="shared" si="1271"/>
        <v xml:space="preserve">N52156  </v>
      </c>
      <c r="BE3204">
        <v>1</v>
      </c>
      <c r="BG3204">
        <v>0</v>
      </c>
      <c r="BH3204">
        <v>0</v>
      </c>
      <c r="BI3204">
        <v>0</v>
      </c>
      <c r="BJ3204">
        <v>4375</v>
      </c>
      <c r="BK3204">
        <v>75</v>
      </c>
      <c r="BL3204" t="s">
        <v>188</v>
      </c>
      <c r="BM3204">
        <v>1</v>
      </c>
      <c r="BN3204">
        <v>1</v>
      </c>
      <c r="BO3204">
        <v>0</v>
      </c>
      <c r="BP3204">
        <v>0</v>
      </c>
      <c r="BS3204">
        <v>0</v>
      </c>
      <c r="BT3204">
        <v>0</v>
      </c>
      <c r="BU3204">
        <v>0</v>
      </c>
      <c r="CE3204" t="str">
        <f t="shared" si="1267"/>
        <v>15:13:25.386</v>
      </c>
      <c r="CF3204">
        <v>386306588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3</v>
      </c>
      <c r="CY3204">
        <v>7</v>
      </c>
      <c r="CZ3204" t="s">
        <v>133</v>
      </c>
      <c r="DA3204">
        <v>276</v>
      </c>
      <c r="DB3204">
        <v>0</v>
      </c>
      <c r="DC3204" t="s">
        <v>402</v>
      </c>
      <c r="DD3204" t="s">
        <v>403</v>
      </c>
      <c r="DG3204">
        <v>1627937</v>
      </c>
      <c r="DI3204">
        <v>1</v>
      </c>
      <c r="DJ3204">
        <v>0</v>
      </c>
      <c r="DK3204">
        <v>1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3">
      <c r="A3205" t="str">
        <f>"05/01/2025 15:13:25.629"</f>
        <v>05/01/2025 15:13:25.629</v>
      </c>
      <c r="C3205" t="str">
        <f t="shared" si="1268"/>
        <v>FFDFD3C0</v>
      </c>
      <c r="D3205" t="s">
        <v>145</v>
      </c>
      <c r="E3205" t="str">
        <f>"05"</f>
        <v>05</v>
      </c>
      <c r="H3205">
        <v>47</v>
      </c>
      <c r="I3205" t="s">
        <v>146</v>
      </c>
      <c r="J3205" t="s">
        <v>138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R3205" t="s">
        <v>127</v>
      </c>
      <c r="S3205" t="str">
        <f t="shared" si="1266"/>
        <v>15:13:25.000</v>
      </c>
      <c r="T3205" t="str">
        <f t="shared" si="1266"/>
        <v>15:13:25.000</v>
      </c>
      <c r="U3205" t="str">
        <f t="shared" si="1269"/>
        <v>A68FCB</v>
      </c>
      <c r="V3205">
        <v>0</v>
      </c>
      <c r="W3205">
        <v>0</v>
      </c>
      <c r="X3205">
        <v>2</v>
      </c>
      <c r="Y3205">
        <v>0</v>
      </c>
      <c r="AA3205">
        <v>1</v>
      </c>
      <c r="AB3205">
        <v>8</v>
      </c>
      <c r="AC3205">
        <v>3</v>
      </c>
      <c r="AD3205">
        <v>0</v>
      </c>
      <c r="AE3205">
        <v>9</v>
      </c>
      <c r="AF3205" t="s">
        <v>138</v>
      </c>
      <c r="AG3205">
        <v>0</v>
      </c>
      <c r="AH3205">
        <v>3</v>
      </c>
      <c r="AI3205">
        <v>2</v>
      </c>
      <c r="AJ3205">
        <v>0</v>
      </c>
      <c r="AK3205" t="s">
        <v>1069</v>
      </c>
      <c r="AL3205">
        <v>39.128622999999997</v>
      </c>
      <c r="AM3205" t="s">
        <v>1070</v>
      </c>
      <c r="AN3205">
        <v>-121.031549</v>
      </c>
      <c r="AO3205">
        <v>25</v>
      </c>
      <c r="AP3205">
        <v>4300</v>
      </c>
      <c r="AQ3205" t="s">
        <v>131</v>
      </c>
      <c r="AR3205">
        <v>6</v>
      </c>
      <c r="AS3205">
        <v>85</v>
      </c>
      <c r="AT3205">
        <v>-128</v>
      </c>
      <c r="BB3205" t="str">
        <f t="shared" si="1270"/>
        <v>1200</v>
      </c>
      <c r="BC3205">
        <v>1</v>
      </c>
      <c r="BD3205" t="str">
        <f t="shared" si="1271"/>
        <v xml:space="preserve">N52156  </v>
      </c>
      <c r="BE3205">
        <v>1</v>
      </c>
      <c r="BG3205">
        <v>0</v>
      </c>
      <c r="BH3205">
        <v>0</v>
      </c>
      <c r="BI3205">
        <v>0</v>
      </c>
      <c r="BJ3205">
        <v>4375</v>
      </c>
      <c r="BK3205">
        <v>75</v>
      </c>
      <c r="BL3205" t="s">
        <v>188</v>
      </c>
      <c r="BM3205">
        <v>1</v>
      </c>
      <c r="BN3205">
        <v>1</v>
      </c>
      <c r="BO3205">
        <v>0</v>
      </c>
      <c r="BP3205">
        <v>0</v>
      </c>
      <c r="BS3205">
        <v>0</v>
      </c>
      <c r="BT3205">
        <v>0</v>
      </c>
      <c r="BU3205">
        <v>0</v>
      </c>
      <c r="CE3205" t="str">
        <f t="shared" si="1267"/>
        <v>15:13:25.386</v>
      </c>
      <c r="CF3205">
        <v>386306588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3</v>
      </c>
      <c r="CY3205">
        <v>7</v>
      </c>
      <c r="CZ3205" t="s">
        <v>133</v>
      </c>
      <c r="DA3205">
        <v>276</v>
      </c>
      <c r="DB3205">
        <v>0</v>
      </c>
      <c r="DC3205" t="s">
        <v>402</v>
      </c>
      <c r="DD3205" t="s">
        <v>403</v>
      </c>
      <c r="DG3205">
        <v>1627937</v>
      </c>
      <c r="DI3205">
        <v>1</v>
      </c>
      <c r="DJ3205">
        <v>0</v>
      </c>
      <c r="DK3205">
        <v>1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3">
      <c r="A3206" t="str">
        <f>"05/01/2025 15:13:26.817"</f>
        <v>05/01/2025 15:13:26.817</v>
      </c>
      <c r="C3206" t="str">
        <f t="shared" si="1268"/>
        <v>FFDFD3C0</v>
      </c>
      <c r="D3206" t="s">
        <v>124</v>
      </c>
      <c r="E3206" t="str">
        <f>"06"</f>
        <v>06</v>
      </c>
      <c r="F3206">
        <v>2006</v>
      </c>
      <c r="G3206" t="s">
        <v>125</v>
      </c>
      <c r="J3206" t="s">
        <v>126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R3206" t="s">
        <v>127</v>
      </c>
      <c r="S3206" t="str">
        <f t="shared" ref="S3206:T3211" si="1272">"15:13:26.000"</f>
        <v>15:13:26.000</v>
      </c>
      <c r="T3206" t="str">
        <f t="shared" si="1272"/>
        <v>15:13:26.000</v>
      </c>
      <c r="U3206" t="str">
        <f t="shared" si="1269"/>
        <v>A68FCB</v>
      </c>
      <c r="V3206">
        <v>0</v>
      </c>
      <c r="W3206">
        <v>0</v>
      </c>
      <c r="X3206">
        <v>2</v>
      </c>
      <c r="Y3206">
        <v>0</v>
      </c>
      <c r="AA3206">
        <v>1</v>
      </c>
      <c r="AB3206">
        <v>8</v>
      </c>
      <c r="AC3206">
        <v>3</v>
      </c>
      <c r="AD3206">
        <v>0</v>
      </c>
      <c r="AE3206">
        <v>9</v>
      </c>
      <c r="AF3206" t="s">
        <v>138</v>
      </c>
      <c r="AG3206">
        <v>0</v>
      </c>
      <c r="AH3206">
        <v>3</v>
      </c>
      <c r="AI3206">
        <v>2</v>
      </c>
      <c r="AJ3206">
        <v>0</v>
      </c>
      <c r="AK3206" t="s">
        <v>1071</v>
      </c>
      <c r="AL3206">
        <v>39.129009000000003</v>
      </c>
      <c r="AM3206" t="s">
        <v>1072</v>
      </c>
      <c r="AN3206">
        <v>-121.031485</v>
      </c>
      <c r="AO3206">
        <v>25</v>
      </c>
      <c r="AP3206">
        <v>4300</v>
      </c>
      <c r="AQ3206" t="s">
        <v>131</v>
      </c>
      <c r="AR3206">
        <v>6</v>
      </c>
      <c r="AS3206">
        <v>84</v>
      </c>
      <c r="AT3206">
        <v>-128</v>
      </c>
      <c r="BB3206" t="str">
        <f t="shared" si="1270"/>
        <v>1200</v>
      </c>
      <c r="BC3206">
        <v>1</v>
      </c>
      <c r="BD3206" t="str">
        <f t="shared" si="1271"/>
        <v xml:space="preserve">N52156  </v>
      </c>
      <c r="BE3206">
        <v>1</v>
      </c>
      <c r="BG3206">
        <v>0</v>
      </c>
      <c r="BH3206">
        <v>0</v>
      </c>
      <c r="BI3206">
        <v>0</v>
      </c>
      <c r="BJ3206">
        <v>4375</v>
      </c>
      <c r="BK3206">
        <v>75</v>
      </c>
      <c r="BL3206" t="s">
        <v>188</v>
      </c>
      <c r="BM3206">
        <v>1</v>
      </c>
      <c r="BN3206">
        <v>1</v>
      </c>
      <c r="BO3206">
        <v>0</v>
      </c>
      <c r="BP3206">
        <v>0</v>
      </c>
      <c r="BS3206">
        <v>0</v>
      </c>
      <c r="BT3206">
        <v>0</v>
      </c>
      <c r="BU3206">
        <v>0</v>
      </c>
      <c r="CE3206" t="str">
        <f t="shared" ref="CE3206:CE3211" si="1273">"15:13:26.592"</f>
        <v>15:13:26.592</v>
      </c>
      <c r="CF3206">
        <v>592232129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3</v>
      </c>
      <c r="CY3206">
        <v>7</v>
      </c>
      <c r="CZ3206" t="s">
        <v>133</v>
      </c>
      <c r="DA3206">
        <v>275</v>
      </c>
      <c r="DB3206">
        <v>0</v>
      </c>
      <c r="DC3206" t="s">
        <v>134</v>
      </c>
      <c r="DD3206" t="s">
        <v>135</v>
      </c>
      <c r="DG3206">
        <v>3322479</v>
      </c>
      <c r="DI3206">
        <v>1</v>
      </c>
      <c r="DJ3206">
        <v>0</v>
      </c>
      <c r="DK3206">
        <v>0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3">
      <c r="A3207" t="str">
        <f>"05/01/2025 15:13:26.818"</f>
        <v>05/01/2025 15:13:26.818</v>
      </c>
      <c r="C3207" t="str">
        <f t="shared" si="1268"/>
        <v>FFDFD3C0</v>
      </c>
      <c r="D3207" t="s">
        <v>140</v>
      </c>
      <c r="E3207" t="str">
        <f>"13"</f>
        <v>13</v>
      </c>
      <c r="F3207">
        <v>1019</v>
      </c>
      <c r="G3207" t="s">
        <v>141</v>
      </c>
      <c r="J3207" t="s">
        <v>142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R3207" t="s">
        <v>127</v>
      </c>
      <c r="S3207" t="str">
        <f t="shared" si="1272"/>
        <v>15:13:26.000</v>
      </c>
      <c r="T3207" t="str">
        <f t="shared" si="1272"/>
        <v>15:13:26.000</v>
      </c>
      <c r="U3207" t="str">
        <f t="shared" si="1269"/>
        <v>A68FCB</v>
      </c>
      <c r="V3207">
        <v>0</v>
      </c>
      <c r="W3207">
        <v>0</v>
      </c>
      <c r="X3207">
        <v>2</v>
      </c>
      <c r="Y3207">
        <v>0</v>
      </c>
      <c r="AA3207">
        <v>1</v>
      </c>
      <c r="AB3207">
        <v>8</v>
      </c>
      <c r="AC3207">
        <v>3</v>
      </c>
      <c r="AD3207">
        <v>0</v>
      </c>
      <c r="AE3207">
        <v>9</v>
      </c>
      <c r="AF3207" t="s">
        <v>138</v>
      </c>
      <c r="AG3207">
        <v>0</v>
      </c>
      <c r="AH3207">
        <v>3</v>
      </c>
      <c r="AI3207">
        <v>2</v>
      </c>
      <c r="AJ3207">
        <v>0</v>
      </c>
      <c r="AK3207" t="s">
        <v>1071</v>
      </c>
      <c r="AL3207">
        <v>39.129009000000003</v>
      </c>
      <c r="AM3207" t="s">
        <v>1072</v>
      </c>
      <c r="AN3207">
        <v>-121.031485</v>
      </c>
      <c r="AO3207">
        <v>25</v>
      </c>
      <c r="AP3207">
        <v>4300</v>
      </c>
      <c r="AQ3207" t="s">
        <v>131</v>
      </c>
      <c r="AR3207">
        <v>6</v>
      </c>
      <c r="AS3207">
        <v>84</v>
      </c>
      <c r="AT3207">
        <v>-128</v>
      </c>
      <c r="BB3207" t="str">
        <f t="shared" si="1270"/>
        <v>1200</v>
      </c>
      <c r="BC3207">
        <v>1</v>
      </c>
      <c r="BD3207" t="str">
        <f t="shared" si="1271"/>
        <v xml:space="preserve">N52156  </v>
      </c>
      <c r="BE3207">
        <v>1</v>
      </c>
      <c r="BG3207">
        <v>0</v>
      </c>
      <c r="BH3207">
        <v>0</v>
      </c>
      <c r="BI3207">
        <v>0</v>
      </c>
      <c r="BJ3207">
        <v>4375</v>
      </c>
      <c r="BK3207">
        <v>75</v>
      </c>
      <c r="BL3207" t="s">
        <v>188</v>
      </c>
      <c r="BM3207">
        <v>1</v>
      </c>
      <c r="BN3207">
        <v>1</v>
      </c>
      <c r="BO3207">
        <v>0</v>
      </c>
      <c r="BP3207">
        <v>0</v>
      </c>
      <c r="BS3207">
        <v>0</v>
      </c>
      <c r="BT3207">
        <v>0</v>
      </c>
      <c r="BU3207">
        <v>0</v>
      </c>
      <c r="CE3207" t="str">
        <f t="shared" si="1273"/>
        <v>15:13:26.592</v>
      </c>
      <c r="CF3207">
        <v>592232129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3</v>
      </c>
      <c r="CY3207">
        <v>7</v>
      </c>
      <c r="CZ3207" t="s">
        <v>133</v>
      </c>
      <c r="DA3207">
        <v>275</v>
      </c>
      <c r="DB3207">
        <v>0</v>
      </c>
      <c r="DC3207" t="s">
        <v>134</v>
      </c>
      <c r="DD3207" t="s">
        <v>135</v>
      </c>
      <c r="DG3207">
        <v>3322479</v>
      </c>
      <c r="DI3207">
        <v>1</v>
      </c>
      <c r="DJ3207">
        <v>0</v>
      </c>
      <c r="DK3207">
        <v>1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3">
      <c r="A3208" t="str">
        <f>"05/01/2025 15:13:26.831"</f>
        <v>05/01/2025 15:13:26.831</v>
      </c>
      <c r="C3208" t="str">
        <f t="shared" si="1268"/>
        <v>FFDFD3C0</v>
      </c>
      <c r="D3208" t="s">
        <v>145</v>
      </c>
      <c r="E3208" t="str">
        <f>"09"</f>
        <v>09</v>
      </c>
      <c r="H3208">
        <v>51</v>
      </c>
      <c r="I3208" t="s">
        <v>147</v>
      </c>
      <c r="J3208" t="s">
        <v>138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R3208" t="s">
        <v>127</v>
      </c>
      <c r="S3208" t="str">
        <f t="shared" si="1272"/>
        <v>15:13:26.000</v>
      </c>
      <c r="T3208" t="str">
        <f t="shared" si="1272"/>
        <v>15:13:26.000</v>
      </c>
      <c r="U3208" t="str">
        <f t="shared" si="1269"/>
        <v>A68FCB</v>
      </c>
      <c r="V3208">
        <v>0</v>
      </c>
      <c r="W3208">
        <v>0</v>
      </c>
      <c r="X3208">
        <v>2</v>
      </c>
      <c r="Y3208">
        <v>0</v>
      </c>
      <c r="AA3208">
        <v>1</v>
      </c>
      <c r="AB3208">
        <v>8</v>
      </c>
      <c r="AC3208">
        <v>3</v>
      </c>
      <c r="AD3208">
        <v>0</v>
      </c>
      <c r="AE3208">
        <v>9</v>
      </c>
      <c r="AF3208" t="s">
        <v>138</v>
      </c>
      <c r="AG3208">
        <v>0</v>
      </c>
      <c r="AH3208">
        <v>3</v>
      </c>
      <c r="AI3208">
        <v>2</v>
      </c>
      <c r="AJ3208">
        <v>0</v>
      </c>
      <c r="AK3208" t="s">
        <v>1071</v>
      </c>
      <c r="AL3208">
        <v>39.129009000000003</v>
      </c>
      <c r="AM3208" t="s">
        <v>1072</v>
      </c>
      <c r="AN3208">
        <v>-121.031485</v>
      </c>
      <c r="AO3208">
        <v>25</v>
      </c>
      <c r="AP3208">
        <v>4300</v>
      </c>
      <c r="AQ3208" t="s">
        <v>131</v>
      </c>
      <c r="AR3208">
        <v>6</v>
      </c>
      <c r="AS3208">
        <v>84</v>
      </c>
      <c r="AT3208">
        <v>-128</v>
      </c>
      <c r="BB3208" t="str">
        <f t="shared" si="1270"/>
        <v>1200</v>
      </c>
      <c r="BC3208">
        <v>1</v>
      </c>
      <c r="BD3208" t="str">
        <f t="shared" si="1271"/>
        <v xml:space="preserve">N52156  </v>
      </c>
      <c r="BE3208">
        <v>1</v>
      </c>
      <c r="BG3208">
        <v>0</v>
      </c>
      <c r="BH3208">
        <v>0</v>
      </c>
      <c r="BI3208">
        <v>0</v>
      </c>
      <c r="BJ3208">
        <v>4375</v>
      </c>
      <c r="BK3208">
        <v>75</v>
      </c>
      <c r="BL3208" t="s">
        <v>188</v>
      </c>
      <c r="BM3208">
        <v>1</v>
      </c>
      <c r="BN3208">
        <v>1</v>
      </c>
      <c r="BO3208">
        <v>0</v>
      </c>
      <c r="BP3208">
        <v>0</v>
      </c>
      <c r="BS3208">
        <v>0</v>
      </c>
      <c r="BT3208">
        <v>0</v>
      </c>
      <c r="BU3208">
        <v>0</v>
      </c>
      <c r="CE3208" t="str">
        <f t="shared" si="1273"/>
        <v>15:13:26.592</v>
      </c>
      <c r="CF3208">
        <v>592232129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3</v>
      </c>
      <c r="CY3208">
        <v>7</v>
      </c>
      <c r="CZ3208" t="s">
        <v>133</v>
      </c>
      <c r="DA3208">
        <v>275</v>
      </c>
      <c r="DB3208">
        <v>0</v>
      </c>
      <c r="DC3208" t="s">
        <v>134</v>
      </c>
      <c r="DD3208" t="s">
        <v>135</v>
      </c>
      <c r="DG3208">
        <v>3322479</v>
      </c>
      <c r="DI3208">
        <v>1</v>
      </c>
      <c r="DJ3208">
        <v>0</v>
      </c>
      <c r="DK3208">
        <v>1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3">
      <c r="A3209" t="str">
        <f>"05/01/2025 15:13:26.831"</f>
        <v>05/01/2025 15:13:26.831</v>
      </c>
      <c r="C3209" t="str">
        <f t="shared" si="1268"/>
        <v>FFDFD3C0</v>
      </c>
      <c r="D3209" t="s">
        <v>145</v>
      </c>
      <c r="E3209" t="str">
        <f>"05"</f>
        <v>05</v>
      </c>
      <c r="H3209">
        <v>47</v>
      </c>
      <c r="I3209" t="s">
        <v>146</v>
      </c>
      <c r="J3209" t="s">
        <v>138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R3209" t="s">
        <v>127</v>
      </c>
      <c r="S3209" t="str">
        <f t="shared" si="1272"/>
        <v>15:13:26.000</v>
      </c>
      <c r="T3209" t="str">
        <f t="shared" si="1272"/>
        <v>15:13:26.000</v>
      </c>
      <c r="U3209" t="str">
        <f t="shared" si="1269"/>
        <v>A68FCB</v>
      </c>
      <c r="V3209">
        <v>0</v>
      </c>
      <c r="W3209">
        <v>0</v>
      </c>
      <c r="X3209">
        <v>2</v>
      </c>
      <c r="Y3209">
        <v>0</v>
      </c>
      <c r="AA3209">
        <v>1</v>
      </c>
      <c r="AB3209">
        <v>8</v>
      </c>
      <c r="AC3209">
        <v>3</v>
      </c>
      <c r="AD3209">
        <v>0</v>
      </c>
      <c r="AE3209">
        <v>9</v>
      </c>
      <c r="AF3209" t="s">
        <v>138</v>
      </c>
      <c r="AG3209">
        <v>0</v>
      </c>
      <c r="AH3209">
        <v>3</v>
      </c>
      <c r="AI3209">
        <v>2</v>
      </c>
      <c r="AJ3209">
        <v>0</v>
      </c>
      <c r="AK3209" t="s">
        <v>1071</v>
      </c>
      <c r="AL3209">
        <v>39.129009000000003</v>
      </c>
      <c r="AM3209" t="s">
        <v>1072</v>
      </c>
      <c r="AN3209">
        <v>-121.031485</v>
      </c>
      <c r="AO3209">
        <v>25</v>
      </c>
      <c r="AP3209">
        <v>4300</v>
      </c>
      <c r="AQ3209" t="s">
        <v>131</v>
      </c>
      <c r="AR3209">
        <v>6</v>
      </c>
      <c r="AS3209">
        <v>84</v>
      </c>
      <c r="AT3209">
        <v>-128</v>
      </c>
      <c r="BB3209" t="str">
        <f t="shared" si="1270"/>
        <v>1200</v>
      </c>
      <c r="BC3209">
        <v>1</v>
      </c>
      <c r="BD3209" t="str">
        <f t="shared" si="1271"/>
        <v xml:space="preserve">N52156  </v>
      </c>
      <c r="BE3209">
        <v>1</v>
      </c>
      <c r="BG3209">
        <v>0</v>
      </c>
      <c r="BH3209">
        <v>0</v>
      </c>
      <c r="BI3209">
        <v>0</v>
      </c>
      <c r="BJ3209">
        <v>4375</v>
      </c>
      <c r="BK3209">
        <v>75</v>
      </c>
      <c r="BL3209" t="s">
        <v>188</v>
      </c>
      <c r="BM3209">
        <v>1</v>
      </c>
      <c r="BN3209">
        <v>1</v>
      </c>
      <c r="BO3209">
        <v>0</v>
      </c>
      <c r="BP3209">
        <v>0</v>
      </c>
      <c r="BS3209">
        <v>0</v>
      </c>
      <c r="BT3209">
        <v>0</v>
      </c>
      <c r="BU3209">
        <v>0</v>
      </c>
      <c r="CE3209" t="str">
        <f t="shared" si="1273"/>
        <v>15:13:26.592</v>
      </c>
      <c r="CF3209">
        <v>592232129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3</v>
      </c>
      <c r="CY3209">
        <v>7</v>
      </c>
      <c r="CZ3209" t="s">
        <v>133</v>
      </c>
      <c r="DA3209">
        <v>275</v>
      </c>
      <c r="DB3209">
        <v>0</v>
      </c>
      <c r="DC3209" t="s">
        <v>134</v>
      </c>
      <c r="DD3209" t="s">
        <v>135</v>
      </c>
      <c r="DG3209">
        <v>3322479</v>
      </c>
      <c r="DI3209">
        <v>1</v>
      </c>
      <c r="DJ3209">
        <v>0</v>
      </c>
      <c r="DK3209">
        <v>1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3">
      <c r="A3210" t="str">
        <f>"05/01/2025 15:13:26.842"</f>
        <v>05/01/2025 15:13:26.842</v>
      </c>
      <c r="C3210" t="str">
        <f t="shared" si="1268"/>
        <v>FFDFD3C0</v>
      </c>
      <c r="D3210" t="s">
        <v>136</v>
      </c>
      <c r="E3210" t="str">
        <f>"20"</f>
        <v>20</v>
      </c>
      <c r="H3210">
        <v>400</v>
      </c>
      <c r="I3210" t="s">
        <v>137</v>
      </c>
      <c r="J3210" t="s">
        <v>138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R3210" t="s">
        <v>127</v>
      </c>
      <c r="S3210" t="str">
        <f t="shared" si="1272"/>
        <v>15:13:26.000</v>
      </c>
      <c r="T3210" t="str">
        <f t="shared" si="1272"/>
        <v>15:13:26.000</v>
      </c>
      <c r="U3210" t="str">
        <f t="shared" si="1269"/>
        <v>A68FCB</v>
      </c>
      <c r="V3210">
        <v>0</v>
      </c>
      <c r="W3210">
        <v>0</v>
      </c>
      <c r="X3210">
        <v>2</v>
      </c>
      <c r="Y3210">
        <v>0</v>
      </c>
      <c r="AA3210">
        <v>1</v>
      </c>
      <c r="AB3210">
        <v>8</v>
      </c>
      <c r="AC3210">
        <v>3</v>
      </c>
      <c r="AD3210">
        <v>0</v>
      </c>
      <c r="AE3210">
        <v>9</v>
      </c>
      <c r="AF3210" t="s">
        <v>138</v>
      </c>
      <c r="AG3210">
        <v>0</v>
      </c>
      <c r="AH3210">
        <v>3</v>
      </c>
      <c r="AI3210">
        <v>2</v>
      </c>
      <c r="AJ3210">
        <v>0</v>
      </c>
      <c r="AK3210" t="s">
        <v>1071</v>
      </c>
      <c r="AL3210">
        <v>39.129009000000003</v>
      </c>
      <c r="AM3210" t="s">
        <v>1072</v>
      </c>
      <c r="AN3210">
        <v>-121.031485</v>
      </c>
      <c r="AO3210">
        <v>25</v>
      </c>
      <c r="AP3210">
        <v>4300</v>
      </c>
      <c r="AQ3210" t="s">
        <v>131</v>
      </c>
      <c r="AR3210">
        <v>6</v>
      </c>
      <c r="AS3210">
        <v>84</v>
      </c>
      <c r="AT3210">
        <v>-128</v>
      </c>
      <c r="BB3210" t="str">
        <f t="shared" si="1270"/>
        <v>1200</v>
      </c>
      <c r="BC3210">
        <v>1</v>
      </c>
      <c r="BD3210" t="str">
        <f t="shared" si="1271"/>
        <v xml:space="preserve">N52156  </v>
      </c>
      <c r="BE3210">
        <v>1</v>
      </c>
      <c r="BG3210">
        <v>0</v>
      </c>
      <c r="BH3210">
        <v>0</v>
      </c>
      <c r="BI3210">
        <v>0</v>
      </c>
      <c r="BJ3210">
        <v>4375</v>
      </c>
      <c r="BK3210">
        <v>75</v>
      </c>
      <c r="BL3210" t="s">
        <v>188</v>
      </c>
      <c r="BM3210">
        <v>1</v>
      </c>
      <c r="BN3210">
        <v>1</v>
      </c>
      <c r="BO3210">
        <v>0</v>
      </c>
      <c r="BP3210">
        <v>0</v>
      </c>
      <c r="BS3210">
        <v>0</v>
      </c>
      <c r="BT3210">
        <v>0</v>
      </c>
      <c r="BU3210">
        <v>0</v>
      </c>
      <c r="CE3210" t="str">
        <f t="shared" si="1273"/>
        <v>15:13:26.592</v>
      </c>
      <c r="CF3210">
        <v>592232129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3</v>
      </c>
      <c r="CY3210">
        <v>7</v>
      </c>
      <c r="CZ3210" t="s">
        <v>133</v>
      </c>
      <c r="DA3210">
        <v>275</v>
      </c>
      <c r="DB3210">
        <v>0</v>
      </c>
      <c r="DC3210" t="s">
        <v>134</v>
      </c>
      <c r="DD3210" t="s">
        <v>135</v>
      </c>
      <c r="DG3210">
        <v>3322479</v>
      </c>
      <c r="DI3210">
        <v>1</v>
      </c>
      <c r="DJ3210">
        <v>0</v>
      </c>
      <c r="DK3210">
        <v>1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3">
      <c r="A3211" t="str">
        <f>"05/01/2025 15:13:26.853"</f>
        <v>05/01/2025 15:13:26.853</v>
      </c>
      <c r="C3211" t="str">
        <f t="shared" si="1268"/>
        <v>FFDFD3C0</v>
      </c>
      <c r="D3211" t="s">
        <v>143</v>
      </c>
      <c r="E3211" t="str">
        <f>"05"</f>
        <v>05</v>
      </c>
      <c r="H3211">
        <v>172</v>
      </c>
      <c r="I3211" t="s">
        <v>141</v>
      </c>
      <c r="J3211" t="s">
        <v>144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R3211" t="s">
        <v>127</v>
      </c>
      <c r="S3211" t="str">
        <f t="shared" si="1272"/>
        <v>15:13:26.000</v>
      </c>
      <c r="T3211" t="str">
        <f t="shared" si="1272"/>
        <v>15:13:26.000</v>
      </c>
      <c r="U3211" t="str">
        <f t="shared" si="1269"/>
        <v>A68FCB</v>
      </c>
      <c r="V3211">
        <v>0</v>
      </c>
      <c r="W3211">
        <v>0</v>
      </c>
      <c r="X3211">
        <v>2</v>
      </c>
      <c r="Y3211">
        <v>0</v>
      </c>
      <c r="AA3211">
        <v>1</v>
      </c>
      <c r="AB3211">
        <v>8</v>
      </c>
      <c r="AC3211">
        <v>3</v>
      </c>
      <c r="AD3211">
        <v>0</v>
      </c>
      <c r="AE3211">
        <v>9</v>
      </c>
      <c r="AF3211" t="s">
        <v>138</v>
      </c>
      <c r="AG3211">
        <v>0</v>
      </c>
      <c r="AH3211">
        <v>3</v>
      </c>
      <c r="AI3211">
        <v>2</v>
      </c>
      <c r="AJ3211">
        <v>0</v>
      </c>
      <c r="AK3211" t="s">
        <v>1071</v>
      </c>
      <c r="AL3211">
        <v>39.129009000000003</v>
      </c>
      <c r="AM3211" t="s">
        <v>1072</v>
      </c>
      <c r="AN3211">
        <v>-121.031485</v>
      </c>
      <c r="AO3211">
        <v>25</v>
      </c>
      <c r="AP3211">
        <v>4300</v>
      </c>
      <c r="AQ3211" t="s">
        <v>131</v>
      </c>
      <c r="AR3211">
        <v>6</v>
      </c>
      <c r="AS3211">
        <v>84</v>
      </c>
      <c r="AT3211">
        <v>-128</v>
      </c>
      <c r="BB3211" t="str">
        <f t="shared" si="1270"/>
        <v>1200</v>
      </c>
      <c r="BC3211">
        <v>1</v>
      </c>
      <c r="BD3211" t="str">
        <f t="shared" si="1271"/>
        <v xml:space="preserve">N52156  </v>
      </c>
      <c r="BE3211">
        <v>1</v>
      </c>
      <c r="BG3211">
        <v>0</v>
      </c>
      <c r="BH3211">
        <v>0</v>
      </c>
      <c r="BI3211">
        <v>0</v>
      </c>
      <c r="BJ3211">
        <v>4375</v>
      </c>
      <c r="BK3211">
        <v>75</v>
      </c>
      <c r="BL3211" t="s">
        <v>188</v>
      </c>
      <c r="BM3211">
        <v>1</v>
      </c>
      <c r="BN3211">
        <v>1</v>
      </c>
      <c r="BO3211">
        <v>0</v>
      </c>
      <c r="BP3211">
        <v>0</v>
      </c>
      <c r="BS3211">
        <v>0</v>
      </c>
      <c r="BT3211">
        <v>0</v>
      </c>
      <c r="BU3211">
        <v>0</v>
      </c>
      <c r="CE3211" t="str">
        <f t="shared" si="1273"/>
        <v>15:13:26.592</v>
      </c>
      <c r="CF3211">
        <v>592232129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3</v>
      </c>
      <c r="CY3211">
        <v>7</v>
      </c>
      <c r="CZ3211" t="s">
        <v>133</v>
      </c>
      <c r="DA3211">
        <v>275</v>
      </c>
      <c r="DB3211">
        <v>0</v>
      </c>
      <c r="DC3211" t="s">
        <v>134</v>
      </c>
      <c r="DD3211" t="s">
        <v>135</v>
      </c>
      <c r="DG3211">
        <v>3322479</v>
      </c>
      <c r="DI3211">
        <v>1</v>
      </c>
      <c r="DJ3211">
        <v>0</v>
      </c>
      <c r="DK3211">
        <v>1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3">
      <c r="A3212" t="str">
        <f>"05/01/2025 15:13:27.982"</f>
        <v>05/01/2025 15:13:27.982</v>
      </c>
      <c r="C3212" t="str">
        <f t="shared" si="1268"/>
        <v>FFDFD3C0</v>
      </c>
      <c r="D3212" t="s">
        <v>145</v>
      </c>
      <c r="E3212" t="str">
        <f>"09"</f>
        <v>09</v>
      </c>
      <c r="H3212">
        <v>51</v>
      </c>
      <c r="I3212" t="s">
        <v>147</v>
      </c>
      <c r="J3212" t="s">
        <v>138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R3212" t="s">
        <v>127</v>
      </c>
      <c r="S3212" t="str">
        <f t="shared" ref="S3212:T3217" si="1274">"15:13:27.000"</f>
        <v>15:13:27.000</v>
      </c>
      <c r="T3212" t="str">
        <f t="shared" si="1274"/>
        <v>15:13:27.000</v>
      </c>
      <c r="U3212" t="str">
        <f t="shared" si="1269"/>
        <v>A68FCB</v>
      </c>
      <c r="V3212">
        <v>0</v>
      </c>
      <c r="W3212">
        <v>0</v>
      </c>
      <c r="X3212">
        <v>2</v>
      </c>
      <c r="Y3212">
        <v>0</v>
      </c>
      <c r="AA3212">
        <v>1</v>
      </c>
      <c r="AB3212">
        <v>8</v>
      </c>
      <c r="AC3212">
        <v>3</v>
      </c>
      <c r="AD3212">
        <v>0</v>
      </c>
      <c r="AE3212">
        <v>9</v>
      </c>
      <c r="AF3212" t="s">
        <v>138</v>
      </c>
      <c r="AG3212">
        <v>0</v>
      </c>
      <c r="AH3212">
        <v>3</v>
      </c>
      <c r="AI3212">
        <v>2</v>
      </c>
      <c r="AJ3212">
        <v>0</v>
      </c>
      <c r="AK3212" t="s">
        <v>1073</v>
      </c>
      <c r="AL3212">
        <v>39.129416999999997</v>
      </c>
      <c r="AM3212" t="s">
        <v>1074</v>
      </c>
      <c r="AN3212">
        <v>-121.031442</v>
      </c>
      <c r="AO3212">
        <v>25</v>
      </c>
      <c r="AP3212">
        <v>4300</v>
      </c>
      <c r="AQ3212" t="s">
        <v>131</v>
      </c>
      <c r="AR3212">
        <v>6</v>
      </c>
      <c r="AS3212">
        <v>84</v>
      </c>
      <c r="AT3212">
        <v>-64</v>
      </c>
      <c r="BB3212" t="str">
        <f t="shared" si="1270"/>
        <v>1200</v>
      </c>
      <c r="BC3212">
        <v>1</v>
      </c>
      <c r="BD3212" t="str">
        <f t="shared" si="1271"/>
        <v xml:space="preserve">N52156  </v>
      </c>
      <c r="BE3212">
        <v>1</v>
      </c>
      <c r="BG3212">
        <v>0</v>
      </c>
      <c r="BH3212">
        <v>0</v>
      </c>
      <c r="BI3212">
        <v>0</v>
      </c>
      <c r="BJ3212">
        <v>4375</v>
      </c>
      <c r="BK3212">
        <v>75</v>
      </c>
      <c r="BL3212" t="s">
        <v>188</v>
      </c>
      <c r="BM3212">
        <v>1</v>
      </c>
      <c r="BN3212">
        <v>1</v>
      </c>
      <c r="BO3212">
        <v>0</v>
      </c>
      <c r="BP3212">
        <v>0</v>
      </c>
      <c r="BS3212">
        <v>0</v>
      </c>
      <c r="BT3212">
        <v>0</v>
      </c>
      <c r="BU3212">
        <v>0</v>
      </c>
      <c r="CE3212" t="str">
        <f t="shared" ref="CE3212:CE3217" si="1275">"15:13:27.745"</f>
        <v>15:13:27.745</v>
      </c>
      <c r="CF3212">
        <v>745482637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4</v>
      </c>
      <c r="CY3212">
        <v>7</v>
      </c>
      <c r="CZ3212" t="s">
        <v>133</v>
      </c>
      <c r="DA3212">
        <v>275</v>
      </c>
      <c r="DB3212">
        <v>0</v>
      </c>
      <c r="DC3212" t="s">
        <v>134</v>
      </c>
      <c r="DD3212" t="s">
        <v>135</v>
      </c>
      <c r="DG3212">
        <v>3322486</v>
      </c>
      <c r="DI3212">
        <v>1</v>
      </c>
      <c r="DJ3212">
        <v>0</v>
      </c>
      <c r="DK3212">
        <v>0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3">
      <c r="A3213" t="str">
        <f>"05/01/2025 15:13:27.983"</f>
        <v>05/01/2025 15:13:27.983</v>
      </c>
      <c r="C3213" t="str">
        <f t="shared" si="1268"/>
        <v>FFDFD3C0</v>
      </c>
      <c r="D3213" t="s">
        <v>145</v>
      </c>
      <c r="E3213" t="str">
        <f>"05"</f>
        <v>05</v>
      </c>
      <c r="H3213">
        <v>47</v>
      </c>
      <c r="I3213" t="s">
        <v>146</v>
      </c>
      <c r="J3213" t="s">
        <v>138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R3213" t="s">
        <v>127</v>
      </c>
      <c r="S3213" t="str">
        <f t="shared" si="1274"/>
        <v>15:13:27.000</v>
      </c>
      <c r="T3213" t="str">
        <f t="shared" si="1274"/>
        <v>15:13:27.000</v>
      </c>
      <c r="U3213" t="str">
        <f t="shared" si="1269"/>
        <v>A68FCB</v>
      </c>
      <c r="V3213">
        <v>0</v>
      </c>
      <c r="W3213">
        <v>0</v>
      </c>
      <c r="X3213">
        <v>2</v>
      </c>
      <c r="Y3213">
        <v>0</v>
      </c>
      <c r="AA3213">
        <v>1</v>
      </c>
      <c r="AB3213">
        <v>8</v>
      </c>
      <c r="AC3213">
        <v>3</v>
      </c>
      <c r="AD3213">
        <v>0</v>
      </c>
      <c r="AE3213">
        <v>9</v>
      </c>
      <c r="AF3213" t="s">
        <v>138</v>
      </c>
      <c r="AG3213">
        <v>0</v>
      </c>
      <c r="AH3213">
        <v>3</v>
      </c>
      <c r="AI3213">
        <v>2</v>
      </c>
      <c r="AJ3213">
        <v>0</v>
      </c>
      <c r="AK3213" t="s">
        <v>1073</v>
      </c>
      <c r="AL3213">
        <v>39.129416999999997</v>
      </c>
      <c r="AM3213" t="s">
        <v>1074</v>
      </c>
      <c r="AN3213">
        <v>-121.031442</v>
      </c>
      <c r="AO3213">
        <v>25</v>
      </c>
      <c r="AP3213">
        <v>4300</v>
      </c>
      <c r="AQ3213" t="s">
        <v>131</v>
      </c>
      <c r="AR3213">
        <v>6</v>
      </c>
      <c r="AS3213">
        <v>84</v>
      </c>
      <c r="AT3213">
        <v>-64</v>
      </c>
      <c r="BB3213" t="str">
        <f t="shared" si="1270"/>
        <v>1200</v>
      </c>
      <c r="BC3213">
        <v>1</v>
      </c>
      <c r="BD3213" t="str">
        <f t="shared" si="1271"/>
        <v xml:space="preserve">N52156  </v>
      </c>
      <c r="BE3213">
        <v>1</v>
      </c>
      <c r="BG3213">
        <v>0</v>
      </c>
      <c r="BH3213">
        <v>0</v>
      </c>
      <c r="BI3213">
        <v>0</v>
      </c>
      <c r="BJ3213">
        <v>4375</v>
      </c>
      <c r="BK3213">
        <v>75</v>
      </c>
      <c r="BL3213" t="s">
        <v>188</v>
      </c>
      <c r="BM3213">
        <v>1</v>
      </c>
      <c r="BN3213">
        <v>1</v>
      </c>
      <c r="BO3213">
        <v>0</v>
      </c>
      <c r="BP3213">
        <v>0</v>
      </c>
      <c r="BS3213">
        <v>0</v>
      </c>
      <c r="BT3213">
        <v>0</v>
      </c>
      <c r="BU3213">
        <v>0</v>
      </c>
      <c r="CE3213" t="str">
        <f t="shared" si="1275"/>
        <v>15:13:27.745</v>
      </c>
      <c r="CF3213">
        <v>745482637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4</v>
      </c>
      <c r="CY3213">
        <v>7</v>
      </c>
      <c r="CZ3213" t="s">
        <v>133</v>
      </c>
      <c r="DA3213">
        <v>275</v>
      </c>
      <c r="DB3213">
        <v>0</v>
      </c>
      <c r="DC3213" t="s">
        <v>134</v>
      </c>
      <c r="DD3213" t="s">
        <v>135</v>
      </c>
      <c r="DG3213">
        <v>3322486</v>
      </c>
      <c r="DI3213">
        <v>1</v>
      </c>
      <c r="DJ3213">
        <v>0</v>
      </c>
      <c r="DK3213">
        <v>1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3">
      <c r="A3214" t="str">
        <f>"05/01/2025 15:13:27.994"</f>
        <v>05/01/2025 15:13:27.994</v>
      </c>
      <c r="C3214" t="str">
        <f t="shared" si="1268"/>
        <v>FFDFD3C0</v>
      </c>
      <c r="D3214" t="s">
        <v>136</v>
      </c>
      <c r="E3214" t="str">
        <f>"20"</f>
        <v>20</v>
      </c>
      <c r="H3214">
        <v>400</v>
      </c>
      <c r="I3214" t="s">
        <v>137</v>
      </c>
      <c r="J3214" t="s">
        <v>138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R3214" t="s">
        <v>127</v>
      </c>
      <c r="S3214" t="str">
        <f t="shared" si="1274"/>
        <v>15:13:27.000</v>
      </c>
      <c r="T3214" t="str">
        <f t="shared" si="1274"/>
        <v>15:13:27.000</v>
      </c>
      <c r="U3214" t="str">
        <f t="shared" si="1269"/>
        <v>A68FCB</v>
      </c>
      <c r="V3214">
        <v>0</v>
      </c>
      <c r="W3214">
        <v>0</v>
      </c>
      <c r="X3214">
        <v>2</v>
      </c>
      <c r="Y3214">
        <v>0</v>
      </c>
      <c r="AA3214">
        <v>1</v>
      </c>
      <c r="AB3214">
        <v>8</v>
      </c>
      <c r="AC3214">
        <v>3</v>
      </c>
      <c r="AD3214">
        <v>0</v>
      </c>
      <c r="AE3214">
        <v>9</v>
      </c>
      <c r="AF3214" t="s">
        <v>138</v>
      </c>
      <c r="AG3214">
        <v>0</v>
      </c>
      <c r="AH3214">
        <v>3</v>
      </c>
      <c r="AI3214">
        <v>2</v>
      </c>
      <c r="AJ3214">
        <v>0</v>
      </c>
      <c r="AK3214" t="s">
        <v>1073</v>
      </c>
      <c r="AL3214">
        <v>39.129416999999997</v>
      </c>
      <c r="AM3214" t="s">
        <v>1074</v>
      </c>
      <c r="AN3214">
        <v>-121.031442</v>
      </c>
      <c r="AO3214">
        <v>25</v>
      </c>
      <c r="AP3214">
        <v>4300</v>
      </c>
      <c r="AQ3214" t="s">
        <v>131</v>
      </c>
      <c r="AR3214">
        <v>6</v>
      </c>
      <c r="AS3214">
        <v>84</v>
      </c>
      <c r="AT3214">
        <v>-64</v>
      </c>
      <c r="BB3214" t="str">
        <f t="shared" si="1270"/>
        <v>1200</v>
      </c>
      <c r="BC3214">
        <v>1</v>
      </c>
      <c r="BD3214" t="str">
        <f t="shared" si="1271"/>
        <v xml:space="preserve">N52156  </v>
      </c>
      <c r="BE3214">
        <v>1</v>
      </c>
      <c r="BG3214">
        <v>0</v>
      </c>
      <c r="BH3214">
        <v>0</v>
      </c>
      <c r="BI3214">
        <v>0</v>
      </c>
      <c r="BJ3214">
        <v>4375</v>
      </c>
      <c r="BK3214">
        <v>75</v>
      </c>
      <c r="BL3214" t="s">
        <v>188</v>
      </c>
      <c r="BM3214">
        <v>1</v>
      </c>
      <c r="BN3214">
        <v>1</v>
      </c>
      <c r="BO3214">
        <v>0</v>
      </c>
      <c r="BP3214">
        <v>0</v>
      </c>
      <c r="BS3214">
        <v>0</v>
      </c>
      <c r="BT3214">
        <v>0</v>
      </c>
      <c r="BU3214">
        <v>0</v>
      </c>
      <c r="CE3214" t="str">
        <f t="shared" si="1275"/>
        <v>15:13:27.745</v>
      </c>
      <c r="CF3214">
        <v>745482637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4</v>
      </c>
      <c r="CY3214">
        <v>7</v>
      </c>
      <c r="CZ3214" t="s">
        <v>133</v>
      </c>
      <c r="DA3214">
        <v>275</v>
      </c>
      <c r="DB3214">
        <v>0</v>
      </c>
      <c r="DC3214" t="s">
        <v>134</v>
      </c>
      <c r="DD3214" t="s">
        <v>135</v>
      </c>
      <c r="DG3214">
        <v>3322486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3">
      <c r="A3215" t="str">
        <f>"05/01/2025 15:13:28.006"</f>
        <v>05/01/2025 15:13:28.006</v>
      </c>
      <c r="C3215" t="str">
        <f t="shared" si="1268"/>
        <v>FFDFD3C0</v>
      </c>
      <c r="D3215" t="s">
        <v>143</v>
      </c>
      <c r="E3215" t="str">
        <f>"05"</f>
        <v>05</v>
      </c>
      <c r="H3215">
        <v>172</v>
      </c>
      <c r="I3215" t="s">
        <v>141</v>
      </c>
      <c r="J3215" t="s">
        <v>144</v>
      </c>
      <c r="K3215">
        <v>0</v>
      </c>
      <c r="L3215">
        <v>3</v>
      </c>
      <c r="M3215">
        <v>0</v>
      </c>
      <c r="N3215">
        <v>2</v>
      </c>
      <c r="O3215">
        <v>0</v>
      </c>
      <c r="P3215">
        <v>1</v>
      </c>
      <c r="Q3215">
        <v>0</v>
      </c>
      <c r="R3215" t="s">
        <v>127</v>
      </c>
      <c r="S3215" t="str">
        <f t="shared" si="1274"/>
        <v>15:13:27.000</v>
      </c>
      <c r="T3215" t="str">
        <f t="shared" si="1274"/>
        <v>15:13:27.000</v>
      </c>
      <c r="U3215" t="str">
        <f t="shared" si="1269"/>
        <v>A68FCB</v>
      </c>
      <c r="V3215">
        <v>0</v>
      </c>
      <c r="W3215">
        <v>0</v>
      </c>
      <c r="X3215">
        <v>2</v>
      </c>
      <c r="Y3215">
        <v>0</v>
      </c>
      <c r="AA3215">
        <v>1</v>
      </c>
      <c r="AB3215">
        <v>8</v>
      </c>
      <c r="AC3215">
        <v>3</v>
      </c>
      <c r="AD3215">
        <v>0</v>
      </c>
      <c r="AE3215">
        <v>9</v>
      </c>
      <c r="AF3215" t="s">
        <v>138</v>
      </c>
      <c r="AG3215">
        <v>0</v>
      </c>
      <c r="AH3215">
        <v>3</v>
      </c>
      <c r="AI3215">
        <v>2</v>
      </c>
      <c r="AJ3215">
        <v>0</v>
      </c>
      <c r="AK3215" t="s">
        <v>1073</v>
      </c>
      <c r="AL3215">
        <v>39.129416999999997</v>
      </c>
      <c r="AM3215" t="s">
        <v>1074</v>
      </c>
      <c r="AN3215">
        <v>-121.031442</v>
      </c>
      <c r="AO3215">
        <v>25</v>
      </c>
      <c r="AP3215">
        <v>4300</v>
      </c>
      <c r="AQ3215" t="s">
        <v>131</v>
      </c>
      <c r="AR3215">
        <v>6</v>
      </c>
      <c r="AS3215">
        <v>84</v>
      </c>
      <c r="AT3215">
        <v>-64</v>
      </c>
      <c r="BB3215" t="str">
        <f t="shared" si="1270"/>
        <v>1200</v>
      </c>
      <c r="BC3215">
        <v>1</v>
      </c>
      <c r="BD3215" t="str">
        <f t="shared" si="1271"/>
        <v xml:space="preserve">N52156  </v>
      </c>
      <c r="BE3215">
        <v>1</v>
      </c>
      <c r="BG3215">
        <v>0</v>
      </c>
      <c r="BH3215">
        <v>0</v>
      </c>
      <c r="BI3215">
        <v>0</v>
      </c>
      <c r="BJ3215">
        <v>4375</v>
      </c>
      <c r="BK3215">
        <v>75</v>
      </c>
      <c r="BL3215" t="s">
        <v>188</v>
      </c>
      <c r="BM3215">
        <v>1</v>
      </c>
      <c r="BN3215">
        <v>1</v>
      </c>
      <c r="BO3215">
        <v>0</v>
      </c>
      <c r="BP3215">
        <v>0</v>
      </c>
      <c r="BS3215">
        <v>0</v>
      </c>
      <c r="BT3215">
        <v>0</v>
      </c>
      <c r="BU3215">
        <v>0</v>
      </c>
      <c r="CE3215" t="str">
        <f t="shared" si="1275"/>
        <v>15:13:27.745</v>
      </c>
      <c r="CF3215">
        <v>745482637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4</v>
      </c>
      <c r="CY3215">
        <v>7</v>
      </c>
      <c r="CZ3215" t="s">
        <v>133</v>
      </c>
      <c r="DA3215">
        <v>275</v>
      </c>
      <c r="DB3215">
        <v>0</v>
      </c>
      <c r="DC3215" t="s">
        <v>134</v>
      </c>
      <c r="DD3215" t="s">
        <v>135</v>
      </c>
      <c r="DG3215">
        <v>3322486</v>
      </c>
      <c r="DI3215">
        <v>1</v>
      </c>
      <c r="DJ3215">
        <v>0</v>
      </c>
      <c r="DK3215">
        <v>1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3">
      <c r="A3216" t="str">
        <f>"05/01/2025 15:13:28.020"</f>
        <v>05/01/2025 15:13:28.020</v>
      </c>
      <c r="C3216" t="str">
        <f t="shared" si="1268"/>
        <v>FFDFD3C0</v>
      </c>
      <c r="D3216" t="s">
        <v>124</v>
      </c>
      <c r="E3216" t="str">
        <f>"06"</f>
        <v>06</v>
      </c>
      <c r="F3216">
        <v>2006</v>
      </c>
      <c r="G3216" t="s">
        <v>125</v>
      </c>
      <c r="J3216" t="s">
        <v>126</v>
      </c>
      <c r="K3216">
        <v>0</v>
      </c>
      <c r="L3216">
        <v>3</v>
      </c>
      <c r="M3216">
        <v>0</v>
      </c>
      <c r="N3216">
        <v>2</v>
      </c>
      <c r="O3216">
        <v>0</v>
      </c>
      <c r="P3216">
        <v>1</v>
      </c>
      <c r="Q3216">
        <v>0</v>
      </c>
      <c r="R3216" t="s">
        <v>127</v>
      </c>
      <c r="S3216" t="str">
        <f t="shared" si="1274"/>
        <v>15:13:27.000</v>
      </c>
      <c r="T3216" t="str">
        <f t="shared" si="1274"/>
        <v>15:13:27.000</v>
      </c>
      <c r="U3216" t="str">
        <f t="shared" si="1269"/>
        <v>A68FCB</v>
      </c>
      <c r="V3216">
        <v>0</v>
      </c>
      <c r="W3216">
        <v>0</v>
      </c>
      <c r="X3216">
        <v>2</v>
      </c>
      <c r="Y3216">
        <v>0</v>
      </c>
      <c r="AA3216">
        <v>1</v>
      </c>
      <c r="AB3216">
        <v>8</v>
      </c>
      <c r="AC3216">
        <v>3</v>
      </c>
      <c r="AD3216">
        <v>0</v>
      </c>
      <c r="AE3216">
        <v>9</v>
      </c>
      <c r="AF3216" t="s">
        <v>138</v>
      </c>
      <c r="AG3216">
        <v>0</v>
      </c>
      <c r="AH3216">
        <v>3</v>
      </c>
      <c r="AI3216">
        <v>2</v>
      </c>
      <c r="AJ3216">
        <v>0</v>
      </c>
      <c r="AK3216" t="s">
        <v>1073</v>
      </c>
      <c r="AL3216">
        <v>39.129416999999997</v>
      </c>
      <c r="AM3216" t="s">
        <v>1074</v>
      </c>
      <c r="AN3216">
        <v>-121.031442</v>
      </c>
      <c r="AO3216">
        <v>25</v>
      </c>
      <c r="AP3216">
        <v>4300</v>
      </c>
      <c r="AQ3216" t="s">
        <v>131</v>
      </c>
      <c r="AR3216">
        <v>6</v>
      </c>
      <c r="AS3216">
        <v>84</v>
      </c>
      <c r="AT3216">
        <v>-64</v>
      </c>
      <c r="BB3216" t="str">
        <f t="shared" si="1270"/>
        <v>1200</v>
      </c>
      <c r="BC3216">
        <v>1</v>
      </c>
      <c r="BD3216" t="str">
        <f t="shared" si="1271"/>
        <v xml:space="preserve">N52156  </v>
      </c>
      <c r="BE3216">
        <v>1</v>
      </c>
      <c r="BG3216">
        <v>0</v>
      </c>
      <c r="BH3216">
        <v>0</v>
      </c>
      <c r="BI3216">
        <v>0</v>
      </c>
      <c r="BJ3216">
        <v>4375</v>
      </c>
      <c r="BK3216">
        <v>75</v>
      </c>
      <c r="BL3216" t="s">
        <v>188</v>
      </c>
      <c r="BM3216">
        <v>1</v>
      </c>
      <c r="BN3216">
        <v>1</v>
      </c>
      <c r="BO3216">
        <v>0</v>
      </c>
      <c r="BP3216">
        <v>0</v>
      </c>
      <c r="BS3216">
        <v>0</v>
      </c>
      <c r="BT3216">
        <v>0</v>
      </c>
      <c r="BU3216">
        <v>0</v>
      </c>
      <c r="CE3216" t="str">
        <f t="shared" si="1275"/>
        <v>15:13:27.745</v>
      </c>
      <c r="CF3216">
        <v>745482637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4</v>
      </c>
      <c r="CY3216">
        <v>7</v>
      </c>
      <c r="CZ3216" t="s">
        <v>133</v>
      </c>
      <c r="DA3216">
        <v>275</v>
      </c>
      <c r="DB3216">
        <v>0</v>
      </c>
      <c r="DC3216" t="s">
        <v>134</v>
      </c>
      <c r="DD3216" t="s">
        <v>135</v>
      </c>
      <c r="DG3216">
        <v>3322486</v>
      </c>
      <c r="DI3216">
        <v>1</v>
      </c>
      <c r="DJ3216">
        <v>0</v>
      </c>
      <c r="DK3216">
        <v>1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3">
      <c r="A3217" t="str">
        <f>"05/01/2025 15:13:28.021"</f>
        <v>05/01/2025 15:13:28.021</v>
      </c>
      <c r="C3217" t="str">
        <f t="shared" si="1268"/>
        <v>FFDFD3C0</v>
      </c>
      <c r="D3217" t="s">
        <v>140</v>
      </c>
      <c r="E3217" t="str">
        <f>"13"</f>
        <v>13</v>
      </c>
      <c r="F3217">
        <v>1019</v>
      </c>
      <c r="G3217" t="s">
        <v>141</v>
      </c>
      <c r="J3217" t="s">
        <v>142</v>
      </c>
      <c r="K3217">
        <v>0</v>
      </c>
      <c r="L3217">
        <v>3</v>
      </c>
      <c r="M3217">
        <v>0</v>
      </c>
      <c r="N3217">
        <v>2</v>
      </c>
      <c r="O3217">
        <v>0</v>
      </c>
      <c r="P3217">
        <v>1</v>
      </c>
      <c r="Q3217">
        <v>0</v>
      </c>
      <c r="R3217" t="s">
        <v>127</v>
      </c>
      <c r="S3217" t="str">
        <f t="shared" si="1274"/>
        <v>15:13:27.000</v>
      </c>
      <c r="T3217" t="str">
        <f t="shared" si="1274"/>
        <v>15:13:27.000</v>
      </c>
      <c r="U3217" t="str">
        <f t="shared" si="1269"/>
        <v>A68FCB</v>
      </c>
      <c r="V3217">
        <v>0</v>
      </c>
      <c r="W3217">
        <v>0</v>
      </c>
      <c r="X3217">
        <v>2</v>
      </c>
      <c r="Y3217">
        <v>0</v>
      </c>
      <c r="AA3217">
        <v>1</v>
      </c>
      <c r="AB3217">
        <v>8</v>
      </c>
      <c r="AC3217">
        <v>3</v>
      </c>
      <c r="AD3217">
        <v>0</v>
      </c>
      <c r="AE3217">
        <v>9</v>
      </c>
      <c r="AF3217" t="s">
        <v>138</v>
      </c>
      <c r="AG3217">
        <v>0</v>
      </c>
      <c r="AH3217">
        <v>3</v>
      </c>
      <c r="AI3217">
        <v>2</v>
      </c>
      <c r="AJ3217">
        <v>0</v>
      </c>
      <c r="AK3217" t="s">
        <v>1073</v>
      </c>
      <c r="AL3217">
        <v>39.129416999999997</v>
      </c>
      <c r="AM3217" t="s">
        <v>1074</v>
      </c>
      <c r="AN3217">
        <v>-121.031442</v>
      </c>
      <c r="AO3217">
        <v>25</v>
      </c>
      <c r="AP3217">
        <v>4300</v>
      </c>
      <c r="AQ3217" t="s">
        <v>131</v>
      </c>
      <c r="AR3217">
        <v>6</v>
      </c>
      <c r="AS3217">
        <v>84</v>
      </c>
      <c r="AT3217">
        <v>-64</v>
      </c>
      <c r="BB3217" t="str">
        <f t="shared" si="1270"/>
        <v>1200</v>
      </c>
      <c r="BC3217">
        <v>1</v>
      </c>
      <c r="BD3217" t="str">
        <f t="shared" si="1271"/>
        <v xml:space="preserve">N52156  </v>
      </c>
      <c r="BE3217">
        <v>1</v>
      </c>
      <c r="BG3217">
        <v>0</v>
      </c>
      <c r="BH3217">
        <v>0</v>
      </c>
      <c r="BI3217">
        <v>0</v>
      </c>
      <c r="BJ3217">
        <v>4375</v>
      </c>
      <c r="BK3217">
        <v>75</v>
      </c>
      <c r="BL3217" t="s">
        <v>188</v>
      </c>
      <c r="BM3217">
        <v>1</v>
      </c>
      <c r="BN3217">
        <v>1</v>
      </c>
      <c r="BO3217">
        <v>0</v>
      </c>
      <c r="BP3217">
        <v>0</v>
      </c>
      <c r="BS3217">
        <v>0</v>
      </c>
      <c r="BT3217">
        <v>0</v>
      </c>
      <c r="BU3217">
        <v>0</v>
      </c>
      <c r="CE3217" t="str">
        <f t="shared" si="1275"/>
        <v>15:13:27.745</v>
      </c>
      <c r="CF3217">
        <v>745482637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4</v>
      </c>
      <c r="CY3217">
        <v>7</v>
      </c>
      <c r="CZ3217" t="s">
        <v>133</v>
      </c>
      <c r="DA3217">
        <v>275</v>
      </c>
      <c r="DB3217">
        <v>0</v>
      </c>
      <c r="DC3217" t="s">
        <v>134</v>
      </c>
      <c r="DD3217" t="s">
        <v>135</v>
      </c>
      <c r="DG3217">
        <v>3322486</v>
      </c>
      <c r="DI3217">
        <v>1</v>
      </c>
      <c r="DJ3217">
        <v>0</v>
      </c>
      <c r="DK3217">
        <v>1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3">
      <c r="A3218" t="str">
        <f>"05/01/2025 15:13:28.583"</f>
        <v>05/01/2025 15:13:28.583</v>
      </c>
      <c r="C3218" t="str">
        <f t="shared" si="1268"/>
        <v>FFDFD3C0</v>
      </c>
      <c r="D3218" t="s">
        <v>145</v>
      </c>
      <c r="E3218" t="str">
        <f>"09"</f>
        <v>09</v>
      </c>
      <c r="H3218">
        <v>51</v>
      </c>
      <c r="I3218" t="s">
        <v>147</v>
      </c>
      <c r="J3218" t="s">
        <v>138</v>
      </c>
      <c r="K3218">
        <v>0</v>
      </c>
      <c r="L3218">
        <v>3</v>
      </c>
      <c r="M3218">
        <v>0</v>
      </c>
      <c r="N3218">
        <v>2</v>
      </c>
      <c r="O3218">
        <v>0</v>
      </c>
      <c r="P3218">
        <v>1</v>
      </c>
      <c r="Q3218">
        <v>0</v>
      </c>
      <c r="R3218" t="s">
        <v>127</v>
      </c>
      <c r="S3218" t="str">
        <f t="shared" ref="S3218:T3223" si="1276">"15:13:28.000"</f>
        <v>15:13:28.000</v>
      </c>
      <c r="T3218" t="str">
        <f t="shared" si="1276"/>
        <v>15:13:28.000</v>
      </c>
      <c r="U3218" t="str">
        <f t="shared" si="1269"/>
        <v>A68FCB</v>
      </c>
      <c r="V3218">
        <v>0</v>
      </c>
      <c r="W3218">
        <v>0</v>
      </c>
      <c r="X3218">
        <v>2</v>
      </c>
      <c r="Y3218">
        <v>0</v>
      </c>
      <c r="AA3218">
        <v>1</v>
      </c>
      <c r="AB3218">
        <v>8</v>
      </c>
      <c r="AC3218">
        <v>3</v>
      </c>
      <c r="AD3218">
        <v>0</v>
      </c>
      <c r="AE3218">
        <v>9</v>
      </c>
      <c r="AF3218" t="s">
        <v>138</v>
      </c>
      <c r="AG3218">
        <v>0</v>
      </c>
      <c r="AH3218">
        <v>3</v>
      </c>
      <c r="AI3218">
        <v>2</v>
      </c>
      <c r="AJ3218">
        <v>0</v>
      </c>
      <c r="AK3218" t="s">
        <v>1075</v>
      </c>
      <c r="AL3218">
        <v>39.129824999999997</v>
      </c>
      <c r="AM3218" t="s">
        <v>1076</v>
      </c>
      <c r="AN3218">
        <v>-121.03142</v>
      </c>
      <c r="AO3218">
        <v>25</v>
      </c>
      <c r="AP3218">
        <v>4300</v>
      </c>
      <c r="AQ3218" t="s">
        <v>131</v>
      </c>
      <c r="AR3218">
        <v>6</v>
      </c>
      <c r="AS3218">
        <v>84</v>
      </c>
      <c r="AT3218">
        <v>-64</v>
      </c>
      <c r="BB3218" t="str">
        <f t="shared" si="1270"/>
        <v>1200</v>
      </c>
      <c r="BC3218">
        <v>1</v>
      </c>
      <c r="BD3218" t="str">
        <f t="shared" si="1271"/>
        <v xml:space="preserve">N52156  </v>
      </c>
      <c r="BE3218">
        <v>1</v>
      </c>
      <c r="BG3218">
        <v>0</v>
      </c>
      <c r="BH3218">
        <v>0</v>
      </c>
      <c r="BI3218">
        <v>0</v>
      </c>
      <c r="BJ3218">
        <v>4375</v>
      </c>
      <c r="BK3218">
        <v>75</v>
      </c>
      <c r="BL3218" t="s">
        <v>188</v>
      </c>
      <c r="BM3218">
        <v>1</v>
      </c>
      <c r="BN3218">
        <v>1</v>
      </c>
      <c r="BO3218">
        <v>0</v>
      </c>
      <c r="BP3218">
        <v>0</v>
      </c>
      <c r="BS3218">
        <v>0</v>
      </c>
      <c r="BT3218">
        <v>0</v>
      </c>
      <c r="BU3218">
        <v>0</v>
      </c>
      <c r="CE3218" t="str">
        <f t="shared" ref="CE3218:CE3223" si="1277">"15:13:28.361"</f>
        <v>15:13:28.361</v>
      </c>
      <c r="CF3218">
        <v>361057139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3</v>
      </c>
      <c r="CY3218">
        <v>7</v>
      </c>
      <c r="CZ3218" t="s">
        <v>133</v>
      </c>
      <c r="DA3218">
        <v>276</v>
      </c>
      <c r="DB3218">
        <v>0</v>
      </c>
      <c r="DC3218" t="s">
        <v>402</v>
      </c>
      <c r="DD3218" t="s">
        <v>403</v>
      </c>
      <c r="DG3218">
        <v>1627947</v>
      </c>
      <c r="DI3218">
        <v>1</v>
      </c>
      <c r="DJ3218">
        <v>0</v>
      </c>
      <c r="DK3218">
        <v>0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3">
      <c r="A3219" t="str">
        <f>"05/01/2025 15:13:28.584"</f>
        <v>05/01/2025 15:13:28.584</v>
      </c>
      <c r="C3219" t="str">
        <f t="shared" si="1268"/>
        <v>FFDFD3C0</v>
      </c>
      <c r="D3219" t="s">
        <v>145</v>
      </c>
      <c r="E3219" t="str">
        <f>"05"</f>
        <v>05</v>
      </c>
      <c r="H3219">
        <v>47</v>
      </c>
      <c r="I3219" t="s">
        <v>146</v>
      </c>
      <c r="J3219" t="s">
        <v>138</v>
      </c>
      <c r="K3219">
        <v>0</v>
      </c>
      <c r="L3219">
        <v>3</v>
      </c>
      <c r="M3219">
        <v>0</v>
      </c>
      <c r="N3219">
        <v>2</v>
      </c>
      <c r="O3219">
        <v>0</v>
      </c>
      <c r="P3219">
        <v>1</v>
      </c>
      <c r="Q3219">
        <v>0</v>
      </c>
      <c r="R3219" t="s">
        <v>127</v>
      </c>
      <c r="S3219" t="str">
        <f t="shared" si="1276"/>
        <v>15:13:28.000</v>
      </c>
      <c r="T3219" t="str">
        <f t="shared" si="1276"/>
        <v>15:13:28.000</v>
      </c>
      <c r="U3219" t="str">
        <f t="shared" si="1269"/>
        <v>A68FCB</v>
      </c>
      <c r="V3219">
        <v>0</v>
      </c>
      <c r="W3219">
        <v>0</v>
      </c>
      <c r="X3219">
        <v>2</v>
      </c>
      <c r="Y3219">
        <v>0</v>
      </c>
      <c r="AA3219">
        <v>1</v>
      </c>
      <c r="AB3219">
        <v>8</v>
      </c>
      <c r="AC3219">
        <v>3</v>
      </c>
      <c r="AD3219">
        <v>0</v>
      </c>
      <c r="AE3219">
        <v>9</v>
      </c>
      <c r="AF3219" t="s">
        <v>138</v>
      </c>
      <c r="AG3219">
        <v>0</v>
      </c>
      <c r="AH3219">
        <v>3</v>
      </c>
      <c r="AI3219">
        <v>2</v>
      </c>
      <c r="AJ3219">
        <v>0</v>
      </c>
      <c r="AK3219" t="s">
        <v>1075</v>
      </c>
      <c r="AL3219">
        <v>39.129824999999997</v>
      </c>
      <c r="AM3219" t="s">
        <v>1076</v>
      </c>
      <c r="AN3219">
        <v>-121.03142</v>
      </c>
      <c r="AO3219">
        <v>25</v>
      </c>
      <c r="AP3219">
        <v>4300</v>
      </c>
      <c r="AQ3219" t="s">
        <v>131</v>
      </c>
      <c r="AR3219">
        <v>6</v>
      </c>
      <c r="AS3219">
        <v>84</v>
      </c>
      <c r="AT3219">
        <v>-64</v>
      </c>
      <c r="BB3219" t="str">
        <f t="shared" si="1270"/>
        <v>1200</v>
      </c>
      <c r="BC3219">
        <v>1</v>
      </c>
      <c r="BD3219" t="str">
        <f t="shared" si="1271"/>
        <v xml:space="preserve">N52156  </v>
      </c>
      <c r="BE3219">
        <v>1</v>
      </c>
      <c r="BG3219">
        <v>0</v>
      </c>
      <c r="BH3219">
        <v>0</v>
      </c>
      <c r="BI3219">
        <v>0</v>
      </c>
      <c r="BJ3219">
        <v>4375</v>
      </c>
      <c r="BK3219">
        <v>75</v>
      </c>
      <c r="BL3219" t="s">
        <v>188</v>
      </c>
      <c r="BM3219">
        <v>1</v>
      </c>
      <c r="BN3219">
        <v>1</v>
      </c>
      <c r="BO3219">
        <v>0</v>
      </c>
      <c r="BP3219">
        <v>0</v>
      </c>
      <c r="BS3219">
        <v>0</v>
      </c>
      <c r="BT3219">
        <v>0</v>
      </c>
      <c r="BU3219">
        <v>0</v>
      </c>
      <c r="CE3219" t="str">
        <f t="shared" si="1277"/>
        <v>15:13:28.361</v>
      </c>
      <c r="CF3219">
        <v>361057139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3</v>
      </c>
      <c r="CY3219">
        <v>7</v>
      </c>
      <c r="CZ3219" t="s">
        <v>133</v>
      </c>
      <c r="DA3219">
        <v>276</v>
      </c>
      <c r="DB3219">
        <v>0</v>
      </c>
      <c r="DC3219" t="s">
        <v>402</v>
      </c>
      <c r="DD3219" t="s">
        <v>403</v>
      </c>
      <c r="DG3219">
        <v>1627947</v>
      </c>
      <c r="DI3219">
        <v>1</v>
      </c>
      <c r="DJ3219">
        <v>0</v>
      </c>
      <c r="DK3219">
        <v>1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3">
      <c r="A3220" t="str">
        <f>"05/01/2025 15:13:28.607"</f>
        <v>05/01/2025 15:13:28.607</v>
      </c>
      <c r="C3220" t="str">
        <f t="shared" si="1268"/>
        <v>FFDFD3C0</v>
      </c>
      <c r="D3220" t="s">
        <v>143</v>
      </c>
      <c r="E3220" t="str">
        <f>"05"</f>
        <v>05</v>
      </c>
      <c r="H3220">
        <v>172</v>
      </c>
      <c r="I3220" t="s">
        <v>141</v>
      </c>
      <c r="J3220" t="s">
        <v>144</v>
      </c>
      <c r="K3220">
        <v>0</v>
      </c>
      <c r="L3220">
        <v>3</v>
      </c>
      <c r="M3220">
        <v>0</v>
      </c>
      <c r="N3220">
        <v>2</v>
      </c>
      <c r="O3220">
        <v>0</v>
      </c>
      <c r="P3220">
        <v>1</v>
      </c>
      <c r="Q3220">
        <v>0</v>
      </c>
      <c r="R3220" t="s">
        <v>127</v>
      </c>
      <c r="S3220" t="str">
        <f t="shared" si="1276"/>
        <v>15:13:28.000</v>
      </c>
      <c r="T3220" t="str">
        <f t="shared" si="1276"/>
        <v>15:13:28.000</v>
      </c>
      <c r="U3220" t="str">
        <f t="shared" si="1269"/>
        <v>A68FCB</v>
      </c>
      <c r="V3220">
        <v>0</v>
      </c>
      <c r="W3220">
        <v>0</v>
      </c>
      <c r="X3220">
        <v>2</v>
      </c>
      <c r="Y3220">
        <v>0</v>
      </c>
      <c r="AA3220">
        <v>1</v>
      </c>
      <c r="AB3220">
        <v>8</v>
      </c>
      <c r="AC3220">
        <v>3</v>
      </c>
      <c r="AD3220">
        <v>0</v>
      </c>
      <c r="AE3220">
        <v>9</v>
      </c>
      <c r="AF3220" t="s">
        <v>138</v>
      </c>
      <c r="AG3220">
        <v>0</v>
      </c>
      <c r="AH3220">
        <v>3</v>
      </c>
      <c r="AI3220">
        <v>2</v>
      </c>
      <c r="AJ3220">
        <v>0</v>
      </c>
      <c r="AK3220" t="s">
        <v>1075</v>
      </c>
      <c r="AL3220">
        <v>39.129824999999997</v>
      </c>
      <c r="AM3220" t="s">
        <v>1076</v>
      </c>
      <c r="AN3220">
        <v>-121.03142</v>
      </c>
      <c r="AO3220">
        <v>25</v>
      </c>
      <c r="AP3220">
        <v>4300</v>
      </c>
      <c r="AQ3220" t="s">
        <v>131</v>
      </c>
      <c r="AR3220">
        <v>6</v>
      </c>
      <c r="AS3220">
        <v>84</v>
      </c>
      <c r="AT3220">
        <v>-64</v>
      </c>
      <c r="BB3220" t="str">
        <f t="shared" si="1270"/>
        <v>1200</v>
      </c>
      <c r="BC3220">
        <v>1</v>
      </c>
      <c r="BD3220" t="str">
        <f t="shared" si="1271"/>
        <v xml:space="preserve">N52156  </v>
      </c>
      <c r="BE3220">
        <v>1</v>
      </c>
      <c r="BG3220">
        <v>0</v>
      </c>
      <c r="BH3220">
        <v>0</v>
      </c>
      <c r="BI3220">
        <v>0</v>
      </c>
      <c r="BJ3220">
        <v>4375</v>
      </c>
      <c r="BK3220">
        <v>75</v>
      </c>
      <c r="BL3220" t="s">
        <v>188</v>
      </c>
      <c r="BM3220">
        <v>1</v>
      </c>
      <c r="BN3220">
        <v>1</v>
      </c>
      <c r="BO3220">
        <v>0</v>
      </c>
      <c r="BP3220">
        <v>0</v>
      </c>
      <c r="BS3220">
        <v>0</v>
      </c>
      <c r="BT3220">
        <v>0</v>
      </c>
      <c r="BU3220">
        <v>0</v>
      </c>
      <c r="CE3220" t="str">
        <f t="shared" si="1277"/>
        <v>15:13:28.361</v>
      </c>
      <c r="CF3220">
        <v>361057139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3</v>
      </c>
      <c r="CY3220">
        <v>7</v>
      </c>
      <c r="CZ3220" t="s">
        <v>133</v>
      </c>
      <c r="DA3220">
        <v>276</v>
      </c>
      <c r="DB3220">
        <v>0</v>
      </c>
      <c r="DC3220" t="s">
        <v>402</v>
      </c>
      <c r="DD3220" t="s">
        <v>403</v>
      </c>
      <c r="DG3220">
        <v>1627947</v>
      </c>
      <c r="DI3220">
        <v>1</v>
      </c>
      <c r="DJ3220">
        <v>0</v>
      </c>
      <c r="DK3220">
        <v>1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3">
      <c r="A3221" t="str">
        <f>"05/01/2025 15:13:28.620"</f>
        <v>05/01/2025 15:13:28.620</v>
      </c>
      <c r="C3221" t="str">
        <f t="shared" si="1268"/>
        <v>FFDFD3C0</v>
      </c>
      <c r="D3221" t="s">
        <v>124</v>
      </c>
      <c r="E3221" t="str">
        <f>"06"</f>
        <v>06</v>
      </c>
      <c r="F3221">
        <v>2006</v>
      </c>
      <c r="G3221" t="s">
        <v>125</v>
      </c>
      <c r="J3221" t="s">
        <v>126</v>
      </c>
      <c r="K3221">
        <v>0</v>
      </c>
      <c r="L3221">
        <v>3</v>
      </c>
      <c r="M3221">
        <v>0</v>
      </c>
      <c r="N3221">
        <v>2</v>
      </c>
      <c r="O3221">
        <v>0</v>
      </c>
      <c r="P3221">
        <v>1</v>
      </c>
      <c r="Q3221">
        <v>0</v>
      </c>
      <c r="R3221" t="s">
        <v>127</v>
      </c>
      <c r="S3221" t="str">
        <f t="shared" si="1276"/>
        <v>15:13:28.000</v>
      </c>
      <c r="T3221" t="str">
        <f t="shared" si="1276"/>
        <v>15:13:28.000</v>
      </c>
      <c r="U3221" t="str">
        <f t="shared" si="1269"/>
        <v>A68FCB</v>
      </c>
      <c r="V3221">
        <v>0</v>
      </c>
      <c r="W3221">
        <v>0</v>
      </c>
      <c r="X3221">
        <v>2</v>
      </c>
      <c r="Y3221">
        <v>0</v>
      </c>
      <c r="AA3221">
        <v>1</v>
      </c>
      <c r="AB3221">
        <v>8</v>
      </c>
      <c r="AC3221">
        <v>3</v>
      </c>
      <c r="AD3221">
        <v>0</v>
      </c>
      <c r="AE3221">
        <v>9</v>
      </c>
      <c r="AF3221" t="s">
        <v>138</v>
      </c>
      <c r="AG3221">
        <v>0</v>
      </c>
      <c r="AH3221">
        <v>3</v>
      </c>
      <c r="AI3221">
        <v>2</v>
      </c>
      <c r="AJ3221">
        <v>0</v>
      </c>
      <c r="AK3221" t="s">
        <v>1075</v>
      </c>
      <c r="AL3221">
        <v>39.129824999999997</v>
      </c>
      <c r="AM3221" t="s">
        <v>1076</v>
      </c>
      <c r="AN3221">
        <v>-121.03142</v>
      </c>
      <c r="AO3221">
        <v>25</v>
      </c>
      <c r="AP3221">
        <v>4300</v>
      </c>
      <c r="AQ3221" t="s">
        <v>131</v>
      </c>
      <c r="AR3221">
        <v>6</v>
      </c>
      <c r="AS3221">
        <v>84</v>
      </c>
      <c r="AT3221">
        <v>-64</v>
      </c>
      <c r="BB3221" t="str">
        <f t="shared" si="1270"/>
        <v>1200</v>
      </c>
      <c r="BC3221">
        <v>1</v>
      </c>
      <c r="BD3221" t="str">
        <f t="shared" si="1271"/>
        <v xml:space="preserve">N52156  </v>
      </c>
      <c r="BE3221">
        <v>1</v>
      </c>
      <c r="BG3221">
        <v>0</v>
      </c>
      <c r="BH3221">
        <v>0</v>
      </c>
      <c r="BI3221">
        <v>0</v>
      </c>
      <c r="BJ3221">
        <v>4375</v>
      </c>
      <c r="BK3221">
        <v>75</v>
      </c>
      <c r="BL3221" t="s">
        <v>188</v>
      </c>
      <c r="BM3221">
        <v>1</v>
      </c>
      <c r="BN3221">
        <v>1</v>
      </c>
      <c r="BO3221">
        <v>0</v>
      </c>
      <c r="BP3221">
        <v>0</v>
      </c>
      <c r="BS3221">
        <v>0</v>
      </c>
      <c r="BT3221">
        <v>0</v>
      </c>
      <c r="BU3221">
        <v>0</v>
      </c>
      <c r="CE3221" t="str">
        <f t="shared" si="1277"/>
        <v>15:13:28.361</v>
      </c>
      <c r="CF3221">
        <v>361057139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3</v>
      </c>
      <c r="CY3221">
        <v>7</v>
      </c>
      <c r="CZ3221" t="s">
        <v>133</v>
      </c>
      <c r="DA3221">
        <v>276</v>
      </c>
      <c r="DB3221">
        <v>0</v>
      </c>
      <c r="DC3221" t="s">
        <v>402</v>
      </c>
      <c r="DD3221" t="s">
        <v>403</v>
      </c>
      <c r="DG3221">
        <v>1627947</v>
      </c>
      <c r="DI3221">
        <v>1</v>
      </c>
      <c r="DJ3221">
        <v>0</v>
      </c>
      <c r="DK3221">
        <v>1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3">
      <c r="A3222" t="str">
        <f>"05/01/2025 15:13:28.595"</f>
        <v>05/01/2025 15:13:28.595</v>
      </c>
      <c r="C3222" t="str">
        <f t="shared" si="1268"/>
        <v>FFDFD3C0</v>
      </c>
      <c r="D3222" t="s">
        <v>136</v>
      </c>
      <c r="E3222" t="str">
        <f>"20"</f>
        <v>20</v>
      </c>
      <c r="H3222">
        <v>400</v>
      </c>
      <c r="I3222" t="s">
        <v>137</v>
      </c>
      <c r="J3222" t="s">
        <v>138</v>
      </c>
      <c r="K3222">
        <v>0</v>
      </c>
      <c r="L3222">
        <v>3</v>
      </c>
      <c r="M3222">
        <v>0</v>
      </c>
      <c r="N3222">
        <v>2</v>
      </c>
      <c r="O3222">
        <v>0</v>
      </c>
      <c r="P3222">
        <v>1</v>
      </c>
      <c r="Q3222">
        <v>0</v>
      </c>
      <c r="R3222" t="s">
        <v>127</v>
      </c>
      <c r="S3222" t="str">
        <f t="shared" si="1276"/>
        <v>15:13:28.000</v>
      </c>
      <c r="T3222" t="str">
        <f t="shared" si="1276"/>
        <v>15:13:28.000</v>
      </c>
      <c r="U3222" t="str">
        <f t="shared" si="1269"/>
        <v>A68FCB</v>
      </c>
      <c r="V3222">
        <v>0</v>
      </c>
      <c r="W3222">
        <v>0</v>
      </c>
      <c r="X3222">
        <v>2</v>
      </c>
      <c r="Y3222">
        <v>0</v>
      </c>
      <c r="AA3222">
        <v>1</v>
      </c>
      <c r="AB3222">
        <v>8</v>
      </c>
      <c r="AC3222">
        <v>3</v>
      </c>
      <c r="AD3222">
        <v>0</v>
      </c>
      <c r="AE3222">
        <v>9</v>
      </c>
      <c r="AF3222" t="s">
        <v>138</v>
      </c>
      <c r="AG3222">
        <v>0</v>
      </c>
      <c r="AH3222">
        <v>3</v>
      </c>
      <c r="AI3222">
        <v>2</v>
      </c>
      <c r="AJ3222">
        <v>0</v>
      </c>
      <c r="AK3222" t="s">
        <v>1075</v>
      </c>
      <c r="AL3222">
        <v>39.129824999999997</v>
      </c>
      <c r="AM3222" t="s">
        <v>1076</v>
      </c>
      <c r="AN3222">
        <v>-121.03142</v>
      </c>
      <c r="AO3222">
        <v>25</v>
      </c>
      <c r="AP3222">
        <v>4300</v>
      </c>
      <c r="AQ3222" t="s">
        <v>131</v>
      </c>
      <c r="AR3222">
        <v>6</v>
      </c>
      <c r="AS3222">
        <v>84</v>
      </c>
      <c r="AT3222">
        <v>-64</v>
      </c>
      <c r="BB3222" t="str">
        <f t="shared" si="1270"/>
        <v>1200</v>
      </c>
      <c r="BC3222">
        <v>1</v>
      </c>
      <c r="BD3222" t="str">
        <f t="shared" si="1271"/>
        <v xml:space="preserve">N52156  </v>
      </c>
      <c r="BE3222">
        <v>1</v>
      </c>
      <c r="BG3222">
        <v>0</v>
      </c>
      <c r="BH3222">
        <v>0</v>
      </c>
      <c r="BI3222">
        <v>0</v>
      </c>
      <c r="BJ3222">
        <v>4375</v>
      </c>
      <c r="BK3222">
        <v>75</v>
      </c>
      <c r="BL3222" t="s">
        <v>188</v>
      </c>
      <c r="BM3222">
        <v>1</v>
      </c>
      <c r="BN3222">
        <v>1</v>
      </c>
      <c r="BO3222">
        <v>0</v>
      </c>
      <c r="BP3222">
        <v>0</v>
      </c>
      <c r="BS3222">
        <v>0</v>
      </c>
      <c r="BT3222">
        <v>0</v>
      </c>
      <c r="BU3222">
        <v>0</v>
      </c>
      <c r="CE3222" t="str">
        <f t="shared" si="1277"/>
        <v>15:13:28.361</v>
      </c>
      <c r="CF3222">
        <v>361057139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3</v>
      </c>
      <c r="CY3222">
        <v>7</v>
      </c>
      <c r="CZ3222" t="s">
        <v>133</v>
      </c>
      <c r="DA3222">
        <v>276</v>
      </c>
      <c r="DB3222">
        <v>0</v>
      </c>
      <c r="DC3222" t="s">
        <v>402</v>
      </c>
      <c r="DD3222" t="s">
        <v>403</v>
      </c>
      <c r="DG3222">
        <v>1627947</v>
      </c>
      <c r="DI3222">
        <v>1</v>
      </c>
      <c r="DJ3222">
        <v>0</v>
      </c>
      <c r="DK3222">
        <v>1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3">
      <c r="A3223" t="str">
        <f>"05/01/2025 15:13:28.621"</f>
        <v>05/01/2025 15:13:28.621</v>
      </c>
      <c r="C3223" t="str">
        <f t="shared" si="1268"/>
        <v>FFDFD3C0</v>
      </c>
      <c r="D3223" t="s">
        <v>140</v>
      </c>
      <c r="E3223" t="str">
        <f>"13"</f>
        <v>13</v>
      </c>
      <c r="F3223">
        <v>1019</v>
      </c>
      <c r="G3223" t="s">
        <v>141</v>
      </c>
      <c r="J3223" t="s">
        <v>142</v>
      </c>
      <c r="K3223">
        <v>0</v>
      </c>
      <c r="L3223">
        <v>3</v>
      </c>
      <c r="M3223">
        <v>0</v>
      </c>
      <c r="N3223">
        <v>2</v>
      </c>
      <c r="O3223">
        <v>0</v>
      </c>
      <c r="P3223">
        <v>1</v>
      </c>
      <c r="Q3223">
        <v>0</v>
      </c>
      <c r="R3223" t="s">
        <v>127</v>
      </c>
      <c r="S3223" t="str">
        <f t="shared" si="1276"/>
        <v>15:13:28.000</v>
      </c>
      <c r="T3223" t="str">
        <f t="shared" si="1276"/>
        <v>15:13:28.000</v>
      </c>
      <c r="U3223" t="str">
        <f t="shared" si="1269"/>
        <v>A68FCB</v>
      </c>
      <c r="V3223">
        <v>0</v>
      </c>
      <c r="W3223">
        <v>0</v>
      </c>
      <c r="X3223">
        <v>2</v>
      </c>
      <c r="Y3223">
        <v>0</v>
      </c>
      <c r="AA3223">
        <v>1</v>
      </c>
      <c r="AB3223">
        <v>8</v>
      </c>
      <c r="AC3223">
        <v>3</v>
      </c>
      <c r="AD3223">
        <v>0</v>
      </c>
      <c r="AE3223">
        <v>9</v>
      </c>
      <c r="AF3223" t="s">
        <v>138</v>
      </c>
      <c r="AG3223">
        <v>0</v>
      </c>
      <c r="AH3223">
        <v>3</v>
      </c>
      <c r="AI3223">
        <v>2</v>
      </c>
      <c r="AJ3223">
        <v>0</v>
      </c>
      <c r="AK3223" t="s">
        <v>1075</v>
      </c>
      <c r="AL3223">
        <v>39.129824999999997</v>
      </c>
      <c r="AM3223" t="s">
        <v>1076</v>
      </c>
      <c r="AN3223">
        <v>-121.03142</v>
      </c>
      <c r="AO3223">
        <v>25</v>
      </c>
      <c r="AP3223">
        <v>4300</v>
      </c>
      <c r="AQ3223" t="s">
        <v>131</v>
      </c>
      <c r="AR3223">
        <v>6</v>
      </c>
      <c r="AS3223">
        <v>84</v>
      </c>
      <c r="AT3223">
        <v>-64</v>
      </c>
      <c r="BB3223" t="str">
        <f t="shared" si="1270"/>
        <v>1200</v>
      </c>
      <c r="BC3223">
        <v>1</v>
      </c>
      <c r="BD3223" t="str">
        <f t="shared" si="1271"/>
        <v xml:space="preserve">N52156  </v>
      </c>
      <c r="BE3223">
        <v>1</v>
      </c>
      <c r="BG3223">
        <v>0</v>
      </c>
      <c r="BH3223">
        <v>0</v>
      </c>
      <c r="BI3223">
        <v>0</v>
      </c>
      <c r="BJ3223">
        <v>4375</v>
      </c>
      <c r="BK3223">
        <v>75</v>
      </c>
      <c r="BL3223" t="s">
        <v>188</v>
      </c>
      <c r="BM3223">
        <v>1</v>
      </c>
      <c r="BN3223">
        <v>1</v>
      </c>
      <c r="BO3223">
        <v>0</v>
      </c>
      <c r="BP3223">
        <v>0</v>
      </c>
      <c r="BS3223">
        <v>0</v>
      </c>
      <c r="BT3223">
        <v>0</v>
      </c>
      <c r="BU3223">
        <v>0</v>
      </c>
      <c r="CE3223" t="str">
        <f t="shared" si="1277"/>
        <v>15:13:28.361</v>
      </c>
      <c r="CF3223">
        <v>361057139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3</v>
      </c>
      <c r="CY3223">
        <v>7</v>
      </c>
      <c r="CZ3223" t="s">
        <v>133</v>
      </c>
      <c r="DA3223">
        <v>276</v>
      </c>
      <c r="DB3223">
        <v>0</v>
      </c>
      <c r="DC3223" t="s">
        <v>402</v>
      </c>
      <c r="DD3223" t="s">
        <v>403</v>
      </c>
      <c r="DG3223">
        <v>1627947</v>
      </c>
      <c r="DI3223">
        <v>1</v>
      </c>
      <c r="DJ3223">
        <v>0</v>
      </c>
      <c r="DK3223">
        <v>1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3">
      <c r="A3224" t="str">
        <f>"05/01/2025 15:13:29.522"</f>
        <v>05/01/2025 15:13:29.522</v>
      </c>
      <c r="C3224" t="str">
        <f t="shared" si="1268"/>
        <v>FFDFD3C0</v>
      </c>
      <c r="D3224" t="s">
        <v>124</v>
      </c>
      <c r="E3224" t="str">
        <f>"06"</f>
        <v>06</v>
      </c>
      <c r="F3224">
        <v>2006</v>
      </c>
      <c r="G3224" t="s">
        <v>125</v>
      </c>
      <c r="J3224" t="s">
        <v>126</v>
      </c>
      <c r="K3224">
        <v>0</v>
      </c>
      <c r="L3224">
        <v>3</v>
      </c>
      <c r="M3224">
        <v>0</v>
      </c>
      <c r="N3224">
        <v>2</v>
      </c>
      <c r="O3224">
        <v>0</v>
      </c>
      <c r="P3224">
        <v>1</v>
      </c>
      <c r="Q3224">
        <v>0</v>
      </c>
      <c r="R3224" t="s">
        <v>127</v>
      </c>
      <c r="S3224" t="str">
        <f t="shared" ref="S3224:T3229" si="1278">"15:13:29.000"</f>
        <v>15:13:29.000</v>
      </c>
      <c r="T3224" t="str">
        <f t="shared" si="1278"/>
        <v>15:13:29.000</v>
      </c>
      <c r="U3224" t="str">
        <f t="shared" si="1269"/>
        <v>A68FCB</v>
      </c>
      <c r="V3224">
        <v>0</v>
      </c>
      <c r="W3224">
        <v>0</v>
      </c>
      <c r="X3224">
        <v>2</v>
      </c>
      <c r="Y3224">
        <v>0</v>
      </c>
      <c r="AA3224">
        <v>1</v>
      </c>
      <c r="AB3224">
        <v>8</v>
      </c>
      <c r="AC3224">
        <v>3</v>
      </c>
      <c r="AD3224">
        <v>0</v>
      </c>
      <c r="AE3224">
        <v>9</v>
      </c>
      <c r="AF3224" t="s">
        <v>138</v>
      </c>
      <c r="AG3224">
        <v>0</v>
      </c>
      <c r="AH3224">
        <v>3</v>
      </c>
      <c r="AI3224">
        <v>2</v>
      </c>
      <c r="AJ3224">
        <v>0</v>
      </c>
      <c r="AK3224" t="s">
        <v>1077</v>
      </c>
      <c r="AL3224">
        <v>39.130211000000003</v>
      </c>
      <c r="AM3224" t="s">
        <v>1078</v>
      </c>
      <c r="AN3224">
        <v>-121.03137700000001</v>
      </c>
      <c r="AO3224">
        <v>25</v>
      </c>
      <c r="AP3224">
        <v>4300</v>
      </c>
      <c r="AQ3224" t="s">
        <v>131</v>
      </c>
      <c r="AR3224">
        <v>6</v>
      </c>
      <c r="AS3224">
        <v>83</v>
      </c>
      <c r="AT3224">
        <v>-64</v>
      </c>
      <c r="BB3224" t="str">
        <f t="shared" si="1270"/>
        <v>1200</v>
      </c>
      <c r="BC3224">
        <v>1</v>
      </c>
      <c r="BD3224" t="str">
        <f t="shared" si="1271"/>
        <v xml:space="preserve">N52156  </v>
      </c>
      <c r="BE3224">
        <v>1</v>
      </c>
      <c r="BG3224">
        <v>0</v>
      </c>
      <c r="BH3224">
        <v>0</v>
      </c>
      <c r="BI3224">
        <v>0</v>
      </c>
      <c r="BJ3224">
        <v>4350</v>
      </c>
      <c r="BK3224">
        <v>50</v>
      </c>
      <c r="BL3224" t="s">
        <v>188</v>
      </c>
      <c r="BM3224">
        <v>1</v>
      </c>
      <c r="BN3224">
        <v>1</v>
      </c>
      <c r="BO3224">
        <v>0</v>
      </c>
      <c r="BP3224">
        <v>0</v>
      </c>
      <c r="BS3224">
        <v>0</v>
      </c>
      <c r="BT3224">
        <v>0</v>
      </c>
      <c r="BU3224">
        <v>0</v>
      </c>
      <c r="CE3224" t="str">
        <f t="shared" ref="CE3224:CE3229" si="1279">"15:13:29.315"</f>
        <v>15:13:29.315</v>
      </c>
      <c r="CF3224">
        <v>315307152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3</v>
      </c>
      <c r="CY3224">
        <v>7</v>
      </c>
      <c r="CZ3224" t="s">
        <v>133</v>
      </c>
      <c r="DA3224">
        <v>276</v>
      </c>
      <c r="DB3224">
        <v>0</v>
      </c>
      <c r="DC3224" t="s">
        <v>402</v>
      </c>
      <c r="DD3224" t="s">
        <v>403</v>
      </c>
      <c r="DG3224">
        <v>1627951</v>
      </c>
      <c r="DI3224">
        <v>1</v>
      </c>
      <c r="DJ3224">
        <v>0</v>
      </c>
      <c r="DK3224">
        <v>0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3">
      <c r="A3225" t="str">
        <f>"05/01/2025 15:13:29.523"</f>
        <v>05/01/2025 15:13:29.523</v>
      </c>
      <c r="C3225" t="str">
        <f t="shared" si="1268"/>
        <v>FFDFD3C0</v>
      </c>
      <c r="D3225" t="s">
        <v>140</v>
      </c>
      <c r="E3225" t="str">
        <f>"13"</f>
        <v>13</v>
      </c>
      <c r="F3225">
        <v>1019</v>
      </c>
      <c r="G3225" t="s">
        <v>141</v>
      </c>
      <c r="J3225" t="s">
        <v>142</v>
      </c>
      <c r="K3225">
        <v>0</v>
      </c>
      <c r="L3225">
        <v>3</v>
      </c>
      <c r="M3225">
        <v>0</v>
      </c>
      <c r="N3225">
        <v>2</v>
      </c>
      <c r="O3225">
        <v>0</v>
      </c>
      <c r="P3225">
        <v>1</v>
      </c>
      <c r="Q3225">
        <v>0</v>
      </c>
      <c r="R3225" t="s">
        <v>127</v>
      </c>
      <c r="S3225" t="str">
        <f t="shared" si="1278"/>
        <v>15:13:29.000</v>
      </c>
      <c r="T3225" t="str">
        <f t="shared" si="1278"/>
        <v>15:13:29.000</v>
      </c>
      <c r="U3225" t="str">
        <f t="shared" si="1269"/>
        <v>A68FCB</v>
      </c>
      <c r="V3225">
        <v>0</v>
      </c>
      <c r="W3225">
        <v>0</v>
      </c>
      <c r="X3225">
        <v>2</v>
      </c>
      <c r="Y3225">
        <v>0</v>
      </c>
      <c r="AA3225">
        <v>1</v>
      </c>
      <c r="AB3225">
        <v>8</v>
      </c>
      <c r="AC3225">
        <v>3</v>
      </c>
      <c r="AD3225">
        <v>0</v>
      </c>
      <c r="AE3225">
        <v>9</v>
      </c>
      <c r="AF3225" t="s">
        <v>138</v>
      </c>
      <c r="AG3225">
        <v>0</v>
      </c>
      <c r="AH3225">
        <v>3</v>
      </c>
      <c r="AI3225">
        <v>2</v>
      </c>
      <c r="AJ3225">
        <v>0</v>
      </c>
      <c r="AK3225" t="s">
        <v>1077</v>
      </c>
      <c r="AL3225">
        <v>39.130211000000003</v>
      </c>
      <c r="AM3225" t="s">
        <v>1078</v>
      </c>
      <c r="AN3225">
        <v>-121.03137700000001</v>
      </c>
      <c r="AO3225">
        <v>25</v>
      </c>
      <c r="AP3225">
        <v>4300</v>
      </c>
      <c r="AQ3225" t="s">
        <v>131</v>
      </c>
      <c r="AR3225">
        <v>6</v>
      </c>
      <c r="AS3225">
        <v>83</v>
      </c>
      <c r="AT3225">
        <v>-64</v>
      </c>
      <c r="BB3225" t="str">
        <f t="shared" si="1270"/>
        <v>1200</v>
      </c>
      <c r="BC3225">
        <v>1</v>
      </c>
      <c r="BD3225" t="str">
        <f t="shared" si="1271"/>
        <v xml:space="preserve">N52156  </v>
      </c>
      <c r="BE3225">
        <v>1</v>
      </c>
      <c r="BG3225">
        <v>0</v>
      </c>
      <c r="BH3225">
        <v>0</v>
      </c>
      <c r="BI3225">
        <v>0</v>
      </c>
      <c r="BJ3225">
        <v>4350</v>
      </c>
      <c r="BK3225">
        <v>50</v>
      </c>
      <c r="BL3225" t="s">
        <v>188</v>
      </c>
      <c r="BM3225">
        <v>1</v>
      </c>
      <c r="BN3225">
        <v>1</v>
      </c>
      <c r="BO3225">
        <v>0</v>
      </c>
      <c r="BP3225">
        <v>0</v>
      </c>
      <c r="BS3225">
        <v>0</v>
      </c>
      <c r="BT3225">
        <v>0</v>
      </c>
      <c r="BU3225">
        <v>0</v>
      </c>
      <c r="CE3225" t="str">
        <f t="shared" si="1279"/>
        <v>15:13:29.315</v>
      </c>
      <c r="CF3225">
        <v>315307152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3</v>
      </c>
      <c r="CY3225">
        <v>7</v>
      </c>
      <c r="CZ3225" t="s">
        <v>133</v>
      </c>
      <c r="DA3225">
        <v>276</v>
      </c>
      <c r="DB3225">
        <v>0</v>
      </c>
      <c r="DC3225" t="s">
        <v>402</v>
      </c>
      <c r="DD3225" t="s">
        <v>403</v>
      </c>
      <c r="DG3225">
        <v>1627951</v>
      </c>
      <c r="DI3225">
        <v>1</v>
      </c>
      <c r="DJ3225">
        <v>0</v>
      </c>
      <c r="DK3225">
        <v>1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3">
      <c r="A3226" t="str">
        <f>"05/01/2025 15:13:29.536"</f>
        <v>05/01/2025 15:13:29.536</v>
      </c>
      <c r="C3226" t="str">
        <f t="shared" si="1268"/>
        <v>FFDFD3C0</v>
      </c>
      <c r="D3226" t="s">
        <v>145</v>
      </c>
      <c r="E3226" t="str">
        <f>"05"</f>
        <v>05</v>
      </c>
      <c r="H3226">
        <v>47</v>
      </c>
      <c r="I3226" t="s">
        <v>146</v>
      </c>
      <c r="J3226" t="s">
        <v>138</v>
      </c>
      <c r="K3226">
        <v>0</v>
      </c>
      <c r="L3226">
        <v>3</v>
      </c>
      <c r="M3226">
        <v>0</v>
      </c>
      <c r="N3226">
        <v>2</v>
      </c>
      <c r="O3226">
        <v>0</v>
      </c>
      <c r="P3226">
        <v>1</v>
      </c>
      <c r="Q3226">
        <v>0</v>
      </c>
      <c r="R3226" t="s">
        <v>127</v>
      </c>
      <c r="S3226" t="str">
        <f t="shared" si="1278"/>
        <v>15:13:29.000</v>
      </c>
      <c r="T3226" t="str">
        <f t="shared" si="1278"/>
        <v>15:13:29.000</v>
      </c>
      <c r="U3226" t="str">
        <f t="shared" si="1269"/>
        <v>A68FCB</v>
      </c>
      <c r="V3226">
        <v>0</v>
      </c>
      <c r="W3226">
        <v>0</v>
      </c>
      <c r="X3226">
        <v>2</v>
      </c>
      <c r="Y3226">
        <v>0</v>
      </c>
      <c r="AA3226">
        <v>1</v>
      </c>
      <c r="AB3226">
        <v>8</v>
      </c>
      <c r="AC3226">
        <v>3</v>
      </c>
      <c r="AD3226">
        <v>0</v>
      </c>
      <c r="AE3226">
        <v>9</v>
      </c>
      <c r="AF3226" t="s">
        <v>138</v>
      </c>
      <c r="AG3226">
        <v>0</v>
      </c>
      <c r="AH3226">
        <v>3</v>
      </c>
      <c r="AI3226">
        <v>2</v>
      </c>
      <c r="AJ3226">
        <v>0</v>
      </c>
      <c r="AK3226" t="s">
        <v>1077</v>
      </c>
      <c r="AL3226">
        <v>39.130211000000003</v>
      </c>
      <c r="AM3226" t="s">
        <v>1078</v>
      </c>
      <c r="AN3226">
        <v>-121.03137700000001</v>
      </c>
      <c r="AO3226">
        <v>25</v>
      </c>
      <c r="AP3226">
        <v>4300</v>
      </c>
      <c r="AQ3226" t="s">
        <v>131</v>
      </c>
      <c r="AR3226">
        <v>6</v>
      </c>
      <c r="AS3226">
        <v>83</v>
      </c>
      <c r="AT3226">
        <v>-64</v>
      </c>
      <c r="BB3226" t="str">
        <f t="shared" si="1270"/>
        <v>1200</v>
      </c>
      <c r="BC3226">
        <v>1</v>
      </c>
      <c r="BD3226" t="str">
        <f t="shared" si="1271"/>
        <v xml:space="preserve">N52156  </v>
      </c>
      <c r="BE3226">
        <v>1</v>
      </c>
      <c r="BG3226">
        <v>0</v>
      </c>
      <c r="BH3226">
        <v>0</v>
      </c>
      <c r="BI3226">
        <v>0</v>
      </c>
      <c r="BJ3226">
        <v>4350</v>
      </c>
      <c r="BK3226">
        <v>50</v>
      </c>
      <c r="BL3226" t="s">
        <v>188</v>
      </c>
      <c r="BM3226">
        <v>1</v>
      </c>
      <c r="BN3226">
        <v>1</v>
      </c>
      <c r="BO3226">
        <v>0</v>
      </c>
      <c r="BP3226">
        <v>0</v>
      </c>
      <c r="BS3226">
        <v>0</v>
      </c>
      <c r="BT3226">
        <v>0</v>
      </c>
      <c r="BU3226">
        <v>0</v>
      </c>
      <c r="CE3226" t="str">
        <f t="shared" si="1279"/>
        <v>15:13:29.315</v>
      </c>
      <c r="CF3226">
        <v>315307152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3</v>
      </c>
      <c r="CY3226">
        <v>7</v>
      </c>
      <c r="CZ3226" t="s">
        <v>133</v>
      </c>
      <c r="DA3226">
        <v>276</v>
      </c>
      <c r="DB3226">
        <v>0</v>
      </c>
      <c r="DC3226" t="s">
        <v>402</v>
      </c>
      <c r="DD3226" t="s">
        <v>403</v>
      </c>
      <c r="DG3226">
        <v>1627951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3">
      <c r="A3227" t="str">
        <f>"05/01/2025 15:13:29.535"</f>
        <v>05/01/2025 15:13:29.535</v>
      </c>
      <c r="C3227" t="str">
        <f t="shared" si="1268"/>
        <v>FFDFD3C0</v>
      </c>
      <c r="D3227" t="s">
        <v>145</v>
      </c>
      <c r="E3227" t="str">
        <f>"09"</f>
        <v>09</v>
      </c>
      <c r="H3227">
        <v>51</v>
      </c>
      <c r="I3227" t="s">
        <v>147</v>
      </c>
      <c r="J3227" t="s">
        <v>138</v>
      </c>
      <c r="K3227">
        <v>0</v>
      </c>
      <c r="L3227">
        <v>3</v>
      </c>
      <c r="M3227">
        <v>0</v>
      </c>
      <c r="N3227">
        <v>2</v>
      </c>
      <c r="O3227">
        <v>0</v>
      </c>
      <c r="P3227">
        <v>1</v>
      </c>
      <c r="Q3227">
        <v>0</v>
      </c>
      <c r="R3227" t="s">
        <v>127</v>
      </c>
      <c r="S3227" t="str">
        <f t="shared" si="1278"/>
        <v>15:13:29.000</v>
      </c>
      <c r="T3227" t="str">
        <f t="shared" si="1278"/>
        <v>15:13:29.000</v>
      </c>
      <c r="U3227" t="str">
        <f t="shared" si="1269"/>
        <v>A68FCB</v>
      </c>
      <c r="V3227">
        <v>0</v>
      </c>
      <c r="W3227">
        <v>0</v>
      </c>
      <c r="X3227">
        <v>2</v>
      </c>
      <c r="Y3227">
        <v>0</v>
      </c>
      <c r="AA3227">
        <v>1</v>
      </c>
      <c r="AB3227">
        <v>8</v>
      </c>
      <c r="AC3227">
        <v>3</v>
      </c>
      <c r="AD3227">
        <v>0</v>
      </c>
      <c r="AE3227">
        <v>9</v>
      </c>
      <c r="AF3227" t="s">
        <v>138</v>
      </c>
      <c r="AG3227">
        <v>0</v>
      </c>
      <c r="AH3227">
        <v>3</v>
      </c>
      <c r="AI3227">
        <v>2</v>
      </c>
      <c r="AJ3227">
        <v>0</v>
      </c>
      <c r="AK3227" t="s">
        <v>1077</v>
      </c>
      <c r="AL3227">
        <v>39.130211000000003</v>
      </c>
      <c r="AM3227" t="s">
        <v>1078</v>
      </c>
      <c r="AN3227">
        <v>-121.03137700000001</v>
      </c>
      <c r="AO3227">
        <v>25</v>
      </c>
      <c r="AP3227">
        <v>4300</v>
      </c>
      <c r="AQ3227" t="s">
        <v>131</v>
      </c>
      <c r="AR3227">
        <v>6</v>
      </c>
      <c r="AS3227">
        <v>83</v>
      </c>
      <c r="AT3227">
        <v>-64</v>
      </c>
      <c r="BB3227" t="str">
        <f t="shared" si="1270"/>
        <v>1200</v>
      </c>
      <c r="BC3227">
        <v>1</v>
      </c>
      <c r="BD3227" t="str">
        <f t="shared" si="1271"/>
        <v xml:space="preserve">N52156  </v>
      </c>
      <c r="BE3227">
        <v>1</v>
      </c>
      <c r="BG3227">
        <v>0</v>
      </c>
      <c r="BH3227">
        <v>0</v>
      </c>
      <c r="BI3227">
        <v>0</v>
      </c>
      <c r="BJ3227">
        <v>4350</v>
      </c>
      <c r="BK3227">
        <v>50</v>
      </c>
      <c r="BL3227" t="s">
        <v>188</v>
      </c>
      <c r="BM3227">
        <v>1</v>
      </c>
      <c r="BN3227">
        <v>1</v>
      </c>
      <c r="BO3227">
        <v>0</v>
      </c>
      <c r="BP3227">
        <v>0</v>
      </c>
      <c r="BS3227">
        <v>0</v>
      </c>
      <c r="BT3227">
        <v>0</v>
      </c>
      <c r="BU3227">
        <v>0</v>
      </c>
      <c r="CE3227" t="str">
        <f t="shared" si="1279"/>
        <v>15:13:29.315</v>
      </c>
      <c r="CF3227">
        <v>315307152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3</v>
      </c>
      <c r="CY3227">
        <v>7</v>
      </c>
      <c r="CZ3227" t="s">
        <v>133</v>
      </c>
      <c r="DA3227">
        <v>276</v>
      </c>
      <c r="DB3227">
        <v>0</v>
      </c>
      <c r="DC3227" t="s">
        <v>402</v>
      </c>
      <c r="DD3227" t="s">
        <v>403</v>
      </c>
      <c r="DG3227">
        <v>1627951</v>
      </c>
      <c r="DI3227">
        <v>1</v>
      </c>
      <c r="DJ3227">
        <v>0</v>
      </c>
      <c r="DK3227">
        <v>1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3">
      <c r="A3228" t="str">
        <f>"05/01/2025 15:13:29.548"</f>
        <v>05/01/2025 15:13:29.548</v>
      </c>
      <c r="C3228" t="str">
        <f t="shared" si="1268"/>
        <v>FFDFD3C0</v>
      </c>
      <c r="D3228" t="s">
        <v>136</v>
      </c>
      <c r="E3228" t="str">
        <f>"20"</f>
        <v>20</v>
      </c>
      <c r="H3228">
        <v>400</v>
      </c>
      <c r="I3228" t="s">
        <v>137</v>
      </c>
      <c r="J3228" t="s">
        <v>138</v>
      </c>
      <c r="K3228">
        <v>0</v>
      </c>
      <c r="L3228">
        <v>3</v>
      </c>
      <c r="M3228">
        <v>0</v>
      </c>
      <c r="N3228">
        <v>2</v>
      </c>
      <c r="O3228">
        <v>0</v>
      </c>
      <c r="P3228">
        <v>1</v>
      </c>
      <c r="Q3228">
        <v>0</v>
      </c>
      <c r="R3228" t="s">
        <v>127</v>
      </c>
      <c r="S3228" t="str">
        <f t="shared" si="1278"/>
        <v>15:13:29.000</v>
      </c>
      <c r="T3228" t="str">
        <f t="shared" si="1278"/>
        <v>15:13:29.000</v>
      </c>
      <c r="U3228" t="str">
        <f t="shared" si="1269"/>
        <v>A68FCB</v>
      </c>
      <c r="V3228">
        <v>0</v>
      </c>
      <c r="W3228">
        <v>0</v>
      </c>
      <c r="X3228">
        <v>2</v>
      </c>
      <c r="Y3228">
        <v>0</v>
      </c>
      <c r="AA3228">
        <v>1</v>
      </c>
      <c r="AB3228">
        <v>8</v>
      </c>
      <c r="AC3228">
        <v>3</v>
      </c>
      <c r="AD3228">
        <v>0</v>
      </c>
      <c r="AE3228">
        <v>9</v>
      </c>
      <c r="AF3228" t="s">
        <v>138</v>
      </c>
      <c r="AG3228">
        <v>0</v>
      </c>
      <c r="AH3228">
        <v>3</v>
      </c>
      <c r="AI3228">
        <v>2</v>
      </c>
      <c r="AJ3228">
        <v>0</v>
      </c>
      <c r="AK3228" t="s">
        <v>1077</v>
      </c>
      <c r="AL3228">
        <v>39.130211000000003</v>
      </c>
      <c r="AM3228" t="s">
        <v>1078</v>
      </c>
      <c r="AN3228">
        <v>-121.03137700000001</v>
      </c>
      <c r="AO3228">
        <v>25</v>
      </c>
      <c r="AP3228">
        <v>4300</v>
      </c>
      <c r="AQ3228" t="s">
        <v>131</v>
      </c>
      <c r="AR3228">
        <v>6</v>
      </c>
      <c r="AS3228">
        <v>83</v>
      </c>
      <c r="AT3228">
        <v>-64</v>
      </c>
      <c r="BB3228" t="str">
        <f t="shared" si="1270"/>
        <v>1200</v>
      </c>
      <c r="BC3228">
        <v>1</v>
      </c>
      <c r="BD3228" t="str">
        <f t="shared" si="1271"/>
        <v xml:space="preserve">N52156  </v>
      </c>
      <c r="BE3228">
        <v>1</v>
      </c>
      <c r="BG3228">
        <v>0</v>
      </c>
      <c r="BH3228">
        <v>0</v>
      </c>
      <c r="BI3228">
        <v>0</v>
      </c>
      <c r="BJ3228">
        <v>4350</v>
      </c>
      <c r="BK3228">
        <v>50</v>
      </c>
      <c r="BL3228" t="s">
        <v>188</v>
      </c>
      <c r="BM3228">
        <v>1</v>
      </c>
      <c r="BN3228">
        <v>1</v>
      </c>
      <c r="BO3228">
        <v>0</v>
      </c>
      <c r="BP3228">
        <v>0</v>
      </c>
      <c r="BS3228">
        <v>0</v>
      </c>
      <c r="BT3228">
        <v>0</v>
      </c>
      <c r="BU3228">
        <v>0</v>
      </c>
      <c r="CE3228" t="str">
        <f t="shared" si="1279"/>
        <v>15:13:29.315</v>
      </c>
      <c r="CF3228">
        <v>315307152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3</v>
      </c>
      <c r="CY3228">
        <v>7</v>
      </c>
      <c r="CZ3228" t="s">
        <v>133</v>
      </c>
      <c r="DA3228">
        <v>276</v>
      </c>
      <c r="DB3228">
        <v>0</v>
      </c>
      <c r="DC3228" t="s">
        <v>402</v>
      </c>
      <c r="DD3228" t="s">
        <v>403</v>
      </c>
      <c r="DG3228">
        <v>1627951</v>
      </c>
      <c r="DI3228">
        <v>1</v>
      </c>
      <c r="DJ3228">
        <v>0</v>
      </c>
      <c r="DK3228">
        <v>1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3">
      <c r="A3229" t="str">
        <f>"05/01/2025 15:13:29.558"</f>
        <v>05/01/2025 15:13:29.558</v>
      </c>
      <c r="C3229" t="str">
        <f t="shared" si="1268"/>
        <v>FFDFD3C0</v>
      </c>
      <c r="D3229" t="s">
        <v>143</v>
      </c>
      <c r="E3229" t="str">
        <f>"05"</f>
        <v>05</v>
      </c>
      <c r="H3229">
        <v>172</v>
      </c>
      <c r="I3229" t="s">
        <v>141</v>
      </c>
      <c r="J3229" t="s">
        <v>144</v>
      </c>
      <c r="K3229">
        <v>0</v>
      </c>
      <c r="L3229">
        <v>3</v>
      </c>
      <c r="M3229">
        <v>0</v>
      </c>
      <c r="N3229">
        <v>2</v>
      </c>
      <c r="O3229">
        <v>0</v>
      </c>
      <c r="P3229">
        <v>1</v>
      </c>
      <c r="Q3229">
        <v>0</v>
      </c>
      <c r="R3229" t="s">
        <v>127</v>
      </c>
      <c r="S3229" t="str">
        <f t="shared" si="1278"/>
        <v>15:13:29.000</v>
      </c>
      <c r="T3229" t="str">
        <f t="shared" si="1278"/>
        <v>15:13:29.000</v>
      </c>
      <c r="U3229" t="str">
        <f t="shared" si="1269"/>
        <v>A68FCB</v>
      </c>
      <c r="V3229">
        <v>0</v>
      </c>
      <c r="W3229">
        <v>0</v>
      </c>
      <c r="X3229">
        <v>2</v>
      </c>
      <c r="Y3229">
        <v>0</v>
      </c>
      <c r="AA3229">
        <v>1</v>
      </c>
      <c r="AB3229">
        <v>8</v>
      </c>
      <c r="AC3229">
        <v>3</v>
      </c>
      <c r="AD3229">
        <v>0</v>
      </c>
      <c r="AE3229">
        <v>9</v>
      </c>
      <c r="AF3229" t="s">
        <v>138</v>
      </c>
      <c r="AG3229">
        <v>0</v>
      </c>
      <c r="AH3229">
        <v>3</v>
      </c>
      <c r="AI3229">
        <v>2</v>
      </c>
      <c r="AJ3229">
        <v>0</v>
      </c>
      <c r="AK3229" t="s">
        <v>1077</v>
      </c>
      <c r="AL3229">
        <v>39.130211000000003</v>
      </c>
      <c r="AM3229" t="s">
        <v>1078</v>
      </c>
      <c r="AN3229">
        <v>-121.03137700000001</v>
      </c>
      <c r="AO3229">
        <v>25</v>
      </c>
      <c r="AP3229">
        <v>4300</v>
      </c>
      <c r="AQ3229" t="s">
        <v>131</v>
      </c>
      <c r="AR3229">
        <v>6</v>
      </c>
      <c r="AS3229">
        <v>83</v>
      </c>
      <c r="AT3229">
        <v>-64</v>
      </c>
      <c r="BB3229" t="str">
        <f t="shared" si="1270"/>
        <v>1200</v>
      </c>
      <c r="BC3229">
        <v>1</v>
      </c>
      <c r="BD3229" t="str">
        <f t="shared" si="1271"/>
        <v xml:space="preserve">N52156  </v>
      </c>
      <c r="BE3229">
        <v>1</v>
      </c>
      <c r="BG3229">
        <v>0</v>
      </c>
      <c r="BH3229">
        <v>0</v>
      </c>
      <c r="BI3229">
        <v>0</v>
      </c>
      <c r="BJ3229">
        <v>4350</v>
      </c>
      <c r="BK3229">
        <v>50</v>
      </c>
      <c r="BL3229" t="s">
        <v>188</v>
      </c>
      <c r="BM3229">
        <v>1</v>
      </c>
      <c r="BN3229">
        <v>1</v>
      </c>
      <c r="BO3229">
        <v>0</v>
      </c>
      <c r="BP3229">
        <v>0</v>
      </c>
      <c r="BS3229">
        <v>0</v>
      </c>
      <c r="BT3229">
        <v>0</v>
      </c>
      <c r="BU3229">
        <v>0</v>
      </c>
      <c r="CE3229" t="str">
        <f t="shared" si="1279"/>
        <v>15:13:29.315</v>
      </c>
      <c r="CF3229">
        <v>315307152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3</v>
      </c>
      <c r="CY3229">
        <v>7</v>
      </c>
      <c r="CZ3229" t="s">
        <v>133</v>
      </c>
      <c r="DA3229">
        <v>276</v>
      </c>
      <c r="DB3229">
        <v>0</v>
      </c>
      <c r="DC3229" t="s">
        <v>402</v>
      </c>
      <c r="DD3229" t="s">
        <v>403</v>
      </c>
      <c r="DG3229">
        <v>1627951</v>
      </c>
      <c r="DI3229">
        <v>1</v>
      </c>
      <c r="DJ3229">
        <v>0</v>
      </c>
      <c r="DK3229">
        <v>1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3">
      <c r="A3230" t="str">
        <f>"05/01/2025 15:13:30.775"</f>
        <v>05/01/2025 15:13:30.775</v>
      </c>
      <c r="C3230" t="str">
        <f t="shared" si="1268"/>
        <v>FFDFD3C0</v>
      </c>
      <c r="D3230" t="s">
        <v>140</v>
      </c>
      <c r="E3230" t="str">
        <f>"13"</f>
        <v>13</v>
      </c>
      <c r="F3230">
        <v>1019</v>
      </c>
      <c r="G3230" t="s">
        <v>141</v>
      </c>
      <c r="J3230" t="s">
        <v>142</v>
      </c>
      <c r="K3230">
        <v>0</v>
      </c>
      <c r="L3230">
        <v>3</v>
      </c>
      <c r="M3230">
        <v>0</v>
      </c>
      <c r="N3230">
        <v>2</v>
      </c>
      <c r="O3230">
        <v>0</v>
      </c>
      <c r="P3230">
        <v>1</v>
      </c>
      <c r="Q3230">
        <v>0</v>
      </c>
      <c r="R3230" t="s">
        <v>127</v>
      </c>
      <c r="S3230" t="str">
        <f t="shared" ref="S3230:T3235" si="1280">"15:13:30.000"</f>
        <v>15:13:30.000</v>
      </c>
      <c r="T3230" t="str">
        <f t="shared" si="1280"/>
        <v>15:13:30.000</v>
      </c>
      <c r="U3230" t="str">
        <f t="shared" si="1269"/>
        <v>A68FCB</v>
      </c>
      <c r="V3230">
        <v>0</v>
      </c>
      <c r="W3230">
        <v>0</v>
      </c>
      <c r="X3230">
        <v>2</v>
      </c>
      <c r="Y3230">
        <v>0</v>
      </c>
      <c r="AA3230">
        <v>1</v>
      </c>
      <c r="AB3230">
        <v>8</v>
      </c>
      <c r="AC3230">
        <v>3</v>
      </c>
      <c r="AD3230">
        <v>0</v>
      </c>
      <c r="AE3230">
        <v>9</v>
      </c>
      <c r="AF3230" t="s">
        <v>138</v>
      </c>
      <c r="AG3230">
        <v>0</v>
      </c>
      <c r="AH3230">
        <v>3</v>
      </c>
      <c r="AI3230">
        <v>2</v>
      </c>
      <c r="AJ3230">
        <v>0</v>
      </c>
      <c r="AK3230" t="s">
        <v>1079</v>
      </c>
      <c r="AL3230">
        <v>39.130619000000003</v>
      </c>
      <c r="AM3230" t="s">
        <v>1080</v>
      </c>
      <c r="AN3230">
        <v>-121.031334</v>
      </c>
      <c r="AO3230">
        <v>25</v>
      </c>
      <c r="AP3230">
        <v>4300</v>
      </c>
      <c r="AQ3230" t="s">
        <v>131</v>
      </c>
      <c r="AR3230">
        <v>5</v>
      </c>
      <c r="AS3230">
        <v>83</v>
      </c>
      <c r="AT3230">
        <v>0</v>
      </c>
      <c r="BB3230" t="str">
        <f t="shared" si="1270"/>
        <v>1200</v>
      </c>
      <c r="BC3230">
        <v>1</v>
      </c>
      <c r="BD3230" t="str">
        <f t="shared" si="1271"/>
        <v xml:space="preserve">N52156  </v>
      </c>
      <c r="BE3230">
        <v>1</v>
      </c>
      <c r="BG3230">
        <v>0</v>
      </c>
      <c r="BH3230">
        <v>0</v>
      </c>
      <c r="BI3230">
        <v>0</v>
      </c>
      <c r="BJ3230">
        <v>4350</v>
      </c>
      <c r="BK3230">
        <v>50</v>
      </c>
      <c r="BL3230" t="s">
        <v>188</v>
      </c>
      <c r="BM3230">
        <v>1</v>
      </c>
      <c r="BN3230">
        <v>1</v>
      </c>
      <c r="BO3230">
        <v>0</v>
      </c>
      <c r="BP3230">
        <v>0</v>
      </c>
      <c r="BS3230">
        <v>0</v>
      </c>
      <c r="BT3230">
        <v>0</v>
      </c>
      <c r="BU3230">
        <v>0</v>
      </c>
      <c r="CE3230" t="str">
        <f t="shared" ref="CE3230:CE3235" si="1281">"15:13:30.540"</f>
        <v>15:13:30.540</v>
      </c>
      <c r="CF3230">
        <v>539732291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3</v>
      </c>
      <c r="CY3230">
        <v>7</v>
      </c>
      <c r="CZ3230" t="s">
        <v>133</v>
      </c>
      <c r="DA3230">
        <v>275</v>
      </c>
      <c r="DB3230">
        <v>0</v>
      </c>
      <c r="DC3230" t="s">
        <v>134</v>
      </c>
      <c r="DD3230" t="s">
        <v>135</v>
      </c>
      <c r="DG3230">
        <v>3322499</v>
      </c>
      <c r="DI3230">
        <v>1</v>
      </c>
      <c r="DJ3230">
        <v>0</v>
      </c>
      <c r="DK3230">
        <v>0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3">
      <c r="A3231" t="str">
        <f>"05/01/2025 15:13:30.788"</f>
        <v>05/01/2025 15:13:30.788</v>
      </c>
      <c r="C3231" t="str">
        <f t="shared" si="1268"/>
        <v>FFDFD3C0</v>
      </c>
      <c r="D3231" t="s">
        <v>145</v>
      </c>
      <c r="E3231" t="str">
        <f>"05"</f>
        <v>05</v>
      </c>
      <c r="H3231">
        <v>47</v>
      </c>
      <c r="I3231" t="s">
        <v>146</v>
      </c>
      <c r="J3231" t="s">
        <v>138</v>
      </c>
      <c r="K3231">
        <v>0</v>
      </c>
      <c r="L3231">
        <v>3</v>
      </c>
      <c r="M3231">
        <v>0</v>
      </c>
      <c r="N3231">
        <v>2</v>
      </c>
      <c r="O3231">
        <v>0</v>
      </c>
      <c r="P3231">
        <v>1</v>
      </c>
      <c r="Q3231">
        <v>0</v>
      </c>
      <c r="R3231" t="s">
        <v>127</v>
      </c>
      <c r="S3231" t="str">
        <f t="shared" si="1280"/>
        <v>15:13:30.000</v>
      </c>
      <c r="T3231" t="str">
        <f t="shared" si="1280"/>
        <v>15:13:30.000</v>
      </c>
      <c r="U3231" t="str">
        <f t="shared" si="1269"/>
        <v>A68FCB</v>
      </c>
      <c r="V3231">
        <v>0</v>
      </c>
      <c r="W3231">
        <v>0</v>
      </c>
      <c r="X3231">
        <v>2</v>
      </c>
      <c r="Y3231">
        <v>0</v>
      </c>
      <c r="AA3231">
        <v>1</v>
      </c>
      <c r="AB3231">
        <v>8</v>
      </c>
      <c r="AC3231">
        <v>3</v>
      </c>
      <c r="AD3231">
        <v>0</v>
      </c>
      <c r="AE3231">
        <v>9</v>
      </c>
      <c r="AF3231" t="s">
        <v>138</v>
      </c>
      <c r="AG3231">
        <v>0</v>
      </c>
      <c r="AH3231">
        <v>3</v>
      </c>
      <c r="AI3231">
        <v>2</v>
      </c>
      <c r="AJ3231">
        <v>0</v>
      </c>
      <c r="AK3231" t="s">
        <v>1079</v>
      </c>
      <c r="AL3231">
        <v>39.130619000000003</v>
      </c>
      <c r="AM3231" t="s">
        <v>1080</v>
      </c>
      <c r="AN3231">
        <v>-121.031334</v>
      </c>
      <c r="AO3231">
        <v>25</v>
      </c>
      <c r="AP3231">
        <v>4300</v>
      </c>
      <c r="AQ3231" t="s">
        <v>131</v>
      </c>
      <c r="AR3231">
        <v>5</v>
      </c>
      <c r="AS3231">
        <v>83</v>
      </c>
      <c r="AT3231">
        <v>0</v>
      </c>
      <c r="BB3231" t="str">
        <f t="shared" si="1270"/>
        <v>1200</v>
      </c>
      <c r="BC3231">
        <v>1</v>
      </c>
      <c r="BD3231" t="str">
        <f t="shared" si="1271"/>
        <v xml:space="preserve">N52156  </v>
      </c>
      <c r="BE3231">
        <v>1</v>
      </c>
      <c r="BG3231">
        <v>0</v>
      </c>
      <c r="BH3231">
        <v>0</v>
      </c>
      <c r="BI3231">
        <v>0</v>
      </c>
      <c r="BJ3231">
        <v>4350</v>
      </c>
      <c r="BK3231">
        <v>50</v>
      </c>
      <c r="BL3231" t="s">
        <v>188</v>
      </c>
      <c r="BM3231">
        <v>1</v>
      </c>
      <c r="BN3231">
        <v>1</v>
      </c>
      <c r="BO3231">
        <v>0</v>
      </c>
      <c r="BP3231">
        <v>0</v>
      </c>
      <c r="BS3231">
        <v>0</v>
      </c>
      <c r="BT3231">
        <v>0</v>
      </c>
      <c r="BU3231">
        <v>0</v>
      </c>
      <c r="CE3231" t="str">
        <f t="shared" si="1281"/>
        <v>15:13:30.540</v>
      </c>
      <c r="CF3231">
        <v>539732291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3</v>
      </c>
      <c r="CY3231">
        <v>7</v>
      </c>
      <c r="CZ3231" t="s">
        <v>133</v>
      </c>
      <c r="DA3231">
        <v>275</v>
      </c>
      <c r="DB3231">
        <v>0</v>
      </c>
      <c r="DC3231" t="s">
        <v>134</v>
      </c>
      <c r="DD3231" t="s">
        <v>135</v>
      </c>
      <c r="DG3231">
        <v>3322499</v>
      </c>
      <c r="DI3231">
        <v>1</v>
      </c>
      <c r="DJ3231">
        <v>0</v>
      </c>
      <c r="DK3231">
        <v>1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3">
      <c r="A3232" t="str">
        <f>"05/01/2025 15:13:30.787"</f>
        <v>05/01/2025 15:13:30.787</v>
      </c>
      <c r="C3232" t="str">
        <f t="shared" si="1268"/>
        <v>FFDFD3C0</v>
      </c>
      <c r="D3232" t="s">
        <v>145</v>
      </c>
      <c r="E3232" t="str">
        <f>"09"</f>
        <v>09</v>
      </c>
      <c r="H3232">
        <v>51</v>
      </c>
      <c r="I3232" t="s">
        <v>147</v>
      </c>
      <c r="J3232" t="s">
        <v>138</v>
      </c>
      <c r="K3232">
        <v>0</v>
      </c>
      <c r="L3232">
        <v>3</v>
      </c>
      <c r="M3232">
        <v>0</v>
      </c>
      <c r="N3232">
        <v>2</v>
      </c>
      <c r="O3232">
        <v>0</v>
      </c>
      <c r="P3232">
        <v>1</v>
      </c>
      <c r="Q3232">
        <v>0</v>
      </c>
      <c r="R3232" t="s">
        <v>127</v>
      </c>
      <c r="S3232" t="str">
        <f t="shared" si="1280"/>
        <v>15:13:30.000</v>
      </c>
      <c r="T3232" t="str">
        <f t="shared" si="1280"/>
        <v>15:13:30.000</v>
      </c>
      <c r="U3232" t="str">
        <f t="shared" si="1269"/>
        <v>A68FCB</v>
      </c>
      <c r="V3232">
        <v>0</v>
      </c>
      <c r="W3232">
        <v>0</v>
      </c>
      <c r="X3232">
        <v>2</v>
      </c>
      <c r="Y3232">
        <v>0</v>
      </c>
      <c r="AA3232">
        <v>1</v>
      </c>
      <c r="AB3232">
        <v>8</v>
      </c>
      <c r="AC3232">
        <v>3</v>
      </c>
      <c r="AD3232">
        <v>0</v>
      </c>
      <c r="AE3232">
        <v>9</v>
      </c>
      <c r="AF3232" t="s">
        <v>138</v>
      </c>
      <c r="AG3232">
        <v>0</v>
      </c>
      <c r="AH3232">
        <v>3</v>
      </c>
      <c r="AI3232">
        <v>2</v>
      </c>
      <c r="AJ3232">
        <v>0</v>
      </c>
      <c r="AK3232" t="s">
        <v>1079</v>
      </c>
      <c r="AL3232">
        <v>39.130619000000003</v>
      </c>
      <c r="AM3232" t="s">
        <v>1080</v>
      </c>
      <c r="AN3232">
        <v>-121.031334</v>
      </c>
      <c r="AO3232">
        <v>25</v>
      </c>
      <c r="AP3232">
        <v>4300</v>
      </c>
      <c r="AQ3232" t="s">
        <v>131</v>
      </c>
      <c r="AR3232">
        <v>5</v>
      </c>
      <c r="AS3232">
        <v>83</v>
      </c>
      <c r="AT3232">
        <v>0</v>
      </c>
      <c r="BB3232" t="str">
        <f t="shared" si="1270"/>
        <v>1200</v>
      </c>
      <c r="BC3232">
        <v>1</v>
      </c>
      <c r="BD3232" t="str">
        <f t="shared" si="1271"/>
        <v xml:space="preserve">N52156  </v>
      </c>
      <c r="BE3232">
        <v>1</v>
      </c>
      <c r="BG3232">
        <v>0</v>
      </c>
      <c r="BH3232">
        <v>0</v>
      </c>
      <c r="BI3232">
        <v>0</v>
      </c>
      <c r="BJ3232">
        <v>4350</v>
      </c>
      <c r="BK3232">
        <v>50</v>
      </c>
      <c r="BL3232" t="s">
        <v>188</v>
      </c>
      <c r="BM3232">
        <v>1</v>
      </c>
      <c r="BN3232">
        <v>1</v>
      </c>
      <c r="BO3232">
        <v>0</v>
      </c>
      <c r="BP3232">
        <v>0</v>
      </c>
      <c r="BS3232">
        <v>0</v>
      </c>
      <c r="BT3232">
        <v>0</v>
      </c>
      <c r="BU3232">
        <v>0</v>
      </c>
      <c r="CE3232" t="str">
        <f t="shared" si="1281"/>
        <v>15:13:30.540</v>
      </c>
      <c r="CF3232">
        <v>539732291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3</v>
      </c>
      <c r="CY3232">
        <v>7</v>
      </c>
      <c r="CZ3232" t="s">
        <v>133</v>
      </c>
      <c r="DA3232">
        <v>275</v>
      </c>
      <c r="DB3232">
        <v>0</v>
      </c>
      <c r="DC3232" t="s">
        <v>134</v>
      </c>
      <c r="DD3232" t="s">
        <v>135</v>
      </c>
      <c r="DG3232">
        <v>3322499</v>
      </c>
      <c r="DI3232">
        <v>1</v>
      </c>
      <c r="DJ3232">
        <v>0</v>
      </c>
      <c r="DK3232">
        <v>1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3">
      <c r="A3233" t="str">
        <f>"05/01/2025 15:13:30.799"</f>
        <v>05/01/2025 15:13:30.799</v>
      </c>
      <c r="C3233" t="str">
        <f t="shared" si="1268"/>
        <v>FFDFD3C0</v>
      </c>
      <c r="D3233" t="s">
        <v>136</v>
      </c>
      <c r="E3233" t="str">
        <f>"20"</f>
        <v>20</v>
      </c>
      <c r="H3233">
        <v>400</v>
      </c>
      <c r="I3233" t="s">
        <v>137</v>
      </c>
      <c r="J3233" t="s">
        <v>138</v>
      </c>
      <c r="K3233">
        <v>0</v>
      </c>
      <c r="L3233">
        <v>3</v>
      </c>
      <c r="M3233">
        <v>0</v>
      </c>
      <c r="N3233">
        <v>2</v>
      </c>
      <c r="O3233">
        <v>0</v>
      </c>
      <c r="P3233">
        <v>1</v>
      </c>
      <c r="Q3233">
        <v>0</v>
      </c>
      <c r="R3233" t="s">
        <v>127</v>
      </c>
      <c r="S3233" t="str">
        <f t="shared" si="1280"/>
        <v>15:13:30.000</v>
      </c>
      <c r="T3233" t="str">
        <f t="shared" si="1280"/>
        <v>15:13:30.000</v>
      </c>
      <c r="U3233" t="str">
        <f t="shared" si="1269"/>
        <v>A68FCB</v>
      </c>
      <c r="V3233">
        <v>0</v>
      </c>
      <c r="W3233">
        <v>0</v>
      </c>
      <c r="X3233">
        <v>2</v>
      </c>
      <c r="Y3233">
        <v>0</v>
      </c>
      <c r="AA3233">
        <v>1</v>
      </c>
      <c r="AB3233">
        <v>8</v>
      </c>
      <c r="AC3233">
        <v>3</v>
      </c>
      <c r="AD3233">
        <v>0</v>
      </c>
      <c r="AE3233">
        <v>9</v>
      </c>
      <c r="AF3233" t="s">
        <v>138</v>
      </c>
      <c r="AG3233">
        <v>0</v>
      </c>
      <c r="AH3233">
        <v>3</v>
      </c>
      <c r="AI3233">
        <v>2</v>
      </c>
      <c r="AJ3233">
        <v>0</v>
      </c>
      <c r="AK3233" t="s">
        <v>1079</v>
      </c>
      <c r="AL3233">
        <v>39.130619000000003</v>
      </c>
      <c r="AM3233" t="s">
        <v>1080</v>
      </c>
      <c r="AN3233">
        <v>-121.031334</v>
      </c>
      <c r="AO3233">
        <v>25</v>
      </c>
      <c r="AP3233">
        <v>4300</v>
      </c>
      <c r="AQ3233" t="s">
        <v>131</v>
      </c>
      <c r="AR3233">
        <v>5</v>
      </c>
      <c r="AS3233">
        <v>83</v>
      </c>
      <c r="AT3233">
        <v>0</v>
      </c>
      <c r="BB3233" t="str">
        <f t="shared" si="1270"/>
        <v>1200</v>
      </c>
      <c r="BC3233">
        <v>1</v>
      </c>
      <c r="BD3233" t="str">
        <f t="shared" si="1271"/>
        <v xml:space="preserve">N52156  </v>
      </c>
      <c r="BE3233">
        <v>1</v>
      </c>
      <c r="BG3233">
        <v>0</v>
      </c>
      <c r="BH3233">
        <v>0</v>
      </c>
      <c r="BI3233">
        <v>0</v>
      </c>
      <c r="BJ3233">
        <v>4350</v>
      </c>
      <c r="BK3233">
        <v>50</v>
      </c>
      <c r="BL3233" t="s">
        <v>188</v>
      </c>
      <c r="BM3233">
        <v>1</v>
      </c>
      <c r="BN3233">
        <v>1</v>
      </c>
      <c r="BO3233">
        <v>0</v>
      </c>
      <c r="BP3233">
        <v>0</v>
      </c>
      <c r="BS3233">
        <v>0</v>
      </c>
      <c r="BT3233">
        <v>0</v>
      </c>
      <c r="BU3233">
        <v>0</v>
      </c>
      <c r="CE3233" t="str">
        <f t="shared" si="1281"/>
        <v>15:13:30.540</v>
      </c>
      <c r="CF3233">
        <v>539732291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3</v>
      </c>
      <c r="CY3233">
        <v>7</v>
      </c>
      <c r="CZ3233" t="s">
        <v>133</v>
      </c>
      <c r="DA3233">
        <v>275</v>
      </c>
      <c r="DB3233">
        <v>0</v>
      </c>
      <c r="DC3233" t="s">
        <v>134</v>
      </c>
      <c r="DD3233" t="s">
        <v>135</v>
      </c>
      <c r="DG3233">
        <v>3322499</v>
      </c>
      <c r="DI3233">
        <v>1</v>
      </c>
      <c r="DJ3233">
        <v>0</v>
      </c>
      <c r="DK3233">
        <v>1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3">
      <c r="A3234" t="str">
        <f>"05/01/2025 15:13:30.811"</f>
        <v>05/01/2025 15:13:30.811</v>
      </c>
      <c r="C3234" t="str">
        <f t="shared" si="1268"/>
        <v>FFDFD3C0</v>
      </c>
      <c r="D3234" t="s">
        <v>143</v>
      </c>
      <c r="E3234" t="str">
        <f>"05"</f>
        <v>05</v>
      </c>
      <c r="H3234">
        <v>172</v>
      </c>
      <c r="I3234" t="s">
        <v>141</v>
      </c>
      <c r="J3234" t="s">
        <v>144</v>
      </c>
      <c r="K3234">
        <v>0</v>
      </c>
      <c r="L3234">
        <v>3</v>
      </c>
      <c r="M3234">
        <v>0</v>
      </c>
      <c r="N3234">
        <v>2</v>
      </c>
      <c r="O3234">
        <v>0</v>
      </c>
      <c r="P3234">
        <v>1</v>
      </c>
      <c r="Q3234">
        <v>0</v>
      </c>
      <c r="R3234" t="s">
        <v>127</v>
      </c>
      <c r="S3234" t="str">
        <f t="shared" si="1280"/>
        <v>15:13:30.000</v>
      </c>
      <c r="T3234" t="str">
        <f t="shared" si="1280"/>
        <v>15:13:30.000</v>
      </c>
      <c r="U3234" t="str">
        <f t="shared" si="1269"/>
        <v>A68FCB</v>
      </c>
      <c r="V3234">
        <v>0</v>
      </c>
      <c r="W3234">
        <v>0</v>
      </c>
      <c r="X3234">
        <v>2</v>
      </c>
      <c r="Y3234">
        <v>0</v>
      </c>
      <c r="AA3234">
        <v>1</v>
      </c>
      <c r="AB3234">
        <v>8</v>
      </c>
      <c r="AC3234">
        <v>3</v>
      </c>
      <c r="AD3234">
        <v>0</v>
      </c>
      <c r="AE3234">
        <v>9</v>
      </c>
      <c r="AF3234" t="s">
        <v>138</v>
      </c>
      <c r="AG3234">
        <v>0</v>
      </c>
      <c r="AH3234">
        <v>3</v>
      </c>
      <c r="AI3234">
        <v>2</v>
      </c>
      <c r="AJ3234">
        <v>0</v>
      </c>
      <c r="AK3234" t="s">
        <v>1079</v>
      </c>
      <c r="AL3234">
        <v>39.130619000000003</v>
      </c>
      <c r="AM3234" t="s">
        <v>1080</v>
      </c>
      <c r="AN3234">
        <v>-121.031334</v>
      </c>
      <c r="AO3234">
        <v>25</v>
      </c>
      <c r="AP3234">
        <v>4300</v>
      </c>
      <c r="AQ3234" t="s">
        <v>131</v>
      </c>
      <c r="AR3234">
        <v>5</v>
      </c>
      <c r="AS3234">
        <v>83</v>
      </c>
      <c r="AT3234">
        <v>0</v>
      </c>
      <c r="BB3234" t="str">
        <f t="shared" si="1270"/>
        <v>1200</v>
      </c>
      <c r="BC3234">
        <v>1</v>
      </c>
      <c r="BD3234" t="str">
        <f t="shared" si="1271"/>
        <v xml:space="preserve">N52156  </v>
      </c>
      <c r="BE3234">
        <v>1</v>
      </c>
      <c r="BG3234">
        <v>0</v>
      </c>
      <c r="BH3234">
        <v>0</v>
      </c>
      <c r="BI3234">
        <v>0</v>
      </c>
      <c r="BJ3234">
        <v>4350</v>
      </c>
      <c r="BK3234">
        <v>50</v>
      </c>
      <c r="BL3234" t="s">
        <v>188</v>
      </c>
      <c r="BM3234">
        <v>1</v>
      </c>
      <c r="BN3234">
        <v>1</v>
      </c>
      <c r="BO3234">
        <v>0</v>
      </c>
      <c r="BP3234">
        <v>0</v>
      </c>
      <c r="BS3234">
        <v>0</v>
      </c>
      <c r="BT3234">
        <v>0</v>
      </c>
      <c r="BU3234">
        <v>0</v>
      </c>
      <c r="CE3234" t="str">
        <f t="shared" si="1281"/>
        <v>15:13:30.540</v>
      </c>
      <c r="CF3234">
        <v>539732291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3</v>
      </c>
      <c r="CY3234">
        <v>7</v>
      </c>
      <c r="CZ3234" t="s">
        <v>133</v>
      </c>
      <c r="DA3234">
        <v>275</v>
      </c>
      <c r="DB3234">
        <v>0</v>
      </c>
      <c r="DC3234" t="s">
        <v>134</v>
      </c>
      <c r="DD3234" t="s">
        <v>135</v>
      </c>
      <c r="DG3234">
        <v>3322499</v>
      </c>
      <c r="DI3234">
        <v>1</v>
      </c>
      <c r="DJ3234">
        <v>0</v>
      </c>
      <c r="DK3234">
        <v>1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3">
      <c r="A3235" t="str">
        <f>"05/01/2025 15:13:30.824"</f>
        <v>05/01/2025 15:13:30.824</v>
      </c>
      <c r="C3235" t="str">
        <f t="shared" si="1268"/>
        <v>FFDFD3C0</v>
      </c>
      <c r="D3235" t="s">
        <v>124</v>
      </c>
      <c r="E3235" t="str">
        <f>"06"</f>
        <v>06</v>
      </c>
      <c r="F3235">
        <v>2006</v>
      </c>
      <c r="G3235" t="s">
        <v>125</v>
      </c>
      <c r="J3235" t="s">
        <v>126</v>
      </c>
      <c r="K3235">
        <v>0</v>
      </c>
      <c r="L3235">
        <v>3</v>
      </c>
      <c r="M3235">
        <v>0</v>
      </c>
      <c r="N3235">
        <v>2</v>
      </c>
      <c r="O3235">
        <v>0</v>
      </c>
      <c r="P3235">
        <v>1</v>
      </c>
      <c r="Q3235">
        <v>0</v>
      </c>
      <c r="R3235" t="s">
        <v>127</v>
      </c>
      <c r="S3235" t="str">
        <f t="shared" si="1280"/>
        <v>15:13:30.000</v>
      </c>
      <c r="T3235" t="str">
        <f t="shared" si="1280"/>
        <v>15:13:30.000</v>
      </c>
      <c r="U3235" t="str">
        <f t="shared" si="1269"/>
        <v>A68FCB</v>
      </c>
      <c r="V3235">
        <v>0</v>
      </c>
      <c r="W3235">
        <v>0</v>
      </c>
      <c r="X3235">
        <v>2</v>
      </c>
      <c r="Y3235">
        <v>0</v>
      </c>
      <c r="AA3235">
        <v>1</v>
      </c>
      <c r="AB3235">
        <v>8</v>
      </c>
      <c r="AC3235">
        <v>3</v>
      </c>
      <c r="AD3235">
        <v>0</v>
      </c>
      <c r="AE3235">
        <v>9</v>
      </c>
      <c r="AF3235" t="s">
        <v>138</v>
      </c>
      <c r="AG3235">
        <v>0</v>
      </c>
      <c r="AH3235">
        <v>3</v>
      </c>
      <c r="AI3235">
        <v>2</v>
      </c>
      <c r="AJ3235">
        <v>0</v>
      </c>
      <c r="AK3235" t="s">
        <v>1079</v>
      </c>
      <c r="AL3235">
        <v>39.130619000000003</v>
      </c>
      <c r="AM3235" t="s">
        <v>1080</v>
      </c>
      <c r="AN3235">
        <v>-121.031334</v>
      </c>
      <c r="AO3235">
        <v>25</v>
      </c>
      <c r="AP3235">
        <v>4300</v>
      </c>
      <c r="AQ3235" t="s">
        <v>131</v>
      </c>
      <c r="AR3235">
        <v>5</v>
      </c>
      <c r="AS3235">
        <v>83</v>
      </c>
      <c r="AT3235">
        <v>0</v>
      </c>
      <c r="BB3235" t="str">
        <f t="shared" si="1270"/>
        <v>1200</v>
      </c>
      <c r="BC3235">
        <v>1</v>
      </c>
      <c r="BD3235" t="str">
        <f t="shared" si="1271"/>
        <v xml:space="preserve">N52156  </v>
      </c>
      <c r="BE3235">
        <v>1</v>
      </c>
      <c r="BG3235">
        <v>0</v>
      </c>
      <c r="BH3235">
        <v>0</v>
      </c>
      <c r="BI3235">
        <v>0</v>
      </c>
      <c r="BJ3235">
        <v>4350</v>
      </c>
      <c r="BK3235">
        <v>50</v>
      </c>
      <c r="BL3235" t="s">
        <v>188</v>
      </c>
      <c r="BM3235">
        <v>1</v>
      </c>
      <c r="BN3235">
        <v>1</v>
      </c>
      <c r="BO3235">
        <v>0</v>
      </c>
      <c r="BP3235">
        <v>0</v>
      </c>
      <c r="BS3235">
        <v>0</v>
      </c>
      <c r="BT3235">
        <v>0</v>
      </c>
      <c r="BU3235">
        <v>0</v>
      </c>
      <c r="CE3235" t="str">
        <f t="shared" si="1281"/>
        <v>15:13:30.540</v>
      </c>
      <c r="CF3235">
        <v>539732291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3</v>
      </c>
      <c r="CY3235">
        <v>7</v>
      </c>
      <c r="CZ3235" t="s">
        <v>133</v>
      </c>
      <c r="DA3235">
        <v>275</v>
      </c>
      <c r="DB3235">
        <v>0</v>
      </c>
      <c r="DC3235" t="s">
        <v>134</v>
      </c>
      <c r="DD3235" t="s">
        <v>135</v>
      </c>
      <c r="DG3235">
        <v>3322499</v>
      </c>
      <c r="DI3235">
        <v>1</v>
      </c>
      <c r="DJ3235">
        <v>0</v>
      </c>
      <c r="DK3235">
        <v>1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3">
      <c r="A3236" t="str">
        <f>"05/01/2025 15:13:31.512"</f>
        <v>05/01/2025 15:13:31.512</v>
      </c>
      <c r="C3236" t="str">
        <f t="shared" si="1268"/>
        <v>FFDFD3C0</v>
      </c>
      <c r="D3236" t="s">
        <v>143</v>
      </c>
      <c r="E3236" t="str">
        <f>"05"</f>
        <v>05</v>
      </c>
      <c r="H3236">
        <v>172</v>
      </c>
      <c r="I3236" t="s">
        <v>141</v>
      </c>
      <c r="J3236" t="s">
        <v>144</v>
      </c>
      <c r="K3236">
        <v>0</v>
      </c>
      <c r="L3236">
        <v>3</v>
      </c>
      <c r="M3236">
        <v>0</v>
      </c>
      <c r="N3236">
        <v>2</v>
      </c>
      <c r="O3236">
        <v>0</v>
      </c>
      <c r="P3236">
        <v>1</v>
      </c>
      <c r="Q3236">
        <v>0</v>
      </c>
      <c r="R3236" t="s">
        <v>127</v>
      </c>
      <c r="S3236" t="str">
        <f t="shared" ref="S3236:T3241" si="1282">"15:13:31.000"</f>
        <v>15:13:31.000</v>
      </c>
      <c r="T3236" t="str">
        <f t="shared" si="1282"/>
        <v>15:13:31.000</v>
      </c>
      <c r="U3236" t="str">
        <f t="shared" si="1269"/>
        <v>A68FCB</v>
      </c>
      <c r="V3236">
        <v>0</v>
      </c>
      <c r="W3236">
        <v>0</v>
      </c>
      <c r="X3236">
        <v>2</v>
      </c>
      <c r="Y3236">
        <v>0</v>
      </c>
      <c r="AA3236">
        <v>1</v>
      </c>
      <c r="AB3236">
        <v>8</v>
      </c>
      <c r="AC3236">
        <v>3</v>
      </c>
      <c r="AD3236">
        <v>0</v>
      </c>
      <c r="AE3236">
        <v>9</v>
      </c>
      <c r="AF3236" t="s">
        <v>138</v>
      </c>
      <c r="AG3236">
        <v>0</v>
      </c>
      <c r="AH3236">
        <v>3</v>
      </c>
      <c r="AI3236">
        <v>2</v>
      </c>
      <c r="AJ3236">
        <v>0</v>
      </c>
      <c r="AK3236" t="s">
        <v>1081</v>
      </c>
      <c r="AL3236">
        <v>39.131005000000002</v>
      </c>
      <c r="AM3236" t="s">
        <v>1082</v>
      </c>
      <c r="AN3236">
        <v>-121.031313</v>
      </c>
      <c r="AO3236">
        <v>25</v>
      </c>
      <c r="AP3236">
        <v>4300</v>
      </c>
      <c r="AQ3236" t="s">
        <v>131</v>
      </c>
      <c r="AR3236">
        <v>5</v>
      </c>
      <c r="AS3236">
        <v>84</v>
      </c>
      <c r="AT3236">
        <v>-64</v>
      </c>
      <c r="BB3236" t="str">
        <f t="shared" si="1270"/>
        <v>1200</v>
      </c>
      <c r="BC3236">
        <v>1</v>
      </c>
      <c r="BD3236" t="str">
        <f t="shared" si="1271"/>
        <v xml:space="preserve">N52156  </v>
      </c>
      <c r="BE3236">
        <v>1</v>
      </c>
      <c r="BG3236">
        <v>0</v>
      </c>
      <c r="BH3236">
        <v>0</v>
      </c>
      <c r="BI3236">
        <v>0</v>
      </c>
      <c r="BJ3236">
        <v>4350</v>
      </c>
      <c r="BK3236">
        <v>50</v>
      </c>
      <c r="BL3236" t="s">
        <v>188</v>
      </c>
      <c r="BM3236">
        <v>1</v>
      </c>
      <c r="BN3236">
        <v>1</v>
      </c>
      <c r="BO3236">
        <v>0</v>
      </c>
      <c r="BP3236">
        <v>0</v>
      </c>
      <c r="BS3236">
        <v>0</v>
      </c>
      <c r="BT3236">
        <v>0</v>
      </c>
      <c r="BU3236">
        <v>0</v>
      </c>
      <c r="CE3236" t="str">
        <f t="shared" ref="CE3236:CE3241" si="1283">"15:13:31.295"</f>
        <v>15:13:31.295</v>
      </c>
      <c r="CF3236">
        <v>294731743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4</v>
      </c>
      <c r="CY3236">
        <v>7</v>
      </c>
      <c r="CZ3236" t="s">
        <v>133</v>
      </c>
      <c r="DA3236">
        <v>275</v>
      </c>
      <c r="DB3236">
        <v>0</v>
      </c>
      <c r="DC3236" t="s">
        <v>134</v>
      </c>
      <c r="DD3236" t="s">
        <v>135</v>
      </c>
      <c r="DG3236">
        <v>3322504</v>
      </c>
      <c r="DI3236">
        <v>1</v>
      </c>
      <c r="DJ3236">
        <v>0</v>
      </c>
      <c r="DK3236">
        <v>0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3">
      <c r="A3237" t="str">
        <f>"05/01/2025 15:13:31.525"</f>
        <v>05/01/2025 15:13:31.525</v>
      </c>
      <c r="C3237" t="str">
        <f t="shared" si="1268"/>
        <v>FFDFD3C0</v>
      </c>
      <c r="D3237" t="s">
        <v>124</v>
      </c>
      <c r="E3237" t="str">
        <f>"06"</f>
        <v>06</v>
      </c>
      <c r="F3237">
        <v>2006</v>
      </c>
      <c r="G3237" t="s">
        <v>125</v>
      </c>
      <c r="J3237" t="s">
        <v>126</v>
      </c>
      <c r="K3237">
        <v>0</v>
      </c>
      <c r="L3237">
        <v>3</v>
      </c>
      <c r="M3237">
        <v>0</v>
      </c>
      <c r="N3237">
        <v>2</v>
      </c>
      <c r="O3237">
        <v>0</v>
      </c>
      <c r="P3237">
        <v>1</v>
      </c>
      <c r="Q3237">
        <v>0</v>
      </c>
      <c r="R3237" t="s">
        <v>127</v>
      </c>
      <c r="S3237" t="str">
        <f t="shared" si="1282"/>
        <v>15:13:31.000</v>
      </c>
      <c r="T3237" t="str">
        <f t="shared" si="1282"/>
        <v>15:13:31.000</v>
      </c>
      <c r="U3237" t="str">
        <f t="shared" si="1269"/>
        <v>A68FCB</v>
      </c>
      <c r="V3237">
        <v>0</v>
      </c>
      <c r="W3237">
        <v>0</v>
      </c>
      <c r="X3237">
        <v>2</v>
      </c>
      <c r="Y3237">
        <v>0</v>
      </c>
      <c r="AA3237">
        <v>1</v>
      </c>
      <c r="AB3237">
        <v>8</v>
      </c>
      <c r="AC3237">
        <v>3</v>
      </c>
      <c r="AD3237">
        <v>0</v>
      </c>
      <c r="AE3237">
        <v>9</v>
      </c>
      <c r="AF3237" t="s">
        <v>138</v>
      </c>
      <c r="AG3237">
        <v>0</v>
      </c>
      <c r="AH3237">
        <v>3</v>
      </c>
      <c r="AI3237">
        <v>2</v>
      </c>
      <c r="AJ3237">
        <v>0</v>
      </c>
      <c r="AK3237" t="s">
        <v>1081</v>
      </c>
      <c r="AL3237">
        <v>39.131005000000002</v>
      </c>
      <c r="AM3237" t="s">
        <v>1082</v>
      </c>
      <c r="AN3237">
        <v>-121.031313</v>
      </c>
      <c r="AO3237">
        <v>25</v>
      </c>
      <c r="AP3237">
        <v>4300</v>
      </c>
      <c r="AQ3237" t="s">
        <v>131</v>
      </c>
      <c r="AR3237">
        <v>5</v>
      </c>
      <c r="AS3237">
        <v>84</v>
      </c>
      <c r="AT3237">
        <v>-64</v>
      </c>
      <c r="BB3237" t="str">
        <f t="shared" si="1270"/>
        <v>1200</v>
      </c>
      <c r="BC3237">
        <v>1</v>
      </c>
      <c r="BD3237" t="str">
        <f t="shared" si="1271"/>
        <v xml:space="preserve">N52156  </v>
      </c>
      <c r="BE3237">
        <v>1</v>
      </c>
      <c r="BG3237">
        <v>0</v>
      </c>
      <c r="BH3237">
        <v>0</v>
      </c>
      <c r="BI3237">
        <v>0</v>
      </c>
      <c r="BJ3237">
        <v>4350</v>
      </c>
      <c r="BK3237">
        <v>50</v>
      </c>
      <c r="BL3237" t="s">
        <v>188</v>
      </c>
      <c r="BM3237">
        <v>1</v>
      </c>
      <c r="BN3237">
        <v>1</v>
      </c>
      <c r="BO3237">
        <v>0</v>
      </c>
      <c r="BP3237">
        <v>0</v>
      </c>
      <c r="BS3237">
        <v>0</v>
      </c>
      <c r="BT3237">
        <v>0</v>
      </c>
      <c r="BU3237">
        <v>0</v>
      </c>
      <c r="CE3237" t="str">
        <f t="shared" si="1283"/>
        <v>15:13:31.295</v>
      </c>
      <c r="CF3237">
        <v>294731743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4</v>
      </c>
      <c r="CY3237">
        <v>7</v>
      </c>
      <c r="CZ3237" t="s">
        <v>133</v>
      </c>
      <c r="DA3237">
        <v>275</v>
      </c>
      <c r="DB3237">
        <v>0</v>
      </c>
      <c r="DC3237" t="s">
        <v>134</v>
      </c>
      <c r="DD3237" t="s">
        <v>135</v>
      </c>
      <c r="DG3237">
        <v>3322504</v>
      </c>
      <c r="DI3237">
        <v>1</v>
      </c>
      <c r="DJ3237">
        <v>0</v>
      </c>
      <c r="DK3237">
        <v>1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3">
      <c r="A3238" t="str">
        <f>"05/01/2025 15:13:31.526"</f>
        <v>05/01/2025 15:13:31.526</v>
      </c>
      <c r="C3238" t="str">
        <f t="shared" si="1268"/>
        <v>FFDFD3C0</v>
      </c>
      <c r="D3238" t="s">
        <v>140</v>
      </c>
      <c r="E3238" t="str">
        <f>"13"</f>
        <v>13</v>
      </c>
      <c r="F3238">
        <v>1019</v>
      </c>
      <c r="G3238" t="s">
        <v>141</v>
      </c>
      <c r="J3238" t="s">
        <v>142</v>
      </c>
      <c r="K3238">
        <v>0</v>
      </c>
      <c r="L3238">
        <v>3</v>
      </c>
      <c r="M3238">
        <v>0</v>
      </c>
      <c r="N3238">
        <v>2</v>
      </c>
      <c r="O3238">
        <v>0</v>
      </c>
      <c r="P3238">
        <v>1</v>
      </c>
      <c r="Q3238">
        <v>0</v>
      </c>
      <c r="R3238" t="s">
        <v>127</v>
      </c>
      <c r="S3238" t="str">
        <f t="shared" si="1282"/>
        <v>15:13:31.000</v>
      </c>
      <c r="T3238" t="str">
        <f t="shared" si="1282"/>
        <v>15:13:31.000</v>
      </c>
      <c r="U3238" t="str">
        <f t="shared" si="1269"/>
        <v>A68FCB</v>
      </c>
      <c r="V3238">
        <v>0</v>
      </c>
      <c r="W3238">
        <v>0</v>
      </c>
      <c r="X3238">
        <v>2</v>
      </c>
      <c r="Y3238">
        <v>0</v>
      </c>
      <c r="AA3238">
        <v>1</v>
      </c>
      <c r="AB3238">
        <v>8</v>
      </c>
      <c r="AC3238">
        <v>3</v>
      </c>
      <c r="AD3238">
        <v>0</v>
      </c>
      <c r="AE3238">
        <v>9</v>
      </c>
      <c r="AF3238" t="s">
        <v>138</v>
      </c>
      <c r="AG3238">
        <v>0</v>
      </c>
      <c r="AH3238">
        <v>3</v>
      </c>
      <c r="AI3238">
        <v>2</v>
      </c>
      <c r="AJ3238">
        <v>0</v>
      </c>
      <c r="AK3238" t="s">
        <v>1081</v>
      </c>
      <c r="AL3238">
        <v>39.131005000000002</v>
      </c>
      <c r="AM3238" t="s">
        <v>1082</v>
      </c>
      <c r="AN3238">
        <v>-121.031313</v>
      </c>
      <c r="AO3238">
        <v>25</v>
      </c>
      <c r="AP3238">
        <v>4300</v>
      </c>
      <c r="AQ3238" t="s">
        <v>131</v>
      </c>
      <c r="AR3238">
        <v>5</v>
      </c>
      <c r="AS3238">
        <v>84</v>
      </c>
      <c r="AT3238">
        <v>-64</v>
      </c>
      <c r="BB3238" t="str">
        <f t="shared" si="1270"/>
        <v>1200</v>
      </c>
      <c r="BC3238">
        <v>1</v>
      </c>
      <c r="BD3238" t="str">
        <f t="shared" si="1271"/>
        <v xml:space="preserve">N52156  </v>
      </c>
      <c r="BE3238">
        <v>1</v>
      </c>
      <c r="BG3238">
        <v>0</v>
      </c>
      <c r="BH3238">
        <v>0</v>
      </c>
      <c r="BI3238">
        <v>0</v>
      </c>
      <c r="BJ3238">
        <v>4350</v>
      </c>
      <c r="BK3238">
        <v>50</v>
      </c>
      <c r="BL3238" t="s">
        <v>188</v>
      </c>
      <c r="BM3238">
        <v>1</v>
      </c>
      <c r="BN3238">
        <v>1</v>
      </c>
      <c r="BO3238">
        <v>0</v>
      </c>
      <c r="BP3238">
        <v>0</v>
      </c>
      <c r="BS3238">
        <v>0</v>
      </c>
      <c r="BT3238">
        <v>0</v>
      </c>
      <c r="BU3238">
        <v>0</v>
      </c>
      <c r="CE3238" t="str">
        <f t="shared" si="1283"/>
        <v>15:13:31.295</v>
      </c>
      <c r="CF3238">
        <v>294731743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4</v>
      </c>
      <c r="CY3238">
        <v>7</v>
      </c>
      <c r="CZ3238" t="s">
        <v>133</v>
      </c>
      <c r="DA3238">
        <v>275</v>
      </c>
      <c r="DB3238">
        <v>0</v>
      </c>
      <c r="DC3238" t="s">
        <v>134</v>
      </c>
      <c r="DD3238" t="s">
        <v>135</v>
      </c>
      <c r="DG3238">
        <v>3322504</v>
      </c>
      <c r="DI3238">
        <v>1</v>
      </c>
      <c r="DJ3238">
        <v>0</v>
      </c>
      <c r="DK3238">
        <v>1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3">
      <c r="A3239" t="str">
        <f>"05/01/2025 15:13:31.539"</f>
        <v>05/01/2025 15:13:31.539</v>
      </c>
      <c r="C3239" t="str">
        <f t="shared" si="1268"/>
        <v>FFDFD3C0</v>
      </c>
      <c r="D3239" t="s">
        <v>145</v>
      </c>
      <c r="E3239" t="str">
        <f>"05"</f>
        <v>05</v>
      </c>
      <c r="H3239">
        <v>47</v>
      </c>
      <c r="I3239" t="s">
        <v>146</v>
      </c>
      <c r="J3239" t="s">
        <v>138</v>
      </c>
      <c r="K3239">
        <v>0</v>
      </c>
      <c r="L3239">
        <v>3</v>
      </c>
      <c r="M3239">
        <v>0</v>
      </c>
      <c r="N3239">
        <v>2</v>
      </c>
      <c r="O3239">
        <v>0</v>
      </c>
      <c r="P3239">
        <v>1</v>
      </c>
      <c r="Q3239">
        <v>0</v>
      </c>
      <c r="R3239" t="s">
        <v>127</v>
      </c>
      <c r="S3239" t="str">
        <f t="shared" si="1282"/>
        <v>15:13:31.000</v>
      </c>
      <c r="T3239" t="str">
        <f t="shared" si="1282"/>
        <v>15:13:31.000</v>
      </c>
      <c r="U3239" t="str">
        <f t="shared" si="1269"/>
        <v>A68FCB</v>
      </c>
      <c r="V3239">
        <v>0</v>
      </c>
      <c r="W3239">
        <v>0</v>
      </c>
      <c r="X3239">
        <v>2</v>
      </c>
      <c r="Y3239">
        <v>0</v>
      </c>
      <c r="AA3239">
        <v>1</v>
      </c>
      <c r="AB3239">
        <v>8</v>
      </c>
      <c r="AC3239">
        <v>3</v>
      </c>
      <c r="AD3239">
        <v>0</v>
      </c>
      <c r="AE3239">
        <v>9</v>
      </c>
      <c r="AF3239" t="s">
        <v>138</v>
      </c>
      <c r="AG3239">
        <v>0</v>
      </c>
      <c r="AH3239">
        <v>3</v>
      </c>
      <c r="AI3239">
        <v>2</v>
      </c>
      <c r="AJ3239">
        <v>0</v>
      </c>
      <c r="AK3239" t="s">
        <v>1081</v>
      </c>
      <c r="AL3239">
        <v>39.131005000000002</v>
      </c>
      <c r="AM3239" t="s">
        <v>1082</v>
      </c>
      <c r="AN3239">
        <v>-121.031313</v>
      </c>
      <c r="AO3239">
        <v>25</v>
      </c>
      <c r="AP3239">
        <v>4300</v>
      </c>
      <c r="AQ3239" t="s">
        <v>131</v>
      </c>
      <c r="AR3239">
        <v>5</v>
      </c>
      <c r="AS3239">
        <v>84</v>
      </c>
      <c r="AT3239">
        <v>-64</v>
      </c>
      <c r="BB3239" t="str">
        <f t="shared" si="1270"/>
        <v>1200</v>
      </c>
      <c r="BC3239">
        <v>1</v>
      </c>
      <c r="BD3239" t="str">
        <f t="shared" si="1271"/>
        <v xml:space="preserve">N52156  </v>
      </c>
      <c r="BE3239">
        <v>1</v>
      </c>
      <c r="BG3239">
        <v>0</v>
      </c>
      <c r="BH3239">
        <v>0</v>
      </c>
      <c r="BI3239">
        <v>0</v>
      </c>
      <c r="BJ3239">
        <v>4350</v>
      </c>
      <c r="BK3239">
        <v>50</v>
      </c>
      <c r="BL3239" t="s">
        <v>188</v>
      </c>
      <c r="BM3239">
        <v>1</v>
      </c>
      <c r="BN3239">
        <v>1</v>
      </c>
      <c r="BO3239">
        <v>0</v>
      </c>
      <c r="BP3239">
        <v>0</v>
      </c>
      <c r="BS3239">
        <v>0</v>
      </c>
      <c r="BT3239">
        <v>0</v>
      </c>
      <c r="BU3239">
        <v>0</v>
      </c>
      <c r="CE3239" t="str">
        <f t="shared" si="1283"/>
        <v>15:13:31.295</v>
      </c>
      <c r="CF3239">
        <v>294731743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4</v>
      </c>
      <c r="CY3239">
        <v>7</v>
      </c>
      <c r="CZ3239" t="s">
        <v>133</v>
      </c>
      <c r="DA3239">
        <v>275</v>
      </c>
      <c r="DB3239">
        <v>0</v>
      </c>
      <c r="DC3239" t="s">
        <v>134</v>
      </c>
      <c r="DD3239" t="s">
        <v>135</v>
      </c>
      <c r="DG3239">
        <v>3322504</v>
      </c>
      <c r="DI3239">
        <v>1</v>
      </c>
      <c r="DJ3239">
        <v>0</v>
      </c>
      <c r="DK3239">
        <v>1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3">
      <c r="A3240" t="str">
        <f>"05/01/2025 15:13:31.538"</f>
        <v>05/01/2025 15:13:31.538</v>
      </c>
      <c r="C3240" t="str">
        <f t="shared" si="1268"/>
        <v>FFDFD3C0</v>
      </c>
      <c r="D3240" t="s">
        <v>145</v>
      </c>
      <c r="E3240" t="str">
        <f>"09"</f>
        <v>09</v>
      </c>
      <c r="H3240">
        <v>51</v>
      </c>
      <c r="I3240" t="s">
        <v>147</v>
      </c>
      <c r="J3240" t="s">
        <v>138</v>
      </c>
      <c r="K3240">
        <v>0</v>
      </c>
      <c r="L3240">
        <v>3</v>
      </c>
      <c r="M3240">
        <v>0</v>
      </c>
      <c r="N3240">
        <v>2</v>
      </c>
      <c r="O3240">
        <v>0</v>
      </c>
      <c r="P3240">
        <v>1</v>
      </c>
      <c r="Q3240">
        <v>0</v>
      </c>
      <c r="R3240" t="s">
        <v>127</v>
      </c>
      <c r="S3240" t="str">
        <f t="shared" si="1282"/>
        <v>15:13:31.000</v>
      </c>
      <c r="T3240" t="str">
        <f t="shared" si="1282"/>
        <v>15:13:31.000</v>
      </c>
      <c r="U3240" t="str">
        <f t="shared" si="1269"/>
        <v>A68FCB</v>
      </c>
      <c r="V3240">
        <v>0</v>
      </c>
      <c r="W3240">
        <v>0</v>
      </c>
      <c r="X3240">
        <v>2</v>
      </c>
      <c r="Y3240">
        <v>0</v>
      </c>
      <c r="AA3240">
        <v>1</v>
      </c>
      <c r="AB3240">
        <v>8</v>
      </c>
      <c r="AC3240">
        <v>3</v>
      </c>
      <c r="AD3240">
        <v>0</v>
      </c>
      <c r="AE3240">
        <v>9</v>
      </c>
      <c r="AF3240" t="s">
        <v>138</v>
      </c>
      <c r="AG3240">
        <v>0</v>
      </c>
      <c r="AH3240">
        <v>3</v>
      </c>
      <c r="AI3240">
        <v>2</v>
      </c>
      <c r="AJ3240">
        <v>0</v>
      </c>
      <c r="AK3240" t="s">
        <v>1081</v>
      </c>
      <c r="AL3240">
        <v>39.131005000000002</v>
      </c>
      <c r="AM3240" t="s">
        <v>1082</v>
      </c>
      <c r="AN3240">
        <v>-121.031313</v>
      </c>
      <c r="AO3240">
        <v>25</v>
      </c>
      <c r="AP3240">
        <v>4300</v>
      </c>
      <c r="AQ3240" t="s">
        <v>131</v>
      </c>
      <c r="AR3240">
        <v>5</v>
      </c>
      <c r="AS3240">
        <v>84</v>
      </c>
      <c r="AT3240">
        <v>-64</v>
      </c>
      <c r="BB3240" t="str">
        <f t="shared" si="1270"/>
        <v>1200</v>
      </c>
      <c r="BC3240">
        <v>1</v>
      </c>
      <c r="BD3240" t="str">
        <f t="shared" si="1271"/>
        <v xml:space="preserve">N52156  </v>
      </c>
      <c r="BE3240">
        <v>1</v>
      </c>
      <c r="BG3240">
        <v>0</v>
      </c>
      <c r="BH3240">
        <v>0</v>
      </c>
      <c r="BI3240">
        <v>0</v>
      </c>
      <c r="BJ3240">
        <v>4350</v>
      </c>
      <c r="BK3240">
        <v>50</v>
      </c>
      <c r="BL3240" t="s">
        <v>188</v>
      </c>
      <c r="BM3240">
        <v>1</v>
      </c>
      <c r="BN3240">
        <v>1</v>
      </c>
      <c r="BO3240">
        <v>0</v>
      </c>
      <c r="BP3240">
        <v>0</v>
      </c>
      <c r="BS3240">
        <v>0</v>
      </c>
      <c r="BT3240">
        <v>0</v>
      </c>
      <c r="BU3240">
        <v>0</v>
      </c>
      <c r="CE3240" t="str">
        <f t="shared" si="1283"/>
        <v>15:13:31.295</v>
      </c>
      <c r="CF3240">
        <v>294731743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4</v>
      </c>
      <c r="CY3240">
        <v>7</v>
      </c>
      <c r="CZ3240" t="s">
        <v>133</v>
      </c>
      <c r="DA3240">
        <v>275</v>
      </c>
      <c r="DB3240">
        <v>0</v>
      </c>
      <c r="DC3240" t="s">
        <v>134</v>
      </c>
      <c r="DD3240" t="s">
        <v>135</v>
      </c>
      <c r="DG3240">
        <v>3322504</v>
      </c>
      <c r="DI3240">
        <v>1</v>
      </c>
      <c r="DJ3240">
        <v>0</v>
      </c>
      <c r="DK3240">
        <v>1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3">
      <c r="A3241" t="str">
        <f>"05/01/2025 15:13:31.551"</f>
        <v>05/01/2025 15:13:31.551</v>
      </c>
      <c r="C3241" t="str">
        <f t="shared" si="1268"/>
        <v>FFDFD3C0</v>
      </c>
      <c r="D3241" t="s">
        <v>136</v>
      </c>
      <c r="E3241" t="str">
        <f>"20"</f>
        <v>20</v>
      </c>
      <c r="H3241">
        <v>400</v>
      </c>
      <c r="I3241" t="s">
        <v>137</v>
      </c>
      <c r="J3241" t="s">
        <v>138</v>
      </c>
      <c r="K3241">
        <v>0</v>
      </c>
      <c r="L3241">
        <v>3</v>
      </c>
      <c r="M3241">
        <v>0</v>
      </c>
      <c r="N3241">
        <v>2</v>
      </c>
      <c r="O3241">
        <v>0</v>
      </c>
      <c r="P3241">
        <v>1</v>
      </c>
      <c r="Q3241">
        <v>0</v>
      </c>
      <c r="R3241" t="s">
        <v>127</v>
      </c>
      <c r="S3241" t="str">
        <f t="shared" si="1282"/>
        <v>15:13:31.000</v>
      </c>
      <c r="T3241" t="str">
        <f t="shared" si="1282"/>
        <v>15:13:31.000</v>
      </c>
      <c r="U3241" t="str">
        <f t="shared" si="1269"/>
        <v>A68FCB</v>
      </c>
      <c r="V3241">
        <v>0</v>
      </c>
      <c r="W3241">
        <v>0</v>
      </c>
      <c r="X3241">
        <v>2</v>
      </c>
      <c r="Y3241">
        <v>0</v>
      </c>
      <c r="AA3241">
        <v>1</v>
      </c>
      <c r="AB3241">
        <v>8</v>
      </c>
      <c r="AC3241">
        <v>3</v>
      </c>
      <c r="AD3241">
        <v>0</v>
      </c>
      <c r="AE3241">
        <v>9</v>
      </c>
      <c r="AF3241" t="s">
        <v>138</v>
      </c>
      <c r="AG3241">
        <v>0</v>
      </c>
      <c r="AH3241">
        <v>3</v>
      </c>
      <c r="AI3241">
        <v>2</v>
      </c>
      <c r="AJ3241">
        <v>0</v>
      </c>
      <c r="AK3241" t="s">
        <v>1081</v>
      </c>
      <c r="AL3241">
        <v>39.131005000000002</v>
      </c>
      <c r="AM3241" t="s">
        <v>1082</v>
      </c>
      <c r="AN3241">
        <v>-121.031313</v>
      </c>
      <c r="AO3241">
        <v>25</v>
      </c>
      <c r="AP3241">
        <v>4300</v>
      </c>
      <c r="AQ3241" t="s">
        <v>131</v>
      </c>
      <c r="AR3241">
        <v>5</v>
      </c>
      <c r="AS3241">
        <v>84</v>
      </c>
      <c r="AT3241">
        <v>-64</v>
      </c>
      <c r="BB3241" t="str">
        <f t="shared" si="1270"/>
        <v>1200</v>
      </c>
      <c r="BC3241">
        <v>1</v>
      </c>
      <c r="BD3241" t="str">
        <f t="shared" si="1271"/>
        <v xml:space="preserve">N52156  </v>
      </c>
      <c r="BE3241">
        <v>1</v>
      </c>
      <c r="BG3241">
        <v>0</v>
      </c>
      <c r="BH3241">
        <v>0</v>
      </c>
      <c r="BI3241">
        <v>0</v>
      </c>
      <c r="BJ3241">
        <v>4350</v>
      </c>
      <c r="BK3241">
        <v>50</v>
      </c>
      <c r="BL3241" t="s">
        <v>188</v>
      </c>
      <c r="BM3241">
        <v>1</v>
      </c>
      <c r="BN3241">
        <v>1</v>
      </c>
      <c r="BO3241">
        <v>0</v>
      </c>
      <c r="BP3241">
        <v>0</v>
      </c>
      <c r="BS3241">
        <v>0</v>
      </c>
      <c r="BT3241">
        <v>0</v>
      </c>
      <c r="BU3241">
        <v>0</v>
      </c>
      <c r="CE3241" t="str">
        <f t="shared" si="1283"/>
        <v>15:13:31.295</v>
      </c>
      <c r="CF3241">
        <v>294731743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4</v>
      </c>
      <c r="CY3241">
        <v>7</v>
      </c>
      <c r="CZ3241" t="s">
        <v>133</v>
      </c>
      <c r="DA3241">
        <v>275</v>
      </c>
      <c r="DB3241">
        <v>0</v>
      </c>
      <c r="DC3241" t="s">
        <v>134</v>
      </c>
      <c r="DD3241" t="s">
        <v>135</v>
      </c>
      <c r="DG3241">
        <v>3322504</v>
      </c>
      <c r="DI3241">
        <v>1</v>
      </c>
      <c r="DJ3241">
        <v>0</v>
      </c>
      <c r="DK3241">
        <v>1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3">
      <c r="A3242" t="str">
        <f>"05/01/2025 15:13:33.141"</f>
        <v>05/01/2025 15:13:33.141</v>
      </c>
      <c r="C3242" t="str">
        <f t="shared" si="1268"/>
        <v>FFDFD3C0</v>
      </c>
      <c r="D3242" t="s">
        <v>145</v>
      </c>
      <c r="E3242" t="str">
        <f>"09"</f>
        <v>09</v>
      </c>
      <c r="H3242">
        <v>51</v>
      </c>
      <c r="I3242" t="s">
        <v>147</v>
      </c>
      <c r="J3242" t="s">
        <v>138</v>
      </c>
      <c r="K3242">
        <v>0</v>
      </c>
      <c r="L3242">
        <v>3</v>
      </c>
      <c r="M3242">
        <v>0</v>
      </c>
      <c r="N3242">
        <v>2</v>
      </c>
      <c r="O3242">
        <v>0</v>
      </c>
      <c r="P3242">
        <v>1</v>
      </c>
      <c r="Q3242">
        <v>0</v>
      </c>
      <c r="R3242" t="s">
        <v>127</v>
      </c>
      <c r="S3242" t="str">
        <f t="shared" ref="S3242:T3247" si="1284">"15:13:32.000"</f>
        <v>15:13:32.000</v>
      </c>
      <c r="T3242" t="str">
        <f t="shared" si="1284"/>
        <v>15:13:32.000</v>
      </c>
      <c r="U3242" t="str">
        <f t="shared" si="1269"/>
        <v>A68FCB</v>
      </c>
      <c r="V3242">
        <v>0</v>
      </c>
      <c r="W3242">
        <v>0</v>
      </c>
      <c r="X3242">
        <v>2</v>
      </c>
      <c r="Y3242">
        <v>0</v>
      </c>
      <c r="AA3242">
        <v>1</v>
      </c>
      <c r="AB3242">
        <v>8</v>
      </c>
      <c r="AC3242">
        <v>3</v>
      </c>
      <c r="AD3242">
        <v>0</v>
      </c>
      <c r="AE3242">
        <v>9</v>
      </c>
      <c r="AF3242" t="s">
        <v>138</v>
      </c>
      <c r="AG3242">
        <v>0</v>
      </c>
      <c r="AH3242">
        <v>3</v>
      </c>
      <c r="AI3242">
        <v>2</v>
      </c>
      <c r="AJ3242">
        <v>0</v>
      </c>
      <c r="AK3242" t="s">
        <v>1083</v>
      </c>
      <c r="AL3242">
        <v>39.131391000000001</v>
      </c>
      <c r="AM3242" t="s">
        <v>1084</v>
      </c>
      <c r="AN3242">
        <v>-121.03127000000001</v>
      </c>
      <c r="AO3242">
        <v>25</v>
      </c>
      <c r="AP3242">
        <v>4300</v>
      </c>
      <c r="AQ3242" t="s">
        <v>131</v>
      </c>
      <c r="AR3242">
        <v>5</v>
      </c>
      <c r="AS3242">
        <v>84</v>
      </c>
      <c r="AT3242">
        <v>-64</v>
      </c>
      <c r="BB3242" t="str">
        <f t="shared" si="1270"/>
        <v>1200</v>
      </c>
      <c r="BC3242">
        <v>1</v>
      </c>
      <c r="BD3242" t="str">
        <f t="shared" si="1271"/>
        <v xml:space="preserve">N52156  </v>
      </c>
      <c r="BE3242">
        <v>1</v>
      </c>
      <c r="BG3242">
        <v>0</v>
      </c>
      <c r="BH3242">
        <v>0</v>
      </c>
      <c r="BI3242">
        <v>0</v>
      </c>
      <c r="BJ3242">
        <v>4350</v>
      </c>
      <c r="BK3242">
        <v>50</v>
      </c>
      <c r="BL3242" t="s">
        <v>188</v>
      </c>
      <c r="BM3242">
        <v>1</v>
      </c>
      <c r="BN3242">
        <v>1</v>
      </c>
      <c r="BO3242">
        <v>0</v>
      </c>
      <c r="BP3242">
        <v>0</v>
      </c>
      <c r="BS3242">
        <v>0</v>
      </c>
      <c r="BT3242">
        <v>0</v>
      </c>
      <c r="BU3242">
        <v>0</v>
      </c>
      <c r="CE3242" t="str">
        <f t="shared" ref="CE3242:CE3247" si="1285">"15:13:32.928"</f>
        <v>15:13:32.928</v>
      </c>
      <c r="CF3242">
        <v>928483441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4</v>
      </c>
      <c r="CY3242">
        <v>7</v>
      </c>
      <c r="CZ3242" t="s">
        <v>133</v>
      </c>
      <c r="DA3242">
        <v>275</v>
      </c>
      <c r="DB3242">
        <v>0</v>
      </c>
      <c r="DC3242" t="s">
        <v>134</v>
      </c>
      <c r="DD3242" t="s">
        <v>135</v>
      </c>
      <c r="DG3242">
        <v>3322513</v>
      </c>
      <c r="DI3242">
        <v>1</v>
      </c>
      <c r="DJ3242">
        <v>0</v>
      </c>
      <c r="DK3242">
        <v>0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3">
      <c r="A3243" t="str">
        <f>"05/01/2025 15:13:33.142"</f>
        <v>05/01/2025 15:13:33.142</v>
      </c>
      <c r="C3243" t="str">
        <f t="shared" si="1268"/>
        <v>FFDFD3C0</v>
      </c>
      <c r="D3243" t="s">
        <v>145</v>
      </c>
      <c r="E3243" t="str">
        <f>"05"</f>
        <v>05</v>
      </c>
      <c r="H3243">
        <v>47</v>
      </c>
      <c r="I3243" t="s">
        <v>146</v>
      </c>
      <c r="J3243" t="s">
        <v>138</v>
      </c>
      <c r="K3243">
        <v>0</v>
      </c>
      <c r="L3243">
        <v>3</v>
      </c>
      <c r="M3243">
        <v>0</v>
      </c>
      <c r="N3243">
        <v>2</v>
      </c>
      <c r="O3243">
        <v>0</v>
      </c>
      <c r="P3243">
        <v>1</v>
      </c>
      <c r="Q3243">
        <v>0</v>
      </c>
      <c r="R3243" t="s">
        <v>127</v>
      </c>
      <c r="S3243" t="str">
        <f t="shared" si="1284"/>
        <v>15:13:32.000</v>
      </c>
      <c r="T3243" t="str">
        <f t="shared" si="1284"/>
        <v>15:13:32.000</v>
      </c>
      <c r="U3243" t="str">
        <f t="shared" si="1269"/>
        <v>A68FCB</v>
      </c>
      <c r="V3243">
        <v>0</v>
      </c>
      <c r="W3243">
        <v>0</v>
      </c>
      <c r="X3243">
        <v>2</v>
      </c>
      <c r="Y3243">
        <v>0</v>
      </c>
      <c r="AA3243">
        <v>1</v>
      </c>
      <c r="AB3243">
        <v>8</v>
      </c>
      <c r="AC3243">
        <v>3</v>
      </c>
      <c r="AD3243">
        <v>0</v>
      </c>
      <c r="AE3243">
        <v>9</v>
      </c>
      <c r="AF3243" t="s">
        <v>138</v>
      </c>
      <c r="AG3243">
        <v>0</v>
      </c>
      <c r="AH3243">
        <v>3</v>
      </c>
      <c r="AI3243">
        <v>2</v>
      </c>
      <c r="AJ3243">
        <v>0</v>
      </c>
      <c r="AK3243" t="s">
        <v>1083</v>
      </c>
      <c r="AL3243">
        <v>39.131391000000001</v>
      </c>
      <c r="AM3243" t="s">
        <v>1084</v>
      </c>
      <c r="AN3243">
        <v>-121.03127000000001</v>
      </c>
      <c r="AO3243">
        <v>25</v>
      </c>
      <c r="AP3243">
        <v>4300</v>
      </c>
      <c r="AQ3243" t="s">
        <v>131</v>
      </c>
      <c r="AR3243">
        <v>5</v>
      </c>
      <c r="AS3243">
        <v>84</v>
      </c>
      <c r="AT3243">
        <v>-64</v>
      </c>
      <c r="BB3243" t="str">
        <f t="shared" si="1270"/>
        <v>1200</v>
      </c>
      <c r="BC3243">
        <v>1</v>
      </c>
      <c r="BD3243" t="str">
        <f t="shared" si="1271"/>
        <v xml:space="preserve">N52156  </v>
      </c>
      <c r="BE3243">
        <v>1</v>
      </c>
      <c r="BG3243">
        <v>0</v>
      </c>
      <c r="BH3243">
        <v>0</v>
      </c>
      <c r="BI3243">
        <v>0</v>
      </c>
      <c r="BJ3243">
        <v>4350</v>
      </c>
      <c r="BK3243">
        <v>50</v>
      </c>
      <c r="BL3243" t="s">
        <v>188</v>
      </c>
      <c r="BM3243">
        <v>1</v>
      </c>
      <c r="BN3243">
        <v>1</v>
      </c>
      <c r="BO3243">
        <v>0</v>
      </c>
      <c r="BP3243">
        <v>0</v>
      </c>
      <c r="BS3243">
        <v>0</v>
      </c>
      <c r="BT3243">
        <v>0</v>
      </c>
      <c r="BU3243">
        <v>0</v>
      </c>
      <c r="CE3243" t="str">
        <f t="shared" si="1285"/>
        <v>15:13:32.928</v>
      </c>
      <c r="CF3243">
        <v>928483441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4</v>
      </c>
      <c r="CY3243">
        <v>7</v>
      </c>
      <c r="CZ3243" t="s">
        <v>133</v>
      </c>
      <c r="DA3243">
        <v>275</v>
      </c>
      <c r="DB3243">
        <v>0</v>
      </c>
      <c r="DC3243" t="s">
        <v>134</v>
      </c>
      <c r="DD3243" t="s">
        <v>135</v>
      </c>
      <c r="DG3243">
        <v>3322513</v>
      </c>
      <c r="DI3243">
        <v>1</v>
      </c>
      <c r="DJ3243">
        <v>0</v>
      </c>
      <c r="DK3243">
        <v>1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3">
      <c r="A3244" t="str">
        <f>"05/01/2025 15:13:33.153"</f>
        <v>05/01/2025 15:13:33.153</v>
      </c>
      <c r="C3244" t="str">
        <f t="shared" si="1268"/>
        <v>FFDFD3C0</v>
      </c>
      <c r="D3244" t="s">
        <v>136</v>
      </c>
      <c r="E3244" t="str">
        <f>"20"</f>
        <v>20</v>
      </c>
      <c r="H3244">
        <v>400</v>
      </c>
      <c r="I3244" t="s">
        <v>137</v>
      </c>
      <c r="J3244" t="s">
        <v>138</v>
      </c>
      <c r="K3244">
        <v>0</v>
      </c>
      <c r="L3244">
        <v>3</v>
      </c>
      <c r="M3244">
        <v>0</v>
      </c>
      <c r="N3244">
        <v>2</v>
      </c>
      <c r="O3244">
        <v>0</v>
      </c>
      <c r="P3244">
        <v>1</v>
      </c>
      <c r="Q3244">
        <v>0</v>
      </c>
      <c r="R3244" t="s">
        <v>127</v>
      </c>
      <c r="S3244" t="str">
        <f t="shared" si="1284"/>
        <v>15:13:32.000</v>
      </c>
      <c r="T3244" t="str">
        <f t="shared" si="1284"/>
        <v>15:13:32.000</v>
      </c>
      <c r="U3244" t="str">
        <f t="shared" si="1269"/>
        <v>A68FCB</v>
      </c>
      <c r="V3244">
        <v>0</v>
      </c>
      <c r="W3244">
        <v>0</v>
      </c>
      <c r="X3244">
        <v>2</v>
      </c>
      <c r="Y3244">
        <v>0</v>
      </c>
      <c r="AA3244">
        <v>1</v>
      </c>
      <c r="AB3244">
        <v>8</v>
      </c>
      <c r="AC3244">
        <v>3</v>
      </c>
      <c r="AD3244">
        <v>0</v>
      </c>
      <c r="AE3244">
        <v>9</v>
      </c>
      <c r="AF3244" t="s">
        <v>138</v>
      </c>
      <c r="AG3244">
        <v>0</v>
      </c>
      <c r="AH3244">
        <v>3</v>
      </c>
      <c r="AI3244">
        <v>2</v>
      </c>
      <c r="AJ3244">
        <v>0</v>
      </c>
      <c r="AK3244" t="s">
        <v>1083</v>
      </c>
      <c r="AL3244">
        <v>39.131391000000001</v>
      </c>
      <c r="AM3244" t="s">
        <v>1084</v>
      </c>
      <c r="AN3244">
        <v>-121.03127000000001</v>
      </c>
      <c r="AO3244">
        <v>25</v>
      </c>
      <c r="AP3244">
        <v>4300</v>
      </c>
      <c r="AQ3244" t="s">
        <v>131</v>
      </c>
      <c r="AR3244">
        <v>5</v>
      </c>
      <c r="AS3244">
        <v>84</v>
      </c>
      <c r="AT3244">
        <v>-64</v>
      </c>
      <c r="BB3244" t="str">
        <f t="shared" si="1270"/>
        <v>1200</v>
      </c>
      <c r="BC3244">
        <v>1</v>
      </c>
      <c r="BD3244" t="str">
        <f t="shared" si="1271"/>
        <v xml:space="preserve">N52156  </v>
      </c>
      <c r="BE3244">
        <v>1</v>
      </c>
      <c r="BG3244">
        <v>0</v>
      </c>
      <c r="BH3244">
        <v>0</v>
      </c>
      <c r="BI3244">
        <v>0</v>
      </c>
      <c r="BJ3244">
        <v>4350</v>
      </c>
      <c r="BK3244">
        <v>50</v>
      </c>
      <c r="BL3244" t="s">
        <v>188</v>
      </c>
      <c r="BM3244">
        <v>1</v>
      </c>
      <c r="BN3244">
        <v>1</v>
      </c>
      <c r="BO3244">
        <v>0</v>
      </c>
      <c r="BP3244">
        <v>0</v>
      </c>
      <c r="BS3244">
        <v>0</v>
      </c>
      <c r="BT3244">
        <v>0</v>
      </c>
      <c r="BU3244">
        <v>0</v>
      </c>
      <c r="CE3244" t="str">
        <f t="shared" si="1285"/>
        <v>15:13:32.928</v>
      </c>
      <c r="CF3244">
        <v>928483441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4</v>
      </c>
      <c r="CY3244">
        <v>7</v>
      </c>
      <c r="CZ3244" t="s">
        <v>133</v>
      </c>
      <c r="DA3244">
        <v>275</v>
      </c>
      <c r="DB3244">
        <v>0</v>
      </c>
      <c r="DC3244" t="s">
        <v>134</v>
      </c>
      <c r="DD3244" t="s">
        <v>135</v>
      </c>
      <c r="DG3244">
        <v>3322513</v>
      </c>
      <c r="DI3244">
        <v>1</v>
      </c>
      <c r="DJ3244">
        <v>0</v>
      </c>
      <c r="DK3244">
        <v>1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3">
      <c r="A3245" t="str">
        <f>"05/01/2025 15:13:33.164"</f>
        <v>05/01/2025 15:13:33.164</v>
      </c>
      <c r="C3245" t="str">
        <f t="shared" si="1268"/>
        <v>FFDFD3C0</v>
      </c>
      <c r="D3245" t="s">
        <v>143</v>
      </c>
      <c r="E3245" t="str">
        <f>"05"</f>
        <v>05</v>
      </c>
      <c r="H3245">
        <v>172</v>
      </c>
      <c r="I3245" t="s">
        <v>141</v>
      </c>
      <c r="J3245" t="s">
        <v>144</v>
      </c>
      <c r="K3245">
        <v>0</v>
      </c>
      <c r="L3245">
        <v>3</v>
      </c>
      <c r="M3245">
        <v>0</v>
      </c>
      <c r="N3245">
        <v>2</v>
      </c>
      <c r="O3245">
        <v>0</v>
      </c>
      <c r="P3245">
        <v>1</v>
      </c>
      <c r="Q3245">
        <v>0</v>
      </c>
      <c r="R3245" t="s">
        <v>127</v>
      </c>
      <c r="S3245" t="str">
        <f t="shared" si="1284"/>
        <v>15:13:32.000</v>
      </c>
      <c r="T3245" t="str">
        <f t="shared" si="1284"/>
        <v>15:13:32.000</v>
      </c>
      <c r="U3245" t="str">
        <f t="shared" si="1269"/>
        <v>A68FCB</v>
      </c>
      <c r="V3245">
        <v>0</v>
      </c>
      <c r="W3245">
        <v>0</v>
      </c>
      <c r="X3245">
        <v>2</v>
      </c>
      <c r="Y3245">
        <v>0</v>
      </c>
      <c r="AA3245">
        <v>1</v>
      </c>
      <c r="AB3245">
        <v>8</v>
      </c>
      <c r="AC3245">
        <v>3</v>
      </c>
      <c r="AD3245">
        <v>0</v>
      </c>
      <c r="AE3245">
        <v>9</v>
      </c>
      <c r="AF3245" t="s">
        <v>138</v>
      </c>
      <c r="AG3245">
        <v>0</v>
      </c>
      <c r="AH3245">
        <v>3</v>
      </c>
      <c r="AI3245">
        <v>2</v>
      </c>
      <c r="AJ3245">
        <v>0</v>
      </c>
      <c r="AK3245" t="s">
        <v>1083</v>
      </c>
      <c r="AL3245">
        <v>39.131391000000001</v>
      </c>
      <c r="AM3245" t="s">
        <v>1084</v>
      </c>
      <c r="AN3245">
        <v>-121.03127000000001</v>
      </c>
      <c r="AO3245">
        <v>25</v>
      </c>
      <c r="AP3245">
        <v>4300</v>
      </c>
      <c r="AQ3245" t="s">
        <v>131</v>
      </c>
      <c r="AR3245">
        <v>5</v>
      </c>
      <c r="AS3245">
        <v>84</v>
      </c>
      <c r="AT3245">
        <v>-64</v>
      </c>
      <c r="BB3245" t="str">
        <f t="shared" si="1270"/>
        <v>1200</v>
      </c>
      <c r="BC3245">
        <v>1</v>
      </c>
      <c r="BD3245" t="str">
        <f t="shared" si="1271"/>
        <v xml:space="preserve">N52156  </v>
      </c>
      <c r="BE3245">
        <v>1</v>
      </c>
      <c r="BG3245">
        <v>0</v>
      </c>
      <c r="BH3245">
        <v>0</v>
      </c>
      <c r="BI3245">
        <v>0</v>
      </c>
      <c r="BJ3245">
        <v>4350</v>
      </c>
      <c r="BK3245">
        <v>50</v>
      </c>
      <c r="BL3245" t="s">
        <v>188</v>
      </c>
      <c r="BM3245">
        <v>1</v>
      </c>
      <c r="BN3245">
        <v>1</v>
      </c>
      <c r="BO3245">
        <v>0</v>
      </c>
      <c r="BP3245">
        <v>0</v>
      </c>
      <c r="BS3245">
        <v>0</v>
      </c>
      <c r="BT3245">
        <v>0</v>
      </c>
      <c r="BU3245">
        <v>0</v>
      </c>
      <c r="CE3245" t="str">
        <f t="shared" si="1285"/>
        <v>15:13:32.928</v>
      </c>
      <c r="CF3245">
        <v>928483441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4</v>
      </c>
      <c r="CY3245">
        <v>7</v>
      </c>
      <c r="CZ3245" t="s">
        <v>133</v>
      </c>
      <c r="DA3245">
        <v>275</v>
      </c>
      <c r="DB3245">
        <v>0</v>
      </c>
      <c r="DC3245" t="s">
        <v>134</v>
      </c>
      <c r="DD3245" t="s">
        <v>135</v>
      </c>
      <c r="DG3245">
        <v>3322513</v>
      </c>
      <c r="DI3245">
        <v>1</v>
      </c>
      <c r="DJ3245">
        <v>0</v>
      </c>
      <c r="DK3245">
        <v>1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3">
      <c r="A3246" t="str">
        <f>"05/01/2025 15:13:33.177"</f>
        <v>05/01/2025 15:13:33.177</v>
      </c>
      <c r="C3246" t="str">
        <f t="shared" si="1268"/>
        <v>FFDFD3C0</v>
      </c>
      <c r="D3246" t="s">
        <v>124</v>
      </c>
      <c r="E3246" t="str">
        <f>"06"</f>
        <v>06</v>
      </c>
      <c r="F3246">
        <v>2006</v>
      </c>
      <c r="G3246" t="s">
        <v>125</v>
      </c>
      <c r="J3246" t="s">
        <v>126</v>
      </c>
      <c r="K3246">
        <v>0</v>
      </c>
      <c r="L3246">
        <v>3</v>
      </c>
      <c r="M3246">
        <v>0</v>
      </c>
      <c r="N3246">
        <v>2</v>
      </c>
      <c r="O3246">
        <v>0</v>
      </c>
      <c r="P3246">
        <v>1</v>
      </c>
      <c r="Q3246">
        <v>0</v>
      </c>
      <c r="R3246" t="s">
        <v>127</v>
      </c>
      <c r="S3246" t="str">
        <f t="shared" si="1284"/>
        <v>15:13:32.000</v>
      </c>
      <c r="T3246" t="str">
        <f t="shared" si="1284"/>
        <v>15:13:32.000</v>
      </c>
      <c r="U3246" t="str">
        <f t="shared" si="1269"/>
        <v>A68FCB</v>
      </c>
      <c r="V3246">
        <v>0</v>
      </c>
      <c r="W3246">
        <v>0</v>
      </c>
      <c r="X3246">
        <v>2</v>
      </c>
      <c r="Y3246">
        <v>0</v>
      </c>
      <c r="AA3246">
        <v>1</v>
      </c>
      <c r="AB3246">
        <v>8</v>
      </c>
      <c r="AC3246">
        <v>3</v>
      </c>
      <c r="AD3246">
        <v>0</v>
      </c>
      <c r="AE3246">
        <v>9</v>
      </c>
      <c r="AF3246" t="s">
        <v>138</v>
      </c>
      <c r="AG3246">
        <v>0</v>
      </c>
      <c r="AH3246">
        <v>3</v>
      </c>
      <c r="AI3246">
        <v>2</v>
      </c>
      <c r="AJ3246">
        <v>0</v>
      </c>
      <c r="AK3246" t="s">
        <v>1083</v>
      </c>
      <c r="AL3246">
        <v>39.131391000000001</v>
      </c>
      <c r="AM3246" t="s">
        <v>1084</v>
      </c>
      <c r="AN3246">
        <v>-121.03127000000001</v>
      </c>
      <c r="AO3246">
        <v>25</v>
      </c>
      <c r="AP3246">
        <v>4300</v>
      </c>
      <c r="AQ3246" t="s">
        <v>131</v>
      </c>
      <c r="AR3246">
        <v>5</v>
      </c>
      <c r="AS3246">
        <v>84</v>
      </c>
      <c r="AT3246">
        <v>-64</v>
      </c>
      <c r="BB3246" t="str">
        <f t="shared" si="1270"/>
        <v>1200</v>
      </c>
      <c r="BC3246">
        <v>1</v>
      </c>
      <c r="BD3246" t="str">
        <f t="shared" si="1271"/>
        <v xml:space="preserve">N52156  </v>
      </c>
      <c r="BE3246">
        <v>1</v>
      </c>
      <c r="BG3246">
        <v>0</v>
      </c>
      <c r="BH3246">
        <v>0</v>
      </c>
      <c r="BI3246">
        <v>0</v>
      </c>
      <c r="BJ3246">
        <v>4350</v>
      </c>
      <c r="BK3246">
        <v>50</v>
      </c>
      <c r="BL3246" t="s">
        <v>188</v>
      </c>
      <c r="BM3246">
        <v>1</v>
      </c>
      <c r="BN3246">
        <v>1</v>
      </c>
      <c r="BO3246">
        <v>0</v>
      </c>
      <c r="BP3246">
        <v>0</v>
      </c>
      <c r="BS3246">
        <v>0</v>
      </c>
      <c r="BT3246">
        <v>0</v>
      </c>
      <c r="BU3246">
        <v>0</v>
      </c>
      <c r="CE3246" t="str">
        <f t="shared" si="1285"/>
        <v>15:13:32.928</v>
      </c>
      <c r="CF3246">
        <v>928483441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4</v>
      </c>
      <c r="CY3246">
        <v>7</v>
      </c>
      <c r="CZ3246" t="s">
        <v>133</v>
      </c>
      <c r="DA3246">
        <v>275</v>
      </c>
      <c r="DB3246">
        <v>0</v>
      </c>
      <c r="DC3246" t="s">
        <v>134</v>
      </c>
      <c r="DD3246" t="s">
        <v>135</v>
      </c>
      <c r="DG3246">
        <v>3322513</v>
      </c>
      <c r="DI3246">
        <v>1</v>
      </c>
      <c r="DJ3246">
        <v>0</v>
      </c>
      <c r="DK3246">
        <v>1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3">
      <c r="A3247" t="str">
        <f>"05/01/2025 15:13:33.179"</f>
        <v>05/01/2025 15:13:33.179</v>
      </c>
      <c r="C3247" t="str">
        <f t="shared" si="1268"/>
        <v>FFDFD3C0</v>
      </c>
      <c r="D3247" t="s">
        <v>140</v>
      </c>
      <c r="E3247" t="str">
        <f>"13"</f>
        <v>13</v>
      </c>
      <c r="F3247">
        <v>1019</v>
      </c>
      <c r="G3247" t="s">
        <v>141</v>
      </c>
      <c r="J3247" t="s">
        <v>142</v>
      </c>
      <c r="K3247">
        <v>0</v>
      </c>
      <c r="L3247">
        <v>3</v>
      </c>
      <c r="M3247">
        <v>0</v>
      </c>
      <c r="N3247">
        <v>2</v>
      </c>
      <c r="O3247">
        <v>0</v>
      </c>
      <c r="P3247">
        <v>1</v>
      </c>
      <c r="Q3247">
        <v>0</v>
      </c>
      <c r="R3247" t="s">
        <v>127</v>
      </c>
      <c r="S3247" t="str">
        <f t="shared" si="1284"/>
        <v>15:13:32.000</v>
      </c>
      <c r="T3247" t="str">
        <f t="shared" si="1284"/>
        <v>15:13:32.000</v>
      </c>
      <c r="U3247" t="str">
        <f t="shared" si="1269"/>
        <v>A68FCB</v>
      </c>
      <c r="V3247">
        <v>0</v>
      </c>
      <c r="W3247">
        <v>0</v>
      </c>
      <c r="X3247">
        <v>2</v>
      </c>
      <c r="Y3247">
        <v>0</v>
      </c>
      <c r="AA3247">
        <v>1</v>
      </c>
      <c r="AB3247">
        <v>8</v>
      </c>
      <c r="AC3247">
        <v>3</v>
      </c>
      <c r="AD3247">
        <v>0</v>
      </c>
      <c r="AE3247">
        <v>9</v>
      </c>
      <c r="AF3247" t="s">
        <v>138</v>
      </c>
      <c r="AG3247">
        <v>0</v>
      </c>
      <c r="AH3247">
        <v>3</v>
      </c>
      <c r="AI3247">
        <v>2</v>
      </c>
      <c r="AJ3247">
        <v>0</v>
      </c>
      <c r="AK3247" t="s">
        <v>1083</v>
      </c>
      <c r="AL3247">
        <v>39.131391000000001</v>
      </c>
      <c r="AM3247" t="s">
        <v>1084</v>
      </c>
      <c r="AN3247">
        <v>-121.03127000000001</v>
      </c>
      <c r="AO3247">
        <v>25</v>
      </c>
      <c r="AP3247">
        <v>4300</v>
      </c>
      <c r="AQ3247" t="s">
        <v>131</v>
      </c>
      <c r="AR3247">
        <v>5</v>
      </c>
      <c r="AS3247">
        <v>84</v>
      </c>
      <c r="AT3247">
        <v>-64</v>
      </c>
      <c r="BB3247" t="str">
        <f t="shared" si="1270"/>
        <v>1200</v>
      </c>
      <c r="BC3247">
        <v>1</v>
      </c>
      <c r="BD3247" t="str">
        <f t="shared" si="1271"/>
        <v xml:space="preserve">N52156  </v>
      </c>
      <c r="BE3247">
        <v>1</v>
      </c>
      <c r="BG3247">
        <v>0</v>
      </c>
      <c r="BH3247">
        <v>0</v>
      </c>
      <c r="BI3247">
        <v>0</v>
      </c>
      <c r="BJ3247">
        <v>4350</v>
      </c>
      <c r="BK3247">
        <v>50</v>
      </c>
      <c r="BL3247" t="s">
        <v>188</v>
      </c>
      <c r="BM3247">
        <v>1</v>
      </c>
      <c r="BN3247">
        <v>1</v>
      </c>
      <c r="BO3247">
        <v>0</v>
      </c>
      <c r="BP3247">
        <v>0</v>
      </c>
      <c r="BS3247">
        <v>0</v>
      </c>
      <c r="BT3247">
        <v>0</v>
      </c>
      <c r="BU3247">
        <v>0</v>
      </c>
      <c r="CE3247" t="str">
        <f t="shared" si="1285"/>
        <v>15:13:32.928</v>
      </c>
      <c r="CF3247">
        <v>928483441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4</v>
      </c>
      <c r="CY3247">
        <v>7</v>
      </c>
      <c r="CZ3247" t="s">
        <v>133</v>
      </c>
      <c r="DA3247">
        <v>275</v>
      </c>
      <c r="DB3247">
        <v>0</v>
      </c>
      <c r="DC3247" t="s">
        <v>134</v>
      </c>
      <c r="DD3247" t="s">
        <v>135</v>
      </c>
      <c r="DG3247">
        <v>3322513</v>
      </c>
      <c r="DI3247">
        <v>1</v>
      </c>
      <c r="DJ3247">
        <v>0</v>
      </c>
      <c r="DK3247">
        <v>1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3">
      <c r="A3248" t="str">
        <f>"05/01/2025 15:13:33.704"</f>
        <v>05/01/2025 15:13:33.704</v>
      </c>
      <c r="C3248" t="str">
        <f t="shared" si="1268"/>
        <v>FFDFD3C0</v>
      </c>
      <c r="D3248" t="s">
        <v>136</v>
      </c>
      <c r="E3248" t="str">
        <f>"20"</f>
        <v>20</v>
      </c>
      <c r="H3248">
        <v>400</v>
      </c>
      <c r="I3248" t="s">
        <v>137</v>
      </c>
      <c r="J3248" t="s">
        <v>138</v>
      </c>
      <c r="K3248">
        <v>0</v>
      </c>
      <c r="L3248">
        <v>3</v>
      </c>
      <c r="M3248">
        <v>0</v>
      </c>
      <c r="N3248">
        <v>2</v>
      </c>
      <c r="O3248">
        <v>0</v>
      </c>
      <c r="P3248">
        <v>1</v>
      </c>
      <c r="Q3248">
        <v>0</v>
      </c>
      <c r="R3248" t="s">
        <v>127</v>
      </c>
      <c r="S3248" t="str">
        <f t="shared" ref="S3248:T3253" si="1286">"15:13:33.000"</f>
        <v>15:13:33.000</v>
      </c>
      <c r="T3248" t="str">
        <f t="shared" si="1286"/>
        <v>15:13:33.000</v>
      </c>
      <c r="U3248" t="str">
        <f t="shared" si="1269"/>
        <v>A68FCB</v>
      </c>
      <c r="V3248">
        <v>0</v>
      </c>
      <c r="W3248">
        <v>0</v>
      </c>
      <c r="X3248">
        <v>2</v>
      </c>
      <c r="Y3248">
        <v>0</v>
      </c>
      <c r="AA3248">
        <v>1</v>
      </c>
      <c r="AB3248">
        <v>8</v>
      </c>
      <c r="AC3248">
        <v>3</v>
      </c>
      <c r="AD3248">
        <v>0</v>
      </c>
      <c r="AE3248">
        <v>9</v>
      </c>
      <c r="AF3248" t="s">
        <v>138</v>
      </c>
      <c r="AG3248">
        <v>0</v>
      </c>
      <c r="AH3248">
        <v>3</v>
      </c>
      <c r="AI3248">
        <v>2</v>
      </c>
      <c r="AJ3248">
        <v>0</v>
      </c>
      <c r="AK3248" t="s">
        <v>1085</v>
      </c>
      <c r="AL3248">
        <v>39.131777</v>
      </c>
      <c r="AM3248" t="s">
        <v>1086</v>
      </c>
      <c r="AN3248">
        <v>-121.031227</v>
      </c>
      <c r="AO3248">
        <v>25</v>
      </c>
      <c r="AP3248">
        <v>4300</v>
      </c>
      <c r="AQ3248" t="s">
        <v>131</v>
      </c>
      <c r="AR3248">
        <v>5</v>
      </c>
      <c r="AS3248">
        <v>84</v>
      </c>
      <c r="AT3248">
        <v>-64</v>
      </c>
      <c r="BB3248" t="str">
        <f t="shared" si="1270"/>
        <v>1200</v>
      </c>
      <c r="BC3248">
        <v>1</v>
      </c>
      <c r="BD3248" t="str">
        <f t="shared" si="1271"/>
        <v xml:space="preserve">N52156  </v>
      </c>
      <c r="BE3248">
        <v>1</v>
      </c>
      <c r="BG3248">
        <v>0</v>
      </c>
      <c r="BH3248">
        <v>0</v>
      </c>
      <c r="BI3248">
        <v>0</v>
      </c>
      <c r="BJ3248">
        <v>4350</v>
      </c>
      <c r="BK3248">
        <v>50</v>
      </c>
      <c r="BL3248" t="s">
        <v>188</v>
      </c>
      <c r="BM3248">
        <v>1</v>
      </c>
      <c r="BN3248">
        <v>1</v>
      </c>
      <c r="BO3248">
        <v>0</v>
      </c>
      <c r="BP3248">
        <v>0</v>
      </c>
      <c r="BS3248">
        <v>0</v>
      </c>
      <c r="BT3248">
        <v>0</v>
      </c>
      <c r="BU3248">
        <v>0</v>
      </c>
      <c r="CE3248" t="str">
        <f t="shared" ref="CE3248:CE3253" si="1287">"15:13:33.484"</f>
        <v>15:13:33.484</v>
      </c>
      <c r="CF3248">
        <v>484308051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3</v>
      </c>
      <c r="CY3248">
        <v>7</v>
      </c>
      <c r="CZ3248" t="s">
        <v>133</v>
      </c>
      <c r="DA3248">
        <v>276</v>
      </c>
      <c r="DB3248">
        <v>0</v>
      </c>
      <c r="DC3248" t="s">
        <v>402</v>
      </c>
      <c r="DD3248" t="s">
        <v>403</v>
      </c>
      <c r="DG3248">
        <v>1627961</v>
      </c>
      <c r="DI3248">
        <v>1</v>
      </c>
      <c r="DJ3248">
        <v>0</v>
      </c>
      <c r="DK3248">
        <v>0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3">
      <c r="A3249" t="str">
        <f>"05/01/2025 15:13:33.715"</f>
        <v>05/01/2025 15:13:33.715</v>
      </c>
      <c r="C3249" t="str">
        <f t="shared" si="1268"/>
        <v>FFDFD3C0</v>
      </c>
      <c r="D3249" t="s">
        <v>143</v>
      </c>
      <c r="E3249" t="str">
        <f>"05"</f>
        <v>05</v>
      </c>
      <c r="H3249">
        <v>172</v>
      </c>
      <c r="I3249" t="s">
        <v>141</v>
      </c>
      <c r="J3249" t="s">
        <v>144</v>
      </c>
      <c r="K3249">
        <v>0</v>
      </c>
      <c r="L3249">
        <v>3</v>
      </c>
      <c r="M3249">
        <v>0</v>
      </c>
      <c r="N3249">
        <v>2</v>
      </c>
      <c r="O3249">
        <v>0</v>
      </c>
      <c r="P3249">
        <v>1</v>
      </c>
      <c r="Q3249">
        <v>0</v>
      </c>
      <c r="R3249" t="s">
        <v>127</v>
      </c>
      <c r="S3249" t="str">
        <f t="shared" si="1286"/>
        <v>15:13:33.000</v>
      </c>
      <c r="T3249" t="str">
        <f t="shared" si="1286"/>
        <v>15:13:33.000</v>
      </c>
      <c r="U3249" t="str">
        <f t="shared" si="1269"/>
        <v>A68FCB</v>
      </c>
      <c r="V3249">
        <v>0</v>
      </c>
      <c r="W3249">
        <v>0</v>
      </c>
      <c r="X3249">
        <v>2</v>
      </c>
      <c r="Y3249">
        <v>0</v>
      </c>
      <c r="AA3249">
        <v>1</v>
      </c>
      <c r="AB3249">
        <v>8</v>
      </c>
      <c r="AC3249">
        <v>3</v>
      </c>
      <c r="AD3249">
        <v>0</v>
      </c>
      <c r="AE3249">
        <v>9</v>
      </c>
      <c r="AF3249" t="s">
        <v>138</v>
      </c>
      <c r="AG3249">
        <v>0</v>
      </c>
      <c r="AH3249">
        <v>3</v>
      </c>
      <c r="AI3249">
        <v>2</v>
      </c>
      <c r="AJ3249">
        <v>0</v>
      </c>
      <c r="AK3249" t="s">
        <v>1085</v>
      </c>
      <c r="AL3249">
        <v>39.131777</v>
      </c>
      <c r="AM3249" t="s">
        <v>1086</v>
      </c>
      <c r="AN3249">
        <v>-121.031227</v>
      </c>
      <c r="AO3249">
        <v>25</v>
      </c>
      <c r="AP3249">
        <v>4300</v>
      </c>
      <c r="AQ3249" t="s">
        <v>131</v>
      </c>
      <c r="AR3249">
        <v>5</v>
      </c>
      <c r="AS3249">
        <v>84</v>
      </c>
      <c r="AT3249">
        <v>-64</v>
      </c>
      <c r="BB3249" t="str">
        <f t="shared" si="1270"/>
        <v>1200</v>
      </c>
      <c r="BC3249">
        <v>1</v>
      </c>
      <c r="BD3249" t="str">
        <f t="shared" si="1271"/>
        <v xml:space="preserve">N52156  </v>
      </c>
      <c r="BE3249">
        <v>1</v>
      </c>
      <c r="BG3249">
        <v>0</v>
      </c>
      <c r="BH3249">
        <v>0</v>
      </c>
      <c r="BI3249">
        <v>0</v>
      </c>
      <c r="BJ3249">
        <v>4350</v>
      </c>
      <c r="BK3249">
        <v>50</v>
      </c>
      <c r="BL3249" t="s">
        <v>188</v>
      </c>
      <c r="BM3249">
        <v>1</v>
      </c>
      <c r="BN3249">
        <v>1</v>
      </c>
      <c r="BO3249">
        <v>0</v>
      </c>
      <c r="BP3249">
        <v>0</v>
      </c>
      <c r="BS3249">
        <v>0</v>
      </c>
      <c r="BT3249">
        <v>0</v>
      </c>
      <c r="BU3249">
        <v>0</v>
      </c>
      <c r="CE3249" t="str">
        <f t="shared" si="1287"/>
        <v>15:13:33.484</v>
      </c>
      <c r="CF3249">
        <v>484308051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3</v>
      </c>
      <c r="CY3249">
        <v>7</v>
      </c>
      <c r="CZ3249" t="s">
        <v>133</v>
      </c>
      <c r="DA3249">
        <v>276</v>
      </c>
      <c r="DB3249">
        <v>0</v>
      </c>
      <c r="DC3249" t="s">
        <v>402</v>
      </c>
      <c r="DD3249" t="s">
        <v>403</v>
      </c>
      <c r="DG3249">
        <v>1627961</v>
      </c>
      <c r="DI3249">
        <v>1</v>
      </c>
      <c r="DJ3249">
        <v>0</v>
      </c>
      <c r="DK3249">
        <v>1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3">
      <c r="A3250" t="str">
        <f>"05/01/2025 15:13:33.730"</f>
        <v>05/01/2025 15:13:33.730</v>
      </c>
      <c r="C3250" t="str">
        <f t="shared" si="1268"/>
        <v>FFDFD3C0</v>
      </c>
      <c r="D3250" t="s">
        <v>140</v>
      </c>
      <c r="E3250" t="str">
        <f>"13"</f>
        <v>13</v>
      </c>
      <c r="F3250">
        <v>1019</v>
      </c>
      <c r="G3250" t="s">
        <v>141</v>
      </c>
      <c r="J3250" t="s">
        <v>142</v>
      </c>
      <c r="K3250">
        <v>0</v>
      </c>
      <c r="L3250">
        <v>3</v>
      </c>
      <c r="M3250">
        <v>0</v>
      </c>
      <c r="N3250">
        <v>2</v>
      </c>
      <c r="O3250">
        <v>0</v>
      </c>
      <c r="P3250">
        <v>1</v>
      </c>
      <c r="Q3250">
        <v>0</v>
      </c>
      <c r="R3250" t="s">
        <v>127</v>
      </c>
      <c r="S3250" t="str">
        <f t="shared" si="1286"/>
        <v>15:13:33.000</v>
      </c>
      <c r="T3250" t="str">
        <f t="shared" si="1286"/>
        <v>15:13:33.000</v>
      </c>
      <c r="U3250" t="str">
        <f t="shared" si="1269"/>
        <v>A68FCB</v>
      </c>
      <c r="V3250">
        <v>0</v>
      </c>
      <c r="W3250">
        <v>0</v>
      </c>
      <c r="X3250">
        <v>2</v>
      </c>
      <c r="Y3250">
        <v>0</v>
      </c>
      <c r="AA3250">
        <v>1</v>
      </c>
      <c r="AB3250">
        <v>8</v>
      </c>
      <c r="AC3250">
        <v>3</v>
      </c>
      <c r="AD3250">
        <v>0</v>
      </c>
      <c r="AE3250">
        <v>9</v>
      </c>
      <c r="AF3250" t="s">
        <v>138</v>
      </c>
      <c r="AG3250">
        <v>0</v>
      </c>
      <c r="AH3250">
        <v>3</v>
      </c>
      <c r="AI3250">
        <v>2</v>
      </c>
      <c r="AJ3250">
        <v>0</v>
      </c>
      <c r="AK3250" t="s">
        <v>1085</v>
      </c>
      <c r="AL3250">
        <v>39.131777</v>
      </c>
      <c r="AM3250" t="s">
        <v>1086</v>
      </c>
      <c r="AN3250">
        <v>-121.031227</v>
      </c>
      <c r="AO3250">
        <v>25</v>
      </c>
      <c r="AP3250">
        <v>4300</v>
      </c>
      <c r="AQ3250" t="s">
        <v>131</v>
      </c>
      <c r="AR3250">
        <v>5</v>
      </c>
      <c r="AS3250">
        <v>84</v>
      </c>
      <c r="AT3250">
        <v>-64</v>
      </c>
      <c r="BB3250" t="str">
        <f t="shared" si="1270"/>
        <v>1200</v>
      </c>
      <c r="BC3250">
        <v>1</v>
      </c>
      <c r="BD3250" t="str">
        <f t="shared" si="1271"/>
        <v xml:space="preserve">N52156  </v>
      </c>
      <c r="BE3250">
        <v>1</v>
      </c>
      <c r="BG3250">
        <v>0</v>
      </c>
      <c r="BH3250">
        <v>0</v>
      </c>
      <c r="BI3250">
        <v>0</v>
      </c>
      <c r="BJ3250">
        <v>4350</v>
      </c>
      <c r="BK3250">
        <v>50</v>
      </c>
      <c r="BL3250" t="s">
        <v>188</v>
      </c>
      <c r="BM3250">
        <v>1</v>
      </c>
      <c r="BN3250">
        <v>1</v>
      </c>
      <c r="BO3250">
        <v>0</v>
      </c>
      <c r="BP3250">
        <v>0</v>
      </c>
      <c r="BS3250">
        <v>0</v>
      </c>
      <c r="BT3250">
        <v>0</v>
      </c>
      <c r="BU3250">
        <v>0</v>
      </c>
      <c r="CE3250" t="str">
        <f t="shared" si="1287"/>
        <v>15:13:33.484</v>
      </c>
      <c r="CF3250">
        <v>484308051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3</v>
      </c>
      <c r="CY3250">
        <v>7</v>
      </c>
      <c r="CZ3250" t="s">
        <v>133</v>
      </c>
      <c r="DA3250">
        <v>276</v>
      </c>
      <c r="DB3250">
        <v>0</v>
      </c>
      <c r="DC3250" t="s">
        <v>402</v>
      </c>
      <c r="DD3250" t="s">
        <v>403</v>
      </c>
      <c r="DG3250">
        <v>1627961</v>
      </c>
      <c r="DI3250">
        <v>1</v>
      </c>
      <c r="DJ3250">
        <v>0</v>
      </c>
      <c r="DK3250">
        <v>1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3">
      <c r="A3251" t="str">
        <f>"05/01/2025 15:13:33.728"</f>
        <v>05/01/2025 15:13:33.728</v>
      </c>
      <c r="C3251" t="str">
        <f t="shared" si="1268"/>
        <v>FFDFD3C0</v>
      </c>
      <c r="D3251" t="s">
        <v>124</v>
      </c>
      <c r="E3251" t="str">
        <f>"06"</f>
        <v>06</v>
      </c>
      <c r="F3251">
        <v>2006</v>
      </c>
      <c r="G3251" t="s">
        <v>125</v>
      </c>
      <c r="J3251" t="s">
        <v>126</v>
      </c>
      <c r="K3251">
        <v>0</v>
      </c>
      <c r="L3251">
        <v>3</v>
      </c>
      <c r="M3251">
        <v>0</v>
      </c>
      <c r="N3251">
        <v>2</v>
      </c>
      <c r="O3251">
        <v>0</v>
      </c>
      <c r="P3251">
        <v>1</v>
      </c>
      <c r="Q3251">
        <v>0</v>
      </c>
      <c r="R3251" t="s">
        <v>127</v>
      </c>
      <c r="S3251" t="str">
        <f t="shared" si="1286"/>
        <v>15:13:33.000</v>
      </c>
      <c r="T3251" t="str">
        <f t="shared" si="1286"/>
        <v>15:13:33.000</v>
      </c>
      <c r="U3251" t="str">
        <f t="shared" si="1269"/>
        <v>A68FCB</v>
      </c>
      <c r="V3251">
        <v>0</v>
      </c>
      <c r="W3251">
        <v>0</v>
      </c>
      <c r="X3251">
        <v>2</v>
      </c>
      <c r="Y3251">
        <v>0</v>
      </c>
      <c r="AA3251">
        <v>1</v>
      </c>
      <c r="AB3251">
        <v>8</v>
      </c>
      <c r="AC3251">
        <v>3</v>
      </c>
      <c r="AD3251">
        <v>0</v>
      </c>
      <c r="AE3251">
        <v>9</v>
      </c>
      <c r="AF3251" t="s">
        <v>138</v>
      </c>
      <c r="AG3251">
        <v>0</v>
      </c>
      <c r="AH3251">
        <v>3</v>
      </c>
      <c r="AI3251">
        <v>2</v>
      </c>
      <c r="AJ3251">
        <v>0</v>
      </c>
      <c r="AK3251" t="s">
        <v>1085</v>
      </c>
      <c r="AL3251">
        <v>39.131777</v>
      </c>
      <c r="AM3251" t="s">
        <v>1086</v>
      </c>
      <c r="AN3251">
        <v>-121.031227</v>
      </c>
      <c r="AO3251">
        <v>25</v>
      </c>
      <c r="AP3251">
        <v>4300</v>
      </c>
      <c r="AQ3251" t="s">
        <v>131</v>
      </c>
      <c r="AR3251">
        <v>5</v>
      </c>
      <c r="AS3251">
        <v>84</v>
      </c>
      <c r="AT3251">
        <v>-64</v>
      </c>
      <c r="BB3251" t="str">
        <f t="shared" si="1270"/>
        <v>1200</v>
      </c>
      <c r="BC3251">
        <v>1</v>
      </c>
      <c r="BD3251" t="str">
        <f t="shared" si="1271"/>
        <v xml:space="preserve">N52156  </v>
      </c>
      <c r="BE3251">
        <v>1</v>
      </c>
      <c r="BG3251">
        <v>0</v>
      </c>
      <c r="BH3251">
        <v>0</v>
      </c>
      <c r="BI3251">
        <v>0</v>
      </c>
      <c r="BJ3251">
        <v>4350</v>
      </c>
      <c r="BK3251">
        <v>50</v>
      </c>
      <c r="BL3251" t="s">
        <v>188</v>
      </c>
      <c r="BM3251">
        <v>1</v>
      </c>
      <c r="BN3251">
        <v>1</v>
      </c>
      <c r="BO3251">
        <v>0</v>
      </c>
      <c r="BP3251">
        <v>0</v>
      </c>
      <c r="BS3251">
        <v>0</v>
      </c>
      <c r="BT3251">
        <v>0</v>
      </c>
      <c r="BU3251">
        <v>0</v>
      </c>
      <c r="CE3251" t="str">
        <f t="shared" si="1287"/>
        <v>15:13:33.484</v>
      </c>
      <c r="CF3251">
        <v>484308051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3</v>
      </c>
      <c r="CY3251">
        <v>7</v>
      </c>
      <c r="CZ3251" t="s">
        <v>133</v>
      </c>
      <c r="DA3251">
        <v>276</v>
      </c>
      <c r="DB3251">
        <v>0</v>
      </c>
      <c r="DC3251" t="s">
        <v>402</v>
      </c>
      <c r="DD3251" t="s">
        <v>403</v>
      </c>
      <c r="DG3251">
        <v>1627961</v>
      </c>
      <c r="DI3251">
        <v>1</v>
      </c>
      <c r="DJ3251">
        <v>0</v>
      </c>
      <c r="DK3251">
        <v>1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3">
      <c r="A3252" t="str">
        <f>"05/01/2025 15:13:33.742"</f>
        <v>05/01/2025 15:13:33.742</v>
      </c>
      <c r="C3252" t="str">
        <f t="shared" si="1268"/>
        <v>FFDFD3C0</v>
      </c>
      <c r="D3252" t="s">
        <v>145</v>
      </c>
      <c r="E3252" t="str">
        <f>"09"</f>
        <v>09</v>
      </c>
      <c r="H3252">
        <v>51</v>
      </c>
      <c r="I3252" t="s">
        <v>147</v>
      </c>
      <c r="J3252" t="s">
        <v>138</v>
      </c>
      <c r="K3252">
        <v>0</v>
      </c>
      <c r="L3252">
        <v>3</v>
      </c>
      <c r="M3252">
        <v>0</v>
      </c>
      <c r="N3252">
        <v>2</v>
      </c>
      <c r="O3252">
        <v>0</v>
      </c>
      <c r="P3252">
        <v>1</v>
      </c>
      <c r="Q3252">
        <v>0</v>
      </c>
      <c r="R3252" t="s">
        <v>127</v>
      </c>
      <c r="S3252" t="str">
        <f t="shared" si="1286"/>
        <v>15:13:33.000</v>
      </c>
      <c r="T3252" t="str">
        <f t="shared" si="1286"/>
        <v>15:13:33.000</v>
      </c>
      <c r="U3252" t="str">
        <f t="shared" si="1269"/>
        <v>A68FCB</v>
      </c>
      <c r="V3252">
        <v>0</v>
      </c>
      <c r="W3252">
        <v>0</v>
      </c>
      <c r="X3252">
        <v>2</v>
      </c>
      <c r="Y3252">
        <v>0</v>
      </c>
      <c r="AA3252">
        <v>1</v>
      </c>
      <c r="AB3252">
        <v>8</v>
      </c>
      <c r="AC3252">
        <v>3</v>
      </c>
      <c r="AD3252">
        <v>0</v>
      </c>
      <c r="AE3252">
        <v>9</v>
      </c>
      <c r="AF3252" t="s">
        <v>138</v>
      </c>
      <c r="AG3252">
        <v>0</v>
      </c>
      <c r="AH3252">
        <v>3</v>
      </c>
      <c r="AI3252">
        <v>2</v>
      </c>
      <c r="AJ3252">
        <v>0</v>
      </c>
      <c r="AK3252" t="s">
        <v>1085</v>
      </c>
      <c r="AL3252">
        <v>39.131777</v>
      </c>
      <c r="AM3252" t="s">
        <v>1086</v>
      </c>
      <c r="AN3252">
        <v>-121.031227</v>
      </c>
      <c r="AO3252">
        <v>25</v>
      </c>
      <c r="AP3252">
        <v>4300</v>
      </c>
      <c r="AQ3252" t="s">
        <v>131</v>
      </c>
      <c r="AR3252">
        <v>5</v>
      </c>
      <c r="AS3252">
        <v>84</v>
      </c>
      <c r="AT3252">
        <v>-64</v>
      </c>
      <c r="BB3252" t="str">
        <f t="shared" si="1270"/>
        <v>1200</v>
      </c>
      <c r="BC3252">
        <v>1</v>
      </c>
      <c r="BD3252" t="str">
        <f t="shared" si="1271"/>
        <v xml:space="preserve">N52156  </v>
      </c>
      <c r="BE3252">
        <v>1</v>
      </c>
      <c r="BG3252">
        <v>0</v>
      </c>
      <c r="BH3252">
        <v>0</v>
      </c>
      <c r="BI3252">
        <v>0</v>
      </c>
      <c r="BJ3252">
        <v>4350</v>
      </c>
      <c r="BK3252">
        <v>50</v>
      </c>
      <c r="BL3252" t="s">
        <v>188</v>
      </c>
      <c r="BM3252">
        <v>1</v>
      </c>
      <c r="BN3252">
        <v>1</v>
      </c>
      <c r="BO3252">
        <v>0</v>
      </c>
      <c r="BP3252">
        <v>0</v>
      </c>
      <c r="BS3252">
        <v>0</v>
      </c>
      <c r="BT3252">
        <v>0</v>
      </c>
      <c r="BU3252">
        <v>0</v>
      </c>
      <c r="CE3252" t="str">
        <f t="shared" si="1287"/>
        <v>15:13:33.484</v>
      </c>
      <c r="CF3252">
        <v>484308051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3</v>
      </c>
      <c r="CY3252">
        <v>7</v>
      </c>
      <c r="CZ3252" t="s">
        <v>133</v>
      </c>
      <c r="DA3252">
        <v>276</v>
      </c>
      <c r="DB3252">
        <v>0</v>
      </c>
      <c r="DC3252" t="s">
        <v>402</v>
      </c>
      <c r="DD3252" t="s">
        <v>403</v>
      </c>
      <c r="DG3252">
        <v>1627961</v>
      </c>
      <c r="DI3252">
        <v>1</v>
      </c>
      <c r="DJ3252">
        <v>0</v>
      </c>
      <c r="DK3252">
        <v>1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3">
      <c r="A3253" t="str">
        <f>"05/01/2025 15:13:33.743"</f>
        <v>05/01/2025 15:13:33.743</v>
      </c>
      <c r="C3253" t="str">
        <f t="shared" si="1268"/>
        <v>FFDFD3C0</v>
      </c>
      <c r="D3253" t="s">
        <v>145</v>
      </c>
      <c r="E3253" t="str">
        <f>"05"</f>
        <v>05</v>
      </c>
      <c r="H3253">
        <v>47</v>
      </c>
      <c r="I3253" t="s">
        <v>146</v>
      </c>
      <c r="J3253" t="s">
        <v>138</v>
      </c>
      <c r="K3253">
        <v>0</v>
      </c>
      <c r="L3253">
        <v>3</v>
      </c>
      <c r="M3253">
        <v>0</v>
      </c>
      <c r="N3253">
        <v>2</v>
      </c>
      <c r="O3253">
        <v>0</v>
      </c>
      <c r="P3253">
        <v>1</v>
      </c>
      <c r="Q3253">
        <v>0</v>
      </c>
      <c r="R3253" t="s">
        <v>127</v>
      </c>
      <c r="S3253" t="str">
        <f t="shared" si="1286"/>
        <v>15:13:33.000</v>
      </c>
      <c r="T3253" t="str">
        <f t="shared" si="1286"/>
        <v>15:13:33.000</v>
      </c>
      <c r="U3253" t="str">
        <f t="shared" si="1269"/>
        <v>A68FCB</v>
      </c>
      <c r="V3253">
        <v>0</v>
      </c>
      <c r="W3253">
        <v>0</v>
      </c>
      <c r="X3253">
        <v>2</v>
      </c>
      <c r="Y3253">
        <v>0</v>
      </c>
      <c r="AA3253">
        <v>1</v>
      </c>
      <c r="AB3253">
        <v>8</v>
      </c>
      <c r="AC3253">
        <v>3</v>
      </c>
      <c r="AD3253">
        <v>0</v>
      </c>
      <c r="AE3253">
        <v>9</v>
      </c>
      <c r="AF3253" t="s">
        <v>138</v>
      </c>
      <c r="AG3253">
        <v>0</v>
      </c>
      <c r="AH3253">
        <v>3</v>
      </c>
      <c r="AI3253">
        <v>2</v>
      </c>
      <c r="AJ3253">
        <v>0</v>
      </c>
      <c r="AK3253" t="s">
        <v>1085</v>
      </c>
      <c r="AL3253">
        <v>39.131777</v>
      </c>
      <c r="AM3253" t="s">
        <v>1086</v>
      </c>
      <c r="AN3253">
        <v>-121.031227</v>
      </c>
      <c r="AO3253">
        <v>25</v>
      </c>
      <c r="AP3253">
        <v>4300</v>
      </c>
      <c r="AQ3253" t="s">
        <v>131</v>
      </c>
      <c r="AR3253">
        <v>5</v>
      </c>
      <c r="AS3253">
        <v>84</v>
      </c>
      <c r="AT3253">
        <v>-64</v>
      </c>
      <c r="BB3253" t="str">
        <f t="shared" si="1270"/>
        <v>1200</v>
      </c>
      <c r="BC3253">
        <v>1</v>
      </c>
      <c r="BD3253" t="str">
        <f t="shared" si="1271"/>
        <v xml:space="preserve">N52156  </v>
      </c>
      <c r="BE3253">
        <v>1</v>
      </c>
      <c r="BG3253">
        <v>0</v>
      </c>
      <c r="BH3253">
        <v>0</v>
      </c>
      <c r="BI3253">
        <v>0</v>
      </c>
      <c r="BJ3253">
        <v>4350</v>
      </c>
      <c r="BK3253">
        <v>50</v>
      </c>
      <c r="BL3253" t="s">
        <v>188</v>
      </c>
      <c r="BM3253">
        <v>1</v>
      </c>
      <c r="BN3253">
        <v>1</v>
      </c>
      <c r="BO3253">
        <v>0</v>
      </c>
      <c r="BP3253">
        <v>0</v>
      </c>
      <c r="BS3253">
        <v>0</v>
      </c>
      <c r="BT3253">
        <v>0</v>
      </c>
      <c r="BU3253">
        <v>0</v>
      </c>
      <c r="CE3253" t="str">
        <f t="shared" si="1287"/>
        <v>15:13:33.484</v>
      </c>
      <c r="CF3253">
        <v>484308051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3</v>
      </c>
      <c r="CY3253">
        <v>7</v>
      </c>
      <c r="CZ3253" t="s">
        <v>133</v>
      </c>
      <c r="DA3253">
        <v>276</v>
      </c>
      <c r="DB3253">
        <v>0</v>
      </c>
      <c r="DC3253" t="s">
        <v>402</v>
      </c>
      <c r="DD3253" t="s">
        <v>403</v>
      </c>
      <c r="DG3253">
        <v>1627961</v>
      </c>
      <c r="DI3253">
        <v>1</v>
      </c>
      <c r="DJ3253">
        <v>0</v>
      </c>
      <c r="DK3253">
        <v>1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3">
      <c r="A3254" t="str">
        <f>"05/01/2025 15:13:34.957"</f>
        <v>05/01/2025 15:13:34.957</v>
      </c>
      <c r="C3254" t="str">
        <f t="shared" si="1268"/>
        <v>FFDFD3C0</v>
      </c>
      <c r="D3254" t="s">
        <v>136</v>
      </c>
      <c r="E3254" t="str">
        <f>"20"</f>
        <v>20</v>
      </c>
      <c r="H3254">
        <v>400</v>
      </c>
      <c r="I3254" t="s">
        <v>137</v>
      </c>
      <c r="J3254" t="s">
        <v>138</v>
      </c>
      <c r="K3254">
        <v>0</v>
      </c>
      <c r="L3254">
        <v>3</v>
      </c>
      <c r="M3254">
        <v>0</v>
      </c>
      <c r="N3254">
        <v>2</v>
      </c>
      <c r="O3254">
        <v>0</v>
      </c>
      <c r="P3254">
        <v>1</v>
      </c>
      <c r="Q3254">
        <v>0</v>
      </c>
      <c r="R3254" t="s">
        <v>127</v>
      </c>
      <c r="S3254" t="str">
        <f t="shared" ref="S3254:T3259" si="1288">"15:13:34.000"</f>
        <v>15:13:34.000</v>
      </c>
      <c r="T3254" t="str">
        <f t="shared" si="1288"/>
        <v>15:13:34.000</v>
      </c>
      <c r="U3254" t="str">
        <f t="shared" si="1269"/>
        <v>A68FCB</v>
      </c>
      <c r="V3254">
        <v>0</v>
      </c>
      <c r="W3254">
        <v>0</v>
      </c>
      <c r="X3254">
        <v>2</v>
      </c>
      <c r="Y3254">
        <v>0</v>
      </c>
      <c r="AA3254">
        <v>1</v>
      </c>
      <c r="AB3254">
        <v>8</v>
      </c>
      <c r="AC3254">
        <v>3</v>
      </c>
      <c r="AD3254">
        <v>0</v>
      </c>
      <c r="AE3254">
        <v>9</v>
      </c>
      <c r="AF3254" t="s">
        <v>138</v>
      </c>
      <c r="AG3254">
        <v>0</v>
      </c>
      <c r="AH3254">
        <v>3</v>
      </c>
      <c r="AI3254">
        <v>2</v>
      </c>
      <c r="AJ3254">
        <v>0</v>
      </c>
      <c r="AK3254" t="s">
        <v>1087</v>
      </c>
      <c r="AL3254">
        <v>39.132164000000003</v>
      </c>
      <c r="AM3254" t="s">
        <v>1088</v>
      </c>
      <c r="AN3254">
        <v>-121.031206</v>
      </c>
      <c r="AO3254">
        <v>25</v>
      </c>
      <c r="AP3254">
        <v>4300</v>
      </c>
      <c r="AQ3254" t="s">
        <v>131</v>
      </c>
      <c r="AR3254">
        <v>4</v>
      </c>
      <c r="AS3254">
        <v>84</v>
      </c>
      <c r="AT3254">
        <v>-64</v>
      </c>
      <c r="BB3254" t="str">
        <f t="shared" si="1270"/>
        <v>1200</v>
      </c>
      <c r="BC3254">
        <v>1</v>
      </c>
      <c r="BD3254" t="str">
        <f t="shared" si="1271"/>
        <v xml:space="preserve">N52156  </v>
      </c>
      <c r="BE3254">
        <v>1</v>
      </c>
      <c r="BG3254">
        <v>0</v>
      </c>
      <c r="BH3254">
        <v>0</v>
      </c>
      <c r="BI3254">
        <v>0</v>
      </c>
      <c r="BJ3254">
        <v>4350</v>
      </c>
      <c r="BK3254">
        <v>50</v>
      </c>
      <c r="BL3254" t="s">
        <v>188</v>
      </c>
      <c r="BM3254">
        <v>1</v>
      </c>
      <c r="BN3254">
        <v>1</v>
      </c>
      <c r="BO3254">
        <v>0</v>
      </c>
      <c r="BP3254">
        <v>0</v>
      </c>
      <c r="BS3254">
        <v>0</v>
      </c>
      <c r="BT3254">
        <v>0</v>
      </c>
      <c r="BU3254">
        <v>0</v>
      </c>
      <c r="CE3254" t="str">
        <f t="shared" ref="CE3254:CE3259" si="1289">"15:13:34.727"</f>
        <v>15:13:34.727</v>
      </c>
      <c r="CF3254">
        <v>726983076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3</v>
      </c>
      <c r="CY3254">
        <v>7</v>
      </c>
      <c r="CZ3254" t="s">
        <v>133</v>
      </c>
      <c r="DA3254">
        <v>275</v>
      </c>
      <c r="DB3254">
        <v>0</v>
      </c>
      <c r="DC3254" t="s">
        <v>134</v>
      </c>
      <c r="DD3254" t="s">
        <v>135</v>
      </c>
      <c r="DG3254">
        <v>3322522</v>
      </c>
      <c r="DI3254">
        <v>1</v>
      </c>
      <c r="DJ3254">
        <v>0</v>
      </c>
      <c r="DK3254">
        <v>0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3">
      <c r="A3255" t="str">
        <f>"05/01/2025 15:13:34.967"</f>
        <v>05/01/2025 15:13:34.967</v>
      </c>
      <c r="C3255" t="str">
        <f t="shared" si="1268"/>
        <v>FFDFD3C0</v>
      </c>
      <c r="D3255" t="s">
        <v>143</v>
      </c>
      <c r="E3255" t="str">
        <f>"05"</f>
        <v>05</v>
      </c>
      <c r="H3255">
        <v>172</v>
      </c>
      <c r="I3255" t="s">
        <v>141</v>
      </c>
      <c r="J3255" t="s">
        <v>144</v>
      </c>
      <c r="K3255">
        <v>0</v>
      </c>
      <c r="L3255">
        <v>3</v>
      </c>
      <c r="M3255">
        <v>0</v>
      </c>
      <c r="N3255">
        <v>2</v>
      </c>
      <c r="O3255">
        <v>0</v>
      </c>
      <c r="P3255">
        <v>1</v>
      </c>
      <c r="Q3255">
        <v>0</v>
      </c>
      <c r="R3255" t="s">
        <v>127</v>
      </c>
      <c r="S3255" t="str">
        <f t="shared" si="1288"/>
        <v>15:13:34.000</v>
      </c>
      <c r="T3255" t="str">
        <f t="shared" si="1288"/>
        <v>15:13:34.000</v>
      </c>
      <c r="U3255" t="str">
        <f t="shared" si="1269"/>
        <v>A68FCB</v>
      </c>
      <c r="V3255">
        <v>0</v>
      </c>
      <c r="W3255">
        <v>0</v>
      </c>
      <c r="X3255">
        <v>2</v>
      </c>
      <c r="Y3255">
        <v>0</v>
      </c>
      <c r="AA3255">
        <v>1</v>
      </c>
      <c r="AB3255">
        <v>8</v>
      </c>
      <c r="AC3255">
        <v>3</v>
      </c>
      <c r="AD3255">
        <v>0</v>
      </c>
      <c r="AE3255">
        <v>9</v>
      </c>
      <c r="AF3255" t="s">
        <v>138</v>
      </c>
      <c r="AG3255">
        <v>0</v>
      </c>
      <c r="AH3255">
        <v>3</v>
      </c>
      <c r="AI3255">
        <v>2</v>
      </c>
      <c r="AJ3255">
        <v>0</v>
      </c>
      <c r="AK3255" t="s">
        <v>1087</v>
      </c>
      <c r="AL3255">
        <v>39.132164000000003</v>
      </c>
      <c r="AM3255" t="s">
        <v>1088</v>
      </c>
      <c r="AN3255">
        <v>-121.031206</v>
      </c>
      <c r="AO3255">
        <v>25</v>
      </c>
      <c r="AP3255">
        <v>4300</v>
      </c>
      <c r="AQ3255" t="s">
        <v>131</v>
      </c>
      <c r="AR3255">
        <v>4</v>
      </c>
      <c r="AS3255">
        <v>84</v>
      </c>
      <c r="AT3255">
        <v>-64</v>
      </c>
      <c r="BB3255" t="str">
        <f t="shared" si="1270"/>
        <v>1200</v>
      </c>
      <c r="BC3255">
        <v>1</v>
      </c>
      <c r="BD3255" t="str">
        <f t="shared" si="1271"/>
        <v xml:space="preserve">N52156  </v>
      </c>
      <c r="BE3255">
        <v>1</v>
      </c>
      <c r="BG3255">
        <v>0</v>
      </c>
      <c r="BH3255">
        <v>0</v>
      </c>
      <c r="BI3255">
        <v>0</v>
      </c>
      <c r="BJ3255">
        <v>4350</v>
      </c>
      <c r="BK3255">
        <v>50</v>
      </c>
      <c r="BL3255" t="s">
        <v>188</v>
      </c>
      <c r="BM3255">
        <v>1</v>
      </c>
      <c r="BN3255">
        <v>1</v>
      </c>
      <c r="BO3255">
        <v>0</v>
      </c>
      <c r="BP3255">
        <v>0</v>
      </c>
      <c r="BS3255">
        <v>0</v>
      </c>
      <c r="BT3255">
        <v>0</v>
      </c>
      <c r="BU3255">
        <v>0</v>
      </c>
      <c r="CE3255" t="str">
        <f t="shared" si="1289"/>
        <v>15:13:34.727</v>
      </c>
      <c r="CF3255">
        <v>726983076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3</v>
      </c>
      <c r="CY3255">
        <v>7</v>
      </c>
      <c r="CZ3255" t="s">
        <v>133</v>
      </c>
      <c r="DA3255">
        <v>275</v>
      </c>
      <c r="DB3255">
        <v>0</v>
      </c>
      <c r="DC3255" t="s">
        <v>134</v>
      </c>
      <c r="DD3255" t="s">
        <v>135</v>
      </c>
      <c r="DG3255">
        <v>3322522</v>
      </c>
      <c r="DI3255">
        <v>1</v>
      </c>
      <c r="DJ3255">
        <v>0</v>
      </c>
      <c r="DK3255">
        <v>1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3">
      <c r="A3256" t="str">
        <f>"05/01/2025 15:13:34.981"</f>
        <v>05/01/2025 15:13:34.981</v>
      </c>
      <c r="C3256" t="str">
        <f t="shared" si="1268"/>
        <v>FFDFD3C0</v>
      </c>
      <c r="D3256" t="s">
        <v>124</v>
      </c>
      <c r="E3256" t="str">
        <f>"06"</f>
        <v>06</v>
      </c>
      <c r="F3256">
        <v>2006</v>
      </c>
      <c r="G3256" t="s">
        <v>125</v>
      </c>
      <c r="J3256" t="s">
        <v>126</v>
      </c>
      <c r="K3256">
        <v>0</v>
      </c>
      <c r="L3256">
        <v>3</v>
      </c>
      <c r="M3256">
        <v>0</v>
      </c>
      <c r="N3256">
        <v>2</v>
      </c>
      <c r="O3256">
        <v>0</v>
      </c>
      <c r="P3256">
        <v>1</v>
      </c>
      <c r="Q3256">
        <v>0</v>
      </c>
      <c r="R3256" t="s">
        <v>127</v>
      </c>
      <c r="S3256" t="str">
        <f t="shared" si="1288"/>
        <v>15:13:34.000</v>
      </c>
      <c r="T3256" t="str">
        <f t="shared" si="1288"/>
        <v>15:13:34.000</v>
      </c>
      <c r="U3256" t="str">
        <f t="shared" si="1269"/>
        <v>A68FCB</v>
      </c>
      <c r="V3256">
        <v>0</v>
      </c>
      <c r="W3256">
        <v>0</v>
      </c>
      <c r="X3256">
        <v>2</v>
      </c>
      <c r="Y3256">
        <v>0</v>
      </c>
      <c r="AA3256">
        <v>1</v>
      </c>
      <c r="AB3256">
        <v>8</v>
      </c>
      <c r="AC3256">
        <v>3</v>
      </c>
      <c r="AD3256">
        <v>0</v>
      </c>
      <c r="AE3256">
        <v>9</v>
      </c>
      <c r="AF3256" t="s">
        <v>138</v>
      </c>
      <c r="AG3256">
        <v>0</v>
      </c>
      <c r="AH3256">
        <v>3</v>
      </c>
      <c r="AI3256">
        <v>2</v>
      </c>
      <c r="AJ3256">
        <v>0</v>
      </c>
      <c r="AK3256" t="s">
        <v>1087</v>
      </c>
      <c r="AL3256">
        <v>39.132164000000003</v>
      </c>
      <c r="AM3256" t="s">
        <v>1088</v>
      </c>
      <c r="AN3256">
        <v>-121.031206</v>
      </c>
      <c r="AO3256">
        <v>25</v>
      </c>
      <c r="AP3256">
        <v>4300</v>
      </c>
      <c r="AQ3256" t="s">
        <v>131</v>
      </c>
      <c r="AR3256">
        <v>4</v>
      </c>
      <c r="AS3256">
        <v>84</v>
      </c>
      <c r="AT3256">
        <v>-64</v>
      </c>
      <c r="BB3256" t="str">
        <f t="shared" si="1270"/>
        <v>1200</v>
      </c>
      <c r="BC3256">
        <v>1</v>
      </c>
      <c r="BD3256" t="str">
        <f t="shared" si="1271"/>
        <v xml:space="preserve">N52156  </v>
      </c>
      <c r="BE3256">
        <v>1</v>
      </c>
      <c r="BG3256">
        <v>0</v>
      </c>
      <c r="BH3256">
        <v>0</v>
      </c>
      <c r="BI3256">
        <v>0</v>
      </c>
      <c r="BJ3256">
        <v>4350</v>
      </c>
      <c r="BK3256">
        <v>50</v>
      </c>
      <c r="BL3256" t="s">
        <v>188</v>
      </c>
      <c r="BM3256">
        <v>1</v>
      </c>
      <c r="BN3256">
        <v>1</v>
      </c>
      <c r="BO3256">
        <v>0</v>
      </c>
      <c r="BP3256">
        <v>0</v>
      </c>
      <c r="BS3256">
        <v>0</v>
      </c>
      <c r="BT3256">
        <v>0</v>
      </c>
      <c r="BU3256">
        <v>0</v>
      </c>
      <c r="CE3256" t="str">
        <f t="shared" si="1289"/>
        <v>15:13:34.727</v>
      </c>
      <c r="CF3256">
        <v>726983076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3</v>
      </c>
      <c r="CY3256">
        <v>7</v>
      </c>
      <c r="CZ3256" t="s">
        <v>133</v>
      </c>
      <c r="DA3256">
        <v>275</v>
      </c>
      <c r="DB3256">
        <v>0</v>
      </c>
      <c r="DC3256" t="s">
        <v>134</v>
      </c>
      <c r="DD3256" t="s">
        <v>135</v>
      </c>
      <c r="DG3256">
        <v>3322522</v>
      </c>
      <c r="DI3256">
        <v>1</v>
      </c>
      <c r="DJ3256">
        <v>0</v>
      </c>
      <c r="DK3256">
        <v>1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3">
      <c r="A3257" t="str">
        <f>"05/01/2025 15:13:34.982"</f>
        <v>05/01/2025 15:13:34.982</v>
      </c>
      <c r="C3257" t="str">
        <f t="shared" si="1268"/>
        <v>FFDFD3C0</v>
      </c>
      <c r="D3257" t="s">
        <v>140</v>
      </c>
      <c r="E3257" t="str">
        <f>"13"</f>
        <v>13</v>
      </c>
      <c r="F3257">
        <v>1019</v>
      </c>
      <c r="G3257" t="s">
        <v>141</v>
      </c>
      <c r="J3257" t="s">
        <v>142</v>
      </c>
      <c r="K3257">
        <v>0</v>
      </c>
      <c r="L3257">
        <v>3</v>
      </c>
      <c r="M3257">
        <v>0</v>
      </c>
      <c r="N3257">
        <v>2</v>
      </c>
      <c r="O3257">
        <v>0</v>
      </c>
      <c r="P3257">
        <v>1</v>
      </c>
      <c r="Q3257">
        <v>0</v>
      </c>
      <c r="R3257" t="s">
        <v>127</v>
      </c>
      <c r="S3257" t="str">
        <f t="shared" si="1288"/>
        <v>15:13:34.000</v>
      </c>
      <c r="T3257" t="str">
        <f t="shared" si="1288"/>
        <v>15:13:34.000</v>
      </c>
      <c r="U3257" t="str">
        <f t="shared" si="1269"/>
        <v>A68FCB</v>
      </c>
      <c r="V3257">
        <v>0</v>
      </c>
      <c r="W3257">
        <v>0</v>
      </c>
      <c r="X3257">
        <v>2</v>
      </c>
      <c r="Y3257">
        <v>0</v>
      </c>
      <c r="AA3257">
        <v>1</v>
      </c>
      <c r="AB3257">
        <v>8</v>
      </c>
      <c r="AC3257">
        <v>3</v>
      </c>
      <c r="AD3257">
        <v>0</v>
      </c>
      <c r="AE3257">
        <v>9</v>
      </c>
      <c r="AF3257" t="s">
        <v>138</v>
      </c>
      <c r="AG3257">
        <v>0</v>
      </c>
      <c r="AH3257">
        <v>3</v>
      </c>
      <c r="AI3257">
        <v>2</v>
      </c>
      <c r="AJ3257">
        <v>0</v>
      </c>
      <c r="AK3257" t="s">
        <v>1087</v>
      </c>
      <c r="AL3257">
        <v>39.132164000000003</v>
      </c>
      <c r="AM3257" t="s">
        <v>1088</v>
      </c>
      <c r="AN3257">
        <v>-121.031206</v>
      </c>
      <c r="AO3257">
        <v>25</v>
      </c>
      <c r="AP3257">
        <v>4300</v>
      </c>
      <c r="AQ3257" t="s">
        <v>131</v>
      </c>
      <c r="AR3257">
        <v>4</v>
      </c>
      <c r="AS3257">
        <v>84</v>
      </c>
      <c r="AT3257">
        <v>-64</v>
      </c>
      <c r="BB3257" t="str">
        <f t="shared" si="1270"/>
        <v>1200</v>
      </c>
      <c r="BC3257">
        <v>1</v>
      </c>
      <c r="BD3257" t="str">
        <f t="shared" si="1271"/>
        <v xml:space="preserve">N52156  </v>
      </c>
      <c r="BE3257">
        <v>1</v>
      </c>
      <c r="BG3257">
        <v>0</v>
      </c>
      <c r="BH3257">
        <v>0</v>
      </c>
      <c r="BI3257">
        <v>0</v>
      </c>
      <c r="BJ3257">
        <v>4350</v>
      </c>
      <c r="BK3257">
        <v>50</v>
      </c>
      <c r="BL3257" t="s">
        <v>188</v>
      </c>
      <c r="BM3257">
        <v>1</v>
      </c>
      <c r="BN3257">
        <v>1</v>
      </c>
      <c r="BO3257">
        <v>0</v>
      </c>
      <c r="BP3257">
        <v>0</v>
      </c>
      <c r="BS3257">
        <v>0</v>
      </c>
      <c r="BT3257">
        <v>0</v>
      </c>
      <c r="BU3257">
        <v>0</v>
      </c>
      <c r="CE3257" t="str">
        <f t="shared" si="1289"/>
        <v>15:13:34.727</v>
      </c>
      <c r="CF3257">
        <v>726983076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3</v>
      </c>
      <c r="CY3257">
        <v>7</v>
      </c>
      <c r="CZ3257" t="s">
        <v>133</v>
      </c>
      <c r="DA3257">
        <v>275</v>
      </c>
      <c r="DB3257">
        <v>0</v>
      </c>
      <c r="DC3257" t="s">
        <v>134</v>
      </c>
      <c r="DD3257" t="s">
        <v>135</v>
      </c>
      <c r="DG3257">
        <v>3322522</v>
      </c>
      <c r="DI3257">
        <v>1</v>
      </c>
      <c r="DJ3257">
        <v>0</v>
      </c>
      <c r="DK3257">
        <v>1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3">
      <c r="A3258" t="str">
        <f>"05/01/2025 15:13:34.995"</f>
        <v>05/01/2025 15:13:34.995</v>
      </c>
      <c r="C3258" t="str">
        <f t="shared" si="1268"/>
        <v>FFDFD3C0</v>
      </c>
      <c r="D3258" t="s">
        <v>145</v>
      </c>
      <c r="E3258" t="str">
        <f>"05"</f>
        <v>05</v>
      </c>
      <c r="H3258">
        <v>47</v>
      </c>
      <c r="I3258" t="s">
        <v>146</v>
      </c>
      <c r="J3258" t="s">
        <v>138</v>
      </c>
      <c r="K3258">
        <v>0</v>
      </c>
      <c r="L3258">
        <v>3</v>
      </c>
      <c r="M3258">
        <v>0</v>
      </c>
      <c r="N3258">
        <v>2</v>
      </c>
      <c r="O3258">
        <v>0</v>
      </c>
      <c r="P3258">
        <v>1</v>
      </c>
      <c r="Q3258">
        <v>0</v>
      </c>
      <c r="R3258" t="s">
        <v>127</v>
      </c>
      <c r="S3258" t="str">
        <f t="shared" si="1288"/>
        <v>15:13:34.000</v>
      </c>
      <c r="T3258" t="str">
        <f t="shared" si="1288"/>
        <v>15:13:34.000</v>
      </c>
      <c r="U3258" t="str">
        <f t="shared" si="1269"/>
        <v>A68FCB</v>
      </c>
      <c r="V3258">
        <v>0</v>
      </c>
      <c r="W3258">
        <v>0</v>
      </c>
      <c r="X3258">
        <v>2</v>
      </c>
      <c r="Y3258">
        <v>0</v>
      </c>
      <c r="AA3258">
        <v>1</v>
      </c>
      <c r="AB3258">
        <v>8</v>
      </c>
      <c r="AC3258">
        <v>3</v>
      </c>
      <c r="AD3258">
        <v>0</v>
      </c>
      <c r="AE3258">
        <v>9</v>
      </c>
      <c r="AF3258" t="s">
        <v>138</v>
      </c>
      <c r="AG3258">
        <v>0</v>
      </c>
      <c r="AH3258">
        <v>3</v>
      </c>
      <c r="AI3258">
        <v>2</v>
      </c>
      <c r="AJ3258">
        <v>0</v>
      </c>
      <c r="AK3258" t="s">
        <v>1087</v>
      </c>
      <c r="AL3258">
        <v>39.132164000000003</v>
      </c>
      <c r="AM3258" t="s">
        <v>1088</v>
      </c>
      <c r="AN3258">
        <v>-121.031206</v>
      </c>
      <c r="AO3258">
        <v>25</v>
      </c>
      <c r="AP3258">
        <v>4300</v>
      </c>
      <c r="AQ3258" t="s">
        <v>131</v>
      </c>
      <c r="AR3258">
        <v>4</v>
      </c>
      <c r="AS3258">
        <v>84</v>
      </c>
      <c r="AT3258">
        <v>-64</v>
      </c>
      <c r="BB3258" t="str">
        <f t="shared" si="1270"/>
        <v>1200</v>
      </c>
      <c r="BC3258">
        <v>1</v>
      </c>
      <c r="BD3258" t="str">
        <f t="shared" si="1271"/>
        <v xml:space="preserve">N52156  </v>
      </c>
      <c r="BE3258">
        <v>1</v>
      </c>
      <c r="BG3258">
        <v>0</v>
      </c>
      <c r="BH3258">
        <v>0</v>
      </c>
      <c r="BI3258">
        <v>0</v>
      </c>
      <c r="BJ3258">
        <v>4350</v>
      </c>
      <c r="BK3258">
        <v>50</v>
      </c>
      <c r="BL3258" t="s">
        <v>188</v>
      </c>
      <c r="BM3258">
        <v>1</v>
      </c>
      <c r="BN3258">
        <v>1</v>
      </c>
      <c r="BO3258">
        <v>0</v>
      </c>
      <c r="BP3258">
        <v>0</v>
      </c>
      <c r="BS3258">
        <v>0</v>
      </c>
      <c r="BT3258">
        <v>0</v>
      </c>
      <c r="BU3258">
        <v>0</v>
      </c>
      <c r="CE3258" t="str">
        <f t="shared" si="1289"/>
        <v>15:13:34.727</v>
      </c>
      <c r="CF3258">
        <v>726983076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3</v>
      </c>
      <c r="CY3258">
        <v>7</v>
      </c>
      <c r="CZ3258" t="s">
        <v>133</v>
      </c>
      <c r="DA3258">
        <v>275</v>
      </c>
      <c r="DB3258">
        <v>0</v>
      </c>
      <c r="DC3258" t="s">
        <v>134</v>
      </c>
      <c r="DD3258" t="s">
        <v>135</v>
      </c>
      <c r="DG3258">
        <v>3322522</v>
      </c>
      <c r="DI3258">
        <v>1</v>
      </c>
      <c r="DJ3258">
        <v>0</v>
      </c>
      <c r="DK3258">
        <v>1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3">
      <c r="A3259" t="str">
        <f>"05/01/2025 15:13:34.994"</f>
        <v>05/01/2025 15:13:34.994</v>
      </c>
      <c r="C3259" t="str">
        <f t="shared" si="1268"/>
        <v>FFDFD3C0</v>
      </c>
      <c r="D3259" t="s">
        <v>145</v>
      </c>
      <c r="E3259" t="str">
        <f>"09"</f>
        <v>09</v>
      </c>
      <c r="H3259">
        <v>51</v>
      </c>
      <c r="I3259" t="s">
        <v>147</v>
      </c>
      <c r="J3259" t="s">
        <v>138</v>
      </c>
      <c r="K3259">
        <v>0</v>
      </c>
      <c r="L3259">
        <v>3</v>
      </c>
      <c r="M3259">
        <v>0</v>
      </c>
      <c r="N3259">
        <v>2</v>
      </c>
      <c r="O3259">
        <v>0</v>
      </c>
      <c r="P3259">
        <v>1</v>
      </c>
      <c r="Q3259">
        <v>0</v>
      </c>
      <c r="R3259" t="s">
        <v>127</v>
      </c>
      <c r="S3259" t="str">
        <f t="shared" si="1288"/>
        <v>15:13:34.000</v>
      </c>
      <c r="T3259" t="str">
        <f t="shared" si="1288"/>
        <v>15:13:34.000</v>
      </c>
      <c r="U3259" t="str">
        <f t="shared" si="1269"/>
        <v>A68FCB</v>
      </c>
      <c r="V3259">
        <v>0</v>
      </c>
      <c r="W3259">
        <v>0</v>
      </c>
      <c r="X3259">
        <v>2</v>
      </c>
      <c r="Y3259">
        <v>0</v>
      </c>
      <c r="AA3259">
        <v>1</v>
      </c>
      <c r="AB3259">
        <v>8</v>
      </c>
      <c r="AC3259">
        <v>3</v>
      </c>
      <c r="AD3259">
        <v>0</v>
      </c>
      <c r="AE3259">
        <v>9</v>
      </c>
      <c r="AF3259" t="s">
        <v>138</v>
      </c>
      <c r="AG3259">
        <v>0</v>
      </c>
      <c r="AH3259">
        <v>3</v>
      </c>
      <c r="AI3259">
        <v>2</v>
      </c>
      <c r="AJ3259">
        <v>0</v>
      </c>
      <c r="AK3259" t="s">
        <v>1087</v>
      </c>
      <c r="AL3259">
        <v>39.132164000000003</v>
      </c>
      <c r="AM3259" t="s">
        <v>1088</v>
      </c>
      <c r="AN3259">
        <v>-121.031206</v>
      </c>
      <c r="AO3259">
        <v>25</v>
      </c>
      <c r="AP3259">
        <v>4300</v>
      </c>
      <c r="AQ3259" t="s">
        <v>131</v>
      </c>
      <c r="AR3259">
        <v>4</v>
      </c>
      <c r="AS3259">
        <v>84</v>
      </c>
      <c r="AT3259">
        <v>-64</v>
      </c>
      <c r="BB3259" t="str">
        <f t="shared" si="1270"/>
        <v>1200</v>
      </c>
      <c r="BC3259">
        <v>1</v>
      </c>
      <c r="BD3259" t="str">
        <f t="shared" si="1271"/>
        <v xml:space="preserve">N52156  </v>
      </c>
      <c r="BE3259">
        <v>1</v>
      </c>
      <c r="BG3259">
        <v>0</v>
      </c>
      <c r="BH3259">
        <v>0</v>
      </c>
      <c r="BI3259">
        <v>0</v>
      </c>
      <c r="BJ3259">
        <v>4350</v>
      </c>
      <c r="BK3259">
        <v>50</v>
      </c>
      <c r="BL3259" t="s">
        <v>188</v>
      </c>
      <c r="BM3259">
        <v>1</v>
      </c>
      <c r="BN3259">
        <v>1</v>
      </c>
      <c r="BO3259">
        <v>0</v>
      </c>
      <c r="BP3259">
        <v>0</v>
      </c>
      <c r="BS3259">
        <v>0</v>
      </c>
      <c r="BT3259">
        <v>0</v>
      </c>
      <c r="BU3259">
        <v>0</v>
      </c>
      <c r="CE3259" t="str">
        <f t="shared" si="1289"/>
        <v>15:13:34.727</v>
      </c>
      <c r="CF3259">
        <v>726983076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3</v>
      </c>
      <c r="CY3259">
        <v>7</v>
      </c>
      <c r="CZ3259" t="s">
        <v>133</v>
      </c>
      <c r="DA3259">
        <v>275</v>
      </c>
      <c r="DB3259">
        <v>0</v>
      </c>
      <c r="DC3259" t="s">
        <v>134</v>
      </c>
      <c r="DD3259" t="s">
        <v>135</v>
      </c>
      <c r="DG3259">
        <v>3322522</v>
      </c>
      <c r="DI3259">
        <v>1</v>
      </c>
      <c r="DJ3259">
        <v>0</v>
      </c>
      <c r="DK3259">
        <v>1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3">
      <c r="A3260" t="str">
        <f>"05/01/2025 15:13:35.896"</f>
        <v>05/01/2025 15:13:35.896</v>
      </c>
      <c r="C3260" t="str">
        <f t="shared" si="1268"/>
        <v>FFDFD3C0</v>
      </c>
      <c r="D3260" t="s">
        <v>145</v>
      </c>
      <c r="E3260" t="str">
        <f>"05"</f>
        <v>05</v>
      </c>
      <c r="H3260">
        <v>47</v>
      </c>
      <c r="I3260" t="s">
        <v>146</v>
      </c>
      <c r="J3260" t="s">
        <v>138</v>
      </c>
      <c r="K3260">
        <v>0</v>
      </c>
      <c r="L3260">
        <v>3</v>
      </c>
      <c r="M3260">
        <v>0</v>
      </c>
      <c r="N3260">
        <v>2</v>
      </c>
      <c r="O3260">
        <v>0</v>
      </c>
      <c r="P3260">
        <v>1</v>
      </c>
      <c r="Q3260">
        <v>0</v>
      </c>
      <c r="R3260" t="s">
        <v>127</v>
      </c>
      <c r="S3260" t="str">
        <f t="shared" ref="S3260:T3265" si="1290">"15:13:35.000"</f>
        <v>15:13:35.000</v>
      </c>
      <c r="T3260" t="str">
        <f t="shared" si="1290"/>
        <v>15:13:35.000</v>
      </c>
      <c r="U3260" t="str">
        <f t="shared" si="1269"/>
        <v>A68FCB</v>
      </c>
      <c r="V3260">
        <v>0</v>
      </c>
      <c r="W3260">
        <v>0</v>
      </c>
      <c r="X3260">
        <v>2</v>
      </c>
      <c r="Y3260">
        <v>0</v>
      </c>
      <c r="AA3260">
        <v>1</v>
      </c>
      <c r="AB3260">
        <v>8</v>
      </c>
      <c r="AC3260">
        <v>3</v>
      </c>
      <c r="AD3260">
        <v>0</v>
      </c>
      <c r="AE3260">
        <v>9</v>
      </c>
      <c r="AF3260" t="s">
        <v>138</v>
      </c>
      <c r="AG3260">
        <v>0</v>
      </c>
      <c r="AH3260">
        <v>3</v>
      </c>
      <c r="AI3260">
        <v>2</v>
      </c>
      <c r="AJ3260">
        <v>0</v>
      </c>
      <c r="AK3260" t="s">
        <v>1089</v>
      </c>
      <c r="AL3260">
        <v>39.132570999999999</v>
      </c>
      <c r="AM3260" t="s">
        <v>1090</v>
      </c>
      <c r="AN3260">
        <v>-121.031184</v>
      </c>
      <c r="AO3260">
        <v>25</v>
      </c>
      <c r="AP3260">
        <v>4300</v>
      </c>
      <c r="AQ3260" t="s">
        <v>131</v>
      </c>
      <c r="AR3260">
        <v>4</v>
      </c>
      <c r="AS3260">
        <v>84</v>
      </c>
      <c r="AT3260">
        <v>-128</v>
      </c>
      <c r="BB3260" t="str">
        <f t="shared" si="1270"/>
        <v>1200</v>
      </c>
      <c r="BC3260">
        <v>1</v>
      </c>
      <c r="BD3260" t="str">
        <f t="shared" si="1271"/>
        <v xml:space="preserve">N52156  </v>
      </c>
      <c r="BE3260">
        <v>1</v>
      </c>
      <c r="BG3260">
        <v>0</v>
      </c>
      <c r="BH3260">
        <v>0</v>
      </c>
      <c r="BI3260">
        <v>0</v>
      </c>
      <c r="BJ3260">
        <v>4350</v>
      </c>
      <c r="BK3260">
        <v>50</v>
      </c>
      <c r="BL3260" t="s">
        <v>188</v>
      </c>
      <c r="BM3260">
        <v>1</v>
      </c>
      <c r="BN3260">
        <v>1</v>
      </c>
      <c r="BO3260">
        <v>0</v>
      </c>
      <c r="BP3260">
        <v>0</v>
      </c>
      <c r="BS3260">
        <v>0</v>
      </c>
      <c r="BT3260">
        <v>0</v>
      </c>
      <c r="BU3260">
        <v>0</v>
      </c>
      <c r="CE3260" t="str">
        <f t="shared" ref="CE3260:CE3265" si="1291">"15:13:35.683"</f>
        <v>15:13:35.683</v>
      </c>
      <c r="CF3260">
        <v>683483024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3</v>
      </c>
      <c r="CY3260">
        <v>7</v>
      </c>
      <c r="CZ3260" t="s">
        <v>133</v>
      </c>
      <c r="DA3260">
        <v>275</v>
      </c>
      <c r="DB3260">
        <v>0</v>
      </c>
      <c r="DC3260" t="s">
        <v>134</v>
      </c>
      <c r="DD3260" t="s">
        <v>135</v>
      </c>
      <c r="DG3260">
        <v>3322528</v>
      </c>
      <c r="DI3260">
        <v>1</v>
      </c>
      <c r="DJ3260">
        <v>0</v>
      </c>
      <c r="DK3260">
        <v>0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3">
      <c r="A3261" t="str">
        <f>"05/01/2025 15:13:35.895"</f>
        <v>05/01/2025 15:13:35.895</v>
      </c>
      <c r="C3261" t="str">
        <f t="shared" si="1268"/>
        <v>FFDFD3C0</v>
      </c>
      <c r="D3261" t="s">
        <v>145</v>
      </c>
      <c r="E3261" t="str">
        <f>"09"</f>
        <v>09</v>
      </c>
      <c r="H3261">
        <v>51</v>
      </c>
      <c r="I3261" t="s">
        <v>147</v>
      </c>
      <c r="J3261" t="s">
        <v>138</v>
      </c>
      <c r="K3261">
        <v>0</v>
      </c>
      <c r="L3261">
        <v>3</v>
      </c>
      <c r="M3261">
        <v>0</v>
      </c>
      <c r="N3261">
        <v>2</v>
      </c>
      <c r="O3261">
        <v>0</v>
      </c>
      <c r="P3261">
        <v>1</v>
      </c>
      <c r="Q3261">
        <v>0</v>
      </c>
      <c r="R3261" t="s">
        <v>127</v>
      </c>
      <c r="S3261" t="str">
        <f t="shared" si="1290"/>
        <v>15:13:35.000</v>
      </c>
      <c r="T3261" t="str">
        <f t="shared" si="1290"/>
        <v>15:13:35.000</v>
      </c>
      <c r="U3261" t="str">
        <f t="shared" si="1269"/>
        <v>A68FCB</v>
      </c>
      <c r="V3261">
        <v>0</v>
      </c>
      <c r="W3261">
        <v>0</v>
      </c>
      <c r="X3261">
        <v>2</v>
      </c>
      <c r="Y3261">
        <v>0</v>
      </c>
      <c r="AA3261">
        <v>1</v>
      </c>
      <c r="AB3261">
        <v>8</v>
      </c>
      <c r="AC3261">
        <v>3</v>
      </c>
      <c r="AD3261">
        <v>0</v>
      </c>
      <c r="AE3261">
        <v>9</v>
      </c>
      <c r="AF3261" t="s">
        <v>138</v>
      </c>
      <c r="AG3261">
        <v>0</v>
      </c>
      <c r="AH3261">
        <v>3</v>
      </c>
      <c r="AI3261">
        <v>2</v>
      </c>
      <c r="AJ3261">
        <v>0</v>
      </c>
      <c r="AK3261" t="s">
        <v>1089</v>
      </c>
      <c r="AL3261">
        <v>39.132570999999999</v>
      </c>
      <c r="AM3261" t="s">
        <v>1090</v>
      </c>
      <c r="AN3261">
        <v>-121.031184</v>
      </c>
      <c r="AO3261">
        <v>25</v>
      </c>
      <c r="AP3261">
        <v>4300</v>
      </c>
      <c r="AQ3261" t="s">
        <v>131</v>
      </c>
      <c r="AR3261">
        <v>4</v>
      </c>
      <c r="AS3261">
        <v>84</v>
      </c>
      <c r="AT3261">
        <v>-128</v>
      </c>
      <c r="BB3261" t="str">
        <f t="shared" si="1270"/>
        <v>1200</v>
      </c>
      <c r="BC3261">
        <v>1</v>
      </c>
      <c r="BD3261" t="str">
        <f t="shared" si="1271"/>
        <v xml:space="preserve">N52156  </v>
      </c>
      <c r="BE3261">
        <v>1</v>
      </c>
      <c r="BG3261">
        <v>0</v>
      </c>
      <c r="BH3261">
        <v>0</v>
      </c>
      <c r="BI3261">
        <v>0</v>
      </c>
      <c r="BJ3261">
        <v>4350</v>
      </c>
      <c r="BK3261">
        <v>50</v>
      </c>
      <c r="BL3261" t="s">
        <v>188</v>
      </c>
      <c r="BM3261">
        <v>1</v>
      </c>
      <c r="BN3261">
        <v>1</v>
      </c>
      <c r="BO3261">
        <v>0</v>
      </c>
      <c r="BP3261">
        <v>0</v>
      </c>
      <c r="BS3261">
        <v>0</v>
      </c>
      <c r="BT3261">
        <v>0</v>
      </c>
      <c r="BU3261">
        <v>0</v>
      </c>
      <c r="CE3261" t="str">
        <f t="shared" si="1291"/>
        <v>15:13:35.683</v>
      </c>
      <c r="CF3261">
        <v>683483024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3</v>
      </c>
      <c r="CY3261">
        <v>7</v>
      </c>
      <c r="CZ3261" t="s">
        <v>133</v>
      </c>
      <c r="DA3261">
        <v>275</v>
      </c>
      <c r="DB3261">
        <v>0</v>
      </c>
      <c r="DC3261" t="s">
        <v>134</v>
      </c>
      <c r="DD3261" t="s">
        <v>135</v>
      </c>
      <c r="DG3261">
        <v>3322528</v>
      </c>
      <c r="DI3261">
        <v>1</v>
      </c>
      <c r="DJ3261">
        <v>0</v>
      </c>
      <c r="DK3261">
        <v>1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3">
      <c r="A3262" t="str">
        <f>"05/01/2025 15:13:35.908"</f>
        <v>05/01/2025 15:13:35.908</v>
      </c>
      <c r="C3262" t="str">
        <f t="shared" si="1268"/>
        <v>FFDFD3C0</v>
      </c>
      <c r="D3262" t="s">
        <v>136</v>
      </c>
      <c r="E3262" t="str">
        <f>"20"</f>
        <v>20</v>
      </c>
      <c r="H3262">
        <v>400</v>
      </c>
      <c r="I3262" t="s">
        <v>137</v>
      </c>
      <c r="J3262" t="s">
        <v>138</v>
      </c>
      <c r="K3262">
        <v>0</v>
      </c>
      <c r="L3262">
        <v>3</v>
      </c>
      <c r="M3262">
        <v>0</v>
      </c>
      <c r="N3262">
        <v>2</v>
      </c>
      <c r="O3262">
        <v>0</v>
      </c>
      <c r="P3262">
        <v>1</v>
      </c>
      <c r="Q3262">
        <v>0</v>
      </c>
      <c r="R3262" t="s">
        <v>127</v>
      </c>
      <c r="S3262" t="str">
        <f t="shared" si="1290"/>
        <v>15:13:35.000</v>
      </c>
      <c r="T3262" t="str">
        <f t="shared" si="1290"/>
        <v>15:13:35.000</v>
      </c>
      <c r="U3262" t="str">
        <f t="shared" si="1269"/>
        <v>A68FCB</v>
      </c>
      <c r="V3262">
        <v>0</v>
      </c>
      <c r="W3262">
        <v>0</v>
      </c>
      <c r="X3262">
        <v>2</v>
      </c>
      <c r="Y3262">
        <v>0</v>
      </c>
      <c r="AA3262">
        <v>1</v>
      </c>
      <c r="AB3262">
        <v>8</v>
      </c>
      <c r="AC3262">
        <v>3</v>
      </c>
      <c r="AD3262">
        <v>0</v>
      </c>
      <c r="AE3262">
        <v>9</v>
      </c>
      <c r="AF3262" t="s">
        <v>138</v>
      </c>
      <c r="AG3262">
        <v>0</v>
      </c>
      <c r="AH3262">
        <v>3</v>
      </c>
      <c r="AI3262">
        <v>2</v>
      </c>
      <c r="AJ3262">
        <v>0</v>
      </c>
      <c r="AK3262" t="s">
        <v>1089</v>
      </c>
      <c r="AL3262">
        <v>39.132570999999999</v>
      </c>
      <c r="AM3262" t="s">
        <v>1090</v>
      </c>
      <c r="AN3262">
        <v>-121.031184</v>
      </c>
      <c r="AO3262">
        <v>25</v>
      </c>
      <c r="AP3262">
        <v>4300</v>
      </c>
      <c r="AQ3262" t="s">
        <v>131</v>
      </c>
      <c r="AR3262">
        <v>4</v>
      </c>
      <c r="AS3262">
        <v>84</v>
      </c>
      <c r="AT3262">
        <v>-128</v>
      </c>
      <c r="BB3262" t="str">
        <f t="shared" si="1270"/>
        <v>1200</v>
      </c>
      <c r="BC3262">
        <v>1</v>
      </c>
      <c r="BD3262" t="str">
        <f t="shared" si="1271"/>
        <v xml:space="preserve">N52156  </v>
      </c>
      <c r="BE3262">
        <v>1</v>
      </c>
      <c r="BG3262">
        <v>0</v>
      </c>
      <c r="BH3262">
        <v>0</v>
      </c>
      <c r="BI3262">
        <v>0</v>
      </c>
      <c r="BJ3262">
        <v>4350</v>
      </c>
      <c r="BK3262">
        <v>50</v>
      </c>
      <c r="BL3262" t="s">
        <v>188</v>
      </c>
      <c r="BM3262">
        <v>1</v>
      </c>
      <c r="BN3262">
        <v>1</v>
      </c>
      <c r="BO3262">
        <v>0</v>
      </c>
      <c r="BP3262">
        <v>0</v>
      </c>
      <c r="BS3262">
        <v>0</v>
      </c>
      <c r="BT3262">
        <v>0</v>
      </c>
      <c r="BU3262">
        <v>0</v>
      </c>
      <c r="CE3262" t="str">
        <f t="shared" si="1291"/>
        <v>15:13:35.683</v>
      </c>
      <c r="CF3262">
        <v>683483024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3</v>
      </c>
      <c r="CY3262">
        <v>7</v>
      </c>
      <c r="CZ3262" t="s">
        <v>133</v>
      </c>
      <c r="DA3262">
        <v>275</v>
      </c>
      <c r="DB3262">
        <v>0</v>
      </c>
      <c r="DC3262" t="s">
        <v>134</v>
      </c>
      <c r="DD3262" t="s">
        <v>135</v>
      </c>
      <c r="DG3262">
        <v>3322528</v>
      </c>
      <c r="DI3262">
        <v>1</v>
      </c>
      <c r="DJ3262">
        <v>0</v>
      </c>
      <c r="DK3262">
        <v>1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3">
      <c r="A3263" t="str">
        <f>"05/01/2025 15:13:35.919"</f>
        <v>05/01/2025 15:13:35.919</v>
      </c>
      <c r="C3263" t="str">
        <f t="shared" si="1268"/>
        <v>FFDFD3C0</v>
      </c>
      <c r="D3263" t="s">
        <v>143</v>
      </c>
      <c r="E3263" t="str">
        <f>"05"</f>
        <v>05</v>
      </c>
      <c r="H3263">
        <v>172</v>
      </c>
      <c r="I3263" t="s">
        <v>141</v>
      </c>
      <c r="J3263" t="s">
        <v>144</v>
      </c>
      <c r="K3263">
        <v>0</v>
      </c>
      <c r="L3263">
        <v>3</v>
      </c>
      <c r="M3263">
        <v>0</v>
      </c>
      <c r="N3263">
        <v>2</v>
      </c>
      <c r="O3263">
        <v>0</v>
      </c>
      <c r="P3263">
        <v>1</v>
      </c>
      <c r="Q3263">
        <v>0</v>
      </c>
      <c r="R3263" t="s">
        <v>127</v>
      </c>
      <c r="S3263" t="str">
        <f t="shared" si="1290"/>
        <v>15:13:35.000</v>
      </c>
      <c r="T3263" t="str">
        <f t="shared" si="1290"/>
        <v>15:13:35.000</v>
      </c>
      <c r="U3263" t="str">
        <f t="shared" si="1269"/>
        <v>A68FCB</v>
      </c>
      <c r="V3263">
        <v>0</v>
      </c>
      <c r="W3263">
        <v>0</v>
      </c>
      <c r="X3263">
        <v>2</v>
      </c>
      <c r="Y3263">
        <v>0</v>
      </c>
      <c r="AA3263">
        <v>1</v>
      </c>
      <c r="AB3263">
        <v>8</v>
      </c>
      <c r="AC3263">
        <v>3</v>
      </c>
      <c r="AD3263">
        <v>0</v>
      </c>
      <c r="AE3263">
        <v>9</v>
      </c>
      <c r="AF3263" t="s">
        <v>138</v>
      </c>
      <c r="AG3263">
        <v>0</v>
      </c>
      <c r="AH3263">
        <v>3</v>
      </c>
      <c r="AI3263">
        <v>2</v>
      </c>
      <c r="AJ3263">
        <v>0</v>
      </c>
      <c r="AK3263" t="s">
        <v>1089</v>
      </c>
      <c r="AL3263">
        <v>39.132570999999999</v>
      </c>
      <c r="AM3263" t="s">
        <v>1090</v>
      </c>
      <c r="AN3263">
        <v>-121.031184</v>
      </c>
      <c r="AO3263">
        <v>25</v>
      </c>
      <c r="AP3263">
        <v>4300</v>
      </c>
      <c r="AQ3263" t="s">
        <v>131</v>
      </c>
      <c r="AR3263">
        <v>4</v>
      </c>
      <c r="AS3263">
        <v>84</v>
      </c>
      <c r="AT3263">
        <v>-128</v>
      </c>
      <c r="BB3263" t="str">
        <f t="shared" si="1270"/>
        <v>1200</v>
      </c>
      <c r="BC3263">
        <v>1</v>
      </c>
      <c r="BD3263" t="str">
        <f t="shared" si="1271"/>
        <v xml:space="preserve">N52156  </v>
      </c>
      <c r="BE3263">
        <v>1</v>
      </c>
      <c r="BG3263">
        <v>0</v>
      </c>
      <c r="BH3263">
        <v>0</v>
      </c>
      <c r="BI3263">
        <v>0</v>
      </c>
      <c r="BJ3263">
        <v>4350</v>
      </c>
      <c r="BK3263">
        <v>50</v>
      </c>
      <c r="BL3263" t="s">
        <v>188</v>
      </c>
      <c r="BM3263">
        <v>1</v>
      </c>
      <c r="BN3263">
        <v>1</v>
      </c>
      <c r="BO3263">
        <v>0</v>
      </c>
      <c r="BP3263">
        <v>0</v>
      </c>
      <c r="BS3263">
        <v>0</v>
      </c>
      <c r="BT3263">
        <v>0</v>
      </c>
      <c r="BU3263">
        <v>0</v>
      </c>
      <c r="CE3263" t="str">
        <f t="shared" si="1291"/>
        <v>15:13:35.683</v>
      </c>
      <c r="CF3263">
        <v>683483024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3</v>
      </c>
      <c r="CY3263">
        <v>7</v>
      </c>
      <c r="CZ3263" t="s">
        <v>133</v>
      </c>
      <c r="DA3263">
        <v>275</v>
      </c>
      <c r="DB3263">
        <v>0</v>
      </c>
      <c r="DC3263" t="s">
        <v>134</v>
      </c>
      <c r="DD3263" t="s">
        <v>135</v>
      </c>
      <c r="DG3263">
        <v>3322528</v>
      </c>
      <c r="DI3263">
        <v>1</v>
      </c>
      <c r="DJ3263">
        <v>0</v>
      </c>
      <c r="DK3263">
        <v>1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3">
      <c r="A3264" t="str">
        <f>"05/01/2025 15:13:35.932"</f>
        <v>05/01/2025 15:13:35.932</v>
      </c>
      <c r="C3264" t="str">
        <f t="shared" si="1268"/>
        <v>FFDFD3C0</v>
      </c>
      <c r="D3264" t="s">
        <v>124</v>
      </c>
      <c r="E3264" t="str">
        <f>"06"</f>
        <v>06</v>
      </c>
      <c r="F3264">
        <v>2006</v>
      </c>
      <c r="G3264" t="s">
        <v>125</v>
      </c>
      <c r="J3264" t="s">
        <v>126</v>
      </c>
      <c r="K3264">
        <v>0</v>
      </c>
      <c r="L3264">
        <v>3</v>
      </c>
      <c r="M3264">
        <v>0</v>
      </c>
      <c r="N3264">
        <v>2</v>
      </c>
      <c r="O3264">
        <v>0</v>
      </c>
      <c r="P3264">
        <v>1</v>
      </c>
      <c r="Q3264">
        <v>0</v>
      </c>
      <c r="R3264" t="s">
        <v>127</v>
      </c>
      <c r="S3264" t="str">
        <f t="shared" si="1290"/>
        <v>15:13:35.000</v>
      </c>
      <c r="T3264" t="str">
        <f t="shared" si="1290"/>
        <v>15:13:35.000</v>
      </c>
      <c r="U3264" t="str">
        <f t="shared" si="1269"/>
        <v>A68FCB</v>
      </c>
      <c r="V3264">
        <v>0</v>
      </c>
      <c r="W3264">
        <v>0</v>
      </c>
      <c r="X3264">
        <v>2</v>
      </c>
      <c r="Y3264">
        <v>0</v>
      </c>
      <c r="AA3264">
        <v>1</v>
      </c>
      <c r="AB3264">
        <v>8</v>
      </c>
      <c r="AC3264">
        <v>3</v>
      </c>
      <c r="AD3264">
        <v>0</v>
      </c>
      <c r="AE3264">
        <v>9</v>
      </c>
      <c r="AF3264" t="s">
        <v>138</v>
      </c>
      <c r="AG3264">
        <v>0</v>
      </c>
      <c r="AH3264">
        <v>3</v>
      </c>
      <c r="AI3264">
        <v>2</v>
      </c>
      <c r="AJ3264">
        <v>0</v>
      </c>
      <c r="AK3264" t="s">
        <v>1089</v>
      </c>
      <c r="AL3264">
        <v>39.132570999999999</v>
      </c>
      <c r="AM3264" t="s">
        <v>1090</v>
      </c>
      <c r="AN3264">
        <v>-121.031184</v>
      </c>
      <c r="AO3264">
        <v>25</v>
      </c>
      <c r="AP3264">
        <v>4300</v>
      </c>
      <c r="AQ3264" t="s">
        <v>131</v>
      </c>
      <c r="AR3264">
        <v>4</v>
      </c>
      <c r="AS3264">
        <v>84</v>
      </c>
      <c r="AT3264">
        <v>-128</v>
      </c>
      <c r="BB3264" t="str">
        <f t="shared" si="1270"/>
        <v>1200</v>
      </c>
      <c r="BC3264">
        <v>1</v>
      </c>
      <c r="BD3264" t="str">
        <f t="shared" si="1271"/>
        <v xml:space="preserve">N52156  </v>
      </c>
      <c r="BE3264">
        <v>1</v>
      </c>
      <c r="BG3264">
        <v>0</v>
      </c>
      <c r="BH3264">
        <v>0</v>
      </c>
      <c r="BI3264">
        <v>0</v>
      </c>
      <c r="BJ3264">
        <v>4350</v>
      </c>
      <c r="BK3264">
        <v>50</v>
      </c>
      <c r="BL3264" t="s">
        <v>188</v>
      </c>
      <c r="BM3264">
        <v>1</v>
      </c>
      <c r="BN3264">
        <v>1</v>
      </c>
      <c r="BO3264">
        <v>0</v>
      </c>
      <c r="BP3264">
        <v>0</v>
      </c>
      <c r="BS3264">
        <v>0</v>
      </c>
      <c r="BT3264">
        <v>0</v>
      </c>
      <c r="BU3264">
        <v>0</v>
      </c>
      <c r="CE3264" t="str">
        <f t="shared" si="1291"/>
        <v>15:13:35.683</v>
      </c>
      <c r="CF3264">
        <v>683483024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3</v>
      </c>
      <c r="CY3264">
        <v>7</v>
      </c>
      <c r="CZ3264" t="s">
        <v>133</v>
      </c>
      <c r="DA3264">
        <v>275</v>
      </c>
      <c r="DB3264">
        <v>0</v>
      </c>
      <c r="DC3264" t="s">
        <v>134</v>
      </c>
      <c r="DD3264" t="s">
        <v>135</v>
      </c>
      <c r="DG3264">
        <v>3322528</v>
      </c>
      <c r="DI3264">
        <v>1</v>
      </c>
      <c r="DJ3264">
        <v>0</v>
      </c>
      <c r="DK3264">
        <v>1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3">
      <c r="A3265" t="str">
        <f>"05/01/2025 15:13:35.933"</f>
        <v>05/01/2025 15:13:35.933</v>
      </c>
      <c r="C3265" t="str">
        <f t="shared" si="1268"/>
        <v>FFDFD3C0</v>
      </c>
      <c r="D3265" t="s">
        <v>140</v>
      </c>
      <c r="E3265" t="str">
        <f>"13"</f>
        <v>13</v>
      </c>
      <c r="F3265">
        <v>1019</v>
      </c>
      <c r="G3265" t="s">
        <v>141</v>
      </c>
      <c r="J3265" t="s">
        <v>142</v>
      </c>
      <c r="K3265">
        <v>0</v>
      </c>
      <c r="L3265">
        <v>3</v>
      </c>
      <c r="M3265">
        <v>0</v>
      </c>
      <c r="N3265">
        <v>2</v>
      </c>
      <c r="O3265">
        <v>0</v>
      </c>
      <c r="P3265">
        <v>1</v>
      </c>
      <c r="Q3265">
        <v>0</v>
      </c>
      <c r="R3265" t="s">
        <v>127</v>
      </c>
      <c r="S3265" t="str">
        <f t="shared" si="1290"/>
        <v>15:13:35.000</v>
      </c>
      <c r="T3265" t="str">
        <f t="shared" si="1290"/>
        <v>15:13:35.000</v>
      </c>
      <c r="U3265" t="str">
        <f t="shared" si="1269"/>
        <v>A68FCB</v>
      </c>
      <c r="V3265">
        <v>0</v>
      </c>
      <c r="W3265">
        <v>0</v>
      </c>
      <c r="X3265">
        <v>2</v>
      </c>
      <c r="Y3265">
        <v>0</v>
      </c>
      <c r="AA3265">
        <v>1</v>
      </c>
      <c r="AB3265">
        <v>8</v>
      </c>
      <c r="AC3265">
        <v>3</v>
      </c>
      <c r="AD3265">
        <v>0</v>
      </c>
      <c r="AE3265">
        <v>9</v>
      </c>
      <c r="AF3265" t="s">
        <v>138</v>
      </c>
      <c r="AG3265">
        <v>0</v>
      </c>
      <c r="AH3265">
        <v>3</v>
      </c>
      <c r="AI3265">
        <v>2</v>
      </c>
      <c r="AJ3265">
        <v>0</v>
      </c>
      <c r="AK3265" t="s">
        <v>1089</v>
      </c>
      <c r="AL3265">
        <v>39.132570999999999</v>
      </c>
      <c r="AM3265" t="s">
        <v>1090</v>
      </c>
      <c r="AN3265">
        <v>-121.031184</v>
      </c>
      <c r="AO3265">
        <v>25</v>
      </c>
      <c r="AP3265">
        <v>4300</v>
      </c>
      <c r="AQ3265" t="s">
        <v>131</v>
      </c>
      <c r="AR3265">
        <v>4</v>
      </c>
      <c r="AS3265">
        <v>84</v>
      </c>
      <c r="AT3265">
        <v>-128</v>
      </c>
      <c r="BB3265" t="str">
        <f t="shared" si="1270"/>
        <v>1200</v>
      </c>
      <c r="BC3265">
        <v>1</v>
      </c>
      <c r="BD3265" t="str">
        <f t="shared" si="1271"/>
        <v xml:space="preserve">N52156  </v>
      </c>
      <c r="BE3265">
        <v>1</v>
      </c>
      <c r="BG3265">
        <v>0</v>
      </c>
      <c r="BH3265">
        <v>0</v>
      </c>
      <c r="BI3265">
        <v>0</v>
      </c>
      <c r="BJ3265">
        <v>4350</v>
      </c>
      <c r="BK3265">
        <v>50</v>
      </c>
      <c r="BL3265" t="s">
        <v>188</v>
      </c>
      <c r="BM3265">
        <v>1</v>
      </c>
      <c r="BN3265">
        <v>1</v>
      </c>
      <c r="BO3265">
        <v>0</v>
      </c>
      <c r="BP3265">
        <v>0</v>
      </c>
      <c r="BS3265">
        <v>0</v>
      </c>
      <c r="BT3265">
        <v>0</v>
      </c>
      <c r="BU3265">
        <v>0</v>
      </c>
      <c r="CE3265" t="str">
        <f t="shared" si="1291"/>
        <v>15:13:35.683</v>
      </c>
      <c r="CF3265">
        <v>683483024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3</v>
      </c>
      <c r="CY3265">
        <v>7</v>
      </c>
      <c r="CZ3265" t="s">
        <v>133</v>
      </c>
      <c r="DA3265">
        <v>275</v>
      </c>
      <c r="DB3265">
        <v>0</v>
      </c>
      <c r="DC3265" t="s">
        <v>134</v>
      </c>
      <c r="DD3265" t="s">
        <v>135</v>
      </c>
      <c r="DG3265">
        <v>3322528</v>
      </c>
      <c r="DI3265">
        <v>1</v>
      </c>
      <c r="DJ3265">
        <v>0</v>
      </c>
      <c r="DK3265">
        <v>1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3">
      <c r="A3266" t="str">
        <f>"05/01/2025 15:13:36.547"</f>
        <v>05/01/2025 15:13:36.547</v>
      </c>
      <c r="C3266" t="str">
        <f t="shared" ref="C3266:C3329" si="1292">"FFDFD3C0"</f>
        <v>FFDFD3C0</v>
      </c>
      <c r="D3266" t="s">
        <v>145</v>
      </c>
      <c r="E3266" t="str">
        <f>"05"</f>
        <v>05</v>
      </c>
      <c r="H3266">
        <v>47</v>
      </c>
      <c r="I3266" t="s">
        <v>146</v>
      </c>
      <c r="J3266" t="s">
        <v>138</v>
      </c>
      <c r="K3266">
        <v>0</v>
      </c>
      <c r="L3266">
        <v>3</v>
      </c>
      <c r="M3266">
        <v>0</v>
      </c>
      <c r="N3266">
        <v>2</v>
      </c>
      <c r="O3266">
        <v>0</v>
      </c>
      <c r="P3266">
        <v>1</v>
      </c>
      <c r="Q3266">
        <v>0</v>
      </c>
      <c r="R3266" t="s">
        <v>127</v>
      </c>
      <c r="S3266" t="str">
        <f t="shared" ref="S3266:T3271" si="1293">"15:13:36.000"</f>
        <v>15:13:36.000</v>
      </c>
      <c r="T3266" t="str">
        <f t="shared" si="1293"/>
        <v>15:13:36.000</v>
      </c>
      <c r="U3266" t="str">
        <f t="shared" ref="U3266:U3329" si="1294">"A68FCB"</f>
        <v>A68FCB</v>
      </c>
      <c r="V3266">
        <v>0</v>
      </c>
      <c r="W3266">
        <v>0</v>
      </c>
      <c r="X3266">
        <v>2</v>
      </c>
      <c r="Y3266">
        <v>0</v>
      </c>
      <c r="AA3266">
        <v>1</v>
      </c>
      <c r="AB3266">
        <v>8</v>
      </c>
      <c r="AC3266">
        <v>3</v>
      </c>
      <c r="AD3266">
        <v>0</v>
      </c>
      <c r="AE3266">
        <v>9</v>
      </c>
      <c r="AF3266" t="s">
        <v>138</v>
      </c>
      <c r="AG3266">
        <v>0</v>
      </c>
      <c r="AH3266">
        <v>3</v>
      </c>
      <c r="AI3266">
        <v>2</v>
      </c>
      <c r="AJ3266">
        <v>0</v>
      </c>
      <c r="AK3266" t="s">
        <v>1091</v>
      </c>
      <c r="AL3266">
        <v>39.132956999999998</v>
      </c>
      <c r="AM3266" t="s">
        <v>1092</v>
      </c>
      <c r="AN3266">
        <v>-121.03114100000001</v>
      </c>
      <c r="AO3266">
        <v>25</v>
      </c>
      <c r="AP3266">
        <v>4300</v>
      </c>
      <c r="AQ3266" t="s">
        <v>131</v>
      </c>
      <c r="AR3266">
        <v>3</v>
      </c>
      <c r="AS3266">
        <v>84</v>
      </c>
      <c r="AT3266">
        <v>-128</v>
      </c>
      <c r="BB3266" t="str">
        <f t="shared" ref="BB3266:BB3329" si="1295">"1200"</f>
        <v>1200</v>
      </c>
      <c r="BC3266">
        <v>1</v>
      </c>
      <c r="BD3266" t="str">
        <f t="shared" ref="BD3266:BD3329" si="1296">"N52156  "</f>
        <v xml:space="preserve">N52156  </v>
      </c>
      <c r="BE3266">
        <v>1</v>
      </c>
      <c r="BG3266">
        <v>0</v>
      </c>
      <c r="BH3266">
        <v>0</v>
      </c>
      <c r="BI3266">
        <v>0</v>
      </c>
      <c r="BJ3266">
        <v>4350</v>
      </c>
      <c r="BK3266">
        <v>50</v>
      </c>
      <c r="BL3266" t="s">
        <v>188</v>
      </c>
      <c r="BM3266">
        <v>1</v>
      </c>
      <c r="BN3266">
        <v>1</v>
      </c>
      <c r="BO3266">
        <v>0</v>
      </c>
      <c r="BP3266">
        <v>0</v>
      </c>
      <c r="BS3266">
        <v>0</v>
      </c>
      <c r="BT3266">
        <v>0</v>
      </c>
      <c r="BU3266">
        <v>0</v>
      </c>
      <c r="CE3266" t="str">
        <f t="shared" ref="CE3266:CE3271" si="1297">"15:13:36.336"</f>
        <v>15:13:36.336</v>
      </c>
      <c r="CF3266">
        <v>335557979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3</v>
      </c>
      <c r="CY3266">
        <v>7</v>
      </c>
      <c r="CZ3266" t="s">
        <v>133</v>
      </c>
      <c r="DA3266">
        <v>276</v>
      </c>
      <c r="DB3266">
        <v>0</v>
      </c>
      <c r="DC3266" t="s">
        <v>402</v>
      </c>
      <c r="DD3266" t="s">
        <v>403</v>
      </c>
      <c r="DG3266">
        <v>1627969</v>
      </c>
      <c r="DI3266">
        <v>1</v>
      </c>
      <c r="DJ3266">
        <v>0</v>
      </c>
      <c r="DK3266">
        <v>0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3">
      <c r="A3267" t="str">
        <f>"05/01/2025 15:13:36.546"</f>
        <v>05/01/2025 15:13:36.546</v>
      </c>
      <c r="C3267" t="str">
        <f t="shared" si="1292"/>
        <v>FFDFD3C0</v>
      </c>
      <c r="D3267" t="s">
        <v>145</v>
      </c>
      <c r="E3267" t="str">
        <f>"09"</f>
        <v>09</v>
      </c>
      <c r="H3267">
        <v>51</v>
      </c>
      <c r="I3267" t="s">
        <v>147</v>
      </c>
      <c r="J3267" t="s">
        <v>138</v>
      </c>
      <c r="K3267">
        <v>0</v>
      </c>
      <c r="L3267">
        <v>3</v>
      </c>
      <c r="M3267">
        <v>0</v>
      </c>
      <c r="N3267">
        <v>2</v>
      </c>
      <c r="O3267">
        <v>0</v>
      </c>
      <c r="P3267">
        <v>1</v>
      </c>
      <c r="Q3267">
        <v>0</v>
      </c>
      <c r="R3267" t="s">
        <v>127</v>
      </c>
      <c r="S3267" t="str">
        <f t="shared" si="1293"/>
        <v>15:13:36.000</v>
      </c>
      <c r="T3267" t="str">
        <f t="shared" si="1293"/>
        <v>15:13:36.000</v>
      </c>
      <c r="U3267" t="str">
        <f t="shared" si="1294"/>
        <v>A68FCB</v>
      </c>
      <c r="V3267">
        <v>0</v>
      </c>
      <c r="W3267">
        <v>0</v>
      </c>
      <c r="X3267">
        <v>2</v>
      </c>
      <c r="Y3267">
        <v>0</v>
      </c>
      <c r="AA3267">
        <v>1</v>
      </c>
      <c r="AB3267">
        <v>8</v>
      </c>
      <c r="AC3267">
        <v>3</v>
      </c>
      <c r="AD3267">
        <v>0</v>
      </c>
      <c r="AE3267">
        <v>9</v>
      </c>
      <c r="AF3267" t="s">
        <v>138</v>
      </c>
      <c r="AG3267">
        <v>0</v>
      </c>
      <c r="AH3267">
        <v>3</v>
      </c>
      <c r="AI3267">
        <v>2</v>
      </c>
      <c r="AJ3267">
        <v>0</v>
      </c>
      <c r="AK3267" t="s">
        <v>1091</v>
      </c>
      <c r="AL3267">
        <v>39.132956999999998</v>
      </c>
      <c r="AM3267" t="s">
        <v>1092</v>
      </c>
      <c r="AN3267">
        <v>-121.03114100000001</v>
      </c>
      <c r="AO3267">
        <v>25</v>
      </c>
      <c r="AP3267">
        <v>4300</v>
      </c>
      <c r="AQ3267" t="s">
        <v>131</v>
      </c>
      <c r="AR3267">
        <v>3</v>
      </c>
      <c r="AS3267">
        <v>84</v>
      </c>
      <c r="AT3267">
        <v>-128</v>
      </c>
      <c r="BB3267" t="str">
        <f t="shared" si="1295"/>
        <v>1200</v>
      </c>
      <c r="BC3267">
        <v>1</v>
      </c>
      <c r="BD3267" t="str">
        <f t="shared" si="1296"/>
        <v xml:space="preserve">N52156  </v>
      </c>
      <c r="BE3267">
        <v>1</v>
      </c>
      <c r="BG3267">
        <v>0</v>
      </c>
      <c r="BH3267">
        <v>0</v>
      </c>
      <c r="BI3267">
        <v>0</v>
      </c>
      <c r="BJ3267">
        <v>4350</v>
      </c>
      <c r="BK3267">
        <v>50</v>
      </c>
      <c r="BL3267" t="s">
        <v>188</v>
      </c>
      <c r="BM3267">
        <v>1</v>
      </c>
      <c r="BN3267">
        <v>1</v>
      </c>
      <c r="BO3267">
        <v>0</v>
      </c>
      <c r="BP3267">
        <v>0</v>
      </c>
      <c r="BS3267">
        <v>0</v>
      </c>
      <c r="BT3267">
        <v>0</v>
      </c>
      <c r="BU3267">
        <v>0</v>
      </c>
      <c r="CE3267" t="str">
        <f t="shared" si="1297"/>
        <v>15:13:36.336</v>
      </c>
      <c r="CF3267">
        <v>335557979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3</v>
      </c>
      <c r="CY3267">
        <v>7</v>
      </c>
      <c r="CZ3267" t="s">
        <v>133</v>
      </c>
      <c r="DA3267">
        <v>276</v>
      </c>
      <c r="DB3267">
        <v>0</v>
      </c>
      <c r="DC3267" t="s">
        <v>402</v>
      </c>
      <c r="DD3267" t="s">
        <v>403</v>
      </c>
      <c r="DG3267">
        <v>1627969</v>
      </c>
      <c r="DI3267">
        <v>1</v>
      </c>
      <c r="DJ3267">
        <v>0</v>
      </c>
      <c r="DK3267">
        <v>1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3">
      <c r="A3268" t="str">
        <f>"05/01/2025 15:13:36.560"</f>
        <v>05/01/2025 15:13:36.560</v>
      </c>
      <c r="C3268" t="str">
        <f t="shared" si="1292"/>
        <v>FFDFD3C0</v>
      </c>
      <c r="D3268" t="s">
        <v>136</v>
      </c>
      <c r="E3268" t="str">
        <f>"20"</f>
        <v>20</v>
      </c>
      <c r="H3268">
        <v>400</v>
      </c>
      <c r="I3268" t="s">
        <v>137</v>
      </c>
      <c r="J3268" t="s">
        <v>138</v>
      </c>
      <c r="K3268">
        <v>0</v>
      </c>
      <c r="L3268">
        <v>3</v>
      </c>
      <c r="M3268">
        <v>0</v>
      </c>
      <c r="N3268">
        <v>2</v>
      </c>
      <c r="O3268">
        <v>0</v>
      </c>
      <c r="P3268">
        <v>1</v>
      </c>
      <c r="Q3268">
        <v>0</v>
      </c>
      <c r="R3268" t="s">
        <v>127</v>
      </c>
      <c r="S3268" t="str">
        <f t="shared" si="1293"/>
        <v>15:13:36.000</v>
      </c>
      <c r="T3268" t="str">
        <f t="shared" si="1293"/>
        <v>15:13:36.000</v>
      </c>
      <c r="U3268" t="str">
        <f t="shared" si="1294"/>
        <v>A68FCB</v>
      </c>
      <c r="V3268">
        <v>0</v>
      </c>
      <c r="W3268">
        <v>0</v>
      </c>
      <c r="X3268">
        <v>2</v>
      </c>
      <c r="Y3268">
        <v>0</v>
      </c>
      <c r="AA3268">
        <v>1</v>
      </c>
      <c r="AB3268">
        <v>8</v>
      </c>
      <c r="AC3268">
        <v>3</v>
      </c>
      <c r="AD3268">
        <v>0</v>
      </c>
      <c r="AE3268">
        <v>9</v>
      </c>
      <c r="AF3268" t="s">
        <v>138</v>
      </c>
      <c r="AG3268">
        <v>0</v>
      </c>
      <c r="AH3268">
        <v>3</v>
      </c>
      <c r="AI3268">
        <v>2</v>
      </c>
      <c r="AJ3268">
        <v>0</v>
      </c>
      <c r="AK3268" t="s">
        <v>1091</v>
      </c>
      <c r="AL3268">
        <v>39.132956999999998</v>
      </c>
      <c r="AM3268" t="s">
        <v>1092</v>
      </c>
      <c r="AN3268">
        <v>-121.03114100000001</v>
      </c>
      <c r="AO3268">
        <v>25</v>
      </c>
      <c r="AP3268">
        <v>4300</v>
      </c>
      <c r="AQ3268" t="s">
        <v>131</v>
      </c>
      <c r="AR3268">
        <v>3</v>
      </c>
      <c r="AS3268">
        <v>84</v>
      </c>
      <c r="AT3268">
        <v>-128</v>
      </c>
      <c r="BB3268" t="str">
        <f t="shared" si="1295"/>
        <v>1200</v>
      </c>
      <c r="BC3268">
        <v>1</v>
      </c>
      <c r="BD3268" t="str">
        <f t="shared" si="1296"/>
        <v xml:space="preserve">N52156  </v>
      </c>
      <c r="BE3268">
        <v>1</v>
      </c>
      <c r="BG3268">
        <v>0</v>
      </c>
      <c r="BH3268">
        <v>0</v>
      </c>
      <c r="BI3268">
        <v>0</v>
      </c>
      <c r="BJ3268">
        <v>4350</v>
      </c>
      <c r="BK3268">
        <v>50</v>
      </c>
      <c r="BL3268" t="s">
        <v>188</v>
      </c>
      <c r="BM3268">
        <v>1</v>
      </c>
      <c r="BN3268">
        <v>1</v>
      </c>
      <c r="BO3268">
        <v>0</v>
      </c>
      <c r="BP3268">
        <v>0</v>
      </c>
      <c r="BS3268">
        <v>0</v>
      </c>
      <c r="BT3268">
        <v>0</v>
      </c>
      <c r="BU3268">
        <v>0</v>
      </c>
      <c r="CE3268" t="str">
        <f t="shared" si="1297"/>
        <v>15:13:36.336</v>
      </c>
      <c r="CF3268">
        <v>335557979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3</v>
      </c>
      <c r="CY3268">
        <v>7</v>
      </c>
      <c r="CZ3268" t="s">
        <v>133</v>
      </c>
      <c r="DA3268">
        <v>276</v>
      </c>
      <c r="DB3268">
        <v>0</v>
      </c>
      <c r="DC3268" t="s">
        <v>402</v>
      </c>
      <c r="DD3268" t="s">
        <v>403</v>
      </c>
      <c r="DG3268">
        <v>1627969</v>
      </c>
      <c r="DI3268">
        <v>1</v>
      </c>
      <c r="DJ3268">
        <v>0</v>
      </c>
      <c r="DK3268">
        <v>1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3">
      <c r="A3269" t="str">
        <f>"05/01/2025 15:13:36.570"</f>
        <v>05/01/2025 15:13:36.570</v>
      </c>
      <c r="C3269" t="str">
        <f t="shared" si="1292"/>
        <v>FFDFD3C0</v>
      </c>
      <c r="D3269" t="s">
        <v>143</v>
      </c>
      <c r="E3269" t="str">
        <f>"05"</f>
        <v>05</v>
      </c>
      <c r="H3269">
        <v>172</v>
      </c>
      <c r="I3269" t="s">
        <v>141</v>
      </c>
      <c r="J3269" t="s">
        <v>144</v>
      </c>
      <c r="K3269">
        <v>0</v>
      </c>
      <c r="L3269">
        <v>3</v>
      </c>
      <c r="M3269">
        <v>0</v>
      </c>
      <c r="N3269">
        <v>2</v>
      </c>
      <c r="O3269">
        <v>0</v>
      </c>
      <c r="P3269">
        <v>1</v>
      </c>
      <c r="Q3269">
        <v>0</v>
      </c>
      <c r="R3269" t="s">
        <v>127</v>
      </c>
      <c r="S3269" t="str">
        <f t="shared" si="1293"/>
        <v>15:13:36.000</v>
      </c>
      <c r="T3269" t="str">
        <f t="shared" si="1293"/>
        <v>15:13:36.000</v>
      </c>
      <c r="U3269" t="str">
        <f t="shared" si="1294"/>
        <v>A68FCB</v>
      </c>
      <c r="V3269">
        <v>0</v>
      </c>
      <c r="W3269">
        <v>0</v>
      </c>
      <c r="X3269">
        <v>2</v>
      </c>
      <c r="Y3269">
        <v>0</v>
      </c>
      <c r="AA3269">
        <v>1</v>
      </c>
      <c r="AB3269">
        <v>8</v>
      </c>
      <c r="AC3269">
        <v>3</v>
      </c>
      <c r="AD3269">
        <v>0</v>
      </c>
      <c r="AE3269">
        <v>9</v>
      </c>
      <c r="AF3269" t="s">
        <v>138</v>
      </c>
      <c r="AG3269">
        <v>0</v>
      </c>
      <c r="AH3269">
        <v>3</v>
      </c>
      <c r="AI3269">
        <v>2</v>
      </c>
      <c r="AJ3269">
        <v>0</v>
      </c>
      <c r="AK3269" t="s">
        <v>1091</v>
      </c>
      <c r="AL3269">
        <v>39.132956999999998</v>
      </c>
      <c r="AM3269" t="s">
        <v>1092</v>
      </c>
      <c r="AN3269">
        <v>-121.03114100000001</v>
      </c>
      <c r="AO3269">
        <v>25</v>
      </c>
      <c r="AP3269">
        <v>4300</v>
      </c>
      <c r="AQ3269" t="s">
        <v>131</v>
      </c>
      <c r="AR3269">
        <v>3</v>
      </c>
      <c r="AS3269">
        <v>84</v>
      </c>
      <c r="AT3269">
        <v>-128</v>
      </c>
      <c r="BB3269" t="str">
        <f t="shared" si="1295"/>
        <v>1200</v>
      </c>
      <c r="BC3269">
        <v>1</v>
      </c>
      <c r="BD3269" t="str">
        <f t="shared" si="1296"/>
        <v xml:space="preserve">N52156  </v>
      </c>
      <c r="BE3269">
        <v>1</v>
      </c>
      <c r="BG3269">
        <v>0</v>
      </c>
      <c r="BH3269">
        <v>0</v>
      </c>
      <c r="BI3269">
        <v>0</v>
      </c>
      <c r="BJ3269">
        <v>4350</v>
      </c>
      <c r="BK3269">
        <v>50</v>
      </c>
      <c r="BL3269" t="s">
        <v>188</v>
      </c>
      <c r="BM3269">
        <v>1</v>
      </c>
      <c r="BN3269">
        <v>1</v>
      </c>
      <c r="BO3269">
        <v>0</v>
      </c>
      <c r="BP3269">
        <v>0</v>
      </c>
      <c r="BS3269">
        <v>0</v>
      </c>
      <c r="BT3269">
        <v>0</v>
      </c>
      <c r="BU3269">
        <v>0</v>
      </c>
      <c r="CE3269" t="str">
        <f t="shared" si="1297"/>
        <v>15:13:36.336</v>
      </c>
      <c r="CF3269">
        <v>335557979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3</v>
      </c>
      <c r="CY3269">
        <v>7</v>
      </c>
      <c r="CZ3269" t="s">
        <v>133</v>
      </c>
      <c r="DA3269">
        <v>276</v>
      </c>
      <c r="DB3269">
        <v>0</v>
      </c>
      <c r="DC3269" t="s">
        <v>402</v>
      </c>
      <c r="DD3269" t="s">
        <v>403</v>
      </c>
      <c r="DG3269">
        <v>1627969</v>
      </c>
      <c r="DI3269">
        <v>1</v>
      </c>
      <c r="DJ3269">
        <v>0</v>
      </c>
      <c r="DK3269">
        <v>1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3">
      <c r="A3270" t="str">
        <f>"05/01/2025 15:13:36.584"</f>
        <v>05/01/2025 15:13:36.584</v>
      </c>
      <c r="C3270" t="str">
        <f t="shared" si="1292"/>
        <v>FFDFD3C0</v>
      </c>
      <c r="D3270" t="s">
        <v>140</v>
      </c>
      <c r="E3270" t="str">
        <f>"13"</f>
        <v>13</v>
      </c>
      <c r="F3270">
        <v>1019</v>
      </c>
      <c r="G3270" t="s">
        <v>141</v>
      </c>
      <c r="J3270" t="s">
        <v>142</v>
      </c>
      <c r="K3270">
        <v>0</v>
      </c>
      <c r="L3270">
        <v>3</v>
      </c>
      <c r="M3270">
        <v>0</v>
      </c>
      <c r="N3270">
        <v>2</v>
      </c>
      <c r="O3270">
        <v>0</v>
      </c>
      <c r="P3270">
        <v>1</v>
      </c>
      <c r="Q3270">
        <v>0</v>
      </c>
      <c r="R3270" t="s">
        <v>127</v>
      </c>
      <c r="S3270" t="str">
        <f t="shared" si="1293"/>
        <v>15:13:36.000</v>
      </c>
      <c r="T3270" t="str">
        <f t="shared" si="1293"/>
        <v>15:13:36.000</v>
      </c>
      <c r="U3270" t="str">
        <f t="shared" si="1294"/>
        <v>A68FCB</v>
      </c>
      <c r="V3270">
        <v>0</v>
      </c>
      <c r="W3270">
        <v>0</v>
      </c>
      <c r="X3270">
        <v>2</v>
      </c>
      <c r="Y3270">
        <v>0</v>
      </c>
      <c r="AA3270">
        <v>1</v>
      </c>
      <c r="AB3270">
        <v>8</v>
      </c>
      <c r="AC3270">
        <v>3</v>
      </c>
      <c r="AD3270">
        <v>0</v>
      </c>
      <c r="AE3270">
        <v>9</v>
      </c>
      <c r="AF3270" t="s">
        <v>138</v>
      </c>
      <c r="AG3270">
        <v>0</v>
      </c>
      <c r="AH3270">
        <v>3</v>
      </c>
      <c r="AI3270">
        <v>2</v>
      </c>
      <c r="AJ3270">
        <v>0</v>
      </c>
      <c r="AK3270" t="s">
        <v>1091</v>
      </c>
      <c r="AL3270">
        <v>39.132956999999998</v>
      </c>
      <c r="AM3270" t="s">
        <v>1092</v>
      </c>
      <c r="AN3270">
        <v>-121.03114100000001</v>
      </c>
      <c r="AO3270">
        <v>25</v>
      </c>
      <c r="AP3270">
        <v>4300</v>
      </c>
      <c r="AQ3270" t="s">
        <v>131</v>
      </c>
      <c r="AR3270">
        <v>3</v>
      </c>
      <c r="AS3270">
        <v>84</v>
      </c>
      <c r="AT3270">
        <v>-128</v>
      </c>
      <c r="BB3270" t="str">
        <f t="shared" si="1295"/>
        <v>1200</v>
      </c>
      <c r="BC3270">
        <v>1</v>
      </c>
      <c r="BD3270" t="str">
        <f t="shared" si="1296"/>
        <v xml:space="preserve">N52156  </v>
      </c>
      <c r="BE3270">
        <v>1</v>
      </c>
      <c r="BG3270">
        <v>0</v>
      </c>
      <c r="BH3270">
        <v>0</v>
      </c>
      <c r="BI3270">
        <v>0</v>
      </c>
      <c r="BJ3270">
        <v>4350</v>
      </c>
      <c r="BK3270">
        <v>50</v>
      </c>
      <c r="BL3270" t="s">
        <v>188</v>
      </c>
      <c r="BM3270">
        <v>1</v>
      </c>
      <c r="BN3270">
        <v>1</v>
      </c>
      <c r="BO3270">
        <v>0</v>
      </c>
      <c r="BP3270">
        <v>0</v>
      </c>
      <c r="BS3270">
        <v>0</v>
      </c>
      <c r="BT3270">
        <v>0</v>
      </c>
      <c r="BU3270">
        <v>0</v>
      </c>
      <c r="CE3270" t="str">
        <f t="shared" si="1297"/>
        <v>15:13:36.336</v>
      </c>
      <c r="CF3270">
        <v>335557979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3</v>
      </c>
      <c r="CY3270">
        <v>7</v>
      </c>
      <c r="CZ3270" t="s">
        <v>133</v>
      </c>
      <c r="DA3270">
        <v>276</v>
      </c>
      <c r="DB3270">
        <v>0</v>
      </c>
      <c r="DC3270" t="s">
        <v>402</v>
      </c>
      <c r="DD3270" t="s">
        <v>403</v>
      </c>
      <c r="DG3270">
        <v>1627969</v>
      </c>
      <c r="DI3270">
        <v>1</v>
      </c>
      <c r="DJ3270">
        <v>0</v>
      </c>
      <c r="DK3270">
        <v>1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3">
      <c r="A3271" t="str">
        <f>"05/01/2025 15:13:36.583"</f>
        <v>05/01/2025 15:13:36.583</v>
      </c>
      <c r="C3271" t="str">
        <f t="shared" si="1292"/>
        <v>FFDFD3C0</v>
      </c>
      <c r="D3271" t="s">
        <v>124</v>
      </c>
      <c r="E3271" t="str">
        <f>"06"</f>
        <v>06</v>
      </c>
      <c r="F3271">
        <v>2006</v>
      </c>
      <c r="G3271" t="s">
        <v>125</v>
      </c>
      <c r="J3271" t="s">
        <v>126</v>
      </c>
      <c r="K3271">
        <v>0</v>
      </c>
      <c r="L3271">
        <v>3</v>
      </c>
      <c r="M3271">
        <v>0</v>
      </c>
      <c r="N3271">
        <v>2</v>
      </c>
      <c r="O3271">
        <v>0</v>
      </c>
      <c r="P3271">
        <v>1</v>
      </c>
      <c r="Q3271">
        <v>0</v>
      </c>
      <c r="R3271" t="s">
        <v>127</v>
      </c>
      <c r="S3271" t="str">
        <f t="shared" si="1293"/>
        <v>15:13:36.000</v>
      </c>
      <c r="T3271" t="str">
        <f t="shared" si="1293"/>
        <v>15:13:36.000</v>
      </c>
      <c r="U3271" t="str">
        <f t="shared" si="1294"/>
        <v>A68FCB</v>
      </c>
      <c r="V3271">
        <v>0</v>
      </c>
      <c r="W3271">
        <v>0</v>
      </c>
      <c r="X3271">
        <v>2</v>
      </c>
      <c r="Y3271">
        <v>0</v>
      </c>
      <c r="AA3271">
        <v>1</v>
      </c>
      <c r="AB3271">
        <v>8</v>
      </c>
      <c r="AC3271">
        <v>3</v>
      </c>
      <c r="AD3271">
        <v>0</v>
      </c>
      <c r="AE3271">
        <v>9</v>
      </c>
      <c r="AF3271" t="s">
        <v>138</v>
      </c>
      <c r="AG3271">
        <v>0</v>
      </c>
      <c r="AH3271">
        <v>3</v>
      </c>
      <c r="AI3271">
        <v>2</v>
      </c>
      <c r="AJ3271">
        <v>0</v>
      </c>
      <c r="AK3271" t="s">
        <v>1091</v>
      </c>
      <c r="AL3271">
        <v>39.132956999999998</v>
      </c>
      <c r="AM3271" t="s">
        <v>1092</v>
      </c>
      <c r="AN3271">
        <v>-121.03114100000001</v>
      </c>
      <c r="AO3271">
        <v>25</v>
      </c>
      <c r="AP3271">
        <v>4300</v>
      </c>
      <c r="AQ3271" t="s">
        <v>131</v>
      </c>
      <c r="AR3271">
        <v>3</v>
      </c>
      <c r="AS3271">
        <v>84</v>
      </c>
      <c r="AT3271">
        <v>-128</v>
      </c>
      <c r="BB3271" t="str">
        <f t="shared" si="1295"/>
        <v>1200</v>
      </c>
      <c r="BC3271">
        <v>1</v>
      </c>
      <c r="BD3271" t="str">
        <f t="shared" si="1296"/>
        <v xml:space="preserve">N52156  </v>
      </c>
      <c r="BE3271">
        <v>1</v>
      </c>
      <c r="BG3271">
        <v>0</v>
      </c>
      <c r="BH3271">
        <v>0</v>
      </c>
      <c r="BI3271">
        <v>0</v>
      </c>
      <c r="BJ3271">
        <v>4350</v>
      </c>
      <c r="BK3271">
        <v>50</v>
      </c>
      <c r="BL3271" t="s">
        <v>188</v>
      </c>
      <c r="BM3271">
        <v>1</v>
      </c>
      <c r="BN3271">
        <v>1</v>
      </c>
      <c r="BO3271">
        <v>0</v>
      </c>
      <c r="BP3271">
        <v>0</v>
      </c>
      <c r="BS3271">
        <v>0</v>
      </c>
      <c r="BT3271">
        <v>0</v>
      </c>
      <c r="BU3271">
        <v>0</v>
      </c>
      <c r="CE3271" t="str">
        <f t="shared" si="1297"/>
        <v>15:13:36.336</v>
      </c>
      <c r="CF3271">
        <v>335557979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3</v>
      </c>
      <c r="CY3271">
        <v>7</v>
      </c>
      <c r="CZ3271" t="s">
        <v>133</v>
      </c>
      <c r="DA3271">
        <v>276</v>
      </c>
      <c r="DB3271">
        <v>0</v>
      </c>
      <c r="DC3271" t="s">
        <v>402</v>
      </c>
      <c r="DD3271" t="s">
        <v>403</v>
      </c>
      <c r="DG3271">
        <v>1627969</v>
      </c>
      <c r="DI3271">
        <v>1</v>
      </c>
      <c r="DJ3271">
        <v>0</v>
      </c>
      <c r="DK3271">
        <v>1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3">
      <c r="A3272" t="str">
        <f>"05/01/2025 15:13:37.898"</f>
        <v>05/01/2025 15:13:37.898</v>
      </c>
      <c r="C3272" t="str">
        <f t="shared" si="1292"/>
        <v>FFDFD3C0</v>
      </c>
      <c r="D3272" t="s">
        <v>145</v>
      </c>
      <c r="E3272" t="str">
        <f>"09"</f>
        <v>09</v>
      </c>
      <c r="H3272">
        <v>51</v>
      </c>
      <c r="I3272" t="s">
        <v>147</v>
      </c>
      <c r="J3272" t="s">
        <v>138</v>
      </c>
      <c r="K3272">
        <v>0</v>
      </c>
      <c r="L3272">
        <v>3</v>
      </c>
      <c r="M3272">
        <v>0</v>
      </c>
      <c r="N3272">
        <v>2</v>
      </c>
      <c r="O3272">
        <v>0</v>
      </c>
      <c r="P3272">
        <v>1</v>
      </c>
      <c r="Q3272">
        <v>0</v>
      </c>
      <c r="R3272" t="s">
        <v>127</v>
      </c>
      <c r="S3272" t="str">
        <f t="shared" ref="S3272:T3277" si="1298">"15:13:37.000"</f>
        <v>15:13:37.000</v>
      </c>
      <c r="T3272" t="str">
        <f t="shared" si="1298"/>
        <v>15:13:37.000</v>
      </c>
      <c r="U3272" t="str">
        <f t="shared" si="1294"/>
        <v>A68FCB</v>
      </c>
      <c r="V3272">
        <v>0</v>
      </c>
      <c r="W3272">
        <v>0</v>
      </c>
      <c r="X3272">
        <v>2</v>
      </c>
      <c r="Y3272">
        <v>0</v>
      </c>
      <c r="AA3272">
        <v>1</v>
      </c>
      <c r="AB3272">
        <v>8</v>
      </c>
      <c r="AC3272">
        <v>3</v>
      </c>
      <c r="AD3272">
        <v>0</v>
      </c>
      <c r="AE3272">
        <v>9</v>
      </c>
      <c r="AF3272" t="s">
        <v>138</v>
      </c>
      <c r="AG3272">
        <v>0</v>
      </c>
      <c r="AH3272">
        <v>3</v>
      </c>
      <c r="AI3272">
        <v>2</v>
      </c>
      <c r="AJ3272">
        <v>0</v>
      </c>
      <c r="AK3272" t="s">
        <v>1093</v>
      </c>
      <c r="AL3272">
        <v>39.133344000000001</v>
      </c>
      <c r="AM3272" t="s">
        <v>1094</v>
      </c>
      <c r="AN3272">
        <v>-121.03112</v>
      </c>
      <c r="AO3272">
        <v>25</v>
      </c>
      <c r="AP3272">
        <v>4300</v>
      </c>
      <c r="AQ3272" t="s">
        <v>131</v>
      </c>
      <c r="AR3272">
        <v>2</v>
      </c>
      <c r="AS3272">
        <v>85</v>
      </c>
      <c r="AT3272">
        <v>-128</v>
      </c>
      <c r="BB3272" t="str">
        <f t="shared" si="1295"/>
        <v>1200</v>
      </c>
      <c r="BC3272">
        <v>1</v>
      </c>
      <c r="BD3272" t="str">
        <f t="shared" si="1296"/>
        <v xml:space="preserve">N52156  </v>
      </c>
      <c r="BE3272">
        <v>1</v>
      </c>
      <c r="BG3272">
        <v>0</v>
      </c>
      <c r="BH3272">
        <v>0</v>
      </c>
      <c r="BI3272">
        <v>0</v>
      </c>
      <c r="BJ3272">
        <v>4350</v>
      </c>
      <c r="BK3272">
        <v>50</v>
      </c>
      <c r="BL3272" t="s">
        <v>188</v>
      </c>
      <c r="BM3272">
        <v>1</v>
      </c>
      <c r="BN3272">
        <v>1</v>
      </c>
      <c r="BO3272">
        <v>0</v>
      </c>
      <c r="BP3272">
        <v>0</v>
      </c>
      <c r="BS3272">
        <v>0</v>
      </c>
      <c r="BT3272">
        <v>0</v>
      </c>
      <c r="BU3272">
        <v>0</v>
      </c>
      <c r="CE3272" t="str">
        <f t="shared" ref="CE3272:CE3277" si="1299">"15:13:37.693"</f>
        <v>15:13:37.693</v>
      </c>
      <c r="CF3272">
        <v>692733200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3</v>
      </c>
      <c r="CY3272">
        <v>7</v>
      </c>
      <c r="CZ3272" t="s">
        <v>133</v>
      </c>
      <c r="DA3272">
        <v>275</v>
      </c>
      <c r="DB3272">
        <v>0</v>
      </c>
      <c r="DC3272" t="s">
        <v>134</v>
      </c>
      <c r="DD3272" t="s">
        <v>135</v>
      </c>
      <c r="DG3272">
        <v>3322534</v>
      </c>
      <c r="DI3272">
        <v>1</v>
      </c>
      <c r="DJ3272">
        <v>0</v>
      </c>
      <c r="DK3272">
        <v>0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3">
      <c r="A3273" t="str">
        <f>"05/01/2025 15:13:37.900"</f>
        <v>05/01/2025 15:13:37.900</v>
      </c>
      <c r="C3273" t="str">
        <f t="shared" si="1292"/>
        <v>FFDFD3C0</v>
      </c>
      <c r="D3273" t="s">
        <v>145</v>
      </c>
      <c r="E3273" t="str">
        <f>"05"</f>
        <v>05</v>
      </c>
      <c r="H3273">
        <v>47</v>
      </c>
      <c r="I3273" t="s">
        <v>146</v>
      </c>
      <c r="J3273" t="s">
        <v>138</v>
      </c>
      <c r="K3273">
        <v>0</v>
      </c>
      <c r="L3273">
        <v>3</v>
      </c>
      <c r="M3273">
        <v>0</v>
      </c>
      <c r="N3273">
        <v>2</v>
      </c>
      <c r="O3273">
        <v>0</v>
      </c>
      <c r="P3273">
        <v>1</v>
      </c>
      <c r="Q3273">
        <v>0</v>
      </c>
      <c r="R3273" t="s">
        <v>127</v>
      </c>
      <c r="S3273" t="str">
        <f t="shared" si="1298"/>
        <v>15:13:37.000</v>
      </c>
      <c r="T3273" t="str">
        <f t="shared" si="1298"/>
        <v>15:13:37.000</v>
      </c>
      <c r="U3273" t="str">
        <f t="shared" si="1294"/>
        <v>A68FCB</v>
      </c>
      <c r="V3273">
        <v>0</v>
      </c>
      <c r="W3273">
        <v>0</v>
      </c>
      <c r="X3273">
        <v>2</v>
      </c>
      <c r="Y3273">
        <v>0</v>
      </c>
      <c r="AA3273">
        <v>1</v>
      </c>
      <c r="AB3273">
        <v>8</v>
      </c>
      <c r="AC3273">
        <v>3</v>
      </c>
      <c r="AD3273">
        <v>0</v>
      </c>
      <c r="AE3273">
        <v>9</v>
      </c>
      <c r="AF3273" t="s">
        <v>138</v>
      </c>
      <c r="AG3273">
        <v>0</v>
      </c>
      <c r="AH3273">
        <v>3</v>
      </c>
      <c r="AI3273">
        <v>2</v>
      </c>
      <c r="AJ3273">
        <v>0</v>
      </c>
      <c r="AK3273" t="s">
        <v>1093</v>
      </c>
      <c r="AL3273">
        <v>39.133344000000001</v>
      </c>
      <c r="AM3273" t="s">
        <v>1094</v>
      </c>
      <c r="AN3273">
        <v>-121.03112</v>
      </c>
      <c r="AO3273">
        <v>25</v>
      </c>
      <c r="AP3273">
        <v>4300</v>
      </c>
      <c r="AQ3273" t="s">
        <v>131</v>
      </c>
      <c r="AR3273">
        <v>2</v>
      </c>
      <c r="AS3273">
        <v>85</v>
      </c>
      <c r="AT3273">
        <v>-128</v>
      </c>
      <c r="BB3273" t="str">
        <f t="shared" si="1295"/>
        <v>1200</v>
      </c>
      <c r="BC3273">
        <v>1</v>
      </c>
      <c r="BD3273" t="str">
        <f t="shared" si="1296"/>
        <v xml:space="preserve">N52156  </v>
      </c>
      <c r="BE3273">
        <v>1</v>
      </c>
      <c r="BG3273">
        <v>0</v>
      </c>
      <c r="BH3273">
        <v>0</v>
      </c>
      <c r="BI3273">
        <v>0</v>
      </c>
      <c r="BJ3273">
        <v>4350</v>
      </c>
      <c r="BK3273">
        <v>50</v>
      </c>
      <c r="BL3273" t="s">
        <v>188</v>
      </c>
      <c r="BM3273">
        <v>1</v>
      </c>
      <c r="BN3273">
        <v>1</v>
      </c>
      <c r="BO3273">
        <v>0</v>
      </c>
      <c r="BP3273">
        <v>0</v>
      </c>
      <c r="BS3273">
        <v>0</v>
      </c>
      <c r="BT3273">
        <v>0</v>
      </c>
      <c r="BU3273">
        <v>0</v>
      </c>
      <c r="CE3273" t="str">
        <f t="shared" si="1299"/>
        <v>15:13:37.693</v>
      </c>
      <c r="CF3273">
        <v>692733200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3</v>
      </c>
      <c r="CY3273">
        <v>7</v>
      </c>
      <c r="CZ3273" t="s">
        <v>133</v>
      </c>
      <c r="DA3273">
        <v>275</v>
      </c>
      <c r="DB3273">
        <v>0</v>
      </c>
      <c r="DC3273" t="s">
        <v>134</v>
      </c>
      <c r="DD3273" t="s">
        <v>135</v>
      </c>
      <c r="DG3273">
        <v>3322534</v>
      </c>
      <c r="DI3273">
        <v>1</v>
      </c>
      <c r="DJ3273">
        <v>0</v>
      </c>
      <c r="DK3273">
        <v>1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3">
      <c r="A3274" t="str">
        <f>"05/01/2025 15:13:37.912"</f>
        <v>05/01/2025 15:13:37.912</v>
      </c>
      <c r="C3274" t="str">
        <f t="shared" si="1292"/>
        <v>FFDFD3C0</v>
      </c>
      <c r="D3274" t="s">
        <v>136</v>
      </c>
      <c r="E3274" t="str">
        <f>"20"</f>
        <v>20</v>
      </c>
      <c r="H3274">
        <v>400</v>
      </c>
      <c r="I3274" t="s">
        <v>137</v>
      </c>
      <c r="J3274" t="s">
        <v>138</v>
      </c>
      <c r="K3274">
        <v>0</v>
      </c>
      <c r="L3274">
        <v>3</v>
      </c>
      <c r="M3274">
        <v>0</v>
      </c>
      <c r="N3274">
        <v>2</v>
      </c>
      <c r="O3274">
        <v>0</v>
      </c>
      <c r="P3274">
        <v>1</v>
      </c>
      <c r="Q3274">
        <v>0</v>
      </c>
      <c r="R3274" t="s">
        <v>127</v>
      </c>
      <c r="S3274" t="str">
        <f t="shared" si="1298"/>
        <v>15:13:37.000</v>
      </c>
      <c r="T3274" t="str">
        <f t="shared" si="1298"/>
        <v>15:13:37.000</v>
      </c>
      <c r="U3274" t="str">
        <f t="shared" si="1294"/>
        <v>A68FCB</v>
      </c>
      <c r="V3274">
        <v>0</v>
      </c>
      <c r="W3274">
        <v>0</v>
      </c>
      <c r="X3274">
        <v>2</v>
      </c>
      <c r="Y3274">
        <v>0</v>
      </c>
      <c r="AA3274">
        <v>1</v>
      </c>
      <c r="AB3274">
        <v>8</v>
      </c>
      <c r="AC3274">
        <v>3</v>
      </c>
      <c r="AD3274">
        <v>0</v>
      </c>
      <c r="AE3274">
        <v>9</v>
      </c>
      <c r="AF3274" t="s">
        <v>138</v>
      </c>
      <c r="AG3274">
        <v>0</v>
      </c>
      <c r="AH3274">
        <v>3</v>
      </c>
      <c r="AI3274">
        <v>2</v>
      </c>
      <c r="AJ3274">
        <v>0</v>
      </c>
      <c r="AK3274" t="s">
        <v>1093</v>
      </c>
      <c r="AL3274">
        <v>39.133344000000001</v>
      </c>
      <c r="AM3274" t="s">
        <v>1094</v>
      </c>
      <c r="AN3274">
        <v>-121.03112</v>
      </c>
      <c r="AO3274">
        <v>25</v>
      </c>
      <c r="AP3274">
        <v>4300</v>
      </c>
      <c r="AQ3274" t="s">
        <v>131</v>
      </c>
      <c r="AR3274">
        <v>2</v>
      </c>
      <c r="AS3274">
        <v>85</v>
      </c>
      <c r="AT3274">
        <v>-128</v>
      </c>
      <c r="BB3274" t="str">
        <f t="shared" si="1295"/>
        <v>1200</v>
      </c>
      <c r="BC3274">
        <v>1</v>
      </c>
      <c r="BD3274" t="str">
        <f t="shared" si="1296"/>
        <v xml:space="preserve">N52156  </v>
      </c>
      <c r="BE3274">
        <v>1</v>
      </c>
      <c r="BG3274">
        <v>0</v>
      </c>
      <c r="BH3274">
        <v>0</v>
      </c>
      <c r="BI3274">
        <v>0</v>
      </c>
      <c r="BJ3274">
        <v>4350</v>
      </c>
      <c r="BK3274">
        <v>50</v>
      </c>
      <c r="BL3274" t="s">
        <v>188</v>
      </c>
      <c r="BM3274">
        <v>1</v>
      </c>
      <c r="BN3274">
        <v>1</v>
      </c>
      <c r="BO3274">
        <v>0</v>
      </c>
      <c r="BP3274">
        <v>0</v>
      </c>
      <c r="BS3274">
        <v>0</v>
      </c>
      <c r="BT3274">
        <v>0</v>
      </c>
      <c r="BU3274">
        <v>0</v>
      </c>
      <c r="CE3274" t="str">
        <f t="shared" si="1299"/>
        <v>15:13:37.693</v>
      </c>
      <c r="CF3274">
        <v>692733200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3</v>
      </c>
      <c r="CY3274">
        <v>7</v>
      </c>
      <c r="CZ3274" t="s">
        <v>133</v>
      </c>
      <c r="DA3274">
        <v>275</v>
      </c>
      <c r="DB3274">
        <v>0</v>
      </c>
      <c r="DC3274" t="s">
        <v>134</v>
      </c>
      <c r="DD3274" t="s">
        <v>135</v>
      </c>
      <c r="DG3274">
        <v>3322534</v>
      </c>
      <c r="DI3274">
        <v>1</v>
      </c>
      <c r="DJ3274">
        <v>0</v>
      </c>
      <c r="DK3274">
        <v>1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3">
      <c r="A3275" t="str">
        <f>"05/01/2025 15:13:37.923"</f>
        <v>05/01/2025 15:13:37.923</v>
      </c>
      <c r="C3275" t="str">
        <f t="shared" si="1292"/>
        <v>FFDFD3C0</v>
      </c>
      <c r="D3275" t="s">
        <v>143</v>
      </c>
      <c r="E3275" t="str">
        <f>"05"</f>
        <v>05</v>
      </c>
      <c r="H3275">
        <v>172</v>
      </c>
      <c r="I3275" t="s">
        <v>141</v>
      </c>
      <c r="J3275" t="s">
        <v>144</v>
      </c>
      <c r="K3275">
        <v>0</v>
      </c>
      <c r="L3275">
        <v>3</v>
      </c>
      <c r="M3275">
        <v>0</v>
      </c>
      <c r="N3275">
        <v>2</v>
      </c>
      <c r="O3275">
        <v>0</v>
      </c>
      <c r="P3275">
        <v>1</v>
      </c>
      <c r="Q3275">
        <v>0</v>
      </c>
      <c r="R3275" t="s">
        <v>127</v>
      </c>
      <c r="S3275" t="str">
        <f t="shared" si="1298"/>
        <v>15:13:37.000</v>
      </c>
      <c r="T3275" t="str">
        <f t="shared" si="1298"/>
        <v>15:13:37.000</v>
      </c>
      <c r="U3275" t="str">
        <f t="shared" si="1294"/>
        <v>A68FCB</v>
      </c>
      <c r="V3275">
        <v>0</v>
      </c>
      <c r="W3275">
        <v>0</v>
      </c>
      <c r="X3275">
        <v>2</v>
      </c>
      <c r="Y3275">
        <v>0</v>
      </c>
      <c r="AA3275">
        <v>1</v>
      </c>
      <c r="AB3275">
        <v>8</v>
      </c>
      <c r="AC3275">
        <v>3</v>
      </c>
      <c r="AD3275">
        <v>0</v>
      </c>
      <c r="AE3275">
        <v>9</v>
      </c>
      <c r="AF3275" t="s">
        <v>138</v>
      </c>
      <c r="AG3275">
        <v>0</v>
      </c>
      <c r="AH3275">
        <v>3</v>
      </c>
      <c r="AI3275">
        <v>2</v>
      </c>
      <c r="AJ3275">
        <v>0</v>
      </c>
      <c r="AK3275" t="s">
        <v>1093</v>
      </c>
      <c r="AL3275">
        <v>39.133344000000001</v>
      </c>
      <c r="AM3275" t="s">
        <v>1094</v>
      </c>
      <c r="AN3275">
        <v>-121.03112</v>
      </c>
      <c r="AO3275">
        <v>25</v>
      </c>
      <c r="AP3275">
        <v>4300</v>
      </c>
      <c r="AQ3275" t="s">
        <v>131</v>
      </c>
      <c r="AR3275">
        <v>2</v>
      </c>
      <c r="AS3275">
        <v>85</v>
      </c>
      <c r="AT3275">
        <v>-128</v>
      </c>
      <c r="BB3275" t="str">
        <f t="shared" si="1295"/>
        <v>1200</v>
      </c>
      <c r="BC3275">
        <v>1</v>
      </c>
      <c r="BD3275" t="str">
        <f t="shared" si="1296"/>
        <v xml:space="preserve">N52156  </v>
      </c>
      <c r="BE3275">
        <v>1</v>
      </c>
      <c r="BG3275">
        <v>0</v>
      </c>
      <c r="BH3275">
        <v>0</v>
      </c>
      <c r="BI3275">
        <v>0</v>
      </c>
      <c r="BJ3275">
        <v>4350</v>
      </c>
      <c r="BK3275">
        <v>50</v>
      </c>
      <c r="BL3275" t="s">
        <v>188</v>
      </c>
      <c r="BM3275">
        <v>1</v>
      </c>
      <c r="BN3275">
        <v>1</v>
      </c>
      <c r="BO3275">
        <v>0</v>
      </c>
      <c r="BP3275">
        <v>0</v>
      </c>
      <c r="BS3275">
        <v>0</v>
      </c>
      <c r="BT3275">
        <v>0</v>
      </c>
      <c r="BU3275">
        <v>0</v>
      </c>
      <c r="CE3275" t="str">
        <f t="shared" si="1299"/>
        <v>15:13:37.693</v>
      </c>
      <c r="CF3275">
        <v>692733200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3</v>
      </c>
      <c r="CY3275">
        <v>7</v>
      </c>
      <c r="CZ3275" t="s">
        <v>133</v>
      </c>
      <c r="DA3275">
        <v>275</v>
      </c>
      <c r="DB3275">
        <v>0</v>
      </c>
      <c r="DC3275" t="s">
        <v>134</v>
      </c>
      <c r="DD3275" t="s">
        <v>135</v>
      </c>
      <c r="DG3275">
        <v>3322534</v>
      </c>
      <c r="DI3275">
        <v>1</v>
      </c>
      <c r="DJ3275">
        <v>0</v>
      </c>
      <c r="DK3275">
        <v>1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3">
      <c r="A3276" t="str">
        <f>"05/01/2025 15:13:37.936"</f>
        <v>05/01/2025 15:13:37.936</v>
      </c>
      <c r="C3276" t="str">
        <f t="shared" si="1292"/>
        <v>FFDFD3C0</v>
      </c>
      <c r="D3276" t="s">
        <v>124</v>
      </c>
      <c r="E3276" t="str">
        <f>"06"</f>
        <v>06</v>
      </c>
      <c r="F3276">
        <v>2006</v>
      </c>
      <c r="G3276" t="s">
        <v>125</v>
      </c>
      <c r="J3276" t="s">
        <v>126</v>
      </c>
      <c r="K3276">
        <v>0</v>
      </c>
      <c r="L3276">
        <v>3</v>
      </c>
      <c r="M3276">
        <v>0</v>
      </c>
      <c r="N3276">
        <v>2</v>
      </c>
      <c r="O3276">
        <v>0</v>
      </c>
      <c r="P3276">
        <v>1</v>
      </c>
      <c r="Q3276">
        <v>0</v>
      </c>
      <c r="R3276" t="s">
        <v>127</v>
      </c>
      <c r="S3276" t="str">
        <f t="shared" si="1298"/>
        <v>15:13:37.000</v>
      </c>
      <c r="T3276" t="str">
        <f t="shared" si="1298"/>
        <v>15:13:37.000</v>
      </c>
      <c r="U3276" t="str">
        <f t="shared" si="1294"/>
        <v>A68FCB</v>
      </c>
      <c r="V3276">
        <v>0</v>
      </c>
      <c r="W3276">
        <v>0</v>
      </c>
      <c r="X3276">
        <v>2</v>
      </c>
      <c r="Y3276">
        <v>0</v>
      </c>
      <c r="AA3276">
        <v>1</v>
      </c>
      <c r="AB3276">
        <v>8</v>
      </c>
      <c r="AC3276">
        <v>3</v>
      </c>
      <c r="AD3276">
        <v>0</v>
      </c>
      <c r="AE3276">
        <v>9</v>
      </c>
      <c r="AF3276" t="s">
        <v>138</v>
      </c>
      <c r="AG3276">
        <v>0</v>
      </c>
      <c r="AH3276">
        <v>3</v>
      </c>
      <c r="AI3276">
        <v>2</v>
      </c>
      <c r="AJ3276">
        <v>0</v>
      </c>
      <c r="AK3276" t="s">
        <v>1093</v>
      </c>
      <c r="AL3276">
        <v>39.133344000000001</v>
      </c>
      <c r="AM3276" t="s">
        <v>1094</v>
      </c>
      <c r="AN3276">
        <v>-121.03112</v>
      </c>
      <c r="AO3276">
        <v>25</v>
      </c>
      <c r="AP3276">
        <v>4300</v>
      </c>
      <c r="AQ3276" t="s">
        <v>131</v>
      </c>
      <c r="AR3276">
        <v>2</v>
      </c>
      <c r="AS3276">
        <v>85</v>
      </c>
      <c r="AT3276">
        <v>-128</v>
      </c>
      <c r="BB3276" t="str">
        <f t="shared" si="1295"/>
        <v>1200</v>
      </c>
      <c r="BC3276">
        <v>1</v>
      </c>
      <c r="BD3276" t="str">
        <f t="shared" si="1296"/>
        <v xml:space="preserve">N52156  </v>
      </c>
      <c r="BE3276">
        <v>1</v>
      </c>
      <c r="BG3276">
        <v>0</v>
      </c>
      <c r="BH3276">
        <v>0</v>
      </c>
      <c r="BI3276">
        <v>0</v>
      </c>
      <c r="BJ3276">
        <v>4350</v>
      </c>
      <c r="BK3276">
        <v>50</v>
      </c>
      <c r="BL3276" t="s">
        <v>188</v>
      </c>
      <c r="BM3276">
        <v>1</v>
      </c>
      <c r="BN3276">
        <v>1</v>
      </c>
      <c r="BO3276">
        <v>0</v>
      </c>
      <c r="BP3276">
        <v>0</v>
      </c>
      <c r="BS3276">
        <v>0</v>
      </c>
      <c r="BT3276">
        <v>0</v>
      </c>
      <c r="BU3276">
        <v>0</v>
      </c>
      <c r="CE3276" t="str">
        <f t="shared" si="1299"/>
        <v>15:13:37.693</v>
      </c>
      <c r="CF3276">
        <v>692733200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3</v>
      </c>
      <c r="CY3276">
        <v>7</v>
      </c>
      <c r="CZ3276" t="s">
        <v>133</v>
      </c>
      <c r="DA3276">
        <v>275</v>
      </c>
      <c r="DB3276">
        <v>0</v>
      </c>
      <c r="DC3276" t="s">
        <v>134</v>
      </c>
      <c r="DD3276" t="s">
        <v>135</v>
      </c>
      <c r="DG3276">
        <v>3322534</v>
      </c>
      <c r="DI3276">
        <v>1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3">
      <c r="A3277" t="str">
        <f>"05/01/2025 15:13:37.937"</f>
        <v>05/01/2025 15:13:37.937</v>
      </c>
      <c r="C3277" t="str">
        <f t="shared" si="1292"/>
        <v>FFDFD3C0</v>
      </c>
      <c r="D3277" t="s">
        <v>140</v>
      </c>
      <c r="E3277" t="str">
        <f>"13"</f>
        <v>13</v>
      </c>
      <c r="F3277">
        <v>1019</v>
      </c>
      <c r="G3277" t="s">
        <v>141</v>
      </c>
      <c r="J3277" t="s">
        <v>142</v>
      </c>
      <c r="K3277">
        <v>0</v>
      </c>
      <c r="L3277">
        <v>3</v>
      </c>
      <c r="M3277">
        <v>0</v>
      </c>
      <c r="N3277">
        <v>2</v>
      </c>
      <c r="O3277">
        <v>0</v>
      </c>
      <c r="P3277">
        <v>1</v>
      </c>
      <c r="Q3277">
        <v>0</v>
      </c>
      <c r="R3277" t="s">
        <v>127</v>
      </c>
      <c r="S3277" t="str">
        <f t="shared" si="1298"/>
        <v>15:13:37.000</v>
      </c>
      <c r="T3277" t="str">
        <f t="shared" si="1298"/>
        <v>15:13:37.000</v>
      </c>
      <c r="U3277" t="str">
        <f t="shared" si="1294"/>
        <v>A68FCB</v>
      </c>
      <c r="V3277">
        <v>0</v>
      </c>
      <c r="W3277">
        <v>0</v>
      </c>
      <c r="X3277">
        <v>2</v>
      </c>
      <c r="Y3277">
        <v>0</v>
      </c>
      <c r="AA3277">
        <v>1</v>
      </c>
      <c r="AB3277">
        <v>8</v>
      </c>
      <c r="AC3277">
        <v>3</v>
      </c>
      <c r="AD3277">
        <v>0</v>
      </c>
      <c r="AE3277">
        <v>9</v>
      </c>
      <c r="AF3277" t="s">
        <v>138</v>
      </c>
      <c r="AG3277">
        <v>0</v>
      </c>
      <c r="AH3277">
        <v>3</v>
      </c>
      <c r="AI3277">
        <v>2</v>
      </c>
      <c r="AJ3277">
        <v>0</v>
      </c>
      <c r="AK3277" t="s">
        <v>1093</v>
      </c>
      <c r="AL3277">
        <v>39.133344000000001</v>
      </c>
      <c r="AM3277" t="s">
        <v>1094</v>
      </c>
      <c r="AN3277">
        <v>-121.03112</v>
      </c>
      <c r="AO3277">
        <v>25</v>
      </c>
      <c r="AP3277">
        <v>4300</v>
      </c>
      <c r="AQ3277" t="s">
        <v>131</v>
      </c>
      <c r="AR3277">
        <v>2</v>
      </c>
      <c r="AS3277">
        <v>85</v>
      </c>
      <c r="AT3277">
        <v>-128</v>
      </c>
      <c r="BB3277" t="str">
        <f t="shared" si="1295"/>
        <v>1200</v>
      </c>
      <c r="BC3277">
        <v>1</v>
      </c>
      <c r="BD3277" t="str">
        <f t="shared" si="1296"/>
        <v xml:space="preserve">N52156  </v>
      </c>
      <c r="BE3277">
        <v>1</v>
      </c>
      <c r="BG3277">
        <v>0</v>
      </c>
      <c r="BH3277">
        <v>0</v>
      </c>
      <c r="BI3277">
        <v>0</v>
      </c>
      <c r="BJ3277">
        <v>4350</v>
      </c>
      <c r="BK3277">
        <v>50</v>
      </c>
      <c r="BL3277" t="s">
        <v>188</v>
      </c>
      <c r="BM3277">
        <v>1</v>
      </c>
      <c r="BN3277">
        <v>1</v>
      </c>
      <c r="BO3277">
        <v>0</v>
      </c>
      <c r="BP3277">
        <v>0</v>
      </c>
      <c r="BS3277">
        <v>0</v>
      </c>
      <c r="BT3277">
        <v>0</v>
      </c>
      <c r="BU3277">
        <v>0</v>
      </c>
      <c r="CE3277" t="str">
        <f t="shared" si="1299"/>
        <v>15:13:37.693</v>
      </c>
      <c r="CF3277">
        <v>692733200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3</v>
      </c>
      <c r="CY3277">
        <v>7</v>
      </c>
      <c r="CZ3277" t="s">
        <v>133</v>
      </c>
      <c r="DA3277">
        <v>275</v>
      </c>
      <c r="DB3277">
        <v>0</v>
      </c>
      <c r="DC3277" t="s">
        <v>134</v>
      </c>
      <c r="DD3277" t="s">
        <v>135</v>
      </c>
      <c r="DG3277">
        <v>3322534</v>
      </c>
      <c r="DI3277">
        <v>1</v>
      </c>
      <c r="DJ3277">
        <v>0</v>
      </c>
      <c r="DK3277">
        <v>1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3">
      <c r="A3278" t="str">
        <f>"05/01/2025 15:13:38.774"</f>
        <v>05/01/2025 15:13:38.774</v>
      </c>
      <c r="C3278" t="str">
        <f t="shared" si="1292"/>
        <v>FFDFD3C0</v>
      </c>
      <c r="D3278" t="s">
        <v>143</v>
      </c>
      <c r="E3278" t="str">
        <f>"05"</f>
        <v>05</v>
      </c>
      <c r="H3278">
        <v>172</v>
      </c>
      <c r="I3278" t="s">
        <v>141</v>
      </c>
      <c r="J3278" t="s">
        <v>144</v>
      </c>
      <c r="K3278">
        <v>0</v>
      </c>
      <c r="L3278">
        <v>3</v>
      </c>
      <c r="M3278">
        <v>0</v>
      </c>
      <c r="N3278">
        <v>2</v>
      </c>
      <c r="O3278">
        <v>0</v>
      </c>
      <c r="P3278">
        <v>1</v>
      </c>
      <c r="Q3278">
        <v>0</v>
      </c>
      <c r="R3278" t="s">
        <v>127</v>
      </c>
      <c r="S3278" t="str">
        <f t="shared" ref="S3278:T3283" si="1300">"15:13:38.000"</f>
        <v>15:13:38.000</v>
      </c>
      <c r="T3278" t="str">
        <f t="shared" si="1300"/>
        <v>15:13:38.000</v>
      </c>
      <c r="U3278" t="str">
        <f t="shared" si="1294"/>
        <v>A68FCB</v>
      </c>
      <c r="V3278">
        <v>0</v>
      </c>
      <c r="W3278">
        <v>0</v>
      </c>
      <c r="X3278">
        <v>2</v>
      </c>
      <c r="Y3278">
        <v>0</v>
      </c>
      <c r="AA3278">
        <v>1</v>
      </c>
      <c r="AB3278">
        <v>8</v>
      </c>
      <c r="AC3278">
        <v>3</v>
      </c>
      <c r="AD3278">
        <v>0</v>
      </c>
      <c r="AE3278">
        <v>9</v>
      </c>
      <c r="AF3278" t="s">
        <v>138</v>
      </c>
      <c r="AG3278">
        <v>0</v>
      </c>
      <c r="AH3278">
        <v>3</v>
      </c>
      <c r="AI3278">
        <v>2</v>
      </c>
      <c r="AJ3278">
        <v>0</v>
      </c>
      <c r="AK3278" t="s">
        <v>1095</v>
      </c>
      <c r="AL3278">
        <v>39.133750999999997</v>
      </c>
      <c r="AM3278" t="s">
        <v>1096</v>
      </c>
      <c r="AN3278">
        <v>-121.031098</v>
      </c>
      <c r="AO3278">
        <v>25</v>
      </c>
      <c r="AP3278">
        <v>4300</v>
      </c>
      <c r="AQ3278" t="s">
        <v>131</v>
      </c>
      <c r="AR3278">
        <v>2</v>
      </c>
      <c r="AS3278">
        <v>85</v>
      </c>
      <c r="AT3278">
        <v>-64</v>
      </c>
      <c r="BB3278" t="str">
        <f t="shared" si="1295"/>
        <v>1200</v>
      </c>
      <c r="BC3278">
        <v>1</v>
      </c>
      <c r="BD3278" t="str">
        <f t="shared" si="1296"/>
        <v xml:space="preserve">N52156  </v>
      </c>
      <c r="BE3278">
        <v>1</v>
      </c>
      <c r="BG3278">
        <v>0</v>
      </c>
      <c r="BH3278">
        <v>0</v>
      </c>
      <c r="BI3278">
        <v>0</v>
      </c>
      <c r="BJ3278">
        <v>4350</v>
      </c>
      <c r="BK3278">
        <v>50</v>
      </c>
      <c r="BL3278" t="s">
        <v>188</v>
      </c>
      <c r="BM3278">
        <v>1</v>
      </c>
      <c r="BN3278">
        <v>1</v>
      </c>
      <c r="BO3278">
        <v>0</v>
      </c>
      <c r="BP3278">
        <v>0</v>
      </c>
      <c r="BS3278">
        <v>0</v>
      </c>
      <c r="BT3278">
        <v>0</v>
      </c>
      <c r="BU3278">
        <v>0</v>
      </c>
      <c r="CE3278" t="str">
        <f t="shared" ref="CE3278:CE3283" si="1301">"15:13:38.554"</f>
        <v>15:13:38.554</v>
      </c>
      <c r="CF3278">
        <v>553982908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3</v>
      </c>
      <c r="CY3278">
        <v>7</v>
      </c>
      <c r="CZ3278" t="s">
        <v>133</v>
      </c>
      <c r="DA3278">
        <v>275</v>
      </c>
      <c r="DB3278">
        <v>0</v>
      </c>
      <c r="DC3278" t="s">
        <v>134</v>
      </c>
      <c r="DD3278" t="s">
        <v>135</v>
      </c>
      <c r="DG3278">
        <v>3322537</v>
      </c>
      <c r="DI3278">
        <v>1</v>
      </c>
      <c r="DJ3278">
        <v>0</v>
      </c>
      <c r="DK3278">
        <v>0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3">
      <c r="A3279" t="str">
        <f>"05/01/2025 15:13:38.788"</f>
        <v>05/01/2025 15:13:38.788</v>
      </c>
      <c r="C3279" t="str">
        <f t="shared" si="1292"/>
        <v>FFDFD3C0</v>
      </c>
      <c r="D3279" t="s">
        <v>140</v>
      </c>
      <c r="E3279" t="str">
        <f>"13"</f>
        <v>13</v>
      </c>
      <c r="F3279">
        <v>1019</v>
      </c>
      <c r="G3279" t="s">
        <v>141</v>
      </c>
      <c r="J3279" t="s">
        <v>142</v>
      </c>
      <c r="K3279">
        <v>0</v>
      </c>
      <c r="L3279">
        <v>3</v>
      </c>
      <c r="M3279">
        <v>0</v>
      </c>
      <c r="N3279">
        <v>2</v>
      </c>
      <c r="O3279">
        <v>0</v>
      </c>
      <c r="P3279">
        <v>1</v>
      </c>
      <c r="Q3279">
        <v>0</v>
      </c>
      <c r="R3279" t="s">
        <v>127</v>
      </c>
      <c r="S3279" t="str">
        <f t="shared" si="1300"/>
        <v>15:13:38.000</v>
      </c>
      <c r="T3279" t="str">
        <f t="shared" si="1300"/>
        <v>15:13:38.000</v>
      </c>
      <c r="U3279" t="str">
        <f t="shared" si="1294"/>
        <v>A68FCB</v>
      </c>
      <c r="V3279">
        <v>0</v>
      </c>
      <c r="W3279">
        <v>0</v>
      </c>
      <c r="X3279">
        <v>2</v>
      </c>
      <c r="Y3279">
        <v>0</v>
      </c>
      <c r="AA3279">
        <v>1</v>
      </c>
      <c r="AB3279">
        <v>8</v>
      </c>
      <c r="AC3279">
        <v>3</v>
      </c>
      <c r="AD3279">
        <v>0</v>
      </c>
      <c r="AE3279">
        <v>9</v>
      </c>
      <c r="AF3279" t="s">
        <v>138</v>
      </c>
      <c r="AG3279">
        <v>0</v>
      </c>
      <c r="AH3279">
        <v>3</v>
      </c>
      <c r="AI3279">
        <v>2</v>
      </c>
      <c r="AJ3279">
        <v>0</v>
      </c>
      <c r="AK3279" t="s">
        <v>1095</v>
      </c>
      <c r="AL3279">
        <v>39.133750999999997</v>
      </c>
      <c r="AM3279" t="s">
        <v>1096</v>
      </c>
      <c r="AN3279">
        <v>-121.031098</v>
      </c>
      <c r="AO3279">
        <v>25</v>
      </c>
      <c r="AP3279">
        <v>4300</v>
      </c>
      <c r="AQ3279" t="s">
        <v>131</v>
      </c>
      <c r="AR3279">
        <v>2</v>
      </c>
      <c r="AS3279">
        <v>85</v>
      </c>
      <c r="AT3279">
        <v>-64</v>
      </c>
      <c r="BB3279" t="str">
        <f t="shared" si="1295"/>
        <v>1200</v>
      </c>
      <c r="BC3279">
        <v>1</v>
      </c>
      <c r="BD3279" t="str">
        <f t="shared" si="1296"/>
        <v xml:space="preserve">N52156  </v>
      </c>
      <c r="BE3279">
        <v>1</v>
      </c>
      <c r="BG3279">
        <v>0</v>
      </c>
      <c r="BH3279">
        <v>0</v>
      </c>
      <c r="BI3279">
        <v>0</v>
      </c>
      <c r="BJ3279">
        <v>4350</v>
      </c>
      <c r="BK3279">
        <v>50</v>
      </c>
      <c r="BL3279" t="s">
        <v>188</v>
      </c>
      <c r="BM3279">
        <v>1</v>
      </c>
      <c r="BN3279">
        <v>1</v>
      </c>
      <c r="BO3279">
        <v>0</v>
      </c>
      <c r="BP3279">
        <v>0</v>
      </c>
      <c r="BS3279">
        <v>0</v>
      </c>
      <c r="BT3279">
        <v>0</v>
      </c>
      <c r="BU3279">
        <v>0</v>
      </c>
      <c r="CE3279" t="str">
        <f t="shared" si="1301"/>
        <v>15:13:38.554</v>
      </c>
      <c r="CF3279">
        <v>553982908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3</v>
      </c>
      <c r="CY3279">
        <v>7</v>
      </c>
      <c r="CZ3279" t="s">
        <v>133</v>
      </c>
      <c r="DA3279">
        <v>275</v>
      </c>
      <c r="DB3279">
        <v>0</v>
      </c>
      <c r="DC3279" t="s">
        <v>134</v>
      </c>
      <c r="DD3279" t="s">
        <v>135</v>
      </c>
      <c r="DG3279">
        <v>3322537</v>
      </c>
      <c r="DI3279">
        <v>1</v>
      </c>
      <c r="DJ3279">
        <v>0</v>
      </c>
      <c r="DK3279">
        <v>1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3">
      <c r="A3280" t="str">
        <f>"05/01/2025 15:13:38.787"</f>
        <v>05/01/2025 15:13:38.787</v>
      </c>
      <c r="C3280" t="str">
        <f t="shared" si="1292"/>
        <v>FFDFD3C0</v>
      </c>
      <c r="D3280" t="s">
        <v>124</v>
      </c>
      <c r="E3280" t="str">
        <f>"06"</f>
        <v>06</v>
      </c>
      <c r="F3280">
        <v>2006</v>
      </c>
      <c r="G3280" t="s">
        <v>125</v>
      </c>
      <c r="J3280" t="s">
        <v>126</v>
      </c>
      <c r="K3280">
        <v>0</v>
      </c>
      <c r="L3280">
        <v>3</v>
      </c>
      <c r="M3280">
        <v>0</v>
      </c>
      <c r="N3280">
        <v>2</v>
      </c>
      <c r="O3280">
        <v>0</v>
      </c>
      <c r="P3280">
        <v>1</v>
      </c>
      <c r="Q3280">
        <v>0</v>
      </c>
      <c r="R3280" t="s">
        <v>127</v>
      </c>
      <c r="S3280" t="str">
        <f t="shared" si="1300"/>
        <v>15:13:38.000</v>
      </c>
      <c r="T3280" t="str">
        <f t="shared" si="1300"/>
        <v>15:13:38.000</v>
      </c>
      <c r="U3280" t="str">
        <f t="shared" si="1294"/>
        <v>A68FCB</v>
      </c>
      <c r="V3280">
        <v>0</v>
      </c>
      <c r="W3280">
        <v>0</v>
      </c>
      <c r="X3280">
        <v>2</v>
      </c>
      <c r="Y3280">
        <v>0</v>
      </c>
      <c r="AA3280">
        <v>1</v>
      </c>
      <c r="AB3280">
        <v>8</v>
      </c>
      <c r="AC3280">
        <v>3</v>
      </c>
      <c r="AD3280">
        <v>0</v>
      </c>
      <c r="AE3280">
        <v>9</v>
      </c>
      <c r="AF3280" t="s">
        <v>138</v>
      </c>
      <c r="AG3280">
        <v>0</v>
      </c>
      <c r="AH3280">
        <v>3</v>
      </c>
      <c r="AI3280">
        <v>2</v>
      </c>
      <c r="AJ3280">
        <v>0</v>
      </c>
      <c r="AK3280" t="s">
        <v>1095</v>
      </c>
      <c r="AL3280">
        <v>39.133750999999997</v>
      </c>
      <c r="AM3280" t="s">
        <v>1096</v>
      </c>
      <c r="AN3280">
        <v>-121.031098</v>
      </c>
      <c r="AO3280">
        <v>25</v>
      </c>
      <c r="AP3280">
        <v>4300</v>
      </c>
      <c r="AQ3280" t="s">
        <v>131</v>
      </c>
      <c r="AR3280">
        <v>2</v>
      </c>
      <c r="AS3280">
        <v>85</v>
      </c>
      <c r="AT3280">
        <v>-64</v>
      </c>
      <c r="BB3280" t="str">
        <f t="shared" si="1295"/>
        <v>1200</v>
      </c>
      <c r="BC3280">
        <v>1</v>
      </c>
      <c r="BD3280" t="str">
        <f t="shared" si="1296"/>
        <v xml:space="preserve">N52156  </v>
      </c>
      <c r="BE3280">
        <v>1</v>
      </c>
      <c r="BG3280">
        <v>0</v>
      </c>
      <c r="BH3280">
        <v>0</v>
      </c>
      <c r="BI3280">
        <v>0</v>
      </c>
      <c r="BJ3280">
        <v>4350</v>
      </c>
      <c r="BK3280">
        <v>50</v>
      </c>
      <c r="BL3280" t="s">
        <v>188</v>
      </c>
      <c r="BM3280">
        <v>1</v>
      </c>
      <c r="BN3280">
        <v>1</v>
      </c>
      <c r="BO3280">
        <v>0</v>
      </c>
      <c r="BP3280">
        <v>0</v>
      </c>
      <c r="BS3280">
        <v>0</v>
      </c>
      <c r="BT3280">
        <v>0</v>
      </c>
      <c r="BU3280">
        <v>0</v>
      </c>
      <c r="CE3280" t="str">
        <f t="shared" si="1301"/>
        <v>15:13:38.554</v>
      </c>
      <c r="CF3280">
        <v>553982908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3</v>
      </c>
      <c r="CY3280">
        <v>7</v>
      </c>
      <c r="CZ3280" t="s">
        <v>133</v>
      </c>
      <c r="DA3280">
        <v>275</v>
      </c>
      <c r="DB3280">
        <v>0</v>
      </c>
      <c r="DC3280" t="s">
        <v>134</v>
      </c>
      <c r="DD3280" t="s">
        <v>135</v>
      </c>
      <c r="DG3280">
        <v>3322537</v>
      </c>
      <c r="DI3280">
        <v>1</v>
      </c>
      <c r="DJ3280">
        <v>0</v>
      </c>
      <c r="DK3280">
        <v>1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3">
      <c r="A3281" t="str">
        <f>"05/01/2025 15:13:38.802"</f>
        <v>05/01/2025 15:13:38.802</v>
      </c>
      <c r="C3281" t="str">
        <f t="shared" si="1292"/>
        <v>FFDFD3C0</v>
      </c>
      <c r="D3281" t="s">
        <v>145</v>
      </c>
      <c r="E3281" t="str">
        <f>"05"</f>
        <v>05</v>
      </c>
      <c r="H3281">
        <v>47</v>
      </c>
      <c r="I3281" t="s">
        <v>146</v>
      </c>
      <c r="J3281" t="s">
        <v>138</v>
      </c>
      <c r="K3281">
        <v>0</v>
      </c>
      <c r="L3281">
        <v>3</v>
      </c>
      <c r="M3281">
        <v>0</v>
      </c>
      <c r="N3281">
        <v>2</v>
      </c>
      <c r="O3281">
        <v>0</v>
      </c>
      <c r="P3281">
        <v>1</v>
      </c>
      <c r="Q3281">
        <v>0</v>
      </c>
      <c r="R3281" t="s">
        <v>127</v>
      </c>
      <c r="S3281" t="str">
        <f t="shared" si="1300"/>
        <v>15:13:38.000</v>
      </c>
      <c r="T3281" t="str">
        <f t="shared" si="1300"/>
        <v>15:13:38.000</v>
      </c>
      <c r="U3281" t="str">
        <f t="shared" si="1294"/>
        <v>A68FCB</v>
      </c>
      <c r="V3281">
        <v>0</v>
      </c>
      <c r="W3281">
        <v>0</v>
      </c>
      <c r="X3281">
        <v>2</v>
      </c>
      <c r="Y3281">
        <v>0</v>
      </c>
      <c r="AA3281">
        <v>1</v>
      </c>
      <c r="AB3281">
        <v>8</v>
      </c>
      <c r="AC3281">
        <v>3</v>
      </c>
      <c r="AD3281">
        <v>0</v>
      </c>
      <c r="AE3281">
        <v>9</v>
      </c>
      <c r="AF3281" t="s">
        <v>138</v>
      </c>
      <c r="AG3281">
        <v>0</v>
      </c>
      <c r="AH3281">
        <v>3</v>
      </c>
      <c r="AI3281">
        <v>2</v>
      </c>
      <c r="AJ3281">
        <v>0</v>
      </c>
      <c r="AK3281" t="s">
        <v>1095</v>
      </c>
      <c r="AL3281">
        <v>39.133750999999997</v>
      </c>
      <c r="AM3281" t="s">
        <v>1096</v>
      </c>
      <c r="AN3281">
        <v>-121.031098</v>
      </c>
      <c r="AO3281">
        <v>25</v>
      </c>
      <c r="AP3281">
        <v>4300</v>
      </c>
      <c r="AQ3281" t="s">
        <v>131</v>
      </c>
      <c r="AR3281">
        <v>2</v>
      </c>
      <c r="AS3281">
        <v>85</v>
      </c>
      <c r="AT3281">
        <v>-64</v>
      </c>
      <c r="BB3281" t="str">
        <f t="shared" si="1295"/>
        <v>1200</v>
      </c>
      <c r="BC3281">
        <v>1</v>
      </c>
      <c r="BD3281" t="str">
        <f t="shared" si="1296"/>
        <v xml:space="preserve">N52156  </v>
      </c>
      <c r="BE3281">
        <v>1</v>
      </c>
      <c r="BG3281">
        <v>0</v>
      </c>
      <c r="BH3281">
        <v>0</v>
      </c>
      <c r="BI3281">
        <v>0</v>
      </c>
      <c r="BJ3281">
        <v>4350</v>
      </c>
      <c r="BK3281">
        <v>50</v>
      </c>
      <c r="BL3281" t="s">
        <v>188</v>
      </c>
      <c r="BM3281">
        <v>1</v>
      </c>
      <c r="BN3281">
        <v>1</v>
      </c>
      <c r="BO3281">
        <v>0</v>
      </c>
      <c r="BP3281">
        <v>0</v>
      </c>
      <c r="BS3281">
        <v>0</v>
      </c>
      <c r="BT3281">
        <v>0</v>
      </c>
      <c r="BU3281">
        <v>0</v>
      </c>
      <c r="CE3281" t="str">
        <f t="shared" si="1301"/>
        <v>15:13:38.554</v>
      </c>
      <c r="CF3281">
        <v>553982908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3</v>
      </c>
      <c r="CY3281">
        <v>7</v>
      </c>
      <c r="CZ3281" t="s">
        <v>133</v>
      </c>
      <c r="DA3281">
        <v>275</v>
      </c>
      <c r="DB3281">
        <v>0</v>
      </c>
      <c r="DC3281" t="s">
        <v>134</v>
      </c>
      <c r="DD3281" t="s">
        <v>135</v>
      </c>
      <c r="DG3281">
        <v>3322537</v>
      </c>
      <c r="DI3281">
        <v>1</v>
      </c>
      <c r="DJ3281">
        <v>0</v>
      </c>
      <c r="DK3281">
        <v>1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3">
      <c r="A3282" t="str">
        <f>"05/01/2025 15:13:38.800"</f>
        <v>05/01/2025 15:13:38.800</v>
      </c>
      <c r="C3282" t="str">
        <f t="shared" si="1292"/>
        <v>FFDFD3C0</v>
      </c>
      <c r="D3282" t="s">
        <v>145</v>
      </c>
      <c r="E3282" t="str">
        <f>"09"</f>
        <v>09</v>
      </c>
      <c r="H3282">
        <v>51</v>
      </c>
      <c r="I3282" t="s">
        <v>147</v>
      </c>
      <c r="J3282" t="s">
        <v>138</v>
      </c>
      <c r="K3282">
        <v>0</v>
      </c>
      <c r="L3282">
        <v>3</v>
      </c>
      <c r="M3282">
        <v>0</v>
      </c>
      <c r="N3282">
        <v>2</v>
      </c>
      <c r="O3282">
        <v>0</v>
      </c>
      <c r="P3282">
        <v>1</v>
      </c>
      <c r="Q3282">
        <v>0</v>
      </c>
      <c r="R3282" t="s">
        <v>127</v>
      </c>
      <c r="S3282" t="str">
        <f t="shared" si="1300"/>
        <v>15:13:38.000</v>
      </c>
      <c r="T3282" t="str">
        <f t="shared" si="1300"/>
        <v>15:13:38.000</v>
      </c>
      <c r="U3282" t="str">
        <f t="shared" si="1294"/>
        <v>A68FCB</v>
      </c>
      <c r="V3282">
        <v>0</v>
      </c>
      <c r="W3282">
        <v>0</v>
      </c>
      <c r="X3282">
        <v>2</v>
      </c>
      <c r="Y3282">
        <v>0</v>
      </c>
      <c r="AA3282">
        <v>1</v>
      </c>
      <c r="AB3282">
        <v>8</v>
      </c>
      <c r="AC3282">
        <v>3</v>
      </c>
      <c r="AD3282">
        <v>0</v>
      </c>
      <c r="AE3282">
        <v>9</v>
      </c>
      <c r="AF3282" t="s">
        <v>138</v>
      </c>
      <c r="AG3282">
        <v>0</v>
      </c>
      <c r="AH3282">
        <v>3</v>
      </c>
      <c r="AI3282">
        <v>2</v>
      </c>
      <c r="AJ3282">
        <v>0</v>
      </c>
      <c r="AK3282" t="s">
        <v>1095</v>
      </c>
      <c r="AL3282">
        <v>39.133750999999997</v>
      </c>
      <c r="AM3282" t="s">
        <v>1096</v>
      </c>
      <c r="AN3282">
        <v>-121.031098</v>
      </c>
      <c r="AO3282">
        <v>25</v>
      </c>
      <c r="AP3282">
        <v>4300</v>
      </c>
      <c r="AQ3282" t="s">
        <v>131</v>
      </c>
      <c r="AR3282">
        <v>2</v>
      </c>
      <c r="AS3282">
        <v>85</v>
      </c>
      <c r="AT3282">
        <v>-64</v>
      </c>
      <c r="BB3282" t="str">
        <f t="shared" si="1295"/>
        <v>1200</v>
      </c>
      <c r="BC3282">
        <v>1</v>
      </c>
      <c r="BD3282" t="str">
        <f t="shared" si="1296"/>
        <v xml:space="preserve">N52156  </v>
      </c>
      <c r="BE3282">
        <v>1</v>
      </c>
      <c r="BG3282">
        <v>0</v>
      </c>
      <c r="BH3282">
        <v>0</v>
      </c>
      <c r="BI3282">
        <v>0</v>
      </c>
      <c r="BJ3282">
        <v>4350</v>
      </c>
      <c r="BK3282">
        <v>50</v>
      </c>
      <c r="BL3282" t="s">
        <v>188</v>
      </c>
      <c r="BM3282">
        <v>1</v>
      </c>
      <c r="BN3282">
        <v>1</v>
      </c>
      <c r="BO3282">
        <v>0</v>
      </c>
      <c r="BP3282">
        <v>0</v>
      </c>
      <c r="BS3282">
        <v>0</v>
      </c>
      <c r="BT3282">
        <v>0</v>
      </c>
      <c r="BU3282">
        <v>0</v>
      </c>
      <c r="CE3282" t="str">
        <f t="shared" si="1301"/>
        <v>15:13:38.554</v>
      </c>
      <c r="CF3282">
        <v>553982908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3</v>
      </c>
      <c r="CY3282">
        <v>7</v>
      </c>
      <c r="CZ3282" t="s">
        <v>133</v>
      </c>
      <c r="DA3282">
        <v>275</v>
      </c>
      <c r="DB3282">
        <v>0</v>
      </c>
      <c r="DC3282" t="s">
        <v>134</v>
      </c>
      <c r="DD3282" t="s">
        <v>135</v>
      </c>
      <c r="DG3282">
        <v>3322537</v>
      </c>
      <c r="DI3282">
        <v>1</v>
      </c>
      <c r="DJ3282">
        <v>0</v>
      </c>
      <c r="DK3282">
        <v>1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3">
      <c r="A3283" t="str">
        <f>"05/01/2025 15:13:38.813"</f>
        <v>05/01/2025 15:13:38.813</v>
      </c>
      <c r="C3283" t="str">
        <f t="shared" si="1292"/>
        <v>FFDFD3C0</v>
      </c>
      <c r="D3283" t="s">
        <v>136</v>
      </c>
      <c r="E3283" t="str">
        <f>"20"</f>
        <v>20</v>
      </c>
      <c r="H3283">
        <v>400</v>
      </c>
      <c r="I3283" t="s">
        <v>137</v>
      </c>
      <c r="J3283" t="s">
        <v>138</v>
      </c>
      <c r="K3283">
        <v>0</v>
      </c>
      <c r="L3283">
        <v>3</v>
      </c>
      <c r="M3283">
        <v>0</v>
      </c>
      <c r="N3283">
        <v>2</v>
      </c>
      <c r="O3283">
        <v>0</v>
      </c>
      <c r="P3283">
        <v>1</v>
      </c>
      <c r="Q3283">
        <v>0</v>
      </c>
      <c r="R3283" t="s">
        <v>127</v>
      </c>
      <c r="S3283" t="str">
        <f t="shared" si="1300"/>
        <v>15:13:38.000</v>
      </c>
      <c r="T3283" t="str">
        <f t="shared" si="1300"/>
        <v>15:13:38.000</v>
      </c>
      <c r="U3283" t="str">
        <f t="shared" si="1294"/>
        <v>A68FCB</v>
      </c>
      <c r="V3283">
        <v>0</v>
      </c>
      <c r="W3283">
        <v>0</v>
      </c>
      <c r="X3283">
        <v>2</v>
      </c>
      <c r="Y3283">
        <v>0</v>
      </c>
      <c r="AA3283">
        <v>1</v>
      </c>
      <c r="AB3283">
        <v>8</v>
      </c>
      <c r="AC3283">
        <v>3</v>
      </c>
      <c r="AD3283">
        <v>0</v>
      </c>
      <c r="AE3283">
        <v>9</v>
      </c>
      <c r="AF3283" t="s">
        <v>138</v>
      </c>
      <c r="AG3283">
        <v>0</v>
      </c>
      <c r="AH3283">
        <v>3</v>
      </c>
      <c r="AI3283">
        <v>2</v>
      </c>
      <c r="AJ3283">
        <v>0</v>
      </c>
      <c r="AK3283" t="s">
        <v>1095</v>
      </c>
      <c r="AL3283">
        <v>39.133750999999997</v>
      </c>
      <c r="AM3283" t="s">
        <v>1096</v>
      </c>
      <c r="AN3283">
        <v>-121.031098</v>
      </c>
      <c r="AO3283">
        <v>25</v>
      </c>
      <c r="AP3283">
        <v>4300</v>
      </c>
      <c r="AQ3283" t="s">
        <v>131</v>
      </c>
      <c r="AR3283">
        <v>2</v>
      </c>
      <c r="AS3283">
        <v>85</v>
      </c>
      <c r="AT3283">
        <v>-64</v>
      </c>
      <c r="BB3283" t="str">
        <f t="shared" si="1295"/>
        <v>1200</v>
      </c>
      <c r="BC3283">
        <v>1</v>
      </c>
      <c r="BD3283" t="str">
        <f t="shared" si="1296"/>
        <v xml:space="preserve">N52156  </v>
      </c>
      <c r="BE3283">
        <v>1</v>
      </c>
      <c r="BG3283">
        <v>0</v>
      </c>
      <c r="BH3283">
        <v>0</v>
      </c>
      <c r="BI3283">
        <v>0</v>
      </c>
      <c r="BJ3283">
        <v>4350</v>
      </c>
      <c r="BK3283">
        <v>50</v>
      </c>
      <c r="BL3283" t="s">
        <v>188</v>
      </c>
      <c r="BM3283">
        <v>1</v>
      </c>
      <c r="BN3283">
        <v>1</v>
      </c>
      <c r="BO3283">
        <v>0</v>
      </c>
      <c r="BP3283">
        <v>0</v>
      </c>
      <c r="BS3283">
        <v>0</v>
      </c>
      <c r="BT3283">
        <v>0</v>
      </c>
      <c r="BU3283">
        <v>0</v>
      </c>
      <c r="CE3283" t="str">
        <f t="shared" si="1301"/>
        <v>15:13:38.554</v>
      </c>
      <c r="CF3283">
        <v>553982908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3</v>
      </c>
      <c r="CY3283">
        <v>7</v>
      </c>
      <c r="CZ3283" t="s">
        <v>133</v>
      </c>
      <c r="DA3283">
        <v>275</v>
      </c>
      <c r="DB3283">
        <v>0</v>
      </c>
      <c r="DC3283" t="s">
        <v>134</v>
      </c>
      <c r="DD3283" t="s">
        <v>135</v>
      </c>
      <c r="DG3283">
        <v>3322537</v>
      </c>
      <c r="DI3283">
        <v>1</v>
      </c>
      <c r="DJ3283">
        <v>0</v>
      </c>
      <c r="DK3283">
        <v>1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3">
      <c r="A3284" t="str">
        <f>"05/01/2025 15:13:39.715"</f>
        <v>05/01/2025 15:13:39.715</v>
      </c>
      <c r="C3284" t="str">
        <f t="shared" si="1292"/>
        <v>FFDFD3C0</v>
      </c>
      <c r="D3284" t="s">
        <v>136</v>
      </c>
      <c r="E3284" t="str">
        <f>"20"</f>
        <v>20</v>
      </c>
      <c r="H3284">
        <v>400</v>
      </c>
      <c r="I3284" t="s">
        <v>137</v>
      </c>
      <c r="J3284" t="s">
        <v>138</v>
      </c>
      <c r="K3284">
        <v>0</v>
      </c>
      <c r="L3284">
        <v>3</v>
      </c>
      <c r="M3284">
        <v>0</v>
      </c>
      <c r="N3284">
        <v>2</v>
      </c>
      <c r="O3284">
        <v>0</v>
      </c>
      <c r="P3284">
        <v>1</v>
      </c>
      <c r="Q3284">
        <v>0</v>
      </c>
      <c r="R3284" t="s">
        <v>127</v>
      </c>
      <c r="S3284" t="str">
        <f t="shared" ref="S3284:T3289" si="1302">"15:13:39.000"</f>
        <v>15:13:39.000</v>
      </c>
      <c r="T3284" t="str">
        <f t="shared" si="1302"/>
        <v>15:13:39.000</v>
      </c>
      <c r="U3284" t="str">
        <f t="shared" si="1294"/>
        <v>A68FCB</v>
      </c>
      <c r="V3284">
        <v>0</v>
      </c>
      <c r="W3284">
        <v>0</v>
      </c>
      <c r="X3284">
        <v>2</v>
      </c>
      <c r="Y3284">
        <v>0</v>
      </c>
      <c r="AA3284">
        <v>1</v>
      </c>
      <c r="AB3284">
        <v>8</v>
      </c>
      <c r="AC3284">
        <v>3</v>
      </c>
      <c r="AD3284">
        <v>0</v>
      </c>
      <c r="AE3284">
        <v>9</v>
      </c>
      <c r="AF3284" t="s">
        <v>138</v>
      </c>
      <c r="AG3284">
        <v>0</v>
      </c>
      <c r="AH3284">
        <v>3</v>
      </c>
      <c r="AI3284">
        <v>2</v>
      </c>
      <c r="AJ3284">
        <v>0</v>
      </c>
      <c r="AK3284" t="s">
        <v>1097</v>
      </c>
      <c r="AL3284">
        <v>39.134138</v>
      </c>
      <c r="AM3284" t="s">
        <v>1096</v>
      </c>
      <c r="AN3284">
        <v>-121.031098</v>
      </c>
      <c r="AO3284">
        <v>25</v>
      </c>
      <c r="AP3284">
        <v>4300</v>
      </c>
      <c r="AQ3284" t="s">
        <v>131</v>
      </c>
      <c r="AR3284">
        <v>2</v>
      </c>
      <c r="AS3284">
        <v>85</v>
      </c>
      <c r="AT3284">
        <v>-64</v>
      </c>
      <c r="BB3284" t="str">
        <f t="shared" si="1295"/>
        <v>1200</v>
      </c>
      <c r="BC3284">
        <v>1</v>
      </c>
      <c r="BD3284" t="str">
        <f t="shared" si="1296"/>
        <v xml:space="preserve">N52156  </v>
      </c>
      <c r="BE3284">
        <v>1</v>
      </c>
      <c r="BG3284">
        <v>0</v>
      </c>
      <c r="BH3284">
        <v>0</v>
      </c>
      <c r="BI3284">
        <v>0</v>
      </c>
      <c r="BJ3284">
        <v>4350</v>
      </c>
      <c r="BK3284">
        <v>50</v>
      </c>
      <c r="BL3284" t="s">
        <v>188</v>
      </c>
      <c r="BM3284">
        <v>1</v>
      </c>
      <c r="BN3284">
        <v>1</v>
      </c>
      <c r="BO3284">
        <v>0</v>
      </c>
      <c r="BP3284">
        <v>0</v>
      </c>
      <c r="BS3284">
        <v>0</v>
      </c>
      <c r="BT3284">
        <v>0</v>
      </c>
      <c r="BU3284">
        <v>0</v>
      </c>
      <c r="CE3284" t="str">
        <f t="shared" ref="CE3284:CE3289" si="1303">"15:13:39.512"</f>
        <v>15:13:39.512</v>
      </c>
      <c r="CF3284">
        <v>511558837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3</v>
      </c>
      <c r="CY3284">
        <v>7</v>
      </c>
      <c r="CZ3284" t="s">
        <v>133</v>
      </c>
      <c r="DA3284">
        <v>276</v>
      </c>
      <c r="DB3284">
        <v>0</v>
      </c>
      <c r="DC3284" t="s">
        <v>402</v>
      </c>
      <c r="DD3284" t="s">
        <v>403</v>
      </c>
      <c r="DG3284">
        <v>1627978</v>
      </c>
      <c r="DI3284">
        <v>1</v>
      </c>
      <c r="DJ3284">
        <v>0</v>
      </c>
      <c r="DK3284">
        <v>0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3">
      <c r="A3285" t="str">
        <f>"05/01/2025 15:13:39.726"</f>
        <v>05/01/2025 15:13:39.726</v>
      </c>
      <c r="C3285" t="str">
        <f t="shared" si="1292"/>
        <v>FFDFD3C0</v>
      </c>
      <c r="D3285" t="s">
        <v>143</v>
      </c>
      <c r="E3285" t="str">
        <f>"05"</f>
        <v>05</v>
      </c>
      <c r="H3285">
        <v>172</v>
      </c>
      <c r="I3285" t="s">
        <v>141</v>
      </c>
      <c r="J3285" t="s">
        <v>144</v>
      </c>
      <c r="K3285">
        <v>0</v>
      </c>
      <c r="L3285">
        <v>3</v>
      </c>
      <c r="M3285">
        <v>0</v>
      </c>
      <c r="N3285">
        <v>2</v>
      </c>
      <c r="O3285">
        <v>0</v>
      </c>
      <c r="P3285">
        <v>1</v>
      </c>
      <c r="Q3285">
        <v>0</v>
      </c>
      <c r="R3285" t="s">
        <v>127</v>
      </c>
      <c r="S3285" t="str">
        <f t="shared" si="1302"/>
        <v>15:13:39.000</v>
      </c>
      <c r="T3285" t="str">
        <f t="shared" si="1302"/>
        <v>15:13:39.000</v>
      </c>
      <c r="U3285" t="str">
        <f t="shared" si="1294"/>
        <v>A68FCB</v>
      </c>
      <c r="V3285">
        <v>0</v>
      </c>
      <c r="W3285">
        <v>0</v>
      </c>
      <c r="X3285">
        <v>2</v>
      </c>
      <c r="Y3285">
        <v>0</v>
      </c>
      <c r="AA3285">
        <v>1</v>
      </c>
      <c r="AB3285">
        <v>8</v>
      </c>
      <c r="AC3285">
        <v>3</v>
      </c>
      <c r="AD3285">
        <v>0</v>
      </c>
      <c r="AE3285">
        <v>9</v>
      </c>
      <c r="AF3285" t="s">
        <v>138</v>
      </c>
      <c r="AG3285">
        <v>0</v>
      </c>
      <c r="AH3285">
        <v>3</v>
      </c>
      <c r="AI3285">
        <v>2</v>
      </c>
      <c r="AJ3285">
        <v>0</v>
      </c>
      <c r="AK3285" t="s">
        <v>1097</v>
      </c>
      <c r="AL3285">
        <v>39.134138</v>
      </c>
      <c r="AM3285" t="s">
        <v>1096</v>
      </c>
      <c r="AN3285">
        <v>-121.031098</v>
      </c>
      <c r="AO3285">
        <v>25</v>
      </c>
      <c r="AP3285">
        <v>4300</v>
      </c>
      <c r="AQ3285" t="s">
        <v>131</v>
      </c>
      <c r="AR3285">
        <v>2</v>
      </c>
      <c r="AS3285">
        <v>85</v>
      </c>
      <c r="AT3285">
        <v>-64</v>
      </c>
      <c r="BB3285" t="str">
        <f t="shared" si="1295"/>
        <v>1200</v>
      </c>
      <c r="BC3285">
        <v>1</v>
      </c>
      <c r="BD3285" t="str">
        <f t="shared" si="1296"/>
        <v xml:space="preserve">N52156  </v>
      </c>
      <c r="BE3285">
        <v>1</v>
      </c>
      <c r="BG3285">
        <v>0</v>
      </c>
      <c r="BH3285">
        <v>0</v>
      </c>
      <c r="BI3285">
        <v>0</v>
      </c>
      <c r="BJ3285">
        <v>4350</v>
      </c>
      <c r="BK3285">
        <v>50</v>
      </c>
      <c r="BL3285" t="s">
        <v>188</v>
      </c>
      <c r="BM3285">
        <v>1</v>
      </c>
      <c r="BN3285">
        <v>1</v>
      </c>
      <c r="BO3285">
        <v>0</v>
      </c>
      <c r="BP3285">
        <v>0</v>
      </c>
      <c r="BS3285">
        <v>0</v>
      </c>
      <c r="BT3285">
        <v>0</v>
      </c>
      <c r="BU3285">
        <v>0</v>
      </c>
      <c r="CE3285" t="str">
        <f t="shared" si="1303"/>
        <v>15:13:39.512</v>
      </c>
      <c r="CF3285">
        <v>511558837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3</v>
      </c>
      <c r="CY3285">
        <v>7</v>
      </c>
      <c r="CZ3285" t="s">
        <v>133</v>
      </c>
      <c r="DA3285">
        <v>276</v>
      </c>
      <c r="DB3285">
        <v>0</v>
      </c>
      <c r="DC3285" t="s">
        <v>402</v>
      </c>
      <c r="DD3285" t="s">
        <v>403</v>
      </c>
      <c r="DG3285">
        <v>1627978</v>
      </c>
      <c r="DI3285">
        <v>1</v>
      </c>
      <c r="DJ3285">
        <v>0</v>
      </c>
      <c r="DK3285">
        <v>1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3">
      <c r="A3286" t="str">
        <f>"05/01/2025 15:13:39.739"</f>
        <v>05/01/2025 15:13:39.739</v>
      </c>
      <c r="C3286" t="str">
        <f t="shared" si="1292"/>
        <v>FFDFD3C0</v>
      </c>
      <c r="D3286" t="s">
        <v>124</v>
      </c>
      <c r="E3286" t="str">
        <f>"06"</f>
        <v>06</v>
      </c>
      <c r="F3286">
        <v>2006</v>
      </c>
      <c r="G3286" t="s">
        <v>125</v>
      </c>
      <c r="J3286" t="s">
        <v>126</v>
      </c>
      <c r="K3286">
        <v>0</v>
      </c>
      <c r="L3286">
        <v>3</v>
      </c>
      <c r="M3286">
        <v>0</v>
      </c>
      <c r="N3286">
        <v>2</v>
      </c>
      <c r="O3286">
        <v>0</v>
      </c>
      <c r="P3286">
        <v>1</v>
      </c>
      <c r="Q3286">
        <v>0</v>
      </c>
      <c r="R3286" t="s">
        <v>127</v>
      </c>
      <c r="S3286" t="str">
        <f t="shared" si="1302"/>
        <v>15:13:39.000</v>
      </c>
      <c r="T3286" t="str">
        <f t="shared" si="1302"/>
        <v>15:13:39.000</v>
      </c>
      <c r="U3286" t="str">
        <f t="shared" si="1294"/>
        <v>A68FCB</v>
      </c>
      <c r="V3286">
        <v>0</v>
      </c>
      <c r="W3286">
        <v>0</v>
      </c>
      <c r="X3286">
        <v>2</v>
      </c>
      <c r="Y3286">
        <v>0</v>
      </c>
      <c r="AA3286">
        <v>1</v>
      </c>
      <c r="AB3286">
        <v>8</v>
      </c>
      <c r="AC3286">
        <v>3</v>
      </c>
      <c r="AD3286">
        <v>0</v>
      </c>
      <c r="AE3286">
        <v>9</v>
      </c>
      <c r="AF3286" t="s">
        <v>138</v>
      </c>
      <c r="AG3286">
        <v>0</v>
      </c>
      <c r="AH3286">
        <v>3</v>
      </c>
      <c r="AI3286">
        <v>2</v>
      </c>
      <c r="AJ3286">
        <v>0</v>
      </c>
      <c r="AK3286" t="s">
        <v>1097</v>
      </c>
      <c r="AL3286">
        <v>39.134138</v>
      </c>
      <c r="AM3286" t="s">
        <v>1096</v>
      </c>
      <c r="AN3286">
        <v>-121.031098</v>
      </c>
      <c r="AO3286">
        <v>25</v>
      </c>
      <c r="AP3286">
        <v>4300</v>
      </c>
      <c r="AQ3286" t="s">
        <v>131</v>
      </c>
      <c r="AR3286">
        <v>2</v>
      </c>
      <c r="AS3286">
        <v>85</v>
      </c>
      <c r="AT3286">
        <v>-64</v>
      </c>
      <c r="BB3286" t="str">
        <f t="shared" si="1295"/>
        <v>1200</v>
      </c>
      <c r="BC3286">
        <v>1</v>
      </c>
      <c r="BD3286" t="str">
        <f t="shared" si="1296"/>
        <v xml:space="preserve">N52156  </v>
      </c>
      <c r="BE3286">
        <v>1</v>
      </c>
      <c r="BG3286">
        <v>0</v>
      </c>
      <c r="BH3286">
        <v>0</v>
      </c>
      <c r="BI3286">
        <v>0</v>
      </c>
      <c r="BJ3286">
        <v>4350</v>
      </c>
      <c r="BK3286">
        <v>50</v>
      </c>
      <c r="BL3286" t="s">
        <v>188</v>
      </c>
      <c r="BM3286">
        <v>1</v>
      </c>
      <c r="BN3286">
        <v>1</v>
      </c>
      <c r="BO3286">
        <v>0</v>
      </c>
      <c r="BP3286">
        <v>0</v>
      </c>
      <c r="BS3286">
        <v>0</v>
      </c>
      <c r="BT3286">
        <v>0</v>
      </c>
      <c r="BU3286">
        <v>0</v>
      </c>
      <c r="CE3286" t="str">
        <f t="shared" si="1303"/>
        <v>15:13:39.512</v>
      </c>
      <c r="CF3286">
        <v>511558837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3</v>
      </c>
      <c r="CY3286">
        <v>7</v>
      </c>
      <c r="CZ3286" t="s">
        <v>133</v>
      </c>
      <c r="DA3286">
        <v>276</v>
      </c>
      <c r="DB3286">
        <v>0</v>
      </c>
      <c r="DC3286" t="s">
        <v>402</v>
      </c>
      <c r="DD3286" t="s">
        <v>403</v>
      </c>
      <c r="DG3286">
        <v>1627978</v>
      </c>
      <c r="DI3286">
        <v>1</v>
      </c>
      <c r="DJ3286">
        <v>0</v>
      </c>
      <c r="DK3286">
        <v>1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3">
      <c r="A3287" t="str">
        <f>"05/01/2025 15:13:39.740"</f>
        <v>05/01/2025 15:13:39.740</v>
      </c>
      <c r="C3287" t="str">
        <f t="shared" si="1292"/>
        <v>FFDFD3C0</v>
      </c>
      <c r="D3287" t="s">
        <v>140</v>
      </c>
      <c r="E3287" t="str">
        <f>"13"</f>
        <v>13</v>
      </c>
      <c r="F3287">
        <v>1019</v>
      </c>
      <c r="G3287" t="s">
        <v>141</v>
      </c>
      <c r="J3287" t="s">
        <v>142</v>
      </c>
      <c r="K3287">
        <v>0</v>
      </c>
      <c r="L3287">
        <v>3</v>
      </c>
      <c r="M3287">
        <v>0</v>
      </c>
      <c r="N3287">
        <v>2</v>
      </c>
      <c r="O3287">
        <v>0</v>
      </c>
      <c r="P3287">
        <v>1</v>
      </c>
      <c r="Q3287">
        <v>0</v>
      </c>
      <c r="R3287" t="s">
        <v>127</v>
      </c>
      <c r="S3287" t="str">
        <f t="shared" si="1302"/>
        <v>15:13:39.000</v>
      </c>
      <c r="T3287" t="str">
        <f t="shared" si="1302"/>
        <v>15:13:39.000</v>
      </c>
      <c r="U3287" t="str">
        <f t="shared" si="1294"/>
        <v>A68FCB</v>
      </c>
      <c r="V3287">
        <v>0</v>
      </c>
      <c r="W3287">
        <v>0</v>
      </c>
      <c r="X3287">
        <v>2</v>
      </c>
      <c r="Y3287">
        <v>0</v>
      </c>
      <c r="AA3287">
        <v>1</v>
      </c>
      <c r="AB3287">
        <v>8</v>
      </c>
      <c r="AC3287">
        <v>3</v>
      </c>
      <c r="AD3287">
        <v>0</v>
      </c>
      <c r="AE3287">
        <v>9</v>
      </c>
      <c r="AF3287" t="s">
        <v>138</v>
      </c>
      <c r="AG3287">
        <v>0</v>
      </c>
      <c r="AH3287">
        <v>3</v>
      </c>
      <c r="AI3287">
        <v>2</v>
      </c>
      <c r="AJ3287">
        <v>0</v>
      </c>
      <c r="AK3287" t="s">
        <v>1097</v>
      </c>
      <c r="AL3287">
        <v>39.134138</v>
      </c>
      <c r="AM3287" t="s">
        <v>1096</v>
      </c>
      <c r="AN3287">
        <v>-121.031098</v>
      </c>
      <c r="AO3287">
        <v>25</v>
      </c>
      <c r="AP3287">
        <v>4300</v>
      </c>
      <c r="AQ3287" t="s">
        <v>131</v>
      </c>
      <c r="AR3287">
        <v>2</v>
      </c>
      <c r="AS3287">
        <v>85</v>
      </c>
      <c r="AT3287">
        <v>-64</v>
      </c>
      <c r="BB3287" t="str">
        <f t="shared" si="1295"/>
        <v>1200</v>
      </c>
      <c r="BC3287">
        <v>1</v>
      </c>
      <c r="BD3287" t="str">
        <f t="shared" si="1296"/>
        <v xml:space="preserve">N52156  </v>
      </c>
      <c r="BE3287">
        <v>1</v>
      </c>
      <c r="BG3287">
        <v>0</v>
      </c>
      <c r="BH3287">
        <v>0</v>
      </c>
      <c r="BI3287">
        <v>0</v>
      </c>
      <c r="BJ3287">
        <v>4350</v>
      </c>
      <c r="BK3287">
        <v>50</v>
      </c>
      <c r="BL3287" t="s">
        <v>188</v>
      </c>
      <c r="BM3287">
        <v>1</v>
      </c>
      <c r="BN3287">
        <v>1</v>
      </c>
      <c r="BO3287">
        <v>0</v>
      </c>
      <c r="BP3287">
        <v>0</v>
      </c>
      <c r="BS3287">
        <v>0</v>
      </c>
      <c r="BT3287">
        <v>0</v>
      </c>
      <c r="BU3287">
        <v>0</v>
      </c>
      <c r="CE3287" t="str">
        <f t="shared" si="1303"/>
        <v>15:13:39.512</v>
      </c>
      <c r="CF3287">
        <v>511558837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3</v>
      </c>
      <c r="CY3287">
        <v>7</v>
      </c>
      <c r="CZ3287" t="s">
        <v>133</v>
      </c>
      <c r="DA3287">
        <v>276</v>
      </c>
      <c r="DB3287">
        <v>0</v>
      </c>
      <c r="DC3287" t="s">
        <v>402</v>
      </c>
      <c r="DD3287" t="s">
        <v>403</v>
      </c>
      <c r="DG3287">
        <v>1627978</v>
      </c>
      <c r="DI3287">
        <v>1</v>
      </c>
      <c r="DJ3287">
        <v>0</v>
      </c>
      <c r="DK3287">
        <v>1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3">
      <c r="A3288" t="str">
        <f>"05/01/2025 15:13:39.752"</f>
        <v>05/01/2025 15:13:39.752</v>
      </c>
      <c r="C3288" t="str">
        <f t="shared" si="1292"/>
        <v>FFDFD3C0</v>
      </c>
      <c r="D3288" t="s">
        <v>145</v>
      </c>
      <c r="E3288" t="str">
        <f>"09"</f>
        <v>09</v>
      </c>
      <c r="H3288">
        <v>51</v>
      </c>
      <c r="I3288" t="s">
        <v>147</v>
      </c>
      <c r="J3288" t="s">
        <v>138</v>
      </c>
      <c r="K3288">
        <v>0</v>
      </c>
      <c r="L3288">
        <v>3</v>
      </c>
      <c r="M3288">
        <v>0</v>
      </c>
      <c r="N3288">
        <v>2</v>
      </c>
      <c r="O3288">
        <v>0</v>
      </c>
      <c r="P3288">
        <v>1</v>
      </c>
      <c r="Q3288">
        <v>0</v>
      </c>
      <c r="R3288" t="s">
        <v>127</v>
      </c>
      <c r="S3288" t="str">
        <f t="shared" si="1302"/>
        <v>15:13:39.000</v>
      </c>
      <c r="T3288" t="str">
        <f t="shared" si="1302"/>
        <v>15:13:39.000</v>
      </c>
      <c r="U3288" t="str">
        <f t="shared" si="1294"/>
        <v>A68FCB</v>
      </c>
      <c r="V3288">
        <v>0</v>
      </c>
      <c r="W3288">
        <v>0</v>
      </c>
      <c r="X3288">
        <v>2</v>
      </c>
      <c r="Y3288">
        <v>0</v>
      </c>
      <c r="AA3288">
        <v>1</v>
      </c>
      <c r="AB3288">
        <v>8</v>
      </c>
      <c r="AC3288">
        <v>3</v>
      </c>
      <c r="AD3288">
        <v>0</v>
      </c>
      <c r="AE3288">
        <v>9</v>
      </c>
      <c r="AF3288" t="s">
        <v>138</v>
      </c>
      <c r="AG3288">
        <v>0</v>
      </c>
      <c r="AH3288">
        <v>3</v>
      </c>
      <c r="AI3288">
        <v>2</v>
      </c>
      <c r="AJ3288">
        <v>0</v>
      </c>
      <c r="AK3288" t="s">
        <v>1097</v>
      </c>
      <c r="AL3288">
        <v>39.134138</v>
      </c>
      <c r="AM3288" t="s">
        <v>1096</v>
      </c>
      <c r="AN3288">
        <v>-121.031098</v>
      </c>
      <c r="AO3288">
        <v>25</v>
      </c>
      <c r="AP3288">
        <v>4300</v>
      </c>
      <c r="AQ3288" t="s">
        <v>131</v>
      </c>
      <c r="AR3288">
        <v>2</v>
      </c>
      <c r="AS3288">
        <v>85</v>
      </c>
      <c r="AT3288">
        <v>-64</v>
      </c>
      <c r="BB3288" t="str">
        <f t="shared" si="1295"/>
        <v>1200</v>
      </c>
      <c r="BC3288">
        <v>1</v>
      </c>
      <c r="BD3288" t="str">
        <f t="shared" si="1296"/>
        <v xml:space="preserve">N52156  </v>
      </c>
      <c r="BE3288">
        <v>1</v>
      </c>
      <c r="BG3288">
        <v>0</v>
      </c>
      <c r="BH3288">
        <v>0</v>
      </c>
      <c r="BI3288">
        <v>0</v>
      </c>
      <c r="BJ3288">
        <v>4350</v>
      </c>
      <c r="BK3288">
        <v>50</v>
      </c>
      <c r="BL3288" t="s">
        <v>188</v>
      </c>
      <c r="BM3288">
        <v>1</v>
      </c>
      <c r="BN3288">
        <v>1</v>
      </c>
      <c r="BO3288">
        <v>0</v>
      </c>
      <c r="BP3288">
        <v>0</v>
      </c>
      <c r="BS3288">
        <v>0</v>
      </c>
      <c r="BT3288">
        <v>0</v>
      </c>
      <c r="BU3288">
        <v>0</v>
      </c>
      <c r="CE3288" t="str">
        <f t="shared" si="1303"/>
        <v>15:13:39.512</v>
      </c>
      <c r="CF3288">
        <v>511558837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3</v>
      </c>
      <c r="CY3288">
        <v>7</v>
      </c>
      <c r="CZ3288" t="s">
        <v>133</v>
      </c>
      <c r="DA3288">
        <v>276</v>
      </c>
      <c r="DB3288">
        <v>0</v>
      </c>
      <c r="DC3288" t="s">
        <v>402</v>
      </c>
      <c r="DD3288" t="s">
        <v>403</v>
      </c>
      <c r="DG3288">
        <v>1627978</v>
      </c>
      <c r="DI3288">
        <v>1</v>
      </c>
      <c r="DJ3288">
        <v>0</v>
      </c>
      <c r="DK3288">
        <v>1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3">
      <c r="A3289" t="str">
        <f>"05/01/2025 15:13:39.753"</f>
        <v>05/01/2025 15:13:39.753</v>
      </c>
      <c r="C3289" t="str">
        <f t="shared" si="1292"/>
        <v>FFDFD3C0</v>
      </c>
      <c r="D3289" t="s">
        <v>145</v>
      </c>
      <c r="E3289" t="str">
        <f>"05"</f>
        <v>05</v>
      </c>
      <c r="H3289">
        <v>47</v>
      </c>
      <c r="I3289" t="s">
        <v>146</v>
      </c>
      <c r="J3289" t="s">
        <v>138</v>
      </c>
      <c r="K3289">
        <v>0</v>
      </c>
      <c r="L3289">
        <v>3</v>
      </c>
      <c r="M3289">
        <v>0</v>
      </c>
      <c r="N3289">
        <v>2</v>
      </c>
      <c r="O3289">
        <v>0</v>
      </c>
      <c r="P3289">
        <v>1</v>
      </c>
      <c r="Q3289">
        <v>0</v>
      </c>
      <c r="R3289" t="s">
        <v>127</v>
      </c>
      <c r="S3289" t="str">
        <f t="shared" si="1302"/>
        <v>15:13:39.000</v>
      </c>
      <c r="T3289" t="str">
        <f t="shared" si="1302"/>
        <v>15:13:39.000</v>
      </c>
      <c r="U3289" t="str">
        <f t="shared" si="1294"/>
        <v>A68FCB</v>
      </c>
      <c r="V3289">
        <v>0</v>
      </c>
      <c r="W3289">
        <v>0</v>
      </c>
      <c r="X3289">
        <v>2</v>
      </c>
      <c r="Y3289">
        <v>0</v>
      </c>
      <c r="AA3289">
        <v>1</v>
      </c>
      <c r="AB3289">
        <v>8</v>
      </c>
      <c r="AC3289">
        <v>3</v>
      </c>
      <c r="AD3289">
        <v>0</v>
      </c>
      <c r="AE3289">
        <v>9</v>
      </c>
      <c r="AF3289" t="s">
        <v>138</v>
      </c>
      <c r="AG3289">
        <v>0</v>
      </c>
      <c r="AH3289">
        <v>3</v>
      </c>
      <c r="AI3289">
        <v>2</v>
      </c>
      <c r="AJ3289">
        <v>0</v>
      </c>
      <c r="AK3289" t="s">
        <v>1097</v>
      </c>
      <c r="AL3289">
        <v>39.134138</v>
      </c>
      <c r="AM3289" t="s">
        <v>1096</v>
      </c>
      <c r="AN3289">
        <v>-121.031098</v>
      </c>
      <c r="AO3289">
        <v>25</v>
      </c>
      <c r="AP3289">
        <v>4300</v>
      </c>
      <c r="AQ3289" t="s">
        <v>131</v>
      </c>
      <c r="AR3289">
        <v>2</v>
      </c>
      <c r="AS3289">
        <v>85</v>
      </c>
      <c r="AT3289">
        <v>-64</v>
      </c>
      <c r="BB3289" t="str">
        <f t="shared" si="1295"/>
        <v>1200</v>
      </c>
      <c r="BC3289">
        <v>1</v>
      </c>
      <c r="BD3289" t="str">
        <f t="shared" si="1296"/>
        <v xml:space="preserve">N52156  </v>
      </c>
      <c r="BE3289">
        <v>1</v>
      </c>
      <c r="BG3289">
        <v>0</v>
      </c>
      <c r="BH3289">
        <v>0</v>
      </c>
      <c r="BI3289">
        <v>0</v>
      </c>
      <c r="BJ3289">
        <v>4350</v>
      </c>
      <c r="BK3289">
        <v>50</v>
      </c>
      <c r="BL3289" t="s">
        <v>188</v>
      </c>
      <c r="BM3289">
        <v>1</v>
      </c>
      <c r="BN3289">
        <v>1</v>
      </c>
      <c r="BO3289">
        <v>0</v>
      </c>
      <c r="BP3289">
        <v>0</v>
      </c>
      <c r="BS3289">
        <v>0</v>
      </c>
      <c r="BT3289">
        <v>0</v>
      </c>
      <c r="BU3289">
        <v>0</v>
      </c>
      <c r="CE3289" t="str">
        <f t="shared" si="1303"/>
        <v>15:13:39.512</v>
      </c>
      <c r="CF3289">
        <v>511558837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3</v>
      </c>
      <c r="CY3289">
        <v>7</v>
      </c>
      <c r="CZ3289" t="s">
        <v>133</v>
      </c>
      <c r="DA3289">
        <v>276</v>
      </c>
      <c r="DB3289">
        <v>0</v>
      </c>
      <c r="DC3289" t="s">
        <v>402</v>
      </c>
      <c r="DD3289" t="s">
        <v>403</v>
      </c>
      <c r="DG3289">
        <v>1627978</v>
      </c>
      <c r="DI3289">
        <v>1</v>
      </c>
      <c r="DJ3289">
        <v>0</v>
      </c>
      <c r="DK3289">
        <v>1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3">
      <c r="A3290" t="str">
        <f>"05/01/2025 15:13:41.191"</f>
        <v>05/01/2025 15:13:41.191</v>
      </c>
      <c r="C3290" t="str">
        <f t="shared" si="1292"/>
        <v>FFDFD3C0</v>
      </c>
      <c r="D3290" t="s">
        <v>124</v>
      </c>
      <c r="E3290" t="str">
        <f>"06"</f>
        <v>06</v>
      </c>
      <c r="F3290">
        <v>2006</v>
      </c>
      <c r="G3290" t="s">
        <v>125</v>
      </c>
      <c r="J3290" t="s">
        <v>126</v>
      </c>
      <c r="K3290">
        <v>0</v>
      </c>
      <c r="L3290">
        <v>3</v>
      </c>
      <c r="M3290">
        <v>0</v>
      </c>
      <c r="N3290">
        <v>2</v>
      </c>
      <c r="O3290">
        <v>0</v>
      </c>
      <c r="P3290">
        <v>1</v>
      </c>
      <c r="Q3290">
        <v>0</v>
      </c>
      <c r="R3290" t="s">
        <v>127</v>
      </c>
      <c r="S3290" t="str">
        <f t="shared" ref="S3290:T3295" si="1304">"15:13:40.000"</f>
        <v>15:13:40.000</v>
      </c>
      <c r="T3290" t="str">
        <f t="shared" si="1304"/>
        <v>15:13:40.000</v>
      </c>
      <c r="U3290" t="str">
        <f t="shared" si="1294"/>
        <v>A68FCB</v>
      </c>
      <c r="V3290">
        <v>0</v>
      </c>
      <c r="W3290">
        <v>0</v>
      </c>
      <c r="X3290">
        <v>2</v>
      </c>
      <c r="Y3290">
        <v>0</v>
      </c>
      <c r="AA3290">
        <v>1</v>
      </c>
      <c r="AB3290">
        <v>8</v>
      </c>
      <c r="AC3290">
        <v>3</v>
      </c>
      <c r="AD3290">
        <v>0</v>
      </c>
      <c r="AE3290">
        <v>9</v>
      </c>
      <c r="AF3290" t="s">
        <v>138</v>
      </c>
      <c r="AG3290">
        <v>0</v>
      </c>
      <c r="AH3290">
        <v>3</v>
      </c>
      <c r="AI3290">
        <v>2</v>
      </c>
      <c r="AJ3290">
        <v>0</v>
      </c>
      <c r="AK3290" t="s">
        <v>1098</v>
      </c>
      <c r="AL3290">
        <v>39.134545000000003</v>
      </c>
      <c r="AM3290" t="s">
        <v>1099</v>
      </c>
      <c r="AN3290">
        <v>-121.031077</v>
      </c>
      <c r="AO3290">
        <v>25</v>
      </c>
      <c r="AP3290">
        <v>4300</v>
      </c>
      <c r="AQ3290" t="s">
        <v>131</v>
      </c>
      <c r="AR3290">
        <v>1</v>
      </c>
      <c r="AS3290">
        <v>85</v>
      </c>
      <c r="AT3290">
        <v>-64</v>
      </c>
      <c r="BB3290" t="str">
        <f t="shared" si="1295"/>
        <v>1200</v>
      </c>
      <c r="BC3290">
        <v>1</v>
      </c>
      <c r="BD3290" t="str">
        <f t="shared" si="1296"/>
        <v xml:space="preserve">N52156  </v>
      </c>
      <c r="BE3290">
        <v>1</v>
      </c>
      <c r="BG3290">
        <v>0</v>
      </c>
      <c r="BH3290">
        <v>0</v>
      </c>
      <c r="BI3290">
        <v>0</v>
      </c>
      <c r="BJ3290">
        <v>4350</v>
      </c>
      <c r="BK3290">
        <v>50</v>
      </c>
      <c r="BL3290" t="s">
        <v>188</v>
      </c>
      <c r="BM3290">
        <v>1</v>
      </c>
      <c r="BN3290">
        <v>1</v>
      </c>
      <c r="BO3290">
        <v>0</v>
      </c>
      <c r="BP3290">
        <v>0</v>
      </c>
      <c r="BS3290">
        <v>0</v>
      </c>
      <c r="BT3290">
        <v>0</v>
      </c>
      <c r="BU3290">
        <v>0</v>
      </c>
      <c r="CE3290" t="str">
        <f t="shared" ref="CE3290:CE3295" si="1305">"15:13:40.982"</f>
        <v>15:13:40.982</v>
      </c>
      <c r="CF3290">
        <v>981984386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3</v>
      </c>
      <c r="CY3290">
        <v>7</v>
      </c>
      <c r="CZ3290" t="s">
        <v>133</v>
      </c>
      <c r="DA3290">
        <v>275</v>
      </c>
      <c r="DB3290">
        <v>0</v>
      </c>
      <c r="DC3290" t="s">
        <v>134</v>
      </c>
      <c r="DD3290" t="s">
        <v>135</v>
      </c>
      <c r="DG3290">
        <v>3322552</v>
      </c>
      <c r="DI3290">
        <v>1</v>
      </c>
      <c r="DJ3290">
        <v>0</v>
      </c>
      <c r="DK3290">
        <v>0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3">
      <c r="A3291" t="str">
        <f>"05/01/2025 15:13:41.192"</f>
        <v>05/01/2025 15:13:41.192</v>
      </c>
      <c r="C3291" t="str">
        <f t="shared" si="1292"/>
        <v>FFDFD3C0</v>
      </c>
      <c r="D3291" t="s">
        <v>140</v>
      </c>
      <c r="E3291" t="str">
        <f>"13"</f>
        <v>13</v>
      </c>
      <c r="F3291">
        <v>1019</v>
      </c>
      <c r="G3291" t="s">
        <v>141</v>
      </c>
      <c r="J3291" t="s">
        <v>142</v>
      </c>
      <c r="K3291">
        <v>0</v>
      </c>
      <c r="L3291">
        <v>3</v>
      </c>
      <c r="M3291">
        <v>0</v>
      </c>
      <c r="N3291">
        <v>2</v>
      </c>
      <c r="O3291">
        <v>0</v>
      </c>
      <c r="P3291">
        <v>1</v>
      </c>
      <c r="Q3291">
        <v>0</v>
      </c>
      <c r="R3291" t="s">
        <v>127</v>
      </c>
      <c r="S3291" t="str">
        <f t="shared" si="1304"/>
        <v>15:13:40.000</v>
      </c>
      <c r="T3291" t="str">
        <f t="shared" si="1304"/>
        <v>15:13:40.000</v>
      </c>
      <c r="U3291" t="str">
        <f t="shared" si="1294"/>
        <v>A68FCB</v>
      </c>
      <c r="V3291">
        <v>0</v>
      </c>
      <c r="W3291">
        <v>0</v>
      </c>
      <c r="X3291">
        <v>2</v>
      </c>
      <c r="Y3291">
        <v>0</v>
      </c>
      <c r="AA3291">
        <v>1</v>
      </c>
      <c r="AB3291">
        <v>8</v>
      </c>
      <c r="AC3291">
        <v>3</v>
      </c>
      <c r="AD3291">
        <v>0</v>
      </c>
      <c r="AE3291">
        <v>9</v>
      </c>
      <c r="AF3291" t="s">
        <v>138</v>
      </c>
      <c r="AG3291">
        <v>0</v>
      </c>
      <c r="AH3291">
        <v>3</v>
      </c>
      <c r="AI3291">
        <v>2</v>
      </c>
      <c r="AJ3291">
        <v>0</v>
      </c>
      <c r="AK3291" t="s">
        <v>1098</v>
      </c>
      <c r="AL3291">
        <v>39.134545000000003</v>
      </c>
      <c r="AM3291" t="s">
        <v>1099</v>
      </c>
      <c r="AN3291">
        <v>-121.031077</v>
      </c>
      <c r="AO3291">
        <v>25</v>
      </c>
      <c r="AP3291">
        <v>4300</v>
      </c>
      <c r="AQ3291" t="s">
        <v>131</v>
      </c>
      <c r="AR3291">
        <v>1</v>
      </c>
      <c r="AS3291">
        <v>85</v>
      </c>
      <c r="AT3291">
        <v>-64</v>
      </c>
      <c r="BB3291" t="str">
        <f t="shared" si="1295"/>
        <v>1200</v>
      </c>
      <c r="BC3291">
        <v>1</v>
      </c>
      <c r="BD3291" t="str">
        <f t="shared" si="1296"/>
        <v xml:space="preserve">N52156  </v>
      </c>
      <c r="BE3291">
        <v>1</v>
      </c>
      <c r="BG3291">
        <v>0</v>
      </c>
      <c r="BH3291">
        <v>0</v>
      </c>
      <c r="BI3291">
        <v>0</v>
      </c>
      <c r="BJ3291">
        <v>4350</v>
      </c>
      <c r="BK3291">
        <v>50</v>
      </c>
      <c r="BL3291" t="s">
        <v>188</v>
      </c>
      <c r="BM3291">
        <v>1</v>
      </c>
      <c r="BN3291">
        <v>1</v>
      </c>
      <c r="BO3291">
        <v>0</v>
      </c>
      <c r="BP3291">
        <v>0</v>
      </c>
      <c r="BS3291">
        <v>0</v>
      </c>
      <c r="BT3291">
        <v>0</v>
      </c>
      <c r="BU3291">
        <v>0</v>
      </c>
      <c r="CE3291" t="str">
        <f t="shared" si="1305"/>
        <v>15:13:40.982</v>
      </c>
      <c r="CF3291">
        <v>981984386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3</v>
      </c>
      <c r="CY3291">
        <v>7</v>
      </c>
      <c r="CZ3291" t="s">
        <v>133</v>
      </c>
      <c r="DA3291">
        <v>275</v>
      </c>
      <c r="DB3291">
        <v>0</v>
      </c>
      <c r="DC3291" t="s">
        <v>134</v>
      </c>
      <c r="DD3291" t="s">
        <v>135</v>
      </c>
      <c r="DG3291">
        <v>3322552</v>
      </c>
      <c r="DI3291">
        <v>1</v>
      </c>
      <c r="DJ3291">
        <v>0</v>
      </c>
      <c r="DK3291">
        <v>1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3">
      <c r="A3292" t="str">
        <f>"05/01/2025 15:13:41.204"</f>
        <v>05/01/2025 15:13:41.204</v>
      </c>
      <c r="C3292" t="str">
        <f t="shared" si="1292"/>
        <v>FFDFD3C0</v>
      </c>
      <c r="D3292" t="s">
        <v>145</v>
      </c>
      <c r="E3292" t="str">
        <f>"09"</f>
        <v>09</v>
      </c>
      <c r="H3292">
        <v>51</v>
      </c>
      <c r="I3292" t="s">
        <v>147</v>
      </c>
      <c r="J3292" t="s">
        <v>138</v>
      </c>
      <c r="K3292">
        <v>0</v>
      </c>
      <c r="L3292">
        <v>3</v>
      </c>
      <c r="M3292">
        <v>0</v>
      </c>
      <c r="N3292">
        <v>2</v>
      </c>
      <c r="O3292">
        <v>0</v>
      </c>
      <c r="P3292">
        <v>1</v>
      </c>
      <c r="Q3292">
        <v>0</v>
      </c>
      <c r="R3292" t="s">
        <v>127</v>
      </c>
      <c r="S3292" t="str">
        <f t="shared" si="1304"/>
        <v>15:13:40.000</v>
      </c>
      <c r="T3292" t="str">
        <f t="shared" si="1304"/>
        <v>15:13:40.000</v>
      </c>
      <c r="U3292" t="str">
        <f t="shared" si="1294"/>
        <v>A68FCB</v>
      </c>
      <c r="V3292">
        <v>0</v>
      </c>
      <c r="W3292">
        <v>0</v>
      </c>
      <c r="X3292">
        <v>2</v>
      </c>
      <c r="Y3292">
        <v>0</v>
      </c>
      <c r="AA3292">
        <v>1</v>
      </c>
      <c r="AB3292">
        <v>8</v>
      </c>
      <c r="AC3292">
        <v>3</v>
      </c>
      <c r="AD3292">
        <v>0</v>
      </c>
      <c r="AE3292">
        <v>9</v>
      </c>
      <c r="AF3292" t="s">
        <v>138</v>
      </c>
      <c r="AG3292">
        <v>0</v>
      </c>
      <c r="AH3292">
        <v>3</v>
      </c>
      <c r="AI3292">
        <v>2</v>
      </c>
      <c r="AJ3292">
        <v>0</v>
      </c>
      <c r="AK3292" t="s">
        <v>1098</v>
      </c>
      <c r="AL3292">
        <v>39.134545000000003</v>
      </c>
      <c r="AM3292" t="s">
        <v>1099</v>
      </c>
      <c r="AN3292">
        <v>-121.031077</v>
      </c>
      <c r="AO3292">
        <v>25</v>
      </c>
      <c r="AP3292">
        <v>4300</v>
      </c>
      <c r="AQ3292" t="s">
        <v>131</v>
      </c>
      <c r="AR3292">
        <v>1</v>
      </c>
      <c r="AS3292">
        <v>85</v>
      </c>
      <c r="AT3292">
        <v>-64</v>
      </c>
      <c r="BB3292" t="str">
        <f t="shared" si="1295"/>
        <v>1200</v>
      </c>
      <c r="BC3292">
        <v>1</v>
      </c>
      <c r="BD3292" t="str">
        <f t="shared" si="1296"/>
        <v xml:space="preserve">N52156  </v>
      </c>
      <c r="BE3292">
        <v>1</v>
      </c>
      <c r="BG3292">
        <v>0</v>
      </c>
      <c r="BH3292">
        <v>0</v>
      </c>
      <c r="BI3292">
        <v>0</v>
      </c>
      <c r="BJ3292">
        <v>4350</v>
      </c>
      <c r="BK3292">
        <v>50</v>
      </c>
      <c r="BL3292" t="s">
        <v>188</v>
      </c>
      <c r="BM3292">
        <v>1</v>
      </c>
      <c r="BN3292">
        <v>1</v>
      </c>
      <c r="BO3292">
        <v>0</v>
      </c>
      <c r="BP3292">
        <v>0</v>
      </c>
      <c r="BS3292">
        <v>0</v>
      </c>
      <c r="BT3292">
        <v>0</v>
      </c>
      <c r="BU3292">
        <v>0</v>
      </c>
      <c r="CE3292" t="str">
        <f t="shared" si="1305"/>
        <v>15:13:40.982</v>
      </c>
      <c r="CF3292">
        <v>981984386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3</v>
      </c>
      <c r="CY3292">
        <v>7</v>
      </c>
      <c r="CZ3292" t="s">
        <v>133</v>
      </c>
      <c r="DA3292">
        <v>275</v>
      </c>
      <c r="DB3292">
        <v>0</v>
      </c>
      <c r="DC3292" t="s">
        <v>134</v>
      </c>
      <c r="DD3292" t="s">
        <v>135</v>
      </c>
      <c r="DG3292">
        <v>3322552</v>
      </c>
      <c r="DI3292">
        <v>1</v>
      </c>
      <c r="DJ3292">
        <v>0</v>
      </c>
      <c r="DK3292">
        <v>1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3">
      <c r="A3293" t="str">
        <f>"05/01/2025 15:13:41.206"</f>
        <v>05/01/2025 15:13:41.206</v>
      </c>
      <c r="C3293" t="str">
        <f t="shared" si="1292"/>
        <v>FFDFD3C0</v>
      </c>
      <c r="D3293" t="s">
        <v>145</v>
      </c>
      <c r="E3293" t="str">
        <f>"05"</f>
        <v>05</v>
      </c>
      <c r="H3293">
        <v>47</v>
      </c>
      <c r="I3293" t="s">
        <v>146</v>
      </c>
      <c r="J3293" t="s">
        <v>138</v>
      </c>
      <c r="K3293">
        <v>0</v>
      </c>
      <c r="L3293">
        <v>3</v>
      </c>
      <c r="M3293">
        <v>0</v>
      </c>
      <c r="N3293">
        <v>2</v>
      </c>
      <c r="O3293">
        <v>0</v>
      </c>
      <c r="P3293">
        <v>1</v>
      </c>
      <c r="Q3293">
        <v>0</v>
      </c>
      <c r="R3293" t="s">
        <v>127</v>
      </c>
      <c r="S3293" t="str">
        <f t="shared" si="1304"/>
        <v>15:13:40.000</v>
      </c>
      <c r="T3293" t="str">
        <f t="shared" si="1304"/>
        <v>15:13:40.000</v>
      </c>
      <c r="U3293" t="str">
        <f t="shared" si="1294"/>
        <v>A68FCB</v>
      </c>
      <c r="V3293">
        <v>0</v>
      </c>
      <c r="W3293">
        <v>0</v>
      </c>
      <c r="X3293">
        <v>2</v>
      </c>
      <c r="Y3293">
        <v>0</v>
      </c>
      <c r="AA3293">
        <v>1</v>
      </c>
      <c r="AB3293">
        <v>8</v>
      </c>
      <c r="AC3293">
        <v>3</v>
      </c>
      <c r="AD3293">
        <v>0</v>
      </c>
      <c r="AE3293">
        <v>9</v>
      </c>
      <c r="AF3293" t="s">
        <v>138</v>
      </c>
      <c r="AG3293">
        <v>0</v>
      </c>
      <c r="AH3293">
        <v>3</v>
      </c>
      <c r="AI3293">
        <v>2</v>
      </c>
      <c r="AJ3293">
        <v>0</v>
      </c>
      <c r="AK3293" t="s">
        <v>1098</v>
      </c>
      <c r="AL3293">
        <v>39.134545000000003</v>
      </c>
      <c r="AM3293" t="s">
        <v>1099</v>
      </c>
      <c r="AN3293">
        <v>-121.031077</v>
      </c>
      <c r="AO3293">
        <v>25</v>
      </c>
      <c r="AP3293">
        <v>4300</v>
      </c>
      <c r="AQ3293" t="s">
        <v>131</v>
      </c>
      <c r="AR3293">
        <v>1</v>
      </c>
      <c r="AS3293">
        <v>85</v>
      </c>
      <c r="AT3293">
        <v>-64</v>
      </c>
      <c r="BB3293" t="str">
        <f t="shared" si="1295"/>
        <v>1200</v>
      </c>
      <c r="BC3293">
        <v>1</v>
      </c>
      <c r="BD3293" t="str">
        <f t="shared" si="1296"/>
        <v xml:space="preserve">N52156  </v>
      </c>
      <c r="BE3293">
        <v>1</v>
      </c>
      <c r="BG3293">
        <v>0</v>
      </c>
      <c r="BH3293">
        <v>0</v>
      </c>
      <c r="BI3293">
        <v>0</v>
      </c>
      <c r="BJ3293">
        <v>4350</v>
      </c>
      <c r="BK3293">
        <v>50</v>
      </c>
      <c r="BL3293" t="s">
        <v>188</v>
      </c>
      <c r="BM3293">
        <v>1</v>
      </c>
      <c r="BN3293">
        <v>1</v>
      </c>
      <c r="BO3293">
        <v>0</v>
      </c>
      <c r="BP3293">
        <v>0</v>
      </c>
      <c r="BS3293">
        <v>0</v>
      </c>
      <c r="BT3293">
        <v>0</v>
      </c>
      <c r="BU3293">
        <v>0</v>
      </c>
      <c r="CE3293" t="str">
        <f t="shared" si="1305"/>
        <v>15:13:40.982</v>
      </c>
      <c r="CF3293">
        <v>981984386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3</v>
      </c>
      <c r="CY3293">
        <v>7</v>
      </c>
      <c r="CZ3293" t="s">
        <v>133</v>
      </c>
      <c r="DA3293">
        <v>275</v>
      </c>
      <c r="DB3293">
        <v>0</v>
      </c>
      <c r="DC3293" t="s">
        <v>134</v>
      </c>
      <c r="DD3293" t="s">
        <v>135</v>
      </c>
      <c r="DG3293">
        <v>3322552</v>
      </c>
      <c r="DI3293">
        <v>1</v>
      </c>
      <c r="DJ3293">
        <v>0</v>
      </c>
      <c r="DK3293">
        <v>1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3">
      <c r="A3294" t="str">
        <f>"05/01/2025 15:13:41.218"</f>
        <v>05/01/2025 15:13:41.218</v>
      </c>
      <c r="C3294" t="str">
        <f t="shared" si="1292"/>
        <v>FFDFD3C0</v>
      </c>
      <c r="D3294" t="s">
        <v>136</v>
      </c>
      <c r="E3294" t="str">
        <f>"20"</f>
        <v>20</v>
      </c>
      <c r="H3294">
        <v>400</v>
      </c>
      <c r="I3294" t="s">
        <v>137</v>
      </c>
      <c r="J3294" t="s">
        <v>138</v>
      </c>
      <c r="K3294">
        <v>0</v>
      </c>
      <c r="L3294">
        <v>3</v>
      </c>
      <c r="M3294">
        <v>0</v>
      </c>
      <c r="N3294">
        <v>2</v>
      </c>
      <c r="O3294">
        <v>0</v>
      </c>
      <c r="P3294">
        <v>1</v>
      </c>
      <c r="Q3294">
        <v>0</v>
      </c>
      <c r="R3294" t="s">
        <v>127</v>
      </c>
      <c r="S3294" t="str">
        <f t="shared" si="1304"/>
        <v>15:13:40.000</v>
      </c>
      <c r="T3294" t="str">
        <f t="shared" si="1304"/>
        <v>15:13:40.000</v>
      </c>
      <c r="U3294" t="str">
        <f t="shared" si="1294"/>
        <v>A68FCB</v>
      </c>
      <c r="V3294">
        <v>0</v>
      </c>
      <c r="W3294">
        <v>0</v>
      </c>
      <c r="X3294">
        <v>2</v>
      </c>
      <c r="Y3294">
        <v>0</v>
      </c>
      <c r="AA3294">
        <v>1</v>
      </c>
      <c r="AB3294">
        <v>8</v>
      </c>
      <c r="AC3294">
        <v>3</v>
      </c>
      <c r="AD3294">
        <v>0</v>
      </c>
      <c r="AE3294">
        <v>9</v>
      </c>
      <c r="AF3294" t="s">
        <v>138</v>
      </c>
      <c r="AG3294">
        <v>0</v>
      </c>
      <c r="AH3294">
        <v>3</v>
      </c>
      <c r="AI3294">
        <v>2</v>
      </c>
      <c r="AJ3294">
        <v>0</v>
      </c>
      <c r="AK3294" t="s">
        <v>1098</v>
      </c>
      <c r="AL3294">
        <v>39.134545000000003</v>
      </c>
      <c r="AM3294" t="s">
        <v>1099</v>
      </c>
      <c r="AN3294">
        <v>-121.031077</v>
      </c>
      <c r="AO3294">
        <v>25</v>
      </c>
      <c r="AP3294">
        <v>4300</v>
      </c>
      <c r="AQ3294" t="s">
        <v>131</v>
      </c>
      <c r="AR3294">
        <v>1</v>
      </c>
      <c r="AS3294">
        <v>85</v>
      </c>
      <c r="AT3294">
        <v>-64</v>
      </c>
      <c r="BB3294" t="str">
        <f t="shared" si="1295"/>
        <v>1200</v>
      </c>
      <c r="BC3294">
        <v>1</v>
      </c>
      <c r="BD3294" t="str">
        <f t="shared" si="1296"/>
        <v xml:space="preserve">N52156  </v>
      </c>
      <c r="BE3294">
        <v>1</v>
      </c>
      <c r="BG3294">
        <v>0</v>
      </c>
      <c r="BH3294">
        <v>0</v>
      </c>
      <c r="BI3294">
        <v>0</v>
      </c>
      <c r="BJ3294">
        <v>4350</v>
      </c>
      <c r="BK3294">
        <v>50</v>
      </c>
      <c r="BL3294" t="s">
        <v>188</v>
      </c>
      <c r="BM3294">
        <v>1</v>
      </c>
      <c r="BN3294">
        <v>1</v>
      </c>
      <c r="BO3294">
        <v>0</v>
      </c>
      <c r="BP3294">
        <v>0</v>
      </c>
      <c r="BS3294">
        <v>0</v>
      </c>
      <c r="BT3294">
        <v>0</v>
      </c>
      <c r="BU3294">
        <v>0</v>
      </c>
      <c r="CE3294" t="str">
        <f t="shared" si="1305"/>
        <v>15:13:40.982</v>
      </c>
      <c r="CF3294">
        <v>981984386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3</v>
      </c>
      <c r="CY3294">
        <v>7</v>
      </c>
      <c r="CZ3294" t="s">
        <v>133</v>
      </c>
      <c r="DA3294">
        <v>275</v>
      </c>
      <c r="DB3294">
        <v>0</v>
      </c>
      <c r="DC3294" t="s">
        <v>134</v>
      </c>
      <c r="DD3294" t="s">
        <v>135</v>
      </c>
      <c r="DG3294">
        <v>3322552</v>
      </c>
      <c r="DI3294">
        <v>1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3">
      <c r="A3295" t="str">
        <f>"05/01/2025 15:13:41.228"</f>
        <v>05/01/2025 15:13:41.228</v>
      </c>
      <c r="C3295" t="str">
        <f t="shared" si="1292"/>
        <v>FFDFD3C0</v>
      </c>
      <c r="D3295" t="s">
        <v>143</v>
      </c>
      <c r="E3295" t="str">
        <f>"05"</f>
        <v>05</v>
      </c>
      <c r="H3295">
        <v>172</v>
      </c>
      <c r="I3295" t="s">
        <v>141</v>
      </c>
      <c r="J3295" t="s">
        <v>144</v>
      </c>
      <c r="K3295">
        <v>0</v>
      </c>
      <c r="L3295">
        <v>3</v>
      </c>
      <c r="M3295">
        <v>0</v>
      </c>
      <c r="N3295">
        <v>2</v>
      </c>
      <c r="O3295">
        <v>0</v>
      </c>
      <c r="P3295">
        <v>1</v>
      </c>
      <c r="Q3295">
        <v>0</v>
      </c>
      <c r="R3295" t="s">
        <v>127</v>
      </c>
      <c r="S3295" t="str">
        <f t="shared" si="1304"/>
        <v>15:13:40.000</v>
      </c>
      <c r="T3295" t="str">
        <f t="shared" si="1304"/>
        <v>15:13:40.000</v>
      </c>
      <c r="U3295" t="str">
        <f t="shared" si="1294"/>
        <v>A68FCB</v>
      </c>
      <c r="V3295">
        <v>0</v>
      </c>
      <c r="W3295">
        <v>0</v>
      </c>
      <c r="X3295">
        <v>2</v>
      </c>
      <c r="Y3295">
        <v>0</v>
      </c>
      <c r="AA3295">
        <v>1</v>
      </c>
      <c r="AB3295">
        <v>8</v>
      </c>
      <c r="AC3295">
        <v>3</v>
      </c>
      <c r="AD3295">
        <v>0</v>
      </c>
      <c r="AE3295">
        <v>9</v>
      </c>
      <c r="AF3295" t="s">
        <v>138</v>
      </c>
      <c r="AG3295">
        <v>0</v>
      </c>
      <c r="AH3295">
        <v>3</v>
      </c>
      <c r="AI3295">
        <v>2</v>
      </c>
      <c r="AJ3295">
        <v>0</v>
      </c>
      <c r="AK3295" t="s">
        <v>1098</v>
      </c>
      <c r="AL3295">
        <v>39.134545000000003</v>
      </c>
      <c r="AM3295" t="s">
        <v>1099</v>
      </c>
      <c r="AN3295">
        <v>-121.031077</v>
      </c>
      <c r="AO3295">
        <v>25</v>
      </c>
      <c r="AP3295">
        <v>4300</v>
      </c>
      <c r="AQ3295" t="s">
        <v>131</v>
      </c>
      <c r="AR3295">
        <v>1</v>
      </c>
      <c r="AS3295">
        <v>85</v>
      </c>
      <c r="AT3295">
        <v>-64</v>
      </c>
      <c r="BB3295" t="str">
        <f t="shared" si="1295"/>
        <v>1200</v>
      </c>
      <c r="BC3295">
        <v>1</v>
      </c>
      <c r="BD3295" t="str">
        <f t="shared" si="1296"/>
        <v xml:space="preserve">N52156  </v>
      </c>
      <c r="BE3295">
        <v>1</v>
      </c>
      <c r="BG3295">
        <v>0</v>
      </c>
      <c r="BH3295">
        <v>0</v>
      </c>
      <c r="BI3295">
        <v>0</v>
      </c>
      <c r="BJ3295">
        <v>4350</v>
      </c>
      <c r="BK3295">
        <v>50</v>
      </c>
      <c r="BL3295" t="s">
        <v>188</v>
      </c>
      <c r="BM3295">
        <v>1</v>
      </c>
      <c r="BN3295">
        <v>1</v>
      </c>
      <c r="BO3295">
        <v>0</v>
      </c>
      <c r="BP3295">
        <v>0</v>
      </c>
      <c r="BS3295">
        <v>0</v>
      </c>
      <c r="BT3295">
        <v>0</v>
      </c>
      <c r="BU3295">
        <v>0</v>
      </c>
      <c r="CE3295" t="str">
        <f t="shared" si="1305"/>
        <v>15:13:40.982</v>
      </c>
      <c r="CF3295">
        <v>981984386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3</v>
      </c>
      <c r="CY3295">
        <v>7</v>
      </c>
      <c r="CZ3295" t="s">
        <v>133</v>
      </c>
      <c r="DA3295">
        <v>275</v>
      </c>
      <c r="DB3295">
        <v>0</v>
      </c>
      <c r="DC3295" t="s">
        <v>134</v>
      </c>
      <c r="DD3295" t="s">
        <v>135</v>
      </c>
      <c r="DG3295">
        <v>3322552</v>
      </c>
      <c r="DI3295">
        <v>1</v>
      </c>
      <c r="DJ3295">
        <v>0</v>
      </c>
      <c r="DK3295">
        <v>1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3">
      <c r="A3296" t="str">
        <f>"05/01/2025 15:13:42.144"</f>
        <v>05/01/2025 15:13:42.144</v>
      </c>
      <c r="C3296" t="str">
        <f t="shared" si="1292"/>
        <v>FFDFD3C0</v>
      </c>
      <c r="D3296" t="s">
        <v>124</v>
      </c>
      <c r="E3296" t="str">
        <f>"06"</f>
        <v>06</v>
      </c>
      <c r="F3296">
        <v>2006</v>
      </c>
      <c r="G3296" t="s">
        <v>125</v>
      </c>
      <c r="J3296" t="s">
        <v>126</v>
      </c>
      <c r="K3296">
        <v>0</v>
      </c>
      <c r="L3296">
        <v>3</v>
      </c>
      <c r="M3296">
        <v>0</v>
      </c>
      <c r="N3296">
        <v>2</v>
      </c>
      <c r="O3296">
        <v>0</v>
      </c>
      <c r="P3296">
        <v>1</v>
      </c>
      <c r="Q3296">
        <v>0</v>
      </c>
      <c r="R3296" t="s">
        <v>127</v>
      </c>
      <c r="S3296" t="str">
        <f t="shared" ref="S3296:T3301" si="1306">"15:13:41.000"</f>
        <v>15:13:41.000</v>
      </c>
      <c r="T3296" t="str">
        <f t="shared" si="1306"/>
        <v>15:13:41.000</v>
      </c>
      <c r="U3296" t="str">
        <f t="shared" si="1294"/>
        <v>A68FCB</v>
      </c>
      <c r="V3296">
        <v>0</v>
      </c>
      <c r="W3296">
        <v>0</v>
      </c>
      <c r="X3296">
        <v>2</v>
      </c>
      <c r="Y3296">
        <v>0</v>
      </c>
      <c r="AA3296">
        <v>1</v>
      </c>
      <c r="AB3296">
        <v>8</v>
      </c>
      <c r="AC3296">
        <v>3</v>
      </c>
      <c r="AD3296">
        <v>0</v>
      </c>
      <c r="AE3296">
        <v>9</v>
      </c>
      <c r="AF3296" t="s">
        <v>138</v>
      </c>
      <c r="AG3296">
        <v>0</v>
      </c>
      <c r="AH3296">
        <v>3</v>
      </c>
      <c r="AI3296">
        <v>2</v>
      </c>
      <c r="AJ3296">
        <v>0</v>
      </c>
      <c r="AK3296" t="s">
        <v>1100</v>
      </c>
      <c r="AL3296">
        <v>39.134931999999999</v>
      </c>
      <c r="AM3296" t="s">
        <v>1099</v>
      </c>
      <c r="AN3296">
        <v>-121.031077</v>
      </c>
      <c r="AO3296">
        <v>25</v>
      </c>
      <c r="AP3296">
        <v>4300</v>
      </c>
      <c r="AQ3296" t="s">
        <v>131</v>
      </c>
      <c r="AR3296">
        <v>2</v>
      </c>
      <c r="AS3296">
        <v>85</v>
      </c>
      <c r="AT3296">
        <v>0</v>
      </c>
      <c r="BB3296" t="str">
        <f t="shared" si="1295"/>
        <v>1200</v>
      </c>
      <c r="BC3296">
        <v>1</v>
      </c>
      <c r="BD3296" t="str">
        <f t="shared" si="1296"/>
        <v xml:space="preserve">N52156  </v>
      </c>
      <c r="BE3296">
        <v>1</v>
      </c>
      <c r="BG3296">
        <v>0</v>
      </c>
      <c r="BH3296">
        <v>0</v>
      </c>
      <c r="BI3296">
        <v>0</v>
      </c>
      <c r="BJ3296">
        <v>4350</v>
      </c>
      <c r="BK3296">
        <v>50</v>
      </c>
      <c r="BL3296" t="s">
        <v>188</v>
      </c>
      <c r="BM3296">
        <v>1</v>
      </c>
      <c r="BN3296">
        <v>1</v>
      </c>
      <c r="BO3296">
        <v>0</v>
      </c>
      <c r="BP3296">
        <v>0</v>
      </c>
      <c r="BS3296">
        <v>0</v>
      </c>
      <c r="BT3296">
        <v>0</v>
      </c>
      <c r="BU3296">
        <v>0</v>
      </c>
      <c r="CE3296" t="str">
        <f t="shared" ref="CE3296:CE3301" si="1307">"15:13:41.940"</f>
        <v>15:13:41.940</v>
      </c>
      <c r="CF3296">
        <v>939734356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3</v>
      </c>
      <c r="CY3296">
        <v>7</v>
      </c>
      <c r="CZ3296" t="s">
        <v>133</v>
      </c>
      <c r="DA3296">
        <v>275</v>
      </c>
      <c r="DB3296">
        <v>0</v>
      </c>
      <c r="DC3296" t="s">
        <v>134</v>
      </c>
      <c r="DD3296" t="s">
        <v>135</v>
      </c>
      <c r="DG3296">
        <v>3322557</v>
      </c>
      <c r="DI3296">
        <v>1</v>
      </c>
      <c r="DJ3296">
        <v>0</v>
      </c>
      <c r="DK3296">
        <v>0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3">
      <c r="A3297" t="str">
        <f>"05/01/2025 15:13:42.144"</f>
        <v>05/01/2025 15:13:42.144</v>
      </c>
      <c r="C3297" t="str">
        <f t="shared" si="1292"/>
        <v>FFDFD3C0</v>
      </c>
      <c r="D3297" t="s">
        <v>140</v>
      </c>
      <c r="E3297" t="str">
        <f>"13"</f>
        <v>13</v>
      </c>
      <c r="F3297">
        <v>1019</v>
      </c>
      <c r="G3297" t="s">
        <v>141</v>
      </c>
      <c r="J3297" t="s">
        <v>142</v>
      </c>
      <c r="K3297">
        <v>0</v>
      </c>
      <c r="L3297">
        <v>3</v>
      </c>
      <c r="M3297">
        <v>0</v>
      </c>
      <c r="N3297">
        <v>2</v>
      </c>
      <c r="O3297">
        <v>0</v>
      </c>
      <c r="P3297">
        <v>1</v>
      </c>
      <c r="Q3297">
        <v>0</v>
      </c>
      <c r="R3297" t="s">
        <v>127</v>
      </c>
      <c r="S3297" t="str">
        <f t="shared" si="1306"/>
        <v>15:13:41.000</v>
      </c>
      <c r="T3297" t="str">
        <f t="shared" si="1306"/>
        <v>15:13:41.000</v>
      </c>
      <c r="U3297" t="str">
        <f t="shared" si="1294"/>
        <v>A68FCB</v>
      </c>
      <c r="V3297">
        <v>0</v>
      </c>
      <c r="W3297">
        <v>0</v>
      </c>
      <c r="X3297">
        <v>2</v>
      </c>
      <c r="Y3297">
        <v>0</v>
      </c>
      <c r="AA3297">
        <v>1</v>
      </c>
      <c r="AB3297">
        <v>8</v>
      </c>
      <c r="AC3297">
        <v>3</v>
      </c>
      <c r="AD3297">
        <v>0</v>
      </c>
      <c r="AE3297">
        <v>9</v>
      </c>
      <c r="AF3297" t="s">
        <v>138</v>
      </c>
      <c r="AG3297">
        <v>0</v>
      </c>
      <c r="AH3297">
        <v>3</v>
      </c>
      <c r="AI3297">
        <v>2</v>
      </c>
      <c r="AJ3297">
        <v>0</v>
      </c>
      <c r="AK3297" t="s">
        <v>1100</v>
      </c>
      <c r="AL3297">
        <v>39.134931999999999</v>
      </c>
      <c r="AM3297" t="s">
        <v>1099</v>
      </c>
      <c r="AN3297">
        <v>-121.031077</v>
      </c>
      <c r="AO3297">
        <v>25</v>
      </c>
      <c r="AP3297">
        <v>4300</v>
      </c>
      <c r="AQ3297" t="s">
        <v>131</v>
      </c>
      <c r="AR3297">
        <v>2</v>
      </c>
      <c r="AS3297">
        <v>85</v>
      </c>
      <c r="AT3297">
        <v>0</v>
      </c>
      <c r="BB3297" t="str">
        <f t="shared" si="1295"/>
        <v>1200</v>
      </c>
      <c r="BC3297">
        <v>1</v>
      </c>
      <c r="BD3297" t="str">
        <f t="shared" si="1296"/>
        <v xml:space="preserve">N52156  </v>
      </c>
      <c r="BE3297">
        <v>1</v>
      </c>
      <c r="BG3297">
        <v>0</v>
      </c>
      <c r="BH3297">
        <v>0</v>
      </c>
      <c r="BI3297">
        <v>0</v>
      </c>
      <c r="BJ3297">
        <v>4350</v>
      </c>
      <c r="BK3297">
        <v>50</v>
      </c>
      <c r="BL3297" t="s">
        <v>188</v>
      </c>
      <c r="BM3297">
        <v>1</v>
      </c>
      <c r="BN3297">
        <v>1</v>
      </c>
      <c r="BO3297">
        <v>0</v>
      </c>
      <c r="BP3297">
        <v>0</v>
      </c>
      <c r="BS3297">
        <v>0</v>
      </c>
      <c r="BT3297">
        <v>0</v>
      </c>
      <c r="BU3297">
        <v>0</v>
      </c>
      <c r="CE3297" t="str">
        <f t="shared" si="1307"/>
        <v>15:13:41.940</v>
      </c>
      <c r="CF3297">
        <v>939734356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3</v>
      </c>
      <c r="CY3297">
        <v>7</v>
      </c>
      <c r="CZ3297" t="s">
        <v>133</v>
      </c>
      <c r="DA3297">
        <v>275</v>
      </c>
      <c r="DB3297">
        <v>0</v>
      </c>
      <c r="DC3297" t="s">
        <v>134</v>
      </c>
      <c r="DD3297" t="s">
        <v>135</v>
      </c>
      <c r="DG3297">
        <v>3322557</v>
      </c>
      <c r="DI3297">
        <v>1</v>
      </c>
      <c r="DJ3297">
        <v>0</v>
      </c>
      <c r="DK3297">
        <v>1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3">
      <c r="A3298" t="str">
        <f>"05/01/2025 15:13:42.158"</f>
        <v>05/01/2025 15:13:42.158</v>
      </c>
      <c r="C3298" t="str">
        <f t="shared" si="1292"/>
        <v>FFDFD3C0</v>
      </c>
      <c r="D3298" t="s">
        <v>145</v>
      </c>
      <c r="E3298" t="str">
        <f>"05"</f>
        <v>05</v>
      </c>
      <c r="H3298">
        <v>47</v>
      </c>
      <c r="I3298" t="s">
        <v>146</v>
      </c>
      <c r="J3298" t="s">
        <v>138</v>
      </c>
      <c r="K3298">
        <v>0</v>
      </c>
      <c r="L3298">
        <v>3</v>
      </c>
      <c r="M3298">
        <v>0</v>
      </c>
      <c r="N3298">
        <v>2</v>
      </c>
      <c r="O3298">
        <v>0</v>
      </c>
      <c r="P3298">
        <v>1</v>
      </c>
      <c r="Q3298">
        <v>0</v>
      </c>
      <c r="R3298" t="s">
        <v>127</v>
      </c>
      <c r="S3298" t="str">
        <f t="shared" si="1306"/>
        <v>15:13:41.000</v>
      </c>
      <c r="T3298" t="str">
        <f t="shared" si="1306"/>
        <v>15:13:41.000</v>
      </c>
      <c r="U3298" t="str">
        <f t="shared" si="1294"/>
        <v>A68FCB</v>
      </c>
      <c r="V3298">
        <v>0</v>
      </c>
      <c r="W3298">
        <v>0</v>
      </c>
      <c r="X3298">
        <v>2</v>
      </c>
      <c r="Y3298">
        <v>0</v>
      </c>
      <c r="AA3298">
        <v>1</v>
      </c>
      <c r="AB3298">
        <v>8</v>
      </c>
      <c r="AC3298">
        <v>3</v>
      </c>
      <c r="AD3298">
        <v>0</v>
      </c>
      <c r="AE3298">
        <v>9</v>
      </c>
      <c r="AF3298" t="s">
        <v>138</v>
      </c>
      <c r="AG3298">
        <v>0</v>
      </c>
      <c r="AH3298">
        <v>3</v>
      </c>
      <c r="AI3298">
        <v>2</v>
      </c>
      <c r="AJ3298">
        <v>0</v>
      </c>
      <c r="AK3298" t="s">
        <v>1100</v>
      </c>
      <c r="AL3298">
        <v>39.134931999999999</v>
      </c>
      <c r="AM3298" t="s">
        <v>1099</v>
      </c>
      <c r="AN3298">
        <v>-121.031077</v>
      </c>
      <c r="AO3298">
        <v>25</v>
      </c>
      <c r="AP3298">
        <v>4300</v>
      </c>
      <c r="AQ3298" t="s">
        <v>131</v>
      </c>
      <c r="AR3298">
        <v>2</v>
      </c>
      <c r="AS3298">
        <v>85</v>
      </c>
      <c r="AT3298">
        <v>0</v>
      </c>
      <c r="BB3298" t="str">
        <f t="shared" si="1295"/>
        <v>1200</v>
      </c>
      <c r="BC3298">
        <v>1</v>
      </c>
      <c r="BD3298" t="str">
        <f t="shared" si="1296"/>
        <v xml:space="preserve">N52156  </v>
      </c>
      <c r="BE3298">
        <v>1</v>
      </c>
      <c r="BG3298">
        <v>0</v>
      </c>
      <c r="BH3298">
        <v>0</v>
      </c>
      <c r="BI3298">
        <v>0</v>
      </c>
      <c r="BJ3298">
        <v>4350</v>
      </c>
      <c r="BK3298">
        <v>50</v>
      </c>
      <c r="BL3298" t="s">
        <v>188</v>
      </c>
      <c r="BM3298">
        <v>1</v>
      </c>
      <c r="BN3298">
        <v>1</v>
      </c>
      <c r="BO3298">
        <v>0</v>
      </c>
      <c r="BP3298">
        <v>0</v>
      </c>
      <c r="BS3298">
        <v>0</v>
      </c>
      <c r="BT3298">
        <v>0</v>
      </c>
      <c r="BU3298">
        <v>0</v>
      </c>
      <c r="CE3298" t="str">
        <f t="shared" si="1307"/>
        <v>15:13:41.940</v>
      </c>
      <c r="CF3298">
        <v>939734356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3</v>
      </c>
      <c r="CY3298">
        <v>7</v>
      </c>
      <c r="CZ3298" t="s">
        <v>133</v>
      </c>
      <c r="DA3298">
        <v>275</v>
      </c>
      <c r="DB3298">
        <v>0</v>
      </c>
      <c r="DC3298" t="s">
        <v>134</v>
      </c>
      <c r="DD3298" t="s">
        <v>135</v>
      </c>
      <c r="DG3298">
        <v>3322557</v>
      </c>
      <c r="DI3298">
        <v>1</v>
      </c>
      <c r="DJ3298">
        <v>0</v>
      </c>
      <c r="DK3298">
        <v>1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3">
      <c r="A3299" t="str">
        <f>"05/01/2025 15:13:42.156"</f>
        <v>05/01/2025 15:13:42.156</v>
      </c>
      <c r="C3299" t="str">
        <f t="shared" si="1292"/>
        <v>FFDFD3C0</v>
      </c>
      <c r="D3299" t="s">
        <v>145</v>
      </c>
      <c r="E3299" t="str">
        <f>"09"</f>
        <v>09</v>
      </c>
      <c r="H3299">
        <v>51</v>
      </c>
      <c r="I3299" t="s">
        <v>147</v>
      </c>
      <c r="J3299" t="s">
        <v>138</v>
      </c>
      <c r="K3299">
        <v>0</v>
      </c>
      <c r="L3299">
        <v>3</v>
      </c>
      <c r="M3299">
        <v>0</v>
      </c>
      <c r="N3299">
        <v>2</v>
      </c>
      <c r="O3299">
        <v>0</v>
      </c>
      <c r="P3299">
        <v>1</v>
      </c>
      <c r="Q3299">
        <v>0</v>
      </c>
      <c r="R3299" t="s">
        <v>127</v>
      </c>
      <c r="S3299" t="str">
        <f t="shared" si="1306"/>
        <v>15:13:41.000</v>
      </c>
      <c r="T3299" t="str">
        <f t="shared" si="1306"/>
        <v>15:13:41.000</v>
      </c>
      <c r="U3299" t="str">
        <f t="shared" si="1294"/>
        <v>A68FCB</v>
      </c>
      <c r="V3299">
        <v>0</v>
      </c>
      <c r="W3299">
        <v>0</v>
      </c>
      <c r="X3299">
        <v>2</v>
      </c>
      <c r="Y3299">
        <v>0</v>
      </c>
      <c r="AA3299">
        <v>1</v>
      </c>
      <c r="AB3299">
        <v>8</v>
      </c>
      <c r="AC3299">
        <v>3</v>
      </c>
      <c r="AD3299">
        <v>0</v>
      </c>
      <c r="AE3299">
        <v>9</v>
      </c>
      <c r="AF3299" t="s">
        <v>138</v>
      </c>
      <c r="AG3299">
        <v>0</v>
      </c>
      <c r="AH3299">
        <v>3</v>
      </c>
      <c r="AI3299">
        <v>2</v>
      </c>
      <c r="AJ3299">
        <v>0</v>
      </c>
      <c r="AK3299" t="s">
        <v>1100</v>
      </c>
      <c r="AL3299">
        <v>39.134931999999999</v>
      </c>
      <c r="AM3299" t="s">
        <v>1099</v>
      </c>
      <c r="AN3299">
        <v>-121.031077</v>
      </c>
      <c r="AO3299">
        <v>25</v>
      </c>
      <c r="AP3299">
        <v>4300</v>
      </c>
      <c r="AQ3299" t="s">
        <v>131</v>
      </c>
      <c r="AR3299">
        <v>2</v>
      </c>
      <c r="AS3299">
        <v>85</v>
      </c>
      <c r="AT3299">
        <v>0</v>
      </c>
      <c r="BB3299" t="str">
        <f t="shared" si="1295"/>
        <v>1200</v>
      </c>
      <c r="BC3299">
        <v>1</v>
      </c>
      <c r="BD3299" t="str">
        <f t="shared" si="1296"/>
        <v xml:space="preserve">N52156  </v>
      </c>
      <c r="BE3299">
        <v>1</v>
      </c>
      <c r="BG3299">
        <v>0</v>
      </c>
      <c r="BH3299">
        <v>0</v>
      </c>
      <c r="BI3299">
        <v>0</v>
      </c>
      <c r="BJ3299">
        <v>4350</v>
      </c>
      <c r="BK3299">
        <v>50</v>
      </c>
      <c r="BL3299" t="s">
        <v>188</v>
      </c>
      <c r="BM3299">
        <v>1</v>
      </c>
      <c r="BN3299">
        <v>1</v>
      </c>
      <c r="BO3299">
        <v>0</v>
      </c>
      <c r="BP3299">
        <v>0</v>
      </c>
      <c r="BS3299">
        <v>0</v>
      </c>
      <c r="BT3299">
        <v>0</v>
      </c>
      <c r="BU3299">
        <v>0</v>
      </c>
      <c r="CE3299" t="str">
        <f t="shared" si="1307"/>
        <v>15:13:41.940</v>
      </c>
      <c r="CF3299">
        <v>939734356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3</v>
      </c>
      <c r="CY3299">
        <v>7</v>
      </c>
      <c r="CZ3299" t="s">
        <v>133</v>
      </c>
      <c r="DA3299">
        <v>275</v>
      </c>
      <c r="DB3299">
        <v>0</v>
      </c>
      <c r="DC3299" t="s">
        <v>134</v>
      </c>
      <c r="DD3299" t="s">
        <v>135</v>
      </c>
      <c r="DG3299">
        <v>3322557</v>
      </c>
      <c r="DI3299">
        <v>1</v>
      </c>
      <c r="DJ3299">
        <v>0</v>
      </c>
      <c r="DK3299">
        <v>1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3">
      <c r="A3300" t="str">
        <f>"05/01/2025 15:13:42.169"</f>
        <v>05/01/2025 15:13:42.169</v>
      </c>
      <c r="C3300" t="str">
        <f t="shared" si="1292"/>
        <v>FFDFD3C0</v>
      </c>
      <c r="D3300" t="s">
        <v>136</v>
      </c>
      <c r="E3300" t="str">
        <f>"20"</f>
        <v>20</v>
      </c>
      <c r="H3300">
        <v>400</v>
      </c>
      <c r="I3300" t="s">
        <v>137</v>
      </c>
      <c r="J3300" t="s">
        <v>138</v>
      </c>
      <c r="K3300">
        <v>0</v>
      </c>
      <c r="L3300">
        <v>3</v>
      </c>
      <c r="M3300">
        <v>0</v>
      </c>
      <c r="N3300">
        <v>2</v>
      </c>
      <c r="O3300">
        <v>0</v>
      </c>
      <c r="P3300">
        <v>1</v>
      </c>
      <c r="Q3300">
        <v>0</v>
      </c>
      <c r="R3300" t="s">
        <v>127</v>
      </c>
      <c r="S3300" t="str">
        <f t="shared" si="1306"/>
        <v>15:13:41.000</v>
      </c>
      <c r="T3300" t="str">
        <f t="shared" si="1306"/>
        <v>15:13:41.000</v>
      </c>
      <c r="U3300" t="str">
        <f t="shared" si="1294"/>
        <v>A68FCB</v>
      </c>
      <c r="V3300">
        <v>0</v>
      </c>
      <c r="W3300">
        <v>0</v>
      </c>
      <c r="X3300">
        <v>2</v>
      </c>
      <c r="Y3300">
        <v>0</v>
      </c>
      <c r="AA3300">
        <v>1</v>
      </c>
      <c r="AB3300">
        <v>8</v>
      </c>
      <c r="AC3300">
        <v>3</v>
      </c>
      <c r="AD3300">
        <v>0</v>
      </c>
      <c r="AE3300">
        <v>9</v>
      </c>
      <c r="AF3300" t="s">
        <v>138</v>
      </c>
      <c r="AG3300">
        <v>0</v>
      </c>
      <c r="AH3300">
        <v>3</v>
      </c>
      <c r="AI3300">
        <v>2</v>
      </c>
      <c r="AJ3300">
        <v>0</v>
      </c>
      <c r="AK3300" t="s">
        <v>1100</v>
      </c>
      <c r="AL3300">
        <v>39.134931999999999</v>
      </c>
      <c r="AM3300" t="s">
        <v>1099</v>
      </c>
      <c r="AN3300">
        <v>-121.031077</v>
      </c>
      <c r="AO3300">
        <v>25</v>
      </c>
      <c r="AP3300">
        <v>4300</v>
      </c>
      <c r="AQ3300" t="s">
        <v>131</v>
      </c>
      <c r="AR3300">
        <v>2</v>
      </c>
      <c r="AS3300">
        <v>85</v>
      </c>
      <c r="AT3300">
        <v>0</v>
      </c>
      <c r="BB3300" t="str">
        <f t="shared" si="1295"/>
        <v>1200</v>
      </c>
      <c r="BC3300">
        <v>1</v>
      </c>
      <c r="BD3300" t="str">
        <f t="shared" si="1296"/>
        <v xml:space="preserve">N52156  </v>
      </c>
      <c r="BE3300">
        <v>1</v>
      </c>
      <c r="BG3300">
        <v>0</v>
      </c>
      <c r="BH3300">
        <v>0</v>
      </c>
      <c r="BI3300">
        <v>0</v>
      </c>
      <c r="BJ3300">
        <v>4350</v>
      </c>
      <c r="BK3300">
        <v>50</v>
      </c>
      <c r="BL3300" t="s">
        <v>188</v>
      </c>
      <c r="BM3300">
        <v>1</v>
      </c>
      <c r="BN3300">
        <v>1</v>
      </c>
      <c r="BO3300">
        <v>0</v>
      </c>
      <c r="BP3300">
        <v>0</v>
      </c>
      <c r="BS3300">
        <v>0</v>
      </c>
      <c r="BT3300">
        <v>0</v>
      </c>
      <c r="BU3300">
        <v>0</v>
      </c>
      <c r="CE3300" t="str">
        <f t="shared" si="1307"/>
        <v>15:13:41.940</v>
      </c>
      <c r="CF3300">
        <v>939734356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3</v>
      </c>
      <c r="CY3300">
        <v>7</v>
      </c>
      <c r="CZ3300" t="s">
        <v>133</v>
      </c>
      <c r="DA3300">
        <v>275</v>
      </c>
      <c r="DB3300">
        <v>0</v>
      </c>
      <c r="DC3300" t="s">
        <v>134</v>
      </c>
      <c r="DD3300" t="s">
        <v>135</v>
      </c>
      <c r="DG3300">
        <v>3322557</v>
      </c>
      <c r="DI3300">
        <v>1</v>
      </c>
      <c r="DJ3300">
        <v>0</v>
      </c>
      <c r="DK3300">
        <v>1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3">
      <c r="A3301" t="str">
        <f>"05/01/2025 15:13:42.180"</f>
        <v>05/01/2025 15:13:42.180</v>
      </c>
      <c r="C3301" t="str">
        <f t="shared" si="1292"/>
        <v>FFDFD3C0</v>
      </c>
      <c r="D3301" t="s">
        <v>143</v>
      </c>
      <c r="E3301" t="str">
        <f>"05"</f>
        <v>05</v>
      </c>
      <c r="H3301">
        <v>172</v>
      </c>
      <c r="I3301" t="s">
        <v>141</v>
      </c>
      <c r="J3301" t="s">
        <v>144</v>
      </c>
      <c r="K3301">
        <v>0</v>
      </c>
      <c r="L3301">
        <v>3</v>
      </c>
      <c r="M3301">
        <v>0</v>
      </c>
      <c r="N3301">
        <v>2</v>
      </c>
      <c r="O3301">
        <v>0</v>
      </c>
      <c r="P3301">
        <v>1</v>
      </c>
      <c r="Q3301">
        <v>0</v>
      </c>
      <c r="R3301" t="s">
        <v>127</v>
      </c>
      <c r="S3301" t="str">
        <f t="shared" si="1306"/>
        <v>15:13:41.000</v>
      </c>
      <c r="T3301" t="str">
        <f t="shared" si="1306"/>
        <v>15:13:41.000</v>
      </c>
      <c r="U3301" t="str">
        <f t="shared" si="1294"/>
        <v>A68FCB</v>
      </c>
      <c r="V3301">
        <v>0</v>
      </c>
      <c r="W3301">
        <v>0</v>
      </c>
      <c r="X3301">
        <v>2</v>
      </c>
      <c r="Y3301">
        <v>0</v>
      </c>
      <c r="AA3301">
        <v>1</v>
      </c>
      <c r="AB3301">
        <v>8</v>
      </c>
      <c r="AC3301">
        <v>3</v>
      </c>
      <c r="AD3301">
        <v>0</v>
      </c>
      <c r="AE3301">
        <v>9</v>
      </c>
      <c r="AF3301" t="s">
        <v>138</v>
      </c>
      <c r="AG3301">
        <v>0</v>
      </c>
      <c r="AH3301">
        <v>3</v>
      </c>
      <c r="AI3301">
        <v>2</v>
      </c>
      <c r="AJ3301">
        <v>0</v>
      </c>
      <c r="AK3301" t="s">
        <v>1100</v>
      </c>
      <c r="AL3301">
        <v>39.134931999999999</v>
      </c>
      <c r="AM3301" t="s">
        <v>1099</v>
      </c>
      <c r="AN3301">
        <v>-121.031077</v>
      </c>
      <c r="AO3301">
        <v>25</v>
      </c>
      <c r="AP3301">
        <v>4300</v>
      </c>
      <c r="AQ3301" t="s">
        <v>131</v>
      </c>
      <c r="AR3301">
        <v>2</v>
      </c>
      <c r="AS3301">
        <v>85</v>
      </c>
      <c r="AT3301">
        <v>0</v>
      </c>
      <c r="BB3301" t="str">
        <f t="shared" si="1295"/>
        <v>1200</v>
      </c>
      <c r="BC3301">
        <v>1</v>
      </c>
      <c r="BD3301" t="str">
        <f t="shared" si="1296"/>
        <v xml:space="preserve">N52156  </v>
      </c>
      <c r="BE3301">
        <v>1</v>
      </c>
      <c r="BG3301">
        <v>0</v>
      </c>
      <c r="BH3301">
        <v>0</v>
      </c>
      <c r="BI3301">
        <v>0</v>
      </c>
      <c r="BJ3301">
        <v>4350</v>
      </c>
      <c r="BK3301">
        <v>50</v>
      </c>
      <c r="BL3301" t="s">
        <v>188</v>
      </c>
      <c r="BM3301">
        <v>1</v>
      </c>
      <c r="BN3301">
        <v>1</v>
      </c>
      <c r="BO3301">
        <v>0</v>
      </c>
      <c r="BP3301">
        <v>0</v>
      </c>
      <c r="BS3301">
        <v>0</v>
      </c>
      <c r="BT3301">
        <v>0</v>
      </c>
      <c r="BU3301">
        <v>0</v>
      </c>
      <c r="CE3301" t="str">
        <f t="shared" si="1307"/>
        <v>15:13:41.940</v>
      </c>
      <c r="CF3301">
        <v>939734356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3</v>
      </c>
      <c r="CY3301">
        <v>7</v>
      </c>
      <c r="CZ3301" t="s">
        <v>133</v>
      </c>
      <c r="DA3301">
        <v>275</v>
      </c>
      <c r="DB3301">
        <v>0</v>
      </c>
      <c r="DC3301" t="s">
        <v>134</v>
      </c>
      <c r="DD3301" t="s">
        <v>135</v>
      </c>
      <c r="DG3301">
        <v>3322557</v>
      </c>
      <c r="DI3301">
        <v>1</v>
      </c>
      <c r="DJ3301">
        <v>0</v>
      </c>
      <c r="DK3301">
        <v>1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3">
      <c r="A3302" t="str">
        <f>"05/01/2025 15:13:43.032"</f>
        <v>05/01/2025 15:13:43.032</v>
      </c>
      <c r="C3302" t="str">
        <f t="shared" si="1292"/>
        <v>FFDFD3C0</v>
      </c>
      <c r="D3302" t="s">
        <v>143</v>
      </c>
      <c r="E3302" t="str">
        <f>"05"</f>
        <v>05</v>
      </c>
      <c r="H3302">
        <v>172</v>
      </c>
      <c r="I3302" t="s">
        <v>141</v>
      </c>
      <c r="J3302" t="s">
        <v>144</v>
      </c>
      <c r="K3302">
        <v>0</v>
      </c>
      <c r="L3302">
        <v>3</v>
      </c>
      <c r="M3302">
        <v>0</v>
      </c>
      <c r="N3302">
        <v>2</v>
      </c>
      <c r="O3302">
        <v>0</v>
      </c>
      <c r="P3302">
        <v>1</v>
      </c>
      <c r="Q3302">
        <v>0</v>
      </c>
      <c r="R3302" t="s">
        <v>127</v>
      </c>
      <c r="S3302" t="str">
        <f t="shared" ref="S3302:T3307" si="1308">"15:13:42.000"</f>
        <v>15:13:42.000</v>
      </c>
      <c r="T3302" t="str">
        <f t="shared" si="1308"/>
        <v>15:13:42.000</v>
      </c>
      <c r="U3302" t="str">
        <f t="shared" si="1294"/>
        <v>A68FCB</v>
      </c>
      <c r="V3302">
        <v>0</v>
      </c>
      <c r="W3302">
        <v>0</v>
      </c>
      <c r="X3302">
        <v>2</v>
      </c>
      <c r="Y3302">
        <v>0</v>
      </c>
      <c r="AA3302">
        <v>1</v>
      </c>
      <c r="AB3302">
        <v>8</v>
      </c>
      <c r="AC3302">
        <v>3</v>
      </c>
      <c r="AD3302">
        <v>0</v>
      </c>
      <c r="AE3302">
        <v>9</v>
      </c>
      <c r="AF3302" t="s">
        <v>138</v>
      </c>
      <c r="AG3302">
        <v>0</v>
      </c>
      <c r="AH3302">
        <v>3</v>
      </c>
      <c r="AI3302">
        <v>2</v>
      </c>
      <c r="AJ3302">
        <v>0</v>
      </c>
      <c r="AK3302" t="s">
        <v>1101</v>
      </c>
      <c r="AL3302">
        <v>39.135339000000002</v>
      </c>
      <c r="AM3302" t="s">
        <v>1102</v>
      </c>
      <c r="AN3302">
        <v>-121.03105499999999</v>
      </c>
      <c r="AO3302">
        <v>25</v>
      </c>
      <c r="AP3302">
        <v>4300</v>
      </c>
      <c r="AQ3302" t="s">
        <v>131</v>
      </c>
      <c r="AR3302">
        <v>2</v>
      </c>
      <c r="AS3302">
        <v>84</v>
      </c>
      <c r="AT3302">
        <v>0</v>
      </c>
      <c r="BB3302" t="str">
        <f t="shared" si="1295"/>
        <v>1200</v>
      </c>
      <c r="BC3302">
        <v>1</v>
      </c>
      <c r="BD3302" t="str">
        <f t="shared" si="1296"/>
        <v xml:space="preserve">N52156  </v>
      </c>
      <c r="BE3302">
        <v>1</v>
      </c>
      <c r="BG3302">
        <v>0</v>
      </c>
      <c r="BH3302">
        <v>0</v>
      </c>
      <c r="BI3302">
        <v>0</v>
      </c>
      <c r="BJ3302">
        <v>4350</v>
      </c>
      <c r="BK3302">
        <v>50</v>
      </c>
      <c r="BL3302" t="s">
        <v>188</v>
      </c>
      <c r="BM3302">
        <v>1</v>
      </c>
      <c r="BN3302">
        <v>1</v>
      </c>
      <c r="BO3302">
        <v>0</v>
      </c>
      <c r="BP3302">
        <v>0</v>
      </c>
      <c r="BS3302">
        <v>0</v>
      </c>
      <c r="BT3302">
        <v>0</v>
      </c>
      <c r="BU3302">
        <v>0</v>
      </c>
      <c r="CE3302" t="str">
        <f t="shared" ref="CE3302:CE3307" si="1309">"15:13:42.819"</f>
        <v>15:13:42.819</v>
      </c>
      <c r="CF3302">
        <v>819484077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3</v>
      </c>
      <c r="CY3302">
        <v>7</v>
      </c>
      <c r="CZ3302" t="s">
        <v>133</v>
      </c>
      <c r="DA3302">
        <v>275</v>
      </c>
      <c r="DB3302">
        <v>0</v>
      </c>
      <c r="DC3302" t="s">
        <v>134</v>
      </c>
      <c r="DD3302" t="s">
        <v>135</v>
      </c>
      <c r="DG3302">
        <v>3322563</v>
      </c>
      <c r="DI3302">
        <v>1</v>
      </c>
      <c r="DJ3302">
        <v>0</v>
      </c>
      <c r="DK3302">
        <v>0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3">
      <c r="A3303" t="str">
        <f>"05/01/2025 15:13:43.045"</f>
        <v>05/01/2025 15:13:43.045</v>
      </c>
      <c r="C3303" t="str">
        <f t="shared" si="1292"/>
        <v>FFDFD3C0</v>
      </c>
      <c r="D3303" t="s">
        <v>124</v>
      </c>
      <c r="E3303" t="str">
        <f>"06"</f>
        <v>06</v>
      </c>
      <c r="F3303">
        <v>2006</v>
      </c>
      <c r="G3303" t="s">
        <v>125</v>
      </c>
      <c r="J3303" t="s">
        <v>126</v>
      </c>
      <c r="K3303">
        <v>0</v>
      </c>
      <c r="L3303">
        <v>3</v>
      </c>
      <c r="M3303">
        <v>0</v>
      </c>
      <c r="N3303">
        <v>2</v>
      </c>
      <c r="O3303">
        <v>0</v>
      </c>
      <c r="P3303">
        <v>1</v>
      </c>
      <c r="Q3303">
        <v>0</v>
      </c>
      <c r="R3303" t="s">
        <v>127</v>
      </c>
      <c r="S3303" t="str">
        <f t="shared" si="1308"/>
        <v>15:13:42.000</v>
      </c>
      <c r="T3303" t="str">
        <f t="shared" si="1308"/>
        <v>15:13:42.000</v>
      </c>
      <c r="U3303" t="str">
        <f t="shared" si="1294"/>
        <v>A68FCB</v>
      </c>
      <c r="V3303">
        <v>0</v>
      </c>
      <c r="W3303">
        <v>0</v>
      </c>
      <c r="X3303">
        <v>2</v>
      </c>
      <c r="Y3303">
        <v>0</v>
      </c>
      <c r="AA3303">
        <v>1</v>
      </c>
      <c r="AB3303">
        <v>8</v>
      </c>
      <c r="AC3303">
        <v>3</v>
      </c>
      <c r="AD3303">
        <v>0</v>
      </c>
      <c r="AE3303">
        <v>9</v>
      </c>
      <c r="AF3303" t="s">
        <v>138</v>
      </c>
      <c r="AG3303">
        <v>0</v>
      </c>
      <c r="AH3303">
        <v>3</v>
      </c>
      <c r="AI3303">
        <v>2</v>
      </c>
      <c r="AJ3303">
        <v>0</v>
      </c>
      <c r="AK3303" t="s">
        <v>1101</v>
      </c>
      <c r="AL3303">
        <v>39.135339000000002</v>
      </c>
      <c r="AM3303" t="s">
        <v>1102</v>
      </c>
      <c r="AN3303">
        <v>-121.03105499999999</v>
      </c>
      <c r="AO3303">
        <v>25</v>
      </c>
      <c r="AP3303">
        <v>4300</v>
      </c>
      <c r="AQ3303" t="s">
        <v>131</v>
      </c>
      <c r="AR3303">
        <v>2</v>
      </c>
      <c r="AS3303">
        <v>84</v>
      </c>
      <c r="AT3303">
        <v>0</v>
      </c>
      <c r="BB3303" t="str">
        <f t="shared" si="1295"/>
        <v>1200</v>
      </c>
      <c r="BC3303">
        <v>1</v>
      </c>
      <c r="BD3303" t="str">
        <f t="shared" si="1296"/>
        <v xml:space="preserve">N52156  </v>
      </c>
      <c r="BE3303">
        <v>1</v>
      </c>
      <c r="BG3303">
        <v>0</v>
      </c>
      <c r="BH3303">
        <v>0</v>
      </c>
      <c r="BI3303">
        <v>0</v>
      </c>
      <c r="BJ3303">
        <v>4350</v>
      </c>
      <c r="BK3303">
        <v>50</v>
      </c>
      <c r="BL3303" t="s">
        <v>188</v>
      </c>
      <c r="BM3303">
        <v>1</v>
      </c>
      <c r="BN3303">
        <v>1</v>
      </c>
      <c r="BO3303">
        <v>0</v>
      </c>
      <c r="BP3303">
        <v>0</v>
      </c>
      <c r="BS3303">
        <v>0</v>
      </c>
      <c r="BT3303">
        <v>0</v>
      </c>
      <c r="BU3303">
        <v>0</v>
      </c>
      <c r="CE3303" t="str">
        <f t="shared" si="1309"/>
        <v>15:13:42.819</v>
      </c>
      <c r="CF3303">
        <v>819484077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3</v>
      </c>
      <c r="CY3303">
        <v>7</v>
      </c>
      <c r="CZ3303" t="s">
        <v>133</v>
      </c>
      <c r="DA3303">
        <v>275</v>
      </c>
      <c r="DB3303">
        <v>0</v>
      </c>
      <c r="DC3303" t="s">
        <v>134</v>
      </c>
      <c r="DD3303" t="s">
        <v>135</v>
      </c>
      <c r="DG3303">
        <v>3322563</v>
      </c>
      <c r="DI3303">
        <v>1</v>
      </c>
      <c r="DJ3303">
        <v>0</v>
      </c>
      <c r="DK3303">
        <v>1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3">
      <c r="A3304" t="str">
        <f>"05/01/2025 15:13:43.045"</f>
        <v>05/01/2025 15:13:43.045</v>
      </c>
      <c r="C3304" t="str">
        <f t="shared" si="1292"/>
        <v>FFDFD3C0</v>
      </c>
      <c r="D3304" t="s">
        <v>140</v>
      </c>
      <c r="E3304" t="str">
        <f>"13"</f>
        <v>13</v>
      </c>
      <c r="F3304">
        <v>1019</v>
      </c>
      <c r="G3304" t="s">
        <v>141</v>
      </c>
      <c r="J3304" t="s">
        <v>142</v>
      </c>
      <c r="K3304">
        <v>0</v>
      </c>
      <c r="L3304">
        <v>3</v>
      </c>
      <c r="M3304">
        <v>0</v>
      </c>
      <c r="N3304">
        <v>2</v>
      </c>
      <c r="O3304">
        <v>0</v>
      </c>
      <c r="P3304">
        <v>1</v>
      </c>
      <c r="Q3304">
        <v>0</v>
      </c>
      <c r="R3304" t="s">
        <v>127</v>
      </c>
      <c r="S3304" t="str">
        <f t="shared" si="1308"/>
        <v>15:13:42.000</v>
      </c>
      <c r="T3304" t="str">
        <f t="shared" si="1308"/>
        <v>15:13:42.000</v>
      </c>
      <c r="U3304" t="str">
        <f t="shared" si="1294"/>
        <v>A68FCB</v>
      </c>
      <c r="V3304">
        <v>0</v>
      </c>
      <c r="W3304">
        <v>0</v>
      </c>
      <c r="X3304">
        <v>2</v>
      </c>
      <c r="Y3304">
        <v>0</v>
      </c>
      <c r="AA3304">
        <v>1</v>
      </c>
      <c r="AB3304">
        <v>8</v>
      </c>
      <c r="AC3304">
        <v>3</v>
      </c>
      <c r="AD3304">
        <v>0</v>
      </c>
      <c r="AE3304">
        <v>9</v>
      </c>
      <c r="AF3304" t="s">
        <v>138</v>
      </c>
      <c r="AG3304">
        <v>0</v>
      </c>
      <c r="AH3304">
        <v>3</v>
      </c>
      <c r="AI3304">
        <v>2</v>
      </c>
      <c r="AJ3304">
        <v>0</v>
      </c>
      <c r="AK3304" t="s">
        <v>1101</v>
      </c>
      <c r="AL3304">
        <v>39.135339000000002</v>
      </c>
      <c r="AM3304" t="s">
        <v>1102</v>
      </c>
      <c r="AN3304">
        <v>-121.03105499999999</v>
      </c>
      <c r="AO3304">
        <v>25</v>
      </c>
      <c r="AP3304">
        <v>4300</v>
      </c>
      <c r="AQ3304" t="s">
        <v>131</v>
      </c>
      <c r="AR3304">
        <v>2</v>
      </c>
      <c r="AS3304">
        <v>84</v>
      </c>
      <c r="AT3304">
        <v>0</v>
      </c>
      <c r="BB3304" t="str">
        <f t="shared" si="1295"/>
        <v>1200</v>
      </c>
      <c r="BC3304">
        <v>1</v>
      </c>
      <c r="BD3304" t="str">
        <f t="shared" si="1296"/>
        <v xml:space="preserve">N52156  </v>
      </c>
      <c r="BE3304">
        <v>1</v>
      </c>
      <c r="BG3304">
        <v>0</v>
      </c>
      <c r="BH3304">
        <v>0</v>
      </c>
      <c r="BI3304">
        <v>0</v>
      </c>
      <c r="BJ3304">
        <v>4350</v>
      </c>
      <c r="BK3304">
        <v>50</v>
      </c>
      <c r="BL3304" t="s">
        <v>188</v>
      </c>
      <c r="BM3304">
        <v>1</v>
      </c>
      <c r="BN3304">
        <v>1</v>
      </c>
      <c r="BO3304">
        <v>0</v>
      </c>
      <c r="BP3304">
        <v>0</v>
      </c>
      <c r="BS3304">
        <v>0</v>
      </c>
      <c r="BT3304">
        <v>0</v>
      </c>
      <c r="BU3304">
        <v>0</v>
      </c>
      <c r="CE3304" t="str">
        <f t="shared" si="1309"/>
        <v>15:13:42.819</v>
      </c>
      <c r="CF3304">
        <v>819484077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3</v>
      </c>
      <c r="CY3304">
        <v>7</v>
      </c>
      <c r="CZ3304" t="s">
        <v>133</v>
      </c>
      <c r="DA3304">
        <v>275</v>
      </c>
      <c r="DB3304">
        <v>0</v>
      </c>
      <c r="DC3304" t="s">
        <v>134</v>
      </c>
      <c r="DD3304" t="s">
        <v>135</v>
      </c>
      <c r="DG3304">
        <v>3322563</v>
      </c>
      <c r="DI3304">
        <v>1</v>
      </c>
      <c r="DJ3304">
        <v>0</v>
      </c>
      <c r="DK3304">
        <v>1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3">
      <c r="A3305" t="str">
        <f>"05/01/2025 15:13:43.058"</f>
        <v>05/01/2025 15:13:43.058</v>
      </c>
      <c r="C3305" t="str">
        <f t="shared" si="1292"/>
        <v>FFDFD3C0</v>
      </c>
      <c r="D3305" t="s">
        <v>145</v>
      </c>
      <c r="E3305" t="str">
        <f>"09"</f>
        <v>09</v>
      </c>
      <c r="H3305">
        <v>51</v>
      </c>
      <c r="I3305" t="s">
        <v>147</v>
      </c>
      <c r="J3305" t="s">
        <v>138</v>
      </c>
      <c r="K3305">
        <v>0</v>
      </c>
      <c r="L3305">
        <v>3</v>
      </c>
      <c r="M3305">
        <v>0</v>
      </c>
      <c r="N3305">
        <v>2</v>
      </c>
      <c r="O3305">
        <v>0</v>
      </c>
      <c r="P3305">
        <v>1</v>
      </c>
      <c r="Q3305">
        <v>0</v>
      </c>
      <c r="R3305" t="s">
        <v>127</v>
      </c>
      <c r="S3305" t="str">
        <f t="shared" si="1308"/>
        <v>15:13:42.000</v>
      </c>
      <c r="T3305" t="str">
        <f t="shared" si="1308"/>
        <v>15:13:42.000</v>
      </c>
      <c r="U3305" t="str">
        <f t="shared" si="1294"/>
        <v>A68FCB</v>
      </c>
      <c r="V3305">
        <v>0</v>
      </c>
      <c r="W3305">
        <v>0</v>
      </c>
      <c r="X3305">
        <v>2</v>
      </c>
      <c r="Y3305">
        <v>0</v>
      </c>
      <c r="AA3305">
        <v>1</v>
      </c>
      <c r="AB3305">
        <v>8</v>
      </c>
      <c r="AC3305">
        <v>3</v>
      </c>
      <c r="AD3305">
        <v>0</v>
      </c>
      <c r="AE3305">
        <v>9</v>
      </c>
      <c r="AF3305" t="s">
        <v>138</v>
      </c>
      <c r="AG3305">
        <v>0</v>
      </c>
      <c r="AH3305">
        <v>3</v>
      </c>
      <c r="AI3305">
        <v>2</v>
      </c>
      <c r="AJ3305">
        <v>0</v>
      </c>
      <c r="AK3305" t="s">
        <v>1101</v>
      </c>
      <c r="AL3305">
        <v>39.135339000000002</v>
      </c>
      <c r="AM3305" t="s">
        <v>1102</v>
      </c>
      <c r="AN3305">
        <v>-121.03105499999999</v>
      </c>
      <c r="AO3305">
        <v>25</v>
      </c>
      <c r="AP3305">
        <v>4300</v>
      </c>
      <c r="AQ3305" t="s">
        <v>131</v>
      </c>
      <c r="AR3305">
        <v>2</v>
      </c>
      <c r="AS3305">
        <v>84</v>
      </c>
      <c r="AT3305">
        <v>0</v>
      </c>
      <c r="BB3305" t="str">
        <f t="shared" si="1295"/>
        <v>1200</v>
      </c>
      <c r="BC3305">
        <v>1</v>
      </c>
      <c r="BD3305" t="str">
        <f t="shared" si="1296"/>
        <v xml:space="preserve">N52156  </v>
      </c>
      <c r="BE3305">
        <v>1</v>
      </c>
      <c r="BG3305">
        <v>0</v>
      </c>
      <c r="BH3305">
        <v>0</v>
      </c>
      <c r="BI3305">
        <v>0</v>
      </c>
      <c r="BJ3305">
        <v>4350</v>
      </c>
      <c r="BK3305">
        <v>50</v>
      </c>
      <c r="BL3305" t="s">
        <v>188</v>
      </c>
      <c r="BM3305">
        <v>1</v>
      </c>
      <c r="BN3305">
        <v>1</v>
      </c>
      <c r="BO3305">
        <v>0</v>
      </c>
      <c r="BP3305">
        <v>0</v>
      </c>
      <c r="BS3305">
        <v>0</v>
      </c>
      <c r="BT3305">
        <v>0</v>
      </c>
      <c r="BU3305">
        <v>0</v>
      </c>
      <c r="CE3305" t="str">
        <f t="shared" si="1309"/>
        <v>15:13:42.819</v>
      </c>
      <c r="CF3305">
        <v>819484077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3</v>
      </c>
      <c r="CY3305">
        <v>7</v>
      </c>
      <c r="CZ3305" t="s">
        <v>133</v>
      </c>
      <c r="DA3305">
        <v>275</v>
      </c>
      <c r="DB3305">
        <v>0</v>
      </c>
      <c r="DC3305" t="s">
        <v>134</v>
      </c>
      <c r="DD3305" t="s">
        <v>135</v>
      </c>
      <c r="DG3305">
        <v>3322563</v>
      </c>
      <c r="DI3305">
        <v>1</v>
      </c>
      <c r="DJ3305">
        <v>0</v>
      </c>
      <c r="DK3305">
        <v>1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3">
      <c r="A3306" t="str">
        <f>"05/01/2025 15:13:43.059"</f>
        <v>05/01/2025 15:13:43.059</v>
      </c>
      <c r="C3306" t="str">
        <f t="shared" si="1292"/>
        <v>FFDFD3C0</v>
      </c>
      <c r="D3306" t="s">
        <v>145</v>
      </c>
      <c r="E3306" t="str">
        <f>"05"</f>
        <v>05</v>
      </c>
      <c r="H3306">
        <v>47</v>
      </c>
      <c r="I3306" t="s">
        <v>146</v>
      </c>
      <c r="J3306" t="s">
        <v>138</v>
      </c>
      <c r="K3306">
        <v>0</v>
      </c>
      <c r="L3306">
        <v>3</v>
      </c>
      <c r="M3306">
        <v>0</v>
      </c>
      <c r="N3306">
        <v>2</v>
      </c>
      <c r="O3306">
        <v>0</v>
      </c>
      <c r="P3306">
        <v>1</v>
      </c>
      <c r="Q3306">
        <v>0</v>
      </c>
      <c r="R3306" t="s">
        <v>127</v>
      </c>
      <c r="S3306" t="str">
        <f t="shared" si="1308"/>
        <v>15:13:42.000</v>
      </c>
      <c r="T3306" t="str">
        <f t="shared" si="1308"/>
        <v>15:13:42.000</v>
      </c>
      <c r="U3306" t="str">
        <f t="shared" si="1294"/>
        <v>A68FCB</v>
      </c>
      <c r="V3306">
        <v>0</v>
      </c>
      <c r="W3306">
        <v>0</v>
      </c>
      <c r="X3306">
        <v>2</v>
      </c>
      <c r="Y3306">
        <v>0</v>
      </c>
      <c r="AA3306">
        <v>1</v>
      </c>
      <c r="AB3306">
        <v>8</v>
      </c>
      <c r="AC3306">
        <v>3</v>
      </c>
      <c r="AD3306">
        <v>0</v>
      </c>
      <c r="AE3306">
        <v>9</v>
      </c>
      <c r="AF3306" t="s">
        <v>138</v>
      </c>
      <c r="AG3306">
        <v>0</v>
      </c>
      <c r="AH3306">
        <v>3</v>
      </c>
      <c r="AI3306">
        <v>2</v>
      </c>
      <c r="AJ3306">
        <v>0</v>
      </c>
      <c r="AK3306" t="s">
        <v>1101</v>
      </c>
      <c r="AL3306">
        <v>39.135339000000002</v>
      </c>
      <c r="AM3306" t="s">
        <v>1102</v>
      </c>
      <c r="AN3306">
        <v>-121.03105499999999</v>
      </c>
      <c r="AO3306">
        <v>25</v>
      </c>
      <c r="AP3306">
        <v>4300</v>
      </c>
      <c r="AQ3306" t="s">
        <v>131</v>
      </c>
      <c r="AR3306">
        <v>2</v>
      </c>
      <c r="AS3306">
        <v>84</v>
      </c>
      <c r="AT3306">
        <v>0</v>
      </c>
      <c r="BB3306" t="str">
        <f t="shared" si="1295"/>
        <v>1200</v>
      </c>
      <c r="BC3306">
        <v>1</v>
      </c>
      <c r="BD3306" t="str">
        <f t="shared" si="1296"/>
        <v xml:space="preserve">N52156  </v>
      </c>
      <c r="BE3306">
        <v>1</v>
      </c>
      <c r="BG3306">
        <v>0</v>
      </c>
      <c r="BH3306">
        <v>0</v>
      </c>
      <c r="BI3306">
        <v>0</v>
      </c>
      <c r="BJ3306">
        <v>4350</v>
      </c>
      <c r="BK3306">
        <v>50</v>
      </c>
      <c r="BL3306" t="s">
        <v>188</v>
      </c>
      <c r="BM3306">
        <v>1</v>
      </c>
      <c r="BN3306">
        <v>1</v>
      </c>
      <c r="BO3306">
        <v>0</v>
      </c>
      <c r="BP3306">
        <v>0</v>
      </c>
      <c r="BS3306">
        <v>0</v>
      </c>
      <c r="BT3306">
        <v>0</v>
      </c>
      <c r="BU3306">
        <v>0</v>
      </c>
      <c r="CE3306" t="str">
        <f t="shared" si="1309"/>
        <v>15:13:42.819</v>
      </c>
      <c r="CF3306">
        <v>819484077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3</v>
      </c>
      <c r="CY3306">
        <v>7</v>
      </c>
      <c r="CZ3306" t="s">
        <v>133</v>
      </c>
      <c r="DA3306">
        <v>275</v>
      </c>
      <c r="DB3306">
        <v>0</v>
      </c>
      <c r="DC3306" t="s">
        <v>134</v>
      </c>
      <c r="DD3306" t="s">
        <v>135</v>
      </c>
      <c r="DG3306">
        <v>3322563</v>
      </c>
      <c r="DI3306">
        <v>1</v>
      </c>
      <c r="DJ3306">
        <v>0</v>
      </c>
      <c r="DK3306">
        <v>1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3">
      <c r="A3307" t="str">
        <f>"05/01/2025 15:13:43.071"</f>
        <v>05/01/2025 15:13:43.071</v>
      </c>
      <c r="C3307" t="str">
        <f t="shared" si="1292"/>
        <v>FFDFD3C0</v>
      </c>
      <c r="D3307" t="s">
        <v>136</v>
      </c>
      <c r="E3307" t="str">
        <f>"20"</f>
        <v>20</v>
      </c>
      <c r="H3307">
        <v>400</v>
      </c>
      <c r="I3307" t="s">
        <v>137</v>
      </c>
      <c r="J3307" t="s">
        <v>138</v>
      </c>
      <c r="K3307">
        <v>0</v>
      </c>
      <c r="L3307">
        <v>3</v>
      </c>
      <c r="M3307">
        <v>0</v>
      </c>
      <c r="N3307">
        <v>2</v>
      </c>
      <c r="O3307">
        <v>0</v>
      </c>
      <c r="P3307">
        <v>1</v>
      </c>
      <c r="Q3307">
        <v>0</v>
      </c>
      <c r="R3307" t="s">
        <v>127</v>
      </c>
      <c r="S3307" t="str">
        <f t="shared" si="1308"/>
        <v>15:13:42.000</v>
      </c>
      <c r="T3307" t="str">
        <f t="shared" si="1308"/>
        <v>15:13:42.000</v>
      </c>
      <c r="U3307" t="str">
        <f t="shared" si="1294"/>
        <v>A68FCB</v>
      </c>
      <c r="V3307">
        <v>0</v>
      </c>
      <c r="W3307">
        <v>0</v>
      </c>
      <c r="X3307">
        <v>2</v>
      </c>
      <c r="Y3307">
        <v>0</v>
      </c>
      <c r="AA3307">
        <v>1</v>
      </c>
      <c r="AB3307">
        <v>8</v>
      </c>
      <c r="AC3307">
        <v>3</v>
      </c>
      <c r="AD3307">
        <v>0</v>
      </c>
      <c r="AE3307">
        <v>9</v>
      </c>
      <c r="AF3307" t="s">
        <v>138</v>
      </c>
      <c r="AG3307">
        <v>0</v>
      </c>
      <c r="AH3307">
        <v>3</v>
      </c>
      <c r="AI3307">
        <v>2</v>
      </c>
      <c r="AJ3307">
        <v>0</v>
      </c>
      <c r="AK3307" t="s">
        <v>1101</v>
      </c>
      <c r="AL3307">
        <v>39.135339000000002</v>
      </c>
      <c r="AM3307" t="s">
        <v>1102</v>
      </c>
      <c r="AN3307">
        <v>-121.03105499999999</v>
      </c>
      <c r="AO3307">
        <v>25</v>
      </c>
      <c r="AP3307">
        <v>4300</v>
      </c>
      <c r="AQ3307" t="s">
        <v>131</v>
      </c>
      <c r="AR3307">
        <v>2</v>
      </c>
      <c r="AS3307">
        <v>84</v>
      </c>
      <c r="AT3307">
        <v>0</v>
      </c>
      <c r="BB3307" t="str">
        <f t="shared" si="1295"/>
        <v>1200</v>
      </c>
      <c r="BC3307">
        <v>1</v>
      </c>
      <c r="BD3307" t="str">
        <f t="shared" si="1296"/>
        <v xml:space="preserve">N52156  </v>
      </c>
      <c r="BE3307">
        <v>1</v>
      </c>
      <c r="BG3307">
        <v>0</v>
      </c>
      <c r="BH3307">
        <v>0</v>
      </c>
      <c r="BI3307">
        <v>0</v>
      </c>
      <c r="BJ3307">
        <v>4350</v>
      </c>
      <c r="BK3307">
        <v>50</v>
      </c>
      <c r="BL3307" t="s">
        <v>188</v>
      </c>
      <c r="BM3307">
        <v>1</v>
      </c>
      <c r="BN3307">
        <v>1</v>
      </c>
      <c r="BO3307">
        <v>0</v>
      </c>
      <c r="BP3307">
        <v>0</v>
      </c>
      <c r="BS3307">
        <v>0</v>
      </c>
      <c r="BT3307">
        <v>0</v>
      </c>
      <c r="BU3307">
        <v>0</v>
      </c>
      <c r="CE3307" t="str">
        <f t="shared" si="1309"/>
        <v>15:13:42.819</v>
      </c>
      <c r="CF3307">
        <v>819484077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3</v>
      </c>
      <c r="CY3307">
        <v>7</v>
      </c>
      <c r="CZ3307" t="s">
        <v>133</v>
      </c>
      <c r="DA3307">
        <v>275</v>
      </c>
      <c r="DB3307">
        <v>0</v>
      </c>
      <c r="DC3307" t="s">
        <v>134</v>
      </c>
      <c r="DD3307" t="s">
        <v>135</v>
      </c>
      <c r="DG3307">
        <v>3322563</v>
      </c>
      <c r="DI3307">
        <v>1</v>
      </c>
      <c r="DJ3307">
        <v>0</v>
      </c>
      <c r="DK3307">
        <v>1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3">
      <c r="A3308" t="str">
        <f>"05/01/2025 15:13:43.583"</f>
        <v>05/01/2025 15:13:43.583</v>
      </c>
      <c r="C3308" t="str">
        <f t="shared" si="1292"/>
        <v>FFDFD3C0</v>
      </c>
      <c r="D3308" t="s">
        <v>143</v>
      </c>
      <c r="E3308" t="str">
        <f>"05"</f>
        <v>05</v>
      </c>
      <c r="H3308">
        <v>172</v>
      </c>
      <c r="I3308" t="s">
        <v>141</v>
      </c>
      <c r="J3308" t="s">
        <v>144</v>
      </c>
      <c r="K3308">
        <v>0</v>
      </c>
      <c r="L3308">
        <v>3</v>
      </c>
      <c r="M3308">
        <v>0</v>
      </c>
      <c r="N3308">
        <v>2</v>
      </c>
      <c r="O3308">
        <v>0</v>
      </c>
      <c r="P3308">
        <v>1</v>
      </c>
      <c r="Q3308">
        <v>0</v>
      </c>
      <c r="R3308" t="s">
        <v>127</v>
      </c>
      <c r="S3308" t="str">
        <f t="shared" ref="S3308:T3313" si="1310">"15:13:43.000"</f>
        <v>15:13:43.000</v>
      </c>
      <c r="T3308" t="str">
        <f t="shared" si="1310"/>
        <v>15:13:43.000</v>
      </c>
      <c r="U3308" t="str">
        <f t="shared" si="1294"/>
        <v>A68FCB</v>
      </c>
      <c r="V3308">
        <v>0</v>
      </c>
      <c r="W3308">
        <v>0</v>
      </c>
      <c r="X3308">
        <v>2</v>
      </c>
      <c r="Y3308">
        <v>0</v>
      </c>
      <c r="AA3308">
        <v>1</v>
      </c>
      <c r="AB3308">
        <v>8</v>
      </c>
      <c r="AC3308">
        <v>3</v>
      </c>
      <c r="AD3308">
        <v>0</v>
      </c>
      <c r="AE3308">
        <v>9</v>
      </c>
      <c r="AF3308" t="s">
        <v>138</v>
      </c>
      <c r="AG3308">
        <v>0</v>
      </c>
      <c r="AH3308">
        <v>3</v>
      </c>
      <c r="AI3308">
        <v>2</v>
      </c>
      <c r="AJ3308">
        <v>0</v>
      </c>
      <c r="AK3308" t="s">
        <v>1103</v>
      </c>
      <c r="AL3308">
        <v>39.135725000000001</v>
      </c>
      <c r="AM3308" t="s">
        <v>1104</v>
      </c>
      <c r="AN3308">
        <v>-121.03103400000001</v>
      </c>
      <c r="AO3308">
        <v>25</v>
      </c>
      <c r="AP3308">
        <v>4300</v>
      </c>
      <c r="AQ3308" t="s">
        <v>131</v>
      </c>
      <c r="AR3308">
        <v>2</v>
      </c>
      <c r="AS3308">
        <v>84</v>
      </c>
      <c r="AT3308">
        <v>0</v>
      </c>
      <c r="BB3308" t="str">
        <f t="shared" si="1295"/>
        <v>1200</v>
      </c>
      <c r="BC3308">
        <v>1</v>
      </c>
      <c r="BD3308" t="str">
        <f t="shared" si="1296"/>
        <v xml:space="preserve">N52156  </v>
      </c>
      <c r="BE3308">
        <v>1</v>
      </c>
      <c r="BG3308">
        <v>0</v>
      </c>
      <c r="BH3308">
        <v>0</v>
      </c>
      <c r="BI3308">
        <v>0</v>
      </c>
      <c r="BJ3308">
        <v>4350</v>
      </c>
      <c r="BK3308">
        <v>50</v>
      </c>
      <c r="BL3308" t="s">
        <v>188</v>
      </c>
      <c r="BM3308">
        <v>1</v>
      </c>
      <c r="BN3308">
        <v>1</v>
      </c>
      <c r="BO3308">
        <v>0</v>
      </c>
      <c r="BP3308">
        <v>0</v>
      </c>
      <c r="BS3308">
        <v>0</v>
      </c>
      <c r="BT3308">
        <v>0</v>
      </c>
      <c r="BU3308">
        <v>0</v>
      </c>
      <c r="CE3308" t="str">
        <f t="shared" ref="CE3308:CE3313" si="1311">"15:13:43.378"</f>
        <v>15:13:43.378</v>
      </c>
      <c r="CF3308">
        <v>377733045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3</v>
      </c>
      <c r="CY3308">
        <v>7</v>
      </c>
      <c r="CZ3308" t="s">
        <v>133</v>
      </c>
      <c r="DA3308">
        <v>275</v>
      </c>
      <c r="DB3308">
        <v>0</v>
      </c>
      <c r="DC3308" t="s">
        <v>134</v>
      </c>
      <c r="DD3308" t="s">
        <v>135</v>
      </c>
      <c r="DG3308">
        <v>3322567</v>
      </c>
      <c r="DI3308">
        <v>1</v>
      </c>
      <c r="DJ3308">
        <v>0</v>
      </c>
      <c r="DK3308">
        <v>0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3">
      <c r="A3309" t="str">
        <f>"05/01/2025 15:13:43.596"</f>
        <v>05/01/2025 15:13:43.596</v>
      </c>
      <c r="C3309" t="str">
        <f t="shared" si="1292"/>
        <v>FFDFD3C0</v>
      </c>
      <c r="D3309" t="s">
        <v>124</v>
      </c>
      <c r="E3309" t="str">
        <f>"06"</f>
        <v>06</v>
      </c>
      <c r="F3309">
        <v>2006</v>
      </c>
      <c r="G3309" t="s">
        <v>125</v>
      </c>
      <c r="J3309" t="s">
        <v>126</v>
      </c>
      <c r="K3309">
        <v>0</v>
      </c>
      <c r="L3309">
        <v>3</v>
      </c>
      <c r="M3309">
        <v>0</v>
      </c>
      <c r="N3309">
        <v>2</v>
      </c>
      <c r="O3309">
        <v>0</v>
      </c>
      <c r="P3309">
        <v>1</v>
      </c>
      <c r="Q3309">
        <v>0</v>
      </c>
      <c r="R3309" t="s">
        <v>127</v>
      </c>
      <c r="S3309" t="str">
        <f t="shared" si="1310"/>
        <v>15:13:43.000</v>
      </c>
      <c r="T3309" t="str">
        <f t="shared" si="1310"/>
        <v>15:13:43.000</v>
      </c>
      <c r="U3309" t="str">
        <f t="shared" si="1294"/>
        <v>A68FCB</v>
      </c>
      <c r="V3309">
        <v>0</v>
      </c>
      <c r="W3309">
        <v>0</v>
      </c>
      <c r="X3309">
        <v>2</v>
      </c>
      <c r="Y3309">
        <v>0</v>
      </c>
      <c r="AA3309">
        <v>1</v>
      </c>
      <c r="AB3309">
        <v>8</v>
      </c>
      <c r="AC3309">
        <v>3</v>
      </c>
      <c r="AD3309">
        <v>0</v>
      </c>
      <c r="AE3309">
        <v>9</v>
      </c>
      <c r="AF3309" t="s">
        <v>138</v>
      </c>
      <c r="AG3309">
        <v>0</v>
      </c>
      <c r="AH3309">
        <v>3</v>
      </c>
      <c r="AI3309">
        <v>2</v>
      </c>
      <c r="AJ3309">
        <v>0</v>
      </c>
      <c r="AK3309" t="s">
        <v>1103</v>
      </c>
      <c r="AL3309">
        <v>39.135725000000001</v>
      </c>
      <c r="AM3309" t="s">
        <v>1104</v>
      </c>
      <c r="AN3309">
        <v>-121.03103400000001</v>
      </c>
      <c r="AO3309">
        <v>25</v>
      </c>
      <c r="AP3309">
        <v>4300</v>
      </c>
      <c r="AQ3309" t="s">
        <v>131</v>
      </c>
      <c r="AR3309">
        <v>2</v>
      </c>
      <c r="AS3309">
        <v>84</v>
      </c>
      <c r="AT3309">
        <v>0</v>
      </c>
      <c r="BB3309" t="str">
        <f t="shared" si="1295"/>
        <v>1200</v>
      </c>
      <c r="BC3309">
        <v>1</v>
      </c>
      <c r="BD3309" t="str">
        <f t="shared" si="1296"/>
        <v xml:space="preserve">N52156  </v>
      </c>
      <c r="BE3309">
        <v>1</v>
      </c>
      <c r="BG3309">
        <v>0</v>
      </c>
      <c r="BH3309">
        <v>0</v>
      </c>
      <c r="BI3309">
        <v>0</v>
      </c>
      <c r="BJ3309">
        <v>4350</v>
      </c>
      <c r="BK3309">
        <v>50</v>
      </c>
      <c r="BL3309" t="s">
        <v>188</v>
      </c>
      <c r="BM3309">
        <v>1</v>
      </c>
      <c r="BN3309">
        <v>1</v>
      </c>
      <c r="BO3309">
        <v>0</v>
      </c>
      <c r="BP3309">
        <v>0</v>
      </c>
      <c r="BS3309">
        <v>0</v>
      </c>
      <c r="BT3309">
        <v>0</v>
      </c>
      <c r="BU3309">
        <v>0</v>
      </c>
      <c r="CE3309" t="str">
        <f t="shared" si="1311"/>
        <v>15:13:43.378</v>
      </c>
      <c r="CF3309">
        <v>377733045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3</v>
      </c>
      <c r="CY3309">
        <v>7</v>
      </c>
      <c r="CZ3309" t="s">
        <v>133</v>
      </c>
      <c r="DA3309">
        <v>275</v>
      </c>
      <c r="DB3309">
        <v>0</v>
      </c>
      <c r="DC3309" t="s">
        <v>134</v>
      </c>
      <c r="DD3309" t="s">
        <v>135</v>
      </c>
      <c r="DG3309">
        <v>3322567</v>
      </c>
      <c r="DI3309">
        <v>1</v>
      </c>
      <c r="DJ3309">
        <v>0</v>
      </c>
      <c r="DK3309">
        <v>1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3">
      <c r="A3310" t="str">
        <f>"05/01/2025 15:13:43.596"</f>
        <v>05/01/2025 15:13:43.596</v>
      </c>
      <c r="C3310" t="str">
        <f t="shared" si="1292"/>
        <v>FFDFD3C0</v>
      </c>
      <c r="D3310" t="s">
        <v>140</v>
      </c>
      <c r="E3310" t="str">
        <f>"13"</f>
        <v>13</v>
      </c>
      <c r="F3310">
        <v>1019</v>
      </c>
      <c r="G3310" t="s">
        <v>141</v>
      </c>
      <c r="J3310" t="s">
        <v>142</v>
      </c>
      <c r="K3310">
        <v>0</v>
      </c>
      <c r="L3310">
        <v>3</v>
      </c>
      <c r="M3310">
        <v>0</v>
      </c>
      <c r="N3310">
        <v>2</v>
      </c>
      <c r="O3310">
        <v>0</v>
      </c>
      <c r="P3310">
        <v>1</v>
      </c>
      <c r="Q3310">
        <v>0</v>
      </c>
      <c r="R3310" t="s">
        <v>127</v>
      </c>
      <c r="S3310" t="str">
        <f t="shared" si="1310"/>
        <v>15:13:43.000</v>
      </c>
      <c r="T3310" t="str">
        <f t="shared" si="1310"/>
        <v>15:13:43.000</v>
      </c>
      <c r="U3310" t="str">
        <f t="shared" si="1294"/>
        <v>A68FCB</v>
      </c>
      <c r="V3310">
        <v>0</v>
      </c>
      <c r="W3310">
        <v>0</v>
      </c>
      <c r="X3310">
        <v>2</v>
      </c>
      <c r="Y3310">
        <v>0</v>
      </c>
      <c r="AA3310">
        <v>1</v>
      </c>
      <c r="AB3310">
        <v>8</v>
      </c>
      <c r="AC3310">
        <v>3</v>
      </c>
      <c r="AD3310">
        <v>0</v>
      </c>
      <c r="AE3310">
        <v>9</v>
      </c>
      <c r="AF3310" t="s">
        <v>138</v>
      </c>
      <c r="AG3310">
        <v>0</v>
      </c>
      <c r="AH3310">
        <v>3</v>
      </c>
      <c r="AI3310">
        <v>2</v>
      </c>
      <c r="AJ3310">
        <v>0</v>
      </c>
      <c r="AK3310" t="s">
        <v>1103</v>
      </c>
      <c r="AL3310">
        <v>39.135725000000001</v>
      </c>
      <c r="AM3310" t="s">
        <v>1104</v>
      </c>
      <c r="AN3310">
        <v>-121.03103400000001</v>
      </c>
      <c r="AO3310">
        <v>25</v>
      </c>
      <c r="AP3310">
        <v>4300</v>
      </c>
      <c r="AQ3310" t="s">
        <v>131</v>
      </c>
      <c r="AR3310">
        <v>2</v>
      </c>
      <c r="AS3310">
        <v>84</v>
      </c>
      <c r="AT3310">
        <v>0</v>
      </c>
      <c r="BB3310" t="str">
        <f t="shared" si="1295"/>
        <v>1200</v>
      </c>
      <c r="BC3310">
        <v>1</v>
      </c>
      <c r="BD3310" t="str">
        <f t="shared" si="1296"/>
        <v xml:space="preserve">N52156  </v>
      </c>
      <c r="BE3310">
        <v>1</v>
      </c>
      <c r="BG3310">
        <v>0</v>
      </c>
      <c r="BH3310">
        <v>0</v>
      </c>
      <c r="BI3310">
        <v>0</v>
      </c>
      <c r="BJ3310">
        <v>4350</v>
      </c>
      <c r="BK3310">
        <v>50</v>
      </c>
      <c r="BL3310" t="s">
        <v>188</v>
      </c>
      <c r="BM3310">
        <v>1</v>
      </c>
      <c r="BN3310">
        <v>1</v>
      </c>
      <c r="BO3310">
        <v>0</v>
      </c>
      <c r="BP3310">
        <v>0</v>
      </c>
      <c r="BS3310">
        <v>0</v>
      </c>
      <c r="BT3310">
        <v>0</v>
      </c>
      <c r="BU3310">
        <v>0</v>
      </c>
      <c r="CE3310" t="str">
        <f t="shared" si="1311"/>
        <v>15:13:43.378</v>
      </c>
      <c r="CF3310">
        <v>377733045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3</v>
      </c>
      <c r="CY3310">
        <v>7</v>
      </c>
      <c r="CZ3310" t="s">
        <v>133</v>
      </c>
      <c r="DA3310">
        <v>275</v>
      </c>
      <c r="DB3310">
        <v>0</v>
      </c>
      <c r="DC3310" t="s">
        <v>134</v>
      </c>
      <c r="DD3310" t="s">
        <v>135</v>
      </c>
      <c r="DG3310">
        <v>3322567</v>
      </c>
      <c r="DI3310">
        <v>1</v>
      </c>
      <c r="DJ3310">
        <v>0</v>
      </c>
      <c r="DK3310">
        <v>1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3">
      <c r="A3311" t="str">
        <f>"05/01/2025 15:13:43.609"</f>
        <v>05/01/2025 15:13:43.609</v>
      </c>
      <c r="C3311" t="str">
        <f t="shared" si="1292"/>
        <v>FFDFD3C0</v>
      </c>
      <c r="D3311" t="s">
        <v>145</v>
      </c>
      <c r="E3311" t="str">
        <f>"09"</f>
        <v>09</v>
      </c>
      <c r="H3311">
        <v>51</v>
      </c>
      <c r="I3311" t="s">
        <v>147</v>
      </c>
      <c r="J3311" t="s">
        <v>138</v>
      </c>
      <c r="K3311">
        <v>0</v>
      </c>
      <c r="L3311">
        <v>3</v>
      </c>
      <c r="M3311">
        <v>0</v>
      </c>
      <c r="N3311">
        <v>2</v>
      </c>
      <c r="O3311">
        <v>0</v>
      </c>
      <c r="P3311">
        <v>1</v>
      </c>
      <c r="Q3311">
        <v>0</v>
      </c>
      <c r="R3311" t="s">
        <v>127</v>
      </c>
      <c r="S3311" t="str">
        <f t="shared" si="1310"/>
        <v>15:13:43.000</v>
      </c>
      <c r="T3311" t="str">
        <f t="shared" si="1310"/>
        <v>15:13:43.000</v>
      </c>
      <c r="U3311" t="str">
        <f t="shared" si="1294"/>
        <v>A68FCB</v>
      </c>
      <c r="V3311">
        <v>0</v>
      </c>
      <c r="W3311">
        <v>0</v>
      </c>
      <c r="X3311">
        <v>2</v>
      </c>
      <c r="Y3311">
        <v>0</v>
      </c>
      <c r="AA3311">
        <v>1</v>
      </c>
      <c r="AB3311">
        <v>8</v>
      </c>
      <c r="AC3311">
        <v>3</v>
      </c>
      <c r="AD3311">
        <v>0</v>
      </c>
      <c r="AE3311">
        <v>9</v>
      </c>
      <c r="AF3311" t="s">
        <v>138</v>
      </c>
      <c r="AG3311">
        <v>0</v>
      </c>
      <c r="AH3311">
        <v>3</v>
      </c>
      <c r="AI3311">
        <v>2</v>
      </c>
      <c r="AJ3311">
        <v>0</v>
      </c>
      <c r="AK3311" t="s">
        <v>1103</v>
      </c>
      <c r="AL3311">
        <v>39.135725000000001</v>
      </c>
      <c r="AM3311" t="s">
        <v>1104</v>
      </c>
      <c r="AN3311">
        <v>-121.03103400000001</v>
      </c>
      <c r="AO3311">
        <v>25</v>
      </c>
      <c r="AP3311">
        <v>4300</v>
      </c>
      <c r="AQ3311" t="s">
        <v>131</v>
      </c>
      <c r="AR3311">
        <v>2</v>
      </c>
      <c r="AS3311">
        <v>84</v>
      </c>
      <c r="AT3311">
        <v>0</v>
      </c>
      <c r="BB3311" t="str">
        <f t="shared" si="1295"/>
        <v>1200</v>
      </c>
      <c r="BC3311">
        <v>1</v>
      </c>
      <c r="BD3311" t="str">
        <f t="shared" si="1296"/>
        <v xml:space="preserve">N52156  </v>
      </c>
      <c r="BE3311">
        <v>1</v>
      </c>
      <c r="BG3311">
        <v>0</v>
      </c>
      <c r="BH3311">
        <v>0</v>
      </c>
      <c r="BI3311">
        <v>0</v>
      </c>
      <c r="BJ3311">
        <v>4350</v>
      </c>
      <c r="BK3311">
        <v>50</v>
      </c>
      <c r="BL3311" t="s">
        <v>188</v>
      </c>
      <c r="BM3311">
        <v>1</v>
      </c>
      <c r="BN3311">
        <v>1</v>
      </c>
      <c r="BO3311">
        <v>0</v>
      </c>
      <c r="BP3311">
        <v>0</v>
      </c>
      <c r="BS3311">
        <v>0</v>
      </c>
      <c r="BT3311">
        <v>0</v>
      </c>
      <c r="BU3311">
        <v>0</v>
      </c>
      <c r="CE3311" t="str">
        <f t="shared" si="1311"/>
        <v>15:13:43.378</v>
      </c>
      <c r="CF3311">
        <v>377733045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3</v>
      </c>
      <c r="CY3311">
        <v>7</v>
      </c>
      <c r="CZ3311" t="s">
        <v>133</v>
      </c>
      <c r="DA3311">
        <v>275</v>
      </c>
      <c r="DB3311">
        <v>0</v>
      </c>
      <c r="DC3311" t="s">
        <v>134</v>
      </c>
      <c r="DD3311" t="s">
        <v>135</v>
      </c>
      <c r="DG3311">
        <v>3322567</v>
      </c>
      <c r="DI3311">
        <v>1</v>
      </c>
      <c r="DJ3311">
        <v>0</v>
      </c>
      <c r="DK3311">
        <v>1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3">
      <c r="A3312" t="str">
        <f>"05/01/2025 15:13:43.610"</f>
        <v>05/01/2025 15:13:43.610</v>
      </c>
      <c r="C3312" t="str">
        <f t="shared" si="1292"/>
        <v>FFDFD3C0</v>
      </c>
      <c r="D3312" t="s">
        <v>145</v>
      </c>
      <c r="E3312" t="str">
        <f>"05"</f>
        <v>05</v>
      </c>
      <c r="H3312">
        <v>47</v>
      </c>
      <c r="I3312" t="s">
        <v>146</v>
      </c>
      <c r="J3312" t="s">
        <v>138</v>
      </c>
      <c r="K3312">
        <v>0</v>
      </c>
      <c r="L3312">
        <v>3</v>
      </c>
      <c r="M3312">
        <v>0</v>
      </c>
      <c r="N3312">
        <v>2</v>
      </c>
      <c r="O3312">
        <v>0</v>
      </c>
      <c r="P3312">
        <v>1</v>
      </c>
      <c r="Q3312">
        <v>0</v>
      </c>
      <c r="R3312" t="s">
        <v>127</v>
      </c>
      <c r="S3312" t="str">
        <f t="shared" si="1310"/>
        <v>15:13:43.000</v>
      </c>
      <c r="T3312" t="str">
        <f t="shared" si="1310"/>
        <v>15:13:43.000</v>
      </c>
      <c r="U3312" t="str">
        <f t="shared" si="1294"/>
        <v>A68FCB</v>
      </c>
      <c r="V3312">
        <v>0</v>
      </c>
      <c r="W3312">
        <v>0</v>
      </c>
      <c r="X3312">
        <v>2</v>
      </c>
      <c r="Y3312">
        <v>0</v>
      </c>
      <c r="AA3312">
        <v>1</v>
      </c>
      <c r="AB3312">
        <v>8</v>
      </c>
      <c r="AC3312">
        <v>3</v>
      </c>
      <c r="AD3312">
        <v>0</v>
      </c>
      <c r="AE3312">
        <v>9</v>
      </c>
      <c r="AF3312" t="s">
        <v>138</v>
      </c>
      <c r="AG3312">
        <v>0</v>
      </c>
      <c r="AH3312">
        <v>3</v>
      </c>
      <c r="AI3312">
        <v>2</v>
      </c>
      <c r="AJ3312">
        <v>0</v>
      </c>
      <c r="AK3312" t="s">
        <v>1103</v>
      </c>
      <c r="AL3312">
        <v>39.135725000000001</v>
      </c>
      <c r="AM3312" t="s">
        <v>1104</v>
      </c>
      <c r="AN3312">
        <v>-121.03103400000001</v>
      </c>
      <c r="AO3312">
        <v>25</v>
      </c>
      <c r="AP3312">
        <v>4300</v>
      </c>
      <c r="AQ3312" t="s">
        <v>131</v>
      </c>
      <c r="AR3312">
        <v>2</v>
      </c>
      <c r="AS3312">
        <v>84</v>
      </c>
      <c r="AT3312">
        <v>0</v>
      </c>
      <c r="BB3312" t="str">
        <f t="shared" si="1295"/>
        <v>1200</v>
      </c>
      <c r="BC3312">
        <v>1</v>
      </c>
      <c r="BD3312" t="str">
        <f t="shared" si="1296"/>
        <v xml:space="preserve">N52156  </v>
      </c>
      <c r="BE3312">
        <v>1</v>
      </c>
      <c r="BG3312">
        <v>0</v>
      </c>
      <c r="BH3312">
        <v>0</v>
      </c>
      <c r="BI3312">
        <v>0</v>
      </c>
      <c r="BJ3312">
        <v>4350</v>
      </c>
      <c r="BK3312">
        <v>50</v>
      </c>
      <c r="BL3312" t="s">
        <v>188</v>
      </c>
      <c r="BM3312">
        <v>1</v>
      </c>
      <c r="BN3312">
        <v>1</v>
      </c>
      <c r="BO3312">
        <v>0</v>
      </c>
      <c r="BP3312">
        <v>0</v>
      </c>
      <c r="BS3312">
        <v>0</v>
      </c>
      <c r="BT3312">
        <v>0</v>
      </c>
      <c r="BU3312">
        <v>0</v>
      </c>
      <c r="CE3312" t="str">
        <f t="shared" si="1311"/>
        <v>15:13:43.378</v>
      </c>
      <c r="CF3312">
        <v>377733045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3</v>
      </c>
      <c r="CY3312">
        <v>7</v>
      </c>
      <c r="CZ3312" t="s">
        <v>133</v>
      </c>
      <c r="DA3312">
        <v>275</v>
      </c>
      <c r="DB3312">
        <v>0</v>
      </c>
      <c r="DC3312" t="s">
        <v>134</v>
      </c>
      <c r="DD3312" t="s">
        <v>135</v>
      </c>
      <c r="DG3312">
        <v>3322567</v>
      </c>
      <c r="DI3312">
        <v>1</v>
      </c>
      <c r="DJ3312">
        <v>0</v>
      </c>
      <c r="DK3312">
        <v>1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3">
      <c r="A3313" t="str">
        <f>"05/01/2025 15:13:43.622"</f>
        <v>05/01/2025 15:13:43.622</v>
      </c>
      <c r="C3313" t="str">
        <f t="shared" si="1292"/>
        <v>FFDFD3C0</v>
      </c>
      <c r="D3313" t="s">
        <v>136</v>
      </c>
      <c r="E3313" t="str">
        <f>"20"</f>
        <v>20</v>
      </c>
      <c r="H3313">
        <v>400</v>
      </c>
      <c r="I3313" t="s">
        <v>137</v>
      </c>
      <c r="J3313" t="s">
        <v>138</v>
      </c>
      <c r="K3313">
        <v>0</v>
      </c>
      <c r="L3313">
        <v>3</v>
      </c>
      <c r="M3313">
        <v>0</v>
      </c>
      <c r="N3313">
        <v>2</v>
      </c>
      <c r="O3313">
        <v>0</v>
      </c>
      <c r="P3313">
        <v>1</v>
      </c>
      <c r="Q3313">
        <v>0</v>
      </c>
      <c r="R3313" t="s">
        <v>127</v>
      </c>
      <c r="S3313" t="str">
        <f t="shared" si="1310"/>
        <v>15:13:43.000</v>
      </c>
      <c r="T3313" t="str">
        <f t="shared" si="1310"/>
        <v>15:13:43.000</v>
      </c>
      <c r="U3313" t="str">
        <f t="shared" si="1294"/>
        <v>A68FCB</v>
      </c>
      <c r="V3313">
        <v>0</v>
      </c>
      <c r="W3313">
        <v>0</v>
      </c>
      <c r="X3313">
        <v>2</v>
      </c>
      <c r="Y3313">
        <v>0</v>
      </c>
      <c r="AA3313">
        <v>1</v>
      </c>
      <c r="AB3313">
        <v>8</v>
      </c>
      <c r="AC3313">
        <v>3</v>
      </c>
      <c r="AD3313">
        <v>0</v>
      </c>
      <c r="AE3313">
        <v>9</v>
      </c>
      <c r="AF3313" t="s">
        <v>138</v>
      </c>
      <c r="AG3313">
        <v>0</v>
      </c>
      <c r="AH3313">
        <v>3</v>
      </c>
      <c r="AI3313">
        <v>2</v>
      </c>
      <c r="AJ3313">
        <v>0</v>
      </c>
      <c r="AK3313" t="s">
        <v>1103</v>
      </c>
      <c r="AL3313">
        <v>39.135725000000001</v>
      </c>
      <c r="AM3313" t="s">
        <v>1104</v>
      </c>
      <c r="AN3313">
        <v>-121.03103400000001</v>
      </c>
      <c r="AO3313">
        <v>25</v>
      </c>
      <c r="AP3313">
        <v>4300</v>
      </c>
      <c r="AQ3313" t="s">
        <v>131</v>
      </c>
      <c r="AR3313">
        <v>2</v>
      </c>
      <c r="AS3313">
        <v>84</v>
      </c>
      <c r="AT3313">
        <v>0</v>
      </c>
      <c r="BB3313" t="str">
        <f t="shared" si="1295"/>
        <v>1200</v>
      </c>
      <c r="BC3313">
        <v>1</v>
      </c>
      <c r="BD3313" t="str">
        <f t="shared" si="1296"/>
        <v xml:space="preserve">N52156  </v>
      </c>
      <c r="BE3313">
        <v>1</v>
      </c>
      <c r="BG3313">
        <v>0</v>
      </c>
      <c r="BH3313">
        <v>0</v>
      </c>
      <c r="BI3313">
        <v>0</v>
      </c>
      <c r="BJ3313">
        <v>4350</v>
      </c>
      <c r="BK3313">
        <v>50</v>
      </c>
      <c r="BL3313" t="s">
        <v>188</v>
      </c>
      <c r="BM3313">
        <v>1</v>
      </c>
      <c r="BN3313">
        <v>1</v>
      </c>
      <c r="BO3313">
        <v>0</v>
      </c>
      <c r="BP3313">
        <v>0</v>
      </c>
      <c r="BS3313">
        <v>0</v>
      </c>
      <c r="BT3313">
        <v>0</v>
      </c>
      <c r="BU3313">
        <v>0</v>
      </c>
      <c r="CE3313" t="str">
        <f t="shared" si="1311"/>
        <v>15:13:43.378</v>
      </c>
      <c r="CF3313">
        <v>377733045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3</v>
      </c>
      <c r="CY3313">
        <v>7</v>
      </c>
      <c r="CZ3313" t="s">
        <v>133</v>
      </c>
      <c r="DA3313">
        <v>275</v>
      </c>
      <c r="DB3313">
        <v>0</v>
      </c>
      <c r="DC3313" t="s">
        <v>134</v>
      </c>
      <c r="DD3313" t="s">
        <v>135</v>
      </c>
      <c r="DG3313">
        <v>3322567</v>
      </c>
      <c r="DI3313">
        <v>1</v>
      </c>
      <c r="DJ3313">
        <v>0</v>
      </c>
      <c r="DK3313">
        <v>1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3">
      <c r="A3314" t="str">
        <f>"05/01/2025 15:13:44.473"</f>
        <v>05/01/2025 15:13:44.473</v>
      </c>
      <c r="C3314" t="str">
        <f t="shared" si="1292"/>
        <v>FFDFD3C0</v>
      </c>
      <c r="D3314" t="s">
        <v>136</v>
      </c>
      <c r="E3314" t="str">
        <f>"20"</f>
        <v>20</v>
      </c>
      <c r="H3314">
        <v>400</v>
      </c>
      <c r="I3314" t="s">
        <v>137</v>
      </c>
      <c r="J3314" t="s">
        <v>138</v>
      </c>
      <c r="K3314">
        <v>0</v>
      </c>
      <c r="L3314">
        <v>3</v>
      </c>
      <c r="M3314">
        <v>0</v>
      </c>
      <c r="N3314">
        <v>2</v>
      </c>
      <c r="O3314">
        <v>0</v>
      </c>
      <c r="P3314">
        <v>1</v>
      </c>
      <c r="Q3314">
        <v>0</v>
      </c>
      <c r="R3314" t="s">
        <v>127</v>
      </c>
      <c r="S3314" t="str">
        <f t="shared" ref="S3314:T3319" si="1312">"15:13:44.000"</f>
        <v>15:13:44.000</v>
      </c>
      <c r="T3314" t="str">
        <f t="shared" si="1312"/>
        <v>15:13:44.000</v>
      </c>
      <c r="U3314" t="str">
        <f t="shared" si="1294"/>
        <v>A68FCB</v>
      </c>
      <c r="V3314">
        <v>0</v>
      </c>
      <c r="W3314">
        <v>0</v>
      </c>
      <c r="X3314">
        <v>2</v>
      </c>
      <c r="Y3314">
        <v>0</v>
      </c>
      <c r="AA3314">
        <v>1</v>
      </c>
      <c r="AB3314">
        <v>8</v>
      </c>
      <c r="AC3314">
        <v>3</v>
      </c>
      <c r="AD3314">
        <v>0</v>
      </c>
      <c r="AE3314">
        <v>9</v>
      </c>
      <c r="AF3314" t="s">
        <v>138</v>
      </c>
      <c r="AG3314">
        <v>0</v>
      </c>
      <c r="AH3314">
        <v>3</v>
      </c>
      <c r="AI3314">
        <v>2</v>
      </c>
      <c r="AJ3314">
        <v>0</v>
      </c>
      <c r="AK3314" t="s">
        <v>1105</v>
      </c>
      <c r="AL3314">
        <v>39.136111999999997</v>
      </c>
      <c r="AM3314" t="s">
        <v>1104</v>
      </c>
      <c r="AN3314">
        <v>-121.03103400000001</v>
      </c>
      <c r="AO3314">
        <v>25</v>
      </c>
      <c r="AP3314">
        <v>4300</v>
      </c>
      <c r="AQ3314" t="s">
        <v>131</v>
      </c>
      <c r="AR3314">
        <v>2</v>
      </c>
      <c r="AS3314">
        <v>84</v>
      </c>
      <c r="AT3314">
        <v>0</v>
      </c>
      <c r="BB3314" t="str">
        <f t="shared" si="1295"/>
        <v>1200</v>
      </c>
      <c r="BC3314">
        <v>1</v>
      </c>
      <c r="BD3314" t="str">
        <f t="shared" si="1296"/>
        <v xml:space="preserve">N52156  </v>
      </c>
      <c r="BE3314">
        <v>1</v>
      </c>
      <c r="BG3314">
        <v>0</v>
      </c>
      <c r="BH3314">
        <v>0</v>
      </c>
      <c r="BI3314">
        <v>0</v>
      </c>
      <c r="BJ3314">
        <v>4350</v>
      </c>
      <c r="BK3314">
        <v>50</v>
      </c>
      <c r="BL3314" t="s">
        <v>188</v>
      </c>
      <c r="BM3314">
        <v>1</v>
      </c>
      <c r="BN3314">
        <v>1</v>
      </c>
      <c r="BO3314">
        <v>0</v>
      </c>
      <c r="BP3314">
        <v>0</v>
      </c>
      <c r="BS3314">
        <v>0</v>
      </c>
      <c r="BT3314">
        <v>0</v>
      </c>
      <c r="BU3314">
        <v>0</v>
      </c>
      <c r="CE3314" t="str">
        <f t="shared" ref="CE3314:CE3319" si="1313">"15:13:44.267"</f>
        <v>15:13:44.267</v>
      </c>
      <c r="CF3314">
        <v>266559053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3</v>
      </c>
      <c r="CY3314">
        <v>7</v>
      </c>
      <c r="CZ3314" t="s">
        <v>133</v>
      </c>
      <c r="DA3314">
        <v>276</v>
      </c>
      <c r="DB3314">
        <v>0</v>
      </c>
      <c r="DC3314" t="s">
        <v>402</v>
      </c>
      <c r="DD3314" t="s">
        <v>403</v>
      </c>
      <c r="DG3314">
        <v>1627994</v>
      </c>
      <c r="DI3314">
        <v>1</v>
      </c>
      <c r="DJ3314">
        <v>0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3">
      <c r="A3315" t="str">
        <f>"05/01/2025 15:13:44.485"</f>
        <v>05/01/2025 15:13:44.485</v>
      </c>
      <c r="C3315" t="str">
        <f t="shared" si="1292"/>
        <v>FFDFD3C0</v>
      </c>
      <c r="D3315" t="s">
        <v>143</v>
      </c>
      <c r="E3315" t="str">
        <f>"05"</f>
        <v>05</v>
      </c>
      <c r="H3315">
        <v>172</v>
      </c>
      <c r="I3315" t="s">
        <v>141</v>
      </c>
      <c r="J3315" t="s">
        <v>144</v>
      </c>
      <c r="K3315">
        <v>0</v>
      </c>
      <c r="L3315">
        <v>3</v>
      </c>
      <c r="M3315">
        <v>0</v>
      </c>
      <c r="N3315">
        <v>2</v>
      </c>
      <c r="O3315">
        <v>0</v>
      </c>
      <c r="P3315">
        <v>1</v>
      </c>
      <c r="Q3315">
        <v>0</v>
      </c>
      <c r="R3315" t="s">
        <v>127</v>
      </c>
      <c r="S3315" t="str">
        <f t="shared" si="1312"/>
        <v>15:13:44.000</v>
      </c>
      <c r="T3315" t="str">
        <f t="shared" si="1312"/>
        <v>15:13:44.000</v>
      </c>
      <c r="U3315" t="str">
        <f t="shared" si="1294"/>
        <v>A68FCB</v>
      </c>
      <c r="V3315">
        <v>0</v>
      </c>
      <c r="W3315">
        <v>0</v>
      </c>
      <c r="X3315">
        <v>2</v>
      </c>
      <c r="Y3315">
        <v>0</v>
      </c>
      <c r="AA3315">
        <v>1</v>
      </c>
      <c r="AB3315">
        <v>8</v>
      </c>
      <c r="AC3315">
        <v>3</v>
      </c>
      <c r="AD3315">
        <v>0</v>
      </c>
      <c r="AE3315">
        <v>9</v>
      </c>
      <c r="AF3315" t="s">
        <v>138</v>
      </c>
      <c r="AG3315">
        <v>0</v>
      </c>
      <c r="AH3315">
        <v>3</v>
      </c>
      <c r="AI3315">
        <v>2</v>
      </c>
      <c r="AJ3315">
        <v>0</v>
      </c>
      <c r="AK3315" t="s">
        <v>1105</v>
      </c>
      <c r="AL3315">
        <v>39.136111999999997</v>
      </c>
      <c r="AM3315" t="s">
        <v>1104</v>
      </c>
      <c r="AN3315">
        <v>-121.03103400000001</v>
      </c>
      <c r="AO3315">
        <v>25</v>
      </c>
      <c r="AP3315">
        <v>4300</v>
      </c>
      <c r="AQ3315" t="s">
        <v>131</v>
      </c>
      <c r="AR3315">
        <v>2</v>
      </c>
      <c r="AS3315">
        <v>84</v>
      </c>
      <c r="AT3315">
        <v>0</v>
      </c>
      <c r="BB3315" t="str">
        <f t="shared" si="1295"/>
        <v>1200</v>
      </c>
      <c r="BC3315">
        <v>1</v>
      </c>
      <c r="BD3315" t="str">
        <f t="shared" si="1296"/>
        <v xml:space="preserve">N52156  </v>
      </c>
      <c r="BE3315">
        <v>1</v>
      </c>
      <c r="BG3315">
        <v>0</v>
      </c>
      <c r="BH3315">
        <v>0</v>
      </c>
      <c r="BI3315">
        <v>0</v>
      </c>
      <c r="BJ3315">
        <v>4350</v>
      </c>
      <c r="BK3315">
        <v>50</v>
      </c>
      <c r="BL3315" t="s">
        <v>188</v>
      </c>
      <c r="BM3315">
        <v>1</v>
      </c>
      <c r="BN3315">
        <v>1</v>
      </c>
      <c r="BO3315">
        <v>0</v>
      </c>
      <c r="BP3315">
        <v>0</v>
      </c>
      <c r="BS3315">
        <v>0</v>
      </c>
      <c r="BT3315">
        <v>0</v>
      </c>
      <c r="BU3315">
        <v>0</v>
      </c>
      <c r="CE3315" t="str">
        <f t="shared" si="1313"/>
        <v>15:13:44.267</v>
      </c>
      <c r="CF3315">
        <v>266559053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3</v>
      </c>
      <c r="CY3315">
        <v>7</v>
      </c>
      <c r="CZ3315" t="s">
        <v>133</v>
      </c>
      <c r="DA3315">
        <v>276</v>
      </c>
      <c r="DB3315">
        <v>0</v>
      </c>
      <c r="DC3315" t="s">
        <v>402</v>
      </c>
      <c r="DD3315" t="s">
        <v>403</v>
      </c>
      <c r="DG3315">
        <v>1627994</v>
      </c>
      <c r="DI3315">
        <v>1</v>
      </c>
      <c r="DJ3315">
        <v>0</v>
      </c>
      <c r="DK3315">
        <v>1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3">
      <c r="A3316" t="str">
        <f>"05/01/2025 15:13:44.497"</f>
        <v>05/01/2025 15:13:44.497</v>
      </c>
      <c r="C3316" t="str">
        <f t="shared" si="1292"/>
        <v>FFDFD3C0</v>
      </c>
      <c r="D3316" t="s">
        <v>124</v>
      </c>
      <c r="E3316" t="str">
        <f>"06"</f>
        <v>06</v>
      </c>
      <c r="F3316">
        <v>2006</v>
      </c>
      <c r="G3316" t="s">
        <v>125</v>
      </c>
      <c r="J3316" t="s">
        <v>126</v>
      </c>
      <c r="K3316">
        <v>0</v>
      </c>
      <c r="L3316">
        <v>3</v>
      </c>
      <c r="M3316">
        <v>0</v>
      </c>
      <c r="N3316">
        <v>2</v>
      </c>
      <c r="O3316">
        <v>0</v>
      </c>
      <c r="P3316">
        <v>1</v>
      </c>
      <c r="Q3316">
        <v>0</v>
      </c>
      <c r="R3316" t="s">
        <v>127</v>
      </c>
      <c r="S3316" t="str">
        <f t="shared" si="1312"/>
        <v>15:13:44.000</v>
      </c>
      <c r="T3316" t="str">
        <f t="shared" si="1312"/>
        <v>15:13:44.000</v>
      </c>
      <c r="U3316" t="str">
        <f t="shared" si="1294"/>
        <v>A68FCB</v>
      </c>
      <c r="V3316">
        <v>0</v>
      </c>
      <c r="W3316">
        <v>0</v>
      </c>
      <c r="X3316">
        <v>2</v>
      </c>
      <c r="Y3316">
        <v>0</v>
      </c>
      <c r="AA3316">
        <v>1</v>
      </c>
      <c r="AB3316">
        <v>8</v>
      </c>
      <c r="AC3316">
        <v>3</v>
      </c>
      <c r="AD3316">
        <v>0</v>
      </c>
      <c r="AE3316">
        <v>9</v>
      </c>
      <c r="AF3316" t="s">
        <v>138</v>
      </c>
      <c r="AG3316">
        <v>0</v>
      </c>
      <c r="AH3316">
        <v>3</v>
      </c>
      <c r="AI3316">
        <v>2</v>
      </c>
      <c r="AJ3316">
        <v>0</v>
      </c>
      <c r="AK3316" t="s">
        <v>1105</v>
      </c>
      <c r="AL3316">
        <v>39.136111999999997</v>
      </c>
      <c r="AM3316" t="s">
        <v>1104</v>
      </c>
      <c r="AN3316">
        <v>-121.03103400000001</v>
      </c>
      <c r="AO3316">
        <v>25</v>
      </c>
      <c r="AP3316">
        <v>4300</v>
      </c>
      <c r="AQ3316" t="s">
        <v>131</v>
      </c>
      <c r="AR3316">
        <v>2</v>
      </c>
      <c r="AS3316">
        <v>84</v>
      </c>
      <c r="AT3316">
        <v>0</v>
      </c>
      <c r="BB3316" t="str">
        <f t="shared" si="1295"/>
        <v>1200</v>
      </c>
      <c r="BC3316">
        <v>1</v>
      </c>
      <c r="BD3316" t="str">
        <f t="shared" si="1296"/>
        <v xml:space="preserve">N52156  </v>
      </c>
      <c r="BE3316">
        <v>1</v>
      </c>
      <c r="BG3316">
        <v>0</v>
      </c>
      <c r="BH3316">
        <v>0</v>
      </c>
      <c r="BI3316">
        <v>0</v>
      </c>
      <c r="BJ3316">
        <v>4350</v>
      </c>
      <c r="BK3316">
        <v>50</v>
      </c>
      <c r="BL3316" t="s">
        <v>188</v>
      </c>
      <c r="BM3316">
        <v>1</v>
      </c>
      <c r="BN3316">
        <v>1</v>
      </c>
      <c r="BO3316">
        <v>0</v>
      </c>
      <c r="BP3316">
        <v>0</v>
      </c>
      <c r="BS3316">
        <v>0</v>
      </c>
      <c r="BT3316">
        <v>0</v>
      </c>
      <c r="BU3316">
        <v>0</v>
      </c>
      <c r="CE3316" t="str">
        <f t="shared" si="1313"/>
        <v>15:13:44.267</v>
      </c>
      <c r="CF3316">
        <v>266559053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3</v>
      </c>
      <c r="CY3316">
        <v>7</v>
      </c>
      <c r="CZ3316" t="s">
        <v>133</v>
      </c>
      <c r="DA3316">
        <v>276</v>
      </c>
      <c r="DB3316">
        <v>0</v>
      </c>
      <c r="DC3316" t="s">
        <v>402</v>
      </c>
      <c r="DD3316" t="s">
        <v>403</v>
      </c>
      <c r="DG3316">
        <v>1627994</v>
      </c>
      <c r="DI3316">
        <v>1</v>
      </c>
      <c r="DJ3316">
        <v>0</v>
      </c>
      <c r="DK3316">
        <v>1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3">
      <c r="A3317" t="str">
        <f>"05/01/2025 15:13:44.498"</f>
        <v>05/01/2025 15:13:44.498</v>
      </c>
      <c r="C3317" t="str">
        <f t="shared" si="1292"/>
        <v>FFDFD3C0</v>
      </c>
      <c r="D3317" t="s">
        <v>140</v>
      </c>
      <c r="E3317" t="str">
        <f>"13"</f>
        <v>13</v>
      </c>
      <c r="F3317">
        <v>1019</v>
      </c>
      <c r="G3317" t="s">
        <v>141</v>
      </c>
      <c r="J3317" t="s">
        <v>142</v>
      </c>
      <c r="K3317">
        <v>0</v>
      </c>
      <c r="L3317">
        <v>3</v>
      </c>
      <c r="M3317">
        <v>0</v>
      </c>
      <c r="N3317">
        <v>2</v>
      </c>
      <c r="O3317">
        <v>0</v>
      </c>
      <c r="P3317">
        <v>1</v>
      </c>
      <c r="Q3317">
        <v>0</v>
      </c>
      <c r="R3317" t="s">
        <v>127</v>
      </c>
      <c r="S3317" t="str">
        <f t="shared" si="1312"/>
        <v>15:13:44.000</v>
      </c>
      <c r="T3317" t="str">
        <f t="shared" si="1312"/>
        <v>15:13:44.000</v>
      </c>
      <c r="U3317" t="str">
        <f t="shared" si="1294"/>
        <v>A68FCB</v>
      </c>
      <c r="V3317">
        <v>0</v>
      </c>
      <c r="W3317">
        <v>0</v>
      </c>
      <c r="X3317">
        <v>2</v>
      </c>
      <c r="Y3317">
        <v>0</v>
      </c>
      <c r="AA3317">
        <v>1</v>
      </c>
      <c r="AB3317">
        <v>8</v>
      </c>
      <c r="AC3317">
        <v>3</v>
      </c>
      <c r="AD3317">
        <v>0</v>
      </c>
      <c r="AE3317">
        <v>9</v>
      </c>
      <c r="AF3317" t="s">
        <v>138</v>
      </c>
      <c r="AG3317">
        <v>0</v>
      </c>
      <c r="AH3317">
        <v>3</v>
      </c>
      <c r="AI3317">
        <v>2</v>
      </c>
      <c r="AJ3317">
        <v>0</v>
      </c>
      <c r="AK3317" t="s">
        <v>1105</v>
      </c>
      <c r="AL3317">
        <v>39.136111999999997</v>
      </c>
      <c r="AM3317" t="s">
        <v>1104</v>
      </c>
      <c r="AN3317">
        <v>-121.03103400000001</v>
      </c>
      <c r="AO3317">
        <v>25</v>
      </c>
      <c r="AP3317">
        <v>4300</v>
      </c>
      <c r="AQ3317" t="s">
        <v>131</v>
      </c>
      <c r="AR3317">
        <v>2</v>
      </c>
      <c r="AS3317">
        <v>84</v>
      </c>
      <c r="AT3317">
        <v>0</v>
      </c>
      <c r="BB3317" t="str">
        <f t="shared" si="1295"/>
        <v>1200</v>
      </c>
      <c r="BC3317">
        <v>1</v>
      </c>
      <c r="BD3317" t="str">
        <f t="shared" si="1296"/>
        <v xml:space="preserve">N52156  </v>
      </c>
      <c r="BE3317">
        <v>1</v>
      </c>
      <c r="BG3317">
        <v>0</v>
      </c>
      <c r="BH3317">
        <v>0</v>
      </c>
      <c r="BI3317">
        <v>0</v>
      </c>
      <c r="BJ3317">
        <v>4350</v>
      </c>
      <c r="BK3317">
        <v>50</v>
      </c>
      <c r="BL3317" t="s">
        <v>188</v>
      </c>
      <c r="BM3317">
        <v>1</v>
      </c>
      <c r="BN3317">
        <v>1</v>
      </c>
      <c r="BO3317">
        <v>0</v>
      </c>
      <c r="BP3317">
        <v>0</v>
      </c>
      <c r="BS3317">
        <v>0</v>
      </c>
      <c r="BT3317">
        <v>0</v>
      </c>
      <c r="BU3317">
        <v>0</v>
      </c>
      <c r="CE3317" t="str">
        <f t="shared" si="1313"/>
        <v>15:13:44.267</v>
      </c>
      <c r="CF3317">
        <v>266559053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3</v>
      </c>
      <c r="CY3317">
        <v>7</v>
      </c>
      <c r="CZ3317" t="s">
        <v>133</v>
      </c>
      <c r="DA3317">
        <v>276</v>
      </c>
      <c r="DB3317">
        <v>0</v>
      </c>
      <c r="DC3317" t="s">
        <v>402</v>
      </c>
      <c r="DD3317" t="s">
        <v>403</v>
      </c>
      <c r="DG3317">
        <v>1627994</v>
      </c>
      <c r="DI3317">
        <v>1</v>
      </c>
      <c r="DJ3317">
        <v>0</v>
      </c>
      <c r="DK3317">
        <v>1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3">
      <c r="A3318" t="str">
        <f>"05/01/2025 15:13:44.511"</f>
        <v>05/01/2025 15:13:44.511</v>
      </c>
      <c r="C3318" t="str">
        <f t="shared" si="1292"/>
        <v>FFDFD3C0</v>
      </c>
      <c r="D3318" t="s">
        <v>145</v>
      </c>
      <c r="E3318" t="str">
        <f>"09"</f>
        <v>09</v>
      </c>
      <c r="H3318">
        <v>51</v>
      </c>
      <c r="I3318" t="s">
        <v>147</v>
      </c>
      <c r="J3318" t="s">
        <v>138</v>
      </c>
      <c r="K3318">
        <v>0</v>
      </c>
      <c r="L3318">
        <v>3</v>
      </c>
      <c r="M3318">
        <v>0</v>
      </c>
      <c r="N3318">
        <v>2</v>
      </c>
      <c r="O3318">
        <v>0</v>
      </c>
      <c r="P3318">
        <v>1</v>
      </c>
      <c r="Q3318">
        <v>0</v>
      </c>
      <c r="R3318" t="s">
        <v>127</v>
      </c>
      <c r="S3318" t="str">
        <f t="shared" si="1312"/>
        <v>15:13:44.000</v>
      </c>
      <c r="T3318" t="str">
        <f t="shared" si="1312"/>
        <v>15:13:44.000</v>
      </c>
      <c r="U3318" t="str">
        <f t="shared" si="1294"/>
        <v>A68FCB</v>
      </c>
      <c r="V3318">
        <v>0</v>
      </c>
      <c r="W3318">
        <v>0</v>
      </c>
      <c r="X3318">
        <v>2</v>
      </c>
      <c r="Y3318">
        <v>0</v>
      </c>
      <c r="AA3318">
        <v>1</v>
      </c>
      <c r="AB3318">
        <v>8</v>
      </c>
      <c r="AC3318">
        <v>3</v>
      </c>
      <c r="AD3318">
        <v>0</v>
      </c>
      <c r="AE3318">
        <v>9</v>
      </c>
      <c r="AF3318" t="s">
        <v>138</v>
      </c>
      <c r="AG3318">
        <v>0</v>
      </c>
      <c r="AH3318">
        <v>3</v>
      </c>
      <c r="AI3318">
        <v>2</v>
      </c>
      <c r="AJ3318">
        <v>0</v>
      </c>
      <c r="AK3318" t="s">
        <v>1105</v>
      </c>
      <c r="AL3318">
        <v>39.136111999999997</v>
      </c>
      <c r="AM3318" t="s">
        <v>1104</v>
      </c>
      <c r="AN3318">
        <v>-121.03103400000001</v>
      </c>
      <c r="AO3318">
        <v>25</v>
      </c>
      <c r="AP3318">
        <v>4300</v>
      </c>
      <c r="AQ3318" t="s">
        <v>131</v>
      </c>
      <c r="AR3318">
        <v>2</v>
      </c>
      <c r="AS3318">
        <v>84</v>
      </c>
      <c r="AT3318">
        <v>0</v>
      </c>
      <c r="BB3318" t="str">
        <f t="shared" si="1295"/>
        <v>1200</v>
      </c>
      <c r="BC3318">
        <v>1</v>
      </c>
      <c r="BD3318" t="str">
        <f t="shared" si="1296"/>
        <v xml:space="preserve">N52156  </v>
      </c>
      <c r="BE3318">
        <v>1</v>
      </c>
      <c r="BG3318">
        <v>0</v>
      </c>
      <c r="BH3318">
        <v>0</v>
      </c>
      <c r="BI3318">
        <v>0</v>
      </c>
      <c r="BJ3318">
        <v>4350</v>
      </c>
      <c r="BK3318">
        <v>50</v>
      </c>
      <c r="BL3318" t="s">
        <v>188</v>
      </c>
      <c r="BM3318">
        <v>1</v>
      </c>
      <c r="BN3318">
        <v>1</v>
      </c>
      <c r="BO3318">
        <v>0</v>
      </c>
      <c r="BP3318">
        <v>0</v>
      </c>
      <c r="BS3318">
        <v>0</v>
      </c>
      <c r="BT3318">
        <v>0</v>
      </c>
      <c r="BU3318">
        <v>0</v>
      </c>
      <c r="CE3318" t="str">
        <f t="shared" si="1313"/>
        <v>15:13:44.267</v>
      </c>
      <c r="CF3318">
        <v>266559053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3</v>
      </c>
      <c r="CY3318">
        <v>7</v>
      </c>
      <c r="CZ3318" t="s">
        <v>133</v>
      </c>
      <c r="DA3318">
        <v>276</v>
      </c>
      <c r="DB3318">
        <v>0</v>
      </c>
      <c r="DC3318" t="s">
        <v>402</v>
      </c>
      <c r="DD3318" t="s">
        <v>403</v>
      </c>
      <c r="DG3318">
        <v>1627994</v>
      </c>
      <c r="DI3318">
        <v>1</v>
      </c>
      <c r="DJ3318">
        <v>0</v>
      </c>
      <c r="DK3318">
        <v>1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3">
      <c r="A3319" t="str">
        <f>"05/01/2025 15:13:44.512"</f>
        <v>05/01/2025 15:13:44.512</v>
      </c>
      <c r="C3319" t="str">
        <f t="shared" si="1292"/>
        <v>FFDFD3C0</v>
      </c>
      <c r="D3319" t="s">
        <v>145</v>
      </c>
      <c r="E3319" t="str">
        <f>"05"</f>
        <v>05</v>
      </c>
      <c r="H3319">
        <v>47</v>
      </c>
      <c r="I3319" t="s">
        <v>146</v>
      </c>
      <c r="J3319" t="s">
        <v>138</v>
      </c>
      <c r="K3319">
        <v>0</v>
      </c>
      <c r="L3319">
        <v>3</v>
      </c>
      <c r="M3319">
        <v>0</v>
      </c>
      <c r="N3319">
        <v>2</v>
      </c>
      <c r="O3319">
        <v>0</v>
      </c>
      <c r="P3319">
        <v>1</v>
      </c>
      <c r="Q3319">
        <v>0</v>
      </c>
      <c r="R3319" t="s">
        <v>127</v>
      </c>
      <c r="S3319" t="str">
        <f t="shared" si="1312"/>
        <v>15:13:44.000</v>
      </c>
      <c r="T3319" t="str">
        <f t="shared" si="1312"/>
        <v>15:13:44.000</v>
      </c>
      <c r="U3319" t="str">
        <f t="shared" si="1294"/>
        <v>A68FCB</v>
      </c>
      <c r="V3319">
        <v>0</v>
      </c>
      <c r="W3319">
        <v>0</v>
      </c>
      <c r="X3319">
        <v>2</v>
      </c>
      <c r="Y3319">
        <v>0</v>
      </c>
      <c r="AA3319">
        <v>1</v>
      </c>
      <c r="AB3319">
        <v>8</v>
      </c>
      <c r="AC3319">
        <v>3</v>
      </c>
      <c r="AD3319">
        <v>0</v>
      </c>
      <c r="AE3319">
        <v>9</v>
      </c>
      <c r="AF3319" t="s">
        <v>138</v>
      </c>
      <c r="AG3319">
        <v>0</v>
      </c>
      <c r="AH3319">
        <v>3</v>
      </c>
      <c r="AI3319">
        <v>2</v>
      </c>
      <c r="AJ3319">
        <v>0</v>
      </c>
      <c r="AK3319" t="s">
        <v>1105</v>
      </c>
      <c r="AL3319">
        <v>39.136111999999997</v>
      </c>
      <c r="AM3319" t="s">
        <v>1104</v>
      </c>
      <c r="AN3319">
        <v>-121.03103400000001</v>
      </c>
      <c r="AO3319">
        <v>25</v>
      </c>
      <c r="AP3319">
        <v>4300</v>
      </c>
      <c r="AQ3319" t="s">
        <v>131</v>
      </c>
      <c r="AR3319">
        <v>2</v>
      </c>
      <c r="AS3319">
        <v>84</v>
      </c>
      <c r="AT3319">
        <v>0</v>
      </c>
      <c r="BB3319" t="str">
        <f t="shared" si="1295"/>
        <v>1200</v>
      </c>
      <c r="BC3319">
        <v>1</v>
      </c>
      <c r="BD3319" t="str">
        <f t="shared" si="1296"/>
        <v xml:space="preserve">N52156  </v>
      </c>
      <c r="BE3319">
        <v>1</v>
      </c>
      <c r="BG3319">
        <v>0</v>
      </c>
      <c r="BH3319">
        <v>0</v>
      </c>
      <c r="BI3319">
        <v>0</v>
      </c>
      <c r="BJ3319">
        <v>4350</v>
      </c>
      <c r="BK3319">
        <v>50</v>
      </c>
      <c r="BL3319" t="s">
        <v>188</v>
      </c>
      <c r="BM3319">
        <v>1</v>
      </c>
      <c r="BN3319">
        <v>1</v>
      </c>
      <c r="BO3319">
        <v>0</v>
      </c>
      <c r="BP3319">
        <v>0</v>
      </c>
      <c r="BS3319">
        <v>0</v>
      </c>
      <c r="BT3319">
        <v>0</v>
      </c>
      <c r="BU3319">
        <v>0</v>
      </c>
      <c r="CE3319" t="str">
        <f t="shared" si="1313"/>
        <v>15:13:44.267</v>
      </c>
      <c r="CF3319">
        <v>266559053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3</v>
      </c>
      <c r="CY3319">
        <v>7</v>
      </c>
      <c r="CZ3319" t="s">
        <v>133</v>
      </c>
      <c r="DA3319">
        <v>276</v>
      </c>
      <c r="DB3319">
        <v>0</v>
      </c>
      <c r="DC3319" t="s">
        <v>402</v>
      </c>
      <c r="DD3319" t="s">
        <v>403</v>
      </c>
      <c r="DG3319">
        <v>1627994</v>
      </c>
      <c r="DI3319">
        <v>1</v>
      </c>
      <c r="DJ3319">
        <v>0</v>
      </c>
      <c r="DK3319">
        <v>1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3">
      <c r="A3320" t="str">
        <f>"05/01/2025 15:13:45.825"</f>
        <v>05/01/2025 15:13:45.825</v>
      </c>
      <c r="C3320" t="str">
        <f t="shared" si="1292"/>
        <v>FFDFD3C0</v>
      </c>
      <c r="D3320" t="s">
        <v>136</v>
      </c>
      <c r="E3320" t="str">
        <f>"20"</f>
        <v>20</v>
      </c>
      <c r="H3320">
        <v>400</v>
      </c>
      <c r="I3320" t="s">
        <v>137</v>
      </c>
      <c r="J3320" t="s">
        <v>138</v>
      </c>
      <c r="K3320">
        <v>0</v>
      </c>
      <c r="L3320">
        <v>3</v>
      </c>
      <c r="M3320">
        <v>0</v>
      </c>
      <c r="N3320">
        <v>2</v>
      </c>
      <c r="O3320">
        <v>0</v>
      </c>
      <c r="P3320">
        <v>1</v>
      </c>
      <c r="Q3320">
        <v>0</v>
      </c>
      <c r="R3320" t="s">
        <v>127</v>
      </c>
      <c r="S3320" t="str">
        <f t="shared" ref="S3320:T3325" si="1314">"15:13:45.000"</f>
        <v>15:13:45.000</v>
      </c>
      <c r="T3320" t="str">
        <f t="shared" si="1314"/>
        <v>15:13:45.000</v>
      </c>
      <c r="U3320" t="str">
        <f t="shared" si="1294"/>
        <v>A68FCB</v>
      </c>
      <c r="V3320">
        <v>0</v>
      </c>
      <c r="W3320">
        <v>0</v>
      </c>
      <c r="X3320">
        <v>2</v>
      </c>
      <c r="Y3320">
        <v>0</v>
      </c>
      <c r="AA3320">
        <v>1</v>
      </c>
      <c r="AB3320">
        <v>8</v>
      </c>
      <c r="AC3320">
        <v>3</v>
      </c>
      <c r="AD3320">
        <v>0</v>
      </c>
      <c r="AE3320">
        <v>9</v>
      </c>
      <c r="AF3320" t="s">
        <v>138</v>
      </c>
      <c r="AG3320">
        <v>0</v>
      </c>
      <c r="AH3320">
        <v>3</v>
      </c>
      <c r="AI3320">
        <v>2</v>
      </c>
      <c r="AJ3320">
        <v>0</v>
      </c>
      <c r="AK3320" t="s">
        <v>1106</v>
      </c>
      <c r="AL3320">
        <v>39.136498000000003</v>
      </c>
      <c r="AM3320" t="s">
        <v>1107</v>
      </c>
      <c r="AN3320">
        <v>-121.031013</v>
      </c>
      <c r="AO3320">
        <v>25</v>
      </c>
      <c r="AP3320">
        <v>4300</v>
      </c>
      <c r="AQ3320" t="s">
        <v>131</v>
      </c>
      <c r="AR3320">
        <v>2</v>
      </c>
      <c r="AS3320">
        <v>83</v>
      </c>
      <c r="AT3320">
        <v>0</v>
      </c>
      <c r="BB3320" t="str">
        <f t="shared" si="1295"/>
        <v>1200</v>
      </c>
      <c r="BC3320">
        <v>1</v>
      </c>
      <c r="BD3320" t="str">
        <f t="shared" si="1296"/>
        <v xml:space="preserve">N52156  </v>
      </c>
      <c r="BE3320">
        <v>1</v>
      </c>
      <c r="BG3320">
        <v>0</v>
      </c>
      <c r="BH3320">
        <v>0</v>
      </c>
      <c r="BI3320">
        <v>0</v>
      </c>
      <c r="BJ3320">
        <v>4350</v>
      </c>
      <c r="BK3320">
        <v>50</v>
      </c>
      <c r="BL3320" t="s">
        <v>188</v>
      </c>
      <c r="BM3320">
        <v>1</v>
      </c>
      <c r="BN3320">
        <v>1</v>
      </c>
      <c r="BO3320">
        <v>0</v>
      </c>
      <c r="BP3320">
        <v>0</v>
      </c>
      <c r="BS3320">
        <v>0</v>
      </c>
      <c r="BT3320">
        <v>0</v>
      </c>
      <c r="BU3320">
        <v>0</v>
      </c>
      <c r="CE3320" t="str">
        <f t="shared" ref="CE3320:CE3325" si="1315">"15:13:45.625"</f>
        <v>15:13:45.625</v>
      </c>
      <c r="CF3320">
        <v>625060115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3</v>
      </c>
      <c r="CY3320">
        <v>7</v>
      </c>
      <c r="CZ3320" t="s">
        <v>133</v>
      </c>
      <c r="DA3320">
        <v>276</v>
      </c>
      <c r="DB3320">
        <v>0</v>
      </c>
      <c r="DC3320" t="s">
        <v>402</v>
      </c>
      <c r="DD3320" t="s">
        <v>403</v>
      </c>
      <c r="DG3320">
        <v>1627997</v>
      </c>
      <c r="DI3320">
        <v>1</v>
      </c>
      <c r="DJ3320">
        <v>0</v>
      </c>
      <c r="DK3320">
        <v>0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3">
      <c r="A3321" t="str">
        <f>"05/01/2025 15:13:45.838"</f>
        <v>05/01/2025 15:13:45.838</v>
      </c>
      <c r="C3321" t="str">
        <f t="shared" si="1292"/>
        <v>FFDFD3C0</v>
      </c>
      <c r="D3321" t="s">
        <v>143</v>
      </c>
      <c r="E3321" t="str">
        <f>"05"</f>
        <v>05</v>
      </c>
      <c r="H3321">
        <v>172</v>
      </c>
      <c r="I3321" t="s">
        <v>141</v>
      </c>
      <c r="J3321" t="s">
        <v>144</v>
      </c>
      <c r="K3321">
        <v>0</v>
      </c>
      <c r="L3321">
        <v>3</v>
      </c>
      <c r="M3321">
        <v>0</v>
      </c>
      <c r="N3321">
        <v>2</v>
      </c>
      <c r="O3321">
        <v>0</v>
      </c>
      <c r="P3321">
        <v>1</v>
      </c>
      <c r="Q3321">
        <v>0</v>
      </c>
      <c r="R3321" t="s">
        <v>127</v>
      </c>
      <c r="S3321" t="str">
        <f t="shared" si="1314"/>
        <v>15:13:45.000</v>
      </c>
      <c r="T3321" t="str">
        <f t="shared" si="1314"/>
        <v>15:13:45.000</v>
      </c>
      <c r="U3321" t="str">
        <f t="shared" si="1294"/>
        <v>A68FCB</v>
      </c>
      <c r="V3321">
        <v>0</v>
      </c>
      <c r="W3321">
        <v>0</v>
      </c>
      <c r="X3321">
        <v>2</v>
      </c>
      <c r="Y3321">
        <v>0</v>
      </c>
      <c r="AA3321">
        <v>1</v>
      </c>
      <c r="AB3321">
        <v>8</v>
      </c>
      <c r="AC3321">
        <v>3</v>
      </c>
      <c r="AD3321">
        <v>0</v>
      </c>
      <c r="AE3321">
        <v>9</v>
      </c>
      <c r="AF3321" t="s">
        <v>138</v>
      </c>
      <c r="AG3321">
        <v>0</v>
      </c>
      <c r="AH3321">
        <v>3</v>
      </c>
      <c r="AI3321">
        <v>2</v>
      </c>
      <c r="AJ3321">
        <v>0</v>
      </c>
      <c r="AK3321" t="s">
        <v>1106</v>
      </c>
      <c r="AL3321">
        <v>39.136498000000003</v>
      </c>
      <c r="AM3321" t="s">
        <v>1107</v>
      </c>
      <c r="AN3321">
        <v>-121.031013</v>
      </c>
      <c r="AO3321">
        <v>25</v>
      </c>
      <c r="AP3321">
        <v>4300</v>
      </c>
      <c r="AQ3321" t="s">
        <v>131</v>
      </c>
      <c r="AR3321">
        <v>2</v>
      </c>
      <c r="AS3321">
        <v>83</v>
      </c>
      <c r="AT3321">
        <v>0</v>
      </c>
      <c r="BB3321" t="str">
        <f t="shared" si="1295"/>
        <v>1200</v>
      </c>
      <c r="BC3321">
        <v>1</v>
      </c>
      <c r="BD3321" t="str">
        <f t="shared" si="1296"/>
        <v xml:space="preserve">N52156  </v>
      </c>
      <c r="BE3321">
        <v>1</v>
      </c>
      <c r="BG3321">
        <v>0</v>
      </c>
      <c r="BH3321">
        <v>0</v>
      </c>
      <c r="BI3321">
        <v>0</v>
      </c>
      <c r="BJ3321">
        <v>4350</v>
      </c>
      <c r="BK3321">
        <v>50</v>
      </c>
      <c r="BL3321" t="s">
        <v>188</v>
      </c>
      <c r="BM3321">
        <v>1</v>
      </c>
      <c r="BN3321">
        <v>1</v>
      </c>
      <c r="BO3321">
        <v>0</v>
      </c>
      <c r="BP3321">
        <v>0</v>
      </c>
      <c r="BS3321">
        <v>0</v>
      </c>
      <c r="BT3321">
        <v>0</v>
      </c>
      <c r="BU3321">
        <v>0</v>
      </c>
      <c r="CE3321" t="str">
        <f t="shared" si="1315"/>
        <v>15:13:45.625</v>
      </c>
      <c r="CF3321">
        <v>625060115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3</v>
      </c>
      <c r="CY3321">
        <v>7</v>
      </c>
      <c r="CZ3321" t="s">
        <v>133</v>
      </c>
      <c r="DA3321">
        <v>276</v>
      </c>
      <c r="DB3321">
        <v>0</v>
      </c>
      <c r="DC3321" t="s">
        <v>402</v>
      </c>
      <c r="DD3321" t="s">
        <v>403</v>
      </c>
      <c r="DG3321">
        <v>1627997</v>
      </c>
      <c r="DI3321">
        <v>1</v>
      </c>
      <c r="DJ3321">
        <v>0</v>
      </c>
      <c r="DK3321">
        <v>1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3">
      <c r="A3322" t="str">
        <f>"05/01/2025 15:13:45.849"</f>
        <v>05/01/2025 15:13:45.849</v>
      </c>
      <c r="C3322" t="str">
        <f t="shared" si="1292"/>
        <v>FFDFD3C0</v>
      </c>
      <c r="D3322" t="s">
        <v>124</v>
      </c>
      <c r="E3322" t="str">
        <f>"06"</f>
        <v>06</v>
      </c>
      <c r="F3322">
        <v>2006</v>
      </c>
      <c r="G3322" t="s">
        <v>125</v>
      </c>
      <c r="J3322" t="s">
        <v>126</v>
      </c>
      <c r="K3322">
        <v>0</v>
      </c>
      <c r="L3322">
        <v>3</v>
      </c>
      <c r="M3322">
        <v>0</v>
      </c>
      <c r="N3322">
        <v>2</v>
      </c>
      <c r="O3322">
        <v>0</v>
      </c>
      <c r="P3322">
        <v>1</v>
      </c>
      <c r="Q3322">
        <v>0</v>
      </c>
      <c r="R3322" t="s">
        <v>127</v>
      </c>
      <c r="S3322" t="str">
        <f t="shared" si="1314"/>
        <v>15:13:45.000</v>
      </c>
      <c r="T3322" t="str">
        <f t="shared" si="1314"/>
        <v>15:13:45.000</v>
      </c>
      <c r="U3322" t="str">
        <f t="shared" si="1294"/>
        <v>A68FCB</v>
      </c>
      <c r="V3322">
        <v>0</v>
      </c>
      <c r="W3322">
        <v>0</v>
      </c>
      <c r="X3322">
        <v>2</v>
      </c>
      <c r="Y3322">
        <v>0</v>
      </c>
      <c r="AA3322">
        <v>1</v>
      </c>
      <c r="AB3322">
        <v>8</v>
      </c>
      <c r="AC3322">
        <v>3</v>
      </c>
      <c r="AD3322">
        <v>0</v>
      </c>
      <c r="AE3322">
        <v>9</v>
      </c>
      <c r="AF3322" t="s">
        <v>138</v>
      </c>
      <c r="AG3322">
        <v>0</v>
      </c>
      <c r="AH3322">
        <v>3</v>
      </c>
      <c r="AI3322">
        <v>2</v>
      </c>
      <c r="AJ3322">
        <v>0</v>
      </c>
      <c r="AK3322" t="s">
        <v>1106</v>
      </c>
      <c r="AL3322">
        <v>39.136498000000003</v>
      </c>
      <c r="AM3322" t="s">
        <v>1107</v>
      </c>
      <c r="AN3322">
        <v>-121.031013</v>
      </c>
      <c r="AO3322">
        <v>25</v>
      </c>
      <c r="AP3322">
        <v>4300</v>
      </c>
      <c r="AQ3322" t="s">
        <v>131</v>
      </c>
      <c r="AR3322">
        <v>2</v>
      </c>
      <c r="AS3322">
        <v>83</v>
      </c>
      <c r="AT3322">
        <v>0</v>
      </c>
      <c r="BB3322" t="str">
        <f t="shared" si="1295"/>
        <v>1200</v>
      </c>
      <c r="BC3322">
        <v>1</v>
      </c>
      <c r="BD3322" t="str">
        <f t="shared" si="1296"/>
        <v xml:space="preserve">N52156  </v>
      </c>
      <c r="BE3322">
        <v>1</v>
      </c>
      <c r="BG3322">
        <v>0</v>
      </c>
      <c r="BH3322">
        <v>0</v>
      </c>
      <c r="BI3322">
        <v>0</v>
      </c>
      <c r="BJ3322">
        <v>4350</v>
      </c>
      <c r="BK3322">
        <v>50</v>
      </c>
      <c r="BL3322" t="s">
        <v>188</v>
      </c>
      <c r="BM3322">
        <v>1</v>
      </c>
      <c r="BN3322">
        <v>1</v>
      </c>
      <c r="BO3322">
        <v>0</v>
      </c>
      <c r="BP3322">
        <v>0</v>
      </c>
      <c r="BS3322">
        <v>0</v>
      </c>
      <c r="BT3322">
        <v>0</v>
      </c>
      <c r="BU3322">
        <v>0</v>
      </c>
      <c r="CE3322" t="str">
        <f t="shared" si="1315"/>
        <v>15:13:45.625</v>
      </c>
      <c r="CF3322">
        <v>625060115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3</v>
      </c>
      <c r="CY3322">
        <v>7</v>
      </c>
      <c r="CZ3322" t="s">
        <v>133</v>
      </c>
      <c r="DA3322">
        <v>276</v>
      </c>
      <c r="DB3322">
        <v>0</v>
      </c>
      <c r="DC3322" t="s">
        <v>402</v>
      </c>
      <c r="DD3322" t="s">
        <v>403</v>
      </c>
      <c r="DG3322">
        <v>1627997</v>
      </c>
      <c r="DI3322">
        <v>1</v>
      </c>
      <c r="DJ3322">
        <v>0</v>
      </c>
      <c r="DK3322">
        <v>1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3">
      <c r="A3323" t="str">
        <f>"05/01/2025 15:13:45.850"</f>
        <v>05/01/2025 15:13:45.850</v>
      </c>
      <c r="C3323" t="str">
        <f t="shared" si="1292"/>
        <v>FFDFD3C0</v>
      </c>
      <c r="D3323" t="s">
        <v>140</v>
      </c>
      <c r="E3323" t="str">
        <f>"13"</f>
        <v>13</v>
      </c>
      <c r="F3323">
        <v>1019</v>
      </c>
      <c r="G3323" t="s">
        <v>141</v>
      </c>
      <c r="J3323" t="s">
        <v>142</v>
      </c>
      <c r="K3323">
        <v>0</v>
      </c>
      <c r="L3323">
        <v>3</v>
      </c>
      <c r="M3323">
        <v>0</v>
      </c>
      <c r="N3323">
        <v>2</v>
      </c>
      <c r="O3323">
        <v>0</v>
      </c>
      <c r="P3323">
        <v>1</v>
      </c>
      <c r="Q3323">
        <v>0</v>
      </c>
      <c r="R3323" t="s">
        <v>127</v>
      </c>
      <c r="S3323" t="str">
        <f t="shared" si="1314"/>
        <v>15:13:45.000</v>
      </c>
      <c r="T3323" t="str">
        <f t="shared" si="1314"/>
        <v>15:13:45.000</v>
      </c>
      <c r="U3323" t="str">
        <f t="shared" si="1294"/>
        <v>A68FCB</v>
      </c>
      <c r="V3323">
        <v>0</v>
      </c>
      <c r="W3323">
        <v>0</v>
      </c>
      <c r="X3323">
        <v>2</v>
      </c>
      <c r="Y3323">
        <v>0</v>
      </c>
      <c r="AA3323">
        <v>1</v>
      </c>
      <c r="AB3323">
        <v>8</v>
      </c>
      <c r="AC3323">
        <v>3</v>
      </c>
      <c r="AD3323">
        <v>0</v>
      </c>
      <c r="AE3323">
        <v>9</v>
      </c>
      <c r="AF3323" t="s">
        <v>138</v>
      </c>
      <c r="AG3323">
        <v>0</v>
      </c>
      <c r="AH3323">
        <v>3</v>
      </c>
      <c r="AI3323">
        <v>2</v>
      </c>
      <c r="AJ3323">
        <v>0</v>
      </c>
      <c r="AK3323" t="s">
        <v>1106</v>
      </c>
      <c r="AL3323">
        <v>39.136498000000003</v>
      </c>
      <c r="AM3323" t="s">
        <v>1107</v>
      </c>
      <c r="AN3323">
        <v>-121.031013</v>
      </c>
      <c r="AO3323">
        <v>25</v>
      </c>
      <c r="AP3323">
        <v>4300</v>
      </c>
      <c r="AQ3323" t="s">
        <v>131</v>
      </c>
      <c r="AR3323">
        <v>2</v>
      </c>
      <c r="AS3323">
        <v>83</v>
      </c>
      <c r="AT3323">
        <v>0</v>
      </c>
      <c r="BB3323" t="str">
        <f t="shared" si="1295"/>
        <v>1200</v>
      </c>
      <c r="BC3323">
        <v>1</v>
      </c>
      <c r="BD3323" t="str">
        <f t="shared" si="1296"/>
        <v xml:space="preserve">N52156  </v>
      </c>
      <c r="BE3323">
        <v>1</v>
      </c>
      <c r="BG3323">
        <v>0</v>
      </c>
      <c r="BH3323">
        <v>0</v>
      </c>
      <c r="BI3323">
        <v>0</v>
      </c>
      <c r="BJ3323">
        <v>4350</v>
      </c>
      <c r="BK3323">
        <v>50</v>
      </c>
      <c r="BL3323" t="s">
        <v>188</v>
      </c>
      <c r="BM3323">
        <v>1</v>
      </c>
      <c r="BN3323">
        <v>1</v>
      </c>
      <c r="BO3323">
        <v>0</v>
      </c>
      <c r="BP3323">
        <v>0</v>
      </c>
      <c r="BS3323">
        <v>0</v>
      </c>
      <c r="BT3323">
        <v>0</v>
      </c>
      <c r="BU3323">
        <v>0</v>
      </c>
      <c r="CE3323" t="str">
        <f t="shared" si="1315"/>
        <v>15:13:45.625</v>
      </c>
      <c r="CF3323">
        <v>625060115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3</v>
      </c>
      <c r="CY3323">
        <v>7</v>
      </c>
      <c r="CZ3323" t="s">
        <v>133</v>
      </c>
      <c r="DA3323">
        <v>276</v>
      </c>
      <c r="DB3323">
        <v>0</v>
      </c>
      <c r="DC3323" t="s">
        <v>402</v>
      </c>
      <c r="DD3323" t="s">
        <v>403</v>
      </c>
      <c r="DG3323">
        <v>1627997</v>
      </c>
      <c r="DI3323">
        <v>1</v>
      </c>
      <c r="DJ3323">
        <v>0</v>
      </c>
      <c r="DK3323">
        <v>1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3">
      <c r="A3324" t="str">
        <f>"05/01/2025 15:13:45.864"</f>
        <v>05/01/2025 15:13:45.864</v>
      </c>
      <c r="C3324" t="str">
        <f t="shared" si="1292"/>
        <v>FFDFD3C0</v>
      </c>
      <c r="D3324" t="s">
        <v>145</v>
      </c>
      <c r="E3324" t="str">
        <f>"05"</f>
        <v>05</v>
      </c>
      <c r="H3324">
        <v>47</v>
      </c>
      <c r="I3324" t="s">
        <v>146</v>
      </c>
      <c r="J3324" t="s">
        <v>138</v>
      </c>
      <c r="K3324">
        <v>0</v>
      </c>
      <c r="L3324">
        <v>3</v>
      </c>
      <c r="M3324">
        <v>0</v>
      </c>
      <c r="N3324">
        <v>2</v>
      </c>
      <c r="O3324">
        <v>0</v>
      </c>
      <c r="P3324">
        <v>1</v>
      </c>
      <c r="Q3324">
        <v>0</v>
      </c>
      <c r="R3324" t="s">
        <v>127</v>
      </c>
      <c r="S3324" t="str">
        <f t="shared" si="1314"/>
        <v>15:13:45.000</v>
      </c>
      <c r="T3324" t="str">
        <f t="shared" si="1314"/>
        <v>15:13:45.000</v>
      </c>
      <c r="U3324" t="str">
        <f t="shared" si="1294"/>
        <v>A68FCB</v>
      </c>
      <c r="V3324">
        <v>0</v>
      </c>
      <c r="W3324">
        <v>0</v>
      </c>
      <c r="X3324">
        <v>2</v>
      </c>
      <c r="Y3324">
        <v>0</v>
      </c>
      <c r="AA3324">
        <v>1</v>
      </c>
      <c r="AB3324">
        <v>8</v>
      </c>
      <c r="AC3324">
        <v>3</v>
      </c>
      <c r="AD3324">
        <v>0</v>
      </c>
      <c r="AE3324">
        <v>9</v>
      </c>
      <c r="AF3324" t="s">
        <v>138</v>
      </c>
      <c r="AG3324">
        <v>0</v>
      </c>
      <c r="AH3324">
        <v>3</v>
      </c>
      <c r="AI3324">
        <v>2</v>
      </c>
      <c r="AJ3324">
        <v>0</v>
      </c>
      <c r="AK3324" t="s">
        <v>1106</v>
      </c>
      <c r="AL3324">
        <v>39.136498000000003</v>
      </c>
      <c r="AM3324" t="s">
        <v>1107</v>
      </c>
      <c r="AN3324">
        <v>-121.031013</v>
      </c>
      <c r="AO3324">
        <v>25</v>
      </c>
      <c r="AP3324">
        <v>4300</v>
      </c>
      <c r="AQ3324" t="s">
        <v>131</v>
      </c>
      <c r="AR3324">
        <v>2</v>
      </c>
      <c r="AS3324">
        <v>83</v>
      </c>
      <c r="AT3324">
        <v>0</v>
      </c>
      <c r="BB3324" t="str">
        <f t="shared" si="1295"/>
        <v>1200</v>
      </c>
      <c r="BC3324">
        <v>1</v>
      </c>
      <c r="BD3324" t="str">
        <f t="shared" si="1296"/>
        <v xml:space="preserve">N52156  </v>
      </c>
      <c r="BE3324">
        <v>1</v>
      </c>
      <c r="BG3324">
        <v>0</v>
      </c>
      <c r="BH3324">
        <v>0</v>
      </c>
      <c r="BI3324">
        <v>0</v>
      </c>
      <c r="BJ3324">
        <v>4350</v>
      </c>
      <c r="BK3324">
        <v>50</v>
      </c>
      <c r="BL3324" t="s">
        <v>188</v>
      </c>
      <c r="BM3324">
        <v>1</v>
      </c>
      <c r="BN3324">
        <v>1</v>
      </c>
      <c r="BO3324">
        <v>0</v>
      </c>
      <c r="BP3324">
        <v>0</v>
      </c>
      <c r="BS3324">
        <v>0</v>
      </c>
      <c r="BT3324">
        <v>0</v>
      </c>
      <c r="BU3324">
        <v>0</v>
      </c>
      <c r="CE3324" t="str">
        <f t="shared" si="1315"/>
        <v>15:13:45.625</v>
      </c>
      <c r="CF3324">
        <v>625060115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3</v>
      </c>
      <c r="CY3324">
        <v>7</v>
      </c>
      <c r="CZ3324" t="s">
        <v>133</v>
      </c>
      <c r="DA3324">
        <v>276</v>
      </c>
      <c r="DB3324">
        <v>0</v>
      </c>
      <c r="DC3324" t="s">
        <v>402</v>
      </c>
      <c r="DD3324" t="s">
        <v>403</v>
      </c>
      <c r="DG3324">
        <v>1627997</v>
      </c>
      <c r="DI3324">
        <v>1</v>
      </c>
      <c r="DJ3324">
        <v>0</v>
      </c>
      <c r="DK3324">
        <v>1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3">
      <c r="A3325" t="str">
        <f>"05/01/2025 15:13:45.863"</f>
        <v>05/01/2025 15:13:45.863</v>
      </c>
      <c r="C3325" t="str">
        <f t="shared" si="1292"/>
        <v>FFDFD3C0</v>
      </c>
      <c r="D3325" t="s">
        <v>145</v>
      </c>
      <c r="E3325" t="str">
        <f>"09"</f>
        <v>09</v>
      </c>
      <c r="H3325">
        <v>51</v>
      </c>
      <c r="I3325" t="s">
        <v>147</v>
      </c>
      <c r="J3325" t="s">
        <v>138</v>
      </c>
      <c r="K3325">
        <v>0</v>
      </c>
      <c r="L3325">
        <v>3</v>
      </c>
      <c r="M3325">
        <v>0</v>
      </c>
      <c r="N3325">
        <v>2</v>
      </c>
      <c r="O3325">
        <v>0</v>
      </c>
      <c r="P3325">
        <v>1</v>
      </c>
      <c r="Q3325">
        <v>0</v>
      </c>
      <c r="R3325" t="s">
        <v>127</v>
      </c>
      <c r="S3325" t="str">
        <f t="shared" si="1314"/>
        <v>15:13:45.000</v>
      </c>
      <c r="T3325" t="str">
        <f t="shared" si="1314"/>
        <v>15:13:45.000</v>
      </c>
      <c r="U3325" t="str">
        <f t="shared" si="1294"/>
        <v>A68FCB</v>
      </c>
      <c r="V3325">
        <v>0</v>
      </c>
      <c r="W3325">
        <v>0</v>
      </c>
      <c r="X3325">
        <v>2</v>
      </c>
      <c r="Y3325">
        <v>0</v>
      </c>
      <c r="AA3325">
        <v>1</v>
      </c>
      <c r="AB3325">
        <v>8</v>
      </c>
      <c r="AC3325">
        <v>3</v>
      </c>
      <c r="AD3325">
        <v>0</v>
      </c>
      <c r="AE3325">
        <v>9</v>
      </c>
      <c r="AF3325" t="s">
        <v>138</v>
      </c>
      <c r="AG3325">
        <v>0</v>
      </c>
      <c r="AH3325">
        <v>3</v>
      </c>
      <c r="AI3325">
        <v>2</v>
      </c>
      <c r="AJ3325">
        <v>0</v>
      </c>
      <c r="AK3325" t="s">
        <v>1106</v>
      </c>
      <c r="AL3325">
        <v>39.136498000000003</v>
      </c>
      <c r="AM3325" t="s">
        <v>1107</v>
      </c>
      <c r="AN3325">
        <v>-121.031013</v>
      </c>
      <c r="AO3325">
        <v>25</v>
      </c>
      <c r="AP3325">
        <v>4300</v>
      </c>
      <c r="AQ3325" t="s">
        <v>131</v>
      </c>
      <c r="AR3325">
        <v>2</v>
      </c>
      <c r="AS3325">
        <v>83</v>
      </c>
      <c r="AT3325">
        <v>0</v>
      </c>
      <c r="BB3325" t="str">
        <f t="shared" si="1295"/>
        <v>1200</v>
      </c>
      <c r="BC3325">
        <v>1</v>
      </c>
      <c r="BD3325" t="str">
        <f t="shared" si="1296"/>
        <v xml:space="preserve">N52156  </v>
      </c>
      <c r="BE3325">
        <v>1</v>
      </c>
      <c r="BG3325">
        <v>0</v>
      </c>
      <c r="BH3325">
        <v>0</v>
      </c>
      <c r="BI3325">
        <v>0</v>
      </c>
      <c r="BJ3325">
        <v>4350</v>
      </c>
      <c r="BK3325">
        <v>50</v>
      </c>
      <c r="BL3325" t="s">
        <v>188</v>
      </c>
      <c r="BM3325">
        <v>1</v>
      </c>
      <c r="BN3325">
        <v>1</v>
      </c>
      <c r="BO3325">
        <v>0</v>
      </c>
      <c r="BP3325">
        <v>0</v>
      </c>
      <c r="BS3325">
        <v>0</v>
      </c>
      <c r="BT3325">
        <v>0</v>
      </c>
      <c r="BU3325">
        <v>0</v>
      </c>
      <c r="CE3325" t="str">
        <f t="shared" si="1315"/>
        <v>15:13:45.625</v>
      </c>
      <c r="CF3325">
        <v>625060115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3</v>
      </c>
      <c r="CY3325">
        <v>7</v>
      </c>
      <c r="CZ3325" t="s">
        <v>133</v>
      </c>
      <c r="DA3325">
        <v>276</v>
      </c>
      <c r="DB3325">
        <v>0</v>
      </c>
      <c r="DC3325" t="s">
        <v>402</v>
      </c>
      <c r="DD3325" t="s">
        <v>403</v>
      </c>
      <c r="DG3325">
        <v>1627997</v>
      </c>
      <c r="DI3325">
        <v>1</v>
      </c>
      <c r="DJ3325">
        <v>0</v>
      </c>
      <c r="DK3325">
        <v>1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3">
      <c r="A3326" t="str">
        <f>"05/01/2025 15:13:46.927"</f>
        <v>05/01/2025 15:13:46.927</v>
      </c>
      <c r="C3326" t="str">
        <f t="shared" si="1292"/>
        <v>FFDFD3C0</v>
      </c>
      <c r="D3326" t="s">
        <v>136</v>
      </c>
      <c r="E3326" t="str">
        <f>"20"</f>
        <v>20</v>
      </c>
      <c r="H3326">
        <v>400</v>
      </c>
      <c r="I3326" t="s">
        <v>137</v>
      </c>
      <c r="J3326" t="s">
        <v>138</v>
      </c>
      <c r="K3326">
        <v>0</v>
      </c>
      <c r="L3326">
        <v>3</v>
      </c>
      <c r="M3326">
        <v>0</v>
      </c>
      <c r="N3326">
        <v>2</v>
      </c>
      <c r="O3326">
        <v>0</v>
      </c>
      <c r="P3326">
        <v>1</v>
      </c>
      <c r="Q3326">
        <v>0</v>
      </c>
      <c r="R3326" t="s">
        <v>127</v>
      </c>
      <c r="S3326" t="str">
        <f t="shared" ref="S3326:T3331" si="1316">"15:13:46.000"</f>
        <v>15:13:46.000</v>
      </c>
      <c r="T3326" t="str">
        <f t="shared" si="1316"/>
        <v>15:13:46.000</v>
      </c>
      <c r="U3326" t="str">
        <f t="shared" si="1294"/>
        <v>A68FCB</v>
      </c>
      <c r="V3326">
        <v>0</v>
      </c>
      <c r="W3326">
        <v>0</v>
      </c>
      <c r="X3326">
        <v>2</v>
      </c>
      <c r="Y3326">
        <v>0</v>
      </c>
      <c r="AA3326">
        <v>1</v>
      </c>
      <c r="AB3326">
        <v>8</v>
      </c>
      <c r="AC3326">
        <v>3</v>
      </c>
      <c r="AD3326">
        <v>0</v>
      </c>
      <c r="AE3326">
        <v>9</v>
      </c>
      <c r="AF3326" t="s">
        <v>138</v>
      </c>
      <c r="AG3326">
        <v>0</v>
      </c>
      <c r="AH3326">
        <v>3</v>
      </c>
      <c r="AI3326">
        <v>2</v>
      </c>
      <c r="AJ3326">
        <v>0</v>
      </c>
      <c r="AK3326" t="s">
        <v>1108</v>
      </c>
      <c r="AL3326">
        <v>39.136906000000003</v>
      </c>
      <c r="AM3326" t="s">
        <v>1107</v>
      </c>
      <c r="AN3326">
        <v>-121.031013</v>
      </c>
      <c r="AO3326">
        <v>25</v>
      </c>
      <c r="AP3326">
        <v>4300</v>
      </c>
      <c r="AQ3326" t="s">
        <v>131</v>
      </c>
      <c r="AR3326">
        <v>1</v>
      </c>
      <c r="AS3326">
        <v>83</v>
      </c>
      <c r="AT3326">
        <v>0</v>
      </c>
      <c r="BB3326" t="str">
        <f t="shared" si="1295"/>
        <v>1200</v>
      </c>
      <c r="BC3326">
        <v>1</v>
      </c>
      <c r="BD3326" t="str">
        <f t="shared" si="1296"/>
        <v xml:space="preserve">N52156  </v>
      </c>
      <c r="BE3326">
        <v>1</v>
      </c>
      <c r="BG3326">
        <v>0</v>
      </c>
      <c r="BH3326">
        <v>0</v>
      </c>
      <c r="BI3326">
        <v>0</v>
      </c>
      <c r="BJ3326">
        <v>4350</v>
      </c>
      <c r="BK3326">
        <v>50</v>
      </c>
      <c r="BL3326" t="s">
        <v>188</v>
      </c>
      <c r="BM3326">
        <v>1</v>
      </c>
      <c r="BN3326">
        <v>1</v>
      </c>
      <c r="BO3326">
        <v>0</v>
      </c>
      <c r="BP3326">
        <v>0</v>
      </c>
      <c r="BS3326">
        <v>0</v>
      </c>
      <c r="BT3326">
        <v>0</v>
      </c>
      <c r="BU3326">
        <v>0</v>
      </c>
      <c r="CE3326" t="str">
        <f t="shared" ref="CE3326:CE3331" si="1317">"15:13:46.723"</f>
        <v>15:13:46.723</v>
      </c>
      <c r="CF3326">
        <v>723060498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3</v>
      </c>
      <c r="CY3326">
        <v>7</v>
      </c>
      <c r="CZ3326" t="s">
        <v>133</v>
      </c>
      <c r="DA3326">
        <v>276</v>
      </c>
      <c r="DB3326">
        <v>0</v>
      </c>
      <c r="DC3326" t="s">
        <v>402</v>
      </c>
      <c r="DD3326" t="s">
        <v>403</v>
      </c>
      <c r="DG3326">
        <v>1628001</v>
      </c>
      <c r="DI3326">
        <v>1</v>
      </c>
      <c r="DJ3326">
        <v>0</v>
      </c>
      <c r="DK3326">
        <v>0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3">
      <c r="A3327" t="str">
        <f>"05/01/2025 15:13:46.939"</f>
        <v>05/01/2025 15:13:46.939</v>
      </c>
      <c r="C3327" t="str">
        <f t="shared" si="1292"/>
        <v>FFDFD3C0</v>
      </c>
      <c r="D3327" t="s">
        <v>143</v>
      </c>
      <c r="E3327" t="str">
        <f>"05"</f>
        <v>05</v>
      </c>
      <c r="H3327">
        <v>172</v>
      </c>
      <c r="I3327" t="s">
        <v>141</v>
      </c>
      <c r="J3327" t="s">
        <v>144</v>
      </c>
      <c r="K3327">
        <v>0</v>
      </c>
      <c r="L3327">
        <v>3</v>
      </c>
      <c r="M3327">
        <v>0</v>
      </c>
      <c r="N3327">
        <v>2</v>
      </c>
      <c r="O3327">
        <v>0</v>
      </c>
      <c r="P3327">
        <v>1</v>
      </c>
      <c r="Q3327">
        <v>0</v>
      </c>
      <c r="R3327" t="s">
        <v>127</v>
      </c>
      <c r="S3327" t="str">
        <f t="shared" si="1316"/>
        <v>15:13:46.000</v>
      </c>
      <c r="T3327" t="str">
        <f t="shared" si="1316"/>
        <v>15:13:46.000</v>
      </c>
      <c r="U3327" t="str">
        <f t="shared" si="1294"/>
        <v>A68FCB</v>
      </c>
      <c r="V3327">
        <v>0</v>
      </c>
      <c r="W3327">
        <v>0</v>
      </c>
      <c r="X3327">
        <v>2</v>
      </c>
      <c r="Y3327">
        <v>0</v>
      </c>
      <c r="AA3327">
        <v>1</v>
      </c>
      <c r="AB3327">
        <v>8</v>
      </c>
      <c r="AC3327">
        <v>3</v>
      </c>
      <c r="AD3327">
        <v>0</v>
      </c>
      <c r="AE3327">
        <v>9</v>
      </c>
      <c r="AF3327" t="s">
        <v>138</v>
      </c>
      <c r="AG3327">
        <v>0</v>
      </c>
      <c r="AH3327">
        <v>3</v>
      </c>
      <c r="AI3327">
        <v>2</v>
      </c>
      <c r="AJ3327">
        <v>0</v>
      </c>
      <c r="AK3327" t="s">
        <v>1108</v>
      </c>
      <c r="AL3327">
        <v>39.136906000000003</v>
      </c>
      <c r="AM3327" t="s">
        <v>1107</v>
      </c>
      <c r="AN3327">
        <v>-121.031013</v>
      </c>
      <c r="AO3327">
        <v>25</v>
      </c>
      <c r="AP3327">
        <v>4300</v>
      </c>
      <c r="AQ3327" t="s">
        <v>131</v>
      </c>
      <c r="AR3327">
        <v>1</v>
      </c>
      <c r="AS3327">
        <v>83</v>
      </c>
      <c r="AT3327">
        <v>0</v>
      </c>
      <c r="BB3327" t="str">
        <f t="shared" si="1295"/>
        <v>1200</v>
      </c>
      <c r="BC3327">
        <v>1</v>
      </c>
      <c r="BD3327" t="str">
        <f t="shared" si="1296"/>
        <v xml:space="preserve">N52156  </v>
      </c>
      <c r="BE3327">
        <v>1</v>
      </c>
      <c r="BG3327">
        <v>0</v>
      </c>
      <c r="BH3327">
        <v>0</v>
      </c>
      <c r="BI3327">
        <v>0</v>
      </c>
      <c r="BJ3327">
        <v>4350</v>
      </c>
      <c r="BK3327">
        <v>50</v>
      </c>
      <c r="BL3327" t="s">
        <v>188</v>
      </c>
      <c r="BM3327">
        <v>1</v>
      </c>
      <c r="BN3327">
        <v>1</v>
      </c>
      <c r="BO3327">
        <v>0</v>
      </c>
      <c r="BP3327">
        <v>0</v>
      </c>
      <c r="BS3327">
        <v>0</v>
      </c>
      <c r="BT3327">
        <v>0</v>
      </c>
      <c r="BU3327">
        <v>0</v>
      </c>
      <c r="CE3327" t="str">
        <f t="shared" si="1317"/>
        <v>15:13:46.723</v>
      </c>
      <c r="CF3327">
        <v>723060498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3</v>
      </c>
      <c r="CY3327">
        <v>7</v>
      </c>
      <c r="CZ3327" t="s">
        <v>133</v>
      </c>
      <c r="DA3327">
        <v>276</v>
      </c>
      <c r="DB3327">
        <v>0</v>
      </c>
      <c r="DC3327" t="s">
        <v>402</v>
      </c>
      <c r="DD3327" t="s">
        <v>403</v>
      </c>
      <c r="DG3327">
        <v>1628001</v>
      </c>
      <c r="DI3327">
        <v>1</v>
      </c>
      <c r="DJ3327">
        <v>0</v>
      </c>
      <c r="DK3327">
        <v>1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3">
      <c r="A3328" t="str">
        <f>"05/01/2025 15:13:46.951"</f>
        <v>05/01/2025 15:13:46.951</v>
      </c>
      <c r="C3328" t="str">
        <f t="shared" si="1292"/>
        <v>FFDFD3C0</v>
      </c>
      <c r="D3328" t="s">
        <v>124</v>
      </c>
      <c r="E3328" t="str">
        <f>"06"</f>
        <v>06</v>
      </c>
      <c r="F3328">
        <v>2006</v>
      </c>
      <c r="G3328" t="s">
        <v>125</v>
      </c>
      <c r="J3328" t="s">
        <v>126</v>
      </c>
      <c r="K3328">
        <v>0</v>
      </c>
      <c r="L3328">
        <v>3</v>
      </c>
      <c r="M3328">
        <v>0</v>
      </c>
      <c r="N3328">
        <v>2</v>
      </c>
      <c r="O3328">
        <v>0</v>
      </c>
      <c r="P3328">
        <v>1</v>
      </c>
      <c r="Q3328">
        <v>0</v>
      </c>
      <c r="R3328" t="s">
        <v>127</v>
      </c>
      <c r="S3328" t="str">
        <f t="shared" si="1316"/>
        <v>15:13:46.000</v>
      </c>
      <c r="T3328" t="str">
        <f t="shared" si="1316"/>
        <v>15:13:46.000</v>
      </c>
      <c r="U3328" t="str">
        <f t="shared" si="1294"/>
        <v>A68FCB</v>
      </c>
      <c r="V3328">
        <v>0</v>
      </c>
      <c r="W3328">
        <v>0</v>
      </c>
      <c r="X3328">
        <v>2</v>
      </c>
      <c r="Y3328">
        <v>0</v>
      </c>
      <c r="AA3328">
        <v>1</v>
      </c>
      <c r="AB3328">
        <v>8</v>
      </c>
      <c r="AC3328">
        <v>3</v>
      </c>
      <c r="AD3328">
        <v>0</v>
      </c>
      <c r="AE3328">
        <v>9</v>
      </c>
      <c r="AF3328" t="s">
        <v>138</v>
      </c>
      <c r="AG3328">
        <v>0</v>
      </c>
      <c r="AH3328">
        <v>3</v>
      </c>
      <c r="AI3328">
        <v>2</v>
      </c>
      <c r="AJ3328">
        <v>0</v>
      </c>
      <c r="AK3328" t="s">
        <v>1108</v>
      </c>
      <c r="AL3328">
        <v>39.136906000000003</v>
      </c>
      <c r="AM3328" t="s">
        <v>1107</v>
      </c>
      <c r="AN3328">
        <v>-121.031013</v>
      </c>
      <c r="AO3328">
        <v>25</v>
      </c>
      <c r="AP3328">
        <v>4300</v>
      </c>
      <c r="AQ3328" t="s">
        <v>131</v>
      </c>
      <c r="AR3328">
        <v>1</v>
      </c>
      <c r="AS3328">
        <v>83</v>
      </c>
      <c r="AT3328">
        <v>0</v>
      </c>
      <c r="BB3328" t="str">
        <f t="shared" si="1295"/>
        <v>1200</v>
      </c>
      <c r="BC3328">
        <v>1</v>
      </c>
      <c r="BD3328" t="str">
        <f t="shared" si="1296"/>
        <v xml:space="preserve">N52156  </v>
      </c>
      <c r="BE3328">
        <v>1</v>
      </c>
      <c r="BG3328">
        <v>0</v>
      </c>
      <c r="BH3328">
        <v>0</v>
      </c>
      <c r="BI3328">
        <v>0</v>
      </c>
      <c r="BJ3328">
        <v>4350</v>
      </c>
      <c r="BK3328">
        <v>50</v>
      </c>
      <c r="BL3328" t="s">
        <v>188</v>
      </c>
      <c r="BM3328">
        <v>1</v>
      </c>
      <c r="BN3328">
        <v>1</v>
      </c>
      <c r="BO3328">
        <v>0</v>
      </c>
      <c r="BP3328">
        <v>0</v>
      </c>
      <c r="BS3328">
        <v>0</v>
      </c>
      <c r="BT3328">
        <v>0</v>
      </c>
      <c r="BU3328">
        <v>0</v>
      </c>
      <c r="CE3328" t="str">
        <f t="shared" si="1317"/>
        <v>15:13:46.723</v>
      </c>
      <c r="CF3328">
        <v>723060498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3</v>
      </c>
      <c r="CY3328">
        <v>7</v>
      </c>
      <c r="CZ3328" t="s">
        <v>133</v>
      </c>
      <c r="DA3328">
        <v>276</v>
      </c>
      <c r="DB3328">
        <v>0</v>
      </c>
      <c r="DC3328" t="s">
        <v>402</v>
      </c>
      <c r="DD3328" t="s">
        <v>403</v>
      </c>
      <c r="DG3328">
        <v>1628001</v>
      </c>
      <c r="DI3328">
        <v>1</v>
      </c>
      <c r="DJ3328">
        <v>0</v>
      </c>
      <c r="DK3328">
        <v>1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3">
      <c r="A3329" t="str">
        <f>"05/01/2025 15:13:46.952"</f>
        <v>05/01/2025 15:13:46.952</v>
      </c>
      <c r="C3329" t="str">
        <f t="shared" si="1292"/>
        <v>FFDFD3C0</v>
      </c>
      <c r="D3329" t="s">
        <v>140</v>
      </c>
      <c r="E3329" t="str">
        <f>"13"</f>
        <v>13</v>
      </c>
      <c r="F3329">
        <v>1019</v>
      </c>
      <c r="G3329" t="s">
        <v>141</v>
      </c>
      <c r="J3329" t="s">
        <v>142</v>
      </c>
      <c r="K3329">
        <v>0</v>
      </c>
      <c r="L3329">
        <v>3</v>
      </c>
      <c r="M3329">
        <v>0</v>
      </c>
      <c r="N3329">
        <v>2</v>
      </c>
      <c r="O3329">
        <v>0</v>
      </c>
      <c r="P3329">
        <v>1</v>
      </c>
      <c r="Q3329">
        <v>0</v>
      </c>
      <c r="R3329" t="s">
        <v>127</v>
      </c>
      <c r="S3329" t="str">
        <f t="shared" si="1316"/>
        <v>15:13:46.000</v>
      </c>
      <c r="T3329" t="str">
        <f t="shared" si="1316"/>
        <v>15:13:46.000</v>
      </c>
      <c r="U3329" t="str">
        <f t="shared" si="1294"/>
        <v>A68FCB</v>
      </c>
      <c r="V3329">
        <v>0</v>
      </c>
      <c r="W3329">
        <v>0</v>
      </c>
      <c r="X3329">
        <v>2</v>
      </c>
      <c r="Y3329">
        <v>0</v>
      </c>
      <c r="AA3329">
        <v>1</v>
      </c>
      <c r="AB3329">
        <v>8</v>
      </c>
      <c r="AC3329">
        <v>3</v>
      </c>
      <c r="AD3329">
        <v>0</v>
      </c>
      <c r="AE3329">
        <v>9</v>
      </c>
      <c r="AF3329" t="s">
        <v>138</v>
      </c>
      <c r="AG3329">
        <v>0</v>
      </c>
      <c r="AH3329">
        <v>3</v>
      </c>
      <c r="AI3329">
        <v>2</v>
      </c>
      <c r="AJ3329">
        <v>0</v>
      </c>
      <c r="AK3329" t="s">
        <v>1108</v>
      </c>
      <c r="AL3329">
        <v>39.136906000000003</v>
      </c>
      <c r="AM3329" t="s">
        <v>1107</v>
      </c>
      <c r="AN3329">
        <v>-121.031013</v>
      </c>
      <c r="AO3329">
        <v>25</v>
      </c>
      <c r="AP3329">
        <v>4300</v>
      </c>
      <c r="AQ3329" t="s">
        <v>131</v>
      </c>
      <c r="AR3329">
        <v>1</v>
      </c>
      <c r="AS3329">
        <v>83</v>
      </c>
      <c r="AT3329">
        <v>0</v>
      </c>
      <c r="BB3329" t="str">
        <f t="shared" si="1295"/>
        <v>1200</v>
      </c>
      <c r="BC3329">
        <v>1</v>
      </c>
      <c r="BD3329" t="str">
        <f t="shared" si="1296"/>
        <v xml:space="preserve">N52156  </v>
      </c>
      <c r="BE3329">
        <v>1</v>
      </c>
      <c r="BG3329">
        <v>0</v>
      </c>
      <c r="BH3329">
        <v>0</v>
      </c>
      <c r="BI3329">
        <v>0</v>
      </c>
      <c r="BJ3329">
        <v>4350</v>
      </c>
      <c r="BK3329">
        <v>50</v>
      </c>
      <c r="BL3329" t="s">
        <v>188</v>
      </c>
      <c r="BM3329">
        <v>1</v>
      </c>
      <c r="BN3329">
        <v>1</v>
      </c>
      <c r="BO3329">
        <v>0</v>
      </c>
      <c r="BP3329">
        <v>0</v>
      </c>
      <c r="BS3329">
        <v>0</v>
      </c>
      <c r="BT3329">
        <v>0</v>
      </c>
      <c r="BU3329">
        <v>0</v>
      </c>
      <c r="CE3329" t="str">
        <f t="shared" si="1317"/>
        <v>15:13:46.723</v>
      </c>
      <c r="CF3329">
        <v>723060498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3</v>
      </c>
      <c r="CY3329">
        <v>7</v>
      </c>
      <c r="CZ3329" t="s">
        <v>133</v>
      </c>
      <c r="DA3329">
        <v>276</v>
      </c>
      <c r="DB3329">
        <v>0</v>
      </c>
      <c r="DC3329" t="s">
        <v>402</v>
      </c>
      <c r="DD3329" t="s">
        <v>403</v>
      </c>
      <c r="DG3329">
        <v>1628001</v>
      </c>
      <c r="DI3329">
        <v>1</v>
      </c>
      <c r="DJ3329">
        <v>0</v>
      </c>
      <c r="DK3329">
        <v>1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3">
      <c r="A3330" t="str">
        <f>"05/01/2025 15:13:46.966"</f>
        <v>05/01/2025 15:13:46.966</v>
      </c>
      <c r="C3330" t="str">
        <f t="shared" ref="C3330:C3393" si="1318">"FFDFD3C0"</f>
        <v>FFDFD3C0</v>
      </c>
      <c r="D3330" t="s">
        <v>145</v>
      </c>
      <c r="E3330" t="str">
        <f>"05"</f>
        <v>05</v>
      </c>
      <c r="H3330">
        <v>47</v>
      </c>
      <c r="I3330" t="s">
        <v>146</v>
      </c>
      <c r="J3330" t="s">
        <v>138</v>
      </c>
      <c r="K3330">
        <v>0</v>
      </c>
      <c r="L3330">
        <v>3</v>
      </c>
      <c r="M3330">
        <v>0</v>
      </c>
      <c r="N3330">
        <v>2</v>
      </c>
      <c r="O3330">
        <v>0</v>
      </c>
      <c r="P3330">
        <v>1</v>
      </c>
      <c r="Q3330">
        <v>0</v>
      </c>
      <c r="R3330" t="s">
        <v>127</v>
      </c>
      <c r="S3330" t="str">
        <f t="shared" si="1316"/>
        <v>15:13:46.000</v>
      </c>
      <c r="T3330" t="str">
        <f t="shared" si="1316"/>
        <v>15:13:46.000</v>
      </c>
      <c r="U3330" t="str">
        <f t="shared" ref="U3330:U3393" si="1319">"A68FCB"</f>
        <v>A68FCB</v>
      </c>
      <c r="V3330">
        <v>0</v>
      </c>
      <c r="W3330">
        <v>0</v>
      </c>
      <c r="X3330">
        <v>2</v>
      </c>
      <c r="Y3330">
        <v>0</v>
      </c>
      <c r="AA3330">
        <v>1</v>
      </c>
      <c r="AB3330">
        <v>8</v>
      </c>
      <c r="AC3330">
        <v>3</v>
      </c>
      <c r="AD3330">
        <v>0</v>
      </c>
      <c r="AE3330">
        <v>9</v>
      </c>
      <c r="AF3330" t="s">
        <v>138</v>
      </c>
      <c r="AG3330">
        <v>0</v>
      </c>
      <c r="AH3330">
        <v>3</v>
      </c>
      <c r="AI3330">
        <v>2</v>
      </c>
      <c r="AJ3330">
        <v>0</v>
      </c>
      <c r="AK3330" t="s">
        <v>1108</v>
      </c>
      <c r="AL3330">
        <v>39.136906000000003</v>
      </c>
      <c r="AM3330" t="s">
        <v>1107</v>
      </c>
      <c r="AN3330">
        <v>-121.031013</v>
      </c>
      <c r="AO3330">
        <v>25</v>
      </c>
      <c r="AP3330">
        <v>4300</v>
      </c>
      <c r="AQ3330" t="s">
        <v>131</v>
      </c>
      <c r="AR3330">
        <v>1</v>
      </c>
      <c r="AS3330">
        <v>83</v>
      </c>
      <c r="AT3330">
        <v>0</v>
      </c>
      <c r="BB3330" t="str">
        <f t="shared" ref="BB3330:BB3393" si="1320">"1200"</f>
        <v>1200</v>
      </c>
      <c r="BC3330">
        <v>1</v>
      </c>
      <c r="BD3330" t="str">
        <f t="shared" ref="BD3330:BD3393" si="1321">"N52156  "</f>
        <v xml:space="preserve">N52156  </v>
      </c>
      <c r="BE3330">
        <v>1</v>
      </c>
      <c r="BG3330">
        <v>0</v>
      </c>
      <c r="BH3330">
        <v>0</v>
      </c>
      <c r="BI3330">
        <v>0</v>
      </c>
      <c r="BJ3330">
        <v>4350</v>
      </c>
      <c r="BK3330">
        <v>50</v>
      </c>
      <c r="BL3330" t="s">
        <v>188</v>
      </c>
      <c r="BM3330">
        <v>1</v>
      </c>
      <c r="BN3330">
        <v>1</v>
      </c>
      <c r="BO3330">
        <v>0</v>
      </c>
      <c r="BP3330">
        <v>0</v>
      </c>
      <c r="BS3330">
        <v>0</v>
      </c>
      <c r="BT3330">
        <v>0</v>
      </c>
      <c r="BU3330">
        <v>0</v>
      </c>
      <c r="CE3330" t="str">
        <f t="shared" si="1317"/>
        <v>15:13:46.723</v>
      </c>
      <c r="CF3330">
        <v>723060498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3</v>
      </c>
      <c r="CY3330">
        <v>7</v>
      </c>
      <c r="CZ3330" t="s">
        <v>133</v>
      </c>
      <c r="DA3330">
        <v>276</v>
      </c>
      <c r="DB3330">
        <v>0</v>
      </c>
      <c r="DC3330" t="s">
        <v>402</v>
      </c>
      <c r="DD3330" t="s">
        <v>403</v>
      </c>
      <c r="DG3330">
        <v>1628001</v>
      </c>
      <c r="DI3330">
        <v>1</v>
      </c>
      <c r="DJ3330">
        <v>0</v>
      </c>
      <c r="DK3330">
        <v>1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3">
      <c r="A3331" t="str">
        <f>"05/01/2025 15:13:46.964"</f>
        <v>05/01/2025 15:13:46.964</v>
      </c>
      <c r="C3331" t="str">
        <f t="shared" si="1318"/>
        <v>FFDFD3C0</v>
      </c>
      <c r="D3331" t="s">
        <v>145</v>
      </c>
      <c r="E3331" t="str">
        <f>"09"</f>
        <v>09</v>
      </c>
      <c r="H3331">
        <v>51</v>
      </c>
      <c r="I3331" t="s">
        <v>147</v>
      </c>
      <c r="J3331" t="s">
        <v>138</v>
      </c>
      <c r="K3331">
        <v>0</v>
      </c>
      <c r="L3331">
        <v>3</v>
      </c>
      <c r="M3331">
        <v>0</v>
      </c>
      <c r="N3331">
        <v>2</v>
      </c>
      <c r="O3331">
        <v>0</v>
      </c>
      <c r="P3331">
        <v>1</v>
      </c>
      <c r="Q3331">
        <v>0</v>
      </c>
      <c r="R3331" t="s">
        <v>127</v>
      </c>
      <c r="S3331" t="str">
        <f t="shared" si="1316"/>
        <v>15:13:46.000</v>
      </c>
      <c r="T3331" t="str">
        <f t="shared" si="1316"/>
        <v>15:13:46.000</v>
      </c>
      <c r="U3331" t="str">
        <f t="shared" si="1319"/>
        <v>A68FCB</v>
      </c>
      <c r="V3331">
        <v>0</v>
      </c>
      <c r="W3331">
        <v>0</v>
      </c>
      <c r="X3331">
        <v>2</v>
      </c>
      <c r="Y3331">
        <v>0</v>
      </c>
      <c r="AA3331">
        <v>1</v>
      </c>
      <c r="AB3331">
        <v>8</v>
      </c>
      <c r="AC3331">
        <v>3</v>
      </c>
      <c r="AD3331">
        <v>0</v>
      </c>
      <c r="AE3331">
        <v>9</v>
      </c>
      <c r="AF3331" t="s">
        <v>138</v>
      </c>
      <c r="AG3331">
        <v>0</v>
      </c>
      <c r="AH3331">
        <v>3</v>
      </c>
      <c r="AI3331">
        <v>2</v>
      </c>
      <c r="AJ3331">
        <v>0</v>
      </c>
      <c r="AK3331" t="s">
        <v>1108</v>
      </c>
      <c r="AL3331">
        <v>39.136906000000003</v>
      </c>
      <c r="AM3331" t="s">
        <v>1107</v>
      </c>
      <c r="AN3331">
        <v>-121.031013</v>
      </c>
      <c r="AO3331">
        <v>25</v>
      </c>
      <c r="AP3331">
        <v>4300</v>
      </c>
      <c r="AQ3331" t="s">
        <v>131</v>
      </c>
      <c r="AR3331">
        <v>1</v>
      </c>
      <c r="AS3331">
        <v>83</v>
      </c>
      <c r="AT3331">
        <v>0</v>
      </c>
      <c r="BB3331" t="str">
        <f t="shared" si="1320"/>
        <v>1200</v>
      </c>
      <c r="BC3331">
        <v>1</v>
      </c>
      <c r="BD3331" t="str">
        <f t="shared" si="1321"/>
        <v xml:space="preserve">N52156  </v>
      </c>
      <c r="BE3331">
        <v>1</v>
      </c>
      <c r="BG3331">
        <v>0</v>
      </c>
      <c r="BH3331">
        <v>0</v>
      </c>
      <c r="BI3331">
        <v>0</v>
      </c>
      <c r="BJ3331">
        <v>4350</v>
      </c>
      <c r="BK3331">
        <v>50</v>
      </c>
      <c r="BL3331" t="s">
        <v>188</v>
      </c>
      <c r="BM3331">
        <v>1</v>
      </c>
      <c r="BN3331">
        <v>1</v>
      </c>
      <c r="BO3331">
        <v>0</v>
      </c>
      <c r="BP3331">
        <v>0</v>
      </c>
      <c r="BS3331">
        <v>0</v>
      </c>
      <c r="BT3331">
        <v>0</v>
      </c>
      <c r="BU3331">
        <v>0</v>
      </c>
      <c r="CE3331" t="str">
        <f t="shared" si="1317"/>
        <v>15:13:46.723</v>
      </c>
      <c r="CF3331">
        <v>723060498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3</v>
      </c>
      <c r="CY3331">
        <v>7</v>
      </c>
      <c r="CZ3331" t="s">
        <v>133</v>
      </c>
      <c r="DA3331">
        <v>276</v>
      </c>
      <c r="DB3331">
        <v>0</v>
      </c>
      <c r="DC3331" t="s">
        <v>402</v>
      </c>
      <c r="DD3331" t="s">
        <v>403</v>
      </c>
      <c r="DG3331">
        <v>1628001</v>
      </c>
      <c r="DI3331">
        <v>1</v>
      </c>
      <c r="DJ3331">
        <v>0</v>
      </c>
      <c r="DK3331">
        <v>1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3">
      <c r="A3332" t="str">
        <f>"05/01/2025 15:13:47.890"</f>
        <v>05/01/2025 15:13:47.890</v>
      </c>
      <c r="C3332" t="str">
        <f t="shared" si="1318"/>
        <v>FFDFD3C0</v>
      </c>
      <c r="D3332" t="s">
        <v>143</v>
      </c>
      <c r="E3332" t="str">
        <f>"05"</f>
        <v>05</v>
      </c>
      <c r="H3332">
        <v>172</v>
      </c>
      <c r="I3332" t="s">
        <v>141</v>
      </c>
      <c r="J3332" t="s">
        <v>144</v>
      </c>
      <c r="K3332">
        <v>0</v>
      </c>
      <c r="L3332">
        <v>3</v>
      </c>
      <c r="M3332">
        <v>0</v>
      </c>
      <c r="N3332">
        <v>2</v>
      </c>
      <c r="O3332">
        <v>0</v>
      </c>
      <c r="P3332">
        <v>1</v>
      </c>
      <c r="Q3332">
        <v>0</v>
      </c>
      <c r="R3332" t="s">
        <v>127</v>
      </c>
      <c r="S3332" t="str">
        <f t="shared" ref="S3332:T3337" si="1322">"15:13:47.000"</f>
        <v>15:13:47.000</v>
      </c>
      <c r="T3332" t="str">
        <f t="shared" si="1322"/>
        <v>15:13:47.000</v>
      </c>
      <c r="U3332" t="str">
        <f t="shared" si="1319"/>
        <v>A68FCB</v>
      </c>
      <c r="V3332">
        <v>0</v>
      </c>
      <c r="W3332">
        <v>0</v>
      </c>
      <c r="X3332">
        <v>2</v>
      </c>
      <c r="Y3332">
        <v>0</v>
      </c>
      <c r="AA3332">
        <v>1</v>
      </c>
      <c r="AB3332">
        <v>8</v>
      </c>
      <c r="AC3332">
        <v>3</v>
      </c>
      <c r="AD3332">
        <v>0</v>
      </c>
      <c r="AE3332">
        <v>9</v>
      </c>
      <c r="AF3332" t="s">
        <v>138</v>
      </c>
      <c r="AG3332">
        <v>0</v>
      </c>
      <c r="AH3332">
        <v>3</v>
      </c>
      <c r="AI3332">
        <v>2</v>
      </c>
      <c r="AJ3332">
        <v>0</v>
      </c>
      <c r="AK3332" t="s">
        <v>1109</v>
      </c>
      <c r="AL3332">
        <v>39.137292000000002</v>
      </c>
      <c r="AM3332" t="s">
        <v>1110</v>
      </c>
      <c r="AN3332">
        <v>-121.030991</v>
      </c>
      <c r="AO3332">
        <v>25</v>
      </c>
      <c r="AP3332">
        <v>4300</v>
      </c>
      <c r="AQ3332" t="s">
        <v>131</v>
      </c>
      <c r="AR3332">
        <v>0</v>
      </c>
      <c r="AS3332">
        <v>83</v>
      </c>
      <c r="AT3332">
        <v>0</v>
      </c>
      <c r="BB3332" t="str">
        <f t="shared" si="1320"/>
        <v>1200</v>
      </c>
      <c r="BC3332">
        <v>1</v>
      </c>
      <c r="BD3332" t="str">
        <f t="shared" si="1321"/>
        <v xml:space="preserve">N52156  </v>
      </c>
      <c r="BE3332">
        <v>1</v>
      </c>
      <c r="BG3332">
        <v>0</v>
      </c>
      <c r="BH3332">
        <v>0</v>
      </c>
      <c r="BI3332">
        <v>0</v>
      </c>
      <c r="BJ3332">
        <v>4350</v>
      </c>
      <c r="BK3332">
        <v>50</v>
      </c>
      <c r="BL3332" t="s">
        <v>188</v>
      </c>
      <c r="BM3332">
        <v>1</v>
      </c>
      <c r="BN3332">
        <v>1</v>
      </c>
      <c r="BO3332">
        <v>0</v>
      </c>
      <c r="BP3332">
        <v>0</v>
      </c>
      <c r="BS3332">
        <v>0</v>
      </c>
      <c r="BT3332">
        <v>0</v>
      </c>
      <c r="BU3332">
        <v>0</v>
      </c>
      <c r="CE3332" t="str">
        <f t="shared" ref="CE3332:CE3337" si="1323">"15:13:47.682"</f>
        <v>15:13:47.682</v>
      </c>
      <c r="CF3332">
        <v>681810474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3</v>
      </c>
      <c r="CY3332">
        <v>7</v>
      </c>
      <c r="CZ3332" t="s">
        <v>133</v>
      </c>
      <c r="DA3332">
        <v>276</v>
      </c>
      <c r="DB3332">
        <v>0</v>
      </c>
      <c r="DC3332" t="s">
        <v>402</v>
      </c>
      <c r="DD3332" t="s">
        <v>403</v>
      </c>
      <c r="DG3332">
        <v>1628002</v>
      </c>
      <c r="DI3332">
        <v>1</v>
      </c>
      <c r="DJ3332">
        <v>0</v>
      </c>
      <c r="DK3332">
        <v>0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3">
      <c r="A3333" t="str">
        <f>"05/01/2025 15:13:47.903"</f>
        <v>05/01/2025 15:13:47.903</v>
      </c>
      <c r="C3333" t="str">
        <f t="shared" si="1318"/>
        <v>FFDFD3C0</v>
      </c>
      <c r="D3333" t="s">
        <v>124</v>
      </c>
      <c r="E3333" t="str">
        <f>"06"</f>
        <v>06</v>
      </c>
      <c r="F3333">
        <v>2006</v>
      </c>
      <c r="G3333" t="s">
        <v>125</v>
      </c>
      <c r="J3333" t="s">
        <v>126</v>
      </c>
      <c r="K3333">
        <v>0</v>
      </c>
      <c r="L3333">
        <v>3</v>
      </c>
      <c r="M3333">
        <v>0</v>
      </c>
      <c r="N3333">
        <v>2</v>
      </c>
      <c r="O3333">
        <v>0</v>
      </c>
      <c r="P3333">
        <v>1</v>
      </c>
      <c r="Q3333">
        <v>0</v>
      </c>
      <c r="R3333" t="s">
        <v>127</v>
      </c>
      <c r="S3333" t="str">
        <f t="shared" si="1322"/>
        <v>15:13:47.000</v>
      </c>
      <c r="T3333" t="str">
        <f t="shared" si="1322"/>
        <v>15:13:47.000</v>
      </c>
      <c r="U3333" t="str">
        <f t="shared" si="1319"/>
        <v>A68FCB</v>
      </c>
      <c r="V3333">
        <v>0</v>
      </c>
      <c r="W3333">
        <v>0</v>
      </c>
      <c r="X3333">
        <v>2</v>
      </c>
      <c r="Y3333">
        <v>0</v>
      </c>
      <c r="AA3333">
        <v>1</v>
      </c>
      <c r="AB3333">
        <v>8</v>
      </c>
      <c r="AC3333">
        <v>3</v>
      </c>
      <c r="AD3333">
        <v>0</v>
      </c>
      <c r="AE3333">
        <v>9</v>
      </c>
      <c r="AF3333" t="s">
        <v>138</v>
      </c>
      <c r="AG3333">
        <v>0</v>
      </c>
      <c r="AH3333">
        <v>3</v>
      </c>
      <c r="AI3333">
        <v>2</v>
      </c>
      <c r="AJ3333">
        <v>0</v>
      </c>
      <c r="AK3333" t="s">
        <v>1109</v>
      </c>
      <c r="AL3333">
        <v>39.137292000000002</v>
      </c>
      <c r="AM3333" t="s">
        <v>1110</v>
      </c>
      <c r="AN3333">
        <v>-121.030991</v>
      </c>
      <c r="AO3333">
        <v>25</v>
      </c>
      <c r="AP3333">
        <v>4300</v>
      </c>
      <c r="AQ3333" t="s">
        <v>131</v>
      </c>
      <c r="AR3333">
        <v>0</v>
      </c>
      <c r="AS3333">
        <v>83</v>
      </c>
      <c r="AT3333">
        <v>0</v>
      </c>
      <c r="BB3333" t="str">
        <f t="shared" si="1320"/>
        <v>1200</v>
      </c>
      <c r="BC3333">
        <v>1</v>
      </c>
      <c r="BD3333" t="str">
        <f t="shared" si="1321"/>
        <v xml:space="preserve">N52156  </v>
      </c>
      <c r="BE3333">
        <v>1</v>
      </c>
      <c r="BG3333">
        <v>0</v>
      </c>
      <c r="BH3333">
        <v>0</v>
      </c>
      <c r="BI3333">
        <v>0</v>
      </c>
      <c r="BJ3333">
        <v>4350</v>
      </c>
      <c r="BK3333">
        <v>50</v>
      </c>
      <c r="BL3333" t="s">
        <v>188</v>
      </c>
      <c r="BM3333">
        <v>1</v>
      </c>
      <c r="BN3333">
        <v>1</v>
      </c>
      <c r="BO3333">
        <v>0</v>
      </c>
      <c r="BP3333">
        <v>0</v>
      </c>
      <c r="BS3333">
        <v>0</v>
      </c>
      <c r="BT3333">
        <v>0</v>
      </c>
      <c r="BU3333">
        <v>0</v>
      </c>
      <c r="CE3333" t="str">
        <f t="shared" si="1323"/>
        <v>15:13:47.682</v>
      </c>
      <c r="CF3333">
        <v>681810474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3</v>
      </c>
      <c r="CY3333">
        <v>7</v>
      </c>
      <c r="CZ3333" t="s">
        <v>133</v>
      </c>
      <c r="DA3333">
        <v>276</v>
      </c>
      <c r="DB3333">
        <v>0</v>
      </c>
      <c r="DC3333" t="s">
        <v>402</v>
      </c>
      <c r="DD3333" t="s">
        <v>403</v>
      </c>
      <c r="DG3333">
        <v>1628002</v>
      </c>
      <c r="DI3333">
        <v>1</v>
      </c>
      <c r="DJ3333">
        <v>0</v>
      </c>
      <c r="DK3333">
        <v>1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3">
      <c r="A3334" t="str">
        <f>"05/01/2025 15:13:47.903"</f>
        <v>05/01/2025 15:13:47.903</v>
      </c>
      <c r="C3334" t="str">
        <f t="shared" si="1318"/>
        <v>FFDFD3C0</v>
      </c>
      <c r="D3334" t="s">
        <v>140</v>
      </c>
      <c r="E3334" t="str">
        <f>"13"</f>
        <v>13</v>
      </c>
      <c r="F3334">
        <v>1019</v>
      </c>
      <c r="G3334" t="s">
        <v>141</v>
      </c>
      <c r="J3334" t="s">
        <v>142</v>
      </c>
      <c r="K3334">
        <v>0</v>
      </c>
      <c r="L3334">
        <v>3</v>
      </c>
      <c r="M3334">
        <v>0</v>
      </c>
      <c r="N3334">
        <v>2</v>
      </c>
      <c r="O3334">
        <v>0</v>
      </c>
      <c r="P3334">
        <v>1</v>
      </c>
      <c r="Q3334">
        <v>0</v>
      </c>
      <c r="R3334" t="s">
        <v>127</v>
      </c>
      <c r="S3334" t="str">
        <f t="shared" si="1322"/>
        <v>15:13:47.000</v>
      </c>
      <c r="T3334" t="str">
        <f t="shared" si="1322"/>
        <v>15:13:47.000</v>
      </c>
      <c r="U3334" t="str">
        <f t="shared" si="1319"/>
        <v>A68FCB</v>
      </c>
      <c r="V3334">
        <v>0</v>
      </c>
      <c r="W3334">
        <v>0</v>
      </c>
      <c r="X3334">
        <v>2</v>
      </c>
      <c r="Y3334">
        <v>0</v>
      </c>
      <c r="AA3334">
        <v>1</v>
      </c>
      <c r="AB3334">
        <v>8</v>
      </c>
      <c r="AC3334">
        <v>3</v>
      </c>
      <c r="AD3334">
        <v>0</v>
      </c>
      <c r="AE3334">
        <v>9</v>
      </c>
      <c r="AF3334" t="s">
        <v>138</v>
      </c>
      <c r="AG3334">
        <v>0</v>
      </c>
      <c r="AH3334">
        <v>3</v>
      </c>
      <c r="AI3334">
        <v>2</v>
      </c>
      <c r="AJ3334">
        <v>0</v>
      </c>
      <c r="AK3334" t="s">
        <v>1109</v>
      </c>
      <c r="AL3334">
        <v>39.137292000000002</v>
      </c>
      <c r="AM3334" t="s">
        <v>1110</v>
      </c>
      <c r="AN3334">
        <v>-121.030991</v>
      </c>
      <c r="AO3334">
        <v>25</v>
      </c>
      <c r="AP3334">
        <v>4300</v>
      </c>
      <c r="AQ3334" t="s">
        <v>131</v>
      </c>
      <c r="AR3334">
        <v>0</v>
      </c>
      <c r="AS3334">
        <v>83</v>
      </c>
      <c r="AT3334">
        <v>0</v>
      </c>
      <c r="BB3334" t="str">
        <f t="shared" si="1320"/>
        <v>1200</v>
      </c>
      <c r="BC3334">
        <v>1</v>
      </c>
      <c r="BD3334" t="str">
        <f t="shared" si="1321"/>
        <v xml:space="preserve">N52156  </v>
      </c>
      <c r="BE3334">
        <v>1</v>
      </c>
      <c r="BG3334">
        <v>0</v>
      </c>
      <c r="BH3334">
        <v>0</v>
      </c>
      <c r="BI3334">
        <v>0</v>
      </c>
      <c r="BJ3334">
        <v>4350</v>
      </c>
      <c r="BK3334">
        <v>50</v>
      </c>
      <c r="BL3334" t="s">
        <v>188</v>
      </c>
      <c r="BM3334">
        <v>1</v>
      </c>
      <c r="BN3334">
        <v>1</v>
      </c>
      <c r="BO3334">
        <v>0</v>
      </c>
      <c r="BP3334">
        <v>0</v>
      </c>
      <c r="BS3334">
        <v>0</v>
      </c>
      <c r="BT3334">
        <v>0</v>
      </c>
      <c r="BU3334">
        <v>0</v>
      </c>
      <c r="CE3334" t="str">
        <f t="shared" si="1323"/>
        <v>15:13:47.682</v>
      </c>
      <c r="CF3334">
        <v>681810474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3</v>
      </c>
      <c r="CY3334">
        <v>7</v>
      </c>
      <c r="CZ3334" t="s">
        <v>133</v>
      </c>
      <c r="DA3334">
        <v>276</v>
      </c>
      <c r="DB3334">
        <v>0</v>
      </c>
      <c r="DC3334" t="s">
        <v>402</v>
      </c>
      <c r="DD3334" t="s">
        <v>403</v>
      </c>
      <c r="DG3334">
        <v>1628002</v>
      </c>
      <c r="DI3334">
        <v>1</v>
      </c>
      <c r="DJ3334">
        <v>0</v>
      </c>
      <c r="DK3334">
        <v>1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3">
      <c r="A3335" t="str">
        <f>"05/01/2025 15:13:47.918"</f>
        <v>05/01/2025 15:13:47.918</v>
      </c>
      <c r="C3335" t="str">
        <f t="shared" si="1318"/>
        <v>FFDFD3C0</v>
      </c>
      <c r="D3335" t="s">
        <v>145</v>
      </c>
      <c r="E3335" t="str">
        <f>"05"</f>
        <v>05</v>
      </c>
      <c r="H3335">
        <v>47</v>
      </c>
      <c r="I3335" t="s">
        <v>146</v>
      </c>
      <c r="J3335" t="s">
        <v>138</v>
      </c>
      <c r="K3335">
        <v>0</v>
      </c>
      <c r="L3335">
        <v>3</v>
      </c>
      <c r="M3335">
        <v>0</v>
      </c>
      <c r="N3335">
        <v>2</v>
      </c>
      <c r="O3335">
        <v>0</v>
      </c>
      <c r="P3335">
        <v>1</v>
      </c>
      <c r="Q3335">
        <v>0</v>
      </c>
      <c r="R3335" t="s">
        <v>127</v>
      </c>
      <c r="S3335" t="str">
        <f t="shared" si="1322"/>
        <v>15:13:47.000</v>
      </c>
      <c r="T3335" t="str">
        <f t="shared" si="1322"/>
        <v>15:13:47.000</v>
      </c>
      <c r="U3335" t="str">
        <f t="shared" si="1319"/>
        <v>A68FCB</v>
      </c>
      <c r="V3335">
        <v>0</v>
      </c>
      <c r="W3335">
        <v>0</v>
      </c>
      <c r="X3335">
        <v>2</v>
      </c>
      <c r="Y3335">
        <v>0</v>
      </c>
      <c r="AA3335">
        <v>1</v>
      </c>
      <c r="AB3335">
        <v>8</v>
      </c>
      <c r="AC3335">
        <v>3</v>
      </c>
      <c r="AD3335">
        <v>0</v>
      </c>
      <c r="AE3335">
        <v>9</v>
      </c>
      <c r="AF3335" t="s">
        <v>138</v>
      </c>
      <c r="AG3335">
        <v>0</v>
      </c>
      <c r="AH3335">
        <v>3</v>
      </c>
      <c r="AI3335">
        <v>2</v>
      </c>
      <c r="AJ3335">
        <v>0</v>
      </c>
      <c r="AK3335" t="s">
        <v>1109</v>
      </c>
      <c r="AL3335">
        <v>39.137292000000002</v>
      </c>
      <c r="AM3335" t="s">
        <v>1110</v>
      </c>
      <c r="AN3335">
        <v>-121.030991</v>
      </c>
      <c r="AO3335">
        <v>25</v>
      </c>
      <c r="AP3335">
        <v>4300</v>
      </c>
      <c r="AQ3335" t="s">
        <v>131</v>
      </c>
      <c r="AR3335">
        <v>0</v>
      </c>
      <c r="AS3335">
        <v>83</v>
      </c>
      <c r="AT3335">
        <v>0</v>
      </c>
      <c r="BB3335" t="str">
        <f t="shared" si="1320"/>
        <v>1200</v>
      </c>
      <c r="BC3335">
        <v>1</v>
      </c>
      <c r="BD3335" t="str">
        <f t="shared" si="1321"/>
        <v xml:space="preserve">N52156  </v>
      </c>
      <c r="BE3335">
        <v>1</v>
      </c>
      <c r="BG3335">
        <v>0</v>
      </c>
      <c r="BH3335">
        <v>0</v>
      </c>
      <c r="BI3335">
        <v>0</v>
      </c>
      <c r="BJ3335">
        <v>4350</v>
      </c>
      <c r="BK3335">
        <v>50</v>
      </c>
      <c r="BL3335" t="s">
        <v>188</v>
      </c>
      <c r="BM3335">
        <v>1</v>
      </c>
      <c r="BN3335">
        <v>1</v>
      </c>
      <c r="BO3335">
        <v>0</v>
      </c>
      <c r="BP3335">
        <v>0</v>
      </c>
      <c r="BS3335">
        <v>0</v>
      </c>
      <c r="BT3335">
        <v>0</v>
      </c>
      <c r="BU3335">
        <v>0</v>
      </c>
      <c r="CE3335" t="str">
        <f t="shared" si="1323"/>
        <v>15:13:47.682</v>
      </c>
      <c r="CF3335">
        <v>681810474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3</v>
      </c>
      <c r="CY3335">
        <v>7</v>
      </c>
      <c r="CZ3335" t="s">
        <v>133</v>
      </c>
      <c r="DA3335">
        <v>276</v>
      </c>
      <c r="DB3335">
        <v>0</v>
      </c>
      <c r="DC3335" t="s">
        <v>402</v>
      </c>
      <c r="DD3335" t="s">
        <v>403</v>
      </c>
      <c r="DG3335">
        <v>1628002</v>
      </c>
      <c r="DI3335">
        <v>1</v>
      </c>
      <c r="DJ3335">
        <v>0</v>
      </c>
      <c r="DK3335">
        <v>1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3">
      <c r="A3336" t="str">
        <f>"05/01/2025 15:13:47.916"</f>
        <v>05/01/2025 15:13:47.916</v>
      </c>
      <c r="C3336" t="str">
        <f t="shared" si="1318"/>
        <v>FFDFD3C0</v>
      </c>
      <c r="D3336" t="s">
        <v>145</v>
      </c>
      <c r="E3336" t="str">
        <f>"09"</f>
        <v>09</v>
      </c>
      <c r="H3336">
        <v>51</v>
      </c>
      <c r="I3336" t="s">
        <v>147</v>
      </c>
      <c r="J3336" t="s">
        <v>138</v>
      </c>
      <c r="K3336">
        <v>0</v>
      </c>
      <c r="L3336">
        <v>3</v>
      </c>
      <c r="M3336">
        <v>0</v>
      </c>
      <c r="N3336">
        <v>2</v>
      </c>
      <c r="O3336">
        <v>0</v>
      </c>
      <c r="P3336">
        <v>1</v>
      </c>
      <c r="Q3336">
        <v>0</v>
      </c>
      <c r="R3336" t="s">
        <v>127</v>
      </c>
      <c r="S3336" t="str">
        <f t="shared" si="1322"/>
        <v>15:13:47.000</v>
      </c>
      <c r="T3336" t="str">
        <f t="shared" si="1322"/>
        <v>15:13:47.000</v>
      </c>
      <c r="U3336" t="str">
        <f t="shared" si="1319"/>
        <v>A68FCB</v>
      </c>
      <c r="V3336">
        <v>0</v>
      </c>
      <c r="W3336">
        <v>0</v>
      </c>
      <c r="X3336">
        <v>2</v>
      </c>
      <c r="Y3336">
        <v>0</v>
      </c>
      <c r="AA3336">
        <v>1</v>
      </c>
      <c r="AB3336">
        <v>8</v>
      </c>
      <c r="AC3336">
        <v>3</v>
      </c>
      <c r="AD3336">
        <v>0</v>
      </c>
      <c r="AE3336">
        <v>9</v>
      </c>
      <c r="AF3336" t="s">
        <v>138</v>
      </c>
      <c r="AG3336">
        <v>0</v>
      </c>
      <c r="AH3336">
        <v>3</v>
      </c>
      <c r="AI3336">
        <v>2</v>
      </c>
      <c r="AJ3336">
        <v>0</v>
      </c>
      <c r="AK3336" t="s">
        <v>1109</v>
      </c>
      <c r="AL3336">
        <v>39.137292000000002</v>
      </c>
      <c r="AM3336" t="s">
        <v>1110</v>
      </c>
      <c r="AN3336">
        <v>-121.030991</v>
      </c>
      <c r="AO3336">
        <v>25</v>
      </c>
      <c r="AP3336">
        <v>4300</v>
      </c>
      <c r="AQ3336" t="s">
        <v>131</v>
      </c>
      <c r="AR3336">
        <v>0</v>
      </c>
      <c r="AS3336">
        <v>83</v>
      </c>
      <c r="AT3336">
        <v>0</v>
      </c>
      <c r="BB3336" t="str">
        <f t="shared" si="1320"/>
        <v>1200</v>
      </c>
      <c r="BC3336">
        <v>1</v>
      </c>
      <c r="BD3336" t="str">
        <f t="shared" si="1321"/>
        <v xml:space="preserve">N52156  </v>
      </c>
      <c r="BE3336">
        <v>1</v>
      </c>
      <c r="BG3336">
        <v>0</v>
      </c>
      <c r="BH3336">
        <v>0</v>
      </c>
      <c r="BI3336">
        <v>0</v>
      </c>
      <c r="BJ3336">
        <v>4350</v>
      </c>
      <c r="BK3336">
        <v>50</v>
      </c>
      <c r="BL3336" t="s">
        <v>188</v>
      </c>
      <c r="BM3336">
        <v>1</v>
      </c>
      <c r="BN3336">
        <v>1</v>
      </c>
      <c r="BO3336">
        <v>0</v>
      </c>
      <c r="BP3336">
        <v>0</v>
      </c>
      <c r="BS3336">
        <v>0</v>
      </c>
      <c r="BT3336">
        <v>0</v>
      </c>
      <c r="BU3336">
        <v>0</v>
      </c>
      <c r="CE3336" t="str">
        <f t="shared" si="1323"/>
        <v>15:13:47.682</v>
      </c>
      <c r="CF3336">
        <v>681810474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3</v>
      </c>
      <c r="CY3336">
        <v>7</v>
      </c>
      <c r="CZ3336" t="s">
        <v>133</v>
      </c>
      <c r="DA3336">
        <v>276</v>
      </c>
      <c r="DB3336">
        <v>0</v>
      </c>
      <c r="DC3336" t="s">
        <v>402</v>
      </c>
      <c r="DD3336" t="s">
        <v>403</v>
      </c>
      <c r="DG3336">
        <v>1628002</v>
      </c>
      <c r="DI3336">
        <v>1</v>
      </c>
      <c r="DJ3336">
        <v>0</v>
      </c>
      <c r="DK3336">
        <v>1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3">
      <c r="A3337" t="str">
        <f>"05/01/2025 15:13:47.929"</f>
        <v>05/01/2025 15:13:47.929</v>
      </c>
      <c r="C3337" t="str">
        <f t="shared" si="1318"/>
        <v>FFDFD3C0</v>
      </c>
      <c r="D3337" t="s">
        <v>136</v>
      </c>
      <c r="E3337" t="str">
        <f>"20"</f>
        <v>20</v>
      </c>
      <c r="H3337">
        <v>400</v>
      </c>
      <c r="I3337" t="s">
        <v>137</v>
      </c>
      <c r="J3337" t="s">
        <v>138</v>
      </c>
      <c r="K3337">
        <v>0</v>
      </c>
      <c r="L3337">
        <v>3</v>
      </c>
      <c r="M3337">
        <v>0</v>
      </c>
      <c r="N3337">
        <v>2</v>
      </c>
      <c r="O3337">
        <v>0</v>
      </c>
      <c r="P3337">
        <v>1</v>
      </c>
      <c r="Q3337">
        <v>0</v>
      </c>
      <c r="R3337" t="s">
        <v>127</v>
      </c>
      <c r="S3337" t="str">
        <f t="shared" si="1322"/>
        <v>15:13:47.000</v>
      </c>
      <c r="T3337" t="str">
        <f t="shared" si="1322"/>
        <v>15:13:47.000</v>
      </c>
      <c r="U3337" t="str">
        <f t="shared" si="1319"/>
        <v>A68FCB</v>
      </c>
      <c r="V3337">
        <v>0</v>
      </c>
      <c r="W3337">
        <v>0</v>
      </c>
      <c r="X3337">
        <v>2</v>
      </c>
      <c r="Y3337">
        <v>0</v>
      </c>
      <c r="AA3337">
        <v>1</v>
      </c>
      <c r="AB3337">
        <v>8</v>
      </c>
      <c r="AC3337">
        <v>3</v>
      </c>
      <c r="AD3337">
        <v>0</v>
      </c>
      <c r="AE3337">
        <v>9</v>
      </c>
      <c r="AF3337" t="s">
        <v>138</v>
      </c>
      <c r="AG3337">
        <v>0</v>
      </c>
      <c r="AH3337">
        <v>3</v>
      </c>
      <c r="AI3337">
        <v>2</v>
      </c>
      <c r="AJ3337">
        <v>0</v>
      </c>
      <c r="AK3337" t="s">
        <v>1109</v>
      </c>
      <c r="AL3337">
        <v>39.137292000000002</v>
      </c>
      <c r="AM3337" t="s">
        <v>1110</v>
      </c>
      <c r="AN3337">
        <v>-121.030991</v>
      </c>
      <c r="AO3337">
        <v>25</v>
      </c>
      <c r="AP3337">
        <v>4300</v>
      </c>
      <c r="AQ3337" t="s">
        <v>131</v>
      </c>
      <c r="AR3337">
        <v>0</v>
      </c>
      <c r="AS3337">
        <v>83</v>
      </c>
      <c r="AT3337">
        <v>0</v>
      </c>
      <c r="BB3337" t="str">
        <f t="shared" si="1320"/>
        <v>1200</v>
      </c>
      <c r="BC3337">
        <v>1</v>
      </c>
      <c r="BD3337" t="str">
        <f t="shared" si="1321"/>
        <v xml:space="preserve">N52156  </v>
      </c>
      <c r="BE3337">
        <v>1</v>
      </c>
      <c r="BG3337">
        <v>0</v>
      </c>
      <c r="BH3337">
        <v>0</v>
      </c>
      <c r="BI3337">
        <v>0</v>
      </c>
      <c r="BJ3337">
        <v>4350</v>
      </c>
      <c r="BK3337">
        <v>50</v>
      </c>
      <c r="BL3337" t="s">
        <v>188</v>
      </c>
      <c r="BM3337">
        <v>1</v>
      </c>
      <c r="BN3337">
        <v>1</v>
      </c>
      <c r="BO3337">
        <v>0</v>
      </c>
      <c r="BP3337">
        <v>0</v>
      </c>
      <c r="BS3337">
        <v>0</v>
      </c>
      <c r="BT3337">
        <v>0</v>
      </c>
      <c r="BU3337">
        <v>0</v>
      </c>
      <c r="CE3337" t="str">
        <f t="shared" si="1323"/>
        <v>15:13:47.682</v>
      </c>
      <c r="CF3337">
        <v>681810474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3</v>
      </c>
      <c r="CY3337">
        <v>7</v>
      </c>
      <c r="CZ3337" t="s">
        <v>133</v>
      </c>
      <c r="DA3337">
        <v>276</v>
      </c>
      <c r="DB3337">
        <v>0</v>
      </c>
      <c r="DC3337" t="s">
        <v>402</v>
      </c>
      <c r="DD3337" t="s">
        <v>403</v>
      </c>
      <c r="DG3337">
        <v>1628002</v>
      </c>
      <c r="DI3337">
        <v>1</v>
      </c>
      <c r="DJ3337">
        <v>0</v>
      </c>
      <c r="DK3337">
        <v>1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3">
      <c r="A3338" t="str">
        <f>"05/01/2025 15:13:48.804"</f>
        <v>05/01/2025 15:13:48.804</v>
      </c>
      <c r="C3338" t="str">
        <f t="shared" si="1318"/>
        <v>FFDFD3C0</v>
      </c>
      <c r="D3338" t="s">
        <v>124</v>
      </c>
      <c r="E3338" t="str">
        <f>"06"</f>
        <v>06</v>
      </c>
      <c r="F3338">
        <v>2006</v>
      </c>
      <c r="G3338" t="s">
        <v>125</v>
      </c>
      <c r="J3338" t="s">
        <v>126</v>
      </c>
      <c r="K3338">
        <v>0</v>
      </c>
      <c r="L3338">
        <v>3</v>
      </c>
      <c r="M3338">
        <v>0</v>
      </c>
      <c r="N3338">
        <v>2</v>
      </c>
      <c r="O3338">
        <v>0</v>
      </c>
      <c r="P3338">
        <v>1</v>
      </c>
      <c r="Q3338">
        <v>0</v>
      </c>
      <c r="R3338" t="s">
        <v>127</v>
      </c>
      <c r="S3338" t="str">
        <f t="shared" ref="S3338:T3343" si="1324">"15:13:48.000"</f>
        <v>15:13:48.000</v>
      </c>
      <c r="T3338" t="str">
        <f t="shared" si="1324"/>
        <v>15:13:48.000</v>
      </c>
      <c r="U3338" t="str">
        <f t="shared" si="1319"/>
        <v>A68FCB</v>
      </c>
      <c r="V3338">
        <v>0</v>
      </c>
      <c r="W3338">
        <v>0</v>
      </c>
      <c r="X3338">
        <v>2</v>
      </c>
      <c r="Y3338">
        <v>0</v>
      </c>
      <c r="AA3338">
        <v>1</v>
      </c>
      <c r="AB3338">
        <v>8</v>
      </c>
      <c r="AC3338">
        <v>3</v>
      </c>
      <c r="AD3338">
        <v>0</v>
      </c>
      <c r="AE3338">
        <v>9</v>
      </c>
      <c r="AF3338" t="s">
        <v>138</v>
      </c>
      <c r="AG3338">
        <v>0</v>
      </c>
      <c r="AH3338">
        <v>3</v>
      </c>
      <c r="AI3338">
        <v>2</v>
      </c>
      <c r="AJ3338">
        <v>0</v>
      </c>
      <c r="AK3338" t="s">
        <v>1111</v>
      </c>
      <c r="AL3338">
        <v>39.137656999999997</v>
      </c>
      <c r="AM3338" t="s">
        <v>1110</v>
      </c>
      <c r="AN3338">
        <v>-121.030991</v>
      </c>
      <c r="AO3338">
        <v>25</v>
      </c>
      <c r="AP3338">
        <v>4300</v>
      </c>
      <c r="AQ3338" t="s">
        <v>131</v>
      </c>
      <c r="AR3338">
        <v>0</v>
      </c>
      <c r="AS3338">
        <v>83</v>
      </c>
      <c r="AT3338">
        <v>64</v>
      </c>
      <c r="BB3338" t="str">
        <f t="shared" si="1320"/>
        <v>1200</v>
      </c>
      <c r="BC3338">
        <v>1</v>
      </c>
      <c r="BD3338" t="str">
        <f t="shared" si="1321"/>
        <v xml:space="preserve">N52156  </v>
      </c>
      <c r="BE3338">
        <v>1</v>
      </c>
      <c r="BG3338">
        <v>0</v>
      </c>
      <c r="BH3338">
        <v>0</v>
      </c>
      <c r="BI3338">
        <v>0</v>
      </c>
      <c r="BJ3338">
        <v>4350</v>
      </c>
      <c r="BK3338">
        <v>50</v>
      </c>
      <c r="BL3338" t="s">
        <v>188</v>
      </c>
      <c r="BM3338">
        <v>1</v>
      </c>
      <c r="BN3338">
        <v>1</v>
      </c>
      <c r="BO3338">
        <v>0</v>
      </c>
      <c r="BP3338">
        <v>0</v>
      </c>
      <c r="BS3338">
        <v>0</v>
      </c>
      <c r="BT3338">
        <v>0</v>
      </c>
      <c r="BU3338">
        <v>0</v>
      </c>
      <c r="CE3338" t="str">
        <f t="shared" ref="CE3338:CE3343" si="1325">"15:13:48.589"</f>
        <v>15:13:48.589</v>
      </c>
      <c r="CF3338">
        <v>588560385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3</v>
      </c>
      <c r="CY3338">
        <v>7</v>
      </c>
      <c r="CZ3338" t="s">
        <v>133</v>
      </c>
      <c r="DA3338">
        <v>276</v>
      </c>
      <c r="DB3338">
        <v>0</v>
      </c>
      <c r="DC3338" t="s">
        <v>402</v>
      </c>
      <c r="DD3338" t="s">
        <v>403</v>
      </c>
      <c r="DG3338">
        <v>1628005</v>
      </c>
      <c r="DI3338">
        <v>1</v>
      </c>
      <c r="DJ3338">
        <v>0</v>
      </c>
      <c r="DK3338">
        <v>0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3">
      <c r="A3339" t="str">
        <f>"05/01/2025 15:13:48.805"</f>
        <v>05/01/2025 15:13:48.805</v>
      </c>
      <c r="C3339" t="str">
        <f t="shared" si="1318"/>
        <v>FFDFD3C0</v>
      </c>
      <c r="D3339" t="s">
        <v>140</v>
      </c>
      <c r="E3339" t="str">
        <f>"13"</f>
        <v>13</v>
      </c>
      <c r="F3339">
        <v>1019</v>
      </c>
      <c r="G3339" t="s">
        <v>141</v>
      </c>
      <c r="J3339" t="s">
        <v>142</v>
      </c>
      <c r="K3339">
        <v>0</v>
      </c>
      <c r="L3339">
        <v>3</v>
      </c>
      <c r="M3339">
        <v>0</v>
      </c>
      <c r="N3339">
        <v>2</v>
      </c>
      <c r="O3339">
        <v>0</v>
      </c>
      <c r="P3339">
        <v>1</v>
      </c>
      <c r="Q3339">
        <v>0</v>
      </c>
      <c r="R3339" t="s">
        <v>127</v>
      </c>
      <c r="S3339" t="str">
        <f t="shared" si="1324"/>
        <v>15:13:48.000</v>
      </c>
      <c r="T3339" t="str">
        <f t="shared" si="1324"/>
        <v>15:13:48.000</v>
      </c>
      <c r="U3339" t="str">
        <f t="shared" si="1319"/>
        <v>A68FCB</v>
      </c>
      <c r="V3339">
        <v>0</v>
      </c>
      <c r="W3339">
        <v>0</v>
      </c>
      <c r="X3339">
        <v>2</v>
      </c>
      <c r="Y3339">
        <v>0</v>
      </c>
      <c r="AA3339">
        <v>1</v>
      </c>
      <c r="AB3339">
        <v>8</v>
      </c>
      <c r="AC3339">
        <v>3</v>
      </c>
      <c r="AD3339">
        <v>0</v>
      </c>
      <c r="AE3339">
        <v>9</v>
      </c>
      <c r="AF3339" t="s">
        <v>138</v>
      </c>
      <c r="AG3339">
        <v>0</v>
      </c>
      <c r="AH3339">
        <v>3</v>
      </c>
      <c r="AI3339">
        <v>2</v>
      </c>
      <c r="AJ3339">
        <v>0</v>
      </c>
      <c r="AK3339" t="s">
        <v>1111</v>
      </c>
      <c r="AL3339">
        <v>39.137656999999997</v>
      </c>
      <c r="AM3339" t="s">
        <v>1110</v>
      </c>
      <c r="AN3339">
        <v>-121.030991</v>
      </c>
      <c r="AO3339">
        <v>25</v>
      </c>
      <c r="AP3339">
        <v>4300</v>
      </c>
      <c r="AQ3339" t="s">
        <v>131</v>
      </c>
      <c r="AR3339">
        <v>0</v>
      </c>
      <c r="AS3339">
        <v>83</v>
      </c>
      <c r="AT3339">
        <v>64</v>
      </c>
      <c r="BB3339" t="str">
        <f t="shared" si="1320"/>
        <v>1200</v>
      </c>
      <c r="BC3339">
        <v>1</v>
      </c>
      <c r="BD3339" t="str">
        <f t="shared" si="1321"/>
        <v xml:space="preserve">N52156  </v>
      </c>
      <c r="BE3339">
        <v>1</v>
      </c>
      <c r="BG3339">
        <v>0</v>
      </c>
      <c r="BH3339">
        <v>0</v>
      </c>
      <c r="BI3339">
        <v>0</v>
      </c>
      <c r="BJ3339">
        <v>4350</v>
      </c>
      <c r="BK3339">
        <v>50</v>
      </c>
      <c r="BL3339" t="s">
        <v>188</v>
      </c>
      <c r="BM3339">
        <v>1</v>
      </c>
      <c r="BN3339">
        <v>1</v>
      </c>
      <c r="BO3339">
        <v>0</v>
      </c>
      <c r="BP3339">
        <v>0</v>
      </c>
      <c r="BS3339">
        <v>0</v>
      </c>
      <c r="BT3339">
        <v>0</v>
      </c>
      <c r="BU3339">
        <v>0</v>
      </c>
      <c r="CE3339" t="str">
        <f t="shared" si="1325"/>
        <v>15:13:48.589</v>
      </c>
      <c r="CF3339">
        <v>588560385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3</v>
      </c>
      <c r="CY3339">
        <v>7</v>
      </c>
      <c r="CZ3339" t="s">
        <v>133</v>
      </c>
      <c r="DA3339">
        <v>276</v>
      </c>
      <c r="DB3339">
        <v>0</v>
      </c>
      <c r="DC3339" t="s">
        <v>402</v>
      </c>
      <c r="DD3339" t="s">
        <v>403</v>
      </c>
      <c r="DG3339">
        <v>1628005</v>
      </c>
      <c r="DI3339">
        <v>1</v>
      </c>
      <c r="DJ3339">
        <v>0</v>
      </c>
      <c r="DK3339">
        <v>1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3">
      <c r="A3340" t="str">
        <f>"05/01/2025 15:13:48.818"</f>
        <v>05/01/2025 15:13:48.818</v>
      </c>
      <c r="C3340" t="str">
        <f t="shared" si="1318"/>
        <v>FFDFD3C0</v>
      </c>
      <c r="D3340" t="s">
        <v>145</v>
      </c>
      <c r="E3340" t="str">
        <f>"09"</f>
        <v>09</v>
      </c>
      <c r="H3340">
        <v>51</v>
      </c>
      <c r="I3340" t="s">
        <v>147</v>
      </c>
      <c r="J3340" t="s">
        <v>138</v>
      </c>
      <c r="K3340">
        <v>0</v>
      </c>
      <c r="L3340">
        <v>3</v>
      </c>
      <c r="M3340">
        <v>0</v>
      </c>
      <c r="N3340">
        <v>2</v>
      </c>
      <c r="O3340">
        <v>0</v>
      </c>
      <c r="P3340">
        <v>1</v>
      </c>
      <c r="Q3340">
        <v>0</v>
      </c>
      <c r="R3340" t="s">
        <v>127</v>
      </c>
      <c r="S3340" t="str">
        <f t="shared" si="1324"/>
        <v>15:13:48.000</v>
      </c>
      <c r="T3340" t="str">
        <f t="shared" si="1324"/>
        <v>15:13:48.000</v>
      </c>
      <c r="U3340" t="str">
        <f t="shared" si="1319"/>
        <v>A68FCB</v>
      </c>
      <c r="V3340">
        <v>0</v>
      </c>
      <c r="W3340">
        <v>0</v>
      </c>
      <c r="X3340">
        <v>2</v>
      </c>
      <c r="Y3340">
        <v>0</v>
      </c>
      <c r="AA3340">
        <v>1</v>
      </c>
      <c r="AB3340">
        <v>8</v>
      </c>
      <c r="AC3340">
        <v>3</v>
      </c>
      <c r="AD3340">
        <v>0</v>
      </c>
      <c r="AE3340">
        <v>9</v>
      </c>
      <c r="AF3340" t="s">
        <v>138</v>
      </c>
      <c r="AG3340">
        <v>0</v>
      </c>
      <c r="AH3340">
        <v>3</v>
      </c>
      <c r="AI3340">
        <v>2</v>
      </c>
      <c r="AJ3340">
        <v>0</v>
      </c>
      <c r="AK3340" t="s">
        <v>1111</v>
      </c>
      <c r="AL3340">
        <v>39.137656999999997</v>
      </c>
      <c r="AM3340" t="s">
        <v>1110</v>
      </c>
      <c r="AN3340">
        <v>-121.030991</v>
      </c>
      <c r="AO3340">
        <v>25</v>
      </c>
      <c r="AP3340">
        <v>4300</v>
      </c>
      <c r="AQ3340" t="s">
        <v>131</v>
      </c>
      <c r="AR3340">
        <v>0</v>
      </c>
      <c r="AS3340">
        <v>83</v>
      </c>
      <c r="AT3340">
        <v>64</v>
      </c>
      <c r="BB3340" t="str">
        <f t="shared" si="1320"/>
        <v>1200</v>
      </c>
      <c r="BC3340">
        <v>1</v>
      </c>
      <c r="BD3340" t="str">
        <f t="shared" si="1321"/>
        <v xml:space="preserve">N52156  </v>
      </c>
      <c r="BE3340">
        <v>1</v>
      </c>
      <c r="BG3340">
        <v>0</v>
      </c>
      <c r="BH3340">
        <v>0</v>
      </c>
      <c r="BI3340">
        <v>0</v>
      </c>
      <c r="BJ3340">
        <v>4350</v>
      </c>
      <c r="BK3340">
        <v>50</v>
      </c>
      <c r="BL3340" t="s">
        <v>188</v>
      </c>
      <c r="BM3340">
        <v>1</v>
      </c>
      <c r="BN3340">
        <v>1</v>
      </c>
      <c r="BO3340">
        <v>0</v>
      </c>
      <c r="BP3340">
        <v>0</v>
      </c>
      <c r="BS3340">
        <v>0</v>
      </c>
      <c r="BT3340">
        <v>0</v>
      </c>
      <c r="BU3340">
        <v>0</v>
      </c>
      <c r="CE3340" t="str">
        <f t="shared" si="1325"/>
        <v>15:13:48.589</v>
      </c>
      <c r="CF3340">
        <v>588560385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3</v>
      </c>
      <c r="CY3340">
        <v>7</v>
      </c>
      <c r="CZ3340" t="s">
        <v>133</v>
      </c>
      <c r="DA3340">
        <v>276</v>
      </c>
      <c r="DB3340">
        <v>0</v>
      </c>
      <c r="DC3340" t="s">
        <v>402</v>
      </c>
      <c r="DD3340" t="s">
        <v>403</v>
      </c>
      <c r="DG3340">
        <v>1628005</v>
      </c>
      <c r="DI3340">
        <v>1</v>
      </c>
      <c r="DJ3340">
        <v>0</v>
      </c>
      <c r="DK3340">
        <v>1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3">
      <c r="A3341" t="str">
        <f>"05/01/2025 15:13:48.819"</f>
        <v>05/01/2025 15:13:48.819</v>
      </c>
      <c r="C3341" t="str">
        <f t="shared" si="1318"/>
        <v>FFDFD3C0</v>
      </c>
      <c r="D3341" t="s">
        <v>145</v>
      </c>
      <c r="E3341" t="str">
        <f>"05"</f>
        <v>05</v>
      </c>
      <c r="H3341">
        <v>47</v>
      </c>
      <c r="I3341" t="s">
        <v>146</v>
      </c>
      <c r="J3341" t="s">
        <v>138</v>
      </c>
      <c r="K3341">
        <v>0</v>
      </c>
      <c r="L3341">
        <v>3</v>
      </c>
      <c r="M3341">
        <v>0</v>
      </c>
      <c r="N3341">
        <v>2</v>
      </c>
      <c r="O3341">
        <v>0</v>
      </c>
      <c r="P3341">
        <v>1</v>
      </c>
      <c r="Q3341">
        <v>0</v>
      </c>
      <c r="R3341" t="s">
        <v>127</v>
      </c>
      <c r="S3341" t="str">
        <f t="shared" si="1324"/>
        <v>15:13:48.000</v>
      </c>
      <c r="T3341" t="str">
        <f t="shared" si="1324"/>
        <v>15:13:48.000</v>
      </c>
      <c r="U3341" t="str">
        <f t="shared" si="1319"/>
        <v>A68FCB</v>
      </c>
      <c r="V3341">
        <v>0</v>
      </c>
      <c r="W3341">
        <v>0</v>
      </c>
      <c r="X3341">
        <v>2</v>
      </c>
      <c r="Y3341">
        <v>0</v>
      </c>
      <c r="AA3341">
        <v>1</v>
      </c>
      <c r="AB3341">
        <v>8</v>
      </c>
      <c r="AC3341">
        <v>3</v>
      </c>
      <c r="AD3341">
        <v>0</v>
      </c>
      <c r="AE3341">
        <v>9</v>
      </c>
      <c r="AF3341" t="s">
        <v>138</v>
      </c>
      <c r="AG3341">
        <v>0</v>
      </c>
      <c r="AH3341">
        <v>3</v>
      </c>
      <c r="AI3341">
        <v>2</v>
      </c>
      <c r="AJ3341">
        <v>0</v>
      </c>
      <c r="AK3341" t="s">
        <v>1111</v>
      </c>
      <c r="AL3341">
        <v>39.137656999999997</v>
      </c>
      <c r="AM3341" t="s">
        <v>1110</v>
      </c>
      <c r="AN3341">
        <v>-121.030991</v>
      </c>
      <c r="AO3341">
        <v>25</v>
      </c>
      <c r="AP3341">
        <v>4300</v>
      </c>
      <c r="AQ3341" t="s">
        <v>131</v>
      </c>
      <c r="AR3341">
        <v>0</v>
      </c>
      <c r="AS3341">
        <v>83</v>
      </c>
      <c r="AT3341">
        <v>64</v>
      </c>
      <c r="BB3341" t="str">
        <f t="shared" si="1320"/>
        <v>1200</v>
      </c>
      <c r="BC3341">
        <v>1</v>
      </c>
      <c r="BD3341" t="str">
        <f t="shared" si="1321"/>
        <v xml:space="preserve">N52156  </v>
      </c>
      <c r="BE3341">
        <v>1</v>
      </c>
      <c r="BG3341">
        <v>0</v>
      </c>
      <c r="BH3341">
        <v>0</v>
      </c>
      <c r="BI3341">
        <v>0</v>
      </c>
      <c r="BJ3341">
        <v>4350</v>
      </c>
      <c r="BK3341">
        <v>50</v>
      </c>
      <c r="BL3341" t="s">
        <v>188</v>
      </c>
      <c r="BM3341">
        <v>1</v>
      </c>
      <c r="BN3341">
        <v>1</v>
      </c>
      <c r="BO3341">
        <v>0</v>
      </c>
      <c r="BP3341">
        <v>0</v>
      </c>
      <c r="BS3341">
        <v>0</v>
      </c>
      <c r="BT3341">
        <v>0</v>
      </c>
      <c r="BU3341">
        <v>0</v>
      </c>
      <c r="CE3341" t="str">
        <f t="shared" si="1325"/>
        <v>15:13:48.589</v>
      </c>
      <c r="CF3341">
        <v>588560385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3</v>
      </c>
      <c r="CY3341">
        <v>7</v>
      </c>
      <c r="CZ3341" t="s">
        <v>133</v>
      </c>
      <c r="DA3341">
        <v>276</v>
      </c>
      <c r="DB3341">
        <v>0</v>
      </c>
      <c r="DC3341" t="s">
        <v>402</v>
      </c>
      <c r="DD3341" t="s">
        <v>403</v>
      </c>
      <c r="DG3341">
        <v>1628005</v>
      </c>
      <c r="DI3341">
        <v>1</v>
      </c>
      <c r="DJ3341">
        <v>0</v>
      </c>
      <c r="DK3341">
        <v>1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3">
      <c r="A3342" t="str">
        <f>"05/01/2025 15:13:48.830"</f>
        <v>05/01/2025 15:13:48.830</v>
      </c>
      <c r="C3342" t="str">
        <f t="shared" si="1318"/>
        <v>FFDFD3C0</v>
      </c>
      <c r="D3342" t="s">
        <v>136</v>
      </c>
      <c r="E3342" t="str">
        <f>"20"</f>
        <v>20</v>
      </c>
      <c r="H3342">
        <v>400</v>
      </c>
      <c r="I3342" t="s">
        <v>137</v>
      </c>
      <c r="J3342" t="s">
        <v>138</v>
      </c>
      <c r="K3342">
        <v>0</v>
      </c>
      <c r="L3342">
        <v>3</v>
      </c>
      <c r="M3342">
        <v>0</v>
      </c>
      <c r="N3342">
        <v>2</v>
      </c>
      <c r="O3342">
        <v>0</v>
      </c>
      <c r="P3342">
        <v>1</v>
      </c>
      <c r="Q3342">
        <v>0</v>
      </c>
      <c r="R3342" t="s">
        <v>127</v>
      </c>
      <c r="S3342" t="str">
        <f t="shared" si="1324"/>
        <v>15:13:48.000</v>
      </c>
      <c r="T3342" t="str">
        <f t="shared" si="1324"/>
        <v>15:13:48.000</v>
      </c>
      <c r="U3342" t="str">
        <f t="shared" si="1319"/>
        <v>A68FCB</v>
      </c>
      <c r="V3342">
        <v>0</v>
      </c>
      <c r="W3342">
        <v>0</v>
      </c>
      <c r="X3342">
        <v>2</v>
      </c>
      <c r="Y3342">
        <v>0</v>
      </c>
      <c r="AA3342">
        <v>1</v>
      </c>
      <c r="AB3342">
        <v>8</v>
      </c>
      <c r="AC3342">
        <v>3</v>
      </c>
      <c r="AD3342">
        <v>0</v>
      </c>
      <c r="AE3342">
        <v>9</v>
      </c>
      <c r="AF3342" t="s">
        <v>138</v>
      </c>
      <c r="AG3342">
        <v>0</v>
      </c>
      <c r="AH3342">
        <v>3</v>
      </c>
      <c r="AI3342">
        <v>2</v>
      </c>
      <c r="AJ3342">
        <v>0</v>
      </c>
      <c r="AK3342" t="s">
        <v>1111</v>
      </c>
      <c r="AL3342">
        <v>39.137656999999997</v>
      </c>
      <c r="AM3342" t="s">
        <v>1110</v>
      </c>
      <c r="AN3342">
        <v>-121.030991</v>
      </c>
      <c r="AO3342">
        <v>25</v>
      </c>
      <c r="AP3342">
        <v>4300</v>
      </c>
      <c r="AQ3342" t="s">
        <v>131</v>
      </c>
      <c r="AR3342">
        <v>0</v>
      </c>
      <c r="AS3342">
        <v>83</v>
      </c>
      <c r="AT3342">
        <v>64</v>
      </c>
      <c r="BB3342" t="str">
        <f t="shared" si="1320"/>
        <v>1200</v>
      </c>
      <c r="BC3342">
        <v>1</v>
      </c>
      <c r="BD3342" t="str">
        <f t="shared" si="1321"/>
        <v xml:space="preserve">N52156  </v>
      </c>
      <c r="BE3342">
        <v>1</v>
      </c>
      <c r="BG3342">
        <v>0</v>
      </c>
      <c r="BH3342">
        <v>0</v>
      </c>
      <c r="BI3342">
        <v>0</v>
      </c>
      <c r="BJ3342">
        <v>4350</v>
      </c>
      <c r="BK3342">
        <v>50</v>
      </c>
      <c r="BL3342" t="s">
        <v>188</v>
      </c>
      <c r="BM3342">
        <v>1</v>
      </c>
      <c r="BN3342">
        <v>1</v>
      </c>
      <c r="BO3342">
        <v>0</v>
      </c>
      <c r="BP3342">
        <v>0</v>
      </c>
      <c r="BS3342">
        <v>0</v>
      </c>
      <c r="BT3342">
        <v>0</v>
      </c>
      <c r="BU3342">
        <v>0</v>
      </c>
      <c r="CE3342" t="str">
        <f t="shared" si="1325"/>
        <v>15:13:48.589</v>
      </c>
      <c r="CF3342">
        <v>588560385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3</v>
      </c>
      <c r="CY3342">
        <v>7</v>
      </c>
      <c r="CZ3342" t="s">
        <v>133</v>
      </c>
      <c r="DA3342">
        <v>276</v>
      </c>
      <c r="DB3342">
        <v>0</v>
      </c>
      <c r="DC3342" t="s">
        <v>402</v>
      </c>
      <c r="DD3342" t="s">
        <v>403</v>
      </c>
      <c r="DG3342">
        <v>1628005</v>
      </c>
      <c r="DI3342">
        <v>1</v>
      </c>
      <c r="DJ3342">
        <v>0</v>
      </c>
      <c r="DK3342">
        <v>1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3">
      <c r="A3343" t="str">
        <f>"05/01/2025 15:13:48.842"</f>
        <v>05/01/2025 15:13:48.842</v>
      </c>
      <c r="C3343" t="str">
        <f t="shared" si="1318"/>
        <v>FFDFD3C0</v>
      </c>
      <c r="D3343" t="s">
        <v>143</v>
      </c>
      <c r="E3343" t="str">
        <f>"05"</f>
        <v>05</v>
      </c>
      <c r="H3343">
        <v>172</v>
      </c>
      <c r="I3343" t="s">
        <v>141</v>
      </c>
      <c r="J3343" t="s">
        <v>144</v>
      </c>
      <c r="K3343">
        <v>0</v>
      </c>
      <c r="L3343">
        <v>3</v>
      </c>
      <c r="M3343">
        <v>0</v>
      </c>
      <c r="N3343">
        <v>2</v>
      </c>
      <c r="O3343">
        <v>0</v>
      </c>
      <c r="P3343">
        <v>1</v>
      </c>
      <c r="Q3343">
        <v>0</v>
      </c>
      <c r="R3343" t="s">
        <v>127</v>
      </c>
      <c r="S3343" t="str">
        <f t="shared" si="1324"/>
        <v>15:13:48.000</v>
      </c>
      <c r="T3343" t="str">
        <f t="shared" si="1324"/>
        <v>15:13:48.000</v>
      </c>
      <c r="U3343" t="str">
        <f t="shared" si="1319"/>
        <v>A68FCB</v>
      </c>
      <c r="V3343">
        <v>0</v>
      </c>
      <c r="W3343">
        <v>0</v>
      </c>
      <c r="X3343">
        <v>2</v>
      </c>
      <c r="Y3343">
        <v>0</v>
      </c>
      <c r="AA3343">
        <v>1</v>
      </c>
      <c r="AB3343">
        <v>8</v>
      </c>
      <c r="AC3343">
        <v>3</v>
      </c>
      <c r="AD3343">
        <v>0</v>
      </c>
      <c r="AE3343">
        <v>9</v>
      </c>
      <c r="AF3343" t="s">
        <v>138</v>
      </c>
      <c r="AG3343">
        <v>0</v>
      </c>
      <c r="AH3343">
        <v>3</v>
      </c>
      <c r="AI3343">
        <v>2</v>
      </c>
      <c r="AJ3343">
        <v>0</v>
      </c>
      <c r="AK3343" t="s">
        <v>1111</v>
      </c>
      <c r="AL3343">
        <v>39.137656999999997</v>
      </c>
      <c r="AM3343" t="s">
        <v>1110</v>
      </c>
      <c r="AN3343">
        <v>-121.030991</v>
      </c>
      <c r="AO3343">
        <v>25</v>
      </c>
      <c r="AP3343">
        <v>4300</v>
      </c>
      <c r="AQ3343" t="s">
        <v>131</v>
      </c>
      <c r="AR3343">
        <v>0</v>
      </c>
      <c r="AS3343">
        <v>83</v>
      </c>
      <c r="AT3343">
        <v>64</v>
      </c>
      <c r="BB3343" t="str">
        <f t="shared" si="1320"/>
        <v>1200</v>
      </c>
      <c r="BC3343">
        <v>1</v>
      </c>
      <c r="BD3343" t="str">
        <f t="shared" si="1321"/>
        <v xml:space="preserve">N52156  </v>
      </c>
      <c r="BE3343">
        <v>1</v>
      </c>
      <c r="BG3343">
        <v>0</v>
      </c>
      <c r="BH3343">
        <v>0</v>
      </c>
      <c r="BI3343">
        <v>0</v>
      </c>
      <c r="BJ3343">
        <v>4350</v>
      </c>
      <c r="BK3343">
        <v>50</v>
      </c>
      <c r="BL3343" t="s">
        <v>188</v>
      </c>
      <c r="BM3343">
        <v>1</v>
      </c>
      <c r="BN3343">
        <v>1</v>
      </c>
      <c r="BO3343">
        <v>0</v>
      </c>
      <c r="BP3343">
        <v>0</v>
      </c>
      <c r="BS3343">
        <v>0</v>
      </c>
      <c r="BT3343">
        <v>0</v>
      </c>
      <c r="BU3343">
        <v>0</v>
      </c>
      <c r="CE3343" t="str">
        <f t="shared" si="1325"/>
        <v>15:13:48.589</v>
      </c>
      <c r="CF3343">
        <v>588560385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3</v>
      </c>
      <c r="CY3343">
        <v>7</v>
      </c>
      <c r="CZ3343" t="s">
        <v>133</v>
      </c>
      <c r="DA3343">
        <v>276</v>
      </c>
      <c r="DB3343">
        <v>0</v>
      </c>
      <c r="DC3343" t="s">
        <v>402</v>
      </c>
      <c r="DD3343" t="s">
        <v>403</v>
      </c>
      <c r="DG3343">
        <v>1628005</v>
      </c>
      <c r="DI3343">
        <v>1</v>
      </c>
      <c r="DJ3343">
        <v>0</v>
      </c>
      <c r="DK3343">
        <v>1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3">
      <c r="A3344" t="str">
        <f>"05/01/2025 15:13:50.145"</f>
        <v>05/01/2025 15:13:50.145</v>
      </c>
      <c r="C3344" t="str">
        <f t="shared" si="1318"/>
        <v>FFDFD3C0</v>
      </c>
      <c r="D3344" t="s">
        <v>143</v>
      </c>
      <c r="E3344" t="str">
        <f>"05"</f>
        <v>05</v>
      </c>
      <c r="H3344">
        <v>172</v>
      </c>
      <c r="I3344" t="s">
        <v>141</v>
      </c>
      <c r="J3344" t="s">
        <v>144</v>
      </c>
      <c r="K3344">
        <v>0</v>
      </c>
      <c r="L3344">
        <v>3</v>
      </c>
      <c r="M3344">
        <v>0</v>
      </c>
      <c r="N3344">
        <v>2</v>
      </c>
      <c r="O3344">
        <v>0</v>
      </c>
      <c r="P3344">
        <v>1</v>
      </c>
      <c r="Q3344">
        <v>0</v>
      </c>
      <c r="R3344" t="s">
        <v>127</v>
      </c>
      <c r="S3344" t="str">
        <f t="shared" ref="S3344:T3349" si="1326">"15:13:49.000"</f>
        <v>15:13:49.000</v>
      </c>
      <c r="T3344" t="str">
        <f t="shared" si="1326"/>
        <v>15:13:49.000</v>
      </c>
      <c r="U3344" t="str">
        <f t="shared" si="1319"/>
        <v>A68FCB</v>
      </c>
      <c r="V3344">
        <v>0</v>
      </c>
      <c r="W3344">
        <v>0</v>
      </c>
      <c r="X3344">
        <v>2</v>
      </c>
      <c r="Y3344">
        <v>0</v>
      </c>
      <c r="AA3344">
        <v>1</v>
      </c>
      <c r="AB3344">
        <v>8</v>
      </c>
      <c r="AC3344">
        <v>3</v>
      </c>
      <c r="AD3344">
        <v>0</v>
      </c>
      <c r="AE3344">
        <v>9</v>
      </c>
      <c r="AF3344" t="s">
        <v>138</v>
      </c>
      <c r="AG3344">
        <v>0</v>
      </c>
      <c r="AH3344">
        <v>3</v>
      </c>
      <c r="AI3344">
        <v>2</v>
      </c>
      <c r="AJ3344">
        <v>0</v>
      </c>
      <c r="AK3344" t="s">
        <v>1112</v>
      </c>
      <c r="AL3344">
        <v>39.138064</v>
      </c>
      <c r="AM3344" t="s">
        <v>1110</v>
      </c>
      <c r="AN3344">
        <v>-121.030991</v>
      </c>
      <c r="AO3344">
        <v>25</v>
      </c>
      <c r="AP3344">
        <v>4300</v>
      </c>
      <c r="AQ3344" t="s">
        <v>131</v>
      </c>
      <c r="AR3344">
        <v>-1</v>
      </c>
      <c r="AS3344">
        <v>83</v>
      </c>
      <c r="AT3344">
        <v>0</v>
      </c>
      <c r="BB3344" t="str">
        <f t="shared" si="1320"/>
        <v>1200</v>
      </c>
      <c r="BC3344">
        <v>1</v>
      </c>
      <c r="BD3344" t="str">
        <f t="shared" si="1321"/>
        <v xml:space="preserve">N52156  </v>
      </c>
      <c r="BE3344">
        <v>1</v>
      </c>
      <c r="BG3344">
        <v>0</v>
      </c>
      <c r="BH3344">
        <v>0</v>
      </c>
      <c r="BI3344">
        <v>0</v>
      </c>
      <c r="BJ3344">
        <v>4350</v>
      </c>
      <c r="BK3344">
        <v>50</v>
      </c>
      <c r="BL3344" t="s">
        <v>188</v>
      </c>
      <c r="BM3344">
        <v>1</v>
      </c>
      <c r="BN3344">
        <v>1</v>
      </c>
      <c r="BO3344">
        <v>0</v>
      </c>
      <c r="BP3344">
        <v>0</v>
      </c>
      <c r="BS3344">
        <v>0</v>
      </c>
      <c r="BT3344">
        <v>0</v>
      </c>
      <c r="BU3344">
        <v>0</v>
      </c>
      <c r="CE3344" t="str">
        <f t="shared" ref="CE3344:CE3349" si="1327">"15:13:49.947"</f>
        <v>15:13:49.947</v>
      </c>
      <c r="CF3344">
        <v>947061448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2</v>
      </c>
      <c r="CY3344">
        <v>7</v>
      </c>
      <c r="CZ3344" t="s">
        <v>133</v>
      </c>
      <c r="DA3344">
        <v>276</v>
      </c>
      <c r="DB3344">
        <v>0</v>
      </c>
      <c r="DC3344" t="s">
        <v>402</v>
      </c>
      <c r="DD3344" t="s">
        <v>403</v>
      </c>
      <c r="DG3344">
        <v>1628008</v>
      </c>
      <c r="DI3344">
        <v>1</v>
      </c>
      <c r="DJ3344">
        <v>0</v>
      </c>
      <c r="DK3344">
        <v>0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3">
      <c r="A3345" t="str">
        <f>"05/01/2025 15:13:50.157"</f>
        <v>05/01/2025 15:13:50.157</v>
      </c>
      <c r="C3345" t="str">
        <f t="shared" si="1318"/>
        <v>FFDFD3C0</v>
      </c>
      <c r="D3345" t="s">
        <v>124</v>
      </c>
      <c r="E3345" t="str">
        <f>"06"</f>
        <v>06</v>
      </c>
      <c r="F3345">
        <v>2006</v>
      </c>
      <c r="G3345" t="s">
        <v>125</v>
      </c>
      <c r="J3345" t="s">
        <v>126</v>
      </c>
      <c r="K3345">
        <v>0</v>
      </c>
      <c r="L3345">
        <v>3</v>
      </c>
      <c r="M3345">
        <v>0</v>
      </c>
      <c r="N3345">
        <v>2</v>
      </c>
      <c r="O3345">
        <v>0</v>
      </c>
      <c r="P3345">
        <v>1</v>
      </c>
      <c r="Q3345">
        <v>0</v>
      </c>
      <c r="R3345" t="s">
        <v>127</v>
      </c>
      <c r="S3345" t="str">
        <f t="shared" si="1326"/>
        <v>15:13:49.000</v>
      </c>
      <c r="T3345" t="str">
        <f t="shared" si="1326"/>
        <v>15:13:49.000</v>
      </c>
      <c r="U3345" t="str">
        <f t="shared" si="1319"/>
        <v>A68FCB</v>
      </c>
      <c r="V3345">
        <v>0</v>
      </c>
      <c r="W3345">
        <v>0</v>
      </c>
      <c r="X3345">
        <v>2</v>
      </c>
      <c r="Y3345">
        <v>0</v>
      </c>
      <c r="AA3345">
        <v>1</v>
      </c>
      <c r="AB3345">
        <v>8</v>
      </c>
      <c r="AC3345">
        <v>3</v>
      </c>
      <c r="AD3345">
        <v>0</v>
      </c>
      <c r="AE3345">
        <v>9</v>
      </c>
      <c r="AF3345" t="s">
        <v>138</v>
      </c>
      <c r="AG3345">
        <v>0</v>
      </c>
      <c r="AH3345">
        <v>3</v>
      </c>
      <c r="AI3345">
        <v>2</v>
      </c>
      <c r="AJ3345">
        <v>0</v>
      </c>
      <c r="AK3345" t="s">
        <v>1112</v>
      </c>
      <c r="AL3345">
        <v>39.138064</v>
      </c>
      <c r="AM3345" t="s">
        <v>1110</v>
      </c>
      <c r="AN3345">
        <v>-121.030991</v>
      </c>
      <c r="AO3345">
        <v>25</v>
      </c>
      <c r="AP3345">
        <v>4300</v>
      </c>
      <c r="AQ3345" t="s">
        <v>131</v>
      </c>
      <c r="AR3345">
        <v>-1</v>
      </c>
      <c r="AS3345">
        <v>83</v>
      </c>
      <c r="AT3345">
        <v>0</v>
      </c>
      <c r="BB3345" t="str">
        <f t="shared" si="1320"/>
        <v>1200</v>
      </c>
      <c r="BC3345">
        <v>1</v>
      </c>
      <c r="BD3345" t="str">
        <f t="shared" si="1321"/>
        <v xml:space="preserve">N52156  </v>
      </c>
      <c r="BE3345">
        <v>1</v>
      </c>
      <c r="BG3345">
        <v>0</v>
      </c>
      <c r="BH3345">
        <v>0</v>
      </c>
      <c r="BI3345">
        <v>0</v>
      </c>
      <c r="BJ3345">
        <v>4350</v>
      </c>
      <c r="BK3345">
        <v>50</v>
      </c>
      <c r="BL3345" t="s">
        <v>188</v>
      </c>
      <c r="BM3345">
        <v>1</v>
      </c>
      <c r="BN3345">
        <v>1</v>
      </c>
      <c r="BO3345">
        <v>0</v>
      </c>
      <c r="BP3345">
        <v>0</v>
      </c>
      <c r="BS3345">
        <v>0</v>
      </c>
      <c r="BT3345">
        <v>0</v>
      </c>
      <c r="BU3345">
        <v>0</v>
      </c>
      <c r="CE3345" t="str">
        <f t="shared" si="1327"/>
        <v>15:13:49.947</v>
      </c>
      <c r="CF3345">
        <v>947061448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2</v>
      </c>
      <c r="CY3345">
        <v>7</v>
      </c>
      <c r="CZ3345" t="s">
        <v>133</v>
      </c>
      <c r="DA3345">
        <v>276</v>
      </c>
      <c r="DB3345">
        <v>0</v>
      </c>
      <c r="DC3345" t="s">
        <v>402</v>
      </c>
      <c r="DD3345" t="s">
        <v>403</v>
      </c>
      <c r="DG3345">
        <v>1628008</v>
      </c>
      <c r="DI3345">
        <v>1</v>
      </c>
      <c r="DJ3345">
        <v>0</v>
      </c>
      <c r="DK3345">
        <v>1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3">
      <c r="A3346" t="str">
        <f>"05/01/2025 15:13:50.158"</f>
        <v>05/01/2025 15:13:50.158</v>
      </c>
      <c r="C3346" t="str">
        <f t="shared" si="1318"/>
        <v>FFDFD3C0</v>
      </c>
      <c r="D3346" t="s">
        <v>140</v>
      </c>
      <c r="E3346" t="str">
        <f>"13"</f>
        <v>13</v>
      </c>
      <c r="F3346">
        <v>1019</v>
      </c>
      <c r="G3346" t="s">
        <v>141</v>
      </c>
      <c r="J3346" t="s">
        <v>142</v>
      </c>
      <c r="K3346">
        <v>0</v>
      </c>
      <c r="L3346">
        <v>3</v>
      </c>
      <c r="M3346">
        <v>0</v>
      </c>
      <c r="N3346">
        <v>2</v>
      </c>
      <c r="O3346">
        <v>0</v>
      </c>
      <c r="P3346">
        <v>1</v>
      </c>
      <c r="Q3346">
        <v>0</v>
      </c>
      <c r="R3346" t="s">
        <v>127</v>
      </c>
      <c r="S3346" t="str">
        <f t="shared" si="1326"/>
        <v>15:13:49.000</v>
      </c>
      <c r="T3346" t="str">
        <f t="shared" si="1326"/>
        <v>15:13:49.000</v>
      </c>
      <c r="U3346" t="str">
        <f t="shared" si="1319"/>
        <v>A68FCB</v>
      </c>
      <c r="V3346">
        <v>0</v>
      </c>
      <c r="W3346">
        <v>0</v>
      </c>
      <c r="X3346">
        <v>2</v>
      </c>
      <c r="Y3346">
        <v>0</v>
      </c>
      <c r="AA3346">
        <v>1</v>
      </c>
      <c r="AB3346">
        <v>8</v>
      </c>
      <c r="AC3346">
        <v>3</v>
      </c>
      <c r="AD3346">
        <v>0</v>
      </c>
      <c r="AE3346">
        <v>9</v>
      </c>
      <c r="AF3346" t="s">
        <v>138</v>
      </c>
      <c r="AG3346">
        <v>0</v>
      </c>
      <c r="AH3346">
        <v>3</v>
      </c>
      <c r="AI3346">
        <v>2</v>
      </c>
      <c r="AJ3346">
        <v>0</v>
      </c>
      <c r="AK3346" t="s">
        <v>1112</v>
      </c>
      <c r="AL3346">
        <v>39.138064</v>
      </c>
      <c r="AM3346" t="s">
        <v>1110</v>
      </c>
      <c r="AN3346">
        <v>-121.030991</v>
      </c>
      <c r="AO3346">
        <v>25</v>
      </c>
      <c r="AP3346">
        <v>4300</v>
      </c>
      <c r="AQ3346" t="s">
        <v>131</v>
      </c>
      <c r="AR3346">
        <v>-1</v>
      </c>
      <c r="AS3346">
        <v>83</v>
      </c>
      <c r="AT3346">
        <v>0</v>
      </c>
      <c r="BB3346" t="str">
        <f t="shared" si="1320"/>
        <v>1200</v>
      </c>
      <c r="BC3346">
        <v>1</v>
      </c>
      <c r="BD3346" t="str">
        <f t="shared" si="1321"/>
        <v xml:space="preserve">N52156  </v>
      </c>
      <c r="BE3346">
        <v>1</v>
      </c>
      <c r="BG3346">
        <v>0</v>
      </c>
      <c r="BH3346">
        <v>0</v>
      </c>
      <c r="BI3346">
        <v>0</v>
      </c>
      <c r="BJ3346">
        <v>4350</v>
      </c>
      <c r="BK3346">
        <v>50</v>
      </c>
      <c r="BL3346" t="s">
        <v>188</v>
      </c>
      <c r="BM3346">
        <v>1</v>
      </c>
      <c r="BN3346">
        <v>1</v>
      </c>
      <c r="BO3346">
        <v>0</v>
      </c>
      <c r="BP3346">
        <v>0</v>
      </c>
      <c r="BS3346">
        <v>0</v>
      </c>
      <c r="BT3346">
        <v>0</v>
      </c>
      <c r="BU3346">
        <v>0</v>
      </c>
      <c r="CE3346" t="str">
        <f t="shared" si="1327"/>
        <v>15:13:49.947</v>
      </c>
      <c r="CF3346">
        <v>947061448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2</v>
      </c>
      <c r="CY3346">
        <v>7</v>
      </c>
      <c r="CZ3346" t="s">
        <v>133</v>
      </c>
      <c r="DA3346">
        <v>276</v>
      </c>
      <c r="DB3346">
        <v>0</v>
      </c>
      <c r="DC3346" t="s">
        <v>402</v>
      </c>
      <c r="DD3346" t="s">
        <v>403</v>
      </c>
      <c r="DG3346">
        <v>1628008</v>
      </c>
      <c r="DI3346">
        <v>1</v>
      </c>
      <c r="DJ3346">
        <v>0</v>
      </c>
      <c r="DK3346">
        <v>1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3">
      <c r="A3347" t="str">
        <f>"05/01/2025 15:13:50.169"</f>
        <v>05/01/2025 15:13:50.169</v>
      </c>
      <c r="C3347" t="str">
        <f t="shared" si="1318"/>
        <v>FFDFD3C0</v>
      </c>
      <c r="D3347" t="s">
        <v>145</v>
      </c>
      <c r="E3347" t="str">
        <f>"09"</f>
        <v>09</v>
      </c>
      <c r="H3347">
        <v>51</v>
      </c>
      <c r="I3347" t="s">
        <v>147</v>
      </c>
      <c r="J3347" t="s">
        <v>138</v>
      </c>
      <c r="K3347">
        <v>0</v>
      </c>
      <c r="L3347">
        <v>3</v>
      </c>
      <c r="M3347">
        <v>0</v>
      </c>
      <c r="N3347">
        <v>2</v>
      </c>
      <c r="O3347">
        <v>0</v>
      </c>
      <c r="P3347">
        <v>1</v>
      </c>
      <c r="Q3347">
        <v>0</v>
      </c>
      <c r="R3347" t="s">
        <v>127</v>
      </c>
      <c r="S3347" t="str">
        <f t="shared" si="1326"/>
        <v>15:13:49.000</v>
      </c>
      <c r="T3347" t="str">
        <f t="shared" si="1326"/>
        <v>15:13:49.000</v>
      </c>
      <c r="U3347" t="str">
        <f t="shared" si="1319"/>
        <v>A68FCB</v>
      </c>
      <c r="V3347">
        <v>0</v>
      </c>
      <c r="W3347">
        <v>0</v>
      </c>
      <c r="X3347">
        <v>2</v>
      </c>
      <c r="Y3347">
        <v>0</v>
      </c>
      <c r="AA3347">
        <v>1</v>
      </c>
      <c r="AB3347">
        <v>8</v>
      </c>
      <c r="AC3347">
        <v>3</v>
      </c>
      <c r="AD3347">
        <v>0</v>
      </c>
      <c r="AE3347">
        <v>9</v>
      </c>
      <c r="AF3347" t="s">
        <v>138</v>
      </c>
      <c r="AG3347">
        <v>0</v>
      </c>
      <c r="AH3347">
        <v>3</v>
      </c>
      <c r="AI3347">
        <v>2</v>
      </c>
      <c r="AJ3347">
        <v>0</v>
      </c>
      <c r="AK3347" t="s">
        <v>1112</v>
      </c>
      <c r="AL3347">
        <v>39.138064</v>
      </c>
      <c r="AM3347" t="s">
        <v>1110</v>
      </c>
      <c r="AN3347">
        <v>-121.030991</v>
      </c>
      <c r="AO3347">
        <v>25</v>
      </c>
      <c r="AP3347">
        <v>4300</v>
      </c>
      <c r="AQ3347" t="s">
        <v>131</v>
      </c>
      <c r="AR3347">
        <v>-1</v>
      </c>
      <c r="AS3347">
        <v>83</v>
      </c>
      <c r="AT3347">
        <v>0</v>
      </c>
      <c r="BB3347" t="str">
        <f t="shared" si="1320"/>
        <v>1200</v>
      </c>
      <c r="BC3347">
        <v>1</v>
      </c>
      <c r="BD3347" t="str">
        <f t="shared" si="1321"/>
        <v xml:space="preserve">N52156  </v>
      </c>
      <c r="BE3347">
        <v>1</v>
      </c>
      <c r="BG3347">
        <v>0</v>
      </c>
      <c r="BH3347">
        <v>0</v>
      </c>
      <c r="BI3347">
        <v>0</v>
      </c>
      <c r="BJ3347">
        <v>4350</v>
      </c>
      <c r="BK3347">
        <v>50</v>
      </c>
      <c r="BL3347" t="s">
        <v>188</v>
      </c>
      <c r="BM3347">
        <v>1</v>
      </c>
      <c r="BN3347">
        <v>1</v>
      </c>
      <c r="BO3347">
        <v>0</v>
      </c>
      <c r="BP3347">
        <v>0</v>
      </c>
      <c r="BS3347">
        <v>0</v>
      </c>
      <c r="BT3347">
        <v>0</v>
      </c>
      <c r="BU3347">
        <v>0</v>
      </c>
      <c r="CE3347" t="str">
        <f t="shared" si="1327"/>
        <v>15:13:49.947</v>
      </c>
      <c r="CF3347">
        <v>947061448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2</v>
      </c>
      <c r="CY3347">
        <v>7</v>
      </c>
      <c r="CZ3347" t="s">
        <v>133</v>
      </c>
      <c r="DA3347">
        <v>276</v>
      </c>
      <c r="DB3347">
        <v>0</v>
      </c>
      <c r="DC3347" t="s">
        <v>402</v>
      </c>
      <c r="DD3347" t="s">
        <v>403</v>
      </c>
      <c r="DG3347">
        <v>1628008</v>
      </c>
      <c r="DI3347">
        <v>1</v>
      </c>
      <c r="DJ3347">
        <v>0</v>
      </c>
      <c r="DK3347">
        <v>1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3">
      <c r="A3348" t="str">
        <f>"05/01/2025 15:13:50.171"</f>
        <v>05/01/2025 15:13:50.171</v>
      </c>
      <c r="C3348" t="str">
        <f t="shared" si="1318"/>
        <v>FFDFD3C0</v>
      </c>
      <c r="D3348" t="s">
        <v>145</v>
      </c>
      <c r="E3348" t="str">
        <f>"05"</f>
        <v>05</v>
      </c>
      <c r="H3348">
        <v>47</v>
      </c>
      <c r="I3348" t="s">
        <v>146</v>
      </c>
      <c r="J3348" t="s">
        <v>138</v>
      </c>
      <c r="K3348">
        <v>0</v>
      </c>
      <c r="L3348">
        <v>3</v>
      </c>
      <c r="M3348">
        <v>0</v>
      </c>
      <c r="N3348">
        <v>2</v>
      </c>
      <c r="O3348">
        <v>0</v>
      </c>
      <c r="P3348">
        <v>1</v>
      </c>
      <c r="Q3348">
        <v>0</v>
      </c>
      <c r="R3348" t="s">
        <v>127</v>
      </c>
      <c r="S3348" t="str">
        <f t="shared" si="1326"/>
        <v>15:13:49.000</v>
      </c>
      <c r="T3348" t="str">
        <f t="shared" si="1326"/>
        <v>15:13:49.000</v>
      </c>
      <c r="U3348" t="str">
        <f t="shared" si="1319"/>
        <v>A68FCB</v>
      </c>
      <c r="V3348">
        <v>0</v>
      </c>
      <c r="W3348">
        <v>0</v>
      </c>
      <c r="X3348">
        <v>2</v>
      </c>
      <c r="Y3348">
        <v>0</v>
      </c>
      <c r="AA3348">
        <v>1</v>
      </c>
      <c r="AB3348">
        <v>8</v>
      </c>
      <c r="AC3348">
        <v>3</v>
      </c>
      <c r="AD3348">
        <v>0</v>
      </c>
      <c r="AE3348">
        <v>9</v>
      </c>
      <c r="AF3348" t="s">
        <v>138</v>
      </c>
      <c r="AG3348">
        <v>0</v>
      </c>
      <c r="AH3348">
        <v>3</v>
      </c>
      <c r="AI3348">
        <v>2</v>
      </c>
      <c r="AJ3348">
        <v>0</v>
      </c>
      <c r="AK3348" t="s">
        <v>1112</v>
      </c>
      <c r="AL3348">
        <v>39.138064</v>
      </c>
      <c r="AM3348" t="s">
        <v>1110</v>
      </c>
      <c r="AN3348">
        <v>-121.030991</v>
      </c>
      <c r="AO3348">
        <v>25</v>
      </c>
      <c r="AP3348">
        <v>4300</v>
      </c>
      <c r="AQ3348" t="s">
        <v>131</v>
      </c>
      <c r="AR3348">
        <v>-1</v>
      </c>
      <c r="AS3348">
        <v>83</v>
      </c>
      <c r="AT3348">
        <v>0</v>
      </c>
      <c r="BB3348" t="str">
        <f t="shared" si="1320"/>
        <v>1200</v>
      </c>
      <c r="BC3348">
        <v>1</v>
      </c>
      <c r="BD3348" t="str">
        <f t="shared" si="1321"/>
        <v xml:space="preserve">N52156  </v>
      </c>
      <c r="BE3348">
        <v>1</v>
      </c>
      <c r="BG3348">
        <v>0</v>
      </c>
      <c r="BH3348">
        <v>0</v>
      </c>
      <c r="BI3348">
        <v>0</v>
      </c>
      <c r="BJ3348">
        <v>4350</v>
      </c>
      <c r="BK3348">
        <v>50</v>
      </c>
      <c r="BL3348" t="s">
        <v>188</v>
      </c>
      <c r="BM3348">
        <v>1</v>
      </c>
      <c r="BN3348">
        <v>1</v>
      </c>
      <c r="BO3348">
        <v>0</v>
      </c>
      <c r="BP3348">
        <v>0</v>
      </c>
      <c r="BS3348">
        <v>0</v>
      </c>
      <c r="BT3348">
        <v>0</v>
      </c>
      <c r="BU3348">
        <v>0</v>
      </c>
      <c r="CE3348" t="str">
        <f t="shared" si="1327"/>
        <v>15:13:49.947</v>
      </c>
      <c r="CF3348">
        <v>947061448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2</v>
      </c>
      <c r="CY3348">
        <v>7</v>
      </c>
      <c r="CZ3348" t="s">
        <v>133</v>
      </c>
      <c r="DA3348">
        <v>276</v>
      </c>
      <c r="DB3348">
        <v>0</v>
      </c>
      <c r="DC3348" t="s">
        <v>402</v>
      </c>
      <c r="DD3348" t="s">
        <v>403</v>
      </c>
      <c r="DG3348">
        <v>1628008</v>
      </c>
      <c r="DI3348">
        <v>1</v>
      </c>
      <c r="DJ3348">
        <v>0</v>
      </c>
      <c r="DK3348">
        <v>1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3">
      <c r="A3349" t="str">
        <f>"05/01/2025 15:13:50.182"</f>
        <v>05/01/2025 15:13:50.182</v>
      </c>
      <c r="C3349" t="str">
        <f t="shared" si="1318"/>
        <v>FFDFD3C0</v>
      </c>
      <c r="D3349" t="s">
        <v>136</v>
      </c>
      <c r="E3349" t="str">
        <f>"20"</f>
        <v>20</v>
      </c>
      <c r="H3349">
        <v>400</v>
      </c>
      <c r="I3349" t="s">
        <v>137</v>
      </c>
      <c r="J3349" t="s">
        <v>138</v>
      </c>
      <c r="K3349">
        <v>0</v>
      </c>
      <c r="L3349">
        <v>3</v>
      </c>
      <c r="M3349">
        <v>0</v>
      </c>
      <c r="N3349">
        <v>2</v>
      </c>
      <c r="O3349">
        <v>0</v>
      </c>
      <c r="P3349">
        <v>1</v>
      </c>
      <c r="Q3349">
        <v>0</v>
      </c>
      <c r="R3349" t="s">
        <v>127</v>
      </c>
      <c r="S3349" t="str">
        <f t="shared" si="1326"/>
        <v>15:13:49.000</v>
      </c>
      <c r="T3349" t="str">
        <f t="shared" si="1326"/>
        <v>15:13:49.000</v>
      </c>
      <c r="U3349" t="str">
        <f t="shared" si="1319"/>
        <v>A68FCB</v>
      </c>
      <c r="V3349">
        <v>0</v>
      </c>
      <c r="W3349">
        <v>0</v>
      </c>
      <c r="X3349">
        <v>2</v>
      </c>
      <c r="Y3349">
        <v>0</v>
      </c>
      <c r="AA3349">
        <v>1</v>
      </c>
      <c r="AB3349">
        <v>8</v>
      </c>
      <c r="AC3349">
        <v>3</v>
      </c>
      <c r="AD3349">
        <v>0</v>
      </c>
      <c r="AE3349">
        <v>9</v>
      </c>
      <c r="AF3349" t="s">
        <v>138</v>
      </c>
      <c r="AG3349">
        <v>0</v>
      </c>
      <c r="AH3349">
        <v>3</v>
      </c>
      <c r="AI3349">
        <v>2</v>
      </c>
      <c r="AJ3349">
        <v>0</v>
      </c>
      <c r="AK3349" t="s">
        <v>1112</v>
      </c>
      <c r="AL3349">
        <v>39.138064</v>
      </c>
      <c r="AM3349" t="s">
        <v>1110</v>
      </c>
      <c r="AN3349">
        <v>-121.030991</v>
      </c>
      <c r="AO3349">
        <v>25</v>
      </c>
      <c r="AP3349">
        <v>4300</v>
      </c>
      <c r="AQ3349" t="s">
        <v>131</v>
      </c>
      <c r="AR3349">
        <v>-1</v>
      </c>
      <c r="AS3349">
        <v>83</v>
      </c>
      <c r="AT3349">
        <v>0</v>
      </c>
      <c r="BB3349" t="str">
        <f t="shared" si="1320"/>
        <v>1200</v>
      </c>
      <c r="BC3349">
        <v>1</v>
      </c>
      <c r="BD3349" t="str">
        <f t="shared" si="1321"/>
        <v xml:space="preserve">N52156  </v>
      </c>
      <c r="BE3349">
        <v>1</v>
      </c>
      <c r="BG3349">
        <v>0</v>
      </c>
      <c r="BH3349">
        <v>0</v>
      </c>
      <c r="BI3349">
        <v>0</v>
      </c>
      <c r="BJ3349">
        <v>4350</v>
      </c>
      <c r="BK3349">
        <v>50</v>
      </c>
      <c r="BL3349" t="s">
        <v>188</v>
      </c>
      <c r="BM3349">
        <v>1</v>
      </c>
      <c r="BN3349">
        <v>1</v>
      </c>
      <c r="BO3349">
        <v>0</v>
      </c>
      <c r="BP3349">
        <v>0</v>
      </c>
      <c r="BS3349">
        <v>0</v>
      </c>
      <c r="BT3349">
        <v>0</v>
      </c>
      <c r="BU3349">
        <v>0</v>
      </c>
      <c r="CE3349" t="str">
        <f t="shared" si="1327"/>
        <v>15:13:49.947</v>
      </c>
      <c r="CF3349">
        <v>947061448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2</v>
      </c>
      <c r="CY3349">
        <v>7</v>
      </c>
      <c r="CZ3349" t="s">
        <v>133</v>
      </c>
      <c r="DA3349">
        <v>276</v>
      </c>
      <c r="DB3349">
        <v>0</v>
      </c>
      <c r="DC3349" t="s">
        <v>402</v>
      </c>
      <c r="DD3349" t="s">
        <v>403</v>
      </c>
      <c r="DG3349">
        <v>1628008</v>
      </c>
      <c r="DI3349">
        <v>1</v>
      </c>
      <c r="DJ3349">
        <v>0</v>
      </c>
      <c r="DK3349">
        <v>1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3">
      <c r="A3350" t="str">
        <f>"05/01/2025 15:13:50.483"</f>
        <v>05/01/2025 15:13:50.483</v>
      </c>
      <c r="C3350" t="str">
        <f t="shared" si="1318"/>
        <v>FFDFD3C0</v>
      </c>
      <c r="D3350" t="s">
        <v>136</v>
      </c>
      <c r="E3350" t="str">
        <f>"20"</f>
        <v>20</v>
      </c>
      <c r="H3350">
        <v>400</v>
      </c>
      <c r="I3350" t="s">
        <v>137</v>
      </c>
      <c r="J3350" t="s">
        <v>138</v>
      </c>
      <c r="K3350">
        <v>0</v>
      </c>
      <c r="L3350">
        <v>3</v>
      </c>
      <c r="M3350">
        <v>0</v>
      </c>
      <c r="N3350">
        <v>2</v>
      </c>
      <c r="O3350">
        <v>0</v>
      </c>
      <c r="P3350">
        <v>1</v>
      </c>
      <c r="Q3350">
        <v>0</v>
      </c>
      <c r="R3350" t="s">
        <v>127</v>
      </c>
      <c r="S3350" t="str">
        <f t="shared" ref="S3350:T3355" si="1328">"15:13:50.000"</f>
        <v>15:13:50.000</v>
      </c>
      <c r="T3350" t="str">
        <f t="shared" si="1328"/>
        <v>15:13:50.000</v>
      </c>
      <c r="U3350" t="str">
        <f t="shared" si="1319"/>
        <v>A68FCB</v>
      </c>
      <c r="V3350">
        <v>0</v>
      </c>
      <c r="W3350">
        <v>0</v>
      </c>
      <c r="X3350">
        <v>2</v>
      </c>
      <c r="Y3350">
        <v>0</v>
      </c>
      <c r="AA3350">
        <v>1</v>
      </c>
      <c r="AB3350">
        <v>8</v>
      </c>
      <c r="AC3350">
        <v>3</v>
      </c>
      <c r="AD3350">
        <v>0</v>
      </c>
      <c r="AE3350">
        <v>9</v>
      </c>
      <c r="AF3350" t="s">
        <v>138</v>
      </c>
      <c r="AG3350">
        <v>0</v>
      </c>
      <c r="AH3350">
        <v>3</v>
      </c>
      <c r="AI3350">
        <v>2</v>
      </c>
      <c r="AJ3350">
        <v>0</v>
      </c>
      <c r="AK3350" t="s">
        <v>1113</v>
      </c>
      <c r="AL3350">
        <v>39.138472</v>
      </c>
      <c r="AM3350" t="s">
        <v>1110</v>
      </c>
      <c r="AN3350">
        <v>-121.030991</v>
      </c>
      <c r="AO3350">
        <v>25</v>
      </c>
      <c r="AP3350">
        <v>4300</v>
      </c>
      <c r="AQ3350" t="s">
        <v>131</v>
      </c>
      <c r="AR3350">
        <v>-1</v>
      </c>
      <c r="AS3350">
        <v>83</v>
      </c>
      <c r="AT3350">
        <v>0</v>
      </c>
      <c r="BB3350" t="str">
        <f t="shared" si="1320"/>
        <v>1200</v>
      </c>
      <c r="BC3350">
        <v>1</v>
      </c>
      <c r="BD3350" t="str">
        <f t="shared" si="1321"/>
        <v xml:space="preserve">N52156  </v>
      </c>
      <c r="BE3350">
        <v>1</v>
      </c>
      <c r="BG3350">
        <v>0</v>
      </c>
      <c r="BH3350">
        <v>0</v>
      </c>
      <c r="BI3350">
        <v>0</v>
      </c>
      <c r="BJ3350">
        <v>4350</v>
      </c>
      <c r="BK3350">
        <v>50</v>
      </c>
      <c r="BL3350" t="s">
        <v>188</v>
      </c>
      <c r="BM3350">
        <v>1</v>
      </c>
      <c r="BN3350">
        <v>1</v>
      </c>
      <c r="BO3350">
        <v>0</v>
      </c>
      <c r="BP3350">
        <v>0</v>
      </c>
      <c r="BS3350">
        <v>0</v>
      </c>
      <c r="BT3350">
        <v>0</v>
      </c>
      <c r="BU3350">
        <v>0</v>
      </c>
      <c r="CE3350" t="str">
        <f t="shared" ref="CE3350:CE3355" si="1329">"15:13:50.263"</f>
        <v>15:13:50.263</v>
      </c>
      <c r="CF3350">
        <v>263309749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2</v>
      </c>
      <c r="CY3350">
        <v>7</v>
      </c>
      <c r="CZ3350" t="s">
        <v>133</v>
      </c>
      <c r="DA3350">
        <v>276</v>
      </c>
      <c r="DB3350">
        <v>0</v>
      </c>
      <c r="DC3350" t="s">
        <v>402</v>
      </c>
      <c r="DD3350" t="s">
        <v>403</v>
      </c>
      <c r="DG3350">
        <v>1628010</v>
      </c>
      <c r="DI3350">
        <v>1</v>
      </c>
      <c r="DJ3350">
        <v>0</v>
      </c>
      <c r="DK3350">
        <v>0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3">
      <c r="A3351" t="str">
        <f>"05/01/2025 15:13:50.495"</f>
        <v>05/01/2025 15:13:50.495</v>
      </c>
      <c r="C3351" t="str">
        <f t="shared" si="1318"/>
        <v>FFDFD3C0</v>
      </c>
      <c r="D3351" t="s">
        <v>143</v>
      </c>
      <c r="E3351" t="str">
        <f>"05"</f>
        <v>05</v>
      </c>
      <c r="H3351">
        <v>172</v>
      </c>
      <c r="I3351" t="s">
        <v>141</v>
      </c>
      <c r="J3351" t="s">
        <v>144</v>
      </c>
      <c r="K3351">
        <v>0</v>
      </c>
      <c r="L3351">
        <v>3</v>
      </c>
      <c r="M3351">
        <v>0</v>
      </c>
      <c r="N3351">
        <v>2</v>
      </c>
      <c r="O3351">
        <v>0</v>
      </c>
      <c r="P3351">
        <v>1</v>
      </c>
      <c r="Q3351">
        <v>0</v>
      </c>
      <c r="R3351" t="s">
        <v>127</v>
      </c>
      <c r="S3351" t="str">
        <f t="shared" si="1328"/>
        <v>15:13:50.000</v>
      </c>
      <c r="T3351" t="str">
        <f t="shared" si="1328"/>
        <v>15:13:50.000</v>
      </c>
      <c r="U3351" t="str">
        <f t="shared" si="1319"/>
        <v>A68FCB</v>
      </c>
      <c r="V3351">
        <v>0</v>
      </c>
      <c r="W3351">
        <v>0</v>
      </c>
      <c r="X3351">
        <v>2</v>
      </c>
      <c r="Y3351">
        <v>0</v>
      </c>
      <c r="AA3351">
        <v>1</v>
      </c>
      <c r="AB3351">
        <v>8</v>
      </c>
      <c r="AC3351">
        <v>3</v>
      </c>
      <c r="AD3351">
        <v>0</v>
      </c>
      <c r="AE3351">
        <v>9</v>
      </c>
      <c r="AF3351" t="s">
        <v>138</v>
      </c>
      <c r="AG3351">
        <v>0</v>
      </c>
      <c r="AH3351">
        <v>3</v>
      </c>
      <c r="AI3351">
        <v>2</v>
      </c>
      <c r="AJ3351">
        <v>0</v>
      </c>
      <c r="AK3351" t="s">
        <v>1113</v>
      </c>
      <c r="AL3351">
        <v>39.138472</v>
      </c>
      <c r="AM3351" t="s">
        <v>1110</v>
      </c>
      <c r="AN3351">
        <v>-121.030991</v>
      </c>
      <c r="AO3351">
        <v>25</v>
      </c>
      <c r="AP3351">
        <v>4300</v>
      </c>
      <c r="AQ3351" t="s">
        <v>131</v>
      </c>
      <c r="AR3351">
        <v>-1</v>
      </c>
      <c r="AS3351">
        <v>83</v>
      </c>
      <c r="AT3351">
        <v>0</v>
      </c>
      <c r="BB3351" t="str">
        <f t="shared" si="1320"/>
        <v>1200</v>
      </c>
      <c r="BC3351">
        <v>1</v>
      </c>
      <c r="BD3351" t="str">
        <f t="shared" si="1321"/>
        <v xml:space="preserve">N52156  </v>
      </c>
      <c r="BE3351">
        <v>1</v>
      </c>
      <c r="BG3351">
        <v>0</v>
      </c>
      <c r="BH3351">
        <v>0</v>
      </c>
      <c r="BI3351">
        <v>0</v>
      </c>
      <c r="BJ3351">
        <v>4350</v>
      </c>
      <c r="BK3351">
        <v>50</v>
      </c>
      <c r="BL3351" t="s">
        <v>188</v>
      </c>
      <c r="BM3351">
        <v>1</v>
      </c>
      <c r="BN3351">
        <v>1</v>
      </c>
      <c r="BO3351">
        <v>0</v>
      </c>
      <c r="BP3351">
        <v>0</v>
      </c>
      <c r="BS3351">
        <v>0</v>
      </c>
      <c r="BT3351">
        <v>0</v>
      </c>
      <c r="BU3351">
        <v>0</v>
      </c>
      <c r="CE3351" t="str">
        <f t="shared" si="1329"/>
        <v>15:13:50.263</v>
      </c>
      <c r="CF3351">
        <v>263309749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2</v>
      </c>
      <c r="CY3351">
        <v>7</v>
      </c>
      <c r="CZ3351" t="s">
        <v>133</v>
      </c>
      <c r="DA3351">
        <v>276</v>
      </c>
      <c r="DB3351">
        <v>0</v>
      </c>
      <c r="DC3351" t="s">
        <v>402</v>
      </c>
      <c r="DD3351" t="s">
        <v>403</v>
      </c>
      <c r="DG3351">
        <v>1628010</v>
      </c>
      <c r="DI3351">
        <v>1</v>
      </c>
      <c r="DJ3351">
        <v>0</v>
      </c>
      <c r="DK3351">
        <v>1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3">
      <c r="A3352" t="str">
        <f>"05/01/2025 15:13:50.508"</f>
        <v>05/01/2025 15:13:50.508</v>
      </c>
      <c r="C3352" t="str">
        <f t="shared" si="1318"/>
        <v>FFDFD3C0</v>
      </c>
      <c r="D3352" t="s">
        <v>124</v>
      </c>
      <c r="E3352" t="str">
        <f>"06"</f>
        <v>06</v>
      </c>
      <c r="F3352">
        <v>2006</v>
      </c>
      <c r="G3352" t="s">
        <v>125</v>
      </c>
      <c r="J3352" t="s">
        <v>126</v>
      </c>
      <c r="K3352">
        <v>0</v>
      </c>
      <c r="L3352">
        <v>3</v>
      </c>
      <c r="M3352">
        <v>0</v>
      </c>
      <c r="N3352">
        <v>2</v>
      </c>
      <c r="O3352">
        <v>0</v>
      </c>
      <c r="P3352">
        <v>1</v>
      </c>
      <c r="Q3352">
        <v>0</v>
      </c>
      <c r="R3352" t="s">
        <v>127</v>
      </c>
      <c r="S3352" t="str">
        <f t="shared" si="1328"/>
        <v>15:13:50.000</v>
      </c>
      <c r="T3352" t="str">
        <f t="shared" si="1328"/>
        <v>15:13:50.000</v>
      </c>
      <c r="U3352" t="str">
        <f t="shared" si="1319"/>
        <v>A68FCB</v>
      </c>
      <c r="V3352">
        <v>0</v>
      </c>
      <c r="W3352">
        <v>0</v>
      </c>
      <c r="X3352">
        <v>2</v>
      </c>
      <c r="Y3352">
        <v>0</v>
      </c>
      <c r="AA3352">
        <v>1</v>
      </c>
      <c r="AB3352">
        <v>8</v>
      </c>
      <c r="AC3352">
        <v>3</v>
      </c>
      <c r="AD3352">
        <v>0</v>
      </c>
      <c r="AE3352">
        <v>9</v>
      </c>
      <c r="AF3352" t="s">
        <v>138</v>
      </c>
      <c r="AG3352">
        <v>0</v>
      </c>
      <c r="AH3352">
        <v>3</v>
      </c>
      <c r="AI3352">
        <v>2</v>
      </c>
      <c r="AJ3352">
        <v>0</v>
      </c>
      <c r="AK3352" t="s">
        <v>1113</v>
      </c>
      <c r="AL3352">
        <v>39.138472</v>
      </c>
      <c r="AM3352" t="s">
        <v>1110</v>
      </c>
      <c r="AN3352">
        <v>-121.030991</v>
      </c>
      <c r="AO3352">
        <v>25</v>
      </c>
      <c r="AP3352">
        <v>4300</v>
      </c>
      <c r="AQ3352" t="s">
        <v>131</v>
      </c>
      <c r="AR3352">
        <v>-1</v>
      </c>
      <c r="AS3352">
        <v>83</v>
      </c>
      <c r="AT3352">
        <v>0</v>
      </c>
      <c r="BB3352" t="str">
        <f t="shared" si="1320"/>
        <v>1200</v>
      </c>
      <c r="BC3352">
        <v>1</v>
      </c>
      <c r="BD3352" t="str">
        <f t="shared" si="1321"/>
        <v xml:space="preserve">N52156  </v>
      </c>
      <c r="BE3352">
        <v>1</v>
      </c>
      <c r="BG3352">
        <v>0</v>
      </c>
      <c r="BH3352">
        <v>0</v>
      </c>
      <c r="BI3352">
        <v>0</v>
      </c>
      <c r="BJ3352">
        <v>4350</v>
      </c>
      <c r="BK3352">
        <v>50</v>
      </c>
      <c r="BL3352" t="s">
        <v>188</v>
      </c>
      <c r="BM3352">
        <v>1</v>
      </c>
      <c r="BN3352">
        <v>1</v>
      </c>
      <c r="BO3352">
        <v>0</v>
      </c>
      <c r="BP3352">
        <v>0</v>
      </c>
      <c r="BS3352">
        <v>0</v>
      </c>
      <c r="BT3352">
        <v>0</v>
      </c>
      <c r="BU3352">
        <v>0</v>
      </c>
      <c r="CE3352" t="str">
        <f t="shared" si="1329"/>
        <v>15:13:50.263</v>
      </c>
      <c r="CF3352">
        <v>263309749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2</v>
      </c>
      <c r="CY3352">
        <v>7</v>
      </c>
      <c r="CZ3352" t="s">
        <v>133</v>
      </c>
      <c r="DA3352">
        <v>276</v>
      </c>
      <c r="DB3352">
        <v>0</v>
      </c>
      <c r="DC3352" t="s">
        <v>402</v>
      </c>
      <c r="DD3352" t="s">
        <v>403</v>
      </c>
      <c r="DG3352">
        <v>1628010</v>
      </c>
      <c r="DI3352">
        <v>1</v>
      </c>
      <c r="DJ3352">
        <v>0</v>
      </c>
      <c r="DK3352">
        <v>1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3">
      <c r="A3353" t="str">
        <f>"05/01/2025 15:13:50.508"</f>
        <v>05/01/2025 15:13:50.508</v>
      </c>
      <c r="C3353" t="str">
        <f t="shared" si="1318"/>
        <v>FFDFD3C0</v>
      </c>
      <c r="D3353" t="s">
        <v>140</v>
      </c>
      <c r="E3353" t="str">
        <f>"13"</f>
        <v>13</v>
      </c>
      <c r="F3353">
        <v>1019</v>
      </c>
      <c r="G3353" t="s">
        <v>141</v>
      </c>
      <c r="J3353" t="s">
        <v>142</v>
      </c>
      <c r="K3353">
        <v>0</v>
      </c>
      <c r="L3353">
        <v>3</v>
      </c>
      <c r="M3353">
        <v>0</v>
      </c>
      <c r="N3353">
        <v>2</v>
      </c>
      <c r="O3353">
        <v>0</v>
      </c>
      <c r="P3353">
        <v>1</v>
      </c>
      <c r="Q3353">
        <v>0</v>
      </c>
      <c r="R3353" t="s">
        <v>127</v>
      </c>
      <c r="S3353" t="str">
        <f t="shared" si="1328"/>
        <v>15:13:50.000</v>
      </c>
      <c r="T3353" t="str">
        <f t="shared" si="1328"/>
        <v>15:13:50.000</v>
      </c>
      <c r="U3353" t="str">
        <f t="shared" si="1319"/>
        <v>A68FCB</v>
      </c>
      <c r="V3353">
        <v>0</v>
      </c>
      <c r="W3353">
        <v>0</v>
      </c>
      <c r="X3353">
        <v>2</v>
      </c>
      <c r="Y3353">
        <v>0</v>
      </c>
      <c r="AA3353">
        <v>1</v>
      </c>
      <c r="AB3353">
        <v>8</v>
      </c>
      <c r="AC3353">
        <v>3</v>
      </c>
      <c r="AD3353">
        <v>0</v>
      </c>
      <c r="AE3353">
        <v>9</v>
      </c>
      <c r="AF3353" t="s">
        <v>138</v>
      </c>
      <c r="AG3353">
        <v>0</v>
      </c>
      <c r="AH3353">
        <v>3</v>
      </c>
      <c r="AI3353">
        <v>2</v>
      </c>
      <c r="AJ3353">
        <v>0</v>
      </c>
      <c r="AK3353" t="s">
        <v>1113</v>
      </c>
      <c r="AL3353">
        <v>39.138472</v>
      </c>
      <c r="AM3353" t="s">
        <v>1110</v>
      </c>
      <c r="AN3353">
        <v>-121.030991</v>
      </c>
      <c r="AO3353">
        <v>25</v>
      </c>
      <c r="AP3353">
        <v>4300</v>
      </c>
      <c r="AQ3353" t="s">
        <v>131</v>
      </c>
      <c r="AR3353">
        <v>-1</v>
      </c>
      <c r="AS3353">
        <v>83</v>
      </c>
      <c r="AT3353">
        <v>0</v>
      </c>
      <c r="BB3353" t="str">
        <f t="shared" si="1320"/>
        <v>1200</v>
      </c>
      <c r="BC3353">
        <v>1</v>
      </c>
      <c r="BD3353" t="str">
        <f t="shared" si="1321"/>
        <v xml:space="preserve">N52156  </v>
      </c>
      <c r="BE3353">
        <v>1</v>
      </c>
      <c r="BG3353">
        <v>0</v>
      </c>
      <c r="BH3353">
        <v>0</v>
      </c>
      <c r="BI3353">
        <v>0</v>
      </c>
      <c r="BJ3353">
        <v>4350</v>
      </c>
      <c r="BK3353">
        <v>50</v>
      </c>
      <c r="BL3353" t="s">
        <v>188</v>
      </c>
      <c r="BM3353">
        <v>1</v>
      </c>
      <c r="BN3353">
        <v>1</v>
      </c>
      <c r="BO3353">
        <v>0</v>
      </c>
      <c r="BP3353">
        <v>0</v>
      </c>
      <c r="BS3353">
        <v>0</v>
      </c>
      <c r="BT3353">
        <v>0</v>
      </c>
      <c r="BU3353">
        <v>0</v>
      </c>
      <c r="CE3353" t="str">
        <f t="shared" si="1329"/>
        <v>15:13:50.263</v>
      </c>
      <c r="CF3353">
        <v>263309749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2</v>
      </c>
      <c r="CY3353">
        <v>7</v>
      </c>
      <c r="CZ3353" t="s">
        <v>133</v>
      </c>
      <c r="DA3353">
        <v>276</v>
      </c>
      <c r="DB3353">
        <v>0</v>
      </c>
      <c r="DC3353" t="s">
        <v>402</v>
      </c>
      <c r="DD3353" t="s">
        <v>403</v>
      </c>
      <c r="DG3353">
        <v>1628010</v>
      </c>
      <c r="DI3353">
        <v>1</v>
      </c>
      <c r="DJ3353">
        <v>0</v>
      </c>
      <c r="DK3353">
        <v>1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3">
      <c r="A3354" t="str">
        <f>"05/01/2025 15:13:50.520"</f>
        <v>05/01/2025 15:13:50.520</v>
      </c>
      <c r="C3354" t="str">
        <f t="shared" si="1318"/>
        <v>FFDFD3C0</v>
      </c>
      <c r="D3354" t="s">
        <v>145</v>
      </c>
      <c r="E3354" t="str">
        <f>"09"</f>
        <v>09</v>
      </c>
      <c r="H3354">
        <v>51</v>
      </c>
      <c r="I3354" t="s">
        <v>147</v>
      </c>
      <c r="J3354" t="s">
        <v>138</v>
      </c>
      <c r="K3354">
        <v>0</v>
      </c>
      <c r="L3354">
        <v>3</v>
      </c>
      <c r="M3354">
        <v>0</v>
      </c>
      <c r="N3354">
        <v>2</v>
      </c>
      <c r="O3354">
        <v>0</v>
      </c>
      <c r="P3354">
        <v>1</v>
      </c>
      <c r="Q3354">
        <v>0</v>
      </c>
      <c r="R3354" t="s">
        <v>127</v>
      </c>
      <c r="S3354" t="str">
        <f t="shared" si="1328"/>
        <v>15:13:50.000</v>
      </c>
      <c r="T3354" t="str">
        <f t="shared" si="1328"/>
        <v>15:13:50.000</v>
      </c>
      <c r="U3354" t="str">
        <f t="shared" si="1319"/>
        <v>A68FCB</v>
      </c>
      <c r="V3354">
        <v>0</v>
      </c>
      <c r="W3354">
        <v>0</v>
      </c>
      <c r="X3354">
        <v>2</v>
      </c>
      <c r="Y3354">
        <v>0</v>
      </c>
      <c r="AA3354">
        <v>1</v>
      </c>
      <c r="AB3354">
        <v>8</v>
      </c>
      <c r="AC3354">
        <v>3</v>
      </c>
      <c r="AD3354">
        <v>0</v>
      </c>
      <c r="AE3354">
        <v>9</v>
      </c>
      <c r="AF3354" t="s">
        <v>138</v>
      </c>
      <c r="AG3354">
        <v>0</v>
      </c>
      <c r="AH3354">
        <v>3</v>
      </c>
      <c r="AI3354">
        <v>2</v>
      </c>
      <c r="AJ3354">
        <v>0</v>
      </c>
      <c r="AK3354" t="s">
        <v>1113</v>
      </c>
      <c r="AL3354">
        <v>39.138472</v>
      </c>
      <c r="AM3354" t="s">
        <v>1110</v>
      </c>
      <c r="AN3354">
        <v>-121.030991</v>
      </c>
      <c r="AO3354">
        <v>25</v>
      </c>
      <c r="AP3354">
        <v>4300</v>
      </c>
      <c r="AQ3354" t="s">
        <v>131</v>
      </c>
      <c r="AR3354">
        <v>-1</v>
      </c>
      <c r="AS3354">
        <v>83</v>
      </c>
      <c r="AT3354">
        <v>0</v>
      </c>
      <c r="BB3354" t="str">
        <f t="shared" si="1320"/>
        <v>1200</v>
      </c>
      <c r="BC3354">
        <v>1</v>
      </c>
      <c r="BD3354" t="str">
        <f t="shared" si="1321"/>
        <v xml:space="preserve">N52156  </v>
      </c>
      <c r="BE3354">
        <v>1</v>
      </c>
      <c r="BG3354">
        <v>0</v>
      </c>
      <c r="BH3354">
        <v>0</v>
      </c>
      <c r="BI3354">
        <v>0</v>
      </c>
      <c r="BJ3354">
        <v>4350</v>
      </c>
      <c r="BK3354">
        <v>50</v>
      </c>
      <c r="BL3354" t="s">
        <v>188</v>
      </c>
      <c r="BM3354">
        <v>1</v>
      </c>
      <c r="BN3354">
        <v>1</v>
      </c>
      <c r="BO3354">
        <v>0</v>
      </c>
      <c r="BP3354">
        <v>0</v>
      </c>
      <c r="BS3354">
        <v>0</v>
      </c>
      <c r="BT3354">
        <v>0</v>
      </c>
      <c r="BU3354">
        <v>0</v>
      </c>
      <c r="CE3354" t="str">
        <f t="shared" si="1329"/>
        <v>15:13:50.263</v>
      </c>
      <c r="CF3354">
        <v>263309749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2</v>
      </c>
      <c r="CY3354">
        <v>7</v>
      </c>
      <c r="CZ3354" t="s">
        <v>133</v>
      </c>
      <c r="DA3354">
        <v>276</v>
      </c>
      <c r="DB3354">
        <v>0</v>
      </c>
      <c r="DC3354" t="s">
        <v>402</v>
      </c>
      <c r="DD3354" t="s">
        <v>403</v>
      </c>
      <c r="DG3354">
        <v>1628010</v>
      </c>
      <c r="DI3354">
        <v>1</v>
      </c>
      <c r="DJ3354">
        <v>0</v>
      </c>
      <c r="DK3354">
        <v>1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3">
      <c r="A3355" t="str">
        <f>"05/01/2025 15:13:50.522"</f>
        <v>05/01/2025 15:13:50.522</v>
      </c>
      <c r="C3355" t="str">
        <f t="shared" si="1318"/>
        <v>FFDFD3C0</v>
      </c>
      <c r="D3355" t="s">
        <v>145</v>
      </c>
      <c r="E3355" t="str">
        <f>"05"</f>
        <v>05</v>
      </c>
      <c r="H3355">
        <v>47</v>
      </c>
      <c r="I3355" t="s">
        <v>146</v>
      </c>
      <c r="J3355" t="s">
        <v>138</v>
      </c>
      <c r="K3355">
        <v>0</v>
      </c>
      <c r="L3355">
        <v>3</v>
      </c>
      <c r="M3355">
        <v>0</v>
      </c>
      <c r="N3355">
        <v>2</v>
      </c>
      <c r="O3355">
        <v>0</v>
      </c>
      <c r="P3355">
        <v>1</v>
      </c>
      <c r="Q3355">
        <v>0</v>
      </c>
      <c r="R3355" t="s">
        <v>127</v>
      </c>
      <c r="S3355" t="str">
        <f t="shared" si="1328"/>
        <v>15:13:50.000</v>
      </c>
      <c r="T3355" t="str">
        <f t="shared" si="1328"/>
        <v>15:13:50.000</v>
      </c>
      <c r="U3355" t="str">
        <f t="shared" si="1319"/>
        <v>A68FCB</v>
      </c>
      <c r="V3355">
        <v>0</v>
      </c>
      <c r="W3355">
        <v>0</v>
      </c>
      <c r="X3355">
        <v>2</v>
      </c>
      <c r="Y3355">
        <v>0</v>
      </c>
      <c r="AA3355">
        <v>1</v>
      </c>
      <c r="AB3355">
        <v>8</v>
      </c>
      <c r="AC3355">
        <v>3</v>
      </c>
      <c r="AD3355">
        <v>0</v>
      </c>
      <c r="AE3355">
        <v>9</v>
      </c>
      <c r="AF3355" t="s">
        <v>138</v>
      </c>
      <c r="AG3355">
        <v>0</v>
      </c>
      <c r="AH3355">
        <v>3</v>
      </c>
      <c r="AI3355">
        <v>2</v>
      </c>
      <c r="AJ3355">
        <v>0</v>
      </c>
      <c r="AK3355" t="s">
        <v>1113</v>
      </c>
      <c r="AL3355">
        <v>39.138472</v>
      </c>
      <c r="AM3355" t="s">
        <v>1110</v>
      </c>
      <c r="AN3355">
        <v>-121.030991</v>
      </c>
      <c r="AO3355">
        <v>25</v>
      </c>
      <c r="AP3355">
        <v>4300</v>
      </c>
      <c r="AQ3355" t="s">
        <v>131</v>
      </c>
      <c r="AR3355">
        <v>-1</v>
      </c>
      <c r="AS3355">
        <v>83</v>
      </c>
      <c r="AT3355">
        <v>0</v>
      </c>
      <c r="BB3355" t="str">
        <f t="shared" si="1320"/>
        <v>1200</v>
      </c>
      <c r="BC3355">
        <v>1</v>
      </c>
      <c r="BD3355" t="str">
        <f t="shared" si="1321"/>
        <v xml:space="preserve">N52156  </v>
      </c>
      <c r="BE3355">
        <v>1</v>
      </c>
      <c r="BG3355">
        <v>0</v>
      </c>
      <c r="BH3355">
        <v>0</v>
      </c>
      <c r="BI3355">
        <v>0</v>
      </c>
      <c r="BJ3355">
        <v>4350</v>
      </c>
      <c r="BK3355">
        <v>50</v>
      </c>
      <c r="BL3355" t="s">
        <v>188</v>
      </c>
      <c r="BM3355">
        <v>1</v>
      </c>
      <c r="BN3355">
        <v>1</v>
      </c>
      <c r="BO3355">
        <v>0</v>
      </c>
      <c r="BP3355">
        <v>0</v>
      </c>
      <c r="BS3355">
        <v>0</v>
      </c>
      <c r="BT3355">
        <v>0</v>
      </c>
      <c r="BU3355">
        <v>0</v>
      </c>
      <c r="CE3355" t="str">
        <f t="shared" si="1329"/>
        <v>15:13:50.263</v>
      </c>
      <c r="CF3355">
        <v>263309749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2</v>
      </c>
      <c r="CY3355">
        <v>7</v>
      </c>
      <c r="CZ3355" t="s">
        <v>133</v>
      </c>
      <c r="DA3355">
        <v>276</v>
      </c>
      <c r="DB3355">
        <v>0</v>
      </c>
      <c r="DC3355" t="s">
        <v>402</v>
      </c>
      <c r="DD3355" t="s">
        <v>403</v>
      </c>
      <c r="DG3355">
        <v>1628010</v>
      </c>
      <c r="DI3355">
        <v>1</v>
      </c>
      <c r="DJ3355">
        <v>0</v>
      </c>
      <c r="DK3355">
        <v>1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3">
      <c r="A3356" t="str">
        <f>"05/01/2025 15:13:51.635"</f>
        <v>05/01/2025 15:13:51.635</v>
      </c>
      <c r="C3356" t="str">
        <f t="shared" si="1318"/>
        <v>FFDFD3C0</v>
      </c>
      <c r="D3356" t="s">
        <v>136</v>
      </c>
      <c r="E3356" t="str">
        <f>"20"</f>
        <v>20</v>
      </c>
      <c r="H3356">
        <v>400</v>
      </c>
      <c r="I3356" t="s">
        <v>137</v>
      </c>
      <c r="J3356" t="s">
        <v>138</v>
      </c>
      <c r="K3356">
        <v>0</v>
      </c>
      <c r="L3356">
        <v>3</v>
      </c>
      <c r="M3356">
        <v>0</v>
      </c>
      <c r="N3356">
        <v>2</v>
      </c>
      <c r="O3356">
        <v>0</v>
      </c>
      <c r="P3356">
        <v>1</v>
      </c>
      <c r="Q3356">
        <v>0</v>
      </c>
      <c r="R3356" t="s">
        <v>127</v>
      </c>
      <c r="S3356" t="str">
        <f t="shared" ref="S3356:T3361" si="1330">"15:13:51.000"</f>
        <v>15:13:51.000</v>
      </c>
      <c r="T3356" t="str">
        <f t="shared" si="1330"/>
        <v>15:13:51.000</v>
      </c>
      <c r="U3356" t="str">
        <f t="shared" si="1319"/>
        <v>A68FCB</v>
      </c>
      <c r="V3356">
        <v>0</v>
      </c>
      <c r="W3356">
        <v>0</v>
      </c>
      <c r="X3356">
        <v>2</v>
      </c>
      <c r="Y3356">
        <v>0</v>
      </c>
      <c r="AA3356">
        <v>1</v>
      </c>
      <c r="AB3356">
        <v>8</v>
      </c>
      <c r="AC3356">
        <v>3</v>
      </c>
      <c r="AD3356">
        <v>0</v>
      </c>
      <c r="AE3356">
        <v>9</v>
      </c>
      <c r="AF3356" t="s">
        <v>138</v>
      </c>
      <c r="AG3356">
        <v>0</v>
      </c>
      <c r="AH3356">
        <v>3</v>
      </c>
      <c r="AI3356">
        <v>2</v>
      </c>
      <c r="AJ3356">
        <v>0</v>
      </c>
      <c r="AK3356" t="s">
        <v>1114</v>
      </c>
      <c r="AL3356">
        <v>39.138857999999999</v>
      </c>
      <c r="AM3356" t="s">
        <v>1110</v>
      </c>
      <c r="AN3356">
        <v>-121.030991</v>
      </c>
      <c r="AO3356">
        <v>25</v>
      </c>
      <c r="AP3356">
        <v>4300</v>
      </c>
      <c r="AQ3356" t="s">
        <v>131</v>
      </c>
      <c r="AR3356">
        <v>-1</v>
      </c>
      <c r="AS3356">
        <v>83</v>
      </c>
      <c r="AT3356">
        <v>0</v>
      </c>
      <c r="BB3356" t="str">
        <f t="shared" si="1320"/>
        <v>1200</v>
      </c>
      <c r="BC3356">
        <v>1</v>
      </c>
      <c r="BD3356" t="str">
        <f t="shared" si="1321"/>
        <v xml:space="preserve">N52156  </v>
      </c>
      <c r="BE3356">
        <v>1</v>
      </c>
      <c r="BG3356">
        <v>0</v>
      </c>
      <c r="BH3356">
        <v>0</v>
      </c>
      <c r="BI3356">
        <v>0</v>
      </c>
      <c r="BJ3356">
        <v>4350</v>
      </c>
      <c r="BK3356">
        <v>50</v>
      </c>
      <c r="BL3356" t="s">
        <v>188</v>
      </c>
      <c r="BM3356">
        <v>1</v>
      </c>
      <c r="BN3356">
        <v>1</v>
      </c>
      <c r="BO3356">
        <v>0</v>
      </c>
      <c r="BP3356">
        <v>0</v>
      </c>
      <c r="BS3356">
        <v>0</v>
      </c>
      <c r="BT3356">
        <v>0</v>
      </c>
      <c r="BU3356">
        <v>0</v>
      </c>
      <c r="CE3356" t="str">
        <f t="shared" ref="CE3356:CE3361" si="1331">"15:13:51.422"</f>
        <v>15:13:51.422</v>
      </c>
      <c r="CF3356">
        <v>422060316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3</v>
      </c>
      <c r="CY3356">
        <v>7</v>
      </c>
      <c r="CZ3356" t="s">
        <v>133</v>
      </c>
      <c r="DA3356">
        <v>276</v>
      </c>
      <c r="DB3356">
        <v>0</v>
      </c>
      <c r="DC3356" t="s">
        <v>402</v>
      </c>
      <c r="DD3356" t="s">
        <v>403</v>
      </c>
      <c r="DG3356">
        <v>1628012</v>
      </c>
      <c r="DI3356">
        <v>1</v>
      </c>
      <c r="DJ3356">
        <v>0</v>
      </c>
      <c r="DK3356">
        <v>0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3">
      <c r="A3357" t="str">
        <f>"05/01/2025 15:13:51.648"</f>
        <v>05/01/2025 15:13:51.648</v>
      </c>
      <c r="C3357" t="str">
        <f t="shared" si="1318"/>
        <v>FFDFD3C0</v>
      </c>
      <c r="D3357" t="s">
        <v>143</v>
      </c>
      <c r="E3357" t="str">
        <f>"05"</f>
        <v>05</v>
      </c>
      <c r="H3357">
        <v>172</v>
      </c>
      <c r="I3357" t="s">
        <v>141</v>
      </c>
      <c r="J3357" t="s">
        <v>144</v>
      </c>
      <c r="K3357">
        <v>0</v>
      </c>
      <c r="L3357">
        <v>3</v>
      </c>
      <c r="M3357">
        <v>0</v>
      </c>
      <c r="N3357">
        <v>2</v>
      </c>
      <c r="O3357">
        <v>0</v>
      </c>
      <c r="P3357">
        <v>1</v>
      </c>
      <c r="Q3357">
        <v>0</v>
      </c>
      <c r="R3357" t="s">
        <v>127</v>
      </c>
      <c r="S3357" t="str">
        <f t="shared" si="1330"/>
        <v>15:13:51.000</v>
      </c>
      <c r="T3357" t="str">
        <f t="shared" si="1330"/>
        <v>15:13:51.000</v>
      </c>
      <c r="U3357" t="str">
        <f t="shared" si="1319"/>
        <v>A68FCB</v>
      </c>
      <c r="V3357">
        <v>0</v>
      </c>
      <c r="W3357">
        <v>0</v>
      </c>
      <c r="X3357">
        <v>2</v>
      </c>
      <c r="Y3357">
        <v>0</v>
      </c>
      <c r="AA3357">
        <v>1</v>
      </c>
      <c r="AB3357">
        <v>8</v>
      </c>
      <c r="AC3357">
        <v>3</v>
      </c>
      <c r="AD3357">
        <v>0</v>
      </c>
      <c r="AE3357">
        <v>9</v>
      </c>
      <c r="AF3357" t="s">
        <v>138</v>
      </c>
      <c r="AG3357">
        <v>0</v>
      </c>
      <c r="AH3357">
        <v>3</v>
      </c>
      <c r="AI3357">
        <v>2</v>
      </c>
      <c r="AJ3357">
        <v>0</v>
      </c>
      <c r="AK3357" t="s">
        <v>1114</v>
      </c>
      <c r="AL3357">
        <v>39.138857999999999</v>
      </c>
      <c r="AM3357" t="s">
        <v>1110</v>
      </c>
      <c r="AN3357">
        <v>-121.030991</v>
      </c>
      <c r="AO3357">
        <v>25</v>
      </c>
      <c r="AP3357">
        <v>4300</v>
      </c>
      <c r="AQ3357" t="s">
        <v>131</v>
      </c>
      <c r="AR3357">
        <v>-1</v>
      </c>
      <c r="AS3357">
        <v>83</v>
      </c>
      <c r="AT3357">
        <v>0</v>
      </c>
      <c r="BB3357" t="str">
        <f t="shared" si="1320"/>
        <v>1200</v>
      </c>
      <c r="BC3357">
        <v>1</v>
      </c>
      <c r="BD3357" t="str">
        <f t="shared" si="1321"/>
        <v xml:space="preserve">N52156  </v>
      </c>
      <c r="BE3357">
        <v>1</v>
      </c>
      <c r="BG3357">
        <v>0</v>
      </c>
      <c r="BH3357">
        <v>0</v>
      </c>
      <c r="BI3357">
        <v>0</v>
      </c>
      <c r="BJ3357">
        <v>4350</v>
      </c>
      <c r="BK3357">
        <v>50</v>
      </c>
      <c r="BL3357" t="s">
        <v>188</v>
      </c>
      <c r="BM3357">
        <v>1</v>
      </c>
      <c r="BN3357">
        <v>1</v>
      </c>
      <c r="BO3357">
        <v>0</v>
      </c>
      <c r="BP3357">
        <v>0</v>
      </c>
      <c r="BS3357">
        <v>0</v>
      </c>
      <c r="BT3357">
        <v>0</v>
      </c>
      <c r="BU3357">
        <v>0</v>
      </c>
      <c r="CE3357" t="str">
        <f t="shared" si="1331"/>
        <v>15:13:51.422</v>
      </c>
      <c r="CF3357">
        <v>422060316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3</v>
      </c>
      <c r="CY3357">
        <v>7</v>
      </c>
      <c r="CZ3357" t="s">
        <v>133</v>
      </c>
      <c r="DA3357">
        <v>276</v>
      </c>
      <c r="DB3357">
        <v>0</v>
      </c>
      <c r="DC3357" t="s">
        <v>402</v>
      </c>
      <c r="DD3357" t="s">
        <v>403</v>
      </c>
      <c r="DG3357">
        <v>1628012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3">
      <c r="A3358" t="str">
        <f>"05/01/2025 15:13:51.660"</f>
        <v>05/01/2025 15:13:51.660</v>
      </c>
      <c r="C3358" t="str">
        <f t="shared" si="1318"/>
        <v>FFDFD3C0</v>
      </c>
      <c r="D3358" t="s">
        <v>124</v>
      </c>
      <c r="E3358" t="str">
        <f>"06"</f>
        <v>06</v>
      </c>
      <c r="F3358">
        <v>2006</v>
      </c>
      <c r="G3358" t="s">
        <v>125</v>
      </c>
      <c r="J3358" t="s">
        <v>126</v>
      </c>
      <c r="K3358">
        <v>0</v>
      </c>
      <c r="L3358">
        <v>3</v>
      </c>
      <c r="M3358">
        <v>0</v>
      </c>
      <c r="N3358">
        <v>2</v>
      </c>
      <c r="O3358">
        <v>0</v>
      </c>
      <c r="P3358">
        <v>1</v>
      </c>
      <c r="Q3358">
        <v>0</v>
      </c>
      <c r="R3358" t="s">
        <v>127</v>
      </c>
      <c r="S3358" t="str">
        <f t="shared" si="1330"/>
        <v>15:13:51.000</v>
      </c>
      <c r="T3358" t="str">
        <f t="shared" si="1330"/>
        <v>15:13:51.000</v>
      </c>
      <c r="U3358" t="str">
        <f t="shared" si="1319"/>
        <v>A68FCB</v>
      </c>
      <c r="V3358">
        <v>0</v>
      </c>
      <c r="W3358">
        <v>0</v>
      </c>
      <c r="X3358">
        <v>2</v>
      </c>
      <c r="Y3358">
        <v>0</v>
      </c>
      <c r="AA3358">
        <v>1</v>
      </c>
      <c r="AB3358">
        <v>8</v>
      </c>
      <c r="AC3358">
        <v>3</v>
      </c>
      <c r="AD3358">
        <v>0</v>
      </c>
      <c r="AE3358">
        <v>9</v>
      </c>
      <c r="AF3358" t="s">
        <v>138</v>
      </c>
      <c r="AG3358">
        <v>0</v>
      </c>
      <c r="AH3358">
        <v>3</v>
      </c>
      <c r="AI3358">
        <v>2</v>
      </c>
      <c r="AJ3358">
        <v>0</v>
      </c>
      <c r="AK3358" t="s">
        <v>1114</v>
      </c>
      <c r="AL3358">
        <v>39.138857999999999</v>
      </c>
      <c r="AM3358" t="s">
        <v>1110</v>
      </c>
      <c r="AN3358">
        <v>-121.030991</v>
      </c>
      <c r="AO3358">
        <v>25</v>
      </c>
      <c r="AP3358">
        <v>4300</v>
      </c>
      <c r="AQ3358" t="s">
        <v>131</v>
      </c>
      <c r="AR3358">
        <v>-1</v>
      </c>
      <c r="AS3358">
        <v>83</v>
      </c>
      <c r="AT3358">
        <v>0</v>
      </c>
      <c r="BB3358" t="str">
        <f t="shared" si="1320"/>
        <v>1200</v>
      </c>
      <c r="BC3358">
        <v>1</v>
      </c>
      <c r="BD3358" t="str">
        <f t="shared" si="1321"/>
        <v xml:space="preserve">N52156  </v>
      </c>
      <c r="BE3358">
        <v>1</v>
      </c>
      <c r="BG3358">
        <v>0</v>
      </c>
      <c r="BH3358">
        <v>0</v>
      </c>
      <c r="BI3358">
        <v>0</v>
      </c>
      <c r="BJ3358">
        <v>4350</v>
      </c>
      <c r="BK3358">
        <v>50</v>
      </c>
      <c r="BL3358" t="s">
        <v>188</v>
      </c>
      <c r="BM3358">
        <v>1</v>
      </c>
      <c r="BN3358">
        <v>1</v>
      </c>
      <c r="BO3358">
        <v>0</v>
      </c>
      <c r="BP3358">
        <v>0</v>
      </c>
      <c r="BS3358">
        <v>0</v>
      </c>
      <c r="BT3358">
        <v>0</v>
      </c>
      <c r="BU3358">
        <v>0</v>
      </c>
      <c r="CE3358" t="str">
        <f t="shared" si="1331"/>
        <v>15:13:51.422</v>
      </c>
      <c r="CF3358">
        <v>422060316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3</v>
      </c>
      <c r="CY3358">
        <v>7</v>
      </c>
      <c r="CZ3358" t="s">
        <v>133</v>
      </c>
      <c r="DA3358">
        <v>276</v>
      </c>
      <c r="DB3358">
        <v>0</v>
      </c>
      <c r="DC3358" t="s">
        <v>402</v>
      </c>
      <c r="DD3358" t="s">
        <v>403</v>
      </c>
      <c r="DG3358">
        <v>1628012</v>
      </c>
      <c r="DI3358">
        <v>1</v>
      </c>
      <c r="DJ3358">
        <v>0</v>
      </c>
      <c r="DK3358">
        <v>1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3">
      <c r="A3359" t="str">
        <f>"05/01/2025 15:13:51.660"</f>
        <v>05/01/2025 15:13:51.660</v>
      </c>
      <c r="C3359" t="str">
        <f t="shared" si="1318"/>
        <v>FFDFD3C0</v>
      </c>
      <c r="D3359" t="s">
        <v>140</v>
      </c>
      <c r="E3359" t="str">
        <f>"13"</f>
        <v>13</v>
      </c>
      <c r="F3359">
        <v>1019</v>
      </c>
      <c r="G3359" t="s">
        <v>141</v>
      </c>
      <c r="J3359" t="s">
        <v>142</v>
      </c>
      <c r="K3359">
        <v>0</v>
      </c>
      <c r="L3359">
        <v>3</v>
      </c>
      <c r="M3359">
        <v>0</v>
      </c>
      <c r="N3359">
        <v>2</v>
      </c>
      <c r="O3359">
        <v>0</v>
      </c>
      <c r="P3359">
        <v>1</v>
      </c>
      <c r="Q3359">
        <v>0</v>
      </c>
      <c r="R3359" t="s">
        <v>127</v>
      </c>
      <c r="S3359" t="str">
        <f t="shared" si="1330"/>
        <v>15:13:51.000</v>
      </c>
      <c r="T3359" t="str">
        <f t="shared" si="1330"/>
        <v>15:13:51.000</v>
      </c>
      <c r="U3359" t="str">
        <f t="shared" si="1319"/>
        <v>A68FCB</v>
      </c>
      <c r="V3359">
        <v>0</v>
      </c>
      <c r="W3359">
        <v>0</v>
      </c>
      <c r="X3359">
        <v>2</v>
      </c>
      <c r="Y3359">
        <v>0</v>
      </c>
      <c r="AA3359">
        <v>1</v>
      </c>
      <c r="AB3359">
        <v>8</v>
      </c>
      <c r="AC3359">
        <v>3</v>
      </c>
      <c r="AD3359">
        <v>0</v>
      </c>
      <c r="AE3359">
        <v>9</v>
      </c>
      <c r="AF3359" t="s">
        <v>138</v>
      </c>
      <c r="AG3359">
        <v>0</v>
      </c>
      <c r="AH3359">
        <v>3</v>
      </c>
      <c r="AI3359">
        <v>2</v>
      </c>
      <c r="AJ3359">
        <v>0</v>
      </c>
      <c r="AK3359" t="s">
        <v>1114</v>
      </c>
      <c r="AL3359">
        <v>39.138857999999999</v>
      </c>
      <c r="AM3359" t="s">
        <v>1110</v>
      </c>
      <c r="AN3359">
        <v>-121.030991</v>
      </c>
      <c r="AO3359">
        <v>25</v>
      </c>
      <c r="AP3359">
        <v>4300</v>
      </c>
      <c r="AQ3359" t="s">
        <v>131</v>
      </c>
      <c r="AR3359">
        <v>-1</v>
      </c>
      <c r="AS3359">
        <v>83</v>
      </c>
      <c r="AT3359">
        <v>0</v>
      </c>
      <c r="BB3359" t="str">
        <f t="shared" si="1320"/>
        <v>1200</v>
      </c>
      <c r="BC3359">
        <v>1</v>
      </c>
      <c r="BD3359" t="str">
        <f t="shared" si="1321"/>
        <v xml:space="preserve">N52156  </v>
      </c>
      <c r="BE3359">
        <v>1</v>
      </c>
      <c r="BG3359">
        <v>0</v>
      </c>
      <c r="BH3359">
        <v>0</v>
      </c>
      <c r="BI3359">
        <v>0</v>
      </c>
      <c r="BJ3359">
        <v>4350</v>
      </c>
      <c r="BK3359">
        <v>50</v>
      </c>
      <c r="BL3359" t="s">
        <v>188</v>
      </c>
      <c r="BM3359">
        <v>1</v>
      </c>
      <c r="BN3359">
        <v>1</v>
      </c>
      <c r="BO3359">
        <v>0</v>
      </c>
      <c r="BP3359">
        <v>0</v>
      </c>
      <c r="BS3359">
        <v>0</v>
      </c>
      <c r="BT3359">
        <v>0</v>
      </c>
      <c r="BU3359">
        <v>0</v>
      </c>
      <c r="CE3359" t="str">
        <f t="shared" si="1331"/>
        <v>15:13:51.422</v>
      </c>
      <c r="CF3359">
        <v>422060316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3</v>
      </c>
      <c r="CY3359">
        <v>7</v>
      </c>
      <c r="CZ3359" t="s">
        <v>133</v>
      </c>
      <c r="DA3359">
        <v>276</v>
      </c>
      <c r="DB3359">
        <v>0</v>
      </c>
      <c r="DC3359" t="s">
        <v>402</v>
      </c>
      <c r="DD3359" t="s">
        <v>403</v>
      </c>
      <c r="DG3359">
        <v>1628012</v>
      </c>
      <c r="DI3359">
        <v>1</v>
      </c>
      <c r="DJ3359">
        <v>0</v>
      </c>
      <c r="DK3359">
        <v>1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3">
      <c r="A3360" t="str">
        <f>"05/01/2025 15:13:51.672"</f>
        <v>05/01/2025 15:13:51.672</v>
      </c>
      <c r="C3360" t="str">
        <f t="shared" si="1318"/>
        <v>FFDFD3C0</v>
      </c>
      <c r="D3360" t="s">
        <v>145</v>
      </c>
      <c r="E3360" t="str">
        <f>"09"</f>
        <v>09</v>
      </c>
      <c r="H3360">
        <v>51</v>
      </c>
      <c r="I3360" t="s">
        <v>147</v>
      </c>
      <c r="J3360" t="s">
        <v>138</v>
      </c>
      <c r="K3360">
        <v>0</v>
      </c>
      <c r="L3360">
        <v>3</v>
      </c>
      <c r="M3360">
        <v>0</v>
      </c>
      <c r="N3360">
        <v>2</v>
      </c>
      <c r="O3360">
        <v>0</v>
      </c>
      <c r="P3360">
        <v>1</v>
      </c>
      <c r="Q3360">
        <v>0</v>
      </c>
      <c r="R3360" t="s">
        <v>127</v>
      </c>
      <c r="S3360" t="str">
        <f t="shared" si="1330"/>
        <v>15:13:51.000</v>
      </c>
      <c r="T3360" t="str">
        <f t="shared" si="1330"/>
        <v>15:13:51.000</v>
      </c>
      <c r="U3360" t="str">
        <f t="shared" si="1319"/>
        <v>A68FCB</v>
      </c>
      <c r="V3360">
        <v>0</v>
      </c>
      <c r="W3360">
        <v>0</v>
      </c>
      <c r="X3360">
        <v>2</v>
      </c>
      <c r="Y3360">
        <v>0</v>
      </c>
      <c r="AA3360">
        <v>1</v>
      </c>
      <c r="AB3360">
        <v>8</v>
      </c>
      <c r="AC3360">
        <v>3</v>
      </c>
      <c r="AD3360">
        <v>0</v>
      </c>
      <c r="AE3360">
        <v>9</v>
      </c>
      <c r="AF3360" t="s">
        <v>138</v>
      </c>
      <c r="AG3360">
        <v>0</v>
      </c>
      <c r="AH3360">
        <v>3</v>
      </c>
      <c r="AI3360">
        <v>2</v>
      </c>
      <c r="AJ3360">
        <v>0</v>
      </c>
      <c r="AK3360" t="s">
        <v>1114</v>
      </c>
      <c r="AL3360">
        <v>39.138857999999999</v>
      </c>
      <c r="AM3360" t="s">
        <v>1110</v>
      </c>
      <c r="AN3360">
        <v>-121.030991</v>
      </c>
      <c r="AO3360">
        <v>25</v>
      </c>
      <c r="AP3360">
        <v>4300</v>
      </c>
      <c r="AQ3360" t="s">
        <v>131</v>
      </c>
      <c r="AR3360">
        <v>-1</v>
      </c>
      <c r="AS3360">
        <v>83</v>
      </c>
      <c r="AT3360">
        <v>0</v>
      </c>
      <c r="BB3360" t="str">
        <f t="shared" si="1320"/>
        <v>1200</v>
      </c>
      <c r="BC3360">
        <v>1</v>
      </c>
      <c r="BD3360" t="str">
        <f t="shared" si="1321"/>
        <v xml:space="preserve">N52156  </v>
      </c>
      <c r="BE3360">
        <v>1</v>
      </c>
      <c r="BG3360">
        <v>0</v>
      </c>
      <c r="BH3360">
        <v>0</v>
      </c>
      <c r="BI3360">
        <v>0</v>
      </c>
      <c r="BJ3360">
        <v>4350</v>
      </c>
      <c r="BK3360">
        <v>50</v>
      </c>
      <c r="BL3360" t="s">
        <v>188</v>
      </c>
      <c r="BM3360">
        <v>1</v>
      </c>
      <c r="BN3360">
        <v>1</v>
      </c>
      <c r="BO3360">
        <v>0</v>
      </c>
      <c r="BP3360">
        <v>0</v>
      </c>
      <c r="BS3360">
        <v>0</v>
      </c>
      <c r="BT3360">
        <v>0</v>
      </c>
      <c r="BU3360">
        <v>0</v>
      </c>
      <c r="CE3360" t="str">
        <f t="shared" si="1331"/>
        <v>15:13:51.422</v>
      </c>
      <c r="CF3360">
        <v>422060316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3</v>
      </c>
      <c r="CY3360">
        <v>7</v>
      </c>
      <c r="CZ3360" t="s">
        <v>133</v>
      </c>
      <c r="DA3360">
        <v>276</v>
      </c>
      <c r="DB3360">
        <v>0</v>
      </c>
      <c r="DC3360" t="s">
        <v>402</v>
      </c>
      <c r="DD3360" t="s">
        <v>403</v>
      </c>
      <c r="DG3360">
        <v>1628012</v>
      </c>
      <c r="DI3360">
        <v>1</v>
      </c>
      <c r="DJ3360">
        <v>0</v>
      </c>
      <c r="DK3360">
        <v>1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3">
      <c r="A3361" t="str">
        <f>"05/01/2025 15:13:51.674"</f>
        <v>05/01/2025 15:13:51.674</v>
      </c>
      <c r="C3361" t="str">
        <f t="shared" si="1318"/>
        <v>FFDFD3C0</v>
      </c>
      <c r="D3361" t="s">
        <v>145</v>
      </c>
      <c r="E3361" t="str">
        <f>"05"</f>
        <v>05</v>
      </c>
      <c r="H3361">
        <v>47</v>
      </c>
      <c r="I3361" t="s">
        <v>146</v>
      </c>
      <c r="J3361" t="s">
        <v>138</v>
      </c>
      <c r="K3361">
        <v>0</v>
      </c>
      <c r="L3361">
        <v>3</v>
      </c>
      <c r="M3361">
        <v>0</v>
      </c>
      <c r="N3361">
        <v>2</v>
      </c>
      <c r="O3361">
        <v>0</v>
      </c>
      <c r="P3361">
        <v>1</v>
      </c>
      <c r="Q3361">
        <v>0</v>
      </c>
      <c r="R3361" t="s">
        <v>127</v>
      </c>
      <c r="S3361" t="str">
        <f t="shared" si="1330"/>
        <v>15:13:51.000</v>
      </c>
      <c r="T3361" t="str">
        <f t="shared" si="1330"/>
        <v>15:13:51.000</v>
      </c>
      <c r="U3361" t="str">
        <f t="shared" si="1319"/>
        <v>A68FCB</v>
      </c>
      <c r="V3361">
        <v>0</v>
      </c>
      <c r="W3361">
        <v>0</v>
      </c>
      <c r="X3361">
        <v>2</v>
      </c>
      <c r="Y3361">
        <v>0</v>
      </c>
      <c r="AA3361">
        <v>1</v>
      </c>
      <c r="AB3361">
        <v>8</v>
      </c>
      <c r="AC3361">
        <v>3</v>
      </c>
      <c r="AD3361">
        <v>0</v>
      </c>
      <c r="AE3361">
        <v>9</v>
      </c>
      <c r="AF3361" t="s">
        <v>138</v>
      </c>
      <c r="AG3361">
        <v>0</v>
      </c>
      <c r="AH3361">
        <v>3</v>
      </c>
      <c r="AI3361">
        <v>2</v>
      </c>
      <c r="AJ3361">
        <v>0</v>
      </c>
      <c r="AK3361" t="s">
        <v>1114</v>
      </c>
      <c r="AL3361">
        <v>39.138857999999999</v>
      </c>
      <c r="AM3361" t="s">
        <v>1110</v>
      </c>
      <c r="AN3361">
        <v>-121.030991</v>
      </c>
      <c r="AO3361">
        <v>25</v>
      </c>
      <c r="AP3361">
        <v>4300</v>
      </c>
      <c r="AQ3361" t="s">
        <v>131</v>
      </c>
      <c r="AR3361">
        <v>-1</v>
      </c>
      <c r="AS3361">
        <v>83</v>
      </c>
      <c r="AT3361">
        <v>0</v>
      </c>
      <c r="BB3361" t="str">
        <f t="shared" si="1320"/>
        <v>1200</v>
      </c>
      <c r="BC3361">
        <v>1</v>
      </c>
      <c r="BD3361" t="str">
        <f t="shared" si="1321"/>
        <v xml:space="preserve">N52156  </v>
      </c>
      <c r="BE3361">
        <v>1</v>
      </c>
      <c r="BG3361">
        <v>0</v>
      </c>
      <c r="BH3361">
        <v>0</v>
      </c>
      <c r="BI3361">
        <v>0</v>
      </c>
      <c r="BJ3361">
        <v>4350</v>
      </c>
      <c r="BK3361">
        <v>50</v>
      </c>
      <c r="BL3361" t="s">
        <v>188</v>
      </c>
      <c r="BM3361">
        <v>1</v>
      </c>
      <c r="BN3361">
        <v>1</v>
      </c>
      <c r="BO3361">
        <v>0</v>
      </c>
      <c r="BP3361">
        <v>0</v>
      </c>
      <c r="BS3361">
        <v>0</v>
      </c>
      <c r="BT3361">
        <v>0</v>
      </c>
      <c r="BU3361">
        <v>0</v>
      </c>
      <c r="CE3361" t="str">
        <f t="shared" si="1331"/>
        <v>15:13:51.422</v>
      </c>
      <c r="CF3361">
        <v>422060316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3</v>
      </c>
      <c r="CY3361">
        <v>7</v>
      </c>
      <c r="CZ3361" t="s">
        <v>133</v>
      </c>
      <c r="DA3361">
        <v>276</v>
      </c>
      <c r="DB3361">
        <v>0</v>
      </c>
      <c r="DC3361" t="s">
        <v>402</v>
      </c>
      <c r="DD3361" t="s">
        <v>403</v>
      </c>
      <c r="DG3361">
        <v>1628012</v>
      </c>
      <c r="DI3361">
        <v>1</v>
      </c>
      <c r="DJ3361">
        <v>0</v>
      </c>
      <c r="DK3361">
        <v>1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3">
      <c r="A3362" t="str">
        <f>"05/01/2025 15:13:52.762"</f>
        <v>05/01/2025 15:13:52.762</v>
      </c>
      <c r="C3362" t="str">
        <f t="shared" si="1318"/>
        <v>FFDFD3C0</v>
      </c>
      <c r="D3362" t="s">
        <v>140</v>
      </c>
      <c r="E3362" t="str">
        <f>"13"</f>
        <v>13</v>
      </c>
      <c r="F3362">
        <v>1019</v>
      </c>
      <c r="G3362" t="s">
        <v>141</v>
      </c>
      <c r="J3362" t="s">
        <v>142</v>
      </c>
      <c r="K3362">
        <v>0</v>
      </c>
      <c r="L3362">
        <v>3</v>
      </c>
      <c r="M3362">
        <v>0</v>
      </c>
      <c r="N3362">
        <v>2</v>
      </c>
      <c r="O3362">
        <v>0</v>
      </c>
      <c r="P3362">
        <v>1</v>
      </c>
      <c r="Q3362">
        <v>0</v>
      </c>
      <c r="R3362" t="s">
        <v>127</v>
      </c>
      <c r="S3362" t="str">
        <f t="shared" ref="S3362:T3367" si="1332">"15:13:52.000"</f>
        <v>15:13:52.000</v>
      </c>
      <c r="T3362" t="str">
        <f t="shared" si="1332"/>
        <v>15:13:52.000</v>
      </c>
      <c r="U3362" t="str">
        <f t="shared" si="1319"/>
        <v>A68FCB</v>
      </c>
      <c r="V3362">
        <v>0</v>
      </c>
      <c r="W3362">
        <v>0</v>
      </c>
      <c r="X3362">
        <v>2</v>
      </c>
      <c r="Y3362">
        <v>0</v>
      </c>
      <c r="AA3362">
        <v>1</v>
      </c>
      <c r="AB3362">
        <v>8</v>
      </c>
      <c r="AC3362">
        <v>3</v>
      </c>
      <c r="AD3362">
        <v>0</v>
      </c>
      <c r="AE3362">
        <v>9</v>
      </c>
      <c r="AF3362" t="s">
        <v>138</v>
      </c>
      <c r="AG3362">
        <v>0</v>
      </c>
      <c r="AH3362">
        <v>3</v>
      </c>
      <c r="AI3362">
        <v>2</v>
      </c>
      <c r="AJ3362">
        <v>0</v>
      </c>
      <c r="AK3362" t="s">
        <v>1115</v>
      </c>
      <c r="AL3362">
        <v>39.139245000000003</v>
      </c>
      <c r="AM3362" t="s">
        <v>1110</v>
      </c>
      <c r="AN3362">
        <v>-121.030991</v>
      </c>
      <c r="AO3362">
        <v>25</v>
      </c>
      <c r="AP3362">
        <v>4300</v>
      </c>
      <c r="AQ3362" t="s">
        <v>131</v>
      </c>
      <c r="AR3362">
        <v>-2</v>
      </c>
      <c r="AS3362">
        <v>84</v>
      </c>
      <c r="AT3362">
        <v>-64</v>
      </c>
      <c r="BB3362" t="str">
        <f t="shared" si="1320"/>
        <v>1200</v>
      </c>
      <c r="BC3362">
        <v>1</v>
      </c>
      <c r="BD3362" t="str">
        <f t="shared" si="1321"/>
        <v xml:space="preserve">N52156  </v>
      </c>
      <c r="BE3362">
        <v>1</v>
      </c>
      <c r="BG3362">
        <v>0</v>
      </c>
      <c r="BH3362">
        <v>0</v>
      </c>
      <c r="BI3362">
        <v>0</v>
      </c>
      <c r="BJ3362">
        <v>4350</v>
      </c>
      <c r="BK3362">
        <v>50</v>
      </c>
      <c r="BL3362" t="s">
        <v>188</v>
      </c>
      <c r="BM3362">
        <v>1</v>
      </c>
      <c r="BN3362">
        <v>1</v>
      </c>
      <c r="BO3362">
        <v>0</v>
      </c>
      <c r="BP3362">
        <v>0</v>
      </c>
      <c r="BS3362">
        <v>0</v>
      </c>
      <c r="BT3362">
        <v>0</v>
      </c>
      <c r="BU3362">
        <v>0</v>
      </c>
      <c r="CE3362" t="str">
        <f t="shared" ref="CE3362:CE3367" si="1333">"15:13:52.547"</f>
        <v>15:13:52.547</v>
      </c>
      <c r="CF3362">
        <v>547310754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3</v>
      </c>
      <c r="CY3362">
        <v>7</v>
      </c>
      <c r="CZ3362" t="s">
        <v>133</v>
      </c>
      <c r="DA3362">
        <v>276</v>
      </c>
      <c r="DB3362">
        <v>0</v>
      </c>
      <c r="DC3362" t="s">
        <v>402</v>
      </c>
      <c r="DD3362" t="s">
        <v>403</v>
      </c>
      <c r="DG3362">
        <v>1628015</v>
      </c>
      <c r="DI3362">
        <v>1</v>
      </c>
      <c r="DJ3362">
        <v>0</v>
      </c>
      <c r="DK3362">
        <v>0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3">
      <c r="A3363" t="str">
        <f>"05/01/2025 15:13:52.762"</f>
        <v>05/01/2025 15:13:52.762</v>
      </c>
      <c r="C3363" t="str">
        <f t="shared" si="1318"/>
        <v>FFDFD3C0</v>
      </c>
      <c r="D3363" t="s">
        <v>124</v>
      </c>
      <c r="E3363" t="str">
        <f>"06"</f>
        <v>06</v>
      </c>
      <c r="F3363">
        <v>2006</v>
      </c>
      <c r="G3363" t="s">
        <v>125</v>
      </c>
      <c r="J3363" t="s">
        <v>126</v>
      </c>
      <c r="K3363">
        <v>0</v>
      </c>
      <c r="L3363">
        <v>3</v>
      </c>
      <c r="M3363">
        <v>0</v>
      </c>
      <c r="N3363">
        <v>2</v>
      </c>
      <c r="O3363">
        <v>0</v>
      </c>
      <c r="P3363">
        <v>1</v>
      </c>
      <c r="Q3363">
        <v>0</v>
      </c>
      <c r="R3363" t="s">
        <v>127</v>
      </c>
      <c r="S3363" t="str">
        <f t="shared" si="1332"/>
        <v>15:13:52.000</v>
      </c>
      <c r="T3363" t="str">
        <f t="shared" si="1332"/>
        <v>15:13:52.000</v>
      </c>
      <c r="U3363" t="str">
        <f t="shared" si="1319"/>
        <v>A68FCB</v>
      </c>
      <c r="V3363">
        <v>0</v>
      </c>
      <c r="W3363">
        <v>0</v>
      </c>
      <c r="X3363">
        <v>2</v>
      </c>
      <c r="Y3363">
        <v>0</v>
      </c>
      <c r="AA3363">
        <v>1</v>
      </c>
      <c r="AB3363">
        <v>8</v>
      </c>
      <c r="AC3363">
        <v>3</v>
      </c>
      <c r="AD3363">
        <v>0</v>
      </c>
      <c r="AE3363">
        <v>9</v>
      </c>
      <c r="AF3363" t="s">
        <v>138</v>
      </c>
      <c r="AG3363">
        <v>0</v>
      </c>
      <c r="AH3363">
        <v>3</v>
      </c>
      <c r="AI3363">
        <v>2</v>
      </c>
      <c r="AJ3363">
        <v>0</v>
      </c>
      <c r="AK3363" t="s">
        <v>1115</v>
      </c>
      <c r="AL3363">
        <v>39.139245000000003</v>
      </c>
      <c r="AM3363" t="s">
        <v>1110</v>
      </c>
      <c r="AN3363">
        <v>-121.030991</v>
      </c>
      <c r="AO3363">
        <v>25</v>
      </c>
      <c r="AP3363">
        <v>4300</v>
      </c>
      <c r="AQ3363" t="s">
        <v>131</v>
      </c>
      <c r="AR3363">
        <v>-2</v>
      </c>
      <c r="AS3363">
        <v>84</v>
      </c>
      <c r="AT3363">
        <v>-64</v>
      </c>
      <c r="BB3363" t="str">
        <f t="shared" si="1320"/>
        <v>1200</v>
      </c>
      <c r="BC3363">
        <v>1</v>
      </c>
      <c r="BD3363" t="str">
        <f t="shared" si="1321"/>
        <v xml:space="preserve">N52156  </v>
      </c>
      <c r="BE3363">
        <v>1</v>
      </c>
      <c r="BG3363">
        <v>0</v>
      </c>
      <c r="BH3363">
        <v>0</v>
      </c>
      <c r="BI3363">
        <v>0</v>
      </c>
      <c r="BJ3363">
        <v>4350</v>
      </c>
      <c r="BK3363">
        <v>50</v>
      </c>
      <c r="BL3363" t="s">
        <v>188</v>
      </c>
      <c r="BM3363">
        <v>1</v>
      </c>
      <c r="BN3363">
        <v>1</v>
      </c>
      <c r="BO3363">
        <v>0</v>
      </c>
      <c r="BP3363">
        <v>0</v>
      </c>
      <c r="BS3363">
        <v>0</v>
      </c>
      <c r="BT3363">
        <v>0</v>
      </c>
      <c r="BU3363">
        <v>0</v>
      </c>
      <c r="CE3363" t="str">
        <f t="shared" si="1333"/>
        <v>15:13:52.547</v>
      </c>
      <c r="CF3363">
        <v>547310754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3</v>
      </c>
      <c r="CY3363">
        <v>7</v>
      </c>
      <c r="CZ3363" t="s">
        <v>133</v>
      </c>
      <c r="DA3363">
        <v>276</v>
      </c>
      <c r="DB3363">
        <v>0</v>
      </c>
      <c r="DC3363" t="s">
        <v>402</v>
      </c>
      <c r="DD3363" t="s">
        <v>403</v>
      </c>
      <c r="DG3363">
        <v>1628015</v>
      </c>
      <c r="DI3363">
        <v>1</v>
      </c>
      <c r="DJ3363">
        <v>0</v>
      </c>
      <c r="DK3363">
        <v>1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3">
      <c r="A3364" t="str">
        <f>"05/01/2025 15:13:52.774"</f>
        <v>05/01/2025 15:13:52.774</v>
      </c>
      <c r="C3364" t="str">
        <f t="shared" si="1318"/>
        <v>FFDFD3C0</v>
      </c>
      <c r="D3364" t="s">
        <v>145</v>
      </c>
      <c r="E3364" t="str">
        <f>"09"</f>
        <v>09</v>
      </c>
      <c r="H3364">
        <v>51</v>
      </c>
      <c r="I3364" t="s">
        <v>147</v>
      </c>
      <c r="J3364" t="s">
        <v>138</v>
      </c>
      <c r="K3364">
        <v>0</v>
      </c>
      <c r="L3364">
        <v>3</v>
      </c>
      <c r="M3364">
        <v>0</v>
      </c>
      <c r="N3364">
        <v>2</v>
      </c>
      <c r="O3364">
        <v>0</v>
      </c>
      <c r="P3364">
        <v>1</v>
      </c>
      <c r="Q3364">
        <v>0</v>
      </c>
      <c r="R3364" t="s">
        <v>127</v>
      </c>
      <c r="S3364" t="str">
        <f t="shared" si="1332"/>
        <v>15:13:52.000</v>
      </c>
      <c r="T3364" t="str">
        <f t="shared" si="1332"/>
        <v>15:13:52.000</v>
      </c>
      <c r="U3364" t="str">
        <f t="shared" si="1319"/>
        <v>A68FCB</v>
      </c>
      <c r="V3364">
        <v>0</v>
      </c>
      <c r="W3364">
        <v>0</v>
      </c>
      <c r="X3364">
        <v>2</v>
      </c>
      <c r="Y3364">
        <v>0</v>
      </c>
      <c r="AA3364">
        <v>1</v>
      </c>
      <c r="AB3364">
        <v>8</v>
      </c>
      <c r="AC3364">
        <v>3</v>
      </c>
      <c r="AD3364">
        <v>0</v>
      </c>
      <c r="AE3364">
        <v>9</v>
      </c>
      <c r="AF3364" t="s">
        <v>138</v>
      </c>
      <c r="AG3364">
        <v>0</v>
      </c>
      <c r="AH3364">
        <v>3</v>
      </c>
      <c r="AI3364">
        <v>2</v>
      </c>
      <c r="AJ3364">
        <v>0</v>
      </c>
      <c r="AK3364" t="s">
        <v>1115</v>
      </c>
      <c r="AL3364">
        <v>39.139245000000003</v>
      </c>
      <c r="AM3364" t="s">
        <v>1110</v>
      </c>
      <c r="AN3364">
        <v>-121.030991</v>
      </c>
      <c r="AO3364">
        <v>25</v>
      </c>
      <c r="AP3364">
        <v>4300</v>
      </c>
      <c r="AQ3364" t="s">
        <v>131</v>
      </c>
      <c r="AR3364">
        <v>-2</v>
      </c>
      <c r="AS3364">
        <v>84</v>
      </c>
      <c r="AT3364">
        <v>-64</v>
      </c>
      <c r="BB3364" t="str">
        <f t="shared" si="1320"/>
        <v>1200</v>
      </c>
      <c r="BC3364">
        <v>1</v>
      </c>
      <c r="BD3364" t="str">
        <f t="shared" si="1321"/>
        <v xml:space="preserve">N52156  </v>
      </c>
      <c r="BE3364">
        <v>1</v>
      </c>
      <c r="BG3364">
        <v>0</v>
      </c>
      <c r="BH3364">
        <v>0</v>
      </c>
      <c r="BI3364">
        <v>0</v>
      </c>
      <c r="BJ3364">
        <v>4350</v>
      </c>
      <c r="BK3364">
        <v>50</v>
      </c>
      <c r="BL3364" t="s">
        <v>188</v>
      </c>
      <c r="BM3364">
        <v>1</v>
      </c>
      <c r="BN3364">
        <v>1</v>
      </c>
      <c r="BO3364">
        <v>0</v>
      </c>
      <c r="BP3364">
        <v>0</v>
      </c>
      <c r="BS3364">
        <v>0</v>
      </c>
      <c r="BT3364">
        <v>0</v>
      </c>
      <c r="BU3364">
        <v>0</v>
      </c>
      <c r="CE3364" t="str">
        <f t="shared" si="1333"/>
        <v>15:13:52.547</v>
      </c>
      <c r="CF3364">
        <v>547310754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3</v>
      </c>
      <c r="CY3364">
        <v>7</v>
      </c>
      <c r="CZ3364" t="s">
        <v>133</v>
      </c>
      <c r="DA3364">
        <v>276</v>
      </c>
      <c r="DB3364">
        <v>0</v>
      </c>
      <c r="DC3364" t="s">
        <v>402</v>
      </c>
      <c r="DD3364" t="s">
        <v>403</v>
      </c>
      <c r="DG3364">
        <v>1628015</v>
      </c>
      <c r="DI3364">
        <v>1</v>
      </c>
      <c r="DJ3364">
        <v>0</v>
      </c>
      <c r="DK3364">
        <v>1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3">
      <c r="A3365" t="str">
        <f>"05/01/2025 15:13:52.775"</f>
        <v>05/01/2025 15:13:52.775</v>
      </c>
      <c r="C3365" t="str">
        <f t="shared" si="1318"/>
        <v>FFDFD3C0</v>
      </c>
      <c r="D3365" t="s">
        <v>145</v>
      </c>
      <c r="E3365" t="str">
        <f>"05"</f>
        <v>05</v>
      </c>
      <c r="H3365">
        <v>47</v>
      </c>
      <c r="I3365" t="s">
        <v>146</v>
      </c>
      <c r="J3365" t="s">
        <v>138</v>
      </c>
      <c r="K3365">
        <v>0</v>
      </c>
      <c r="L3365">
        <v>3</v>
      </c>
      <c r="M3365">
        <v>0</v>
      </c>
      <c r="N3365">
        <v>2</v>
      </c>
      <c r="O3365">
        <v>0</v>
      </c>
      <c r="P3365">
        <v>1</v>
      </c>
      <c r="Q3365">
        <v>0</v>
      </c>
      <c r="R3365" t="s">
        <v>127</v>
      </c>
      <c r="S3365" t="str">
        <f t="shared" si="1332"/>
        <v>15:13:52.000</v>
      </c>
      <c r="T3365" t="str">
        <f t="shared" si="1332"/>
        <v>15:13:52.000</v>
      </c>
      <c r="U3365" t="str">
        <f t="shared" si="1319"/>
        <v>A68FCB</v>
      </c>
      <c r="V3365">
        <v>0</v>
      </c>
      <c r="W3365">
        <v>0</v>
      </c>
      <c r="X3365">
        <v>2</v>
      </c>
      <c r="Y3365">
        <v>0</v>
      </c>
      <c r="AA3365">
        <v>1</v>
      </c>
      <c r="AB3365">
        <v>8</v>
      </c>
      <c r="AC3365">
        <v>3</v>
      </c>
      <c r="AD3365">
        <v>0</v>
      </c>
      <c r="AE3365">
        <v>9</v>
      </c>
      <c r="AF3365" t="s">
        <v>138</v>
      </c>
      <c r="AG3365">
        <v>0</v>
      </c>
      <c r="AH3365">
        <v>3</v>
      </c>
      <c r="AI3365">
        <v>2</v>
      </c>
      <c r="AJ3365">
        <v>0</v>
      </c>
      <c r="AK3365" t="s">
        <v>1115</v>
      </c>
      <c r="AL3365">
        <v>39.139245000000003</v>
      </c>
      <c r="AM3365" t="s">
        <v>1110</v>
      </c>
      <c r="AN3365">
        <v>-121.030991</v>
      </c>
      <c r="AO3365">
        <v>25</v>
      </c>
      <c r="AP3365">
        <v>4300</v>
      </c>
      <c r="AQ3365" t="s">
        <v>131</v>
      </c>
      <c r="AR3365">
        <v>-2</v>
      </c>
      <c r="AS3365">
        <v>84</v>
      </c>
      <c r="AT3365">
        <v>-64</v>
      </c>
      <c r="BB3365" t="str">
        <f t="shared" si="1320"/>
        <v>1200</v>
      </c>
      <c r="BC3365">
        <v>1</v>
      </c>
      <c r="BD3365" t="str">
        <f t="shared" si="1321"/>
        <v xml:space="preserve">N52156  </v>
      </c>
      <c r="BE3365">
        <v>1</v>
      </c>
      <c r="BG3365">
        <v>0</v>
      </c>
      <c r="BH3365">
        <v>0</v>
      </c>
      <c r="BI3365">
        <v>0</v>
      </c>
      <c r="BJ3365">
        <v>4350</v>
      </c>
      <c r="BK3365">
        <v>50</v>
      </c>
      <c r="BL3365" t="s">
        <v>188</v>
      </c>
      <c r="BM3365">
        <v>1</v>
      </c>
      <c r="BN3365">
        <v>1</v>
      </c>
      <c r="BO3365">
        <v>0</v>
      </c>
      <c r="BP3365">
        <v>0</v>
      </c>
      <c r="BS3365">
        <v>0</v>
      </c>
      <c r="BT3365">
        <v>0</v>
      </c>
      <c r="BU3365">
        <v>0</v>
      </c>
      <c r="CE3365" t="str">
        <f t="shared" si="1333"/>
        <v>15:13:52.547</v>
      </c>
      <c r="CF3365">
        <v>547310754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3</v>
      </c>
      <c r="CY3365">
        <v>7</v>
      </c>
      <c r="CZ3365" t="s">
        <v>133</v>
      </c>
      <c r="DA3365">
        <v>276</v>
      </c>
      <c r="DB3365">
        <v>0</v>
      </c>
      <c r="DC3365" t="s">
        <v>402</v>
      </c>
      <c r="DD3365" t="s">
        <v>403</v>
      </c>
      <c r="DG3365">
        <v>1628015</v>
      </c>
      <c r="DI3365">
        <v>1</v>
      </c>
      <c r="DJ3365">
        <v>0</v>
      </c>
      <c r="DK3365">
        <v>1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3">
      <c r="A3366" t="str">
        <f>"05/01/2025 15:13:52.787"</f>
        <v>05/01/2025 15:13:52.787</v>
      </c>
      <c r="C3366" t="str">
        <f t="shared" si="1318"/>
        <v>FFDFD3C0</v>
      </c>
      <c r="D3366" t="s">
        <v>136</v>
      </c>
      <c r="E3366" t="str">
        <f>"20"</f>
        <v>20</v>
      </c>
      <c r="H3366">
        <v>400</v>
      </c>
      <c r="I3366" t="s">
        <v>137</v>
      </c>
      <c r="J3366" t="s">
        <v>138</v>
      </c>
      <c r="K3366">
        <v>0</v>
      </c>
      <c r="L3366">
        <v>3</v>
      </c>
      <c r="M3366">
        <v>0</v>
      </c>
      <c r="N3366">
        <v>2</v>
      </c>
      <c r="O3366">
        <v>0</v>
      </c>
      <c r="P3366">
        <v>1</v>
      </c>
      <c r="Q3366">
        <v>0</v>
      </c>
      <c r="R3366" t="s">
        <v>127</v>
      </c>
      <c r="S3366" t="str">
        <f t="shared" si="1332"/>
        <v>15:13:52.000</v>
      </c>
      <c r="T3366" t="str">
        <f t="shared" si="1332"/>
        <v>15:13:52.000</v>
      </c>
      <c r="U3366" t="str">
        <f t="shared" si="1319"/>
        <v>A68FCB</v>
      </c>
      <c r="V3366">
        <v>0</v>
      </c>
      <c r="W3366">
        <v>0</v>
      </c>
      <c r="X3366">
        <v>2</v>
      </c>
      <c r="Y3366">
        <v>0</v>
      </c>
      <c r="AA3366">
        <v>1</v>
      </c>
      <c r="AB3366">
        <v>8</v>
      </c>
      <c r="AC3366">
        <v>3</v>
      </c>
      <c r="AD3366">
        <v>0</v>
      </c>
      <c r="AE3366">
        <v>9</v>
      </c>
      <c r="AF3366" t="s">
        <v>138</v>
      </c>
      <c r="AG3366">
        <v>0</v>
      </c>
      <c r="AH3366">
        <v>3</v>
      </c>
      <c r="AI3366">
        <v>2</v>
      </c>
      <c r="AJ3366">
        <v>0</v>
      </c>
      <c r="AK3366" t="s">
        <v>1115</v>
      </c>
      <c r="AL3366">
        <v>39.139245000000003</v>
      </c>
      <c r="AM3366" t="s">
        <v>1110</v>
      </c>
      <c r="AN3366">
        <v>-121.030991</v>
      </c>
      <c r="AO3366">
        <v>25</v>
      </c>
      <c r="AP3366">
        <v>4300</v>
      </c>
      <c r="AQ3366" t="s">
        <v>131</v>
      </c>
      <c r="AR3366">
        <v>-2</v>
      </c>
      <c r="AS3366">
        <v>84</v>
      </c>
      <c r="AT3366">
        <v>-64</v>
      </c>
      <c r="BB3366" t="str">
        <f t="shared" si="1320"/>
        <v>1200</v>
      </c>
      <c r="BC3366">
        <v>1</v>
      </c>
      <c r="BD3366" t="str">
        <f t="shared" si="1321"/>
        <v xml:space="preserve">N52156  </v>
      </c>
      <c r="BE3366">
        <v>1</v>
      </c>
      <c r="BG3366">
        <v>0</v>
      </c>
      <c r="BH3366">
        <v>0</v>
      </c>
      <c r="BI3366">
        <v>0</v>
      </c>
      <c r="BJ3366">
        <v>4350</v>
      </c>
      <c r="BK3366">
        <v>50</v>
      </c>
      <c r="BL3366" t="s">
        <v>188</v>
      </c>
      <c r="BM3366">
        <v>1</v>
      </c>
      <c r="BN3366">
        <v>1</v>
      </c>
      <c r="BO3366">
        <v>0</v>
      </c>
      <c r="BP3366">
        <v>0</v>
      </c>
      <c r="BS3366">
        <v>0</v>
      </c>
      <c r="BT3366">
        <v>0</v>
      </c>
      <c r="BU3366">
        <v>0</v>
      </c>
      <c r="CE3366" t="str">
        <f t="shared" si="1333"/>
        <v>15:13:52.547</v>
      </c>
      <c r="CF3366">
        <v>547310754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3</v>
      </c>
      <c r="CY3366">
        <v>7</v>
      </c>
      <c r="CZ3366" t="s">
        <v>133</v>
      </c>
      <c r="DA3366">
        <v>276</v>
      </c>
      <c r="DB3366">
        <v>0</v>
      </c>
      <c r="DC3366" t="s">
        <v>402</v>
      </c>
      <c r="DD3366" t="s">
        <v>403</v>
      </c>
      <c r="DG3366">
        <v>1628015</v>
      </c>
      <c r="DI3366">
        <v>1</v>
      </c>
      <c r="DJ3366">
        <v>0</v>
      </c>
      <c r="DK3366">
        <v>1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3">
      <c r="A3367" t="str">
        <f>"05/01/2025 15:13:52.800"</f>
        <v>05/01/2025 15:13:52.800</v>
      </c>
      <c r="C3367" t="str">
        <f t="shared" si="1318"/>
        <v>FFDFD3C0</v>
      </c>
      <c r="D3367" t="s">
        <v>143</v>
      </c>
      <c r="E3367" t="str">
        <f>"05"</f>
        <v>05</v>
      </c>
      <c r="H3367">
        <v>172</v>
      </c>
      <c r="I3367" t="s">
        <v>141</v>
      </c>
      <c r="J3367" t="s">
        <v>144</v>
      </c>
      <c r="K3367">
        <v>0</v>
      </c>
      <c r="L3367">
        <v>3</v>
      </c>
      <c r="M3367">
        <v>0</v>
      </c>
      <c r="N3367">
        <v>2</v>
      </c>
      <c r="O3367">
        <v>0</v>
      </c>
      <c r="P3367">
        <v>1</v>
      </c>
      <c r="Q3367">
        <v>0</v>
      </c>
      <c r="R3367" t="s">
        <v>127</v>
      </c>
      <c r="S3367" t="str">
        <f t="shared" si="1332"/>
        <v>15:13:52.000</v>
      </c>
      <c r="T3367" t="str">
        <f t="shared" si="1332"/>
        <v>15:13:52.000</v>
      </c>
      <c r="U3367" t="str">
        <f t="shared" si="1319"/>
        <v>A68FCB</v>
      </c>
      <c r="V3367">
        <v>0</v>
      </c>
      <c r="W3367">
        <v>0</v>
      </c>
      <c r="X3367">
        <v>2</v>
      </c>
      <c r="Y3367">
        <v>0</v>
      </c>
      <c r="AA3367">
        <v>1</v>
      </c>
      <c r="AB3367">
        <v>8</v>
      </c>
      <c r="AC3367">
        <v>3</v>
      </c>
      <c r="AD3367">
        <v>0</v>
      </c>
      <c r="AE3367">
        <v>9</v>
      </c>
      <c r="AF3367" t="s">
        <v>138</v>
      </c>
      <c r="AG3367">
        <v>0</v>
      </c>
      <c r="AH3367">
        <v>3</v>
      </c>
      <c r="AI3367">
        <v>2</v>
      </c>
      <c r="AJ3367">
        <v>0</v>
      </c>
      <c r="AK3367" t="s">
        <v>1115</v>
      </c>
      <c r="AL3367">
        <v>39.139245000000003</v>
      </c>
      <c r="AM3367" t="s">
        <v>1110</v>
      </c>
      <c r="AN3367">
        <v>-121.030991</v>
      </c>
      <c r="AO3367">
        <v>25</v>
      </c>
      <c r="AP3367">
        <v>4300</v>
      </c>
      <c r="AQ3367" t="s">
        <v>131</v>
      </c>
      <c r="AR3367">
        <v>-2</v>
      </c>
      <c r="AS3367">
        <v>84</v>
      </c>
      <c r="AT3367">
        <v>-64</v>
      </c>
      <c r="BB3367" t="str">
        <f t="shared" si="1320"/>
        <v>1200</v>
      </c>
      <c r="BC3367">
        <v>1</v>
      </c>
      <c r="BD3367" t="str">
        <f t="shared" si="1321"/>
        <v xml:space="preserve">N52156  </v>
      </c>
      <c r="BE3367">
        <v>1</v>
      </c>
      <c r="BG3367">
        <v>0</v>
      </c>
      <c r="BH3367">
        <v>0</v>
      </c>
      <c r="BI3367">
        <v>0</v>
      </c>
      <c r="BJ3367">
        <v>4350</v>
      </c>
      <c r="BK3367">
        <v>50</v>
      </c>
      <c r="BL3367" t="s">
        <v>188</v>
      </c>
      <c r="BM3367">
        <v>1</v>
      </c>
      <c r="BN3367">
        <v>1</v>
      </c>
      <c r="BO3367">
        <v>0</v>
      </c>
      <c r="BP3367">
        <v>0</v>
      </c>
      <c r="BS3367">
        <v>0</v>
      </c>
      <c r="BT3367">
        <v>0</v>
      </c>
      <c r="BU3367">
        <v>0</v>
      </c>
      <c r="CE3367" t="str">
        <f t="shared" si="1333"/>
        <v>15:13:52.547</v>
      </c>
      <c r="CF3367">
        <v>547310754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3</v>
      </c>
      <c r="CY3367">
        <v>7</v>
      </c>
      <c r="CZ3367" t="s">
        <v>133</v>
      </c>
      <c r="DA3367">
        <v>276</v>
      </c>
      <c r="DB3367">
        <v>0</v>
      </c>
      <c r="DC3367" t="s">
        <v>402</v>
      </c>
      <c r="DD3367" t="s">
        <v>403</v>
      </c>
      <c r="DG3367">
        <v>1628015</v>
      </c>
      <c r="DI3367">
        <v>1</v>
      </c>
      <c r="DJ3367">
        <v>0</v>
      </c>
      <c r="DK3367">
        <v>1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3">
      <c r="A3368" t="str">
        <f>"05/01/2025 15:13:53.914"</f>
        <v>05/01/2025 15:13:53.914</v>
      </c>
      <c r="C3368" t="str">
        <f t="shared" si="1318"/>
        <v>FFDFD3C0</v>
      </c>
      <c r="D3368" t="s">
        <v>140</v>
      </c>
      <c r="E3368" t="str">
        <f>"13"</f>
        <v>13</v>
      </c>
      <c r="F3368">
        <v>1019</v>
      </c>
      <c r="G3368" t="s">
        <v>141</v>
      </c>
      <c r="J3368" t="s">
        <v>142</v>
      </c>
      <c r="K3368">
        <v>0</v>
      </c>
      <c r="L3368">
        <v>3</v>
      </c>
      <c r="M3368">
        <v>0</v>
      </c>
      <c r="N3368">
        <v>2</v>
      </c>
      <c r="O3368">
        <v>0</v>
      </c>
      <c r="P3368">
        <v>1</v>
      </c>
      <c r="Q3368">
        <v>0</v>
      </c>
      <c r="R3368" t="s">
        <v>127</v>
      </c>
      <c r="S3368" t="str">
        <f t="shared" ref="S3368:T3373" si="1334">"15:13:53.000"</f>
        <v>15:13:53.000</v>
      </c>
      <c r="T3368" t="str">
        <f t="shared" si="1334"/>
        <v>15:13:53.000</v>
      </c>
      <c r="U3368" t="str">
        <f t="shared" si="1319"/>
        <v>A68FCB</v>
      </c>
      <c r="V3368">
        <v>0</v>
      </c>
      <c r="W3368">
        <v>0</v>
      </c>
      <c r="X3368">
        <v>2</v>
      </c>
      <c r="Y3368">
        <v>0</v>
      </c>
      <c r="AA3368">
        <v>1</v>
      </c>
      <c r="AB3368">
        <v>8</v>
      </c>
      <c r="AC3368">
        <v>3</v>
      </c>
      <c r="AD3368">
        <v>0</v>
      </c>
      <c r="AE3368">
        <v>9</v>
      </c>
      <c r="AF3368" t="s">
        <v>138</v>
      </c>
      <c r="AG3368">
        <v>0</v>
      </c>
      <c r="AH3368">
        <v>3</v>
      </c>
      <c r="AI3368">
        <v>2</v>
      </c>
      <c r="AJ3368">
        <v>0</v>
      </c>
      <c r="AK3368" t="s">
        <v>1116</v>
      </c>
      <c r="AL3368">
        <v>39.139631000000001</v>
      </c>
      <c r="AM3368" t="s">
        <v>1107</v>
      </c>
      <c r="AN3368">
        <v>-121.031013</v>
      </c>
      <c r="AO3368">
        <v>25</v>
      </c>
      <c r="AP3368">
        <v>4300</v>
      </c>
      <c r="AQ3368" t="s">
        <v>131</v>
      </c>
      <c r="AR3368">
        <v>-2</v>
      </c>
      <c r="AS3368">
        <v>84</v>
      </c>
      <c r="AT3368">
        <v>-128</v>
      </c>
      <c r="BB3368" t="str">
        <f t="shared" si="1320"/>
        <v>1200</v>
      </c>
      <c r="BC3368">
        <v>1</v>
      </c>
      <c r="BD3368" t="str">
        <f t="shared" si="1321"/>
        <v xml:space="preserve">N52156  </v>
      </c>
      <c r="BE3368">
        <v>1</v>
      </c>
      <c r="BG3368">
        <v>0</v>
      </c>
      <c r="BH3368">
        <v>0</v>
      </c>
      <c r="BI3368">
        <v>0</v>
      </c>
      <c r="BJ3368">
        <v>4350</v>
      </c>
      <c r="BK3368">
        <v>50</v>
      </c>
      <c r="BL3368" t="s">
        <v>188</v>
      </c>
      <c r="BM3368">
        <v>1</v>
      </c>
      <c r="BN3368">
        <v>1</v>
      </c>
      <c r="BO3368">
        <v>0</v>
      </c>
      <c r="BP3368">
        <v>0</v>
      </c>
      <c r="BS3368">
        <v>0</v>
      </c>
      <c r="BT3368">
        <v>0</v>
      </c>
      <c r="BU3368">
        <v>0</v>
      </c>
      <c r="CE3368" t="str">
        <f t="shared" ref="CE3368:CE3373" si="1335">"15:13:53.706"</f>
        <v>15:13:53.706</v>
      </c>
      <c r="CF3368">
        <v>705811278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3</v>
      </c>
      <c r="CY3368">
        <v>7</v>
      </c>
      <c r="CZ3368" t="s">
        <v>133</v>
      </c>
      <c r="DA3368">
        <v>276</v>
      </c>
      <c r="DB3368">
        <v>0</v>
      </c>
      <c r="DC3368" t="s">
        <v>402</v>
      </c>
      <c r="DD3368" t="s">
        <v>403</v>
      </c>
      <c r="DG3368">
        <v>1628017</v>
      </c>
      <c r="DI3368">
        <v>1</v>
      </c>
      <c r="DJ3368">
        <v>0</v>
      </c>
      <c r="DK3368">
        <v>0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3">
      <c r="A3369" t="str">
        <f>"05/01/2025 15:13:53.914"</f>
        <v>05/01/2025 15:13:53.914</v>
      </c>
      <c r="C3369" t="str">
        <f t="shared" si="1318"/>
        <v>FFDFD3C0</v>
      </c>
      <c r="D3369" t="s">
        <v>124</v>
      </c>
      <c r="E3369" t="str">
        <f>"06"</f>
        <v>06</v>
      </c>
      <c r="F3369">
        <v>2006</v>
      </c>
      <c r="G3369" t="s">
        <v>125</v>
      </c>
      <c r="J3369" t="s">
        <v>126</v>
      </c>
      <c r="K3369">
        <v>0</v>
      </c>
      <c r="L3369">
        <v>3</v>
      </c>
      <c r="M3369">
        <v>0</v>
      </c>
      <c r="N3369">
        <v>2</v>
      </c>
      <c r="O3369">
        <v>0</v>
      </c>
      <c r="P3369">
        <v>1</v>
      </c>
      <c r="Q3369">
        <v>0</v>
      </c>
      <c r="R3369" t="s">
        <v>127</v>
      </c>
      <c r="S3369" t="str">
        <f t="shared" si="1334"/>
        <v>15:13:53.000</v>
      </c>
      <c r="T3369" t="str">
        <f t="shared" si="1334"/>
        <v>15:13:53.000</v>
      </c>
      <c r="U3369" t="str">
        <f t="shared" si="1319"/>
        <v>A68FCB</v>
      </c>
      <c r="V3369">
        <v>0</v>
      </c>
      <c r="W3369">
        <v>0</v>
      </c>
      <c r="X3369">
        <v>2</v>
      </c>
      <c r="Y3369">
        <v>0</v>
      </c>
      <c r="AA3369">
        <v>1</v>
      </c>
      <c r="AB3369">
        <v>8</v>
      </c>
      <c r="AC3369">
        <v>3</v>
      </c>
      <c r="AD3369">
        <v>0</v>
      </c>
      <c r="AE3369">
        <v>9</v>
      </c>
      <c r="AF3369" t="s">
        <v>138</v>
      </c>
      <c r="AG3369">
        <v>0</v>
      </c>
      <c r="AH3369">
        <v>3</v>
      </c>
      <c r="AI3369">
        <v>2</v>
      </c>
      <c r="AJ3369">
        <v>0</v>
      </c>
      <c r="AK3369" t="s">
        <v>1116</v>
      </c>
      <c r="AL3369">
        <v>39.139631000000001</v>
      </c>
      <c r="AM3369" t="s">
        <v>1107</v>
      </c>
      <c r="AN3369">
        <v>-121.031013</v>
      </c>
      <c r="AO3369">
        <v>25</v>
      </c>
      <c r="AP3369">
        <v>4300</v>
      </c>
      <c r="AQ3369" t="s">
        <v>131</v>
      </c>
      <c r="AR3369">
        <v>-2</v>
      </c>
      <c r="AS3369">
        <v>84</v>
      </c>
      <c r="AT3369">
        <v>-128</v>
      </c>
      <c r="BB3369" t="str">
        <f t="shared" si="1320"/>
        <v>1200</v>
      </c>
      <c r="BC3369">
        <v>1</v>
      </c>
      <c r="BD3369" t="str">
        <f t="shared" si="1321"/>
        <v xml:space="preserve">N52156  </v>
      </c>
      <c r="BE3369">
        <v>1</v>
      </c>
      <c r="BG3369">
        <v>0</v>
      </c>
      <c r="BH3369">
        <v>0</v>
      </c>
      <c r="BI3369">
        <v>0</v>
      </c>
      <c r="BJ3369">
        <v>4350</v>
      </c>
      <c r="BK3369">
        <v>50</v>
      </c>
      <c r="BL3369" t="s">
        <v>188</v>
      </c>
      <c r="BM3369">
        <v>1</v>
      </c>
      <c r="BN3369">
        <v>1</v>
      </c>
      <c r="BO3369">
        <v>0</v>
      </c>
      <c r="BP3369">
        <v>0</v>
      </c>
      <c r="BS3369">
        <v>0</v>
      </c>
      <c r="BT3369">
        <v>0</v>
      </c>
      <c r="BU3369">
        <v>0</v>
      </c>
      <c r="CE3369" t="str">
        <f t="shared" si="1335"/>
        <v>15:13:53.706</v>
      </c>
      <c r="CF3369">
        <v>705811278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3</v>
      </c>
      <c r="CY3369">
        <v>7</v>
      </c>
      <c r="CZ3369" t="s">
        <v>133</v>
      </c>
      <c r="DA3369">
        <v>276</v>
      </c>
      <c r="DB3369">
        <v>0</v>
      </c>
      <c r="DC3369" t="s">
        <v>402</v>
      </c>
      <c r="DD3369" t="s">
        <v>403</v>
      </c>
      <c r="DG3369">
        <v>1628017</v>
      </c>
      <c r="DI3369">
        <v>1</v>
      </c>
      <c r="DJ3369">
        <v>0</v>
      </c>
      <c r="DK3369">
        <v>1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3">
      <c r="A3370" t="str">
        <f>"05/01/2025 15:13:53.926"</f>
        <v>05/01/2025 15:13:53.926</v>
      </c>
      <c r="C3370" t="str">
        <f t="shared" si="1318"/>
        <v>FFDFD3C0</v>
      </c>
      <c r="D3370" t="s">
        <v>145</v>
      </c>
      <c r="E3370" t="str">
        <f>"09"</f>
        <v>09</v>
      </c>
      <c r="H3370">
        <v>51</v>
      </c>
      <c r="I3370" t="s">
        <v>147</v>
      </c>
      <c r="J3370" t="s">
        <v>138</v>
      </c>
      <c r="K3370">
        <v>0</v>
      </c>
      <c r="L3370">
        <v>3</v>
      </c>
      <c r="M3370">
        <v>0</v>
      </c>
      <c r="N3370">
        <v>2</v>
      </c>
      <c r="O3370">
        <v>0</v>
      </c>
      <c r="P3370">
        <v>1</v>
      </c>
      <c r="Q3370">
        <v>0</v>
      </c>
      <c r="R3370" t="s">
        <v>127</v>
      </c>
      <c r="S3370" t="str">
        <f t="shared" si="1334"/>
        <v>15:13:53.000</v>
      </c>
      <c r="T3370" t="str">
        <f t="shared" si="1334"/>
        <v>15:13:53.000</v>
      </c>
      <c r="U3370" t="str">
        <f t="shared" si="1319"/>
        <v>A68FCB</v>
      </c>
      <c r="V3370">
        <v>0</v>
      </c>
      <c r="W3370">
        <v>0</v>
      </c>
      <c r="X3370">
        <v>2</v>
      </c>
      <c r="Y3370">
        <v>0</v>
      </c>
      <c r="AA3370">
        <v>1</v>
      </c>
      <c r="AB3370">
        <v>8</v>
      </c>
      <c r="AC3370">
        <v>3</v>
      </c>
      <c r="AD3370">
        <v>0</v>
      </c>
      <c r="AE3370">
        <v>9</v>
      </c>
      <c r="AF3370" t="s">
        <v>138</v>
      </c>
      <c r="AG3370">
        <v>0</v>
      </c>
      <c r="AH3370">
        <v>3</v>
      </c>
      <c r="AI3370">
        <v>2</v>
      </c>
      <c r="AJ3370">
        <v>0</v>
      </c>
      <c r="AK3370" t="s">
        <v>1116</v>
      </c>
      <c r="AL3370">
        <v>39.139631000000001</v>
      </c>
      <c r="AM3370" t="s">
        <v>1107</v>
      </c>
      <c r="AN3370">
        <v>-121.031013</v>
      </c>
      <c r="AO3370">
        <v>25</v>
      </c>
      <c r="AP3370">
        <v>4300</v>
      </c>
      <c r="AQ3370" t="s">
        <v>131</v>
      </c>
      <c r="AR3370">
        <v>-2</v>
      </c>
      <c r="AS3370">
        <v>84</v>
      </c>
      <c r="AT3370">
        <v>-128</v>
      </c>
      <c r="BB3370" t="str">
        <f t="shared" si="1320"/>
        <v>1200</v>
      </c>
      <c r="BC3370">
        <v>1</v>
      </c>
      <c r="BD3370" t="str">
        <f t="shared" si="1321"/>
        <v xml:space="preserve">N52156  </v>
      </c>
      <c r="BE3370">
        <v>1</v>
      </c>
      <c r="BG3370">
        <v>0</v>
      </c>
      <c r="BH3370">
        <v>0</v>
      </c>
      <c r="BI3370">
        <v>0</v>
      </c>
      <c r="BJ3370">
        <v>4350</v>
      </c>
      <c r="BK3370">
        <v>50</v>
      </c>
      <c r="BL3370" t="s">
        <v>188</v>
      </c>
      <c r="BM3370">
        <v>1</v>
      </c>
      <c r="BN3370">
        <v>1</v>
      </c>
      <c r="BO3370">
        <v>0</v>
      </c>
      <c r="BP3370">
        <v>0</v>
      </c>
      <c r="BS3370">
        <v>0</v>
      </c>
      <c r="BT3370">
        <v>0</v>
      </c>
      <c r="BU3370">
        <v>0</v>
      </c>
      <c r="CE3370" t="str">
        <f t="shared" si="1335"/>
        <v>15:13:53.706</v>
      </c>
      <c r="CF3370">
        <v>705811278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3</v>
      </c>
      <c r="CY3370">
        <v>7</v>
      </c>
      <c r="CZ3370" t="s">
        <v>133</v>
      </c>
      <c r="DA3370">
        <v>276</v>
      </c>
      <c r="DB3370">
        <v>0</v>
      </c>
      <c r="DC3370" t="s">
        <v>402</v>
      </c>
      <c r="DD3370" t="s">
        <v>403</v>
      </c>
      <c r="DG3370">
        <v>1628017</v>
      </c>
      <c r="DI3370">
        <v>1</v>
      </c>
      <c r="DJ3370">
        <v>0</v>
      </c>
      <c r="DK3370">
        <v>1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3">
      <c r="A3371" t="str">
        <f>"05/01/2025 15:13:53.927"</f>
        <v>05/01/2025 15:13:53.927</v>
      </c>
      <c r="C3371" t="str">
        <f t="shared" si="1318"/>
        <v>FFDFD3C0</v>
      </c>
      <c r="D3371" t="s">
        <v>145</v>
      </c>
      <c r="E3371" t="str">
        <f>"05"</f>
        <v>05</v>
      </c>
      <c r="H3371">
        <v>47</v>
      </c>
      <c r="I3371" t="s">
        <v>146</v>
      </c>
      <c r="J3371" t="s">
        <v>138</v>
      </c>
      <c r="K3371">
        <v>0</v>
      </c>
      <c r="L3371">
        <v>3</v>
      </c>
      <c r="M3371">
        <v>0</v>
      </c>
      <c r="N3371">
        <v>2</v>
      </c>
      <c r="O3371">
        <v>0</v>
      </c>
      <c r="P3371">
        <v>1</v>
      </c>
      <c r="Q3371">
        <v>0</v>
      </c>
      <c r="R3371" t="s">
        <v>127</v>
      </c>
      <c r="S3371" t="str">
        <f t="shared" si="1334"/>
        <v>15:13:53.000</v>
      </c>
      <c r="T3371" t="str">
        <f t="shared" si="1334"/>
        <v>15:13:53.000</v>
      </c>
      <c r="U3371" t="str">
        <f t="shared" si="1319"/>
        <v>A68FCB</v>
      </c>
      <c r="V3371">
        <v>0</v>
      </c>
      <c r="W3371">
        <v>0</v>
      </c>
      <c r="X3371">
        <v>2</v>
      </c>
      <c r="Y3371">
        <v>0</v>
      </c>
      <c r="AA3371">
        <v>1</v>
      </c>
      <c r="AB3371">
        <v>8</v>
      </c>
      <c r="AC3371">
        <v>3</v>
      </c>
      <c r="AD3371">
        <v>0</v>
      </c>
      <c r="AE3371">
        <v>9</v>
      </c>
      <c r="AF3371" t="s">
        <v>138</v>
      </c>
      <c r="AG3371">
        <v>0</v>
      </c>
      <c r="AH3371">
        <v>3</v>
      </c>
      <c r="AI3371">
        <v>2</v>
      </c>
      <c r="AJ3371">
        <v>0</v>
      </c>
      <c r="AK3371" t="s">
        <v>1116</v>
      </c>
      <c r="AL3371">
        <v>39.139631000000001</v>
      </c>
      <c r="AM3371" t="s">
        <v>1107</v>
      </c>
      <c r="AN3371">
        <v>-121.031013</v>
      </c>
      <c r="AO3371">
        <v>25</v>
      </c>
      <c r="AP3371">
        <v>4300</v>
      </c>
      <c r="AQ3371" t="s">
        <v>131</v>
      </c>
      <c r="AR3371">
        <v>-2</v>
      </c>
      <c r="AS3371">
        <v>84</v>
      </c>
      <c r="AT3371">
        <v>-128</v>
      </c>
      <c r="BB3371" t="str">
        <f t="shared" si="1320"/>
        <v>1200</v>
      </c>
      <c r="BC3371">
        <v>1</v>
      </c>
      <c r="BD3371" t="str">
        <f t="shared" si="1321"/>
        <v xml:space="preserve">N52156  </v>
      </c>
      <c r="BE3371">
        <v>1</v>
      </c>
      <c r="BG3371">
        <v>0</v>
      </c>
      <c r="BH3371">
        <v>0</v>
      </c>
      <c r="BI3371">
        <v>0</v>
      </c>
      <c r="BJ3371">
        <v>4350</v>
      </c>
      <c r="BK3371">
        <v>50</v>
      </c>
      <c r="BL3371" t="s">
        <v>188</v>
      </c>
      <c r="BM3371">
        <v>1</v>
      </c>
      <c r="BN3371">
        <v>1</v>
      </c>
      <c r="BO3371">
        <v>0</v>
      </c>
      <c r="BP3371">
        <v>0</v>
      </c>
      <c r="BS3371">
        <v>0</v>
      </c>
      <c r="BT3371">
        <v>0</v>
      </c>
      <c r="BU3371">
        <v>0</v>
      </c>
      <c r="CE3371" t="str">
        <f t="shared" si="1335"/>
        <v>15:13:53.706</v>
      </c>
      <c r="CF3371">
        <v>705811278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3</v>
      </c>
      <c r="CY3371">
        <v>7</v>
      </c>
      <c r="CZ3371" t="s">
        <v>133</v>
      </c>
      <c r="DA3371">
        <v>276</v>
      </c>
      <c r="DB3371">
        <v>0</v>
      </c>
      <c r="DC3371" t="s">
        <v>402</v>
      </c>
      <c r="DD3371" t="s">
        <v>403</v>
      </c>
      <c r="DG3371">
        <v>1628017</v>
      </c>
      <c r="DI3371">
        <v>1</v>
      </c>
      <c r="DJ3371">
        <v>0</v>
      </c>
      <c r="DK3371">
        <v>1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3">
      <c r="A3372" t="str">
        <f>"05/01/2025 15:13:53.939"</f>
        <v>05/01/2025 15:13:53.939</v>
      </c>
      <c r="C3372" t="str">
        <f t="shared" si="1318"/>
        <v>FFDFD3C0</v>
      </c>
      <c r="D3372" t="s">
        <v>136</v>
      </c>
      <c r="E3372" t="str">
        <f>"20"</f>
        <v>20</v>
      </c>
      <c r="H3372">
        <v>400</v>
      </c>
      <c r="I3372" t="s">
        <v>137</v>
      </c>
      <c r="J3372" t="s">
        <v>138</v>
      </c>
      <c r="K3372">
        <v>0</v>
      </c>
      <c r="L3372">
        <v>3</v>
      </c>
      <c r="M3372">
        <v>0</v>
      </c>
      <c r="N3372">
        <v>2</v>
      </c>
      <c r="O3372">
        <v>0</v>
      </c>
      <c r="P3372">
        <v>1</v>
      </c>
      <c r="Q3372">
        <v>0</v>
      </c>
      <c r="R3372" t="s">
        <v>127</v>
      </c>
      <c r="S3372" t="str">
        <f t="shared" si="1334"/>
        <v>15:13:53.000</v>
      </c>
      <c r="T3372" t="str">
        <f t="shared" si="1334"/>
        <v>15:13:53.000</v>
      </c>
      <c r="U3372" t="str">
        <f t="shared" si="1319"/>
        <v>A68FCB</v>
      </c>
      <c r="V3372">
        <v>0</v>
      </c>
      <c r="W3372">
        <v>0</v>
      </c>
      <c r="X3372">
        <v>2</v>
      </c>
      <c r="Y3372">
        <v>0</v>
      </c>
      <c r="AA3372">
        <v>1</v>
      </c>
      <c r="AB3372">
        <v>8</v>
      </c>
      <c r="AC3372">
        <v>3</v>
      </c>
      <c r="AD3372">
        <v>0</v>
      </c>
      <c r="AE3372">
        <v>9</v>
      </c>
      <c r="AF3372" t="s">
        <v>138</v>
      </c>
      <c r="AG3372">
        <v>0</v>
      </c>
      <c r="AH3372">
        <v>3</v>
      </c>
      <c r="AI3372">
        <v>2</v>
      </c>
      <c r="AJ3372">
        <v>0</v>
      </c>
      <c r="AK3372" t="s">
        <v>1116</v>
      </c>
      <c r="AL3372">
        <v>39.139631000000001</v>
      </c>
      <c r="AM3372" t="s">
        <v>1107</v>
      </c>
      <c r="AN3372">
        <v>-121.031013</v>
      </c>
      <c r="AO3372">
        <v>25</v>
      </c>
      <c r="AP3372">
        <v>4300</v>
      </c>
      <c r="AQ3372" t="s">
        <v>131</v>
      </c>
      <c r="AR3372">
        <v>-2</v>
      </c>
      <c r="AS3372">
        <v>84</v>
      </c>
      <c r="AT3372">
        <v>-128</v>
      </c>
      <c r="BB3372" t="str">
        <f t="shared" si="1320"/>
        <v>1200</v>
      </c>
      <c r="BC3372">
        <v>1</v>
      </c>
      <c r="BD3372" t="str">
        <f t="shared" si="1321"/>
        <v xml:space="preserve">N52156  </v>
      </c>
      <c r="BE3372">
        <v>1</v>
      </c>
      <c r="BG3372">
        <v>0</v>
      </c>
      <c r="BH3372">
        <v>0</v>
      </c>
      <c r="BI3372">
        <v>0</v>
      </c>
      <c r="BJ3372">
        <v>4350</v>
      </c>
      <c r="BK3372">
        <v>50</v>
      </c>
      <c r="BL3372" t="s">
        <v>188</v>
      </c>
      <c r="BM3372">
        <v>1</v>
      </c>
      <c r="BN3372">
        <v>1</v>
      </c>
      <c r="BO3372">
        <v>0</v>
      </c>
      <c r="BP3372">
        <v>0</v>
      </c>
      <c r="BS3372">
        <v>0</v>
      </c>
      <c r="BT3372">
        <v>0</v>
      </c>
      <c r="BU3372">
        <v>0</v>
      </c>
      <c r="CE3372" t="str">
        <f t="shared" si="1335"/>
        <v>15:13:53.706</v>
      </c>
      <c r="CF3372">
        <v>705811278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3</v>
      </c>
      <c r="CY3372">
        <v>7</v>
      </c>
      <c r="CZ3372" t="s">
        <v>133</v>
      </c>
      <c r="DA3372">
        <v>276</v>
      </c>
      <c r="DB3372">
        <v>0</v>
      </c>
      <c r="DC3372" t="s">
        <v>402</v>
      </c>
      <c r="DD3372" t="s">
        <v>403</v>
      </c>
      <c r="DG3372">
        <v>1628017</v>
      </c>
      <c r="DI3372">
        <v>1</v>
      </c>
      <c r="DJ3372">
        <v>0</v>
      </c>
      <c r="DK3372">
        <v>1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3">
      <c r="A3373" t="str">
        <f>"05/01/2025 15:13:53.952"</f>
        <v>05/01/2025 15:13:53.952</v>
      </c>
      <c r="C3373" t="str">
        <f t="shared" si="1318"/>
        <v>FFDFD3C0</v>
      </c>
      <c r="D3373" t="s">
        <v>143</v>
      </c>
      <c r="E3373" t="str">
        <f>"05"</f>
        <v>05</v>
      </c>
      <c r="H3373">
        <v>172</v>
      </c>
      <c r="I3373" t="s">
        <v>141</v>
      </c>
      <c r="J3373" t="s">
        <v>144</v>
      </c>
      <c r="K3373">
        <v>0</v>
      </c>
      <c r="L3373">
        <v>3</v>
      </c>
      <c r="M3373">
        <v>0</v>
      </c>
      <c r="N3373">
        <v>2</v>
      </c>
      <c r="O3373">
        <v>0</v>
      </c>
      <c r="P3373">
        <v>1</v>
      </c>
      <c r="Q3373">
        <v>0</v>
      </c>
      <c r="R3373" t="s">
        <v>127</v>
      </c>
      <c r="S3373" t="str">
        <f t="shared" si="1334"/>
        <v>15:13:53.000</v>
      </c>
      <c r="T3373" t="str">
        <f t="shared" si="1334"/>
        <v>15:13:53.000</v>
      </c>
      <c r="U3373" t="str">
        <f t="shared" si="1319"/>
        <v>A68FCB</v>
      </c>
      <c r="V3373">
        <v>0</v>
      </c>
      <c r="W3373">
        <v>0</v>
      </c>
      <c r="X3373">
        <v>2</v>
      </c>
      <c r="Y3373">
        <v>0</v>
      </c>
      <c r="AA3373">
        <v>1</v>
      </c>
      <c r="AB3373">
        <v>8</v>
      </c>
      <c r="AC3373">
        <v>3</v>
      </c>
      <c r="AD3373">
        <v>0</v>
      </c>
      <c r="AE3373">
        <v>9</v>
      </c>
      <c r="AF3373" t="s">
        <v>138</v>
      </c>
      <c r="AG3373">
        <v>0</v>
      </c>
      <c r="AH3373">
        <v>3</v>
      </c>
      <c r="AI3373">
        <v>2</v>
      </c>
      <c r="AJ3373">
        <v>0</v>
      </c>
      <c r="AK3373" t="s">
        <v>1116</v>
      </c>
      <c r="AL3373">
        <v>39.139631000000001</v>
      </c>
      <c r="AM3373" t="s">
        <v>1107</v>
      </c>
      <c r="AN3373">
        <v>-121.031013</v>
      </c>
      <c r="AO3373">
        <v>25</v>
      </c>
      <c r="AP3373">
        <v>4300</v>
      </c>
      <c r="AQ3373" t="s">
        <v>131</v>
      </c>
      <c r="AR3373">
        <v>-2</v>
      </c>
      <c r="AS3373">
        <v>84</v>
      </c>
      <c r="AT3373">
        <v>-128</v>
      </c>
      <c r="BB3373" t="str">
        <f t="shared" si="1320"/>
        <v>1200</v>
      </c>
      <c r="BC3373">
        <v>1</v>
      </c>
      <c r="BD3373" t="str">
        <f t="shared" si="1321"/>
        <v xml:space="preserve">N52156  </v>
      </c>
      <c r="BE3373">
        <v>1</v>
      </c>
      <c r="BG3373">
        <v>0</v>
      </c>
      <c r="BH3373">
        <v>0</v>
      </c>
      <c r="BI3373">
        <v>0</v>
      </c>
      <c r="BJ3373">
        <v>4350</v>
      </c>
      <c r="BK3373">
        <v>50</v>
      </c>
      <c r="BL3373" t="s">
        <v>188</v>
      </c>
      <c r="BM3373">
        <v>1</v>
      </c>
      <c r="BN3373">
        <v>1</v>
      </c>
      <c r="BO3373">
        <v>0</v>
      </c>
      <c r="BP3373">
        <v>0</v>
      </c>
      <c r="BS3373">
        <v>0</v>
      </c>
      <c r="BT3373">
        <v>0</v>
      </c>
      <c r="BU3373">
        <v>0</v>
      </c>
      <c r="CE3373" t="str">
        <f t="shared" si="1335"/>
        <v>15:13:53.706</v>
      </c>
      <c r="CF3373">
        <v>705811278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3</v>
      </c>
      <c r="CY3373">
        <v>7</v>
      </c>
      <c r="CZ3373" t="s">
        <v>133</v>
      </c>
      <c r="DA3373">
        <v>276</v>
      </c>
      <c r="DB3373">
        <v>0</v>
      </c>
      <c r="DC3373" t="s">
        <v>402</v>
      </c>
      <c r="DD3373" t="s">
        <v>403</v>
      </c>
      <c r="DG3373">
        <v>1628017</v>
      </c>
      <c r="DI3373">
        <v>1</v>
      </c>
      <c r="DJ3373">
        <v>0</v>
      </c>
      <c r="DK3373">
        <v>1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3">
      <c r="A3374" t="str">
        <f>"05/01/2025 15:13:54.840"</f>
        <v>05/01/2025 15:13:54.840</v>
      </c>
      <c r="C3374" t="str">
        <f t="shared" si="1318"/>
        <v>FFDFD3C0</v>
      </c>
      <c r="D3374" t="s">
        <v>136</v>
      </c>
      <c r="E3374" t="str">
        <f>"20"</f>
        <v>20</v>
      </c>
      <c r="H3374">
        <v>400</v>
      </c>
      <c r="I3374" t="s">
        <v>137</v>
      </c>
      <c r="J3374" t="s">
        <v>138</v>
      </c>
      <c r="K3374">
        <v>0</v>
      </c>
      <c r="L3374">
        <v>3</v>
      </c>
      <c r="M3374">
        <v>0</v>
      </c>
      <c r="N3374">
        <v>2</v>
      </c>
      <c r="O3374">
        <v>0</v>
      </c>
      <c r="P3374">
        <v>1</v>
      </c>
      <c r="Q3374">
        <v>0</v>
      </c>
      <c r="R3374" t="s">
        <v>127</v>
      </c>
      <c r="S3374" t="str">
        <f t="shared" ref="S3374:T3379" si="1336">"15:13:54.000"</f>
        <v>15:13:54.000</v>
      </c>
      <c r="T3374" t="str">
        <f t="shared" si="1336"/>
        <v>15:13:54.000</v>
      </c>
      <c r="U3374" t="str">
        <f t="shared" si="1319"/>
        <v>A68FCB</v>
      </c>
      <c r="V3374">
        <v>0</v>
      </c>
      <c r="W3374">
        <v>0</v>
      </c>
      <c r="X3374">
        <v>2</v>
      </c>
      <c r="Y3374">
        <v>0</v>
      </c>
      <c r="AA3374">
        <v>1</v>
      </c>
      <c r="AB3374">
        <v>8</v>
      </c>
      <c r="AC3374">
        <v>3</v>
      </c>
      <c r="AD3374">
        <v>0</v>
      </c>
      <c r="AE3374">
        <v>9</v>
      </c>
      <c r="AF3374" t="s">
        <v>138</v>
      </c>
      <c r="AG3374">
        <v>0</v>
      </c>
      <c r="AH3374">
        <v>3</v>
      </c>
      <c r="AI3374">
        <v>2</v>
      </c>
      <c r="AJ3374">
        <v>0</v>
      </c>
      <c r="AK3374" t="s">
        <v>1117</v>
      </c>
      <c r="AL3374">
        <v>39.140017</v>
      </c>
      <c r="AM3374" t="s">
        <v>1104</v>
      </c>
      <c r="AN3374">
        <v>-121.03103400000001</v>
      </c>
      <c r="AO3374">
        <v>25</v>
      </c>
      <c r="AP3374">
        <v>4300</v>
      </c>
      <c r="AQ3374" t="s">
        <v>131</v>
      </c>
      <c r="AR3374">
        <v>-2</v>
      </c>
      <c r="AS3374">
        <v>84</v>
      </c>
      <c r="AT3374">
        <v>-128</v>
      </c>
      <c r="BB3374" t="str">
        <f t="shared" si="1320"/>
        <v>1200</v>
      </c>
      <c r="BC3374">
        <v>1</v>
      </c>
      <c r="BD3374" t="str">
        <f t="shared" si="1321"/>
        <v xml:space="preserve">N52156  </v>
      </c>
      <c r="BE3374">
        <v>1</v>
      </c>
      <c r="BG3374">
        <v>0</v>
      </c>
      <c r="BH3374">
        <v>0</v>
      </c>
      <c r="BI3374">
        <v>0</v>
      </c>
      <c r="BJ3374">
        <v>4350</v>
      </c>
      <c r="BK3374">
        <v>50</v>
      </c>
      <c r="BL3374" t="s">
        <v>188</v>
      </c>
      <c r="BM3374">
        <v>1</v>
      </c>
      <c r="BN3374">
        <v>1</v>
      </c>
      <c r="BO3374">
        <v>0</v>
      </c>
      <c r="BP3374">
        <v>0</v>
      </c>
      <c r="BS3374">
        <v>0</v>
      </c>
      <c r="BT3374">
        <v>0</v>
      </c>
      <c r="BU3374">
        <v>0</v>
      </c>
      <c r="CE3374" t="str">
        <f t="shared" ref="CE3374:CE3379" si="1337">"15:13:54.640"</f>
        <v>15:13:54.640</v>
      </c>
      <c r="CF3374">
        <v>640061251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3</v>
      </c>
      <c r="CY3374">
        <v>7</v>
      </c>
      <c r="CZ3374" t="s">
        <v>133</v>
      </c>
      <c r="DA3374">
        <v>276</v>
      </c>
      <c r="DB3374">
        <v>0</v>
      </c>
      <c r="DC3374" t="s">
        <v>402</v>
      </c>
      <c r="DD3374" t="s">
        <v>403</v>
      </c>
      <c r="DG3374">
        <v>1628021</v>
      </c>
      <c r="DI3374">
        <v>1</v>
      </c>
      <c r="DJ3374">
        <v>0</v>
      </c>
      <c r="DK3374">
        <v>0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3">
      <c r="A3375" t="str">
        <f>"05/01/2025 15:13:54.854"</f>
        <v>05/01/2025 15:13:54.854</v>
      </c>
      <c r="C3375" t="str">
        <f t="shared" si="1318"/>
        <v>FFDFD3C0</v>
      </c>
      <c r="D3375" t="s">
        <v>143</v>
      </c>
      <c r="E3375" t="str">
        <f>"05"</f>
        <v>05</v>
      </c>
      <c r="H3375">
        <v>172</v>
      </c>
      <c r="I3375" t="s">
        <v>141</v>
      </c>
      <c r="J3375" t="s">
        <v>144</v>
      </c>
      <c r="K3375">
        <v>0</v>
      </c>
      <c r="L3375">
        <v>3</v>
      </c>
      <c r="M3375">
        <v>0</v>
      </c>
      <c r="N3375">
        <v>2</v>
      </c>
      <c r="O3375">
        <v>0</v>
      </c>
      <c r="P3375">
        <v>1</v>
      </c>
      <c r="Q3375">
        <v>0</v>
      </c>
      <c r="R3375" t="s">
        <v>127</v>
      </c>
      <c r="S3375" t="str">
        <f t="shared" si="1336"/>
        <v>15:13:54.000</v>
      </c>
      <c r="T3375" t="str">
        <f t="shared" si="1336"/>
        <v>15:13:54.000</v>
      </c>
      <c r="U3375" t="str">
        <f t="shared" si="1319"/>
        <v>A68FCB</v>
      </c>
      <c r="V3375">
        <v>0</v>
      </c>
      <c r="W3375">
        <v>0</v>
      </c>
      <c r="X3375">
        <v>2</v>
      </c>
      <c r="Y3375">
        <v>0</v>
      </c>
      <c r="AA3375">
        <v>1</v>
      </c>
      <c r="AB3375">
        <v>8</v>
      </c>
      <c r="AC3375">
        <v>3</v>
      </c>
      <c r="AD3375">
        <v>0</v>
      </c>
      <c r="AE3375">
        <v>9</v>
      </c>
      <c r="AF3375" t="s">
        <v>138</v>
      </c>
      <c r="AG3375">
        <v>0</v>
      </c>
      <c r="AH3375">
        <v>3</v>
      </c>
      <c r="AI3375">
        <v>2</v>
      </c>
      <c r="AJ3375">
        <v>0</v>
      </c>
      <c r="AK3375" t="s">
        <v>1117</v>
      </c>
      <c r="AL3375">
        <v>39.140017</v>
      </c>
      <c r="AM3375" t="s">
        <v>1104</v>
      </c>
      <c r="AN3375">
        <v>-121.03103400000001</v>
      </c>
      <c r="AO3375">
        <v>25</v>
      </c>
      <c r="AP3375">
        <v>4300</v>
      </c>
      <c r="AQ3375" t="s">
        <v>131</v>
      </c>
      <c r="AR3375">
        <v>-2</v>
      </c>
      <c r="AS3375">
        <v>84</v>
      </c>
      <c r="AT3375">
        <v>-128</v>
      </c>
      <c r="BB3375" t="str">
        <f t="shared" si="1320"/>
        <v>1200</v>
      </c>
      <c r="BC3375">
        <v>1</v>
      </c>
      <c r="BD3375" t="str">
        <f t="shared" si="1321"/>
        <v xml:space="preserve">N52156  </v>
      </c>
      <c r="BE3375">
        <v>1</v>
      </c>
      <c r="BG3375">
        <v>0</v>
      </c>
      <c r="BH3375">
        <v>0</v>
      </c>
      <c r="BI3375">
        <v>0</v>
      </c>
      <c r="BJ3375">
        <v>4350</v>
      </c>
      <c r="BK3375">
        <v>50</v>
      </c>
      <c r="BL3375" t="s">
        <v>188</v>
      </c>
      <c r="BM3375">
        <v>1</v>
      </c>
      <c r="BN3375">
        <v>1</v>
      </c>
      <c r="BO3375">
        <v>0</v>
      </c>
      <c r="BP3375">
        <v>0</v>
      </c>
      <c r="BS3375">
        <v>0</v>
      </c>
      <c r="BT3375">
        <v>0</v>
      </c>
      <c r="BU3375">
        <v>0</v>
      </c>
      <c r="CE3375" t="str">
        <f t="shared" si="1337"/>
        <v>15:13:54.640</v>
      </c>
      <c r="CF3375">
        <v>640061251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3</v>
      </c>
      <c r="CY3375">
        <v>7</v>
      </c>
      <c r="CZ3375" t="s">
        <v>133</v>
      </c>
      <c r="DA3375">
        <v>276</v>
      </c>
      <c r="DB3375">
        <v>0</v>
      </c>
      <c r="DC3375" t="s">
        <v>402</v>
      </c>
      <c r="DD3375" t="s">
        <v>403</v>
      </c>
      <c r="DG3375">
        <v>1628021</v>
      </c>
      <c r="DI3375">
        <v>1</v>
      </c>
      <c r="DJ3375">
        <v>0</v>
      </c>
      <c r="DK3375">
        <v>1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3">
      <c r="A3376" t="str">
        <f>"05/01/2025 15:13:54.865"</f>
        <v>05/01/2025 15:13:54.865</v>
      </c>
      <c r="C3376" t="str">
        <f t="shared" si="1318"/>
        <v>FFDFD3C0</v>
      </c>
      <c r="D3376" t="s">
        <v>124</v>
      </c>
      <c r="E3376" t="str">
        <f>"06"</f>
        <v>06</v>
      </c>
      <c r="F3376">
        <v>2006</v>
      </c>
      <c r="G3376" t="s">
        <v>125</v>
      </c>
      <c r="J3376" t="s">
        <v>126</v>
      </c>
      <c r="K3376">
        <v>0</v>
      </c>
      <c r="L3376">
        <v>3</v>
      </c>
      <c r="M3376">
        <v>0</v>
      </c>
      <c r="N3376">
        <v>2</v>
      </c>
      <c r="O3376">
        <v>0</v>
      </c>
      <c r="P3376">
        <v>1</v>
      </c>
      <c r="Q3376">
        <v>0</v>
      </c>
      <c r="R3376" t="s">
        <v>127</v>
      </c>
      <c r="S3376" t="str">
        <f t="shared" si="1336"/>
        <v>15:13:54.000</v>
      </c>
      <c r="T3376" t="str">
        <f t="shared" si="1336"/>
        <v>15:13:54.000</v>
      </c>
      <c r="U3376" t="str">
        <f t="shared" si="1319"/>
        <v>A68FCB</v>
      </c>
      <c r="V3376">
        <v>0</v>
      </c>
      <c r="W3376">
        <v>0</v>
      </c>
      <c r="X3376">
        <v>2</v>
      </c>
      <c r="Y3376">
        <v>0</v>
      </c>
      <c r="AA3376">
        <v>1</v>
      </c>
      <c r="AB3376">
        <v>8</v>
      </c>
      <c r="AC3376">
        <v>3</v>
      </c>
      <c r="AD3376">
        <v>0</v>
      </c>
      <c r="AE3376">
        <v>9</v>
      </c>
      <c r="AF3376" t="s">
        <v>138</v>
      </c>
      <c r="AG3376">
        <v>0</v>
      </c>
      <c r="AH3376">
        <v>3</v>
      </c>
      <c r="AI3376">
        <v>2</v>
      </c>
      <c r="AJ3376">
        <v>0</v>
      </c>
      <c r="AK3376" t="s">
        <v>1117</v>
      </c>
      <c r="AL3376">
        <v>39.140017</v>
      </c>
      <c r="AM3376" t="s">
        <v>1104</v>
      </c>
      <c r="AN3376">
        <v>-121.03103400000001</v>
      </c>
      <c r="AO3376">
        <v>25</v>
      </c>
      <c r="AP3376">
        <v>4300</v>
      </c>
      <c r="AQ3376" t="s">
        <v>131</v>
      </c>
      <c r="AR3376">
        <v>-2</v>
      </c>
      <c r="AS3376">
        <v>84</v>
      </c>
      <c r="AT3376">
        <v>-128</v>
      </c>
      <c r="BB3376" t="str">
        <f t="shared" si="1320"/>
        <v>1200</v>
      </c>
      <c r="BC3376">
        <v>1</v>
      </c>
      <c r="BD3376" t="str">
        <f t="shared" si="1321"/>
        <v xml:space="preserve">N52156  </v>
      </c>
      <c r="BE3376">
        <v>1</v>
      </c>
      <c r="BG3376">
        <v>0</v>
      </c>
      <c r="BH3376">
        <v>0</v>
      </c>
      <c r="BI3376">
        <v>0</v>
      </c>
      <c r="BJ3376">
        <v>4350</v>
      </c>
      <c r="BK3376">
        <v>50</v>
      </c>
      <c r="BL3376" t="s">
        <v>188</v>
      </c>
      <c r="BM3376">
        <v>1</v>
      </c>
      <c r="BN3376">
        <v>1</v>
      </c>
      <c r="BO3376">
        <v>0</v>
      </c>
      <c r="BP3376">
        <v>0</v>
      </c>
      <c r="BS3376">
        <v>0</v>
      </c>
      <c r="BT3376">
        <v>0</v>
      </c>
      <c r="BU3376">
        <v>0</v>
      </c>
      <c r="CE3376" t="str">
        <f t="shared" si="1337"/>
        <v>15:13:54.640</v>
      </c>
      <c r="CF3376">
        <v>640061251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3</v>
      </c>
      <c r="CY3376">
        <v>7</v>
      </c>
      <c r="CZ3376" t="s">
        <v>133</v>
      </c>
      <c r="DA3376">
        <v>276</v>
      </c>
      <c r="DB3376">
        <v>0</v>
      </c>
      <c r="DC3376" t="s">
        <v>402</v>
      </c>
      <c r="DD3376" t="s">
        <v>403</v>
      </c>
      <c r="DG3376">
        <v>1628021</v>
      </c>
      <c r="DI3376">
        <v>1</v>
      </c>
      <c r="DJ3376">
        <v>0</v>
      </c>
      <c r="DK3376">
        <v>1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3">
      <c r="A3377" t="str">
        <f>"05/01/2025 15:13:54.865"</f>
        <v>05/01/2025 15:13:54.865</v>
      </c>
      <c r="C3377" t="str">
        <f t="shared" si="1318"/>
        <v>FFDFD3C0</v>
      </c>
      <c r="D3377" t="s">
        <v>140</v>
      </c>
      <c r="E3377" t="str">
        <f>"13"</f>
        <v>13</v>
      </c>
      <c r="F3377">
        <v>1019</v>
      </c>
      <c r="G3377" t="s">
        <v>141</v>
      </c>
      <c r="J3377" t="s">
        <v>142</v>
      </c>
      <c r="K3377">
        <v>0</v>
      </c>
      <c r="L3377">
        <v>3</v>
      </c>
      <c r="M3377">
        <v>0</v>
      </c>
      <c r="N3377">
        <v>2</v>
      </c>
      <c r="O3377">
        <v>0</v>
      </c>
      <c r="P3377">
        <v>1</v>
      </c>
      <c r="Q3377">
        <v>0</v>
      </c>
      <c r="R3377" t="s">
        <v>127</v>
      </c>
      <c r="S3377" t="str">
        <f t="shared" si="1336"/>
        <v>15:13:54.000</v>
      </c>
      <c r="T3377" t="str">
        <f t="shared" si="1336"/>
        <v>15:13:54.000</v>
      </c>
      <c r="U3377" t="str">
        <f t="shared" si="1319"/>
        <v>A68FCB</v>
      </c>
      <c r="V3377">
        <v>0</v>
      </c>
      <c r="W3377">
        <v>0</v>
      </c>
      <c r="X3377">
        <v>2</v>
      </c>
      <c r="Y3377">
        <v>0</v>
      </c>
      <c r="AA3377">
        <v>1</v>
      </c>
      <c r="AB3377">
        <v>8</v>
      </c>
      <c r="AC3377">
        <v>3</v>
      </c>
      <c r="AD3377">
        <v>0</v>
      </c>
      <c r="AE3377">
        <v>9</v>
      </c>
      <c r="AF3377" t="s">
        <v>138</v>
      </c>
      <c r="AG3377">
        <v>0</v>
      </c>
      <c r="AH3377">
        <v>3</v>
      </c>
      <c r="AI3377">
        <v>2</v>
      </c>
      <c r="AJ3377">
        <v>0</v>
      </c>
      <c r="AK3377" t="s">
        <v>1117</v>
      </c>
      <c r="AL3377">
        <v>39.140017</v>
      </c>
      <c r="AM3377" t="s">
        <v>1104</v>
      </c>
      <c r="AN3377">
        <v>-121.03103400000001</v>
      </c>
      <c r="AO3377">
        <v>25</v>
      </c>
      <c r="AP3377">
        <v>4300</v>
      </c>
      <c r="AQ3377" t="s">
        <v>131</v>
      </c>
      <c r="AR3377">
        <v>-2</v>
      </c>
      <c r="AS3377">
        <v>84</v>
      </c>
      <c r="AT3377">
        <v>-128</v>
      </c>
      <c r="BB3377" t="str">
        <f t="shared" si="1320"/>
        <v>1200</v>
      </c>
      <c r="BC3377">
        <v>1</v>
      </c>
      <c r="BD3377" t="str">
        <f t="shared" si="1321"/>
        <v xml:space="preserve">N52156  </v>
      </c>
      <c r="BE3377">
        <v>1</v>
      </c>
      <c r="BG3377">
        <v>0</v>
      </c>
      <c r="BH3377">
        <v>0</v>
      </c>
      <c r="BI3377">
        <v>0</v>
      </c>
      <c r="BJ3377">
        <v>4350</v>
      </c>
      <c r="BK3377">
        <v>50</v>
      </c>
      <c r="BL3377" t="s">
        <v>188</v>
      </c>
      <c r="BM3377">
        <v>1</v>
      </c>
      <c r="BN3377">
        <v>1</v>
      </c>
      <c r="BO3377">
        <v>0</v>
      </c>
      <c r="BP3377">
        <v>0</v>
      </c>
      <c r="BS3377">
        <v>0</v>
      </c>
      <c r="BT3377">
        <v>0</v>
      </c>
      <c r="BU3377">
        <v>0</v>
      </c>
      <c r="CE3377" t="str">
        <f t="shared" si="1337"/>
        <v>15:13:54.640</v>
      </c>
      <c r="CF3377">
        <v>640061251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3</v>
      </c>
      <c r="CY3377">
        <v>7</v>
      </c>
      <c r="CZ3377" t="s">
        <v>133</v>
      </c>
      <c r="DA3377">
        <v>276</v>
      </c>
      <c r="DB3377">
        <v>0</v>
      </c>
      <c r="DC3377" t="s">
        <v>402</v>
      </c>
      <c r="DD3377" t="s">
        <v>403</v>
      </c>
      <c r="DG3377">
        <v>1628021</v>
      </c>
      <c r="DI3377">
        <v>1</v>
      </c>
      <c r="DJ3377">
        <v>0</v>
      </c>
      <c r="DK3377">
        <v>1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3">
      <c r="A3378" t="str">
        <f>"05/01/2025 15:13:54.878"</f>
        <v>05/01/2025 15:13:54.878</v>
      </c>
      <c r="C3378" t="str">
        <f t="shared" si="1318"/>
        <v>FFDFD3C0</v>
      </c>
      <c r="D3378" t="s">
        <v>145</v>
      </c>
      <c r="E3378" t="str">
        <f>"09"</f>
        <v>09</v>
      </c>
      <c r="H3378">
        <v>51</v>
      </c>
      <c r="I3378" t="s">
        <v>147</v>
      </c>
      <c r="J3378" t="s">
        <v>138</v>
      </c>
      <c r="K3378">
        <v>0</v>
      </c>
      <c r="L3378">
        <v>3</v>
      </c>
      <c r="M3378">
        <v>0</v>
      </c>
      <c r="N3378">
        <v>2</v>
      </c>
      <c r="O3378">
        <v>0</v>
      </c>
      <c r="P3378">
        <v>1</v>
      </c>
      <c r="Q3378">
        <v>0</v>
      </c>
      <c r="R3378" t="s">
        <v>127</v>
      </c>
      <c r="S3378" t="str">
        <f t="shared" si="1336"/>
        <v>15:13:54.000</v>
      </c>
      <c r="T3378" t="str">
        <f t="shared" si="1336"/>
        <v>15:13:54.000</v>
      </c>
      <c r="U3378" t="str">
        <f t="shared" si="1319"/>
        <v>A68FCB</v>
      </c>
      <c r="V3378">
        <v>0</v>
      </c>
      <c r="W3378">
        <v>0</v>
      </c>
      <c r="X3378">
        <v>2</v>
      </c>
      <c r="Y3378">
        <v>0</v>
      </c>
      <c r="AA3378">
        <v>1</v>
      </c>
      <c r="AB3378">
        <v>8</v>
      </c>
      <c r="AC3378">
        <v>3</v>
      </c>
      <c r="AD3378">
        <v>0</v>
      </c>
      <c r="AE3378">
        <v>9</v>
      </c>
      <c r="AF3378" t="s">
        <v>138</v>
      </c>
      <c r="AG3378">
        <v>0</v>
      </c>
      <c r="AH3378">
        <v>3</v>
      </c>
      <c r="AI3378">
        <v>2</v>
      </c>
      <c r="AJ3378">
        <v>0</v>
      </c>
      <c r="AK3378" t="s">
        <v>1117</v>
      </c>
      <c r="AL3378">
        <v>39.140017</v>
      </c>
      <c r="AM3378" t="s">
        <v>1104</v>
      </c>
      <c r="AN3378">
        <v>-121.03103400000001</v>
      </c>
      <c r="AO3378">
        <v>25</v>
      </c>
      <c r="AP3378">
        <v>4300</v>
      </c>
      <c r="AQ3378" t="s">
        <v>131</v>
      </c>
      <c r="AR3378">
        <v>-2</v>
      </c>
      <c r="AS3378">
        <v>84</v>
      </c>
      <c r="AT3378">
        <v>-128</v>
      </c>
      <c r="BB3378" t="str">
        <f t="shared" si="1320"/>
        <v>1200</v>
      </c>
      <c r="BC3378">
        <v>1</v>
      </c>
      <c r="BD3378" t="str">
        <f t="shared" si="1321"/>
        <v xml:space="preserve">N52156  </v>
      </c>
      <c r="BE3378">
        <v>1</v>
      </c>
      <c r="BG3378">
        <v>0</v>
      </c>
      <c r="BH3378">
        <v>0</v>
      </c>
      <c r="BI3378">
        <v>0</v>
      </c>
      <c r="BJ3378">
        <v>4350</v>
      </c>
      <c r="BK3378">
        <v>50</v>
      </c>
      <c r="BL3378" t="s">
        <v>188</v>
      </c>
      <c r="BM3378">
        <v>1</v>
      </c>
      <c r="BN3378">
        <v>1</v>
      </c>
      <c r="BO3378">
        <v>0</v>
      </c>
      <c r="BP3378">
        <v>0</v>
      </c>
      <c r="BS3378">
        <v>0</v>
      </c>
      <c r="BT3378">
        <v>0</v>
      </c>
      <c r="BU3378">
        <v>0</v>
      </c>
      <c r="CE3378" t="str">
        <f t="shared" si="1337"/>
        <v>15:13:54.640</v>
      </c>
      <c r="CF3378">
        <v>640061251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3</v>
      </c>
      <c r="CY3378">
        <v>7</v>
      </c>
      <c r="CZ3378" t="s">
        <v>133</v>
      </c>
      <c r="DA3378">
        <v>276</v>
      </c>
      <c r="DB3378">
        <v>0</v>
      </c>
      <c r="DC3378" t="s">
        <v>402</v>
      </c>
      <c r="DD3378" t="s">
        <v>403</v>
      </c>
      <c r="DG3378">
        <v>1628021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3">
      <c r="A3379" t="str">
        <f>"05/01/2025 15:13:54.879"</f>
        <v>05/01/2025 15:13:54.879</v>
      </c>
      <c r="C3379" t="str">
        <f t="shared" si="1318"/>
        <v>FFDFD3C0</v>
      </c>
      <c r="D3379" t="s">
        <v>145</v>
      </c>
      <c r="E3379" t="str">
        <f>"05"</f>
        <v>05</v>
      </c>
      <c r="H3379">
        <v>47</v>
      </c>
      <c r="I3379" t="s">
        <v>146</v>
      </c>
      <c r="J3379" t="s">
        <v>138</v>
      </c>
      <c r="K3379">
        <v>0</v>
      </c>
      <c r="L3379">
        <v>3</v>
      </c>
      <c r="M3379">
        <v>0</v>
      </c>
      <c r="N3379">
        <v>2</v>
      </c>
      <c r="O3379">
        <v>0</v>
      </c>
      <c r="P3379">
        <v>1</v>
      </c>
      <c r="Q3379">
        <v>0</v>
      </c>
      <c r="R3379" t="s">
        <v>127</v>
      </c>
      <c r="S3379" t="str">
        <f t="shared" si="1336"/>
        <v>15:13:54.000</v>
      </c>
      <c r="T3379" t="str">
        <f t="shared" si="1336"/>
        <v>15:13:54.000</v>
      </c>
      <c r="U3379" t="str">
        <f t="shared" si="1319"/>
        <v>A68FCB</v>
      </c>
      <c r="V3379">
        <v>0</v>
      </c>
      <c r="W3379">
        <v>0</v>
      </c>
      <c r="X3379">
        <v>2</v>
      </c>
      <c r="Y3379">
        <v>0</v>
      </c>
      <c r="AA3379">
        <v>1</v>
      </c>
      <c r="AB3379">
        <v>8</v>
      </c>
      <c r="AC3379">
        <v>3</v>
      </c>
      <c r="AD3379">
        <v>0</v>
      </c>
      <c r="AE3379">
        <v>9</v>
      </c>
      <c r="AF3379" t="s">
        <v>138</v>
      </c>
      <c r="AG3379">
        <v>0</v>
      </c>
      <c r="AH3379">
        <v>3</v>
      </c>
      <c r="AI3379">
        <v>2</v>
      </c>
      <c r="AJ3379">
        <v>0</v>
      </c>
      <c r="AK3379" t="s">
        <v>1117</v>
      </c>
      <c r="AL3379">
        <v>39.140017</v>
      </c>
      <c r="AM3379" t="s">
        <v>1104</v>
      </c>
      <c r="AN3379">
        <v>-121.03103400000001</v>
      </c>
      <c r="AO3379">
        <v>25</v>
      </c>
      <c r="AP3379">
        <v>4300</v>
      </c>
      <c r="AQ3379" t="s">
        <v>131</v>
      </c>
      <c r="AR3379">
        <v>-2</v>
      </c>
      <c r="AS3379">
        <v>84</v>
      </c>
      <c r="AT3379">
        <v>-128</v>
      </c>
      <c r="BB3379" t="str">
        <f t="shared" si="1320"/>
        <v>1200</v>
      </c>
      <c r="BC3379">
        <v>1</v>
      </c>
      <c r="BD3379" t="str">
        <f t="shared" si="1321"/>
        <v xml:space="preserve">N52156  </v>
      </c>
      <c r="BE3379">
        <v>1</v>
      </c>
      <c r="BG3379">
        <v>0</v>
      </c>
      <c r="BH3379">
        <v>0</v>
      </c>
      <c r="BI3379">
        <v>0</v>
      </c>
      <c r="BJ3379">
        <v>4350</v>
      </c>
      <c r="BK3379">
        <v>50</v>
      </c>
      <c r="BL3379" t="s">
        <v>188</v>
      </c>
      <c r="BM3379">
        <v>1</v>
      </c>
      <c r="BN3379">
        <v>1</v>
      </c>
      <c r="BO3379">
        <v>0</v>
      </c>
      <c r="BP3379">
        <v>0</v>
      </c>
      <c r="BS3379">
        <v>0</v>
      </c>
      <c r="BT3379">
        <v>0</v>
      </c>
      <c r="BU3379">
        <v>0</v>
      </c>
      <c r="CE3379" t="str">
        <f t="shared" si="1337"/>
        <v>15:13:54.640</v>
      </c>
      <c r="CF3379">
        <v>640061251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3</v>
      </c>
      <c r="CY3379">
        <v>7</v>
      </c>
      <c r="CZ3379" t="s">
        <v>133</v>
      </c>
      <c r="DA3379">
        <v>276</v>
      </c>
      <c r="DB3379">
        <v>0</v>
      </c>
      <c r="DC3379" t="s">
        <v>402</v>
      </c>
      <c r="DD3379" t="s">
        <v>403</v>
      </c>
      <c r="DG3379">
        <v>1628021</v>
      </c>
      <c r="DI3379">
        <v>1</v>
      </c>
      <c r="DJ3379">
        <v>0</v>
      </c>
      <c r="DK3379">
        <v>1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3">
      <c r="A3380" t="str">
        <f>"05/01/2025 15:13:55.817"</f>
        <v>05/01/2025 15:13:55.817</v>
      </c>
      <c r="C3380" t="str">
        <f t="shared" si="1318"/>
        <v>FFDFD3C0</v>
      </c>
      <c r="D3380" t="s">
        <v>140</v>
      </c>
      <c r="E3380" t="str">
        <f>"13"</f>
        <v>13</v>
      </c>
      <c r="F3380">
        <v>1019</v>
      </c>
      <c r="G3380" t="s">
        <v>141</v>
      </c>
      <c r="J3380" t="s">
        <v>142</v>
      </c>
      <c r="K3380">
        <v>0</v>
      </c>
      <c r="L3380">
        <v>3</v>
      </c>
      <c r="M3380">
        <v>0</v>
      </c>
      <c r="N3380">
        <v>2</v>
      </c>
      <c r="O3380">
        <v>0</v>
      </c>
      <c r="P3380">
        <v>1</v>
      </c>
      <c r="Q3380">
        <v>0</v>
      </c>
      <c r="R3380" t="s">
        <v>127</v>
      </c>
      <c r="S3380" t="str">
        <f t="shared" ref="S3380:T3385" si="1338">"15:13:55.000"</f>
        <v>15:13:55.000</v>
      </c>
      <c r="T3380" t="str">
        <f t="shared" si="1338"/>
        <v>15:13:55.000</v>
      </c>
      <c r="U3380" t="str">
        <f t="shared" si="1319"/>
        <v>A68FCB</v>
      </c>
      <c r="V3380">
        <v>0</v>
      </c>
      <c r="W3380">
        <v>0</v>
      </c>
      <c r="X3380">
        <v>2</v>
      </c>
      <c r="Y3380">
        <v>0</v>
      </c>
      <c r="AA3380">
        <v>1</v>
      </c>
      <c r="AB3380">
        <v>8</v>
      </c>
      <c r="AC3380">
        <v>3</v>
      </c>
      <c r="AD3380">
        <v>0</v>
      </c>
      <c r="AE3380">
        <v>9</v>
      </c>
      <c r="AF3380" t="s">
        <v>138</v>
      </c>
      <c r="AG3380">
        <v>0</v>
      </c>
      <c r="AH3380">
        <v>3</v>
      </c>
      <c r="AI3380">
        <v>2</v>
      </c>
      <c r="AJ3380">
        <v>0</v>
      </c>
      <c r="AK3380" t="s">
        <v>1118</v>
      </c>
      <c r="AL3380">
        <v>39.140402999999999</v>
      </c>
      <c r="AM3380" t="s">
        <v>1104</v>
      </c>
      <c r="AN3380">
        <v>-121.03103400000001</v>
      </c>
      <c r="AO3380">
        <v>25</v>
      </c>
      <c r="AP3380">
        <v>4300</v>
      </c>
      <c r="AQ3380" t="s">
        <v>131</v>
      </c>
      <c r="AR3380">
        <v>-3</v>
      </c>
      <c r="AS3380">
        <v>85</v>
      </c>
      <c r="AT3380">
        <v>-192</v>
      </c>
      <c r="BB3380" t="str">
        <f t="shared" si="1320"/>
        <v>1200</v>
      </c>
      <c r="BC3380">
        <v>1</v>
      </c>
      <c r="BD3380" t="str">
        <f t="shared" si="1321"/>
        <v xml:space="preserve">N52156  </v>
      </c>
      <c r="BE3380">
        <v>1</v>
      </c>
      <c r="BG3380">
        <v>0</v>
      </c>
      <c r="BH3380">
        <v>0</v>
      </c>
      <c r="BI3380">
        <v>0</v>
      </c>
      <c r="BJ3380">
        <v>4350</v>
      </c>
      <c r="BK3380">
        <v>50</v>
      </c>
      <c r="BL3380" t="s">
        <v>188</v>
      </c>
      <c r="BM3380">
        <v>1</v>
      </c>
      <c r="BN3380">
        <v>1</v>
      </c>
      <c r="BO3380">
        <v>0</v>
      </c>
      <c r="BP3380">
        <v>0</v>
      </c>
      <c r="BS3380">
        <v>0</v>
      </c>
      <c r="BT3380">
        <v>0</v>
      </c>
      <c r="BU3380">
        <v>0</v>
      </c>
      <c r="CE3380" t="str">
        <f t="shared" ref="CE3380:CE3385" si="1339">"15:13:55.598"</f>
        <v>15:13:55.598</v>
      </c>
      <c r="CF3380">
        <v>598311484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2</v>
      </c>
      <c r="CY3380">
        <v>7</v>
      </c>
      <c r="CZ3380" t="s">
        <v>133</v>
      </c>
      <c r="DA3380">
        <v>276</v>
      </c>
      <c r="DB3380">
        <v>0</v>
      </c>
      <c r="DC3380" t="s">
        <v>402</v>
      </c>
      <c r="DD3380" t="s">
        <v>403</v>
      </c>
      <c r="DG3380">
        <v>1628024</v>
      </c>
      <c r="DI3380">
        <v>1</v>
      </c>
      <c r="DJ3380">
        <v>0</v>
      </c>
      <c r="DK3380">
        <v>0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3">
      <c r="A3381" t="str">
        <f>"05/01/2025 15:13:55.817"</f>
        <v>05/01/2025 15:13:55.817</v>
      </c>
      <c r="C3381" t="str">
        <f t="shared" si="1318"/>
        <v>FFDFD3C0</v>
      </c>
      <c r="D3381" t="s">
        <v>124</v>
      </c>
      <c r="E3381" t="str">
        <f>"06"</f>
        <v>06</v>
      </c>
      <c r="F3381">
        <v>2006</v>
      </c>
      <c r="G3381" t="s">
        <v>125</v>
      </c>
      <c r="J3381" t="s">
        <v>126</v>
      </c>
      <c r="K3381">
        <v>0</v>
      </c>
      <c r="L3381">
        <v>3</v>
      </c>
      <c r="M3381">
        <v>0</v>
      </c>
      <c r="N3381">
        <v>2</v>
      </c>
      <c r="O3381">
        <v>0</v>
      </c>
      <c r="P3381">
        <v>1</v>
      </c>
      <c r="Q3381">
        <v>0</v>
      </c>
      <c r="R3381" t="s">
        <v>127</v>
      </c>
      <c r="S3381" t="str">
        <f t="shared" si="1338"/>
        <v>15:13:55.000</v>
      </c>
      <c r="T3381" t="str">
        <f t="shared" si="1338"/>
        <v>15:13:55.000</v>
      </c>
      <c r="U3381" t="str">
        <f t="shared" si="1319"/>
        <v>A68FCB</v>
      </c>
      <c r="V3381">
        <v>0</v>
      </c>
      <c r="W3381">
        <v>0</v>
      </c>
      <c r="X3381">
        <v>2</v>
      </c>
      <c r="Y3381">
        <v>0</v>
      </c>
      <c r="AA3381">
        <v>1</v>
      </c>
      <c r="AB3381">
        <v>8</v>
      </c>
      <c r="AC3381">
        <v>3</v>
      </c>
      <c r="AD3381">
        <v>0</v>
      </c>
      <c r="AE3381">
        <v>9</v>
      </c>
      <c r="AF3381" t="s">
        <v>138</v>
      </c>
      <c r="AG3381">
        <v>0</v>
      </c>
      <c r="AH3381">
        <v>3</v>
      </c>
      <c r="AI3381">
        <v>2</v>
      </c>
      <c r="AJ3381">
        <v>0</v>
      </c>
      <c r="AK3381" t="s">
        <v>1118</v>
      </c>
      <c r="AL3381">
        <v>39.140402999999999</v>
      </c>
      <c r="AM3381" t="s">
        <v>1104</v>
      </c>
      <c r="AN3381">
        <v>-121.03103400000001</v>
      </c>
      <c r="AO3381">
        <v>25</v>
      </c>
      <c r="AP3381">
        <v>4300</v>
      </c>
      <c r="AQ3381" t="s">
        <v>131</v>
      </c>
      <c r="AR3381">
        <v>-3</v>
      </c>
      <c r="AS3381">
        <v>85</v>
      </c>
      <c r="AT3381">
        <v>-192</v>
      </c>
      <c r="BB3381" t="str">
        <f t="shared" si="1320"/>
        <v>1200</v>
      </c>
      <c r="BC3381">
        <v>1</v>
      </c>
      <c r="BD3381" t="str">
        <f t="shared" si="1321"/>
        <v xml:space="preserve">N52156  </v>
      </c>
      <c r="BE3381">
        <v>1</v>
      </c>
      <c r="BG3381">
        <v>0</v>
      </c>
      <c r="BH3381">
        <v>0</v>
      </c>
      <c r="BI3381">
        <v>0</v>
      </c>
      <c r="BJ3381">
        <v>4350</v>
      </c>
      <c r="BK3381">
        <v>50</v>
      </c>
      <c r="BL3381" t="s">
        <v>188</v>
      </c>
      <c r="BM3381">
        <v>1</v>
      </c>
      <c r="BN3381">
        <v>1</v>
      </c>
      <c r="BO3381">
        <v>0</v>
      </c>
      <c r="BP3381">
        <v>0</v>
      </c>
      <c r="BS3381">
        <v>0</v>
      </c>
      <c r="BT3381">
        <v>0</v>
      </c>
      <c r="BU3381">
        <v>0</v>
      </c>
      <c r="CE3381" t="str">
        <f t="shared" si="1339"/>
        <v>15:13:55.598</v>
      </c>
      <c r="CF3381">
        <v>598311484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2</v>
      </c>
      <c r="CY3381">
        <v>7</v>
      </c>
      <c r="CZ3381" t="s">
        <v>133</v>
      </c>
      <c r="DA3381">
        <v>276</v>
      </c>
      <c r="DB3381">
        <v>0</v>
      </c>
      <c r="DC3381" t="s">
        <v>402</v>
      </c>
      <c r="DD3381" t="s">
        <v>403</v>
      </c>
      <c r="DG3381">
        <v>1628024</v>
      </c>
      <c r="DI3381">
        <v>1</v>
      </c>
      <c r="DJ3381">
        <v>0</v>
      </c>
      <c r="DK3381">
        <v>1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3">
      <c r="A3382" t="str">
        <f>"05/01/2025 15:13:55.829"</f>
        <v>05/01/2025 15:13:55.829</v>
      </c>
      <c r="C3382" t="str">
        <f t="shared" si="1318"/>
        <v>FFDFD3C0</v>
      </c>
      <c r="D3382" t="s">
        <v>145</v>
      </c>
      <c r="E3382" t="str">
        <f>"09"</f>
        <v>09</v>
      </c>
      <c r="H3382">
        <v>51</v>
      </c>
      <c r="I3382" t="s">
        <v>147</v>
      </c>
      <c r="J3382" t="s">
        <v>138</v>
      </c>
      <c r="K3382">
        <v>0</v>
      </c>
      <c r="L3382">
        <v>3</v>
      </c>
      <c r="M3382">
        <v>0</v>
      </c>
      <c r="N3382">
        <v>2</v>
      </c>
      <c r="O3382">
        <v>0</v>
      </c>
      <c r="P3382">
        <v>1</v>
      </c>
      <c r="Q3382">
        <v>0</v>
      </c>
      <c r="R3382" t="s">
        <v>127</v>
      </c>
      <c r="S3382" t="str">
        <f t="shared" si="1338"/>
        <v>15:13:55.000</v>
      </c>
      <c r="T3382" t="str">
        <f t="shared" si="1338"/>
        <v>15:13:55.000</v>
      </c>
      <c r="U3382" t="str">
        <f t="shared" si="1319"/>
        <v>A68FCB</v>
      </c>
      <c r="V3382">
        <v>0</v>
      </c>
      <c r="W3382">
        <v>0</v>
      </c>
      <c r="X3382">
        <v>2</v>
      </c>
      <c r="Y3382">
        <v>0</v>
      </c>
      <c r="AA3382">
        <v>1</v>
      </c>
      <c r="AB3382">
        <v>8</v>
      </c>
      <c r="AC3382">
        <v>3</v>
      </c>
      <c r="AD3382">
        <v>0</v>
      </c>
      <c r="AE3382">
        <v>9</v>
      </c>
      <c r="AF3382" t="s">
        <v>138</v>
      </c>
      <c r="AG3382">
        <v>0</v>
      </c>
      <c r="AH3382">
        <v>3</v>
      </c>
      <c r="AI3382">
        <v>2</v>
      </c>
      <c r="AJ3382">
        <v>0</v>
      </c>
      <c r="AK3382" t="s">
        <v>1118</v>
      </c>
      <c r="AL3382">
        <v>39.140402999999999</v>
      </c>
      <c r="AM3382" t="s">
        <v>1104</v>
      </c>
      <c r="AN3382">
        <v>-121.03103400000001</v>
      </c>
      <c r="AO3382">
        <v>25</v>
      </c>
      <c r="AP3382">
        <v>4300</v>
      </c>
      <c r="AQ3382" t="s">
        <v>131</v>
      </c>
      <c r="AR3382">
        <v>-3</v>
      </c>
      <c r="AS3382">
        <v>85</v>
      </c>
      <c r="AT3382">
        <v>-192</v>
      </c>
      <c r="BB3382" t="str">
        <f t="shared" si="1320"/>
        <v>1200</v>
      </c>
      <c r="BC3382">
        <v>1</v>
      </c>
      <c r="BD3382" t="str">
        <f t="shared" si="1321"/>
        <v xml:space="preserve">N52156  </v>
      </c>
      <c r="BE3382">
        <v>1</v>
      </c>
      <c r="BG3382">
        <v>0</v>
      </c>
      <c r="BH3382">
        <v>0</v>
      </c>
      <c r="BI3382">
        <v>0</v>
      </c>
      <c r="BJ3382">
        <v>4350</v>
      </c>
      <c r="BK3382">
        <v>50</v>
      </c>
      <c r="BL3382" t="s">
        <v>188</v>
      </c>
      <c r="BM3382">
        <v>1</v>
      </c>
      <c r="BN3382">
        <v>1</v>
      </c>
      <c r="BO3382">
        <v>0</v>
      </c>
      <c r="BP3382">
        <v>0</v>
      </c>
      <c r="BS3382">
        <v>0</v>
      </c>
      <c r="BT3382">
        <v>0</v>
      </c>
      <c r="BU3382">
        <v>0</v>
      </c>
      <c r="CE3382" t="str">
        <f t="shared" si="1339"/>
        <v>15:13:55.598</v>
      </c>
      <c r="CF3382">
        <v>598311484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2</v>
      </c>
      <c r="CY3382">
        <v>7</v>
      </c>
      <c r="CZ3382" t="s">
        <v>133</v>
      </c>
      <c r="DA3382">
        <v>276</v>
      </c>
      <c r="DB3382">
        <v>0</v>
      </c>
      <c r="DC3382" t="s">
        <v>402</v>
      </c>
      <c r="DD3382" t="s">
        <v>403</v>
      </c>
      <c r="DG3382">
        <v>1628024</v>
      </c>
      <c r="DI3382">
        <v>1</v>
      </c>
      <c r="DJ3382">
        <v>0</v>
      </c>
      <c r="DK3382">
        <v>1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3">
      <c r="A3383" t="str">
        <f>"05/01/2025 15:13:55.831"</f>
        <v>05/01/2025 15:13:55.831</v>
      </c>
      <c r="C3383" t="str">
        <f t="shared" si="1318"/>
        <v>FFDFD3C0</v>
      </c>
      <c r="D3383" t="s">
        <v>145</v>
      </c>
      <c r="E3383" t="str">
        <f>"05"</f>
        <v>05</v>
      </c>
      <c r="H3383">
        <v>47</v>
      </c>
      <c r="I3383" t="s">
        <v>146</v>
      </c>
      <c r="J3383" t="s">
        <v>138</v>
      </c>
      <c r="K3383">
        <v>0</v>
      </c>
      <c r="L3383">
        <v>3</v>
      </c>
      <c r="M3383">
        <v>0</v>
      </c>
      <c r="N3383">
        <v>2</v>
      </c>
      <c r="O3383">
        <v>0</v>
      </c>
      <c r="P3383">
        <v>1</v>
      </c>
      <c r="Q3383">
        <v>0</v>
      </c>
      <c r="R3383" t="s">
        <v>127</v>
      </c>
      <c r="S3383" t="str">
        <f t="shared" si="1338"/>
        <v>15:13:55.000</v>
      </c>
      <c r="T3383" t="str">
        <f t="shared" si="1338"/>
        <v>15:13:55.000</v>
      </c>
      <c r="U3383" t="str">
        <f t="shared" si="1319"/>
        <v>A68FCB</v>
      </c>
      <c r="V3383">
        <v>0</v>
      </c>
      <c r="W3383">
        <v>0</v>
      </c>
      <c r="X3383">
        <v>2</v>
      </c>
      <c r="Y3383">
        <v>0</v>
      </c>
      <c r="AA3383">
        <v>1</v>
      </c>
      <c r="AB3383">
        <v>8</v>
      </c>
      <c r="AC3383">
        <v>3</v>
      </c>
      <c r="AD3383">
        <v>0</v>
      </c>
      <c r="AE3383">
        <v>9</v>
      </c>
      <c r="AF3383" t="s">
        <v>138</v>
      </c>
      <c r="AG3383">
        <v>0</v>
      </c>
      <c r="AH3383">
        <v>3</v>
      </c>
      <c r="AI3383">
        <v>2</v>
      </c>
      <c r="AJ3383">
        <v>0</v>
      </c>
      <c r="AK3383" t="s">
        <v>1118</v>
      </c>
      <c r="AL3383">
        <v>39.140402999999999</v>
      </c>
      <c r="AM3383" t="s">
        <v>1104</v>
      </c>
      <c r="AN3383">
        <v>-121.03103400000001</v>
      </c>
      <c r="AO3383">
        <v>25</v>
      </c>
      <c r="AP3383">
        <v>4300</v>
      </c>
      <c r="AQ3383" t="s">
        <v>131</v>
      </c>
      <c r="AR3383">
        <v>-3</v>
      </c>
      <c r="AS3383">
        <v>85</v>
      </c>
      <c r="AT3383">
        <v>-192</v>
      </c>
      <c r="BB3383" t="str">
        <f t="shared" si="1320"/>
        <v>1200</v>
      </c>
      <c r="BC3383">
        <v>1</v>
      </c>
      <c r="BD3383" t="str">
        <f t="shared" si="1321"/>
        <v xml:space="preserve">N52156  </v>
      </c>
      <c r="BE3383">
        <v>1</v>
      </c>
      <c r="BG3383">
        <v>0</v>
      </c>
      <c r="BH3383">
        <v>0</v>
      </c>
      <c r="BI3383">
        <v>0</v>
      </c>
      <c r="BJ3383">
        <v>4350</v>
      </c>
      <c r="BK3383">
        <v>50</v>
      </c>
      <c r="BL3383" t="s">
        <v>188</v>
      </c>
      <c r="BM3383">
        <v>1</v>
      </c>
      <c r="BN3383">
        <v>1</v>
      </c>
      <c r="BO3383">
        <v>0</v>
      </c>
      <c r="BP3383">
        <v>0</v>
      </c>
      <c r="BS3383">
        <v>0</v>
      </c>
      <c r="BT3383">
        <v>0</v>
      </c>
      <c r="BU3383">
        <v>0</v>
      </c>
      <c r="CE3383" t="str">
        <f t="shared" si="1339"/>
        <v>15:13:55.598</v>
      </c>
      <c r="CF3383">
        <v>598311484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2</v>
      </c>
      <c r="CY3383">
        <v>7</v>
      </c>
      <c r="CZ3383" t="s">
        <v>133</v>
      </c>
      <c r="DA3383">
        <v>276</v>
      </c>
      <c r="DB3383">
        <v>0</v>
      </c>
      <c r="DC3383" t="s">
        <v>402</v>
      </c>
      <c r="DD3383" t="s">
        <v>403</v>
      </c>
      <c r="DG3383">
        <v>1628024</v>
      </c>
      <c r="DI3383">
        <v>1</v>
      </c>
      <c r="DJ3383">
        <v>0</v>
      </c>
      <c r="DK3383">
        <v>1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3">
      <c r="A3384" t="str">
        <f>"05/01/2025 15:13:55.843"</f>
        <v>05/01/2025 15:13:55.843</v>
      </c>
      <c r="C3384" t="str">
        <f t="shared" si="1318"/>
        <v>FFDFD3C0</v>
      </c>
      <c r="D3384" t="s">
        <v>136</v>
      </c>
      <c r="E3384" t="str">
        <f>"20"</f>
        <v>20</v>
      </c>
      <c r="H3384">
        <v>400</v>
      </c>
      <c r="I3384" t="s">
        <v>137</v>
      </c>
      <c r="J3384" t="s">
        <v>138</v>
      </c>
      <c r="K3384">
        <v>0</v>
      </c>
      <c r="L3384">
        <v>3</v>
      </c>
      <c r="M3384">
        <v>0</v>
      </c>
      <c r="N3384">
        <v>2</v>
      </c>
      <c r="O3384">
        <v>0</v>
      </c>
      <c r="P3384">
        <v>1</v>
      </c>
      <c r="Q3384">
        <v>0</v>
      </c>
      <c r="R3384" t="s">
        <v>127</v>
      </c>
      <c r="S3384" t="str">
        <f t="shared" si="1338"/>
        <v>15:13:55.000</v>
      </c>
      <c r="T3384" t="str">
        <f t="shared" si="1338"/>
        <v>15:13:55.000</v>
      </c>
      <c r="U3384" t="str">
        <f t="shared" si="1319"/>
        <v>A68FCB</v>
      </c>
      <c r="V3384">
        <v>0</v>
      </c>
      <c r="W3384">
        <v>0</v>
      </c>
      <c r="X3384">
        <v>2</v>
      </c>
      <c r="Y3384">
        <v>0</v>
      </c>
      <c r="AA3384">
        <v>1</v>
      </c>
      <c r="AB3384">
        <v>8</v>
      </c>
      <c r="AC3384">
        <v>3</v>
      </c>
      <c r="AD3384">
        <v>0</v>
      </c>
      <c r="AE3384">
        <v>9</v>
      </c>
      <c r="AF3384" t="s">
        <v>138</v>
      </c>
      <c r="AG3384">
        <v>0</v>
      </c>
      <c r="AH3384">
        <v>3</v>
      </c>
      <c r="AI3384">
        <v>2</v>
      </c>
      <c r="AJ3384">
        <v>0</v>
      </c>
      <c r="AK3384" t="s">
        <v>1118</v>
      </c>
      <c r="AL3384">
        <v>39.140402999999999</v>
      </c>
      <c r="AM3384" t="s">
        <v>1104</v>
      </c>
      <c r="AN3384">
        <v>-121.03103400000001</v>
      </c>
      <c r="AO3384">
        <v>25</v>
      </c>
      <c r="AP3384">
        <v>4300</v>
      </c>
      <c r="AQ3384" t="s">
        <v>131</v>
      </c>
      <c r="AR3384">
        <v>-3</v>
      </c>
      <c r="AS3384">
        <v>85</v>
      </c>
      <c r="AT3384">
        <v>-192</v>
      </c>
      <c r="BB3384" t="str">
        <f t="shared" si="1320"/>
        <v>1200</v>
      </c>
      <c r="BC3384">
        <v>1</v>
      </c>
      <c r="BD3384" t="str">
        <f t="shared" si="1321"/>
        <v xml:space="preserve">N52156  </v>
      </c>
      <c r="BE3384">
        <v>1</v>
      </c>
      <c r="BG3384">
        <v>0</v>
      </c>
      <c r="BH3384">
        <v>0</v>
      </c>
      <c r="BI3384">
        <v>0</v>
      </c>
      <c r="BJ3384">
        <v>4350</v>
      </c>
      <c r="BK3384">
        <v>50</v>
      </c>
      <c r="BL3384" t="s">
        <v>188</v>
      </c>
      <c r="BM3384">
        <v>1</v>
      </c>
      <c r="BN3384">
        <v>1</v>
      </c>
      <c r="BO3384">
        <v>0</v>
      </c>
      <c r="BP3384">
        <v>0</v>
      </c>
      <c r="BS3384">
        <v>0</v>
      </c>
      <c r="BT3384">
        <v>0</v>
      </c>
      <c r="BU3384">
        <v>0</v>
      </c>
      <c r="CE3384" t="str">
        <f t="shared" si="1339"/>
        <v>15:13:55.598</v>
      </c>
      <c r="CF3384">
        <v>598311484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2</v>
      </c>
      <c r="CY3384">
        <v>7</v>
      </c>
      <c r="CZ3384" t="s">
        <v>133</v>
      </c>
      <c r="DA3384">
        <v>276</v>
      </c>
      <c r="DB3384">
        <v>0</v>
      </c>
      <c r="DC3384" t="s">
        <v>402</v>
      </c>
      <c r="DD3384" t="s">
        <v>403</v>
      </c>
      <c r="DG3384">
        <v>1628024</v>
      </c>
      <c r="DI3384">
        <v>1</v>
      </c>
      <c r="DJ3384">
        <v>0</v>
      </c>
      <c r="DK3384">
        <v>1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3">
      <c r="A3385" t="str">
        <f>"05/01/2025 15:13:55.856"</f>
        <v>05/01/2025 15:13:55.856</v>
      </c>
      <c r="C3385" t="str">
        <f t="shared" si="1318"/>
        <v>FFDFD3C0</v>
      </c>
      <c r="D3385" t="s">
        <v>143</v>
      </c>
      <c r="E3385" t="str">
        <f>"05"</f>
        <v>05</v>
      </c>
      <c r="H3385">
        <v>172</v>
      </c>
      <c r="I3385" t="s">
        <v>141</v>
      </c>
      <c r="J3385" t="s">
        <v>144</v>
      </c>
      <c r="K3385">
        <v>0</v>
      </c>
      <c r="L3385">
        <v>3</v>
      </c>
      <c r="M3385">
        <v>0</v>
      </c>
      <c r="N3385">
        <v>2</v>
      </c>
      <c r="O3385">
        <v>0</v>
      </c>
      <c r="P3385">
        <v>1</v>
      </c>
      <c r="Q3385">
        <v>0</v>
      </c>
      <c r="R3385" t="s">
        <v>127</v>
      </c>
      <c r="S3385" t="str">
        <f t="shared" si="1338"/>
        <v>15:13:55.000</v>
      </c>
      <c r="T3385" t="str">
        <f t="shared" si="1338"/>
        <v>15:13:55.000</v>
      </c>
      <c r="U3385" t="str">
        <f t="shared" si="1319"/>
        <v>A68FCB</v>
      </c>
      <c r="V3385">
        <v>0</v>
      </c>
      <c r="W3385">
        <v>0</v>
      </c>
      <c r="X3385">
        <v>2</v>
      </c>
      <c r="Y3385">
        <v>0</v>
      </c>
      <c r="AA3385">
        <v>1</v>
      </c>
      <c r="AB3385">
        <v>8</v>
      </c>
      <c r="AC3385">
        <v>3</v>
      </c>
      <c r="AD3385">
        <v>0</v>
      </c>
      <c r="AE3385">
        <v>9</v>
      </c>
      <c r="AF3385" t="s">
        <v>138</v>
      </c>
      <c r="AG3385">
        <v>0</v>
      </c>
      <c r="AH3385">
        <v>3</v>
      </c>
      <c r="AI3385">
        <v>2</v>
      </c>
      <c r="AJ3385">
        <v>0</v>
      </c>
      <c r="AK3385" t="s">
        <v>1118</v>
      </c>
      <c r="AL3385">
        <v>39.140402999999999</v>
      </c>
      <c r="AM3385" t="s">
        <v>1104</v>
      </c>
      <c r="AN3385">
        <v>-121.03103400000001</v>
      </c>
      <c r="AO3385">
        <v>25</v>
      </c>
      <c r="AP3385">
        <v>4300</v>
      </c>
      <c r="AQ3385" t="s">
        <v>131</v>
      </c>
      <c r="AR3385">
        <v>-3</v>
      </c>
      <c r="AS3385">
        <v>85</v>
      </c>
      <c r="AT3385">
        <v>-192</v>
      </c>
      <c r="BB3385" t="str">
        <f t="shared" si="1320"/>
        <v>1200</v>
      </c>
      <c r="BC3385">
        <v>1</v>
      </c>
      <c r="BD3385" t="str">
        <f t="shared" si="1321"/>
        <v xml:space="preserve">N52156  </v>
      </c>
      <c r="BE3385">
        <v>1</v>
      </c>
      <c r="BG3385">
        <v>0</v>
      </c>
      <c r="BH3385">
        <v>0</v>
      </c>
      <c r="BI3385">
        <v>0</v>
      </c>
      <c r="BJ3385">
        <v>4350</v>
      </c>
      <c r="BK3385">
        <v>50</v>
      </c>
      <c r="BL3385" t="s">
        <v>188</v>
      </c>
      <c r="BM3385">
        <v>1</v>
      </c>
      <c r="BN3385">
        <v>1</v>
      </c>
      <c r="BO3385">
        <v>0</v>
      </c>
      <c r="BP3385">
        <v>0</v>
      </c>
      <c r="BS3385">
        <v>0</v>
      </c>
      <c r="BT3385">
        <v>0</v>
      </c>
      <c r="BU3385">
        <v>0</v>
      </c>
      <c r="CE3385" t="str">
        <f t="shared" si="1339"/>
        <v>15:13:55.598</v>
      </c>
      <c r="CF3385">
        <v>598311484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2</v>
      </c>
      <c r="CY3385">
        <v>7</v>
      </c>
      <c r="CZ3385" t="s">
        <v>133</v>
      </c>
      <c r="DA3385">
        <v>276</v>
      </c>
      <c r="DB3385">
        <v>0</v>
      </c>
      <c r="DC3385" t="s">
        <v>402</v>
      </c>
      <c r="DD3385" t="s">
        <v>403</v>
      </c>
      <c r="DG3385">
        <v>1628024</v>
      </c>
      <c r="DI3385">
        <v>1</v>
      </c>
      <c r="DJ3385">
        <v>0</v>
      </c>
      <c r="DK3385">
        <v>1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3">
      <c r="A3386" t="str">
        <f>"05/01/2025 15:13:57.145"</f>
        <v>05/01/2025 15:13:57.145</v>
      </c>
      <c r="C3386" t="str">
        <f t="shared" si="1318"/>
        <v>FFDFD3C0</v>
      </c>
      <c r="D3386" t="s">
        <v>136</v>
      </c>
      <c r="E3386" t="str">
        <f>"20"</f>
        <v>20</v>
      </c>
      <c r="H3386">
        <v>400</v>
      </c>
      <c r="I3386" t="s">
        <v>137</v>
      </c>
      <c r="J3386" t="s">
        <v>138</v>
      </c>
      <c r="K3386">
        <v>0</v>
      </c>
      <c r="L3386">
        <v>3</v>
      </c>
      <c r="M3386">
        <v>0</v>
      </c>
      <c r="N3386">
        <v>2</v>
      </c>
      <c r="O3386">
        <v>0</v>
      </c>
      <c r="P3386">
        <v>1</v>
      </c>
      <c r="Q3386">
        <v>0</v>
      </c>
      <c r="R3386" t="s">
        <v>127</v>
      </c>
      <c r="S3386" t="str">
        <f t="shared" ref="S3386:T3391" si="1340">"15:13:56.000"</f>
        <v>15:13:56.000</v>
      </c>
      <c r="T3386" t="str">
        <f t="shared" si="1340"/>
        <v>15:13:56.000</v>
      </c>
      <c r="U3386" t="str">
        <f t="shared" si="1319"/>
        <v>A68FCB</v>
      </c>
      <c r="V3386">
        <v>0</v>
      </c>
      <c r="W3386">
        <v>0</v>
      </c>
      <c r="X3386">
        <v>2</v>
      </c>
      <c r="Y3386">
        <v>0</v>
      </c>
      <c r="AA3386">
        <v>1</v>
      </c>
      <c r="AB3386">
        <v>8</v>
      </c>
      <c r="AC3386">
        <v>3</v>
      </c>
      <c r="AD3386">
        <v>0</v>
      </c>
      <c r="AE3386">
        <v>9</v>
      </c>
      <c r="AF3386" t="s">
        <v>138</v>
      </c>
      <c r="AG3386">
        <v>0</v>
      </c>
      <c r="AH3386">
        <v>3</v>
      </c>
      <c r="AI3386">
        <v>2</v>
      </c>
      <c r="AJ3386">
        <v>0</v>
      </c>
      <c r="AK3386" t="s">
        <v>1119</v>
      </c>
      <c r="AL3386">
        <v>39.140810999999999</v>
      </c>
      <c r="AM3386" t="s">
        <v>1102</v>
      </c>
      <c r="AN3386">
        <v>-121.03105499999999</v>
      </c>
      <c r="AO3386">
        <v>25</v>
      </c>
      <c r="AP3386">
        <v>4300</v>
      </c>
      <c r="AQ3386" t="s">
        <v>131</v>
      </c>
      <c r="AR3386">
        <v>-4</v>
      </c>
      <c r="AS3386">
        <v>85</v>
      </c>
      <c r="AT3386">
        <v>-192</v>
      </c>
      <c r="BB3386" t="str">
        <f t="shared" si="1320"/>
        <v>1200</v>
      </c>
      <c r="BC3386">
        <v>1</v>
      </c>
      <c r="BD3386" t="str">
        <f t="shared" si="1321"/>
        <v xml:space="preserve">N52156  </v>
      </c>
      <c r="BE3386">
        <v>1</v>
      </c>
      <c r="BG3386">
        <v>0</v>
      </c>
      <c r="BH3386">
        <v>0</v>
      </c>
      <c r="BI3386">
        <v>0</v>
      </c>
      <c r="BJ3386">
        <v>4350</v>
      </c>
      <c r="BK3386">
        <v>50</v>
      </c>
      <c r="BL3386" t="s">
        <v>188</v>
      </c>
      <c r="BM3386">
        <v>1</v>
      </c>
      <c r="BN3386">
        <v>1</v>
      </c>
      <c r="BO3386">
        <v>0</v>
      </c>
      <c r="BP3386">
        <v>0</v>
      </c>
      <c r="BS3386">
        <v>0</v>
      </c>
      <c r="BT3386">
        <v>0</v>
      </c>
      <c r="BU3386">
        <v>0</v>
      </c>
      <c r="CE3386" t="str">
        <f t="shared" ref="CE3386:CE3391" si="1341">"15:13:56.942"</f>
        <v>15:13:56.942</v>
      </c>
      <c r="CF3386">
        <v>941812532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3</v>
      </c>
      <c r="CY3386">
        <v>7</v>
      </c>
      <c r="CZ3386" t="s">
        <v>133</v>
      </c>
      <c r="DA3386">
        <v>276</v>
      </c>
      <c r="DB3386">
        <v>0</v>
      </c>
      <c r="DC3386" t="s">
        <v>402</v>
      </c>
      <c r="DD3386" t="s">
        <v>403</v>
      </c>
      <c r="DG3386">
        <v>1628028</v>
      </c>
      <c r="DI3386">
        <v>1</v>
      </c>
      <c r="DJ3386">
        <v>0</v>
      </c>
      <c r="DK3386">
        <v>0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3">
      <c r="A3387" t="str">
        <f>"05/01/2025 15:13:57.158"</f>
        <v>05/01/2025 15:13:57.158</v>
      </c>
      <c r="C3387" t="str">
        <f t="shared" si="1318"/>
        <v>FFDFD3C0</v>
      </c>
      <c r="D3387" t="s">
        <v>143</v>
      </c>
      <c r="E3387" t="str">
        <f>"05"</f>
        <v>05</v>
      </c>
      <c r="H3387">
        <v>172</v>
      </c>
      <c r="I3387" t="s">
        <v>141</v>
      </c>
      <c r="J3387" t="s">
        <v>144</v>
      </c>
      <c r="K3387">
        <v>0</v>
      </c>
      <c r="L3387">
        <v>3</v>
      </c>
      <c r="M3387">
        <v>0</v>
      </c>
      <c r="N3387">
        <v>2</v>
      </c>
      <c r="O3387">
        <v>0</v>
      </c>
      <c r="P3387">
        <v>1</v>
      </c>
      <c r="Q3387">
        <v>0</v>
      </c>
      <c r="R3387" t="s">
        <v>127</v>
      </c>
      <c r="S3387" t="str">
        <f t="shared" si="1340"/>
        <v>15:13:56.000</v>
      </c>
      <c r="T3387" t="str">
        <f t="shared" si="1340"/>
        <v>15:13:56.000</v>
      </c>
      <c r="U3387" t="str">
        <f t="shared" si="1319"/>
        <v>A68FCB</v>
      </c>
      <c r="V3387">
        <v>0</v>
      </c>
      <c r="W3387">
        <v>0</v>
      </c>
      <c r="X3387">
        <v>2</v>
      </c>
      <c r="Y3387">
        <v>0</v>
      </c>
      <c r="AA3387">
        <v>1</v>
      </c>
      <c r="AB3387">
        <v>8</v>
      </c>
      <c r="AC3387">
        <v>3</v>
      </c>
      <c r="AD3387">
        <v>0</v>
      </c>
      <c r="AE3387">
        <v>9</v>
      </c>
      <c r="AF3387" t="s">
        <v>138</v>
      </c>
      <c r="AG3387">
        <v>0</v>
      </c>
      <c r="AH3387">
        <v>3</v>
      </c>
      <c r="AI3387">
        <v>2</v>
      </c>
      <c r="AJ3387">
        <v>0</v>
      </c>
      <c r="AK3387" t="s">
        <v>1119</v>
      </c>
      <c r="AL3387">
        <v>39.140810999999999</v>
      </c>
      <c r="AM3387" t="s">
        <v>1102</v>
      </c>
      <c r="AN3387">
        <v>-121.03105499999999</v>
      </c>
      <c r="AO3387">
        <v>25</v>
      </c>
      <c r="AP3387">
        <v>4300</v>
      </c>
      <c r="AQ3387" t="s">
        <v>131</v>
      </c>
      <c r="AR3387">
        <v>-4</v>
      </c>
      <c r="AS3387">
        <v>85</v>
      </c>
      <c r="AT3387">
        <v>-192</v>
      </c>
      <c r="BB3387" t="str">
        <f t="shared" si="1320"/>
        <v>1200</v>
      </c>
      <c r="BC3387">
        <v>1</v>
      </c>
      <c r="BD3387" t="str">
        <f t="shared" si="1321"/>
        <v xml:space="preserve">N52156  </v>
      </c>
      <c r="BE3387">
        <v>1</v>
      </c>
      <c r="BG3387">
        <v>0</v>
      </c>
      <c r="BH3387">
        <v>0</v>
      </c>
      <c r="BI3387">
        <v>0</v>
      </c>
      <c r="BJ3387">
        <v>4350</v>
      </c>
      <c r="BK3387">
        <v>50</v>
      </c>
      <c r="BL3387" t="s">
        <v>188</v>
      </c>
      <c r="BM3387">
        <v>1</v>
      </c>
      <c r="BN3387">
        <v>1</v>
      </c>
      <c r="BO3387">
        <v>0</v>
      </c>
      <c r="BP3387">
        <v>0</v>
      </c>
      <c r="BS3387">
        <v>0</v>
      </c>
      <c r="BT3387">
        <v>0</v>
      </c>
      <c r="BU3387">
        <v>0</v>
      </c>
      <c r="CE3387" t="str">
        <f t="shared" si="1341"/>
        <v>15:13:56.942</v>
      </c>
      <c r="CF3387">
        <v>941812532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3</v>
      </c>
      <c r="CY3387">
        <v>7</v>
      </c>
      <c r="CZ3387" t="s">
        <v>133</v>
      </c>
      <c r="DA3387">
        <v>276</v>
      </c>
      <c r="DB3387">
        <v>0</v>
      </c>
      <c r="DC3387" t="s">
        <v>402</v>
      </c>
      <c r="DD3387" t="s">
        <v>403</v>
      </c>
      <c r="DG3387">
        <v>1628028</v>
      </c>
      <c r="DI3387">
        <v>1</v>
      </c>
      <c r="DJ3387">
        <v>0</v>
      </c>
      <c r="DK3387">
        <v>1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3">
      <c r="A3388" t="str">
        <f>"05/01/2025 15:13:57.169"</f>
        <v>05/01/2025 15:13:57.169</v>
      </c>
      <c r="C3388" t="str">
        <f t="shared" si="1318"/>
        <v>FFDFD3C0</v>
      </c>
      <c r="D3388" t="s">
        <v>140</v>
      </c>
      <c r="E3388" t="str">
        <f>"13"</f>
        <v>13</v>
      </c>
      <c r="F3388">
        <v>1019</v>
      </c>
      <c r="G3388" t="s">
        <v>141</v>
      </c>
      <c r="J3388" t="s">
        <v>142</v>
      </c>
      <c r="K3388">
        <v>0</v>
      </c>
      <c r="L3388">
        <v>3</v>
      </c>
      <c r="M3388">
        <v>0</v>
      </c>
      <c r="N3388">
        <v>2</v>
      </c>
      <c r="O3388">
        <v>0</v>
      </c>
      <c r="P3388">
        <v>1</v>
      </c>
      <c r="Q3388">
        <v>0</v>
      </c>
      <c r="R3388" t="s">
        <v>127</v>
      </c>
      <c r="S3388" t="str">
        <f t="shared" si="1340"/>
        <v>15:13:56.000</v>
      </c>
      <c r="T3388" t="str">
        <f t="shared" si="1340"/>
        <v>15:13:56.000</v>
      </c>
      <c r="U3388" t="str">
        <f t="shared" si="1319"/>
        <v>A68FCB</v>
      </c>
      <c r="V3388">
        <v>0</v>
      </c>
      <c r="W3388">
        <v>0</v>
      </c>
      <c r="X3388">
        <v>2</v>
      </c>
      <c r="Y3388">
        <v>0</v>
      </c>
      <c r="AA3388">
        <v>1</v>
      </c>
      <c r="AB3388">
        <v>8</v>
      </c>
      <c r="AC3388">
        <v>3</v>
      </c>
      <c r="AD3388">
        <v>0</v>
      </c>
      <c r="AE3388">
        <v>9</v>
      </c>
      <c r="AF3388" t="s">
        <v>138</v>
      </c>
      <c r="AG3388">
        <v>0</v>
      </c>
      <c r="AH3388">
        <v>3</v>
      </c>
      <c r="AI3388">
        <v>2</v>
      </c>
      <c r="AJ3388">
        <v>0</v>
      </c>
      <c r="AK3388" t="s">
        <v>1119</v>
      </c>
      <c r="AL3388">
        <v>39.140810999999999</v>
      </c>
      <c r="AM3388" t="s">
        <v>1102</v>
      </c>
      <c r="AN3388">
        <v>-121.03105499999999</v>
      </c>
      <c r="AO3388">
        <v>25</v>
      </c>
      <c r="AP3388">
        <v>4300</v>
      </c>
      <c r="AQ3388" t="s">
        <v>131</v>
      </c>
      <c r="AR3388">
        <v>-4</v>
      </c>
      <c r="AS3388">
        <v>85</v>
      </c>
      <c r="AT3388">
        <v>-192</v>
      </c>
      <c r="BB3388" t="str">
        <f t="shared" si="1320"/>
        <v>1200</v>
      </c>
      <c r="BC3388">
        <v>1</v>
      </c>
      <c r="BD3388" t="str">
        <f t="shared" si="1321"/>
        <v xml:space="preserve">N52156  </v>
      </c>
      <c r="BE3388">
        <v>1</v>
      </c>
      <c r="BG3388">
        <v>0</v>
      </c>
      <c r="BH3388">
        <v>0</v>
      </c>
      <c r="BI3388">
        <v>0</v>
      </c>
      <c r="BJ3388">
        <v>4350</v>
      </c>
      <c r="BK3388">
        <v>50</v>
      </c>
      <c r="BL3388" t="s">
        <v>188</v>
      </c>
      <c r="BM3388">
        <v>1</v>
      </c>
      <c r="BN3388">
        <v>1</v>
      </c>
      <c r="BO3388">
        <v>0</v>
      </c>
      <c r="BP3388">
        <v>0</v>
      </c>
      <c r="BS3388">
        <v>0</v>
      </c>
      <c r="BT3388">
        <v>0</v>
      </c>
      <c r="BU3388">
        <v>0</v>
      </c>
      <c r="CE3388" t="str">
        <f t="shared" si="1341"/>
        <v>15:13:56.942</v>
      </c>
      <c r="CF3388">
        <v>941812532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3</v>
      </c>
      <c r="CY3388">
        <v>7</v>
      </c>
      <c r="CZ3388" t="s">
        <v>133</v>
      </c>
      <c r="DA3388">
        <v>276</v>
      </c>
      <c r="DB3388">
        <v>0</v>
      </c>
      <c r="DC3388" t="s">
        <v>402</v>
      </c>
      <c r="DD3388" t="s">
        <v>403</v>
      </c>
      <c r="DG3388">
        <v>1628028</v>
      </c>
      <c r="DI3388">
        <v>1</v>
      </c>
      <c r="DJ3388">
        <v>0</v>
      </c>
      <c r="DK3388">
        <v>1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3">
      <c r="A3389" t="str">
        <f>"05/01/2025 15:13:57.169"</f>
        <v>05/01/2025 15:13:57.169</v>
      </c>
      <c r="C3389" t="str">
        <f t="shared" si="1318"/>
        <v>FFDFD3C0</v>
      </c>
      <c r="D3389" t="s">
        <v>124</v>
      </c>
      <c r="E3389" t="str">
        <f>"06"</f>
        <v>06</v>
      </c>
      <c r="F3389">
        <v>2006</v>
      </c>
      <c r="G3389" t="s">
        <v>125</v>
      </c>
      <c r="J3389" t="s">
        <v>126</v>
      </c>
      <c r="K3389">
        <v>0</v>
      </c>
      <c r="L3389">
        <v>3</v>
      </c>
      <c r="M3389">
        <v>0</v>
      </c>
      <c r="N3389">
        <v>2</v>
      </c>
      <c r="O3389">
        <v>0</v>
      </c>
      <c r="P3389">
        <v>1</v>
      </c>
      <c r="Q3389">
        <v>0</v>
      </c>
      <c r="R3389" t="s">
        <v>127</v>
      </c>
      <c r="S3389" t="str">
        <f t="shared" si="1340"/>
        <v>15:13:56.000</v>
      </c>
      <c r="T3389" t="str">
        <f t="shared" si="1340"/>
        <v>15:13:56.000</v>
      </c>
      <c r="U3389" t="str">
        <f t="shared" si="1319"/>
        <v>A68FCB</v>
      </c>
      <c r="V3389">
        <v>0</v>
      </c>
      <c r="W3389">
        <v>0</v>
      </c>
      <c r="X3389">
        <v>2</v>
      </c>
      <c r="Y3389">
        <v>0</v>
      </c>
      <c r="AA3389">
        <v>1</v>
      </c>
      <c r="AB3389">
        <v>8</v>
      </c>
      <c r="AC3389">
        <v>3</v>
      </c>
      <c r="AD3389">
        <v>0</v>
      </c>
      <c r="AE3389">
        <v>9</v>
      </c>
      <c r="AF3389" t="s">
        <v>138</v>
      </c>
      <c r="AG3389">
        <v>0</v>
      </c>
      <c r="AH3389">
        <v>3</v>
      </c>
      <c r="AI3389">
        <v>2</v>
      </c>
      <c r="AJ3389">
        <v>0</v>
      </c>
      <c r="AK3389" t="s">
        <v>1119</v>
      </c>
      <c r="AL3389">
        <v>39.140810999999999</v>
      </c>
      <c r="AM3389" t="s">
        <v>1102</v>
      </c>
      <c r="AN3389">
        <v>-121.03105499999999</v>
      </c>
      <c r="AO3389">
        <v>25</v>
      </c>
      <c r="AP3389">
        <v>4300</v>
      </c>
      <c r="AQ3389" t="s">
        <v>131</v>
      </c>
      <c r="AR3389">
        <v>-4</v>
      </c>
      <c r="AS3389">
        <v>85</v>
      </c>
      <c r="AT3389">
        <v>-192</v>
      </c>
      <c r="BB3389" t="str">
        <f t="shared" si="1320"/>
        <v>1200</v>
      </c>
      <c r="BC3389">
        <v>1</v>
      </c>
      <c r="BD3389" t="str">
        <f t="shared" si="1321"/>
        <v xml:space="preserve">N52156  </v>
      </c>
      <c r="BE3389">
        <v>1</v>
      </c>
      <c r="BG3389">
        <v>0</v>
      </c>
      <c r="BH3389">
        <v>0</v>
      </c>
      <c r="BI3389">
        <v>0</v>
      </c>
      <c r="BJ3389">
        <v>4350</v>
      </c>
      <c r="BK3389">
        <v>50</v>
      </c>
      <c r="BL3389" t="s">
        <v>188</v>
      </c>
      <c r="BM3389">
        <v>1</v>
      </c>
      <c r="BN3389">
        <v>1</v>
      </c>
      <c r="BO3389">
        <v>0</v>
      </c>
      <c r="BP3389">
        <v>0</v>
      </c>
      <c r="BS3389">
        <v>0</v>
      </c>
      <c r="BT3389">
        <v>0</v>
      </c>
      <c r="BU3389">
        <v>0</v>
      </c>
      <c r="CE3389" t="str">
        <f t="shared" si="1341"/>
        <v>15:13:56.942</v>
      </c>
      <c r="CF3389">
        <v>941812532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3</v>
      </c>
      <c r="CY3389">
        <v>7</v>
      </c>
      <c r="CZ3389" t="s">
        <v>133</v>
      </c>
      <c r="DA3389">
        <v>276</v>
      </c>
      <c r="DB3389">
        <v>0</v>
      </c>
      <c r="DC3389" t="s">
        <v>402</v>
      </c>
      <c r="DD3389" t="s">
        <v>403</v>
      </c>
      <c r="DG3389">
        <v>1628028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3">
      <c r="A3390" t="str">
        <f>"05/01/2025 15:13:57.181"</f>
        <v>05/01/2025 15:13:57.181</v>
      </c>
      <c r="C3390" t="str">
        <f t="shared" si="1318"/>
        <v>FFDFD3C0</v>
      </c>
      <c r="D3390" t="s">
        <v>145</v>
      </c>
      <c r="E3390" t="str">
        <f>"09"</f>
        <v>09</v>
      </c>
      <c r="H3390">
        <v>51</v>
      </c>
      <c r="I3390" t="s">
        <v>147</v>
      </c>
      <c r="J3390" t="s">
        <v>138</v>
      </c>
      <c r="K3390">
        <v>0</v>
      </c>
      <c r="L3390">
        <v>3</v>
      </c>
      <c r="M3390">
        <v>0</v>
      </c>
      <c r="N3390">
        <v>2</v>
      </c>
      <c r="O3390">
        <v>0</v>
      </c>
      <c r="P3390">
        <v>1</v>
      </c>
      <c r="Q3390">
        <v>0</v>
      </c>
      <c r="R3390" t="s">
        <v>127</v>
      </c>
      <c r="S3390" t="str">
        <f t="shared" si="1340"/>
        <v>15:13:56.000</v>
      </c>
      <c r="T3390" t="str">
        <f t="shared" si="1340"/>
        <v>15:13:56.000</v>
      </c>
      <c r="U3390" t="str">
        <f t="shared" si="1319"/>
        <v>A68FCB</v>
      </c>
      <c r="V3390">
        <v>0</v>
      </c>
      <c r="W3390">
        <v>0</v>
      </c>
      <c r="X3390">
        <v>2</v>
      </c>
      <c r="Y3390">
        <v>0</v>
      </c>
      <c r="AA3390">
        <v>1</v>
      </c>
      <c r="AB3390">
        <v>8</v>
      </c>
      <c r="AC3390">
        <v>3</v>
      </c>
      <c r="AD3390">
        <v>0</v>
      </c>
      <c r="AE3390">
        <v>9</v>
      </c>
      <c r="AF3390" t="s">
        <v>138</v>
      </c>
      <c r="AG3390">
        <v>0</v>
      </c>
      <c r="AH3390">
        <v>3</v>
      </c>
      <c r="AI3390">
        <v>2</v>
      </c>
      <c r="AJ3390">
        <v>0</v>
      </c>
      <c r="AK3390" t="s">
        <v>1119</v>
      </c>
      <c r="AL3390">
        <v>39.140810999999999</v>
      </c>
      <c r="AM3390" t="s">
        <v>1102</v>
      </c>
      <c r="AN3390">
        <v>-121.03105499999999</v>
      </c>
      <c r="AO3390">
        <v>25</v>
      </c>
      <c r="AP3390">
        <v>4300</v>
      </c>
      <c r="AQ3390" t="s">
        <v>131</v>
      </c>
      <c r="AR3390">
        <v>-4</v>
      </c>
      <c r="AS3390">
        <v>85</v>
      </c>
      <c r="AT3390">
        <v>-192</v>
      </c>
      <c r="BB3390" t="str">
        <f t="shared" si="1320"/>
        <v>1200</v>
      </c>
      <c r="BC3390">
        <v>1</v>
      </c>
      <c r="BD3390" t="str">
        <f t="shared" si="1321"/>
        <v xml:space="preserve">N52156  </v>
      </c>
      <c r="BE3390">
        <v>1</v>
      </c>
      <c r="BG3390">
        <v>0</v>
      </c>
      <c r="BH3390">
        <v>0</v>
      </c>
      <c r="BI3390">
        <v>0</v>
      </c>
      <c r="BJ3390">
        <v>4350</v>
      </c>
      <c r="BK3390">
        <v>50</v>
      </c>
      <c r="BL3390" t="s">
        <v>188</v>
      </c>
      <c r="BM3390">
        <v>1</v>
      </c>
      <c r="BN3390">
        <v>1</v>
      </c>
      <c r="BO3390">
        <v>0</v>
      </c>
      <c r="BP3390">
        <v>0</v>
      </c>
      <c r="BS3390">
        <v>0</v>
      </c>
      <c r="BT3390">
        <v>0</v>
      </c>
      <c r="BU3390">
        <v>0</v>
      </c>
      <c r="CE3390" t="str">
        <f t="shared" si="1341"/>
        <v>15:13:56.942</v>
      </c>
      <c r="CF3390">
        <v>941812532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3</v>
      </c>
      <c r="CY3390">
        <v>7</v>
      </c>
      <c r="CZ3390" t="s">
        <v>133</v>
      </c>
      <c r="DA3390">
        <v>276</v>
      </c>
      <c r="DB3390">
        <v>0</v>
      </c>
      <c r="DC3390" t="s">
        <v>402</v>
      </c>
      <c r="DD3390" t="s">
        <v>403</v>
      </c>
      <c r="DG3390">
        <v>1628028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3">
      <c r="A3391" t="str">
        <f>"05/01/2025 15:13:57.184"</f>
        <v>05/01/2025 15:13:57.184</v>
      </c>
      <c r="C3391" t="str">
        <f t="shared" si="1318"/>
        <v>FFDFD3C0</v>
      </c>
      <c r="D3391" t="s">
        <v>145</v>
      </c>
      <c r="E3391" t="str">
        <f>"05"</f>
        <v>05</v>
      </c>
      <c r="H3391">
        <v>47</v>
      </c>
      <c r="I3391" t="s">
        <v>146</v>
      </c>
      <c r="J3391" t="s">
        <v>138</v>
      </c>
      <c r="K3391">
        <v>0</v>
      </c>
      <c r="L3391">
        <v>3</v>
      </c>
      <c r="M3391">
        <v>0</v>
      </c>
      <c r="N3391">
        <v>2</v>
      </c>
      <c r="O3391">
        <v>0</v>
      </c>
      <c r="P3391">
        <v>1</v>
      </c>
      <c r="Q3391">
        <v>0</v>
      </c>
      <c r="R3391" t="s">
        <v>127</v>
      </c>
      <c r="S3391" t="str">
        <f t="shared" si="1340"/>
        <v>15:13:56.000</v>
      </c>
      <c r="T3391" t="str">
        <f t="shared" si="1340"/>
        <v>15:13:56.000</v>
      </c>
      <c r="U3391" t="str">
        <f t="shared" si="1319"/>
        <v>A68FCB</v>
      </c>
      <c r="V3391">
        <v>0</v>
      </c>
      <c r="W3391">
        <v>0</v>
      </c>
      <c r="X3391">
        <v>2</v>
      </c>
      <c r="Y3391">
        <v>0</v>
      </c>
      <c r="AA3391">
        <v>1</v>
      </c>
      <c r="AB3391">
        <v>8</v>
      </c>
      <c r="AC3391">
        <v>3</v>
      </c>
      <c r="AD3391">
        <v>0</v>
      </c>
      <c r="AE3391">
        <v>9</v>
      </c>
      <c r="AF3391" t="s">
        <v>138</v>
      </c>
      <c r="AG3391">
        <v>0</v>
      </c>
      <c r="AH3391">
        <v>3</v>
      </c>
      <c r="AI3391">
        <v>2</v>
      </c>
      <c r="AJ3391">
        <v>0</v>
      </c>
      <c r="AK3391" t="s">
        <v>1119</v>
      </c>
      <c r="AL3391">
        <v>39.140810999999999</v>
      </c>
      <c r="AM3391" t="s">
        <v>1102</v>
      </c>
      <c r="AN3391">
        <v>-121.03105499999999</v>
      </c>
      <c r="AO3391">
        <v>25</v>
      </c>
      <c r="AP3391">
        <v>4300</v>
      </c>
      <c r="AQ3391" t="s">
        <v>131</v>
      </c>
      <c r="AR3391">
        <v>-4</v>
      </c>
      <c r="AS3391">
        <v>85</v>
      </c>
      <c r="AT3391">
        <v>-192</v>
      </c>
      <c r="BB3391" t="str">
        <f t="shared" si="1320"/>
        <v>1200</v>
      </c>
      <c r="BC3391">
        <v>1</v>
      </c>
      <c r="BD3391" t="str">
        <f t="shared" si="1321"/>
        <v xml:space="preserve">N52156  </v>
      </c>
      <c r="BE3391">
        <v>1</v>
      </c>
      <c r="BG3391">
        <v>0</v>
      </c>
      <c r="BH3391">
        <v>0</v>
      </c>
      <c r="BI3391">
        <v>0</v>
      </c>
      <c r="BJ3391">
        <v>4350</v>
      </c>
      <c r="BK3391">
        <v>50</v>
      </c>
      <c r="BL3391" t="s">
        <v>188</v>
      </c>
      <c r="BM3391">
        <v>1</v>
      </c>
      <c r="BN3391">
        <v>1</v>
      </c>
      <c r="BO3391">
        <v>0</v>
      </c>
      <c r="BP3391">
        <v>0</v>
      </c>
      <c r="BS3391">
        <v>0</v>
      </c>
      <c r="BT3391">
        <v>0</v>
      </c>
      <c r="BU3391">
        <v>0</v>
      </c>
      <c r="CE3391" t="str">
        <f t="shared" si="1341"/>
        <v>15:13:56.942</v>
      </c>
      <c r="CF3391">
        <v>941812532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3</v>
      </c>
      <c r="CY3391">
        <v>7</v>
      </c>
      <c r="CZ3391" t="s">
        <v>133</v>
      </c>
      <c r="DA3391">
        <v>276</v>
      </c>
      <c r="DB3391">
        <v>0</v>
      </c>
      <c r="DC3391" t="s">
        <v>402</v>
      </c>
      <c r="DD3391" t="s">
        <v>403</v>
      </c>
      <c r="DG3391">
        <v>1628028</v>
      </c>
      <c r="DI3391">
        <v>1</v>
      </c>
      <c r="DJ3391">
        <v>0</v>
      </c>
      <c r="DK3391">
        <v>1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3">
      <c r="A3392" t="str">
        <f>"05/01/2025 15:13:57.910"</f>
        <v>05/01/2025 15:13:57.910</v>
      </c>
      <c r="C3392" t="str">
        <f t="shared" si="1318"/>
        <v>FFDFD3C0</v>
      </c>
      <c r="D3392" t="s">
        <v>143</v>
      </c>
      <c r="E3392" t="str">
        <f>"05"</f>
        <v>05</v>
      </c>
      <c r="H3392">
        <v>172</v>
      </c>
      <c r="I3392" t="s">
        <v>141</v>
      </c>
      <c r="J3392" t="s">
        <v>144</v>
      </c>
      <c r="K3392">
        <v>0</v>
      </c>
      <c r="L3392">
        <v>3</v>
      </c>
      <c r="M3392">
        <v>0</v>
      </c>
      <c r="N3392">
        <v>2</v>
      </c>
      <c r="O3392">
        <v>0</v>
      </c>
      <c r="P3392">
        <v>1</v>
      </c>
      <c r="Q3392">
        <v>0</v>
      </c>
      <c r="R3392" t="s">
        <v>127</v>
      </c>
      <c r="S3392" t="str">
        <f t="shared" ref="S3392:T3397" si="1342">"15:13:57.000"</f>
        <v>15:13:57.000</v>
      </c>
      <c r="T3392" t="str">
        <f t="shared" si="1342"/>
        <v>15:13:57.000</v>
      </c>
      <c r="U3392" t="str">
        <f t="shared" si="1319"/>
        <v>A68FCB</v>
      </c>
      <c r="V3392">
        <v>0</v>
      </c>
      <c r="W3392">
        <v>0</v>
      </c>
      <c r="X3392">
        <v>2</v>
      </c>
      <c r="Y3392">
        <v>0</v>
      </c>
      <c r="AA3392">
        <v>1</v>
      </c>
      <c r="AB3392">
        <v>8</v>
      </c>
      <c r="AC3392">
        <v>3</v>
      </c>
      <c r="AD3392">
        <v>0</v>
      </c>
      <c r="AE3392">
        <v>9</v>
      </c>
      <c r="AF3392" t="s">
        <v>138</v>
      </c>
      <c r="AG3392">
        <v>0</v>
      </c>
      <c r="AH3392">
        <v>3</v>
      </c>
      <c r="AI3392">
        <v>2</v>
      </c>
      <c r="AJ3392">
        <v>0</v>
      </c>
      <c r="AK3392" t="s">
        <v>1120</v>
      </c>
      <c r="AL3392">
        <v>39.141219</v>
      </c>
      <c r="AM3392" t="s">
        <v>1099</v>
      </c>
      <c r="AN3392">
        <v>-121.031077</v>
      </c>
      <c r="AO3392">
        <v>25</v>
      </c>
      <c r="AP3392">
        <v>4300</v>
      </c>
      <c r="AQ3392" t="s">
        <v>131</v>
      </c>
      <c r="AR3392">
        <v>-4</v>
      </c>
      <c r="AS3392">
        <v>86</v>
      </c>
      <c r="AT3392">
        <v>-192</v>
      </c>
      <c r="BB3392" t="str">
        <f t="shared" si="1320"/>
        <v>1200</v>
      </c>
      <c r="BC3392">
        <v>1</v>
      </c>
      <c r="BD3392" t="str">
        <f t="shared" si="1321"/>
        <v xml:space="preserve">N52156  </v>
      </c>
      <c r="BE3392">
        <v>1</v>
      </c>
      <c r="BG3392">
        <v>0</v>
      </c>
      <c r="BH3392">
        <v>0</v>
      </c>
      <c r="BI3392">
        <v>0</v>
      </c>
      <c r="BJ3392">
        <v>4350</v>
      </c>
      <c r="BK3392">
        <v>50</v>
      </c>
      <c r="BL3392" t="s">
        <v>188</v>
      </c>
      <c r="BM3392">
        <v>1</v>
      </c>
      <c r="BN3392">
        <v>1</v>
      </c>
      <c r="BO3392">
        <v>0</v>
      </c>
      <c r="BP3392">
        <v>0</v>
      </c>
      <c r="BS3392">
        <v>0</v>
      </c>
      <c r="BT3392">
        <v>0</v>
      </c>
      <c r="BU3392">
        <v>0</v>
      </c>
      <c r="CE3392" t="str">
        <f t="shared" ref="CE3392:CE3397" si="1343">"15:13:57.699"</f>
        <v>15:13:57.699</v>
      </c>
      <c r="CF3392">
        <v>699311990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3</v>
      </c>
      <c r="CY3392">
        <v>7</v>
      </c>
      <c r="CZ3392" t="s">
        <v>133</v>
      </c>
      <c r="DA3392">
        <v>276</v>
      </c>
      <c r="DB3392">
        <v>0</v>
      </c>
      <c r="DC3392" t="s">
        <v>402</v>
      </c>
      <c r="DD3392" t="s">
        <v>403</v>
      </c>
      <c r="DG3392">
        <v>1628030</v>
      </c>
      <c r="DI3392">
        <v>1</v>
      </c>
      <c r="DJ3392">
        <v>0</v>
      </c>
      <c r="DK3392">
        <v>0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3">
      <c r="A3393" t="str">
        <f>"05/01/2025 15:13:57.920"</f>
        <v>05/01/2025 15:13:57.920</v>
      </c>
      <c r="C3393" t="str">
        <f t="shared" si="1318"/>
        <v>FFDFD3C0</v>
      </c>
      <c r="D3393" t="s">
        <v>140</v>
      </c>
      <c r="E3393" t="str">
        <f>"13"</f>
        <v>13</v>
      </c>
      <c r="F3393">
        <v>1019</v>
      </c>
      <c r="G3393" t="s">
        <v>141</v>
      </c>
      <c r="J3393" t="s">
        <v>142</v>
      </c>
      <c r="K3393">
        <v>0</v>
      </c>
      <c r="L3393">
        <v>3</v>
      </c>
      <c r="M3393">
        <v>0</v>
      </c>
      <c r="N3393">
        <v>2</v>
      </c>
      <c r="O3393">
        <v>0</v>
      </c>
      <c r="P3393">
        <v>1</v>
      </c>
      <c r="Q3393">
        <v>0</v>
      </c>
      <c r="R3393" t="s">
        <v>127</v>
      </c>
      <c r="S3393" t="str">
        <f t="shared" si="1342"/>
        <v>15:13:57.000</v>
      </c>
      <c r="T3393" t="str">
        <f t="shared" si="1342"/>
        <v>15:13:57.000</v>
      </c>
      <c r="U3393" t="str">
        <f t="shared" si="1319"/>
        <v>A68FCB</v>
      </c>
      <c r="V3393">
        <v>0</v>
      </c>
      <c r="W3393">
        <v>0</v>
      </c>
      <c r="X3393">
        <v>2</v>
      </c>
      <c r="Y3393">
        <v>0</v>
      </c>
      <c r="AA3393">
        <v>1</v>
      </c>
      <c r="AB3393">
        <v>8</v>
      </c>
      <c r="AC3393">
        <v>3</v>
      </c>
      <c r="AD3393">
        <v>0</v>
      </c>
      <c r="AE3393">
        <v>9</v>
      </c>
      <c r="AF3393" t="s">
        <v>138</v>
      </c>
      <c r="AG3393">
        <v>0</v>
      </c>
      <c r="AH3393">
        <v>3</v>
      </c>
      <c r="AI3393">
        <v>2</v>
      </c>
      <c r="AJ3393">
        <v>0</v>
      </c>
      <c r="AK3393" t="s">
        <v>1120</v>
      </c>
      <c r="AL3393">
        <v>39.141219</v>
      </c>
      <c r="AM3393" t="s">
        <v>1099</v>
      </c>
      <c r="AN3393">
        <v>-121.031077</v>
      </c>
      <c r="AO3393">
        <v>25</v>
      </c>
      <c r="AP3393">
        <v>4300</v>
      </c>
      <c r="AQ3393" t="s">
        <v>131</v>
      </c>
      <c r="AR3393">
        <v>-4</v>
      </c>
      <c r="AS3393">
        <v>86</v>
      </c>
      <c r="AT3393">
        <v>-192</v>
      </c>
      <c r="BB3393" t="str">
        <f t="shared" si="1320"/>
        <v>1200</v>
      </c>
      <c r="BC3393">
        <v>1</v>
      </c>
      <c r="BD3393" t="str">
        <f t="shared" si="1321"/>
        <v xml:space="preserve">N52156  </v>
      </c>
      <c r="BE3393">
        <v>1</v>
      </c>
      <c r="BG3393">
        <v>0</v>
      </c>
      <c r="BH3393">
        <v>0</v>
      </c>
      <c r="BI3393">
        <v>0</v>
      </c>
      <c r="BJ3393">
        <v>4350</v>
      </c>
      <c r="BK3393">
        <v>50</v>
      </c>
      <c r="BL3393" t="s">
        <v>188</v>
      </c>
      <c r="BM3393">
        <v>1</v>
      </c>
      <c r="BN3393">
        <v>1</v>
      </c>
      <c r="BO3393">
        <v>0</v>
      </c>
      <c r="BP3393">
        <v>0</v>
      </c>
      <c r="BS3393">
        <v>0</v>
      </c>
      <c r="BT3393">
        <v>0</v>
      </c>
      <c r="BU3393">
        <v>0</v>
      </c>
      <c r="CE3393" t="str">
        <f t="shared" si="1343"/>
        <v>15:13:57.699</v>
      </c>
      <c r="CF3393">
        <v>699311990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3</v>
      </c>
      <c r="CY3393">
        <v>7</v>
      </c>
      <c r="CZ3393" t="s">
        <v>133</v>
      </c>
      <c r="DA3393">
        <v>276</v>
      </c>
      <c r="DB3393">
        <v>0</v>
      </c>
      <c r="DC3393" t="s">
        <v>402</v>
      </c>
      <c r="DD3393" t="s">
        <v>403</v>
      </c>
      <c r="DG3393">
        <v>1628030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3">
      <c r="A3394" t="str">
        <f>"05/01/2025 15:13:57.921"</f>
        <v>05/01/2025 15:13:57.921</v>
      </c>
      <c r="C3394" t="str">
        <f t="shared" ref="C3394:C3457" si="1344">"FFDFD3C0"</f>
        <v>FFDFD3C0</v>
      </c>
      <c r="D3394" t="s">
        <v>124</v>
      </c>
      <c r="E3394" t="str">
        <f>"06"</f>
        <v>06</v>
      </c>
      <c r="F3394">
        <v>2006</v>
      </c>
      <c r="G3394" t="s">
        <v>125</v>
      </c>
      <c r="J3394" t="s">
        <v>126</v>
      </c>
      <c r="K3394">
        <v>0</v>
      </c>
      <c r="L3394">
        <v>3</v>
      </c>
      <c r="M3394">
        <v>0</v>
      </c>
      <c r="N3394">
        <v>2</v>
      </c>
      <c r="O3394">
        <v>0</v>
      </c>
      <c r="P3394">
        <v>1</v>
      </c>
      <c r="Q3394">
        <v>0</v>
      </c>
      <c r="R3394" t="s">
        <v>127</v>
      </c>
      <c r="S3394" t="str">
        <f t="shared" si="1342"/>
        <v>15:13:57.000</v>
      </c>
      <c r="T3394" t="str">
        <f t="shared" si="1342"/>
        <v>15:13:57.000</v>
      </c>
      <c r="U3394" t="str">
        <f t="shared" ref="U3394:U3457" si="1345">"A68FCB"</f>
        <v>A68FCB</v>
      </c>
      <c r="V3394">
        <v>0</v>
      </c>
      <c r="W3394">
        <v>0</v>
      </c>
      <c r="X3394">
        <v>2</v>
      </c>
      <c r="Y3394">
        <v>0</v>
      </c>
      <c r="AA3394">
        <v>1</v>
      </c>
      <c r="AB3394">
        <v>8</v>
      </c>
      <c r="AC3394">
        <v>3</v>
      </c>
      <c r="AD3394">
        <v>0</v>
      </c>
      <c r="AE3394">
        <v>9</v>
      </c>
      <c r="AF3394" t="s">
        <v>138</v>
      </c>
      <c r="AG3394">
        <v>0</v>
      </c>
      <c r="AH3394">
        <v>3</v>
      </c>
      <c r="AI3394">
        <v>2</v>
      </c>
      <c r="AJ3394">
        <v>0</v>
      </c>
      <c r="AK3394" t="s">
        <v>1120</v>
      </c>
      <c r="AL3394">
        <v>39.141219</v>
      </c>
      <c r="AM3394" t="s">
        <v>1099</v>
      </c>
      <c r="AN3394">
        <v>-121.031077</v>
      </c>
      <c r="AO3394">
        <v>25</v>
      </c>
      <c r="AP3394">
        <v>4300</v>
      </c>
      <c r="AQ3394" t="s">
        <v>131</v>
      </c>
      <c r="AR3394">
        <v>-4</v>
      </c>
      <c r="AS3394">
        <v>86</v>
      </c>
      <c r="AT3394">
        <v>-192</v>
      </c>
      <c r="BB3394" t="str">
        <f t="shared" ref="BB3394:BB3457" si="1346">"1200"</f>
        <v>1200</v>
      </c>
      <c r="BC3394">
        <v>1</v>
      </c>
      <c r="BD3394" t="str">
        <f t="shared" ref="BD3394:BD3457" si="1347">"N52156  "</f>
        <v xml:space="preserve">N52156  </v>
      </c>
      <c r="BE3394">
        <v>1</v>
      </c>
      <c r="BG3394">
        <v>0</v>
      </c>
      <c r="BH3394">
        <v>0</v>
      </c>
      <c r="BI3394">
        <v>0</v>
      </c>
      <c r="BJ3394">
        <v>4350</v>
      </c>
      <c r="BK3394">
        <v>50</v>
      </c>
      <c r="BL3394" t="s">
        <v>188</v>
      </c>
      <c r="BM3394">
        <v>1</v>
      </c>
      <c r="BN3394">
        <v>1</v>
      </c>
      <c r="BO3394">
        <v>0</v>
      </c>
      <c r="BP3394">
        <v>0</v>
      </c>
      <c r="BS3394">
        <v>0</v>
      </c>
      <c r="BT3394">
        <v>0</v>
      </c>
      <c r="BU3394">
        <v>0</v>
      </c>
      <c r="CE3394" t="str">
        <f t="shared" si="1343"/>
        <v>15:13:57.699</v>
      </c>
      <c r="CF3394">
        <v>699311990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3</v>
      </c>
      <c r="CY3394">
        <v>7</v>
      </c>
      <c r="CZ3394" t="s">
        <v>133</v>
      </c>
      <c r="DA3394">
        <v>276</v>
      </c>
      <c r="DB3394">
        <v>0</v>
      </c>
      <c r="DC3394" t="s">
        <v>402</v>
      </c>
      <c r="DD3394" t="s">
        <v>403</v>
      </c>
      <c r="DG3394">
        <v>1628030</v>
      </c>
      <c r="DI3394">
        <v>1</v>
      </c>
      <c r="DJ3394">
        <v>0</v>
      </c>
      <c r="DK3394">
        <v>1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3">
      <c r="A3395" t="str">
        <f>"05/01/2025 15:13:57.932"</f>
        <v>05/01/2025 15:13:57.932</v>
      </c>
      <c r="C3395" t="str">
        <f t="shared" si="1344"/>
        <v>FFDFD3C0</v>
      </c>
      <c r="D3395" t="s">
        <v>145</v>
      </c>
      <c r="E3395" t="str">
        <f>"09"</f>
        <v>09</v>
      </c>
      <c r="H3395">
        <v>51</v>
      </c>
      <c r="I3395" t="s">
        <v>147</v>
      </c>
      <c r="J3395" t="s">
        <v>138</v>
      </c>
      <c r="K3395">
        <v>0</v>
      </c>
      <c r="L3395">
        <v>3</v>
      </c>
      <c r="M3395">
        <v>0</v>
      </c>
      <c r="N3395">
        <v>2</v>
      </c>
      <c r="O3395">
        <v>0</v>
      </c>
      <c r="P3395">
        <v>1</v>
      </c>
      <c r="Q3395">
        <v>0</v>
      </c>
      <c r="R3395" t="s">
        <v>127</v>
      </c>
      <c r="S3395" t="str">
        <f t="shared" si="1342"/>
        <v>15:13:57.000</v>
      </c>
      <c r="T3395" t="str">
        <f t="shared" si="1342"/>
        <v>15:13:57.000</v>
      </c>
      <c r="U3395" t="str">
        <f t="shared" si="1345"/>
        <v>A68FCB</v>
      </c>
      <c r="V3395">
        <v>0</v>
      </c>
      <c r="W3395">
        <v>0</v>
      </c>
      <c r="X3395">
        <v>2</v>
      </c>
      <c r="Y3395">
        <v>0</v>
      </c>
      <c r="AA3395">
        <v>1</v>
      </c>
      <c r="AB3395">
        <v>8</v>
      </c>
      <c r="AC3395">
        <v>3</v>
      </c>
      <c r="AD3395">
        <v>0</v>
      </c>
      <c r="AE3395">
        <v>9</v>
      </c>
      <c r="AF3395" t="s">
        <v>138</v>
      </c>
      <c r="AG3395">
        <v>0</v>
      </c>
      <c r="AH3395">
        <v>3</v>
      </c>
      <c r="AI3395">
        <v>2</v>
      </c>
      <c r="AJ3395">
        <v>0</v>
      </c>
      <c r="AK3395" t="s">
        <v>1120</v>
      </c>
      <c r="AL3395">
        <v>39.141219</v>
      </c>
      <c r="AM3395" t="s">
        <v>1099</v>
      </c>
      <c r="AN3395">
        <v>-121.031077</v>
      </c>
      <c r="AO3395">
        <v>25</v>
      </c>
      <c r="AP3395">
        <v>4300</v>
      </c>
      <c r="AQ3395" t="s">
        <v>131</v>
      </c>
      <c r="AR3395">
        <v>-4</v>
      </c>
      <c r="AS3395">
        <v>86</v>
      </c>
      <c r="AT3395">
        <v>-192</v>
      </c>
      <c r="BB3395" t="str">
        <f t="shared" si="1346"/>
        <v>1200</v>
      </c>
      <c r="BC3395">
        <v>1</v>
      </c>
      <c r="BD3395" t="str">
        <f t="shared" si="1347"/>
        <v xml:space="preserve">N52156  </v>
      </c>
      <c r="BE3395">
        <v>1</v>
      </c>
      <c r="BG3395">
        <v>0</v>
      </c>
      <c r="BH3395">
        <v>0</v>
      </c>
      <c r="BI3395">
        <v>0</v>
      </c>
      <c r="BJ3395">
        <v>4350</v>
      </c>
      <c r="BK3395">
        <v>50</v>
      </c>
      <c r="BL3395" t="s">
        <v>188</v>
      </c>
      <c r="BM3395">
        <v>1</v>
      </c>
      <c r="BN3395">
        <v>1</v>
      </c>
      <c r="BO3395">
        <v>0</v>
      </c>
      <c r="BP3395">
        <v>0</v>
      </c>
      <c r="BS3395">
        <v>0</v>
      </c>
      <c r="BT3395">
        <v>0</v>
      </c>
      <c r="BU3395">
        <v>0</v>
      </c>
      <c r="CE3395" t="str">
        <f t="shared" si="1343"/>
        <v>15:13:57.699</v>
      </c>
      <c r="CF3395">
        <v>699311990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3</v>
      </c>
      <c r="CY3395">
        <v>7</v>
      </c>
      <c r="CZ3395" t="s">
        <v>133</v>
      </c>
      <c r="DA3395">
        <v>276</v>
      </c>
      <c r="DB3395">
        <v>0</v>
      </c>
      <c r="DC3395" t="s">
        <v>402</v>
      </c>
      <c r="DD3395" t="s">
        <v>403</v>
      </c>
      <c r="DG3395">
        <v>1628030</v>
      </c>
      <c r="DI3395">
        <v>1</v>
      </c>
      <c r="DJ3395">
        <v>0</v>
      </c>
      <c r="DK3395">
        <v>1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3">
      <c r="A3396" t="str">
        <f>"05/01/2025 15:13:57.935"</f>
        <v>05/01/2025 15:13:57.935</v>
      </c>
      <c r="C3396" t="str">
        <f t="shared" si="1344"/>
        <v>FFDFD3C0</v>
      </c>
      <c r="D3396" t="s">
        <v>145</v>
      </c>
      <c r="E3396" t="str">
        <f>"05"</f>
        <v>05</v>
      </c>
      <c r="H3396">
        <v>47</v>
      </c>
      <c r="I3396" t="s">
        <v>146</v>
      </c>
      <c r="J3396" t="s">
        <v>138</v>
      </c>
      <c r="K3396">
        <v>0</v>
      </c>
      <c r="L3396">
        <v>3</v>
      </c>
      <c r="M3396">
        <v>0</v>
      </c>
      <c r="N3396">
        <v>2</v>
      </c>
      <c r="O3396">
        <v>0</v>
      </c>
      <c r="P3396">
        <v>1</v>
      </c>
      <c r="Q3396">
        <v>0</v>
      </c>
      <c r="R3396" t="s">
        <v>127</v>
      </c>
      <c r="S3396" t="str">
        <f t="shared" si="1342"/>
        <v>15:13:57.000</v>
      </c>
      <c r="T3396" t="str">
        <f t="shared" si="1342"/>
        <v>15:13:57.000</v>
      </c>
      <c r="U3396" t="str">
        <f t="shared" si="1345"/>
        <v>A68FCB</v>
      </c>
      <c r="V3396">
        <v>0</v>
      </c>
      <c r="W3396">
        <v>0</v>
      </c>
      <c r="X3396">
        <v>2</v>
      </c>
      <c r="Y3396">
        <v>0</v>
      </c>
      <c r="AA3396">
        <v>1</v>
      </c>
      <c r="AB3396">
        <v>8</v>
      </c>
      <c r="AC3396">
        <v>3</v>
      </c>
      <c r="AD3396">
        <v>0</v>
      </c>
      <c r="AE3396">
        <v>9</v>
      </c>
      <c r="AF3396" t="s">
        <v>138</v>
      </c>
      <c r="AG3396">
        <v>0</v>
      </c>
      <c r="AH3396">
        <v>3</v>
      </c>
      <c r="AI3396">
        <v>2</v>
      </c>
      <c r="AJ3396">
        <v>0</v>
      </c>
      <c r="AK3396" t="s">
        <v>1120</v>
      </c>
      <c r="AL3396">
        <v>39.141219</v>
      </c>
      <c r="AM3396" t="s">
        <v>1099</v>
      </c>
      <c r="AN3396">
        <v>-121.031077</v>
      </c>
      <c r="AO3396">
        <v>25</v>
      </c>
      <c r="AP3396">
        <v>4300</v>
      </c>
      <c r="AQ3396" t="s">
        <v>131</v>
      </c>
      <c r="AR3396">
        <v>-4</v>
      </c>
      <c r="AS3396">
        <v>86</v>
      </c>
      <c r="AT3396">
        <v>-192</v>
      </c>
      <c r="BB3396" t="str">
        <f t="shared" si="1346"/>
        <v>1200</v>
      </c>
      <c r="BC3396">
        <v>1</v>
      </c>
      <c r="BD3396" t="str">
        <f t="shared" si="1347"/>
        <v xml:space="preserve">N52156  </v>
      </c>
      <c r="BE3396">
        <v>1</v>
      </c>
      <c r="BG3396">
        <v>0</v>
      </c>
      <c r="BH3396">
        <v>0</v>
      </c>
      <c r="BI3396">
        <v>0</v>
      </c>
      <c r="BJ3396">
        <v>4350</v>
      </c>
      <c r="BK3396">
        <v>50</v>
      </c>
      <c r="BL3396" t="s">
        <v>188</v>
      </c>
      <c r="BM3396">
        <v>1</v>
      </c>
      <c r="BN3396">
        <v>1</v>
      </c>
      <c r="BO3396">
        <v>0</v>
      </c>
      <c r="BP3396">
        <v>0</v>
      </c>
      <c r="BS3396">
        <v>0</v>
      </c>
      <c r="BT3396">
        <v>0</v>
      </c>
      <c r="BU3396">
        <v>0</v>
      </c>
      <c r="CE3396" t="str">
        <f t="shared" si="1343"/>
        <v>15:13:57.699</v>
      </c>
      <c r="CF3396">
        <v>699311990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3</v>
      </c>
      <c r="CY3396">
        <v>7</v>
      </c>
      <c r="CZ3396" t="s">
        <v>133</v>
      </c>
      <c r="DA3396">
        <v>276</v>
      </c>
      <c r="DB3396">
        <v>0</v>
      </c>
      <c r="DC3396" t="s">
        <v>402</v>
      </c>
      <c r="DD3396" t="s">
        <v>403</v>
      </c>
      <c r="DG3396">
        <v>1628030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3">
      <c r="A3397" t="str">
        <f>"05/01/2025 15:13:57.946"</f>
        <v>05/01/2025 15:13:57.946</v>
      </c>
      <c r="C3397" t="str">
        <f t="shared" si="1344"/>
        <v>FFDFD3C0</v>
      </c>
      <c r="D3397" t="s">
        <v>136</v>
      </c>
      <c r="E3397" t="str">
        <f>"20"</f>
        <v>20</v>
      </c>
      <c r="H3397">
        <v>400</v>
      </c>
      <c r="I3397" t="s">
        <v>137</v>
      </c>
      <c r="J3397" t="s">
        <v>138</v>
      </c>
      <c r="K3397">
        <v>0</v>
      </c>
      <c r="L3397">
        <v>3</v>
      </c>
      <c r="M3397">
        <v>0</v>
      </c>
      <c r="N3397">
        <v>2</v>
      </c>
      <c r="O3397">
        <v>0</v>
      </c>
      <c r="P3397">
        <v>1</v>
      </c>
      <c r="Q3397">
        <v>0</v>
      </c>
      <c r="R3397" t="s">
        <v>127</v>
      </c>
      <c r="S3397" t="str">
        <f t="shared" si="1342"/>
        <v>15:13:57.000</v>
      </c>
      <c r="T3397" t="str">
        <f t="shared" si="1342"/>
        <v>15:13:57.000</v>
      </c>
      <c r="U3397" t="str">
        <f t="shared" si="1345"/>
        <v>A68FCB</v>
      </c>
      <c r="V3397">
        <v>0</v>
      </c>
      <c r="W3397">
        <v>0</v>
      </c>
      <c r="X3397">
        <v>2</v>
      </c>
      <c r="Y3397">
        <v>0</v>
      </c>
      <c r="AA3397">
        <v>1</v>
      </c>
      <c r="AB3397">
        <v>8</v>
      </c>
      <c r="AC3397">
        <v>3</v>
      </c>
      <c r="AD3397">
        <v>0</v>
      </c>
      <c r="AE3397">
        <v>9</v>
      </c>
      <c r="AF3397" t="s">
        <v>138</v>
      </c>
      <c r="AG3397">
        <v>0</v>
      </c>
      <c r="AH3397">
        <v>3</v>
      </c>
      <c r="AI3397">
        <v>2</v>
      </c>
      <c r="AJ3397">
        <v>0</v>
      </c>
      <c r="AK3397" t="s">
        <v>1120</v>
      </c>
      <c r="AL3397">
        <v>39.141219</v>
      </c>
      <c r="AM3397" t="s">
        <v>1099</v>
      </c>
      <c r="AN3397">
        <v>-121.031077</v>
      </c>
      <c r="AO3397">
        <v>25</v>
      </c>
      <c r="AP3397">
        <v>4300</v>
      </c>
      <c r="AQ3397" t="s">
        <v>131</v>
      </c>
      <c r="AR3397">
        <v>-4</v>
      </c>
      <c r="AS3397">
        <v>86</v>
      </c>
      <c r="AT3397">
        <v>-192</v>
      </c>
      <c r="BB3397" t="str">
        <f t="shared" si="1346"/>
        <v>1200</v>
      </c>
      <c r="BC3397">
        <v>1</v>
      </c>
      <c r="BD3397" t="str">
        <f t="shared" si="1347"/>
        <v xml:space="preserve">N52156  </v>
      </c>
      <c r="BE3397">
        <v>1</v>
      </c>
      <c r="BG3397">
        <v>0</v>
      </c>
      <c r="BH3397">
        <v>0</v>
      </c>
      <c r="BI3397">
        <v>0</v>
      </c>
      <c r="BJ3397">
        <v>4350</v>
      </c>
      <c r="BK3397">
        <v>50</v>
      </c>
      <c r="BL3397" t="s">
        <v>188</v>
      </c>
      <c r="BM3397">
        <v>1</v>
      </c>
      <c r="BN3397">
        <v>1</v>
      </c>
      <c r="BO3397">
        <v>0</v>
      </c>
      <c r="BP3397">
        <v>0</v>
      </c>
      <c r="BS3397">
        <v>0</v>
      </c>
      <c r="BT3397">
        <v>0</v>
      </c>
      <c r="BU3397">
        <v>0</v>
      </c>
      <c r="CE3397" t="str">
        <f t="shared" si="1343"/>
        <v>15:13:57.699</v>
      </c>
      <c r="CF3397">
        <v>699311990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3</v>
      </c>
      <c r="CY3397">
        <v>7</v>
      </c>
      <c r="CZ3397" t="s">
        <v>133</v>
      </c>
      <c r="DA3397">
        <v>276</v>
      </c>
      <c r="DB3397">
        <v>0</v>
      </c>
      <c r="DC3397" t="s">
        <v>402</v>
      </c>
      <c r="DD3397" t="s">
        <v>403</v>
      </c>
      <c r="DG3397">
        <v>1628030</v>
      </c>
      <c r="DI3397">
        <v>1</v>
      </c>
      <c r="DJ3397">
        <v>0</v>
      </c>
      <c r="DK3397">
        <v>1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3">
      <c r="A3398" t="str">
        <f>"05/01/2025 15:13:58.461"</f>
        <v>05/01/2025 15:13:58.461</v>
      </c>
      <c r="C3398" t="str">
        <f t="shared" si="1344"/>
        <v>FFDFD3C0</v>
      </c>
      <c r="D3398" t="s">
        <v>143</v>
      </c>
      <c r="E3398" t="str">
        <f>"05"</f>
        <v>05</v>
      </c>
      <c r="H3398">
        <v>172</v>
      </c>
      <c r="I3398" t="s">
        <v>141</v>
      </c>
      <c r="J3398" t="s">
        <v>144</v>
      </c>
      <c r="K3398">
        <v>0</v>
      </c>
      <c r="L3398">
        <v>3</v>
      </c>
      <c r="M3398">
        <v>0</v>
      </c>
      <c r="N3398">
        <v>2</v>
      </c>
      <c r="O3398">
        <v>0</v>
      </c>
      <c r="P3398">
        <v>1</v>
      </c>
      <c r="Q3398">
        <v>0</v>
      </c>
      <c r="R3398" t="s">
        <v>127</v>
      </c>
      <c r="S3398" t="str">
        <f t="shared" ref="S3398:T3403" si="1348">"15:13:58.000"</f>
        <v>15:13:58.000</v>
      </c>
      <c r="T3398" t="str">
        <f t="shared" si="1348"/>
        <v>15:13:58.000</v>
      </c>
      <c r="U3398" t="str">
        <f t="shared" si="1345"/>
        <v>A68FCB</v>
      </c>
      <c r="V3398">
        <v>0</v>
      </c>
      <c r="W3398">
        <v>0</v>
      </c>
      <c r="X3398">
        <v>2</v>
      </c>
      <c r="Y3398">
        <v>0</v>
      </c>
      <c r="AA3398">
        <v>1</v>
      </c>
      <c r="AB3398">
        <v>8</v>
      </c>
      <c r="AC3398">
        <v>3</v>
      </c>
      <c r="AD3398">
        <v>0</v>
      </c>
      <c r="AE3398">
        <v>9</v>
      </c>
      <c r="AF3398" t="s">
        <v>138</v>
      </c>
      <c r="AG3398">
        <v>0</v>
      </c>
      <c r="AH3398">
        <v>3</v>
      </c>
      <c r="AI3398">
        <v>2</v>
      </c>
      <c r="AJ3398">
        <v>0</v>
      </c>
      <c r="AK3398" t="s">
        <v>1121</v>
      </c>
      <c r="AL3398">
        <v>39.141604999999998</v>
      </c>
      <c r="AM3398" t="s">
        <v>1094</v>
      </c>
      <c r="AN3398">
        <v>-121.03112</v>
      </c>
      <c r="AO3398">
        <v>25</v>
      </c>
      <c r="AP3398">
        <v>4300</v>
      </c>
      <c r="AQ3398" t="s">
        <v>131</v>
      </c>
      <c r="AR3398">
        <v>-4</v>
      </c>
      <c r="AS3398">
        <v>85</v>
      </c>
      <c r="AT3398">
        <v>-192</v>
      </c>
      <c r="BB3398" t="str">
        <f t="shared" si="1346"/>
        <v>1200</v>
      </c>
      <c r="BC3398">
        <v>1</v>
      </c>
      <c r="BD3398" t="str">
        <f t="shared" si="1347"/>
        <v xml:space="preserve">N52156  </v>
      </c>
      <c r="BE3398">
        <v>1</v>
      </c>
      <c r="BG3398">
        <v>0</v>
      </c>
      <c r="BH3398">
        <v>0</v>
      </c>
      <c r="BI3398">
        <v>0</v>
      </c>
      <c r="BJ3398">
        <v>4350</v>
      </c>
      <c r="BK3398">
        <v>50</v>
      </c>
      <c r="BL3398" t="s">
        <v>188</v>
      </c>
      <c r="BM3398">
        <v>1</v>
      </c>
      <c r="BN3398">
        <v>1</v>
      </c>
      <c r="BO3398">
        <v>0</v>
      </c>
      <c r="BP3398">
        <v>0</v>
      </c>
      <c r="BS3398">
        <v>0</v>
      </c>
      <c r="BT3398">
        <v>0</v>
      </c>
      <c r="BU3398">
        <v>0</v>
      </c>
      <c r="CE3398" t="str">
        <f t="shared" ref="CE3398:CE3403" si="1349">"15:13:58.252"</f>
        <v>15:13:58.252</v>
      </c>
      <c r="CF3398">
        <v>252060956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3</v>
      </c>
      <c r="CY3398">
        <v>7</v>
      </c>
      <c r="CZ3398" t="s">
        <v>133</v>
      </c>
      <c r="DA3398">
        <v>276</v>
      </c>
      <c r="DB3398">
        <v>0</v>
      </c>
      <c r="DC3398" t="s">
        <v>402</v>
      </c>
      <c r="DD3398" t="s">
        <v>403</v>
      </c>
      <c r="DG3398">
        <v>1628032</v>
      </c>
      <c r="DI3398">
        <v>1</v>
      </c>
      <c r="DJ3398">
        <v>0</v>
      </c>
      <c r="DK3398">
        <v>0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3">
      <c r="A3399" t="str">
        <f>"05/01/2025 15:13:58.472"</f>
        <v>05/01/2025 15:13:58.472</v>
      </c>
      <c r="C3399" t="str">
        <f t="shared" si="1344"/>
        <v>FFDFD3C0</v>
      </c>
      <c r="D3399" t="s">
        <v>140</v>
      </c>
      <c r="E3399" t="str">
        <f>"13"</f>
        <v>13</v>
      </c>
      <c r="F3399">
        <v>1019</v>
      </c>
      <c r="G3399" t="s">
        <v>141</v>
      </c>
      <c r="J3399" t="s">
        <v>142</v>
      </c>
      <c r="K3399">
        <v>0</v>
      </c>
      <c r="L3399">
        <v>3</v>
      </c>
      <c r="M3399">
        <v>0</v>
      </c>
      <c r="N3399">
        <v>2</v>
      </c>
      <c r="O3399">
        <v>0</v>
      </c>
      <c r="P3399">
        <v>1</v>
      </c>
      <c r="Q3399">
        <v>0</v>
      </c>
      <c r="R3399" t="s">
        <v>127</v>
      </c>
      <c r="S3399" t="str">
        <f t="shared" si="1348"/>
        <v>15:13:58.000</v>
      </c>
      <c r="T3399" t="str">
        <f t="shared" si="1348"/>
        <v>15:13:58.000</v>
      </c>
      <c r="U3399" t="str">
        <f t="shared" si="1345"/>
        <v>A68FCB</v>
      </c>
      <c r="V3399">
        <v>0</v>
      </c>
      <c r="W3399">
        <v>0</v>
      </c>
      <c r="X3399">
        <v>2</v>
      </c>
      <c r="Y3399">
        <v>0</v>
      </c>
      <c r="AA3399">
        <v>1</v>
      </c>
      <c r="AB3399">
        <v>8</v>
      </c>
      <c r="AC3399">
        <v>3</v>
      </c>
      <c r="AD3399">
        <v>0</v>
      </c>
      <c r="AE3399">
        <v>9</v>
      </c>
      <c r="AF3399" t="s">
        <v>138</v>
      </c>
      <c r="AG3399">
        <v>0</v>
      </c>
      <c r="AH3399">
        <v>3</v>
      </c>
      <c r="AI3399">
        <v>2</v>
      </c>
      <c r="AJ3399">
        <v>0</v>
      </c>
      <c r="AK3399" t="s">
        <v>1121</v>
      </c>
      <c r="AL3399">
        <v>39.141604999999998</v>
      </c>
      <c r="AM3399" t="s">
        <v>1094</v>
      </c>
      <c r="AN3399">
        <v>-121.03112</v>
      </c>
      <c r="AO3399">
        <v>25</v>
      </c>
      <c r="AP3399">
        <v>4300</v>
      </c>
      <c r="AQ3399" t="s">
        <v>131</v>
      </c>
      <c r="AR3399">
        <v>-4</v>
      </c>
      <c r="AS3399">
        <v>85</v>
      </c>
      <c r="AT3399">
        <v>-192</v>
      </c>
      <c r="BB3399" t="str">
        <f t="shared" si="1346"/>
        <v>1200</v>
      </c>
      <c r="BC3399">
        <v>1</v>
      </c>
      <c r="BD3399" t="str">
        <f t="shared" si="1347"/>
        <v xml:space="preserve">N52156  </v>
      </c>
      <c r="BE3399">
        <v>1</v>
      </c>
      <c r="BG3399">
        <v>0</v>
      </c>
      <c r="BH3399">
        <v>0</v>
      </c>
      <c r="BI3399">
        <v>0</v>
      </c>
      <c r="BJ3399">
        <v>4350</v>
      </c>
      <c r="BK3399">
        <v>50</v>
      </c>
      <c r="BL3399" t="s">
        <v>188</v>
      </c>
      <c r="BM3399">
        <v>1</v>
      </c>
      <c r="BN3399">
        <v>1</v>
      </c>
      <c r="BO3399">
        <v>0</v>
      </c>
      <c r="BP3399">
        <v>0</v>
      </c>
      <c r="BS3399">
        <v>0</v>
      </c>
      <c r="BT3399">
        <v>0</v>
      </c>
      <c r="BU3399">
        <v>0</v>
      </c>
      <c r="CE3399" t="str">
        <f t="shared" si="1349"/>
        <v>15:13:58.252</v>
      </c>
      <c r="CF3399">
        <v>252060956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3</v>
      </c>
      <c r="CY3399">
        <v>7</v>
      </c>
      <c r="CZ3399" t="s">
        <v>133</v>
      </c>
      <c r="DA3399">
        <v>276</v>
      </c>
      <c r="DB3399">
        <v>0</v>
      </c>
      <c r="DC3399" t="s">
        <v>402</v>
      </c>
      <c r="DD3399" t="s">
        <v>403</v>
      </c>
      <c r="DG3399">
        <v>1628032</v>
      </c>
      <c r="DI3399">
        <v>1</v>
      </c>
      <c r="DJ3399">
        <v>0</v>
      </c>
      <c r="DK3399">
        <v>1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3">
      <c r="A3400" t="str">
        <f>"05/01/2025 15:13:58.472"</f>
        <v>05/01/2025 15:13:58.472</v>
      </c>
      <c r="C3400" t="str">
        <f t="shared" si="1344"/>
        <v>FFDFD3C0</v>
      </c>
      <c r="D3400" t="s">
        <v>124</v>
      </c>
      <c r="E3400" t="str">
        <f>"06"</f>
        <v>06</v>
      </c>
      <c r="F3400">
        <v>2006</v>
      </c>
      <c r="G3400" t="s">
        <v>125</v>
      </c>
      <c r="J3400" t="s">
        <v>126</v>
      </c>
      <c r="K3400">
        <v>0</v>
      </c>
      <c r="L3400">
        <v>3</v>
      </c>
      <c r="M3400">
        <v>0</v>
      </c>
      <c r="N3400">
        <v>2</v>
      </c>
      <c r="O3400">
        <v>0</v>
      </c>
      <c r="P3400">
        <v>1</v>
      </c>
      <c r="Q3400">
        <v>0</v>
      </c>
      <c r="R3400" t="s">
        <v>127</v>
      </c>
      <c r="S3400" t="str">
        <f t="shared" si="1348"/>
        <v>15:13:58.000</v>
      </c>
      <c r="T3400" t="str">
        <f t="shared" si="1348"/>
        <v>15:13:58.000</v>
      </c>
      <c r="U3400" t="str">
        <f t="shared" si="1345"/>
        <v>A68FCB</v>
      </c>
      <c r="V3400">
        <v>0</v>
      </c>
      <c r="W3400">
        <v>0</v>
      </c>
      <c r="X3400">
        <v>2</v>
      </c>
      <c r="Y3400">
        <v>0</v>
      </c>
      <c r="AA3400">
        <v>1</v>
      </c>
      <c r="AB3400">
        <v>8</v>
      </c>
      <c r="AC3400">
        <v>3</v>
      </c>
      <c r="AD3400">
        <v>0</v>
      </c>
      <c r="AE3400">
        <v>9</v>
      </c>
      <c r="AF3400" t="s">
        <v>138</v>
      </c>
      <c r="AG3400">
        <v>0</v>
      </c>
      <c r="AH3400">
        <v>3</v>
      </c>
      <c r="AI3400">
        <v>2</v>
      </c>
      <c r="AJ3400">
        <v>0</v>
      </c>
      <c r="AK3400" t="s">
        <v>1121</v>
      </c>
      <c r="AL3400">
        <v>39.141604999999998</v>
      </c>
      <c r="AM3400" t="s">
        <v>1094</v>
      </c>
      <c r="AN3400">
        <v>-121.03112</v>
      </c>
      <c r="AO3400">
        <v>25</v>
      </c>
      <c r="AP3400">
        <v>4300</v>
      </c>
      <c r="AQ3400" t="s">
        <v>131</v>
      </c>
      <c r="AR3400">
        <v>-4</v>
      </c>
      <c r="AS3400">
        <v>85</v>
      </c>
      <c r="AT3400">
        <v>-192</v>
      </c>
      <c r="BB3400" t="str">
        <f t="shared" si="1346"/>
        <v>1200</v>
      </c>
      <c r="BC3400">
        <v>1</v>
      </c>
      <c r="BD3400" t="str">
        <f t="shared" si="1347"/>
        <v xml:space="preserve">N52156  </v>
      </c>
      <c r="BE3400">
        <v>1</v>
      </c>
      <c r="BG3400">
        <v>0</v>
      </c>
      <c r="BH3400">
        <v>0</v>
      </c>
      <c r="BI3400">
        <v>0</v>
      </c>
      <c r="BJ3400">
        <v>4350</v>
      </c>
      <c r="BK3400">
        <v>50</v>
      </c>
      <c r="BL3400" t="s">
        <v>188</v>
      </c>
      <c r="BM3400">
        <v>1</v>
      </c>
      <c r="BN3400">
        <v>1</v>
      </c>
      <c r="BO3400">
        <v>0</v>
      </c>
      <c r="BP3400">
        <v>0</v>
      </c>
      <c r="BS3400">
        <v>0</v>
      </c>
      <c r="BT3400">
        <v>0</v>
      </c>
      <c r="BU3400">
        <v>0</v>
      </c>
      <c r="CE3400" t="str">
        <f t="shared" si="1349"/>
        <v>15:13:58.252</v>
      </c>
      <c r="CF3400">
        <v>252060956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3</v>
      </c>
      <c r="CY3400">
        <v>7</v>
      </c>
      <c r="CZ3400" t="s">
        <v>133</v>
      </c>
      <c r="DA3400">
        <v>276</v>
      </c>
      <c r="DB3400">
        <v>0</v>
      </c>
      <c r="DC3400" t="s">
        <v>402</v>
      </c>
      <c r="DD3400" t="s">
        <v>403</v>
      </c>
      <c r="DG3400">
        <v>1628032</v>
      </c>
      <c r="DI3400">
        <v>1</v>
      </c>
      <c r="DJ3400">
        <v>0</v>
      </c>
      <c r="DK3400">
        <v>1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3">
      <c r="A3401" t="str">
        <f>"05/01/2025 15:13:58.485"</f>
        <v>05/01/2025 15:13:58.485</v>
      </c>
      <c r="C3401" t="str">
        <f t="shared" si="1344"/>
        <v>FFDFD3C0</v>
      </c>
      <c r="D3401" t="s">
        <v>145</v>
      </c>
      <c r="E3401" t="str">
        <f>"05"</f>
        <v>05</v>
      </c>
      <c r="H3401">
        <v>47</v>
      </c>
      <c r="I3401" t="s">
        <v>146</v>
      </c>
      <c r="J3401" t="s">
        <v>138</v>
      </c>
      <c r="K3401">
        <v>0</v>
      </c>
      <c r="L3401">
        <v>3</v>
      </c>
      <c r="M3401">
        <v>0</v>
      </c>
      <c r="N3401">
        <v>2</v>
      </c>
      <c r="O3401">
        <v>0</v>
      </c>
      <c r="P3401">
        <v>1</v>
      </c>
      <c r="Q3401">
        <v>0</v>
      </c>
      <c r="R3401" t="s">
        <v>127</v>
      </c>
      <c r="S3401" t="str">
        <f t="shared" si="1348"/>
        <v>15:13:58.000</v>
      </c>
      <c r="T3401" t="str">
        <f t="shared" si="1348"/>
        <v>15:13:58.000</v>
      </c>
      <c r="U3401" t="str">
        <f t="shared" si="1345"/>
        <v>A68FCB</v>
      </c>
      <c r="V3401">
        <v>0</v>
      </c>
      <c r="W3401">
        <v>0</v>
      </c>
      <c r="X3401">
        <v>2</v>
      </c>
      <c r="Y3401">
        <v>0</v>
      </c>
      <c r="AA3401">
        <v>1</v>
      </c>
      <c r="AB3401">
        <v>8</v>
      </c>
      <c r="AC3401">
        <v>3</v>
      </c>
      <c r="AD3401">
        <v>0</v>
      </c>
      <c r="AE3401">
        <v>9</v>
      </c>
      <c r="AF3401" t="s">
        <v>138</v>
      </c>
      <c r="AG3401">
        <v>0</v>
      </c>
      <c r="AH3401">
        <v>3</v>
      </c>
      <c r="AI3401">
        <v>2</v>
      </c>
      <c r="AJ3401">
        <v>0</v>
      </c>
      <c r="AK3401" t="s">
        <v>1121</v>
      </c>
      <c r="AL3401">
        <v>39.141604999999998</v>
      </c>
      <c r="AM3401" t="s">
        <v>1094</v>
      </c>
      <c r="AN3401">
        <v>-121.03112</v>
      </c>
      <c r="AO3401">
        <v>25</v>
      </c>
      <c r="AP3401">
        <v>4300</v>
      </c>
      <c r="AQ3401" t="s">
        <v>131</v>
      </c>
      <c r="AR3401">
        <v>-4</v>
      </c>
      <c r="AS3401">
        <v>85</v>
      </c>
      <c r="AT3401">
        <v>-192</v>
      </c>
      <c r="BB3401" t="str">
        <f t="shared" si="1346"/>
        <v>1200</v>
      </c>
      <c r="BC3401">
        <v>1</v>
      </c>
      <c r="BD3401" t="str">
        <f t="shared" si="1347"/>
        <v xml:space="preserve">N52156  </v>
      </c>
      <c r="BE3401">
        <v>1</v>
      </c>
      <c r="BG3401">
        <v>0</v>
      </c>
      <c r="BH3401">
        <v>0</v>
      </c>
      <c r="BI3401">
        <v>0</v>
      </c>
      <c r="BJ3401">
        <v>4350</v>
      </c>
      <c r="BK3401">
        <v>50</v>
      </c>
      <c r="BL3401" t="s">
        <v>188</v>
      </c>
      <c r="BM3401">
        <v>1</v>
      </c>
      <c r="BN3401">
        <v>1</v>
      </c>
      <c r="BO3401">
        <v>0</v>
      </c>
      <c r="BP3401">
        <v>0</v>
      </c>
      <c r="BS3401">
        <v>0</v>
      </c>
      <c r="BT3401">
        <v>0</v>
      </c>
      <c r="BU3401">
        <v>0</v>
      </c>
      <c r="CE3401" t="str">
        <f t="shared" si="1349"/>
        <v>15:13:58.252</v>
      </c>
      <c r="CF3401">
        <v>252060956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3</v>
      </c>
      <c r="CY3401">
        <v>7</v>
      </c>
      <c r="CZ3401" t="s">
        <v>133</v>
      </c>
      <c r="DA3401">
        <v>276</v>
      </c>
      <c r="DB3401">
        <v>0</v>
      </c>
      <c r="DC3401" t="s">
        <v>402</v>
      </c>
      <c r="DD3401" t="s">
        <v>403</v>
      </c>
      <c r="DG3401">
        <v>1628032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3">
      <c r="A3402" t="str">
        <f>"05/01/2025 15:13:58.484"</f>
        <v>05/01/2025 15:13:58.484</v>
      </c>
      <c r="C3402" t="str">
        <f t="shared" si="1344"/>
        <v>FFDFD3C0</v>
      </c>
      <c r="D3402" t="s">
        <v>145</v>
      </c>
      <c r="E3402" t="str">
        <f>"09"</f>
        <v>09</v>
      </c>
      <c r="H3402">
        <v>51</v>
      </c>
      <c r="I3402" t="s">
        <v>147</v>
      </c>
      <c r="J3402" t="s">
        <v>138</v>
      </c>
      <c r="K3402">
        <v>0</v>
      </c>
      <c r="L3402">
        <v>3</v>
      </c>
      <c r="M3402">
        <v>0</v>
      </c>
      <c r="N3402">
        <v>2</v>
      </c>
      <c r="O3402">
        <v>0</v>
      </c>
      <c r="P3402">
        <v>1</v>
      </c>
      <c r="Q3402">
        <v>0</v>
      </c>
      <c r="R3402" t="s">
        <v>127</v>
      </c>
      <c r="S3402" t="str">
        <f t="shared" si="1348"/>
        <v>15:13:58.000</v>
      </c>
      <c r="T3402" t="str">
        <f t="shared" si="1348"/>
        <v>15:13:58.000</v>
      </c>
      <c r="U3402" t="str">
        <f t="shared" si="1345"/>
        <v>A68FCB</v>
      </c>
      <c r="V3402">
        <v>0</v>
      </c>
      <c r="W3402">
        <v>0</v>
      </c>
      <c r="X3402">
        <v>2</v>
      </c>
      <c r="Y3402">
        <v>0</v>
      </c>
      <c r="AA3402">
        <v>1</v>
      </c>
      <c r="AB3402">
        <v>8</v>
      </c>
      <c r="AC3402">
        <v>3</v>
      </c>
      <c r="AD3402">
        <v>0</v>
      </c>
      <c r="AE3402">
        <v>9</v>
      </c>
      <c r="AF3402" t="s">
        <v>138</v>
      </c>
      <c r="AG3402">
        <v>0</v>
      </c>
      <c r="AH3402">
        <v>3</v>
      </c>
      <c r="AI3402">
        <v>2</v>
      </c>
      <c r="AJ3402">
        <v>0</v>
      </c>
      <c r="AK3402" t="s">
        <v>1121</v>
      </c>
      <c r="AL3402">
        <v>39.141604999999998</v>
      </c>
      <c r="AM3402" t="s">
        <v>1094</v>
      </c>
      <c r="AN3402">
        <v>-121.03112</v>
      </c>
      <c r="AO3402">
        <v>25</v>
      </c>
      <c r="AP3402">
        <v>4300</v>
      </c>
      <c r="AQ3402" t="s">
        <v>131</v>
      </c>
      <c r="AR3402">
        <v>-4</v>
      </c>
      <c r="AS3402">
        <v>85</v>
      </c>
      <c r="AT3402">
        <v>-192</v>
      </c>
      <c r="BB3402" t="str">
        <f t="shared" si="1346"/>
        <v>1200</v>
      </c>
      <c r="BC3402">
        <v>1</v>
      </c>
      <c r="BD3402" t="str">
        <f t="shared" si="1347"/>
        <v xml:space="preserve">N52156  </v>
      </c>
      <c r="BE3402">
        <v>1</v>
      </c>
      <c r="BG3402">
        <v>0</v>
      </c>
      <c r="BH3402">
        <v>0</v>
      </c>
      <c r="BI3402">
        <v>0</v>
      </c>
      <c r="BJ3402">
        <v>4350</v>
      </c>
      <c r="BK3402">
        <v>50</v>
      </c>
      <c r="BL3402" t="s">
        <v>188</v>
      </c>
      <c r="BM3402">
        <v>1</v>
      </c>
      <c r="BN3402">
        <v>1</v>
      </c>
      <c r="BO3402">
        <v>0</v>
      </c>
      <c r="BP3402">
        <v>0</v>
      </c>
      <c r="BS3402">
        <v>0</v>
      </c>
      <c r="BT3402">
        <v>0</v>
      </c>
      <c r="BU3402">
        <v>0</v>
      </c>
      <c r="CE3402" t="str">
        <f t="shared" si="1349"/>
        <v>15:13:58.252</v>
      </c>
      <c r="CF3402">
        <v>252060956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3</v>
      </c>
      <c r="CY3402">
        <v>7</v>
      </c>
      <c r="CZ3402" t="s">
        <v>133</v>
      </c>
      <c r="DA3402">
        <v>276</v>
      </c>
      <c r="DB3402">
        <v>0</v>
      </c>
      <c r="DC3402" t="s">
        <v>402</v>
      </c>
      <c r="DD3402" t="s">
        <v>403</v>
      </c>
      <c r="DG3402">
        <v>1628032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3">
      <c r="A3403" t="str">
        <f>"05/01/2025 15:13:58.497"</f>
        <v>05/01/2025 15:13:58.497</v>
      </c>
      <c r="C3403" t="str">
        <f t="shared" si="1344"/>
        <v>FFDFD3C0</v>
      </c>
      <c r="D3403" t="s">
        <v>136</v>
      </c>
      <c r="E3403" t="str">
        <f>"20"</f>
        <v>20</v>
      </c>
      <c r="H3403">
        <v>400</v>
      </c>
      <c r="I3403" t="s">
        <v>137</v>
      </c>
      <c r="J3403" t="s">
        <v>138</v>
      </c>
      <c r="K3403">
        <v>0</v>
      </c>
      <c r="L3403">
        <v>3</v>
      </c>
      <c r="M3403">
        <v>0</v>
      </c>
      <c r="N3403">
        <v>2</v>
      </c>
      <c r="O3403">
        <v>0</v>
      </c>
      <c r="P3403">
        <v>1</v>
      </c>
      <c r="Q3403">
        <v>0</v>
      </c>
      <c r="R3403" t="s">
        <v>127</v>
      </c>
      <c r="S3403" t="str">
        <f t="shared" si="1348"/>
        <v>15:13:58.000</v>
      </c>
      <c r="T3403" t="str">
        <f t="shared" si="1348"/>
        <v>15:13:58.000</v>
      </c>
      <c r="U3403" t="str">
        <f t="shared" si="1345"/>
        <v>A68FCB</v>
      </c>
      <c r="V3403">
        <v>0</v>
      </c>
      <c r="W3403">
        <v>0</v>
      </c>
      <c r="X3403">
        <v>2</v>
      </c>
      <c r="Y3403">
        <v>0</v>
      </c>
      <c r="AA3403">
        <v>1</v>
      </c>
      <c r="AB3403">
        <v>8</v>
      </c>
      <c r="AC3403">
        <v>3</v>
      </c>
      <c r="AD3403">
        <v>0</v>
      </c>
      <c r="AE3403">
        <v>9</v>
      </c>
      <c r="AF3403" t="s">
        <v>138</v>
      </c>
      <c r="AG3403">
        <v>0</v>
      </c>
      <c r="AH3403">
        <v>3</v>
      </c>
      <c r="AI3403">
        <v>2</v>
      </c>
      <c r="AJ3403">
        <v>0</v>
      </c>
      <c r="AK3403" t="s">
        <v>1121</v>
      </c>
      <c r="AL3403">
        <v>39.141604999999998</v>
      </c>
      <c r="AM3403" t="s">
        <v>1094</v>
      </c>
      <c r="AN3403">
        <v>-121.03112</v>
      </c>
      <c r="AO3403">
        <v>25</v>
      </c>
      <c r="AP3403">
        <v>4300</v>
      </c>
      <c r="AQ3403" t="s">
        <v>131</v>
      </c>
      <c r="AR3403">
        <v>-4</v>
      </c>
      <c r="AS3403">
        <v>85</v>
      </c>
      <c r="AT3403">
        <v>-192</v>
      </c>
      <c r="BB3403" t="str">
        <f t="shared" si="1346"/>
        <v>1200</v>
      </c>
      <c r="BC3403">
        <v>1</v>
      </c>
      <c r="BD3403" t="str">
        <f t="shared" si="1347"/>
        <v xml:space="preserve">N52156  </v>
      </c>
      <c r="BE3403">
        <v>1</v>
      </c>
      <c r="BG3403">
        <v>0</v>
      </c>
      <c r="BH3403">
        <v>0</v>
      </c>
      <c r="BI3403">
        <v>0</v>
      </c>
      <c r="BJ3403">
        <v>4350</v>
      </c>
      <c r="BK3403">
        <v>50</v>
      </c>
      <c r="BL3403" t="s">
        <v>188</v>
      </c>
      <c r="BM3403">
        <v>1</v>
      </c>
      <c r="BN3403">
        <v>1</v>
      </c>
      <c r="BO3403">
        <v>0</v>
      </c>
      <c r="BP3403">
        <v>0</v>
      </c>
      <c r="BS3403">
        <v>0</v>
      </c>
      <c r="BT3403">
        <v>0</v>
      </c>
      <c r="BU3403">
        <v>0</v>
      </c>
      <c r="CE3403" t="str">
        <f t="shared" si="1349"/>
        <v>15:13:58.252</v>
      </c>
      <c r="CF3403">
        <v>252060956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3</v>
      </c>
      <c r="CY3403">
        <v>7</v>
      </c>
      <c r="CZ3403" t="s">
        <v>133</v>
      </c>
      <c r="DA3403">
        <v>276</v>
      </c>
      <c r="DB3403">
        <v>0</v>
      </c>
      <c r="DC3403" t="s">
        <v>402</v>
      </c>
      <c r="DD3403" t="s">
        <v>403</v>
      </c>
      <c r="DG3403">
        <v>1628032</v>
      </c>
      <c r="DI3403">
        <v>1</v>
      </c>
      <c r="DJ3403">
        <v>0</v>
      </c>
      <c r="DK3403">
        <v>1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3">
      <c r="A3404" t="str">
        <f>"05/01/2025 15:13:59.424"</f>
        <v>05/01/2025 15:13:59.424</v>
      </c>
      <c r="C3404" t="str">
        <f t="shared" si="1344"/>
        <v>FFDFD3C0</v>
      </c>
      <c r="D3404" t="s">
        <v>124</v>
      </c>
      <c r="E3404" t="str">
        <f>"06"</f>
        <v>06</v>
      </c>
      <c r="F3404">
        <v>2006</v>
      </c>
      <c r="G3404" t="s">
        <v>125</v>
      </c>
      <c r="J3404" t="s">
        <v>126</v>
      </c>
      <c r="K3404">
        <v>0</v>
      </c>
      <c r="L3404">
        <v>3</v>
      </c>
      <c r="M3404">
        <v>0</v>
      </c>
      <c r="N3404">
        <v>2</v>
      </c>
      <c r="O3404">
        <v>0</v>
      </c>
      <c r="P3404">
        <v>1</v>
      </c>
      <c r="Q3404">
        <v>0</v>
      </c>
      <c r="R3404" t="s">
        <v>127</v>
      </c>
      <c r="S3404" t="str">
        <f t="shared" ref="S3404:T3409" si="1350">"15:13:59.000"</f>
        <v>15:13:59.000</v>
      </c>
      <c r="T3404" t="str">
        <f t="shared" si="1350"/>
        <v>15:13:59.000</v>
      </c>
      <c r="U3404" t="str">
        <f t="shared" si="1345"/>
        <v>A68FCB</v>
      </c>
      <c r="V3404">
        <v>0</v>
      </c>
      <c r="W3404">
        <v>0</v>
      </c>
      <c r="X3404">
        <v>2</v>
      </c>
      <c r="Y3404">
        <v>0</v>
      </c>
      <c r="AA3404">
        <v>1</v>
      </c>
      <c r="AB3404">
        <v>8</v>
      </c>
      <c r="AC3404">
        <v>3</v>
      </c>
      <c r="AD3404">
        <v>0</v>
      </c>
      <c r="AE3404">
        <v>9</v>
      </c>
      <c r="AF3404" t="s">
        <v>138</v>
      </c>
      <c r="AG3404">
        <v>0</v>
      </c>
      <c r="AH3404">
        <v>3</v>
      </c>
      <c r="AI3404">
        <v>2</v>
      </c>
      <c r="AJ3404">
        <v>0</v>
      </c>
      <c r="AK3404" t="s">
        <v>1122</v>
      </c>
      <c r="AL3404">
        <v>39.141990999999997</v>
      </c>
      <c r="AM3404" t="s">
        <v>1092</v>
      </c>
      <c r="AN3404">
        <v>-121.03114100000001</v>
      </c>
      <c r="AO3404">
        <v>25</v>
      </c>
      <c r="AP3404">
        <v>4300</v>
      </c>
      <c r="AQ3404" t="s">
        <v>131</v>
      </c>
      <c r="AR3404">
        <v>-3</v>
      </c>
      <c r="AS3404">
        <v>85</v>
      </c>
      <c r="AT3404">
        <v>-256</v>
      </c>
      <c r="BB3404" t="str">
        <f t="shared" si="1346"/>
        <v>1200</v>
      </c>
      <c r="BC3404">
        <v>1</v>
      </c>
      <c r="BD3404" t="str">
        <f t="shared" si="1347"/>
        <v xml:space="preserve">N52156  </v>
      </c>
      <c r="BE3404">
        <v>1</v>
      </c>
      <c r="BG3404">
        <v>0</v>
      </c>
      <c r="BH3404">
        <v>0</v>
      </c>
      <c r="BI3404">
        <v>0</v>
      </c>
      <c r="BJ3404">
        <v>4325</v>
      </c>
      <c r="BK3404">
        <v>25</v>
      </c>
      <c r="BL3404" t="s">
        <v>188</v>
      </c>
      <c r="BM3404">
        <v>1</v>
      </c>
      <c r="BN3404">
        <v>1</v>
      </c>
      <c r="BO3404">
        <v>0</v>
      </c>
      <c r="BP3404">
        <v>0</v>
      </c>
      <c r="BS3404">
        <v>0</v>
      </c>
      <c r="BT3404">
        <v>0</v>
      </c>
      <c r="BU3404">
        <v>0</v>
      </c>
      <c r="CE3404" t="str">
        <f t="shared" ref="CE3404:CE3409" si="1351">"15:13:59.209"</f>
        <v>15:13:59.209</v>
      </c>
      <c r="CF3404">
        <v>209060985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2</v>
      </c>
      <c r="CY3404">
        <v>7</v>
      </c>
      <c r="CZ3404" t="s">
        <v>133</v>
      </c>
      <c r="DA3404">
        <v>276</v>
      </c>
      <c r="DB3404">
        <v>0</v>
      </c>
      <c r="DC3404" t="s">
        <v>402</v>
      </c>
      <c r="DD3404" t="s">
        <v>403</v>
      </c>
      <c r="DG3404">
        <v>1628034</v>
      </c>
      <c r="DI3404">
        <v>1</v>
      </c>
      <c r="DJ3404">
        <v>0</v>
      </c>
      <c r="DK3404">
        <v>0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3">
      <c r="A3405" t="str">
        <f>"05/01/2025 15:13:59.435"</f>
        <v>05/01/2025 15:13:59.435</v>
      </c>
      <c r="C3405" t="str">
        <f t="shared" si="1344"/>
        <v>FFDFD3C0</v>
      </c>
      <c r="D3405" t="s">
        <v>145</v>
      </c>
      <c r="E3405" t="str">
        <f>"09"</f>
        <v>09</v>
      </c>
      <c r="H3405">
        <v>51</v>
      </c>
      <c r="I3405" t="s">
        <v>147</v>
      </c>
      <c r="J3405" t="s">
        <v>138</v>
      </c>
      <c r="K3405">
        <v>0</v>
      </c>
      <c r="L3405">
        <v>3</v>
      </c>
      <c r="M3405">
        <v>0</v>
      </c>
      <c r="N3405">
        <v>2</v>
      </c>
      <c r="O3405">
        <v>0</v>
      </c>
      <c r="P3405">
        <v>1</v>
      </c>
      <c r="Q3405">
        <v>0</v>
      </c>
      <c r="R3405" t="s">
        <v>127</v>
      </c>
      <c r="S3405" t="str">
        <f t="shared" si="1350"/>
        <v>15:13:59.000</v>
      </c>
      <c r="T3405" t="str">
        <f t="shared" si="1350"/>
        <v>15:13:59.000</v>
      </c>
      <c r="U3405" t="str">
        <f t="shared" si="1345"/>
        <v>A68FCB</v>
      </c>
      <c r="V3405">
        <v>0</v>
      </c>
      <c r="W3405">
        <v>0</v>
      </c>
      <c r="X3405">
        <v>2</v>
      </c>
      <c r="Y3405">
        <v>0</v>
      </c>
      <c r="AA3405">
        <v>1</v>
      </c>
      <c r="AB3405">
        <v>8</v>
      </c>
      <c r="AC3405">
        <v>3</v>
      </c>
      <c r="AD3405">
        <v>0</v>
      </c>
      <c r="AE3405">
        <v>9</v>
      </c>
      <c r="AF3405" t="s">
        <v>138</v>
      </c>
      <c r="AG3405">
        <v>0</v>
      </c>
      <c r="AH3405">
        <v>3</v>
      </c>
      <c r="AI3405">
        <v>2</v>
      </c>
      <c r="AJ3405">
        <v>0</v>
      </c>
      <c r="AK3405" t="s">
        <v>1122</v>
      </c>
      <c r="AL3405">
        <v>39.141990999999997</v>
      </c>
      <c r="AM3405" t="s">
        <v>1092</v>
      </c>
      <c r="AN3405">
        <v>-121.03114100000001</v>
      </c>
      <c r="AO3405">
        <v>25</v>
      </c>
      <c r="AP3405">
        <v>4300</v>
      </c>
      <c r="AQ3405" t="s">
        <v>131</v>
      </c>
      <c r="AR3405">
        <v>-3</v>
      </c>
      <c r="AS3405">
        <v>85</v>
      </c>
      <c r="AT3405">
        <v>-256</v>
      </c>
      <c r="BB3405" t="str">
        <f t="shared" si="1346"/>
        <v>1200</v>
      </c>
      <c r="BC3405">
        <v>1</v>
      </c>
      <c r="BD3405" t="str">
        <f t="shared" si="1347"/>
        <v xml:space="preserve">N52156  </v>
      </c>
      <c r="BE3405">
        <v>1</v>
      </c>
      <c r="BG3405">
        <v>0</v>
      </c>
      <c r="BH3405">
        <v>0</v>
      </c>
      <c r="BI3405">
        <v>0</v>
      </c>
      <c r="BJ3405">
        <v>4325</v>
      </c>
      <c r="BK3405">
        <v>25</v>
      </c>
      <c r="BL3405" t="s">
        <v>188</v>
      </c>
      <c r="BM3405">
        <v>1</v>
      </c>
      <c r="BN3405">
        <v>1</v>
      </c>
      <c r="BO3405">
        <v>0</v>
      </c>
      <c r="BP3405">
        <v>0</v>
      </c>
      <c r="BS3405">
        <v>0</v>
      </c>
      <c r="BT3405">
        <v>0</v>
      </c>
      <c r="BU3405">
        <v>0</v>
      </c>
      <c r="CE3405" t="str">
        <f t="shared" si="1351"/>
        <v>15:13:59.209</v>
      </c>
      <c r="CF3405">
        <v>209060985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2</v>
      </c>
      <c r="CY3405">
        <v>7</v>
      </c>
      <c r="CZ3405" t="s">
        <v>133</v>
      </c>
      <c r="DA3405">
        <v>276</v>
      </c>
      <c r="DB3405">
        <v>0</v>
      </c>
      <c r="DC3405" t="s">
        <v>402</v>
      </c>
      <c r="DD3405" t="s">
        <v>403</v>
      </c>
      <c r="DG3405">
        <v>1628034</v>
      </c>
      <c r="DI3405">
        <v>1</v>
      </c>
      <c r="DJ3405">
        <v>0</v>
      </c>
      <c r="DK3405">
        <v>1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3">
      <c r="A3406" t="str">
        <f>"05/01/2025 15:13:59.437"</f>
        <v>05/01/2025 15:13:59.437</v>
      </c>
      <c r="C3406" t="str">
        <f t="shared" si="1344"/>
        <v>FFDFD3C0</v>
      </c>
      <c r="D3406" t="s">
        <v>145</v>
      </c>
      <c r="E3406" t="str">
        <f>"05"</f>
        <v>05</v>
      </c>
      <c r="H3406">
        <v>47</v>
      </c>
      <c r="I3406" t="s">
        <v>146</v>
      </c>
      <c r="J3406" t="s">
        <v>138</v>
      </c>
      <c r="K3406">
        <v>0</v>
      </c>
      <c r="L3406">
        <v>3</v>
      </c>
      <c r="M3406">
        <v>0</v>
      </c>
      <c r="N3406">
        <v>2</v>
      </c>
      <c r="O3406">
        <v>0</v>
      </c>
      <c r="P3406">
        <v>1</v>
      </c>
      <c r="Q3406">
        <v>0</v>
      </c>
      <c r="R3406" t="s">
        <v>127</v>
      </c>
      <c r="S3406" t="str">
        <f t="shared" si="1350"/>
        <v>15:13:59.000</v>
      </c>
      <c r="T3406" t="str">
        <f t="shared" si="1350"/>
        <v>15:13:59.000</v>
      </c>
      <c r="U3406" t="str">
        <f t="shared" si="1345"/>
        <v>A68FCB</v>
      </c>
      <c r="V3406">
        <v>0</v>
      </c>
      <c r="W3406">
        <v>0</v>
      </c>
      <c r="X3406">
        <v>2</v>
      </c>
      <c r="Y3406">
        <v>0</v>
      </c>
      <c r="AA3406">
        <v>1</v>
      </c>
      <c r="AB3406">
        <v>8</v>
      </c>
      <c r="AC3406">
        <v>3</v>
      </c>
      <c r="AD3406">
        <v>0</v>
      </c>
      <c r="AE3406">
        <v>9</v>
      </c>
      <c r="AF3406" t="s">
        <v>138</v>
      </c>
      <c r="AG3406">
        <v>0</v>
      </c>
      <c r="AH3406">
        <v>3</v>
      </c>
      <c r="AI3406">
        <v>2</v>
      </c>
      <c r="AJ3406">
        <v>0</v>
      </c>
      <c r="AK3406" t="s">
        <v>1122</v>
      </c>
      <c r="AL3406">
        <v>39.141990999999997</v>
      </c>
      <c r="AM3406" t="s">
        <v>1092</v>
      </c>
      <c r="AN3406">
        <v>-121.03114100000001</v>
      </c>
      <c r="AO3406">
        <v>25</v>
      </c>
      <c r="AP3406">
        <v>4300</v>
      </c>
      <c r="AQ3406" t="s">
        <v>131</v>
      </c>
      <c r="AR3406">
        <v>-3</v>
      </c>
      <c r="AS3406">
        <v>85</v>
      </c>
      <c r="AT3406">
        <v>-256</v>
      </c>
      <c r="BB3406" t="str">
        <f t="shared" si="1346"/>
        <v>1200</v>
      </c>
      <c r="BC3406">
        <v>1</v>
      </c>
      <c r="BD3406" t="str">
        <f t="shared" si="1347"/>
        <v xml:space="preserve">N52156  </v>
      </c>
      <c r="BE3406">
        <v>1</v>
      </c>
      <c r="BG3406">
        <v>0</v>
      </c>
      <c r="BH3406">
        <v>0</v>
      </c>
      <c r="BI3406">
        <v>0</v>
      </c>
      <c r="BJ3406">
        <v>4325</v>
      </c>
      <c r="BK3406">
        <v>25</v>
      </c>
      <c r="BL3406" t="s">
        <v>188</v>
      </c>
      <c r="BM3406">
        <v>1</v>
      </c>
      <c r="BN3406">
        <v>1</v>
      </c>
      <c r="BO3406">
        <v>0</v>
      </c>
      <c r="BP3406">
        <v>0</v>
      </c>
      <c r="BS3406">
        <v>0</v>
      </c>
      <c r="BT3406">
        <v>0</v>
      </c>
      <c r="BU3406">
        <v>0</v>
      </c>
      <c r="CE3406" t="str">
        <f t="shared" si="1351"/>
        <v>15:13:59.209</v>
      </c>
      <c r="CF3406">
        <v>209060985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2</v>
      </c>
      <c r="CY3406">
        <v>7</v>
      </c>
      <c r="CZ3406" t="s">
        <v>133</v>
      </c>
      <c r="DA3406">
        <v>276</v>
      </c>
      <c r="DB3406">
        <v>0</v>
      </c>
      <c r="DC3406" t="s">
        <v>402</v>
      </c>
      <c r="DD3406" t="s">
        <v>403</v>
      </c>
      <c r="DG3406">
        <v>1628034</v>
      </c>
      <c r="DI3406">
        <v>1</v>
      </c>
      <c r="DJ3406">
        <v>0</v>
      </c>
      <c r="DK3406">
        <v>1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3">
      <c r="A3407" t="str">
        <f>"05/01/2025 15:13:59.449"</f>
        <v>05/01/2025 15:13:59.449</v>
      </c>
      <c r="C3407" t="str">
        <f t="shared" si="1344"/>
        <v>FFDFD3C0</v>
      </c>
      <c r="D3407" t="s">
        <v>136</v>
      </c>
      <c r="E3407" t="str">
        <f>"20"</f>
        <v>20</v>
      </c>
      <c r="H3407">
        <v>400</v>
      </c>
      <c r="I3407" t="s">
        <v>137</v>
      </c>
      <c r="J3407" t="s">
        <v>138</v>
      </c>
      <c r="K3407">
        <v>0</v>
      </c>
      <c r="L3407">
        <v>3</v>
      </c>
      <c r="M3407">
        <v>0</v>
      </c>
      <c r="N3407">
        <v>2</v>
      </c>
      <c r="O3407">
        <v>0</v>
      </c>
      <c r="P3407">
        <v>1</v>
      </c>
      <c r="Q3407">
        <v>0</v>
      </c>
      <c r="R3407" t="s">
        <v>127</v>
      </c>
      <c r="S3407" t="str">
        <f t="shared" si="1350"/>
        <v>15:13:59.000</v>
      </c>
      <c r="T3407" t="str">
        <f t="shared" si="1350"/>
        <v>15:13:59.000</v>
      </c>
      <c r="U3407" t="str">
        <f t="shared" si="1345"/>
        <v>A68FCB</v>
      </c>
      <c r="V3407">
        <v>0</v>
      </c>
      <c r="W3407">
        <v>0</v>
      </c>
      <c r="X3407">
        <v>2</v>
      </c>
      <c r="Y3407">
        <v>0</v>
      </c>
      <c r="AA3407">
        <v>1</v>
      </c>
      <c r="AB3407">
        <v>8</v>
      </c>
      <c r="AC3407">
        <v>3</v>
      </c>
      <c r="AD3407">
        <v>0</v>
      </c>
      <c r="AE3407">
        <v>9</v>
      </c>
      <c r="AF3407" t="s">
        <v>138</v>
      </c>
      <c r="AG3407">
        <v>0</v>
      </c>
      <c r="AH3407">
        <v>3</v>
      </c>
      <c r="AI3407">
        <v>2</v>
      </c>
      <c r="AJ3407">
        <v>0</v>
      </c>
      <c r="AK3407" t="s">
        <v>1122</v>
      </c>
      <c r="AL3407">
        <v>39.141990999999997</v>
      </c>
      <c r="AM3407" t="s">
        <v>1092</v>
      </c>
      <c r="AN3407">
        <v>-121.03114100000001</v>
      </c>
      <c r="AO3407">
        <v>25</v>
      </c>
      <c r="AP3407">
        <v>4300</v>
      </c>
      <c r="AQ3407" t="s">
        <v>131</v>
      </c>
      <c r="AR3407">
        <v>-3</v>
      </c>
      <c r="AS3407">
        <v>85</v>
      </c>
      <c r="AT3407">
        <v>-256</v>
      </c>
      <c r="BB3407" t="str">
        <f t="shared" si="1346"/>
        <v>1200</v>
      </c>
      <c r="BC3407">
        <v>1</v>
      </c>
      <c r="BD3407" t="str">
        <f t="shared" si="1347"/>
        <v xml:space="preserve">N52156  </v>
      </c>
      <c r="BE3407">
        <v>1</v>
      </c>
      <c r="BG3407">
        <v>0</v>
      </c>
      <c r="BH3407">
        <v>0</v>
      </c>
      <c r="BI3407">
        <v>0</v>
      </c>
      <c r="BJ3407">
        <v>4325</v>
      </c>
      <c r="BK3407">
        <v>25</v>
      </c>
      <c r="BL3407" t="s">
        <v>188</v>
      </c>
      <c r="BM3407">
        <v>1</v>
      </c>
      <c r="BN3407">
        <v>1</v>
      </c>
      <c r="BO3407">
        <v>0</v>
      </c>
      <c r="BP3407">
        <v>0</v>
      </c>
      <c r="BS3407">
        <v>0</v>
      </c>
      <c r="BT3407">
        <v>0</v>
      </c>
      <c r="BU3407">
        <v>0</v>
      </c>
      <c r="CE3407" t="str">
        <f t="shared" si="1351"/>
        <v>15:13:59.209</v>
      </c>
      <c r="CF3407">
        <v>209060985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2</v>
      </c>
      <c r="CY3407">
        <v>7</v>
      </c>
      <c r="CZ3407" t="s">
        <v>133</v>
      </c>
      <c r="DA3407">
        <v>276</v>
      </c>
      <c r="DB3407">
        <v>0</v>
      </c>
      <c r="DC3407" t="s">
        <v>402</v>
      </c>
      <c r="DD3407" t="s">
        <v>403</v>
      </c>
      <c r="DG3407">
        <v>1628034</v>
      </c>
      <c r="DI3407">
        <v>1</v>
      </c>
      <c r="DJ3407">
        <v>0</v>
      </c>
      <c r="DK3407">
        <v>1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3">
      <c r="A3408" t="str">
        <f>"05/01/2025 15:13:59.463"</f>
        <v>05/01/2025 15:13:59.463</v>
      </c>
      <c r="C3408" t="str">
        <f t="shared" si="1344"/>
        <v>FFDFD3C0</v>
      </c>
      <c r="D3408" t="s">
        <v>143</v>
      </c>
      <c r="E3408" t="str">
        <f>"05"</f>
        <v>05</v>
      </c>
      <c r="H3408">
        <v>172</v>
      </c>
      <c r="I3408" t="s">
        <v>141</v>
      </c>
      <c r="J3408" t="s">
        <v>144</v>
      </c>
      <c r="K3408">
        <v>0</v>
      </c>
      <c r="L3408">
        <v>3</v>
      </c>
      <c r="M3408">
        <v>0</v>
      </c>
      <c r="N3408">
        <v>2</v>
      </c>
      <c r="O3408">
        <v>0</v>
      </c>
      <c r="P3408">
        <v>1</v>
      </c>
      <c r="Q3408">
        <v>0</v>
      </c>
      <c r="R3408" t="s">
        <v>127</v>
      </c>
      <c r="S3408" t="str">
        <f t="shared" si="1350"/>
        <v>15:13:59.000</v>
      </c>
      <c r="T3408" t="str">
        <f t="shared" si="1350"/>
        <v>15:13:59.000</v>
      </c>
      <c r="U3408" t="str">
        <f t="shared" si="1345"/>
        <v>A68FCB</v>
      </c>
      <c r="V3408">
        <v>0</v>
      </c>
      <c r="W3408">
        <v>0</v>
      </c>
      <c r="X3408">
        <v>2</v>
      </c>
      <c r="Y3408">
        <v>0</v>
      </c>
      <c r="AA3408">
        <v>1</v>
      </c>
      <c r="AB3408">
        <v>8</v>
      </c>
      <c r="AC3408">
        <v>3</v>
      </c>
      <c r="AD3408">
        <v>0</v>
      </c>
      <c r="AE3408">
        <v>9</v>
      </c>
      <c r="AF3408" t="s">
        <v>138</v>
      </c>
      <c r="AG3408">
        <v>0</v>
      </c>
      <c r="AH3408">
        <v>3</v>
      </c>
      <c r="AI3408">
        <v>2</v>
      </c>
      <c r="AJ3408">
        <v>0</v>
      </c>
      <c r="AK3408" t="s">
        <v>1122</v>
      </c>
      <c r="AL3408">
        <v>39.141990999999997</v>
      </c>
      <c r="AM3408" t="s">
        <v>1092</v>
      </c>
      <c r="AN3408">
        <v>-121.03114100000001</v>
      </c>
      <c r="AO3408">
        <v>25</v>
      </c>
      <c r="AP3408">
        <v>4300</v>
      </c>
      <c r="AQ3408" t="s">
        <v>131</v>
      </c>
      <c r="AR3408">
        <v>-3</v>
      </c>
      <c r="AS3408">
        <v>85</v>
      </c>
      <c r="AT3408">
        <v>-256</v>
      </c>
      <c r="BB3408" t="str">
        <f t="shared" si="1346"/>
        <v>1200</v>
      </c>
      <c r="BC3408">
        <v>1</v>
      </c>
      <c r="BD3408" t="str">
        <f t="shared" si="1347"/>
        <v xml:space="preserve">N52156  </v>
      </c>
      <c r="BE3408">
        <v>1</v>
      </c>
      <c r="BG3408">
        <v>0</v>
      </c>
      <c r="BH3408">
        <v>0</v>
      </c>
      <c r="BI3408">
        <v>0</v>
      </c>
      <c r="BJ3408">
        <v>4325</v>
      </c>
      <c r="BK3408">
        <v>25</v>
      </c>
      <c r="BL3408" t="s">
        <v>188</v>
      </c>
      <c r="BM3408">
        <v>1</v>
      </c>
      <c r="BN3408">
        <v>1</v>
      </c>
      <c r="BO3408">
        <v>0</v>
      </c>
      <c r="BP3408">
        <v>0</v>
      </c>
      <c r="BS3408">
        <v>0</v>
      </c>
      <c r="BT3408">
        <v>0</v>
      </c>
      <c r="BU3408">
        <v>0</v>
      </c>
      <c r="CE3408" t="str">
        <f t="shared" si="1351"/>
        <v>15:13:59.209</v>
      </c>
      <c r="CF3408">
        <v>209060985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2</v>
      </c>
      <c r="CY3408">
        <v>7</v>
      </c>
      <c r="CZ3408" t="s">
        <v>133</v>
      </c>
      <c r="DA3408">
        <v>276</v>
      </c>
      <c r="DB3408">
        <v>0</v>
      </c>
      <c r="DC3408" t="s">
        <v>402</v>
      </c>
      <c r="DD3408" t="s">
        <v>403</v>
      </c>
      <c r="DG3408">
        <v>1628034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3">
      <c r="A3409" t="str">
        <f>"05/01/2025 15:13:59.473"</f>
        <v>05/01/2025 15:13:59.473</v>
      </c>
      <c r="C3409" t="str">
        <f t="shared" si="1344"/>
        <v>FFDFD3C0</v>
      </c>
      <c r="D3409" t="s">
        <v>140</v>
      </c>
      <c r="E3409" t="str">
        <f>"13"</f>
        <v>13</v>
      </c>
      <c r="F3409">
        <v>1019</v>
      </c>
      <c r="G3409" t="s">
        <v>141</v>
      </c>
      <c r="J3409" t="s">
        <v>142</v>
      </c>
      <c r="K3409">
        <v>0</v>
      </c>
      <c r="L3409">
        <v>3</v>
      </c>
      <c r="M3409">
        <v>0</v>
      </c>
      <c r="N3409">
        <v>2</v>
      </c>
      <c r="O3409">
        <v>0</v>
      </c>
      <c r="P3409">
        <v>1</v>
      </c>
      <c r="Q3409">
        <v>0</v>
      </c>
      <c r="R3409" t="s">
        <v>127</v>
      </c>
      <c r="S3409" t="str">
        <f t="shared" si="1350"/>
        <v>15:13:59.000</v>
      </c>
      <c r="T3409" t="str">
        <f t="shared" si="1350"/>
        <v>15:13:59.000</v>
      </c>
      <c r="U3409" t="str">
        <f t="shared" si="1345"/>
        <v>A68FCB</v>
      </c>
      <c r="V3409">
        <v>0</v>
      </c>
      <c r="W3409">
        <v>0</v>
      </c>
      <c r="X3409">
        <v>2</v>
      </c>
      <c r="Y3409">
        <v>0</v>
      </c>
      <c r="AA3409">
        <v>1</v>
      </c>
      <c r="AB3409">
        <v>8</v>
      </c>
      <c r="AC3409">
        <v>3</v>
      </c>
      <c r="AD3409">
        <v>0</v>
      </c>
      <c r="AE3409">
        <v>9</v>
      </c>
      <c r="AF3409" t="s">
        <v>138</v>
      </c>
      <c r="AG3409">
        <v>0</v>
      </c>
      <c r="AH3409">
        <v>3</v>
      </c>
      <c r="AI3409">
        <v>2</v>
      </c>
      <c r="AJ3409">
        <v>0</v>
      </c>
      <c r="AK3409" t="s">
        <v>1122</v>
      </c>
      <c r="AL3409">
        <v>39.141990999999997</v>
      </c>
      <c r="AM3409" t="s">
        <v>1092</v>
      </c>
      <c r="AN3409">
        <v>-121.03114100000001</v>
      </c>
      <c r="AO3409">
        <v>25</v>
      </c>
      <c r="AP3409">
        <v>4300</v>
      </c>
      <c r="AQ3409" t="s">
        <v>131</v>
      </c>
      <c r="AR3409">
        <v>-3</v>
      </c>
      <c r="AS3409">
        <v>85</v>
      </c>
      <c r="AT3409">
        <v>-256</v>
      </c>
      <c r="BB3409" t="str">
        <f t="shared" si="1346"/>
        <v>1200</v>
      </c>
      <c r="BC3409">
        <v>1</v>
      </c>
      <c r="BD3409" t="str">
        <f t="shared" si="1347"/>
        <v xml:space="preserve">N52156  </v>
      </c>
      <c r="BE3409">
        <v>1</v>
      </c>
      <c r="BG3409">
        <v>0</v>
      </c>
      <c r="BH3409">
        <v>0</v>
      </c>
      <c r="BI3409">
        <v>0</v>
      </c>
      <c r="BJ3409">
        <v>4325</v>
      </c>
      <c r="BK3409">
        <v>25</v>
      </c>
      <c r="BL3409" t="s">
        <v>188</v>
      </c>
      <c r="BM3409">
        <v>1</v>
      </c>
      <c r="BN3409">
        <v>1</v>
      </c>
      <c r="BO3409">
        <v>0</v>
      </c>
      <c r="BP3409">
        <v>0</v>
      </c>
      <c r="BS3409">
        <v>0</v>
      </c>
      <c r="BT3409">
        <v>0</v>
      </c>
      <c r="BU3409">
        <v>0</v>
      </c>
      <c r="CE3409" t="str">
        <f t="shared" si="1351"/>
        <v>15:13:59.209</v>
      </c>
      <c r="CF3409">
        <v>209060985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2</v>
      </c>
      <c r="CY3409">
        <v>7</v>
      </c>
      <c r="CZ3409" t="s">
        <v>133</v>
      </c>
      <c r="DA3409">
        <v>276</v>
      </c>
      <c r="DB3409">
        <v>0</v>
      </c>
      <c r="DC3409" t="s">
        <v>402</v>
      </c>
      <c r="DD3409" t="s">
        <v>403</v>
      </c>
      <c r="DG3409">
        <v>1628034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3">
      <c r="A3410" t="str">
        <f>"05/01/2025 15:14:00.587"</f>
        <v>05/01/2025 15:14:00.587</v>
      </c>
      <c r="C3410" t="str">
        <f t="shared" si="1344"/>
        <v>FFDFD3C0</v>
      </c>
      <c r="D3410" t="s">
        <v>145</v>
      </c>
      <c r="E3410" t="str">
        <f>"09"</f>
        <v>09</v>
      </c>
      <c r="H3410">
        <v>51</v>
      </c>
      <c r="I3410" t="s">
        <v>147</v>
      </c>
      <c r="J3410" t="s">
        <v>138</v>
      </c>
      <c r="K3410">
        <v>0</v>
      </c>
      <c r="L3410">
        <v>3</v>
      </c>
      <c r="M3410">
        <v>0</v>
      </c>
      <c r="N3410">
        <v>2</v>
      </c>
      <c r="O3410">
        <v>0</v>
      </c>
      <c r="P3410">
        <v>1</v>
      </c>
      <c r="Q3410">
        <v>0</v>
      </c>
      <c r="R3410" t="s">
        <v>127</v>
      </c>
      <c r="S3410" t="str">
        <f t="shared" ref="S3410:T3415" si="1352">"15:14:00.000"</f>
        <v>15:14:00.000</v>
      </c>
      <c r="T3410" t="str">
        <f t="shared" si="1352"/>
        <v>15:14:00.000</v>
      </c>
      <c r="U3410" t="str">
        <f t="shared" si="1345"/>
        <v>A68FCB</v>
      </c>
      <c r="V3410">
        <v>0</v>
      </c>
      <c r="W3410">
        <v>0</v>
      </c>
      <c r="X3410">
        <v>2</v>
      </c>
      <c r="Y3410">
        <v>0</v>
      </c>
      <c r="AA3410">
        <v>1</v>
      </c>
      <c r="AB3410">
        <v>8</v>
      </c>
      <c r="AC3410">
        <v>3</v>
      </c>
      <c r="AD3410">
        <v>0</v>
      </c>
      <c r="AE3410">
        <v>9</v>
      </c>
      <c r="AF3410" t="s">
        <v>138</v>
      </c>
      <c r="AG3410">
        <v>0</v>
      </c>
      <c r="AH3410">
        <v>3</v>
      </c>
      <c r="AI3410">
        <v>2</v>
      </c>
      <c r="AJ3410">
        <v>0</v>
      </c>
      <c r="AK3410" t="s">
        <v>1123</v>
      </c>
      <c r="AL3410">
        <v>39.142398999999997</v>
      </c>
      <c r="AM3410" t="s">
        <v>1124</v>
      </c>
      <c r="AN3410">
        <v>-121.03116300000001</v>
      </c>
      <c r="AO3410">
        <v>25</v>
      </c>
      <c r="AP3410">
        <v>4300</v>
      </c>
      <c r="AQ3410" t="s">
        <v>131</v>
      </c>
      <c r="AR3410">
        <v>-2</v>
      </c>
      <c r="AS3410">
        <v>85</v>
      </c>
      <c r="AT3410">
        <v>-256</v>
      </c>
      <c r="BB3410" t="str">
        <f t="shared" si="1346"/>
        <v>1200</v>
      </c>
      <c r="BC3410">
        <v>1</v>
      </c>
      <c r="BD3410" t="str">
        <f t="shared" si="1347"/>
        <v xml:space="preserve">N52156  </v>
      </c>
      <c r="BE3410">
        <v>1</v>
      </c>
      <c r="BG3410">
        <v>0</v>
      </c>
      <c r="BH3410">
        <v>0</v>
      </c>
      <c r="BI3410">
        <v>0</v>
      </c>
      <c r="BJ3410">
        <v>4325</v>
      </c>
      <c r="BK3410">
        <v>25</v>
      </c>
      <c r="BL3410" t="s">
        <v>188</v>
      </c>
      <c r="BM3410">
        <v>1</v>
      </c>
      <c r="BN3410">
        <v>1</v>
      </c>
      <c r="BO3410">
        <v>0</v>
      </c>
      <c r="BP3410">
        <v>0</v>
      </c>
      <c r="BS3410">
        <v>0</v>
      </c>
      <c r="BT3410">
        <v>0</v>
      </c>
      <c r="BU3410">
        <v>0</v>
      </c>
      <c r="CE3410" t="str">
        <f t="shared" ref="CE3410:CE3415" si="1353">"15:14:00.371"</f>
        <v>15:14:00.371</v>
      </c>
      <c r="CF3410">
        <v>371061537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3</v>
      </c>
      <c r="CY3410">
        <v>7</v>
      </c>
      <c r="CZ3410" t="s">
        <v>133</v>
      </c>
      <c r="DA3410">
        <v>276</v>
      </c>
      <c r="DB3410">
        <v>0</v>
      </c>
      <c r="DC3410" t="s">
        <v>402</v>
      </c>
      <c r="DD3410" t="s">
        <v>403</v>
      </c>
      <c r="DG3410">
        <v>1628037</v>
      </c>
      <c r="DI3410">
        <v>1</v>
      </c>
      <c r="DJ3410">
        <v>0</v>
      </c>
      <c r="DK3410">
        <v>0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3">
      <c r="A3411" t="str">
        <f>"05/01/2025 15:14:00.589"</f>
        <v>05/01/2025 15:14:00.589</v>
      </c>
      <c r="C3411" t="str">
        <f t="shared" si="1344"/>
        <v>FFDFD3C0</v>
      </c>
      <c r="D3411" t="s">
        <v>145</v>
      </c>
      <c r="E3411" t="str">
        <f>"05"</f>
        <v>05</v>
      </c>
      <c r="H3411">
        <v>47</v>
      </c>
      <c r="I3411" t="s">
        <v>146</v>
      </c>
      <c r="J3411" t="s">
        <v>138</v>
      </c>
      <c r="K3411">
        <v>0</v>
      </c>
      <c r="L3411">
        <v>3</v>
      </c>
      <c r="M3411">
        <v>0</v>
      </c>
      <c r="N3411">
        <v>2</v>
      </c>
      <c r="O3411">
        <v>0</v>
      </c>
      <c r="P3411">
        <v>1</v>
      </c>
      <c r="Q3411">
        <v>0</v>
      </c>
      <c r="R3411" t="s">
        <v>127</v>
      </c>
      <c r="S3411" t="str">
        <f t="shared" si="1352"/>
        <v>15:14:00.000</v>
      </c>
      <c r="T3411" t="str">
        <f t="shared" si="1352"/>
        <v>15:14:00.000</v>
      </c>
      <c r="U3411" t="str">
        <f t="shared" si="1345"/>
        <v>A68FCB</v>
      </c>
      <c r="V3411">
        <v>0</v>
      </c>
      <c r="W3411">
        <v>0</v>
      </c>
      <c r="X3411">
        <v>2</v>
      </c>
      <c r="Y3411">
        <v>0</v>
      </c>
      <c r="AA3411">
        <v>1</v>
      </c>
      <c r="AB3411">
        <v>8</v>
      </c>
      <c r="AC3411">
        <v>3</v>
      </c>
      <c r="AD3411">
        <v>0</v>
      </c>
      <c r="AE3411">
        <v>9</v>
      </c>
      <c r="AF3411" t="s">
        <v>138</v>
      </c>
      <c r="AG3411">
        <v>0</v>
      </c>
      <c r="AH3411">
        <v>3</v>
      </c>
      <c r="AI3411">
        <v>2</v>
      </c>
      <c r="AJ3411">
        <v>0</v>
      </c>
      <c r="AK3411" t="s">
        <v>1123</v>
      </c>
      <c r="AL3411">
        <v>39.142398999999997</v>
      </c>
      <c r="AM3411" t="s">
        <v>1124</v>
      </c>
      <c r="AN3411">
        <v>-121.03116300000001</v>
      </c>
      <c r="AO3411">
        <v>25</v>
      </c>
      <c r="AP3411">
        <v>4300</v>
      </c>
      <c r="AQ3411" t="s">
        <v>131</v>
      </c>
      <c r="AR3411">
        <v>-2</v>
      </c>
      <c r="AS3411">
        <v>85</v>
      </c>
      <c r="AT3411">
        <v>-256</v>
      </c>
      <c r="BB3411" t="str">
        <f t="shared" si="1346"/>
        <v>1200</v>
      </c>
      <c r="BC3411">
        <v>1</v>
      </c>
      <c r="BD3411" t="str">
        <f t="shared" si="1347"/>
        <v xml:space="preserve">N52156  </v>
      </c>
      <c r="BE3411">
        <v>1</v>
      </c>
      <c r="BG3411">
        <v>0</v>
      </c>
      <c r="BH3411">
        <v>0</v>
      </c>
      <c r="BI3411">
        <v>0</v>
      </c>
      <c r="BJ3411">
        <v>4325</v>
      </c>
      <c r="BK3411">
        <v>25</v>
      </c>
      <c r="BL3411" t="s">
        <v>188</v>
      </c>
      <c r="BM3411">
        <v>1</v>
      </c>
      <c r="BN3411">
        <v>1</v>
      </c>
      <c r="BO3411">
        <v>0</v>
      </c>
      <c r="BP3411">
        <v>0</v>
      </c>
      <c r="BS3411">
        <v>0</v>
      </c>
      <c r="BT3411">
        <v>0</v>
      </c>
      <c r="BU3411">
        <v>0</v>
      </c>
      <c r="CE3411" t="str">
        <f t="shared" si="1353"/>
        <v>15:14:00.371</v>
      </c>
      <c r="CF3411">
        <v>371061537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3</v>
      </c>
      <c r="CY3411">
        <v>7</v>
      </c>
      <c r="CZ3411" t="s">
        <v>133</v>
      </c>
      <c r="DA3411">
        <v>276</v>
      </c>
      <c r="DB3411">
        <v>0</v>
      </c>
      <c r="DC3411" t="s">
        <v>402</v>
      </c>
      <c r="DD3411" t="s">
        <v>403</v>
      </c>
      <c r="DG3411">
        <v>1628037</v>
      </c>
      <c r="DI3411">
        <v>1</v>
      </c>
      <c r="DJ3411">
        <v>0</v>
      </c>
      <c r="DK3411">
        <v>1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3">
      <c r="A3412" t="str">
        <f>"05/01/2025 15:14:00.601"</f>
        <v>05/01/2025 15:14:00.601</v>
      </c>
      <c r="C3412" t="str">
        <f t="shared" si="1344"/>
        <v>FFDFD3C0</v>
      </c>
      <c r="D3412" t="s">
        <v>136</v>
      </c>
      <c r="E3412" t="str">
        <f>"20"</f>
        <v>20</v>
      </c>
      <c r="H3412">
        <v>400</v>
      </c>
      <c r="I3412" t="s">
        <v>137</v>
      </c>
      <c r="J3412" t="s">
        <v>138</v>
      </c>
      <c r="K3412">
        <v>0</v>
      </c>
      <c r="L3412">
        <v>3</v>
      </c>
      <c r="M3412">
        <v>0</v>
      </c>
      <c r="N3412">
        <v>2</v>
      </c>
      <c r="O3412">
        <v>0</v>
      </c>
      <c r="P3412">
        <v>1</v>
      </c>
      <c r="Q3412">
        <v>0</v>
      </c>
      <c r="R3412" t="s">
        <v>127</v>
      </c>
      <c r="S3412" t="str">
        <f t="shared" si="1352"/>
        <v>15:14:00.000</v>
      </c>
      <c r="T3412" t="str">
        <f t="shared" si="1352"/>
        <v>15:14:00.000</v>
      </c>
      <c r="U3412" t="str">
        <f t="shared" si="1345"/>
        <v>A68FCB</v>
      </c>
      <c r="V3412">
        <v>0</v>
      </c>
      <c r="W3412">
        <v>0</v>
      </c>
      <c r="X3412">
        <v>2</v>
      </c>
      <c r="Y3412">
        <v>0</v>
      </c>
      <c r="AA3412">
        <v>1</v>
      </c>
      <c r="AB3412">
        <v>8</v>
      </c>
      <c r="AC3412">
        <v>3</v>
      </c>
      <c r="AD3412">
        <v>0</v>
      </c>
      <c r="AE3412">
        <v>9</v>
      </c>
      <c r="AF3412" t="s">
        <v>138</v>
      </c>
      <c r="AG3412">
        <v>0</v>
      </c>
      <c r="AH3412">
        <v>3</v>
      </c>
      <c r="AI3412">
        <v>2</v>
      </c>
      <c r="AJ3412">
        <v>0</v>
      </c>
      <c r="AK3412" t="s">
        <v>1123</v>
      </c>
      <c r="AL3412">
        <v>39.142398999999997</v>
      </c>
      <c r="AM3412" t="s">
        <v>1124</v>
      </c>
      <c r="AN3412">
        <v>-121.03116300000001</v>
      </c>
      <c r="AO3412">
        <v>25</v>
      </c>
      <c r="AP3412">
        <v>4300</v>
      </c>
      <c r="AQ3412" t="s">
        <v>131</v>
      </c>
      <c r="AR3412">
        <v>-2</v>
      </c>
      <c r="AS3412">
        <v>85</v>
      </c>
      <c r="AT3412">
        <v>-256</v>
      </c>
      <c r="BB3412" t="str">
        <f t="shared" si="1346"/>
        <v>1200</v>
      </c>
      <c r="BC3412">
        <v>1</v>
      </c>
      <c r="BD3412" t="str">
        <f t="shared" si="1347"/>
        <v xml:space="preserve">N52156  </v>
      </c>
      <c r="BE3412">
        <v>1</v>
      </c>
      <c r="BG3412">
        <v>0</v>
      </c>
      <c r="BH3412">
        <v>0</v>
      </c>
      <c r="BI3412">
        <v>0</v>
      </c>
      <c r="BJ3412">
        <v>4325</v>
      </c>
      <c r="BK3412">
        <v>25</v>
      </c>
      <c r="BL3412" t="s">
        <v>188</v>
      </c>
      <c r="BM3412">
        <v>1</v>
      </c>
      <c r="BN3412">
        <v>1</v>
      </c>
      <c r="BO3412">
        <v>0</v>
      </c>
      <c r="BP3412">
        <v>0</v>
      </c>
      <c r="BS3412">
        <v>0</v>
      </c>
      <c r="BT3412">
        <v>0</v>
      </c>
      <c r="BU3412">
        <v>0</v>
      </c>
      <c r="CE3412" t="str">
        <f t="shared" si="1353"/>
        <v>15:14:00.371</v>
      </c>
      <c r="CF3412">
        <v>371061537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3</v>
      </c>
      <c r="CY3412">
        <v>7</v>
      </c>
      <c r="CZ3412" t="s">
        <v>133</v>
      </c>
      <c r="DA3412">
        <v>276</v>
      </c>
      <c r="DB3412">
        <v>0</v>
      </c>
      <c r="DC3412" t="s">
        <v>402</v>
      </c>
      <c r="DD3412" t="s">
        <v>403</v>
      </c>
      <c r="DG3412">
        <v>1628037</v>
      </c>
      <c r="DI3412">
        <v>1</v>
      </c>
      <c r="DJ3412">
        <v>0</v>
      </c>
      <c r="DK3412">
        <v>1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3">
      <c r="A3413" t="str">
        <f>"05/01/2025 15:14:00.614"</f>
        <v>05/01/2025 15:14:00.614</v>
      </c>
      <c r="C3413" t="str">
        <f t="shared" si="1344"/>
        <v>FFDFD3C0</v>
      </c>
      <c r="D3413" t="s">
        <v>143</v>
      </c>
      <c r="E3413" t="str">
        <f>"05"</f>
        <v>05</v>
      </c>
      <c r="H3413">
        <v>172</v>
      </c>
      <c r="I3413" t="s">
        <v>141</v>
      </c>
      <c r="J3413" t="s">
        <v>144</v>
      </c>
      <c r="K3413">
        <v>0</v>
      </c>
      <c r="L3413">
        <v>3</v>
      </c>
      <c r="M3413">
        <v>0</v>
      </c>
      <c r="N3413">
        <v>2</v>
      </c>
      <c r="O3413">
        <v>0</v>
      </c>
      <c r="P3413">
        <v>1</v>
      </c>
      <c r="Q3413">
        <v>0</v>
      </c>
      <c r="R3413" t="s">
        <v>127</v>
      </c>
      <c r="S3413" t="str">
        <f t="shared" si="1352"/>
        <v>15:14:00.000</v>
      </c>
      <c r="T3413" t="str">
        <f t="shared" si="1352"/>
        <v>15:14:00.000</v>
      </c>
      <c r="U3413" t="str">
        <f t="shared" si="1345"/>
        <v>A68FCB</v>
      </c>
      <c r="V3413">
        <v>0</v>
      </c>
      <c r="W3413">
        <v>0</v>
      </c>
      <c r="X3413">
        <v>2</v>
      </c>
      <c r="Y3413">
        <v>0</v>
      </c>
      <c r="AA3413">
        <v>1</v>
      </c>
      <c r="AB3413">
        <v>8</v>
      </c>
      <c r="AC3413">
        <v>3</v>
      </c>
      <c r="AD3413">
        <v>0</v>
      </c>
      <c r="AE3413">
        <v>9</v>
      </c>
      <c r="AF3413" t="s">
        <v>138</v>
      </c>
      <c r="AG3413">
        <v>0</v>
      </c>
      <c r="AH3413">
        <v>3</v>
      </c>
      <c r="AI3413">
        <v>2</v>
      </c>
      <c r="AJ3413">
        <v>0</v>
      </c>
      <c r="AK3413" t="s">
        <v>1123</v>
      </c>
      <c r="AL3413">
        <v>39.142398999999997</v>
      </c>
      <c r="AM3413" t="s">
        <v>1124</v>
      </c>
      <c r="AN3413">
        <v>-121.03116300000001</v>
      </c>
      <c r="AO3413">
        <v>25</v>
      </c>
      <c r="AP3413">
        <v>4300</v>
      </c>
      <c r="AQ3413" t="s">
        <v>131</v>
      </c>
      <c r="AR3413">
        <v>-2</v>
      </c>
      <c r="AS3413">
        <v>85</v>
      </c>
      <c r="AT3413">
        <v>-256</v>
      </c>
      <c r="BB3413" t="str">
        <f t="shared" si="1346"/>
        <v>1200</v>
      </c>
      <c r="BC3413">
        <v>1</v>
      </c>
      <c r="BD3413" t="str">
        <f t="shared" si="1347"/>
        <v xml:space="preserve">N52156  </v>
      </c>
      <c r="BE3413">
        <v>1</v>
      </c>
      <c r="BG3413">
        <v>0</v>
      </c>
      <c r="BH3413">
        <v>0</v>
      </c>
      <c r="BI3413">
        <v>0</v>
      </c>
      <c r="BJ3413">
        <v>4325</v>
      </c>
      <c r="BK3413">
        <v>25</v>
      </c>
      <c r="BL3413" t="s">
        <v>188</v>
      </c>
      <c r="BM3413">
        <v>1</v>
      </c>
      <c r="BN3413">
        <v>1</v>
      </c>
      <c r="BO3413">
        <v>0</v>
      </c>
      <c r="BP3413">
        <v>0</v>
      </c>
      <c r="BS3413">
        <v>0</v>
      </c>
      <c r="BT3413">
        <v>0</v>
      </c>
      <c r="BU3413">
        <v>0</v>
      </c>
      <c r="CE3413" t="str">
        <f t="shared" si="1353"/>
        <v>15:14:00.371</v>
      </c>
      <c r="CF3413">
        <v>371061537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3</v>
      </c>
      <c r="CY3413">
        <v>7</v>
      </c>
      <c r="CZ3413" t="s">
        <v>133</v>
      </c>
      <c r="DA3413">
        <v>276</v>
      </c>
      <c r="DB3413">
        <v>0</v>
      </c>
      <c r="DC3413" t="s">
        <v>402</v>
      </c>
      <c r="DD3413" t="s">
        <v>403</v>
      </c>
      <c r="DG3413">
        <v>1628037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3">
      <c r="A3414" t="str">
        <f>"05/01/2025 15:14:00.625"</f>
        <v>05/01/2025 15:14:00.625</v>
      </c>
      <c r="C3414" t="str">
        <f t="shared" si="1344"/>
        <v>FFDFD3C0</v>
      </c>
      <c r="D3414" t="s">
        <v>140</v>
      </c>
      <c r="E3414" t="str">
        <f>"13"</f>
        <v>13</v>
      </c>
      <c r="F3414">
        <v>1019</v>
      </c>
      <c r="G3414" t="s">
        <v>141</v>
      </c>
      <c r="J3414" t="s">
        <v>142</v>
      </c>
      <c r="K3414">
        <v>0</v>
      </c>
      <c r="L3414">
        <v>3</v>
      </c>
      <c r="M3414">
        <v>0</v>
      </c>
      <c r="N3414">
        <v>2</v>
      </c>
      <c r="O3414">
        <v>0</v>
      </c>
      <c r="P3414">
        <v>1</v>
      </c>
      <c r="Q3414">
        <v>0</v>
      </c>
      <c r="R3414" t="s">
        <v>127</v>
      </c>
      <c r="S3414" t="str">
        <f t="shared" si="1352"/>
        <v>15:14:00.000</v>
      </c>
      <c r="T3414" t="str">
        <f t="shared" si="1352"/>
        <v>15:14:00.000</v>
      </c>
      <c r="U3414" t="str">
        <f t="shared" si="1345"/>
        <v>A68FCB</v>
      </c>
      <c r="V3414">
        <v>0</v>
      </c>
      <c r="W3414">
        <v>0</v>
      </c>
      <c r="X3414">
        <v>2</v>
      </c>
      <c r="Y3414">
        <v>0</v>
      </c>
      <c r="AA3414">
        <v>1</v>
      </c>
      <c r="AB3414">
        <v>8</v>
      </c>
      <c r="AC3414">
        <v>3</v>
      </c>
      <c r="AD3414">
        <v>0</v>
      </c>
      <c r="AE3414">
        <v>9</v>
      </c>
      <c r="AF3414" t="s">
        <v>138</v>
      </c>
      <c r="AG3414">
        <v>0</v>
      </c>
      <c r="AH3414">
        <v>3</v>
      </c>
      <c r="AI3414">
        <v>2</v>
      </c>
      <c r="AJ3414">
        <v>0</v>
      </c>
      <c r="AK3414" t="s">
        <v>1123</v>
      </c>
      <c r="AL3414">
        <v>39.142398999999997</v>
      </c>
      <c r="AM3414" t="s">
        <v>1124</v>
      </c>
      <c r="AN3414">
        <v>-121.03116300000001</v>
      </c>
      <c r="AO3414">
        <v>25</v>
      </c>
      <c r="AP3414">
        <v>4300</v>
      </c>
      <c r="AQ3414" t="s">
        <v>131</v>
      </c>
      <c r="AR3414">
        <v>-2</v>
      </c>
      <c r="AS3414">
        <v>85</v>
      </c>
      <c r="AT3414">
        <v>-256</v>
      </c>
      <c r="BB3414" t="str">
        <f t="shared" si="1346"/>
        <v>1200</v>
      </c>
      <c r="BC3414">
        <v>1</v>
      </c>
      <c r="BD3414" t="str">
        <f t="shared" si="1347"/>
        <v xml:space="preserve">N52156  </v>
      </c>
      <c r="BE3414">
        <v>1</v>
      </c>
      <c r="BG3414">
        <v>0</v>
      </c>
      <c r="BH3414">
        <v>0</v>
      </c>
      <c r="BI3414">
        <v>0</v>
      </c>
      <c r="BJ3414">
        <v>4325</v>
      </c>
      <c r="BK3414">
        <v>25</v>
      </c>
      <c r="BL3414" t="s">
        <v>188</v>
      </c>
      <c r="BM3414">
        <v>1</v>
      </c>
      <c r="BN3414">
        <v>1</v>
      </c>
      <c r="BO3414">
        <v>0</v>
      </c>
      <c r="BP3414">
        <v>0</v>
      </c>
      <c r="BS3414">
        <v>0</v>
      </c>
      <c r="BT3414">
        <v>0</v>
      </c>
      <c r="BU3414">
        <v>0</v>
      </c>
      <c r="CE3414" t="str">
        <f t="shared" si="1353"/>
        <v>15:14:00.371</v>
      </c>
      <c r="CF3414">
        <v>371061537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3</v>
      </c>
      <c r="CY3414">
        <v>7</v>
      </c>
      <c r="CZ3414" t="s">
        <v>133</v>
      </c>
      <c r="DA3414">
        <v>276</v>
      </c>
      <c r="DB3414">
        <v>0</v>
      </c>
      <c r="DC3414" t="s">
        <v>402</v>
      </c>
      <c r="DD3414" t="s">
        <v>403</v>
      </c>
      <c r="DG3414">
        <v>1628037</v>
      </c>
      <c r="DI3414">
        <v>1</v>
      </c>
      <c r="DJ3414">
        <v>0</v>
      </c>
      <c r="DK3414">
        <v>1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3">
      <c r="A3415" t="str">
        <f>"05/01/2025 15:14:00.626"</f>
        <v>05/01/2025 15:14:00.626</v>
      </c>
      <c r="C3415" t="str">
        <f t="shared" si="1344"/>
        <v>FFDFD3C0</v>
      </c>
      <c r="D3415" t="s">
        <v>124</v>
      </c>
      <c r="E3415" t="str">
        <f>"06"</f>
        <v>06</v>
      </c>
      <c r="F3415">
        <v>2006</v>
      </c>
      <c r="G3415" t="s">
        <v>125</v>
      </c>
      <c r="J3415" t="s">
        <v>126</v>
      </c>
      <c r="K3415">
        <v>0</v>
      </c>
      <c r="L3415">
        <v>3</v>
      </c>
      <c r="M3415">
        <v>0</v>
      </c>
      <c r="N3415">
        <v>2</v>
      </c>
      <c r="O3415">
        <v>0</v>
      </c>
      <c r="P3415">
        <v>1</v>
      </c>
      <c r="Q3415">
        <v>0</v>
      </c>
      <c r="R3415" t="s">
        <v>127</v>
      </c>
      <c r="S3415" t="str">
        <f t="shared" si="1352"/>
        <v>15:14:00.000</v>
      </c>
      <c r="T3415" t="str">
        <f t="shared" si="1352"/>
        <v>15:14:00.000</v>
      </c>
      <c r="U3415" t="str">
        <f t="shared" si="1345"/>
        <v>A68FCB</v>
      </c>
      <c r="V3415">
        <v>0</v>
      </c>
      <c r="W3415">
        <v>0</v>
      </c>
      <c r="X3415">
        <v>2</v>
      </c>
      <c r="Y3415">
        <v>0</v>
      </c>
      <c r="AA3415">
        <v>1</v>
      </c>
      <c r="AB3415">
        <v>8</v>
      </c>
      <c r="AC3415">
        <v>3</v>
      </c>
      <c r="AD3415">
        <v>0</v>
      </c>
      <c r="AE3415">
        <v>9</v>
      </c>
      <c r="AF3415" t="s">
        <v>138</v>
      </c>
      <c r="AG3415">
        <v>0</v>
      </c>
      <c r="AH3415">
        <v>3</v>
      </c>
      <c r="AI3415">
        <v>2</v>
      </c>
      <c r="AJ3415">
        <v>0</v>
      </c>
      <c r="AK3415" t="s">
        <v>1123</v>
      </c>
      <c r="AL3415">
        <v>39.142398999999997</v>
      </c>
      <c r="AM3415" t="s">
        <v>1124</v>
      </c>
      <c r="AN3415">
        <v>-121.03116300000001</v>
      </c>
      <c r="AO3415">
        <v>25</v>
      </c>
      <c r="AP3415">
        <v>4300</v>
      </c>
      <c r="AQ3415" t="s">
        <v>131</v>
      </c>
      <c r="AR3415">
        <v>-2</v>
      </c>
      <c r="AS3415">
        <v>85</v>
      </c>
      <c r="AT3415">
        <v>-256</v>
      </c>
      <c r="BB3415" t="str">
        <f t="shared" si="1346"/>
        <v>1200</v>
      </c>
      <c r="BC3415">
        <v>1</v>
      </c>
      <c r="BD3415" t="str">
        <f t="shared" si="1347"/>
        <v xml:space="preserve">N52156  </v>
      </c>
      <c r="BE3415">
        <v>1</v>
      </c>
      <c r="BG3415">
        <v>0</v>
      </c>
      <c r="BH3415">
        <v>0</v>
      </c>
      <c r="BI3415">
        <v>0</v>
      </c>
      <c r="BJ3415">
        <v>4325</v>
      </c>
      <c r="BK3415">
        <v>25</v>
      </c>
      <c r="BL3415" t="s">
        <v>188</v>
      </c>
      <c r="BM3415">
        <v>1</v>
      </c>
      <c r="BN3415">
        <v>1</v>
      </c>
      <c r="BO3415">
        <v>0</v>
      </c>
      <c r="BP3415">
        <v>0</v>
      </c>
      <c r="BS3415">
        <v>0</v>
      </c>
      <c r="BT3415">
        <v>0</v>
      </c>
      <c r="BU3415">
        <v>0</v>
      </c>
      <c r="CE3415" t="str">
        <f t="shared" si="1353"/>
        <v>15:14:00.371</v>
      </c>
      <c r="CF3415">
        <v>371061537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3</v>
      </c>
      <c r="CY3415">
        <v>7</v>
      </c>
      <c r="CZ3415" t="s">
        <v>133</v>
      </c>
      <c r="DA3415">
        <v>276</v>
      </c>
      <c r="DB3415">
        <v>0</v>
      </c>
      <c r="DC3415" t="s">
        <v>402</v>
      </c>
      <c r="DD3415" t="s">
        <v>403</v>
      </c>
      <c r="DG3415">
        <v>1628037</v>
      </c>
      <c r="DI3415">
        <v>1</v>
      </c>
      <c r="DJ3415">
        <v>0</v>
      </c>
      <c r="DK3415">
        <v>1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3">
      <c r="A3416" t="str">
        <f>"05/01/2025 15:14:01.538"</f>
        <v>05/01/2025 15:14:01.538</v>
      </c>
      <c r="C3416" t="str">
        <f t="shared" si="1344"/>
        <v>FFDFD3C0</v>
      </c>
      <c r="D3416" t="s">
        <v>145</v>
      </c>
      <c r="E3416" t="str">
        <f>"09"</f>
        <v>09</v>
      </c>
      <c r="H3416">
        <v>51</v>
      </c>
      <c r="I3416" t="s">
        <v>147</v>
      </c>
      <c r="J3416" t="s">
        <v>138</v>
      </c>
      <c r="K3416">
        <v>0</v>
      </c>
      <c r="L3416">
        <v>3</v>
      </c>
      <c r="M3416">
        <v>0</v>
      </c>
      <c r="N3416">
        <v>2</v>
      </c>
      <c r="O3416">
        <v>0</v>
      </c>
      <c r="P3416">
        <v>1</v>
      </c>
      <c r="Q3416">
        <v>0</v>
      </c>
      <c r="R3416" t="s">
        <v>127</v>
      </c>
      <c r="S3416" t="str">
        <f t="shared" ref="S3416:T3421" si="1354">"15:14:01.000"</f>
        <v>15:14:01.000</v>
      </c>
      <c r="T3416" t="str">
        <f t="shared" si="1354"/>
        <v>15:14:01.000</v>
      </c>
      <c r="U3416" t="str">
        <f t="shared" si="1345"/>
        <v>A68FCB</v>
      </c>
      <c r="V3416">
        <v>0</v>
      </c>
      <c r="W3416">
        <v>0</v>
      </c>
      <c r="X3416">
        <v>2</v>
      </c>
      <c r="Y3416">
        <v>0</v>
      </c>
      <c r="AA3416">
        <v>1</v>
      </c>
      <c r="AB3416">
        <v>8</v>
      </c>
      <c r="AC3416">
        <v>3</v>
      </c>
      <c r="AD3416">
        <v>0</v>
      </c>
      <c r="AE3416">
        <v>9</v>
      </c>
      <c r="AF3416" t="s">
        <v>138</v>
      </c>
      <c r="AG3416">
        <v>0</v>
      </c>
      <c r="AH3416">
        <v>3</v>
      </c>
      <c r="AI3416">
        <v>2</v>
      </c>
      <c r="AJ3416">
        <v>0</v>
      </c>
      <c r="AK3416" t="s">
        <v>1125</v>
      </c>
      <c r="AL3416">
        <v>39.142806999999998</v>
      </c>
      <c r="AM3416" t="s">
        <v>1090</v>
      </c>
      <c r="AN3416">
        <v>-121.031184</v>
      </c>
      <c r="AO3416">
        <v>25</v>
      </c>
      <c r="AP3416">
        <v>4300</v>
      </c>
      <c r="AQ3416" t="s">
        <v>131</v>
      </c>
      <c r="AR3416">
        <v>-2</v>
      </c>
      <c r="AS3416">
        <v>86</v>
      </c>
      <c r="AT3416">
        <v>-256</v>
      </c>
      <c r="BB3416" t="str">
        <f t="shared" si="1346"/>
        <v>1200</v>
      </c>
      <c r="BC3416">
        <v>1</v>
      </c>
      <c r="BD3416" t="str">
        <f t="shared" si="1347"/>
        <v xml:space="preserve">N52156  </v>
      </c>
      <c r="BE3416">
        <v>1</v>
      </c>
      <c r="BG3416">
        <v>0</v>
      </c>
      <c r="BH3416">
        <v>0</v>
      </c>
      <c r="BI3416">
        <v>0</v>
      </c>
      <c r="BJ3416">
        <v>4325</v>
      </c>
      <c r="BK3416">
        <v>25</v>
      </c>
      <c r="BL3416" t="s">
        <v>188</v>
      </c>
      <c r="BM3416">
        <v>1</v>
      </c>
      <c r="BN3416">
        <v>1</v>
      </c>
      <c r="BO3416">
        <v>0</v>
      </c>
      <c r="BP3416">
        <v>0</v>
      </c>
      <c r="BS3416">
        <v>0</v>
      </c>
      <c r="BT3416">
        <v>0</v>
      </c>
      <c r="BU3416">
        <v>0</v>
      </c>
      <c r="CE3416" t="str">
        <f t="shared" ref="CE3416:CE3421" si="1355">"15:14:01.327"</f>
        <v>15:14:01.327</v>
      </c>
      <c r="CF3416">
        <v>327484260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2</v>
      </c>
      <c r="CY3416">
        <v>7</v>
      </c>
      <c r="CZ3416" t="s">
        <v>133</v>
      </c>
      <c r="DA3416">
        <v>275</v>
      </c>
      <c r="DB3416">
        <v>0</v>
      </c>
      <c r="DC3416" t="s">
        <v>134</v>
      </c>
      <c r="DD3416" t="s">
        <v>135</v>
      </c>
      <c r="DG3416">
        <v>3322660</v>
      </c>
      <c r="DI3416">
        <v>1</v>
      </c>
      <c r="DJ3416">
        <v>0</v>
      </c>
      <c r="DK3416">
        <v>0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3">
      <c r="A3417" t="str">
        <f>"05/01/2025 15:14:01.541"</f>
        <v>05/01/2025 15:14:01.541</v>
      </c>
      <c r="C3417" t="str">
        <f t="shared" si="1344"/>
        <v>FFDFD3C0</v>
      </c>
      <c r="D3417" t="s">
        <v>145</v>
      </c>
      <c r="E3417" t="str">
        <f>"05"</f>
        <v>05</v>
      </c>
      <c r="H3417">
        <v>47</v>
      </c>
      <c r="I3417" t="s">
        <v>146</v>
      </c>
      <c r="J3417" t="s">
        <v>138</v>
      </c>
      <c r="K3417">
        <v>0</v>
      </c>
      <c r="L3417">
        <v>3</v>
      </c>
      <c r="M3417">
        <v>0</v>
      </c>
      <c r="N3417">
        <v>2</v>
      </c>
      <c r="O3417">
        <v>0</v>
      </c>
      <c r="P3417">
        <v>1</v>
      </c>
      <c r="Q3417">
        <v>0</v>
      </c>
      <c r="R3417" t="s">
        <v>127</v>
      </c>
      <c r="S3417" t="str">
        <f t="shared" si="1354"/>
        <v>15:14:01.000</v>
      </c>
      <c r="T3417" t="str">
        <f t="shared" si="1354"/>
        <v>15:14:01.000</v>
      </c>
      <c r="U3417" t="str">
        <f t="shared" si="1345"/>
        <v>A68FCB</v>
      </c>
      <c r="V3417">
        <v>0</v>
      </c>
      <c r="W3417">
        <v>0</v>
      </c>
      <c r="X3417">
        <v>2</v>
      </c>
      <c r="Y3417">
        <v>0</v>
      </c>
      <c r="AA3417">
        <v>1</v>
      </c>
      <c r="AB3417">
        <v>8</v>
      </c>
      <c r="AC3417">
        <v>3</v>
      </c>
      <c r="AD3417">
        <v>0</v>
      </c>
      <c r="AE3417">
        <v>9</v>
      </c>
      <c r="AF3417" t="s">
        <v>138</v>
      </c>
      <c r="AG3417">
        <v>0</v>
      </c>
      <c r="AH3417">
        <v>3</v>
      </c>
      <c r="AI3417">
        <v>2</v>
      </c>
      <c r="AJ3417">
        <v>0</v>
      </c>
      <c r="AK3417" t="s">
        <v>1125</v>
      </c>
      <c r="AL3417">
        <v>39.142806999999998</v>
      </c>
      <c r="AM3417" t="s">
        <v>1090</v>
      </c>
      <c r="AN3417">
        <v>-121.031184</v>
      </c>
      <c r="AO3417">
        <v>25</v>
      </c>
      <c r="AP3417">
        <v>4300</v>
      </c>
      <c r="AQ3417" t="s">
        <v>131</v>
      </c>
      <c r="AR3417">
        <v>-2</v>
      </c>
      <c r="AS3417">
        <v>86</v>
      </c>
      <c r="AT3417">
        <v>-256</v>
      </c>
      <c r="BB3417" t="str">
        <f t="shared" si="1346"/>
        <v>1200</v>
      </c>
      <c r="BC3417">
        <v>1</v>
      </c>
      <c r="BD3417" t="str">
        <f t="shared" si="1347"/>
        <v xml:space="preserve">N52156  </v>
      </c>
      <c r="BE3417">
        <v>1</v>
      </c>
      <c r="BG3417">
        <v>0</v>
      </c>
      <c r="BH3417">
        <v>0</v>
      </c>
      <c r="BI3417">
        <v>0</v>
      </c>
      <c r="BJ3417">
        <v>4325</v>
      </c>
      <c r="BK3417">
        <v>25</v>
      </c>
      <c r="BL3417" t="s">
        <v>188</v>
      </c>
      <c r="BM3417">
        <v>1</v>
      </c>
      <c r="BN3417">
        <v>1</v>
      </c>
      <c r="BO3417">
        <v>0</v>
      </c>
      <c r="BP3417">
        <v>0</v>
      </c>
      <c r="BS3417">
        <v>0</v>
      </c>
      <c r="BT3417">
        <v>0</v>
      </c>
      <c r="BU3417">
        <v>0</v>
      </c>
      <c r="CE3417" t="str">
        <f t="shared" si="1355"/>
        <v>15:14:01.327</v>
      </c>
      <c r="CF3417">
        <v>327484260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2</v>
      </c>
      <c r="CY3417">
        <v>7</v>
      </c>
      <c r="CZ3417" t="s">
        <v>133</v>
      </c>
      <c r="DA3417">
        <v>275</v>
      </c>
      <c r="DB3417">
        <v>0</v>
      </c>
      <c r="DC3417" t="s">
        <v>134</v>
      </c>
      <c r="DD3417" t="s">
        <v>135</v>
      </c>
      <c r="DG3417">
        <v>3322660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3">
      <c r="A3418" t="str">
        <f>"05/01/2025 15:14:01.553"</f>
        <v>05/01/2025 15:14:01.553</v>
      </c>
      <c r="C3418" t="str">
        <f t="shared" si="1344"/>
        <v>FFDFD3C0</v>
      </c>
      <c r="D3418" t="s">
        <v>136</v>
      </c>
      <c r="E3418" t="str">
        <f>"20"</f>
        <v>20</v>
      </c>
      <c r="H3418">
        <v>400</v>
      </c>
      <c r="I3418" t="s">
        <v>137</v>
      </c>
      <c r="J3418" t="s">
        <v>138</v>
      </c>
      <c r="K3418">
        <v>0</v>
      </c>
      <c r="L3418">
        <v>3</v>
      </c>
      <c r="M3418">
        <v>0</v>
      </c>
      <c r="N3418">
        <v>2</v>
      </c>
      <c r="O3418">
        <v>0</v>
      </c>
      <c r="P3418">
        <v>1</v>
      </c>
      <c r="Q3418">
        <v>0</v>
      </c>
      <c r="R3418" t="s">
        <v>127</v>
      </c>
      <c r="S3418" t="str">
        <f t="shared" si="1354"/>
        <v>15:14:01.000</v>
      </c>
      <c r="T3418" t="str">
        <f t="shared" si="1354"/>
        <v>15:14:01.000</v>
      </c>
      <c r="U3418" t="str">
        <f t="shared" si="1345"/>
        <v>A68FCB</v>
      </c>
      <c r="V3418">
        <v>0</v>
      </c>
      <c r="W3418">
        <v>0</v>
      </c>
      <c r="X3418">
        <v>2</v>
      </c>
      <c r="Y3418">
        <v>0</v>
      </c>
      <c r="AA3418">
        <v>1</v>
      </c>
      <c r="AB3418">
        <v>8</v>
      </c>
      <c r="AC3418">
        <v>3</v>
      </c>
      <c r="AD3418">
        <v>0</v>
      </c>
      <c r="AE3418">
        <v>9</v>
      </c>
      <c r="AF3418" t="s">
        <v>138</v>
      </c>
      <c r="AG3418">
        <v>0</v>
      </c>
      <c r="AH3418">
        <v>3</v>
      </c>
      <c r="AI3418">
        <v>2</v>
      </c>
      <c r="AJ3418">
        <v>0</v>
      </c>
      <c r="AK3418" t="s">
        <v>1125</v>
      </c>
      <c r="AL3418">
        <v>39.142806999999998</v>
      </c>
      <c r="AM3418" t="s">
        <v>1090</v>
      </c>
      <c r="AN3418">
        <v>-121.031184</v>
      </c>
      <c r="AO3418">
        <v>25</v>
      </c>
      <c r="AP3418">
        <v>4300</v>
      </c>
      <c r="AQ3418" t="s">
        <v>131</v>
      </c>
      <c r="AR3418">
        <v>-2</v>
      </c>
      <c r="AS3418">
        <v>86</v>
      </c>
      <c r="AT3418">
        <v>-256</v>
      </c>
      <c r="BB3418" t="str">
        <f t="shared" si="1346"/>
        <v>1200</v>
      </c>
      <c r="BC3418">
        <v>1</v>
      </c>
      <c r="BD3418" t="str">
        <f t="shared" si="1347"/>
        <v xml:space="preserve">N52156  </v>
      </c>
      <c r="BE3418">
        <v>1</v>
      </c>
      <c r="BG3418">
        <v>0</v>
      </c>
      <c r="BH3418">
        <v>0</v>
      </c>
      <c r="BI3418">
        <v>0</v>
      </c>
      <c r="BJ3418">
        <v>4325</v>
      </c>
      <c r="BK3418">
        <v>25</v>
      </c>
      <c r="BL3418" t="s">
        <v>188</v>
      </c>
      <c r="BM3418">
        <v>1</v>
      </c>
      <c r="BN3418">
        <v>1</v>
      </c>
      <c r="BO3418">
        <v>0</v>
      </c>
      <c r="BP3418">
        <v>0</v>
      </c>
      <c r="BS3418">
        <v>0</v>
      </c>
      <c r="BT3418">
        <v>0</v>
      </c>
      <c r="BU3418">
        <v>0</v>
      </c>
      <c r="CE3418" t="str">
        <f t="shared" si="1355"/>
        <v>15:14:01.327</v>
      </c>
      <c r="CF3418">
        <v>327484260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2</v>
      </c>
      <c r="CY3418">
        <v>7</v>
      </c>
      <c r="CZ3418" t="s">
        <v>133</v>
      </c>
      <c r="DA3418">
        <v>275</v>
      </c>
      <c r="DB3418">
        <v>0</v>
      </c>
      <c r="DC3418" t="s">
        <v>134</v>
      </c>
      <c r="DD3418" t="s">
        <v>135</v>
      </c>
      <c r="DG3418">
        <v>3322660</v>
      </c>
      <c r="DI3418">
        <v>1</v>
      </c>
      <c r="DJ3418">
        <v>0</v>
      </c>
      <c r="DK3418">
        <v>1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3">
      <c r="A3419" t="str">
        <f>"05/01/2025 15:14:01.566"</f>
        <v>05/01/2025 15:14:01.566</v>
      </c>
      <c r="C3419" t="str">
        <f t="shared" si="1344"/>
        <v>FFDFD3C0</v>
      </c>
      <c r="D3419" t="s">
        <v>143</v>
      </c>
      <c r="E3419" t="str">
        <f>"05"</f>
        <v>05</v>
      </c>
      <c r="H3419">
        <v>172</v>
      </c>
      <c r="I3419" t="s">
        <v>141</v>
      </c>
      <c r="J3419" t="s">
        <v>144</v>
      </c>
      <c r="K3419">
        <v>0</v>
      </c>
      <c r="L3419">
        <v>3</v>
      </c>
      <c r="M3419">
        <v>0</v>
      </c>
      <c r="N3419">
        <v>2</v>
      </c>
      <c r="O3419">
        <v>0</v>
      </c>
      <c r="P3419">
        <v>1</v>
      </c>
      <c r="Q3419">
        <v>0</v>
      </c>
      <c r="R3419" t="s">
        <v>127</v>
      </c>
      <c r="S3419" t="str">
        <f t="shared" si="1354"/>
        <v>15:14:01.000</v>
      </c>
      <c r="T3419" t="str">
        <f t="shared" si="1354"/>
        <v>15:14:01.000</v>
      </c>
      <c r="U3419" t="str">
        <f t="shared" si="1345"/>
        <v>A68FCB</v>
      </c>
      <c r="V3419">
        <v>0</v>
      </c>
      <c r="W3419">
        <v>0</v>
      </c>
      <c r="X3419">
        <v>2</v>
      </c>
      <c r="Y3419">
        <v>0</v>
      </c>
      <c r="AA3419">
        <v>1</v>
      </c>
      <c r="AB3419">
        <v>8</v>
      </c>
      <c r="AC3419">
        <v>3</v>
      </c>
      <c r="AD3419">
        <v>0</v>
      </c>
      <c r="AE3419">
        <v>9</v>
      </c>
      <c r="AF3419" t="s">
        <v>138</v>
      </c>
      <c r="AG3419">
        <v>0</v>
      </c>
      <c r="AH3419">
        <v>3</v>
      </c>
      <c r="AI3419">
        <v>2</v>
      </c>
      <c r="AJ3419">
        <v>0</v>
      </c>
      <c r="AK3419" t="s">
        <v>1125</v>
      </c>
      <c r="AL3419">
        <v>39.142806999999998</v>
      </c>
      <c r="AM3419" t="s">
        <v>1090</v>
      </c>
      <c r="AN3419">
        <v>-121.031184</v>
      </c>
      <c r="AO3419">
        <v>25</v>
      </c>
      <c r="AP3419">
        <v>4300</v>
      </c>
      <c r="AQ3419" t="s">
        <v>131</v>
      </c>
      <c r="AR3419">
        <v>-2</v>
      </c>
      <c r="AS3419">
        <v>86</v>
      </c>
      <c r="AT3419">
        <v>-256</v>
      </c>
      <c r="BB3419" t="str">
        <f t="shared" si="1346"/>
        <v>1200</v>
      </c>
      <c r="BC3419">
        <v>1</v>
      </c>
      <c r="BD3419" t="str">
        <f t="shared" si="1347"/>
        <v xml:space="preserve">N52156  </v>
      </c>
      <c r="BE3419">
        <v>1</v>
      </c>
      <c r="BG3419">
        <v>0</v>
      </c>
      <c r="BH3419">
        <v>0</v>
      </c>
      <c r="BI3419">
        <v>0</v>
      </c>
      <c r="BJ3419">
        <v>4325</v>
      </c>
      <c r="BK3419">
        <v>25</v>
      </c>
      <c r="BL3419" t="s">
        <v>188</v>
      </c>
      <c r="BM3419">
        <v>1</v>
      </c>
      <c r="BN3419">
        <v>1</v>
      </c>
      <c r="BO3419">
        <v>0</v>
      </c>
      <c r="BP3419">
        <v>0</v>
      </c>
      <c r="BS3419">
        <v>0</v>
      </c>
      <c r="BT3419">
        <v>0</v>
      </c>
      <c r="BU3419">
        <v>0</v>
      </c>
      <c r="CE3419" t="str">
        <f t="shared" si="1355"/>
        <v>15:14:01.327</v>
      </c>
      <c r="CF3419">
        <v>327484260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2</v>
      </c>
      <c r="CY3419">
        <v>7</v>
      </c>
      <c r="CZ3419" t="s">
        <v>133</v>
      </c>
      <c r="DA3419">
        <v>275</v>
      </c>
      <c r="DB3419">
        <v>0</v>
      </c>
      <c r="DC3419" t="s">
        <v>134</v>
      </c>
      <c r="DD3419" t="s">
        <v>135</v>
      </c>
      <c r="DG3419">
        <v>3322660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3">
      <c r="A3420" t="str">
        <f>"05/01/2025 15:14:01.577"</f>
        <v>05/01/2025 15:14:01.577</v>
      </c>
      <c r="C3420" t="str">
        <f t="shared" si="1344"/>
        <v>FFDFD3C0</v>
      </c>
      <c r="D3420" t="s">
        <v>140</v>
      </c>
      <c r="E3420" t="str">
        <f>"13"</f>
        <v>13</v>
      </c>
      <c r="F3420">
        <v>1019</v>
      </c>
      <c r="G3420" t="s">
        <v>141</v>
      </c>
      <c r="J3420" t="s">
        <v>142</v>
      </c>
      <c r="K3420">
        <v>0</v>
      </c>
      <c r="L3420">
        <v>3</v>
      </c>
      <c r="M3420">
        <v>0</v>
      </c>
      <c r="N3420">
        <v>2</v>
      </c>
      <c r="O3420">
        <v>0</v>
      </c>
      <c r="P3420">
        <v>1</v>
      </c>
      <c r="Q3420">
        <v>0</v>
      </c>
      <c r="R3420" t="s">
        <v>127</v>
      </c>
      <c r="S3420" t="str">
        <f t="shared" si="1354"/>
        <v>15:14:01.000</v>
      </c>
      <c r="T3420" t="str">
        <f t="shared" si="1354"/>
        <v>15:14:01.000</v>
      </c>
      <c r="U3420" t="str">
        <f t="shared" si="1345"/>
        <v>A68FCB</v>
      </c>
      <c r="V3420">
        <v>0</v>
      </c>
      <c r="W3420">
        <v>0</v>
      </c>
      <c r="X3420">
        <v>2</v>
      </c>
      <c r="Y3420">
        <v>0</v>
      </c>
      <c r="AA3420">
        <v>1</v>
      </c>
      <c r="AB3420">
        <v>8</v>
      </c>
      <c r="AC3420">
        <v>3</v>
      </c>
      <c r="AD3420">
        <v>0</v>
      </c>
      <c r="AE3420">
        <v>9</v>
      </c>
      <c r="AF3420" t="s">
        <v>138</v>
      </c>
      <c r="AG3420">
        <v>0</v>
      </c>
      <c r="AH3420">
        <v>3</v>
      </c>
      <c r="AI3420">
        <v>2</v>
      </c>
      <c r="AJ3420">
        <v>0</v>
      </c>
      <c r="AK3420" t="s">
        <v>1125</v>
      </c>
      <c r="AL3420">
        <v>39.142806999999998</v>
      </c>
      <c r="AM3420" t="s">
        <v>1090</v>
      </c>
      <c r="AN3420">
        <v>-121.031184</v>
      </c>
      <c r="AO3420">
        <v>25</v>
      </c>
      <c r="AP3420">
        <v>4300</v>
      </c>
      <c r="AQ3420" t="s">
        <v>131</v>
      </c>
      <c r="AR3420">
        <v>-2</v>
      </c>
      <c r="AS3420">
        <v>86</v>
      </c>
      <c r="AT3420">
        <v>-256</v>
      </c>
      <c r="BB3420" t="str">
        <f t="shared" si="1346"/>
        <v>1200</v>
      </c>
      <c r="BC3420">
        <v>1</v>
      </c>
      <c r="BD3420" t="str">
        <f t="shared" si="1347"/>
        <v xml:space="preserve">N52156  </v>
      </c>
      <c r="BE3420">
        <v>1</v>
      </c>
      <c r="BG3420">
        <v>0</v>
      </c>
      <c r="BH3420">
        <v>0</v>
      </c>
      <c r="BI3420">
        <v>0</v>
      </c>
      <c r="BJ3420">
        <v>4325</v>
      </c>
      <c r="BK3420">
        <v>25</v>
      </c>
      <c r="BL3420" t="s">
        <v>188</v>
      </c>
      <c r="BM3420">
        <v>1</v>
      </c>
      <c r="BN3420">
        <v>1</v>
      </c>
      <c r="BO3420">
        <v>0</v>
      </c>
      <c r="BP3420">
        <v>0</v>
      </c>
      <c r="BS3420">
        <v>0</v>
      </c>
      <c r="BT3420">
        <v>0</v>
      </c>
      <c r="BU3420">
        <v>0</v>
      </c>
      <c r="CE3420" t="str">
        <f t="shared" si="1355"/>
        <v>15:14:01.327</v>
      </c>
      <c r="CF3420">
        <v>327484260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2</v>
      </c>
      <c r="CY3420">
        <v>7</v>
      </c>
      <c r="CZ3420" t="s">
        <v>133</v>
      </c>
      <c r="DA3420">
        <v>275</v>
      </c>
      <c r="DB3420">
        <v>0</v>
      </c>
      <c r="DC3420" t="s">
        <v>134</v>
      </c>
      <c r="DD3420" t="s">
        <v>135</v>
      </c>
      <c r="DG3420">
        <v>3322660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3">
      <c r="A3421" t="str">
        <f>"05/01/2025 15:14:01.578"</f>
        <v>05/01/2025 15:14:01.578</v>
      </c>
      <c r="C3421" t="str">
        <f t="shared" si="1344"/>
        <v>FFDFD3C0</v>
      </c>
      <c r="D3421" t="s">
        <v>124</v>
      </c>
      <c r="E3421" t="str">
        <f>"06"</f>
        <v>06</v>
      </c>
      <c r="F3421">
        <v>2006</v>
      </c>
      <c r="G3421" t="s">
        <v>125</v>
      </c>
      <c r="J3421" t="s">
        <v>126</v>
      </c>
      <c r="K3421">
        <v>0</v>
      </c>
      <c r="L3421">
        <v>3</v>
      </c>
      <c r="M3421">
        <v>0</v>
      </c>
      <c r="N3421">
        <v>2</v>
      </c>
      <c r="O3421">
        <v>0</v>
      </c>
      <c r="P3421">
        <v>1</v>
      </c>
      <c r="Q3421">
        <v>0</v>
      </c>
      <c r="R3421" t="s">
        <v>127</v>
      </c>
      <c r="S3421" t="str">
        <f t="shared" si="1354"/>
        <v>15:14:01.000</v>
      </c>
      <c r="T3421" t="str">
        <f t="shared" si="1354"/>
        <v>15:14:01.000</v>
      </c>
      <c r="U3421" t="str">
        <f t="shared" si="1345"/>
        <v>A68FCB</v>
      </c>
      <c r="V3421">
        <v>0</v>
      </c>
      <c r="W3421">
        <v>0</v>
      </c>
      <c r="X3421">
        <v>2</v>
      </c>
      <c r="Y3421">
        <v>0</v>
      </c>
      <c r="AA3421">
        <v>1</v>
      </c>
      <c r="AB3421">
        <v>8</v>
      </c>
      <c r="AC3421">
        <v>3</v>
      </c>
      <c r="AD3421">
        <v>0</v>
      </c>
      <c r="AE3421">
        <v>9</v>
      </c>
      <c r="AF3421" t="s">
        <v>138</v>
      </c>
      <c r="AG3421">
        <v>0</v>
      </c>
      <c r="AH3421">
        <v>3</v>
      </c>
      <c r="AI3421">
        <v>2</v>
      </c>
      <c r="AJ3421">
        <v>0</v>
      </c>
      <c r="AK3421" t="s">
        <v>1125</v>
      </c>
      <c r="AL3421">
        <v>39.142806999999998</v>
      </c>
      <c r="AM3421" t="s">
        <v>1090</v>
      </c>
      <c r="AN3421">
        <v>-121.031184</v>
      </c>
      <c r="AO3421">
        <v>25</v>
      </c>
      <c r="AP3421">
        <v>4300</v>
      </c>
      <c r="AQ3421" t="s">
        <v>131</v>
      </c>
      <c r="AR3421">
        <v>-2</v>
      </c>
      <c r="AS3421">
        <v>86</v>
      </c>
      <c r="AT3421">
        <v>-256</v>
      </c>
      <c r="BB3421" t="str">
        <f t="shared" si="1346"/>
        <v>1200</v>
      </c>
      <c r="BC3421">
        <v>1</v>
      </c>
      <c r="BD3421" t="str">
        <f t="shared" si="1347"/>
        <v xml:space="preserve">N52156  </v>
      </c>
      <c r="BE3421">
        <v>1</v>
      </c>
      <c r="BG3421">
        <v>0</v>
      </c>
      <c r="BH3421">
        <v>0</v>
      </c>
      <c r="BI3421">
        <v>0</v>
      </c>
      <c r="BJ3421">
        <v>4325</v>
      </c>
      <c r="BK3421">
        <v>25</v>
      </c>
      <c r="BL3421" t="s">
        <v>188</v>
      </c>
      <c r="BM3421">
        <v>1</v>
      </c>
      <c r="BN3421">
        <v>1</v>
      </c>
      <c r="BO3421">
        <v>0</v>
      </c>
      <c r="BP3421">
        <v>0</v>
      </c>
      <c r="BS3421">
        <v>0</v>
      </c>
      <c r="BT3421">
        <v>0</v>
      </c>
      <c r="BU3421">
        <v>0</v>
      </c>
      <c r="CE3421" t="str">
        <f t="shared" si="1355"/>
        <v>15:14:01.327</v>
      </c>
      <c r="CF3421">
        <v>327484260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2</v>
      </c>
      <c r="CY3421">
        <v>7</v>
      </c>
      <c r="CZ3421" t="s">
        <v>133</v>
      </c>
      <c r="DA3421">
        <v>275</v>
      </c>
      <c r="DB3421">
        <v>0</v>
      </c>
      <c r="DC3421" t="s">
        <v>134</v>
      </c>
      <c r="DD3421" t="s">
        <v>135</v>
      </c>
      <c r="DG3421">
        <v>3322660</v>
      </c>
      <c r="DI3421">
        <v>1</v>
      </c>
      <c r="DJ3421">
        <v>0</v>
      </c>
      <c r="DK3421">
        <v>1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3">
      <c r="A3422" t="str">
        <f>"05/01/2025 15:14:03.106"</f>
        <v>05/01/2025 15:14:03.106</v>
      </c>
      <c r="C3422" t="str">
        <f t="shared" si="1344"/>
        <v>FFDFD3C0</v>
      </c>
      <c r="D3422" t="s">
        <v>136</v>
      </c>
      <c r="E3422" t="str">
        <f>"20"</f>
        <v>20</v>
      </c>
      <c r="H3422">
        <v>400</v>
      </c>
      <c r="I3422" t="s">
        <v>137</v>
      </c>
      <c r="J3422" t="s">
        <v>138</v>
      </c>
      <c r="K3422">
        <v>0</v>
      </c>
      <c r="L3422">
        <v>3</v>
      </c>
      <c r="M3422">
        <v>0</v>
      </c>
      <c r="N3422">
        <v>2</v>
      </c>
      <c r="O3422">
        <v>0</v>
      </c>
      <c r="P3422">
        <v>1</v>
      </c>
      <c r="Q3422">
        <v>0</v>
      </c>
      <c r="R3422" t="s">
        <v>127</v>
      </c>
      <c r="S3422" t="str">
        <f t="shared" ref="S3422:T3427" si="1356">"15:14:02.000"</f>
        <v>15:14:02.000</v>
      </c>
      <c r="T3422" t="str">
        <f t="shared" si="1356"/>
        <v>15:14:02.000</v>
      </c>
      <c r="U3422" t="str">
        <f t="shared" si="1345"/>
        <v>A68FCB</v>
      </c>
      <c r="V3422">
        <v>0</v>
      </c>
      <c r="W3422">
        <v>0</v>
      </c>
      <c r="X3422">
        <v>2</v>
      </c>
      <c r="Y3422">
        <v>0</v>
      </c>
      <c r="AA3422">
        <v>1</v>
      </c>
      <c r="AB3422">
        <v>8</v>
      </c>
      <c r="AC3422">
        <v>3</v>
      </c>
      <c r="AD3422">
        <v>0</v>
      </c>
      <c r="AE3422">
        <v>9</v>
      </c>
      <c r="AF3422" t="s">
        <v>138</v>
      </c>
      <c r="AG3422">
        <v>0</v>
      </c>
      <c r="AH3422">
        <v>3</v>
      </c>
      <c r="AI3422">
        <v>2</v>
      </c>
      <c r="AJ3422">
        <v>0</v>
      </c>
      <c r="AK3422" t="s">
        <v>1126</v>
      </c>
      <c r="AL3422">
        <v>39.143192999999997</v>
      </c>
      <c r="AM3422" t="s">
        <v>1088</v>
      </c>
      <c r="AN3422">
        <v>-121.031206</v>
      </c>
      <c r="AO3422">
        <v>25</v>
      </c>
      <c r="AP3422">
        <v>4300</v>
      </c>
      <c r="AQ3422" t="s">
        <v>131</v>
      </c>
      <c r="AR3422">
        <v>-1</v>
      </c>
      <c r="AS3422">
        <v>85</v>
      </c>
      <c r="AT3422">
        <v>-320</v>
      </c>
      <c r="BB3422" t="str">
        <f t="shared" si="1346"/>
        <v>1200</v>
      </c>
      <c r="BC3422">
        <v>1</v>
      </c>
      <c r="BD3422" t="str">
        <f t="shared" si="1347"/>
        <v xml:space="preserve">N52156  </v>
      </c>
      <c r="BE3422">
        <v>1</v>
      </c>
      <c r="BG3422">
        <v>0</v>
      </c>
      <c r="BH3422">
        <v>0</v>
      </c>
      <c r="BI3422">
        <v>0</v>
      </c>
      <c r="BJ3422">
        <v>4325</v>
      </c>
      <c r="BK3422">
        <v>25</v>
      </c>
      <c r="BL3422" t="s">
        <v>188</v>
      </c>
      <c r="BM3422">
        <v>1</v>
      </c>
      <c r="BN3422">
        <v>1</v>
      </c>
      <c r="BO3422">
        <v>0</v>
      </c>
      <c r="BP3422">
        <v>0</v>
      </c>
      <c r="BS3422">
        <v>0</v>
      </c>
      <c r="BT3422">
        <v>0</v>
      </c>
      <c r="BU3422">
        <v>0</v>
      </c>
      <c r="CE3422" t="str">
        <f t="shared" ref="CE3422:CE3427" si="1357">"15:14:02.899"</f>
        <v>15:14:02.899</v>
      </c>
      <c r="CF3422">
        <v>898813155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3</v>
      </c>
      <c r="CY3422">
        <v>7</v>
      </c>
      <c r="CZ3422" t="s">
        <v>133</v>
      </c>
      <c r="DA3422">
        <v>276</v>
      </c>
      <c r="DB3422">
        <v>0</v>
      </c>
      <c r="DC3422" t="s">
        <v>402</v>
      </c>
      <c r="DD3422" t="s">
        <v>403</v>
      </c>
      <c r="DG3422">
        <v>1628045</v>
      </c>
      <c r="DI3422">
        <v>1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3">
      <c r="A3423" t="str">
        <f>"05/01/2025 15:14:03.119"</f>
        <v>05/01/2025 15:14:03.119</v>
      </c>
      <c r="C3423" t="str">
        <f t="shared" si="1344"/>
        <v>FFDFD3C0</v>
      </c>
      <c r="D3423" t="s">
        <v>143</v>
      </c>
      <c r="E3423" t="str">
        <f>"05"</f>
        <v>05</v>
      </c>
      <c r="H3423">
        <v>172</v>
      </c>
      <c r="I3423" t="s">
        <v>141</v>
      </c>
      <c r="J3423" t="s">
        <v>144</v>
      </c>
      <c r="K3423">
        <v>0</v>
      </c>
      <c r="L3423">
        <v>3</v>
      </c>
      <c r="M3423">
        <v>0</v>
      </c>
      <c r="N3423">
        <v>2</v>
      </c>
      <c r="O3423">
        <v>0</v>
      </c>
      <c r="P3423">
        <v>1</v>
      </c>
      <c r="Q3423">
        <v>0</v>
      </c>
      <c r="R3423" t="s">
        <v>127</v>
      </c>
      <c r="S3423" t="str">
        <f t="shared" si="1356"/>
        <v>15:14:02.000</v>
      </c>
      <c r="T3423" t="str">
        <f t="shared" si="1356"/>
        <v>15:14:02.000</v>
      </c>
      <c r="U3423" t="str">
        <f t="shared" si="1345"/>
        <v>A68FCB</v>
      </c>
      <c r="V3423">
        <v>0</v>
      </c>
      <c r="W3423">
        <v>0</v>
      </c>
      <c r="X3423">
        <v>2</v>
      </c>
      <c r="Y3423">
        <v>0</v>
      </c>
      <c r="AA3423">
        <v>1</v>
      </c>
      <c r="AB3423">
        <v>8</v>
      </c>
      <c r="AC3423">
        <v>3</v>
      </c>
      <c r="AD3423">
        <v>0</v>
      </c>
      <c r="AE3423">
        <v>9</v>
      </c>
      <c r="AF3423" t="s">
        <v>138</v>
      </c>
      <c r="AG3423">
        <v>0</v>
      </c>
      <c r="AH3423">
        <v>3</v>
      </c>
      <c r="AI3423">
        <v>2</v>
      </c>
      <c r="AJ3423">
        <v>0</v>
      </c>
      <c r="AK3423" t="s">
        <v>1126</v>
      </c>
      <c r="AL3423">
        <v>39.143192999999997</v>
      </c>
      <c r="AM3423" t="s">
        <v>1088</v>
      </c>
      <c r="AN3423">
        <v>-121.031206</v>
      </c>
      <c r="AO3423">
        <v>25</v>
      </c>
      <c r="AP3423">
        <v>4300</v>
      </c>
      <c r="AQ3423" t="s">
        <v>131</v>
      </c>
      <c r="AR3423">
        <v>-1</v>
      </c>
      <c r="AS3423">
        <v>85</v>
      </c>
      <c r="AT3423">
        <v>-320</v>
      </c>
      <c r="BB3423" t="str">
        <f t="shared" si="1346"/>
        <v>1200</v>
      </c>
      <c r="BC3423">
        <v>1</v>
      </c>
      <c r="BD3423" t="str">
        <f t="shared" si="1347"/>
        <v xml:space="preserve">N52156  </v>
      </c>
      <c r="BE3423">
        <v>1</v>
      </c>
      <c r="BG3423">
        <v>0</v>
      </c>
      <c r="BH3423">
        <v>0</v>
      </c>
      <c r="BI3423">
        <v>0</v>
      </c>
      <c r="BJ3423">
        <v>4325</v>
      </c>
      <c r="BK3423">
        <v>25</v>
      </c>
      <c r="BL3423" t="s">
        <v>188</v>
      </c>
      <c r="BM3423">
        <v>1</v>
      </c>
      <c r="BN3423">
        <v>1</v>
      </c>
      <c r="BO3423">
        <v>0</v>
      </c>
      <c r="BP3423">
        <v>0</v>
      </c>
      <c r="BS3423">
        <v>0</v>
      </c>
      <c r="BT3423">
        <v>0</v>
      </c>
      <c r="BU3423">
        <v>0</v>
      </c>
      <c r="CE3423" t="str">
        <f t="shared" si="1357"/>
        <v>15:14:02.899</v>
      </c>
      <c r="CF3423">
        <v>898813155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3</v>
      </c>
      <c r="CY3423">
        <v>7</v>
      </c>
      <c r="CZ3423" t="s">
        <v>133</v>
      </c>
      <c r="DA3423">
        <v>276</v>
      </c>
      <c r="DB3423">
        <v>0</v>
      </c>
      <c r="DC3423" t="s">
        <v>402</v>
      </c>
      <c r="DD3423" t="s">
        <v>403</v>
      </c>
      <c r="DG3423">
        <v>1628045</v>
      </c>
      <c r="DI3423">
        <v>1</v>
      </c>
      <c r="DJ3423">
        <v>0</v>
      </c>
      <c r="DK3423">
        <v>1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3">
      <c r="A3424" t="str">
        <f>"05/01/2025 15:14:03.130"</f>
        <v>05/01/2025 15:14:03.130</v>
      </c>
      <c r="C3424" t="str">
        <f t="shared" si="1344"/>
        <v>FFDFD3C0</v>
      </c>
      <c r="D3424" t="s">
        <v>140</v>
      </c>
      <c r="E3424" t="str">
        <f>"13"</f>
        <v>13</v>
      </c>
      <c r="F3424">
        <v>1019</v>
      </c>
      <c r="G3424" t="s">
        <v>141</v>
      </c>
      <c r="J3424" t="s">
        <v>142</v>
      </c>
      <c r="K3424">
        <v>0</v>
      </c>
      <c r="L3424">
        <v>3</v>
      </c>
      <c r="M3424">
        <v>0</v>
      </c>
      <c r="N3424">
        <v>2</v>
      </c>
      <c r="O3424">
        <v>0</v>
      </c>
      <c r="P3424">
        <v>1</v>
      </c>
      <c r="Q3424">
        <v>0</v>
      </c>
      <c r="R3424" t="s">
        <v>127</v>
      </c>
      <c r="S3424" t="str">
        <f t="shared" si="1356"/>
        <v>15:14:02.000</v>
      </c>
      <c r="T3424" t="str">
        <f t="shared" si="1356"/>
        <v>15:14:02.000</v>
      </c>
      <c r="U3424" t="str">
        <f t="shared" si="1345"/>
        <v>A68FCB</v>
      </c>
      <c r="V3424">
        <v>0</v>
      </c>
      <c r="W3424">
        <v>0</v>
      </c>
      <c r="X3424">
        <v>2</v>
      </c>
      <c r="Y3424">
        <v>0</v>
      </c>
      <c r="AA3424">
        <v>1</v>
      </c>
      <c r="AB3424">
        <v>8</v>
      </c>
      <c r="AC3424">
        <v>3</v>
      </c>
      <c r="AD3424">
        <v>0</v>
      </c>
      <c r="AE3424">
        <v>9</v>
      </c>
      <c r="AF3424" t="s">
        <v>138</v>
      </c>
      <c r="AG3424">
        <v>0</v>
      </c>
      <c r="AH3424">
        <v>3</v>
      </c>
      <c r="AI3424">
        <v>2</v>
      </c>
      <c r="AJ3424">
        <v>0</v>
      </c>
      <c r="AK3424" t="s">
        <v>1126</v>
      </c>
      <c r="AL3424">
        <v>39.143192999999997</v>
      </c>
      <c r="AM3424" t="s">
        <v>1088</v>
      </c>
      <c r="AN3424">
        <v>-121.031206</v>
      </c>
      <c r="AO3424">
        <v>25</v>
      </c>
      <c r="AP3424">
        <v>4300</v>
      </c>
      <c r="AQ3424" t="s">
        <v>131</v>
      </c>
      <c r="AR3424">
        <v>-1</v>
      </c>
      <c r="AS3424">
        <v>85</v>
      </c>
      <c r="AT3424">
        <v>-320</v>
      </c>
      <c r="BB3424" t="str">
        <f t="shared" si="1346"/>
        <v>1200</v>
      </c>
      <c r="BC3424">
        <v>1</v>
      </c>
      <c r="BD3424" t="str">
        <f t="shared" si="1347"/>
        <v xml:space="preserve">N52156  </v>
      </c>
      <c r="BE3424">
        <v>1</v>
      </c>
      <c r="BG3424">
        <v>0</v>
      </c>
      <c r="BH3424">
        <v>0</v>
      </c>
      <c r="BI3424">
        <v>0</v>
      </c>
      <c r="BJ3424">
        <v>4325</v>
      </c>
      <c r="BK3424">
        <v>25</v>
      </c>
      <c r="BL3424" t="s">
        <v>188</v>
      </c>
      <c r="BM3424">
        <v>1</v>
      </c>
      <c r="BN3424">
        <v>1</v>
      </c>
      <c r="BO3424">
        <v>0</v>
      </c>
      <c r="BP3424">
        <v>0</v>
      </c>
      <c r="BS3424">
        <v>0</v>
      </c>
      <c r="BT3424">
        <v>0</v>
      </c>
      <c r="BU3424">
        <v>0</v>
      </c>
      <c r="CE3424" t="str">
        <f t="shared" si="1357"/>
        <v>15:14:02.899</v>
      </c>
      <c r="CF3424">
        <v>898813155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3</v>
      </c>
      <c r="CY3424">
        <v>7</v>
      </c>
      <c r="CZ3424" t="s">
        <v>133</v>
      </c>
      <c r="DA3424">
        <v>276</v>
      </c>
      <c r="DB3424">
        <v>0</v>
      </c>
      <c r="DC3424" t="s">
        <v>402</v>
      </c>
      <c r="DD3424" t="s">
        <v>403</v>
      </c>
      <c r="DG3424">
        <v>1628045</v>
      </c>
      <c r="DI3424">
        <v>1</v>
      </c>
      <c r="DJ3424">
        <v>0</v>
      </c>
      <c r="DK3424">
        <v>1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3">
      <c r="A3425" t="str">
        <f>"05/01/2025 15:14:03.130"</f>
        <v>05/01/2025 15:14:03.130</v>
      </c>
      <c r="C3425" t="str">
        <f t="shared" si="1344"/>
        <v>FFDFD3C0</v>
      </c>
      <c r="D3425" t="s">
        <v>124</v>
      </c>
      <c r="E3425" t="str">
        <f>"06"</f>
        <v>06</v>
      </c>
      <c r="F3425">
        <v>2006</v>
      </c>
      <c r="G3425" t="s">
        <v>125</v>
      </c>
      <c r="J3425" t="s">
        <v>126</v>
      </c>
      <c r="K3425">
        <v>0</v>
      </c>
      <c r="L3425">
        <v>3</v>
      </c>
      <c r="M3425">
        <v>0</v>
      </c>
      <c r="N3425">
        <v>2</v>
      </c>
      <c r="O3425">
        <v>0</v>
      </c>
      <c r="P3425">
        <v>1</v>
      </c>
      <c r="Q3425">
        <v>0</v>
      </c>
      <c r="R3425" t="s">
        <v>127</v>
      </c>
      <c r="S3425" t="str">
        <f t="shared" si="1356"/>
        <v>15:14:02.000</v>
      </c>
      <c r="T3425" t="str">
        <f t="shared" si="1356"/>
        <v>15:14:02.000</v>
      </c>
      <c r="U3425" t="str">
        <f t="shared" si="1345"/>
        <v>A68FCB</v>
      </c>
      <c r="V3425">
        <v>0</v>
      </c>
      <c r="W3425">
        <v>0</v>
      </c>
      <c r="X3425">
        <v>2</v>
      </c>
      <c r="Y3425">
        <v>0</v>
      </c>
      <c r="AA3425">
        <v>1</v>
      </c>
      <c r="AB3425">
        <v>8</v>
      </c>
      <c r="AC3425">
        <v>3</v>
      </c>
      <c r="AD3425">
        <v>0</v>
      </c>
      <c r="AE3425">
        <v>9</v>
      </c>
      <c r="AF3425" t="s">
        <v>138</v>
      </c>
      <c r="AG3425">
        <v>0</v>
      </c>
      <c r="AH3425">
        <v>3</v>
      </c>
      <c r="AI3425">
        <v>2</v>
      </c>
      <c r="AJ3425">
        <v>0</v>
      </c>
      <c r="AK3425" t="s">
        <v>1126</v>
      </c>
      <c r="AL3425">
        <v>39.143192999999997</v>
      </c>
      <c r="AM3425" t="s">
        <v>1088</v>
      </c>
      <c r="AN3425">
        <v>-121.031206</v>
      </c>
      <c r="AO3425">
        <v>25</v>
      </c>
      <c r="AP3425">
        <v>4300</v>
      </c>
      <c r="AQ3425" t="s">
        <v>131</v>
      </c>
      <c r="AR3425">
        <v>-1</v>
      </c>
      <c r="AS3425">
        <v>85</v>
      </c>
      <c r="AT3425">
        <v>-320</v>
      </c>
      <c r="BB3425" t="str">
        <f t="shared" si="1346"/>
        <v>1200</v>
      </c>
      <c r="BC3425">
        <v>1</v>
      </c>
      <c r="BD3425" t="str">
        <f t="shared" si="1347"/>
        <v xml:space="preserve">N52156  </v>
      </c>
      <c r="BE3425">
        <v>1</v>
      </c>
      <c r="BG3425">
        <v>0</v>
      </c>
      <c r="BH3425">
        <v>0</v>
      </c>
      <c r="BI3425">
        <v>0</v>
      </c>
      <c r="BJ3425">
        <v>4325</v>
      </c>
      <c r="BK3425">
        <v>25</v>
      </c>
      <c r="BL3425" t="s">
        <v>188</v>
      </c>
      <c r="BM3425">
        <v>1</v>
      </c>
      <c r="BN3425">
        <v>1</v>
      </c>
      <c r="BO3425">
        <v>0</v>
      </c>
      <c r="BP3425">
        <v>0</v>
      </c>
      <c r="BS3425">
        <v>0</v>
      </c>
      <c r="BT3425">
        <v>0</v>
      </c>
      <c r="BU3425">
        <v>0</v>
      </c>
      <c r="CE3425" t="str">
        <f t="shared" si="1357"/>
        <v>15:14:02.899</v>
      </c>
      <c r="CF3425">
        <v>898813155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3</v>
      </c>
      <c r="CY3425">
        <v>7</v>
      </c>
      <c r="CZ3425" t="s">
        <v>133</v>
      </c>
      <c r="DA3425">
        <v>276</v>
      </c>
      <c r="DB3425">
        <v>0</v>
      </c>
      <c r="DC3425" t="s">
        <v>402</v>
      </c>
      <c r="DD3425" t="s">
        <v>403</v>
      </c>
      <c r="DG3425">
        <v>1628045</v>
      </c>
      <c r="DI3425">
        <v>1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3">
      <c r="A3426" t="str">
        <f>"05/01/2025 15:14:03.141"</f>
        <v>05/01/2025 15:14:03.141</v>
      </c>
      <c r="C3426" t="str">
        <f t="shared" si="1344"/>
        <v>FFDFD3C0</v>
      </c>
      <c r="D3426" t="s">
        <v>145</v>
      </c>
      <c r="E3426" t="str">
        <f>"09"</f>
        <v>09</v>
      </c>
      <c r="H3426">
        <v>51</v>
      </c>
      <c r="I3426" t="s">
        <v>147</v>
      </c>
      <c r="J3426" t="s">
        <v>138</v>
      </c>
      <c r="K3426">
        <v>0</v>
      </c>
      <c r="L3426">
        <v>3</v>
      </c>
      <c r="M3426">
        <v>0</v>
      </c>
      <c r="N3426">
        <v>2</v>
      </c>
      <c r="O3426">
        <v>0</v>
      </c>
      <c r="P3426">
        <v>1</v>
      </c>
      <c r="Q3426">
        <v>0</v>
      </c>
      <c r="R3426" t="s">
        <v>127</v>
      </c>
      <c r="S3426" t="str">
        <f t="shared" si="1356"/>
        <v>15:14:02.000</v>
      </c>
      <c r="T3426" t="str">
        <f t="shared" si="1356"/>
        <v>15:14:02.000</v>
      </c>
      <c r="U3426" t="str">
        <f t="shared" si="1345"/>
        <v>A68FCB</v>
      </c>
      <c r="V3426">
        <v>0</v>
      </c>
      <c r="W3426">
        <v>0</v>
      </c>
      <c r="X3426">
        <v>2</v>
      </c>
      <c r="Y3426">
        <v>0</v>
      </c>
      <c r="AA3426">
        <v>1</v>
      </c>
      <c r="AB3426">
        <v>8</v>
      </c>
      <c r="AC3426">
        <v>3</v>
      </c>
      <c r="AD3426">
        <v>0</v>
      </c>
      <c r="AE3426">
        <v>9</v>
      </c>
      <c r="AF3426" t="s">
        <v>138</v>
      </c>
      <c r="AG3426">
        <v>0</v>
      </c>
      <c r="AH3426">
        <v>3</v>
      </c>
      <c r="AI3426">
        <v>2</v>
      </c>
      <c r="AJ3426">
        <v>0</v>
      </c>
      <c r="AK3426" t="s">
        <v>1126</v>
      </c>
      <c r="AL3426">
        <v>39.143192999999997</v>
      </c>
      <c r="AM3426" t="s">
        <v>1088</v>
      </c>
      <c r="AN3426">
        <v>-121.031206</v>
      </c>
      <c r="AO3426">
        <v>25</v>
      </c>
      <c r="AP3426">
        <v>4300</v>
      </c>
      <c r="AQ3426" t="s">
        <v>131</v>
      </c>
      <c r="AR3426">
        <v>-1</v>
      </c>
      <c r="AS3426">
        <v>85</v>
      </c>
      <c r="AT3426">
        <v>-320</v>
      </c>
      <c r="BB3426" t="str">
        <f t="shared" si="1346"/>
        <v>1200</v>
      </c>
      <c r="BC3426">
        <v>1</v>
      </c>
      <c r="BD3426" t="str">
        <f t="shared" si="1347"/>
        <v xml:space="preserve">N52156  </v>
      </c>
      <c r="BE3426">
        <v>1</v>
      </c>
      <c r="BG3426">
        <v>0</v>
      </c>
      <c r="BH3426">
        <v>0</v>
      </c>
      <c r="BI3426">
        <v>0</v>
      </c>
      <c r="BJ3426">
        <v>4325</v>
      </c>
      <c r="BK3426">
        <v>25</v>
      </c>
      <c r="BL3426" t="s">
        <v>188</v>
      </c>
      <c r="BM3426">
        <v>1</v>
      </c>
      <c r="BN3426">
        <v>1</v>
      </c>
      <c r="BO3426">
        <v>0</v>
      </c>
      <c r="BP3426">
        <v>0</v>
      </c>
      <c r="BS3426">
        <v>0</v>
      </c>
      <c r="BT3426">
        <v>0</v>
      </c>
      <c r="BU3426">
        <v>0</v>
      </c>
      <c r="CE3426" t="str">
        <f t="shared" si="1357"/>
        <v>15:14:02.899</v>
      </c>
      <c r="CF3426">
        <v>898813155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3</v>
      </c>
      <c r="CY3426">
        <v>7</v>
      </c>
      <c r="CZ3426" t="s">
        <v>133</v>
      </c>
      <c r="DA3426">
        <v>276</v>
      </c>
      <c r="DB3426">
        <v>0</v>
      </c>
      <c r="DC3426" t="s">
        <v>402</v>
      </c>
      <c r="DD3426" t="s">
        <v>403</v>
      </c>
      <c r="DG3426">
        <v>1628045</v>
      </c>
      <c r="DI3426">
        <v>1</v>
      </c>
      <c r="DJ3426">
        <v>0</v>
      </c>
      <c r="DK3426">
        <v>1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3">
      <c r="A3427" t="str">
        <f>"05/01/2025 15:14:03.144"</f>
        <v>05/01/2025 15:14:03.144</v>
      </c>
      <c r="C3427" t="str">
        <f t="shared" si="1344"/>
        <v>FFDFD3C0</v>
      </c>
      <c r="D3427" t="s">
        <v>145</v>
      </c>
      <c r="E3427" t="str">
        <f>"05"</f>
        <v>05</v>
      </c>
      <c r="H3427">
        <v>47</v>
      </c>
      <c r="I3427" t="s">
        <v>146</v>
      </c>
      <c r="J3427" t="s">
        <v>138</v>
      </c>
      <c r="K3427">
        <v>0</v>
      </c>
      <c r="L3427">
        <v>3</v>
      </c>
      <c r="M3427">
        <v>0</v>
      </c>
      <c r="N3427">
        <v>2</v>
      </c>
      <c r="O3427">
        <v>0</v>
      </c>
      <c r="P3427">
        <v>1</v>
      </c>
      <c r="Q3427">
        <v>0</v>
      </c>
      <c r="R3427" t="s">
        <v>127</v>
      </c>
      <c r="S3427" t="str">
        <f t="shared" si="1356"/>
        <v>15:14:02.000</v>
      </c>
      <c r="T3427" t="str">
        <f t="shared" si="1356"/>
        <v>15:14:02.000</v>
      </c>
      <c r="U3427" t="str">
        <f t="shared" si="1345"/>
        <v>A68FCB</v>
      </c>
      <c r="V3427">
        <v>0</v>
      </c>
      <c r="W3427">
        <v>0</v>
      </c>
      <c r="X3427">
        <v>2</v>
      </c>
      <c r="Y3427">
        <v>0</v>
      </c>
      <c r="AA3427">
        <v>1</v>
      </c>
      <c r="AB3427">
        <v>8</v>
      </c>
      <c r="AC3427">
        <v>3</v>
      </c>
      <c r="AD3427">
        <v>0</v>
      </c>
      <c r="AE3427">
        <v>9</v>
      </c>
      <c r="AF3427" t="s">
        <v>138</v>
      </c>
      <c r="AG3427">
        <v>0</v>
      </c>
      <c r="AH3427">
        <v>3</v>
      </c>
      <c r="AI3427">
        <v>2</v>
      </c>
      <c r="AJ3427">
        <v>0</v>
      </c>
      <c r="AK3427" t="s">
        <v>1126</v>
      </c>
      <c r="AL3427">
        <v>39.143192999999997</v>
      </c>
      <c r="AM3427" t="s">
        <v>1088</v>
      </c>
      <c r="AN3427">
        <v>-121.031206</v>
      </c>
      <c r="AO3427">
        <v>25</v>
      </c>
      <c r="AP3427">
        <v>4300</v>
      </c>
      <c r="AQ3427" t="s">
        <v>131</v>
      </c>
      <c r="AR3427">
        <v>-1</v>
      </c>
      <c r="AS3427">
        <v>85</v>
      </c>
      <c r="AT3427">
        <v>-320</v>
      </c>
      <c r="BB3427" t="str">
        <f t="shared" si="1346"/>
        <v>1200</v>
      </c>
      <c r="BC3427">
        <v>1</v>
      </c>
      <c r="BD3427" t="str">
        <f t="shared" si="1347"/>
        <v xml:space="preserve">N52156  </v>
      </c>
      <c r="BE3427">
        <v>1</v>
      </c>
      <c r="BG3427">
        <v>0</v>
      </c>
      <c r="BH3427">
        <v>0</v>
      </c>
      <c r="BI3427">
        <v>0</v>
      </c>
      <c r="BJ3427">
        <v>4325</v>
      </c>
      <c r="BK3427">
        <v>25</v>
      </c>
      <c r="BL3427" t="s">
        <v>188</v>
      </c>
      <c r="BM3427">
        <v>1</v>
      </c>
      <c r="BN3427">
        <v>1</v>
      </c>
      <c r="BO3427">
        <v>0</v>
      </c>
      <c r="BP3427">
        <v>0</v>
      </c>
      <c r="BS3427">
        <v>0</v>
      </c>
      <c r="BT3427">
        <v>0</v>
      </c>
      <c r="BU3427">
        <v>0</v>
      </c>
      <c r="CE3427" t="str">
        <f t="shared" si="1357"/>
        <v>15:14:02.899</v>
      </c>
      <c r="CF3427">
        <v>898813155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3</v>
      </c>
      <c r="CY3427">
        <v>7</v>
      </c>
      <c r="CZ3427" t="s">
        <v>133</v>
      </c>
      <c r="DA3427">
        <v>276</v>
      </c>
      <c r="DB3427">
        <v>0</v>
      </c>
      <c r="DC3427" t="s">
        <v>402</v>
      </c>
      <c r="DD3427" t="s">
        <v>403</v>
      </c>
      <c r="DG3427">
        <v>1628045</v>
      </c>
      <c r="DI3427">
        <v>1</v>
      </c>
      <c r="DJ3427">
        <v>0</v>
      </c>
      <c r="DK3427">
        <v>1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3">
      <c r="A3428" t="str">
        <f>"05/01/2025 15:14:03.881"</f>
        <v>05/01/2025 15:14:03.881</v>
      </c>
      <c r="C3428" t="str">
        <f t="shared" si="1344"/>
        <v>FFDFD3C0</v>
      </c>
      <c r="D3428" t="s">
        <v>140</v>
      </c>
      <c r="E3428" t="str">
        <f>"13"</f>
        <v>13</v>
      </c>
      <c r="F3428">
        <v>1019</v>
      </c>
      <c r="G3428" t="s">
        <v>141</v>
      </c>
      <c r="J3428" t="s">
        <v>142</v>
      </c>
      <c r="K3428">
        <v>0</v>
      </c>
      <c r="L3428">
        <v>3</v>
      </c>
      <c r="M3428">
        <v>0</v>
      </c>
      <c r="N3428">
        <v>2</v>
      </c>
      <c r="O3428">
        <v>0</v>
      </c>
      <c r="P3428">
        <v>1</v>
      </c>
      <c r="Q3428">
        <v>0</v>
      </c>
      <c r="R3428" t="s">
        <v>127</v>
      </c>
      <c r="S3428" t="str">
        <f t="shared" ref="S3428:T3433" si="1358">"15:14:03.000"</f>
        <v>15:14:03.000</v>
      </c>
      <c r="T3428" t="str">
        <f t="shared" si="1358"/>
        <v>15:14:03.000</v>
      </c>
      <c r="U3428" t="str">
        <f t="shared" si="1345"/>
        <v>A68FCB</v>
      </c>
      <c r="V3428">
        <v>0</v>
      </c>
      <c r="W3428">
        <v>0</v>
      </c>
      <c r="X3428">
        <v>2</v>
      </c>
      <c r="Y3428">
        <v>0</v>
      </c>
      <c r="AA3428">
        <v>1</v>
      </c>
      <c r="AB3428">
        <v>8</v>
      </c>
      <c r="AC3428">
        <v>3</v>
      </c>
      <c r="AD3428">
        <v>0</v>
      </c>
      <c r="AE3428">
        <v>9</v>
      </c>
      <c r="AF3428" t="s">
        <v>138</v>
      </c>
      <c r="AG3428">
        <v>0</v>
      </c>
      <c r="AH3428">
        <v>3</v>
      </c>
      <c r="AI3428">
        <v>2</v>
      </c>
      <c r="AJ3428">
        <v>0</v>
      </c>
      <c r="AK3428" t="s">
        <v>1127</v>
      </c>
      <c r="AL3428">
        <v>39.143599999999999</v>
      </c>
      <c r="AM3428" t="s">
        <v>1088</v>
      </c>
      <c r="AN3428">
        <v>-121.031206</v>
      </c>
      <c r="AO3428">
        <v>25</v>
      </c>
      <c r="AP3428">
        <v>4300</v>
      </c>
      <c r="AQ3428" t="s">
        <v>131</v>
      </c>
      <c r="AR3428">
        <v>-1</v>
      </c>
      <c r="AS3428">
        <v>85</v>
      </c>
      <c r="AT3428">
        <v>-384</v>
      </c>
      <c r="BB3428" t="str">
        <f t="shared" si="1346"/>
        <v>1200</v>
      </c>
      <c r="BC3428">
        <v>1</v>
      </c>
      <c r="BD3428" t="str">
        <f t="shared" si="1347"/>
        <v xml:space="preserve">N52156  </v>
      </c>
      <c r="BE3428">
        <v>1</v>
      </c>
      <c r="BG3428">
        <v>0</v>
      </c>
      <c r="BH3428">
        <v>0</v>
      </c>
      <c r="BI3428">
        <v>0</v>
      </c>
      <c r="BJ3428">
        <v>4325</v>
      </c>
      <c r="BK3428">
        <v>25</v>
      </c>
      <c r="BL3428" t="s">
        <v>188</v>
      </c>
      <c r="BM3428">
        <v>1</v>
      </c>
      <c r="BN3428">
        <v>1</v>
      </c>
      <c r="BO3428">
        <v>0</v>
      </c>
      <c r="BP3428">
        <v>0</v>
      </c>
      <c r="BS3428">
        <v>0</v>
      </c>
      <c r="BT3428">
        <v>0</v>
      </c>
      <c r="BU3428">
        <v>0</v>
      </c>
      <c r="CE3428" t="str">
        <f t="shared" ref="CE3428:CE3433" si="1359">"15:14:03.655"</f>
        <v>15:14:03.655</v>
      </c>
      <c r="CF3428">
        <v>655062636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2</v>
      </c>
      <c r="CY3428">
        <v>7</v>
      </c>
      <c r="CZ3428" t="s">
        <v>133</v>
      </c>
      <c r="DA3428">
        <v>276</v>
      </c>
      <c r="DB3428">
        <v>0</v>
      </c>
      <c r="DC3428" t="s">
        <v>402</v>
      </c>
      <c r="DD3428" t="s">
        <v>403</v>
      </c>
      <c r="DG3428">
        <v>1628048</v>
      </c>
      <c r="DI3428">
        <v>1</v>
      </c>
      <c r="DJ3428">
        <v>0</v>
      </c>
      <c r="DK3428">
        <v>0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3">
      <c r="A3429" t="str">
        <f>"05/01/2025 15:14:03.882"</f>
        <v>05/01/2025 15:14:03.882</v>
      </c>
      <c r="C3429" t="str">
        <f t="shared" si="1344"/>
        <v>FFDFD3C0</v>
      </c>
      <c r="D3429" t="s">
        <v>124</v>
      </c>
      <c r="E3429" t="str">
        <f>"06"</f>
        <v>06</v>
      </c>
      <c r="F3429">
        <v>2006</v>
      </c>
      <c r="G3429" t="s">
        <v>125</v>
      </c>
      <c r="J3429" t="s">
        <v>126</v>
      </c>
      <c r="K3429">
        <v>0</v>
      </c>
      <c r="L3429">
        <v>3</v>
      </c>
      <c r="M3429">
        <v>0</v>
      </c>
      <c r="N3429">
        <v>2</v>
      </c>
      <c r="O3429">
        <v>0</v>
      </c>
      <c r="P3429">
        <v>1</v>
      </c>
      <c r="Q3429">
        <v>0</v>
      </c>
      <c r="R3429" t="s">
        <v>127</v>
      </c>
      <c r="S3429" t="str">
        <f t="shared" si="1358"/>
        <v>15:14:03.000</v>
      </c>
      <c r="T3429" t="str">
        <f t="shared" si="1358"/>
        <v>15:14:03.000</v>
      </c>
      <c r="U3429" t="str">
        <f t="shared" si="1345"/>
        <v>A68FCB</v>
      </c>
      <c r="V3429">
        <v>0</v>
      </c>
      <c r="W3429">
        <v>0</v>
      </c>
      <c r="X3429">
        <v>2</v>
      </c>
      <c r="Y3429">
        <v>0</v>
      </c>
      <c r="AA3429">
        <v>1</v>
      </c>
      <c r="AB3429">
        <v>8</v>
      </c>
      <c r="AC3429">
        <v>3</v>
      </c>
      <c r="AD3429">
        <v>0</v>
      </c>
      <c r="AE3429">
        <v>9</v>
      </c>
      <c r="AF3429" t="s">
        <v>138</v>
      </c>
      <c r="AG3429">
        <v>0</v>
      </c>
      <c r="AH3429">
        <v>3</v>
      </c>
      <c r="AI3429">
        <v>2</v>
      </c>
      <c r="AJ3429">
        <v>0</v>
      </c>
      <c r="AK3429" t="s">
        <v>1127</v>
      </c>
      <c r="AL3429">
        <v>39.143599999999999</v>
      </c>
      <c r="AM3429" t="s">
        <v>1088</v>
      </c>
      <c r="AN3429">
        <v>-121.031206</v>
      </c>
      <c r="AO3429">
        <v>25</v>
      </c>
      <c r="AP3429">
        <v>4300</v>
      </c>
      <c r="AQ3429" t="s">
        <v>131</v>
      </c>
      <c r="AR3429">
        <v>-1</v>
      </c>
      <c r="AS3429">
        <v>85</v>
      </c>
      <c r="AT3429">
        <v>-384</v>
      </c>
      <c r="BB3429" t="str">
        <f t="shared" si="1346"/>
        <v>1200</v>
      </c>
      <c r="BC3429">
        <v>1</v>
      </c>
      <c r="BD3429" t="str">
        <f t="shared" si="1347"/>
        <v xml:space="preserve">N52156  </v>
      </c>
      <c r="BE3429">
        <v>1</v>
      </c>
      <c r="BG3429">
        <v>0</v>
      </c>
      <c r="BH3429">
        <v>0</v>
      </c>
      <c r="BI3429">
        <v>0</v>
      </c>
      <c r="BJ3429">
        <v>4325</v>
      </c>
      <c r="BK3429">
        <v>25</v>
      </c>
      <c r="BL3429" t="s">
        <v>188</v>
      </c>
      <c r="BM3429">
        <v>1</v>
      </c>
      <c r="BN3429">
        <v>1</v>
      </c>
      <c r="BO3429">
        <v>0</v>
      </c>
      <c r="BP3429">
        <v>0</v>
      </c>
      <c r="BS3429">
        <v>0</v>
      </c>
      <c r="BT3429">
        <v>0</v>
      </c>
      <c r="BU3429">
        <v>0</v>
      </c>
      <c r="CE3429" t="str">
        <f t="shared" si="1359"/>
        <v>15:14:03.655</v>
      </c>
      <c r="CF3429">
        <v>655062636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2</v>
      </c>
      <c r="CY3429">
        <v>7</v>
      </c>
      <c r="CZ3429" t="s">
        <v>133</v>
      </c>
      <c r="DA3429">
        <v>276</v>
      </c>
      <c r="DB3429">
        <v>0</v>
      </c>
      <c r="DC3429" t="s">
        <v>402</v>
      </c>
      <c r="DD3429" t="s">
        <v>403</v>
      </c>
      <c r="DG3429">
        <v>1628048</v>
      </c>
      <c r="DI3429">
        <v>1</v>
      </c>
      <c r="DJ3429">
        <v>0</v>
      </c>
      <c r="DK3429">
        <v>1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3">
      <c r="A3430" t="str">
        <f>"05/01/2025 15:14:03.892"</f>
        <v>05/01/2025 15:14:03.892</v>
      </c>
      <c r="C3430" t="str">
        <f t="shared" si="1344"/>
        <v>FFDFD3C0</v>
      </c>
      <c r="D3430" t="s">
        <v>145</v>
      </c>
      <c r="E3430" t="str">
        <f>"09"</f>
        <v>09</v>
      </c>
      <c r="H3430">
        <v>51</v>
      </c>
      <c r="I3430" t="s">
        <v>147</v>
      </c>
      <c r="J3430" t="s">
        <v>138</v>
      </c>
      <c r="K3430">
        <v>0</v>
      </c>
      <c r="L3430">
        <v>3</v>
      </c>
      <c r="M3430">
        <v>0</v>
      </c>
      <c r="N3430">
        <v>2</v>
      </c>
      <c r="O3430">
        <v>0</v>
      </c>
      <c r="P3430">
        <v>1</v>
      </c>
      <c r="Q3430">
        <v>0</v>
      </c>
      <c r="R3430" t="s">
        <v>127</v>
      </c>
      <c r="S3430" t="str">
        <f t="shared" si="1358"/>
        <v>15:14:03.000</v>
      </c>
      <c r="T3430" t="str">
        <f t="shared" si="1358"/>
        <v>15:14:03.000</v>
      </c>
      <c r="U3430" t="str">
        <f t="shared" si="1345"/>
        <v>A68FCB</v>
      </c>
      <c r="V3430">
        <v>0</v>
      </c>
      <c r="W3430">
        <v>0</v>
      </c>
      <c r="X3430">
        <v>2</v>
      </c>
      <c r="Y3430">
        <v>0</v>
      </c>
      <c r="AA3430">
        <v>1</v>
      </c>
      <c r="AB3430">
        <v>8</v>
      </c>
      <c r="AC3430">
        <v>3</v>
      </c>
      <c r="AD3430">
        <v>0</v>
      </c>
      <c r="AE3430">
        <v>9</v>
      </c>
      <c r="AF3430" t="s">
        <v>138</v>
      </c>
      <c r="AG3430">
        <v>0</v>
      </c>
      <c r="AH3430">
        <v>3</v>
      </c>
      <c r="AI3430">
        <v>2</v>
      </c>
      <c r="AJ3430">
        <v>0</v>
      </c>
      <c r="AK3430" t="s">
        <v>1127</v>
      </c>
      <c r="AL3430">
        <v>39.143599999999999</v>
      </c>
      <c r="AM3430" t="s">
        <v>1088</v>
      </c>
      <c r="AN3430">
        <v>-121.031206</v>
      </c>
      <c r="AO3430">
        <v>25</v>
      </c>
      <c r="AP3430">
        <v>4300</v>
      </c>
      <c r="AQ3430" t="s">
        <v>131</v>
      </c>
      <c r="AR3430">
        <v>-1</v>
      </c>
      <c r="AS3430">
        <v>85</v>
      </c>
      <c r="AT3430">
        <v>-384</v>
      </c>
      <c r="BB3430" t="str">
        <f t="shared" si="1346"/>
        <v>1200</v>
      </c>
      <c r="BC3430">
        <v>1</v>
      </c>
      <c r="BD3430" t="str">
        <f t="shared" si="1347"/>
        <v xml:space="preserve">N52156  </v>
      </c>
      <c r="BE3430">
        <v>1</v>
      </c>
      <c r="BG3430">
        <v>0</v>
      </c>
      <c r="BH3430">
        <v>0</v>
      </c>
      <c r="BI3430">
        <v>0</v>
      </c>
      <c r="BJ3430">
        <v>4325</v>
      </c>
      <c r="BK3430">
        <v>25</v>
      </c>
      <c r="BL3430" t="s">
        <v>188</v>
      </c>
      <c r="BM3430">
        <v>1</v>
      </c>
      <c r="BN3430">
        <v>1</v>
      </c>
      <c r="BO3430">
        <v>0</v>
      </c>
      <c r="BP3430">
        <v>0</v>
      </c>
      <c r="BS3430">
        <v>0</v>
      </c>
      <c r="BT3430">
        <v>0</v>
      </c>
      <c r="BU3430">
        <v>0</v>
      </c>
      <c r="CE3430" t="str">
        <f t="shared" si="1359"/>
        <v>15:14:03.655</v>
      </c>
      <c r="CF3430">
        <v>655062636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2</v>
      </c>
      <c r="CY3430">
        <v>7</v>
      </c>
      <c r="CZ3430" t="s">
        <v>133</v>
      </c>
      <c r="DA3430">
        <v>276</v>
      </c>
      <c r="DB3430">
        <v>0</v>
      </c>
      <c r="DC3430" t="s">
        <v>402</v>
      </c>
      <c r="DD3430" t="s">
        <v>403</v>
      </c>
      <c r="DG3430">
        <v>1628048</v>
      </c>
      <c r="DI3430">
        <v>1</v>
      </c>
      <c r="DJ3430">
        <v>0</v>
      </c>
      <c r="DK3430">
        <v>1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3">
      <c r="A3431" t="str">
        <f>"05/01/2025 15:14:03.895"</f>
        <v>05/01/2025 15:14:03.895</v>
      </c>
      <c r="C3431" t="str">
        <f t="shared" si="1344"/>
        <v>FFDFD3C0</v>
      </c>
      <c r="D3431" t="s">
        <v>145</v>
      </c>
      <c r="E3431" t="str">
        <f>"05"</f>
        <v>05</v>
      </c>
      <c r="H3431">
        <v>47</v>
      </c>
      <c r="I3431" t="s">
        <v>146</v>
      </c>
      <c r="J3431" t="s">
        <v>138</v>
      </c>
      <c r="K3431">
        <v>0</v>
      </c>
      <c r="L3431">
        <v>3</v>
      </c>
      <c r="M3431">
        <v>0</v>
      </c>
      <c r="N3431">
        <v>2</v>
      </c>
      <c r="O3431">
        <v>0</v>
      </c>
      <c r="P3431">
        <v>1</v>
      </c>
      <c r="Q3431">
        <v>0</v>
      </c>
      <c r="R3431" t="s">
        <v>127</v>
      </c>
      <c r="S3431" t="str">
        <f t="shared" si="1358"/>
        <v>15:14:03.000</v>
      </c>
      <c r="T3431" t="str">
        <f t="shared" si="1358"/>
        <v>15:14:03.000</v>
      </c>
      <c r="U3431" t="str">
        <f t="shared" si="1345"/>
        <v>A68FCB</v>
      </c>
      <c r="V3431">
        <v>0</v>
      </c>
      <c r="W3431">
        <v>0</v>
      </c>
      <c r="X3431">
        <v>2</v>
      </c>
      <c r="Y3431">
        <v>0</v>
      </c>
      <c r="AA3431">
        <v>1</v>
      </c>
      <c r="AB3431">
        <v>8</v>
      </c>
      <c r="AC3431">
        <v>3</v>
      </c>
      <c r="AD3431">
        <v>0</v>
      </c>
      <c r="AE3431">
        <v>9</v>
      </c>
      <c r="AF3431" t="s">
        <v>138</v>
      </c>
      <c r="AG3431">
        <v>0</v>
      </c>
      <c r="AH3431">
        <v>3</v>
      </c>
      <c r="AI3431">
        <v>2</v>
      </c>
      <c r="AJ3431">
        <v>0</v>
      </c>
      <c r="AK3431" t="s">
        <v>1127</v>
      </c>
      <c r="AL3431">
        <v>39.143599999999999</v>
      </c>
      <c r="AM3431" t="s">
        <v>1088</v>
      </c>
      <c r="AN3431">
        <v>-121.031206</v>
      </c>
      <c r="AO3431">
        <v>25</v>
      </c>
      <c r="AP3431">
        <v>4300</v>
      </c>
      <c r="AQ3431" t="s">
        <v>131</v>
      </c>
      <c r="AR3431">
        <v>-1</v>
      </c>
      <c r="AS3431">
        <v>85</v>
      </c>
      <c r="AT3431">
        <v>-384</v>
      </c>
      <c r="BB3431" t="str">
        <f t="shared" si="1346"/>
        <v>1200</v>
      </c>
      <c r="BC3431">
        <v>1</v>
      </c>
      <c r="BD3431" t="str">
        <f t="shared" si="1347"/>
        <v xml:space="preserve">N52156  </v>
      </c>
      <c r="BE3431">
        <v>1</v>
      </c>
      <c r="BG3431">
        <v>0</v>
      </c>
      <c r="BH3431">
        <v>0</v>
      </c>
      <c r="BI3431">
        <v>0</v>
      </c>
      <c r="BJ3431">
        <v>4325</v>
      </c>
      <c r="BK3431">
        <v>25</v>
      </c>
      <c r="BL3431" t="s">
        <v>188</v>
      </c>
      <c r="BM3431">
        <v>1</v>
      </c>
      <c r="BN3431">
        <v>1</v>
      </c>
      <c r="BO3431">
        <v>0</v>
      </c>
      <c r="BP3431">
        <v>0</v>
      </c>
      <c r="BS3431">
        <v>0</v>
      </c>
      <c r="BT3431">
        <v>0</v>
      </c>
      <c r="BU3431">
        <v>0</v>
      </c>
      <c r="CE3431" t="str">
        <f t="shared" si="1359"/>
        <v>15:14:03.655</v>
      </c>
      <c r="CF3431">
        <v>655062636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2</v>
      </c>
      <c r="CY3431">
        <v>7</v>
      </c>
      <c r="CZ3431" t="s">
        <v>133</v>
      </c>
      <c r="DA3431">
        <v>276</v>
      </c>
      <c r="DB3431">
        <v>0</v>
      </c>
      <c r="DC3431" t="s">
        <v>402</v>
      </c>
      <c r="DD3431" t="s">
        <v>403</v>
      </c>
      <c r="DG3431">
        <v>1628048</v>
      </c>
      <c r="DI3431">
        <v>1</v>
      </c>
      <c r="DJ3431">
        <v>0</v>
      </c>
      <c r="DK3431">
        <v>1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3">
      <c r="A3432" t="str">
        <f>"05/01/2025 15:14:03.908"</f>
        <v>05/01/2025 15:14:03.908</v>
      </c>
      <c r="C3432" t="str">
        <f t="shared" si="1344"/>
        <v>FFDFD3C0</v>
      </c>
      <c r="D3432" t="s">
        <v>136</v>
      </c>
      <c r="E3432" t="str">
        <f>"20"</f>
        <v>20</v>
      </c>
      <c r="H3432">
        <v>400</v>
      </c>
      <c r="I3432" t="s">
        <v>137</v>
      </c>
      <c r="J3432" t="s">
        <v>138</v>
      </c>
      <c r="K3432">
        <v>0</v>
      </c>
      <c r="L3432">
        <v>3</v>
      </c>
      <c r="M3432">
        <v>0</v>
      </c>
      <c r="N3432">
        <v>2</v>
      </c>
      <c r="O3432">
        <v>0</v>
      </c>
      <c r="P3432">
        <v>1</v>
      </c>
      <c r="Q3432">
        <v>0</v>
      </c>
      <c r="R3432" t="s">
        <v>127</v>
      </c>
      <c r="S3432" t="str">
        <f t="shared" si="1358"/>
        <v>15:14:03.000</v>
      </c>
      <c r="T3432" t="str">
        <f t="shared" si="1358"/>
        <v>15:14:03.000</v>
      </c>
      <c r="U3432" t="str">
        <f t="shared" si="1345"/>
        <v>A68FCB</v>
      </c>
      <c r="V3432">
        <v>0</v>
      </c>
      <c r="W3432">
        <v>0</v>
      </c>
      <c r="X3432">
        <v>2</v>
      </c>
      <c r="Y3432">
        <v>0</v>
      </c>
      <c r="AA3432">
        <v>1</v>
      </c>
      <c r="AB3432">
        <v>8</v>
      </c>
      <c r="AC3432">
        <v>3</v>
      </c>
      <c r="AD3432">
        <v>0</v>
      </c>
      <c r="AE3432">
        <v>9</v>
      </c>
      <c r="AF3432" t="s">
        <v>138</v>
      </c>
      <c r="AG3432">
        <v>0</v>
      </c>
      <c r="AH3432">
        <v>3</v>
      </c>
      <c r="AI3432">
        <v>2</v>
      </c>
      <c r="AJ3432">
        <v>0</v>
      </c>
      <c r="AK3432" t="s">
        <v>1127</v>
      </c>
      <c r="AL3432">
        <v>39.143599999999999</v>
      </c>
      <c r="AM3432" t="s">
        <v>1088</v>
      </c>
      <c r="AN3432">
        <v>-121.031206</v>
      </c>
      <c r="AO3432">
        <v>25</v>
      </c>
      <c r="AP3432">
        <v>4300</v>
      </c>
      <c r="AQ3432" t="s">
        <v>131</v>
      </c>
      <c r="AR3432">
        <v>-1</v>
      </c>
      <c r="AS3432">
        <v>85</v>
      </c>
      <c r="AT3432">
        <v>-384</v>
      </c>
      <c r="BB3432" t="str">
        <f t="shared" si="1346"/>
        <v>1200</v>
      </c>
      <c r="BC3432">
        <v>1</v>
      </c>
      <c r="BD3432" t="str">
        <f t="shared" si="1347"/>
        <v xml:space="preserve">N52156  </v>
      </c>
      <c r="BE3432">
        <v>1</v>
      </c>
      <c r="BG3432">
        <v>0</v>
      </c>
      <c r="BH3432">
        <v>0</v>
      </c>
      <c r="BI3432">
        <v>0</v>
      </c>
      <c r="BJ3432">
        <v>4325</v>
      </c>
      <c r="BK3432">
        <v>25</v>
      </c>
      <c r="BL3432" t="s">
        <v>188</v>
      </c>
      <c r="BM3432">
        <v>1</v>
      </c>
      <c r="BN3432">
        <v>1</v>
      </c>
      <c r="BO3432">
        <v>0</v>
      </c>
      <c r="BP3432">
        <v>0</v>
      </c>
      <c r="BS3432">
        <v>0</v>
      </c>
      <c r="BT3432">
        <v>0</v>
      </c>
      <c r="BU3432">
        <v>0</v>
      </c>
      <c r="CE3432" t="str">
        <f t="shared" si="1359"/>
        <v>15:14:03.655</v>
      </c>
      <c r="CF3432">
        <v>655062636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2</v>
      </c>
      <c r="CY3432">
        <v>7</v>
      </c>
      <c r="CZ3432" t="s">
        <v>133</v>
      </c>
      <c r="DA3432">
        <v>276</v>
      </c>
      <c r="DB3432">
        <v>0</v>
      </c>
      <c r="DC3432" t="s">
        <v>402</v>
      </c>
      <c r="DD3432" t="s">
        <v>403</v>
      </c>
      <c r="DG3432">
        <v>1628048</v>
      </c>
      <c r="DI3432">
        <v>1</v>
      </c>
      <c r="DJ3432">
        <v>0</v>
      </c>
      <c r="DK3432">
        <v>1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3">
      <c r="A3433" t="str">
        <f>"05/01/2025 15:14:03.920"</f>
        <v>05/01/2025 15:14:03.920</v>
      </c>
      <c r="C3433" t="str">
        <f t="shared" si="1344"/>
        <v>FFDFD3C0</v>
      </c>
      <c r="D3433" t="s">
        <v>143</v>
      </c>
      <c r="E3433" t="str">
        <f>"05"</f>
        <v>05</v>
      </c>
      <c r="H3433">
        <v>172</v>
      </c>
      <c r="I3433" t="s">
        <v>141</v>
      </c>
      <c r="J3433" t="s">
        <v>144</v>
      </c>
      <c r="K3433">
        <v>0</v>
      </c>
      <c r="L3433">
        <v>3</v>
      </c>
      <c r="M3433">
        <v>0</v>
      </c>
      <c r="N3433">
        <v>2</v>
      </c>
      <c r="O3433">
        <v>0</v>
      </c>
      <c r="P3433">
        <v>1</v>
      </c>
      <c r="Q3433">
        <v>0</v>
      </c>
      <c r="R3433" t="s">
        <v>127</v>
      </c>
      <c r="S3433" t="str">
        <f t="shared" si="1358"/>
        <v>15:14:03.000</v>
      </c>
      <c r="T3433" t="str">
        <f t="shared" si="1358"/>
        <v>15:14:03.000</v>
      </c>
      <c r="U3433" t="str">
        <f t="shared" si="1345"/>
        <v>A68FCB</v>
      </c>
      <c r="V3433">
        <v>0</v>
      </c>
      <c r="W3433">
        <v>0</v>
      </c>
      <c r="X3433">
        <v>2</v>
      </c>
      <c r="Y3433">
        <v>0</v>
      </c>
      <c r="AA3433">
        <v>1</v>
      </c>
      <c r="AB3433">
        <v>8</v>
      </c>
      <c r="AC3433">
        <v>3</v>
      </c>
      <c r="AD3433">
        <v>0</v>
      </c>
      <c r="AE3433">
        <v>9</v>
      </c>
      <c r="AF3433" t="s">
        <v>138</v>
      </c>
      <c r="AG3433">
        <v>0</v>
      </c>
      <c r="AH3433">
        <v>3</v>
      </c>
      <c r="AI3433">
        <v>2</v>
      </c>
      <c r="AJ3433">
        <v>0</v>
      </c>
      <c r="AK3433" t="s">
        <v>1127</v>
      </c>
      <c r="AL3433">
        <v>39.143599999999999</v>
      </c>
      <c r="AM3433" t="s">
        <v>1088</v>
      </c>
      <c r="AN3433">
        <v>-121.031206</v>
      </c>
      <c r="AO3433">
        <v>25</v>
      </c>
      <c r="AP3433">
        <v>4300</v>
      </c>
      <c r="AQ3433" t="s">
        <v>131</v>
      </c>
      <c r="AR3433">
        <v>-1</v>
      </c>
      <c r="AS3433">
        <v>85</v>
      </c>
      <c r="AT3433">
        <v>-384</v>
      </c>
      <c r="BB3433" t="str">
        <f t="shared" si="1346"/>
        <v>1200</v>
      </c>
      <c r="BC3433">
        <v>1</v>
      </c>
      <c r="BD3433" t="str">
        <f t="shared" si="1347"/>
        <v xml:space="preserve">N52156  </v>
      </c>
      <c r="BE3433">
        <v>1</v>
      </c>
      <c r="BG3433">
        <v>0</v>
      </c>
      <c r="BH3433">
        <v>0</v>
      </c>
      <c r="BI3433">
        <v>0</v>
      </c>
      <c r="BJ3433">
        <v>4325</v>
      </c>
      <c r="BK3433">
        <v>25</v>
      </c>
      <c r="BL3433" t="s">
        <v>188</v>
      </c>
      <c r="BM3433">
        <v>1</v>
      </c>
      <c r="BN3433">
        <v>1</v>
      </c>
      <c r="BO3433">
        <v>0</v>
      </c>
      <c r="BP3433">
        <v>0</v>
      </c>
      <c r="BS3433">
        <v>0</v>
      </c>
      <c r="BT3433">
        <v>0</v>
      </c>
      <c r="BU3433">
        <v>0</v>
      </c>
      <c r="CE3433" t="str">
        <f t="shared" si="1359"/>
        <v>15:14:03.655</v>
      </c>
      <c r="CF3433">
        <v>655062636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2</v>
      </c>
      <c r="CY3433">
        <v>7</v>
      </c>
      <c r="CZ3433" t="s">
        <v>133</v>
      </c>
      <c r="DA3433">
        <v>276</v>
      </c>
      <c r="DB3433">
        <v>0</v>
      </c>
      <c r="DC3433" t="s">
        <v>402</v>
      </c>
      <c r="DD3433" t="s">
        <v>403</v>
      </c>
      <c r="DG3433">
        <v>1628048</v>
      </c>
      <c r="DI3433">
        <v>1</v>
      </c>
      <c r="DJ3433">
        <v>0</v>
      </c>
      <c r="DK3433">
        <v>1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3">
      <c r="A3434" t="str">
        <f>"05/01/2025 15:14:05.033"</f>
        <v>05/01/2025 15:14:05.033</v>
      </c>
      <c r="C3434" t="str">
        <f t="shared" si="1344"/>
        <v>FFDFD3C0</v>
      </c>
      <c r="D3434" t="s">
        <v>124</v>
      </c>
      <c r="E3434" t="str">
        <f>"06"</f>
        <v>06</v>
      </c>
      <c r="F3434">
        <v>2006</v>
      </c>
      <c r="G3434" t="s">
        <v>125</v>
      </c>
      <c r="J3434" t="s">
        <v>126</v>
      </c>
      <c r="K3434">
        <v>0</v>
      </c>
      <c r="L3434">
        <v>3</v>
      </c>
      <c r="M3434">
        <v>0</v>
      </c>
      <c r="N3434">
        <v>2</v>
      </c>
      <c r="O3434">
        <v>0</v>
      </c>
      <c r="P3434">
        <v>1</v>
      </c>
      <c r="Q3434">
        <v>0</v>
      </c>
      <c r="R3434" t="s">
        <v>127</v>
      </c>
      <c r="S3434" t="str">
        <f t="shared" ref="S3434:T3439" si="1360">"15:14:04.000"</f>
        <v>15:14:04.000</v>
      </c>
      <c r="T3434" t="str">
        <f t="shared" si="1360"/>
        <v>15:14:04.000</v>
      </c>
      <c r="U3434" t="str">
        <f t="shared" si="1345"/>
        <v>A68FCB</v>
      </c>
      <c r="V3434">
        <v>0</v>
      </c>
      <c r="W3434">
        <v>0</v>
      </c>
      <c r="X3434">
        <v>2</v>
      </c>
      <c r="Y3434">
        <v>0</v>
      </c>
      <c r="AA3434">
        <v>1</v>
      </c>
      <c r="AB3434">
        <v>8</v>
      </c>
      <c r="AC3434">
        <v>3</v>
      </c>
      <c r="AD3434">
        <v>0</v>
      </c>
      <c r="AE3434">
        <v>9</v>
      </c>
      <c r="AF3434" t="s">
        <v>138</v>
      </c>
      <c r="AG3434">
        <v>0</v>
      </c>
      <c r="AH3434">
        <v>3</v>
      </c>
      <c r="AI3434">
        <v>2</v>
      </c>
      <c r="AJ3434">
        <v>0</v>
      </c>
      <c r="AK3434" t="s">
        <v>1128</v>
      </c>
      <c r="AL3434">
        <v>39.143987000000003</v>
      </c>
      <c r="AM3434" t="s">
        <v>1086</v>
      </c>
      <c r="AN3434">
        <v>-121.031227</v>
      </c>
      <c r="AO3434">
        <v>25</v>
      </c>
      <c r="AP3434">
        <v>4200</v>
      </c>
      <c r="AQ3434" t="s">
        <v>131</v>
      </c>
      <c r="AR3434">
        <v>-2</v>
      </c>
      <c r="AS3434">
        <v>85</v>
      </c>
      <c r="AT3434">
        <v>-384</v>
      </c>
      <c r="BB3434" t="str">
        <f t="shared" si="1346"/>
        <v>1200</v>
      </c>
      <c r="BC3434">
        <v>1</v>
      </c>
      <c r="BD3434" t="str">
        <f t="shared" si="1347"/>
        <v xml:space="preserve">N52156  </v>
      </c>
      <c r="BE3434">
        <v>1</v>
      </c>
      <c r="BG3434">
        <v>0</v>
      </c>
      <c r="BH3434">
        <v>0</v>
      </c>
      <c r="BI3434">
        <v>0</v>
      </c>
      <c r="BJ3434">
        <v>4300</v>
      </c>
      <c r="BK3434">
        <v>100</v>
      </c>
      <c r="BL3434" t="s">
        <v>188</v>
      </c>
      <c r="BM3434">
        <v>1</v>
      </c>
      <c r="BN3434">
        <v>1</v>
      </c>
      <c r="BO3434">
        <v>0</v>
      </c>
      <c r="BP3434">
        <v>0</v>
      </c>
      <c r="BS3434">
        <v>0</v>
      </c>
      <c r="BT3434">
        <v>0</v>
      </c>
      <c r="BU3434">
        <v>0</v>
      </c>
      <c r="CE3434" t="str">
        <f t="shared" ref="CE3434:CE3439" si="1361">"15:14:04.836"</f>
        <v>15:14:04.836</v>
      </c>
      <c r="CF3434">
        <v>835563225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3</v>
      </c>
      <c r="CY3434">
        <v>7</v>
      </c>
      <c r="CZ3434" t="s">
        <v>133</v>
      </c>
      <c r="DA3434">
        <v>276</v>
      </c>
      <c r="DB3434">
        <v>0</v>
      </c>
      <c r="DC3434" t="s">
        <v>402</v>
      </c>
      <c r="DD3434" t="s">
        <v>403</v>
      </c>
      <c r="DG3434">
        <v>1628052</v>
      </c>
      <c r="DI3434">
        <v>1</v>
      </c>
      <c r="DJ3434">
        <v>0</v>
      </c>
      <c r="DK3434">
        <v>0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3">
      <c r="A3435" t="str">
        <f>"05/01/2025 15:14:05.033"</f>
        <v>05/01/2025 15:14:05.033</v>
      </c>
      <c r="C3435" t="str">
        <f t="shared" si="1344"/>
        <v>FFDFD3C0</v>
      </c>
      <c r="D3435" t="s">
        <v>140</v>
      </c>
      <c r="E3435" t="str">
        <f>"13"</f>
        <v>13</v>
      </c>
      <c r="F3435">
        <v>1019</v>
      </c>
      <c r="G3435" t="s">
        <v>141</v>
      </c>
      <c r="J3435" t="s">
        <v>142</v>
      </c>
      <c r="K3435">
        <v>0</v>
      </c>
      <c r="L3435">
        <v>3</v>
      </c>
      <c r="M3435">
        <v>0</v>
      </c>
      <c r="N3435">
        <v>2</v>
      </c>
      <c r="O3435">
        <v>0</v>
      </c>
      <c r="P3435">
        <v>1</v>
      </c>
      <c r="Q3435">
        <v>0</v>
      </c>
      <c r="R3435" t="s">
        <v>127</v>
      </c>
      <c r="S3435" t="str">
        <f t="shared" si="1360"/>
        <v>15:14:04.000</v>
      </c>
      <c r="T3435" t="str">
        <f t="shared" si="1360"/>
        <v>15:14:04.000</v>
      </c>
      <c r="U3435" t="str">
        <f t="shared" si="1345"/>
        <v>A68FCB</v>
      </c>
      <c r="V3435">
        <v>0</v>
      </c>
      <c r="W3435">
        <v>0</v>
      </c>
      <c r="X3435">
        <v>2</v>
      </c>
      <c r="Y3435">
        <v>0</v>
      </c>
      <c r="AA3435">
        <v>1</v>
      </c>
      <c r="AB3435">
        <v>8</v>
      </c>
      <c r="AC3435">
        <v>3</v>
      </c>
      <c r="AD3435">
        <v>0</v>
      </c>
      <c r="AE3435">
        <v>9</v>
      </c>
      <c r="AF3435" t="s">
        <v>138</v>
      </c>
      <c r="AG3435">
        <v>0</v>
      </c>
      <c r="AH3435">
        <v>3</v>
      </c>
      <c r="AI3435">
        <v>2</v>
      </c>
      <c r="AJ3435">
        <v>0</v>
      </c>
      <c r="AK3435" t="s">
        <v>1128</v>
      </c>
      <c r="AL3435">
        <v>39.143987000000003</v>
      </c>
      <c r="AM3435" t="s">
        <v>1086</v>
      </c>
      <c r="AN3435">
        <v>-121.031227</v>
      </c>
      <c r="AO3435">
        <v>25</v>
      </c>
      <c r="AP3435">
        <v>4200</v>
      </c>
      <c r="AQ3435" t="s">
        <v>131</v>
      </c>
      <c r="AR3435">
        <v>-2</v>
      </c>
      <c r="AS3435">
        <v>85</v>
      </c>
      <c r="AT3435">
        <v>-384</v>
      </c>
      <c r="BB3435" t="str">
        <f t="shared" si="1346"/>
        <v>1200</v>
      </c>
      <c r="BC3435">
        <v>1</v>
      </c>
      <c r="BD3435" t="str">
        <f t="shared" si="1347"/>
        <v xml:space="preserve">N52156  </v>
      </c>
      <c r="BE3435">
        <v>1</v>
      </c>
      <c r="BG3435">
        <v>0</v>
      </c>
      <c r="BH3435">
        <v>0</v>
      </c>
      <c r="BI3435">
        <v>0</v>
      </c>
      <c r="BJ3435">
        <v>4300</v>
      </c>
      <c r="BK3435">
        <v>100</v>
      </c>
      <c r="BL3435" t="s">
        <v>188</v>
      </c>
      <c r="BM3435">
        <v>1</v>
      </c>
      <c r="BN3435">
        <v>1</v>
      </c>
      <c r="BO3435">
        <v>0</v>
      </c>
      <c r="BP3435">
        <v>0</v>
      </c>
      <c r="BS3435">
        <v>0</v>
      </c>
      <c r="BT3435">
        <v>0</v>
      </c>
      <c r="BU3435">
        <v>0</v>
      </c>
      <c r="CE3435" t="str">
        <f t="shared" si="1361"/>
        <v>15:14:04.836</v>
      </c>
      <c r="CF3435">
        <v>835563225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3</v>
      </c>
      <c r="CY3435">
        <v>7</v>
      </c>
      <c r="CZ3435" t="s">
        <v>133</v>
      </c>
      <c r="DA3435">
        <v>276</v>
      </c>
      <c r="DB3435">
        <v>0</v>
      </c>
      <c r="DC3435" t="s">
        <v>402</v>
      </c>
      <c r="DD3435" t="s">
        <v>403</v>
      </c>
      <c r="DG3435">
        <v>1628052</v>
      </c>
      <c r="DI3435">
        <v>1</v>
      </c>
      <c r="DJ3435">
        <v>0</v>
      </c>
      <c r="DK3435">
        <v>1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3">
      <c r="A3436" t="str">
        <f>"05/01/2025 15:14:05.045"</f>
        <v>05/01/2025 15:14:05.045</v>
      </c>
      <c r="C3436" t="str">
        <f t="shared" si="1344"/>
        <v>FFDFD3C0</v>
      </c>
      <c r="D3436" t="s">
        <v>145</v>
      </c>
      <c r="E3436" t="str">
        <f>"09"</f>
        <v>09</v>
      </c>
      <c r="H3436">
        <v>51</v>
      </c>
      <c r="I3436" t="s">
        <v>147</v>
      </c>
      <c r="J3436" t="s">
        <v>138</v>
      </c>
      <c r="K3436">
        <v>0</v>
      </c>
      <c r="L3436">
        <v>3</v>
      </c>
      <c r="M3436">
        <v>0</v>
      </c>
      <c r="N3436">
        <v>2</v>
      </c>
      <c r="O3436">
        <v>0</v>
      </c>
      <c r="P3436">
        <v>1</v>
      </c>
      <c r="Q3436">
        <v>0</v>
      </c>
      <c r="R3436" t="s">
        <v>127</v>
      </c>
      <c r="S3436" t="str">
        <f t="shared" si="1360"/>
        <v>15:14:04.000</v>
      </c>
      <c r="T3436" t="str">
        <f t="shared" si="1360"/>
        <v>15:14:04.000</v>
      </c>
      <c r="U3436" t="str">
        <f t="shared" si="1345"/>
        <v>A68FCB</v>
      </c>
      <c r="V3436">
        <v>0</v>
      </c>
      <c r="W3436">
        <v>0</v>
      </c>
      <c r="X3436">
        <v>2</v>
      </c>
      <c r="Y3436">
        <v>0</v>
      </c>
      <c r="AA3436">
        <v>1</v>
      </c>
      <c r="AB3436">
        <v>8</v>
      </c>
      <c r="AC3436">
        <v>3</v>
      </c>
      <c r="AD3436">
        <v>0</v>
      </c>
      <c r="AE3436">
        <v>9</v>
      </c>
      <c r="AF3436" t="s">
        <v>138</v>
      </c>
      <c r="AG3436">
        <v>0</v>
      </c>
      <c r="AH3436">
        <v>3</v>
      </c>
      <c r="AI3436">
        <v>2</v>
      </c>
      <c r="AJ3436">
        <v>0</v>
      </c>
      <c r="AK3436" t="s">
        <v>1128</v>
      </c>
      <c r="AL3436">
        <v>39.143987000000003</v>
      </c>
      <c r="AM3436" t="s">
        <v>1086</v>
      </c>
      <c r="AN3436">
        <v>-121.031227</v>
      </c>
      <c r="AO3436">
        <v>25</v>
      </c>
      <c r="AP3436">
        <v>4200</v>
      </c>
      <c r="AQ3436" t="s">
        <v>131</v>
      </c>
      <c r="AR3436">
        <v>-2</v>
      </c>
      <c r="AS3436">
        <v>85</v>
      </c>
      <c r="AT3436">
        <v>-384</v>
      </c>
      <c r="BB3436" t="str">
        <f t="shared" si="1346"/>
        <v>1200</v>
      </c>
      <c r="BC3436">
        <v>1</v>
      </c>
      <c r="BD3436" t="str">
        <f t="shared" si="1347"/>
        <v xml:space="preserve">N52156  </v>
      </c>
      <c r="BE3436">
        <v>1</v>
      </c>
      <c r="BG3436">
        <v>0</v>
      </c>
      <c r="BH3436">
        <v>0</v>
      </c>
      <c r="BI3436">
        <v>0</v>
      </c>
      <c r="BJ3436">
        <v>4300</v>
      </c>
      <c r="BK3436">
        <v>100</v>
      </c>
      <c r="BL3436" t="s">
        <v>188</v>
      </c>
      <c r="BM3436">
        <v>1</v>
      </c>
      <c r="BN3436">
        <v>1</v>
      </c>
      <c r="BO3436">
        <v>0</v>
      </c>
      <c r="BP3436">
        <v>0</v>
      </c>
      <c r="BS3436">
        <v>0</v>
      </c>
      <c r="BT3436">
        <v>0</v>
      </c>
      <c r="BU3436">
        <v>0</v>
      </c>
      <c r="CE3436" t="str">
        <f t="shared" si="1361"/>
        <v>15:14:04.836</v>
      </c>
      <c r="CF3436">
        <v>835563225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3</v>
      </c>
      <c r="CY3436">
        <v>7</v>
      </c>
      <c r="CZ3436" t="s">
        <v>133</v>
      </c>
      <c r="DA3436">
        <v>276</v>
      </c>
      <c r="DB3436">
        <v>0</v>
      </c>
      <c r="DC3436" t="s">
        <v>402</v>
      </c>
      <c r="DD3436" t="s">
        <v>403</v>
      </c>
      <c r="DG3436">
        <v>1628052</v>
      </c>
      <c r="DI3436">
        <v>1</v>
      </c>
      <c r="DJ3436">
        <v>0</v>
      </c>
      <c r="DK3436">
        <v>1</v>
      </c>
      <c r="DL3436">
        <v>0</v>
      </c>
      <c r="DM3436">
        <v>0</v>
      </c>
      <c r="DN3436">
        <v>0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3">
      <c r="A3437" t="str">
        <f>"05/01/2025 15:14:05.047"</f>
        <v>05/01/2025 15:14:05.047</v>
      </c>
      <c r="C3437" t="str">
        <f t="shared" si="1344"/>
        <v>FFDFD3C0</v>
      </c>
      <c r="D3437" t="s">
        <v>145</v>
      </c>
      <c r="E3437" t="str">
        <f>"05"</f>
        <v>05</v>
      </c>
      <c r="H3437">
        <v>47</v>
      </c>
      <c r="I3437" t="s">
        <v>146</v>
      </c>
      <c r="J3437" t="s">
        <v>138</v>
      </c>
      <c r="K3437">
        <v>0</v>
      </c>
      <c r="L3437">
        <v>3</v>
      </c>
      <c r="M3437">
        <v>0</v>
      </c>
      <c r="N3437">
        <v>2</v>
      </c>
      <c r="O3437">
        <v>0</v>
      </c>
      <c r="P3437">
        <v>1</v>
      </c>
      <c r="Q3437">
        <v>0</v>
      </c>
      <c r="R3437" t="s">
        <v>127</v>
      </c>
      <c r="S3437" t="str">
        <f t="shared" si="1360"/>
        <v>15:14:04.000</v>
      </c>
      <c r="T3437" t="str">
        <f t="shared" si="1360"/>
        <v>15:14:04.000</v>
      </c>
      <c r="U3437" t="str">
        <f t="shared" si="1345"/>
        <v>A68FCB</v>
      </c>
      <c r="V3437">
        <v>0</v>
      </c>
      <c r="W3437">
        <v>0</v>
      </c>
      <c r="X3437">
        <v>2</v>
      </c>
      <c r="Y3437">
        <v>0</v>
      </c>
      <c r="AA3437">
        <v>1</v>
      </c>
      <c r="AB3437">
        <v>8</v>
      </c>
      <c r="AC3437">
        <v>3</v>
      </c>
      <c r="AD3437">
        <v>0</v>
      </c>
      <c r="AE3437">
        <v>9</v>
      </c>
      <c r="AF3437" t="s">
        <v>138</v>
      </c>
      <c r="AG3437">
        <v>0</v>
      </c>
      <c r="AH3437">
        <v>3</v>
      </c>
      <c r="AI3437">
        <v>2</v>
      </c>
      <c r="AJ3437">
        <v>0</v>
      </c>
      <c r="AK3437" t="s">
        <v>1128</v>
      </c>
      <c r="AL3437">
        <v>39.143987000000003</v>
      </c>
      <c r="AM3437" t="s">
        <v>1086</v>
      </c>
      <c r="AN3437">
        <v>-121.031227</v>
      </c>
      <c r="AO3437">
        <v>25</v>
      </c>
      <c r="AP3437">
        <v>4200</v>
      </c>
      <c r="AQ3437" t="s">
        <v>131</v>
      </c>
      <c r="AR3437">
        <v>-2</v>
      </c>
      <c r="AS3437">
        <v>85</v>
      </c>
      <c r="AT3437">
        <v>-384</v>
      </c>
      <c r="BB3437" t="str">
        <f t="shared" si="1346"/>
        <v>1200</v>
      </c>
      <c r="BC3437">
        <v>1</v>
      </c>
      <c r="BD3437" t="str">
        <f t="shared" si="1347"/>
        <v xml:space="preserve">N52156  </v>
      </c>
      <c r="BE3437">
        <v>1</v>
      </c>
      <c r="BG3437">
        <v>0</v>
      </c>
      <c r="BH3437">
        <v>0</v>
      </c>
      <c r="BI3437">
        <v>0</v>
      </c>
      <c r="BJ3437">
        <v>4300</v>
      </c>
      <c r="BK3437">
        <v>100</v>
      </c>
      <c r="BL3437" t="s">
        <v>188</v>
      </c>
      <c r="BM3437">
        <v>1</v>
      </c>
      <c r="BN3437">
        <v>1</v>
      </c>
      <c r="BO3437">
        <v>0</v>
      </c>
      <c r="BP3437">
        <v>0</v>
      </c>
      <c r="BS3437">
        <v>0</v>
      </c>
      <c r="BT3437">
        <v>0</v>
      </c>
      <c r="BU3437">
        <v>0</v>
      </c>
      <c r="CE3437" t="str">
        <f t="shared" si="1361"/>
        <v>15:14:04.836</v>
      </c>
      <c r="CF3437">
        <v>835563225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3</v>
      </c>
      <c r="CY3437">
        <v>7</v>
      </c>
      <c r="CZ3437" t="s">
        <v>133</v>
      </c>
      <c r="DA3437">
        <v>276</v>
      </c>
      <c r="DB3437">
        <v>0</v>
      </c>
      <c r="DC3437" t="s">
        <v>402</v>
      </c>
      <c r="DD3437" t="s">
        <v>403</v>
      </c>
      <c r="DG3437">
        <v>1628052</v>
      </c>
      <c r="DI3437">
        <v>1</v>
      </c>
      <c r="DJ3437">
        <v>0</v>
      </c>
      <c r="DK3437">
        <v>1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3">
      <c r="A3438" t="str">
        <f>"05/01/2025 15:14:05.060"</f>
        <v>05/01/2025 15:14:05.060</v>
      </c>
      <c r="C3438" t="str">
        <f t="shared" si="1344"/>
        <v>FFDFD3C0</v>
      </c>
      <c r="D3438" t="s">
        <v>136</v>
      </c>
      <c r="E3438" t="str">
        <f>"20"</f>
        <v>20</v>
      </c>
      <c r="H3438">
        <v>400</v>
      </c>
      <c r="I3438" t="s">
        <v>137</v>
      </c>
      <c r="J3438" t="s">
        <v>138</v>
      </c>
      <c r="K3438">
        <v>0</v>
      </c>
      <c r="L3438">
        <v>3</v>
      </c>
      <c r="M3438">
        <v>0</v>
      </c>
      <c r="N3438">
        <v>2</v>
      </c>
      <c r="O3438">
        <v>0</v>
      </c>
      <c r="P3438">
        <v>1</v>
      </c>
      <c r="Q3438">
        <v>0</v>
      </c>
      <c r="R3438" t="s">
        <v>127</v>
      </c>
      <c r="S3438" t="str">
        <f t="shared" si="1360"/>
        <v>15:14:04.000</v>
      </c>
      <c r="T3438" t="str">
        <f t="shared" si="1360"/>
        <v>15:14:04.000</v>
      </c>
      <c r="U3438" t="str">
        <f t="shared" si="1345"/>
        <v>A68FCB</v>
      </c>
      <c r="V3438">
        <v>0</v>
      </c>
      <c r="W3438">
        <v>0</v>
      </c>
      <c r="X3438">
        <v>2</v>
      </c>
      <c r="Y3438">
        <v>0</v>
      </c>
      <c r="AA3438">
        <v>1</v>
      </c>
      <c r="AB3438">
        <v>8</v>
      </c>
      <c r="AC3438">
        <v>3</v>
      </c>
      <c r="AD3438">
        <v>0</v>
      </c>
      <c r="AE3438">
        <v>9</v>
      </c>
      <c r="AF3438" t="s">
        <v>138</v>
      </c>
      <c r="AG3438">
        <v>0</v>
      </c>
      <c r="AH3438">
        <v>3</v>
      </c>
      <c r="AI3438">
        <v>2</v>
      </c>
      <c r="AJ3438">
        <v>0</v>
      </c>
      <c r="AK3438" t="s">
        <v>1128</v>
      </c>
      <c r="AL3438">
        <v>39.143987000000003</v>
      </c>
      <c r="AM3438" t="s">
        <v>1086</v>
      </c>
      <c r="AN3438">
        <v>-121.031227</v>
      </c>
      <c r="AO3438">
        <v>25</v>
      </c>
      <c r="AP3438">
        <v>4200</v>
      </c>
      <c r="AQ3438" t="s">
        <v>131</v>
      </c>
      <c r="AR3438">
        <v>-2</v>
      </c>
      <c r="AS3438">
        <v>85</v>
      </c>
      <c r="AT3438">
        <v>-384</v>
      </c>
      <c r="BB3438" t="str">
        <f t="shared" si="1346"/>
        <v>1200</v>
      </c>
      <c r="BC3438">
        <v>1</v>
      </c>
      <c r="BD3438" t="str">
        <f t="shared" si="1347"/>
        <v xml:space="preserve">N52156  </v>
      </c>
      <c r="BE3438">
        <v>1</v>
      </c>
      <c r="BG3438">
        <v>0</v>
      </c>
      <c r="BH3438">
        <v>0</v>
      </c>
      <c r="BI3438">
        <v>0</v>
      </c>
      <c r="BJ3438">
        <v>4300</v>
      </c>
      <c r="BK3438">
        <v>100</v>
      </c>
      <c r="BL3438" t="s">
        <v>188</v>
      </c>
      <c r="BM3438">
        <v>1</v>
      </c>
      <c r="BN3438">
        <v>1</v>
      </c>
      <c r="BO3438">
        <v>0</v>
      </c>
      <c r="BP3438">
        <v>0</v>
      </c>
      <c r="BS3438">
        <v>0</v>
      </c>
      <c r="BT3438">
        <v>0</v>
      </c>
      <c r="BU3438">
        <v>0</v>
      </c>
      <c r="CE3438" t="str">
        <f t="shared" si="1361"/>
        <v>15:14:04.836</v>
      </c>
      <c r="CF3438">
        <v>835563225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3</v>
      </c>
      <c r="CY3438">
        <v>7</v>
      </c>
      <c r="CZ3438" t="s">
        <v>133</v>
      </c>
      <c r="DA3438">
        <v>276</v>
      </c>
      <c r="DB3438">
        <v>0</v>
      </c>
      <c r="DC3438" t="s">
        <v>402</v>
      </c>
      <c r="DD3438" t="s">
        <v>403</v>
      </c>
      <c r="DG3438">
        <v>1628052</v>
      </c>
      <c r="DI3438">
        <v>1</v>
      </c>
      <c r="DJ3438">
        <v>0</v>
      </c>
      <c r="DK3438">
        <v>1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3">
      <c r="A3439" t="str">
        <f>"05/01/2025 15:14:05.072"</f>
        <v>05/01/2025 15:14:05.072</v>
      </c>
      <c r="C3439" t="str">
        <f t="shared" si="1344"/>
        <v>FFDFD3C0</v>
      </c>
      <c r="D3439" t="s">
        <v>143</v>
      </c>
      <c r="E3439" t="str">
        <f>"05"</f>
        <v>05</v>
      </c>
      <c r="H3439">
        <v>172</v>
      </c>
      <c r="I3439" t="s">
        <v>141</v>
      </c>
      <c r="J3439" t="s">
        <v>144</v>
      </c>
      <c r="K3439">
        <v>0</v>
      </c>
      <c r="L3439">
        <v>3</v>
      </c>
      <c r="M3439">
        <v>0</v>
      </c>
      <c r="N3439">
        <v>2</v>
      </c>
      <c r="O3439">
        <v>0</v>
      </c>
      <c r="P3439">
        <v>1</v>
      </c>
      <c r="Q3439">
        <v>0</v>
      </c>
      <c r="R3439" t="s">
        <v>127</v>
      </c>
      <c r="S3439" t="str">
        <f t="shared" si="1360"/>
        <v>15:14:04.000</v>
      </c>
      <c r="T3439" t="str">
        <f t="shared" si="1360"/>
        <v>15:14:04.000</v>
      </c>
      <c r="U3439" t="str">
        <f t="shared" si="1345"/>
        <v>A68FCB</v>
      </c>
      <c r="V3439">
        <v>0</v>
      </c>
      <c r="W3439">
        <v>0</v>
      </c>
      <c r="X3439">
        <v>2</v>
      </c>
      <c r="Y3439">
        <v>0</v>
      </c>
      <c r="AA3439">
        <v>1</v>
      </c>
      <c r="AB3439">
        <v>8</v>
      </c>
      <c r="AC3439">
        <v>3</v>
      </c>
      <c r="AD3439">
        <v>0</v>
      </c>
      <c r="AE3439">
        <v>9</v>
      </c>
      <c r="AF3439" t="s">
        <v>138</v>
      </c>
      <c r="AG3439">
        <v>0</v>
      </c>
      <c r="AH3439">
        <v>3</v>
      </c>
      <c r="AI3439">
        <v>2</v>
      </c>
      <c r="AJ3439">
        <v>0</v>
      </c>
      <c r="AK3439" t="s">
        <v>1128</v>
      </c>
      <c r="AL3439">
        <v>39.143987000000003</v>
      </c>
      <c r="AM3439" t="s">
        <v>1086</v>
      </c>
      <c r="AN3439">
        <v>-121.031227</v>
      </c>
      <c r="AO3439">
        <v>25</v>
      </c>
      <c r="AP3439">
        <v>4200</v>
      </c>
      <c r="AQ3439" t="s">
        <v>131</v>
      </c>
      <c r="AR3439">
        <v>-2</v>
      </c>
      <c r="AS3439">
        <v>85</v>
      </c>
      <c r="AT3439">
        <v>-384</v>
      </c>
      <c r="BB3439" t="str">
        <f t="shared" si="1346"/>
        <v>1200</v>
      </c>
      <c r="BC3439">
        <v>1</v>
      </c>
      <c r="BD3439" t="str">
        <f t="shared" si="1347"/>
        <v xml:space="preserve">N52156  </v>
      </c>
      <c r="BE3439">
        <v>1</v>
      </c>
      <c r="BG3439">
        <v>0</v>
      </c>
      <c r="BH3439">
        <v>0</v>
      </c>
      <c r="BI3439">
        <v>0</v>
      </c>
      <c r="BJ3439">
        <v>4300</v>
      </c>
      <c r="BK3439">
        <v>100</v>
      </c>
      <c r="BL3439" t="s">
        <v>188</v>
      </c>
      <c r="BM3439">
        <v>1</v>
      </c>
      <c r="BN3439">
        <v>1</v>
      </c>
      <c r="BO3439">
        <v>0</v>
      </c>
      <c r="BP3439">
        <v>0</v>
      </c>
      <c r="BS3439">
        <v>0</v>
      </c>
      <c r="BT3439">
        <v>0</v>
      </c>
      <c r="BU3439">
        <v>0</v>
      </c>
      <c r="CE3439" t="str">
        <f t="shared" si="1361"/>
        <v>15:14:04.836</v>
      </c>
      <c r="CF3439">
        <v>835563225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3</v>
      </c>
      <c r="CY3439">
        <v>7</v>
      </c>
      <c r="CZ3439" t="s">
        <v>133</v>
      </c>
      <c r="DA3439">
        <v>276</v>
      </c>
      <c r="DB3439">
        <v>0</v>
      </c>
      <c r="DC3439" t="s">
        <v>402</v>
      </c>
      <c r="DD3439" t="s">
        <v>403</v>
      </c>
      <c r="DG3439">
        <v>1628052</v>
      </c>
      <c r="DI3439">
        <v>1</v>
      </c>
      <c r="DJ3439">
        <v>0</v>
      </c>
      <c r="DK3439">
        <v>1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3">
      <c r="A3440" t="str">
        <f>"05/01/2025 15:14:05.595"</f>
        <v>05/01/2025 15:14:05.595</v>
      </c>
      <c r="C3440" t="str">
        <f t="shared" si="1344"/>
        <v>FFDFD3C0</v>
      </c>
      <c r="D3440" t="s">
        <v>145</v>
      </c>
      <c r="E3440" t="str">
        <f>"09"</f>
        <v>09</v>
      </c>
      <c r="H3440">
        <v>51</v>
      </c>
      <c r="I3440" t="s">
        <v>147</v>
      </c>
      <c r="J3440" t="s">
        <v>138</v>
      </c>
      <c r="K3440">
        <v>0</v>
      </c>
      <c r="L3440">
        <v>3</v>
      </c>
      <c r="M3440">
        <v>0</v>
      </c>
      <c r="N3440">
        <v>2</v>
      </c>
      <c r="O3440">
        <v>0</v>
      </c>
      <c r="P3440">
        <v>1</v>
      </c>
      <c r="Q3440">
        <v>0</v>
      </c>
      <c r="R3440" t="s">
        <v>127</v>
      </c>
      <c r="S3440" t="str">
        <f t="shared" ref="S3440:T3445" si="1362">"15:14:05.000"</f>
        <v>15:14:05.000</v>
      </c>
      <c r="T3440" t="str">
        <f t="shared" si="1362"/>
        <v>15:14:05.000</v>
      </c>
      <c r="U3440" t="str">
        <f t="shared" si="1345"/>
        <v>A68FCB</v>
      </c>
      <c r="V3440">
        <v>0</v>
      </c>
      <c r="W3440">
        <v>0</v>
      </c>
      <c r="X3440">
        <v>2</v>
      </c>
      <c r="Y3440">
        <v>0</v>
      </c>
      <c r="AA3440">
        <v>1</v>
      </c>
      <c r="AB3440">
        <v>8</v>
      </c>
      <c r="AC3440">
        <v>3</v>
      </c>
      <c r="AD3440">
        <v>0</v>
      </c>
      <c r="AE3440">
        <v>9</v>
      </c>
      <c r="AF3440" t="s">
        <v>138</v>
      </c>
      <c r="AG3440">
        <v>0</v>
      </c>
      <c r="AH3440">
        <v>3</v>
      </c>
      <c r="AI3440">
        <v>2</v>
      </c>
      <c r="AJ3440">
        <v>0</v>
      </c>
      <c r="AK3440" t="s">
        <v>1129</v>
      </c>
      <c r="AL3440">
        <v>39.144373000000002</v>
      </c>
      <c r="AM3440" t="s">
        <v>1084</v>
      </c>
      <c r="AN3440">
        <v>-121.03127000000001</v>
      </c>
      <c r="AO3440">
        <v>25</v>
      </c>
      <c r="AP3440">
        <v>4200</v>
      </c>
      <c r="AQ3440" t="s">
        <v>131</v>
      </c>
      <c r="AR3440">
        <v>-2</v>
      </c>
      <c r="AS3440">
        <v>85</v>
      </c>
      <c r="AT3440">
        <v>-448</v>
      </c>
      <c r="BB3440" t="str">
        <f t="shared" si="1346"/>
        <v>1200</v>
      </c>
      <c r="BC3440">
        <v>1</v>
      </c>
      <c r="BD3440" t="str">
        <f t="shared" si="1347"/>
        <v xml:space="preserve">N52156  </v>
      </c>
      <c r="BE3440">
        <v>1</v>
      </c>
      <c r="BG3440">
        <v>0</v>
      </c>
      <c r="BH3440">
        <v>0</v>
      </c>
      <c r="BI3440">
        <v>0</v>
      </c>
      <c r="BJ3440">
        <v>4300</v>
      </c>
      <c r="BK3440">
        <v>100</v>
      </c>
      <c r="BL3440" t="s">
        <v>188</v>
      </c>
      <c r="BM3440">
        <v>1</v>
      </c>
      <c r="BN3440">
        <v>1</v>
      </c>
      <c r="BO3440">
        <v>0</v>
      </c>
      <c r="BP3440">
        <v>0</v>
      </c>
      <c r="BS3440">
        <v>0</v>
      </c>
      <c r="BT3440">
        <v>0</v>
      </c>
      <c r="BU3440">
        <v>0</v>
      </c>
      <c r="CE3440" t="str">
        <f t="shared" ref="CE3440:CE3445" si="1363">"15:14:05.391"</f>
        <v>15:14:05.391</v>
      </c>
      <c r="CF3440">
        <v>391062194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3</v>
      </c>
      <c r="CY3440">
        <v>7</v>
      </c>
      <c r="CZ3440" t="s">
        <v>133</v>
      </c>
      <c r="DA3440">
        <v>276</v>
      </c>
      <c r="DB3440">
        <v>0</v>
      </c>
      <c r="DC3440" t="s">
        <v>402</v>
      </c>
      <c r="DD3440" t="s">
        <v>403</v>
      </c>
      <c r="DG3440">
        <v>1628055</v>
      </c>
      <c r="DI3440">
        <v>1</v>
      </c>
      <c r="DJ3440">
        <v>0</v>
      </c>
      <c r="DK3440">
        <v>0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3">
      <c r="A3441" t="str">
        <f>"05/01/2025 15:14:05.598"</f>
        <v>05/01/2025 15:14:05.598</v>
      </c>
      <c r="C3441" t="str">
        <f t="shared" si="1344"/>
        <v>FFDFD3C0</v>
      </c>
      <c r="D3441" t="s">
        <v>145</v>
      </c>
      <c r="E3441" t="str">
        <f>"05"</f>
        <v>05</v>
      </c>
      <c r="H3441">
        <v>47</v>
      </c>
      <c r="I3441" t="s">
        <v>146</v>
      </c>
      <c r="J3441" t="s">
        <v>138</v>
      </c>
      <c r="K3441">
        <v>0</v>
      </c>
      <c r="L3441">
        <v>3</v>
      </c>
      <c r="M3441">
        <v>0</v>
      </c>
      <c r="N3441">
        <v>2</v>
      </c>
      <c r="O3441">
        <v>0</v>
      </c>
      <c r="P3441">
        <v>1</v>
      </c>
      <c r="Q3441">
        <v>0</v>
      </c>
      <c r="R3441" t="s">
        <v>127</v>
      </c>
      <c r="S3441" t="str">
        <f t="shared" si="1362"/>
        <v>15:14:05.000</v>
      </c>
      <c r="T3441" t="str">
        <f t="shared" si="1362"/>
        <v>15:14:05.000</v>
      </c>
      <c r="U3441" t="str">
        <f t="shared" si="1345"/>
        <v>A68FCB</v>
      </c>
      <c r="V3441">
        <v>0</v>
      </c>
      <c r="W3441">
        <v>0</v>
      </c>
      <c r="X3441">
        <v>2</v>
      </c>
      <c r="Y3441">
        <v>0</v>
      </c>
      <c r="AA3441">
        <v>1</v>
      </c>
      <c r="AB3441">
        <v>8</v>
      </c>
      <c r="AC3441">
        <v>3</v>
      </c>
      <c r="AD3441">
        <v>0</v>
      </c>
      <c r="AE3441">
        <v>9</v>
      </c>
      <c r="AF3441" t="s">
        <v>138</v>
      </c>
      <c r="AG3441">
        <v>0</v>
      </c>
      <c r="AH3441">
        <v>3</v>
      </c>
      <c r="AI3441">
        <v>2</v>
      </c>
      <c r="AJ3441">
        <v>0</v>
      </c>
      <c r="AK3441" t="s">
        <v>1129</v>
      </c>
      <c r="AL3441">
        <v>39.144373000000002</v>
      </c>
      <c r="AM3441" t="s">
        <v>1084</v>
      </c>
      <c r="AN3441">
        <v>-121.03127000000001</v>
      </c>
      <c r="AO3441">
        <v>25</v>
      </c>
      <c r="AP3441">
        <v>4200</v>
      </c>
      <c r="AQ3441" t="s">
        <v>131</v>
      </c>
      <c r="AR3441">
        <v>-2</v>
      </c>
      <c r="AS3441">
        <v>85</v>
      </c>
      <c r="AT3441">
        <v>-448</v>
      </c>
      <c r="BB3441" t="str">
        <f t="shared" si="1346"/>
        <v>1200</v>
      </c>
      <c r="BC3441">
        <v>1</v>
      </c>
      <c r="BD3441" t="str">
        <f t="shared" si="1347"/>
        <v xml:space="preserve">N52156  </v>
      </c>
      <c r="BE3441">
        <v>1</v>
      </c>
      <c r="BG3441">
        <v>0</v>
      </c>
      <c r="BH3441">
        <v>0</v>
      </c>
      <c r="BI3441">
        <v>0</v>
      </c>
      <c r="BJ3441">
        <v>4300</v>
      </c>
      <c r="BK3441">
        <v>100</v>
      </c>
      <c r="BL3441" t="s">
        <v>188</v>
      </c>
      <c r="BM3441">
        <v>1</v>
      </c>
      <c r="BN3441">
        <v>1</v>
      </c>
      <c r="BO3441">
        <v>0</v>
      </c>
      <c r="BP3441">
        <v>0</v>
      </c>
      <c r="BS3441">
        <v>0</v>
      </c>
      <c r="BT3441">
        <v>0</v>
      </c>
      <c r="BU3441">
        <v>0</v>
      </c>
      <c r="CE3441" t="str">
        <f t="shared" si="1363"/>
        <v>15:14:05.391</v>
      </c>
      <c r="CF3441">
        <v>391062194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3</v>
      </c>
      <c r="CY3441">
        <v>7</v>
      </c>
      <c r="CZ3441" t="s">
        <v>133</v>
      </c>
      <c r="DA3441">
        <v>276</v>
      </c>
      <c r="DB3441">
        <v>0</v>
      </c>
      <c r="DC3441" t="s">
        <v>402</v>
      </c>
      <c r="DD3441" t="s">
        <v>403</v>
      </c>
      <c r="DG3441">
        <v>1628055</v>
      </c>
      <c r="DI3441">
        <v>1</v>
      </c>
      <c r="DJ3441">
        <v>0</v>
      </c>
      <c r="DK3441">
        <v>1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3">
      <c r="A3442" t="str">
        <f>"05/01/2025 15:14:05.611"</f>
        <v>05/01/2025 15:14:05.611</v>
      </c>
      <c r="C3442" t="str">
        <f t="shared" si="1344"/>
        <v>FFDFD3C0</v>
      </c>
      <c r="D3442" t="s">
        <v>136</v>
      </c>
      <c r="E3442" t="str">
        <f>"20"</f>
        <v>20</v>
      </c>
      <c r="H3442">
        <v>400</v>
      </c>
      <c r="I3442" t="s">
        <v>137</v>
      </c>
      <c r="J3442" t="s">
        <v>138</v>
      </c>
      <c r="K3442">
        <v>0</v>
      </c>
      <c r="L3442">
        <v>3</v>
      </c>
      <c r="M3442">
        <v>0</v>
      </c>
      <c r="N3442">
        <v>2</v>
      </c>
      <c r="O3442">
        <v>0</v>
      </c>
      <c r="P3442">
        <v>1</v>
      </c>
      <c r="Q3442">
        <v>0</v>
      </c>
      <c r="R3442" t="s">
        <v>127</v>
      </c>
      <c r="S3442" t="str">
        <f t="shared" si="1362"/>
        <v>15:14:05.000</v>
      </c>
      <c r="T3442" t="str">
        <f t="shared" si="1362"/>
        <v>15:14:05.000</v>
      </c>
      <c r="U3442" t="str">
        <f t="shared" si="1345"/>
        <v>A68FCB</v>
      </c>
      <c r="V3442">
        <v>0</v>
      </c>
      <c r="W3442">
        <v>0</v>
      </c>
      <c r="X3442">
        <v>2</v>
      </c>
      <c r="Y3442">
        <v>0</v>
      </c>
      <c r="AA3442">
        <v>1</v>
      </c>
      <c r="AB3442">
        <v>8</v>
      </c>
      <c r="AC3442">
        <v>3</v>
      </c>
      <c r="AD3442">
        <v>0</v>
      </c>
      <c r="AE3442">
        <v>9</v>
      </c>
      <c r="AF3442" t="s">
        <v>138</v>
      </c>
      <c r="AG3442">
        <v>0</v>
      </c>
      <c r="AH3442">
        <v>3</v>
      </c>
      <c r="AI3442">
        <v>2</v>
      </c>
      <c r="AJ3442">
        <v>0</v>
      </c>
      <c r="AK3442" t="s">
        <v>1129</v>
      </c>
      <c r="AL3442">
        <v>39.144373000000002</v>
      </c>
      <c r="AM3442" t="s">
        <v>1084</v>
      </c>
      <c r="AN3442">
        <v>-121.03127000000001</v>
      </c>
      <c r="AO3442">
        <v>25</v>
      </c>
      <c r="AP3442">
        <v>4200</v>
      </c>
      <c r="AQ3442" t="s">
        <v>131</v>
      </c>
      <c r="AR3442">
        <v>-2</v>
      </c>
      <c r="AS3442">
        <v>85</v>
      </c>
      <c r="AT3442">
        <v>-448</v>
      </c>
      <c r="BB3442" t="str">
        <f t="shared" si="1346"/>
        <v>1200</v>
      </c>
      <c r="BC3442">
        <v>1</v>
      </c>
      <c r="BD3442" t="str">
        <f t="shared" si="1347"/>
        <v xml:space="preserve">N52156  </v>
      </c>
      <c r="BE3442">
        <v>1</v>
      </c>
      <c r="BG3442">
        <v>0</v>
      </c>
      <c r="BH3442">
        <v>0</v>
      </c>
      <c r="BI3442">
        <v>0</v>
      </c>
      <c r="BJ3442">
        <v>4300</v>
      </c>
      <c r="BK3442">
        <v>100</v>
      </c>
      <c r="BL3442" t="s">
        <v>188</v>
      </c>
      <c r="BM3442">
        <v>1</v>
      </c>
      <c r="BN3442">
        <v>1</v>
      </c>
      <c r="BO3442">
        <v>0</v>
      </c>
      <c r="BP3442">
        <v>0</v>
      </c>
      <c r="BS3442">
        <v>0</v>
      </c>
      <c r="BT3442">
        <v>0</v>
      </c>
      <c r="BU3442">
        <v>0</v>
      </c>
      <c r="CE3442" t="str">
        <f t="shared" si="1363"/>
        <v>15:14:05.391</v>
      </c>
      <c r="CF3442">
        <v>391062194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3</v>
      </c>
      <c r="CY3442">
        <v>7</v>
      </c>
      <c r="CZ3442" t="s">
        <v>133</v>
      </c>
      <c r="DA3442">
        <v>276</v>
      </c>
      <c r="DB3442">
        <v>0</v>
      </c>
      <c r="DC3442" t="s">
        <v>402</v>
      </c>
      <c r="DD3442" t="s">
        <v>403</v>
      </c>
      <c r="DG3442">
        <v>1628055</v>
      </c>
      <c r="DI3442">
        <v>1</v>
      </c>
      <c r="DJ3442">
        <v>0</v>
      </c>
      <c r="DK3442">
        <v>1</v>
      </c>
      <c r="DL3442">
        <v>0</v>
      </c>
      <c r="DM3442">
        <v>0</v>
      </c>
      <c r="DN3442">
        <v>0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3">
      <c r="A3443" t="str">
        <f>"05/01/2025 15:14:05.623"</f>
        <v>05/01/2025 15:14:05.623</v>
      </c>
      <c r="C3443" t="str">
        <f t="shared" si="1344"/>
        <v>FFDFD3C0</v>
      </c>
      <c r="D3443" t="s">
        <v>143</v>
      </c>
      <c r="E3443" t="str">
        <f>"05"</f>
        <v>05</v>
      </c>
      <c r="H3443">
        <v>172</v>
      </c>
      <c r="I3443" t="s">
        <v>141</v>
      </c>
      <c r="J3443" t="s">
        <v>144</v>
      </c>
      <c r="K3443">
        <v>0</v>
      </c>
      <c r="L3443">
        <v>3</v>
      </c>
      <c r="M3443">
        <v>0</v>
      </c>
      <c r="N3443">
        <v>2</v>
      </c>
      <c r="O3443">
        <v>0</v>
      </c>
      <c r="P3443">
        <v>1</v>
      </c>
      <c r="Q3443">
        <v>0</v>
      </c>
      <c r="R3443" t="s">
        <v>127</v>
      </c>
      <c r="S3443" t="str">
        <f t="shared" si="1362"/>
        <v>15:14:05.000</v>
      </c>
      <c r="T3443" t="str">
        <f t="shared" si="1362"/>
        <v>15:14:05.000</v>
      </c>
      <c r="U3443" t="str">
        <f t="shared" si="1345"/>
        <v>A68FCB</v>
      </c>
      <c r="V3443">
        <v>0</v>
      </c>
      <c r="W3443">
        <v>0</v>
      </c>
      <c r="X3443">
        <v>2</v>
      </c>
      <c r="Y3443">
        <v>0</v>
      </c>
      <c r="AA3443">
        <v>1</v>
      </c>
      <c r="AB3443">
        <v>8</v>
      </c>
      <c r="AC3443">
        <v>3</v>
      </c>
      <c r="AD3443">
        <v>0</v>
      </c>
      <c r="AE3443">
        <v>9</v>
      </c>
      <c r="AF3443" t="s">
        <v>138</v>
      </c>
      <c r="AG3443">
        <v>0</v>
      </c>
      <c r="AH3443">
        <v>3</v>
      </c>
      <c r="AI3443">
        <v>2</v>
      </c>
      <c r="AJ3443">
        <v>0</v>
      </c>
      <c r="AK3443" t="s">
        <v>1129</v>
      </c>
      <c r="AL3443">
        <v>39.144373000000002</v>
      </c>
      <c r="AM3443" t="s">
        <v>1084</v>
      </c>
      <c r="AN3443">
        <v>-121.03127000000001</v>
      </c>
      <c r="AO3443">
        <v>25</v>
      </c>
      <c r="AP3443">
        <v>4200</v>
      </c>
      <c r="AQ3443" t="s">
        <v>131</v>
      </c>
      <c r="AR3443">
        <v>-2</v>
      </c>
      <c r="AS3443">
        <v>85</v>
      </c>
      <c r="AT3443">
        <v>-448</v>
      </c>
      <c r="BB3443" t="str">
        <f t="shared" si="1346"/>
        <v>1200</v>
      </c>
      <c r="BC3443">
        <v>1</v>
      </c>
      <c r="BD3443" t="str">
        <f t="shared" si="1347"/>
        <v xml:space="preserve">N52156  </v>
      </c>
      <c r="BE3443">
        <v>1</v>
      </c>
      <c r="BG3443">
        <v>0</v>
      </c>
      <c r="BH3443">
        <v>0</v>
      </c>
      <c r="BI3443">
        <v>0</v>
      </c>
      <c r="BJ3443">
        <v>4300</v>
      </c>
      <c r="BK3443">
        <v>100</v>
      </c>
      <c r="BL3443" t="s">
        <v>188</v>
      </c>
      <c r="BM3443">
        <v>1</v>
      </c>
      <c r="BN3443">
        <v>1</v>
      </c>
      <c r="BO3443">
        <v>0</v>
      </c>
      <c r="BP3443">
        <v>0</v>
      </c>
      <c r="BS3443">
        <v>0</v>
      </c>
      <c r="BT3443">
        <v>0</v>
      </c>
      <c r="BU3443">
        <v>0</v>
      </c>
      <c r="CE3443" t="str">
        <f t="shared" si="1363"/>
        <v>15:14:05.391</v>
      </c>
      <c r="CF3443">
        <v>391062194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3</v>
      </c>
      <c r="CY3443">
        <v>7</v>
      </c>
      <c r="CZ3443" t="s">
        <v>133</v>
      </c>
      <c r="DA3443">
        <v>276</v>
      </c>
      <c r="DB3443">
        <v>0</v>
      </c>
      <c r="DC3443" t="s">
        <v>402</v>
      </c>
      <c r="DD3443" t="s">
        <v>403</v>
      </c>
      <c r="DG3443">
        <v>1628055</v>
      </c>
      <c r="DI3443">
        <v>1</v>
      </c>
      <c r="DJ3443">
        <v>0</v>
      </c>
      <c r="DK3443">
        <v>1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3">
      <c r="A3444" t="str">
        <f>"05/01/2025 15:14:05.634"</f>
        <v>05/01/2025 15:14:05.634</v>
      </c>
      <c r="C3444" t="str">
        <f t="shared" si="1344"/>
        <v>FFDFD3C0</v>
      </c>
      <c r="D3444" t="s">
        <v>124</v>
      </c>
      <c r="E3444" t="str">
        <f>"06"</f>
        <v>06</v>
      </c>
      <c r="F3444">
        <v>2006</v>
      </c>
      <c r="G3444" t="s">
        <v>125</v>
      </c>
      <c r="J3444" t="s">
        <v>126</v>
      </c>
      <c r="K3444">
        <v>0</v>
      </c>
      <c r="L3444">
        <v>3</v>
      </c>
      <c r="M3444">
        <v>0</v>
      </c>
      <c r="N3444">
        <v>2</v>
      </c>
      <c r="O3444">
        <v>0</v>
      </c>
      <c r="P3444">
        <v>1</v>
      </c>
      <c r="Q3444">
        <v>0</v>
      </c>
      <c r="R3444" t="s">
        <v>127</v>
      </c>
      <c r="S3444" t="str">
        <f t="shared" si="1362"/>
        <v>15:14:05.000</v>
      </c>
      <c r="T3444" t="str">
        <f t="shared" si="1362"/>
        <v>15:14:05.000</v>
      </c>
      <c r="U3444" t="str">
        <f t="shared" si="1345"/>
        <v>A68FCB</v>
      </c>
      <c r="V3444">
        <v>0</v>
      </c>
      <c r="W3444">
        <v>0</v>
      </c>
      <c r="X3444">
        <v>2</v>
      </c>
      <c r="Y3444">
        <v>0</v>
      </c>
      <c r="AA3444">
        <v>1</v>
      </c>
      <c r="AB3444">
        <v>8</v>
      </c>
      <c r="AC3444">
        <v>3</v>
      </c>
      <c r="AD3444">
        <v>0</v>
      </c>
      <c r="AE3444">
        <v>9</v>
      </c>
      <c r="AF3444" t="s">
        <v>138</v>
      </c>
      <c r="AG3444">
        <v>0</v>
      </c>
      <c r="AH3444">
        <v>3</v>
      </c>
      <c r="AI3444">
        <v>2</v>
      </c>
      <c r="AJ3444">
        <v>0</v>
      </c>
      <c r="AK3444" t="s">
        <v>1129</v>
      </c>
      <c r="AL3444">
        <v>39.144373000000002</v>
      </c>
      <c r="AM3444" t="s">
        <v>1084</v>
      </c>
      <c r="AN3444">
        <v>-121.03127000000001</v>
      </c>
      <c r="AO3444">
        <v>25</v>
      </c>
      <c r="AP3444">
        <v>4200</v>
      </c>
      <c r="AQ3444" t="s">
        <v>131</v>
      </c>
      <c r="AR3444">
        <v>-2</v>
      </c>
      <c r="AS3444">
        <v>85</v>
      </c>
      <c r="AT3444">
        <v>-448</v>
      </c>
      <c r="BB3444" t="str">
        <f t="shared" si="1346"/>
        <v>1200</v>
      </c>
      <c r="BC3444">
        <v>1</v>
      </c>
      <c r="BD3444" t="str">
        <f t="shared" si="1347"/>
        <v xml:space="preserve">N52156  </v>
      </c>
      <c r="BE3444">
        <v>1</v>
      </c>
      <c r="BG3444">
        <v>0</v>
      </c>
      <c r="BH3444">
        <v>0</v>
      </c>
      <c r="BI3444">
        <v>0</v>
      </c>
      <c r="BJ3444">
        <v>4300</v>
      </c>
      <c r="BK3444">
        <v>100</v>
      </c>
      <c r="BL3444" t="s">
        <v>188</v>
      </c>
      <c r="BM3444">
        <v>1</v>
      </c>
      <c r="BN3444">
        <v>1</v>
      </c>
      <c r="BO3444">
        <v>0</v>
      </c>
      <c r="BP3444">
        <v>0</v>
      </c>
      <c r="BS3444">
        <v>0</v>
      </c>
      <c r="BT3444">
        <v>0</v>
      </c>
      <c r="BU3444">
        <v>0</v>
      </c>
      <c r="CE3444" t="str">
        <f t="shared" si="1363"/>
        <v>15:14:05.391</v>
      </c>
      <c r="CF3444">
        <v>391062194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3</v>
      </c>
      <c r="CY3444">
        <v>7</v>
      </c>
      <c r="CZ3444" t="s">
        <v>133</v>
      </c>
      <c r="DA3444">
        <v>276</v>
      </c>
      <c r="DB3444">
        <v>0</v>
      </c>
      <c r="DC3444" t="s">
        <v>402</v>
      </c>
      <c r="DD3444" t="s">
        <v>403</v>
      </c>
      <c r="DG3444">
        <v>1628055</v>
      </c>
      <c r="DI3444">
        <v>1</v>
      </c>
      <c r="DJ3444">
        <v>0</v>
      </c>
      <c r="DK3444">
        <v>1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3">
      <c r="A3445" t="str">
        <f>"05/01/2025 15:14:05.634"</f>
        <v>05/01/2025 15:14:05.634</v>
      </c>
      <c r="C3445" t="str">
        <f t="shared" si="1344"/>
        <v>FFDFD3C0</v>
      </c>
      <c r="D3445" t="s">
        <v>140</v>
      </c>
      <c r="E3445" t="str">
        <f>"13"</f>
        <v>13</v>
      </c>
      <c r="F3445">
        <v>1019</v>
      </c>
      <c r="G3445" t="s">
        <v>141</v>
      </c>
      <c r="J3445" t="s">
        <v>142</v>
      </c>
      <c r="K3445">
        <v>0</v>
      </c>
      <c r="L3445">
        <v>3</v>
      </c>
      <c r="M3445">
        <v>0</v>
      </c>
      <c r="N3445">
        <v>2</v>
      </c>
      <c r="O3445">
        <v>0</v>
      </c>
      <c r="P3445">
        <v>1</v>
      </c>
      <c r="Q3445">
        <v>0</v>
      </c>
      <c r="R3445" t="s">
        <v>127</v>
      </c>
      <c r="S3445" t="str">
        <f t="shared" si="1362"/>
        <v>15:14:05.000</v>
      </c>
      <c r="T3445" t="str">
        <f t="shared" si="1362"/>
        <v>15:14:05.000</v>
      </c>
      <c r="U3445" t="str">
        <f t="shared" si="1345"/>
        <v>A68FCB</v>
      </c>
      <c r="V3445">
        <v>0</v>
      </c>
      <c r="W3445">
        <v>0</v>
      </c>
      <c r="X3445">
        <v>2</v>
      </c>
      <c r="Y3445">
        <v>0</v>
      </c>
      <c r="AA3445">
        <v>1</v>
      </c>
      <c r="AB3445">
        <v>8</v>
      </c>
      <c r="AC3445">
        <v>3</v>
      </c>
      <c r="AD3445">
        <v>0</v>
      </c>
      <c r="AE3445">
        <v>9</v>
      </c>
      <c r="AF3445" t="s">
        <v>138</v>
      </c>
      <c r="AG3445">
        <v>0</v>
      </c>
      <c r="AH3445">
        <v>3</v>
      </c>
      <c r="AI3445">
        <v>2</v>
      </c>
      <c r="AJ3445">
        <v>0</v>
      </c>
      <c r="AK3445" t="s">
        <v>1129</v>
      </c>
      <c r="AL3445">
        <v>39.144373000000002</v>
      </c>
      <c r="AM3445" t="s">
        <v>1084</v>
      </c>
      <c r="AN3445">
        <v>-121.03127000000001</v>
      </c>
      <c r="AO3445">
        <v>25</v>
      </c>
      <c r="AP3445">
        <v>4200</v>
      </c>
      <c r="AQ3445" t="s">
        <v>131</v>
      </c>
      <c r="AR3445">
        <v>-2</v>
      </c>
      <c r="AS3445">
        <v>85</v>
      </c>
      <c r="AT3445">
        <v>-448</v>
      </c>
      <c r="BB3445" t="str">
        <f t="shared" si="1346"/>
        <v>1200</v>
      </c>
      <c r="BC3445">
        <v>1</v>
      </c>
      <c r="BD3445" t="str">
        <f t="shared" si="1347"/>
        <v xml:space="preserve">N52156  </v>
      </c>
      <c r="BE3445">
        <v>1</v>
      </c>
      <c r="BG3445">
        <v>0</v>
      </c>
      <c r="BH3445">
        <v>0</v>
      </c>
      <c r="BI3445">
        <v>0</v>
      </c>
      <c r="BJ3445">
        <v>4300</v>
      </c>
      <c r="BK3445">
        <v>100</v>
      </c>
      <c r="BL3445" t="s">
        <v>188</v>
      </c>
      <c r="BM3445">
        <v>1</v>
      </c>
      <c r="BN3445">
        <v>1</v>
      </c>
      <c r="BO3445">
        <v>0</v>
      </c>
      <c r="BP3445">
        <v>0</v>
      </c>
      <c r="BS3445">
        <v>0</v>
      </c>
      <c r="BT3445">
        <v>0</v>
      </c>
      <c r="BU3445">
        <v>0</v>
      </c>
      <c r="CE3445" t="str">
        <f t="shared" si="1363"/>
        <v>15:14:05.391</v>
      </c>
      <c r="CF3445">
        <v>391062194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3</v>
      </c>
      <c r="CY3445">
        <v>7</v>
      </c>
      <c r="CZ3445" t="s">
        <v>133</v>
      </c>
      <c r="DA3445">
        <v>276</v>
      </c>
      <c r="DB3445">
        <v>0</v>
      </c>
      <c r="DC3445" t="s">
        <v>402</v>
      </c>
      <c r="DD3445" t="s">
        <v>403</v>
      </c>
      <c r="DG3445">
        <v>1628055</v>
      </c>
      <c r="DI3445">
        <v>1</v>
      </c>
      <c r="DJ3445">
        <v>0</v>
      </c>
      <c r="DK3445">
        <v>1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3">
      <c r="A3446" t="str">
        <f>"05/01/2025 15:14:06.826"</f>
        <v>05/01/2025 15:14:06.826</v>
      </c>
      <c r="C3446" t="str">
        <f t="shared" si="1344"/>
        <v>FFDFD3C0</v>
      </c>
      <c r="D3446" t="s">
        <v>143</v>
      </c>
      <c r="E3446" t="str">
        <f>"05"</f>
        <v>05</v>
      </c>
      <c r="H3446">
        <v>172</v>
      </c>
      <c r="I3446" t="s">
        <v>141</v>
      </c>
      <c r="J3446" t="s">
        <v>144</v>
      </c>
      <c r="K3446">
        <v>0</v>
      </c>
      <c r="L3446">
        <v>3</v>
      </c>
      <c r="M3446">
        <v>0</v>
      </c>
      <c r="N3446">
        <v>2</v>
      </c>
      <c r="O3446">
        <v>0</v>
      </c>
      <c r="P3446">
        <v>1</v>
      </c>
      <c r="Q3446">
        <v>0</v>
      </c>
      <c r="R3446" t="s">
        <v>127</v>
      </c>
      <c r="S3446" t="str">
        <f t="shared" ref="S3446:T3451" si="1364">"15:14:06.000"</f>
        <v>15:14:06.000</v>
      </c>
      <c r="T3446" t="str">
        <f t="shared" si="1364"/>
        <v>15:14:06.000</v>
      </c>
      <c r="U3446" t="str">
        <f t="shared" si="1345"/>
        <v>A68FCB</v>
      </c>
      <c r="V3446">
        <v>0</v>
      </c>
      <c r="W3446">
        <v>0</v>
      </c>
      <c r="X3446">
        <v>2</v>
      </c>
      <c r="Y3446">
        <v>0</v>
      </c>
      <c r="AA3446">
        <v>1</v>
      </c>
      <c r="AB3446">
        <v>8</v>
      </c>
      <c r="AC3446">
        <v>3</v>
      </c>
      <c r="AD3446">
        <v>0</v>
      </c>
      <c r="AE3446">
        <v>9</v>
      </c>
      <c r="AF3446" t="s">
        <v>138</v>
      </c>
      <c r="AG3446">
        <v>0</v>
      </c>
      <c r="AH3446">
        <v>3</v>
      </c>
      <c r="AI3446">
        <v>2</v>
      </c>
      <c r="AJ3446">
        <v>0</v>
      </c>
      <c r="AK3446" t="s">
        <v>1130</v>
      </c>
      <c r="AL3446">
        <v>39.144759000000001</v>
      </c>
      <c r="AM3446" t="s">
        <v>1131</v>
      </c>
      <c r="AN3446">
        <v>-121.031291</v>
      </c>
      <c r="AO3446">
        <v>25</v>
      </c>
      <c r="AP3446">
        <v>4200</v>
      </c>
      <c r="AQ3446" t="s">
        <v>131</v>
      </c>
      <c r="AR3446">
        <v>-1</v>
      </c>
      <c r="AS3446">
        <v>84</v>
      </c>
      <c r="AT3446">
        <v>-448</v>
      </c>
      <c r="BB3446" t="str">
        <f t="shared" si="1346"/>
        <v>1200</v>
      </c>
      <c r="BC3446">
        <v>1</v>
      </c>
      <c r="BD3446" t="str">
        <f t="shared" si="1347"/>
        <v xml:space="preserve">N52156  </v>
      </c>
      <c r="BE3446">
        <v>1</v>
      </c>
      <c r="BG3446">
        <v>0</v>
      </c>
      <c r="BH3446">
        <v>0</v>
      </c>
      <c r="BI3446">
        <v>0</v>
      </c>
      <c r="BJ3446">
        <v>4300</v>
      </c>
      <c r="BK3446">
        <v>100</v>
      </c>
      <c r="BL3446" t="s">
        <v>188</v>
      </c>
      <c r="BM3446">
        <v>1</v>
      </c>
      <c r="BN3446">
        <v>1</v>
      </c>
      <c r="BO3446">
        <v>0</v>
      </c>
      <c r="BP3446">
        <v>0</v>
      </c>
      <c r="BS3446">
        <v>0</v>
      </c>
      <c r="BT3446">
        <v>0</v>
      </c>
      <c r="BU3446">
        <v>0</v>
      </c>
      <c r="CE3446" t="str">
        <f t="shared" ref="CE3446:CE3451" si="1365">"15:14:06.581"</f>
        <v>15:14:06.581</v>
      </c>
      <c r="CF3446">
        <v>580562801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3</v>
      </c>
      <c r="CY3446">
        <v>7</v>
      </c>
      <c r="CZ3446" t="s">
        <v>133</v>
      </c>
      <c r="DA3446">
        <v>276</v>
      </c>
      <c r="DB3446">
        <v>0</v>
      </c>
      <c r="DC3446" t="s">
        <v>402</v>
      </c>
      <c r="DD3446" t="s">
        <v>403</v>
      </c>
      <c r="DG3446">
        <v>1628057</v>
      </c>
      <c r="DI3446">
        <v>1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3">
      <c r="A3447" t="str">
        <f>"05/01/2025 15:14:06.836"</f>
        <v>05/01/2025 15:14:06.836</v>
      </c>
      <c r="C3447" t="str">
        <f t="shared" si="1344"/>
        <v>FFDFD3C0</v>
      </c>
      <c r="D3447" t="s">
        <v>140</v>
      </c>
      <c r="E3447" t="str">
        <f>"13"</f>
        <v>13</v>
      </c>
      <c r="F3447">
        <v>1019</v>
      </c>
      <c r="G3447" t="s">
        <v>141</v>
      </c>
      <c r="J3447" t="s">
        <v>142</v>
      </c>
      <c r="K3447">
        <v>0</v>
      </c>
      <c r="L3447">
        <v>3</v>
      </c>
      <c r="M3447">
        <v>0</v>
      </c>
      <c r="N3447">
        <v>2</v>
      </c>
      <c r="O3447">
        <v>0</v>
      </c>
      <c r="P3447">
        <v>1</v>
      </c>
      <c r="Q3447">
        <v>0</v>
      </c>
      <c r="R3447" t="s">
        <v>127</v>
      </c>
      <c r="S3447" t="str">
        <f t="shared" si="1364"/>
        <v>15:14:06.000</v>
      </c>
      <c r="T3447" t="str">
        <f t="shared" si="1364"/>
        <v>15:14:06.000</v>
      </c>
      <c r="U3447" t="str">
        <f t="shared" si="1345"/>
        <v>A68FCB</v>
      </c>
      <c r="V3447">
        <v>0</v>
      </c>
      <c r="W3447">
        <v>0</v>
      </c>
      <c r="X3447">
        <v>2</v>
      </c>
      <c r="Y3447">
        <v>0</v>
      </c>
      <c r="AA3447">
        <v>1</v>
      </c>
      <c r="AB3447">
        <v>8</v>
      </c>
      <c r="AC3447">
        <v>3</v>
      </c>
      <c r="AD3447">
        <v>0</v>
      </c>
      <c r="AE3447">
        <v>9</v>
      </c>
      <c r="AF3447" t="s">
        <v>138</v>
      </c>
      <c r="AG3447">
        <v>0</v>
      </c>
      <c r="AH3447">
        <v>3</v>
      </c>
      <c r="AI3447">
        <v>2</v>
      </c>
      <c r="AJ3447">
        <v>0</v>
      </c>
      <c r="AK3447" t="s">
        <v>1130</v>
      </c>
      <c r="AL3447">
        <v>39.144759000000001</v>
      </c>
      <c r="AM3447" t="s">
        <v>1131</v>
      </c>
      <c r="AN3447">
        <v>-121.031291</v>
      </c>
      <c r="AO3447">
        <v>25</v>
      </c>
      <c r="AP3447">
        <v>4200</v>
      </c>
      <c r="AQ3447" t="s">
        <v>131</v>
      </c>
      <c r="AR3447">
        <v>-1</v>
      </c>
      <c r="AS3447">
        <v>84</v>
      </c>
      <c r="AT3447">
        <v>-448</v>
      </c>
      <c r="BB3447" t="str">
        <f t="shared" si="1346"/>
        <v>1200</v>
      </c>
      <c r="BC3447">
        <v>1</v>
      </c>
      <c r="BD3447" t="str">
        <f t="shared" si="1347"/>
        <v xml:space="preserve">N52156  </v>
      </c>
      <c r="BE3447">
        <v>1</v>
      </c>
      <c r="BG3447">
        <v>0</v>
      </c>
      <c r="BH3447">
        <v>0</v>
      </c>
      <c r="BI3447">
        <v>0</v>
      </c>
      <c r="BJ3447">
        <v>4300</v>
      </c>
      <c r="BK3447">
        <v>100</v>
      </c>
      <c r="BL3447" t="s">
        <v>188</v>
      </c>
      <c r="BM3447">
        <v>1</v>
      </c>
      <c r="BN3447">
        <v>1</v>
      </c>
      <c r="BO3447">
        <v>0</v>
      </c>
      <c r="BP3447">
        <v>0</v>
      </c>
      <c r="BS3447">
        <v>0</v>
      </c>
      <c r="BT3447">
        <v>0</v>
      </c>
      <c r="BU3447">
        <v>0</v>
      </c>
      <c r="CE3447" t="str">
        <f t="shared" si="1365"/>
        <v>15:14:06.581</v>
      </c>
      <c r="CF3447">
        <v>580562801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3</v>
      </c>
      <c r="CY3447">
        <v>7</v>
      </c>
      <c r="CZ3447" t="s">
        <v>133</v>
      </c>
      <c r="DA3447">
        <v>276</v>
      </c>
      <c r="DB3447">
        <v>0</v>
      </c>
      <c r="DC3447" t="s">
        <v>402</v>
      </c>
      <c r="DD3447" t="s">
        <v>403</v>
      </c>
      <c r="DG3447">
        <v>1628057</v>
      </c>
      <c r="DI3447">
        <v>1</v>
      </c>
      <c r="DJ3447">
        <v>0</v>
      </c>
      <c r="DK3447">
        <v>1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3">
      <c r="A3448" t="str">
        <f>"05/01/2025 15:14:06.836"</f>
        <v>05/01/2025 15:14:06.836</v>
      </c>
      <c r="C3448" t="str">
        <f t="shared" si="1344"/>
        <v>FFDFD3C0</v>
      </c>
      <c r="D3448" t="s">
        <v>124</v>
      </c>
      <c r="E3448" t="str">
        <f>"06"</f>
        <v>06</v>
      </c>
      <c r="F3448">
        <v>2006</v>
      </c>
      <c r="G3448" t="s">
        <v>125</v>
      </c>
      <c r="J3448" t="s">
        <v>126</v>
      </c>
      <c r="K3448">
        <v>0</v>
      </c>
      <c r="L3448">
        <v>3</v>
      </c>
      <c r="M3448">
        <v>0</v>
      </c>
      <c r="N3448">
        <v>2</v>
      </c>
      <c r="O3448">
        <v>0</v>
      </c>
      <c r="P3448">
        <v>1</v>
      </c>
      <c r="Q3448">
        <v>0</v>
      </c>
      <c r="R3448" t="s">
        <v>127</v>
      </c>
      <c r="S3448" t="str">
        <f t="shared" si="1364"/>
        <v>15:14:06.000</v>
      </c>
      <c r="T3448" t="str">
        <f t="shared" si="1364"/>
        <v>15:14:06.000</v>
      </c>
      <c r="U3448" t="str">
        <f t="shared" si="1345"/>
        <v>A68FCB</v>
      </c>
      <c r="V3448">
        <v>0</v>
      </c>
      <c r="W3448">
        <v>0</v>
      </c>
      <c r="X3448">
        <v>2</v>
      </c>
      <c r="Y3448">
        <v>0</v>
      </c>
      <c r="AA3448">
        <v>1</v>
      </c>
      <c r="AB3448">
        <v>8</v>
      </c>
      <c r="AC3448">
        <v>3</v>
      </c>
      <c r="AD3448">
        <v>0</v>
      </c>
      <c r="AE3448">
        <v>9</v>
      </c>
      <c r="AF3448" t="s">
        <v>138</v>
      </c>
      <c r="AG3448">
        <v>0</v>
      </c>
      <c r="AH3448">
        <v>3</v>
      </c>
      <c r="AI3448">
        <v>2</v>
      </c>
      <c r="AJ3448">
        <v>0</v>
      </c>
      <c r="AK3448" t="s">
        <v>1130</v>
      </c>
      <c r="AL3448">
        <v>39.144759000000001</v>
      </c>
      <c r="AM3448" t="s">
        <v>1131</v>
      </c>
      <c r="AN3448">
        <v>-121.031291</v>
      </c>
      <c r="AO3448">
        <v>25</v>
      </c>
      <c r="AP3448">
        <v>4200</v>
      </c>
      <c r="AQ3448" t="s">
        <v>131</v>
      </c>
      <c r="AR3448">
        <v>-1</v>
      </c>
      <c r="AS3448">
        <v>84</v>
      </c>
      <c r="AT3448">
        <v>-448</v>
      </c>
      <c r="BB3448" t="str">
        <f t="shared" si="1346"/>
        <v>1200</v>
      </c>
      <c r="BC3448">
        <v>1</v>
      </c>
      <c r="BD3448" t="str">
        <f t="shared" si="1347"/>
        <v xml:space="preserve">N52156  </v>
      </c>
      <c r="BE3448">
        <v>1</v>
      </c>
      <c r="BG3448">
        <v>0</v>
      </c>
      <c r="BH3448">
        <v>0</v>
      </c>
      <c r="BI3448">
        <v>0</v>
      </c>
      <c r="BJ3448">
        <v>4300</v>
      </c>
      <c r="BK3448">
        <v>100</v>
      </c>
      <c r="BL3448" t="s">
        <v>188</v>
      </c>
      <c r="BM3448">
        <v>1</v>
      </c>
      <c r="BN3448">
        <v>1</v>
      </c>
      <c r="BO3448">
        <v>0</v>
      </c>
      <c r="BP3448">
        <v>0</v>
      </c>
      <c r="BS3448">
        <v>0</v>
      </c>
      <c r="BT3448">
        <v>0</v>
      </c>
      <c r="BU3448">
        <v>0</v>
      </c>
      <c r="CE3448" t="str">
        <f t="shared" si="1365"/>
        <v>15:14:06.581</v>
      </c>
      <c r="CF3448">
        <v>580562801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3</v>
      </c>
      <c r="CY3448">
        <v>7</v>
      </c>
      <c r="CZ3448" t="s">
        <v>133</v>
      </c>
      <c r="DA3448">
        <v>276</v>
      </c>
      <c r="DB3448">
        <v>0</v>
      </c>
      <c r="DC3448" t="s">
        <v>402</v>
      </c>
      <c r="DD3448" t="s">
        <v>403</v>
      </c>
      <c r="DG3448">
        <v>1628057</v>
      </c>
      <c r="DI3448">
        <v>1</v>
      </c>
      <c r="DJ3448">
        <v>0</v>
      </c>
      <c r="DK3448">
        <v>1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3">
      <c r="A3449" t="str">
        <f>"05/01/2025 15:14:06.848"</f>
        <v>05/01/2025 15:14:06.848</v>
      </c>
      <c r="C3449" t="str">
        <f t="shared" si="1344"/>
        <v>FFDFD3C0</v>
      </c>
      <c r="D3449" t="s">
        <v>145</v>
      </c>
      <c r="E3449" t="str">
        <f>"09"</f>
        <v>09</v>
      </c>
      <c r="H3449">
        <v>51</v>
      </c>
      <c r="I3449" t="s">
        <v>147</v>
      </c>
      <c r="J3449" t="s">
        <v>138</v>
      </c>
      <c r="K3449">
        <v>0</v>
      </c>
      <c r="L3449">
        <v>3</v>
      </c>
      <c r="M3449">
        <v>0</v>
      </c>
      <c r="N3449">
        <v>2</v>
      </c>
      <c r="O3449">
        <v>0</v>
      </c>
      <c r="P3449">
        <v>1</v>
      </c>
      <c r="Q3449">
        <v>0</v>
      </c>
      <c r="R3449" t="s">
        <v>127</v>
      </c>
      <c r="S3449" t="str">
        <f t="shared" si="1364"/>
        <v>15:14:06.000</v>
      </c>
      <c r="T3449" t="str">
        <f t="shared" si="1364"/>
        <v>15:14:06.000</v>
      </c>
      <c r="U3449" t="str">
        <f t="shared" si="1345"/>
        <v>A68FCB</v>
      </c>
      <c r="V3449">
        <v>0</v>
      </c>
      <c r="W3449">
        <v>0</v>
      </c>
      <c r="X3449">
        <v>2</v>
      </c>
      <c r="Y3449">
        <v>0</v>
      </c>
      <c r="AA3449">
        <v>1</v>
      </c>
      <c r="AB3449">
        <v>8</v>
      </c>
      <c r="AC3449">
        <v>3</v>
      </c>
      <c r="AD3449">
        <v>0</v>
      </c>
      <c r="AE3449">
        <v>9</v>
      </c>
      <c r="AF3449" t="s">
        <v>138</v>
      </c>
      <c r="AG3449">
        <v>0</v>
      </c>
      <c r="AH3449">
        <v>3</v>
      </c>
      <c r="AI3449">
        <v>2</v>
      </c>
      <c r="AJ3449">
        <v>0</v>
      </c>
      <c r="AK3449" t="s">
        <v>1130</v>
      </c>
      <c r="AL3449">
        <v>39.144759000000001</v>
      </c>
      <c r="AM3449" t="s">
        <v>1131</v>
      </c>
      <c r="AN3449">
        <v>-121.031291</v>
      </c>
      <c r="AO3449">
        <v>25</v>
      </c>
      <c r="AP3449">
        <v>4200</v>
      </c>
      <c r="AQ3449" t="s">
        <v>131</v>
      </c>
      <c r="AR3449">
        <v>-1</v>
      </c>
      <c r="AS3449">
        <v>84</v>
      </c>
      <c r="AT3449">
        <v>-448</v>
      </c>
      <c r="BB3449" t="str">
        <f t="shared" si="1346"/>
        <v>1200</v>
      </c>
      <c r="BC3449">
        <v>1</v>
      </c>
      <c r="BD3449" t="str">
        <f t="shared" si="1347"/>
        <v xml:space="preserve">N52156  </v>
      </c>
      <c r="BE3449">
        <v>1</v>
      </c>
      <c r="BG3449">
        <v>0</v>
      </c>
      <c r="BH3449">
        <v>0</v>
      </c>
      <c r="BI3449">
        <v>0</v>
      </c>
      <c r="BJ3449">
        <v>4300</v>
      </c>
      <c r="BK3449">
        <v>100</v>
      </c>
      <c r="BL3449" t="s">
        <v>188</v>
      </c>
      <c r="BM3449">
        <v>1</v>
      </c>
      <c r="BN3449">
        <v>1</v>
      </c>
      <c r="BO3449">
        <v>0</v>
      </c>
      <c r="BP3449">
        <v>0</v>
      </c>
      <c r="BS3449">
        <v>0</v>
      </c>
      <c r="BT3449">
        <v>0</v>
      </c>
      <c r="BU3449">
        <v>0</v>
      </c>
      <c r="CE3449" t="str">
        <f t="shared" si="1365"/>
        <v>15:14:06.581</v>
      </c>
      <c r="CF3449">
        <v>580562801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3</v>
      </c>
      <c r="CY3449">
        <v>7</v>
      </c>
      <c r="CZ3449" t="s">
        <v>133</v>
      </c>
      <c r="DA3449">
        <v>276</v>
      </c>
      <c r="DB3449">
        <v>0</v>
      </c>
      <c r="DC3449" t="s">
        <v>402</v>
      </c>
      <c r="DD3449" t="s">
        <v>403</v>
      </c>
      <c r="DG3449">
        <v>1628057</v>
      </c>
      <c r="DI3449">
        <v>1</v>
      </c>
      <c r="DJ3449">
        <v>0</v>
      </c>
      <c r="DK3449">
        <v>1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3">
      <c r="A3450" t="str">
        <f>"05/01/2025 15:14:06.850"</f>
        <v>05/01/2025 15:14:06.850</v>
      </c>
      <c r="C3450" t="str">
        <f t="shared" si="1344"/>
        <v>FFDFD3C0</v>
      </c>
      <c r="D3450" t="s">
        <v>145</v>
      </c>
      <c r="E3450" t="str">
        <f>"05"</f>
        <v>05</v>
      </c>
      <c r="H3450">
        <v>47</v>
      </c>
      <c r="I3450" t="s">
        <v>146</v>
      </c>
      <c r="J3450" t="s">
        <v>138</v>
      </c>
      <c r="K3450">
        <v>0</v>
      </c>
      <c r="L3450">
        <v>3</v>
      </c>
      <c r="M3450">
        <v>0</v>
      </c>
      <c r="N3450">
        <v>2</v>
      </c>
      <c r="O3450">
        <v>0</v>
      </c>
      <c r="P3450">
        <v>1</v>
      </c>
      <c r="Q3450">
        <v>0</v>
      </c>
      <c r="R3450" t="s">
        <v>127</v>
      </c>
      <c r="S3450" t="str">
        <f t="shared" si="1364"/>
        <v>15:14:06.000</v>
      </c>
      <c r="T3450" t="str">
        <f t="shared" si="1364"/>
        <v>15:14:06.000</v>
      </c>
      <c r="U3450" t="str">
        <f t="shared" si="1345"/>
        <v>A68FCB</v>
      </c>
      <c r="V3450">
        <v>0</v>
      </c>
      <c r="W3450">
        <v>0</v>
      </c>
      <c r="X3450">
        <v>2</v>
      </c>
      <c r="Y3450">
        <v>0</v>
      </c>
      <c r="AA3450">
        <v>1</v>
      </c>
      <c r="AB3450">
        <v>8</v>
      </c>
      <c r="AC3450">
        <v>3</v>
      </c>
      <c r="AD3450">
        <v>0</v>
      </c>
      <c r="AE3450">
        <v>9</v>
      </c>
      <c r="AF3450" t="s">
        <v>138</v>
      </c>
      <c r="AG3450">
        <v>0</v>
      </c>
      <c r="AH3450">
        <v>3</v>
      </c>
      <c r="AI3450">
        <v>2</v>
      </c>
      <c r="AJ3450">
        <v>0</v>
      </c>
      <c r="AK3450" t="s">
        <v>1130</v>
      </c>
      <c r="AL3450">
        <v>39.144759000000001</v>
      </c>
      <c r="AM3450" t="s">
        <v>1131</v>
      </c>
      <c r="AN3450">
        <v>-121.031291</v>
      </c>
      <c r="AO3450">
        <v>25</v>
      </c>
      <c r="AP3450">
        <v>4200</v>
      </c>
      <c r="AQ3450" t="s">
        <v>131</v>
      </c>
      <c r="AR3450">
        <v>-1</v>
      </c>
      <c r="AS3450">
        <v>84</v>
      </c>
      <c r="AT3450">
        <v>-448</v>
      </c>
      <c r="BB3450" t="str">
        <f t="shared" si="1346"/>
        <v>1200</v>
      </c>
      <c r="BC3450">
        <v>1</v>
      </c>
      <c r="BD3450" t="str">
        <f t="shared" si="1347"/>
        <v xml:space="preserve">N52156  </v>
      </c>
      <c r="BE3450">
        <v>1</v>
      </c>
      <c r="BG3450">
        <v>0</v>
      </c>
      <c r="BH3450">
        <v>0</v>
      </c>
      <c r="BI3450">
        <v>0</v>
      </c>
      <c r="BJ3450">
        <v>4300</v>
      </c>
      <c r="BK3450">
        <v>100</v>
      </c>
      <c r="BL3450" t="s">
        <v>188</v>
      </c>
      <c r="BM3450">
        <v>1</v>
      </c>
      <c r="BN3450">
        <v>1</v>
      </c>
      <c r="BO3450">
        <v>0</v>
      </c>
      <c r="BP3450">
        <v>0</v>
      </c>
      <c r="BS3450">
        <v>0</v>
      </c>
      <c r="BT3450">
        <v>0</v>
      </c>
      <c r="BU3450">
        <v>0</v>
      </c>
      <c r="CE3450" t="str">
        <f t="shared" si="1365"/>
        <v>15:14:06.581</v>
      </c>
      <c r="CF3450">
        <v>580562801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3</v>
      </c>
      <c r="CY3450">
        <v>7</v>
      </c>
      <c r="CZ3450" t="s">
        <v>133</v>
      </c>
      <c r="DA3450">
        <v>276</v>
      </c>
      <c r="DB3450">
        <v>0</v>
      </c>
      <c r="DC3450" t="s">
        <v>402</v>
      </c>
      <c r="DD3450" t="s">
        <v>403</v>
      </c>
      <c r="DG3450">
        <v>1628057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3">
      <c r="A3451" t="str">
        <f>"05/01/2025 15:14:06.863"</f>
        <v>05/01/2025 15:14:06.863</v>
      </c>
      <c r="C3451" t="str">
        <f t="shared" si="1344"/>
        <v>FFDFD3C0</v>
      </c>
      <c r="D3451" t="s">
        <v>136</v>
      </c>
      <c r="E3451" t="str">
        <f>"20"</f>
        <v>20</v>
      </c>
      <c r="H3451">
        <v>400</v>
      </c>
      <c r="I3451" t="s">
        <v>137</v>
      </c>
      <c r="J3451" t="s">
        <v>138</v>
      </c>
      <c r="K3451">
        <v>0</v>
      </c>
      <c r="L3451">
        <v>3</v>
      </c>
      <c r="M3451">
        <v>0</v>
      </c>
      <c r="N3451">
        <v>2</v>
      </c>
      <c r="O3451">
        <v>0</v>
      </c>
      <c r="P3451">
        <v>1</v>
      </c>
      <c r="Q3451">
        <v>0</v>
      </c>
      <c r="R3451" t="s">
        <v>127</v>
      </c>
      <c r="S3451" t="str">
        <f t="shared" si="1364"/>
        <v>15:14:06.000</v>
      </c>
      <c r="T3451" t="str">
        <f t="shared" si="1364"/>
        <v>15:14:06.000</v>
      </c>
      <c r="U3451" t="str">
        <f t="shared" si="1345"/>
        <v>A68FCB</v>
      </c>
      <c r="V3451">
        <v>0</v>
      </c>
      <c r="W3451">
        <v>0</v>
      </c>
      <c r="X3451">
        <v>2</v>
      </c>
      <c r="Y3451">
        <v>0</v>
      </c>
      <c r="AA3451">
        <v>1</v>
      </c>
      <c r="AB3451">
        <v>8</v>
      </c>
      <c r="AC3451">
        <v>3</v>
      </c>
      <c r="AD3451">
        <v>0</v>
      </c>
      <c r="AE3451">
        <v>9</v>
      </c>
      <c r="AF3451" t="s">
        <v>138</v>
      </c>
      <c r="AG3451">
        <v>0</v>
      </c>
      <c r="AH3451">
        <v>3</v>
      </c>
      <c r="AI3451">
        <v>2</v>
      </c>
      <c r="AJ3451">
        <v>0</v>
      </c>
      <c r="AK3451" t="s">
        <v>1130</v>
      </c>
      <c r="AL3451">
        <v>39.144759000000001</v>
      </c>
      <c r="AM3451" t="s">
        <v>1131</v>
      </c>
      <c r="AN3451">
        <v>-121.031291</v>
      </c>
      <c r="AO3451">
        <v>25</v>
      </c>
      <c r="AP3451">
        <v>4200</v>
      </c>
      <c r="AQ3451" t="s">
        <v>131</v>
      </c>
      <c r="AR3451">
        <v>-1</v>
      </c>
      <c r="AS3451">
        <v>84</v>
      </c>
      <c r="AT3451">
        <v>-448</v>
      </c>
      <c r="BB3451" t="str">
        <f t="shared" si="1346"/>
        <v>1200</v>
      </c>
      <c r="BC3451">
        <v>1</v>
      </c>
      <c r="BD3451" t="str">
        <f t="shared" si="1347"/>
        <v xml:space="preserve">N52156  </v>
      </c>
      <c r="BE3451">
        <v>1</v>
      </c>
      <c r="BG3451">
        <v>0</v>
      </c>
      <c r="BH3451">
        <v>0</v>
      </c>
      <c r="BI3451">
        <v>0</v>
      </c>
      <c r="BJ3451">
        <v>4300</v>
      </c>
      <c r="BK3451">
        <v>100</v>
      </c>
      <c r="BL3451" t="s">
        <v>188</v>
      </c>
      <c r="BM3451">
        <v>1</v>
      </c>
      <c r="BN3451">
        <v>1</v>
      </c>
      <c r="BO3451">
        <v>0</v>
      </c>
      <c r="BP3451">
        <v>0</v>
      </c>
      <c r="BS3451">
        <v>0</v>
      </c>
      <c r="BT3451">
        <v>0</v>
      </c>
      <c r="BU3451">
        <v>0</v>
      </c>
      <c r="CE3451" t="str">
        <f t="shared" si="1365"/>
        <v>15:14:06.581</v>
      </c>
      <c r="CF3451">
        <v>580562801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3</v>
      </c>
      <c r="CY3451">
        <v>7</v>
      </c>
      <c r="CZ3451" t="s">
        <v>133</v>
      </c>
      <c r="DA3451">
        <v>276</v>
      </c>
      <c r="DB3451">
        <v>0</v>
      </c>
      <c r="DC3451" t="s">
        <v>402</v>
      </c>
      <c r="DD3451" t="s">
        <v>403</v>
      </c>
      <c r="DG3451">
        <v>1628057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3">
      <c r="A3452" t="str">
        <f>"05/01/2025 15:14:08.138"</f>
        <v>05/01/2025 15:14:08.138</v>
      </c>
      <c r="C3452" t="str">
        <f t="shared" si="1344"/>
        <v>FFDFD3C0</v>
      </c>
      <c r="D3452" t="s">
        <v>140</v>
      </c>
      <c r="E3452" t="str">
        <f>"13"</f>
        <v>13</v>
      </c>
      <c r="F3452">
        <v>1019</v>
      </c>
      <c r="G3452" t="s">
        <v>141</v>
      </c>
      <c r="J3452" t="s">
        <v>142</v>
      </c>
      <c r="K3452">
        <v>0</v>
      </c>
      <c r="L3452">
        <v>3</v>
      </c>
      <c r="M3452">
        <v>0</v>
      </c>
      <c r="N3452">
        <v>2</v>
      </c>
      <c r="O3452">
        <v>0</v>
      </c>
      <c r="P3452">
        <v>1</v>
      </c>
      <c r="Q3452">
        <v>0</v>
      </c>
      <c r="R3452" t="s">
        <v>127</v>
      </c>
      <c r="S3452" t="str">
        <f t="shared" ref="S3452:T3457" si="1366">"15:14:07.000"</f>
        <v>15:14:07.000</v>
      </c>
      <c r="T3452" t="str">
        <f t="shared" si="1366"/>
        <v>15:14:07.000</v>
      </c>
      <c r="U3452" t="str">
        <f t="shared" si="1345"/>
        <v>A68FCB</v>
      </c>
      <c r="V3452">
        <v>0</v>
      </c>
      <c r="W3452">
        <v>0</v>
      </c>
      <c r="X3452">
        <v>2</v>
      </c>
      <c r="Y3452">
        <v>0</v>
      </c>
      <c r="AA3452">
        <v>1</v>
      </c>
      <c r="AB3452">
        <v>8</v>
      </c>
      <c r="AC3452">
        <v>3</v>
      </c>
      <c r="AD3452">
        <v>0</v>
      </c>
      <c r="AE3452">
        <v>9</v>
      </c>
      <c r="AF3452" t="s">
        <v>138</v>
      </c>
      <c r="AG3452">
        <v>0</v>
      </c>
      <c r="AH3452">
        <v>3</v>
      </c>
      <c r="AI3452">
        <v>2</v>
      </c>
      <c r="AJ3452">
        <v>0</v>
      </c>
      <c r="AK3452" t="s">
        <v>1132</v>
      </c>
      <c r="AL3452">
        <v>39.145144999999999</v>
      </c>
      <c r="AM3452" t="s">
        <v>1131</v>
      </c>
      <c r="AN3452">
        <v>-121.031291</v>
      </c>
      <c r="AO3452">
        <v>25</v>
      </c>
      <c r="AP3452">
        <v>4200</v>
      </c>
      <c r="AQ3452" t="s">
        <v>131</v>
      </c>
      <c r="AR3452">
        <v>0</v>
      </c>
      <c r="AS3452">
        <v>83</v>
      </c>
      <c r="AT3452">
        <v>-512</v>
      </c>
      <c r="BB3452" t="str">
        <f t="shared" si="1346"/>
        <v>1200</v>
      </c>
      <c r="BC3452">
        <v>1</v>
      </c>
      <c r="BD3452" t="str">
        <f t="shared" si="1347"/>
        <v xml:space="preserve">N52156  </v>
      </c>
      <c r="BE3452">
        <v>1</v>
      </c>
      <c r="BG3452">
        <v>0</v>
      </c>
      <c r="BH3452">
        <v>0</v>
      </c>
      <c r="BI3452">
        <v>0</v>
      </c>
      <c r="BJ3452">
        <v>4275</v>
      </c>
      <c r="BK3452">
        <v>75</v>
      </c>
      <c r="BL3452" t="s">
        <v>188</v>
      </c>
      <c r="BM3452">
        <v>1</v>
      </c>
      <c r="BN3452">
        <v>1</v>
      </c>
      <c r="BO3452">
        <v>0</v>
      </c>
      <c r="BP3452">
        <v>0</v>
      </c>
      <c r="BS3452">
        <v>0</v>
      </c>
      <c r="BT3452">
        <v>0</v>
      </c>
      <c r="BU3452">
        <v>0</v>
      </c>
      <c r="CE3452" t="str">
        <f t="shared" ref="CE3452:CE3457" si="1367">"15:14:07.936"</f>
        <v>15:14:07.936</v>
      </c>
      <c r="CF3452">
        <v>935858238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2</v>
      </c>
      <c r="CY3452">
        <v>7</v>
      </c>
      <c r="CZ3452" t="s">
        <v>133</v>
      </c>
      <c r="DA3452">
        <v>273</v>
      </c>
      <c r="DB3452">
        <v>0</v>
      </c>
      <c r="DC3452" t="s">
        <v>292</v>
      </c>
      <c r="DD3452" t="s">
        <v>293</v>
      </c>
      <c r="DG3452">
        <v>4865596</v>
      </c>
      <c r="DI3452">
        <v>1</v>
      </c>
      <c r="DJ3452">
        <v>0</v>
      </c>
      <c r="DK3452">
        <v>0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3">
      <c r="A3453" t="str">
        <f>"05/01/2025 15:14:08.138"</f>
        <v>05/01/2025 15:14:08.138</v>
      </c>
      <c r="C3453" t="str">
        <f t="shared" si="1344"/>
        <v>FFDFD3C0</v>
      </c>
      <c r="D3453" t="s">
        <v>124</v>
      </c>
      <c r="E3453" t="str">
        <f>"06"</f>
        <v>06</v>
      </c>
      <c r="F3453">
        <v>2006</v>
      </c>
      <c r="G3453" t="s">
        <v>125</v>
      </c>
      <c r="J3453" t="s">
        <v>126</v>
      </c>
      <c r="K3453">
        <v>0</v>
      </c>
      <c r="L3453">
        <v>3</v>
      </c>
      <c r="M3453">
        <v>0</v>
      </c>
      <c r="N3453">
        <v>2</v>
      </c>
      <c r="O3453">
        <v>0</v>
      </c>
      <c r="P3453">
        <v>1</v>
      </c>
      <c r="Q3453">
        <v>0</v>
      </c>
      <c r="R3453" t="s">
        <v>127</v>
      </c>
      <c r="S3453" t="str">
        <f t="shared" si="1366"/>
        <v>15:14:07.000</v>
      </c>
      <c r="T3453" t="str">
        <f t="shared" si="1366"/>
        <v>15:14:07.000</v>
      </c>
      <c r="U3453" t="str">
        <f t="shared" si="1345"/>
        <v>A68FCB</v>
      </c>
      <c r="V3453">
        <v>0</v>
      </c>
      <c r="W3453">
        <v>0</v>
      </c>
      <c r="X3453">
        <v>2</v>
      </c>
      <c r="Y3453">
        <v>0</v>
      </c>
      <c r="AA3453">
        <v>1</v>
      </c>
      <c r="AB3453">
        <v>8</v>
      </c>
      <c r="AC3453">
        <v>3</v>
      </c>
      <c r="AD3453">
        <v>0</v>
      </c>
      <c r="AE3453">
        <v>9</v>
      </c>
      <c r="AF3453" t="s">
        <v>138</v>
      </c>
      <c r="AG3453">
        <v>0</v>
      </c>
      <c r="AH3453">
        <v>3</v>
      </c>
      <c r="AI3453">
        <v>2</v>
      </c>
      <c r="AJ3453">
        <v>0</v>
      </c>
      <c r="AK3453" t="s">
        <v>1132</v>
      </c>
      <c r="AL3453">
        <v>39.145144999999999</v>
      </c>
      <c r="AM3453" t="s">
        <v>1131</v>
      </c>
      <c r="AN3453">
        <v>-121.031291</v>
      </c>
      <c r="AO3453">
        <v>25</v>
      </c>
      <c r="AP3453">
        <v>4200</v>
      </c>
      <c r="AQ3453" t="s">
        <v>131</v>
      </c>
      <c r="AR3453">
        <v>0</v>
      </c>
      <c r="AS3453">
        <v>83</v>
      </c>
      <c r="AT3453">
        <v>-512</v>
      </c>
      <c r="BB3453" t="str">
        <f t="shared" si="1346"/>
        <v>1200</v>
      </c>
      <c r="BC3453">
        <v>1</v>
      </c>
      <c r="BD3453" t="str">
        <f t="shared" si="1347"/>
        <v xml:space="preserve">N52156  </v>
      </c>
      <c r="BE3453">
        <v>1</v>
      </c>
      <c r="BG3453">
        <v>0</v>
      </c>
      <c r="BH3453">
        <v>0</v>
      </c>
      <c r="BI3453">
        <v>0</v>
      </c>
      <c r="BJ3453">
        <v>4275</v>
      </c>
      <c r="BK3453">
        <v>75</v>
      </c>
      <c r="BL3453" t="s">
        <v>188</v>
      </c>
      <c r="BM3453">
        <v>1</v>
      </c>
      <c r="BN3453">
        <v>1</v>
      </c>
      <c r="BO3453">
        <v>0</v>
      </c>
      <c r="BP3453">
        <v>0</v>
      </c>
      <c r="BS3453">
        <v>0</v>
      </c>
      <c r="BT3453">
        <v>0</v>
      </c>
      <c r="BU3453">
        <v>0</v>
      </c>
      <c r="CE3453" t="str">
        <f t="shared" si="1367"/>
        <v>15:14:07.936</v>
      </c>
      <c r="CF3453">
        <v>935858238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2</v>
      </c>
      <c r="CY3453">
        <v>7</v>
      </c>
      <c r="CZ3453" t="s">
        <v>133</v>
      </c>
      <c r="DA3453">
        <v>273</v>
      </c>
      <c r="DB3453">
        <v>0</v>
      </c>
      <c r="DC3453" t="s">
        <v>292</v>
      </c>
      <c r="DD3453" t="s">
        <v>293</v>
      </c>
      <c r="DG3453">
        <v>4865596</v>
      </c>
      <c r="DI3453">
        <v>1</v>
      </c>
      <c r="DJ3453">
        <v>0</v>
      </c>
      <c r="DK3453">
        <v>1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3">
      <c r="A3454" t="str">
        <f>"05/01/2025 15:14:08.150"</f>
        <v>05/01/2025 15:14:08.150</v>
      </c>
      <c r="C3454" t="str">
        <f t="shared" si="1344"/>
        <v>FFDFD3C0</v>
      </c>
      <c r="D3454" t="s">
        <v>145</v>
      </c>
      <c r="E3454" t="str">
        <f>"09"</f>
        <v>09</v>
      </c>
      <c r="H3454">
        <v>51</v>
      </c>
      <c r="I3454" t="s">
        <v>147</v>
      </c>
      <c r="J3454" t="s">
        <v>138</v>
      </c>
      <c r="K3454">
        <v>0</v>
      </c>
      <c r="L3454">
        <v>3</v>
      </c>
      <c r="M3454">
        <v>0</v>
      </c>
      <c r="N3454">
        <v>2</v>
      </c>
      <c r="O3454">
        <v>0</v>
      </c>
      <c r="P3454">
        <v>1</v>
      </c>
      <c r="Q3454">
        <v>0</v>
      </c>
      <c r="R3454" t="s">
        <v>127</v>
      </c>
      <c r="S3454" t="str">
        <f t="shared" si="1366"/>
        <v>15:14:07.000</v>
      </c>
      <c r="T3454" t="str">
        <f t="shared" si="1366"/>
        <v>15:14:07.000</v>
      </c>
      <c r="U3454" t="str">
        <f t="shared" si="1345"/>
        <v>A68FCB</v>
      </c>
      <c r="V3454">
        <v>0</v>
      </c>
      <c r="W3454">
        <v>0</v>
      </c>
      <c r="X3454">
        <v>2</v>
      </c>
      <c r="Y3454">
        <v>0</v>
      </c>
      <c r="AA3454">
        <v>1</v>
      </c>
      <c r="AB3454">
        <v>8</v>
      </c>
      <c r="AC3454">
        <v>3</v>
      </c>
      <c r="AD3454">
        <v>0</v>
      </c>
      <c r="AE3454">
        <v>9</v>
      </c>
      <c r="AF3454" t="s">
        <v>138</v>
      </c>
      <c r="AG3454">
        <v>0</v>
      </c>
      <c r="AH3454">
        <v>3</v>
      </c>
      <c r="AI3454">
        <v>2</v>
      </c>
      <c r="AJ3454">
        <v>0</v>
      </c>
      <c r="AK3454" t="s">
        <v>1132</v>
      </c>
      <c r="AL3454">
        <v>39.145144999999999</v>
      </c>
      <c r="AM3454" t="s">
        <v>1131</v>
      </c>
      <c r="AN3454">
        <v>-121.031291</v>
      </c>
      <c r="AO3454">
        <v>25</v>
      </c>
      <c r="AP3454">
        <v>4200</v>
      </c>
      <c r="AQ3454" t="s">
        <v>131</v>
      </c>
      <c r="AR3454">
        <v>0</v>
      </c>
      <c r="AS3454">
        <v>83</v>
      </c>
      <c r="AT3454">
        <v>-512</v>
      </c>
      <c r="BB3454" t="str">
        <f t="shared" si="1346"/>
        <v>1200</v>
      </c>
      <c r="BC3454">
        <v>1</v>
      </c>
      <c r="BD3454" t="str">
        <f t="shared" si="1347"/>
        <v xml:space="preserve">N52156  </v>
      </c>
      <c r="BE3454">
        <v>1</v>
      </c>
      <c r="BG3454">
        <v>0</v>
      </c>
      <c r="BH3454">
        <v>0</v>
      </c>
      <c r="BI3454">
        <v>0</v>
      </c>
      <c r="BJ3454">
        <v>4275</v>
      </c>
      <c r="BK3454">
        <v>75</v>
      </c>
      <c r="BL3454" t="s">
        <v>188</v>
      </c>
      <c r="BM3454">
        <v>1</v>
      </c>
      <c r="BN3454">
        <v>1</v>
      </c>
      <c r="BO3454">
        <v>0</v>
      </c>
      <c r="BP3454">
        <v>0</v>
      </c>
      <c r="BS3454">
        <v>0</v>
      </c>
      <c r="BT3454">
        <v>0</v>
      </c>
      <c r="BU3454">
        <v>0</v>
      </c>
      <c r="CE3454" t="str">
        <f t="shared" si="1367"/>
        <v>15:14:07.936</v>
      </c>
      <c r="CF3454">
        <v>935858238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2</v>
      </c>
      <c r="CY3454">
        <v>7</v>
      </c>
      <c r="CZ3454" t="s">
        <v>133</v>
      </c>
      <c r="DA3454">
        <v>273</v>
      </c>
      <c r="DB3454">
        <v>0</v>
      </c>
      <c r="DC3454" t="s">
        <v>292</v>
      </c>
      <c r="DD3454" t="s">
        <v>293</v>
      </c>
      <c r="DG3454">
        <v>4865596</v>
      </c>
      <c r="DI3454">
        <v>1</v>
      </c>
      <c r="DJ3454">
        <v>0</v>
      </c>
      <c r="DK3454">
        <v>1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3">
      <c r="A3455" t="str">
        <f>"05/01/2025 15:14:08.153"</f>
        <v>05/01/2025 15:14:08.153</v>
      </c>
      <c r="C3455" t="str">
        <f t="shared" si="1344"/>
        <v>FFDFD3C0</v>
      </c>
      <c r="D3455" t="s">
        <v>145</v>
      </c>
      <c r="E3455" t="str">
        <f>"05"</f>
        <v>05</v>
      </c>
      <c r="H3455">
        <v>47</v>
      </c>
      <c r="I3455" t="s">
        <v>146</v>
      </c>
      <c r="J3455" t="s">
        <v>138</v>
      </c>
      <c r="K3455">
        <v>0</v>
      </c>
      <c r="L3455">
        <v>3</v>
      </c>
      <c r="M3455">
        <v>0</v>
      </c>
      <c r="N3455">
        <v>2</v>
      </c>
      <c r="O3455">
        <v>0</v>
      </c>
      <c r="P3455">
        <v>1</v>
      </c>
      <c r="Q3455">
        <v>0</v>
      </c>
      <c r="R3455" t="s">
        <v>127</v>
      </c>
      <c r="S3455" t="str">
        <f t="shared" si="1366"/>
        <v>15:14:07.000</v>
      </c>
      <c r="T3455" t="str">
        <f t="shared" si="1366"/>
        <v>15:14:07.000</v>
      </c>
      <c r="U3455" t="str">
        <f t="shared" si="1345"/>
        <v>A68FCB</v>
      </c>
      <c r="V3455">
        <v>0</v>
      </c>
      <c r="W3455">
        <v>0</v>
      </c>
      <c r="X3455">
        <v>2</v>
      </c>
      <c r="Y3455">
        <v>0</v>
      </c>
      <c r="AA3455">
        <v>1</v>
      </c>
      <c r="AB3455">
        <v>8</v>
      </c>
      <c r="AC3455">
        <v>3</v>
      </c>
      <c r="AD3455">
        <v>0</v>
      </c>
      <c r="AE3455">
        <v>9</v>
      </c>
      <c r="AF3455" t="s">
        <v>138</v>
      </c>
      <c r="AG3455">
        <v>0</v>
      </c>
      <c r="AH3455">
        <v>3</v>
      </c>
      <c r="AI3455">
        <v>2</v>
      </c>
      <c r="AJ3455">
        <v>0</v>
      </c>
      <c r="AK3455" t="s">
        <v>1132</v>
      </c>
      <c r="AL3455">
        <v>39.145144999999999</v>
      </c>
      <c r="AM3455" t="s">
        <v>1131</v>
      </c>
      <c r="AN3455">
        <v>-121.031291</v>
      </c>
      <c r="AO3455">
        <v>25</v>
      </c>
      <c r="AP3455">
        <v>4200</v>
      </c>
      <c r="AQ3455" t="s">
        <v>131</v>
      </c>
      <c r="AR3455">
        <v>0</v>
      </c>
      <c r="AS3455">
        <v>83</v>
      </c>
      <c r="AT3455">
        <v>-512</v>
      </c>
      <c r="BB3455" t="str">
        <f t="shared" si="1346"/>
        <v>1200</v>
      </c>
      <c r="BC3455">
        <v>1</v>
      </c>
      <c r="BD3455" t="str">
        <f t="shared" si="1347"/>
        <v xml:space="preserve">N52156  </v>
      </c>
      <c r="BE3455">
        <v>1</v>
      </c>
      <c r="BG3455">
        <v>0</v>
      </c>
      <c r="BH3455">
        <v>0</v>
      </c>
      <c r="BI3455">
        <v>0</v>
      </c>
      <c r="BJ3455">
        <v>4275</v>
      </c>
      <c r="BK3455">
        <v>75</v>
      </c>
      <c r="BL3455" t="s">
        <v>188</v>
      </c>
      <c r="BM3455">
        <v>1</v>
      </c>
      <c r="BN3455">
        <v>1</v>
      </c>
      <c r="BO3455">
        <v>0</v>
      </c>
      <c r="BP3455">
        <v>0</v>
      </c>
      <c r="BS3455">
        <v>0</v>
      </c>
      <c r="BT3455">
        <v>0</v>
      </c>
      <c r="BU3455">
        <v>0</v>
      </c>
      <c r="CE3455" t="str">
        <f t="shared" si="1367"/>
        <v>15:14:07.936</v>
      </c>
      <c r="CF3455">
        <v>935858238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2</v>
      </c>
      <c r="CY3455">
        <v>7</v>
      </c>
      <c r="CZ3455" t="s">
        <v>133</v>
      </c>
      <c r="DA3455">
        <v>273</v>
      </c>
      <c r="DB3455">
        <v>0</v>
      </c>
      <c r="DC3455" t="s">
        <v>292</v>
      </c>
      <c r="DD3455" t="s">
        <v>293</v>
      </c>
      <c r="DG3455">
        <v>4865596</v>
      </c>
      <c r="DI3455">
        <v>1</v>
      </c>
      <c r="DJ3455">
        <v>0</v>
      </c>
      <c r="DK3455">
        <v>1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3">
      <c r="A3456" t="str">
        <f>"05/01/2025 15:14:08.166"</f>
        <v>05/01/2025 15:14:08.166</v>
      </c>
      <c r="C3456" t="str">
        <f t="shared" si="1344"/>
        <v>FFDFD3C0</v>
      </c>
      <c r="D3456" t="s">
        <v>136</v>
      </c>
      <c r="E3456" t="str">
        <f>"20"</f>
        <v>20</v>
      </c>
      <c r="H3456">
        <v>400</v>
      </c>
      <c r="I3456" t="s">
        <v>137</v>
      </c>
      <c r="J3456" t="s">
        <v>138</v>
      </c>
      <c r="K3456">
        <v>0</v>
      </c>
      <c r="L3456">
        <v>3</v>
      </c>
      <c r="M3456">
        <v>0</v>
      </c>
      <c r="N3456">
        <v>2</v>
      </c>
      <c r="O3456">
        <v>0</v>
      </c>
      <c r="P3456">
        <v>1</v>
      </c>
      <c r="Q3456">
        <v>0</v>
      </c>
      <c r="R3456" t="s">
        <v>127</v>
      </c>
      <c r="S3456" t="str">
        <f t="shared" si="1366"/>
        <v>15:14:07.000</v>
      </c>
      <c r="T3456" t="str">
        <f t="shared" si="1366"/>
        <v>15:14:07.000</v>
      </c>
      <c r="U3456" t="str">
        <f t="shared" si="1345"/>
        <v>A68FCB</v>
      </c>
      <c r="V3456">
        <v>0</v>
      </c>
      <c r="W3456">
        <v>0</v>
      </c>
      <c r="X3456">
        <v>2</v>
      </c>
      <c r="Y3456">
        <v>0</v>
      </c>
      <c r="AA3456">
        <v>1</v>
      </c>
      <c r="AB3456">
        <v>8</v>
      </c>
      <c r="AC3456">
        <v>3</v>
      </c>
      <c r="AD3456">
        <v>0</v>
      </c>
      <c r="AE3456">
        <v>9</v>
      </c>
      <c r="AF3456" t="s">
        <v>138</v>
      </c>
      <c r="AG3456">
        <v>0</v>
      </c>
      <c r="AH3456">
        <v>3</v>
      </c>
      <c r="AI3456">
        <v>2</v>
      </c>
      <c r="AJ3456">
        <v>0</v>
      </c>
      <c r="AK3456" t="s">
        <v>1132</v>
      </c>
      <c r="AL3456">
        <v>39.145144999999999</v>
      </c>
      <c r="AM3456" t="s">
        <v>1131</v>
      </c>
      <c r="AN3456">
        <v>-121.031291</v>
      </c>
      <c r="AO3456">
        <v>25</v>
      </c>
      <c r="AP3456">
        <v>4200</v>
      </c>
      <c r="AQ3456" t="s">
        <v>131</v>
      </c>
      <c r="AR3456">
        <v>0</v>
      </c>
      <c r="AS3456">
        <v>83</v>
      </c>
      <c r="AT3456">
        <v>-512</v>
      </c>
      <c r="BB3456" t="str">
        <f t="shared" si="1346"/>
        <v>1200</v>
      </c>
      <c r="BC3456">
        <v>1</v>
      </c>
      <c r="BD3456" t="str">
        <f t="shared" si="1347"/>
        <v xml:space="preserve">N52156  </v>
      </c>
      <c r="BE3456">
        <v>1</v>
      </c>
      <c r="BG3456">
        <v>0</v>
      </c>
      <c r="BH3456">
        <v>0</v>
      </c>
      <c r="BI3456">
        <v>0</v>
      </c>
      <c r="BJ3456">
        <v>4275</v>
      </c>
      <c r="BK3456">
        <v>75</v>
      </c>
      <c r="BL3456" t="s">
        <v>188</v>
      </c>
      <c r="BM3456">
        <v>1</v>
      </c>
      <c r="BN3456">
        <v>1</v>
      </c>
      <c r="BO3456">
        <v>0</v>
      </c>
      <c r="BP3456">
        <v>0</v>
      </c>
      <c r="BS3456">
        <v>0</v>
      </c>
      <c r="BT3456">
        <v>0</v>
      </c>
      <c r="BU3456">
        <v>0</v>
      </c>
      <c r="CE3456" t="str">
        <f t="shared" si="1367"/>
        <v>15:14:07.936</v>
      </c>
      <c r="CF3456">
        <v>935858238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2</v>
      </c>
      <c r="CY3456">
        <v>7</v>
      </c>
      <c r="CZ3456" t="s">
        <v>133</v>
      </c>
      <c r="DA3456">
        <v>273</v>
      </c>
      <c r="DB3456">
        <v>0</v>
      </c>
      <c r="DC3456" t="s">
        <v>292</v>
      </c>
      <c r="DD3456" t="s">
        <v>293</v>
      </c>
      <c r="DG3456">
        <v>4865596</v>
      </c>
      <c r="DI3456">
        <v>1</v>
      </c>
      <c r="DJ3456">
        <v>0</v>
      </c>
      <c r="DK3456">
        <v>1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3">
      <c r="A3457" t="str">
        <f>"05/01/2025 15:14:08.178"</f>
        <v>05/01/2025 15:14:08.178</v>
      </c>
      <c r="C3457" t="str">
        <f t="shared" si="1344"/>
        <v>FFDFD3C0</v>
      </c>
      <c r="D3457" t="s">
        <v>143</v>
      </c>
      <c r="E3457" t="str">
        <f>"05"</f>
        <v>05</v>
      </c>
      <c r="H3457">
        <v>172</v>
      </c>
      <c r="I3457" t="s">
        <v>141</v>
      </c>
      <c r="J3457" t="s">
        <v>144</v>
      </c>
      <c r="K3457">
        <v>0</v>
      </c>
      <c r="L3457">
        <v>3</v>
      </c>
      <c r="M3457">
        <v>0</v>
      </c>
      <c r="N3457">
        <v>2</v>
      </c>
      <c r="O3457">
        <v>0</v>
      </c>
      <c r="P3457">
        <v>1</v>
      </c>
      <c r="Q3457">
        <v>0</v>
      </c>
      <c r="R3457" t="s">
        <v>127</v>
      </c>
      <c r="S3457" t="str">
        <f t="shared" si="1366"/>
        <v>15:14:07.000</v>
      </c>
      <c r="T3457" t="str">
        <f t="shared" si="1366"/>
        <v>15:14:07.000</v>
      </c>
      <c r="U3457" t="str">
        <f t="shared" si="1345"/>
        <v>A68FCB</v>
      </c>
      <c r="V3457">
        <v>0</v>
      </c>
      <c r="W3457">
        <v>0</v>
      </c>
      <c r="X3457">
        <v>2</v>
      </c>
      <c r="Y3457">
        <v>0</v>
      </c>
      <c r="AA3457">
        <v>1</v>
      </c>
      <c r="AB3457">
        <v>8</v>
      </c>
      <c r="AC3457">
        <v>3</v>
      </c>
      <c r="AD3457">
        <v>0</v>
      </c>
      <c r="AE3457">
        <v>9</v>
      </c>
      <c r="AF3457" t="s">
        <v>138</v>
      </c>
      <c r="AG3457">
        <v>0</v>
      </c>
      <c r="AH3457">
        <v>3</v>
      </c>
      <c r="AI3457">
        <v>2</v>
      </c>
      <c r="AJ3457">
        <v>0</v>
      </c>
      <c r="AK3457" t="s">
        <v>1132</v>
      </c>
      <c r="AL3457">
        <v>39.145144999999999</v>
      </c>
      <c r="AM3457" t="s">
        <v>1131</v>
      </c>
      <c r="AN3457">
        <v>-121.031291</v>
      </c>
      <c r="AO3457">
        <v>25</v>
      </c>
      <c r="AP3457">
        <v>4200</v>
      </c>
      <c r="AQ3457" t="s">
        <v>131</v>
      </c>
      <c r="AR3457">
        <v>0</v>
      </c>
      <c r="AS3457">
        <v>83</v>
      </c>
      <c r="AT3457">
        <v>-512</v>
      </c>
      <c r="BB3457" t="str">
        <f t="shared" si="1346"/>
        <v>1200</v>
      </c>
      <c r="BC3457">
        <v>1</v>
      </c>
      <c r="BD3457" t="str">
        <f t="shared" si="1347"/>
        <v xml:space="preserve">N52156  </v>
      </c>
      <c r="BE3457">
        <v>1</v>
      </c>
      <c r="BG3457">
        <v>0</v>
      </c>
      <c r="BH3457">
        <v>0</v>
      </c>
      <c r="BI3457">
        <v>0</v>
      </c>
      <c r="BJ3457">
        <v>4275</v>
      </c>
      <c r="BK3457">
        <v>75</v>
      </c>
      <c r="BL3457" t="s">
        <v>188</v>
      </c>
      <c r="BM3457">
        <v>1</v>
      </c>
      <c r="BN3457">
        <v>1</v>
      </c>
      <c r="BO3457">
        <v>0</v>
      </c>
      <c r="BP3457">
        <v>0</v>
      </c>
      <c r="BS3457">
        <v>0</v>
      </c>
      <c r="BT3457">
        <v>0</v>
      </c>
      <c r="BU3457">
        <v>0</v>
      </c>
      <c r="CE3457" t="str">
        <f t="shared" si="1367"/>
        <v>15:14:07.936</v>
      </c>
      <c r="CF3457">
        <v>935858238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2</v>
      </c>
      <c r="CY3457">
        <v>7</v>
      </c>
      <c r="CZ3457" t="s">
        <v>133</v>
      </c>
      <c r="DA3457">
        <v>273</v>
      </c>
      <c r="DB3457">
        <v>0</v>
      </c>
      <c r="DC3457" t="s">
        <v>292</v>
      </c>
      <c r="DD3457" t="s">
        <v>293</v>
      </c>
      <c r="DG3457">
        <v>4865596</v>
      </c>
      <c r="DI3457">
        <v>1</v>
      </c>
      <c r="DJ3457">
        <v>0</v>
      </c>
      <c r="DK3457">
        <v>1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3">
      <c r="A3458" t="str">
        <f>"05/01/2025 15:14:09.152"</f>
        <v>05/01/2025 15:14:09.152</v>
      </c>
      <c r="C3458" t="str">
        <f t="shared" ref="C3458:C3521" si="1368">"FFDFD3C0"</f>
        <v>FFDFD3C0</v>
      </c>
      <c r="D3458" t="s">
        <v>145</v>
      </c>
      <c r="E3458" t="str">
        <f>"09"</f>
        <v>09</v>
      </c>
      <c r="H3458">
        <v>51</v>
      </c>
      <c r="I3458" t="s">
        <v>147</v>
      </c>
      <c r="J3458" t="s">
        <v>138</v>
      </c>
      <c r="K3458">
        <v>0</v>
      </c>
      <c r="L3458">
        <v>3</v>
      </c>
      <c r="M3458">
        <v>0</v>
      </c>
      <c r="N3458">
        <v>2</v>
      </c>
      <c r="O3458">
        <v>0</v>
      </c>
      <c r="P3458">
        <v>1</v>
      </c>
      <c r="Q3458">
        <v>0</v>
      </c>
      <c r="R3458" t="s">
        <v>127</v>
      </c>
      <c r="S3458" t="str">
        <f t="shared" ref="S3458:T3463" si="1369">"15:14:08.000"</f>
        <v>15:14:08.000</v>
      </c>
      <c r="T3458" t="str">
        <f t="shared" si="1369"/>
        <v>15:14:08.000</v>
      </c>
      <c r="U3458" t="str">
        <f t="shared" ref="U3458:U3521" si="1370">"A68FCB"</f>
        <v>A68FCB</v>
      </c>
      <c r="V3458">
        <v>0</v>
      </c>
      <c r="W3458">
        <v>0</v>
      </c>
      <c r="X3458">
        <v>2</v>
      </c>
      <c r="Y3458">
        <v>0</v>
      </c>
      <c r="AA3458">
        <v>1</v>
      </c>
      <c r="AB3458">
        <v>8</v>
      </c>
      <c r="AC3458">
        <v>3</v>
      </c>
      <c r="AD3458">
        <v>0</v>
      </c>
      <c r="AE3458">
        <v>9</v>
      </c>
      <c r="AF3458" t="s">
        <v>138</v>
      </c>
      <c r="AG3458">
        <v>0</v>
      </c>
      <c r="AH3458">
        <v>3</v>
      </c>
      <c r="AI3458">
        <v>2</v>
      </c>
      <c r="AJ3458">
        <v>0</v>
      </c>
      <c r="AK3458" t="s">
        <v>1133</v>
      </c>
      <c r="AL3458">
        <v>39.145575000000001</v>
      </c>
      <c r="AM3458" t="s">
        <v>1084</v>
      </c>
      <c r="AN3458">
        <v>-121.03127000000001</v>
      </c>
      <c r="AO3458">
        <v>25</v>
      </c>
      <c r="AP3458">
        <v>4200</v>
      </c>
      <c r="AQ3458" t="s">
        <v>131</v>
      </c>
      <c r="AR3458">
        <v>0</v>
      </c>
      <c r="AS3458">
        <v>83</v>
      </c>
      <c r="AT3458">
        <v>-576</v>
      </c>
      <c r="BB3458" t="str">
        <f t="shared" ref="BB3458:BB3521" si="1371">"1200"</f>
        <v>1200</v>
      </c>
      <c r="BC3458">
        <v>1</v>
      </c>
      <c r="BD3458" t="str">
        <f t="shared" ref="BD3458:BD3521" si="1372">"N52156  "</f>
        <v xml:space="preserve">N52156  </v>
      </c>
      <c r="BE3458">
        <v>1</v>
      </c>
      <c r="BG3458">
        <v>0</v>
      </c>
      <c r="BH3458">
        <v>0</v>
      </c>
      <c r="BI3458">
        <v>0</v>
      </c>
      <c r="BJ3458">
        <v>4275</v>
      </c>
      <c r="BK3458">
        <v>75</v>
      </c>
      <c r="BL3458" t="s">
        <v>188</v>
      </c>
      <c r="BM3458">
        <v>1</v>
      </c>
      <c r="BN3458">
        <v>1</v>
      </c>
      <c r="BO3458">
        <v>0</v>
      </c>
      <c r="BP3458">
        <v>0</v>
      </c>
      <c r="BS3458">
        <v>0</v>
      </c>
      <c r="BT3458">
        <v>0</v>
      </c>
      <c r="BU3458">
        <v>0</v>
      </c>
      <c r="CE3458" t="str">
        <f t="shared" ref="CE3458:CE3463" si="1373">"15:14:08.935"</f>
        <v>15:14:08.935</v>
      </c>
      <c r="CF3458">
        <v>934858417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3</v>
      </c>
      <c r="CY3458">
        <v>7</v>
      </c>
      <c r="CZ3458" t="s">
        <v>133</v>
      </c>
      <c r="DA3458">
        <v>273</v>
      </c>
      <c r="DB3458">
        <v>0</v>
      </c>
      <c r="DC3458" t="s">
        <v>292</v>
      </c>
      <c r="DD3458" t="s">
        <v>293</v>
      </c>
      <c r="DG3458">
        <v>4865608</v>
      </c>
      <c r="DI3458">
        <v>1</v>
      </c>
      <c r="DJ3458">
        <v>0</v>
      </c>
      <c r="DK3458">
        <v>0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3">
      <c r="A3459" t="str">
        <f>"05/01/2025 15:14:09.155"</f>
        <v>05/01/2025 15:14:09.155</v>
      </c>
      <c r="C3459" t="str">
        <f t="shared" si="1368"/>
        <v>FFDFD3C0</v>
      </c>
      <c r="D3459" t="s">
        <v>145</v>
      </c>
      <c r="E3459" t="str">
        <f>"05"</f>
        <v>05</v>
      </c>
      <c r="H3459">
        <v>47</v>
      </c>
      <c r="I3459" t="s">
        <v>146</v>
      </c>
      <c r="J3459" t="s">
        <v>138</v>
      </c>
      <c r="K3459">
        <v>0</v>
      </c>
      <c r="L3459">
        <v>3</v>
      </c>
      <c r="M3459">
        <v>0</v>
      </c>
      <c r="N3459">
        <v>2</v>
      </c>
      <c r="O3459">
        <v>0</v>
      </c>
      <c r="P3459">
        <v>1</v>
      </c>
      <c r="Q3459">
        <v>0</v>
      </c>
      <c r="R3459" t="s">
        <v>127</v>
      </c>
      <c r="S3459" t="str">
        <f t="shared" si="1369"/>
        <v>15:14:08.000</v>
      </c>
      <c r="T3459" t="str">
        <f t="shared" si="1369"/>
        <v>15:14:08.000</v>
      </c>
      <c r="U3459" t="str">
        <f t="shared" si="1370"/>
        <v>A68FCB</v>
      </c>
      <c r="V3459">
        <v>0</v>
      </c>
      <c r="W3459">
        <v>0</v>
      </c>
      <c r="X3459">
        <v>2</v>
      </c>
      <c r="Y3459">
        <v>0</v>
      </c>
      <c r="AA3459">
        <v>1</v>
      </c>
      <c r="AB3459">
        <v>8</v>
      </c>
      <c r="AC3459">
        <v>3</v>
      </c>
      <c r="AD3459">
        <v>0</v>
      </c>
      <c r="AE3459">
        <v>9</v>
      </c>
      <c r="AF3459" t="s">
        <v>138</v>
      </c>
      <c r="AG3459">
        <v>0</v>
      </c>
      <c r="AH3459">
        <v>3</v>
      </c>
      <c r="AI3459">
        <v>2</v>
      </c>
      <c r="AJ3459">
        <v>0</v>
      </c>
      <c r="AK3459" t="s">
        <v>1133</v>
      </c>
      <c r="AL3459">
        <v>39.145575000000001</v>
      </c>
      <c r="AM3459" t="s">
        <v>1084</v>
      </c>
      <c r="AN3459">
        <v>-121.03127000000001</v>
      </c>
      <c r="AO3459">
        <v>25</v>
      </c>
      <c r="AP3459">
        <v>4200</v>
      </c>
      <c r="AQ3459" t="s">
        <v>131</v>
      </c>
      <c r="AR3459">
        <v>0</v>
      </c>
      <c r="AS3459">
        <v>83</v>
      </c>
      <c r="AT3459">
        <v>-576</v>
      </c>
      <c r="BB3459" t="str">
        <f t="shared" si="1371"/>
        <v>1200</v>
      </c>
      <c r="BC3459">
        <v>1</v>
      </c>
      <c r="BD3459" t="str">
        <f t="shared" si="1372"/>
        <v xml:space="preserve">N52156  </v>
      </c>
      <c r="BE3459">
        <v>1</v>
      </c>
      <c r="BG3459">
        <v>0</v>
      </c>
      <c r="BH3459">
        <v>0</v>
      </c>
      <c r="BI3459">
        <v>0</v>
      </c>
      <c r="BJ3459">
        <v>4275</v>
      </c>
      <c r="BK3459">
        <v>75</v>
      </c>
      <c r="BL3459" t="s">
        <v>188</v>
      </c>
      <c r="BM3459">
        <v>1</v>
      </c>
      <c r="BN3459">
        <v>1</v>
      </c>
      <c r="BO3459">
        <v>0</v>
      </c>
      <c r="BP3459">
        <v>0</v>
      </c>
      <c r="BS3459">
        <v>0</v>
      </c>
      <c r="BT3459">
        <v>0</v>
      </c>
      <c r="BU3459">
        <v>0</v>
      </c>
      <c r="CE3459" t="str">
        <f t="shared" si="1373"/>
        <v>15:14:08.935</v>
      </c>
      <c r="CF3459">
        <v>934858417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3</v>
      </c>
      <c r="CY3459">
        <v>7</v>
      </c>
      <c r="CZ3459" t="s">
        <v>133</v>
      </c>
      <c r="DA3459">
        <v>273</v>
      </c>
      <c r="DB3459">
        <v>0</v>
      </c>
      <c r="DC3459" t="s">
        <v>292</v>
      </c>
      <c r="DD3459" t="s">
        <v>293</v>
      </c>
      <c r="DG3459">
        <v>4865608</v>
      </c>
      <c r="DI3459">
        <v>1</v>
      </c>
      <c r="DJ3459">
        <v>0</v>
      </c>
      <c r="DK3459">
        <v>1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3">
      <c r="A3460" t="str">
        <f>"05/01/2025 15:14:09.167"</f>
        <v>05/01/2025 15:14:09.167</v>
      </c>
      <c r="C3460" t="str">
        <f t="shared" si="1368"/>
        <v>FFDFD3C0</v>
      </c>
      <c r="D3460" t="s">
        <v>136</v>
      </c>
      <c r="E3460" t="str">
        <f>"20"</f>
        <v>20</v>
      </c>
      <c r="H3460">
        <v>400</v>
      </c>
      <c r="I3460" t="s">
        <v>137</v>
      </c>
      <c r="J3460" t="s">
        <v>138</v>
      </c>
      <c r="K3460">
        <v>0</v>
      </c>
      <c r="L3460">
        <v>3</v>
      </c>
      <c r="M3460">
        <v>0</v>
      </c>
      <c r="N3460">
        <v>2</v>
      </c>
      <c r="O3460">
        <v>0</v>
      </c>
      <c r="P3460">
        <v>1</v>
      </c>
      <c r="Q3460">
        <v>0</v>
      </c>
      <c r="R3460" t="s">
        <v>127</v>
      </c>
      <c r="S3460" t="str">
        <f t="shared" si="1369"/>
        <v>15:14:08.000</v>
      </c>
      <c r="T3460" t="str">
        <f t="shared" si="1369"/>
        <v>15:14:08.000</v>
      </c>
      <c r="U3460" t="str">
        <f t="shared" si="1370"/>
        <v>A68FCB</v>
      </c>
      <c r="V3460">
        <v>0</v>
      </c>
      <c r="W3460">
        <v>0</v>
      </c>
      <c r="X3460">
        <v>2</v>
      </c>
      <c r="Y3460">
        <v>0</v>
      </c>
      <c r="AA3460">
        <v>1</v>
      </c>
      <c r="AB3460">
        <v>8</v>
      </c>
      <c r="AC3460">
        <v>3</v>
      </c>
      <c r="AD3460">
        <v>0</v>
      </c>
      <c r="AE3460">
        <v>9</v>
      </c>
      <c r="AF3460" t="s">
        <v>138</v>
      </c>
      <c r="AG3460">
        <v>0</v>
      </c>
      <c r="AH3460">
        <v>3</v>
      </c>
      <c r="AI3460">
        <v>2</v>
      </c>
      <c r="AJ3460">
        <v>0</v>
      </c>
      <c r="AK3460" t="s">
        <v>1133</v>
      </c>
      <c r="AL3460">
        <v>39.145575000000001</v>
      </c>
      <c r="AM3460" t="s">
        <v>1084</v>
      </c>
      <c r="AN3460">
        <v>-121.03127000000001</v>
      </c>
      <c r="AO3460">
        <v>25</v>
      </c>
      <c r="AP3460">
        <v>4200</v>
      </c>
      <c r="AQ3460" t="s">
        <v>131</v>
      </c>
      <c r="AR3460">
        <v>0</v>
      </c>
      <c r="AS3460">
        <v>83</v>
      </c>
      <c r="AT3460">
        <v>-576</v>
      </c>
      <c r="BB3460" t="str">
        <f t="shared" si="1371"/>
        <v>1200</v>
      </c>
      <c r="BC3460">
        <v>1</v>
      </c>
      <c r="BD3460" t="str">
        <f t="shared" si="1372"/>
        <v xml:space="preserve">N52156  </v>
      </c>
      <c r="BE3460">
        <v>1</v>
      </c>
      <c r="BG3460">
        <v>0</v>
      </c>
      <c r="BH3460">
        <v>0</v>
      </c>
      <c r="BI3460">
        <v>0</v>
      </c>
      <c r="BJ3460">
        <v>4275</v>
      </c>
      <c r="BK3460">
        <v>75</v>
      </c>
      <c r="BL3460" t="s">
        <v>188</v>
      </c>
      <c r="BM3460">
        <v>1</v>
      </c>
      <c r="BN3460">
        <v>1</v>
      </c>
      <c r="BO3460">
        <v>0</v>
      </c>
      <c r="BP3460">
        <v>0</v>
      </c>
      <c r="BS3460">
        <v>0</v>
      </c>
      <c r="BT3460">
        <v>0</v>
      </c>
      <c r="BU3460">
        <v>0</v>
      </c>
      <c r="CE3460" t="str">
        <f t="shared" si="1373"/>
        <v>15:14:08.935</v>
      </c>
      <c r="CF3460">
        <v>934858417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3</v>
      </c>
      <c r="CY3460">
        <v>7</v>
      </c>
      <c r="CZ3460" t="s">
        <v>133</v>
      </c>
      <c r="DA3460">
        <v>273</v>
      </c>
      <c r="DB3460">
        <v>0</v>
      </c>
      <c r="DC3460" t="s">
        <v>292</v>
      </c>
      <c r="DD3460" t="s">
        <v>293</v>
      </c>
      <c r="DG3460">
        <v>4865608</v>
      </c>
      <c r="DI3460">
        <v>1</v>
      </c>
      <c r="DJ3460">
        <v>0</v>
      </c>
      <c r="DK3460">
        <v>1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3">
      <c r="A3461" t="str">
        <f>"05/01/2025 15:14:09.180"</f>
        <v>05/01/2025 15:14:09.180</v>
      </c>
      <c r="C3461" t="str">
        <f t="shared" si="1368"/>
        <v>FFDFD3C0</v>
      </c>
      <c r="D3461" t="s">
        <v>143</v>
      </c>
      <c r="E3461" t="str">
        <f>"05"</f>
        <v>05</v>
      </c>
      <c r="H3461">
        <v>172</v>
      </c>
      <c r="I3461" t="s">
        <v>141</v>
      </c>
      <c r="J3461" t="s">
        <v>144</v>
      </c>
      <c r="K3461">
        <v>0</v>
      </c>
      <c r="L3461">
        <v>3</v>
      </c>
      <c r="M3461">
        <v>0</v>
      </c>
      <c r="N3461">
        <v>2</v>
      </c>
      <c r="O3461">
        <v>0</v>
      </c>
      <c r="P3461">
        <v>1</v>
      </c>
      <c r="Q3461">
        <v>0</v>
      </c>
      <c r="R3461" t="s">
        <v>127</v>
      </c>
      <c r="S3461" t="str">
        <f t="shared" si="1369"/>
        <v>15:14:08.000</v>
      </c>
      <c r="T3461" t="str">
        <f t="shared" si="1369"/>
        <v>15:14:08.000</v>
      </c>
      <c r="U3461" t="str">
        <f t="shared" si="1370"/>
        <v>A68FCB</v>
      </c>
      <c r="V3461">
        <v>0</v>
      </c>
      <c r="W3461">
        <v>0</v>
      </c>
      <c r="X3461">
        <v>2</v>
      </c>
      <c r="Y3461">
        <v>0</v>
      </c>
      <c r="AA3461">
        <v>1</v>
      </c>
      <c r="AB3461">
        <v>8</v>
      </c>
      <c r="AC3461">
        <v>3</v>
      </c>
      <c r="AD3461">
        <v>0</v>
      </c>
      <c r="AE3461">
        <v>9</v>
      </c>
      <c r="AF3461" t="s">
        <v>138</v>
      </c>
      <c r="AG3461">
        <v>0</v>
      </c>
      <c r="AH3461">
        <v>3</v>
      </c>
      <c r="AI3461">
        <v>2</v>
      </c>
      <c r="AJ3461">
        <v>0</v>
      </c>
      <c r="AK3461" t="s">
        <v>1133</v>
      </c>
      <c r="AL3461">
        <v>39.145575000000001</v>
      </c>
      <c r="AM3461" t="s">
        <v>1084</v>
      </c>
      <c r="AN3461">
        <v>-121.03127000000001</v>
      </c>
      <c r="AO3461">
        <v>25</v>
      </c>
      <c r="AP3461">
        <v>4200</v>
      </c>
      <c r="AQ3461" t="s">
        <v>131</v>
      </c>
      <c r="AR3461">
        <v>0</v>
      </c>
      <c r="AS3461">
        <v>83</v>
      </c>
      <c r="AT3461">
        <v>-576</v>
      </c>
      <c r="BB3461" t="str">
        <f t="shared" si="1371"/>
        <v>1200</v>
      </c>
      <c r="BC3461">
        <v>1</v>
      </c>
      <c r="BD3461" t="str">
        <f t="shared" si="1372"/>
        <v xml:space="preserve">N52156  </v>
      </c>
      <c r="BE3461">
        <v>1</v>
      </c>
      <c r="BG3461">
        <v>0</v>
      </c>
      <c r="BH3461">
        <v>0</v>
      </c>
      <c r="BI3461">
        <v>0</v>
      </c>
      <c r="BJ3461">
        <v>4275</v>
      </c>
      <c r="BK3461">
        <v>75</v>
      </c>
      <c r="BL3461" t="s">
        <v>188</v>
      </c>
      <c r="BM3461">
        <v>1</v>
      </c>
      <c r="BN3461">
        <v>1</v>
      </c>
      <c r="BO3461">
        <v>0</v>
      </c>
      <c r="BP3461">
        <v>0</v>
      </c>
      <c r="BS3461">
        <v>0</v>
      </c>
      <c r="BT3461">
        <v>0</v>
      </c>
      <c r="BU3461">
        <v>0</v>
      </c>
      <c r="CE3461" t="str">
        <f t="shared" si="1373"/>
        <v>15:14:08.935</v>
      </c>
      <c r="CF3461">
        <v>934858417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3</v>
      </c>
      <c r="CY3461">
        <v>7</v>
      </c>
      <c r="CZ3461" t="s">
        <v>133</v>
      </c>
      <c r="DA3461">
        <v>273</v>
      </c>
      <c r="DB3461">
        <v>0</v>
      </c>
      <c r="DC3461" t="s">
        <v>292</v>
      </c>
      <c r="DD3461" t="s">
        <v>293</v>
      </c>
      <c r="DG3461">
        <v>4865608</v>
      </c>
      <c r="DI3461">
        <v>1</v>
      </c>
      <c r="DJ3461">
        <v>0</v>
      </c>
      <c r="DK3461">
        <v>1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3">
      <c r="A3462" t="str">
        <f>"05/01/2025 15:14:09.190"</f>
        <v>05/01/2025 15:14:09.190</v>
      </c>
      <c r="C3462" t="str">
        <f t="shared" si="1368"/>
        <v>FFDFD3C0</v>
      </c>
      <c r="D3462" t="s">
        <v>140</v>
      </c>
      <c r="E3462" t="str">
        <f>"13"</f>
        <v>13</v>
      </c>
      <c r="F3462">
        <v>1019</v>
      </c>
      <c r="G3462" t="s">
        <v>141</v>
      </c>
      <c r="J3462" t="s">
        <v>142</v>
      </c>
      <c r="K3462">
        <v>0</v>
      </c>
      <c r="L3462">
        <v>3</v>
      </c>
      <c r="M3462">
        <v>0</v>
      </c>
      <c r="N3462">
        <v>2</v>
      </c>
      <c r="O3462">
        <v>0</v>
      </c>
      <c r="P3462">
        <v>1</v>
      </c>
      <c r="Q3462">
        <v>0</v>
      </c>
      <c r="R3462" t="s">
        <v>127</v>
      </c>
      <c r="S3462" t="str">
        <f t="shared" si="1369"/>
        <v>15:14:08.000</v>
      </c>
      <c r="T3462" t="str">
        <f t="shared" si="1369"/>
        <v>15:14:08.000</v>
      </c>
      <c r="U3462" t="str">
        <f t="shared" si="1370"/>
        <v>A68FCB</v>
      </c>
      <c r="V3462">
        <v>0</v>
      </c>
      <c r="W3462">
        <v>0</v>
      </c>
      <c r="X3462">
        <v>2</v>
      </c>
      <c r="Y3462">
        <v>0</v>
      </c>
      <c r="AA3462">
        <v>1</v>
      </c>
      <c r="AB3462">
        <v>8</v>
      </c>
      <c r="AC3462">
        <v>3</v>
      </c>
      <c r="AD3462">
        <v>0</v>
      </c>
      <c r="AE3462">
        <v>9</v>
      </c>
      <c r="AF3462" t="s">
        <v>138</v>
      </c>
      <c r="AG3462">
        <v>0</v>
      </c>
      <c r="AH3462">
        <v>3</v>
      </c>
      <c r="AI3462">
        <v>2</v>
      </c>
      <c r="AJ3462">
        <v>0</v>
      </c>
      <c r="AK3462" t="s">
        <v>1133</v>
      </c>
      <c r="AL3462">
        <v>39.145575000000001</v>
      </c>
      <c r="AM3462" t="s">
        <v>1084</v>
      </c>
      <c r="AN3462">
        <v>-121.03127000000001</v>
      </c>
      <c r="AO3462">
        <v>25</v>
      </c>
      <c r="AP3462">
        <v>4200</v>
      </c>
      <c r="AQ3462" t="s">
        <v>131</v>
      </c>
      <c r="AR3462">
        <v>0</v>
      </c>
      <c r="AS3462">
        <v>83</v>
      </c>
      <c r="AT3462">
        <v>-576</v>
      </c>
      <c r="BB3462" t="str">
        <f t="shared" si="1371"/>
        <v>1200</v>
      </c>
      <c r="BC3462">
        <v>1</v>
      </c>
      <c r="BD3462" t="str">
        <f t="shared" si="1372"/>
        <v xml:space="preserve">N52156  </v>
      </c>
      <c r="BE3462">
        <v>1</v>
      </c>
      <c r="BG3462">
        <v>0</v>
      </c>
      <c r="BH3462">
        <v>0</v>
      </c>
      <c r="BI3462">
        <v>0</v>
      </c>
      <c r="BJ3462">
        <v>4275</v>
      </c>
      <c r="BK3462">
        <v>75</v>
      </c>
      <c r="BL3462" t="s">
        <v>188</v>
      </c>
      <c r="BM3462">
        <v>1</v>
      </c>
      <c r="BN3462">
        <v>1</v>
      </c>
      <c r="BO3462">
        <v>0</v>
      </c>
      <c r="BP3462">
        <v>0</v>
      </c>
      <c r="BS3462">
        <v>0</v>
      </c>
      <c r="BT3462">
        <v>0</v>
      </c>
      <c r="BU3462">
        <v>0</v>
      </c>
      <c r="CE3462" t="str">
        <f t="shared" si="1373"/>
        <v>15:14:08.935</v>
      </c>
      <c r="CF3462">
        <v>934858417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3</v>
      </c>
      <c r="CY3462">
        <v>7</v>
      </c>
      <c r="CZ3462" t="s">
        <v>133</v>
      </c>
      <c r="DA3462">
        <v>273</v>
      </c>
      <c r="DB3462">
        <v>0</v>
      </c>
      <c r="DC3462" t="s">
        <v>292</v>
      </c>
      <c r="DD3462" t="s">
        <v>293</v>
      </c>
      <c r="DG3462">
        <v>4865608</v>
      </c>
      <c r="DI3462">
        <v>1</v>
      </c>
      <c r="DJ3462">
        <v>0</v>
      </c>
      <c r="DK3462">
        <v>1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3">
      <c r="A3463" t="str">
        <f>"05/01/2025 15:14:09.190"</f>
        <v>05/01/2025 15:14:09.190</v>
      </c>
      <c r="C3463" t="str">
        <f t="shared" si="1368"/>
        <v>FFDFD3C0</v>
      </c>
      <c r="D3463" t="s">
        <v>124</v>
      </c>
      <c r="E3463" t="str">
        <f>"06"</f>
        <v>06</v>
      </c>
      <c r="F3463">
        <v>2006</v>
      </c>
      <c r="G3463" t="s">
        <v>125</v>
      </c>
      <c r="J3463" t="s">
        <v>126</v>
      </c>
      <c r="K3463">
        <v>0</v>
      </c>
      <c r="L3463">
        <v>3</v>
      </c>
      <c r="M3463">
        <v>0</v>
      </c>
      <c r="N3463">
        <v>2</v>
      </c>
      <c r="O3463">
        <v>0</v>
      </c>
      <c r="P3463">
        <v>1</v>
      </c>
      <c r="Q3463">
        <v>0</v>
      </c>
      <c r="R3463" t="s">
        <v>127</v>
      </c>
      <c r="S3463" t="str">
        <f t="shared" si="1369"/>
        <v>15:14:08.000</v>
      </c>
      <c r="T3463" t="str">
        <f t="shared" si="1369"/>
        <v>15:14:08.000</v>
      </c>
      <c r="U3463" t="str">
        <f t="shared" si="1370"/>
        <v>A68FCB</v>
      </c>
      <c r="V3463">
        <v>0</v>
      </c>
      <c r="W3463">
        <v>0</v>
      </c>
      <c r="X3463">
        <v>2</v>
      </c>
      <c r="Y3463">
        <v>0</v>
      </c>
      <c r="AA3463">
        <v>1</v>
      </c>
      <c r="AB3463">
        <v>8</v>
      </c>
      <c r="AC3463">
        <v>3</v>
      </c>
      <c r="AD3463">
        <v>0</v>
      </c>
      <c r="AE3463">
        <v>9</v>
      </c>
      <c r="AF3463" t="s">
        <v>138</v>
      </c>
      <c r="AG3463">
        <v>0</v>
      </c>
      <c r="AH3463">
        <v>3</v>
      </c>
      <c r="AI3463">
        <v>2</v>
      </c>
      <c r="AJ3463">
        <v>0</v>
      </c>
      <c r="AK3463" t="s">
        <v>1133</v>
      </c>
      <c r="AL3463">
        <v>39.145575000000001</v>
      </c>
      <c r="AM3463" t="s">
        <v>1084</v>
      </c>
      <c r="AN3463">
        <v>-121.03127000000001</v>
      </c>
      <c r="AO3463">
        <v>25</v>
      </c>
      <c r="AP3463">
        <v>4200</v>
      </c>
      <c r="AQ3463" t="s">
        <v>131</v>
      </c>
      <c r="AR3463">
        <v>0</v>
      </c>
      <c r="AS3463">
        <v>83</v>
      </c>
      <c r="AT3463">
        <v>-576</v>
      </c>
      <c r="BB3463" t="str">
        <f t="shared" si="1371"/>
        <v>1200</v>
      </c>
      <c r="BC3463">
        <v>1</v>
      </c>
      <c r="BD3463" t="str">
        <f t="shared" si="1372"/>
        <v xml:space="preserve">N52156  </v>
      </c>
      <c r="BE3463">
        <v>1</v>
      </c>
      <c r="BG3463">
        <v>0</v>
      </c>
      <c r="BH3463">
        <v>0</v>
      </c>
      <c r="BI3463">
        <v>0</v>
      </c>
      <c r="BJ3463">
        <v>4275</v>
      </c>
      <c r="BK3463">
        <v>75</v>
      </c>
      <c r="BL3463" t="s">
        <v>188</v>
      </c>
      <c r="BM3463">
        <v>1</v>
      </c>
      <c r="BN3463">
        <v>1</v>
      </c>
      <c r="BO3463">
        <v>0</v>
      </c>
      <c r="BP3463">
        <v>0</v>
      </c>
      <c r="BS3463">
        <v>0</v>
      </c>
      <c r="BT3463">
        <v>0</v>
      </c>
      <c r="BU3463">
        <v>0</v>
      </c>
      <c r="CE3463" t="str">
        <f t="shared" si="1373"/>
        <v>15:14:08.935</v>
      </c>
      <c r="CF3463">
        <v>934858417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3</v>
      </c>
      <c r="CY3463">
        <v>7</v>
      </c>
      <c r="CZ3463" t="s">
        <v>133</v>
      </c>
      <c r="DA3463">
        <v>273</v>
      </c>
      <c r="DB3463">
        <v>0</v>
      </c>
      <c r="DC3463" t="s">
        <v>292</v>
      </c>
      <c r="DD3463" t="s">
        <v>293</v>
      </c>
      <c r="DG3463">
        <v>4865608</v>
      </c>
      <c r="DI3463">
        <v>1</v>
      </c>
      <c r="DJ3463">
        <v>0</v>
      </c>
      <c r="DK3463">
        <v>1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3">
      <c r="A3464" t="str">
        <f>"05/01/2025 15:14:09.891"</f>
        <v>05/01/2025 15:14:09.891</v>
      </c>
      <c r="C3464" t="str">
        <f t="shared" si="1368"/>
        <v>FFDFD3C0</v>
      </c>
      <c r="D3464" t="s">
        <v>140</v>
      </c>
      <c r="E3464" t="str">
        <f>"13"</f>
        <v>13</v>
      </c>
      <c r="F3464">
        <v>1019</v>
      </c>
      <c r="G3464" t="s">
        <v>141</v>
      </c>
      <c r="J3464" t="s">
        <v>142</v>
      </c>
      <c r="K3464">
        <v>0</v>
      </c>
      <c r="L3464">
        <v>3</v>
      </c>
      <c r="M3464">
        <v>0</v>
      </c>
      <c r="N3464">
        <v>2</v>
      </c>
      <c r="O3464">
        <v>0</v>
      </c>
      <c r="P3464">
        <v>1</v>
      </c>
      <c r="Q3464">
        <v>0</v>
      </c>
      <c r="R3464" t="s">
        <v>127</v>
      </c>
      <c r="S3464" t="str">
        <f t="shared" ref="S3464:T3469" si="1374">"15:14:09.000"</f>
        <v>15:14:09.000</v>
      </c>
      <c r="T3464" t="str">
        <f t="shared" si="1374"/>
        <v>15:14:09.000</v>
      </c>
      <c r="U3464" t="str">
        <f t="shared" si="1370"/>
        <v>A68FCB</v>
      </c>
      <c r="V3464">
        <v>0</v>
      </c>
      <c r="W3464">
        <v>0</v>
      </c>
      <c r="X3464">
        <v>2</v>
      </c>
      <c r="Y3464">
        <v>0</v>
      </c>
      <c r="AA3464">
        <v>1</v>
      </c>
      <c r="AB3464">
        <v>8</v>
      </c>
      <c r="AC3464">
        <v>3</v>
      </c>
      <c r="AD3464">
        <v>0</v>
      </c>
      <c r="AE3464">
        <v>9</v>
      </c>
      <c r="AF3464" t="s">
        <v>138</v>
      </c>
      <c r="AG3464">
        <v>0</v>
      </c>
      <c r="AH3464">
        <v>3</v>
      </c>
      <c r="AI3464">
        <v>2</v>
      </c>
      <c r="AJ3464">
        <v>0</v>
      </c>
      <c r="AK3464" t="s">
        <v>1134</v>
      </c>
      <c r="AL3464">
        <v>39.145961</v>
      </c>
      <c r="AM3464" t="s">
        <v>1084</v>
      </c>
      <c r="AN3464">
        <v>-121.03127000000001</v>
      </c>
      <c r="AO3464">
        <v>25</v>
      </c>
      <c r="AP3464">
        <v>4200</v>
      </c>
      <c r="AQ3464" t="s">
        <v>131</v>
      </c>
      <c r="AR3464">
        <v>0</v>
      </c>
      <c r="AS3464">
        <v>82</v>
      </c>
      <c r="AT3464">
        <v>-576</v>
      </c>
      <c r="BB3464" t="str">
        <f t="shared" si="1371"/>
        <v>1200</v>
      </c>
      <c r="BC3464">
        <v>1</v>
      </c>
      <c r="BD3464" t="str">
        <f t="shared" si="1372"/>
        <v xml:space="preserve">N52156  </v>
      </c>
      <c r="BE3464">
        <v>1</v>
      </c>
      <c r="BG3464">
        <v>0</v>
      </c>
      <c r="BH3464">
        <v>0</v>
      </c>
      <c r="BI3464">
        <v>0</v>
      </c>
      <c r="BJ3464">
        <v>4275</v>
      </c>
      <c r="BK3464">
        <v>75</v>
      </c>
      <c r="BL3464" t="s">
        <v>188</v>
      </c>
      <c r="BM3464">
        <v>1</v>
      </c>
      <c r="BN3464">
        <v>1</v>
      </c>
      <c r="BO3464">
        <v>0</v>
      </c>
      <c r="BP3464">
        <v>0</v>
      </c>
      <c r="BS3464">
        <v>0</v>
      </c>
      <c r="BT3464">
        <v>0</v>
      </c>
      <c r="BU3464">
        <v>0</v>
      </c>
      <c r="CE3464" t="str">
        <f t="shared" ref="CE3464:CE3469" si="1375">"15:14:09.690"</f>
        <v>15:14:09.690</v>
      </c>
      <c r="CF3464">
        <v>690357772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3</v>
      </c>
      <c r="CY3464">
        <v>7</v>
      </c>
      <c r="CZ3464" t="s">
        <v>133</v>
      </c>
      <c r="DA3464">
        <v>273</v>
      </c>
      <c r="DB3464">
        <v>0</v>
      </c>
      <c r="DC3464" t="s">
        <v>292</v>
      </c>
      <c r="DD3464" t="s">
        <v>293</v>
      </c>
      <c r="DG3464">
        <v>4865618</v>
      </c>
      <c r="DI3464">
        <v>1</v>
      </c>
      <c r="DJ3464">
        <v>0</v>
      </c>
      <c r="DK3464">
        <v>0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3">
      <c r="A3465" t="str">
        <f>"05/01/2025 15:14:09.892"</f>
        <v>05/01/2025 15:14:09.892</v>
      </c>
      <c r="C3465" t="str">
        <f t="shared" si="1368"/>
        <v>FFDFD3C0</v>
      </c>
      <c r="D3465" t="s">
        <v>124</v>
      </c>
      <c r="E3465" t="str">
        <f>"06"</f>
        <v>06</v>
      </c>
      <c r="F3465">
        <v>2006</v>
      </c>
      <c r="G3465" t="s">
        <v>125</v>
      </c>
      <c r="J3465" t="s">
        <v>126</v>
      </c>
      <c r="K3465">
        <v>0</v>
      </c>
      <c r="L3465">
        <v>3</v>
      </c>
      <c r="M3465">
        <v>0</v>
      </c>
      <c r="N3465">
        <v>2</v>
      </c>
      <c r="O3465">
        <v>0</v>
      </c>
      <c r="P3465">
        <v>1</v>
      </c>
      <c r="Q3465">
        <v>0</v>
      </c>
      <c r="R3465" t="s">
        <v>127</v>
      </c>
      <c r="S3465" t="str">
        <f t="shared" si="1374"/>
        <v>15:14:09.000</v>
      </c>
      <c r="T3465" t="str">
        <f t="shared" si="1374"/>
        <v>15:14:09.000</v>
      </c>
      <c r="U3465" t="str">
        <f t="shared" si="1370"/>
        <v>A68FCB</v>
      </c>
      <c r="V3465">
        <v>0</v>
      </c>
      <c r="W3465">
        <v>0</v>
      </c>
      <c r="X3465">
        <v>2</v>
      </c>
      <c r="Y3465">
        <v>0</v>
      </c>
      <c r="AA3465">
        <v>1</v>
      </c>
      <c r="AB3465">
        <v>8</v>
      </c>
      <c r="AC3465">
        <v>3</v>
      </c>
      <c r="AD3465">
        <v>0</v>
      </c>
      <c r="AE3465">
        <v>9</v>
      </c>
      <c r="AF3465" t="s">
        <v>138</v>
      </c>
      <c r="AG3465">
        <v>0</v>
      </c>
      <c r="AH3465">
        <v>3</v>
      </c>
      <c r="AI3465">
        <v>2</v>
      </c>
      <c r="AJ3465">
        <v>0</v>
      </c>
      <c r="AK3465" t="s">
        <v>1134</v>
      </c>
      <c r="AL3465">
        <v>39.145961</v>
      </c>
      <c r="AM3465" t="s">
        <v>1084</v>
      </c>
      <c r="AN3465">
        <v>-121.03127000000001</v>
      </c>
      <c r="AO3465">
        <v>25</v>
      </c>
      <c r="AP3465">
        <v>4200</v>
      </c>
      <c r="AQ3465" t="s">
        <v>131</v>
      </c>
      <c r="AR3465">
        <v>0</v>
      </c>
      <c r="AS3465">
        <v>82</v>
      </c>
      <c r="AT3465">
        <v>-576</v>
      </c>
      <c r="BB3465" t="str">
        <f t="shared" si="1371"/>
        <v>1200</v>
      </c>
      <c r="BC3465">
        <v>1</v>
      </c>
      <c r="BD3465" t="str">
        <f t="shared" si="1372"/>
        <v xml:space="preserve">N52156  </v>
      </c>
      <c r="BE3465">
        <v>1</v>
      </c>
      <c r="BG3465">
        <v>0</v>
      </c>
      <c r="BH3465">
        <v>0</v>
      </c>
      <c r="BI3465">
        <v>0</v>
      </c>
      <c r="BJ3465">
        <v>4275</v>
      </c>
      <c r="BK3465">
        <v>75</v>
      </c>
      <c r="BL3465" t="s">
        <v>188</v>
      </c>
      <c r="BM3465">
        <v>1</v>
      </c>
      <c r="BN3465">
        <v>1</v>
      </c>
      <c r="BO3465">
        <v>0</v>
      </c>
      <c r="BP3465">
        <v>0</v>
      </c>
      <c r="BS3465">
        <v>0</v>
      </c>
      <c r="BT3465">
        <v>0</v>
      </c>
      <c r="BU3465">
        <v>0</v>
      </c>
      <c r="CE3465" t="str">
        <f t="shared" si="1375"/>
        <v>15:14:09.690</v>
      </c>
      <c r="CF3465">
        <v>690357772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3</v>
      </c>
      <c r="CY3465">
        <v>7</v>
      </c>
      <c r="CZ3465" t="s">
        <v>133</v>
      </c>
      <c r="DA3465">
        <v>273</v>
      </c>
      <c r="DB3465">
        <v>0</v>
      </c>
      <c r="DC3465" t="s">
        <v>292</v>
      </c>
      <c r="DD3465" t="s">
        <v>293</v>
      </c>
      <c r="DG3465">
        <v>4865618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3">
      <c r="A3466" t="str">
        <f>"05/01/2025 15:14:09.903"</f>
        <v>05/01/2025 15:14:09.903</v>
      </c>
      <c r="C3466" t="str">
        <f t="shared" si="1368"/>
        <v>FFDFD3C0</v>
      </c>
      <c r="D3466" t="s">
        <v>145</v>
      </c>
      <c r="E3466" t="str">
        <f>"09"</f>
        <v>09</v>
      </c>
      <c r="H3466">
        <v>51</v>
      </c>
      <c r="I3466" t="s">
        <v>147</v>
      </c>
      <c r="J3466" t="s">
        <v>138</v>
      </c>
      <c r="K3466">
        <v>0</v>
      </c>
      <c r="L3466">
        <v>3</v>
      </c>
      <c r="M3466">
        <v>0</v>
      </c>
      <c r="N3466">
        <v>2</v>
      </c>
      <c r="O3466">
        <v>0</v>
      </c>
      <c r="P3466">
        <v>1</v>
      </c>
      <c r="Q3466">
        <v>0</v>
      </c>
      <c r="R3466" t="s">
        <v>127</v>
      </c>
      <c r="S3466" t="str">
        <f t="shared" si="1374"/>
        <v>15:14:09.000</v>
      </c>
      <c r="T3466" t="str">
        <f t="shared" si="1374"/>
        <v>15:14:09.000</v>
      </c>
      <c r="U3466" t="str">
        <f t="shared" si="1370"/>
        <v>A68FCB</v>
      </c>
      <c r="V3466">
        <v>0</v>
      </c>
      <c r="W3466">
        <v>0</v>
      </c>
      <c r="X3466">
        <v>2</v>
      </c>
      <c r="Y3466">
        <v>0</v>
      </c>
      <c r="AA3466">
        <v>1</v>
      </c>
      <c r="AB3466">
        <v>8</v>
      </c>
      <c r="AC3466">
        <v>3</v>
      </c>
      <c r="AD3466">
        <v>0</v>
      </c>
      <c r="AE3466">
        <v>9</v>
      </c>
      <c r="AF3466" t="s">
        <v>138</v>
      </c>
      <c r="AG3466">
        <v>0</v>
      </c>
      <c r="AH3466">
        <v>3</v>
      </c>
      <c r="AI3466">
        <v>2</v>
      </c>
      <c r="AJ3466">
        <v>0</v>
      </c>
      <c r="AK3466" t="s">
        <v>1134</v>
      </c>
      <c r="AL3466">
        <v>39.145961</v>
      </c>
      <c r="AM3466" t="s">
        <v>1084</v>
      </c>
      <c r="AN3466">
        <v>-121.03127000000001</v>
      </c>
      <c r="AO3466">
        <v>25</v>
      </c>
      <c r="AP3466">
        <v>4200</v>
      </c>
      <c r="AQ3466" t="s">
        <v>131</v>
      </c>
      <c r="AR3466">
        <v>0</v>
      </c>
      <c r="AS3466">
        <v>82</v>
      </c>
      <c r="AT3466">
        <v>-576</v>
      </c>
      <c r="BB3466" t="str">
        <f t="shared" si="1371"/>
        <v>1200</v>
      </c>
      <c r="BC3466">
        <v>1</v>
      </c>
      <c r="BD3466" t="str">
        <f t="shared" si="1372"/>
        <v xml:space="preserve">N52156  </v>
      </c>
      <c r="BE3466">
        <v>1</v>
      </c>
      <c r="BG3466">
        <v>0</v>
      </c>
      <c r="BH3466">
        <v>0</v>
      </c>
      <c r="BI3466">
        <v>0</v>
      </c>
      <c r="BJ3466">
        <v>4275</v>
      </c>
      <c r="BK3466">
        <v>75</v>
      </c>
      <c r="BL3466" t="s">
        <v>188</v>
      </c>
      <c r="BM3466">
        <v>1</v>
      </c>
      <c r="BN3466">
        <v>1</v>
      </c>
      <c r="BO3466">
        <v>0</v>
      </c>
      <c r="BP3466">
        <v>0</v>
      </c>
      <c r="BS3466">
        <v>0</v>
      </c>
      <c r="BT3466">
        <v>0</v>
      </c>
      <c r="BU3466">
        <v>0</v>
      </c>
      <c r="CE3466" t="str">
        <f t="shared" si="1375"/>
        <v>15:14:09.690</v>
      </c>
      <c r="CF3466">
        <v>690357772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3</v>
      </c>
      <c r="CY3466">
        <v>7</v>
      </c>
      <c r="CZ3466" t="s">
        <v>133</v>
      </c>
      <c r="DA3466">
        <v>273</v>
      </c>
      <c r="DB3466">
        <v>0</v>
      </c>
      <c r="DC3466" t="s">
        <v>292</v>
      </c>
      <c r="DD3466" t="s">
        <v>293</v>
      </c>
      <c r="DG3466">
        <v>4865618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3">
      <c r="A3467" t="str">
        <f>"05/01/2025 15:14:09.906"</f>
        <v>05/01/2025 15:14:09.906</v>
      </c>
      <c r="C3467" t="str">
        <f t="shared" si="1368"/>
        <v>FFDFD3C0</v>
      </c>
      <c r="D3467" t="s">
        <v>145</v>
      </c>
      <c r="E3467" t="str">
        <f>"05"</f>
        <v>05</v>
      </c>
      <c r="H3467">
        <v>47</v>
      </c>
      <c r="I3467" t="s">
        <v>146</v>
      </c>
      <c r="J3467" t="s">
        <v>138</v>
      </c>
      <c r="K3467">
        <v>0</v>
      </c>
      <c r="L3467">
        <v>3</v>
      </c>
      <c r="M3467">
        <v>0</v>
      </c>
      <c r="N3467">
        <v>2</v>
      </c>
      <c r="O3467">
        <v>0</v>
      </c>
      <c r="P3467">
        <v>1</v>
      </c>
      <c r="Q3467">
        <v>0</v>
      </c>
      <c r="R3467" t="s">
        <v>127</v>
      </c>
      <c r="S3467" t="str">
        <f t="shared" si="1374"/>
        <v>15:14:09.000</v>
      </c>
      <c r="T3467" t="str">
        <f t="shared" si="1374"/>
        <v>15:14:09.000</v>
      </c>
      <c r="U3467" t="str">
        <f t="shared" si="1370"/>
        <v>A68FCB</v>
      </c>
      <c r="V3467">
        <v>0</v>
      </c>
      <c r="W3467">
        <v>0</v>
      </c>
      <c r="X3467">
        <v>2</v>
      </c>
      <c r="Y3467">
        <v>0</v>
      </c>
      <c r="AA3467">
        <v>1</v>
      </c>
      <c r="AB3467">
        <v>8</v>
      </c>
      <c r="AC3467">
        <v>3</v>
      </c>
      <c r="AD3467">
        <v>0</v>
      </c>
      <c r="AE3467">
        <v>9</v>
      </c>
      <c r="AF3467" t="s">
        <v>138</v>
      </c>
      <c r="AG3467">
        <v>0</v>
      </c>
      <c r="AH3467">
        <v>3</v>
      </c>
      <c r="AI3467">
        <v>2</v>
      </c>
      <c r="AJ3467">
        <v>0</v>
      </c>
      <c r="AK3467" t="s">
        <v>1134</v>
      </c>
      <c r="AL3467">
        <v>39.145961</v>
      </c>
      <c r="AM3467" t="s">
        <v>1084</v>
      </c>
      <c r="AN3467">
        <v>-121.03127000000001</v>
      </c>
      <c r="AO3467">
        <v>25</v>
      </c>
      <c r="AP3467">
        <v>4200</v>
      </c>
      <c r="AQ3467" t="s">
        <v>131</v>
      </c>
      <c r="AR3467">
        <v>0</v>
      </c>
      <c r="AS3467">
        <v>82</v>
      </c>
      <c r="AT3467">
        <v>-576</v>
      </c>
      <c r="BB3467" t="str">
        <f t="shared" si="1371"/>
        <v>1200</v>
      </c>
      <c r="BC3467">
        <v>1</v>
      </c>
      <c r="BD3467" t="str">
        <f t="shared" si="1372"/>
        <v xml:space="preserve">N52156  </v>
      </c>
      <c r="BE3467">
        <v>1</v>
      </c>
      <c r="BG3467">
        <v>0</v>
      </c>
      <c r="BH3467">
        <v>0</v>
      </c>
      <c r="BI3467">
        <v>0</v>
      </c>
      <c r="BJ3467">
        <v>4275</v>
      </c>
      <c r="BK3467">
        <v>75</v>
      </c>
      <c r="BL3467" t="s">
        <v>188</v>
      </c>
      <c r="BM3467">
        <v>1</v>
      </c>
      <c r="BN3467">
        <v>1</v>
      </c>
      <c r="BO3467">
        <v>0</v>
      </c>
      <c r="BP3467">
        <v>0</v>
      </c>
      <c r="BS3467">
        <v>0</v>
      </c>
      <c r="BT3467">
        <v>0</v>
      </c>
      <c r="BU3467">
        <v>0</v>
      </c>
      <c r="CE3467" t="str">
        <f t="shared" si="1375"/>
        <v>15:14:09.690</v>
      </c>
      <c r="CF3467">
        <v>690357772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3</v>
      </c>
      <c r="CY3467">
        <v>7</v>
      </c>
      <c r="CZ3467" t="s">
        <v>133</v>
      </c>
      <c r="DA3467">
        <v>273</v>
      </c>
      <c r="DB3467">
        <v>0</v>
      </c>
      <c r="DC3467" t="s">
        <v>292</v>
      </c>
      <c r="DD3467" t="s">
        <v>293</v>
      </c>
      <c r="DG3467">
        <v>4865618</v>
      </c>
      <c r="DI3467">
        <v>1</v>
      </c>
      <c r="DJ3467">
        <v>0</v>
      </c>
      <c r="DK3467">
        <v>1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3">
      <c r="A3468" t="str">
        <f>"05/01/2025 15:14:09.918"</f>
        <v>05/01/2025 15:14:09.918</v>
      </c>
      <c r="C3468" t="str">
        <f t="shared" si="1368"/>
        <v>FFDFD3C0</v>
      </c>
      <c r="D3468" t="s">
        <v>136</v>
      </c>
      <c r="E3468" t="str">
        <f>"20"</f>
        <v>20</v>
      </c>
      <c r="H3468">
        <v>400</v>
      </c>
      <c r="I3468" t="s">
        <v>137</v>
      </c>
      <c r="J3468" t="s">
        <v>138</v>
      </c>
      <c r="K3468">
        <v>0</v>
      </c>
      <c r="L3468">
        <v>3</v>
      </c>
      <c r="M3468">
        <v>0</v>
      </c>
      <c r="N3468">
        <v>2</v>
      </c>
      <c r="O3468">
        <v>0</v>
      </c>
      <c r="P3468">
        <v>1</v>
      </c>
      <c r="Q3468">
        <v>0</v>
      </c>
      <c r="R3468" t="s">
        <v>127</v>
      </c>
      <c r="S3468" t="str">
        <f t="shared" si="1374"/>
        <v>15:14:09.000</v>
      </c>
      <c r="T3468" t="str">
        <f t="shared" si="1374"/>
        <v>15:14:09.000</v>
      </c>
      <c r="U3468" t="str">
        <f t="shared" si="1370"/>
        <v>A68FCB</v>
      </c>
      <c r="V3468">
        <v>0</v>
      </c>
      <c r="W3468">
        <v>0</v>
      </c>
      <c r="X3468">
        <v>2</v>
      </c>
      <c r="Y3468">
        <v>0</v>
      </c>
      <c r="AA3468">
        <v>1</v>
      </c>
      <c r="AB3468">
        <v>8</v>
      </c>
      <c r="AC3468">
        <v>3</v>
      </c>
      <c r="AD3468">
        <v>0</v>
      </c>
      <c r="AE3468">
        <v>9</v>
      </c>
      <c r="AF3468" t="s">
        <v>138</v>
      </c>
      <c r="AG3468">
        <v>0</v>
      </c>
      <c r="AH3468">
        <v>3</v>
      </c>
      <c r="AI3468">
        <v>2</v>
      </c>
      <c r="AJ3468">
        <v>0</v>
      </c>
      <c r="AK3468" t="s">
        <v>1134</v>
      </c>
      <c r="AL3468">
        <v>39.145961</v>
      </c>
      <c r="AM3468" t="s">
        <v>1084</v>
      </c>
      <c r="AN3468">
        <v>-121.03127000000001</v>
      </c>
      <c r="AO3468">
        <v>25</v>
      </c>
      <c r="AP3468">
        <v>4200</v>
      </c>
      <c r="AQ3468" t="s">
        <v>131</v>
      </c>
      <c r="AR3468">
        <v>0</v>
      </c>
      <c r="AS3468">
        <v>82</v>
      </c>
      <c r="AT3468">
        <v>-576</v>
      </c>
      <c r="BB3468" t="str">
        <f t="shared" si="1371"/>
        <v>1200</v>
      </c>
      <c r="BC3468">
        <v>1</v>
      </c>
      <c r="BD3468" t="str">
        <f t="shared" si="1372"/>
        <v xml:space="preserve">N52156  </v>
      </c>
      <c r="BE3468">
        <v>1</v>
      </c>
      <c r="BG3468">
        <v>0</v>
      </c>
      <c r="BH3468">
        <v>0</v>
      </c>
      <c r="BI3468">
        <v>0</v>
      </c>
      <c r="BJ3468">
        <v>4275</v>
      </c>
      <c r="BK3468">
        <v>75</v>
      </c>
      <c r="BL3468" t="s">
        <v>188</v>
      </c>
      <c r="BM3468">
        <v>1</v>
      </c>
      <c r="BN3468">
        <v>1</v>
      </c>
      <c r="BO3468">
        <v>0</v>
      </c>
      <c r="BP3468">
        <v>0</v>
      </c>
      <c r="BS3468">
        <v>0</v>
      </c>
      <c r="BT3468">
        <v>0</v>
      </c>
      <c r="BU3468">
        <v>0</v>
      </c>
      <c r="CE3468" t="str">
        <f t="shared" si="1375"/>
        <v>15:14:09.690</v>
      </c>
      <c r="CF3468">
        <v>690357772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3</v>
      </c>
      <c r="CY3468">
        <v>7</v>
      </c>
      <c r="CZ3468" t="s">
        <v>133</v>
      </c>
      <c r="DA3468">
        <v>273</v>
      </c>
      <c r="DB3468">
        <v>0</v>
      </c>
      <c r="DC3468" t="s">
        <v>292</v>
      </c>
      <c r="DD3468" t="s">
        <v>293</v>
      </c>
      <c r="DG3468">
        <v>4865618</v>
      </c>
      <c r="DI3468">
        <v>1</v>
      </c>
      <c r="DJ3468">
        <v>0</v>
      </c>
      <c r="DK3468">
        <v>1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3">
      <c r="A3469" t="str">
        <f>"05/01/2025 15:14:09.931"</f>
        <v>05/01/2025 15:14:09.931</v>
      </c>
      <c r="C3469" t="str">
        <f t="shared" si="1368"/>
        <v>FFDFD3C0</v>
      </c>
      <c r="D3469" t="s">
        <v>143</v>
      </c>
      <c r="E3469" t="str">
        <f>"05"</f>
        <v>05</v>
      </c>
      <c r="H3469">
        <v>172</v>
      </c>
      <c r="I3469" t="s">
        <v>141</v>
      </c>
      <c r="J3469" t="s">
        <v>144</v>
      </c>
      <c r="K3469">
        <v>0</v>
      </c>
      <c r="L3469">
        <v>3</v>
      </c>
      <c r="M3469">
        <v>0</v>
      </c>
      <c r="N3469">
        <v>2</v>
      </c>
      <c r="O3469">
        <v>0</v>
      </c>
      <c r="P3469">
        <v>1</v>
      </c>
      <c r="Q3469">
        <v>0</v>
      </c>
      <c r="R3469" t="s">
        <v>127</v>
      </c>
      <c r="S3469" t="str">
        <f t="shared" si="1374"/>
        <v>15:14:09.000</v>
      </c>
      <c r="T3469" t="str">
        <f t="shared" si="1374"/>
        <v>15:14:09.000</v>
      </c>
      <c r="U3469" t="str">
        <f t="shared" si="1370"/>
        <v>A68FCB</v>
      </c>
      <c r="V3469">
        <v>0</v>
      </c>
      <c r="W3469">
        <v>0</v>
      </c>
      <c r="X3469">
        <v>2</v>
      </c>
      <c r="Y3469">
        <v>0</v>
      </c>
      <c r="AA3469">
        <v>1</v>
      </c>
      <c r="AB3469">
        <v>8</v>
      </c>
      <c r="AC3469">
        <v>3</v>
      </c>
      <c r="AD3469">
        <v>0</v>
      </c>
      <c r="AE3469">
        <v>9</v>
      </c>
      <c r="AF3469" t="s">
        <v>138</v>
      </c>
      <c r="AG3469">
        <v>0</v>
      </c>
      <c r="AH3469">
        <v>3</v>
      </c>
      <c r="AI3469">
        <v>2</v>
      </c>
      <c r="AJ3469">
        <v>0</v>
      </c>
      <c r="AK3469" t="s">
        <v>1134</v>
      </c>
      <c r="AL3469">
        <v>39.145961</v>
      </c>
      <c r="AM3469" t="s">
        <v>1084</v>
      </c>
      <c r="AN3469">
        <v>-121.03127000000001</v>
      </c>
      <c r="AO3469">
        <v>25</v>
      </c>
      <c r="AP3469">
        <v>4200</v>
      </c>
      <c r="AQ3469" t="s">
        <v>131</v>
      </c>
      <c r="AR3469">
        <v>0</v>
      </c>
      <c r="AS3469">
        <v>82</v>
      </c>
      <c r="AT3469">
        <v>-576</v>
      </c>
      <c r="BB3469" t="str">
        <f t="shared" si="1371"/>
        <v>1200</v>
      </c>
      <c r="BC3469">
        <v>1</v>
      </c>
      <c r="BD3469" t="str">
        <f t="shared" si="1372"/>
        <v xml:space="preserve">N52156  </v>
      </c>
      <c r="BE3469">
        <v>1</v>
      </c>
      <c r="BG3469">
        <v>0</v>
      </c>
      <c r="BH3469">
        <v>0</v>
      </c>
      <c r="BI3469">
        <v>0</v>
      </c>
      <c r="BJ3469">
        <v>4275</v>
      </c>
      <c r="BK3469">
        <v>75</v>
      </c>
      <c r="BL3469" t="s">
        <v>188</v>
      </c>
      <c r="BM3469">
        <v>1</v>
      </c>
      <c r="BN3469">
        <v>1</v>
      </c>
      <c r="BO3469">
        <v>0</v>
      </c>
      <c r="BP3469">
        <v>0</v>
      </c>
      <c r="BS3469">
        <v>0</v>
      </c>
      <c r="BT3469">
        <v>0</v>
      </c>
      <c r="BU3469">
        <v>0</v>
      </c>
      <c r="CE3469" t="str">
        <f t="shared" si="1375"/>
        <v>15:14:09.690</v>
      </c>
      <c r="CF3469">
        <v>690357772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3</v>
      </c>
      <c r="CY3469">
        <v>7</v>
      </c>
      <c r="CZ3469" t="s">
        <v>133</v>
      </c>
      <c r="DA3469">
        <v>273</v>
      </c>
      <c r="DB3469">
        <v>0</v>
      </c>
      <c r="DC3469" t="s">
        <v>292</v>
      </c>
      <c r="DD3469" t="s">
        <v>293</v>
      </c>
      <c r="DG3469">
        <v>4865618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3">
      <c r="A3470" t="str">
        <f>"05/01/2025 15:14:10.504"</f>
        <v>05/01/2025 15:14:10.504</v>
      </c>
      <c r="C3470" t="str">
        <f t="shared" si="1368"/>
        <v>FFDFD3C0</v>
      </c>
      <c r="D3470" t="s">
        <v>145</v>
      </c>
      <c r="E3470" t="str">
        <f>"09"</f>
        <v>09</v>
      </c>
      <c r="H3470">
        <v>51</v>
      </c>
      <c r="I3470" t="s">
        <v>147</v>
      </c>
      <c r="J3470" t="s">
        <v>138</v>
      </c>
      <c r="K3470">
        <v>0</v>
      </c>
      <c r="L3470">
        <v>3</v>
      </c>
      <c r="M3470">
        <v>0</v>
      </c>
      <c r="N3470">
        <v>2</v>
      </c>
      <c r="O3470">
        <v>0</v>
      </c>
      <c r="P3470">
        <v>1</v>
      </c>
      <c r="Q3470">
        <v>0</v>
      </c>
      <c r="R3470" t="s">
        <v>127</v>
      </c>
      <c r="S3470" t="str">
        <f t="shared" ref="S3470:T3475" si="1376">"15:14:10.000"</f>
        <v>15:14:10.000</v>
      </c>
      <c r="T3470" t="str">
        <f t="shared" si="1376"/>
        <v>15:14:10.000</v>
      </c>
      <c r="U3470" t="str">
        <f t="shared" si="1370"/>
        <v>A68FCB</v>
      </c>
      <c r="V3470">
        <v>0</v>
      </c>
      <c r="W3470">
        <v>0</v>
      </c>
      <c r="X3470">
        <v>2</v>
      </c>
      <c r="Y3470">
        <v>0</v>
      </c>
      <c r="AA3470">
        <v>1</v>
      </c>
      <c r="AB3470">
        <v>8</v>
      </c>
      <c r="AC3470">
        <v>3</v>
      </c>
      <c r="AD3470">
        <v>0</v>
      </c>
      <c r="AE3470">
        <v>9</v>
      </c>
      <c r="AF3470" t="s">
        <v>138</v>
      </c>
      <c r="AG3470">
        <v>0</v>
      </c>
      <c r="AH3470">
        <v>3</v>
      </c>
      <c r="AI3470">
        <v>2</v>
      </c>
      <c r="AJ3470">
        <v>0</v>
      </c>
      <c r="AK3470" t="s">
        <v>1135</v>
      </c>
      <c r="AL3470">
        <v>39.146326000000002</v>
      </c>
      <c r="AM3470" t="s">
        <v>1131</v>
      </c>
      <c r="AN3470">
        <v>-121.031291</v>
      </c>
      <c r="AO3470">
        <v>25</v>
      </c>
      <c r="AP3470">
        <v>4200</v>
      </c>
      <c r="AQ3470" t="s">
        <v>131</v>
      </c>
      <c r="AR3470">
        <v>0</v>
      </c>
      <c r="AS3470">
        <v>82</v>
      </c>
      <c r="AT3470">
        <v>-640</v>
      </c>
      <c r="BB3470" t="str">
        <f t="shared" si="1371"/>
        <v>1200</v>
      </c>
      <c r="BC3470">
        <v>1</v>
      </c>
      <c r="BD3470" t="str">
        <f t="shared" si="1372"/>
        <v xml:space="preserve">N52156  </v>
      </c>
      <c r="BE3470">
        <v>1</v>
      </c>
      <c r="BG3470">
        <v>0</v>
      </c>
      <c r="BH3470">
        <v>0</v>
      </c>
      <c r="BI3470">
        <v>0</v>
      </c>
      <c r="BJ3470">
        <v>4250</v>
      </c>
      <c r="BK3470">
        <v>50</v>
      </c>
      <c r="BL3470" t="s">
        <v>188</v>
      </c>
      <c r="BM3470">
        <v>1</v>
      </c>
      <c r="BN3470">
        <v>1</v>
      </c>
      <c r="BO3470">
        <v>0</v>
      </c>
      <c r="BP3470">
        <v>0</v>
      </c>
      <c r="BS3470">
        <v>0</v>
      </c>
      <c r="BT3470">
        <v>0</v>
      </c>
      <c r="BU3470">
        <v>0</v>
      </c>
      <c r="CE3470" t="str">
        <f t="shared" ref="CE3470:CE3475" si="1377">"15:14:10.298"</f>
        <v>15:14:10.298</v>
      </c>
      <c r="CF3470">
        <v>298106755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3</v>
      </c>
      <c r="CY3470">
        <v>7</v>
      </c>
      <c r="CZ3470" t="s">
        <v>133</v>
      </c>
      <c r="DA3470">
        <v>273</v>
      </c>
      <c r="DB3470">
        <v>0</v>
      </c>
      <c r="DC3470" t="s">
        <v>292</v>
      </c>
      <c r="DD3470" t="s">
        <v>293</v>
      </c>
      <c r="DG3470">
        <v>4865624</v>
      </c>
      <c r="DI3470">
        <v>1</v>
      </c>
      <c r="DJ3470">
        <v>0</v>
      </c>
      <c r="DK3470">
        <v>0</v>
      </c>
      <c r="DL3470">
        <v>0</v>
      </c>
      <c r="DM3470">
        <v>0</v>
      </c>
      <c r="DN3470">
        <v>0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3">
      <c r="A3471" t="str">
        <f>"05/01/2025 15:14:10.507"</f>
        <v>05/01/2025 15:14:10.507</v>
      </c>
      <c r="C3471" t="str">
        <f t="shared" si="1368"/>
        <v>FFDFD3C0</v>
      </c>
      <c r="D3471" t="s">
        <v>145</v>
      </c>
      <c r="E3471" t="str">
        <f>"05"</f>
        <v>05</v>
      </c>
      <c r="H3471">
        <v>47</v>
      </c>
      <c r="I3471" t="s">
        <v>146</v>
      </c>
      <c r="J3471" t="s">
        <v>138</v>
      </c>
      <c r="K3471">
        <v>0</v>
      </c>
      <c r="L3471">
        <v>3</v>
      </c>
      <c r="M3471">
        <v>0</v>
      </c>
      <c r="N3471">
        <v>2</v>
      </c>
      <c r="O3471">
        <v>0</v>
      </c>
      <c r="P3471">
        <v>1</v>
      </c>
      <c r="Q3471">
        <v>0</v>
      </c>
      <c r="R3471" t="s">
        <v>127</v>
      </c>
      <c r="S3471" t="str">
        <f t="shared" si="1376"/>
        <v>15:14:10.000</v>
      </c>
      <c r="T3471" t="str">
        <f t="shared" si="1376"/>
        <v>15:14:10.000</v>
      </c>
      <c r="U3471" t="str">
        <f t="shared" si="1370"/>
        <v>A68FCB</v>
      </c>
      <c r="V3471">
        <v>0</v>
      </c>
      <c r="W3471">
        <v>0</v>
      </c>
      <c r="X3471">
        <v>2</v>
      </c>
      <c r="Y3471">
        <v>0</v>
      </c>
      <c r="AA3471">
        <v>1</v>
      </c>
      <c r="AB3471">
        <v>8</v>
      </c>
      <c r="AC3471">
        <v>3</v>
      </c>
      <c r="AD3471">
        <v>0</v>
      </c>
      <c r="AE3471">
        <v>9</v>
      </c>
      <c r="AF3471" t="s">
        <v>138</v>
      </c>
      <c r="AG3471">
        <v>0</v>
      </c>
      <c r="AH3471">
        <v>3</v>
      </c>
      <c r="AI3471">
        <v>2</v>
      </c>
      <c r="AJ3471">
        <v>0</v>
      </c>
      <c r="AK3471" t="s">
        <v>1135</v>
      </c>
      <c r="AL3471">
        <v>39.146326000000002</v>
      </c>
      <c r="AM3471" t="s">
        <v>1131</v>
      </c>
      <c r="AN3471">
        <v>-121.031291</v>
      </c>
      <c r="AO3471">
        <v>25</v>
      </c>
      <c r="AP3471">
        <v>4200</v>
      </c>
      <c r="AQ3471" t="s">
        <v>131</v>
      </c>
      <c r="AR3471">
        <v>0</v>
      </c>
      <c r="AS3471">
        <v>82</v>
      </c>
      <c r="AT3471">
        <v>-640</v>
      </c>
      <c r="BB3471" t="str">
        <f t="shared" si="1371"/>
        <v>1200</v>
      </c>
      <c r="BC3471">
        <v>1</v>
      </c>
      <c r="BD3471" t="str">
        <f t="shared" si="1372"/>
        <v xml:space="preserve">N52156  </v>
      </c>
      <c r="BE3471">
        <v>1</v>
      </c>
      <c r="BG3471">
        <v>0</v>
      </c>
      <c r="BH3471">
        <v>0</v>
      </c>
      <c r="BI3471">
        <v>0</v>
      </c>
      <c r="BJ3471">
        <v>4250</v>
      </c>
      <c r="BK3471">
        <v>50</v>
      </c>
      <c r="BL3471" t="s">
        <v>188</v>
      </c>
      <c r="BM3471">
        <v>1</v>
      </c>
      <c r="BN3471">
        <v>1</v>
      </c>
      <c r="BO3471">
        <v>0</v>
      </c>
      <c r="BP3471">
        <v>0</v>
      </c>
      <c r="BS3471">
        <v>0</v>
      </c>
      <c r="BT3471">
        <v>0</v>
      </c>
      <c r="BU3471">
        <v>0</v>
      </c>
      <c r="CE3471" t="str">
        <f t="shared" si="1377"/>
        <v>15:14:10.298</v>
      </c>
      <c r="CF3471">
        <v>298106755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3</v>
      </c>
      <c r="CY3471">
        <v>7</v>
      </c>
      <c r="CZ3471" t="s">
        <v>133</v>
      </c>
      <c r="DA3471">
        <v>273</v>
      </c>
      <c r="DB3471">
        <v>0</v>
      </c>
      <c r="DC3471" t="s">
        <v>292</v>
      </c>
      <c r="DD3471" t="s">
        <v>293</v>
      </c>
      <c r="DG3471">
        <v>4865624</v>
      </c>
      <c r="DI3471">
        <v>1</v>
      </c>
      <c r="DJ3471">
        <v>0</v>
      </c>
      <c r="DK3471">
        <v>1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3">
      <c r="A3472" t="str">
        <f>"05/01/2025 15:14:10.519"</f>
        <v>05/01/2025 15:14:10.519</v>
      </c>
      <c r="C3472" t="str">
        <f t="shared" si="1368"/>
        <v>FFDFD3C0</v>
      </c>
      <c r="D3472" t="s">
        <v>136</v>
      </c>
      <c r="E3472" t="str">
        <f>"20"</f>
        <v>20</v>
      </c>
      <c r="H3472">
        <v>400</v>
      </c>
      <c r="I3472" t="s">
        <v>137</v>
      </c>
      <c r="J3472" t="s">
        <v>138</v>
      </c>
      <c r="K3472">
        <v>0</v>
      </c>
      <c r="L3472">
        <v>3</v>
      </c>
      <c r="M3472">
        <v>0</v>
      </c>
      <c r="N3472">
        <v>2</v>
      </c>
      <c r="O3472">
        <v>0</v>
      </c>
      <c r="P3472">
        <v>1</v>
      </c>
      <c r="Q3472">
        <v>0</v>
      </c>
      <c r="R3472" t="s">
        <v>127</v>
      </c>
      <c r="S3472" t="str">
        <f t="shared" si="1376"/>
        <v>15:14:10.000</v>
      </c>
      <c r="T3472" t="str">
        <f t="shared" si="1376"/>
        <v>15:14:10.000</v>
      </c>
      <c r="U3472" t="str">
        <f t="shared" si="1370"/>
        <v>A68FCB</v>
      </c>
      <c r="V3472">
        <v>0</v>
      </c>
      <c r="W3472">
        <v>0</v>
      </c>
      <c r="X3472">
        <v>2</v>
      </c>
      <c r="Y3472">
        <v>0</v>
      </c>
      <c r="AA3472">
        <v>1</v>
      </c>
      <c r="AB3472">
        <v>8</v>
      </c>
      <c r="AC3472">
        <v>3</v>
      </c>
      <c r="AD3472">
        <v>0</v>
      </c>
      <c r="AE3472">
        <v>9</v>
      </c>
      <c r="AF3472" t="s">
        <v>138</v>
      </c>
      <c r="AG3472">
        <v>0</v>
      </c>
      <c r="AH3472">
        <v>3</v>
      </c>
      <c r="AI3472">
        <v>2</v>
      </c>
      <c r="AJ3472">
        <v>0</v>
      </c>
      <c r="AK3472" t="s">
        <v>1135</v>
      </c>
      <c r="AL3472">
        <v>39.146326000000002</v>
      </c>
      <c r="AM3472" t="s">
        <v>1131</v>
      </c>
      <c r="AN3472">
        <v>-121.031291</v>
      </c>
      <c r="AO3472">
        <v>25</v>
      </c>
      <c r="AP3472">
        <v>4200</v>
      </c>
      <c r="AQ3472" t="s">
        <v>131</v>
      </c>
      <c r="AR3472">
        <v>0</v>
      </c>
      <c r="AS3472">
        <v>82</v>
      </c>
      <c r="AT3472">
        <v>-640</v>
      </c>
      <c r="BB3472" t="str">
        <f t="shared" si="1371"/>
        <v>1200</v>
      </c>
      <c r="BC3472">
        <v>1</v>
      </c>
      <c r="BD3472" t="str">
        <f t="shared" si="1372"/>
        <v xml:space="preserve">N52156  </v>
      </c>
      <c r="BE3472">
        <v>1</v>
      </c>
      <c r="BG3472">
        <v>0</v>
      </c>
      <c r="BH3472">
        <v>0</v>
      </c>
      <c r="BI3472">
        <v>0</v>
      </c>
      <c r="BJ3472">
        <v>4250</v>
      </c>
      <c r="BK3472">
        <v>50</v>
      </c>
      <c r="BL3472" t="s">
        <v>188</v>
      </c>
      <c r="BM3472">
        <v>1</v>
      </c>
      <c r="BN3472">
        <v>1</v>
      </c>
      <c r="BO3472">
        <v>0</v>
      </c>
      <c r="BP3472">
        <v>0</v>
      </c>
      <c r="BS3472">
        <v>0</v>
      </c>
      <c r="BT3472">
        <v>0</v>
      </c>
      <c r="BU3472">
        <v>0</v>
      </c>
      <c r="CE3472" t="str">
        <f t="shared" si="1377"/>
        <v>15:14:10.298</v>
      </c>
      <c r="CF3472">
        <v>298106755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3</v>
      </c>
      <c r="CY3472">
        <v>7</v>
      </c>
      <c r="CZ3472" t="s">
        <v>133</v>
      </c>
      <c r="DA3472">
        <v>273</v>
      </c>
      <c r="DB3472">
        <v>0</v>
      </c>
      <c r="DC3472" t="s">
        <v>292</v>
      </c>
      <c r="DD3472" t="s">
        <v>293</v>
      </c>
      <c r="DG3472">
        <v>4865624</v>
      </c>
      <c r="DI3472">
        <v>1</v>
      </c>
      <c r="DJ3472">
        <v>0</v>
      </c>
      <c r="DK3472">
        <v>1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3">
      <c r="A3473" t="str">
        <f>"05/01/2025 15:14:10.532"</f>
        <v>05/01/2025 15:14:10.532</v>
      </c>
      <c r="C3473" t="str">
        <f t="shared" si="1368"/>
        <v>FFDFD3C0</v>
      </c>
      <c r="D3473" t="s">
        <v>143</v>
      </c>
      <c r="E3473" t="str">
        <f>"05"</f>
        <v>05</v>
      </c>
      <c r="H3473">
        <v>172</v>
      </c>
      <c r="I3473" t="s">
        <v>141</v>
      </c>
      <c r="J3473" t="s">
        <v>144</v>
      </c>
      <c r="K3473">
        <v>0</v>
      </c>
      <c r="L3473">
        <v>3</v>
      </c>
      <c r="M3473">
        <v>0</v>
      </c>
      <c r="N3473">
        <v>2</v>
      </c>
      <c r="O3473">
        <v>0</v>
      </c>
      <c r="P3473">
        <v>1</v>
      </c>
      <c r="Q3473">
        <v>0</v>
      </c>
      <c r="R3473" t="s">
        <v>127</v>
      </c>
      <c r="S3473" t="str">
        <f t="shared" si="1376"/>
        <v>15:14:10.000</v>
      </c>
      <c r="T3473" t="str">
        <f t="shared" si="1376"/>
        <v>15:14:10.000</v>
      </c>
      <c r="U3473" t="str">
        <f t="shared" si="1370"/>
        <v>A68FCB</v>
      </c>
      <c r="V3473">
        <v>0</v>
      </c>
      <c r="W3473">
        <v>0</v>
      </c>
      <c r="X3473">
        <v>2</v>
      </c>
      <c r="Y3473">
        <v>0</v>
      </c>
      <c r="AA3473">
        <v>1</v>
      </c>
      <c r="AB3473">
        <v>8</v>
      </c>
      <c r="AC3473">
        <v>3</v>
      </c>
      <c r="AD3473">
        <v>0</v>
      </c>
      <c r="AE3473">
        <v>9</v>
      </c>
      <c r="AF3473" t="s">
        <v>138</v>
      </c>
      <c r="AG3473">
        <v>0</v>
      </c>
      <c r="AH3473">
        <v>3</v>
      </c>
      <c r="AI3473">
        <v>2</v>
      </c>
      <c r="AJ3473">
        <v>0</v>
      </c>
      <c r="AK3473" t="s">
        <v>1135</v>
      </c>
      <c r="AL3473">
        <v>39.146326000000002</v>
      </c>
      <c r="AM3473" t="s">
        <v>1131</v>
      </c>
      <c r="AN3473">
        <v>-121.031291</v>
      </c>
      <c r="AO3473">
        <v>25</v>
      </c>
      <c r="AP3473">
        <v>4200</v>
      </c>
      <c r="AQ3473" t="s">
        <v>131</v>
      </c>
      <c r="AR3473">
        <v>0</v>
      </c>
      <c r="AS3473">
        <v>82</v>
      </c>
      <c r="AT3473">
        <v>-640</v>
      </c>
      <c r="BB3473" t="str">
        <f t="shared" si="1371"/>
        <v>1200</v>
      </c>
      <c r="BC3473">
        <v>1</v>
      </c>
      <c r="BD3473" t="str">
        <f t="shared" si="1372"/>
        <v xml:space="preserve">N52156  </v>
      </c>
      <c r="BE3473">
        <v>1</v>
      </c>
      <c r="BG3473">
        <v>0</v>
      </c>
      <c r="BH3473">
        <v>0</v>
      </c>
      <c r="BI3473">
        <v>0</v>
      </c>
      <c r="BJ3473">
        <v>4250</v>
      </c>
      <c r="BK3473">
        <v>50</v>
      </c>
      <c r="BL3473" t="s">
        <v>188</v>
      </c>
      <c r="BM3473">
        <v>1</v>
      </c>
      <c r="BN3473">
        <v>1</v>
      </c>
      <c r="BO3473">
        <v>0</v>
      </c>
      <c r="BP3473">
        <v>0</v>
      </c>
      <c r="BS3473">
        <v>0</v>
      </c>
      <c r="BT3473">
        <v>0</v>
      </c>
      <c r="BU3473">
        <v>0</v>
      </c>
      <c r="CE3473" t="str">
        <f t="shared" si="1377"/>
        <v>15:14:10.298</v>
      </c>
      <c r="CF3473">
        <v>298106755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3</v>
      </c>
      <c r="CY3473">
        <v>7</v>
      </c>
      <c r="CZ3473" t="s">
        <v>133</v>
      </c>
      <c r="DA3473">
        <v>273</v>
      </c>
      <c r="DB3473">
        <v>0</v>
      </c>
      <c r="DC3473" t="s">
        <v>292</v>
      </c>
      <c r="DD3473" t="s">
        <v>293</v>
      </c>
      <c r="DG3473">
        <v>4865624</v>
      </c>
      <c r="DI3473">
        <v>1</v>
      </c>
      <c r="DJ3473">
        <v>0</v>
      </c>
      <c r="DK3473">
        <v>1</v>
      </c>
      <c r="DL3473">
        <v>0</v>
      </c>
      <c r="DM3473">
        <v>0</v>
      </c>
      <c r="DN3473">
        <v>0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3">
      <c r="A3474" t="str">
        <f>"05/01/2025 15:14:10.542"</f>
        <v>05/01/2025 15:14:10.542</v>
      </c>
      <c r="C3474" t="str">
        <f t="shared" si="1368"/>
        <v>FFDFD3C0</v>
      </c>
      <c r="D3474" t="s">
        <v>140</v>
      </c>
      <c r="E3474" t="str">
        <f>"13"</f>
        <v>13</v>
      </c>
      <c r="F3474">
        <v>1019</v>
      </c>
      <c r="G3474" t="s">
        <v>141</v>
      </c>
      <c r="J3474" t="s">
        <v>142</v>
      </c>
      <c r="K3474">
        <v>0</v>
      </c>
      <c r="L3474">
        <v>3</v>
      </c>
      <c r="M3474">
        <v>0</v>
      </c>
      <c r="N3474">
        <v>2</v>
      </c>
      <c r="O3474">
        <v>0</v>
      </c>
      <c r="P3474">
        <v>1</v>
      </c>
      <c r="Q3474">
        <v>0</v>
      </c>
      <c r="R3474" t="s">
        <v>127</v>
      </c>
      <c r="S3474" t="str">
        <f t="shared" si="1376"/>
        <v>15:14:10.000</v>
      </c>
      <c r="T3474" t="str">
        <f t="shared" si="1376"/>
        <v>15:14:10.000</v>
      </c>
      <c r="U3474" t="str">
        <f t="shared" si="1370"/>
        <v>A68FCB</v>
      </c>
      <c r="V3474">
        <v>0</v>
      </c>
      <c r="W3474">
        <v>0</v>
      </c>
      <c r="X3474">
        <v>2</v>
      </c>
      <c r="Y3474">
        <v>0</v>
      </c>
      <c r="AA3474">
        <v>1</v>
      </c>
      <c r="AB3474">
        <v>8</v>
      </c>
      <c r="AC3474">
        <v>3</v>
      </c>
      <c r="AD3474">
        <v>0</v>
      </c>
      <c r="AE3474">
        <v>9</v>
      </c>
      <c r="AF3474" t="s">
        <v>138</v>
      </c>
      <c r="AG3474">
        <v>0</v>
      </c>
      <c r="AH3474">
        <v>3</v>
      </c>
      <c r="AI3474">
        <v>2</v>
      </c>
      <c r="AJ3474">
        <v>0</v>
      </c>
      <c r="AK3474" t="s">
        <v>1135</v>
      </c>
      <c r="AL3474">
        <v>39.146326000000002</v>
      </c>
      <c r="AM3474" t="s">
        <v>1131</v>
      </c>
      <c r="AN3474">
        <v>-121.031291</v>
      </c>
      <c r="AO3474">
        <v>25</v>
      </c>
      <c r="AP3474">
        <v>4200</v>
      </c>
      <c r="AQ3474" t="s">
        <v>131</v>
      </c>
      <c r="AR3474">
        <v>0</v>
      </c>
      <c r="AS3474">
        <v>82</v>
      </c>
      <c r="AT3474">
        <v>-640</v>
      </c>
      <c r="BB3474" t="str">
        <f t="shared" si="1371"/>
        <v>1200</v>
      </c>
      <c r="BC3474">
        <v>1</v>
      </c>
      <c r="BD3474" t="str">
        <f t="shared" si="1372"/>
        <v xml:space="preserve">N52156  </v>
      </c>
      <c r="BE3474">
        <v>1</v>
      </c>
      <c r="BG3474">
        <v>0</v>
      </c>
      <c r="BH3474">
        <v>0</v>
      </c>
      <c r="BI3474">
        <v>0</v>
      </c>
      <c r="BJ3474">
        <v>4250</v>
      </c>
      <c r="BK3474">
        <v>50</v>
      </c>
      <c r="BL3474" t="s">
        <v>188</v>
      </c>
      <c r="BM3474">
        <v>1</v>
      </c>
      <c r="BN3474">
        <v>1</v>
      </c>
      <c r="BO3474">
        <v>0</v>
      </c>
      <c r="BP3474">
        <v>0</v>
      </c>
      <c r="BS3474">
        <v>0</v>
      </c>
      <c r="BT3474">
        <v>0</v>
      </c>
      <c r="BU3474">
        <v>0</v>
      </c>
      <c r="CE3474" t="str">
        <f t="shared" si="1377"/>
        <v>15:14:10.298</v>
      </c>
      <c r="CF3474">
        <v>298106755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3</v>
      </c>
      <c r="CY3474">
        <v>7</v>
      </c>
      <c r="CZ3474" t="s">
        <v>133</v>
      </c>
      <c r="DA3474">
        <v>273</v>
      </c>
      <c r="DB3474">
        <v>0</v>
      </c>
      <c r="DC3474" t="s">
        <v>292</v>
      </c>
      <c r="DD3474" t="s">
        <v>293</v>
      </c>
      <c r="DG3474">
        <v>4865624</v>
      </c>
      <c r="DI3474">
        <v>1</v>
      </c>
      <c r="DJ3474">
        <v>0</v>
      </c>
      <c r="DK3474">
        <v>1</v>
      </c>
      <c r="DL3474">
        <v>0</v>
      </c>
      <c r="DM3474">
        <v>0</v>
      </c>
      <c r="DN3474">
        <v>0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3">
      <c r="A3475" t="str">
        <f>"05/01/2025 15:14:10.543"</f>
        <v>05/01/2025 15:14:10.543</v>
      </c>
      <c r="C3475" t="str">
        <f t="shared" si="1368"/>
        <v>FFDFD3C0</v>
      </c>
      <c r="D3475" t="s">
        <v>124</v>
      </c>
      <c r="E3475" t="str">
        <f>"06"</f>
        <v>06</v>
      </c>
      <c r="F3475">
        <v>2006</v>
      </c>
      <c r="G3475" t="s">
        <v>125</v>
      </c>
      <c r="J3475" t="s">
        <v>126</v>
      </c>
      <c r="K3475">
        <v>0</v>
      </c>
      <c r="L3475">
        <v>3</v>
      </c>
      <c r="M3475">
        <v>0</v>
      </c>
      <c r="N3475">
        <v>2</v>
      </c>
      <c r="O3475">
        <v>0</v>
      </c>
      <c r="P3475">
        <v>1</v>
      </c>
      <c r="Q3475">
        <v>0</v>
      </c>
      <c r="R3475" t="s">
        <v>127</v>
      </c>
      <c r="S3475" t="str">
        <f t="shared" si="1376"/>
        <v>15:14:10.000</v>
      </c>
      <c r="T3475" t="str">
        <f t="shared" si="1376"/>
        <v>15:14:10.000</v>
      </c>
      <c r="U3475" t="str">
        <f t="shared" si="1370"/>
        <v>A68FCB</v>
      </c>
      <c r="V3475">
        <v>0</v>
      </c>
      <c r="W3475">
        <v>0</v>
      </c>
      <c r="X3475">
        <v>2</v>
      </c>
      <c r="Y3475">
        <v>0</v>
      </c>
      <c r="AA3475">
        <v>1</v>
      </c>
      <c r="AB3475">
        <v>8</v>
      </c>
      <c r="AC3475">
        <v>3</v>
      </c>
      <c r="AD3475">
        <v>0</v>
      </c>
      <c r="AE3475">
        <v>9</v>
      </c>
      <c r="AF3475" t="s">
        <v>138</v>
      </c>
      <c r="AG3475">
        <v>0</v>
      </c>
      <c r="AH3475">
        <v>3</v>
      </c>
      <c r="AI3475">
        <v>2</v>
      </c>
      <c r="AJ3475">
        <v>0</v>
      </c>
      <c r="AK3475" t="s">
        <v>1135</v>
      </c>
      <c r="AL3475">
        <v>39.146326000000002</v>
      </c>
      <c r="AM3475" t="s">
        <v>1131</v>
      </c>
      <c r="AN3475">
        <v>-121.031291</v>
      </c>
      <c r="AO3475">
        <v>25</v>
      </c>
      <c r="AP3475">
        <v>4200</v>
      </c>
      <c r="AQ3475" t="s">
        <v>131</v>
      </c>
      <c r="AR3475">
        <v>0</v>
      </c>
      <c r="AS3475">
        <v>82</v>
      </c>
      <c r="AT3475">
        <v>-640</v>
      </c>
      <c r="BB3475" t="str">
        <f t="shared" si="1371"/>
        <v>1200</v>
      </c>
      <c r="BC3475">
        <v>1</v>
      </c>
      <c r="BD3475" t="str">
        <f t="shared" si="1372"/>
        <v xml:space="preserve">N52156  </v>
      </c>
      <c r="BE3475">
        <v>1</v>
      </c>
      <c r="BG3475">
        <v>0</v>
      </c>
      <c r="BH3475">
        <v>0</v>
      </c>
      <c r="BI3475">
        <v>0</v>
      </c>
      <c r="BJ3475">
        <v>4250</v>
      </c>
      <c r="BK3475">
        <v>50</v>
      </c>
      <c r="BL3475" t="s">
        <v>188</v>
      </c>
      <c r="BM3475">
        <v>1</v>
      </c>
      <c r="BN3475">
        <v>1</v>
      </c>
      <c r="BO3475">
        <v>0</v>
      </c>
      <c r="BP3475">
        <v>0</v>
      </c>
      <c r="BS3475">
        <v>0</v>
      </c>
      <c r="BT3475">
        <v>0</v>
      </c>
      <c r="BU3475">
        <v>0</v>
      </c>
      <c r="CE3475" t="str">
        <f t="shared" si="1377"/>
        <v>15:14:10.298</v>
      </c>
      <c r="CF3475">
        <v>298106755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3</v>
      </c>
      <c r="CY3475">
        <v>7</v>
      </c>
      <c r="CZ3475" t="s">
        <v>133</v>
      </c>
      <c r="DA3475">
        <v>273</v>
      </c>
      <c r="DB3475">
        <v>0</v>
      </c>
      <c r="DC3475" t="s">
        <v>292</v>
      </c>
      <c r="DD3475" t="s">
        <v>293</v>
      </c>
      <c r="DG3475">
        <v>4865624</v>
      </c>
      <c r="DI3475">
        <v>1</v>
      </c>
      <c r="DJ3475">
        <v>0</v>
      </c>
      <c r="DK3475">
        <v>1</v>
      </c>
      <c r="DL3475">
        <v>0</v>
      </c>
      <c r="DM3475">
        <v>0</v>
      </c>
      <c r="DN3475">
        <v>0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3">
      <c r="A3476" t="str">
        <f>"05/01/2025 15:14:11.455"</f>
        <v>05/01/2025 15:14:11.455</v>
      </c>
      <c r="C3476" t="str">
        <f t="shared" si="1368"/>
        <v>FFDFD3C0</v>
      </c>
      <c r="D3476" t="s">
        <v>145</v>
      </c>
      <c r="E3476" t="str">
        <f>"09"</f>
        <v>09</v>
      </c>
      <c r="H3476">
        <v>51</v>
      </c>
      <c r="I3476" t="s">
        <v>147</v>
      </c>
      <c r="J3476" t="s">
        <v>138</v>
      </c>
      <c r="K3476">
        <v>0</v>
      </c>
      <c r="L3476">
        <v>3</v>
      </c>
      <c r="M3476">
        <v>0</v>
      </c>
      <c r="N3476">
        <v>2</v>
      </c>
      <c r="O3476">
        <v>0</v>
      </c>
      <c r="P3476">
        <v>1</v>
      </c>
      <c r="Q3476">
        <v>0</v>
      </c>
      <c r="R3476" t="s">
        <v>127</v>
      </c>
      <c r="S3476" t="str">
        <f t="shared" ref="S3476:T3481" si="1378">"15:14:11.000"</f>
        <v>15:14:11.000</v>
      </c>
      <c r="T3476" t="str">
        <f t="shared" si="1378"/>
        <v>15:14:11.000</v>
      </c>
      <c r="U3476" t="str">
        <f t="shared" si="1370"/>
        <v>A68FCB</v>
      </c>
      <c r="V3476">
        <v>0</v>
      </c>
      <c r="W3476">
        <v>0</v>
      </c>
      <c r="X3476">
        <v>2</v>
      </c>
      <c r="Y3476">
        <v>0</v>
      </c>
      <c r="AA3476">
        <v>1</v>
      </c>
      <c r="AB3476">
        <v>8</v>
      </c>
      <c r="AC3476">
        <v>3</v>
      </c>
      <c r="AD3476">
        <v>0</v>
      </c>
      <c r="AE3476">
        <v>9</v>
      </c>
      <c r="AF3476" t="s">
        <v>138</v>
      </c>
      <c r="AG3476">
        <v>0</v>
      </c>
      <c r="AH3476">
        <v>3</v>
      </c>
      <c r="AI3476">
        <v>2</v>
      </c>
      <c r="AJ3476">
        <v>0</v>
      </c>
      <c r="AK3476" t="s">
        <v>1136</v>
      </c>
      <c r="AL3476">
        <v>39.146712000000001</v>
      </c>
      <c r="AM3476" t="s">
        <v>1131</v>
      </c>
      <c r="AN3476">
        <v>-121.031291</v>
      </c>
      <c r="AO3476">
        <v>25</v>
      </c>
      <c r="AP3476">
        <v>4200</v>
      </c>
      <c r="AQ3476" t="s">
        <v>131</v>
      </c>
      <c r="AR3476">
        <v>0</v>
      </c>
      <c r="AS3476">
        <v>83</v>
      </c>
      <c r="AT3476">
        <v>-640</v>
      </c>
      <c r="BB3476" t="str">
        <f t="shared" si="1371"/>
        <v>1200</v>
      </c>
      <c r="BC3476">
        <v>1</v>
      </c>
      <c r="BD3476" t="str">
        <f t="shared" si="1372"/>
        <v xml:space="preserve">N52156  </v>
      </c>
      <c r="BE3476">
        <v>1</v>
      </c>
      <c r="BG3476">
        <v>0</v>
      </c>
      <c r="BH3476">
        <v>0</v>
      </c>
      <c r="BI3476">
        <v>0</v>
      </c>
      <c r="BJ3476">
        <v>4250</v>
      </c>
      <c r="BK3476">
        <v>50</v>
      </c>
      <c r="BL3476" t="s">
        <v>188</v>
      </c>
      <c r="BM3476">
        <v>1</v>
      </c>
      <c r="BN3476">
        <v>1</v>
      </c>
      <c r="BO3476">
        <v>0</v>
      </c>
      <c r="BP3476">
        <v>0</v>
      </c>
      <c r="BS3476">
        <v>0</v>
      </c>
      <c r="BT3476">
        <v>0</v>
      </c>
      <c r="BU3476">
        <v>0</v>
      </c>
      <c r="CE3476" t="str">
        <f t="shared" ref="CE3476:CE3481" si="1379">"15:14:11.253"</f>
        <v>15:14:11.253</v>
      </c>
      <c r="CF3476">
        <v>253356584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3</v>
      </c>
      <c r="CY3476">
        <v>7</v>
      </c>
      <c r="CZ3476" t="s">
        <v>133</v>
      </c>
      <c r="DA3476">
        <v>273</v>
      </c>
      <c r="DB3476">
        <v>0</v>
      </c>
      <c r="DC3476" t="s">
        <v>292</v>
      </c>
      <c r="DD3476" t="s">
        <v>293</v>
      </c>
      <c r="DG3476">
        <v>4865633</v>
      </c>
      <c r="DI3476">
        <v>1</v>
      </c>
      <c r="DJ3476">
        <v>0</v>
      </c>
      <c r="DK3476">
        <v>0</v>
      </c>
      <c r="DL3476">
        <v>0</v>
      </c>
      <c r="DM3476">
        <v>0</v>
      </c>
      <c r="DN3476">
        <v>0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3">
      <c r="A3477" t="str">
        <f>"05/01/2025 15:14:11.459"</f>
        <v>05/01/2025 15:14:11.459</v>
      </c>
      <c r="C3477" t="str">
        <f t="shared" si="1368"/>
        <v>FFDFD3C0</v>
      </c>
      <c r="D3477" t="s">
        <v>145</v>
      </c>
      <c r="E3477" t="str">
        <f>"05"</f>
        <v>05</v>
      </c>
      <c r="H3477">
        <v>47</v>
      </c>
      <c r="I3477" t="s">
        <v>146</v>
      </c>
      <c r="J3477" t="s">
        <v>138</v>
      </c>
      <c r="K3477">
        <v>0</v>
      </c>
      <c r="L3477">
        <v>3</v>
      </c>
      <c r="M3477">
        <v>0</v>
      </c>
      <c r="N3477">
        <v>2</v>
      </c>
      <c r="O3477">
        <v>0</v>
      </c>
      <c r="P3477">
        <v>1</v>
      </c>
      <c r="Q3477">
        <v>0</v>
      </c>
      <c r="R3477" t="s">
        <v>127</v>
      </c>
      <c r="S3477" t="str">
        <f t="shared" si="1378"/>
        <v>15:14:11.000</v>
      </c>
      <c r="T3477" t="str">
        <f t="shared" si="1378"/>
        <v>15:14:11.000</v>
      </c>
      <c r="U3477" t="str">
        <f t="shared" si="1370"/>
        <v>A68FCB</v>
      </c>
      <c r="V3477">
        <v>0</v>
      </c>
      <c r="W3477">
        <v>0</v>
      </c>
      <c r="X3477">
        <v>2</v>
      </c>
      <c r="Y3477">
        <v>0</v>
      </c>
      <c r="AA3477">
        <v>1</v>
      </c>
      <c r="AB3477">
        <v>8</v>
      </c>
      <c r="AC3477">
        <v>3</v>
      </c>
      <c r="AD3477">
        <v>0</v>
      </c>
      <c r="AE3477">
        <v>9</v>
      </c>
      <c r="AF3477" t="s">
        <v>138</v>
      </c>
      <c r="AG3477">
        <v>0</v>
      </c>
      <c r="AH3477">
        <v>3</v>
      </c>
      <c r="AI3477">
        <v>2</v>
      </c>
      <c r="AJ3477">
        <v>0</v>
      </c>
      <c r="AK3477" t="s">
        <v>1136</v>
      </c>
      <c r="AL3477">
        <v>39.146712000000001</v>
      </c>
      <c r="AM3477" t="s">
        <v>1131</v>
      </c>
      <c r="AN3477">
        <v>-121.031291</v>
      </c>
      <c r="AO3477">
        <v>25</v>
      </c>
      <c r="AP3477">
        <v>4200</v>
      </c>
      <c r="AQ3477" t="s">
        <v>131</v>
      </c>
      <c r="AR3477">
        <v>0</v>
      </c>
      <c r="AS3477">
        <v>83</v>
      </c>
      <c r="AT3477">
        <v>-640</v>
      </c>
      <c r="BB3477" t="str">
        <f t="shared" si="1371"/>
        <v>1200</v>
      </c>
      <c r="BC3477">
        <v>1</v>
      </c>
      <c r="BD3477" t="str">
        <f t="shared" si="1372"/>
        <v xml:space="preserve">N52156  </v>
      </c>
      <c r="BE3477">
        <v>1</v>
      </c>
      <c r="BG3477">
        <v>0</v>
      </c>
      <c r="BH3477">
        <v>0</v>
      </c>
      <c r="BI3477">
        <v>0</v>
      </c>
      <c r="BJ3477">
        <v>4250</v>
      </c>
      <c r="BK3477">
        <v>50</v>
      </c>
      <c r="BL3477" t="s">
        <v>188</v>
      </c>
      <c r="BM3477">
        <v>1</v>
      </c>
      <c r="BN3477">
        <v>1</v>
      </c>
      <c r="BO3477">
        <v>0</v>
      </c>
      <c r="BP3477">
        <v>0</v>
      </c>
      <c r="BS3477">
        <v>0</v>
      </c>
      <c r="BT3477">
        <v>0</v>
      </c>
      <c r="BU3477">
        <v>0</v>
      </c>
      <c r="CE3477" t="str">
        <f t="shared" si="1379"/>
        <v>15:14:11.253</v>
      </c>
      <c r="CF3477">
        <v>253356584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3</v>
      </c>
      <c r="CY3477">
        <v>7</v>
      </c>
      <c r="CZ3477" t="s">
        <v>133</v>
      </c>
      <c r="DA3477">
        <v>273</v>
      </c>
      <c r="DB3477">
        <v>0</v>
      </c>
      <c r="DC3477" t="s">
        <v>292</v>
      </c>
      <c r="DD3477" t="s">
        <v>293</v>
      </c>
      <c r="DG3477">
        <v>4865633</v>
      </c>
      <c r="DI3477">
        <v>1</v>
      </c>
      <c r="DJ3477">
        <v>0</v>
      </c>
      <c r="DK3477">
        <v>1</v>
      </c>
      <c r="DL3477">
        <v>0</v>
      </c>
      <c r="DM3477">
        <v>0</v>
      </c>
      <c r="DN3477">
        <v>0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3">
      <c r="A3478" t="str">
        <f>"05/01/2025 15:14:11.470"</f>
        <v>05/01/2025 15:14:11.470</v>
      </c>
      <c r="C3478" t="str">
        <f t="shared" si="1368"/>
        <v>FFDFD3C0</v>
      </c>
      <c r="D3478" t="s">
        <v>136</v>
      </c>
      <c r="E3478" t="str">
        <f>"20"</f>
        <v>20</v>
      </c>
      <c r="H3478">
        <v>400</v>
      </c>
      <c r="I3478" t="s">
        <v>137</v>
      </c>
      <c r="J3478" t="s">
        <v>138</v>
      </c>
      <c r="K3478">
        <v>0</v>
      </c>
      <c r="L3478">
        <v>3</v>
      </c>
      <c r="M3478">
        <v>0</v>
      </c>
      <c r="N3478">
        <v>2</v>
      </c>
      <c r="O3478">
        <v>0</v>
      </c>
      <c r="P3478">
        <v>1</v>
      </c>
      <c r="Q3478">
        <v>0</v>
      </c>
      <c r="R3478" t="s">
        <v>127</v>
      </c>
      <c r="S3478" t="str">
        <f t="shared" si="1378"/>
        <v>15:14:11.000</v>
      </c>
      <c r="T3478" t="str">
        <f t="shared" si="1378"/>
        <v>15:14:11.000</v>
      </c>
      <c r="U3478" t="str">
        <f t="shared" si="1370"/>
        <v>A68FCB</v>
      </c>
      <c r="V3478">
        <v>0</v>
      </c>
      <c r="W3478">
        <v>0</v>
      </c>
      <c r="X3478">
        <v>2</v>
      </c>
      <c r="Y3478">
        <v>0</v>
      </c>
      <c r="AA3478">
        <v>1</v>
      </c>
      <c r="AB3478">
        <v>8</v>
      </c>
      <c r="AC3478">
        <v>3</v>
      </c>
      <c r="AD3478">
        <v>0</v>
      </c>
      <c r="AE3478">
        <v>9</v>
      </c>
      <c r="AF3478" t="s">
        <v>138</v>
      </c>
      <c r="AG3478">
        <v>0</v>
      </c>
      <c r="AH3478">
        <v>3</v>
      </c>
      <c r="AI3478">
        <v>2</v>
      </c>
      <c r="AJ3478">
        <v>0</v>
      </c>
      <c r="AK3478" t="s">
        <v>1136</v>
      </c>
      <c r="AL3478">
        <v>39.146712000000001</v>
      </c>
      <c r="AM3478" t="s">
        <v>1131</v>
      </c>
      <c r="AN3478">
        <v>-121.031291</v>
      </c>
      <c r="AO3478">
        <v>25</v>
      </c>
      <c r="AP3478">
        <v>4200</v>
      </c>
      <c r="AQ3478" t="s">
        <v>131</v>
      </c>
      <c r="AR3478">
        <v>0</v>
      </c>
      <c r="AS3478">
        <v>83</v>
      </c>
      <c r="AT3478">
        <v>-640</v>
      </c>
      <c r="BB3478" t="str">
        <f t="shared" si="1371"/>
        <v>1200</v>
      </c>
      <c r="BC3478">
        <v>1</v>
      </c>
      <c r="BD3478" t="str">
        <f t="shared" si="1372"/>
        <v xml:space="preserve">N52156  </v>
      </c>
      <c r="BE3478">
        <v>1</v>
      </c>
      <c r="BG3478">
        <v>0</v>
      </c>
      <c r="BH3478">
        <v>0</v>
      </c>
      <c r="BI3478">
        <v>0</v>
      </c>
      <c r="BJ3478">
        <v>4250</v>
      </c>
      <c r="BK3478">
        <v>50</v>
      </c>
      <c r="BL3478" t="s">
        <v>188</v>
      </c>
      <c r="BM3478">
        <v>1</v>
      </c>
      <c r="BN3478">
        <v>1</v>
      </c>
      <c r="BO3478">
        <v>0</v>
      </c>
      <c r="BP3478">
        <v>0</v>
      </c>
      <c r="BS3478">
        <v>0</v>
      </c>
      <c r="BT3478">
        <v>0</v>
      </c>
      <c r="BU3478">
        <v>0</v>
      </c>
      <c r="CE3478" t="str">
        <f t="shared" si="1379"/>
        <v>15:14:11.253</v>
      </c>
      <c r="CF3478">
        <v>253356584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3</v>
      </c>
      <c r="CY3478">
        <v>7</v>
      </c>
      <c r="CZ3478" t="s">
        <v>133</v>
      </c>
      <c r="DA3478">
        <v>273</v>
      </c>
      <c r="DB3478">
        <v>0</v>
      </c>
      <c r="DC3478" t="s">
        <v>292</v>
      </c>
      <c r="DD3478" t="s">
        <v>293</v>
      </c>
      <c r="DG3478">
        <v>4865633</v>
      </c>
      <c r="DI3478">
        <v>1</v>
      </c>
      <c r="DJ3478">
        <v>0</v>
      </c>
      <c r="DK3478">
        <v>1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3">
      <c r="A3479" t="str">
        <f>"05/01/2025 15:14:11.483"</f>
        <v>05/01/2025 15:14:11.483</v>
      </c>
      <c r="C3479" t="str">
        <f t="shared" si="1368"/>
        <v>FFDFD3C0</v>
      </c>
      <c r="D3479" t="s">
        <v>143</v>
      </c>
      <c r="E3479" t="str">
        <f>"05"</f>
        <v>05</v>
      </c>
      <c r="H3479">
        <v>172</v>
      </c>
      <c r="I3479" t="s">
        <v>141</v>
      </c>
      <c r="J3479" t="s">
        <v>144</v>
      </c>
      <c r="K3479">
        <v>0</v>
      </c>
      <c r="L3479">
        <v>3</v>
      </c>
      <c r="M3479">
        <v>0</v>
      </c>
      <c r="N3479">
        <v>2</v>
      </c>
      <c r="O3479">
        <v>0</v>
      </c>
      <c r="P3479">
        <v>1</v>
      </c>
      <c r="Q3479">
        <v>0</v>
      </c>
      <c r="R3479" t="s">
        <v>127</v>
      </c>
      <c r="S3479" t="str">
        <f t="shared" si="1378"/>
        <v>15:14:11.000</v>
      </c>
      <c r="T3479" t="str">
        <f t="shared" si="1378"/>
        <v>15:14:11.000</v>
      </c>
      <c r="U3479" t="str">
        <f t="shared" si="1370"/>
        <v>A68FCB</v>
      </c>
      <c r="V3479">
        <v>0</v>
      </c>
      <c r="W3479">
        <v>0</v>
      </c>
      <c r="X3479">
        <v>2</v>
      </c>
      <c r="Y3479">
        <v>0</v>
      </c>
      <c r="AA3479">
        <v>1</v>
      </c>
      <c r="AB3479">
        <v>8</v>
      </c>
      <c r="AC3479">
        <v>3</v>
      </c>
      <c r="AD3479">
        <v>0</v>
      </c>
      <c r="AE3479">
        <v>9</v>
      </c>
      <c r="AF3479" t="s">
        <v>138</v>
      </c>
      <c r="AG3479">
        <v>0</v>
      </c>
      <c r="AH3479">
        <v>3</v>
      </c>
      <c r="AI3479">
        <v>2</v>
      </c>
      <c r="AJ3479">
        <v>0</v>
      </c>
      <c r="AK3479" t="s">
        <v>1136</v>
      </c>
      <c r="AL3479">
        <v>39.146712000000001</v>
      </c>
      <c r="AM3479" t="s">
        <v>1131</v>
      </c>
      <c r="AN3479">
        <v>-121.031291</v>
      </c>
      <c r="AO3479">
        <v>25</v>
      </c>
      <c r="AP3479">
        <v>4200</v>
      </c>
      <c r="AQ3479" t="s">
        <v>131</v>
      </c>
      <c r="AR3479">
        <v>0</v>
      </c>
      <c r="AS3479">
        <v>83</v>
      </c>
      <c r="AT3479">
        <v>-640</v>
      </c>
      <c r="BB3479" t="str">
        <f t="shared" si="1371"/>
        <v>1200</v>
      </c>
      <c r="BC3479">
        <v>1</v>
      </c>
      <c r="BD3479" t="str">
        <f t="shared" si="1372"/>
        <v xml:space="preserve">N52156  </v>
      </c>
      <c r="BE3479">
        <v>1</v>
      </c>
      <c r="BG3479">
        <v>0</v>
      </c>
      <c r="BH3479">
        <v>0</v>
      </c>
      <c r="BI3479">
        <v>0</v>
      </c>
      <c r="BJ3479">
        <v>4250</v>
      </c>
      <c r="BK3479">
        <v>50</v>
      </c>
      <c r="BL3479" t="s">
        <v>188</v>
      </c>
      <c r="BM3479">
        <v>1</v>
      </c>
      <c r="BN3479">
        <v>1</v>
      </c>
      <c r="BO3479">
        <v>0</v>
      </c>
      <c r="BP3479">
        <v>0</v>
      </c>
      <c r="BS3479">
        <v>0</v>
      </c>
      <c r="BT3479">
        <v>0</v>
      </c>
      <c r="BU3479">
        <v>0</v>
      </c>
      <c r="CE3479" t="str">
        <f t="shared" si="1379"/>
        <v>15:14:11.253</v>
      </c>
      <c r="CF3479">
        <v>253356584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3</v>
      </c>
      <c r="CY3479">
        <v>7</v>
      </c>
      <c r="CZ3479" t="s">
        <v>133</v>
      </c>
      <c r="DA3479">
        <v>273</v>
      </c>
      <c r="DB3479">
        <v>0</v>
      </c>
      <c r="DC3479" t="s">
        <v>292</v>
      </c>
      <c r="DD3479" t="s">
        <v>293</v>
      </c>
      <c r="DG3479">
        <v>4865633</v>
      </c>
      <c r="DI3479">
        <v>1</v>
      </c>
      <c r="DJ3479">
        <v>0</v>
      </c>
      <c r="DK3479">
        <v>1</v>
      </c>
      <c r="DL3479">
        <v>0</v>
      </c>
      <c r="DM3479">
        <v>0</v>
      </c>
      <c r="DN3479">
        <v>0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3">
      <c r="A3480" t="str">
        <f>"05/01/2025 15:14:11.494"</f>
        <v>05/01/2025 15:14:11.494</v>
      </c>
      <c r="C3480" t="str">
        <f t="shared" si="1368"/>
        <v>FFDFD3C0</v>
      </c>
      <c r="D3480" t="s">
        <v>140</v>
      </c>
      <c r="E3480" t="str">
        <f>"13"</f>
        <v>13</v>
      </c>
      <c r="F3480">
        <v>1019</v>
      </c>
      <c r="G3480" t="s">
        <v>141</v>
      </c>
      <c r="J3480" t="s">
        <v>142</v>
      </c>
      <c r="K3480">
        <v>0</v>
      </c>
      <c r="L3480">
        <v>3</v>
      </c>
      <c r="M3480">
        <v>0</v>
      </c>
      <c r="N3480">
        <v>2</v>
      </c>
      <c r="O3480">
        <v>0</v>
      </c>
      <c r="P3480">
        <v>1</v>
      </c>
      <c r="Q3480">
        <v>0</v>
      </c>
      <c r="R3480" t="s">
        <v>127</v>
      </c>
      <c r="S3480" t="str">
        <f t="shared" si="1378"/>
        <v>15:14:11.000</v>
      </c>
      <c r="T3480" t="str">
        <f t="shared" si="1378"/>
        <v>15:14:11.000</v>
      </c>
      <c r="U3480" t="str">
        <f t="shared" si="1370"/>
        <v>A68FCB</v>
      </c>
      <c r="V3480">
        <v>0</v>
      </c>
      <c r="W3480">
        <v>0</v>
      </c>
      <c r="X3480">
        <v>2</v>
      </c>
      <c r="Y3480">
        <v>0</v>
      </c>
      <c r="AA3480">
        <v>1</v>
      </c>
      <c r="AB3480">
        <v>8</v>
      </c>
      <c r="AC3480">
        <v>3</v>
      </c>
      <c r="AD3480">
        <v>0</v>
      </c>
      <c r="AE3480">
        <v>9</v>
      </c>
      <c r="AF3480" t="s">
        <v>138</v>
      </c>
      <c r="AG3480">
        <v>0</v>
      </c>
      <c r="AH3480">
        <v>3</v>
      </c>
      <c r="AI3480">
        <v>2</v>
      </c>
      <c r="AJ3480">
        <v>0</v>
      </c>
      <c r="AK3480" t="s">
        <v>1136</v>
      </c>
      <c r="AL3480">
        <v>39.146712000000001</v>
      </c>
      <c r="AM3480" t="s">
        <v>1131</v>
      </c>
      <c r="AN3480">
        <v>-121.031291</v>
      </c>
      <c r="AO3480">
        <v>25</v>
      </c>
      <c r="AP3480">
        <v>4200</v>
      </c>
      <c r="AQ3480" t="s">
        <v>131</v>
      </c>
      <c r="AR3480">
        <v>0</v>
      </c>
      <c r="AS3480">
        <v>83</v>
      </c>
      <c r="AT3480">
        <v>-640</v>
      </c>
      <c r="BB3480" t="str">
        <f t="shared" si="1371"/>
        <v>1200</v>
      </c>
      <c r="BC3480">
        <v>1</v>
      </c>
      <c r="BD3480" t="str">
        <f t="shared" si="1372"/>
        <v xml:space="preserve">N52156  </v>
      </c>
      <c r="BE3480">
        <v>1</v>
      </c>
      <c r="BG3480">
        <v>0</v>
      </c>
      <c r="BH3480">
        <v>0</v>
      </c>
      <c r="BI3480">
        <v>0</v>
      </c>
      <c r="BJ3480">
        <v>4250</v>
      </c>
      <c r="BK3480">
        <v>50</v>
      </c>
      <c r="BL3480" t="s">
        <v>188</v>
      </c>
      <c r="BM3480">
        <v>1</v>
      </c>
      <c r="BN3480">
        <v>1</v>
      </c>
      <c r="BO3480">
        <v>0</v>
      </c>
      <c r="BP3480">
        <v>0</v>
      </c>
      <c r="BS3480">
        <v>0</v>
      </c>
      <c r="BT3480">
        <v>0</v>
      </c>
      <c r="BU3480">
        <v>0</v>
      </c>
      <c r="CE3480" t="str">
        <f t="shared" si="1379"/>
        <v>15:14:11.253</v>
      </c>
      <c r="CF3480">
        <v>253356584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3</v>
      </c>
      <c r="CY3480">
        <v>7</v>
      </c>
      <c r="CZ3480" t="s">
        <v>133</v>
      </c>
      <c r="DA3480">
        <v>273</v>
      </c>
      <c r="DB3480">
        <v>0</v>
      </c>
      <c r="DC3480" t="s">
        <v>292</v>
      </c>
      <c r="DD3480" t="s">
        <v>293</v>
      </c>
      <c r="DG3480">
        <v>4865633</v>
      </c>
      <c r="DI3480">
        <v>1</v>
      </c>
      <c r="DJ3480">
        <v>0</v>
      </c>
      <c r="DK3480">
        <v>1</v>
      </c>
      <c r="DL3480">
        <v>0</v>
      </c>
      <c r="DM3480">
        <v>0</v>
      </c>
      <c r="DN3480">
        <v>0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3">
      <c r="A3481" t="str">
        <f>"05/01/2025 15:14:11.495"</f>
        <v>05/01/2025 15:14:11.495</v>
      </c>
      <c r="C3481" t="str">
        <f t="shared" si="1368"/>
        <v>FFDFD3C0</v>
      </c>
      <c r="D3481" t="s">
        <v>124</v>
      </c>
      <c r="E3481" t="str">
        <f>"06"</f>
        <v>06</v>
      </c>
      <c r="F3481">
        <v>2006</v>
      </c>
      <c r="G3481" t="s">
        <v>125</v>
      </c>
      <c r="J3481" t="s">
        <v>126</v>
      </c>
      <c r="K3481">
        <v>0</v>
      </c>
      <c r="L3481">
        <v>3</v>
      </c>
      <c r="M3481">
        <v>0</v>
      </c>
      <c r="N3481">
        <v>2</v>
      </c>
      <c r="O3481">
        <v>0</v>
      </c>
      <c r="P3481">
        <v>1</v>
      </c>
      <c r="Q3481">
        <v>0</v>
      </c>
      <c r="R3481" t="s">
        <v>127</v>
      </c>
      <c r="S3481" t="str">
        <f t="shared" si="1378"/>
        <v>15:14:11.000</v>
      </c>
      <c r="T3481" t="str">
        <f t="shared" si="1378"/>
        <v>15:14:11.000</v>
      </c>
      <c r="U3481" t="str">
        <f t="shared" si="1370"/>
        <v>A68FCB</v>
      </c>
      <c r="V3481">
        <v>0</v>
      </c>
      <c r="W3481">
        <v>0</v>
      </c>
      <c r="X3481">
        <v>2</v>
      </c>
      <c r="Y3481">
        <v>0</v>
      </c>
      <c r="AA3481">
        <v>1</v>
      </c>
      <c r="AB3481">
        <v>8</v>
      </c>
      <c r="AC3481">
        <v>3</v>
      </c>
      <c r="AD3481">
        <v>0</v>
      </c>
      <c r="AE3481">
        <v>9</v>
      </c>
      <c r="AF3481" t="s">
        <v>138</v>
      </c>
      <c r="AG3481">
        <v>0</v>
      </c>
      <c r="AH3481">
        <v>3</v>
      </c>
      <c r="AI3481">
        <v>2</v>
      </c>
      <c r="AJ3481">
        <v>0</v>
      </c>
      <c r="AK3481" t="s">
        <v>1136</v>
      </c>
      <c r="AL3481">
        <v>39.146712000000001</v>
      </c>
      <c r="AM3481" t="s">
        <v>1131</v>
      </c>
      <c r="AN3481">
        <v>-121.031291</v>
      </c>
      <c r="AO3481">
        <v>25</v>
      </c>
      <c r="AP3481">
        <v>4200</v>
      </c>
      <c r="AQ3481" t="s">
        <v>131</v>
      </c>
      <c r="AR3481">
        <v>0</v>
      </c>
      <c r="AS3481">
        <v>83</v>
      </c>
      <c r="AT3481">
        <v>-640</v>
      </c>
      <c r="BB3481" t="str">
        <f t="shared" si="1371"/>
        <v>1200</v>
      </c>
      <c r="BC3481">
        <v>1</v>
      </c>
      <c r="BD3481" t="str">
        <f t="shared" si="1372"/>
        <v xml:space="preserve">N52156  </v>
      </c>
      <c r="BE3481">
        <v>1</v>
      </c>
      <c r="BG3481">
        <v>0</v>
      </c>
      <c r="BH3481">
        <v>0</v>
      </c>
      <c r="BI3481">
        <v>0</v>
      </c>
      <c r="BJ3481">
        <v>4250</v>
      </c>
      <c r="BK3481">
        <v>50</v>
      </c>
      <c r="BL3481" t="s">
        <v>188</v>
      </c>
      <c r="BM3481">
        <v>1</v>
      </c>
      <c r="BN3481">
        <v>1</v>
      </c>
      <c r="BO3481">
        <v>0</v>
      </c>
      <c r="BP3481">
        <v>0</v>
      </c>
      <c r="BS3481">
        <v>0</v>
      </c>
      <c r="BT3481">
        <v>0</v>
      </c>
      <c r="BU3481">
        <v>0</v>
      </c>
      <c r="CE3481" t="str">
        <f t="shared" si="1379"/>
        <v>15:14:11.253</v>
      </c>
      <c r="CF3481">
        <v>253356584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3</v>
      </c>
      <c r="CY3481">
        <v>7</v>
      </c>
      <c r="CZ3481" t="s">
        <v>133</v>
      </c>
      <c r="DA3481">
        <v>273</v>
      </c>
      <c r="DB3481">
        <v>0</v>
      </c>
      <c r="DC3481" t="s">
        <v>292</v>
      </c>
      <c r="DD3481" t="s">
        <v>293</v>
      </c>
      <c r="DG3481">
        <v>4865633</v>
      </c>
      <c r="DI3481">
        <v>1</v>
      </c>
      <c r="DJ3481">
        <v>0</v>
      </c>
      <c r="DK3481">
        <v>1</v>
      </c>
      <c r="DL3481">
        <v>0</v>
      </c>
      <c r="DM3481">
        <v>0</v>
      </c>
      <c r="DN3481">
        <v>0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3">
      <c r="A3482" t="str">
        <f>"05/01/2025 15:14:12.886"</f>
        <v>05/01/2025 15:14:12.886</v>
      </c>
      <c r="C3482" t="str">
        <f t="shared" si="1368"/>
        <v>FFDFD3C0</v>
      </c>
      <c r="D3482" t="s">
        <v>143</v>
      </c>
      <c r="E3482" t="str">
        <f>"05"</f>
        <v>05</v>
      </c>
      <c r="H3482">
        <v>172</v>
      </c>
      <c r="I3482" t="s">
        <v>141</v>
      </c>
      <c r="J3482" t="s">
        <v>144</v>
      </c>
      <c r="K3482">
        <v>0</v>
      </c>
      <c r="L3482">
        <v>3</v>
      </c>
      <c r="M3482">
        <v>0</v>
      </c>
      <c r="N3482">
        <v>2</v>
      </c>
      <c r="O3482">
        <v>0</v>
      </c>
      <c r="P3482">
        <v>1</v>
      </c>
      <c r="Q3482">
        <v>0</v>
      </c>
      <c r="R3482" t="s">
        <v>127</v>
      </c>
      <c r="S3482" t="str">
        <f t="shared" ref="S3482:T3487" si="1380">"15:14:12.000"</f>
        <v>15:14:12.000</v>
      </c>
      <c r="T3482" t="str">
        <f t="shared" si="1380"/>
        <v>15:14:12.000</v>
      </c>
      <c r="U3482" t="str">
        <f t="shared" si="1370"/>
        <v>A68FCB</v>
      </c>
      <c r="V3482">
        <v>0</v>
      </c>
      <c r="W3482">
        <v>0</v>
      </c>
      <c r="X3482">
        <v>2</v>
      </c>
      <c r="Y3482">
        <v>0</v>
      </c>
      <c r="AA3482">
        <v>1</v>
      </c>
      <c r="AB3482">
        <v>8</v>
      </c>
      <c r="AC3482">
        <v>3</v>
      </c>
      <c r="AD3482">
        <v>0</v>
      </c>
      <c r="AE3482">
        <v>9</v>
      </c>
      <c r="AF3482" t="s">
        <v>138</v>
      </c>
      <c r="AG3482">
        <v>0</v>
      </c>
      <c r="AH3482">
        <v>3</v>
      </c>
      <c r="AI3482">
        <v>2</v>
      </c>
      <c r="AJ3482">
        <v>0</v>
      </c>
      <c r="AK3482" t="s">
        <v>1137</v>
      </c>
      <c r="AL3482">
        <v>39.147098</v>
      </c>
      <c r="AM3482" t="s">
        <v>1082</v>
      </c>
      <c r="AN3482">
        <v>-121.031313</v>
      </c>
      <c r="AO3482">
        <v>25</v>
      </c>
      <c r="AP3482">
        <v>4200</v>
      </c>
      <c r="AQ3482" t="s">
        <v>131</v>
      </c>
      <c r="AR3482">
        <v>0</v>
      </c>
      <c r="AS3482">
        <v>82</v>
      </c>
      <c r="AT3482">
        <v>-640</v>
      </c>
      <c r="BB3482" t="str">
        <f t="shared" si="1371"/>
        <v>1200</v>
      </c>
      <c r="BC3482">
        <v>1</v>
      </c>
      <c r="BD3482" t="str">
        <f t="shared" si="1372"/>
        <v xml:space="preserve">N52156  </v>
      </c>
      <c r="BE3482">
        <v>1</v>
      </c>
      <c r="BG3482">
        <v>0</v>
      </c>
      <c r="BH3482">
        <v>0</v>
      </c>
      <c r="BI3482">
        <v>0</v>
      </c>
      <c r="BJ3482">
        <v>4225</v>
      </c>
      <c r="BK3482">
        <v>25</v>
      </c>
      <c r="BL3482" t="s">
        <v>188</v>
      </c>
      <c r="BM3482">
        <v>1</v>
      </c>
      <c r="BN3482">
        <v>1</v>
      </c>
      <c r="BO3482">
        <v>0</v>
      </c>
      <c r="BP3482">
        <v>0</v>
      </c>
      <c r="BS3482">
        <v>0</v>
      </c>
      <c r="BT3482">
        <v>0</v>
      </c>
      <c r="BU3482">
        <v>0</v>
      </c>
      <c r="CE3482" t="str">
        <f t="shared" ref="CE3482:CE3487" si="1381">"15:14:12.670"</f>
        <v>15:14:12.670</v>
      </c>
      <c r="CF3482">
        <v>669986079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3</v>
      </c>
      <c r="CY3482">
        <v>7</v>
      </c>
      <c r="CZ3482" t="s">
        <v>133</v>
      </c>
      <c r="DA3482">
        <v>275</v>
      </c>
      <c r="DB3482">
        <v>0</v>
      </c>
      <c r="DC3482" t="s">
        <v>134</v>
      </c>
      <c r="DD3482" t="s">
        <v>135</v>
      </c>
      <c r="DG3482">
        <v>3322720</v>
      </c>
      <c r="DI3482">
        <v>1</v>
      </c>
      <c r="DJ3482">
        <v>0</v>
      </c>
      <c r="DK3482">
        <v>0</v>
      </c>
      <c r="DL3482">
        <v>0</v>
      </c>
      <c r="DM3482">
        <v>0</v>
      </c>
      <c r="DN3482">
        <v>0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3">
      <c r="A3483" t="str">
        <f>"05/01/2025 15:14:12.897"</f>
        <v>05/01/2025 15:14:12.897</v>
      </c>
      <c r="C3483" t="str">
        <f t="shared" si="1368"/>
        <v>FFDFD3C0</v>
      </c>
      <c r="D3483" t="s">
        <v>124</v>
      </c>
      <c r="E3483" t="str">
        <f>"06"</f>
        <v>06</v>
      </c>
      <c r="F3483">
        <v>2006</v>
      </c>
      <c r="G3483" t="s">
        <v>125</v>
      </c>
      <c r="J3483" t="s">
        <v>126</v>
      </c>
      <c r="K3483">
        <v>0</v>
      </c>
      <c r="L3483">
        <v>3</v>
      </c>
      <c r="M3483">
        <v>0</v>
      </c>
      <c r="N3483">
        <v>2</v>
      </c>
      <c r="O3483">
        <v>0</v>
      </c>
      <c r="P3483">
        <v>1</v>
      </c>
      <c r="Q3483">
        <v>0</v>
      </c>
      <c r="R3483" t="s">
        <v>127</v>
      </c>
      <c r="S3483" t="str">
        <f t="shared" si="1380"/>
        <v>15:14:12.000</v>
      </c>
      <c r="T3483" t="str">
        <f t="shared" si="1380"/>
        <v>15:14:12.000</v>
      </c>
      <c r="U3483" t="str">
        <f t="shared" si="1370"/>
        <v>A68FCB</v>
      </c>
      <c r="V3483">
        <v>0</v>
      </c>
      <c r="W3483">
        <v>0</v>
      </c>
      <c r="X3483">
        <v>2</v>
      </c>
      <c r="Y3483">
        <v>0</v>
      </c>
      <c r="AA3483">
        <v>1</v>
      </c>
      <c r="AB3483">
        <v>8</v>
      </c>
      <c r="AC3483">
        <v>3</v>
      </c>
      <c r="AD3483">
        <v>0</v>
      </c>
      <c r="AE3483">
        <v>9</v>
      </c>
      <c r="AF3483" t="s">
        <v>138</v>
      </c>
      <c r="AG3483">
        <v>0</v>
      </c>
      <c r="AH3483">
        <v>3</v>
      </c>
      <c r="AI3483">
        <v>2</v>
      </c>
      <c r="AJ3483">
        <v>0</v>
      </c>
      <c r="AK3483" t="s">
        <v>1137</v>
      </c>
      <c r="AL3483">
        <v>39.147098</v>
      </c>
      <c r="AM3483" t="s">
        <v>1082</v>
      </c>
      <c r="AN3483">
        <v>-121.031313</v>
      </c>
      <c r="AO3483">
        <v>25</v>
      </c>
      <c r="AP3483">
        <v>4200</v>
      </c>
      <c r="AQ3483" t="s">
        <v>131</v>
      </c>
      <c r="AR3483">
        <v>0</v>
      </c>
      <c r="AS3483">
        <v>82</v>
      </c>
      <c r="AT3483">
        <v>-640</v>
      </c>
      <c r="BB3483" t="str">
        <f t="shared" si="1371"/>
        <v>1200</v>
      </c>
      <c r="BC3483">
        <v>1</v>
      </c>
      <c r="BD3483" t="str">
        <f t="shared" si="1372"/>
        <v xml:space="preserve">N52156  </v>
      </c>
      <c r="BE3483">
        <v>1</v>
      </c>
      <c r="BG3483">
        <v>0</v>
      </c>
      <c r="BH3483">
        <v>0</v>
      </c>
      <c r="BI3483">
        <v>0</v>
      </c>
      <c r="BJ3483">
        <v>4225</v>
      </c>
      <c r="BK3483">
        <v>25</v>
      </c>
      <c r="BL3483" t="s">
        <v>188</v>
      </c>
      <c r="BM3483">
        <v>1</v>
      </c>
      <c r="BN3483">
        <v>1</v>
      </c>
      <c r="BO3483">
        <v>0</v>
      </c>
      <c r="BP3483">
        <v>0</v>
      </c>
      <c r="BS3483">
        <v>0</v>
      </c>
      <c r="BT3483">
        <v>0</v>
      </c>
      <c r="BU3483">
        <v>0</v>
      </c>
      <c r="CE3483" t="str">
        <f t="shared" si="1381"/>
        <v>15:14:12.670</v>
      </c>
      <c r="CF3483">
        <v>669986079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3</v>
      </c>
      <c r="CY3483">
        <v>7</v>
      </c>
      <c r="CZ3483" t="s">
        <v>133</v>
      </c>
      <c r="DA3483">
        <v>275</v>
      </c>
      <c r="DB3483">
        <v>0</v>
      </c>
      <c r="DC3483" t="s">
        <v>134</v>
      </c>
      <c r="DD3483" t="s">
        <v>135</v>
      </c>
      <c r="DG3483">
        <v>3322720</v>
      </c>
      <c r="DI3483">
        <v>1</v>
      </c>
      <c r="DJ3483">
        <v>0</v>
      </c>
      <c r="DK3483">
        <v>1</v>
      </c>
      <c r="DL3483">
        <v>0</v>
      </c>
      <c r="DM3483">
        <v>0</v>
      </c>
      <c r="DN3483">
        <v>0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3">
      <c r="A3484" t="str">
        <f>"05/01/2025 15:14:12.897"</f>
        <v>05/01/2025 15:14:12.897</v>
      </c>
      <c r="C3484" t="str">
        <f t="shared" si="1368"/>
        <v>FFDFD3C0</v>
      </c>
      <c r="D3484" t="s">
        <v>140</v>
      </c>
      <c r="E3484" t="str">
        <f>"13"</f>
        <v>13</v>
      </c>
      <c r="F3484">
        <v>1019</v>
      </c>
      <c r="G3484" t="s">
        <v>141</v>
      </c>
      <c r="J3484" t="s">
        <v>142</v>
      </c>
      <c r="K3484">
        <v>0</v>
      </c>
      <c r="L3484">
        <v>3</v>
      </c>
      <c r="M3484">
        <v>0</v>
      </c>
      <c r="N3484">
        <v>2</v>
      </c>
      <c r="O3484">
        <v>0</v>
      </c>
      <c r="P3484">
        <v>1</v>
      </c>
      <c r="Q3484">
        <v>0</v>
      </c>
      <c r="R3484" t="s">
        <v>127</v>
      </c>
      <c r="S3484" t="str">
        <f t="shared" si="1380"/>
        <v>15:14:12.000</v>
      </c>
      <c r="T3484" t="str">
        <f t="shared" si="1380"/>
        <v>15:14:12.000</v>
      </c>
      <c r="U3484" t="str">
        <f t="shared" si="1370"/>
        <v>A68FCB</v>
      </c>
      <c r="V3484">
        <v>0</v>
      </c>
      <c r="W3484">
        <v>0</v>
      </c>
      <c r="X3484">
        <v>2</v>
      </c>
      <c r="Y3484">
        <v>0</v>
      </c>
      <c r="AA3484">
        <v>1</v>
      </c>
      <c r="AB3484">
        <v>8</v>
      </c>
      <c r="AC3484">
        <v>3</v>
      </c>
      <c r="AD3484">
        <v>0</v>
      </c>
      <c r="AE3484">
        <v>9</v>
      </c>
      <c r="AF3484" t="s">
        <v>138</v>
      </c>
      <c r="AG3484">
        <v>0</v>
      </c>
      <c r="AH3484">
        <v>3</v>
      </c>
      <c r="AI3484">
        <v>2</v>
      </c>
      <c r="AJ3484">
        <v>0</v>
      </c>
      <c r="AK3484" t="s">
        <v>1137</v>
      </c>
      <c r="AL3484">
        <v>39.147098</v>
      </c>
      <c r="AM3484" t="s">
        <v>1082</v>
      </c>
      <c r="AN3484">
        <v>-121.031313</v>
      </c>
      <c r="AO3484">
        <v>25</v>
      </c>
      <c r="AP3484">
        <v>4200</v>
      </c>
      <c r="AQ3484" t="s">
        <v>131</v>
      </c>
      <c r="AR3484">
        <v>0</v>
      </c>
      <c r="AS3484">
        <v>82</v>
      </c>
      <c r="AT3484">
        <v>-640</v>
      </c>
      <c r="BB3484" t="str">
        <f t="shared" si="1371"/>
        <v>1200</v>
      </c>
      <c r="BC3484">
        <v>1</v>
      </c>
      <c r="BD3484" t="str">
        <f t="shared" si="1372"/>
        <v xml:space="preserve">N52156  </v>
      </c>
      <c r="BE3484">
        <v>1</v>
      </c>
      <c r="BG3484">
        <v>0</v>
      </c>
      <c r="BH3484">
        <v>0</v>
      </c>
      <c r="BI3484">
        <v>0</v>
      </c>
      <c r="BJ3484">
        <v>4225</v>
      </c>
      <c r="BK3484">
        <v>25</v>
      </c>
      <c r="BL3484" t="s">
        <v>188</v>
      </c>
      <c r="BM3484">
        <v>1</v>
      </c>
      <c r="BN3484">
        <v>1</v>
      </c>
      <c r="BO3484">
        <v>0</v>
      </c>
      <c r="BP3484">
        <v>0</v>
      </c>
      <c r="BS3484">
        <v>0</v>
      </c>
      <c r="BT3484">
        <v>0</v>
      </c>
      <c r="BU3484">
        <v>0</v>
      </c>
      <c r="CE3484" t="str">
        <f t="shared" si="1381"/>
        <v>15:14:12.670</v>
      </c>
      <c r="CF3484">
        <v>669986079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3</v>
      </c>
      <c r="CY3484">
        <v>7</v>
      </c>
      <c r="CZ3484" t="s">
        <v>133</v>
      </c>
      <c r="DA3484">
        <v>275</v>
      </c>
      <c r="DB3484">
        <v>0</v>
      </c>
      <c r="DC3484" t="s">
        <v>134</v>
      </c>
      <c r="DD3484" t="s">
        <v>135</v>
      </c>
      <c r="DG3484">
        <v>3322720</v>
      </c>
      <c r="DI3484">
        <v>1</v>
      </c>
      <c r="DJ3484">
        <v>0</v>
      </c>
      <c r="DK3484">
        <v>1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3">
      <c r="A3485" t="str">
        <f>"05/01/2025 15:14:12.908"</f>
        <v>05/01/2025 15:14:12.908</v>
      </c>
      <c r="C3485" t="str">
        <f t="shared" si="1368"/>
        <v>FFDFD3C0</v>
      </c>
      <c r="D3485" t="s">
        <v>145</v>
      </c>
      <c r="E3485" t="str">
        <f>"09"</f>
        <v>09</v>
      </c>
      <c r="H3485">
        <v>51</v>
      </c>
      <c r="I3485" t="s">
        <v>147</v>
      </c>
      <c r="J3485" t="s">
        <v>138</v>
      </c>
      <c r="K3485">
        <v>0</v>
      </c>
      <c r="L3485">
        <v>3</v>
      </c>
      <c r="M3485">
        <v>0</v>
      </c>
      <c r="N3485">
        <v>2</v>
      </c>
      <c r="O3485">
        <v>0</v>
      </c>
      <c r="P3485">
        <v>1</v>
      </c>
      <c r="Q3485">
        <v>0</v>
      </c>
      <c r="R3485" t="s">
        <v>127</v>
      </c>
      <c r="S3485" t="str">
        <f t="shared" si="1380"/>
        <v>15:14:12.000</v>
      </c>
      <c r="T3485" t="str">
        <f t="shared" si="1380"/>
        <v>15:14:12.000</v>
      </c>
      <c r="U3485" t="str">
        <f t="shared" si="1370"/>
        <v>A68FCB</v>
      </c>
      <c r="V3485">
        <v>0</v>
      </c>
      <c r="W3485">
        <v>0</v>
      </c>
      <c r="X3485">
        <v>2</v>
      </c>
      <c r="Y3485">
        <v>0</v>
      </c>
      <c r="AA3485">
        <v>1</v>
      </c>
      <c r="AB3485">
        <v>8</v>
      </c>
      <c r="AC3485">
        <v>3</v>
      </c>
      <c r="AD3485">
        <v>0</v>
      </c>
      <c r="AE3485">
        <v>9</v>
      </c>
      <c r="AF3485" t="s">
        <v>138</v>
      </c>
      <c r="AG3485">
        <v>0</v>
      </c>
      <c r="AH3485">
        <v>3</v>
      </c>
      <c r="AI3485">
        <v>2</v>
      </c>
      <c r="AJ3485">
        <v>0</v>
      </c>
      <c r="AK3485" t="s">
        <v>1137</v>
      </c>
      <c r="AL3485">
        <v>39.147098</v>
      </c>
      <c r="AM3485" t="s">
        <v>1082</v>
      </c>
      <c r="AN3485">
        <v>-121.031313</v>
      </c>
      <c r="AO3485">
        <v>25</v>
      </c>
      <c r="AP3485">
        <v>4200</v>
      </c>
      <c r="AQ3485" t="s">
        <v>131</v>
      </c>
      <c r="AR3485">
        <v>0</v>
      </c>
      <c r="AS3485">
        <v>82</v>
      </c>
      <c r="AT3485">
        <v>-640</v>
      </c>
      <c r="BB3485" t="str">
        <f t="shared" si="1371"/>
        <v>1200</v>
      </c>
      <c r="BC3485">
        <v>1</v>
      </c>
      <c r="BD3485" t="str">
        <f t="shared" si="1372"/>
        <v xml:space="preserve">N52156  </v>
      </c>
      <c r="BE3485">
        <v>1</v>
      </c>
      <c r="BG3485">
        <v>0</v>
      </c>
      <c r="BH3485">
        <v>0</v>
      </c>
      <c r="BI3485">
        <v>0</v>
      </c>
      <c r="BJ3485">
        <v>4225</v>
      </c>
      <c r="BK3485">
        <v>25</v>
      </c>
      <c r="BL3485" t="s">
        <v>188</v>
      </c>
      <c r="BM3485">
        <v>1</v>
      </c>
      <c r="BN3485">
        <v>1</v>
      </c>
      <c r="BO3485">
        <v>0</v>
      </c>
      <c r="BP3485">
        <v>0</v>
      </c>
      <c r="BS3485">
        <v>0</v>
      </c>
      <c r="BT3485">
        <v>0</v>
      </c>
      <c r="BU3485">
        <v>0</v>
      </c>
      <c r="CE3485" t="str">
        <f t="shared" si="1381"/>
        <v>15:14:12.670</v>
      </c>
      <c r="CF3485">
        <v>669986079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3</v>
      </c>
      <c r="CY3485">
        <v>7</v>
      </c>
      <c r="CZ3485" t="s">
        <v>133</v>
      </c>
      <c r="DA3485">
        <v>275</v>
      </c>
      <c r="DB3485">
        <v>0</v>
      </c>
      <c r="DC3485" t="s">
        <v>134</v>
      </c>
      <c r="DD3485" t="s">
        <v>135</v>
      </c>
      <c r="DG3485">
        <v>3322720</v>
      </c>
      <c r="DI3485">
        <v>1</v>
      </c>
      <c r="DJ3485">
        <v>0</v>
      </c>
      <c r="DK3485">
        <v>1</v>
      </c>
      <c r="DL3485">
        <v>0</v>
      </c>
      <c r="DM3485">
        <v>0</v>
      </c>
      <c r="DN3485">
        <v>0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3">
      <c r="A3486" t="str">
        <f>"05/01/2025 15:14:12.911"</f>
        <v>05/01/2025 15:14:12.911</v>
      </c>
      <c r="C3486" t="str">
        <f t="shared" si="1368"/>
        <v>FFDFD3C0</v>
      </c>
      <c r="D3486" t="s">
        <v>145</v>
      </c>
      <c r="E3486" t="str">
        <f>"05"</f>
        <v>05</v>
      </c>
      <c r="H3486">
        <v>47</v>
      </c>
      <c r="I3486" t="s">
        <v>146</v>
      </c>
      <c r="J3486" t="s">
        <v>138</v>
      </c>
      <c r="K3486">
        <v>0</v>
      </c>
      <c r="L3486">
        <v>3</v>
      </c>
      <c r="M3486">
        <v>0</v>
      </c>
      <c r="N3486">
        <v>2</v>
      </c>
      <c r="O3486">
        <v>0</v>
      </c>
      <c r="P3486">
        <v>1</v>
      </c>
      <c r="Q3486">
        <v>0</v>
      </c>
      <c r="R3486" t="s">
        <v>127</v>
      </c>
      <c r="S3486" t="str">
        <f t="shared" si="1380"/>
        <v>15:14:12.000</v>
      </c>
      <c r="T3486" t="str">
        <f t="shared" si="1380"/>
        <v>15:14:12.000</v>
      </c>
      <c r="U3486" t="str">
        <f t="shared" si="1370"/>
        <v>A68FCB</v>
      </c>
      <c r="V3486">
        <v>0</v>
      </c>
      <c r="W3486">
        <v>0</v>
      </c>
      <c r="X3486">
        <v>2</v>
      </c>
      <c r="Y3486">
        <v>0</v>
      </c>
      <c r="AA3486">
        <v>1</v>
      </c>
      <c r="AB3486">
        <v>8</v>
      </c>
      <c r="AC3486">
        <v>3</v>
      </c>
      <c r="AD3486">
        <v>0</v>
      </c>
      <c r="AE3486">
        <v>9</v>
      </c>
      <c r="AF3486" t="s">
        <v>138</v>
      </c>
      <c r="AG3486">
        <v>0</v>
      </c>
      <c r="AH3486">
        <v>3</v>
      </c>
      <c r="AI3486">
        <v>2</v>
      </c>
      <c r="AJ3486">
        <v>0</v>
      </c>
      <c r="AK3486" t="s">
        <v>1137</v>
      </c>
      <c r="AL3486">
        <v>39.147098</v>
      </c>
      <c r="AM3486" t="s">
        <v>1082</v>
      </c>
      <c r="AN3486">
        <v>-121.031313</v>
      </c>
      <c r="AO3486">
        <v>25</v>
      </c>
      <c r="AP3486">
        <v>4200</v>
      </c>
      <c r="AQ3486" t="s">
        <v>131</v>
      </c>
      <c r="AR3486">
        <v>0</v>
      </c>
      <c r="AS3486">
        <v>82</v>
      </c>
      <c r="AT3486">
        <v>-640</v>
      </c>
      <c r="BB3486" t="str">
        <f t="shared" si="1371"/>
        <v>1200</v>
      </c>
      <c r="BC3486">
        <v>1</v>
      </c>
      <c r="BD3486" t="str">
        <f t="shared" si="1372"/>
        <v xml:space="preserve">N52156  </v>
      </c>
      <c r="BE3486">
        <v>1</v>
      </c>
      <c r="BG3486">
        <v>0</v>
      </c>
      <c r="BH3486">
        <v>0</v>
      </c>
      <c r="BI3486">
        <v>0</v>
      </c>
      <c r="BJ3486">
        <v>4225</v>
      </c>
      <c r="BK3486">
        <v>25</v>
      </c>
      <c r="BL3486" t="s">
        <v>188</v>
      </c>
      <c r="BM3486">
        <v>1</v>
      </c>
      <c r="BN3486">
        <v>1</v>
      </c>
      <c r="BO3486">
        <v>0</v>
      </c>
      <c r="BP3486">
        <v>0</v>
      </c>
      <c r="BS3486">
        <v>0</v>
      </c>
      <c r="BT3486">
        <v>0</v>
      </c>
      <c r="BU3486">
        <v>0</v>
      </c>
      <c r="CE3486" t="str">
        <f t="shared" si="1381"/>
        <v>15:14:12.670</v>
      </c>
      <c r="CF3486">
        <v>669986079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3</v>
      </c>
      <c r="CY3486">
        <v>7</v>
      </c>
      <c r="CZ3486" t="s">
        <v>133</v>
      </c>
      <c r="DA3486">
        <v>275</v>
      </c>
      <c r="DB3486">
        <v>0</v>
      </c>
      <c r="DC3486" t="s">
        <v>134</v>
      </c>
      <c r="DD3486" t="s">
        <v>135</v>
      </c>
      <c r="DG3486">
        <v>3322720</v>
      </c>
      <c r="DI3486">
        <v>1</v>
      </c>
      <c r="DJ3486">
        <v>0</v>
      </c>
      <c r="DK3486">
        <v>1</v>
      </c>
      <c r="DL3486">
        <v>0</v>
      </c>
      <c r="DM3486">
        <v>0</v>
      </c>
      <c r="DN3486">
        <v>0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3">
      <c r="A3487" t="str">
        <f>"05/01/2025 15:14:12.922"</f>
        <v>05/01/2025 15:14:12.922</v>
      </c>
      <c r="C3487" t="str">
        <f t="shared" si="1368"/>
        <v>FFDFD3C0</v>
      </c>
      <c r="D3487" t="s">
        <v>136</v>
      </c>
      <c r="E3487" t="str">
        <f>"20"</f>
        <v>20</v>
      </c>
      <c r="H3487">
        <v>400</v>
      </c>
      <c r="I3487" t="s">
        <v>137</v>
      </c>
      <c r="J3487" t="s">
        <v>138</v>
      </c>
      <c r="K3487">
        <v>0</v>
      </c>
      <c r="L3487">
        <v>3</v>
      </c>
      <c r="M3487">
        <v>0</v>
      </c>
      <c r="N3487">
        <v>2</v>
      </c>
      <c r="O3487">
        <v>0</v>
      </c>
      <c r="P3487">
        <v>1</v>
      </c>
      <c r="Q3487">
        <v>0</v>
      </c>
      <c r="R3487" t="s">
        <v>127</v>
      </c>
      <c r="S3487" t="str">
        <f t="shared" si="1380"/>
        <v>15:14:12.000</v>
      </c>
      <c r="T3487" t="str">
        <f t="shared" si="1380"/>
        <v>15:14:12.000</v>
      </c>
      <c r="U3487" t="str">
        <f t="shared" si="1370"/>
        <v>A68FCB</v>
      </c>
      <c r="V3487">
        <v>0</v>
      </c>
      <c r="W3487">
        <v>0</v>
      </c>
      <c r="X3487">
        <v>2</v>
      </c>
      <c r="Y3487">
        <v>0</v>
      </c>
      <c r="AA3487">
        <v>1</v>
      </c>
      <c r="AB3487">
        <v>8</v>
      </c>
      <c r="AC3487">
        <v>3</v>
      </c>
      <c r="AD3487">
        <v>0</v>
      </c>
      <c r="AE3487">
        <v>9</v>
      </c>
      <c r="AF3487" t="s">
        <v>138</v>
      </c>
      <c r="AG3487">
        <v>0</v>
      </c>
      <c r="AH3487">
        <v>3</v>
      </c>
      <c r="AI3487">
        <v>2</v>
      </c>
      <c r="AJ3487">
        <v>0</v>
      </c>
      <c r="AK3487" t="s">
        <v>1137</v>
      </c>
      <c r="AL3487">
        <v>39.147098</v>
      </c>
      <c r="AM3487" t="s">
        <v>1082</v>
      </c>
      <c r="AN3487">
        <v>-121.031313</v>
      </c>
      <c r="AO3487">
        <v>25</v>
      </c>
      <c r="AP3487">
        <v>4200</v>
      </c>
      <c r="AQ3487" t="s">
        <v>131</v>
      </c>
      <c r="AR3487">
        <v>0</v>
      </c>
      <c r="AS3487">
        <v>82</v>
      </c>
      <c r="AT3487">
        <v>-640</v>
      </c>
      <c r="BB3487" t="str">
        <f t="shared" si="1371"/>
        <v>1200</v>
      </c>
      <c r="BC3487">
        <v>1</v>
      </c>
      <c r="BD3487" t="str">
        <f t="shared" si="1372"/>
        <v xml:space="preserve">N52156  </v>
      </c>
      <c r="BE3487">
        <v>1</v>
      </c>
      <c r="BG3487">
        <v>0</v>
      </c>
      <c r="BH3487">
        <v>0</v>
      </c>
      <c r="BI3487">
        <v>0</v>
      </c>
      <c r="BJ3487">
        <v>4225</v>
      </c>
      <c r="BK3487">
        <v>25</v>
      </c>
      <c r="BL3487" t="s">
        <v>188</v>
      </c>
      <c r="BM3487">
        <v>1</v>
      </c>
      <c r="BN3487">
        <v>1</v>
      </c>
      <c r="BO3487">
        <v>0</v>
      </c>
      <c r="BP3487">
        <v>0</v>
      </c>
      <c r="BS3487">
        <v>0</v>
      </c>
      <c r="BT3487">
        <v>0</v>
      </c>
      <c r="BU3487">
        <v>0</v>
      </c>
      <c r="CE3487" t="str">
        <f t="shared" si="1381"/>
        <v>15:14:12.670</v>
      </c>
      <c r="CF3487">
        <v>669986079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3</v>
      </c>
      <c r="CY3487">
        <v>7</v>
      </c>
      <c r="CZ3487" t="s">
        <v>133</v>
      </c>
      <c r="DA3487">
        <v>275</v>
      </c>
      <c r="DB3487">
        <v>0</v>
      </c>
      <c r="DC3487" t="s">
        <v>134</v>
      </c>
      <c r="DD3487" t="s">
        <v>135</v>
      </c>
      <c r="DG3487">
        <v>3322720</v>
      </c>
      <c r="DI3487">
        <v>1</v>
      </c>
      <c r="DJ3487">
        <v>0</v>
      </c>
      <c r="DK3487">
        <v>1</v>
      </c>
      <c r="DL3487">
        <v>0</v>
      </c>
      <c r="DM3487">
        <v>0</v>
      </c>
      <c r="DN3487">
        <v>0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3">
      <c r="A3488" t="str">
        <f>"05/01/2025 15:14:13.859"</f>
        <v>05/01/2025 15:14:13.859</v>
      </c>
      <c r="C3488" t="str">
        <f t="shared" si="1368"/>
        <v>FFDFD3C0</v>
      </c>
      <c r="D3488" t="s">
        <v>145</v>
      </c>
      <c r="E3488" t="str">
        <f>"09"</f>
        <v>09</v>
      </c>
      <c r="H3488">
        <v>51</v>
      </c>
      <c r="I3488" t="s">
        <v>147</v>
      </c>
      <c r="J3488" t="s">
        <v>138</v>
      </c>
      <c r="K3488">
        <v>0</v>
      </c>
      <c r="L3488">
        <v>3</v>
      </c>
      <c r="M3488">
        <v>0</v>
      </c>
      <c r="N3488">
        <v>2</v>
      </c>
      <c r="O3488">
        <v>0</v>
      </c>
      <c r="P3488">
        <v>1</v>
      </c>
      <c r="Q3488">
        <v>0</v>
      </c>
      <c r="R3488" t="s">
        <v>127</v>
      </c>
      <c r="S3488" t="str">
        <f t="shared" ref="S3488:T3493" si="1382">"15:14:13.000"</f>
        <v>15:14:13.000</v>
      </c>
      <c r="T3488" t="str">
        <f t="shared" si="1382"/>
        <v>15:14:13.000</v>
      </c>
      <c r="U3488" t="str">
        <f t="shared" si="1370"/>
        <v>A68FCB</v>
      </c>
      <c r="V3488">
        <v>0</v>
      </c>
      <c r="W3488">
        <v>0</v>
      </c>
      <c r="X3488">
        <v>2</v>
      </c>
      <c r="Y3488">
        <v>0</v>
      </c>
      <c r="AA3488">
        <v>1</v>
      </c>
      <c r="AB3488">
        <v>8</v>
      </c>
      <c r="AC3488">
        <v>3</v>
      </c>
      <c r="AD3488">
        <v>0</v>
      </c>
      <c r="AE3488">
        <v>9</v>
      </c>
      <c r="AF3488" t="s">
        <v>138</v>
      </c>
      <c r="AG3488">
        <v>0</v>
      </c>
      <c r="AH3488">
        <v>3</v>
      </c>
      <c r="AI3488">
        <v>2</v>
      </c>
      <c r="AJ3488">
        <v>0</v>
      </c>
      <c r="AK3488" t="s">
        <v>1138</v>
      </c>
      <c r="AL3488">
        <v>39.147483999999999</v>
      </c>
      <c r="AM3488" t="s">
        <v>1131</v>
      </c>
      <c r="AN3488">
        <v>-121.031291</v>
      </c>
      <c r="AO3488">
        <v>25</v>
      </c>
      <c r="AP3488">
        <v>4200</v>
      </c>
      <c r="AQ3488" t="s">
        <v>131</v>
      </c>
      <c r="AR3488">
        <v>0</v>
      </c>
      <c r="AS3488">
        <v>82</v>
      </c>
      <c r="AT3488">
        <v>-640</v>
      </c>
      <c r="BB3488" t="str">
        <f t="shared" si="1371"/>
        <v>1200</v>
      </c>
      <c r="BC3488">
        <v>1</v>
      </c>
      <c r="BD3488" t="str">
        <f t="shared" si="1372"/>
        <v xml:space="preserve">N52156  </v>
      </c>
      <c r="BE3488">
        <v>1</v>
      </c>
      <c r="BG3488">
        <v>0</v>
      </c>
      <c r="BH3488">
        <v>0</v>
      </c>
      <c r="BI3488">
        <v>0</v>
      </c>
      <c r="BJ3488">
        <v>4225</v>
      </c>
      <c r="BK3488">
        <v>25</v>
      </c>
      <c r="BL3488" t="s">
        <v>188</v>
      </c>
      <c r="BM3488">
        <v>1</v>
      </c>
      <c r="BN3488">
        <v>1</v>
      </c>
      <c r="BO3488">
        <v>0</v>
      </c>
      <c r="BP3488">
        <v>0</v>
      </c>
      <c r="BS3488">
        <v>0</v>
      </c>
      <c r="BT3488">
        <v>0</v>
      </c>
      <c r="BU3488">
        <v>0</v>
      </c>
      <c r="CE3488" t="str">
        <f t="shared" ref="CE3488:CE3493" si="1383">"15:14:13.625"</f>
        <v>15:14:13.625</v>
      </c>
      <c r="CF3488">
        <v>625236060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3</v>
      </c>
      <c r="CY3488">
        <v>7</v>
      </c>
      <c r="CZ3488" t="s">
        <v>133</v>
      </c>
      <c r="DA3488">
        <v>275</v>
      </c>
      <c r="DB3488">
        <v>0</v>
      </c>
      <c r="DC3488" t="s">
        <v>134</v>
      </c>
      <c r="DD3488" t="s">
        <v>135</v>
      </c>
      <c r="DG3488">
        <v>3322725</v>
      </c>
      <c r="DI3488">
        <v>1</v>
      </c>
      <c r="DJ3488">
        <v>0</v>
      </c>
      <c r="DK3488">
        <v>0</v>
      </c>
      <c r="DL3488">
        <v>0</v>
      </c>
      <c r="DM3488">
        <v>0</v>
      </c>
      <c r="DN3488">
        <v>0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3">
      <c r="A3489" t="str">
        <f>"05/01/2025 15:14:13.863"</f>
        <v>05/01/2025 15:14:13.863</v>
      </c>
      <c r="C3489" t="str">
        <f t="shared" si="1368"/>
        <v>FFDFD3C0</v>
      </c>
      <c r="D3489" t="s">
        <v>145</v>
      </c>
      <c r="E3489" t="str">
        <f>"05"</f>
        <v>05</v>
      </c>
      <c r="H3489">
        <v>47</v>
      </c>
      <c r="I3489" t="s">
        <v>146</v>
      </c>
      <c r="J3489" t="s">
        <v>138</v>
      </c>
      <c r="K3489">
        <v>0</v>
      </c>
      <c r="L3489">
        <v>3</v>
      </c>
      <c r="M3489">
        <v>0</v>
      </c>
      <c r="N3489">
        <v>2</v>
      </c>
      <c r="O3489">
        <v>0</v>
      </c>
      <c r="P3489">
        <v>1</v>
      </c>
      <c r="Q3489">
        <v>0</v>
      </c>
      <c r="R3489" t="s">
        <v>127</v>
      </c>
      <c r="S3489" t="str">
        <f t="shared" si="1382"/>
        <v>15:14:13.000</v>
      </c>
      <c r="T3489" t="str">
        <f t="shared" si="1382"/>
        <v>15:14:13.000</v>
      </c>
      <c r="U3489" t="str">
        <f t="shared" si="1370"/>
        <v>A68FCB</v>
      </c>
      <c r="V3489">
        <v>0</v>
      </c>
      <c r="W3489">
        <v>0</v>
      </c>
      <c r="X3489">
        <v>2</v>
      </c>
      <c r="Y3489">
        <v>0</v>
      </c>
      <c r="AA3489">
        <v>1</v>
      </c>
      <c r="AB3489">
        <v>8</v>
      </c>
      <c r="AC3489">
        <v>3</v>
      </c>
      <c r="AD3489">
        <v>0</v>
      </c>
      <c r="AE3489">
        <v>9</v>
      </c>
      <c r="AF3489" t="s">
        <v>138</v>
      </c>
      <c r="AG3489">
        <v>0</v>
      </c>
      <c r="AH3489">
        <v>3</v>
      </c>
      <c r="AI3489">
        <v>2</v>
      </c>
      <c r="AJ3489">
        <v>0</v>
      </c>
      <c r="AK3489" t="s">
        <v>1138</v>
      </c>
      <c r="AL3489">
        <v>39.147483999999999</v>
      </c>
      <c r="AM3489" t="s">
        <v>1131</v>
      </c>
      <c r="AN3489">
        <v>-121.031291</v>
      </c>
      <c r="AO3489">
        <v>25</v>
      </c>
      <c r="AP3489">
        <v>4200</v>
      </c>
      <c r="AQ3489" t="s">
        <v>131</v>
      </c>
      <c r="AR3489">
        <v>0</v>
      </c>
      <c r="AS3489">
        <v>82</v>
      </c>
      <c r="AT3489">
        <v>-640</v>
      </c>
      <c r="BB3489" t="str">
        <f t="shared" si="1371"/>
        <v>1200</v>
      </c>
      <c r="BC3489">
        <v>1</v>
      </c>
      <c r="BD3489" t="str">
        <f t="shared" si="1372"/>
        <v xml:space="preserve">N52156  </v>
      </c>
      <c r="BE3489">
        <v>1</v>
      </c>
      <c r="BG3489">
        <v>0</v>
      </c>
      <c r="BH3489">
        <v>0</v>
      </c>
      <c r="BI3489">
        <v>0</v>
      </c>
      <c r="BJ3489">
        <v>4225</v>
      </c>
      <c r="BK3489">
        <v>25</v>
      </c>
      <c r="BL3489" t="s">
        <v>188</v>
      </c>
      <c r="BM3489">
        <v>1</v>
      </c>
      <c r="BN3489">
        <v>1</v>
      </c>
      <c r="BO3489">
        <v>0</v>
      </c>
      <c r="BP3489">
        <v>0</v>
      </c>
      <c r="BS3489">
        <v>0</v>
      </c>
      <c r="BT3489">
        <v>0</v>
      </c>
      <c r="BU3489">
        <v>0</v>
      </c>
      <c r="CE3489" t="str">
        <f t="shared" si="1383"/>
        <v>15:14:13.625</v>
      </c>
      <c r="CF3489">
        <v>625236060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3</v>
      </c>
      <c r="CY3489">
        <v>7</v>
      </c>
      <c r="CZ3489" t="s">
        <v>133</v>
      </c>
      <c r="DA3489">
        <v>275</v>
      </c>
      <c r="DB3489">
        <v>0</v>
      </c>
      <c r="DC3489" t="s">
        <v>134</v>
      </c>
      <c r="DD3489" t="s">
        <v>135</v>
      </c>
      <c r="DG3489">
        <v>3322725</v>
      </c>
      <c r="DI3489">
        <v>1</v>
      </c>
      <c r="DJ3489">
        <v>0</v>
      </c>
      <c r="DK3489">
        <v>1</v>
      </c>
      <c r="DL3489">
        <v>0</v>
      </c>
      <c r="DM3489">
        <v>0</v>
      </c>
      <c r="DN3489">
        <v>0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3">
      <c r="A3490" t="str">
        <f>"05/01/2025 15:14:13.873"</f>
        <v>05/01/2025 15:14:13.873</v>
      </c>
      <c r="C3490" t="str">
        <f t="shared" si="1368"/>
        <v>FFDFD3C0</v>
      </c>
      <c r="D3490" t="s">
        <v>136</v>
      </c>
      <c r="E3490" t="str">
        <f>"20"</f>
        <v>20</v>
      </c>
      <c r="H3490">
        <v>400</v>
      </c>
      <c r="I3490" t="s">
        <v>137</v>
      </c>
      <c r="J3490" t="s">
        <v>138</v>
      </c>
      <c r="K3490">
        <v>0</v>
      </c>
      <c r="L3490">
        <v>3</v>
      </c>
      <c r="M3490">
        <v>0</v>
      </c>
      <c r="N3490">
        <v>2</v>
      </c>
      <c r="O3490">
        <v>0</v>
      </c>
      <c r="P3490">
        <v>1</v>
      </c>
      <c r="Q3490">
        <v>0</v>
      </c>
      <c r="R3490" t="s">
        <v>127</v>
      </c>
      <c r="S3490" t="str">
        <f t="shared" si="1382"/>
        <v>15:14:13.000</v>
      </c>
      <c r="T3490" t="str">
        <f t="shared" si="1382"/>
        <v>15:14:13.000</v>
      </c>
      <c r="U3490" t="str">
        <f t="shared" si="1370"/>
        <v>A68FCB</v>
      </c>
      <c r="V3490">
        <v>0</v>
      </c>
      <c r="W3490">
        <v>0</v>
      </c>
      <c r="X3490">
        <v>2</v>
      </c>
      <c r="Y3490">
        <v>0</v>
      </c>
      <c r="AA3490">
        <v>1</v>
      </c>
      <c r="AB3490">
        <v>8</v>
      </c>
      <c r="AC3490">
        <v>3</v>
      </c>
      <c r="AD3490">
        <v>0</v>
      </c>
      <c r="AE3490">
        <v>9</v>
      </c>
      <c r="AF3490" t="s">
        <v>138</v>
      </c>
      <c r="AG3490">
        <v>0</v>
      </c>
      <c r="AH3490">
        <v>3</v>
      </c>
      <c r="AI3490">
        <v>2</v>
      </c>
      <c r="AJ3490">
        <v>0</v>
      </c>
      <c r="AK3490" t="s">
        <v>1138</v>
      </c>
      <c r="AL3490">
        <v>39.147483999999999</v>
      </c>
      <c r="AM3490" t="s">
        <v>1131</v>
      </c>
      <c r="AN3490">
        <v>-121.031291</v>
      </c>
      <c r="AO3490">
        <v>25</v>
      </c>
      <c r="AP3490">
        <v>4200</v>
      </c>
      <c r="AQ3490" t="s">
        <v>131</v>
      </c>
      <c r="AR3490">
        <v>0</v>
      </c>
      <c r="AS3490">
        <v>82</v>
      </c>
      <c r="AT3490">
        <v>-640</v>
      </c>
      <c r="BB3490" t="str">
        <f t="shared" si="1371"/>
        <v>1200</v>
      </c>
      <c r="BC3490">
        <v>1</v>
      </c>
      <c r="BD3490" t="str">
        <f t="shared" si="1372"/>
        <v xml:space="preserve">N52156  </v>
      </c>
      <c r="BE3490">
        <v>1</v>
      </c>
      <c r="BG3490">
        <v>0</v>
      </c>
      <c r="BH3490">
        <v>0</v>
      </c>
      <c r="BI3490">
        <v>0</v>
      </c>
      <c r="BJ3490">
        <v>4225</v>
      </c>
      <c r="BK3490">
        <v>25</v>
      </c>
      <c r="BL3490" t="s">
        <v>188</v>
      </c>
      <c r="BM3490">
        <v>1</v>
      </c>
      <c r="BN3490">
        <v>1</v>
      </c>
      <c r="BO3490">
        <v>0</v>
      </c>
      <c r="BP3490">
        <v>0</v>
      </c>
      <c r="BS3490">
        <v>0</v>
      </c>
      <c r="BT3490">
        <v>0</v>
      </c>
      <c r="BU3490">
        <v>0</v>
      </c>
      <c r="CE3490" t="str">
        <f t="shared" si="1383"/>
        <v>15:14:13.625</v>
      </c>
      <c r="CF3490">
        <v>625236060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3</v>
      </c>
      <c r="CY3490">
        <v>7</v>
      </c>
      <c r="CZ3490" t="s">
        <v>133</v>
      </c>
      <c r="DA3490">
        <v>275</v>
      </c>
      <c r="DB3490">
        <v>0</v>
      </c>
      <c r="DC3490" t="s">
        <v>134</v>
      </c>
      <c r="DD3490" t="s">
        <v>135</v>
      </c>
      <c r="DG3490">
        <v>3322725</v>
      </c>
      <c r="DI3490">
        <v>1</v>
      </c>
      <c r="DJ3490">
        <v>0</v>
      </c>
      <c r="DK3490">
        <v>1</v>
      </c>
      <c r="DL3490">
        <v>0</v>
      </c>
      <c r="DM3490">
        <v>0</v>
      </c>
      <c r="DN3490">
        <v>0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3">
      <c r="A3491" t="str">
        <f>"05/01/2025 15:14:13.888"</f>
        <v>05/01/2025 15:14:13.888</v>
      </c>
      <c r="C3491" t="str">
        <f t="shared" si="1368"/>
        <v>FFDFD3C0</v>
      </c>
      <c r="D3491" t="s">
        <v>143</v>
      </c>
      <c r="E3491" t="str">
        <f>"05"</f>
        <v>05</v>
      </c>
      <c r="H3491">
        <v>172</v>
      </c>
      <c r="I3491" t="s">
        <v>141</v>
      </c>
      <c r="J3491" t="s">
        <v>144</v>
      </c>
      <c r="K3491">
        <v>0</v>
      </c>
      <c r="L3491">
        <v>3</v>
      </c>
      <c r="M3491">
        <v>0</v>
      </c>
      <c r="N3491">
        <v>2</v>
      </c>
      <c r="O3491">
        <v>0</v>
      </c>
      <c r="P3491">
        <v>1</v>
      </c>
      <c r="Q3491">
        <v>0</v>
      </c>
      <c r="R3491" t="s">
        <v>127</v>
      </c>
      <c r="S3491" t="str">
        <f t="shared" si="1382"/>
        <v>15:14:13.000</v>
      </c>
      <c r="T3491" t="str">
        <f t="shared" si="1382"/>
        <v>15:14:13.000</v>
      </c>
      <c r="U3491" t="str">
        <f t="shared" si="1370"/>
        <v>A68FCB</v>
      </c>
      <c r="V3491">
        <v>0</v>
      </c>
      <c r="W3491">
        <v>0</v>
      </c>
      <c r="X3491">
        <v>2</v>
      </c>
      <c r="Y3491">
        <v>0</v>
      </c>
      <c r="AA3491">
        <v>1</v>
      </c>
      <c r="AB3491">
        <v>8</v>
      </c>
      <c r="AC3491">
        <v>3</v>
      </c>
      <c r="AD3491">
        <v>0</v>
      </c>
      <c r="AE3491">
        <v>9</v>
      </c>
      <c r="AF3491" t="s">
        <v>138</v>
      </c>
      <c r="AG3491">
        <v>0</v>
      </c>
      <c r="AH3491">
        <v>3</v>
      </c>
      <c r="AI3491">
        <v>2</v>
      </c>
      <c r="AJ3491">
        <v>0</v>
      </c>
      <c r="AK3491" t="s">
        <v>1138</v>
      </c>
      <c r="AL3491">
        <v>39.147483999999999</v>
      </c>
      <c r="AM3491" t="s">
        <v>1131</v>
      </c>
      <c r="AN3491">
        <v>-121.031291</v>
      </c>
      <c r="AO3491">
        <v>25</v>
      </c>
      <c r="AP3491">
        <v>4200</v>
      </c>
      <c r="AQ3491" t="s">
        <v>131</v>
      </c>
      <c r="AR3491">
        <v>0</v>
      </c>
      <c r="AS3491">
        <v>82</v>
      </c>
      <c r="AT3491">
        <v>-640</v>
      </c>
      <c r="BB3491" t="str">
        <f t="shared" si="1371"/>
        <v>1200</v>
      </c>
      <c r="BC3491">
        <v>1</v>
      </c>
      <c r="BD3491" t="str">
        <f t="shared" si="1372"/>
        <v xml:space="preserve">N52156  </v>
      </c>
      <c r="BE3491">
        <v>1</v>
      </c>
      <c r="BG3491">
        <v>0</v>
      </c>
      <c r="BH3491">
        <v>0</v>
      </c>
      <c r="BI3491">
        <v>0</v>
      </c>
      <c r="BJ3491">
        <v>4225</v>
      </c>
      <c r="BK3491">
        <v>25</v>
      </c>
      <c r="BL3491" t="s">
        <v>188</v>
      </c>
      <c r="BM3491">
        <v>1</v>
      </c>
      <c r="BN3491">
        <v>1</v>
      </c>
      <c r="BO3491">
        <v>0</v>
      </c>
      <c r="BP3491">
        <v>0</v>
      </c>
      <c r="BS3491">
        <v>0</v>
      </c>
      <c r="BT3491">
        <v>0</v>
      </c>
      <c r="BU3491">
        <v>0</v>
      </c>
      <c r="CE3491" t="str">
        <f t="shared" si="1383"/>
        <v>15:14:13.625</v>
      </c>
      <c r="CF3491">
        <v>625236060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3</v>
      </c>
      <c r="CY3491">
        <v>7</v>
      </c>
      <c r="CZ3491" t="s">
        <v>133</v>
      </c>
      <c r="DA3491">
        <v>275</v>
      </c>
      <c r="DB3491">
        <v>0</v>
      </c>
      <c r="DC3491" t="s">
        <v>134</v>
      </c>
      <c r="DD3491" t="s">
        <v>135</v>
      </c>
      <c r="DG3491">
        <v>3322725</v>
      </c>
      <c r="DI3491">
        <v>1</v>
      </c>
      <c r="DJ3491">
        <v>0</v>
      </c>
      <c r="DK3491">
        <v>1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3">
      <c r="A3492" t="str">
        <f>"05/01/2025 15:14:13.898"</f>
        <v>05/01/2025 15:14:13.898</v>
      </c>
      <c r="C3492" t="str">
        <f t="shared" si="1368"/>
        <v>FFDFD3C0</v>
      </c>
      <c r="D3492" t="s">
        <v>140</v>
      </c>
      <c r="E3492" t="str">
        <f>"13"</f>
        <v>13</v>
      </c>
      <c r="F3492">
        <v>1019</v>
      </c>
      <c r="G3492" t="s">
        <v>141</v>
      </c>
      <c r="J3492" t="s">
        <v>142</v>
      </c>
      <c r="K3492">
        <v>0</v>
      </c>
      <c r="L3492">
        <v>3</v>
      </c>
      <c r="M3492">
        <v>0</v>
      </c>
      <c r="N3492">
        <v>2</v>
      </c>
      <c r="O3492">
        <v>0</v>
      </c>
      <c r="P3492">
        <v>1</v>
      </c>
      <c r="Q3492">
        <v>0</v>
      </c>
      <c r="R3492" t="s">
        <v>127</v>
      </c>
      <c r="S3492" t="str">
        <f t="shared" si="1382"/>
        <v>15:14:13.000</v>
      </c>
      <c r="T3492" t="str">
        <f t="shared" si="1382"/>
        <v>15:14:13.000</v>
      </c>
      <c r="U3492" t="str">
        <f t="shared" si="1370"/>
        <v>A68FCB</v>
      </c>
      <c r="V3492">
        <v>0</v>
      </c>
      <c r="W3492">
        <v>0</v>
      </c>
      <c r="X3492">
        <v>2</v>
      </c>
      <c r="Y3492">
        <v>0</v>
      </c>
      <c r="AA3492">
        <v>1</v>
      </c>
      <c r="AB3492">
        <v>8</v>
      </c>
      <c r="AC3492">
        <v>3</v>
      </c>
      <c r="AD3492">
        <v>0</v>
      </c>
      <c r="AE3492">
        <v>9</v>
      </c>
      <c r="AF3492" t="s">
        <v>138</v>
      </c>
      <c r="AG3492">
        <v>0</v>
      </c>
      <c r="AH3492">
        <v>3</v>
      </c>
      <c r="AI3492">
        <v>2</v>
      </c>
      <c r="AJ3492">
        <v>0</v>
      </c>
      <c r="AK3492" t="s">
        <v>1138</v>
      </c>
      <c r="AL3492">
        <v>39.147483999999999</v>
      </c>
      <c r="AM3492" t="s">
        <v>1131</v>
      </c>
      <c r="AN3492">
        <v>-121.031291</v>
      </c>
      <c r="AO3492">
        <v>25</v>
      </c>
      <c r="AP3492">
        <v>4200</v>
      </c>
      <c r="AQ3492" t="s">
        <v>131</v>
      </c>
      <c r="AR3492">
        <v>0</v>
      </c>
      <c r="AS3492">
        <v>82</v>
      </c>
      <c r="AT3492">
        <v>-640</v>
      </c>
      <c r="BB3492" t="str">
        <f t="shared" si="1371"/>
        <v>1200</v>
      </c>
      <c r="BC3492">
        <v>1</v>
      </c>
      <c r="BD3492" t="str">
        <f t="shared" si="1372"/>
        <v xml:space="preserve">N52156  </v>
      </c>
      <c r="BE3492">
        <v>1</v>
      </c>
      <c r="BG3492">
        <v>0</v>
      </c>
      <c r="BH3492">
        <v>0</v>
      </c>
      <c r="BI3492">
        <v>0</v>
      </c>
      <c r="BJ3492">
        <v>4225</v>
      </c>
      <c r="BK3492">
        <v>25</v>
      </c>
      <c r="BL3492" t="s">
        <v>188</v>
      </c>
      <c r="BM3492">
        <v>1</v>
      </c>
      <c r="BN3492">
        <v>1</v>
      </c>
      <c r="BO3492">
        <v>0</v>
      </c>
      <c r="BP3492">
        <v>0</v>
      </c>
      <c r="BS3492">
        <v>0</v>
      </c>
      <c r="BT3492">
        <v>0</v>
      </c>
      <c r="BU3492">
        <v>0</v>
      </c>
      <c r="CE3492" t="str">
        <f t="shared" si="1383"/>
        <v>15:14:13.625</v>
      </c>
      <c r="CF3492">
        <v>625236060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3</v>
      </c>
      <c r="CY3492">
        <v>7</v>
      </c>
      <c r="CZ3492" t="s">
        <v>133</v>
      </c>
      <c r="DA3492">
        <v>275</v>
      </c>
      <c r="DB3492">
        <v>0</v>
      </c>
      <c r="DC3492" t="s">
        <v>134</v>
      </c>
      <c r="DD3492" t="s">
        <v>135</v>
      </c>
      <c r="DG3492">
        <v>3322725</v>
      </c>
      <c r="DI3492">
        <v>1</v>
      </c>
      <c r="DJ3492">
        <v>0</v>
      </c>
      <c r="DK3492">
        <v>1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3">
      <c r="A3493" t="str">
        <f>"05/01/2025 15:14:13.899"</f>
        <v>05/01/2025 15:14:13.899</v>
      </c>
      <c r="C3493" t="str">
        <f t="shared" si="1368"/>
        <v>FFDFD3C0</v>
      </c>
      <c r="D3493" t="s">
        <v>124</v>
      </c>
      <c r="E3493" t="str">
        <f>"06"</f>
        <v>06</v>
      </c>
      <c r="F3493">
        <v>2006</v>
      </c>
      <c r="G3493" t="s">
        <v>125</v>
      </c>
      <c r="J3493" t="s">
        <v>126</v>
      </c>
      <c r="K3493">
        <v>0</v>
      </c>
      <c r="L3493">
        <v>3</v>
      </c>
      <c r="M3493">
        <v>0</v>
      </c>
      <c r="N3493">
        <v>2</v>
      </c>
      <c r="O3493">
        <v>0</v>
      </c>
      <c r="P3493">
        <v>1</v>
      </c>
      <c r="Q3493">
        <v>0</v>
      </c>
      <c r="R3493" t="s">
        <v>127</v>
      </c>
      <c r="S3493" t="str">
        <f t="shared" si="1382"/>
        <v>15:14:13.000</v>
      </c>
      <c r="T3493" t="str">
        <f t="shared" si="1382"/>
        <v>15:14:13.000</v>
      </c>
      <c r="U3493" t="str">
        <f t="shared" si="1370"/>
        <v>A68FCB</v>
      </c>
      <c r="V3493">
        <v>0</v>
      </c>
      <c r="W3493">
        <v>0</v>
      </c>
      <c r="X3493">
        <v>2</v>
      </c>
      <c r="Y3493">
        <v>0</v>
      </c>
      <c r="AA3493">
        <v>1</v>
      </c>
      <c r="AB3493">
        <v>8</v>
      </c>
      <c r="AC3493">
        <v>3</v>
      </c>
      <c r="AD3493">
        <v>0</v>
      </c>
      <c r="AE3493">
        <v>9</v>
      </c>
      <c r="AF3493" t="s">
        <v>138</v>
      </c>
      <c r="AG3493">
        <v>0</v>
      </c>
      <c r="AH3493">
        <v>3</v>
      </c>
      <c r="AI3493">
        <v>2</v>
      </c>
      <c r="AJ3493">
        <v>0</v>
      </c>
      <c r="AK3493" t="s">
        <v>1138</v>
      </c>
      <c r="AL3493">
        <v>39.147483999999999</v>
      </c>
      <c r="AM3493" t="s">
        <v>1131</v>
      </c>
      <c r="AN3493">
        <v>-121.031291</v>
      </c>
      <c r="AO3493">
        <v>25</v>
      </c>
      <c r="AP3493">
        <v>4200</v>
      </c>
      <c r="AQ3493" t="s">
        <v>131</v>
      </c>
      <c r="AR3493">
        <v>0</v>
      </c>
      <c r="AS3493">
        <v>82</v>
      </c>
      <c r="AT3493">
        <v>-640</v>
      </c>
      <c r="BB3493" t="str">
        <f t="shared" si="1371"/>
        <v>1200</v>
      </c>
      <c r="BC3493">
        <v>1</v>
      </c>
      <c r="BD3493" t="str">
        <f t="shared" si="1372"/>
        <v xml:space="preserve">N52156  </v>
      </c>
      <c r="BE3493">
        <v>1</v>
      </c>
      <c r="BG3493">
        <v>0</v>
      </c>
      <c r="BH3493">
        <v>0</v>
      </c>
      <c r="BI3493">
        <v>0</v>
      </c>
      <c r="BJ3493">
        <v>4225</v>
      </c>
      <c r="BK3493">
        <v>25</v>
      </c>
      <c r="BL3493" t="s">
        <v>188</v>
      </c>
      <c r="BM3493">
        <v>1</v>
      </c>
      <c r="BN3493">
        <v>1</v>
      </c>
      <c r="BO3493">
        <v>0</v>
      </c>
      <c r="BP3493">
        <v>0</v>
      </c>
      <c r="BS3493">
        <v>0</v>
      </c>
      <c r="BT3493">
        <v>0</v>
      </c>
      <c r="BU3493">
        <v>0</v>
      </c>
      <c r="CE3493" t="str">
        <f t="shared" si="1383"/>
        <v>15:14:13.625</v>
      </c>
      <c r="CF3493">
        <v>625236060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3</v>
      </c>
      <c r="CY3493">
        <v>7</v>
      </c>
      <c r="CZ3493" t="s">
        <v>133</v>
      </c>
      <c r="DA3493">
        <v>275</v>
      </c>
      <c r="DB3493">
        <v>0</v>
      </c>
      <c r="DC3493" t="s">
        <v>134</v>
      </c>
      <c r="DD3493" t="s">
        <v>135</v>
      </c>
      <c r="DG3493">
        <v>3322725</v>
      </c>
      <c r="DI3493">
        <v>1</v>
      </c>
      <c r="DJ3493">
        <v>0</v>
      </c>
      <c r="DK3493">
        <v>1</v>
      </c>
      <c r="DL3493">
        <v>0</v>
      </c>
      <c r="DM3493">
        <v>0</v>
      </c>
      <c r="DN3493">
        <v>0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3">
      <c r="A3494" t="str">
        <f>"05/01/2025 15:14:14.460"</f>
        <v>05/01/2025 15:14:14.460</v>
      </c>
      <c r="C3494" t="str">
        <f t="shared" si="1368"/>
        <v>FFDFD3C0</v>
      </c>
      <c r="D3494" t="s">
        <v>145</v>
      </c>
      <c r="E3494" t="str">
        <f>"09"</f>
        <v>09</v>
      </c>
      <c r="H3494">
        <v>51</v>
      </c>
      <c r="I3494" t="s">
        <v>147</v>
      </c>
      <c r="J3494" t="s">
        <v>138</v>
      </c>
      <c r="K3494">
        <v>0</v>
      </c>
      <c r="L3494">
        <v>3</v>
      </c>
      <c r="M3494">
        <v>0</v>
      </c>
      <c r="N3494">
        <v>2</v>
      </c>
      <c r="O3494">
        <v>0</v>
      </c>
      <c r="P3494">
        <v>1</v>
      </c>
      <c r="Q3494">
        <v>0</v>
      </c>
      <c r="R3494" t="s">
        <v>127</v>
      </c>
      <c r="S3494" t="str">
        <f t="shared" ref="S3494:T3499" si="1384">"15:14:14.000"</f>
        <v>15:14:14.000</v>
      </c>
      <c r="T3494" t="str">
        <f t="shared" si="1384"/>
        <v>15:14:14.000</v>
      </c>
      <c r="U3494" t="str">
        <f t="shared" si="1370"/>
        <v>A68FCB</v>
      </c>
      <c r="V3494">
        <v>0</v>
      </c>
      <c r="W3494">
        <v>0</v>
      </c>
      <c r="X3494">
        <v>2</v>
      </c>
      <c r="Y3494">
        <v>0</v>
      </c>
      <c r="AA3494">
        <v>1</v>
      </c>
      <c r="AB3494">
        <v>8</v>
      </c>
      <c r="AC3494">
        <v>3</v>
      </c>
      <c r="AD3494">
        <v>0</v>
      </c>
      <c r="AE3494">
        <v>9</v>
      </c>
      <c r="AF3494" t="s">
        <v>138</v>
      </c>
      <c r="AG3494">
        <v>0</v>
      </c>
      <c r="AH3494">
        <v>3</v>
      </c>
      <c r="AI3494">
        <v>2</v>
      </c>
      <c r="AJ3494">
        <v>0</v>
      </c>
      <c r="AK3494" t="s">
        <v>1139</v>
      </c>
      <c r="AL3494">
        <v>39.147891999999999</v>
      </c>
      <c r="AM3494" t="s">
        <v>1084</v>
      </c>
      <c r="AN3494">
        <v>-121.03127000000001</v>
      </c>
      <c r="AO3494">
        <v>25</v>
      </c>
      <c r="AP3494">
        <v>4100</v>
      </c>
      <c r="AQ3494" t="s">
        <v>131</v>
      </c>
      <c r="AR3494">
        <v>0</v>
      </c>
      <c r="AS3494">
        <v>81</v>
      </c>
      <c r="AT3494">
        <v>-640</v>
      </c>
      <c r="BB3494" t="str">
        <f t="shared" si="1371"/>
        <v>1200</v>
      </c>
      <c r="BC3494">
        <v>1</v>
      </c>
      <c r="BD3494" t="str">
        <f t="shared" si="1372"/>
        <v xml:space="preserve">N52156  </v>
      </c>
      <c r="BE3494">
        <v>1</v>
      </c>
      <c r="BG3494">
        <v>0</v>
      </c>
      <c r="BH3494">
        <v>0</v>
      </c>
      <c r="BI3494">
        <v>0</v>
      </c>
      <c r="BJ3494">
        <v>4225</v>
      </c>
      <c r="BK3494">
        <v>125</v>
      </c>
      <c r="BL3494" t="s">
        <v>188</v>
      </c>
      <c r="BM3494">
        <v>1</v>
      </c>
      <c r="BN3494">
        <v>1</v>
      </c>
      <c r="BO3494">
        <v>0</v>
      </c>
      <c r="BP3494">
        <v>0</v>
      </c>
      <c r="BS3494">
        <v>0</v>
      </c>
      <c r="BT3494">
        <v>0</v>
      </c>
      <c r="BU3494">
        <v>0</v>
      </c>
      <c r="CE3494" t="str">
        <f t="shared" ref="CE3494:CE3499" si="1385">"15:14:14.251"</f>
        <v>15:14:14.251</v>
      </c>
      <c r="CF3494">
        <v>251235173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3</v>
      </c>
      <c r="CY3494">
        <v>7</v>
      </c>
      <c r="CZ3494" t="s">
        <v>133</v>
      </c>
      <c r="DA3494">
        <v>275</v>
      </c>
      <c r="DB3494">
        <v>0</v>
      </c>
      <c r="DC3494" t="s">
        <v>134</v>
      </c>
      <c r="DD3494" t="s">
        <v>135</v>
      </c>
      <c r="DG3494">
        <v>3322729</v>
      </c>
      <c r="DI3494">
        <v>1</v>
      </c>
      <c r="DJ3494">
        <v>0</v>
      </c>
      <c r="DK3494">
        <v>0</v>
      </c>
      <c r="DL3494">
        <v>0</v>
      </c>
      <c r="DM3494">
        <v>0</v>
      </c>
      <c r="DN3494">
        <v>0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3">
      <c r="A3495" t="str">
        <f>"05/01/2025 15:14:14.463"</f>
        <v>05/01/2025 15:14:14.463</v>
      </c>
      <c r="C3495" t="str">
        <f t="shared" si="1368"/>
        <v>FFDFD3C0</v>
      </c>
      <c r="D3495" t="s">
        <v>145</v>
      </c>
      <c r="E3495" t="str">
        <f>"05"</f>
        <v>05</v>
      </c>
      <c r="H3495">
        <v>47</v>
      </c>
      <c r="I3495" t="s">
        <v>146</v>
      </c>
      <c r="J3495" t="s">
        <v>138</v>
      </c>
      <c r="K3495">
        <v>0</v>
      </c>
      <c r="L3495">
        <v>3</v>
      </c>
      <c r="M3495">
        <v>0</v>
      </c>
      <c r="N3495">
        <v>2</v>
      </c>
      <c r="O3495">
        <v>0</v>
      </c>
      <c r="P3495">
        <v>1</v>
      </c>
      <c r="Q3495">
        <v>0</v>
      </c>
      <c r="R3495" t="s">
        <v>127</v>
      </c>
      <c r="S3495" t="str">
        <f t="shared" si="1384"/>
        <v>15:14:14.000</v>
      </c>
      <c r="T3495" t="str">
        <f t="shared" si="1384"/>
        <v>15:14:14.000</v>
      </c>
      <c r="U3495" t="str">
        <f t="shared" si="1370"/>
        <v>A68FCB</v>
      </c>
      <c r="V3495">
        <v>0</v>
      </c>
      <c r="W3495">
        <v>0</v>
      </c>
      <c r="X3495">
        <v>2</v>
      </c>
      <c r="Y3495">
        <v>0</v>
      </c>
      <c r="AA3495">
        <v>1</v>
      </c>
      <c r="AB3495">
        <v>8</v>
      </c>
      <c r="AC3495">
        <v>3</v>
      </c>
      <c r="AD3495">
        <v>0</v>
      </c>
      <c r="AE3495">
        <v>9</v>
      </c>
      <c r="AF3495" t="s">
        <v>138</v>
      </c>
      <c r="AG3495">
        <v>0</v>
      </c>
      <c r="AH3495">
        <v>3</v>
      </c>
      <c r="AI3495">
        <v>2</v>
      </c>
      <c r="AJ3495">
        <v>0</v>
      </c>
      <c r="AK3495" t="s">
        <v>1139</v>
      </c>
      <c r="AL3495">
        <v>39.147891999999999</v>
      </c>
      <c r="AM3495" t="s">
        <v>1084</v>
      </c>
      <c r="AN3495">
        <v>-121.03127000000001</v>
      </c>
      <c r="AO3495">
        <v>25</v>
      </c>
      <c r="AP3495">
        <v>4100</v>
      </c>
      <c r="AQ3495" t="s">
        <v>131</v>
      </c>
      <c r="AR3495">
        <v>0</v>
      </c>
      <c r="AS3495">
        <v>81</v>
      </c>
      <c r="AT3495">
        <v>-640</v>
      </c>
      <c r="BB3495" t="str">
        <f t="shared" si="1371"/>
        <v>1200</v>
      </c>
      <c r="BC3495">
        <v>1</v>
      </c>
      <c r="BD3495" t="str">
        <f t="shared" si="1372"/>
        <v xml:space="preserve">N52156  </v>
      </c>
      <c r="BE3495">
        <v>1</v>
      </c>
      <c r="BG3495">
        <v>0</v>
      </c>
      <c r="BH3495">
        <v>0</v>
      </c>
      <c r="BI3495">
        <v>0</v>
      </c>
      <c r="BJ3495">
        <v>4225</v>
      </c>
      <c r="BK3495">
        <v>125</v>
      </c>
      <c r="BL3495" t="s">
        <v>188</v>
      </c>
      <c r="BM3495">
        <v>1</v>
      </c>
      <c r="BN3495">
        <v>1</v>
      </c>
      <c r="BO3495">
        <v>0</v>
      </c>
      <c r="BP3495">
        <v>0</v>
      </c>
      <c r="BS3495">
        <v>0</v>
      </c>
      <c r="BT3495">
        <v>0</v>
      </c>
      <c r="BU3495">
        <v>0</v>
      </c>
      <c r="CE3495" t="str">
        <f t="shared" si="1385"/>
        <v>15:14:14.251</v>
      </c>
      <c r="CF3495">
        <v>251235173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3</v>
      </c>
      <c r="CY3495">
        <v>7</v>
      </c>
      <c r="CZ3495" t="s">
        <v>133</v>
      </c>
      <c r="DA3495">
        <v>275</v>
      </c>
      <c r="DB3495">
        <v>0</v>
      </c>
      <c r="DC3495" t="s">
        <v>134</v>
      </c>
      <c r="DD3495" t="s">
        <v>135</v>
      </c>
      <c r="DG3495">
        <v>3322729</v>
      </c>
      <c r="DI3495">
        <v>1</v>
      </c>
      <c r="DJ3495">
        <v>0</v>
      </c>
      <c r="DK3495">
        <v>1</v>
      </c>
      <c r="DL3495">
        <v>0</v>
      </c>
      <c r="DM3495">
        <v>0</v>
      </c>
      <c r="DN3495">
        <v>0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3">
      <c r="A3496" t="str">
        <f>"05/01/2025 15:14:14.474"</f>
        <v>05/01/2025 15:14:14.474</v>
      </c>
      <c r="C3496" t="str">
        <f t="shared" si="1368"/>
        <v>FFDFD3C0</v>
      </c>
      <c r="D3496" t="s">
        <v>136</v>
      </c>
      <c r="E3496" t="str">
        <f>"20"</f>
        <v>20</v>
      </c>
      <c r="H3496">
        <v>400</v>
      </c>
      <c r="I3496" t="s">
        <v>137</v>
      </c>
      <c r="J3496" t="s">
        <v>138</v>
      </c>
      <c r="K3496">
        <v>0</v>
      </c>
      <c r="L3496">
        <v>3</v>
      </c>
      <c r="M3496">
        <v>0</v>
      </c>
      <c r="N3496">
        <v>2</v>
      </c>
      <c r="O3496">
        <v>0</v>
      </c>
      <c r="P3496">
        <v>1</v>
      </c>
      <c r="Q3496">
        <v>0</v>
      </c>
      <c r="R3496" t="s">
        <v>127</v>
      </c>
      <c r="S3496" t="str">
        <f t="shared" si="1384"/>
        <v>15:14:14.000</v>
      </c>
      <c r="T3496" t="str">
        <f t="shared" si="1384"/>
        <v>15:14:14.000</v>
      </c>
      <c r="U3496" t="str">
        <f t="shared" si="1370"/>
        <v>A68FCB</v>
      </c>
      <c r="V3496">
        <v>0</v>
      </c>
      <c r="W3496">
        <v>0</v>
      </c>
      <c r="X3496">
        <v>2</v>
      </c>
      <c r="Y3496">
        <v>0</v>
      </c>
      <c r="AA3496">
        <v>1</v>
      </c>
      <c r="AB3496">
        <v>8</v>
      </c>
      <c r="AC3496">
        <v>3</v>
      </c>
      <c r="AD3496">
        <v>0</v>
      </c>
      <c r="AE3496">
        <v>9</v>
      </c>
      <c r="AF3496" t="s">
        <v>138</v>
      </c>
      <c r="AG3496">
        <v>0</v>
      </c>
      <c r="AH3496">
        <v>3</v>
      </c>
      <c r="AI3496">
        <v>2</v>
      </c>
      <c r="AJ3496">
        <v>0</v>
      </c>
      <c r="AK3496" t="s">
        <v>1139</v>
      </c>
      <c r="AL3496">
        <v>39.147891999999999</v>
      </c>
      <c r="AM3496" t="s">
        <v>1084</v>
      </c>
      <c r="AN3496">
        <v>-121.03127000000001</v>
      </c>
      <c r="AO3496">
        <v>25</v>
      </c>
      <c r="AP3496">
        <v>4100</v>
      </c>
      <c r="AQ3496" t="s">
        <v>131</v>
      </c>
      <c r="AR3496">
        <v>0</v>
      </c>
      <c r="AS3496">
        <v>81</v>
      </c>
      <c r="AT3496">
        <v>-640</v>
      </c>
      <c r="BB3496" t="str">
        <f t="shared" si="1371"/>
        <v>1200</v>
      </c>
      <c r="BC3496">
        <v>1</v>
      </c>
      <c r="BD3496" t="str">
        <f t="shared" si="1372"/>
        <v xml:space="preserve">N52156  </v>
      </c>
      <c r="BE3496">
        <v>1</v>
      </c>
      <c r="BG3496">
        <v>0</v>
      </c>
      <c r="BH3496">
        <v>0</v>
      </c>
      <c r="BI3496">
        <v>0</v>
      </c>
      <c r="BJ3496">
        <v>4225</v>
      </c>
      <c r="BK3496">
        <v>125</v>
      </c>
      <c r="BL3496" t="s">
        <v>188</v>
      </c>
      <c r="BM3496">
        <v>1</v>
      </c>
      <c r="BN3496">
        <v>1</v>
      </c>
      <c r="BO3496">
        <v>0</v>
      </c>
      <c r="BP3496">
        <v>0</v>
      </c>
      <c r="BS3496">
        <v>0</v>
      </c>
      <c r="BT3496">
        <v>0</v>
      </c>
      <c r="BU3496">
        <v>0</v>
      </c>
      <c r="CE3496" t="str">
        <f t="shared" si="1385"/>
        <v>15:14:14.251</v>
      </c>
      <c r="CF3496">
        <v>251235173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3</v>
      </c>
      <c r="CY3496">
        <v>7</v>
      </c>
      <c r="CZ3496" t="s">
        <v>133</v>
      </c>
      <c r="DA3496">
        <v>275</v>
      </c>
      <c r="DB3496">
        <v>0</v>
      </c>
      <c r="DC3496" t="s">
        <v>134</v>
      </c>
      <c r="DD3496" t="s">
        <v>135</v>
      </c>
      <c r="DG3496">
        <v>3322729</v>
      </c>
      <c r="DI3496">
        <v>1</v>
      </c>
      <c r="DJ3496">
        <v>0</v>
      </c>
      <c r="DK3496">
        <v>1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3">
      <c r="A3497" t="str">
        <f>"05/01/2025 15:14:14.489"</f>
        <v>05/01/2025 15:14:14.489</v>
      </c>
      <c r="C3497" t="str">
        <f t="shared" si="1368"/>
        <v>FFDFD3C0</v>
      </c>
      <c r="D3497" t="s">
        <v>143</v>
      </c>
      <c r="E3497" t="str">
        <f>"05"</f>
        <v>05</v>
      </c>
      <c r="H3497">
        <v>172</v>
      </c>
      <c r="I3497" t="s">
        <v>141</v>
      </c>
      <c r="J3497" t="s">
        <v>144</v>
      </c>
      <c r="K3497">
        <v>0</v>
      </c>
      <c r="L3497">
        <v>3</v>
      </c>
      <c r="M3497">
        <v>0</v>
      </c>
      <c r="N3497">
        <v>2</v>
      </c>
      <c r="O3497">
        <v>0</v>
      </c>
      <c r="P3497">
        <v>1</v>
      </c>
      <c r="Q3497">
        <v>0</v>
      </c>
      <c r="R3497" t="s">
        <v>127</v>
      </c>
      <c r="S3497" t="str">
        <f t="shared" si="1384"/>
        <v>15:14:14.000</v>
      </c>
      <c r="T3497" t="str">
        <f t="shared" si="1384"/>
        <v>15:14:14.000</v>
      </c>
      <c r="U3497" t="str">
        <f t="shared" si="1370"/>
        <v>A68FCB</v>
      </c>
      <c r="V3497">
        <v>0</v>
      </c>
      <c r="W3497">
        <v>0</v>
      </c>
      <c r="X3497">
        <v>2</v>
      </c>
      <c r="Y3497">
        <v>0</v>
      </c>
      <c r="AA3497">
        <v>1</v>
      </c>
      <c r="AB3497">
        <v>8</v>
      </c>
      <c r="AC3497">
        <v>3</v>
      </c>
      <c r="AD3497">
        <v>0</v>
      </c>
      <c r="AE3497">
        <v>9</v>
      </c>
      <c r="AF3497" t="s">
        <v>138</v>
      </c>
      <c r="AG3497">
        <v>0</v>
      </c>
      <c r="AH3497">
        <v>3</v>
      </c>
      <c r="AI3497">
        <v>2</v>
      </c>
      <c r="AJ3497">
        <v>0</v>
      </c>
      <c r="AK3497" t="s">
        <v>1139</v>
      </c>
      <c r="AL3497">
        <v>39.147891999999999</v>
      </c>
      <c r="AM3497" t="s">
        <v>1084</v>
      </c>
      <c r="AN3497">
        <v>-121.03127000000001</v>
      </c>
      <c r="AO3497">
        <v>25</v>
      </c>
      <c r="AP3497">
        <v>4100</v>
      </c>
      <c r="AQ3497" t="s">
        <v>131</v>
      </c>
      <c r="AR3497">
        <v>0</v>
      </c>
      <c r="AS3497">
        <v>81</v>
      </c>
      <c r="AT3497">
        <v>-640</v>
      </c>
      <c r="BB3497" t="str">
        <f t="shared" si="1371"/>
        <v>1200</v>
      </c>
      <c r="BC3497">
        <v>1</v>
      </c>
      <c r="BD3497" t="str">
        <f t="shared" si="1372"/>
        <v xml:space="preserve">N52156  </v>
      </c>
      <c r="BE3497">
        <v>1</v>
      </c>
      <c r="BG3497">
        <v>0</v>
      </c>
      <c r="BH3497">
        <v>0</v>
      </c>
      <c r="BI3497">
        <v>0</v>
      </c>
      <c r="BJ3497">
        <v>4225</v>
      </c>
      <c r="BK3497">
        <v>125</v>
      </c>
      <c r="BL3497" t="s">
        <v>188</v>
      </c>
      <c r="BM3497">
        <v>1</v>
      </c>
      <c r="BN3497">
        <v>1</v>
      </c>
      <c r="BO3497">
        <v>0</v>
      </c>
      <c r="BP3497">
        <v>0</v>
      </c>
      <c r="BS3497">
        <v>0</v>
      </c>
      <c r="BT3497">
        <v>0</v>
      </c>
      <c r="BU3497">
        <v>0</v>
      </c>
      <c r="CE3497" t="str">
        <f t="shared" si="1385"/>
        <v>15:14:14.251</v>
      </c>
      <c r="CF3497">
        <v>251235173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3</v>
      </c>
      <c r="CY3497">
        <v>7</v>
      </c>
      <c r="CZ3497" t="s">
        <v>133</v>
      </c>
      <c r="DA3497">
        <v>275</v>
      </c>
      <c r="DB3497">
        <v>0</v>
      </c>
      <c r="DC3497" t="s">
        <v>134</v>
      </c>
      <c r="DD3497" t="s">
        <v>135</v>
      </c>
      <c r="DG3497">
        <v>3322729</v>
      </c>
      <c r="DI3497">
        <v>1</v>
      </c>
      <c r="DJ3497">
        <v>0</v>
      </c>
      <c r="DK3497">
        <v>1</v>
      </c>
      <c r="DL3497">
        <v>0</v>
      </c>
      <c r="DM3497">
        <v>0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3">
      <c r="A3498" t="str">
        <f>"05/01/2025 15:14:14.499"</f>
        <v>05/01/2025 15:14:14.499</v>
      </c>
      <c r="C3498" t="str">
        <f t="shared" si="1368"/>
        <v>FFDFD3C0</v>
      </c>
      <c r="D3498" t="s">
        <v>140</v>
      </c>
      <c r="E3498" t="str">
        <f>"13"</f>
        <v>13</v>
      </c>
      <c r="F3498">
        <v>1019</v>
      </c>
      <c r="G3498" t="s">
        <v>141</v>
      </c>
      <c r="J3498" t="s">
        <v>142</v>
      </c>
      <c r="K3498">
        <v>0</v>
      </c>
      <c r="L3498">
        <v>3</v>
      </c>
      <c r="M3498">
        <v>0</v>
      </c>
      <c r="N3498">
        <v>2</v>
      </c>
      <c r="O3498">
        <v>0</v>
      </c>
      <c r="P3498">
        <v>1</v>
      </c>
      <c r="Q3498">
        <v>0</v>
      </c>
      <c r="R3498" t="s">
        <v>127</v>
      </c>
      <c r="S3498" t="str">
        <f t="shared" si="1384"/>
        <v>15:14:14.000</v>
      </c>
      <c r="T3498" t="str">
        <f t="shared" si="1384"/>
        <v>15:14:14.000</v>
      </c>
      <c r="U3498" t="str">
        <f t="shared" si="1370"/>
        <v>A68FCB</v>
      </c>
      <c r="V3498">
        <v>0</v>
      </c>
      <c r="W3498">
        <v>0</v>
      </c>
      <c r="X3498">
        <v>2</v>
      </c>
      <c r="Y3498">
        <v>0</v>
      </c>
      <c r="AA3498">
        <v>1</v>
      </c>
      <c r="AB3498">
        <v>8</v>
      </c>
      <c r="AC3498">
        <v>3</v>
      </c>
      <c r="AD3498">
        <v>0</v>
      </c>
      <c r="AE3498">
        <v>9</v>
      </c>
      <c r="AF3498" t="s">
        <v>138</v>
      </c>
      <c r="AG3498">
        <v>0</v>
      </c>
      <c r="AH3498">
        <v>3</v>
      </c>
      <c r="AI3498">
        <v>2</v>
      </c>
      <c r="AJ3498">
        <v>0</v>
      </c>
      <c r="AK3498" t="s">
        <v>1139</v>
      </c>
      <c r="AL3498">
        <v>39.147891999999999</v>
      </c>
      <c r="AM3498" t="s">
        <v>1084</v>
      </c>
      <c r="AN3498">
        <v>-121.03127000000001</v>
      </c>
      <c r="AO3498">
        <v>25</v>
      </c>
      <c r="AP3498">
        <v>4100</v>
      </c>
      <c r="AQ3498" t="s">
        <v>131</v>
      </c>
      <c r="AR3498">
        <v>0</v>
      </c>
      <c r="AS3498">
        <v>81</v>
      </c>
      <c r="AT3498">
        <v>-640</v>
      </c>
      <c r="BB3498" t="str">
        <f t="shared" si="1371"/>
        <v>1200</v>
      </c>
      <c r="BC3498">
        <v>1</v>
      </c>
      <c r="BD3498" t="str">
        <f t="shared" si="1372"/>
        <v xml:space="preserve">N52156  </v>
      </c>
      <c r="BE3498">
        <v>1</v>
      </c>
      <c r="BG3498">
        <v>0</v>
      </c>
      <c r="BH3498">
        <v>0</v>
      </c>
      <c r="BI3498">
        <v>0</v>
      </c>
      <c r="BJ3498">
        <v>4225</v>
      </c>
      <c r="BK3498">
        <v>125</v>
      </c>
      <c r="BL3498" t="s">
        <v>188</v>
      </c>
      <c r="BM3498">
        <v>1</v>
      </c>
      <c r="BN3498">
        <v>1</v>
      </c>
      <c r="BO3498">
        <v>0</v>
      </c>
      <c r="BP3498">
        <v>0</v>
      </c>
      <c r="BS3498">
        <v>0</v>
      </c>
      <c r="BT3498">
        <v>0</v>
      </c>
      <c r="BU3498">
        <v>0</v>
      </c>
      <c r="CE3498" t="str">
        <f t="shared" si="1385"/>
        <v>15:14:14.251</v>
      </c>
      <c r="CF3498">
        <v>251235173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3</v>
      </c>
      <c r="CY3498">
        <v>7</v>
      </c>
      <c r="CZ3498" t="s">
        <v>133</v>
      </c>
      <c r="DA3498">
        <v>275</v>
      </c>
      <c r="DB3498">
        <v>0</v>
      </c>
      <c r="DC3498" t="s">
        <v>134</v>
      </c>
      <c r="DD3498" t="s">
        <v>135</v>
      </c>
      <c r="DG3498">
        <v>3322729</v>
      </c>
      <c r="DI3498">
        <v>1</v>
      </c>
      <c r="DJ3498">
        <v>0</v>
      </c>
      <c r="DK3498">
        <v>1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3">
      <c r="A3499" t="str">
        <f>"05/01/2025 15:14:14.500"</f>
        <v>05/01/2025 15:14:14.500</v>
      </c>
      <c r="C3499" t="str">
        <f t="shared" si="1368"/>
        <v>FFDFD3C0</v>
      </c>
      <c r="D3499" t="s">
        <v>124</v>
      </c>
      <c r="E3499" t="str">
        <f>"06"</f>
        <v>06</v>
      </c>
      <c r="F3499">
        <v>2006</v>
      </c>
      <c r="G3499" t="s">
        <v>125</v>
      </c>
      <c r="J3499" t="s">
        <v>126</v>
      </c>
      <c r="K3499">
        <v>0</v>
      </c>
      <c r="L3499">
        <v>3</v>
      </c>
      <c r="M3499">
        <v>0</v>
      </c>
      <c r="N3499">
        <v>2</v>
      </c>
      <c r="O3499">
        <v>0</v>
      </c>
      <c r="P3499">
        <v>1</v>
      </c>
      <c r="Q3499">
        <v>0</v>
      </c>
      <c r="R3499" t="s">
        <v>127</v>
      </c>
      <c r="S3499" t="str">
        <f t="shared" si="1384"/>
        <v>15:14:14.000</v>
      </c>
      <c r="T3499" t="str">
        <f t="shared" si="1384"/>
        <v>15:14:14.000</v>
      </c>
      <c r="U3499" t="str">
        <f t="shared" si="1370"/>
        <v>A68FCB</v>
      </c>
      <c r="V3499">
        <v>0</v>
      </c>
      <c r="W3499">
        <v>0</v>
      </c>
      <c r="X3499">
        <v>2</v>
      </c>
      <c r="Y3499">
        <v>0</v>
      </c>
      <c r="AA3499">
        <v>1</v>
      </c>
      <c r="AB3499">
        <v>8</v>
      </c>
      <c r="AC3499">
        <v>3</v>
      </c>
      <c r="AD3499">
        <v>0</v>
      </c>
      <c r="AE3499">
        <v>9</v>
      </c>
      <c r="AF3499" t="s">
        <v>138</v>
      </c>
      <c r="AG3499">
        <v>0</v>
      </c>
      <c r="AH3499">
        <v>3</v>
      </c>
      <c r="AI3499">
        <v>2</v>
      </c>
      <c r="AJ3499">
        <v>0</v>
      </c>
      <c r="AK3499" t="s">
        <v>1139</v>
      </c>
      <c r="AL3499">
        <v>39.147891999999999</v>
      </c>
      <c r="AM3499" t="s">
        <v>1084</v>
      </c>
      <c r="AN3499">
        <v>-121.03127000000001</v>
      </c>
      <c r="AO3499">
        <v>25</v>
      </c>
      <c r="AP3499">
        <v>4100</v>
      </c>
      <c r="AQ3499" t="s">
        <v>131</v>
      </c>
      <c r="AR3499">
        <v>0</v>
      </c>
      <c r="AS3499">
        <v>81</v>
      </c>
      <c r="AT3499">
        <v>-640</v>
      </c>
      <c r="BB3499" t="str">
        <f t="shared" si="1371"/>
        <v>1200</v>
      </c>
      <c r="BC3499">
        <v>1</v>
      </c>
      <c r="BD3499" t="str">
        <f t="shared" si="1372"/>
        <v xml:space="preserve">N52156  </v>
      </c>
      <c r="BE3499">
        <v>1</v>
      </c>
      <c r="BG3499">
        <v>0</v>
      </c>
      <c r="BH3499">
        <v>0</v>
      </c>
      <c r="BI3499">
        <v>0</v>
      </c>
      <c r="BJ3499">
        <v>4225</v>
      </c>
      <c r="BK3499">
        <v>125</v>
      </c>
      <c r="BL3499" t="s">
        <v>188</v>
      </c>
      <c r="BM3499">
        <v>1</v>
      </c>
      <c r="BN3499">
        <v>1</v>
      </c>
      <c r="BO3499">
        <v>0</v>
      </c>
      <c r="BP3499">
        <v>0</v>
      </c>
      <c r="BS3499">
        <v>0</v>
      </c>
      <c r="BT3499">
        <v>0</v>
      </c>
      <c r="BU3499">
        <v>0</v>
      </c>
      <c r="CE3499" t="str">
        <f t="shared" si="1385"/>
        <v>15:14:14.251</v>
      </c>
      <c r="CF3499">
        <v>251235173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3</v>
      </c>
      <c r="CY3499">
        <v>7</v>
      </c>
      <c r="CZ3499" t="s">
        <v>133</v>
      </c>
      <c r="DA3499">
        <v>275</v>
      </c>
      <c r="DB3499">
        <v>0</v>
      </c>
      <c r="DC3499" t="s">
        <v>134</v>
      </c>
      <c r="DD3499" t="s">
        <v>135</v>
      </c>
      <c r="DG3499">
        <v>3322729</v>
      </c>
      <c r="DI3499">
        <v>1</v>
      </c>
      <c r="DJ3499">
        <v>0</v>
      </c>
      <c r="DK3499">
        <v>1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3">
      <c r="A3500" t="str">
        <f>"05/01/2025 15:14:15.615"</f>
        <v>05/01/2025 15:14:15.615</v>
      </c>
      <c r="C3500" t="str">
        <f t="shared" si="1368"/>
        <v>FFDFD3C0</v>
      </c>
      <c r="D3500" t="s">
        <v>145</v>
      </c>
      <c r="E3500" t="str">
        <f>"05"</f>
        <v>05</v>
      </c>
      <c r="H3500">
        <v>47</v>
      </c>
      <c r="I3500" t="s">
        <v>146</v>
      </c>
      <c r="J3500" t="s">
        <v>138</v>
      </c>
      <c r="K3500">
        <v>0</v>
      </c>
      <c r="L3500">
        <v>3</v>
      </c>
      <c r="M3500">
        <v>0</v>
      </c>
      <c r="N3500">
        <v>2</v>
      </c>
      <c r="O3500">
        <v>0</v>
      </c>
      <c r="P3500">
        <v>1</v>
      </c>
      <c r="Q3500">
        <v>0</v>
      </c>
      <c r="R3500" t="s">
        <v>127</v>
      </c>
      <c r="S3500" t="str">
        <f t="shared" ref="S3500:T3505" si="1386">"15:14:15.000"</f>
        <v>15:14:15.000</v>
      </c>
      <c r="T3500" t="str">
        <f t="shared" si="1386"/>
        <v>15:14:15.000</v>
      </c>
      <c r="U3500" t="str">
        <f t="shared" si="1370"/>
        <v>A68FCB</v>
      </c>
      <c r="V3500">
        <v>0</v>
      </c>
      <c r="W3500">
        <v>0</v>
      </c>
      <c r="X3500">
        <v>2</v>
      </c>
      <c r="Y3500">
        <v>0</v>
      </c>
      <c r="AA3500">
        <v>1</v>
      </c>
      <c r="AB3500">
        <v>8</v>
      </c>
      <c r="AC3500">
        <v>3</v>
      </c>
      <c r="AD3500">
        <v>0</v>
      </c>
      <c r="AE3500">
        <v>9</v>
      </c>
      <c r="AF3500" t="s">
        <v>138</v>
      </c>
      <c r="AG3500">
        <v>0</v>
      </c>
      <c r="AH3500">
        <v>3</v>
      </c>
      <c r="AI3500">
        <v>2</v>
      </c>
      <c r="AJ3500">
        <v>0</v>
      </c>
      <c r="AK3500" t="s">
        <v>1140</v>
      </c>
      <c r="AL3500">
        <v>39.148257000000001</v>
      </c>
      <c r="AM3500" t="s">
        <v>1131</v>
      </c>
      <c r="AN3500">
        <v>-121.031291</v>
      </c>
      <c r="AO3500">
        <v>25</v>
      </c>
      <c r="AP3500">
        <v>4100</v>
      </c>
      <c r="AQ3500" t="s">
        <v>131</v>
      </c>
      <c r="AR3500">
        <v>2</v>
      </c>
      <c r="AS3500">
        <v>81</v>
      </c>
      <c r="AT3500">
        <v>-576</v>
      </c>
      <c r="BB3500" t="str">
        <f t="shared" si="1371"/>
        <v>1200</v>
      </c>
      <c r="BC3500">
        <v>1</v>
      </c>
      <c r="BD3500" t="str">
        <f t="shared" si="1372"/>
        <v xml:space="preserve">N52156  </v>
      </c>
      <c r="BE3500">
        <v>1</v>
      </c>
      <c r="BG3500">
        <v>0</v>
      </c>
      <c r="BH3500">
        <v>0</v>
      </c>
      <c r="BI3500">
        <v>0</v>
      </c>
      <c r="BJ3500">
        <v>4200</v>
      </c>
      <c r="BK3500">
        <v>100</v>
      </c>
      <c r="BL3500" t="s">
        <v>188</v>
      </c>
      <c r="BM3500">
        <v>1</v>
      </c>
      <c r="BN3500">
        <v>1</v>
      </c>
      <c r="BO3500">
        <v>0</v>
      </c>
      <c r="BP3500">
        <v>0</v>
      </c>
      <c r="BS3500">
        <v>0</v>
      </c>
      <c r="BT3500">
        <v>0</v>
      </c>
      <c r="BU3500">
        <v>0</v>
      </c>
      <c r="CE3500" t="str">
        <f t="shared" ref="CE3500:CE3505" si="1387">"15:14:15.406"</f>
        <v>15:14:15.406</v>
      </c>
      <c r="CF3500">
        <v>406485644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3</v>
      </c>
      <c r="CY3500">
        <v>7</v>
      </c>
      <c r="CZ3500" t="s">
        <v>133</v>
      </c>
      <c r="DA3500">
        <v>275</v>
      </c>
      <c r="DB3500">
        <v>0</v>
      </c>
      <c r="DC3500" t="s">
        <v>134</v>
      </c>
      <c r="DD3500" t="s">
        <v>135</v>
      </c>
      <c r="DG3500">
        <v>3322734</v>
      </c>
      <c r="DI3500">
        <v>1</v>
      </c>
      <c r="DJ3500">
        <v>0</v>
      </c>
      <c r="DK3500">
        <v>0</v>
      </c>
      <c r="DL3500">
        <v>0</v>
      </c>
      <c r="DM3500">
        <v>0</v>
      </c>
      <c r="DN3500">
        <v>0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3">
      <c r="A3501" t="str">
        <f>"05/01/2025 15:14:15.626"</f>
        <v>05/01/2025 15:14:15.626</v>
      </c>
      <c r="C3501" t="str">
        <f t="shared" si="1368"/>
        <v>FFDFD3C0</v>
      </c>
      <c r="D3501" t="s">
        <v>136</v>
      </c>
      <c r="E3501" t="str">
        <f>"20"</f>
        <v>20</v>
      </c>
      <c r="H3501">
        <v>400</v>
      </c>
      <c r="I3501" t="s">
        <v>137</v>
      </c>
      <c r="J3501" t="s">
        <v>138</v>
      </c>
      <c r="K3501">
        <v>0</v>
      </c>
      <c r="L3501">
        <v>3</v>
      </c>
      <c r="M3501">
        <v>0</v>
      </c>
      <c r="N3501">
        <v>2</v>
      </c>
      <c r="O3501">
        <v>0</v>
      </c>
      <c r="P3501">
        <v>1</v>
      </c>
      <c r="Q3501">
        <v>0</v>
      </c>
      <c r="R3501" t="s">
        <v>127</v>
      </c>
      <c r="S3501" t="str">
        <f t="shared" si="1386"/>
        <v>15:14:15.000</v>
      </c>
      <c r="T3501" t="str">
        <f t="shared" si="1386"/>
        <v>15:14:15.000</v>
      </c>
      <c r="U3501" t="str">
        <f t="shared" si="1370"/>
        <v>A68FCB</v>
      </c>
      <c r="V3501">
        <v>0</v>
      </c>
      <c r="W3501">
        <v>0</v>
      </c>
      <c r="X3501">
        <v>2</v>
      </c>
      <c r="Y3501">
        <v>0</v>
      </c>
      <c r="AA3501">
        <v>1</v>
      </c>
      <c r="AB3501">
        <v>8</v>
      </c>
      <c r="AC3501">
        <v>3</v>
      </c>
      <c r="AD3501">
        <v>0</v>
      </c>
      <c r="AE3501">
        <v>9</v>
      </c>
      <c r="AF3501" t="s">
        <v>138</v>
      </c>
      <c r="AG3501">
        <v>0</v>
      </c>
      <c r="AH3501">
        <v>3</v>
      </c>
      <c r="AI3501">
        <v>2</v>
      </c>
      <c r="AJ3501">
        <v>0</v>
      </c>
      <c r="AK3501" t="s">
        <v>1140</v>
      </c>
      <c r="AL3501">
        <v>39.148257000000001</v>
      </c>
      <c r="AM3501" t="s">
        <v>1131</v>
      </c>
      <c r="AN3501">
        <v>-121.031291</v>
      </c>
      <c r="AO3501">
        <v>25</v>
      </c>
      <c r="AP3501">
        <v>4100</v>
      </c>
      <c r="AQ3501" t="s">
        <v>131</v>
      </c>
      <c r="AR3501">
        <v>2</v>
      </c>
      <c r="AS3501">
        <v>81</v>
      </c>
      <c r="AT3501">
        <v>-576</v>
      </c>
      <c r="BB3501" t="str">
        <f t="shared" si="1371"/>
        <v>1200</v>
      </c>
      <c r="BC3501">
        <v>1</v>
      </c>
      <c r="BD3501" t="str">
        <f t="shared" si="1372"/>
        <v xml:space="preserve">N52156  </v>
      </c>
      <c r="BE3501">
        <v>1</v>
      </c>
      <c r="BG3501">
        <v>0</v>
      </c>
      <c r="BH3501">
        <v>0</v>
      </c>
      <c r="BI3501">
        <v>0</v>
      </c>
      <c r="BJ3501">
        <v>4200</v>
      </c>
      <c r="BK3501">
        <v>100</v>
      </c>
      <c r="BL3501" t="s">
        <v>188</v>
      </c>
      <c r="BM3501">
        <v>1</v>
      </c>
      <c r="BN3501">
        <v>1</v>
      </c>
      <c r="BO3501">
        <v>0</v>
      </c>
      <c r="BP3501">
        <v>0</v>
      </c>
      <c r="BS3501">
        <v>0</v>
      </c>
      <c r="BT3501">
        <v>0</v>
      </c>
      <c r="BU3501">
        <v>0</v>
      </c>
      <c r="CE3501" t="str">
        <f t="shared" si="1387"/>
        <v>15:14:15.406</v>
      </c>
      <c r="CF3501">
        <v>406485644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3</v>
      </c>
      <c r="CY3501">
        <v>7</v>
      </c>
      <c r="CZ3501" t="s">
        <v>133</v>
      </c>
      <c r="DA3501">
        <v>275</v>
      </c>
      <c r="DB3501">
        <v>0</v>
      </c>
      <c r="DC3501" t="s">
        <v>134</v>
      </c>
      <c r="DD3501" t="s">
        <v>135</v>
      </c>
      <c r="DG3501">
        <v>3322734</v>
      </c>
      <c r="DI3501">
        <v>1</v>
      </c>
      <c r="DJ3501">
        <v>0</v>
      </c>
      <c r="DK3501">
        <v>1</v>
      </c>
      <c r="DL3501">
        <v>0</v>
      </c>
      <c r="DM3501">
        <v>0</v>
      </c>
      <c r="DN3501">
        <v>0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3">
      <c r="A3502" t="str">
        <f>"05/01/2025 15:14:15.641"</f>
        <v>05/01/2025 15:14:15.641</v>
      </c>
      <c r="C3502" t="str">
        <f t="shared" si="1368"/>
        <v>FFDFD3C0</v>
      </c>
      <c r="D3502" t="s">
        <v>143</v>
      </c>
      <c r="E3502" t="str">
        <f>"05"</f>
        <v>05</v>
      </c>
      <c r="H3502">
        <v>172</v>
      </c>
      <c r="I3502" t="s">
        <v>141</v>
      </c>
      <c r="J3502" t="s">
        <v>144</v>
      </c>
      <c r="K3502">
        <v>0</v>
      </c>
      <c r="L3502">
        <v>3</v>
      </c>
      <c r="M3502">
        <v>0</v>
      </c>
      <c r="N3502">
        <v>2</v>
      </c>
      <c r="O3502">
        <v>0</v>
      </c>
      <c r="P3502">
        <v>1</v>
      </c>
      <c r="Q3502">
        <v>0</v>
      </c>
      <c r="R3502" t="s">
        <v>127</v>
      </c>
      <c r="S3502" t="str">
        <f t="shared" si="1386"/>
        <v>15:14:15.000</v>
      </c>
      <c r="T3502" t="str">
        <f t="shared" si="1386"/>
        <v>15:14:15.000</v>
      </c>
      <c r="U3502" t="str">
        <f t="shared" si="1370"/>
        <v>A68FCB</v>
      </c>
      <c r="V3502">
        <v>0</v>
      </c>
      <c r="W3502">
        <v>0</v>
      </c>
      <c r="X3502">
        <v>2</v>
      </c>
      <c r="Y3502">
        <v>0</v>
      </c>
      <c r="AA3502">
        <v>1</v>
      </c>
      <c r="AB3502">
        <v>8</v>
      </c>
      <c r="AC3502">
        <v>3</v>
      </c>
      <c r="AD3502">
        <v>0</v>
      </c>
      <c r="AE3502">
        <v>9</v>
      </c>
      <c r="AF3502" t="s">
        <v>138</v>
      </c>
      <c r="AG3502">
        <v>0</v>
      </c>
      <c r="AH3502">
        <v>3</v>
      </c>
      <c r="AI3502">
        <v>2</v>
      </c>
      <c r="AJ3502">
        <v>0</v>
      </c>
      <c r="AK3502" t="s">
        <v>1140</v>
      </c>
      <c r="AL3502">
        <v>39.148257000000001</v>
      </c>
      <c r="AM3502" t="s">
        <v>1131</v>
      </c>
      <c r="AN3502">
        <v>-121.031291</v>
      </c>
      <c r="AO3502">
        <v>25</v>
      </c>
      <c r="AP3502">
        <v>4100</v>
      </c>
      <c r="AQ3502" t="s">
        <v>131</v>
      </c>
      <c r="AR3502">
        <v>2</v>
      </c>
      <c r="AS3502">
        <v>81</v>
      </c>
      <c r="AT3502">
        <v>-576</v>
      </c>
      <c r="BB3502" t="str">
        <f t="shared" si="1371"/>
        <v>1200</v>
      </c>
      <c r="BC3502">
        <v>1</v>
      </c>
      <c r="BD3502" t="str">
        <f t="shared" si="1372"/>
        <v xml:space="preserve">N52156  </v>
      </c>
      <c r="BE3502">
        <v>1</v>
      </c>
      <c r="BG3502">
        <v>0</v>
      </c>
      <c r="BH3502">
        <v>0</v>
      </c>
      <c r="BI3502">
        <v>0</v>
      </c>
      <c r="BJ3502">
        <v>4200</v>
      </c>
      <c r="BK3502">
        <v>100</v>
      </c>
      <c r="BL3502" t="s">
        <v>188</v>
      </c>
      <c r="BM3502">
        <v>1</v>
      </c>
      <c r="BN3502">
        <v>1</v>
      </c>
      <c r="BO3502">
        <v>0</v>
      </c>
      <c r="BP3502">
        <v>0</v>
      </c>
      <c r="BS3502">
        <v>0</v>
      </c>
      <c r="BT3502">
        <v>0</v>
      </c>
      <c r="BU3502">
        <v>0</v>
      </c>
      <c r="CE3502" t="str">
        <f t="shared" si="1387"/>
        <v>15:14:15.406</v>
      </c>
      <c r="CF3502">
        <v>406485644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3</v>
      </c>
      <c r="CY3502">
        <v>7</v>
      </c>
      <c r="CZ3502" t="s">
        <v>133</v>
      </c>
      <c r="DA3502">
        <v>275</v>
      </c>
      <c r="DB3502">
        <v>0</v>
      </c>
      <c r="DC3502" t="s">
        <v>134</v>
      </c>
      <c r="DD3502" t="s">
        <v>135</v>
      </c>
      <c r="DG3502">
        <v>3322734</v>
      </c>
      <c r="DI3502">
        <v>1</v>
      </c>
      <c r="DJ3502">
        <v>0</v>
      </c>
      <c r="DK3502">
        <v>1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3">
      <c r="A3503" t="str">
        <f>"05/01/2025 15:14:15.651"</f>
        <v>05/01/2025 15:14:15.651</v>
      </c>
      <c r="C3503" t="str">
        <f t="shared" si="1368"/>
        <v>FFDFD3C0</v>
      </c>
      <c r="D3503" t="s">
        <v>140</v>
      </c>
      <c r="E3503" t="str">
        <f>"13"</f>
        <v>13</v>
      </c>
      <c r="F3503">
        <v>1019</v>
      </c>
      <c r="G3503" t="s">
        <v>141</v>
      </c>
      <c r="J3503" t="s">
        <v>142</v>
      </c>
      <c r="K3503">
        <v>0</v>
      </c>
      <c r="L3503">
        <v>3</v>
      </c>
      <c r="M3503">
        <v>0</v>
      </c>
      <c r="N3503">
        <v>2</v>
      </c>
      <c r="O3503">
        <v>0</v>
      </c>
      <c r="P3503">
        <v>1</v>
      </c>
      <c r="Q3503">
        <v>0</v>
      </c>
      <c r="R3503" t="s">
        <v>127</v>
      </c>
      <c r="S3503" t="str">
        <f t="shared" si="1386"/>
        <v>15:14:15.000</v>
      </c>
      <c r="T3503" t="str">
        <f t="shared" si="1386"/>
        <v>15:14:15.000</v>
      </c>
      <c r="U3503" t="str">
        <f t="shared" si="1370"/>
        <v>A68FCB</v>
      </c>
      <c r="V3503">
        <v>0</v>
      </c>
      <c r="W3503">
        <v>0</v>
      </c>
      <c r="X3503">
        <v>2</v>
      </c>
      <c r="Y3503">
        <v>0</v>
      </c>
      <c r="AA3503">
        <v>1</v>
      </c>
      <c r="AB3503">
        <v>8</v>
      </c>
      <c r="AC3503">
        <v>3</v>
      </c>
      <c r="AD3503">
        <v>0</v>
      </c>
      <c r="AE3503">
        <v>9</v>
      </c>
      <c r="AF3503" t="s">
        <v>138</v>
      </c>
      <c r="AG3503">
        <v>0</v>
      </c>
      <c r="AH3503">
        <v>3</v>
      </c>
      <c r="AI3503">
        <v>2</v>
      </c>
      <c r="AJ3503">
        <v>0</v>
      </c>
      <c r="AK3503" t="s">
        <v>1140</v>
      </c>
      <c r="AL3503">
        <v>39.148257000000001</v>
      </c>
      <c r="AM3503" t="s">
        <v>1131</v>
      </c>
      <c r="AN3503">
        <v>-121.031291</v>
      </c>
      <c r="AO3503">
        <v>25</v>
      </c>
      <c r="AP3503">
        <v>4100</v>
      </c>
      <c r="AQ3503" t="s">
        <v>131</v>
      </c>
      <c r="AR3503">
        <v>2</v>
      </c>
      <c r="AS3503">
        <v>81</v>
      </c>
      <c r="AT3503">
        <v>-576</v>
      </c>
      <c r="BB3503" t="str">
        <f t="shared" si="1371"/>
        <v>1200</v>
      </c>
      <c r="BC3503">
        <v>1</v>
      </c>
      <c r="BD3503" t="str">
        <f t="shared" si="1372"/>
        <v xml:space="preserve">N52156  </v>
      </c>
      <c r="BE3503">
        <v>1</v>
      </c>
      <c r="BG3503">
        <v>0</v>
      </c>
      <c r="BH3503">
        <v>0</v>
      </c>
      <c r="BI3503">
        <v>0</v>
      </c>
      <c r="BJ3503">
        <v>4200</v>
      </c>
      <c r="BK3503">
        <v>100</v>
      </c>
      <c r="BL3503" t="s">
        <v>188</v>
      </c>
      <c r="BM3503">
        <v>1</v>
      </c>
      <c r="BN3503">
        <v>1</v>
      </c>
      <c r="BO3503">
        <v>0</v>
      </c>
      <c r="BP3503">
        <v>0</v>
      </c>
      <c r="BS3503">
        <v>0</v>
      </c>
      <c r="BT3503">
        <v>0</v>
      </c>
      <c r="BU3503">
        <v>0</v>
      </c>
      <c r="CE3503" t="str">
        <f t="shared" si="1387"/>
        <v>15:14:15.406</v>
      </c>
      <c r="CF3503">
        <v>406485644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3</v>
      </c>
      <c r="CY3503">
        <v>7</v>
      </c>
      <c r="CZ3503" t="s">
        <v>133</v>
      </c>
      <c r="DA3503">
        <v>275</v>
      </c>
      <c r="DB3503">
        <v>0</v>
      </c>
      <c r="DC3503" t="s">
        <v>134</v>
      </c>
      <c r="DD3503" t="s">
        <v>135</v>
      </c>
      <c r="DG3503">
        <v>3322734</v>
      </c>
      <c r="DI3503">
        <v>1</v>
      </c>
      <c r="DJ3503">
        <v>0</v>
      </c>
      <c r="DK3503">
        <v>1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3">
      <c r="A3504" t="str">
        <f>"05/01/2025 15:14:15.652"</f>
        <v>05/01/2025 15:14:15.652</v>
      </c>
      <c r="C3504" t="str">
        <f t="shared" si="1368"/>
        <v>FFDFD3C0</v>
      </c>
      <c r="D3504" t="s">
        <v>124</v>
      </c>
      <c r="E3504" t="str">
        <f>"06"</f>
        <v>06</v>
      </c>
      <c r="F3504">
        <v>2006</v>
      </c>
      <c r="G3504" t="s">
        <v>125</v>
      </c>
      <c r="J3504" t="s">
        <v>126</v>
      </c>
      <c r="K3504">
        <v>0</v>
      </c>
      <c r="L3504">
        <v>3</v>
      </c>
      <c r="M3504">
        <v>0</v>
      </c>
      <c r="N3504">
        <v>2</v>
      </c>
      <c r="O3504">
        <v>0</v>
      </c>
      <c r="P3504">
        <v>1</v>
      </c>
      <c r="Q3504">
        <v>0</v>
      </c>
      <c r="R3504" t="s">
        <v>127</v>
      </c>
      <c r="S3504" t="str">
        <f t="shared" si="1386"/>
        <v>15:14:15.000</v>
      </c>
      <c r="T3504" t="str">
        <f t="shared" si="1386"/>
        <v>15:14:15.000</v>
      </c>
      <c r="U3504" t="str">
        <f t="shared" si="1370"/>
        <v>A68FCB</v>
      </c>
      <c r="V3504">
        <v>0</v>
      </c>
      <c r="W3504">
        <v>0</v>
      </c>
      <c r="X3504">
        <v>2</v>
      </c>
      <c r="Y3504">
        <v>0</v>
      </c>
      <c r="AA3504">
        <v>1</v>
      </c>
      <c r="AB3504">
        <v>8</v>
      </c>
      <c r="AC3504">
        <v>3</v>
      </c>
      <c r="AD3504">
        <v>0</v>
      </c>
      <c r="AE3504">
        <v>9</v>
      </c>
      <c r="AF3504" t="s">
        <v>138</v>
      </c>
      <c r="AG3504">
        <v>0</v>
      </c>
      <c r="AH3504">
        <v>3</v>
      </c>
      <c r="AI3504">
        <v>2</v>
      </c>
      <c r="AJ3504">
        <v>0</v>
      </c>
      <c r="AK3504" t="s">
        <v>1140</v>
      </c>
      <c r="AL3504">
        <v>39.148257000000001</v>
      </c>
      <c r="AM3504" t="s">
        <v>1131</v>
      </c>
      <c r="AN3504">
        <v>-121.031291</v>
      </c>
      <c r="AO3504">
        <v>25</v>
      </c>
      <c r="AP3504">
        <v>4100</v>
      </c>
      <c r="AQ3504" t="s">
        <v>131</v>
      </c>
      <c r="AR3504">
        <v>2</v>
      </c>
      <c r="AS3504">
        <v>81</v>
      </c>
      <c r="AT3504">
        <v>-576</v>
      </c>
      <c r="BB3504" t="str">
        <f t="shared" si="1371"/>
        <v>1200</v>
      </c>
      <c r="BC3504">
        <v>1</v>
      </c>
      <c r="BD3504" t="str">
        <f t="shared" si="1372"/>
        <v xml:space="preserve">N52156  </v>
      </c>
      <c r="BE3504">
        <v>1</v>
      </c>
      <c r="BG3504">
        <v>0</v>
      </c>
      <c r="BH3504">
        <v>0</v>
      </c>
      <c r="BI3504">
        <v>0</v>
      </c>
      <c r="BJ3504">
        <v>4200</v>
      </c>
      <c r="BK3504">
        <v>100</v>
      </c>
      <c r="BL3504" t="s">
        <v>188</v>
      </c>
      <c r="BM3504">
        <v>1</v>
      </c>
      <c r="BN3504">
        <v>1</v>
      </c>
      <c r="BO3504">
        <v>0</v>
      </c>
      <c r="BP3504">
        <v>0</v>
      </c>
      <c r="BS3504">
        <v>0</v>
      </c>
      <c r="BT3504">
        <v>0</v>
      </c>
      <c r="BU3504">
        <v>0</v>
      </c>
      <c r="CE3504" t="str">
        <f t="shared" si="1387"/>
        <v>15:14:15.406</v>
      </c>
      <c r="CF3504">
        <v>406485644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3</v>
      </c>
      <c r="CY3504">
        <v>7</v>
      </c>
      <c r="CZ3504" t="s">
        <v>133</v>
      </c>
      <c r="DA3504">
        <v>275</v>
      </c>
      <c r="DB3504">
        <v>0</v>
      </c>
      <c r="DC3504" t="s">
        <v>134</v>
      </c>
      <c r="DD3504" t="s">
        <v>135</v>
      </c>
      <c r="DG3504">
        <v>3322734</v>
      </c>
      <c r="DI3504">
        <v>1</v>
      </c>
      <c r="DJ3504">
        <v>0</v>
      </c>
      <c r="DK3504">
        <v>1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3">
      <c r="A3505" t="str">
        <f>"05/01/2025 15:14:15.662"</f>
        <v>05/01/2025 15:14:15.662</v>
      </c>
      <c r="C3505" t="str">
        <f t="shared" si="1368"/>
        <v>FFDFD3C0</v>
      </c>
      <c r="D3505" t="s">
        <v>145</v>
      </c>
      <c r="E3505" t="str">
        <f>"09"</f>
        <v>09</v>
      </c>
      <c r="H3505">
        <v>51</v>
      </c>
      <c r="I3505" t="s">
        <v>147</v>
      </c>
      <c r="J3505" t="s">
        <v>138</v>
      </c>
      <c r="K3505">
        <v>0</v>
      </c>
      <c r="L3505">
        <v>3</v>
      </c>
      <c r="M3505">
        <v>0</v>
      </c>
      <c r="N3505">
        <v>2</v>
      </c>
      <c r="O3505">
        <v>0</v>
      </c>
      <c r="P3505">
        <v>1</v>
      </c>
      <c r="Q3505">
        <v>0</v>
      </c>
      <c r="R3505" t="s">
        <v>127</v>
      </c>
      <c r="S3505" t="str">
        <f t="shared" si="1386"/>
        <v>15:14:15.000</v>
      </c>
      <c r="T3505" t="str">
        <f t="shared" si="1386"/>
        <v>15:14:15.000</v>
      </c>
      <c r="U3505" t="str">
        <f t="shared" si="1370"/>
        <v>A68FCB</v>
      </c>
      <c r="V3505">
        <v>0</v>
      </c>
      <c r="W3505">
        <v>0</v>
      </c>
      <c r="X3505">
        <v>2</v>
      </c>
      <c r="Y3505">
        <v>0</v>
      </c>
      <c r="AA3505">
        <v>1</v>
      </c>
      <c r="AB3505">
        <v>8</v>
      </c>
      <c r="AC3505">
        <v>3</v>
      </c>
      <c r="AD3505">
        <v>0</v>
      </c>
      <c r="AE3505">
        <v>9</v>
      </c>
      <c r="AF3505" t="s">
        <v>138</v>
      </c>
      <c r="AG3505">
        <v>0</v>
      </c>
      <c r="AH3505">
        <v>3</v>
      </c>
      <c r="AI3505">
        <v>2</v>
      </c>
      <c r="AJ3505">
        <v>0</v>
      </c>
      <c r="AK3505" t="s">
        <v>1140</v>
      </c>
      <c r="AL3505">
        <v>39.148257000000001</v>
      </c>
      <c r="AM3505" t="s">
        <v>1131</v>
      </c>
      <c r="AN3505">
        <v>-121.031291</v>
      </c>
      <c r="AO3505">
        <v>25</v>
      </c>
      <c r="AP3505">
        <v>4100</v>
      </c>
      <c r="AQ3505" t="s">
        <v>131</v>
      </c>
      <c r="AR3505">
        <v>2</v>
      </c>
      <c r="AS3505">
        <v>81</v>
      </c>
      <c r="AT3505">
        <v>-576</v>
      </c>
      <c r="BB3505" t="str">
        <f t="shared" si="1371"/>
        <v>1200</v>
      </c>
      <c r="BC3505">
        <v>1</v>
      </c>
      <c r="BD3505" t="str">
        <f t="shared" si="1372"/>
        <v xml:space="preserve">N52156  </v>
      </c>
      <c r="BE3505">
        <v>1</v>
      </c>
      <c r="BG3505">
        <v>0</v>
      </c>
      <c r="BH3505">
        <v>0</v>
      </c>
      <c r="BI3505">
        <v>0</v>
      </c>
      <c r="BJ3505">
        <v>4200</v>
      </c>
      <c r="BK3505">
        <v>100</v>
      </c>
      <c r="BL3505" t="s">
        <v>188</v>
      </c>
      <c r="BM3505">
        <v>1</v>
      </c>
      <c r="BN3505">
        <v>1</v>
      </c>
      <c r="BO3505">
        <v>0</v>
      </c>
      <c r="BP3505">
        <v>0</v>
      </c>
      <c r="BS3505">
        <v>0</v>
      </c>
      <c r="BT3505">
        <v>0</v>
      </c>
      <c r="BU3505">
        <v>0</v>
      </c>
      <c r="CE3505" t="str">
        <f t="shared" si="1387"/>
        <v>15:14:15.406</v>
      </c>
      <c r="CF3505">
        <v>406485644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3</v>
      </c>
      <c r="CY3505">
        <v>7</v>
      </c>
      <c r="CZ3505" t="s">
        <v>133</v>
      </c>
      <c r="DA3505">
        <v>275</v>
      </c>
      <c r="DB3505">
        <v>0</v>
      </c>
      <c r="DC3505" t="s">
        <v>134</v>
      </c>
      <c r="DD3505" t="s">
        <v>135</v>
      </c>
      <c r="DG3505">
        <v>3322734</v>
      </c>
      <c r="DI3505">
        <v>1</v>
      </c>
      <c r="DJ3505">
        <v>0</v>
      </c>
      <c r="DK3505">
        <v>1</v>
      </c>
      <c r="DL3505">
        <v>0</v>
      </c>
      <c r="DM3505">
        <v>0</v>
      </c>
      <c r="DN3505">
        <v>0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3">
      <c r="A3506" t="str">
        <f>"05/01/2025 15:14:16.464"</f>
        <v>05/01/2025 15:14:16.464</v>
      </c>
      <c r="C3506" t="str">
        <f t="shared" si="1368"/>
        <v>FFDFD3C0</v>
      </c>
      <c r="D3506" t="s">
        <v>145</v>
      </c>
      <c r="E3506" t="str">
        <f>"09"</f>
        <v>09</v>
      </c>
      <c r="H3506">
        <v>51</v>
      </c>
      <c r="I3506" t="s">
        <v>147</v>
      </c>
      <c r="J3506" t="s">
        <v>138</v>
      </c>
      <c r="K3506">
        <v>0</v>
      </c>
      <c r="L3506">
        <v>3</v>
      </c>
      <c r="M3506">
        <v>0</v>
      </c>
      <c r="N3506">
        <v>2</v>
      </c>
      <c r="O3506">
        <v>0</v>
      </c>
      <c r="P3506">
        <v>1</v>
      </c>
      <c r="Q3506">
        <v>0</v>
      </c>
      <c r="R3506" t="s">
        <v>127</v>
      </c>
      <c r="S3506" t="str">
        <f t="shared" ref="S3506:T3511" si="1388">"15:14:16.000"</f>
        <v>15:14:16.000</v>
      </c>
      <c r="T3506" t="str">
        <f t="shared" si="1388"/>
        <v>15:14:16.000</v>
      </c>
      <c r="U3506" t="str">
        <f t="shared" si="1370"/>
        <v>A68FCB</v>
      </c>
      <c r="V3506">
        <v>0</v>
      </c>
      <c r="W3506">
        <v>0</v>
      </c>
      <c r="X3506">
        <v>2</v>
      </c>
      <c r="Y3506">
        <v>0</v>
      </c>
      <c r="AA3506">
        <v>1</v>
      </c>
      <c r="AB3506">
        <v>8</v>
      </c>
      <c r="AC3506">
        <v>3</v>
      </c>
      <c r="AD3506">
        <v>0</v>
      </c>
      <c r="AE3506">
        <v>9</v>
      </c>
      <c r="AF3506" t="s">
        <v>138</v>
      </c>
      <c r="AG3506">
        <v>0</v>
      </c>
      <c r="AH3506">
        <v>3</v>
      </c>
      <c r="AI3506">
        <v>2</v>
      </c>
      <c r="AJ3506">
        <v>0</v>
      </c>
      <c r="AK3506" t="s">
        <v>1141</v>
      </c>
      <c r="AL3506">
        <v>39.148622000000003</v>
      </c>
      <c r="AM3506" t="s">
        <v>1084</v>
      </c>
      <c r="AN3506">
        <v>-121.03127000000001</v>
      </c>
      <c r="AO3506">
        <v>25</v>
      </c>
      <c r="AP3506">
        <v>4100</v>
      </c>
      <c r="AQ3506" t="s">
        <v>131</v>
      </c>
      <c r="AR3506">
        <v>1</v>
      </c>
      <c r="AS3506">
        <v>80</v>
      </c>
      <c r="AT3506">
        <v>-576</v>
      </c>
      <c r="BB3506" t="str">
        <f t="shared" si="1371"/>
        <v>1200</v>
      </c>
      <c r="BC3506">
        <v>1</v>
      </c>
      <c r="BD3506" t="str">
        <f t="shared" si="1372"/>
        <v xml:space="preserve">N52156  </v>
      </c>
      <c r="BE3506">
        <v>1</v>
      </c>
      <c r="BG3506">
        <v>0</v>
      </c>
      <c r="BH3506">
        <v>0</v>
      </c>
      <c r="BI3506">
        <v>0</v>
      </c>
      <c r="BJ3506">
        <v>4200</v>
      </c>
      <c r="BK3506">
        <v>100</v>
      </c>
      <c r="BL3506" t="s">
        <v>188</v>
      </c>
      <c r="BM3506">
        <v>1</v>
      </c>
      <c r="BN3506">
        <v>1</v>
      </c>
      <c r="BO3506">
        <v>0</v>
      </c>
      <c r="BP3506">
        <v>0</v>
      </c>
      <c r="BS3506">
        <v>0</v>
      </c>
      <c r="BT3506">
        <v>0</v>
      </c>
      <c r="BU3506">
        <v>0</v>
      </c>
      <c r="CE3506" t="str">
        <f t="shared" ref="CE3506:CE3511" si="1389">"15:14:16.241"</f>
        <v>15:14:16.241</v>
      </c>
      <c r="CF3506">
        <v>240985249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3</v>
      </c>
      <c r="CY3506">
        <v>7</v>
      </c>
      <c r="CZ3506" t="s">
        <v>133</v>
      </c>
      <c r="DA3506">
        <v>275</v>
      </c>
      <c r="DB3506">
        <v>0</v>
      </c>
      <c r="DC3506" t="s">
        <v>134</v>
      </c>
      <c r="DD3506" t="s">
        <v>135</v>
      </c>
      <c r="DG3506">
        <v>3322737</v>
      </c>
      <c r="DI3506">
        <v>1</v>
      </c>
      <c r="DJ3506">
        <v>0</v>
      </c>
      <c r="DK3506">
        <v>0</v>
      </c>
      <c r="DL3506">
        <v>0</v>
      </c>
      <c r="DM3506">
        <v>0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3">
      <c r="A3507" t="str">
        <f>"05/01/2025 15:14:16.467"</f>
        <v>05/01/2025 15:14:16.467</v>
      </c>
      <c r="C3507" t="str">
        <f t="shared" si="1368"/>
        <v>FFDFD3C0</v>
      </c>
      <c r="D3507" t="s">
        <v>145</v>
      </c>
      <c r="E3507" t="str">
        <f>"05"</f>
        <v>05</v>
      </c>
      <c r="H3507">
        <v>47</v>
      </c>
      <c r="I3507" t="s">
        <v>146</v>
      </c>
      <c r="J3507" t="s">
        <v>138</v>
      </c>
      <c r="K3507">
        <v>0</v>
      </c>
      <c r="L3507">
        <v>3</v>
      </c>
      <c r="M3507">
        <v>0</v>
      </c>
      <c r="N3507">
        <v>2</v>
      </c>
      <c r="O3507">
        <v>0</v>
      </c>
      <c r="P3507">
        <v>1</v>
      </c>
      <c r="Q3507">
        <v>0</v>
      </c>
      <c r="R3507" t="s">
        <v>127</v>
      </c>
      <c r="S3507" t="str">
        <f t="shared" si="1388"/>
        <v>15:14:16.000</v>
      </c>
      <c r="T3507" t="str">
        <f t="shared" si="1388"/>
        <v>15:14:16.000</v>
      </c>
      <c r="U3507" t="str">
        <f t="shared" si="1370"/>
        <v>A68FCB</v>
      </c>
      <c r="V3507">
        <v>0</v>
      </c>
      <c r="W3507">
        <v>0</v>
      </c>
      <c r="X3507">
        <v>2</v>
      </c>
      <c r="Y3507">
        <v>0</v>
      </c>
      <c r="AA3507">
        <v>1</v>
      </c>
      <c r="AB3507">
        <v>8</v>
      </c>
      <c r="AC3507">
        <v>3</v>
      </c>
      <c r="AD3507">
        <v>0</v>
      </c>
      <c r="AE3507">
        <v>9</v>
      </c>
      <c r="AF3507" t="s">
        <v>138</v>
      </c>
      <c r="AG3507">
        <v>0</v>
      </c>
      <c r="AH3507">
        <v>3</v>
      </c>
      <c r="AI3507">
        <v>2</v>
      </c>
      <c r="AJ3507">
        <v>0</v>
      </c>
      <c r="AK3507" t="s">
        <v>1141</v>
      </c>
      <c r="AL3507">
        <v>39.148622000000003</v>
      </c>
      <c r="AM3507" t="s">
        <v>1084</v>
      </c>
      <c r="AN3507">
        <v>-121.03127000000001</v>
      </c>
      <c r="AO3507">
        <v>25</v>
      </c>
      <c r="AP3507">
        <v>4100</v>
      </c>
      <c r="AQ3507" t="s">
        <v>131</v>
      </c>
      <c r="AR3507">
        <v>1</v>
      </c>
      <c r="AS3507">
        <v>80</v>
      </c>
      <c r="AT3507">
        <v>-576</v>
      </c>
      <c r="BB3507" t="str">
        <f t="shared" si="1371"/>
        <v>1200</v>
      </c>
      <c r="BC3507">
        <v>1</v>
      </c>
      <c r="BD3507" t="str">
        <f t="shared" si="1372"/>
        <v xml:space="preserve">N52156  </v>
      </c>
      <c r="BE3507">
        <v>1</v>
      </c>
      <c r="BG3507">
        <v>0</v>
      </c>
      <c r="BH3507">
        <v>0</v>
      </c>
      <c r="BI3507">
        <v>0</v>
      </c>
      <c r="BJ3507">
        <v>4200</v>
      </c>
      <c r="BK3507">
        <v>100</v>
      </c>
      <c r="BL3507" t="s">
        <v>188</v>
      </c>
      <c r="BM3507">
        <v>1</v>
      </c>
      <c r="BN3507">
        <v>1</v>
      </c>
      <c r="BO3507">
        <v>0</v>
      </c>
      <c r="BP3507">
        <v>0</v>
      </c>
      <c r="BS3507">
        <v>0</v>
      </c>
      <c r="BT3507">
        <v>0</v>
      </c>
      <c r="BU3507">
        <v>0</v>
      </c>
      <c r="CE3507" t="str">
        <f t="shared" si="1389"/>
        <v>15:14:16.241</v>
      </c>
      <c r="CF3507">
        <v>240985249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3</v>
      </c>
      <c r="CY3507">
        <v>7</v>
      </c>
      <c r="CZ3507" t="s">
        <v>133</v>
      </c>
      <c r="DA3507">
        <v>275</v>
      </c>
      <c r="DB3507">
        <v>0</v>
      </c>
      <c r="DC3507" t="s">
        <v>134</v>
      </c>
      <c r="DD3507" t="s">
        <v>135</v>
      </c>
      <c r="DG3507">
        <v>3322737</v>
      </c>
      <c r="DI3507">
        <v>1</v>
      </c>
      <c r="DJ3507">
        <v>0</v>
      </c>
      <c r="DK3507">
        <v>1</v>
      </c>
      <c r="DL3507">
        <v>0</v>
      </c>
      <c r="DM3507">
        <v>0</v>
      </c>
      <c r="DN3507">
        <v>0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3">
      <c r="A3508" t="str">
        <f>"05/01/2025 15:14:16.477"</f>
        <v>05/01/2025 15:14:16.477</v>
      </c>
      <c r="C3508" t="str">
        <f t="shared" si="1368"/>
        <v>FFDFD3C0</v>
      </c>
      <c r="D3508" t="s">
        <v>136</v>
      </c>
      <c r="E3508" t="str">
        <f>"20"</f>
        <v>20</v>
      </c>
      <c r="H3508">
        <v>400</v>
      </c>
      <c r="I3508" t="s">
        <v>137</v>
      </c>
      <c r="J3508" t="s">
        <v>138</v>
      </c>
      <c r="K3508">
        <v>0</v>
      </c>
      <c r="L3508">
        <v>3</v>
      </c>
      <c r="M3508">
        <v>0</v>
      </c>
      <c r="N3508">
        <v>2</v>
      </c>
      <c r="O3508">
        <v>0</v>
      </c>
      <c r="P3508">
        <v>1</v>
      </c>
      <c r="Q3508">
        <v>0</v>
      </c>
      <c r="R3508" t="s">
        <v>127</v>
      </c>
      <c r="S3508" t="str">
        <f t="shared" si="1388"/>
        <v>15:14:16.000</v>
      </c>
      <c r="T3508" t="str">
        <f t="shared" si="1388"/>
        <v>15:14:16.000</v>
      </c>
      <c r="U3508" t="str">
        <f t="shared" si="1370"/>
        <v>A68FCB</v>
      </c>
      <c r="V3508">
        <v>0</v>
      </c>
      <c r="W3508">
        <v>0</v>
      </c>
      <c r="X3508">
        <v>2</v>
      </c>
      <c r="Y3508">
        <v>0</v>
      </c>
      <c r="AA3508">
        <v>1</v>
      </c>
      <c r="AB3508">
        <v>8</v>
      </c>
      <c r="AC3508">
        <v>3</v>
      </c>
      <c r="AD3508">
        <v>0</v>
      </c>
      <c r="AE3508">
        <v>9</v>
      </c>
      <c r="AF3508" t="s">
        <v>138</v>
      </c>
      <c r="AG3508">
        <v>0</v>
      </c>
      <c r="AH3508">
        <v>3</v>
      </c>
      <c r="AI3508">
        <v>2</v>
      </c>
      <c r="AJ3508">
        <v>0</v>
      </c>
      <c r="AK3508" t="s">
        <v>1141</v>
      </c>
      <c r="AL3508">
        <v>39.148622000000003</v>
      </c>
      <c r="AM3508" t="s">
        <v>1084</v>
      </c>
      <c r="AN3508">
        <v>-121.03127000000001</v>
      </c>
      <c r="AO3508">
        <v>25</v>
      </c>
      <c r="AP3508">
        <v>4100</v>
      </c>
      <c r="AQ3508" t="s">
        <v>131</v>
      </c>
      <c r="AR3508">
        <v>1</v>
      </c>
      <c r="AS3508">
        <v>80</v>
      </c>
      <c r="AT3508">
        <v>-576</v>
      </c>
      <c r="BB3508" t="str">
        <f t="shared" si="1371"/>
        <v>1200</v>
      </c>
      <c r="BC3508">
        <v>1</v>
      </c>
      <c r="BD3508" t="str">
        <f t="shared" si="1372"/>
        <v xml:space="preserve">N52156  </v>
      </c>
      <c r="BE3508">
        <v>1</v>
      </c>
      <c r="BG3508">
        <v>0</v>
      </c>
      <c r="BH3508">
        <v>0</v>
      </c>
      <c r="BI3508">
        <v>0</v>
      </c>
      <c r="BJ3508">
        <v>4200</v>
      </c>
      <c r="BK3508">
        <v>100</v>
      </c>
      <c r="BL3508" t="s">
        <v>188</v>
      </c>
      <c r="BM3508">
        <v>1</v>
      </c>
      <c r="BN3508">
        <v>1</v>
      </c>
      <c r="BO3508">
        <v>0</v>
      </c>
      <c r="BP3508">
        <v>0</v>
      </c>
      <c r="BS3508">
        <v>0</v>
      </c>
      <c r="BT3508">
        <v>0</v>
      </c>
      <c r="BU3508">
        <v>0</v>
      </c>
      <c r="CE3508" t="str">
        <f t="shared" si="1389"/>
        <v>15:14:16.241</v>
      </c>
      <c r="CF3508">
        <v>240985249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3</v>
      </c>
      <c r="CY3508">
        <v>7</v>
      </c>
      <c r="CZ3508" t="s">
        <v>133</v>
      </c>
      <c r="DA3508">
        <v>275</v>
      </c>
      <c r="DB3508">
        <v>0</v>
      </c>
      <c r="DC3508" t="s">
        <v>134</v>
      </c>
      <c r="DD3508" t="s">
        <v>135</v>
      </c>
      <c r="DG3508">
        <v>3322737</v>
      </c>
      <c r="DI3508">
        <v>1</v>
      </c>
      <c r="DJ3508">
        <v>0</v>
      </c>
      <c r="DK3508">
        <v>1</v>
      </c>
      <c r="DL3508">
        <v>0</v>
      </c>
      <c r="DM3508">
        <v>0</v>
      </c>
      <c r="DN3508">
        <v>0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3">
      <c r="A3509" t="str">
        <f>"05/01/2025 15:14:16.493"</f>
        <v>05/01/2025 15:14:16.493</v>
      </c>
      <c r="C3509" t="str">
        <f t="shared" si="1368"/>
        <v>FFDFD3C0</v>
      </c>
      <c r="D3509" t="s">
        <v>143</v>
      </c>
      <c r="E3509" t="str">
        <f>"05"</f>
        <v>05</v>
      </c>
      <c r="H3509">
        <v>172</v>
      </c>
      <c r="I3509" t="s">
        <v>141</v>
      </c>
      <c r="J3509" t="s">
        <v>144</v>
      </c>
      <c r="K3509">
        <v>0</v>
      </c>
      <c r="L3509">
        <v>3</v>
      </c>
      <c r="M3509">
        <v>0</v>
      </c>
      <c r="N3509">
        <v>2</v>
      </c>
      <c r="O3509">
        <v>0</v>
      </c>
      <c r="P3509">
        <v>1</v>
      </c>
      <c r="Q3509">
        <v>0</v>
      </c>
      <c r="R3509" t="s">
        <v>127</v>
      </c>
      <c r="S3509" t="str">
        <f t="shared" si="1388"/>
        <v>15:14:16.000</v>
      </c>
      <c r="T3509" t="str">
        <f t="shared" si="1388"/>
        <v>15:14:16.000</v>
      </c>
      <c r="U3509" t="str">
        <f t="shared" si="1370"/>
        <v>A68FCB</v>
      </c>
      <c r="V3509">
        <v>0</v>
      </c>
      <c r="W3509">
        <v>0</v>
      </c>
      <c r="X3509">
        <v>2</v>
      </c>
      <c r="Y3509">
        <v>0</v>
      </c>
      <c r="AA3509">
        <v>1</v>
      </c>
      <c r="AB3509">
        <v>8</v>
      </c>
      <c r="AC3509">
        <v>3</v>
      </c>
      <c r="AD3509">
        <v>0</v>
      </c>
      <c r="AE3509">
        <v>9</v>
      </c>
      <c r="AF3509" t="s">
        <v>138</v>
      </c>
      <c r="AG3509">
        <v>0</v>
      </c>
      <c r="AH3509">
        <v>3</v>
      </c>
      <c r="AI3509">
        <v>2</v>
      </c>
      <c r="AJ3509">
        <v>0</v>
      </c>
      <c r="AK3509" t="s">
        <v>1141</v>
      </c>
      <c r="AL3509">
        <v>39.148622000000003</v>
      </c>
      <c r="AM3509" t="s">
        <v>1084</v>
      </c>
      <c r="AN3509">
        <v>-121.03127000000001</v>
      </c>
      <c r="AO3509">
        <v>25</v>
      </c>
      <c r="AP3509">
        <v>4100</v>
      </c>
      <c r="AQ3509" t="s">
        <v>131</v>
      </c>
      <c r="AR3509">
        <v>1</v>
      </c>
      <c r="AS3509">
        <v>80</v>
      </c>
      <c r="AT3509">
        <v>-576</v>
      </c>
      <c r="BB3509" t="str">
        <f t="shared" si="1371"/>
        <v>1200</v>
      </c>
      <c r="BC3509">
        <v>1</v>
      </c>
      <c r="BD3509" t="str">
        <f t="shared" si="1372"/>
        <v xml:space="preserve">N52156  </v>
      </c>
      <c r="BE3509">
        <v>1</v>
      </c>
      <c r="BG3509">
        <v>0</v>
      </c>
      <c r="BH3509">
        <v>0</v>
      </c>
      <c r="BI3509">
        <v>0</v>
      </c>
      <c r="BJ3509">
        <v>4200</v>
      </c>
      <c r="BK3509">
        <v>100</v>
      </c>
      <c r="BL3509" t="s">
        <v>188</v>
      </c>
      <c r="BM3509">
        <v>1</v>
      </c>
      <c r="BN3509">
        <v>1</v>
      </c>
      <c r="BO3509">
        <v>0</v>
      </c>
      <c r="BP3509">
        <v>0</v>
      </c>
      <c r="BS3509">
        <v>0</v>
      </c>
      <c r="BT3509">
        <v>0</v>
      </c>
      <c r="BU3509">
        <v>0</v>
      </c>
      <c r="CE3509" t="str">
        <f t="shared" si="1389"/>
        <v>15:14:16.241</v>
      </c>
      <c r="CF3509">
        <v>240985249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3</v>
      </c>
      <c r="CY3509">
        <v>7</v>
      </c>
      <c r="CZ3509" t="s">
        <v>133</v>
      </c>
      <c r="DA3509">
        <v>275</v>
      </c>
      <c r="DB3509">
        <v>0</v>
      </c>
      <c r="DC3509" t="s">
        <v>134</v>
      </c>
      <c r="DD3509" t="s">
        <v>135</v>
      </c>
      <c r="DG3509">
        <v>3322737</v>
      </c>
      <c r="DI3509">
        <v>1</v>
      </c>
      <c r="DJ3509">
        <v>0</v>
      </c>
      <c r="DK3509">
        <v>1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3">
      <c r="A3510" t="str">
        <f>"05/01/2025 15:14:16.502"</f>
        <v>05/01/2025 15:14:16.502</v>
      </c>
      <c r="C3510" t="str">
        <f t="shared" si="1368"/>
        <v>FFDFD3C0</v>
      </c>
      <c r="D3510" t="s">
        <v>140</v>
      </c>
      <c r="E3510" t="str">
        <f>"13"</f>
        <v>13</v>
      </c>
      <c r="F3510">
        <v>1019</v>
      </c>
      <c r="G3510" t="s">
        <v>141</v>
      </c>
      <c r="J3510" t="s">
        <v>142</v>
      </c>
      <c r="K3510">
        <v>0</v>
      </c>
      <c r="L3510">
        <v>3</v>
      </c>
      <c r="M3510">
        <v>0</v>
      </c>
      <c r="N3510">
        <v>2</v>
      </c>
      <c r="O3510">
        <v>0</v>
      </c>
      <c r="P3510">
        <v>1</v>
      </c>
      <c r="Q3510">
        <v>0</v>
      </c>
      <c r="R3510" t="s">
        <v>127</v>
      </c>
      <c r="S3510" t="str">
        <f t="shared" si="1388"/>
        <v>15:14:16.000</v>
      </c>
      <c r="T3510" t="str">
        <f t="shared" si="1388"/>
        <v>15:14:16.000</v>
      </c>
      <c r="U3510" t="str">
        <f t="shared" si="1370"/>
        <v>A68FCB</v>
      </c>
      <c r="V3510">
        <v>0</v>
      </c>
      <c r="W3510">
        <v>0</v>
      </c>
      <c r="X3510">
        <v>2</v>
      </c>
      <c r="Y3510">
        <v>0</v>
      </c>
      <c r="AA3510">
        <v>1</v>
      </c>
      <c r="AB3510">
        <v>8</v>
      </c>
      <c r="AC3510">
        <v>3</v>
      </c>
      <c r="AD3510">
        <v>0</v>
      </c>
      <c r="AE3510">
        <v>9</v>
      </c>
      <c r="AF3510" t="s">
        <v>138</v>
      </c>
      <c r="AG3510">
        <v>0</v>
      </c>
      <c r="AH3510">
        <v>3</v>
      </c>
      <c r="AI3510">
        <v>2</v>
      </c>
      <c r="AJ3510">
        <v>0</v>
      </c>
      <c r="AK3510" t="s">
        <v>1141</v>
      </c>
      <c r="AL3510">
        <v>39.148622000000003</v>
      </c>
      <c r="AM3510" t="s">
        <v>1084</v>
      </c>
      <c r="AN3510">
        <v>-121.03127000000001</v>
      </c>
      <c r="AO3510">
        <v>25</v>
      </c>
      <c r="AP3510">
        <v>4100</v>
      </c>
      <c r="AQ3510" t="s">
        <v>131</v>
      </c>
      <c r="AR3510">
        <v>1</v>
      </c>
      <c r="AS3510">
        <v>80</v>
      </c>
      <c r="AT3510">
        <v>-576</v>
      </c>
      <c r="BB3510" t="str">
        <f t="shared" si="1371"/>
        <v>1200</v>
      </c>
      <c r="BC3510">
        <v>1</v>
      </c>
      <c r="BD3510" t="str">
        <f t="shared" si="1372"/>
        <v xml:space="preserve">N52156  </v>
      </c>
      <c r="BE3510">
        <v>1</v>
      </c>
      <c r="BG3510">
        <v>0</v>
      </c>
      <c r="BH3510">
        <v>0</v>
      </c>
      <c r="BI3510">
        <v>0</v>
      </c>
      <c r="BJ3510">
        <v>4200</v>
      </c>
      <c r="BK3510">
        <v>100</v>
      </c>
      <c r="BL3510" t="s">
        <v>188</v>
      </c>
      <c r="BM3510">
        <v>1</v>
      </c>
      <c r="BN3510">
        <v>1</v>
      </c>
      <c r="BO3510">
        <v>0</v>
      </c>
      <c r="BP3510">
        <v>0</v>
      </c>
      <c r="BS3510">
        <v>0</v>
      </c>
      <c r="BT3510">
        <v>0</v>
      </c>
      <c r="BU3510">
        <v>0</v>
      </c>
      <c r="CE3510" t="str">
        <f t="shared" si="1389"/>
        <v>15:14:16.241</v>
      </c>
      <c r="CF3510">
        <v>240985249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3</v>
      </c>
      <c r="CY3510">
        <v>7</v>
      </c>
      <c r="CZ3510" t="s">
        <v>133</v>
      </c>
      <c r="DA3510">
        <v>275</v>
      </c>
      <c r="DB3510">
        <v>0</v>
      </c>
      <c r="DC3510" t="s">
        <v>134</v>
      </c>
      <c r="DD3510" t="s">
        <v>135</v>
      </c>
      <c r="DG3510">
        <v>3322737</v>
      </c>
      <c r="DI3510">
        <v>1</v>
      </c>
      <c r="DJ3510">
        <v>0</v>
      </c>
      <c r="DK3510">
        <v>1</v>
      </c>
      <c r="DL3510">
        <v>0</v>
      </c>
      <c r="DM3510">
        <v>0</v>
      </c>
      <c r="DN3510">
        <v>0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3">
      <c r="A3511" t="str">
        <f>"05/01/2025 15:14:16.503"</f>
        <v>05/01/2025 15:14:16.503</v>
      </c>
      <c r="C3511" t="str">
        <f t="shared" si="1368"/>
        <v>FFDFD3C0</v>
      </c>
      <c r="D3511" t="s">
        <v>124</v>
      </c>
      <c r="E3511" t="str">
        <f>"06"</f>
        <v>06</v>
      </c>
      <c r="F3511">
        <v>2006</v>
      </c>
      <c r="G3511" t="s">
        <v>125</v>
      </c>
      <c r="J3511" t="s">
        <v>126</v>
      </c>
      <c r="K3511">
        <v>0</v>
      </c>
      <c r="L3511">
        <v>3</v>
      </c>
      <c r="M3511">
        <v>0</v>
      </c>
      <c r="N3511">
        <v>2</v>
      </c>
      <c r="O3511">
        <v>0</v>
      </c>
      <c r="P3511">
        <v>1</v>
      </c>
      <c r="Q3511">
        <v>0</v>
      </c>
      <c r="R3511" t="s">
        <v>127</v>
      </c>
      <c r="S3511" t="str">
        <f t="shared" si="1388"/>
        <v>15:14:16.000</v>
      </c>
      <c r="T3511" t="str">
        <f t="shared" si="1388"/>
        <v>15:14:16.000</v>
      </c>
      <c r="U3511" t="str">
        <f t="shared" si="1370"/>
        <v>A68FCB</v>
      </c>
      <c r="V3511">
        <v>0</v>
      </c>
      <c r="W3511">
        <v>0</v>
      </c>
      <c r="X3511">
        <v>2</v>
      </c>
      <c r="Y3511">
        <v>0</v>
      </c>
      <c r="AA3511">
        <v>1</v>
      </c>
      <c r="AB3511">
        <v>8</v>
      </c>
      <c r="AC3511">
        <v>3</v>
      </c>
      <c r="AD3511">
        <v>0</v>
      </c>
      <c r="AE3511">
        <v>9</v>
      </c>
      <c r="AF3511" t="s">
        <v>138</v>
      </c>
      <c r="AG3511">
        <v>0</v>
      </c>
      <c r="AH3511">
        <v>3</v>
      </c>
      <c r="AI3511">
        <v>2</v>
      </c>
      <c r="AJ3511">
        <v>0</v>
      </c>
      <c r="AK3511" t="s">
        <v>1141</v>
      </c>
      <c r="AL3511">
        <v>39.148622000000003</v>
      </c>
      <c r="AM3511" t="s">
        <v>1084</v>
      </c>
      <c r="AN3511">
        <v>-121.03127000000001</v>
      </c>
      <c r="AO3511">
        <v>25</v>
      </c>
      <c r="AP3511">
        <v>4100</v>
      </c>
      <c r="AQ3511" t="s">
        <v>131</v>
      </c>
      <c r="AR3511">
        <v>1</v>
      </c>
      <c r="AS3511">
        <v>80</v>
      </c>
      <c r="AT3511">
        <v>-576</v>
      </c>
      <c r="BB3511" t="str">
        <f t="shared" si="1371"/>
        <v>1200</v>
      </c>
      <c r="BC3511">
        <v>1</v>
      </c>
      <c r="BD3511" t="str">
        <f t="shared" si="1372"/>
        <v xml:space="preserve">N52156  </v>
      </c>
      <c r="BE3511">
        <v>1</v>
      </c>
      <c r="BG3511">
        <v>0</v>
      </c>
      <c r="BH3511">
        <v>0</v>
      </c>
      <c r="BI3511">
        <v>0</v>
      </c>
      <c r="BJ3511">
        <v>4200</v>
      </c>
      <c r="BK3511">
        <v>100</v>
      </c>
      <c r="BL3511" t="s">
        <v>188</v>
      </c>
      <c r="BM3511">
        <v>1</v>
      </c>
      <c r="BN3511">
        <v>1</v>
      </c>
      <c r="BO3511">
        <v>0</v>
      </c>
      <c r="BP3511">
        <v>0</v>
      </c>
      <c r="BS3511">
        <v>0</v>
      </c>
      <c r="BT3511">
        <v>0</v>
      </c>
      <c r="BU3511">
        <v>0</v>
      </c>
      <c r="CE3511" t="str">
        <f t="shared" si="1389"/>
        <v>15:14:16.241</v>
      </c>
      <c r="CF3511">
        <v>240985249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3</v>
      </c>
      <c r="CY3511">
        <v>7</v>
      </c>
      <c r="CZ3511" t="s">
        <v>133</v>
      </c>
      <c r="DA3511">
        <v>275</v>
      </c>
      <c r="DB3511">
        <v>0</v>
      </c>
      <c r="DC3511" t="s">
        <v>134</v>
      </c>
      <c r="DD3511" t="s">
        <v>135</v>
      </c>
      <c r="DG3511">
        <v>3322737</v>
      </c>
      <c r="DI3511">
        <v>1</v>
      </c>
      <c r="DJ3511">
        <v>0</v>
      </c>
      <c r="DK3511">
        <v>1</v>
      </c>
      <c r="DL3511">
        <v>0</v>
      </c>
      <c r="DM3511">
        <v>0</v>
      </c>
      <c r="DN3511">
        <v>0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3">
      <c r="A3512" t="str">
        <f>"05/01/2025 15:14:17.404"</f>
        <v>05/01/2025 15:14:17.404</v>
      </c>
      <c r="C3512" t="str">
        <f t="shared" si="1368"/>
        <v>FFDFD3C0</v>
      </c>
      <c r="D3512" t="s">
        <v>140</v>
      </c>
      <c r="E3512" t="str">
        <f>"13"</f>
        <v>13</v>
      </c>
      <c r="F3512">
        <v>1019</v>
      </c>
      <c r="G3512" t="s">
        <v>141</v>
      </c>
      <c r="J3512" t="s">
        <v>142</v>
      </c>
      <c r="K3512">
        <v>0</v>
      </c>
      <c r="L3512">
        <v>3</v>
      </c>
      <c r="M3512">
        <v>0</v>
      </c>
      <c r="N3512">
        <v>2</v>
      </c>
      <c r="O3512">
        <v>0</v>
      </c>
      <c r="P3512">
        <v>1</v>
      </c>
      <c r="Q3512">
        <v>0</v>
      </c>
      <c r="R3512" t="s">
        <v>127</v>
      </c>
      <c r="S3512" t="str">
        <f t="shared" ref="S3512:T3517" si="1390">"15:14:17.000"</f>
        <v>15:14:17.000</v>
      </c>
      <c r="T3512" t="str">
        <f t="shared" si="1390"/>
        <v>15:14:17.000</v>
      </c>
      <c r="U3512" t="str">
        <f t="shared" si="1370"/>
        <v>A68FCB</v>
      </c>
      <c r="V3512">
        <v>0</v>
      </c>
      <c r="W3512">
        <v>0</v>
      </c>
      <c r="X3512">
        <v>2</v>
      </c>
      <c r="Y3512">
        <v>0</v>
      </c>
      <c r="AA3512">
        <v>1</v>
      </c>
      <c r="AB3512">
        <v>8</v>
      </c>
      <c r="AC3512">
        <v>3</v>
      </c>
      <c r="AD3512">
        <v>0</v>
      </c>
      <c r="AE3512">
        <v>9</v>
      </c>
      <c r="AF3512" t="s">
        <v>138</v>
      </c>
      <c r="AG3512">
        <v>0</v>
      </c>
      <c r="AH3512">
        <v>3</v>
      </c>
      <c r="AI3512">
        <v>2</v>
      </c>
      <c r="AJ3512">
        <v>0</v>
      </c>
      <c r="AK3512" t="s">
        <v>1142</v>
      </c>
      <c r="AL3512">
        <v>39.149008000000002</v>
      </c>
      <c r="AM3512" t="s">
        <v>1143</v>
      </c>
      <c r="AN3512">
        <v>-121.031249</v>
      </c>
      <c r="AO3512">
        <v>25</v>
      </c>
      <c r="AP3512">
        <v>4100</v>
      </c>
      <c r="AQ3512" t="s">
        <v>131</v>
      </c>
      <c r="AR3512">
        <v>2</v>
      </c>
      <c r="AS3512">
        <v>79</v>
      </c>
      <c r="AT3512">
        <v>-512</v>
      </c>
      <c r="BB3512" t="str">
        <f t="shared" si="1371"/>
        <v>1200</v>
      </c>
      <c r="BC3512">
        <v>1</v>
      </c>
      <c r="BD3512" t="str">
        <f t="shared" si="1372"/>
        <v xml:space="preserve">N52156  </v>
      </c>
      <c r="BE3512">
        <v>1</v>
      </c>
      <c r="BG3512">
        <v>0</v>
      </c>
      <c r="BH3512">
        <v>0</v>
      </c>
      <c r="BI3512">
        <v>0</v>
      </c>
      <c r="BJ3512">
        <v>4175</v>
      </c>
      <c r="BK3512">
        <v>75</v>
      </c>
      <c r="BL3512" t="s">
        <v>188</v>
      </c>
      <c r="BM3512">
        <v>1</v>
      </c>
      <c r="BN3512">
        <v>1</v>
      </c>
      <c r="BO3512">
        <v>0</v>
      </c>
      <c r="BP3512">
        <v>0</v>
      </c>
      <c r="BS3512">
        <v>0</v>
      </c>
      <c r="BT3512">
        <v>0</v>
      </c>
      <c r="BU3512">
        <v>0</v>
      </c>
      <c r="CE3512" t="str">
        <f t="shared" ref="CE3512:CE3517" si="1391">"15:14:17.197"</f>
        <v>15:14:17.197</v>
      </c>
      <c r="CF3512">
        <v>196735237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4</v>
      </c>
      <c r="CY3512">
        <v>7</v>
      </c>
      <c r="CZ3512" t="s">
        <v>133</v>
      </c>
      <c r="DA3512">
        <v>275</v>
      </c>
      <c r="DB3512">
        <v>0</v>
      </c>
      <c r="DC3512" t="s">
        <v>134</v>
      </c>
      <c r="DD3512" t="s">
        <v>135</v>
      </c>
      <c r="DG3512">
        <v>3322741</v>
      </c>
      <c r="DI3512">
        <v>1</v>
      </c>
      <c r="DJ3512">
        <v>0</v>
      </c>
      <c r="DK3512">
        <v>0</v>
      </c>
      <c r="DL3512">
        <v>0</v>
      </c>
      <c r="DM3512">
        <v>0</v>
      </c>
      <c r="DN3512">
        <v>0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3">
      <c r="A3513" t="str">
        <f>"05/01/2025 15:14:17.405"</f>
        <v>05/01/2025 15:14:17.405</v>
      </c>
      <c r="C3513" t="str">
        <f t="shared" si="1368"/>
        <v>FFDFD3C0</v>
      </c>
      <c r="D3513" t="s">
        <v>124</v>
      </c>
      <c r="E3513" t="str">
        <f>"06"</f>
        <v>06</v>
      </c>
      <c r="F3513">
        <v>2006</v>
      </c>
      <c r="G3513" t="s">
        <v>125</v>
      </c>
      <c r="J3513" t="s">
        <v>126</v>
      </c>
      <c r="K3513">
        <v>0</v>
      </c>
      <c r="L3513">
        <v>3</v>
      </c>
      <c r="M3513">
        <v>0</v>
      </c>
      <c r="N3513">
        <v>2</v>
      </c>
      <c r="O3513">
        <v>0</v>
      </c>
      <c r="P3513">
        <v>1</v>
      </c>
      <c r="Q3513">
        <v>0</v>
      </c>
      <c r="R3513" t="s">
        <v>127</v>
      </c>
      <c r="S3513" t="str">
        <f t="shared" si="1390"/>
        <v>15:14:17.000</v>
      </c>
      <c r="T3513" t="str">
        <f t="shared" si="1390"/>
        <v>15:14:17.000</v>
      </c>
      <c r="U3513" t="str">
        <f t="shared" si="1370"/>
        <v>A68FCB</v>
      </c>
      <c r="V3513">
        <v>0</v>
      </c>
      <c r="W3513">
        <v>0</v>
      </c>
      <c r="X3513">
        <v>2</v>
      </c>
      <c r="Y3513">
        <v>0</v>
      </c>
      <c r="AA3513">
        <v>1</v>
      </c>
      <c r="AB3513">
        <v>8</v>
      </c>
      <c r="AC3513">
        <v>3</v>
      </c>
      <c r="AD3513">
        <v>0</v>
      </c>
      <c r="AE3513">
        <v>9</v>
      </c>
      <c r="AF3513" t="s">
        <v>138</v>
      </c>
      <c r="AG3513">
        <v>0</v>
      </c>
      <c r="AH3513">
        <v>3</v>
      </c>
      <c r="AI3513">
        <v>2</v>
      </c>
      <c r="AJ3513">
        <v>0</v>
      </c>
      <c r="AK3513" t="s">
        <v>1142</v>
      </c>
      <c r="AL3513">
        <v>39.149008000000002</v>
      </c>
      <c r="AM3513" t="s">
        <v>1143</v>
      </c>
      <c r="AN3513">
        <v>-121.031249</v>
      </c>
      <c r="AO3513">
        <v>25</v>
      </c>
      <c r="AP3513">
        <v>4100</v>
      </c>
      <c r="AQ3513" t="s">
        <v>131</v>
      </c>
      <c r="AR3513">
        <v>2</v>
      </c>
      <c r="AS3513">
        <v>79</v>
      </c>
      <c r="AT3513">
        <v>-512</v>
      </c>
      <c r="BB3513" t="str">
        <f t="shared" si="1371"/>
        <v>1200</v>
      </c>
      <c r="BC3513">
        <v>1</v>
      </c>
      <c r="BD3513" t="str">
        <f t="shared" si="1372"/>
        <v xml:space="preserve">N52156  </v>
      </c>
      <c r="BE3513">
        <v>1</v>
      </c>
      <c r="BG3513">
        <v>0</v>
      </c>
      <c r="BH3513">
        <v>0</v>
      </c>
      <c r="BI3513">
        <v>0</v>
      </c>
      <c r="BJ3513">
        <v>4175</v>
      </c>
      <c r="BK3513">
        <v>75</v>
      </c>
      <c r="BL3513" t="s">
        <v>188</v>
      </c>
      <c r="BM3513">
        <v>1</v>
      </c>
      <c r="BN3513">
        <v>1</v>
      </c>
      <c r="BO3513">
        <v>0</v>
      </c>
      <c r="BP3513">
        <v>0</v>
      </c>
      <c r="BS3513">
        <v>0</v>
      </c>
      <c r="BT3513">
        <v>0</v>
      </c>
      <c r="BU3513">
        <v>0</v>
      </c>
      <c r="CE3513" t="str">
        <f t="shared" si="1391"/>
        <v>15:14:17.197</v>
      </c>
      <c r="CF3513">
        <v>196735237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4</v>
      </c>
      <c r="CY3513">
        <v>7</v>
      </c>
      <c r="CZ3513" t="s">
        <v>133</v>
      </c>
      <c r="DA3513">
        <v>275</v>
      </c>
      <c r="DB3513">
        <v>0</v>
      </c>
      <c r="DC3513" t="s">
        <v>134</v>
      </c>
      <c r="DD3513" t="s">
        <v>135</v>
      </c>
      <c r="DG3513">
        <v>3322741</v>
      </c>
      <c r="DI3513">
        <v>1</v>
      </c>
      <c r="DJ3513">
        <v>0</v>
      </c>
      <c r="DK3513">
        <v>1</v>
      </c>
      <c r="DL3513">
        <v>0</v>
      </c>
      <c r="DM3513">
        <v>0</v>
      </c>
      <c r="DN3513">
        <v>0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3">
      <c r="A3514" t="str">
        <f>"05/01/2025 15:14:17.415"</f>
        <v>05/01/2025 15:14:17.415</v>
      </c>
      <c r="C3514" t="str">
        <f t="shared" si="1368"/>
        <v>FFDFD3C0</v>
      </c>
      <c r="D3514" t="s">
        <v>145</v>
      </c>
      <c r="E3514" t="str">
        <f>"09"</f>
        <v>09</v>
      </c>
      <c r="H3514">
        <v>51</v>
      </c>
      <c r="I3514" t="s">
        <v>147</v>
      </c>
      <c r="J3514" t="s">
        <v>138</v>
      </c>
      <c r="K3514">
        <v>0</v>
      </c>
      <c r="L3514">
        <v>3</v>
      </c>
      <c r="M3514">
        <v>0</v>
      </c>
      <c r="N3514">
        <v>2</v>
      </c>
      <c r="O3514">
        <v>0</v>
      </c>
      <c r="P3514">
        <v>1</v>
      </c>
      <c r="Q3514">
        <v>0</v>
      </c>
      <c r="R3514" t="s">
        <v>127</v>
      </c>
      <c r="S3514" t="str">
        <f t="shared" si="1390"/>
        <v>15:14:17.000</v>
      </c>
      <c r="T3514" t="str">
        <f t="shared" si="1390"/>
        <v>15:14:17.000</v>
      </c>
      <c r="U3514" t="str">
        <f t="shared" si="1370"/>
        <v>A68FCB</v>
      </c>
      <c r="V3514">
        <v>0</v>
      </c>
      <c r="W3514">
        <v>0</v>
      </c>
      <c r="X3514">
        <v>2</v>
      </c>
      <c r="Y3514">
        <v>0</v>
      </c>
      <c r="AA3514">
        <v>1</v>
      </c>
      <c r="AB3514">
        <v>8</v>
      </c>
      <c r="AC3514">
        <v>3</v>
      </c>
      <c r="AD3514">
        <v>0</v>
      </c>
      <c r="AE3514">
        <v>9</v>
      </c>
      <c r="AF3514" t="s">
        <v>138</v>
      </c>
      <c r="AG3514">
        <v>0</v>
      </c>
      <c r="AH3514">
        <v>3</v>
      </c>
      <c r="AI3514">
        <v>2</v>
      </c>
      <c r="AJ3514">
        <v>0</v>
      </c>
      <c r="AK3514" t="s">
        <v>1142</v>
      </c>
      <c r="AL3514">
        <v>39.149008000000002</v>
      </c>
      <c r="AM3514" t="s">
        <v>1143</v>
      </c>
      <c r="AN3514">
        <v>-121.031249</v>
      </c>
      <c r="AO3514">
        <v>25</v>
      </c>
      <c r="AP3514">
        <v>4100</v>
      </c>
      <c r="AQ3514" t="s">
        <v>131</v>
      </c>
      <c r="AR3514">
        <v>2</v>
      </c>
      <c r="AS3514">
        <v>79</v>
      </c>
      <c r="AT3514">
        <v>-512</v>
      </c>
      <c r="BB3514" t="str">
        <f t="shared" si="1371"/>
        <v>1200</v>
      </c>
      <c r="BC3514">
        <v>1</v>
      </c>
      <c r="BD3514" t="str">
        <f t="shared" si="1372"/>
        <v xml:space="preserve">N52156  </v>
      </c>
      <c r="BE3514">
        <v>1</v>
      </c>
      <c r="BG3514">
        <v>0</v>
      </c>
      <c r="BH3514">
        <v>0</v>
      </c>
      <c r="BI3514">
        <v>0</v>
      </c>
      <c r="BJ3514">
        <v>4175</v>
      </c>
      <c r="BK3514">
        <v>75</v>
      </c>
      <c r="BL3514" t="s">
        <v>188</v>
      </c>
      <c r="BM3514">
        <v>1</v>
      </c>
      <c r="BN3514">
        <v>1</v>
      </c>
      <c r="BO3514">
        <v>0</v>
      </c>
      <c r="BP3514">
        <v>0</v>
      </c>
      <c r="BS3514">
        <v>0</v>
      </c>
      <c r="BT3514">
        <v>0</v>
      </c>
      <c r="BU3514">
        <v>0</v>
      </c>
      <c r="CE3514" t="str">
        <f t="shared" si="1391"/>
        <v>15:14:17.197</v>
      </c>
      <c r="CF3514">
        <v>196735237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4</v>
      </c>
      <c r="CY3514">
        <v>7</v>
      </c>
      <c r="CZ3514" t="s">
        <v>133</v>
      </c>
      <c r="DA3514">
        <v>275</v>
      </c>
      <c r="DB3514">
        <v>0</v>
      </c>
      <c r="DC3514" t="s">
        <v>134</v>
      </c>
      <c r="DD3514" t="s">
        <v>135</v>
      </c>
      <c r="DG3514">
        <v>3322741</v>
      </c>
      <c r="DI3514">
        <v>1</v>
      </c>
      <c r="DJ3514">
        <v>0</v>
      </c>
      <c r="DK3514">
        <v>1</v>
      </c>
      <c r="DL3514">
        <v>0</v>
      </c>
      <c r="DM3514">
        <v>0</v>
      </c>
      <c r="DN3514">
        <v>0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3">
      <c r="A3515" t="str">
        <f>"05/01/2025 15:14:17.419"</f>
        <v>05/01/2025 15:14:17.419</v>
      </c>
      <c r="C3515" t="str">
        <f t="shared" si="1368"/>
        <v>FFDFD3C0</v>
      </c>
      <c r="D3515" t="s">
        <v>145</v>
      </c>
      <c r="E3515" t="str">
        <f>"05"</f>
        <v>05</v>
      </c>
      <c r="H3515">
        <v>47</v>
      </c>
      <c r="I3515" t="s">
        <v>146</v>
      </c>
      <c r="J3515" t="s">
        <v>138</v>
      </c>
      <c r="K3515">
        <v>0</v>
      </c>
      <c r="L3515">
        <v>3</v>
      </c>
      <c r="M3515">
        <v>0</v>
      </c>
      <c r="N3515">
        <v>2</v>
      </c>
      <c r="O3515">
        <v>0</v>
      </c>
      <c r="P3515">
        <v>1</v>
      </c>
      <c r="Q3515">
        <v>0</v>
      </c>
      <c r="R3515" t="s">
        <v>127</v>
      </c>
      <c r="S3515" t="str">
        <f t="shared" si="1390"/>
        <v>15:14:17.000</v>
      </c>
      <c r="T3515" t="str">
        <f t="shared" si="1390"/>
        <v>15:14:17.000</v>
      </c>
      <c r="U3515" t="str">
        <f t="shared" si="1370"/>
        <v>A68FCB</v>
      </c>
      <c r="V3515">
        <v>0</v>
      </c>
      <c r="W3515">
        <v>0</v>
      </c>
      <c r="X3515">
        <v>2</v>
      </c>
      <c r="Y3515">
        <v>0</v>
      </c>
      <c r="AA3515">
        <v>1</v>
      </c>
      <c r="AB3515">
        <v>8</v>
      </c>
      <c r="AC3515">
        <v>3</v>
      </c>
      <c r="AD3515">
        <v>0</v>
      </c>
      <c r="AE3515">
        <v>9</v>
      </c>
      <c r="AF3515" t="s">
        <v>138</v>
      </c>
      <c r="AG3515">
        <v>0</v>
      </c>
      <c r="AH3515">
        <v>3</v>
      </c>
      <c r="AI3515">
        <v>2</v>
      </c>
      <c r="AJ3515">
        <v>0</v>
      </c>
      <c r="AK3515" t="s">
        <v>1142</v>
      </c>
      <c r="AL3515">
        <v>39.149008000000002</v>
      </c>
      <c r="AM3515" t="s">
        <v>1143</v>
      </c>
      <c r="AN3515">
        <v>-121.031249</v>
      </c>
      <c r="AO3515">
        <v>25</v>
      </c>
      <c r="AP3515">
        <v>4100</v>
      </c>
      <c r="AQ3515" t="s">
        <v>131</v>
      </c>
      <c r="AR3515">
        <v>2</v>
      </c>
      <c r="AS3515">
        <v>79</v>
      </c>
      <c r="AT3515">
        <v>-512</v>
      </c>
      <c r="BB3515" t="str">
        <f t="shared" si="1371"/>
        <v>1200</v>
      </c>
      <c r="BC3515">
        <v>1</v>
      </c>
      <c r="BD3515" t="str">
        <f t="shared" si="1372"/>
        <v xml:space="preserve">N52156  </v>
      </c>
      <c r="BE3515">
        <v>1</v>
      </c>
      <c r="BG3515">
        <v>0</v>
      </c>
      <c r="BH3515">
        <v>0</v>
      </c>
      <c r="BI3515">
        <v>0</v>
      </c>
      <c r="BJ3515">
        <v>4175</v>
      </c>
      <c r="BK3515">
        <v>75</v>
      </c>
      <c r="BL3515" t="s">
        <v>188</v>
      </c>
      <c r="BM3515">
        <v>1</v>
      </c>
      <c r="BN3515">
        <v>1</v>
      </c>
      <c r="BO3515">
        <v>0</v>
      </c>
      <c r="BP3515">
        <v>0</v>
      </c>
      <c r="BS3515">
        <v>0</v>
      </c>
      <c r="BT3515">
        <v>0</v>
      </c>
      <c r="BU3515">
        <v>0</v>
      </c>
      <c r="CE3515" t="str">
        <f t="shared" si="1391"/>
        <v>15:14:17.197</v>
      </c>
      <c r="CF3515">
        <v>196735237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4</v>
      </c>
      <c r="CY3515">
        <v>7</v>
      </c>
      <c r="CZ3515" t="s">
        <v>133</v>
      </c>
      <c r="DA3515">
        <v>275</v>
      </c>
      <c r="DB3515">
        <v>0</v>
      </c>
      <c r="DC3515" t="s">
        <v>134</v>
      </c>
      <c r="DD3515" t="s">
        <v>135</v>
      </c>
      <c r="DG3515">
        <v>3322741</v>
      </c>
      <c r="DI3515">
        <v>1</v>
      </c>
      <c r="DJ3515">
        <v>0</v>
      </c>
      <c r="DK3515">
        <v>1</v>
      </c>
      <c r="DL3515">
        <v>0</v>
      </c>
      <c r="DM3515">
        <v>0</v>
      </c>
      <c r="DN3515">
        <v>0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3">
      <c r="A3516" t="str">
        <f>"05/01/2025 15:14:17.429"</f>
        <v>05/01/2025 15:14:17.429</v>
      </c>
      <c r="C3516" t="str">
        <f t="shared" si="1368"/>
        <v>FFDFD3C0</v>
      </c>
      <c r="D3516" t="s">
        <v>136</v>
      </c>
      <c r="E3516" t="str">
        <f>"20"</f>
        <v>20</v>
      </c>
      <c r="H3516">
        <v>400</v>
      </c>
      <c r="I3516" t="s">
        <v>137</v>
      </c>
      <c r="J3516" t="s">
        <v>138</v>
      </c>
      <c r="K3516">
        <v>0</v>
      </c>
      <c r="L3516">
        <v>3</v>
      </c>
      <c r="M3516">
        <v>0</v>
      </c>
      <c r="N3516">
        <v>2</v>
      </c>
      <c r="O3516">
        <v>0</v>
      </c>
      <c r="P3516">
        <v>1</v>
      </c>
      <c r="Q3516">
        <v>0</v>
      </c>
      <c r="R3516" t="s">
        <v>127</v>
      </c>
      <c r="S3516" t="str">
        <f t="shared" si="1390"/>
        <v>15:14:17.000</v>
      </c>
      <c r="T3516" t="str">
        <f t="shared" si="1390"/>
        <v>15:14:17.000</v>
      </c>
      <c r="U3516" t="str">
        <f t="shared" si="1370"/>
        <v>A68FCB</v>
      </c>
      <c r="V3516">
        <v>0</v>
      </c>
      <c r="W3516">
        <v>0</v>
      </c>
      <c r="X3516">
        <v>2</v>
      </c>
      <c r="Y3516">
        <v>0</v>
      </c>
      <c r="AA3516">
        <v>1</v>
      </c>
      <c r="AB3516">
        <v>8</v>
      </c>
      <c r="AC3516">
        <v>3</v>
      </c>
      <c r="AD3516">
        <v>0</v>
      </c>
      <c r="AE3516">
        <v>9</v>
      </c>
      <c r="AF3516" t="s">
        <v>138</v>
      </c>
      <c r="AG3516">
        <v>0</v>
      </c>
      <c r="AH3516">
        <v>3</v>
      </c>
      <c r="AI3516">
        <v>2</v>
      </c>
      <c r="AJ3516">
        <v>0</v>
      </c>
      <c r="AK3516" t="s">
        <v>1142</v>
      </c>
      <c r="AL3516">
        <v>39.149008000000002</v>
      </c>
      <c r="AM3516" t="s">
        <v>1143</v>
      </c>
      <c r="AN3516">
        <v>-121.031249</v>
      </c>
      <c r="AO3516">
        <v>25</v>
      </c>
      <c r="AP3516">
        <v>4100</v>
      </c>
      <c r="AQ3516" t="s">
        <v>131</v>
      </c>
      <c r="AR3516">
        <v>2</v>
      </c>
      <c r="AS3516">
        <v>79</v>
      </c>
      <c r="AT3516">
        <v>-512</v>
      </c>
      <c r="BB3516" t="str">
        <f t="shared" si="1371"/>
        <v>1200</v>
      </c>
      <c r="BC3516">
        <v>1</v>
      </c>
      <c r="BD3516" t="str">
        <f t="shared" si="1372"/>
        <v xml:space="preserve">N52156  </v>
      </c>
      <c r="BE3516">
        <v>1</v>
      </c>
      <c r="BG3516">
        <v>0</v>
      </c>
      <c r="BH3516">
        <v>0</v>
      </c>
      <c r="BI3516">
        <v>0</v>
      </c>
      <c r="BJ3516">
        <v>4175</v>
      </c>
      <c r="BK3516">
        <v>75</v>
      </c>
      <c r="BL3516" t="s">
        <v>188</v>
      </c>
      <c r="BM3516">
        <v>1</v>
      </c>
      <c r="BN3516">
        <v>1</v>
      </c>
      <c r="BO3516">
        <v>0</v>
      </c>
      <c r="BP3516">
        <v>0</v>
      </c>
      <c r="BS3516">
        <v>0</v>
      </c>
      <c r="BT3516">
        <v>0</v>
      </c>
      <c r="BU3516">
        <v>0</v>
      </c>
      <c r="CE3516" t="str">
        <f t="shared" si="1391"/>
        <v>15:14:17.197</v>
      </c>
      <c r="CF3516">
        <v>196735237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4</v>
      </c>
      <c r="CY3516">
        <v>7</v>
      </c>
      <c r="CZ3516" t="s">
        <v>133</v>
      </c>
      <c r="DA3516">
        <v>275</v>
      </c>
      <c r="DB3516">
        <v>0</v>
      </c>
      <c r="DC3516" t="s">
        <v>134</v>
      </c>
      <c r="DD3516" t="s">
        <v>135</v>
      </c>
      <c r="DG3516">
        <v>3322741</v>
      </c>
      <c r="DI3516">
        <v>1</v>
      </c>
      <c r="DJ3516">
        <v>0</v>
      </c>
      <c r="DK3516">
        <v>1</v>
      </c>
      <c r="DL3516">
        <v>0</v>
      </c>
      <c r="DM3516">
        <v>0</v>
      </c>
      <c r="DN3516">
        <v>0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3">
      <c r="A3517" t="str">
        <f>"05/01/2025 15:14:17.445"</f>
        <v>05/01/2025 15:14:17.445</v>
      </c>
      <c r="C3517" t="str">
        <f t="shared" si="1368"/>
        <v>FFDFD3C0</v>
      </c>
      <c r="D3517" t="s">
        <v>143</v>
      </c>
      <c r="E3517" t="str">
        <f>"05"</f>
        <v>05</v>
      </c>
      <c r="H3517">
        <v>172</v>
      </c>
      <c r="I3517" t="s">
        <v>141</v>
      </c>
      <c r="J3517" t="s">
        <v>144</v>
      </c>
      <c r="K3517">
        <v>0</v>
      </c>
      <c r="L3517">
        <v>3</v>
      </c>
      <c r="M3517">
        <v>0</v>
      </c>
      <c r="N3517">
        <v>2</v>
      </c>
      <c r="O3517">
        <v>0</v>
      </c>
      <c r="P3517">
        <v>1</v>
      </c>
      <c r="Q3517">
        <v>0</v>
      </c>
      <c r="R3517" t="s">
        <v>127</v>
      </c>
      <c r="S3517" t="str">
        <f t="shared" si="1390"/>
        <v>15:14:17.000</v>
      </c>
      <c r="T3517" t="str">
        <f t="shared" si="1390"/>
        <v>15:14:17.000</v>
      </c>
      <c r="U3517" t="str">
        <f t="shared" si="1370"/>
        <v>A68FCB</v>
      </c>
      <c r="V3517">
        <v>0</v>
      </c>
      <c r="W3517">
        <v>0</v>
      </c>
      <c r="X3517">
        <v>2</v>
      </c>
      <c r="Y3517">
        <v>0</v>
      </c>
      <c r="AA3517">
        <v>1</v>
      </c>
      <c r="AB3517">
        <v>8</v>
      </c>
      <c r="AC3517">
        <v>3</v>
      </c>
      <c r="AD3517">
        <v>0</v>
      </c>
      <c r="AE3517">
        <v>9</v>
      </c>
      <c r="AF3517" t="s">
        <v>138</v>
      </c>
      <c r="AG3517">
        <v>0</v>
      </c>
      <c r="AH3517">
        <v>3</v>
      </c>
      <c r="AI3517">
        <v>2</v>
      </c>
      <c r="AJ3517">
        <v>0</v>
      </c>
      <c r="AK3517" t="s">
        <v>1142</v>
      </c>
      <c r="AL3517">
        <v>39.149008000000002</v>
      </c>
      <c r="AM3517" t="s">
        <v>1143</v>
      </c>
      <c r="AN3517">
        <v>-121.031249</v>
      </c>
      <c r="AO3517">
        <v>25</v>
      </c>
      <c r="AP3517">
        <v>4100</v>
      </c>
      <c r="AQ3517" t="s">
        <v>131</v>
      </c>
      <c r="AR3517">
        <v>2</v>
      </c>
      <c r="AS3517">
        <v>79</v>
      </c>
      <c r="AT3517">
        <v>-512</v>
      </c>
      <c r="BB3517" t="str">
        <f t="shared" si="1371"/>
        <v>1200</v>
      </c>
      <c r="BC3517">
        <v>1</v>
      </c>
      <c r="BD3517" t="str">
        <f t="shared" si="1372"/>
        <v xml:space="preserve">N52156  </v>
      </c>
      <c r="BE3517">
        <v>1</v>
      </c>
      <c r="BG3517">
        <v>0</v>
      </c>
      <c r="BH3517">
        <v>0</v>
      </c>
      <c r="BI3517">
        <v>0</v>
      </c>
      <c r="BJ3517">
        <v>4175</v>
      </c>
      <c r="BK3517">
        <v>75</v>
      </c>
      <c r="BL3517" t="s">
        <v>188</v>
      </c>
      <c r="BM3517">
        <v>1</v>
      </c>
      <c r="BN3517">
        <v>1</v>
      </c>
      <c r="BO3517">
        <v>0</v>
      </c>
      <c r="BP3517">
        <v>0</v>
      </c>
      <c r="BS3517">
        <v>0</v>
      </c>
      <c r="BT3517">
        <v>0</v>
      </c>
      <c r="BU3517">
        <v>0</v>
      </c>
      <c r="CE3517" t="str">
        <f t="shared" si="1391"/>
        <v>15:14:17.197</v>
      </c>
      <c r="CF3517">
        <v>196735237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4</v>
      </c>
      <c r="CY3517">
        <v>7</v>
      </c>
      <c r="CZ3517" t="s">
        <v>133</v>
      </c>
      <c r="DA3517">
        <v>275</v>
      </c>
      <c r="DB3517">
        <v>0</v>
      </c>
      <c r="DC3517" t="s">
        <v>134</v>
      </c>
      <c r="DD3517" t="s">
        <v>135</v>
      </c>
      <c r="DG3517">
        <v>3322741</v>
      </c>
      <c r="DI3517">
        <v>1</v>
      </c>
      <c r="DJ3517">
        <v>0</v>
      </c>
      <c r="DK3517">
        <v>1</v>
      </c>
      <c r="DL3517">
        <v>0</v>
      </c>
      <c r="DM3517">
        <v>0</v>
      </c>
      <c r="DN3517">
        <v>0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3">
      <c r="A3518" t="str">
        <f>"05/01/2025 15:14:18.467"</f>
        <v>05/01/2025 15:14:18.467</v>
      </c>
      <c r="C3518" t="str">
        <f t="shared" si="1368"/>
        <v>FFDFD3C0</v>
      </c>
      <c r="D3518" t="s">
        <v>145</v>
      </c>
      <c r="E3518" t="str">
        <f>"09"</f>
        <v>09</v>
      </c>
      <c r="H3518">
        <v>51</v>
      </c>
      <c r="I3518" t="s">
        <v>147</v>
      </c>
      <c r="J3518" t="s">
        <v>138</v>
      </c>
      <c r="K3518">
        <v>0</v>
      </c>
      <c r="L3518">
        <v>3</v>
      </c>
      <c r="M3518">
        <v>0</v>
      </c>
      <c r="N3518">
        <v>2</v>
      </c>
      <c r="O3518">
        <v>0</v>
      </c>
      <c r="P3518">
        <v>1</v>
      </c>
      <c r="Q3518">
        <v>0</v>
      </c>
      <c r="R3518" t="s">
        <v>127</v>
      </c>
      <c r="S3518" t="str">
        <f t="shared" ref="S3518:T3523" si="1392">"15:14:18.000"</f>
        <v>15:14:18.000</v>
      </c>
      <c r="T3518" t="str">
        <f t="shared" si="1392"/>
        <v>15:14:18.000</v>
      </c>
      <c r="U3518" t="str">
        <f t="shared" si="1370"/>
        <v>A68FCB</v>
      </c>
      <c r="V3518">
        <v>0</v>
      </c>
      <c r="W3518">
        <v>0</v>
      </c>
      <c r="X3518">
        <v>2</v>
      </c>
      <c r="Y3518">
        <v>0</v>
      </c>
      <c r="AA3518">
        <v>1</v>
      </c>
      <c r="AB3518">
        <v>8</v>
      </c>
      <c r="AC3518">
        <v>3</v>
      </c>
      <c r="AD3518">
        <v>0</v>
      </c>
      <c r="AE3518">
        <v>9</v>
      </c>
      <c r="AF3518" t="s">
        <v>138</v>
      </c>
      <c r="AG3518">
        <v>0</v>
      </c>
      <c r="AH3518">
        <v>3</v>
      </c>
      <c r="AI3518">
        <v>2</v>
      </c>
      <c r="AJ3518">
        <v>0</v>
      </c>
      <c r="AK3518" t="s">
        <v>1144</v>
      </c>
      <c r="AL3518">
        <v>39.149372999999997</v>
      </c>
      <c r="AM3518" t="s">
        <v>1086</v>
      </c>
      <c r="AN3518">
        <v>-121.031227</v>
      </c>
      <c r="AO3518">
        <v>25</v>
      </c>
      <c r="AP3518">
        <v>4100</v>
      </c>
      <c r="AQ3518" t="s">
        <v>131</v>
      </c>
      <c r="AR3518">
        <v>2</v>
      </c>
      <c r="AS3518">
        <v>79</v>
      </c>
      <c r="AT3518">
        <v>-512</v>
      </c>
      <c r="BB3518" t="str">
        <f t="shared" si="1371"/>
        <v>1200</v>
      </c>
      <c r="BC3518">
        <v>1</v>
      </c>
      <c r="BD3518" t="str">
        <f t="shared" si="1372"/>
        <v xml:space="preserve">N52156  </v>
      </c>
      <c r="BE3518">
        <v>1</v>
      </c>
      <c r="BG3518">
        <v>0</v>
      </c>
      <c r="BH3518">
        <v>0</v>
      </c>
      <c r="BI3518">
        <v>0</v>
      </c>
      <c r="BJ3518">
        <v>4175</v>
      </c>
      <c r="BK3518">
        <v>75</v>
      </c>
      <c r="BL3518" t="s">
        <v>188</v>
      </c>
      <c r="BM3518">
        <v>1</v>
      </c>
      <c r="BN3518">
        <v>1</v>
      </c>
      <c r="BO3518">
        <v>0</v>
      </c>
      <c r="BP3518">
        <v>0</v>
      </c>
      <c r="BS3518">
        <v>0</v>
      </c>
      <c r="BT3518">
        <v>0</v>
      </c>
      <c r="BU3518">
        <v>0</v>
      </c>
      <c r="CE3518" t="str">
        <f t="shared" ref="CE3518:CE3523" si="1393">"15:14:18.240"</f>
        <v>15:14:18.240</v>
      </c>
      <c r="CF3518">
        <v>239985419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3</v>
      </c>
      <c r="CY3518">
        <v>7</v>
      </c>
      <c r="CZ3518" t="s">
        <v>133</v>
      </c>
      <c r="DA3518">
        <v>275</v>
      </c>
      <c r="DB3518">
        <v>0</v>
      </c>
      <c r="DC3518" t="s">
        <v>134</v>
      </c>
      <c r="DD3518" t="s">
        <v>135</v>
      </c>
      <c r="DG3518">
        <v>3322744</v>
      </c>
      <c r="DI3518">
        <v>1</v>
      </c>
      <c r="DJ3518">
        <v>0</v>
      </c>
      <c r="DK3518">
        <v>0</v>
      </c>
      <c r="DL3518">
        <v>0</v>
      </c>
      <c r="DM3518">
        <v>0</v>
      </c>
      <c r="DN3518">
        <v>0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3">
      <c r="A3519" t="str">
        <f>"05/01/2025 15:14:18.470"</f>
        <v>05/01/2025 15:14:18.470</v>
      </c>
      <c r="C3519" t="str">
        <f t="shared" si="1368"/>
        <v>FFDFD3C0</v>
      </c>
      <c r="D3519" t="s">
        <v>145</v>
      </c>
      <c r="E3519" t="str">
        <f>"05"</f>
        <v>05</v>
      </c>
      <c r="H3519">
        <v>47</v>
      </c>
      <c r="I3519" t="s">
        <v>146</v>
      </c>
      <c r="J3519" t="s">
        <v>138</v>
      </c>
      <c r="K3519">
        <v>0</v>
      </c>
      <c r="L3519">
        <v>3</v>
      </c>
      <c r="M3519">
        <v>0</v>
      </c>
      <c r="N3519">
        <v>2</v>
      </c>
      <c r="O3519">
        <v>0</v>
      </c>
      <c r="P3519">
        <v>1</v>
      </c>
      <c r="Q3519">
        <v>0</v>
      </c>
      <c r="R3519" t="s">
        <v>127</v>
      </c>
      <c r="S3519" t="str">
        <f t="shared" si="1392"/>
        <v>15:14:18.000</v>
      </c>
      <c r="T3519" t="str">
        <f t="shared" si="1392"/>
        <v>15:14:18.000</v>
      </c>
      <c r="U3519" t="str">
        <f t="shared" si="1370"/>
        <v>A68FCB</v>
      </c>
      <c r="V3519">
        <v>0</v>
      </c>
      <c r="W3519">
        <v>0</v>
      </c>
      <c r="X3519">
        <v>2</v>
      </c>
      <c r="Y3519">
        <v>0</v>
      </c>
      <c r="AA3519">
        <v>1</v>
      </c>
      <c r="AB3519">
        <v>8</v>
      </c>
      <c r="AC3519">
        <v>3</v>
      </c>
      <c r="AD3519">
        <v>0</v>
      </c>
      <c r="AE3519">
        <v>9</v>
      </c>
      <c r="AF3519" t="s">
        <v>138</v>
      </c>
      <c r="AG3519">
        <v>0</v>
      </c>
      <c r="AH3519">
        <v>3</v>
      </c>
      <c r="AI3519">
        <v>2</v>
      </c>
      <c r="AJ3519">
        <v>0</v>
      </c>
      <c r="AK3519" t="s">
        <v>1144</v>
      </c>
      <c r="AL3519">
        <v>39.149372999999997</v>
      </c>
      <c r="AM3519" t="s">
        <v>1086</v>
      </c>
      <c r="AN3519">
        <v>-121.031227</v>
      </c>
      <c r="AO3519">
        <v>25</v>
      </c>
      <c r="AP3519">
        <v>4100</v>
      </c>
      <c r="AQ3519" t="s">
        <v>131</v>
      </c>
      <c r="AR3519">
        <v>2</v>
      </c>
      <c r="AS3519">
        <v>79</v>
      </c>
      <c r="AT3519">
        <v>-512</v>
      </c>
      <c r="BB3519" t="str">
        <f t="shared" si="1371"/>
        <v>1200</v>
      </c>
      <c r="BC3519">
        <v>1</v>
      </c>
      <c r="BD3519" t="str">
        <f t="shared" si="1372"/>
        <v xml:space="preserve">N52156  </v>
      </c>
      <c r="BE3519">
        <v>1</v>
      </c>
      <c r="BG3519">
        <v>0</v>
      </c>
      <c r="BH3519">
        <v>0</v>
      </c>
      <c r="BI3519">
        <v>0</v>
      </c>
      <c r="BJ3519">
        <v>4175</v>
      </c>
      <c r="BK3519">
        <v>75</v>
      </c>
      <c r="BL3519" t="s">
        <v>188</v>
      </c>
      <c r="BM3519">
        <v>1</v>
      </c>
      <c r="BN3519">
        <v>1</v>
      </c>
      <c r="BO3519">
        <v>0</v>
      </c>
      <c r="BP3519">
        <v>0</v>
      </c>
      <c r="BS3519">
        <v>0</v>
      </c>
      <c r="BT3519">
        <v>0</v>
      </c>
      <c r="BU3519">
        <v>0</v>
      </c>
      <c r="CE3519" t="str">
        <f t="shared" si="1393"/>
        <v>15:14:18.240</v>
      </c>
      <c r="CF3519">
        <v>239985419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3</v>
      </c>
      <c r="CY3519">
        <v>7</v>
      </c>
      <c r="CZ3519" t="s">
        <v>133</v>
      </c>
      <c r="DA3519">
        <v>275</v>
      </c>
      <c r="DB3519">
        <v>0</v>
      </c>
      <c r="DC3519" t="s">
        <v>134</v>
      </c>
      <c r="DD3519" t="s">
        <v>135</v>
      </c>
      <c r="DG3519">
        <v>3322744</v>
      </c>
      <c r="DI3519">
        <v>1</v>
      </c>
      <c r="DJ3519">
        <v>0</v>
      </c>
      <c r="DK3519">
        <v>1</v>
      </c>
      <c r="DL3519">
        <v>0</v>
      </c>
      <c r="DM3519">
        <v>0</v>
      </c>
      <c r="DN3519">
        <v>0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3">
      <c r="A3520" t="str">
        <f>"05/01/2025 15:14:18.481"</f>
        <v>05/01/2025 15:14:18.481</v>
      </c>
      <c r="C3520" t="str">
        <f t="shared" si="1368"/>
        <v>FFDFD3C0</v>
      </c>
      <c r="D3520" t="s">
        <v>136</v>
      </c>
      <c r="E3520" t="str">
        <f>"20"</f>
        <v>20</v>
      </c>
      <c r="H3520">
        <v>400</v>
      </c>
      <c r="I3520" t="s">
        <v>137</v>
      </c>
      <c r="J3520" t="s">
        <v>138</v>
      </c>
      <c r="K3520">
        <v>0</v>
      </c>
      <c r="L3520">
        <v>3</v>
      </c>
      <c r="M3520">
        <v>0</v>
      </c>
      <c r="N3520">
        <v>2</v>
      </c>
      <c r="O3520">
        <v>0</v>
      </c>
      <c r="P3520">
        <v>1</v>
      </c>
      <c r="Q3520">
        <v>0</v>
      </c>
      <c r="R3520" t="s">
        <v>127</v>
      </c>
      <c r="S3520" t="str">
        <f t="shared" si="1392"/>
        <v>15:14:18.000</v>
      </c>
      <c r="T3520" t="str">
        <f t="shared" si="1392"/>
        <v>15:14:18.000</v>
      </c>
      <c r="U3520" t="str">
        <f t="shared" si="1370"/>
        <v>A68FCB</v>
      </c>
      <c r="V3520">
        <v>0</v>
      </c>
      <c r="W3520">
        <v>0</v>
      </c>
      <c r="X3520">
        <v>2</v>
      </c>
      <c r="Y3520">
        <v>0</v>
      </c>
      <c r="AA3520">
        <v>1</v>
      </c>
      <c r="AB3520">
        <v>8</v>
      </c>
      <c r="AC3520">
        <v>3</v>
      </c>
      <c r="AD3520">
        <v>0</v>
      </c>
      <c r="AE3520">
        <v>9</v>
      </c>
      <c r="AF3520" t="s">
        <v>138</v>
      </c>
      <c r="AG3520">
        <v>0</v>
      </c>
      <c r="AH3520">
        <v>3</v>
      </c>
      <c r="AI3520">
        <v>2</v>
      </c>
      <c r="AJ3520">
        <v>0</v>
      </c>
      <c r="AK3520" t="s">
        <v>1144</v>
      </c>
      <c r="AL3520">
        <v>39.149372999999997</v>
      </c>
      <c r="AM3520" t="s">
        <v>1086</v>
      </c>
      <c r="AN3520">
        <v>-121.031227</v>
      </c>
      <c r="AO3520">
        <v>25</v>
      </c>
      <c r="AP3520">
        <v>4100</v>
      </c>
      <c r="AQ3520" t="s">
        <v>131</v>
      </c>
      <c r="AR3520">
        <v>2</v>
      </c>
      <c r="AS3520">
        <v>79</v>
      </c>
      <c r="AT3520">
        <v>-512</v>
      </c>
      <c r="BB3520" t="str">
        <f t="shared" si="1371"/>
        <v>1200</v>
      </c>
      <c r="BC3520">
        <v>1</v>
      </c>
      <c r="BD3520" t="str">
        <f t="shared" si="1372"/>
        <v xml:space="preserve">N52156  </v>
      </c>
      <c r="BE3520">
        <v>1</v>
      </c>
      <c r="BG3520">
        <v>0</v>
      </c>
      <c r="BH3520">
        <v>0</v>
      </c>
      <c r="BI3520">
        <v>0</v>
      </c>
      <c r="BJ3520">
        <v>4175</v>
      </c>
      <c r="BK3520">
        <v>75</v>
      </c>
      <c r="BL3520" t="s">
        <v>188</v>
      </c>
      <c r="BM3520">
        <v>1</v>
      </c>
      <c r="BN3520">
        <v>1</v>
      </c>
      <c r="BO3520">
        <v>0</v>
      </c>
      <c r="BP3520">
        <v>0</v>
      </c>
      <c r="BS3520">
        <v>0</v>
      </c>
      <c r="BT3520">
        <v>0</v>
      </c>
      <c r="BU3520">
        <v>0</v>
      </c>
      <c r="CE3520" t="str">
        <f t="shared" si="1393"/>
        <v>15:14:18.240</v>
      </c>
      <c r="CF3520">
        <v>239985419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3</v>
      </c>
      <c r="CY3520">
        <v>7</v>
      </c>
      <c r="CZ3520" t="s">
        <v>133</v>
      </c>
      <c r="DA3520">
        <v>275</v>
      </c>
      <c r="DB3520">
        <v>0</v>
      </c>
      <c r="DC3520" t="s">
        <v>134</v>
      </c>
      <c r="DD3520" t="s">
        <v>135</v>
      </c>
      <c r="DG3520">
        <v>3322744</v>
      </c>
      <c r="DI3520">
        <v>1</v>
      </c>
      <c r="DJ3520">
        <v>0</v>
      </c>
      <c r="DK3520">
        <v>1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3">
      <c r="A3521" t="str">
        <f>"05/01/2025 15:14:18.496"</f>
        <v>05/01/2025 15:14:18.496</v>
      </c>
      <c r="C3521" t="str">
        <f t="shared" si="1368"/>
        <v>FFDFD3C0</v>
      </c>
      <c r="D3521" t="s">
        <v>143</v>
      </c>
      <c r="E3521" t="str">
        <f>"05"</f>
        <v>05</v>
      </c>
      <c r="H3521">
        <v>172</v>
      </c>
      <c r="I3521" t="s">
        <v>141</v>
      </c>
      <c r="J3521" t="s">
        <v>144</v>
      </c>
      <c r="K3521">
        <v>0</v>
      </c>
      <c r="L3521">
        <v>3</v>
      </c>
      <c r="M3521">
        <v>0</v>
      </c>
      <c r="N3521">
        <v>2</v>
      </c>
      <c r="O3521">
        <v>0</v>
      </c>
      <c r="P3521">
        <v>1</v>
      </c>
      <c r="Q3521">
        <v>0</v>
      </c>
      <c r="R3521" t="s">
        <v>127</v>
      </c>
      <c r="S3521" t="str">
        <f t="shared" si="1392"/>
        <v>15:14:18.000</v>
      </c>
      <c r="T3521" t="str">
        <f t="shared" si="1392"/>
        <v>15:14:18.000</v>
      </c>
      <c r="U3521" t="str">
        <f t="shared" si="1370"/>
        <v>A68FCB</v>
      </c>
      <c r="V3521">
        <v>0</v>
      </c>
      <c r="W3521">
        <v>0</v>
      </c>
      <c r="X3521">
        <v>2</v>
      </c>
      <c r="Y3521">
        <v>0</v>
      </c>
      <c r="AA3521">
        <v>1</v>
      </c>
      <c r="AB3521">
        <v>8</v>
      </c>
      <c r="AC3521">
        <v>3</v>
      </c>
      <c r="AD3521">
        <v>0</v>
      </c>
      <c r="AE3521">
        <v>9</v>
      </c>
      <c r="AF3521" t="s">
        <v>138</v>
      </c>
      <c r="AG3521">
        <v>0</v>
      </c>
      <c r="AH3521">
        <v>3</v>
      </c>
      <c r="AI3521">
        <v>2</v>
      </c>
      <c r="AJ3521">
        <v>0</v>
      </c>
      <c r="AK3521" t="s">
        <v>1144</v>
      </c>
      <c r="AL3521">
        <v>39.149372999999997</v>
      </c>
      <c r="AM3521" t="s">
        <v>1086</v>
      </c>
      <c r="AN3521">
        <v>-121.031227</v>
      </c>
      <c r="AO3521">
        <v>25</v>
      </c>
      <c r="AP3521">
        <v>4100</v>
      </c>
      <c r="AQ3521" t="s">
        <v>131</v>
      </c>
      <c r="AR3521">
        <v>2</v>
      </c>
      <c r="AS3521">
        <v>79</v>
      </c>
      <c r="AT3521">
        <v>-512</v>
      </c>
      <c r="BB3521" t="str">
        <f t="shared" si="1371"/>
        <v>1200</v>
      </c>
      <c r="BC3521">
        <v>1</v>
      </c>
      <c r="BD3521" t="str">
        <f t="shared" si="1372"/>
        <v xml:space="preserve">N52156  </v>
      </c>
      <c r="BE3521">
        <v>1</v>
      </c>
      <c r="BG3521">
        <v>0</v>
      </c>
      <c r="BH3521">
        <v>0</v>
      </c>
      <c r="BI3521">
        <v>0</v>
      </c>
      <c r="BJ3521">
        <v>4175</v>
      </c>
      <c r="BK3521">
        <v>75</v>
      </c>
      <c r="BL3521" t="s">
        <v>188</v>
      </c>
      <c r="BM3521">
        <v>1</v>
      </c>
      <c r="BN3521">
        <v>1</v>
      </c>
      <c r="BO3521">
        <v>0</v>
      </c>
      <c r="BP3521">
        <v>0</v>
      </c>
      <c r="BS3521">
        <v>0</v>
      </c>
      <c r="BT3521">
        <v>0</v>
      </c>
      <c r="BU3521">
        <v>0</v>
      </c>
      <c r="CE3521" t="str">
        <f t="shared" si="1393"/>
        <v>15:14:18.240</v>
      </c>
      <c r="CF3521">
        <v>239985419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3</v>
      </c>
      <c r="CY3521">
        <v>7</v>
      </c>
      <c r="CZ3521" t="s">
        <v>133</v>
      </c>
      <c r="DA3521">
        <v>275</v>
      </c>
      <c r="DB3521">
        <v>0</v>
      </c>
      <c r="DC3521" t="s">
        <v>134</v>
      </c>
      <c r="DD3521" t="s">
        <v>135</v>
      </c>
      <c r="DG3521">
        <v>3322744</v>
      </c>
      <c r="DI3521">
        <v>1</v>
      </c>
      <c r="DJ3521">
        <v>0</v>
      </c>
      <c r="DK3521">
        <v>1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3">
      <c r="A3522" t="str">
        <f>"05/01/2025 15:14:18.506"</f>
        <v>05/01/2025 15:14:18.506</v>
      </c>
      <c r="C3522" t="str">
        <f t="shared" ref="C3522:C3585" si="1394">"FFDFD3C0"</f>
        <v>FFDFD3C0</v>
      </c>
      <c r="D3522" t="s">
        <v>140</v>
      </c>
      <c r="E3522" t="str">
        <f>"13"</f>
        <v>13</v>
      </c>
      <c r="F3522">
        <v>1019</v>
      </c>
      <c r="G3522" t="s">
        <v>141</v>
      </c>
      <c r="J3522" t="s">
        <v>142</v>
      </c>
      <c r="K3522">
        <v>0</v>
      </c>
      <c r="L3522">
        <v>3</v>
      </c>
      <c r="M3522">
        <v>0</v>
      </c>
      <c r="N3522">
        <v>2</v>
      </c>
      <c r="O3522">
        <v>0</v>
      </c>
      <c r="P3522">
        <v>1</v>
      </c>
      <c r="Q3522">
        <v>0</v>
      </c>
      <c r="R3522" t="s">
        <v>127</v>
      </c>
      <c r="S3522" t="str">
        <f t="shared" si="1392"/>
        <v>15:14:18.000</v>
      </c>
      <c r="T3522" t="str">
        <f t="shared" si="1392"/>
        <v>15:14:18.000</v>
      </c>
      <c r="U3522" t="str">
        <f t="shared" ref="U3522:U3585" si="1395">"A68FCB"</f>
        <v>A68FCB</v>
      </c>
      <c r="V3522">
        <v>0</v>
      </c>
      <c r="W3522">
        <v>0</v>
      </c>
      <c r="X3522">
        <v>2</v>
      </c>
      <c r="Y3522">
        <v>0</v>
      </c>
      <c r="AA3522">
        <v>1</v>
      </c>
      <c r="AB3522">
        <v>8</v>
      </c>
      <c r="AC3522">
        <v>3</v>
      </c>
      <c r="AD3522">
        <v>0</v>
      </c>
      <c r="AE3522">
        <v>9</v>
      </c>
      <c r="AF3522" t="s">
        <v>138</v>
      </c>
      <c r="AG3522">
        <v>0</v>
      </c>
      <c r="AH3522">
        <v>3</v>
      </c>
      <c r="AI3522">
        <v>2</v>
      </c>
      <c r="AJ3522">
        <v>0</v>
      </c>
      <c r="AK3522" t="s">
        <v>1144</v>
      </c>
      <c r="AL3522">
        <v>39.149372999999997</v>
      </c>
      <c r="AM3522" t="s">
        <v>1086</v>
      </c>
      <c r="AN3522">
        <v>-121.031227</v>
      </c>
      <c r="AO3522">
        <v>25</v>
      </c>
      <c r="AP3522">
        <v>4100</v>
      </c>
      <c r="AQ3522" t="s">
        <v>131</v>
      </c>
      <c r="AR3522">
        <v>2</v>
      </c>
      <c r="AS3522">
        <v>79</v>
      </c>
      <c r="AT3522">
        <v>-512</v>
      </c>
      <c r="BB3522" t="str">
        <f t="shared" ref="BB3522:BB3585" si="1396">"1200"</f>
        <v>1200</v>
      </c>
      <c r="BC3522">
        <v>1</v>
      </c>
      <c r="BD3522" t="str">
        <f t="shared" ref="BD3522:BD3585" si="1397">"N52156  "</f>
        <v xml:space="preserve">N52156  </v>
      </c>
      <c r="BE3522">
        <v>1</v>
      </c>
      <c r="BG3522">
        <v>0</v>
      </c>
      <c r="BH3522">
        <v>0</v>
      </c>
      <c r="BI3522">
        <v>0</v>
      </c>
      <c r="BJ3522">
        <v>4175</v>
      </c>
      <c r="BK3522">
        <v>75</v>
      </c>
      <c r="BL3522" t="s">
        <v>188</v>
      </c>
      <c r="BM3522">
        <v>1</v>
      </c>
      <c r="BN3522">
        <v>1</v>
      </c>
      <c r="BO3522">
        <v>0</v>
      </c>
      <c r="BP3522">
        <v>0</v>
      </c>
      <c r="BS3522">
        <v>0</v>
      </c>
      <c r="BT3522">
        <v>0</v>
      </c>
      <c r="BU3522">
        <v>0</v>
      </c>
      <c r="CE3522" t="str">
        <f t="shared" si="1393"/>
        <v>15:14:18.240</v>
      </c>
      <c r="CF3522">
        <v>239985419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3</v>
      </c>
      <c r="CY3522">
        <v>7</v>
      </c>
      <c r="CZ3522" t="s">
        <v>133</v>
      </c>
      <c r="DA3522">
        <v>275</v>
      </c>
      <c r="DB3522">
        <v>0</v>
      </c>
      <c r="DC3522" t="s">
        <v>134</v>
      </c>
      <c r="DD3522" t="s">
        <v>135</v>
      </c>
      <c r="DG3522">
        <v>3322744</v>
      </c>
      <c r="DI3522">
        <v>1</v>
      </c>
      <c r="DJ3522">
        <v>0</v>
      </c>
      <c r="DK3522">
        <v>1</v>
      </c>
      <c r="DL3522">
        <v>0</v>
      </c>
      <c r="DM3522">
        <v>0</v>
      </c>
      <c r="DN3522">
        <v>0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3">
      <c r="A3523" t="str">
        <f>"05/01/2025 15:14:18.507"</f>
        <v>05/01/2025 15:14:18.507</v>
      </c>
      <c r="C3523" t="str">
        <f t="shared" si="1394"/>
        <v>FFDFD3C0</v>
      </c>
      <c r="D3523" t="s">
        <v>124</v>
      </c>
      <c r="E3523" t="str">
        <f>"06"</f>
        <v>06</v>
      </c>
      <c r="F3523">
        <v>2006</v>
      </c>
      <c r="G3523" t="s">
        <v>125</v>
      </c>
      <c r="J3523" t="s">
        <v>126</v>
      </c>
      <c r="K3523">
        <v>0</v>
      </c>
      <c r="L3523">
        <v>3</v>
      </c>
      <c r="M3523">
        <v>0</v>
      </c>
      <c r="N3523">
        <v>2</v>
      </c>
      <c r="O3523">
        <v>0</v>
      </c>
      <c r="P3523">
        <v>1</v>
      </c>
      <c r="Q3523">
        <v>0</v>
      </c>
      <c r="R3523" t="s">
        <v>127</v>
      </c>
      <c r="S3523" t="str">
        <f t="shared" si="1392"/>
        <v>15:14:18.000</v>
      </c>
      <c r="T3523" t="str">
        <f t="shared" si="1392"/>
        <v>15:14:18.000</v>
      </c>
      <c r="U3523" t="str">
        <f t="shared" si="1395"/>
        <v>A68FCB</v>
      </c>
      <c r="V3523">
        <v>0</v>
      </c>
      <c r="W3523">
        <v>0</v>
      </c>
      <c r="X3523">
        <v>2</v>
      </c>
      <c r="Y3523">
        <v>0</v>
      </c>
      <c r="AA3523">
        <v>1</v>
      </c>
      <c r="AB3523">
        <v>8</v>
      </c>
      <c r="AC3523">
        <v>3</v>
      </c>
      <c r="AD3523">
        <v>0</v>
      </c>
      <c r="AE3523">
        <v>9</v>
      </c>
      <c r="AF3523" t="s">
        <v>138</v>
      </c>
      <c r="AG3523">
        <v>0</v>
      </c>
      <c r="AH3523">
        <v>3</v>
      </c>
      <c r="AI3523">
        <v>2</v>
      </c>
      <c r="AJ3523">
        <v>0</v>
      </c>
      <c r="AK3523" t="s">
        <v>1144</v>
      </c>
      <c r="AL3523">
        <v>39.149372999999997</v>
      </c>
      <c r="AM3523" t="s">
        <v>1086</v>
      </c>
      <c r="AN3523">
        <v>-121.031227</v>
      </c>
      <c r="AO3523">
        <v>25</v>
      </c>
      <c r="AP3523">
        <v>4100</v>
      </c>
      <c r="AQ3523" t="s">
        <v>131</v>
      </c>
      <c r="AR3523">
        <v>2</v>
      </c>
      <c r="AS3523">
        <v>79</v>
      </c>
      <c r="AT3523">
        <v>-512</v>
      </c>
      <c r="BB3523" t="str">
        <f t="shared" si="1396"/>
        <v>1200</v>
      </c>
      <c r="BC3523">
        <v>1</v>
      </c>
      <c r="BD3523" t="str">
        <f t="shared" si="1397"/>
        <v xml:space="preserve">N52156  </v>
      </c>
      <c r="BE3523">
        <v>1</v>
      </c>
      <c r="BG3523">
        <v>0</v>
      </c>
      <c r="BH3523">
        <v>0</v>
      </c>
      <c r="BI3523">
        <v>0</v>
      </c>
      <c r="BJ3523">
        <v>4175</v>
      </c>
      <c r="BK3523">
        <v>75</v>
      </c>
      <c r="BL3523" t="s">
        <v>188</v>
      </c>
      <c r="BM3523">
        <v>1</v>
      </c>
      <c r="BN3523">
        <v>1</v>
      </c>
      <c r="BO3523">
        <v>0</v>
      </c>
      <c r="BP3523">
        <v>0</v>
      </c>
      <c r="BS3523">
        <v>0</v>
      </c>
      <c r="BT3523">
        <v>0</v>
      </c>
      <c r="BU3523">
        <v>0</v>
      </c>
      <c r="CE3523" t="str">
        <f t="shared" si="1393"/>
        <v>15:14:18.240</v>
      </c>
      <c r="CF3523">
        <v>239985419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3</v>
      </c>
      <c r="CY3523">
        <v>7</v>
      </c>
      <c r="CZ3523" t="s">
        <v>133</v>
      </c>
      <c r="DA3523">
        <v>275</v>
      </c>
      <c r="DB3523">
        <v>0</v>
      </c>
      <c r="DC3523" t="s">
        <v>134</v>
      </c>
      <c r="DD3523" t="s">
        <v>135</v>
      </c>
      <c r="DG3523">
        <v>3322744</v>
      </c>
      <c r="DI3523">
        <v>1</v>
      </c>
      <c r="DJ3523">
        <v>0</v>
      </c>
      <c r="DK3523">
        <v>1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3">
      <c r="A3524" t="str">
        <f>"05/01/2025 15:14:19.408"</f>
        <v>05/01/2025 15:14:19.408</v>
      </c>
      <c r="C3524" t="str">
        <f t="shared" si="1394"/>
        <v>FFDFD3C0</v>
      </c>
      <c r="D3524" t="s">
        <v>140</v>
      </c>
      <c r="E3524" t="str">
        <f>"13"</f>
        <v>13</v>
      </c>
      <c r="F3524">
        <v>1019</v>
      </c>
      <c r="G3524" t="s">
        <v>141</v>
      </c>
      <c r="J3524" t="s">
        <v>142</v>
      </c>
      <c r="K3524">
        <v>0</v>
      </c>
      <c r="L3524">
        <v>3</v>
      </c>
      <c r="M3524">
        <v>0</v>
      </c>
      <c r="N3524">
        <v>2</v>
      </c>
      <c r="O3524">
        <v>0</v>
      </c>
      <c r="P3524">
        <v>1</v>
      </c>
      <c r="Q3524">
        <v>0</v>
      </c>
      <c r="R3524" t="s">
        <v>127</v>
      </c>
      <c r="S3524" t="str">
        <f t="shared" ref="S3524:T3529" si="1398">"15:14:19.000"</f>
        <v>15:14:19.000</v>
      </c>
      <c r="T3524" t="str">
        <f t="shared" si="1398"/>
        <v>15:14:19.000</v>
      </c>
      <c r="U3524" t="str">
        <f t="shared" si="1395"/>
        <v>A68FCB</v>
      </c>
      <c r="V3524">
        <v>0</v>
      </c>
      <c r="W3524">
        <v>0</v>
      </c>
      <c r="X3524">
        <v>2</v>
      </c>
      <c r="Y3524">
        <v>0</v>
      </c>
      <c r="AA3524">
        <v>1</v>
      </c>
      <c r="AB3524">
        <v>8</v>
      </c>
      <c r="AC3524">
        <v>3</v>
      </c>
      <c r="AD3524">
        <v>0</v>
      </c>
      <c r="AE3524">
        <v>9</v>
      </c>
      <c r="AF3524" t="s">
        <v>138</v>
      </c>
      <c r="AG3524">
        <v>0</v>
      </c>
      <c r="AH3524">
        <v>3</v>
      </c>
      <c r="AI3524">
        <v>2</v>
      </c>
      <c r="AJ3524">
        <v>0</v>
      </c>
      <c r="AK3524" t="s">
        <v>1145</v>
      </c>
      <c r="AL3524">
        <v>39.149759000000003</v>
      </c>
      <c r="AM3524" t="s">
        <v>1088</v>
      </c>
      <c r="AN3524">
        <v>-121.031206</v>
      </c>
      <c r="AO3524">
        <v>25</v>
      </c>
      <c r="AP3524">
        <v>4100</v>
      </c>
      <c r="AQ3524" t="s">
        <v>131</v>
      </c>
      <c r="AR3524">
        <v>3</v>
      </c>
      <c r="AS3524">
        <v>79</v>
      </c>
      <c r="AT3524">
        <v>-448</v>
      </c>
      <c r="BB3524" t="str">
        <f t="shared" si="1396"/>
        <v>1200</v>
      </c>
      <c r="BC3524">
        <v>1</v>
      </c>
      <c r="BD3524" t="str">
        <f t="shared" si="1397"/>
        <v xml:space="preserve">N52156  </v>
      </c>
      <c r="BE3524">
        <v>1</v>
      </c>
      <c r="BG3524">
        <v>0</v>
      </c>
      <c r="BH3524">
        <v>0</v>
      </c>
      <c r="BI3524">
        <v>0</v>
      </c>
      <c r="BJ3524">
        <v>4175</v>
      </c>
      <c r="BK3524">
        <v>75</v>
      </c>
      <c r="BL3524" t="s">
        <v>188</v>
      </c>
      <c r="BM3524">
        <v>1</v>
      </c>
      <c r="BN3524">
        <v>1</v>
      </c>
      <c r="BO3524">
        <v>0</v>
      </c>
      <c r="BP3524">
        <v>0</v>
      </c>
      <c r="BS3524">
        <v>0</v>
      </c>
      <c r="BT3524">
        <v>0</v>
      </c>
      <c r="BU3524">
        <v>0</v>
      </c>
      <c r="CE3524" t="str">
        <f t="shared" ref="CE3524:CE3529" si="1399">"15:14:19.196"</f>
        <v>15:14:19.196</v>
      </c>
      <c r="CF3524">
        <v>196235348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3</v>
      </c>
      <c r="CY3524">
        <v>7</v>
      </c>
      <c r="CZ3524" t="s">
        <v>133</v>
      </c>
      <c r="DA3524">
        <v>275</v>
      </c>
      <c r="DB3524">
        <v>0</v>
      </c>
      <c r="DC3524" t="s">
        <v>134</v>
      </c>
      <c r="DD3524" t="s">
        <v>135</v>
      </c>
      <c r="DG3524">
        <v>3322749</v>
      </c>
      <c r="DI3524">
        <v>1</v>
      </c>
      <c r="DJ3524">
        <v>0</v>
      </c>
      <c r="DK3524">
        <v>0</v>
      </c>
      <c r="DL3524">
        <v>0</v>
      </c>
      <c r="DM3524">
        <v>0</v>
      </c>
      <c r="DN3524">
        <v>0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3">
      <c r="A3525" t="str">
        <f>"05/01/2025 15:14:19.408"</f>
        <v>05/01/2025 15:14:19.408</v>
      </c>
      <c r="C3525" t="str">
        <f t="shared" si="1394"/>
        <v>FFDFD3C0</v>
      </c>
      <c r="D3525" t="s">
        <v>124</v>
      </c>
      <c r="E3525" t="str">
        <f>"06"</f>
        <v>06</v>
      </c>
      <c r="F3525">
        <v>2006</v>
      </c>
      <c r="G3525" t="s">
        <v>125</v>
      </c>
      <c r="J3525" t="s">
        <v>126</v>
      </c>
      <c r="K3525">
        <v>0</v>
      </c>
      <c r="L3525">
        <v>3</v>
      </c>
      <c r="M3525">
        <v>0</v>
      </c>
      <c r="N3525">
        <v>2</v>
      </c>
      <c r="O3525">
        <v>0</v>
      </c>
      <c r="P3525">
        <v>1</v>
      </c>
      <c r="Q3525">
        <v>0</v>
      </c>
      <c r="R3525" t="s">
        <v>127</v>
      </c>
      <c r="S3525" t="str">
        <f t="shared" si="1398"/>
        <v>15:14:19.000</v>
      </c>
      <c r="T3525" t="str">
        <f t="shared" si="1398"/>
        <v>15:14:19.000</v>
      </c>
      <c r="U3525" t="str">
        <f t="shared" si="1395"/>
        <v>A68FCB</v>
      </c>
      <c r="V3525">
        <v>0</v>
      </c>
      <c r="W3525">
        <v>0</v>
      </c>
      <c r="X3525">
        <v>2</v>
      </c>
      <c r="Y3525">
        <v>0</v>
      </c>
      <c r="AA3525">
        <v>1</v>
      </c>
      <c r="AB3525">
        <v>8</v>
      </c>
      <c r="AC3525">
        <v>3</v>
      </c>
      <c r="AD3525">
        <v>0</v>
      </c>
      <c r="AE3525">
        <v>9</v>
      </c>
      <c r="AF3525" t="s">
        <v>138</v>
      </c>
      <c r="AG3525">
        <v>0</v>
      </c>
      <c r="AH3525">
        <v>3</v>
      </c>
      <c r="AI3525">
        <v>2</v>
      </c>
      <c r="AJ3525">
        <v>0</v>
      </c>
      <c r="AK3525" t="s">
        <v>1145</v>
      </c>
      <c r="AL3525">
        <v>39.149759000000003</v>
      </c>
      <c r="AM3525" t="s">
        <v>1088</v>
      </c>
      <c r="AN3525">
        <v>-121.031206</v>
      </c>
      <c r="AO3525">
        <v>25</v>
      </c>
      <c r="AP3525">
        <v>4100</v>
      </c>
      <c r="AQ3525" t="s">
        <v>131</v>
      </c>
      <c r="AR3525">
        <v>3</v>
      </c>
      <c r="AS3525">
        <v>79</v>
      </c>
      <c r="AT3525">
        <v>-448</v>
      </c>
      <c r="BB3525" t="str">
        <f t="shared" si="1396"/>
        <v>1200</v>
      </c>
      <c r="BC3525">
        <v>1</v>
      </c>
      <c r="BD3525" t="str">
        <f t="shared" si="1397"/>
        <v xml:space="preserve">N52156  </v>
      </c>
      <c r="BE3525">
        <v>1</v>
      </c>
      <c r="BG3525">
        <v>0</v>
      </c>
      <c r="BH3525">
        <v>0</v>
      </c>
      <c r="BI3525">
        <v>0</v>
      </c>
      <c r="BJ3525">
        <v>4175</v>
      </c>
      <c r="BK3525">
        <v>75</v>
      </c>
      <c r="BL3525" t="s">
        <v>188</v>
      </c>
      <c r="BM3525">
        <v>1</v>
      </c>
      <c r="BN3525">
        <v>1</v>
      </c>
      <c r="BO3525">
        <v>0</v>
      </c>
      <c r="BP3525">
        <v>0</v>
      </c>
      <c r="BS3525">
        <v>0</v>
      </c>
      <c r="BT3525">
        <v>0</v>
      </c>
      <c r="BU3525">
        <v>0</v>
      </c>
      <c r="CE3525" t="str">
        <f t="shared" si="1399"/>
        <v>15:14:19.196</v>
      </c>
      <c r="CF3525">
        <v>196235348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3</v>
      </c>
      <c r="CY3525">
        <v>7</v>
      </c>
      <c r="CZ3525" t="s">
        <v>133</v>
      </c>
      <c r="DA3525">
        <v>275</v>
      </c>
      <c r="DB3525">
        <v>0</v>
      </c>
      <c r="DC3525" t="s">
        <v>134</v>
      </c>
      <c r="DD3525" t="s">
        <v>135</v>
      </c>
      <c r="DG3525">
        <v>3322749</v>
      </c>
      <c r="DI3525">
        <v>1</v>
      </c>
      <c r="DJ3525">
        <v>0</v>
      </c>
      <c r="DK3525">
        <v>1</v>
      </c>
      <c r="DL3525">
        <v>0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3">
      <c r="A3526" t="str">
        <f>"05/01/2025 15:14:19.419"</f>
        <v>05/01/2025 15:14:19.419</v>
      </c>
      <c r="C3526" t="str">
        <f t="shared" si="1394"/>
        <v>FFDFD3C0</v>
      </c>
      <c r="D3526" t="s">
        <v>145</v>
      </c>
      <c r="E3526" t="str">
        <f>"09"</f>
        <v>09</v>
      </c>
      <c r="H3526">
        <v>51</v>
      </c>
      <c r="I3526" t="s">
        <v>147</v>
      </c>
      <c r="J3526" t="s">
        <v>138</v>
      </c>
      <c r="K3526">
        <v>0</v>
      </c>
      <c r="L3526">
        <v>3</v>
      </c>
      <c r="M3526">
        <v>0</v>
      </c>
      <c r="N3526">
        <v>2</v>
      </c>
      <c r="O3526">
        <v>0</v>
      </c>
      <c r="P3526">
        <v>1</v>
      </c>
      <c r="Q3526">
        <v>0</v>
      </c>
      <c r="R3526" t="s">
        <v>127</v>
      </c>
      <c r="S3526" t="str">
        <f t="shared" si="1398"/>
        <v>15:14:19.000</v>
      </c>
      <c r="T3526" t="str">
        <f t="shared" si="1398"/>
        <v>15:14:19.000</v>
      </c>
      <c r="U3526" t="str">
        <f t="shared" si="1395"/>
        <v>A68FCB</v>
      </c>
      <c r="V3526">
        <v>0</v>
      </c>
      <c r="W3526">
        <v>0</v>
      </c>
      <c r="X3526">
        <v>2</v>
      </c>
      <c r="Y3526">
        <v>0</v>
      </c>
      <c r="AA3526">
        <v>1</v>
      </c>
      <c r="AB3526">
        <v>8</v>
      </c>
      <c r="AC3526">
        <v>3</v>
      </c>
      <c r="AD3526">
        <v>0</v>
      </c>
      <c r="AE3526">
        <v>9</v>
      </c>
      <c r="AF3526" t="s">
        <v>138</v>
      </c>
      <c r="AG3526">
        <v>0</v>
      </c>
      <c r="AH3526">
        <v>3</v>
      </c>
      <c r="AI3526">
        <v>2</v>
      </c>
      <c r="AJ3526">
        <v>0</v>
      </c>
      <c r="AK3526" t="s">
        <v>1145</v>
      </c>
      <c r="AL3526">
        <v>39.149759000000003</v>
      </c>
      <c r="AM3526" t="s">
        <v>1088</v>
      </c>
      <c r="AN3526">
        <v>-121.031206</v>
      </c>
      <c r="AO3526">
        <v>25</v>
      </c>
      <c r="AP3526">
        <v>4100</v>
      </c>
      <c r="AQ3526" t="s">
        <v>131</v>
      </c>
      <c r="AR3526">
        <v>3</v>
      </c>
      <c r="AS3526">
        <v>79</v>
      </c>
      <c r="AT3526">
        <v>-448</v>
      </c>
      <c r="BB3526" t="str">
        <f t="shared" si="1396"/>
        <v>1200</v>
      </c>
      <c r="BC3526">
        <v>1</v>
      </c>
      <c r="BD3526" t="str">
        <f t="shared" si="1397"/>
        <v xml:space="preserve">N52156  </v>
      </c>
      <c r="BE3526">
        <v>1</v>
      </c>
      <c r="BG3526">
        <v>0</v>
      </c>
      <c r="BH3526">
        <v>0</v>
      </c>
      <c r="BI3526">
        <v>0</v>
      </c>
      <c r="BJ3526">
        <v>4175</v>
      </c>
      <c r="BK3526">
        <v>75</v>
      </c>
      <c r="BL3526" t="s">
        <v>188</v>
      </c>
      <c r="BM3526">
        <v>1</v>
      </c>
      <c r="BN3526">
        <v>1</v>
      </c>
      <c r="BO3526">
        <v>0</v>
      </c>
      <c r="BP3526">
        <v>0</v>
      </c>
      <c r="BS3526">
        <v>0</v>
      </c>
      <c r="BT3526">
        <v>0</v>
      </c>
      <c r="BU3526">
        <v>0</v>
      </c>
      <c r="CE3526" t="str">
        <f t="shared" si="1399"/>
        <v>15:14:19.196</v>
      </c>
      <c r="CF3526">
        <v>196235348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3</v>
      </c>
      <c r="CY3526">
        <v>7</v>
      </c>
      <c r="CZ3526" t="s">
        <v>133</v>
      </c>
      <c r="DA3526">
        <v>275</v>
      </c>
      <c r="DB3526">
        <v>0</v>
      </c>
      <c r="DC3526" t="s">
        <v>134</v>
      </c>
      <c r="DD3526" t="s">
        <v>135</v>
      </c>
      <c r="DG3526">
        <v>3322749</v>
      </c>
      <c r="DI3526">
        <v>1</v>
      </c>
      <c r="DJ3526">
        <v>0</v>
      </c>
      <c r="DK3526">
        <v>1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3">
      <c r="A3527" t="str">
        <f>"05/01/2025 15:14:19.422"</f>
        <v>05/01/2025 15:14:19.422</v>
      </c>
      <c r="C3527" t="str">
        <f t="shared" si="1394"/>
        <v>FFDFD3C0</v>
      </c>
      <c r="D3527" t="s">
        <v>145</v>
      </c>
      <c r="E3527" t="str">
        <f>"05"</f>
        <v>05</v>
      </c>
      <c r="H3527">
        <v>47</v>
      </c>
      <c r="I3527" t="s">
        <v>146</v>
      </c>
      <c r="J3527" t="s">
        <v>138</v>
      </c>
      <c r="K3527">
        <v>0</v>
      </c>
      <c r="L3527">
        <v>3</v>
      </c>
      <c r="M3527">
        <v>0</v>
      </c>
      <c r="N3527">
        <v>2</v>
      </c>
      <c r="O3527">
        <v>0</v>
      </c>
      <c r="P3527">
        <v>1</v>
      </c>
      <c r="Q3527">
        <v>0</v>
      </c>
      <c r="R3527" t="s">
        <v>127</v>
      </c>
      <c r="S3527" t="str">
        <f t="shared" si="1398"/>
        <v>15:14:19.000</v>
      </c>
      <c r="T3527" t="str">
        <f t="shared" si="1398"/>
        <v>15:14:19.000</v>
      </c>
      <c r="U3527" t="str">
        <f t="shared" si="1395"/>
        <v>A68FCB</v>
      </c>
      <c r="V3527">
        <v>0</v>
      </c>
      <c r="W3527">
        <v>0</v>
      </c>
      <c r="X3527">
        <v>2</v>
      </c>
      <c r="Y3527">
        <v>0</v>
      </c>
      <c r="AA3527">
        <v>1</v>
      </c>
      <c r="AB3527">
        <v>8</v>
      </c>
      <c r="AC3527">
        <v>3</v>
      </c>
      <c r="AD3527">
        <v>0</v>
      </c>
      <c r="AE3527">
        <v>9</v>
      </c>
      <c r="AF3527" t="s">
        <v>138</v>
      </c>
      <c r="AG3527">
        <v>0</v>
      </c>
      <c r="AH3527">
        <v>3</v>
      </c>
      <c r="AI3527">
        <v>2</v>
      </c>
      <c r="AJ3527">
        <v>0</v>
      </c>
      <c r="AK3527" t="s">
        <v>1145</v>
      </c>
      <c r="AL3527">
        <v>39.149759000000003</v>
      </c>
      <c r="AM3527" t="s">
        <v>1088</v>
      </c>
      <c r="AN3527">
        <v>-121.031206</v>
      </c>
      <c r="AO3527">
        <v>25</v>
      </c>
      <c r="AP3527">
        <v>4100</v>
      </c>
      <c r="AQ3527" t="s">
        <v>131</v>
      </c>
      <c r="AR3527">
        <v>3</v>
      </c>
      <c r="AS3527">
        <v>79</v>
      </c>
      <c r="AT3527">
        <v>-448</v>
      </c>
      <c r="BB3527" t="str">
        <f t="shared" si="1396"/>
        <v>1200</v>
      </c>
      <c r="BC3527">
        <v>1</v>
      </c>
      <c r="BD3527" t="str">
        <f t="shared" si="1397"/>
        <v xml:space="preserve">N52156  </v>
      </c>
      <c r="BE3527">
        <v>1</v>
      </c>
      <c r="BG3527">
        <v>0</v>
      </c>
      <c r="BH3527">
        <v>0</v>
      </c>
      <c r="BI3527">
        <v>0</v>
      </c>
      <c r="BJ3527">
        <v>4175</v>
      </c>
      <c r="BK3527">
        <v>75</v>
      </c>
      <c r="BL3527" t="s">
        <v>188</v>
      </c>
      <c r="BM3527">
        <v>1</v>
      </c>
      <c r="BN3527">
        <v>1</v>
      </c>
      <c r="BO3527">
        <v>0</v>
      </c>
      <c r="BP3527">
        <v>0</v>
      </c>
      <c r="BS3527">
        <v>0</v>
      </c>
      <c r="BT3527">
        <v>0</v>
      </c>
      <c r="BU3527">
        <v>0</v>
      </c>
      <c r="CE3527" t="str">
        <f t="shared" si="1399"/>
        <v>15:14:19.196</v>
      </c>
      <c r="CF3527">
        <v>196235348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3</v>
      </c>
      <c r="CY3527">
        <v>7</v>
      </c>
      <c r="CZ3527" t="s">
        <v>133</v>
      </c>
      <c r="DA3527">
        <v>275</v>
      </c>
      <c r="DB3527">
        <v>0</v>
      </c>
      <c r="DC3527" t="s">
        <v>134</v>
      </c>
      <c r="DD3527" t="s">
        <v>135</v>
      </c>
      <c r="DG3527">
        <v>3322749</v>
      </c>
      <c r="DI3527">
        <v>1</v>
      </c>
      <c r="DJ3527">
        <v>0</v>
      </c>
      <c r="DK3527">
        <v>1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3">
      <c r="A3528" t="str">
        <f>"05/01/2025 15:14:19.432"</f>
        <v>05/01/2025 15:14:19.432</v>
      </c>
      <c r="C3528" t="str">
        <f t="shared" si="1394"/>
        <v>FFDFD3C0</v>
      </c>
      <c r="D3528" t="s">
        <v>136</v>
      </c>
      <c r="E3528" t="str">
        <f>"20"</f>
        <v>20</v>
      </c>
      <c r="H3528">
        <v>400</v>
      </c>
      <c r="I3528" t="s">
        <v>137</v>
      </c>
      <c r="J3528" t="s">
        <v>138</v>
      </c>
      <c r="K3528">
        <v>0</v>
      </c>
      <c r="L3528">
        <v>3</v>
      </c>
      <c r="M3528">
        <v>0</v>
      </c>
      <c r="N3528">
        <v>2</v>
      </c>
      <c r="O3528">
        <v>0</v>
      </c>
      <c r="P3528">
        <v>1</v>
      </c>
      <c r="Q3528">
        <v>0</v>
      </c>
      <c r="R3528" t="s">
        <v>127</v>
      </c>
      <c r="S3528" t="str">
        <f t="shared" si="1398"/>
        <v>15:14:19.000</v>
      </c>
      <c r="T3528" t="str">
        <f t="shared" si="1398"/>
        <v>15:14:19.000</v>
      </c>
      <c r="U3528" t="str">
        <f t="shared" si="1395"/>
        <v>A68FCB</v>
      </c>
      <c r="V3528">
        <v>0</v>
      </c>
      <c r="W3528">
        <v>0</v>
      </c>
      <c r="X3528">
        <v>2</v>
      </c>
      <c r="Y3528">
        <v>0</v>
      </c>
      <c r="AA3528">
        <v>1</v>
      </c>
      <c r="AB3528">
        <v>8</v>
      </c>
      <c r="AC3528">
        <v>3</v>
      </c>
      <c r="AD3528">
        <v>0</v>
      </c>
      <c r="AE3528">
        <v>9</v>
      </c>
      <c r="AF3528" t="s">
        <v>138</v>
      </c>
      <c r="AG3528">
        <v>0</v>
      </c>
      <c r="AH3528">
        <v>3</v>
      </c>
      <c r="AI3528">
        <v>2</v>
      </c>
      <c r="AJ3528">
        <v>0</v>
      </c>
      <c r="AK3528" t="s">
        <v>1145</v>
      </c>
      <c r="AL3528">
        <v>39.149759000000003</v>
      </c>
      <c r="AM3528" t="s">
        <v>1088</v>
      </c>
      <c r="AN3528">
        <v>-121.031206</v>
      </c>
      <c r="AO3528">
        <v>25</v>
      </c>
      <c r="AP3528">
        <v>4100</v>
      </c>
      <c r="AQ3528" t="s">
        <v>131</v>
      </c>
      <c r="AR3528">
        <v>3</v>
      </c>
      <c r="AS3528">
        <v>79</v>
      </c>
      <c r="AT3528">
        <v>-448</v>
      </c>
      <c r="BB3528" t="str">
        <f t="shared" si="1396"/>
        <v>1200</v>
      </c>
      <c r="BC3528">
        <v>1</v>
      </c>
      <c r="BD3528" t="str">
        <f t="shared" si="1397"/>
        <v xml:space="preserve">N52156  </v>
      </c>
      <c r="BE3528">
        <v>1</v>
      </c>
      <c r="BG3528">
        <v>0</v>
      </c>
      <c r="BH3528">
        <v>0</v>
      </c>
      <c r="BI3528">
        <v>0</v>
      </c>
      <c r="BJ3528">
        <v>4175</v>
      </c>
      <c r="BK3528">
        <v>75</v>
      </c>
      <c r="BL3528" t="s">
        <v>188</v>
      </c>
      <c r="BM3528">
        <v>1</v>
      </c>
      <c r="BN3528">
        <v>1</v>
      </c>
      <c r="BO3528">
        <v>0</v>
      </c>
      <c r="BP3528">
        <v>0</v>
      </c>
      <c r="BS3528">
        <v>0</v>
      </c>
      <c r="BT3528">
        <v>0</v>
      </c>
      <c r="BU3528">
        <v>0</v>
      </c>
      <c r="CE3528" t="str">
        <f t="shared" si="1399"/>
        <v>15:14:19.196</v>
      </c>
      <c r="CF3528">
        <v>196235348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3</v>
      </c>
      <c r="CY3528">
        <v>7</v>
      </c>
      <c r="CZ3528" t="s">
        <v>133</v>
      </c>
      <c r="DA3528">
        <v>275</v>
      </c>
      <c r="DB3528">
        <v>0</v>
      </c>
      <c r="DC3528" t="s">
        <v>134</v>
      </c>
      <c r="DD3528" t="s">
        <v>135</v>
      </c>
      <c r="DG3528">
        <v>3322749</v>
      </c>
      <c r="DI3528">
        <v>1</v>
      </c>
      <c r="DJ3528">
        <v>0</v>
      </c>
      <c r="DK3528">
        <v>1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3">
      <c r="A3529" t="str">
        <f>"05/01/2025 15:14:19.448"</f>
        <v>05/01/2025 15:14:19.448</v>
      </c>
      <c r="C3529" t="str">
        <f t="shared" si="1394"/>
        <v>FFDFD3C0</v>
      </c>
      <c r="D3529" t="s">
        <v>143</v>
      </c>
      <c r="E3529" t="str">
        <f>"05"</f>
        <v>05</v>
      </c>
      <c r="H3529">
        <v>172</v>
      </c>
      <c r="I3529" t="s">
        <v>141</v>
      </c>
      <c r="J3529" t="s">
        <v>144</v>
      </c>
      <c r="K3529">
        <v>0</v>
      </c>
      <c r="L3529">
        <v>3</v>
      </c>
      <c r="M3529">
        <v>0</v>
      </c>
      <c r="N3529">
        <v>2</v>
      </c>
      <c r="O3529">
        <v>0</v>
      </c>
      <c r="P3529">
        <v>1</v>
      </c>
      <c r="Q3529">
        <v>0</v>
      </c>
      <c r="R3529" t="s">
        <v>127</v>
      </c>
      <c r="S3529" t="str">
        <f t="shared" si="1398"/>
        <v>15:14:19.000</v>
      </c>
      <c r="T3529" t="str">
        <f t="shared" si="1398"/>
        <v>15:14:19.000</v>
      </c>
      <c r="U3529" t="str">
        <f t="shared" si="1395"/>
        <v>A68FCB</v>
      </c>
      <c r="V3529">
        <v>0</v>
      </c>
      <c r="W3529">
        <v>0</v>
      </c>
      <c r="X3529">
        <v>2</v>
      </c>
      <c r="Y3529">
        <v>0</v>
      </c>
      <c r="AA3529">
        <v>1</v>
      </c>
      <c r="AB3529">
        <v>8</v>
      </c>
      <c r="AC3529">
        <v>3</v>
      </c>
      <c r="AD3529">
        <v>0</v>
      </c>
      <c r="AE3529">
        <v>9</v>
      </c>
      <c r="AF3529" t="s">
        <v>138</v>
      </c>
      <c r="AG3529">
        <v>0</v>
      </c>
      <c r="AH3529">
        <v>3</v>
      </c>
      <c r="AI3529">
        <v>2</v>
      </c>
      <c r="AJ3529">
        <v>0</v>
      </c>
      <c r="AK3529" t="s">
        <v>1145</v>
      </c>
      <c r="AL3529">
        <v>39.149759000000003</v>
      </c>
      <c r="AM3529" t="s">
        <v>1088</v>
      </c>
      <c r="AN3529">
        <v>-121.031206</v>
      </c>
      <c r="AO3529">
        <v>25</v>
      </c>
      <c r="AP3529">
        <v>4100</v>
      </c>
      <c r="AQ3529" t="s">
        <v>131</v>
      </c>
      <c r="AR3529">
        <v>3</v>
      </c>
      <c r="AS3529">
        <v>79</v>
      </c>
      <c r="AT3529">
        <v>-448</v>
      </c>
      <c r="BB3529" t="str">
        <f t="shared" si="1396"/>
        <v>1200</v>
      </c>
      <c r="BC3529">
        <v>1</v>
      </c>
      <c r="BD3529" t="str">
        <f t="shared" si="1397"/>
        <v xml:space="preserve">N52156  </v>
      </c>
      <c r="BE3529">
        <v>1</v>
      </c>
      <c r="BG3529">
        <v>0</v>
      </c>
      <c r="BH3529">
        <v>0</v>
      </c>
      <c r="BI3529">
        <v>0</v>
      </c>
      <c r="BJ3529">
        <v>4175</v>
      </c>
      <c r="BK3529">
        <v>75</v>
      </c>
      <c r="BL3529" t="s">
        <v>188</v>
      </c>
      <c r="BM3529">
        <v>1</v>
      </c>
      <c r="BN3529">
        <v>1</v>
      </c>
      <c r="BO3529">
        <v>0</v>
      </c>
      <c r="BP3529">
        <v>0</v>
      </c>
      <c r="BS3529">
        <v>0</v>
      </c>
      <c r="BT3529">
        <v>0</v>
      </c>
      <c r="BU3529">
        <v>0</v>
      </c>
      <c r="CE3529" t="str">
        <f t="shared" si="1399"/>
        <v>15:14:19.196</v>
      </c>
      <c r="CF3529">
        <v>196235348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3</v>
      </c>
      <c r="CY3529">
        <v>7</v>
      </c>
      <c r="CZ3529" t="s">
        <v>133</v>
      </c>
      <c r="DA3529">
        <v>275</v>
      </c>
      <c r="DB3529">
        <v>0</v>
      </c>
      <c r="DC3529" t="s">
        <v>134</v>
      </c>
      <c r="DD3529" t="s">
        <v>135</v>
      </c>
      <c r="DG3529">
        <v>3322749</v>
      </c>
      <c r="DI3529">
        <v>1</v>
      </c>
      <c r="DJ3529">
        <v>0</v>
      </c>
      <c r="DK3529">
        <v>1</v>
      </c>
      <c r="DL3529">
        <v>0</v>
      </c>
      <c r="DM3529">
        <v>0</v>
      </c>
      <c r="DN3529">
        <v>0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3">
      <c r="A3530" t="str">
        <f>"05/01/2025 15:14:20.851"</f>
        <v>05/01/2025 15:14:20.851</v>
      </c>
      <c r="C3530" t="str">
        <f t="shared" si="1394"/>
        <v>FFDFD3C0</v>
      </c>
      <c r="D3530" t="s">
        <v>143</v>
      </c>
      <c r="E3530" t="str">
        <f>"05"</f>
        <v>05</v>
      </c>
      <c r="H3530">
        <v>172</v>
      </c>
      <c r="I3530" t="s">
        <v>141</v>
      </c>
      <c r="J3530" t="s">
        <v>144</v>
      </c>
      <c r="K3530">
        <v>0</v>
      </c>
      <c r="L3530">
        <v>3</v>
      </c>
      <c r="M3530">
        <v>0</v>
      </c>
      <c r="N3530">
        <v>2</v>
      </c>
      <c r="O3530">
        <v>0</v>
      </c>
      <c r="P3530">
        <v>1</v>
      </c>
      <c r="Q3530">
        <v>0</v>
      </c>
      <c r="R3530" t="s">
        <v>127</v>
      </c>
      <c r="S3530" t="str">
        <f t="shared" ref="S3530:T3535" si="1400">"15:14:20.000"</f>
        <v>15:14:20.000</v>
      </c>
      <c r="T3530" t="str">
        <f t="shared" si="1400"/>
        <v>15:14:20.000</v>
      </c>
      <c r="U3530" t="str">
        <f t="shared" si="1395"/>
        <v>A68FCB</v>
      </c>
      <c r="V3530">
        <v>0</v>
      </c>
      <c r="W3530">
        <v>0</v>
      </c>
      <c r="X3530">
        <v>2</v>
      </c>
      <c r="Y3530">
        <v>0</v>
      </c>
      <c r="AA3530">
        <v>1</v>
      </c>
      <c r="AB3530">
        <v>8</v>
      </c>
      <c r="AC3530">
        <v>3</v>
      </c>
      <c r="AD3530">
        <v>0</v>
      </c>
      <c r="AE3530">
        <v>9</v>
      </c>
      <c r="AF3530" t="s">
        <v>138</v>
      </c>
      <c r="AG3530">
        <v>0</v>
      </c>
      <c r="AH3530">
        <v>3</v>
      </c>
      <c r="AI3530">
        <v>2</v>
      </c>
      <c r="AJ3530">
        <v>0</v>
      </c>
      <c r="AK3530" t="s">
        <v>1146</v>
      </c>
      <c r="AL3530">
        <v>39.150123999999998</v>
      </c>
      <c r="AM3530" t="s">
        <v>1090</v>
      </c>
      <c r="AN3530">
        <v>-121.031184</v>
      </c>
      <c r="AO3530">
        <v>25</v>
      </c>
      <c r="AP3530">
        <v>4100</v>
      </c>
      <c r="AQ3530" t="s">
        <v>131</v>
      </c>
      <c r="AR3530">
        <v>4</v>
      </c>
      <c r="AS3530">
        <v>80</v>
      </c>
      <c r="AT3530">
        <v>-448</v>
      </c>
      <c r="BB3530" t="str">
        <f t="shared" si="1396"/>
        <v>1200</v>
      </c>
      <c r="BC3530">
        <v>1</v>
      </c>
      <c r="BD3530" t="str">
        <f t="shared" si="1397"/>
        <v xml:space="preserve">N52156  </v>
      </c>
      <c r="BE3530">
        <v>1</v>
      </c>
      <c r="BG3530">
        <v>0</v>
      </c>
      <c r="BH3530">
        <v>0</v>
      </c>
      <c r="BI3530">
        <v>0</v>
      </c>
      <c r="BJ3530">
        <v>4150</v>
      </c>
      <c r="BK3530">
        <v>50</v>
      </c>
      <c r="BL3530" t="s">
        <v>188</v>
      </c>
      <c r="BM3530">
        <v>1</v>
      </c>
      <c r="BN3530">
        <v>1</v>
      </c>
      <c r="BO3530">
        <v>0</v>
      </c>
      <c r="BP3530">
        <v>0</v>
      </c>
      <c r="BS3530">
        <v>0</v>
      </c>
      <c r="BT3530">
        <v>0</v>
      </c>
      <c r="BU3530">
        <v>0</v>
      </c>
      <c r="CE3530" t="str">
        <f t="shared" ref="CE3530:CE3535" si="1401">"15:14:20.648"</f>
        <v>15:14:20.648</v>
      </c>
      <c r="CF3530">
        <v>648236591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4</v>
      </c>
      <c r="CY3530">
        <v>7</v>
      </c>
      <c r="CZ3530" t="s">
        <v>133</v>
      </c>
      <c r="DA3530">
        <v>275</v>
      </c>
      <c r="DB3530">
        <v>0</v>
      </c>
      <c r="DC3530" t="s">
        <v>134</v>
      </c>
      <c r="DD3530" t="s">
        <v>135</v>
      </c>
      <c r="DG3530">
        <v>3322755</v>
      </c>
      <c r="DI3530">
        <v>1</v>
      </c>
      <c r="DJ3530">
        <v>0</v>
      </c>
      <c r="DK3530">
        <v>0</v>
      </c>
      <c r="DL3530">
        <v>0</v>
      </c>
      <c r="DM3530">
        <v>0</v>
      </c>
      <c r="DN3530">
        <v>0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3">
      <c r="A3531" t="str">
        <f>"05/01/2025 15:14:20.860"</f>
        <v>05/01/2025 15:14:20.860</v>
      </c>
      <c r="C3531" t="str">
        <f t="shared" si="1394"/>
        <v>FFDFD3C0</v>
      </c>
      <c r="D3531" t="s">
        <v>140</v>
      </c>
      <c r="E3531" t="str">
        <f>"13"</f>
        <v>13</v>
      </c>
      <c r="F3531">
        <v>1019</v>
      </c>
      <c r="G3531" t="s">
        <v>141</v>
      </c>
      <c r="J3531" t="s">
        <v>142</v>
      </c>
      <c r="K3531">
        <v>0</v>
      </c>
      <c r="L3531">
        <v>3</v>
      </c>
      <c r="M3531">
        <v>0</v>
      </c>
      <c r="N3531">
        <v>2</v>
      </c>
      <c r="O3531">
        <v>0</v>
      </c>
      <c r="P3531">
        <v>1</v>
      </c>
      <c r="Q3531">
        <v>0</v>
      </c>
      <c r="R3531" t="s">
        <v>127</v>
      </c>
      <c r="S3531" t="str">
        <f t="shared" si="1400"/>
        <v>15:14:20.000</v>
      </c>
      <c r="T3531" t="str">
        <f t="shared" si="1400"/>
        <v>15:14:20.000</v>
      </c>
      <c r="U3531" t="str">
        <f t="shared" si="1395"/>
        <v>A68FCB</v>
      </c>
      <c r="V3531">
        <v>0</v>
      </c>
      <c r="W3531">
        <v>0</v>
      </c>
      <c r="X3531">
        <v>2</v>
      </c>
      <c r="Y3531">
        <v>0</v>
      </c>
      <c r="AA3531">
        <v>1</v>
      </c>
      <c r="AB3531">
        <v>8</v>
      </c>
      <c r="AC3531">
        <v>3</v>
      </c>
      <c r="AD3531">
        <v>0</v>
      </c>
      <c r="AE3531">
        <v>9</v>
      </c>
      <c r="AF3531" t="s">
        <v>138</v>
      </c>
      <c r="AG3531">
        <v>0</v>
      </c>
      <c r="AH3531">
        <v>3</v>
      </c>
      <c r="AI3531">
        <v>2</v>
      </c>
      <c r="AJ3531">
        <v>0</v>
      </c>
      <c r="AK3531" t="s">
        <v>1146</v>
      </c>
      <c r="AL3531">
        <v>39.150123999999998</v>
      </c>
      <c r="AM3531" t="s">
        <v>1090</v>
      </c>
      <c r="AN3531">
        <v>-121.031184</v>
      </c>
      <c r="AO3531">
        <v>25</v>
      </c>
      <c r="AP3531">
        <v>4100</v>
      </c>
      <c r="AQ3531" t="s">
        <v>131</v>
      </c>
      <c r="AR3531">
        <v>4</v>
      </c>
      <c r="AS3531">
        <v>80</v>
      </c>
      <c r="AT3531">
        <v>-448</v>
      </c>
      <c r="BB3531" t="str">
        <f t="shared" si="1396"/>
        <v>1200</v>
      </c>
      <c r="BC3531">
        <v>1</v>
      </c>
      <c r="BD3531" t="str">
        <f t="shared" si="1397"/>
        <v xml:space="preserve">N52156  </v>
      </c>
      <c r="BE3531">
        <v>1</v>
      </c>
      <c r="BG3531">
        <v>0</v>
      </c>
      <c r="BH3531">
        <v>0</v>
      </c>
      <c r="BI3531">
        <v>0</v>
      </c>
      <c r="BJ3531">
        <v>4150</v>
      </c>
      <c r="BK3531">
        <v>50</v>
      </c>
      <c r="BL3531" t="s">
        <v>188</v>
      </c>
      <c r="BM3531">
        <v>1</v>
      </c>
      <c r="BN3531">
        <v>1</v>
      </c>
      <c r="BO3531">
        <v>0</v>
      </c>
      <c r="BP3531">
        <v>0</v>
      </c>
      <c r="BS3531">
        <v>0</v>
      </c>
      <c r="BT3531">
        <v>0</v>
      </c>
      <c r="BU3531">
        <v>0</v>
      </c>
      <c r="CE3531" t="str">
        <f t="shared" si="1401"/>
        <v>15:14:20.648</v>
      </c>
      <c r="CF3531">
        <v>648236591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4</v>
      </c>
      <c r="CY3531">
        <v>7</v>
      </c>
      <c r="CZ3531" t="s">
        <v>133</v>
      </c>
      <c r="DA3531">
        <v>275</v>
      </c>
      <c r="DB3531">
        <v>0</v>
      </c>
      <c r="DC3531" t="s">
        <v>134</v>
      </c>
      <c r="DD3531" t="s">
        <v>135</v>
      </c>
      <c r="DG3531">
        <v>3322755</v>
      </c>
      <c r="DI3531">
        <v>1</v>
      </c>
      <c r="DJ3531">
        <v>0</v>
      </c>
      <c r="DK3531">
        <v>1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3">
      <c r="A3532" t="str">
        <f>"05/01/2025 15:14:20.861"</f>
        <v>05/01/2025 15:14:20.861</v>
      </c>
      <c r="C3532" t="str">
        <f t="shared" si="1394"/>
        <v>FFDFD3C0</v>
      </c>
      <c r="D3532" t="s">
        <v>124</v>
      </c>
      <c r="E3532" t="str">
        <f>"06"</f>
        <v>06</v>
      </c>
      <c r="F3532">
        <v>2006</v>
      </c>
      <c r="G3532" t="s">
        <v>125</v>
      </c>
      <c r="J3532" t="s">
        <v>126</v>
      </c>
      <c r="K3532">
        <v>0</v>
      </c>
      <c r="L3532">
        <v>3</v>
      </c>
      <c r="M3532">
        <v>0</v>
      </c>
      <c r="N3532">
        <v>2</v>
      </c>
      <c r="O3532">
        <v>0</v>
      </c>
      <c r="P3532">
        <v>1</v>
      </c>
      <c r="Q3532">
        <v>0</v>
      </c>
      <c r="R3532" t="s">
        <v>127</v>
      </c>
      <c r="S3532" t="str">
        <f t="shared" si="1400"/>
        <v>15:14:20.000</v>
      </c>
      <c r="T3532" t="str">
        <f t="shared" si="1400"/>
        <v>15:14:20.000</v>
      </c>
      <c r="U3532" t="str">
        <f t="shared" si="1395"/>
        <v>A68FCB</v>
      </c>
      <c r="V3532">
        <v>0</v>
      </c>
      <c r="W3532">
        <v>0</v>
      </c>
      <c r="X3532">
        <v>2</v>
      </c>
      <c r="Y3532">
        <v>0</v>
      </c>
      <c r="AA3532">
        <v>1</v>
      </c>
      <c r="AB3532">
        <v>8</v>
      </c>
      <c r="AC3532">
        <v>3</v>
      </c>
      <c r="AD3532">
        <v>0</v>
      </c>
      <c r="AE3532">
        <v>9</v>
      </c>
      <c r="AF3532" t="s">
        <v>138</v>
      </c>
      <c r="AG3532">
        <v>0</v>
      </c>
      <c r="AH3532">
        <v>3</v>
      </c>
      <c r="AI3532">
        <v>2</v>
      </c>
      <c r="AJ3532">
        <v>0</v>
      </c>
      <c r="AK3532" t="s">
        <v>1146</v>
      </c>
      <c r="AL3532">
        <v>39.150123999999998</v>
      </c>
      <c r="AM3532" t="s">
        <v>1090</v>
      </c>
      <c r="AN3532">
        <v>-121.031184</v>
      </c>
      <c r="AO3532">
        <v>25</v>
      </c>
      <c r="AP3532">
        <v>4100</v>
      </c>
      <c r="AQ3532" t="s">
        <v>131</v>
      </c>
      <c r="AR3532">
        <v>4</v>
      </c>
      <c r="AS3532">
        <v>80</v>
      </c>
      <c r="AT3532">
        <v>-448</v>
      </c>
      <c r="BB3532" t="str">
        <f t="shared" si="1396"/>
        <v>1200</v>
      </c>
      <c r="BC3532">
        <v>1</v>
      </c>
      <c r="BD3532" t="str">
        <f t="shared" si="1397"/>
        <v xml:space="preserve">N52156  </v>
      </c>
      <c r="BE3532">
        <v>1</v>
      </c>
      <c r="BG3532">
        <v>0</v>
      </c>
      <c r="BH3532">
        <v>0</v>
      </c>
      <c r="BI3532">
        <v>0</v>
      </c>
      <c r="BJ3532">
        <v>4150</v>
      </c>
      <c r="BK3532">
        <v>50</v>
      </c>
      <c r="BL3532" t="s">
        <v>188</v>
      </c>
      <c r="BM3532">
        <v>1</v>
      </c>
      <c r="BN3532">
        <v>1</v>
      </c>
      <c r="BO3532">
        <v>0</v>
      </c>
      <c r="BP3532">
        <v>0</v>
      </c>
      <c r="BS3532">
        <v>0</v>
      </c>
      <c r="BT3532">
        <v>0</v>
      </c>
      <c r="BU3532">
        <v>0</v>
      </c>
      <c r="CE3532" t="str">
        <f t="shared" si="1401"/>
        <v>15:14:20.648</v>
      </c>
      <c r="CF3532">
        <v>648236591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4</v>
      </c>
      <c r="CY3532">
        <v>7</v>
      </c>
      <c r="CZ3532" t="s">
        <v>133</v>
      </c>
      <c r="DA3532">
        <v>275</v>
      </c>
      <c r="DB3532">
        <v>0</v>
      </c>
      <c r="DC3532" t="s">
        <v>134</v>
      </c>
      <c r="DD3532" t="s">
        <v>135</v>
      </c>
      <c r="DG3532">
        <v>3322755</v>
      </c>
      <c r="DI3532">
        <v>1</v>
      </c>
      <c r="DJ3532">
        <v>0</v>
      </c>
      <c r="DK3532">
        <v>1</v>
      </c>
      <c r="DL3532">
        <v>0</v>
      </c>
      <c r="DM3532">
        <v>0</v>
      </c>
      <c r="DN3532">
        <v>0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3">
      <c r="A3533" t="str">
        <f>"05/01/2025 15:14:20.871"</f>
        <v>05/01/2025 15:14:20.871</v>
      </c>
      <c r="C3533" t="str">
        <f t="shared" si="1394"/>
        <v>FFDFD3C0</v>
      </c>
      <c r="D3533" t="s">
        <v>145</v>
      </c>
      <c r="E3533" t="str">
        <f>"09"</f>
        <v>09</v>
      </c>
      <c r="H3533">
        <v>51</v>
      </c>
      <c r="I3533" t="s">
        <v>147</v>
      </c>
      <c r="J3533" t="s">
        <v>138</v>
      </c>
      <c r="K3533">
        <v>0</v>
      </c>
      <c r="L3533">
        <v>3</v>
      </c>
      <c r="M3533">
        <v>0</v>
      </c>
      <c r="N3533">
        <v>2</v>
      </c>
      <c r="O3533">
        <v>0</v>
      </c>
      <c r="P3533">
        <v>1</v>
      </c>
      <c r="Q3533">
        <v>0</v>
      </c>
      <c r="R3533" t="s">
        <v>127</v>
      </c>
      <c r="S3533" t="str">
        <f t="shared" si="1400"/>
        <v>15:14:20.000</v>
      </c>
      <c r="T3533" t="str">
        <f t="shared" si="1400"/>
        <v>15:14:20.000</v>
      </c>
      <c r="U3533" t="str">
        <f t="shared" si="1395"/>
        <v>A68FCB</v>
      </c>
      <c r="V3533">
        <v>0</v>
      </c>
      <c r="W3533">
        <v>0</v>
      </c>
      <c r="X3533">
        <v>2</v>
      </c>
      <c r="Y3533">
        <v>0</v>
      </c>
      <c r="AA3533">
        <v>1</v>
      </c>
      <c r="AB3533">
        <v>8</v>
      </c>
      <c r="AC3533">
        <v>3</v>
      </c>
      <c r="AD3533">
        <v>0</v>
      </c>
      <c r="AE3533">
        <v>9</v>
      </c>
      <c r="AF3533" t="s">
        <v>138</v>
      </c>
      <c r="AG3533">
        <v>0</v>
      </c>
      <c r="AH3533">
        <v>3</v>
      </c>
      <c r="AI3533">
        <v>2</v>
      </c>
      <c r="AJ3533">
        <v>0</v>
      </c>
      <c r="AK3533" t="s">
        <v>1146</v>
      </c>
      <c r="AL3533">
        <v>39.150123999999998</v>
      </c>
      <c r="AM3533" t="s">
        <v>1090</v>
      </c>
      <c r="AN3533">
        <v>-121.031184</v>
      </c>
      <c r="AO3533">
        <v>25</v>
      </c>
      <c r="AP3533">
        <v>4100</v>
      </c>
      <c r="AQ3533" t="s">
        <v>131</v>
      </c>
      <c r="AR3533">
        <v>4</v>
      </c>
      <c r="AS3533">
        <v>80</v>
      </c>
      <c r="AT3533">
        <v>-448</v>
      </c>
      <c r="BB3533" t="str">
        <f t="shared" si="1396"/>
        <v>1200</v>
      </c>
      <c r="BC3533">
        <v>1</v>
      </c>
      <c r="BD3533" t="str">
        <f t="shared" si="1397"/>
        <v xml:space="preserve">N52156  </v>
      </c>
      <c r="BE3533">
        <v>1</v>
      </c>
      <c r="BG3533">
        <v>0</v>
      </c>
      <c r="BH3533">
        <v>0</v>
      </c>
      <c r="BI3533">
        <v>0</v>
      </c>
      <c r="BJ3533">
        <v>4150</v>
      </c>
      <c r="BK3533">
        <v>50</v>
      </c>
      <c r="BL3533" t="s">
        <v>188</v>
      </c>
      <c r="BM3533">
        <v>1</v>
      </c>
      <c r="BN3533">
        <v>1</v>
      </c>
      <c r="BO3533">
        <v>0</v>
      </c>
      <c r="BP3533">
        <v>0</v>
      </c>
      <c r="BS3533">
        <v>0</v>
      </c>
      <c r="BT3533">
        <v>0</v>
      </c>
      <c r="BU3533">
        <v>0</v>
      </c>
      <c r="CE3533" t="str">
        <f t="shared" si="1401"/>
        <v>15:14:20.648</v>
      </c>
      <c r="CF3533">
        <v>648236591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4</v>
      </c>
      <c r="CY3533">
        <v>7</v>
      </c>
      <c r="CZ3533" t="s">
        <v>133</v>
      </c>
      <c r="DA3533">
        <v>275</v>
      </c>
      <c r="DB3533">
        <v>0</v>
      </c>
      <c r="DC3533" t="s">
        <v>134</v>
      </c>
      <c r="DD3533" t="s">
        <v>135</v>
      </c>
      <c r="DG3533">
        <v>3322755</v>
      </c>
      <c r="DI3533">
        <v>1</v>
      </c>
      <c r="DJ3533">
        <v>0</v>
      </c>
      <c r="DK3533">
        <v>1</v>
      </c>
      <c r="DL3533">
        <v>0</v>
      </c>
      <c r="DM3533">
        <v>0</v>
      </c>
      <c r="DN3533">
        <v>0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3">
      <c r="A3534" t="str">
        <f>"05/01/2025 15:14:20.874"</f>
        <v>05/01/2025 15:14:20.874</v>
      </c>
      <c r="C3534" t="str">
        <f t="shared" si="1394"/>
        <v>FFDFD3C0</v>
      </c>
      <c r="D3534" t="s">
        <v>145</v>
      </c>
      <c r="E3534" t="str">
        <f>"05"</f>
        <v>05</v>
      </c>
      <c r="H3534">
        <v>47</v>
      </c>
      <c r="I3534" t="s">
        <v>146</v>
      </c>
      <c r="J3534" t="s">
        <v>138</v>
      </c>
      <c r="K3534">
        <v>0</v>
      </c>
      <c r="L3534">
        <v>3</v>
      </c>
      <c r="M3534">
        <v>0</v>
      </c>
      <c r="N3534">
        <v>2</v>
      </c>
      <c r="O3534">
        <v>0</v>
      </c>
      <c r="P3534">
        <v>1</v>
      </c>
      <c r="Q3534">
        <v>0</v>
      </c>
      <c r="R3534" t="s">
        <v>127</v>
      </c>
      <c r="S3534" t="str">
        <f t="shared" si="1400"/>
        <v>15:14:20.000</v>
      </c>
      <c r="T3534" t="str">
        <f t="shared" si="1400"/>
        <v>15:14:20.000</v>
      </c>
      <c r="U3534" t="str">
        <f t="shared" si="1395"/>
        <v>A68FCB</v>
      </c>
      <c r="V3534">
        <v>0</v>
      </c>
      <c r="W3534">
        <v>0</v>
      </c>
      <c r="X3534">
        <v>2</v>
      </c>
      <c r="Y3534">
        <v>0</v>
      </c>
      <c r="AA3534">
        <v>1</v>
      </c>
      <c r="AB3534">
        <v>8</v>
      </c>
      <c r="AC3534">
        <v>3</v>
      </c>
      <c r="AD3534">
        <v>0</v>
      </c>
      <c r="AE3534">
        <v>9</v>
      </c>
      <c r="AF3534" t="s">
        <v>138</v>
      </c>
      <c r="AG3534">
        <v>0</v>
      </c>
      <c r="AH3534">
        <v>3</v>
      </c>
      <c r="AI3534">
        <v>2</v>
      </c>
      <c r="AJ3534">
        <v>0</v>
      </c>
      <c r="AK3534" t="s">
        <v>1146</v>
      </c>
      <c r="AL3534">
        <v>39.150123999999998</v>
      </c>
      <c r="AM3534" t="s">
        <v>1090</v>
      </c>
      <c r="AN3534">
        <v>-121.031184</v>
      </c>
      <c r="AO3534">
        <v>25</v>
      </c>
      <c r="AP3534">
        <v>4100</v>
      </c>
      <c r="AQ3534" t="s">
        <v>131</v>
      </c>
      <c r="AR3534">
        <v>4</v>
      </c>
      <c r="AS3534">
        <v>80</v>
      </c>
      <c r="AT3534">
        <v>-448</v>
      </c>
      <c r="BB3534" t="str">
        <f t="shared" si="1396"/>
        <v>1200</v>
      </c>
      <c r="BC3534">
        <v>1</v>
      </c>
      <c r="BD3534" t="str">
        <f t="shared" si="1397"/>
        <v xml:space="preserve">N52156  </v>
      </c>
      <c r="BE3534">
        <v>1</v>
      </c>
      <c r="BG3534">
        <v>0</v>
      </c>
      <c r="BH3534">
        <v>0</v>
      </c>
      <c r="BI3534">
        <v>0</v>
      </c>
      <c r="BJ3534">
        <v>4150</v>
      </c>
      <c r="BK3534">
        <v>50</v>
      </c>
      <c r="BL3534" t="s">
        <v>188</v>
      </c>
      <c r="BM3534">
        <v>1</v>
      </c>
      <c r="BN3534">
        <v>1</v>
      </c>
      <c r="BO3534">
        <v>0</v>
      </c>
      <c r="BP3534">
        <v>0</v>
      </c>
      <c r="BS3534">
        <v>0</v>
      </c>
      <c r="BT3534">
        <v>0</v>
      </c>
      <c r="BU3534">
        <v>0</v>
      </c>
      <c r="CE3534" t="str">
        <f t="shared" si="1401"/>
        <v>15:14:20.648</v>
      </c>
      <c r="CF3534">
        <v>648236591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4</v>
      </c>
      <c r="CY3534">
        <v>7</v>
      </c>
      <c r="CZ3534" t="s">
        <v>133</v>
      </c>
      <c r="DA3534">
        <v>275</v>
      </c>
      <c r="DB3534">
        <v>0</v>
      </c>
      <c r="DC3534" t="s">
        <v>134</v>
      </c>
      <c r="DD3534" t="s">
        <v>135</v>
      </c>
      <c r="DG3534">
        <v>3322755</v>
      </c>
      <c r="DI3534">
        <v>1</v>
      </c>
      <c r="DJ3534">
        <v>0</v>
      </c>
      <c r="DK3534">
        <v>1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3">
      <c r="A3535" t="str">
        <f>"05/01/2025 15:14:20.885"</f>
        <v>05/01/2025 15:14:20.885</v>
      </c>
      <c r="C3535" t="str">
        <f t="shared" si="1394"/>
        <v>FFDFD3C0</v>
      </c>
      <c r="D3535" t="s">
        <v>136</v>
      </c>
      <c r="E3535" t="str">
        <f>"20"</f>
        <v>20</v>
      </c>
      <c r="H3535">
        <v>400</v>
      </c>
      <c r="I3535" t="s">
        <v>137</v>
      </c>
      <c r="J3535" t="s">
        <v>138</v>
      </c>
      <c r="K3535">
        <v>0</v>
      </c>
      <c r="L3535">
        <v>3</v>
      </c>
      <c r="M3535">
        <v>0</v>
      </c>
      <c r="N3535">
        <v>2</v>
      </c>
      <c r="O3535">
        <v>0</v>
      </c>
      <c r="P3535">
        <v>1</v>
      </c>
      <c r="Q3535">
        <v>0</v>
      </c>
      <c r="R3535" t="s">
        <v>127</v>
      </c>
      <c r="S3535" t="str">
        <f t="shared" si="1400"/>
        <v>15:14:20.000</v>
      </c>
      <c r="T3535" t="str">
        <f t="shared" si="1400"/>
        <v>15:14:20.000</v>
      </c>
      <c r="U3535" t="str">
        <f t="shared" si="1395"/>
        <v>A68FCB</v>
      </c>
      <c r="V3535">
        <v>0</v>
      </c>
      <c r="W3535">
        <v>0</v>
      </c>
      <c r="X3535">
        <v>2</v>
      </c>
      <c r="Y3535">
        <v>0</v>
      </c>
      <c r="AA3535">
        <v>1</v>
      </c>
      <c r="AB3535">
        <v>8</v>
      </c>
      <c r="AC3535">
        <v>3</v>
      </c>
      <c r="AD3535">
        <v>0</v>
      </c>
      <c r="AE3535">
        <v>9</v>
      </c>
      <c r="AF3535" t="s">
        <v>138</v>
      </c>
      <c r="AG3535">
        <v>0</v>
      </c>
      <c r="AH3535">
        <v>3</v>
      </c>
      <c r="AI3535">
        <v>2</v>
      </c>
      <c r="AJ3535">
        <v>0</v>
      </c>
      <c r="AK3535" t="s">
        <v>1146</v>
      </c>
      <c r="AL3535">
        <v>39.150123999999998</v>
      </c>
      <c r="AM3535" t="s">
        <v>1090</v>
      </c>
      <c r="AN3535">
        <v>-121.031184</v>
      </c>
      <c r="AO3535">
        <v>25</v>
      </c>
      <c r="AP3535">
        <v>4100</v>
      </c>
      <c r="AQ3535" t="s">
        <v>131</v>
      </c>
      <c r="AR3535">
        <v>4</v>
      </c>
      <c r="AS3535">
        <v>80</v>
      </c>
      <c r="AT3535">
        <v>-448</v>
      </c>
      <c r="BB3535" t="str">
        <f t="shared" si="1396"/>
        <v>1200</v>
      </c>
      <c r="BC3535">
        <v>1</v>
      </c>
      <c r="BD3535" t="str">
        <f t="shared" si="1397"/>
        <v xml:space="preserve">N52156  </v>
      </c>
      <c r="BE3535">
        <v>1</v>
      </c>
      <c r="BG3535">
        <v>0</v>
      </c>
      <c r="BH3535">
        <v>0</v>
      </c>
      <c r="BI3535">
        <v>0</v>
      </c>
      <c r="BJ3535">
        <v>4150</v>
      </c>
      <c r="BK3535">
        <v>50</v>
      </c>
      <c r="BL3535" t="s">
        <v>188</v>
      </c>
      <c r="BM3535">
        <v>1</v>
      </c>
      <c r="BN3535">
        <v>1</v>
      </c>
      <c r="BO3535">
        <v>0</v>
      </c>
      <c r="BP3535">
        <v>0</v>
      </c>
      <c r="BS3535">
        <v>0</v>
      </c>
      <c r="BT3535">
        <v>0</v>
      </c>
      <c r="BU3535">
        <v>0</v>
      </c>
      <c r="CE3535" t="str">
        <f t="shared" si="1401"/>
        <v>15:14:20.648</v>
      </c>
      <c r="CF3535">
        <v>648236591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4</v>
      </c>
      <c r="CY3535">
        <v>7</v>
      </c>
      <c r="CZ3535" t="s">
        <v>133</v>
      </c>
      <c r="DA3535">
        <v>275</v>
      </c>
      <c r="DB3535">
        <v>0</v>
      </c>
      <c r="DC3535" t="s">
        <v>134</v>
      </c>
      <c r="DD3535" t="s">
        <v>135</v>
      </c>
      <c r="DG3535">
        <v>3322755</v>
      </c>
      <c r="DI3535">
        <v>1</v>
      </c>
      <c r="DJ3535">
        <v>0</v>
      </c>
      <c r="DK3535">
        <v>1</v>
      </c>
      <c r="DL3535">
        <v>0</v>
      </c>
      <c r="DM3535">
        <v>0</v>
      </c>
      <c r="DN3535">
        <v>0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3">
      <c r="A3536" t="str">
        <f>"05/01/2025 15:14:22.003"</f>
        <v>05/01/2025 15:14:22.003</v>
      </c>
      <c r="C3536" t="str">
        <f t="shared" si="1394"/>
        <v>FFDFD3C0</v>
      </c>
      <c r="D3536" t="s">
        <v>143</v>
      </c>
      <c r="E3536" t="str">
        <f>"05"</f>
        <v>05</v>
      </c>
      <c r="H3536">
        <v>172</v>
      </c>
      <c r="I3536" t="s">
        <v>141</v>
      </c>
      <c r="J3536" t="s">
        <v>144</v>
      </c>
      <c r="K3536">
        <v>0</v>
      </c>
      <c r="L3536">
        <v>3</v>
      </c>
      <c r="M3536">
        <v>0</v>
      </c>
      <c r="N3536">
        <v>2</v>
      </c>
      <c r="O3536">
        <v>0</v>
      </c>
      <c r="P3536">
        <v>1</v>
      </c>
      <c r="Q3536">
        <v>0</v>
      </c>
      <c r="R3536" t="s">
        <v>127</v>
      </c>
      <c r="S3536" t="str">
        <f t="shared" ref="S3536:T3541" si="1402">"15:14:21.000"</f>
        <v>15:14:21.000</v>
      </c>
      <c r="T3536" t="str">
        <f t="shared" si="1402"/>
        <v>15:14:21.000</v>
      </c>
      <c r="U3536" t="str">
        <f t="shared" si="1395"/>
        <v>A68FCB</v>
      </c>
      <c r="V3536">
        <v>0</v>
      </c>
      <c r="W3536">
        <v>0</v>
      </c>
      <c r="X3536">
        <v>2</v>
      </c>
      <c r="Y3536">
        <v>0</v>
      </c>
      <c r="AA3536">
        <v>1</v>
      </c>
      <c r="AB3536">
        <v>8</v>
      </c>
      <c r="AC3536">
        <v>3</v>
      </c>
      <c r="AD3536">
        <v>0</v>
      </c>
      <c r="AE3536">
        <v>9</v>
      </c>
      <c r="AF3536" t="s">
        <v>138</v>
      </c>
      <c r="AG3536">
        <v>0</v>
      </c>
      <c r="AH3536">
        <v>3</v>
      </c>
      <c r="AI3536">
        <v>2</v>
      </c>
      <c r="AJ3536">
        <v>0</v>
      </c>
      <c r="AK3536" t="s">
        <v>1147</v>
      </c>
      <c r="AL3536">
        <v>39.150488000000003</v>
      </c>
      <c r="AM3536" t="s">
        <v>1124</v>
      </c>
      <c r="AN3536">
        <v>-121.03116300000001</v>
      </c>
      <c r="AO3536">
        <v>25</v>
      </c>
      <c r="AP3536">
        <v>4100</v>
      </c>
      <c r="AQ3536" t="s">
        <v>131</v>
      </c>
      <c r="AR3536">
        <v>4</v>
      </c>
      <c r="AS3536">
        <v>82</v>
      </c>
      <c r="AT3536">
        <v>-384</v>
      </c>
      <c r="BB3536" t="str">
        <f t="shared" si="1396"/>
        <v>1200</v>
      </c>
      <c r="BC3536">
        <v>1</v>
      </c>
      <c r="BD3536" t="str">
        <f t="shared" si="1397"/>
        <v xml:space="preserve">N52156  </v>
      </c>
      <c r="BE3536">
        <v>1</v>
      </c>
      <c r="BG3536">
        <v>0</v>
      </c>
      <c r="BH3536">
        <v>0</v>
      </c>
      <c r="BI3536">
        <v>0</v>
      </c>
      <c r="BJ3536">
        <v>4150</v>
      </c>
      <c r="BK3536">
        <v>50</v>
      </c>
      <c r="BL3536" t="s">
        <v>188</v>
      </c>
      <c r="BM3536">
        <v>1</v>
      </c>
      <c r="BN3536">
        <v>1</v>
      </c>
      <c r="BO3536">
        <v>0</v>
      </c>
      <c r="BP3536">
        <v>0</v>
      </c>
      <c r="BS3536">
        <v>0</v>
      </c>
      <c r="BT3536">
        <v>0</v>
      </c>
      <c r="BU3536">
        <v>0</v>
      </c>
      <c r="CE3536" t="str">
        <f t="shared" ref="CE3536:CE3541" si="1403">"15:14:21.805"</f>
        <v>15:14:21.805</v>
      </c>
      <c r="CF3536">
        <v>804987068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3</v>
      </c>
      <c r="CY3536">
        <v>7</v>
      </c>
      <c r="CZ3536" t="s">
        <v>133</v>
      </c>
      <c r="DA3536">
        <v>275</v>
      </c>
      <c r="DB3536">
        <v>0</v>
      </c>
      <c r="DC3536" t="s">
        <v>134</v>
      </c>
      <c r="DD3536" t="s">
        <v>135</v>
      </c>
      <c r="DG3536">
        <v>3322762</v>
      </c>
      <c r="DI3536">
        <v>1</v>
      </c>
      <c r="DJ3536">
        <v>0</v>
      </c>
      <c r="DK3536">
        <v>0</v>
      </c>
      <c r="DL3536">
        <v>0</v>
      </c>
      <c r="DM3536">
        <v>0</v>
      </c>
      <c r="DN3536">
        <v>0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3">
      <c r="A3537" t="str">
        <f>"05/01/2025 15:14:22.012"</f>
        <v>05/01/2025 15:14:22.012</v>
      </c>
      <c r="C3537" t="str">
        <f t="shared" si="1394"/>
        <v>FFDFD3C0</v>
      </c>
      <c r="D3537" t="s">
        <v>140</v>
      </c>
      <c r="E3537" t="str">
        <f>"13"</f>
        <v>13</v>
      </c>
      <c r="F3537">
        <v>1019</v>
      </c>
      <c r="G3537" t="s">
        <v>141</v>
      </c>
      <c r="J3537" t="s">
        <v>142</v>
      </c>
      <c r="K3537">
        <v>0</v>
      </c>
      <c r="L3537">
        <v>3</v>
      </c>
      <c r="M3537">
        <v>0</v>
      </c>
      <c r="N3537">
        <v>2</v>
      </c>
      <c r="O3537">
        <v>0</v>
      </c>
      <c r="P3537">
        <v>1</v>
      </c>
      <c r="Q3537">
        <v>0</v>
      </c>
      <c r="R3537" t="s">
        <v>127</v>
      </c>
      <c r="S3537" t="str">
        <f t="shared" si="1402"/>
        <v>15:14:21.000</v>
      </c>
      <c r="T3537" t="str">
        <f t="shared" si="1402"/>
        <v>15:14:21.000</v>
      </c>
      <c r="U3537" t="str">
        <f t="shared" si="1395"/>
        <v>A68FCB</v>
      </c>
      <c r="V3537">
        <v>0</v>
      </c>
      <c r="W3537">
        <v>0</v>
      </c>
      <c r="X3537">
        <v>2</v>
      </c>
      <c r="Y3537">
        <v>0</v>
      </c>
      <c r="AA3537">
        <v>1</v>
      </c>
      <c r="AB3537">
        <v>8</v>
      </c>
      <c r="AC3537">
        <v>3</v>
      </c>
      <c r="AD3537">
        <v>0</v>
      </c>
      <c r="AE3537">
        <v>9</v>
      </c>
      <c r="AF3537" t="s">
        <v>138</v>
      </c>
      <c r="AG3537">
        <v>0</v>
      </c>
      <c r="AH3537">
        <v>3</v>
      </c>
      <c r="AI3537">
        <v>2</v>
      </c>
      <c r="AJ3537">
        <v>0</v>
      </c>
      <c r="AK3537" t="s">
        <v>1147</v>
      </c>
      <c r="AL3537">
        <v>39.150488000000003</v>
      </c>
      <c r="AM3537" t="s">
        <v>1124</v>
      </c>
      <c r="AN3537">
        <v>-121.03116300000001</v>
      </c>
      <c r="AO3537">
        <v>25</v>
      </c>
      <c r="AP3537">
        <v>4100</v>
      </c>
      <c r="AQ3537" t="s">
        <v>131</v>
      </c>
      <c r="AR3537">
        <v>4</v>
      </c>
      <c r="AS3537">
        <v>82</v>
      </c>
      <c r="AT3537">
        <v>-384</v>
      </c>
      <c r="BB3537" t="str">
        <f t="shared" si="1396"/>
        <v>1200</v>
      </c>
      <c r="BC3537">
        <v>1</v>
      </c>
      <c r="BD3537" t="str">
        <f t="shared" si="1397"/>
        <v xml:space="preserve">N52156  </v>
      </c>
      <c r="BE3537">
        <v>1</v>
      </c>
      <c r="BG3537">
        <v>0</v>
      </c>
      <c r="BH3537">
        <v>0</v>
      </c>
      <c r="BI3537">
        <v>0</v>
      </c>
      <c r="BJ3537">
        <v>4150</v>
      </c>
      <c r="BK3537">
        <v>50</v>
      </c>
      <c r="BL3537" t="s">
        <v>188</v>
      </c>
      <c r="BM3537">
        <v>1</v>
      </c>
      <c r="BN3537">
        <v>1</v>
      </c>
      <c r="BO3537">
        <v>0</v>
      </c>
      <c r="BP3537">
        <v>0</v>
      </c>
      <c r="BS3537">
        <v>0</v>
      </c>
      <c r="BT3537">
        <v>0</v>
      </c>
      <c r="BU3537">
        <v>0</v>
      </c>
      <c r="CE3537" t="str">
        <f t="shared" si="1403"/>
        <v>15:14:21.805</v>
      </c>
      <c r="CF3537">
        <v>804987068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3</v>
      </c>
      <c r="CY3537">
        <v>7</v>
      </c>
      <c r="CZ3537" t="s">
        <v>133</v>
      </c>
      <c r="DA3537">
        <v>275</v>
      </c>
      <c r="DB3537">
        <v>0</v>
      </c>
      <c r="DC3537" t="s">
        <v>134</v>
      </c>
      <c r="DD3537" t="s">
        <v>135</v>
      </c>
      <c r="DG3537">
        <v>3322762</v>
      </c>
      <c r="DI3537">
        <v>1</v>
      </c>
      <c r="DJ3537">
        <v>0</v>
      </c>
      <c r="DK3537">
        <v>1</v>
      </c>
      <c r="DL3537">
        <v>0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3">
      <c r="A3538" t="str">
        <f>"05/01/2025 15:14:22.013"</f>
        <v>05/01/2025 15:14:22.013</v>
      </c>
      <c r="C3538" t="str">
        <f t="shared" si="1394"/>
        <v>FFDFD3C0</v>
      </c>
      <c r="D3538" t="s">
        <v>124</v>
      </c>
      <c r="E3538" t="str">
        <f>"06"</f>
        <v>06</v>
      </c>
      <c r="F3538">
        <v>2006</v>
      </c>
      <c r="G3538" t="s">
        <v>125</v>
      </c>
      <c r="J3538" t="s">
        <v>126</v>
      </c>
      <c r="K3538">
        <v>0</v>
      </c>
      <c r="L3538">
        <v>3</v>
      </c>
      <c r="M3538">
        <v>0</v>
      </c>
      <c r="N3538">
        <v>2</v>
      </c>
      <c r="O3538">
        <v>0</v>
      </c>
      <c r="P3538">
        <v>1</v>
      </c>
      <c r="Q3538">
        <v>0</v>
      </c>
      <c r="R3538" t="s">
        <v>127</v>
      </c>
      <c r="S3538" t="str">
        <f t="shared" si="1402"/>
        <v>15:14:21.000</v>
      </c>
      <c r="T3538" t="str">
        <f t="shared" si="1402"/>
        <v>15:14:21.000</v>
      </c>
      <c r="U3538" t="str">
        <f t="shared" si="1395"/>
        <v>A68FCB</v>
      </c>
      <c r="V3538">
        <v>0</v>
      </c>
      <c r="W3538">
        <v>0</v>
      </c>
      <c r="X3538">
        <v>2</v>
      </c>
      <c r="Y3538">
        <v>0</v>
      </c>
      <c r="AA3538">
        <v>1</v>
      </c>
      <c r="AB3538">
        <v>8</v>
      </c>
      <c r="AC3538">
        <v>3</v>
      </c>
      <c r="AD3538">
        <v>0</v>
      </c>
      <c r="AE3538">
        <v>9</v>
      </c>
      <c r="AF3538" t="s">
        <v>138</v>
      </c>
      <c r="AG3538">
        <v>0</v>
      </c>
      <c r="AH3538">
        <v>3</v>
      </c>
      <c r="AI3538">
        <v>2</v>
      </c>
      <c r="AJ3538">
        <v>0</v>
      </c>
      <c r="AK3538" t="s">
        <v>1147</v>
      </c>
      <c r="AL3538">
        <v>39.150488000000003</v>
      </c>
      <c r="AM3538" t="s">
        <v>1124</v>
      </c>
      <c r="AN3538">
        <v>-121.03116300000001</v>
      </c>
      <c r="AO3538">
        <v>25</v>
      </c>
      <c r="AP3538">
        <v>4100</v>
      </c>
      <c r="AQ3538" t="s">
        <v>131</v>
      </c>
      <c r="AR3538">
        <v>4</v>
      </c>
      <c r="AS3538">
        <v>82</v>
      </c>
      <c r="AT3538">
        <v>-384</v>
      </c>
      <c r="BB3538" t="str">
        <f t="shared" si="1396"/>
        <v>1200</v>
      </c>
      <c r="BC3538">
        <v>1</v>
      </c>
      <c r="BD3538" t="str">
        <f t="shared" si="1397"/>
        <v xml:space="preserve">N52156  </v>
      </c>
      <c r="BE3538">
        <v>1</v>
      </c>
      <c r="BG3538">
        <v>0</v>
      </c>
      <c r="BH3538">
        <v>0</v>
      </c>
      <c r="BI3538">
        <v>0</v>
      </c>
      <c r="BJ3538">
        <v>4150</v>
      </c>
      <c r="BK3538">
        <v>50</v>
      </c>
      <c r="BL3538" t="s">
        <v>188</v>
      </c>
      <c r="BM3538">
        <v>1</v>
      </c>
      <c r="BN3538">
        <v>1</v>
      </c>
      <c r="BO3538">
        <v>0</v>
      </c>
      <c r="BP3538">
        <v>0</v>
      </c>
      <c r="BS3538">
        <v>0</v>
      </c>
      <c r="BT3538">
        <v>0</v>
      </c>
      <c r="BU3538">
        <v>0</v>
      </c>
      <c r="CE3538" t="str">
        <f t="shared" si="1403"/>
        <v>15:14:21.805</v>
      </c>
      <c r="CF3538">
        <v>804987068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3</v>
      </c>
      <c r="CY3538">
        <v>7</v>
      </c>
      <c r="CZ3538" t="s">
        <v>133</v>
      </c>
      <c r="DA3538">
        <v>275</v>
      </c>
      <c r="DB3538">
        <v>0</v>
      </c>
      <c r="DC3538" t="s">
        <v>134</v>
      </c>
      <c r="DD3538" t="s">
        <v>135</v>
      </c>
      <c r="DG3538">
        <v>3322762</v>
      </c>
      <c r="DI3538">
        <v>1</v>
      </c>
      <c r="DJ3538">
        <v>0</v>
      </c>
      <c r="DK3538">
        <v>1</v>
      </c>
      <c r="DL3538">
        <v>0</v>
      </c>
      <c r="DM3538">
        <v>0</v>
      </c>
      <c r="DN3538">
        <v>0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">
      <c r="A3539" t="str">
        <f>"05/01/2025 15:14:22.024"</f>
        <v>05/01/2025 15:14:22.024</v>
      </c>
      <c r="C3539" t="str">
        <f t="shared" si="1394"/>
        <v>FFDFD3C0</v>
      </c>
      <c r="D3539" t="s">
        <v>145</v>
      </c>
      <c r="E3539" t="str">
        <f>"09"</f>
        <v>09</v>
      </c>
      <c r="H3539">
        <v>51</v>
      </c>
      <c r="I3539" t="s">
        <v>147</v>
      </c>
      <c r="J3539" t="s">
        <v>138</v>
      </c>
      <c r="K3539">
        <v>0</v>
      </c>
      <c r="L3539">
        <v>3</v>
      </c>
      <c r="M3539">
        <v>0</v>
      </c>
      <c r="N3539">
        <v>2</v>
      </c>
      <c r="O3539">
        <v>0</v>
      </c>
      <c r="P3539">
        <v>1</v>
      </c>
      <c r="Q3539">
        <v>0</v>
      </c>
      <c r="R3539" t="s">
        <v>127</v>
      </c>
      <c r="S3539" t="str">
        <f t="shared" si="1402"/>
        <v>15:14:21.000</v>
      </c>
      <c r="T3539" t="str">
        <f t="shared" si="1402"/>
        <v>15:14:21.000</v>
      </c>
      <c r="U3539" t="str">
        <f t="shared" si="1395"/>
        <v>A68FCB</v>
      </c>
      <c r="V3539">
        <v>0</v>
      </c>
      <c r="W3539">
        <v>0</v>
      </c>
      <c r="X3539">
        <v>2</v>
      </c>
      <c r="Y3539">
        <v>0</v>
      </c>
      <c r="AA3539">
        <v>1</v>
      </c>
      <c r="AB3539">
        <v>8</v>
      </c>
      <c r="AC3539">
        <v>3</v>
      </c>
      <c r="AD3539">
        <v>0</v>
      </c>
      <c r="AE3539">
        <v>9</v>
      </c>
      <c r="AF3539" t="s">
        <v>138</v>
      </c>
      <c r="AG3539">
        <v>0</v>
      </c>
      <c r="AH3539">
        <v>3</v>
      </c>
      <c r="AI3539">
        <v>2</v>
      </c>
      <c r="AJ3539">
        <v>0</v>
      </c>
      <c r="AK3539" t="s">
        <v>1147</v>
      </c>
      <c r="AL3539">
        <v>39.150488000000003</v>
      </c>
      <c r="AM3539" t="s">
        <v>1124</v>
      </c>
      <c r="AN3539">
        <v>-121.03116300000001</v>
      </c>
      <c r="AO3539">
        <v>25</v>
      </c>
      <c r="AP3539">
        <v>4100</v>
      </c>
      <c r="AQ3539" t="s">
        <v>131</v>
      </c>
      <c r="AR3539">
        <v>4</v>
      </c>
      <c r="AS3539">
        <v>82</v>
      </c>
      <c r="AT3539">
        <v>-384</v>
      </c>
      <c r="BB3539" t="str">
        <f t="shared" si="1396"/>
        <v>1200</v>
      </c>
      <c r="BC3539">
        <v>1</v>
      </c>
      <c r="BD3539" t="str">
        <f t="shared" si="1397"/>
        <v xml:space="preserve">N52156  </v>
      </c>
      <c r="BE3539">
        <v>1</v>
      </c>
      <c r="BG3539">
        <v>0</v>
      </c>
      <c r="BH3539">
        <v>0</v>
      </c>
      <c r="BI3539">
        <v>0</v>
      </c>
      <c r="BJ3539">
        <v>4150</v>
      </c>
      <c r="BK3539">
        <v>50</v>
      </c>
      <c r="BL3539" t="s">
        <v>188</v>
      </c>
      <c r="BM3539">
        <v>1</v>
      </c>
      <c r="BN3539">
        <v>1</v>
      </c>
      <c r="BO3539">
        <v>0</v>
      </c>
      <c r="BP3539">
        <v>0</v>
      </c>
      <c r="BS3539">
        <v>0</v>
      </c>
      <c r="BT3539">
        <v>0</v>
      </c>
      <c r="BU3539">
        <v>0</v>
      </c>
      <c r="CE3539" t="str">
        <f t="shared" si="1403"/>
        <v>15:14:21.805</v>
      </c>
      <c r="CF3539">
        <v>804987068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3</v>
      </c>
      <c r="CY3539">
        <v>7</v>
      </c>
      <c r="CZ3539" t="s">
        <v>133</v>
      </c>
      <c r="DA3539">
        <v>275</v>
      </c>
      <c r="DB3539">
        <v>0</v>
      </c>
      <c r="DC3539" t="s">
        <v>134</v>
      </c>
      <c r="DD3539" t="s">
        <v>135</v>
      </c>
      <c r="DG3539">
        <v>3322762</v>
      </c>
      <c r="DI3539">
        <v>1</v>
      </c>
      <c r="DJ3539">
        <v>0</v>
      </c>
      <c r="DK3539">
        <v>1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">
      <c r="A3540" t="str">
        <f>"05/01/2025 15:14:22.026"</f>
        <v>05/01/2025 15:14:22.026</v>
      </c>
      <c r="C3540" t="str">
        <f t="shared" si="1394"/>
        <v>FFDFD3C0</v>
      </c>
      <c r="D3540" t="s">
        <v>145</v>
      </c>
      <c r="E3540" t="str">
        <f>"05"</f>
        <v>05</v>
      </c>
      <c r="H3540">
        <v>47</v>
      </c>
      <c r="I3540" t="s">
        <v>146</v>
      </c>
      <c r="J3540" t="s">
        <v>138</v>
      </c>
      <c r="K3540">
        <v>0</v>
      </c>
      <c r="L3540">
        <v>3</v>
      </c>
      <c r="M3540">
        <v>0</v>
      </c>
      <c r="N3540">
        <v>2</v>
      </c>
      <c r="O3540">
        <v>0</v>
      </c>
      <c r="P3540">
        <v>1</v>
      </c>
      <c r="Q3540">
        <v>0</v>
      </c>
      <c r="R3540" t="s">
        <v>127</v>
      </c>
      <c r="S3540" t="str">
        <f t="shared" si="1402"/>
        <v>15:14:21.000</v>
      </c>
      <c r="T3540" t="str">
        <f t="shared" si="1402"/>
        <v>15:14:21.000</v>
      </c>
      <c r="U3540" t="str">
        <f t="shared" si="1395"/>
        <v>A68FCB</v>
      </c>
      <c r="V3540">
        <v>0</v>
      </c>
      <c r="W3540">
        <v>0</v>
      </c>
      <c r="X3540">
        <v>2</v>
      </c>
      <c r="Y3540">
        <v>0</v>
      </c>
      <c r="AA3540">
        <v>1</v>
      </c>
      <c r="AB3540">
        <v>8</v>
      </c>
      <c r="AC3540">
        <v>3</v>
      </c>
      <c r="AD3540">
        <v>0</v>
      </c>
      <c r="AE3540">
        <v>9</v>
      </c>
      <c r="AF3540" t="s">
        <v>138</v>
      </c>
      <c r="AG3540">
        <v>0</v>
      </c>
      <c r="AH3540">
        <v>3</v>
      </c>
      <c r="AI3540">
        <v>2</v>
      </c>
      <c r="AJ3540">
        <v>0</v>
      </c>
      <c r="AK3540" t="s">
        <v>1147</v>
      </c>
      <c r="AL3540">
        <v>39.150488000000003</v>
      </c>
      <c r="AM3540" t="s">
        <v>1124</v>
      </c>
      <c r="AN3540">
        <v>-121.03116300000001</v>
      </c>
      <c r="AO3540">
        <v>25</v>
      </c>
      <c r="AP3540">
        <v>4100</v>
      </c>
      <c r="AQ3540" t="s">
        <v>131</v>
      </c>
      <c r="AR3540">
        <v>4</v>
      </c>
      <c r="AS3540">
        <v>82</v>
      </c>
      <c r="AT3540">
        <v>-384</v>
      </c>
      <c r="BB3540" t="str">
        <f t="shared" si="1396"/>
        <v>1200</v>
      </c>
      <c r="BC3540">
        <v>1</v>
      </c>
      <c r="BD3540" t="str">
        <f t="shared" si="1397"/>
        <v xml:space="preserve">N52156  </v>
      </c>
      <c r="BE3540">
        <v>1</v>
      </c>
      <c r="BG3540">
        <v>0</v>
      </c>
      <c r="BH3540">
        <v>0</v>
      </c>
      <c r="BI3540">
        <v>0</v>
      </c>
      <c r="BJ3540">
        <v>4150</v>
      </c>
      <c r="BK3540">
        <v>50</v>
      </c>
      <c r="BL3540" t="s">
        <v>188</v>
      </c>
      <c r="BM3540">
        <v>1</v>
      </c>
      <c r="BN3540">
        <v>1</v>
      </c>
      <c r="BO3540">
        <v>0</v>
      </c>
      <c r="BP3540">
        <v>0</v>
      </c>
      <c r="BS3540">
        <v>0</v>
      </c>
      <c r="BT3540">
        <v>0</v>
      </c>
      <c r="BU3540">
        <v>0</v>
      </c>
      <c r="CE3540" t="str">
        <f t="shared" si="1403"/>
        <v>15:14:21.805</v>
      </c>
      <c r="CF3540">
        <v>804987068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3</v>
      </c>
      <c r="CY3540">
        <v>7</v>
      </c>
      <c r="CZ3540" t="s">
        <v>133</v>
      </c>
      <c r="DA3540">
        <v>275</v>
      </c>
      <c r="DB3540">
        <v>0</v>
      </c>
      <c r="DC3540" t="s">
        <v>134</v>
      </c>
      <c r="DD3540" t="s">
        <v>135</v>
      </c>
      <c r="DG3540">
        <v>3322762</v>
      </c>
      <c r="DI3540">
        <v>1</v>
      </c>
      <c r="DJ3540">
        <v>0</v>
      </c>
      <c r="DK3540">
        <v>1</v>
      </c>
      <c r="DL3540">
        <v>0</v>
      </c>
      <c r="DM3540">
        <v>0</v>
      </c>
      <c r="DN3540">
        <v>0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">
      <c r="A3541" t="str">
        <f>"05/01/2025 15:14:22.037"</f>
        <v>05/01/2025 15:14:22.037</v>
      </c>
      <c r="C3541" t="str">
        <f t="shared" si="1394"/>
        <v>FFDFD3C0</v>
      </c>
      <c r="D3541" t="s">
        <v>136</v>
      </c>
      <c r="E3541" t="str">
        <f>"20"</f>
        <v>20</v>
      </c>
      <c r="H3541">
        <v>400</v>
      </c>
      <c r="I3541" t="s">
        <v>137</v>
      </c>
      <c r="J3541" t="s">
        <v>138</v>
      </c>
      <c r="K3541">
        <v>0</v>
      </c>
      <c r="L3541">
        <v>3</v>
      </c>
      <c r="M3541">
        <v>0</v>
      </c>
      <c r="N3541">
        <v>2</v>
      </c>
      <c r="O3541">
        <v>0</v>
      </c>
      <c r="P3541">
        <v>1</v>
      </c>
      <c r="Q3541">
        <v>0</v>
      </c>
      <c r="R3541" t="s">
        <v>127</v>
      </c>
      <c r="S3541" t="str">
        <f t="shared" si="1402"/>
        <v>15:14:21.000</v>
      </c>
      <c r="T3541" t="str">
        <f t="shared" si="1402"/>
        <v>15:14:21.000</v>
      </c>
      <c r="U3541" t="str">
        <f t="shared" si="1395"/>
        <v>A68FCB</v>
      </c>
      <c r="V3541">
        <v>0</v>
      </c>
      <c r="W3541">
        <v>0</v>
      </c>
      <c r="X3541">
        <v>2</v>
      </c>
      <c r="Y3541">
        <v>0</v>
      </c>
      <c r="AA3541">
        <v>1</v>
      </c>
      <c r="AB3541">
        <v>8</v>
      </c>
      <c r="AC3541">
        <v>3</v>
      </c>
      <c r="AD3541">
        <v>0</v>
      </c>
      <c r="AE3541">
        <v>9</v>
      </c>
      <c r="AF3541" t="s">
        <v>138</v>
      </c>
      <c r="AG3541">
        <v>0</v>
      </c>
      <c r="AH3541">
        <v>3</v>
      </c>
      <c r="AI3541">
        <v>2</v>
      </c>
      <c r="AJ3541">
        <v>0</v>
      </c>
      <c r="AK3541" t="s">
        <v>1147</v>
      </c>
      <c r="AL3541">
        <v>39.150488000000003</v>
      </c>
      <c r="AM3541" t="s">
        <v>1124</v>
      </c>
      <c r="AN3541">
        <v>-121.03116300000001</v>
      </c>
      <c r="AO3541">
        <v>25</v>
      </c>
      <c r="AP3541">
        <v>4100</v>
      </c>
      <c r="AQ3541" t="s">
        <v>131</v>
      </c>
      <c r="AR3541">
        <v>4</v>
      </c>
      <c r="AS3541">
        <v>82</v>
      </c>
      <c r="AT3541">
        <v>-384</v>
      </c>
      <c r="BB3541" t="str">
        <f t="shared" si="1396"/>
        <v>1200</v>
      </c>
      <c r="BC3541">
        <v>1</v>
      </c>
      <c r="BD3541" t="str">
        <f t="shared" si="1397"/>
        <v xml:space="preserve">N52156  </v>
      </c>
      <c r="BE3541">
        <v>1</v>
      </c>
      <c r="BG3541">
        <v>0</v>
      </c>
      <c r="BH3541">
        <v>0</v>
      </c>
      <c r="BI3541">
        <v>0</v>
      </c>
      <c r="BJ3541">
        <v>4150</v>
      </c>
      <c r="BK3541">
        <v>50</v>
      </c>
      <c r="BL3541" t="s">
        <v>188</v>
      </c>
      <c r="BM3541">
        <v>1</v>
      </c>
      <c r="BN3541">
        <v>1</v>
      </c>
      <c r="BO3541">
        <v>0</v>
      </c>
      <c r="BP3541">
        <v>0</v>
      </c>
      <c r="BS3541">
        <v>0</v>
      </c>
      <c r="BT3541">
        <v>0</v>
      </c>
      <c r="BU3541">
        <v>0</v>
      </c>
      <c r="CE3541" t="str">
        <f t="shared" si="1403"/>
        <v>15:14:21.805</v>
      </c>
      <c r="CF3541">
        <v>804987068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3</v>
      </c>
      <c r="CY3541">
        <v>7</v>
      </c>
      <c r="CZ3541" t="s">
        <v>133</v>
      </c>
      <c r="DA3541">
        <v>275</v>
      </c>
      <c r="DB3541">
        <v>0</v>
      </c>
      <c r="DC3541" t="s">
        <v>134</v>
      </c>
      <c r="DD3541" t="s">
        <v>135</v>
      </c>
      <c r="DG3541">
        <v>3322762</v>
      </c>
      <c r="DI3541">
        <v>1</v>
      </c>
      <c r="DJ3541">
        <v>0</v>
      </c>
      <c r="DK3541">
        <v>1</v>
      </c>
      <c r="DL3541">
        <v>0</v>
      </c>
      <c r="DM3541">
        <v>0</v>
      </c>
      <c r="DN3541">
        <v>0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">
      <c r="A3542" t="str">
        <f>"05/01/2025 15:14:22.488"</f>
        <v>05/01/2025 15:14:22.488</v>
      </c>
      <c r="C3542" t="str">
        <f t="shared" si="1394"/>
        <v>FFDFD3C0</v>
      </c>
      <c r="D3542" t="s">
        <v>136</v>
      </c>
      <c r="E3542" t="str">
        <f>"20"</f>
        <v>20</v>
      </c>
      <c r="H3542">
        <v>400</v>
      </c>
      <c r="I3542" t="s">
        <v>137</v>
      </c>
      <c r="J3542" t="s">
        <v>138</v>
      </c>
      <c r="K3542">
        <v>0</v>
      </c>
      <c r="L3542">
        <v>3</v>
      </c>
      <c r="M3542">
        <v>0</v>
      </c>
      <c r="N3542">
        <v>2</v>
      </c>
      <c r="O3542">
        <v>0</v>
      </c>
      <c r="P3542">
        <v>1</v>
      </c>
      <c r="Q3542">
        <v>0</v>
      </c>
      <c r="R3542" t="s">
        <v>127</v>
      </c>
      <c r="S3542" t="str">
        <f t="shared" ref="S3542:T3547" si="1404">"15:14:22.000"</f>
        <v>15:14:22.000</v>
      </c>
      <c r="T3542" t="str">
        <f t="shared" si="1404"/>
        <v>15:14:22.000</v>
      </c>
      <c r="U3542" t="str">
        <f t="shared" si="1395"/>
        <v>A68FCB</v>
      </c>
      <c r="V3542">
        <v>0</v>
      </c>
      <c r="W3542">
        <v>0</v>
      </c>
      <c r="X3542">
        <v>2</v>
      </c>
      <c r="Y3542">
        <v>0</v>
      </c>
      <c r="AA3542">
        <v>1</v>
      </c>
      <c r="AB3542">
        <v>8</v>
      </c>
      <c r="AC3542">
        <v>3</v>
      </c>
      <c r="AD3542">
        <v>0</v>
      </c>
      <c r="AE3542">
        <v>9</v>
      </c>
      <c r="AF3542" t="s">
        <v>138</v>
      </c>
      <c r="AG3542">
        <v>0</v>
      </c>
      <c r="AH3542">
        <v>3</v>
      </c>
      <c r="AI3542">
        <v>2</v>
      </c>
      <c r="AJ3542">
        <v>0</v>
      </c>
      <c r="AK3542" t="s">
        <v>1148</v>
      </c>
      <c r="AL3542">
        <v>39.150852999999998</v>
      </c>
      <c r="AM3542" t="s">
        <v>1094</v>
      </c>
      <c r="AN3542">
        <v>-121.03112</v>
      </c>
      <c r="AO3542">
        <v>25</v>
      </c>
      <c r="AP3542">
        <v>4100</v>
      </c>
      <c r="AQ3542" t="s">
        <v>131</v>
      </c>
      <c r="AR3542">
        <v>3</v>
      </c>
      <c r="AS3542">
        <v>83</v>
      </c>
      <c r="AT3542">
        <v>-384</v>
      </c>
      <c r="BB3542" t="str">
        <f t="shared" si="1396"/>
        <v>1200</v>
      </c>
      <c r="BC3542">
        <v>1</v>
      </c>
      <c r="BD3542" t="str">
        <f t="shared" si="1397"/>
        <v xml:space="preserve">N52156  </v>
      </c>
      <c r="BE3542">
        <v>1</v>
      </c>
      <c r="BG3542">
        <v>0</v>
      </c>
      <c r="BH3542">
        <v>0</v>
      </c>
      <c r="BI3542">
        <v>0</v>
      </c>
      <c r="BJ3542">
        <v>4150</v>
      </c>
      <c r="BK3542">
        <v>50</v>
      </c>
      <c r="BL3542" t="s">
        <v>188</v>
      </c>
      <c r="BM3542">
        <v>1</v>
      </c>
      <c r="BN3542">
        <v>1</v>
      </c>
      <c r="BO3542">
        <v>0</v>
      </c>
      <c r="BP3542">
        <v>0</v>
      </c>
      <c r="BS3542">
        <v>0</v>
      </c>
      <c r="BT3542">
        <v>0</v>
      </c>
      <c r="BU3542">
        <v>0</v>
      </c>
      <c r="CE3542" t="str">
        <f t="shared" ref="CE3542:CE3547" si="1405">"15:14:22.265"</f>
        <v>15:14:22.265</v>
      </c>
      <c r="CF3542">
        <v>265485750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4</v>
      </c>
      <c r="CY3542">
        <v>7</v>
      </c>
      <c r="CZ3542" t="s">
        <v>133</v>
      </c>
      <c r="DA3542">
        <v>275</v>
      </c>
      <c r="DB3542">
        <v>0</v>
      </c>
      <c r="DC3542" t="s">
        <v>134</v>
      </c>
      <c r="DD3542" t="s">
        <v>135</v>
      </c>
      <c r="DG3542">
        <v>3322765</v>
      </c>
      <c r="DI3542">
        <v>1</v>
      </c>
      <c r="DJ3542">
        <v>0</v>
      </c>
      <c r="DK3542">
        <v>0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">
      <c r="A3543" t="str">
        <f>"05/01/2025 15:14:22.504"</f>
        <v>05/01/2025 15:14:22.504</v>
      </c>
      <c r="C3543" t="str">
        <f t="shared" si="1394"/>
        <v>FFDFD3C0</v>
      </c>
      <c r="D3543" t="s">
        <v>143</v>
      </c>
      <c r="E3543" t="str">
        <f>"05"</f>
        <v>05</v>
      </c>
      <c r="H3543">
        <v>172</v>
      </c>
      <c r="I3543" t="s">
        <v>141</v>
      </c>
      <c r="J3543" t="s">
        <v>144</v>
      </c>
      <c r="K3543">
        <v>0</v>
      </c>
      <c r="L3543">
        <v>3</v>
      </c>
      <c r="M3543">
        <v>0</v>
      </c>
      <c r="N3543">
        <v>2</v>
      </c>
      <c r="O3543">
        <v>0</v>
      </c>
      <c r="P3543">
        <v>1</v>
      </c>
      <c r="Q3543">
        <v>0</v>
      </c>
      <c r="R3543" t="s">
        <v>127</v>
      </c>
      <c r="S3543" t="str">
        <f t="shared" si="1404"/>
        <v>15:14:22.000</v>
      </c>
      <c r="T3543" t="str">
        <f t="shared" si="1404"/>
        <v>15:14:22.000</v>
      </c>
      <c r="U3543" t="str">
        <f t="shared" si="1395"/>
        <v>A68FCB</v>
      </c>
      <c r="V3543">
        <v>0</v>
      </c>
      <c r="W3543">
        <v>0</v>
      </c>
      <c r="X3543">
        <v>2</v>
      </c>
      <c r="Y3543">
        <v>0</v>
      </c>
      <c r="AA3543">
        <v>1</v>
      </c>
      <c r="AB3543">
        <v>8</v>
      </c>
      <c r="AC3543">
        <v>3</v>
      </c>
      <c r="AD3543">
        <v>0</v>
      </c>
      <c r="AE3543">
        <v>9</v>
      </c>
      <c r="AF3543" t="s">
        <v>138</v>
      </c>
      <c r="AG3543">
        <v>0</v>
      </c>
      <c r="AH3543">
        <v>3</v>
      </c>
      <c r="AI3543">
        <v>2</v>
      </c>
      <c r="AJ3543">
        <v>0</v>
      </c>
      <c r="AK3543" t="s">
        <v>1148</v>
      </c>
      <c r="AL3543">
        <v>39.150852999999998</v>
      </c>
      <c r="AM3543" t="s">
        <v>1094</v>
      </c>
      <c r="AN3543">
        <v>-121.03112</v>
      </c>
      <c r="AO3543">
        <v>25</v>
      </c>
      <c r="AP3543">
        <v>4100</v>
      </c>
      <c r="AQ3543" t="s">
        <v>131</v>
      </c>
      <c r="AR3543">
        <v>3</v>
      </c>
      <c r="AS3543">
        <v>83</v>
      </c>
      <c r="AT3543">
        <v>-384</v>
      </c>
      <c r="BB3543" t="str">
        <f t="shared" si="1396"/>
        <v>1200</v>
      </c>
      <c r="BC3543">
        <v>1</v>
      </c>
      <c r="BD3543" t="str">
        <f t="shared" si="1397"/>
        <v xml:space="preserve">N52156  </v>
      </c>
      <c r="BE3543">
        <v>1</v>
      </c>
      <c r="BG3543">
        <v>0</v>
      </c>
      <c r="BH3543">
        <v>0</v>
      </c>
      <c r="BI3543">
        <v>0</v>
      </c>
      <c r="BJ3543">
        <v>4150</v>
      </c>
      <c r="BK3543">
        <v>50</v>
      </c>
      <c r="BL3543" t="s">
        <v>188</v>
      </c>
      <c r="BM3543">
        <v>1</v>
      </c>
      <c r="BN3543">
        <v>1</v>
      </c>
      <c r="BO3543">
        <v>0</v>
      </c>
      <c r="BP3543">
        <v>0</v>
      </c>
      <c r="BS3543">
        <v>0</v>
      </c>
      <c r="BT3543">
        <v>0</v>
      </c>
      <c r="BU3543">
        <v>0</v>
      </c>
      <c r="CE3543" t="str">
        <f t="shared" si="1405"/>
        <v>15:14:22.265</v>
      </c>
      <c r="CF3543">
        <v>265485750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4</v>
      </c>
      <c r="CY3543">
        <v>7</v>
      </c>
      <c r="CZ3543" t="s">
        <v>133</v>
      </c>
      <c r="DA3543">
        <v>275</v>
      </c>
      <c r="DB3543">
        <v>0</v>
      </c>
      <c r="DC3543" t="s">
        <v>134</v>
      </c>
      <c r="DD3543" t="s">
        <v>135</v>
      </c>
      <c r="DG3543">
        <v>3322765</v>
      </c>
      <c r="DI3543">
        <v>1</v>
      </c>
      <c r="DJ3543">
        <v>0</v>
      </c>
      <c r="DK3543">
        <v>1</v>
      </c>
      <c r="DL3543">
        <v>0</v>
      </c>
      <c r="DM3543">
        <v>0</v>
      </c>
      <c r="DN3543">
        <v>0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">
      <c r="A3544" t="str">
        <f>"05/01/2025 15:14:22.513"</f>
        <v>05/01/2025 15:14:22.513</v>
      </c>
      <c r="C3544" t="str">
        <f t="shared" si="1394"/>
        <v>FFDFD3C0</v>
      </c>
      <c r="D3544" t="s">
        <v>140</v>
      </c>
      <c r="E3544" t="str">
        <f>"13"</f>
        <v>13</v>
      </c>
      <c r="F3544">
        <v>1019</v>
      </c>
      <c r="G3544" t="s">
        <v>141</v>
      </c>
      <c r="J3544" t="s">
        <v>142</v>
      </c>
      <c r="K3544">
        <v>0</v>
      </c>
      <c r="L3544">
        <v>3</v>
      </c>
      <c r="M3544">
        <v>0</v>
      </c>
      <c r="N3544">
        <v>2</v>
      </c>
      <c r="O3544">
        <v>0</v>
      </c>
      <c r="P3544">
        <v>1</v>
      </c>
      <c r="Q3544">
        <v>0</v>
      </c>
      <c r="R3544" t="s">
        <v>127</v>
      </c>
      <c r="S3544" t="str">
        <f t="shared" si="1404"/>
        <v>15:14:22.000</v>
      </c>
      <c r="T3544" t="str">
        <f t="shared" si="1404"/>
        <v>15:14:22.000</v>
      </c>
      <c r="U3544" t="str">
        <f t="shared" si="1395"/>
        <v>A68FCB</v>
      </c>
      <c r="V3544">
        <v>0</v>
      </c>
      <c r="W3544">
        <v>0</v>
      </c>
      <c r="X3544">
        <v>2</v>
      </c>
      <c r="Y3544">
        <v>0</v>
      </c>
      <c r="AA3544">
        <v>1</v>
      </c>
      <c r="AB3544">
        <v>8</v>
      </c>
      <c r="AC3544">
        <v>3</v>
      </c>
      <c r="AD3544">
        <v>0</v>
      </c>
      <c r="AE3544">
        <v>9</v>
      </c>
      <c r="AF3544" t="s">
        <v>138</v>
      </c>
      <c r="AG3544">
        <v>0</v>
      </c>
      <c r="AH3544">
        <v>3</v>
      </c>
      <c r="AI3544">
        <v>2</v>
      </c>
      <c r="AJ3544">
        <v>0</v>
      </c>
      <c r="AK3544" t="s">
        <v>1148</v>
      </c>
      <c r="AL3544">
        <v>39.150852999999998</v>
      </c>
      <c r="AM3544" t="s">
        <v>1094</v>
      </c>
      <c r="AN3544">
        <v>-121.03112</v>
      </c>
      <c r="AO3544">
        <v>25</v>
      </c>
      <c r="AP3544">
        <v>4100</v>
      </c>
      <c r="AQ3544" t="s">
        <v>131</v>
      </c>
      <c r="AR3544">
        <v>3</v>
      </c>
      <c r="AS3544">
        <v>83</v>
      </c>
      <c r="AT3544">
        <v>-384</v>
      </c>
      <c r="BB3544" t="str">
        <f t="shared" si="1396"/>
        <v>1200</v>
      </c>
      <c r="BC3544">
        <v>1</v>
      </c>
      <c r="BD3544" t="str">
        <f t="shared" si="1397"/>
        <v xml:space="preserve">N52156  </v>
      </c>
      <c r="BE3544">
        <v>1</v>
      </c>
      <c r="BG3544">
        <v>0</v>
      </c>
      <c r="BH3544">
        <v>0</v>
      </c>
      <c r="BI3544">
        <v>0</v>
      </c>
      <c r="BJ3544">
        <v>4150</v>
      </c>
      <c r="BK3544">
        <v>50</v>
      </c>
      <c r="BL3544" t="s">
        <v>188</v>
      </c>
      <c r="BM3544">
        <v>1</v>
      </c>
      <c r="BN3544">
        <v>1</v>
      </c>
      <c r="BO3544">
        <v>0</v>
      </c>
      <c r="BP3544">
        <v>0</v>
      </c>
      <c r="BS3544">
        <v>0</v>
      </c>
      <c r="BT3544">
        <v>0</v>
      </c>
      <c r="BU3544">
        <v>0</v>
      </c>
      <c r="CE3544" t="str">
        <f t="shared" si="1405"/>
        <v>15:14:22.265</v>
      </c>
      <c r="CF3544">
        <v>265485750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4</v>
      </c>
      <c r="CY3544">
        <v>7</v>
      </c>
      <c r="CZ3544" t="s">
        <v>133</v>
      </c>
      <c r="DA3544">
        <v>275</v>
      </c>
      <c r="DB3544">
        <v>0</v>
      </c>
      <c r="DC3544" t="s">
        <v>134</v>
      </c>
      <c r="DD3544" t="s">
        <v>135</v>
      </c>
      <c r="DG3544">
        <v>3322765</v>
      </c>
      <c r="DI3544">
        <v>1</v>
      </c>
      <c r="DJ3544">
        <v>0</v>
      </c>
      <c r="DK3544">
        <v>1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3">
      <c r="A3545" t="str">
        <f>"05/01/2025 15:14:22.514"</f>
        <v>05/01/2025 15:14:22.514</v>
      </c>
      <c r="C3545" t="str">
        <f t="shared" si="1394"/>
        <v>FFDFD3C0</v>
      </c>
      <c r="D3545" t="s">
        <v>124</v>
      </c>
      <c r="E3545" t="str">
        <f>"06"</f>
        <v>06</v>
      </c>
      <c r="F3545">
        <v>2006</v>
      </c>
      <c r="G3545" t="s">
        <v>125</v>
      </c>
      <c r="J3545" t="s">
        <v>126</v>
      </c>
      <c r="K3545">
        <v>0</v>
      </c>
      <c r="L3545">
        <v>3</v>
      </c>
      <c r="M3545">
        <v>0</v>
      </c>
      <c r="N3545">
        <v>2</v>
      </c>
      <c r="O3545">
        <v>0</v>
      </c>
      <c r="P3545">
        <v>1</v>
      </c>
      <c r="Q3545">
        <v>0</v>
      </c>
      <c r="R3545" t="s">
        <v>127</v>
      </c>
      <c r="S3545" t="str">
        <f t="shared" si="1404"/>
        <v>15:14:22.000</v>
      </c>
      <c r="T3545" t="str">
        <f t="shared" si="1404"/>
        <v>15:14:22.000</v>
      </c>
      <c r="U3545" t="str">
        <f t="shared" si="1395"/>
        <v>A68FCB</v>
      </c>
      <c r="V3545">
        <v>0</v>
      </c>
      <c r="W3545">
        <v>0</v>
      </c>
      <c r="X3545">
        <v>2</v>
      </c>
      <c r="Y3545">
        <v>0</v>
      </c>
      <c r="AA3545">
        <v>1</v>
      </c>
      <c r="AB3545">
        <v>8</v>
      </c>
      <c r="AC3545">
        <v>3</v>
      </c>
      <c r="AD3545">
        <v>0</v>
      </c>
      <c r="AE3545">
        <v>9</v>
      </c>
      <c r="AF3545" t="s">
        <v>138</v>
      </c>
      <c r="AG3545">
        <v>0</v>
      </c>
      <c r="AH3545">
        <v>3</v>
      </c>
      <c r="AI3545">
        <v>2</v>
      </c>
      <c r="AJ3545">
        <v>0</v>
      </c>
      <c r="AK3545" t="s">
        <v>1148</v>
      </c>
      <c r="AL3545">
        <v>39.150852999999998</v>
      </c>
      <c r="AM3545" t="s">
        <v>1094</v>
      </c>
      <c r="AN3545">
        <v>-121.03112</v>
      </c>
      <c r="AO3545">
        <v>25</v>
      </c>
      <c r="AP3545">
        <v>4100</v>
      </c>
      <c r="AQ3545" t="s">
        <v>131</v>
      </c>
      <c r="AR3545">
        <v>3</v>
      </c>
      <c r="AS3545">
        <v>83</v>
      </c>
      <c r="AT3545">
        <v>-384</v>
      </c>
      <c r="BB3545" t="str">
        <f t="shared" si="1396"/>
        <v>1200</v>
      </c>
      <c r="BC3545">
        <v>1</v>
      </c>
      <c r="BD3545" t="str">
        <f t="shared" si="1397"/>
        <v xml:space="preserve">N52156  </v>
      </c>
      <c r="BE3545">
        <v>1</v>
      </c>
      <c r="BG3545">
        <v>0</v>
      </c>
      <c r="BH3545">
        <v>0</v>
      </c>
      <c r="BI3545">
        <v>0</v>
      </c>
      <c r="BJ3545">
        <v>4150</v>
      </c>
      <c r="BK3545">
        <v>50</v>
      </c>
      <c r="BL3545" t="s">
        <v>188</v>
      </c>
      <c r="BM3545">
        <v>1</v>
      </c>
      <c r="BN3545">
        <v>1</v>
      </c>
      <c r="BO3545">
        <v>0</v>
      </c>
      <c r="BP3545">
        <v>0</v>
      </c>
      <c r="BS3545">
        <v>0</v>
      </c>
      <c r="BT3545">
        <v>0</v>
      </c>
      <c r="BU3545">
        <v>0</v>
      </c>
      <c r="CE3545" t="str">
        <f t="shared" si="1405"/>
        <v>15:14:22.265</v>
      </c>
      <c r="CF3545">
        <v>265485750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4</v>
      </c>
      <c r="CY3545">
        <v>7</v>
      </c>
      <c r="CZ3545" t="s">
        <v>133</v>
      </c>
      <c r="DA3545">
        <v>275</v>
      </c>
      <c r="DB3545">
        <v>0</v>
      </c>
      <c r="DC3545" t="s">
        <v>134</v>
      </c>
      <c r="DD3545" t="s">
        <v>135</v>
      </c>
      <c r="DG3545">
        <v>3322765</v>
      </c>
      <c r="DI3545">
        <v>1</v>
      </c>
      <c r="DJ3545">
        <v>0</v>
      </c>
      <c r="DK3545">
        <v>1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">
      <c r="A3546" t="str">
        <f>"05/01/2025 15:14:22.525"</f>
        <v>05/01/2025 15:14:22.525</v>
      </c>
      <c r="C3546" t="str">
        <f t="shared" si="1394"/>
        <v>FFDFD3C0</v>
      </c>
      <c r="D3546" t="s">
        <v>145</v>
      </c>
      <c r="E3546" t="str">
        <f>"09"</f>
        <v>09</v>
      </c>
      <c r="H3546">
        <v>51</v>
      </c>
      <c r="I3546" t="s">
        <v>147</v>
      </c>
      <c r="J3546" t="s">
        <v>138</v>
      </c>
      <c r="K3546">
        <v>0</v>
      </c>
      <c r="L3546">
        <v>3</v>
      </c>
      <c r="M3546">
        <v>0</v>
      </c>
      <c r="N3546">
        <v>2</v>
      </c>
      <c r="O3546">
        <v>0</v>
      </c>
      <c r="P3546">
        <v>1</v>
      </c>
      <c r="Q3546">
        <v>0</v>
      </c>
      <c r="R3546" t="s">
        <v>127</v>
      </c>
      <c r="S3546" t="str">
        <f t="shared" si="1404"/>
        <v>15:14:22.000</v>
      </c>
      <c r="T3546" t="str">
        <f t="shared" si="1404"/>
        <v>15:14:22.000</v>
      </c>
      <c r="U3546" t="str">
        <f t="shared" si="1395"/>
        <v>A68FCB</v>
      </c>
      <c r="V3546">
        <v>0</v>
      </c>
      <c r="W3546">
        <v>0</v>
      </c>
      <c r="X3546">
        <v>2</v>
      </c>
      <c r="Y3546">
        <v>0</v>
      </c>
      <c r="AA3546">
        <v>1</v>
      </c>
      <c r="AB3546">
        <v>8</v>
      </c>
      <c r="AC3546">
        <v>3</v>
      </c>
      <c r="AD3546">
        <v>0</v>
      </c>
      <c r="AE3546">
        <v>9</v>
      </c>
      <c r="AF3546" t="s">
        <v>138</v>
      </c>
      <c r="AG3546">
        <v>0</v>
      </c>
      <c r="AH3546">
        <v>3</v>
      </c>
      <c r="AI3546">
        <v>2</v>
      </c>
      <c r="AJ3546">
        <v>0</v>
      </c>
      <c r="AK3546" t="s">
        <v>1148</v>
      </c>
      <c r="AL3546">
        <v>39.150852999999998</v>
      </c>
      <c r="AM3546" t="s">
        <v>1094</v>
      </c>
      <c r="AN3546">
        <v>-121.03112</v>
      </c>
      <c r="AO3546">
        <v>25</v>
      </c>
      <c r="AP3546">
        <v>4100</v>
      </c>
      <c r="AQ3546" t="s">
        <v>131</v>
      </c>
      <c r="AR3546">
        <v>3</v>
      </c>
      <c r="AS3546">
        <v>83</v>
      </c>
      <c r="AT3546">
        <v>-384</v>
      </c>
      <c r="BB3546" t="str">
        <f t="shared" si="1396"/>
        <v>1200</v>
      </c>
      <c r="BC3546">
        <v>1</v>
      </c>
      <c r="BD3546" t="str">
        <f t="shared" si="1397"/>
        <v xml:space="preserve">N52156  </v>
      </c>
      <c r="BE3546">
        <v>1</v>
      </c>
      <c r="BG3546">
        <v>0</v>
      </c>
      <c r="BH3546">
        <v>0</v>
      </c>
      <c r="BI3546">
        <v>0</v>
      </c>
      <c r="BJ3546">
        <v>4150</v>
      </c>
      <c r="BK3546">
        <v>50</v>
      </c>
      <c r="BL3546" t="s">
        <v>188</v>
      </c>
      <c r="BM3546">
        <v>1</v>
      </c>
      <c r="BN3546">
        <v>1</v>
      </c>
      <c r="BO3546">
        <v>0</v>
      </c>
      <c r="BP3546">
        <v>0</v>
      </c>
      <c r="BS3546">
        <v>0</v>
      </c>
      <c r="BT3546">
        <v>0</v>
      </c>
      <c r="BU3546">
        <v>0</v>
      </c>
      <c r="CE3546" t="str">
        <f t="shared" si="1405"/>
        <v>15:14:22.265</v>
      </c>
      <c r="CF3546">
        <v>265485750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4</v>
      </c>
      <c r="CY3546">
        <v>7</v>
      </c>
      <c r="CZ3546" t="s">
        <v>133</v>
      </c>
      <c r="DA3546">
        <v>275</v>
      </c>
      <c r="DB3546">
        <v>0</v>
      </c>
      <c r="DC3546" t="s">
        <v>134</v>
      </c>
      <c r="DD3546" t="s">
        <v>135</v>
      </c>
      <c r="DG3546">
        <v>3322765</v>
      </c>
      <c r="DI3546">
        <v>1</v>
      </c>
      <c r="DJ3546">
        <v>0</v>
      </c>
      <c r="DK3546">
        <v>1</v>
      </c>
      <c r="DL3546">
        <v>0</v>
      </c>
      <c r="DM3546">
        <v>0</v>
      </c>
      <c r="DN3546">
        <v>0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">
      <c r="A3547" t="str">
        <f>"05/01/2025 15:14:22.527"</f>
        <v>05/01/2025 15:14:22.527</v>
      </c>
      <c r="C3547" t="str">
        <f t="shared" si="1394"/>
        <v>FFDFD3C0</v>
      </c>
      <c r="D3547" t="s">
        <v>145</v>
      </c>
      <c r="E3547" t="str">
        <f>"05"</f>
        <v>05</v>
      </c>
      <c r="H3547">
        <v>47</v>
      </c>
      <c r="I3547" t="s">
        <v>146</v>
      </c>
      <c r="J3547" t="s">
        <v>138</v>
      </c>
      <c r="K3547">
        <v>0</v>
      </c>
      <c r="L3547">
        <v>3</v>
      </c>
      <c r="M3547">
        <v>0</v>
      </c>
      <c r="N3547">
        <v>2</v>
      </c>
      <c r="O3547">
        <v>0</v>
      </c>
      <c r="P3547">
        <v>1</v>
      </c>
      <c r="Q3547">
        <v>0</v>
      </c>
      <c r="R3547" t="s">
        <v>127</v>
      </c>
      <c r="S3547" t="str">
        <f t="shared" si="1404"/>
        <v>15:14:22.000</v>
      </c>
      <c r="T3547" t="str">
        <f t="shared" si="1404"/>
        <v>15:14:22.000</v>
      </c>
      <c r="U3547" t="str">
        <f t="shared" si="1395"/>
        <v>A68FCB</v>
      </c>
      <c r="V3547">
        <v>0</v>
      </c>
      <c r="W3547">
        <v>0</v>
      </c>
      <c r="X3547">
        <v>2</v>
      </c>
      <c r="Y3547">
        <v>0</v>
      </c>
      <c r="AA3547">
        <v>1</v>
      </c>
      <c r="AB3547">
        <v>8</v>
      </c>
      <c r="AC3547">
        <v>3</v>
      </c>
      <c r="AD3547">
        <v>0</v>
      </c>
      <c r="AE3547">
        <v>9</v>
      </c>
      <c r="AF3547" t="s">
        <v>138</v>
      </c>
      <c r="AG3547">
        <v>0</v>
      </c>
      <c r="AH3547">
        <v>3</v>
      </c>
      <c r="AI3547">
        <v>2</v>
      </c>
      <c r="AJ3547">
        <v>0</v>
      </c>
      <c r="AK3547" t="s">
        <v>1148</v>
      </c>
      <c r="AL3547">
        <v>39.150852999999998</v>
      </c>
      <c r="AM3547" t="s">
        <v>1094</v>
      </c>
      <c r="AN3547">
        <v>-121.03112</v>
      </c>
      <c r="AO3547">
        <v>25</v>
      </c>
      <c r="AP3547">
        <v>4100</v>
      </c>
      <c r="AQ3547" t="s">
        <v>131</v>
      </c>
      <c r="AR3547">
        <v>3</v>
      </c>
      <c r="AS3547">
        <v>83</v>
      </c>
      <c r="AT3547">
        <v>-384</v>
      </c>
      <c r="BB3547" t="str">
        <f t="shared" si="1396"/>
        <v>1200</v>
      </c>
      <c r="BC3547">
        <v>1</v>
      </c>
      <c r="BD3547" t="str">
        <f t="shared" si="1397"/>
        <v xml:space="preserve">N52156  </v>
      </c>
      <c r="BE3547">
        <v>1</v>
      </c>
      <c r="BG3547">
        <v>0</v>
      </c>
      <c r="BH3547">
        <v>0</v>
      </c>
      <c r="BI3547">
        <v>0</v>
      </c>
      <c r="BJ3547">
        <v>4150</v>
      </c>
      <c r="BK3547">
        <v>50</v>
      </c>
      <c r="BL3547" t="s">
        <v>188</v>
      </c>
      <c r="BM3547">
        <v>1</v>
      </c>
      <c r="BN3547">
        <v>1</v>
      </c>
      <c r="BO3547">
        <v>0</v>
      </c>
      <c r="BP3547">
        <v>0</v>
      </c>
      <c r="BS3547">
        <v>0</v>
      </c>
      <c r="BT3547">
        <v>0</v>
      </c>
      <c r="BU3547">
        <v>0</v>
      </c>
      <c r="CE3547" t="str">
        <f t="shared" si="1405"/>
        <v>15:14:22.265</v>
      </c>
      <c r="CF3547">
        <v>265485750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4</v>
      </c>
      <c r="CY3547">
        <v>7</v>
      </c>
      <c r="CZ3547" t="s">
        <v>133</v>
      </c>
      <c r="DA3547">
        <v>275</v>
      </c>
      <c r="DB3547">
        <v>0</v>
      </c>
      <c r="DC3547" t="s">
        <v>134</v>
      </c>
      <c r="DD3547" t="s">
        <v>135</v>
      </c>
      <c r="DG3547">
        <v>3322765</v>
      </c>
      <c r="DI3547">
        <v>1</v>
      </c>
      <c r="DJ3547">
        <v>0</v>
      </c>
      <c r="DK3547">
        <v>1</v>
      </c>
      <c r="DL3547">
        <v>0</v>
      </c>
      <c r="DM3547">
        <v>0</v>
      </c>
      <c r="DN3547">
        <v>0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">
      <c r="A3548" t="str">
        <f>"05/01/2025 15:14:23.827"</f>
        <v>05/01/2025 15:14:23.827</v>
      </c>
      <c r="C3548" t="str">
        <f t="shared" si="1394"/>
        <v>FFDFD3C0</v>
      </c>
      <c r="D3548" t="s">
        <v>145</v>
      </c>
      <c r="E3548" t="str">
        <f>"09"</f>
        <v>09</v>
      </c>
      <c r="H3548">
        <v>51</v>
      </c>
      <c r="I3548" t="s">
        <v>147</v>
      </c>
      <c r="J3548" t="s">
        <v>138</v>
      </c>
      <c r="K3548">
        <v>0</v>
      </c>
      <c r="L3548">
        <v>3</v>
      </c>
      <c r="M3548">
        <v>0</v>
      </c>
      <c r="N3548">
        <v>2</v>
      </c>
      <c r="O3548">
        <v>0</v>
      </c>
      <c r="P3548">
        <v>1</v>
      </c>
      <c r="Q3548">
        <v>0</v>
      </c>
      <c r="R3548" t="s">
        <v>127</v>
      </c>
      <c r="S3548" t="str">
        <f t="shared" ref="S3548:T3553" si="1406">"15:14:23.000"</f>
        <v>15:14:23.000</v>
      </c>
      <c r="T3548" t="str">
        <f t="shared" si="1406"/>
        <v>15:14:23.000</v>
      </c>
      <c r="U3548" t="str">
        <f t="shared" si="1395"/>
        <v>A68FCB</v>
      </c>
      <c r="V3548">
        <v>0</v>
      </c>
      <c r="W3548">
        <v>0</v>
      </c>
      <c r="X3548">
        <v>2</v>
      </c>
      <c r="Y3548">
        <v>0</v>
      </c>
      <c r="AA3548">
        <v>1</v>
      </c>
      <c r="AB3548">
        <v>8</v>
      </c>
      <c r="AC3548">
        <v>3</v>
      </c>
      <c r="AD3548">
        <v>0</v>
      </c>
      <c r="AE3548">
        <v>9</v>
      </c>
      <c r="AF3548" t="s">
        <v>138</v>
      </c>
      <c r="AG3548">
        <v>0</v>
      </c>
      <c r="AH3548">
        <v>3</v>
      </c>
      <c r="AI3548">
        <v>2</v>
      </c>
      <c r="AJ3548">
        <v>0</v>
      </c>
      <c r="AK3548" t="s">
        <v>1149</v>
      </c>
      <c r="AL3548">
        <v>39.151260999999998</v>
      </c>
      <c r="AM3548" t="s">
        <v>1094</v>
      </c>
      <c r="AN3548">
        <v>-121.03112</v>
      </c>
      <c r="AO3548">
        <v>25</v>
      </c>
      <c r="AP3548">
        <v>4100</v>
      </c>
      <c r="AQ3548" t="s">
        <v>131</v>
      </c>
      <c r="AR3548">
        <v>3</v>
      </c>
      <c r="AS3548">
        <v>85</v>
      </c>
      <c r="AT3548">
        <v>-320</v>
      </c>
      <c r="BB3548" t="str">
        <f t="shared" si="1396"/>
        <v>1200</v>
      </c>
      <c r="BC3548">
        <v>1</v>
      </c>
      <c r="BD3548" t="str">
        <f t="shared" si="1397"/>
        <v xml:space="preserve">N52156  </v>
      </c>
      <c r="BE3548">
        <v>1</v>
      </c>
      <c r="BG3548">
        <v>0</v>
      </c>
      <c r="BH3548">
        <v>0</v>
      </c>
      <c r="BI3548">
        <v>0</v>
      </c>
      <c r="BJ3548">
        <v>4125</v>
      </c>
      <c r="BK3548">
        <v>25</v>
      </c>
      <c r="BL3548" t="s">
        <v>188</v>
      </c>
      <c r="BM3548">
        <v>1</v>
      </c>
      <c r="BN3548">
        <v>1</v>
      </c>
      <c r="BO3548">
        <v>0</v>
      </c>
      <c r="BP3548">
        <v>0</v>
      </c>
      <c r="BS3548">
        <v>0</v>
      </c>
      <c r="BT3548">
        <v>0</v>
      </c>
      <c r="BU3548">
        <v>0</v>
      </c>
      <c r="CE3548" t="str">
        <f t="shared" ref="CE3548:CE3553" si="1407">"15:14:23.623"</f>
        <v>15:14:23.623</v>
      </c>
      <c r="CF3548">
        <v>622736706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4</v>
      </c>
      <c r="CY3548">
        <v>7</v>
      </c>
      <c r="CZ3548" t="s">
        <v>133</v>
      </c>
      <c r="DA3548">
        <v>275</v>
      </c>
      <c r="DB3548">
        <v>0</v>
      </c>
      <c r="DC3548" t="s">
        <v>134</v>
      </c>
      <c r="DD3548" t="s">
        <v>135</v>
      </c>
      <c r="DG3548">
        <v>3322772</v>
      </c>
      <c r="DI3548">
        <v>1</v>
      </c>
      <c r="DJ3548">
        <v>0</v>
      </c>
      <c r="DK3548">
        <v>0</v>
      </c>
      <c r="DL3548">
        <v>0</v>
      </c>
      <c r="DM3548">
        <v>0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">
      <c r="A3549" t="str">
        <f>"05/01/2025 15:14:23.829"</f>
        <v>05/01/2025 15:14:23.829</v>
      </c>
      <c r="C3549" t="str">
        <f t="shared" si="1394"/>
        <v>FFDFD3C0</v>
      </c>
      <c r="D3549" t="s">
        <v>145</v>
      </c>
      <c r="E3549" t="str">
        <f>"05"</f>
        <v>05</v>
      </c>
      <c r="H3549">
        <v>47</v>
      </c>
      <c r="I3549" t="s">
        <v>146</v>
      </c>
      <c r="J3549" t="s">
        <v>138</v>
      </c>
      <c r="K3549">
        <v>0</v>
      </c>
      <c r="L3549">
        <v>3</v>
      </c>
      <c r="M3549">
        <v>0</v>
      </c>
      <c r="N3549">
        <v>2</v>
      </c>
      <c r="O3549">
        <v>0</v>
      </c>
      <c r="P3549">
        <v>1</v>
      </c>
      <c r="Q3549">
        <v>0</v>
      </c>
      <c r="R3549" t="s">
        <v>127</v>
      </c>
      <c r="S3549" t="str">
        <f t="shared" si="1406"/>
        <v>15:14:23.000</v>
      </c>
      <c r="T3549" t="str">
        <f t="shared" si="1406"/>
        <v>15:14:23.000</v>
      </c>
      <c r="U3549" t="str">
        <f t="shared" si="1395"/>
        <v>A68FCB</v>
      </c>
      <c r="V3549">
        <v>0</v>
      </c>
      <c r="W3549">
        <v>0</v>
      </c>
      <c r="X3549">
        <v>2</v>
      </c>
      <c r="Y3549">
        <v>0</v>
      </c>
      <c r="AA3549">
        <v>1</v>
      </c>
      <c r="AB3549">
        <v>8</v>
      </c>
      <c r="AC3549">
        <v>3</v>
      </c>
      <c r="AD3549">
        <v>0</v>
      </c>
      <c r="AE3549">
        <v>9</v>
      </c>
      <c r="AF3549" t="s">
        <v>138</v>
      </c>
      <c r="AG3549">
        <v>0</v>
      </c>
      <c r="AH3549">
        <v>3</v>
      </c>
      <c r="AI3549">
        <v>2</v>
      </c>
      <c r="AJ3549">
        <v>0</v>
      </c>
      <c r="AK3549" t="s">
        <v>1149</v>
      </c>
      <c r="AL3549">
        <v>39.151260999999998</v>
      </c>
      <c r="AM3549" t="s">
        <v>1094</v>
      </c>
      <c r="AN3549">
        <v>-121.03112</v>
      </c>
      <c r="AO3549">
        <v>25</v>
      </c>
      <c r="AP3549">
        <v>4100</v>
      </c>
      <c r="AQ3549" t="s">
        <v>131</v>
      </c>
      <c r="AR3549">
        <v>3</v>
      </c>
      <c r="AS3549">
        <v>85</v>
      </c>
      <c r="AT3549">
        <v>-320</v>
      </c>
      <c r="BB3549" t="str">
        <f t="shared" si="1396"/>
        <v>1200</v>
      </c>
      <c r="BC3549">
        <v>1</v>
      </c>
      <c r="BD3549" t="str">
        <f t="shared" si="1397"/>
        <v xml:space="preserve">N52156  </v>
      </c>
      <c r="BE3549">
        <v>1</v>
      </c>
      <c r="BG3549">
        <v>0</v>
      </c>
      <c r="BH3549">
        <v>0</v>
      </c>
      <c r="BI3549">
        <v>0</v>
      </c>
      <c r="BJ3549">
        <v>4125</v>
      </c>
      <c r="BK3549">
        <v>25</v>
      </c>
      <c r="BL3549" t="s">
        <v>188</v>
      </c>
      <c r="BM3549">
        <v>1</v>
      </c>
      <c r="BN3549">
        <v>1</v>
      </c>
      <c r="BO3549">
        <v>0</v>
      </c>
      <c r="BP3549">
        <v>0</v>
      </c>
      <c r="BS3549">
        <v>0</v>
      </c>
      <c r="BT3549">
        <v>0</v>
      </c>
      <c r="BU3549">
        <v>0</v>
      </c>
      <c r="CE3549" t="str">
        <f t="shared" si="1407"/>
        <v>15:14:23.623</v>
      </c>
      <c r="CF3549">
        <v>622736706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4</v>
      </c>
      <c r="CY3549">
        <v>7</v>
      </c>
      <c r="CZ3549" t="s">
        <v>133</v>
      </c>
      <c r="DA3549">
        <v>275</v>
      </c>
      <c r="DB3549">
        <v>0</v>
      </c>
      <c r="DC3549" t="s">
        <v>134</v>
      </c>
      <c r="DD3549" t="s">
        <v>135</v>
      </c>
      <c r="DG3549">
        <v>3322772</v>
      </c>
      <c r="DI3549">
        <v>1</v>
      </c>
      <c r="DJ3549">
        <v>0</v>
      </c>
      <c r="DK3549">
        <v>1</v>
      </c>
      <c r="DL3549">
        <v>0</v>
      </c>
      <c r="DM3549">
        <v>0</v>
      </c>
      <c r="DN3549">
        <v>0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">
      <c r="A3550" t="str">
        <f>"05/01/2025 15:14:23.841"</f>
        <v>05/01/2025 15:14:23.841</v>
      </c>
      <c r="C3550" t="str">
        <f t="shared" si="1394"/>
        <v>FFDFD3C0</v>
      </c>
      <c r="D3550" t="s">
        <v>136</v>
      </c>
      <c r="E3550" t="str">
        <f>"20"</f>
        <v>20</v>
      </c>
      <c r="H3550">
        <v>400</v>
      </c>
      <c r="I3550" t="s">
        <v>137</v>
      </c>
      <c r="J3550" t="s">
        <v>138</v>
      </c>
      <c r="K3550">
        <v>0</v>
      </c>
      <c r="L3550">
        <v>3</v>
      </c>
      <c r="M3550">
        <v>0</v>
      </c>
      <c r="N3550">
        <v>2</v>
      </c>
      <c r="O3550">
        <v>0</v>
      </c>
      <c r="P3550">
        <v>1</v>
      </c>
      <c r="Q3550">
        <v>0</v>
      </c>
      <c r="R3550" t="s">
        <v>127</v>
      </c>
      <c r="S3550" t="str">
        <f t="shared" si="1406"/>
        <v>15:14:23.000</v>
      </c>
      <c r="T3550" t="str">
        <f t="shared" si="1406"/>
        <v>15:14:23.000</v>
      </c>
      <c r="U3550" t="str">
        <f t="shared" si="1395"/>
        <v>A68FCB</v>
      </c>
      <c r="V3550">
        <v>0</v>
      </c>
      <c r="W3550">
        <v>0</v>
      </c>
      <c r="X3550">
        <v>2</v>
      </c>
      <c r="Y3550">
        <v>0</v>
      </c>
      <c r="AA3550">
        <v>1</v>
      </c>
      <c r="AB3550">
        <v>8</v>
      </c>
      <c r="AC3550">
        <v>3</v>
      </c>
      <c r="AD3550">
        <v>0</v>
      </c>
      <c r="AE3550">
        <v>9</v>
      </c>
      <c r="AF3550" t="s">
        <v>138</v>
      </c>
      <c r="AG3550">
        <v>0</v>
      </c>
      <c r="AH3550">
        <v>3</v>
      </c>
      <c r="AI3550">
        <v>2</v>
      </c>
      <c r="AJ3550">
        <v>0</v>
      </c>
      <c r="AK3550" t="s">
        <v>1149</v>
      </c>
      <c r="AL3550">
        <v>39.151260999999998</v>
      </c>
      <c r="AM3550" t="s">
        <v>1094</v>
      </c>
      <c r="AN3550">
        <v>-121.03112</v>
      </c>
      <c r="AO3550">
        <v>25</v>
      </c>
      <c r="AP3550">
        <v>4100</v>
      </c>
      <c r="AQ3550" t="s">
        <v>131</v>
      </c>
      <c r="AR3550">
        <v>3</v>
      </c>
      <c r="AS3550">
        <v>85</v>
      </c>
      <c r="AT3550">
        <v>-320</v>
      </c>
      <c r="BB3550" t="str">
        <f t="shared" si="1396"/>
        <v>1200</v>
      </c>
      <c r="BC3550">
        <v>1</v>
      </c>
      <c r="BD3550" t="str">
        <f t="shared" si="1397"/>
        <v xml:space="preserve">N52156  </v>
      </c>
      <c r="BE3550">
        <v>1</v>
      </c>
      <c r="BG3550">
        <v>0</v>
      </c>
      <c r="BH3550">
        <v>0</v>
      </c>
      <c r="BI3550">
        <v>0</v>
      </c>
      <c r="BJ3550">
        <v>4125</v>
      </c>
      <c r="BK3550">
        <v>25</v>
      </c>
      <c r="BL3550" t="s">
        <v>188</v>
      </c>
      <c r="BM3550">
        <v>1</v>
      </c>
      <c r="BN3550">
        <v>1</v>
      </c>
      <c r="BO3550">
        <v>0</v>
      </c>
      <c r="BP3550">
        <v>0</v>
      </c>
      <c r="BS3550">
        <v>0</v>
      </c>
      <c r="BT3550">
        <v>0</v>
      </c>
      <c r="BU3550">
        <v>0</v>
      </c>
      <c r="CE3550" t="str">
        <f t="shared" si="1407"/>
        <v>15:14:23.623</v>
      </c>
      <c r="CF3550">
        <v>622736706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4</v>
      </c>
      <c r="CY3550">
        <v>7</v>
      </c>
      <c r="CZ3550" t="s">
        <v>133</v>
      </c>
      <c r="DA3550">
        <v>275</v>
      </c>
      <c r="DB3550">
        <v>0</v>
      </c>
      <c r="DC3550" t="s">
        <v>134</v>
      </c>
      <c r="DD3550" t="s">
        <v>135</v>
      </c>
      <c r="DG3550">
        <v>3322772</v>
      </c>
      <c r="DI3550">
        <v>1</v>
      </c>
      <c r="DJ3550">
        <v>0</v>
      </c>
      <c r="DK3550">
        <v>1</v>
      </c>
      <c r="DL3550">
        <v>0</v>
      </c>
      <c r="DM3550">
        <v>0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">
      <c r="A3551" t="str">
        <f>"05/01/2025 15:14:23.856"</f>
        <v>05/01/2025 15:14:23.856</v>
      </c>
      <c r="C3551" t="str">
        <f t="shared" si="1394"/>
        <v>FFDFD3C0</v>
      </c>
      <c r="D3551" t="s">
        <v>143</v>
      </c>
      <c r="E3551" t="str">
        <f>"05"</f>
        <v>05</v>
      </c>
      <c r="H3551">
        <v>172</v>
      </c>
      <c r="I3551" t="s">
        <v>141</v>
      </c>
      <c r="J3551" t="s">
        <v>144</v>
      </c>
      <c r="K3551">
        <v>0</v>
      </c>
      <c r="L3551">
        <v>3</v>
      </c>
      <c r="M3551">
        <v>0</v>
      </c>
      <c r="N3551">
        <v>2</v>
      </c>
      <c r="O3551">
        <v>0</v>
      </c>
      <c r="P3551">
        <v>1</v>
      </c>
      <c r="Q3551">
        <v>0</v>
      </c>
      <c r="R3551" t="s">
        <v>127</v>
      </c>
      <c r="S3551" t="str">
        <f t="shared" si="1406"/>
        <v>15:14:23.000</v>
      </c>
      <c r="T3551" t="str">
        <f t="shared" si="1406"/>
        <v>15:14:23.000</v>
      </c>
      <c r="U3551" t="str">
        <f t="shared" si="1395"/>
        <v>A68FCB</v>
      </c>
      <c r="V3551">
        <v>0</v>
      </c>
      <c r="W3551">
        <v>0</v>
      </c>
      <c r="X3551">
        <v>2</v>
      </c>
      <c r="Y3551">
        <v>0</v>
      </c>
      <c r="AA3551">
        <v>1</v>
      </c>
      <c r="AB3551">
        <v>8</v>
      </c>
      <c r="AC3551">
        <v>3</v>
      </c>
      <c r="AD3551">
        <v>0</v>
      </c>
      <c r="AE3551">
        <v>9</v>
      </c>
      <c r="AF3551" t="s">
        <v>138</v>
      </c>
      <c r="AG3551">
        <v>0</v>
      </c>
      <c r="AH3551">
        <v>3</v>
      </c>
      <c r="AI3551">
        <v>2</v>
      </c>
      <c r="AJ3551">
        <v>0</v>
      </c>
      <c r="AK3551" t="s">
        <v>1149</v>
      </c>
      <c r="AL3551">
        <v>39.151260999999998</v>
      </c>
      <c r="AM3551" t="s">
        <v>1094</v>
      </c>
      <c r="AN3551">
        <v>-121.03112</v>
      </c>
      <c r="AO3551">
        <v>25</v>
      </c>
      <c r="AP3551">
        <v>4100</v>
      </c>
      <c r="AQ3551" t="s">
        <v>131</v>
      </c>
      <c r="AR3551">
        <v>3</v>
      </c>
      <c r="AS3551">
        <v>85</v>
      </c>
      <c r="AT3551">
        <v>-320</v>
      </c>
      <c r="BB3551" t="str">
        <f t="shared" si="1396"/>
        <v>1200</v>
      </c>
      <c r="BC3551">
        <v>1</v>
      </c>
      <c r="BD3551" t="str">
        <f t="shared" si="1397"/>
        <v xml:space="preserve">N52156  </v>
      </c>
      <c r="BE3551">
        <v>1</v>
      </c>
      <c r="BG3551">
        <v>0</v>
      </c>
      <c r="BH3551">
        <v>0</v>
      </c>
      <c r="BI3551">
        <v>0</v>
      </c>
      <c r="BJ3551">
        <v>4125</v>
      </c>
      <c r="BK3551">
        <v>25</v>
      </c>
      <c r="BL3551" t="s">
        <v>188</v>
      </c>
      <c r="BM3551">
        <v>1</v>
      </c>
      <c r="BN3551">
        <v>1</v>
      </c>
      <c r="BO3551">
        <v>0</v>
      </c>
      <c r="BP3551">
        <v>0</v>
      </c>
      <c r="BS3551">
        <v>0</v>
      </c>
      <c r="BT3551">
        <v>0</v>
      </c>
      <c r="BU3551">
        <v>0</v>
      </c>
      <c r="CE3551" t="str">
        <f t="shared" si="1407"/>
        <v>15:14:23.623</v>
      </c>
      <c r="CF3551">
        <v>622736706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4</v>
      </c>
      <c r="CY3551">
        <v>7</v>
      </c>
      <c r="CZ3551" t="s">
        <v>133</v>
      </c>
      <c r="DA3551">
        <v>275</v>
      </c>
      <c r="DB3551">
        <v>0</v>
      </c>
      <c r="DC3551" t="s">
        <v>134</v>
      </c>
      <c r="DD3551" t="s">
        <v>135</v>
      </c>
      <c r="DG3551">
        <v>3322772</v>
      </c>
      <c r="DI3551">
        <v>1</v>
      </c>
      <c r="DJ3551">
        <v>0</v>
      </c>
      <c r="DK3551">
        <v>1</v>
      </c>
      <c r="DL3551">
        <v>0</v>
      </c>
      <c r="DM3551">
        <v>0</v>
      </c>
      <c r="DN3551">
        <v>0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">
      <c r="A3552" t="str">
        <f>"05/01/2025 15:14:23.865"</f>
        <v>05/01/2025 15:14:23.865</v>
      </c>
      <c r="C3552" t="str">
        <f t="shared" si="1394"/>
        <v>FFDFD3C0</v>
      </c>
      <c r="D3552" t="s">
        <v>140</v>
      </c>
      <c r="E3552" t="str">
        <f>"13"</f>
        <v>13</v>
      </c>
      <c r="F3552">
        <v>1019</v>
      </c>
      <c r="G3552" t="s">
        <v>141</v>
      </c>
      <c r="J3552" t="s">
        <v>142</v>
      </c>
      <c r="K3552">
        <v>0</v>
      </c>
      <c r="L3552">
        <v>3</v>
      </c>
      <c r="M3552">
        <v>0</v>
      </c>
      <c r="N3552">
        <v>2</v>
      </c>
      <c r="O3552">
        <v>0</v>
      </c>
      <c r="P3552">
        <v>1</v>
      </c>
      <c r="Q3552">
        <v>0</v>
      </c>
      <c r="R3552" t="s">
        <v>127</v>
      </c>
      <c r="S3552" t="str">
        <f t="shared" si="1406"/>
        <v>15:14:23.000</v>
      </c>
      <c r="T3552" t="str">
        <f t="shared" si="1406"/>
        <v>15:14:23.000</v>
      </c>
      <c r="U3552" t="str">
        <f t="shared" si="1395"/>
        <v>A68FCB</v>
      </c>
      <c r="V3552">
        <v>0</v>
      </c>
      <c r="W3552">
        <v>0</v>
      </c>
      <c r="X3552">
        <v>2</v>
      </c>
      <c r="Y3552">
        <v>0</v>
      </c>
      <c r="AA3552">
        <v>1</v>
      </c>
      <c r="AB3552">
        <v>8</v>
      </c>
      <c r="AC3552">
        <v>3</v>
      </c>
      <c r="AD3552">
        <v>0</v>
      </c>
      <c r="AE3552">
        <v>9</v>
      </c>
      <c r="AF3552" t="s">
        <v>138</v>
      </c>
      <c r="AG3552">
        <v>0</v>
      </c>
      <c r="AH3552">
        <v>3</v>
      </c>
      <c r="AI3552">
        <v>2</v>
      </c>
      <c r="AJ3552">
        <v>0</v>
      </c>
      <c r="AK3552" t="s">
        <v>1149</v>
      </c>
      <c r="AL3552">
        <v>39.151260999999998</v>
      </c>
      <c r="AM3552" t="s">
        <v>1094</v>
      </c>
      <c r="AN3552">
        <v>-121.03112</v>
      </c>
      <c r="AO3552">
        <v>25</v>
      </c>
      <c r="AP3552">
        <v>4100</v>
      </c>
      <c r="AQ3552" t="s">
        <v>131</v>
      </c>
      <c r="AR3552">
        <v>3</v>
      </c>
      <c r="AS3552">
        <v>85</v>
      </c>
      <c r="AT3552">
        <v>-320</v>
      </c>
      <c r="BB3552" t="str">
        <f t="shared" si="1396"/>
        <v>1200</v>
      </c>
      <c r="BC3552">
        <v>1</v>
      </c>
      <c r="BD3552" t="str">
        <f t="shared" si="1397"/>
        <v xml:space="preserve">N52156  </v>
      </c>
      <c r="BE3552">
        <v>1</v>
      </c>
      <c r="BG3552">
        <v>0</v>
      </c>
      <c r="BH3552">
        <v>0</v>
      </c>
      <c r="BI3552">
        <v>0</v>
      </c>
      <c r="BJ3552">
        <v>4125</v>
      </c>
      <c r="BK3552">
        <v>25</v>
      </c>
      <c r="BL3552" t="s">
        <v>188</v>
      </c>
      <c r="BM3552">
        <v>1</v>
      </c>
      <c r="BN3552">
        <v>1</v>
      </c>
      <c r="BO3552">
        <v>0</v>
      </c>
      <c r="BP3552">
        <v>0</v>
      </c>
      <c r="BS3552">
        <v>0</v>
      </c>
      <c r="BT3552">
        <v>0</v>
      </c>
      <c r="BU3552">
        <v>0</v>
      </c>
      <c r="CE3552" t="str">
        <f t="shared" si="1407"/>
        <v>15:14:23.623</v>
      </c>
      <c r="CF3552">
        <v>622736706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4</v>
      </c>
      <c r="CY3552">
        <v>7</v>
      </c>
      <c r="CZ3552" t="s">
        <v>133</v>
      </c>
      <c r="DA3552">
        <v>275</v>
      </c>
      <c r="DB3552">
        <v>0</v>
      </c>
      <c r="DC3552" t="s">
        <v>134</v>
      </c>
      <c r="DD3552" t="s">
        <v>135</v>
      </c>
      <c r="DG3552">
        <v>3322772</v>
      </c>
      <c r="DI3552">
        <v>1</v>
      </c>
      <c r="DJ3552">
        <v>0</v>
      </c>
      <c r="DK3552">
        <v>1</v>
      </c>
      <c r="DL3552">
        <v>0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">
      <c r="A3553" t="str">
        <f>"05/01/2025 15:14:23.866"</f>
        <v>05/01/2025 15:14:23.866</v>
      </c>
      <c r="C3553" t="str">
        <f t="shared" si="1394"/>
        <v>FFDFD3C0</v>
      </c>
      <c r="D3553" t="s">
        <v>124</v>
      </c>
      <c r="E3553" t="str">
        <f>"06"</f>
        <v>06</v>
      </c>
      <c r="F3553">
        <v>2006</v>
      </c>
      <c r="G3553" t="s">
        <v>125</v>
      </c>
      <c r="J3553" t="s">
        <v>126</v>
      </c>
      <c r="K3553">
        <v>0</v>
      </c>
      <c r="L3553">
        <v>3</v>
      </c>
      <c r="M3553">
        <v>0</v>
      </c>
      <c r="N3553">
        <v>2</v>
      </c>
      <c r="O3553">
        <v>0</v>
      </c>
      <c r="P3553">
        <v>1</v>
      </c>
      <c r="Q3553">
        <v>0</v>
      </c>
      <c r="R3553" t="s">
        <v>127</v>
      </c>
      <c r="S3553" t="str">
        <f t="shared" si="1406"/>
        <v>15:14:23.000</v>
      </c>
      <c r="T3553" t="str">
        <f t="shared" si="1406"/>
        <v>15:14:23.000</v>
      </c>
      <c r="U3553" t="str">
        <f t="shared" si="1395"/>
        <v>A68FCB</v>
      </c>
      <c r="V3553">
        <v>0</v>
      </c>
      <c r="W3553">
        <v>0</v>
      </c>
      <c r="X3553">
        <v>2</v>
      </c>
      <c r="Y3553">
        <v>0</v>
      </c>
      <c r="AA3553">
        <v>1</v>
      </c>
      <c r="AB3553">
        <v>8</v>
      </c>
      <c r="AC3553">
        <v>3</v>
      </c>
      <c r="AD3553">
        <v>0</v>
      </c>
      <c r="AE3553">
        <v>9</v>
      </c>
      <c r="AF3553" t="s">
        <v>138</v>
      </c>
      <c r="AG3553">
        <v>0</v>
      </c>
      <c r="AH3553">
        <v>3</v>
      </c>
      <c r="AI3553">
        <v>2</v>
      </c>
      <c r="AJ3553">
        <v>0</v>
      </c>
      <c r="AK3553" t="s">
        <v>1149</v>
      </c>
      <c r="AL3553">
        <v>39.151260999999998</v>
      </c>
      <c r="AM3553" t="s">
        <v>1094</v>
      </c>
      <c r="AN3553">
        <v>-121.03112</v>
      </c>
      <c r="AO3553">
        <v>25</v>
      </c>
      <c r="AP3553">
        <v>4100</v>
      </c>
      <c r="AQ3553" t="s">
        <v>131</v>
      </c>
      <c r="AR3553">
        <v>3</v>
      </c>
      <c r="AS3553">
        <v>85</v>
      </c>
      <c r="AT3553">
        <v>-320</v>
      </c>
      <c r="BB3553" t="str">
        <f t="shared" si="1396"/>
        <v>1200</v>
      </c>
      <c r="BC3553">
        <v>1</v>
      </c>
      <c r="BD3553" t="str">
        <f t="shared" si="1397"/>
        <v xml:space="preserve">N52156  </v>
      </c>
      <c r="BE3553">
        <v>1</v>
      </c>
      <c r="BG3553">
        <v>0</v>
      </c>
      <c r="BH3553">
        <v>0</v>
      </c>
      <c r="BI3553">
        <v>0</v>
      </c>
      <c r="BJ3553">
        <v>4125</v>
      </c>
      <c r="BK3553">
        <v>25</v>
      </c>
      <c r="BL3553" t="s">
        <v>188</v>
      </c>
      <c r="BM3553">
        <v>1</v>
      </c>
      <c r="BN3553">
        <v>1</v>
      </c>
      <c r="BO3553">
        <v>0</v>
      </c>
      <c r="BP3553">
        <v>0</v>
      </c>
      <c r="BS3553">
        <v>0</v>
      </c>
      <c r="BT3553">
        <v>0</v>
      </c>
      <c r="BU3553">
        <v>0</v>
      </c>
      <c r="CE3553" t="str">
        <f t="shared" si="1407"/>
        <v>15:14:23.623</v>
      </c>
      <c r="CF3553">
        <v>622736706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4</v>
      </c>
      <c r="CY3553">
        <v>7</v>
      </c>
      <c r="CZ3553" t="s">
        <v>133</v>
      </c>
      <c r="DA3553">
        <v>275</v>
      </c>
      <c r="DB3553">
        <v>0</v>
      </c>
      <c r="DC3553" t="s">
        <v>134</v>
      </c>
      <c r="DD3553" t="s">
        <v>135</v>
      </c>
      <c r="DG3553">
        <v>3322772</v>
      </c>
      <c r="DI3553">
        <v>1</v>
      </c>
      <c r="DJ3553">
        <v>0</v>
      </c>
      <c r="DK3553">
        <v>1</v>
      </c>
      <c r="DL3553">
        <v>0</v>
      </c>
      <c r="DM3553">
        <v>0</v>
      </c>
      <c r="DN3553">
        <v>0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3">
      <c r="A3554" t="str">
        <f>"05/01/2025 15:14:24.908"</f>
        <v>05/01/2025 15:14:24.908</v>
      </c>
      <c r="C3554" t="str">
        <f t="shared" si="1394"/>
        <v>FFDFD3C0</v>
      </c>
      <c r="D3554" t="s">
        <v>143</v>
      </c>
      <c r="E3554" t="str">
        <f>"05"</f>
        <v>05</v>
      </c>
      <c r="H3554">
        <v>172</v>
      </c>
      <c r="I3554" t="s">
        <v>141</v>
      </c>
      <c r="J3554" t="s">
        <v>144</v>
      </c>
      <c r="K3554">
        <v>0</v>
      </c>
      <c r="L3554">
        <v>3</v>
      </c>
      <c r="M3554">
        <v>0</v>
      </c>
      <c r="N3554">
        <v>2</v>
      </c>
      <c r="O3554">
        <v>0</v>
      </c>
      <c r="P3554">
        <v>1</v>
      </c>
      <c r="Q3554">
        <v>0</v>
      </c>
      <c r="R3554" t="s">
        <v>127</v>
      </c>
      <c r="S3554" t="str">
        <f t="shared" ref="S3554:T3559" si="1408">"15:14:24.000"</f>
        <v>15:14:24.000</v>
      </c>
      <c r="T3554" t="str">
        <f t="shared" si="1408"/>
        <v>15:14:24.000</v>
      </c>
      <c r="U3554" t="str">
        <f t="shared" si="1395"/>
        <v>A68FCB</v>
      </c>
      <c r="V3554">
        <v>0</v>
      </c>
      <c r="W3554">
        <v>0</v>
      </c>
      <c r="X3554">
        <v>2</v>
      </c>
      <c r="Y3554">
        <v>0</v>
      </c>
      <c r="AA3554">
        <v>1</v>
      </c>
      <c r="AB3554">
        <v>8</v>
      </c>
      <c r="AC3554">
        <v>3</v>
      </c>
      <c r="AD3554">
        <v>0</v>
      </c>
      <c r="AE3554">
        <v>9</v>
      </c>
      <c r="AF3554" t="s">
        <v>138</v>
      </c>
      <c r="AG3554">
        <v>0</v>
      </c>
      <c r="AH3554">
        <v>3</v>
      </c>
      <c r="AI3554">
        <v>2</v>
      </c>
      <c r="AJ3554">
        <v>0</v>
      </c>
      <c r="AK3554" t="s">
        <v>1150</v>
      </c>
      <c r="AL3554">
        <v>39.151646999999997</v>
      </c>
      <c r="AM3554" t="s">
        <v>1096</v>
      </c>
      <c r="AN3554">
        <v>-121.031098</v>
      </c>
      <c r="AO3554">
        <v>25</v>
      </c>
      <c r="AP3554">
        <v>4100</v>
      </c>
      <c r="AQ3554" t="s">
        <v>131</v>
      </c>
      <c r="AR3554">
        <v>3</v>
      </c>
      <c r="AS3554">
        <v>87</v>
      </c>
      <c r="AT3554">
        <v>-320</v>
      </c>
      <c r="BB3554" t="str">
        <f t="shared" si="1396"/>
        <v>1200</v>
      </c>
      <c r="BC3554">
        <v>1</v>
      </c>
      <c r="BD3554" t="str">
        <f t="shared" si="1397"/>
        <v xml:space="preserve">N52156  </v>
      </c>
      <c r="BE3554">
        <v>1</v>
      </c>
      <c r="BG3554">
        <v>0</v>
      </c>
      <c r="BH3554">
        <v>0</v>
      </c>
      <c r="BI3554">
        <v>0</v>
      </c>
      <c r="BJ3554">
        <v>4125</v>
      </c>
      <c r="BK3554">
        <v>25</v>
      </c>
      <c r="BL3554" t="s">
        <v>188</v>
      </c>
      <c r="BM3554">
        <v>1</v>
      </c>
      <c r="BN3554">
        <v>1</v>
      </c>
      <c r="BO3554">
        <v>0</v>
      </c>
      <c r="BP3554">
        <v>0</v>
      </c>
      <c r="BS3554">
        <v>0</v>
      </c>
      <c r="BT3554">
        <v>0</v>
      </c>
      <c r="BU3554">
        <v>0</v>
      </c>
      <c r="CE3554" t="str">
        <f t="shared" ref="CE3554:CE3559" si="1409">"15:14:24.692"</f>
        <v>15:14:24.692</v>
      </c>
      <c r="CF3554">
        <v>692486997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4</v>
      </c>
      <c r="CY3554">
        <v>7</v>
      </c>
      <c r="CZ3554" t="s">
        <v>133</v>
      </c>
      <c r="DA3554">
        <v>275</v>
      </c>
      <c r="DB3554">
        <v>0</v>
      </c>
      <c r="DC3554" t="s">
        <v>134</v>
      </c>
      <c r="DD3554" t="s">
        <v>135</v>
      </c>
      <c r="DG3554">
        <v>3322778</v>
      </c>
      <c r="DI3554">
        <v>1</v>
      </c>
      <c r="DJ3554">
        <v>0</v>
      </c>
      <c r="DK3554">
        <v>0</v>
      </c>
      <c r="DL3554">
        <v>0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3">
      <c r="A3555" t="str">
        <f>"05/01/2025 15:14:24.918"</f>
        <v>05/01/2025 15:14:24.918</v>
      </c>
      <c r="C3555" t="str">
        <f t="shared" si="1394"/>
        <v>FFDFD3C0</v>
      </c>
      <c r="D3555" t="s">
        <v>124</v>
      </c>
      <c r="E3555" t="str">
        <f>"06"</f>
        <v>06</v>
      </c>
      <c r="F3555">
        <v>2006</v>
      </c>
      <c r="G3555" t="s">
        <v>125</v>
      </c>
      <c r="J3555" t="s">
        <v>126</v>
      </c>
      <c r="K3555">
        <v>0</v>
      </c>
      <c r="L3555">
        <v>3</v>
      </c>
      <c r="M3555">
        <v>0</v>
      </c>
      <c r="N3555">
        <v>2</v>
      </c>
      <c r="O3555">
        <v>0</v>
      </c>
      <c r="P3555">
        <v>1</v>
      </c>
      <c r="Q3555">
        <v>0</v>
      </c>
      <c r="R3555" t="s">
        <v>127</v>
      </c>
      <c r="S3555" t="str">
        <f t="shared" si="1408"/>
        <v>15:14:24.000</v>
      </c>
      <c r="T3555" t="str">
        <f t="shared" si="1408"/>
        <v>15:14:24.000</v>
      </c>
      <c r="U3555" t="str">
        <f t="shared" si="1395"/>
        <v>A68FCB</v>
      </c>
      <c r="V3555">
        <v>0</v>
      </c>
      <c r="W3555">
        <v>0</v>
      </c>
      <c r="X3555">
        <v>2</v>
      </c>
      <c r="Y3555">
        <v>0</v>
      </c>
      <c r="AA3555">
        <v>1</v>
      </c>
      <c r="AB3555">
        <v>8</v>
      </c>
      <c r="AC3555">
        <v>3</v>
      </c>
      <c r="AD3555">
        <v>0</v>
      </c>
      <c r="AE3555">
        <v>9</v>
      </c>
      <c r="AF3555" t="s">
        <v>138</v>
      </c>
      <c r="AG3555">
        <v>0</v>
      </c>
      <c r="AH3555">
        <v>3</v>
      </c>
      <c r="AI3555">
        <v>2</v>
      </c>
      <c r="AJ3555">
        <v>0</v>
      </c>
      <c r="AK3555" t="s">
        <v>1150</v>
      </c>
      <c r="AL3555">
        <v>39.151646999999997</v>
      </c>
      <c r="AM3555" t="s">
        <v>1096</v>
      </c>
      <c r="AN3555">
        <v>-121.031098</v>
      </c>
      <c r="AO3555">
        <v>25</v>
      </c>
      <c r="AP3555">
        <v>4100</v>
      </c>
      <c r="AQ3555" t="s">
        <v>131</v>
      </c>
      <c r="AR3555">
        <v>3</v>
      </c>
      <c r="AS3555">
        <v>87</v>
      </c>
      <c r="AT3555">
        <v>-320</v>
      </c>
      <c r="BB3555" t="str">
        <f t="shared" si="1396"/>
        <v>1200</v>
      </c>
      <c r="BC3555">
        <v>1</v>
      </c>
      <c r="BD3555" t="str">
        <f t="shared" si="1397"/>
        <v xml:space="preserve">N52156  </v>
      </c>
      <c r="BE3555">
        <v>1</v>
      </c>
      <c r="BG3555">
        <v>0</v>
      </c>
      <c r="BH3555">
        <v>0</v>
      </c>
      <c r="BI3555">
        <v>0</v>
      </c>
      <c r="BJ3555">
        <v>4125</v>
      </c>
      <c r="BK3555">
        <v>25</v>
      </c>
      <c r="BL3555" t="s">
        <v>188</v>
      </c>
      <c r="BM3555">
        <v>1</v>
      </c>
      <c r="BN3555">
        <v>1</v>
      </c>
      <c r="BO3555">
        <v>0</v>
      </c>
      <c r="BP3555">
        <v>0</v>
      </c>
      <c r="BS3555">
        <v>0</v>
      </c>
      <c r="BT3555">
        <v>0</v>
      </c>
      <c r="BU3555">
        <v>0</v>
      </c>
      <c r="CE3555" t="str">
        <f t="shared" si="1409"/>
        <v>15:14:24.692</v>
      </c>
      <c r="CF3555">
        <v>692486997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4</v>
      </c>
      <c r="CY3555">
        <v>7</v>
      </c>
      <c r="CZ3555" t="s">
        <v>133</v>
      </c>
      <c r="DA3555">
        <v>275</v>
      </c>
      <c r="DB3555">
        <v>0</v>
      </c>
      <c r="DC3555" t="s">
        <v>134</v>
      </c>
      <c r="DD3555" t="s">
        <v>135</v>
      </c>
      <c r="DG3555">
        <v>3322778</v>
      </c>
      <c r="DI3555">
        <v>1</v>
      </c>
      <c r="DJ3555">
        <v>0</v>
      </c>
      <c r="DK3555">
        <v>1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">
      <c r="A3556" t="str">
        <f>"05/01/2025 15:14:24.916"</f>
        <v>05/01/2025 15:14:24.916</v>
      </c>
      <c r="C3556" t="str">
        <f t="shared" si="1394"/>
        <v>FFDFD3C0</v>
      </c>
      <c r="D3556" t="s">
        <v>140</v>
      </c>
      <c r="E3556" t="str">
        <f>"13"</f>
        <v>13</v>
      </c>
      <c r="F3556">
        <v>1019</v>
      </c>
      <c r="G3556" t="s">
        <v>141</v>
      </c>
      <c r="J3556" t="s">
        <v>142</v>
      </c>
      <c r="K3556">
        <v>0</v>
      </c>
      <c r="L3556">
        <v>3</v>
      </c>
      <c r="M3556">
        <v>0</v>
      </c>
      <c r="N3556">
        <v>2</v>
      </c>
      <c r="O3556">
        <v>0</v>
      </c>
      <c r="P3556">
        <v>1</v>
      </c>
      <c r="Q3556">
        <v>0</v>
      </c>
      <c r="R3556" t="s">
        <v>127</v>
      </c>
      <c r="S3556" t="str">
        <f t="shared" si="1408"/>
        <v>15:14:24.000</v>
      </c>
      <c r="T3556" t="str">
        <f t="shared" si="1408"/>
        <v>15:14:24.000</v>
      </c>
      <c r="U3556" t="str">
        <f t="shared" si="1395"/>
        <v>A68FCB</v>
      </c>
      <c r="V3556">
        <v>0</v>
      </c>
      <c r="W3556">
        <v>0</v>
      </c>
      <c r="X3556">
        <v>2</v>
      </c>
      <c r="Y3556">
        <v>0</v>
      </c>
      <c r="AA3556">
        <v>1</v>
      </c>
      <c r="AB3556">
        <v>8</v>
      </c>
      <c r="AC3556">
        <v>3</v>
      </c>
      <c r="AD3556">
        <v>0</v>
      </c>
      <c r="AE3556">
        <v>9</v>
      </c>
      <c r="AF3556" t="s">
        <v>138</v>
      </c>
      <c r="AG3556">
        <v>0</v>
      </c>
      <c r="AH3556">
        <v>3</v>
      </c>
      <c r="AI3556">
        <v>2</v>
      </c>
      <c r="AJ3556">
        <v>0</v>
      </c>
      <c r="AK3556" t="s">
        <v>1150</v>
      </c>
      <c r="AL3556">
        <v>39.151646999999997</v>
      </c>
      <c r="AM3556" t="s">
        <v>1096</v>
      </c>
      <c r="AN3556">
        <v>-121.031098</v>
      </c>
      <c r="AO3556">
        <v>25</v>
      </c>
      <c r="AP3556">
        <v>4100</v>
      </c>
      <c r="AQ3556" t="s">
        <v>131</v>
      </c>
      <c r="AR3556">
        <v>3</v>
      </c>
      <c r="AS3556">
        <v>87</v>
      </c>
      <c r="AT3556">
        <v>-320</v>
      </c>
      <c r="BB3556" t="str">
        <f t="shared" si="1396"/>
        <v>1200</v>
      </c>
      <c r="BC3556">
        <v>1</v>
      </c>
      <c r="BD3556" t="str">
        <f t="shared" si="1397"/>
        <v xml:space="preserve">N52156  </v>
      </c>
      <c r="BE3556">
        <v>1</v>
      </c>
      <c r="BG3556">
        <v>0</v>
      </c>
      <c r="BH3556">
        <v>0</v>
      </c>
      <c r="BI3556">
        <v>0</v>
      </c>
      <c r="BJ3556">
        <v>4125</v>
      </c>
      <c r="BK3556">
        <v>25</v>
      </c>
      <c r="BL3556" t="s">
        <v>188</v>
      </c>
      <c r="BM3556">
        <v>1</v>
      </c>
      <c r="BN3556">
        <v>1</v>
      </c>
      <c r="BO3556">
        <v>0</v>
      </c>
      <c r="BP3556">
        <v>0</v>
      </c>
      <c r="BS3556">
        <v>0</v>
      </c>
      <c r="BT3556">
        <v>0</v>
      </c>
      <c r="BU3556">
        <v>0</v>
      </c>
      <c r="CE3556" t="str">
        <f t="shared" si="1409"/>
        <v>15:14:24.692</v>
      </c>
      <c r="CF3556">
        <v>692486997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4</v>
      </c>
      <c r="CY3556">
        <v>7</v>
      </c>
      <c r="CZ3556" t="s">
        <v>133</v>
      </c>
      <c r="DA3556">
        <v>275</v>
      </c>
      <c r="DB3556">
        <v>0</v>
      </c>
      <c r="DC3556" t="s">
        <v>134</v>
      </c>
      <c r="DD3556" t="s">
        <v>135</v>
      </c>
      <c r="DG3556">
        <v>3322778</v>
      </c>
      <c r="DI3556">
        <v>1</v>
      </c>
      <c r="DJ3556">
        <v>0</v>
      </c>
      <c r="DK3556">
        <v>1</v>
      </c>
      <c r="DL3556">
        <v>0</v>
      </c>
      <c r="DM3556">
        <v>0</v>
      </c>
      <c r="DN3556">
        <v>0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">
      <c r="A3557" t="str">
        <f>"05/01/2025 15:14:24.928"</f>
        <v>05/01/2025 15:14:24.928</v>
      </c>
      <c r="C3557" t="str">
        <f t="shared" si="1394"/>
        <v>FFDFD3C0</v>
      </c>
      <c r="D3557" t="s">
        <v>145</v>
      </c>
      <c r="E3557" t="str">
        <f>"09"</f>
        <v>09</v>
      </c>
      <c r="H3557">
        <v>51</v>
      </c>
      <c r="I3557" t="s">
        <v>147</v>
      </c>
      <c r="J3557" t="s">
        <v>138</v>
      </c>
      <c r="K3557">
        <v>0</v>
      </c>
      <c r="L3557">
        <v>3</v>
      </c>
      <c r="M3557">
        <v>0</v>
      </c>
      <c r="N3557">
        <v>2</v>
      </c>
      <c r="O3557">
        <v>0</v>
      </c>
      <c r="P3557">
        <v>1</v>
      </c>
      <c r="Q3557">
        <v>0</v>
      </c>
      <c r="R3557" t="s">
        <v>127</v>
      </c>
      <c r="S3557" t="str">
        <f t="shared" si="1408"/>
        <v>15:14:24.000</v>
      </c>
      <c r="T3557" t="str">
        <f t="shared" si="1408"/>
        <v>15:14:24.000</v>
      </c>
      <c r="U3557" t="str">
        <f t="shared" si="1395"/>
        <v>A68FCB</v>
      </c>
      <c r="V3557">
        <v>0</v>
      </c>
      <c r="W3557">
        <v>0</v>
      </c>
      <c r="X3557">
        <v>2</v>
      </c>
      <c r="Y3557">
        <v>0</v>
      </c>
      <c r="AA3557">
        <v>1</v>
      </c>
      <c r="AB3557">
        <v>8</v>
      </c>
      <c r="AC3557">
        <v>3</v>
      </c>
      <c r="AD3557">
        <v>0</v>
      </c>
      <c r="AE3557">
        <v>9</v>
      </c>
      <c r="AF3557" t="s">
        <v>138</v>
      </c>
      <c r="AG3557">
        <v>0</v>
      </c>
      <c r="AH3557">
        <v>3</v>
      </c>
      <c r="AI3557">
        <v>2</v>
      </c>
      <c r="AJ3557">
        <v>0</v>
      </c>
      <c r="AK3557" t="s">
        <v>1150</v>
      </c>
      <c r="AL3557">
        <v>39.151646999999997</v>
      </c>
      <c r="AM3557" t="s">
        <v>1096</v>
      </c>
      <c r="AN3557">
        <v>-121.031098</v>
      </c>
      <c r="AO3557">
        <v>25</v>
      </c>
      <c r="AP3557">
        <v>4100</v>
      </c>
      <c r="AQ3557" t="s">
        <v>131</v>
      </c>
      <c r="AR3557">
        <v>3</v>
      </c>
      <c r="AS3557">
        <v>87</v>
      </c>
      <c r="AT3557">
        <v>-320</v>
      </c>
      <c r="BB3557" t="str">
        <f t="shared" si="1396"/>
        <v>1200</v>
      </c>
      <c r="BC3557">
        <v>1</v>
      </c>
      <c r="BD3557" t="str">
        <f t="shared" si="1397"/>
        <v xml:space="preserve">N52156  </v>
      </c>
      <c r="BE3557">
        <v>1</v>
      </c>
      <c r="BG3557">
        <v>0</v>
      </c>
      <c r="BH3557">
        <v>0</v>
      </c>
      <c r="BI3557">
        <v>0</v>
      </c>
      <c r="BJ3557">
        <v>4125</v>
      </c>
      <c r="BK3557">
        <v>25</v>
      </c>
      <c r="BL3557" t="s">
        <v>188</v>
      </c>
      <c r="BM3557">
        <v>1</v>
      </c>
      <c r="BN3557">
        <v>1</v>
      </c>
      <c r="BO3557">
        <v>0</v>
      </c>
      <c r="BP3557">
        <v>0</v>
      </c>
      <c r="BS3557">
        <v>0</v>
      </c>
      <c r="BT3557">
        <v>0</v>
      </c>
      <c r="BU3557">
        <v>0</v>
      </c>
      <c r="CE3557" t="str">
        <f t="shared" si="1409"/>
        <v>15:14:24.692</v>
      </c>
      <c r="CF3557">
        <v>692486997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4</v>
      </c>
      <c r="CY3557">
        <v>7</v>
      </c>
      <c r="CZ3557" t="s">
        <v>133</v>
      </c>
      <c r="DA3557">
        <v>275</v>
      </c>
      <c r="DB3557">
        <v>0</v>
      </c>
      <c r="DC3557" t="s">
        <v>134</v>
      </c>
      <c r="DD3557" t="s">
        <v>135</v>
      </c>
      <c r="DG3557">
        <v>3322778</v>
      </c>
      <c r="DI3557">
        <v>1</v>
      </c>
      <c r="DJ3557">
        <v>0</v>
      </c>
      <c r="DK3557">
        <v>1</v>
      </c>
      <c r="DL3557">
        <v>0</v>
      </c>
      <c r="DM3557">
        <v>0</v>
      </c>
      <c r="DN3557">
        <v>0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">
      <c r="A3558" t="str">
        <f>"05/01/2025 15:14:24.931"</f>
        <v>05/01/2025 15:14:24.931</v>
      </c>
      <c r="C3558" t="str">
        <f t="shared" si="1394"/>
        <v>FFDFD3C0</v>
      </c>
      <c r="D3558" t="s">
        <v>145</v>
      </c>
      <c r="E3558" t="str">
        <f>"05"</f>
        <v>05</v>
      </c>
      <c r="H3558">
        <v>47</v>
      </c>
      <c r="I3558" t="s">
        <v>146</v>
      </c>
      <c r="J3558" t="s">
        <v>138</v>
      </c>
      <c r="K3558">
        <v>0</v>
      </c>
      <c r="L3558">
        <v>3</v>
      </c>
      <c r="M3558">
        <v>0</v>
      </c>
      <c r="N3558">
        <v>2</v>
      </c>
      <c r="O3558">
        <v>0</v>
      </c>
      <c r="P3558">
        <v>1</v>
      </c>
      <c r="Q3558">
        <v>0</v>
      </c>
      <c r="R3558" t="s">
        <v>127</v>
      </c>
      <c r="S3558" t="str">
        <f t="shared" si="1408"/>
        <v>15:14:24.000</v>
      </c>
      <c r="T3558" t="str">
        <f t="shared" si="1408"/>
        <v>15:14:24.000</v>
      </c>
      <c r="U3558" t="str">
        <f t="shared" si="1395"/>
        <v>A68FCB</v>
      </c>
      <c r="V3558">
        <v>0</v>
      </c>
      <c r="W3558">
        <v>0</v>
      </c>
      <c r="X3558">
        <v>2</v>
      </c>
      <c r="Y3558">
        <v>0</v>
      </c>
      <c r="AA3558">
        <v>1</v>
      </c>
      <c r="AB3558">
        <v>8</v>
      </c>
      <c r="AC3558">
        <v>3</v>
      </c>
      <c r="AD3558">
        <v>0</v>
      </c>
      <c r="AE3558">
        <v>9</v>
      </c>
      <c r="AF3558" t="s">
        <v>138</v>
      </c>
      <c r="AG3558">
        <v>0</v>
      </c>
      <c r="AH3558">
        <v>3</v>
      </c>
      <c r="AI3558">
        <v>2</v>
      </c>
      <c r="AJ3558">
        <v>0</v>
      </c>
      <c r="AK3558" t="s">
        <v>1150</v>
      </c>
      <c r="AL3558">
        <v>39.151646999999997</v>
      </c>
      <c r="AM3558" t="s">
        <v>1096</v>
      </c>
      <c r="AN3558">
        <v>-121.031098</v>
      </c>
      <c r="AO3558">
        <v>25</v>
      </c>
      <c r="AP3558">
        <v>4100</v>
      </c>
      <c r="AQ3558" t="s">
        <v>131</v>
      </c>
      <c r="AR3558">
        <v>3</v>
      </c>
      <c r="AS3558">
        <v>87</v>
      </c>
      <c r="AT3558">
        <v>-320</v>
      </c>
      <c r="BB3558" t="str">
        <f t="shared" si="1396"/>
        <v>1200</v>
      </c>
      <c r="BC3558">
        <v>1</v>
      </c>
      <c r="BD3558" t="str">
        <f t="shared" si="1397"/>
        <v xml:space="preserve">N52156  </v>
      </c>
      <c r="BE3558">
        <v>1</v>
      </c>
      <c r="BG3558">
        <v>0</v>
      </c>
      <c r="BH3558">
        <v>0</v>
      </c>
      <c r="BI3558">
        <v>0</v>
      </c>
      <c r="BJ3558">
        <v>4125</v>
      </c>
      <c r="BK3558">
        <v>25</v>
      </c>
      <c r="BL3558" t="s">
        <v>188</v>
      </c>
      <c r="BM3558">
        <v>1</v>
      </c>
      <c r="BN3558">
        <v>1</v>
      </c>
      <c r="BO3558">
        <v>0</v>
      </c>
      <c r="BP3558">
        <v>0</v>
      </c>
      <c r="BS3558">
        <v>0</v>
      </c>
      <c r="BT3558">
        <v>0</v>
      </c>
      <c r="BU3558">
        <v>0</v>
      </c>
      <c r="CE3558" t="str">
        <f t="shared" si="1409"/>
        <v>15:14:24.692</v>
      </c>
      <c r="CF3558">
        <v>692486997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4</v>
      </c>
      <c r="CY3558">
        <v>7</v>
      </c>
      <c r="CZ3558" t="s">
        <v>133</v>
      </c>
      <c r="DA3558">
        <v>275</v>
      </c>
      <c r="DB3558">
        <v>0</v>
      </c>
      <c r="DC3558" t="s">
        <v>134</v>
      </c>
      <c r="DD3558" t="s">
        <v>135</v>
      </c>
      <c r="DG3558">
        <v>3322778</v>
      </c>
      <c r="DI3558">
        <v>1</v>
      </c>
      <c r="DJ3558">
        <v>0</v>
      </c>
      <c r="DK3558">
        <v>1</v>
      </c>
      <c r="DL3558">
        <v>0</v>
      </c>
      <c r="DM3558">
        <v>0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3">
      <c r="A3559" t="str">
        <f>"05/01/2025 15:14:24.942"</f>
        <v>05/01/2025 15:14:24.942</v>
      </c>
      <c r="C3559" t="str">
        <f t="shared" si="1394"/>
        <v>FFDFD3C0</v>
      </c>
      <c r="D3559" t="s">
        <v>136</v>
      </c>
      <c r="E3559" t="str">
        <f>"20"</f>
        <v>20</v>
      </c>
      <c r="H3559">
        <v>400</v>
      </c>
      <c r="I3559" t="s">
        <v>137</v>
      </c>
      <c r="J3559" t="s">
        <v>138</v>
      </c>
      <c r="K3559">
        <v>0</v>
      </c>
      <c r="L3559">
        <v>3</v>
      </c>
      <c r="M3559">
        <v>0</v>
      </c>
      <c r="N3559">
        <v>2</v>
      </c>
      <c r="O3559">
        <v>0</v>
      </c>
      <c r="P3559">
        <v>1</v>
      </c>
      <c r="Q3559">
        <v>0</v>
      </c>
      <c r="R3559" t="s">
        <v>127</v>
      </c>
      <c r="S3559" t="str">
        <f t="shared" si="1408"/>
        <v>15:14:24.000</v>
      </c>
      <c r="T3559" t="str">
        <f t="shared" si="1408"/>
        <v>15:14:24.000</v>
      </c>
      <c r="U3559" t="str">
        <f t="shared" si="1395"/>
        <v>A68FCB</v>
      </c>
      <c r="V3559">
        <v>0</v>
      </c>
      <c r="W3559">
        <v>0</v>
      </c>
      <c r="X3559">
        <v>2</v>
      </c>
      <c r="Y3559">
        <v>0</v>
      </c>
      <c r="AA3559">
        <v>1</v>
      </c>
      <c r="AB3559">
        <v>8</v>
      </c>
      <c r="AC3559">
        <v>3</v>
      </c>
      <c r="AD3559">
        <v>0</v>
      </c>
      <c r="AE3559">
        <v>9</v>
      </c>
      <c r="AF3559" t="s">
        <v>138</v>
      </c>
      <c r="AG3559">
        <v>0</v>
      </c>
      <c r="AH3559">
        <v>3</v>
      </c>
      <c r="AI3559">
        <v>2</v>
      </c>
      <c r="AJ3559">
        <v>0</v>
      </c>
      <c r="AK3559" t="s">
        <v>1150</v>
      </c>
      <c r="AL3559">
        <v>39.151646999999997</v>
      </c>
      <c r="AM3559" t="s">
        <v>1096</v>
      </c>
      <c r="AN3559">
        <v>-121.031098</v>
      </c>
      <c r="AO3559">
        <v>25</v>
      </c>
      <c r="AP3559">
        <v>4100</v>
      </c>
      <c r="AQ3559" t="s">
        <v>131</v>
      </c>
      <c r="AR3559">
        <v>3</v>
      </c>
      <c r="AS3559">
        <v>87</v>
      </c>
      <c r="AT3559">
        <v>-320</v>
      </c>
      <c r="BB3559" t="str">
        <f t="shared" si="1396"/>
        <v>1200</v>
      </c>
      <c r="BC3559">
        <v>1</v>
      </c>
      <c r="BD3559" t="str">
        <f t="shared" si="1397"/>
        <v xml:space="preserve">N52156  </v>
      </c>
      <c r="BE3559">
        <v>1</v>
      </c>
      <c r="BG3559">
        <v>0</v>
      </c>
      <c r="BH3559">
        <v>0</v>
      </c>
      <c r="BI3559">
        <v>0</v>
      </c>
      <c r="BJ3559">
        <v>4125</v>
      </c>
      <c r="BK3559">
        <v>25</v>
      </c>
      <c r="BL3559" t="s">
        <v>188</v>
      </c>
      <c r="BM3559">
        <v>1</v>
      </c>
      <c r="BN3559">
        <v>1</v>
      </c>
      <c r="BO3559">
        <v>0</v>
      </c>
      <c r="BP3559">
        <v>0</v>
      </c>
      <c r="BS3559">
        <v>0</v>
      </c>
      <c r="BT3559">
        <v>0</v>
      </c>
      <c r="BU3559">
        <v>0</v>
      </c>
      <c r="CE3559" t="str">
        <f t="shared" si="1409"/>
        <v>15:14:24.692</v>
      </c>
      <c r="CF3559">
        <v>692486997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4</v>
      </c>
      <c r="CY3559">
        <v>7</v>
      </c>
      <c r="CZ3559" t="s">
        <v>133</v>
      </c>
      <c r="DA3559">
        <v>275</v>
      </c>
      <c r="DB3559">
        <v>0</v>
      </c>
      <c r="DC3559" t="s">
        <v>134</v>
      </c>
      <c r="DD3559" t="s">
        <v>135</v>
      </c>
      <c r="DG3559">
        <v>3322778</v>
      </c>
      <c r="DI3559">
        <v>1</v>
      </c>
      <c r="DJ3559">
        <v>0</v>
      </c>
      <c r="DK3559">
        <v>1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">
      <c r="A3560" t="str">
        <f>"05/01/2025 15:14:25.459"</f>
        <v>05/01/2025 15:14:25.459</v>
      </c>
      <c r="C3560" t="str">
        <f t="shared" si="1394"/>
        <v>FFDFD3C0</v>
      </c>
      <c r="D3560" t="s">
        <v>143</v>
      </c>
      <c r="E3560" t="str">
        <f>"05"</f>
        <v>05</v>
      </c>
      <c r="H3560">
        <v>172</v>
      </c>
      <c r="I3560" t="s">
        <v>141</v>
      </c>
      <c r="J3560" t="s">
        <v>144</v>
      </c>
      <c r="K3560">
        <v>0</v>
      </c>
      <c r="L3560">
        <v>3</v>
      </c>
      <c r="M3560">
        <v>0</v>
      </c>
      <c r="N3560">
        <v>2</v>
      </c>
      <c r="O3560">
        <v>0</v>
      </c>
      <c r="P3560">
        <v>1</v>
      </c>
      <c r="Q3560">
        <v>0</v>
      </c>
      <c r="R3560" t="s">
        <v>127</v>
      </c>
      <c r="S3560" t="str">
        <f t="shared" ref="S3560:T3565" si="1410">"15:14:25.000"</f>
        <v>15:14:25.000</v>
      </c>
      <c r="T3560" t="str">
        <f t="shared" si="1410"/>
        <v>15:14:25.000</v>
      </c>
      <c r="U3560" t="str">
        <f t="shared" si="1395"/>
        <v>A68FCB</v>
      </c>
      <c r="V3560">
        <v>0</v>
      </c>
      <c r="W3560">
        <v>0</v>
      </c>
      <c r="X3560">
        <v>2</v>
      </c>
      <c r="Y3560">
        <v>0</v>
      </c>
      <c r="AA3560">
        <v>1</v>
      </c>
      <c r="AB3560">
        <v>8</v>
      </c>
      <c r="AC3560">
        <v>3</v>
      </c>
      <c r="AD3560">
        <v>0</v>
      </c>
      <c r="AE3560">
        <v>9</v>
      </c>
      <c r="AF3560" t="s">
        <v>138</v>
      </c>
      <c r="AG3560">
        <v>0</v>
      </c>
      <c r="AH3560">
        <v>3</v>
      </c>
      <c r="AI3560">
        <v>2</v>
      </c>
      <c r="AJ3560">
        <v>0</v>
      </c>
      <c r="AK3560" t="s">
        <v>1151</v>
      </c>
      <c r="AL3560">
        <v>39.152054999999997</v>
      </c>
      <c r="AM3560" t="s">
        <v>1102</v>
      </c>
      <c r="AN3560">
        <v>-121.03105499999999</v>
      </c>
      <c r="AO3560">
        <v>25</v>
      </c>
      <c r="AP3560">
        <v>4100</v>
      </c>
      <c r="AQ3560" t="s">
        <v>131</v>
      </c>
      <c r="AR3560">
        <v>3</v>
      </c>
      <c r="AS3560">
        <v>87</v>
      </c>
      <c r="AT3560">
        <v>-320</v>
      </c>
      <c r="BB3560" t="str">
        <f t="shared" si="1396"/>
        <v>1200</v>
      </c>
      <c r="BC3560">
        <v>1</v>
      </c>
      <c r="BD3560" t="str">
        <f t="shared" si="1397"/>
        <v xml:space="preserve">N52156  </v>
      </c>
      <c r="BE3560">
        <v>1</v>
      </c>
      <c r="BG3560">
        <v>0</v>
      </c>
      <c r="BH3560">
        <v>0</v>
      </c>
      <c r="BI3560">
        <v>0</v>
      </c>
      <c r="BJ3560">
        <v>4125</v>
      </c>
      <c r="BK3560">
        <v>25</v>
      </c>
      <c r="BL3560" t="s">
        <v>188</v>
      </c>
      <c r="BM3560">
        <v>1</v>
      </c>
      <c r="BN3560">
        <v>1</v>
      </c>
      <c r="BO3560">
        <v>0</v>
      </c>
      <c r="BP3560">
        <v>0</v>
      </c>
      <c r="BS3560">
        <v>0</v>
      </c>
      <c r="BT3560">
        <v>0</v>
      </c>
      <c r="BU3560">
        <v>0</v>
      </c>
      <c r="CE3560" t="str">
        <f t="shared" ref="CE3560:CE3565" si="1411">"15:14:25.250"</f>
        <v>15:14:25.250</v>
      </c>
      <c r="CF3560">
        <v>250236188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4</v>
      </c>
      <c r="CY3560">
        <v>7</v>
      </c>
      <c r="CZ3560" t="s">
        <v>133</v>
      </c>
      <c r="DA3560">
        <v>275</v>
      </c>
      <c r="DB3560">
        <v>0</v>
      </c>
      <c r="DC3560" t="s">
        <v>134</v>
      </c>
      <c r="DD3560" t="s">
        <v>135</v>
      </c>
      <c r="DG3560">
        <v>3322782</v>
      </c>
      <c r="DI3560">
        <v>1</v>
      </c>
      <c r="DJ3560">
        <v>0</v>
      </c>
      <c r="DK3560">
        <v>0</v>
      </c>
      <c r="DL3560">
        <v>0</v>
      </c>
      <c r="DM3560">
        <v>0</v>
      </c>
      <c r="DN3560">
        <v>0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">
      <c r="A3561" t="str">
        <f>"05/01/2025 15:14:25.467"</f>
        <v>05/01/2025 15:14:25.467</v>
      </c>
      <c r="C3561" t="str">
        <f t="shared" si="1394"/>
        <v>FFDFD3C0</v>
      </c>
      <c r="D3561" t="s">
        <v>140</v>
      </c>
      <c r="E3561" t="str">
        <f>"13"</f>
        <v>13</v>
      </c>
      <c r="F3561">
        <v>1019</v>
      </c>
      <c r="G3561" t="s">
        <v>141</v>
      </c>
      <c r="J3561" t="s">
        <v>142</v>
      </c>
      <c r="K3561">
        <v>0</v>
      </c>
      <c r="L3561">
        <v>3</v>
      </c>
      <c r="M3561">
        <v>0</v>
      </c>
      <c r="N3561">
        <v>2</v>
      </c>
      <c r="O3561">
        <v>0</v>
      </c>
      <c r="P3561">
        <v>1</v>
      </c>
      <c r="Q3561">
        <v>0</v>
      </c>
      <c r="R3561" t="s">
        <v>127</v>
      </c>
      <c r="S3561" t="str">
        <f t="shared" si="1410"/>
        <v>15:14:25.000</v>
      </c>
      <c r="T3561" t="str">
        <f t="shared" si="1410"/>
        <v>15:14:25.000</v>
      </c>
      <c r="U3561" t="str">
        <f t="shared" si="1395"/>
        <v>A68FCB</v>
      </c>
      <c r="V3561">
        <v>0</v>
      </c>
      <c r="W3561">
        <v>0</v>
      </c>
      <c r="X3561">
        <v>2</v>
      </c>
      <c r="Y3561">
        <v>0</v>
      </c>
      <c r="AA3561">
        <v>1</v>
      </c>
      <c r="AB3561">
        <v>8</v>
      </c>
      <c r="AC3561">
        <v>3</v>
      </c>
      <c r="AD3561">
        <v>0</v>
      </c>
      <c r="AE3561">
        <v>9</v>
      </c>
      <c r="AF3561" t="s">
        <v>138</v>
      </c>
      <c r="AG3561">
        <v>0</v>
      </c>
      <c r="AH3561">
        <v>3</v>
      </c>
      <c r="AI3561">
        <v>2</v>
      </c>
      <c r="AJ3561">
        <v>0</v>
      </c>
      <c r="AK3561" t="s">
        <v>1151</v>
      </c>
      <c r="AL3561">
        <v>39.152054999999997</v>
      </c>
      <c r="AM3561" t="s">
        <v>1102</v>
      </c>
      <c r="AN3561">
        <v>-121.03105499999999</v>
      </c>
      <c r="AO3561">
        <v>25</v>
      </c>
      <c r="AP3561">
        <v>4100</v>
      </c>
      <c r="AQ3561" t="s">
        <v>131</v>
      </c>
      <c r="AR3561">
        <v>3</v>
      </c>
      <c r="AS3561">
        <v>87</v>
      </c>
      <c r="AT3561">
        <v>-320</v>
      </c>
      <c r="BB3561" t="str">
        <f t="shared" si="1396"/>
        <v>1200</v>
      </c>
      <c r="BC3561">
        <v>1</v>
      </c>
      <c r="BD3561" t="str">
        <f t="shared" si="1397"/>
        <v xml:space="preserve">N52156  </v>
      </c>
      <c r="BE3561">
        <v>1</v>
      </c>
      <c r="BG3561">
        <v>0</v>
      </c>
      <c r="BH3561">
        <v>0</v>
      </c>
      <c r="BI3561">
        <v>0</v>
      </c>
      <c r="BJ3561">
        <v>4125</v>
      </c>
      <c r="BK3561">
        <v>25</v>
      </c>
      <c r="BL3561" t="s">
        <v>188</v>
      </c>
      <c r="BM3561">
        <v>1</v>
      </c>
      <c r="BN3561">
        <v>1</v>
      </c>
      <c r="BO3561">
        <v>0</v>
      </c>
      <c r="BP3561">
        <v>0</v>
      </c>
      <c r="BS3561">
        <v>0</v>
      </c>
      <c r="BT3561">
        <v>0</v>
      </c>
      <c r="BU3561">
        <v>0</v>
      </c>
      <c r="CE3561" t="str">
        <f t="shared" si="1411"/>
        <v>15:14:25.250</v>
      </c>
      <c r="CF3561">
        <v>250236188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4</v>
      </c>
      <c r="CY3561">
        <v>7</v>
      </c>
      <c r="CZ3561" t="s">
        <v>133</v>
      </c>
      <c r="DA3561">
        <v>275</v>
      </c>
      <c r="DB3561">
        <v>0</v>
      </c>
      <c r="DC3561" t="s">
        <v>134</v>
      </c>
      <c r="DD3561" t="s">
        <v>135</v>
      </c>
      <c r="DG3561">
        <v>3322782</v>
      </c>
      <c r="DI3561">
        <v>1</v>
      </c>
      <c r="DJ3561">
        <v>0</v>
      </c>
      <c r="DK3561">
        <v>1</v>
      </c>
      <c r="DL3561">
        <v>0</v>
      </c>
      <c r="DM3561">
        <v>0</v>
      </c>
      <c r="DN3561">
        <v>0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">
      <c r="A3562" t="str">
        <f>"05/01/2025 15:14:25.468"</f>
        <v>05/01/2025 15:14:25.468</v>
      </c>
      <c r="C3562" t="str">
        <f t="shared" si="1394"/>
        <v>FFDFD3C0</v>
      </c>
      <c r="D3562" t="s">
        <v>124</v>
      </c>
      <c r="E3562" t="str">
        <f>"06"</f>
        <v>06</v>
      </c>
      <c r="F3562">
        <v>2006</v>
      </c>
      <c r="G3562" t="s">
        <v>125</v>
      </c>
      <c r="J3562" t="s">
        <v>126</v>
      </c>
      <c r="K3562">
        <v>0</v>
      </c>
      <c r="L3562">
        <v>3</v>
      </c>
      <c r="M3562">
        <v>0</v>
      </c>
      <c r="N3562">
        <v>2</v>
      </c>
      <c r="O3562">
        <v>0</v>
      </c>
      <c r="P3562">
        <v>1</v>
      </c>
      <c r="Q3562">
        <v>0</v>
      </c>
      <c r="R3562" t="s">
        <v>127</v>
      </c>
      <c r="S3562" t="str">
        <f t="shared" si="1410"/>
        <v>15:14:25.000</v>
      </c>
      <c r="T3562" t="str">
        <f t="shared" si="1410"/>
        <v>15:14:25.000</v>
      </c>
      <c r="U3562" t="str">
        <f t="shared" si="1395"/>
        <v>A68FCB</v>
      </c>
      <c r="V3562">
        <v>0</v>
      </c>
      <c r="W3562">
        <v>0</v>
      </c>
      <c r="X3562">
        <v>2</v>
      </c>
      <c r="Y3562">
        <v>0</v>
      </c>
      <c r="AA3562">
        <v>1</v>
      </c>
      <c r="AB3562">
        <v>8</v>
      </c>
      <c r="AC3562">
        <v>3</v>
      </c>
      <c r="AD3562">
        <v>0</v>
      </c>
      <c r="AE3562">
        <v>9</v>
      </c>
      <c r="AF3562" t="s">
        <v>138</v>
      </c>
      <c r="AG3562">
        <v>0</v>
      </c>
      <c r="AH3562">
        <v>3</v>
      </c>
      <c r="AI3562">
        <v>2</v>
      </c>
      <c r="AJ3562">
        <v>0</v>
      </c>
      <c r="AK3562" t="s">
        <v>1151</v>
      </c>
      <c r="AL3562">
        <v>39.152054999999997</v>
      </c>
      <c r="AM3562" t="s">
        <v>1102</v>
      </c>
      <c r="AN3562">
        <v>-121.03105499999999</v>
      </c>
      <c r="AO3562">
        <v>25</v>
      </c>
      <c r="AP3562">
        <v>4100</v>
      </c>
      <c r="AQ3562" t="s">
        <v>131</v>
      </c>
      <c r="AR3562">
        <v>3</v>
      </c>
      <c r="AS3562">
        <v>87</v>
      </c>
      <c r="AT3562">
        <v>-320</v>
      </c>
      <c r="BB3562" t="str">
        <f t="shared" si="1396"/>
        <v>1200</v>
      </c>
      <c r="BC3562">
        <v>1</v>
      </c>
      <c r="BD3562" t="str">
        <f t="shared" si="1397"/>
        <v xml:space="preserve">N52156  </v>
      </c>
      <c r="BE3562">
        <v>1</v>
      </c>
      <c r="BG3562">
        <v>0</v>
      </c>
      <c r="BH3562">
        <v>0</v>
      </c>
      <c r="BI3562">
        <v>0</v>
      </c>
      <c r="BJ3562">
        <v>4125</v>
      </c>
      <c r="BK3562">
        <v>25</v>
      </c>
      <c r="BL3562" t="s">
        <v>188</v>
      </c>
      <c r="BM3562">
        <v>1</v>
      </c>
      <c r="BN3562">
        <v>1</v>
      </c>
      <c r="BO3562">
        <v>0</v>
      </c>
      <c r="BP3562">
        <v>0</v>
      </c>
      <c r="BS3562">
        <v>0</v>
      </c>
      <c r="BT3562">
        <v>0</v>
      </c>
      <c r="BU3562">
        <v>0</v>
      </c>
      <c r="CE3562" t="str">
        <f t="shared" si="1411"/>
        <v>15:14:25.250</v>
      </c>
      <c r="CF3562">
        <v>250236188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4</v>
      </c>
      <c r="CY3562">
        <v>7</v>
      </c>
      <c r="CZ3562" t="s">
        <v>133</v>
      </c>
      <c r="DA3562">
        <v>275</v>
      </c>
      <c r="DB3562">
        <v>0</v>
      </c>
      <c r="DC3562" t="s">
        <v>134</v>
      </c>
      <c r="DD3562" t="s">
        <v>135</v>
      </c>
      <c r="DG3562">
        <v>3322782</v>
      </c>
      <c r="DI3562">
        <v>1</v>
      </c>
      <c r="DJ3562">
        <v>0</v>
      </c>
      <c r="DK3562">
        <v>1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3">
      <c r="A3563" t="str">
        <f>"05/01/2025 15:14:25.482"</f>
        <v>05/01/2025 15:14:25.482</v>
      </c>
      <c r="C3563" t="str">
        <f t="shared" si="1394"/>
        <v>FFDFD3C0</v>
      </c>
      <c r="D3563" t="s">
        <v>145</v>
      </c>
      <c r="E3563" t="str">
        <f>"05"</f>
        <v>05</v>
      </c>
      <c r="H3563">
        <v>47</v>
      </c>
      <c r="I3563" t="s">
        <v>146</v>
      </c>
      <c r="J3563" t="s">
        <v>138</v>
      </c>
      <c r="K3563">
        <v>0</v>
      </c>
      <c r="L3563">
        <v>3</v>
      </c>
      <c r="M3563">
        <v>0</v>
      </c>
      <c r="N3563">
        <v>2</v>
      </c>
      <c r="O3563">
        <v>0</v>
      </c>
      <c r="P3563">
        <v>1</v>
      </c>
      <c r="Q3563">
        <v>0</v>
      </c>
      <c r="R3563" t="s">
        <v>127</v>
      </c>
      <c r="S3563" t="str">
        <f t="shared" si="1410"/>
        <v>15:14:25.000</v>
      </c>
      <c r="T3563" t="str">
        <f t="shared" si="1410"/>
        <v>15:14:25.000</v>
      </c>
      <c r="U3563" t="str">
        <f t="shared" si="1395"/>
        <v>A68FCB</v>
      </c>
      <c r="V3563">
        <v>0</v>
      </c>
      <c r="W3563">
        <v>0</v>
      </c>
      <c r="X3563">
        <v>2</v>
      </c>
      <c r="Y3563">
        <v>0</v>
      </c>
      <c r="AA3563">
        <v>1</v>
      </c>
      <c r="AB3563">
        <v>8</v>
      </c>
      <c r="AC3563">
        <v>3</v>
      </c>
      <c r="AD3563">
        <v>0</v>
      </c>
      <c r="AE3563">
        <v>9</v>
      </c>
      <c r="AF3563" t="s">
        <v>138</v>
      </c>
      <c r="AG3563">
        <v>0</v>
      </c>
      <c r="AH3563">
        <v>3</v>
      </c>
      <c r="AI3563">
        <v>2</v>
      </c>
      <c r="AJ3563">
        <v>0</v>
      </c>
      <c r="AK3563" t="s">
        <v>1151</v>
      </c>
      <c r="AL3563">
        <v>39.152054999999997</v>
      </c>
      <c r="AM3563" t="s">
        <v>1102</v>
      </c>
      <c r="AN3563">
        <v>-121.03105499999999</v>
      </c>
      <c r="AO3563">
        <v>25</v>
      </c>
      <c r="AP3563">
        <v>4100</v>
      </c>
      <c r="AQ3563" t="s">
        <v>131</v>
      </c>
      <c r="AR3563">
        <v>3</v>
      </c>
      <c r="AS3563">
        <v>87</v>
      </c>
      <c r="AT3563">
        <v>-320</v>
      </c>
      <c r="BB3563" t="str">
        <f t="shared" si="1396"/>
        <v>1200</v>
      </c>
      <c r="BC3563">
        <v>1</v>
      </c>
      <c r="BD3563" t="str">
        <f t="shared" si="1397"/>
        <v xml:space="preserve">N52156  </v>
      </c>
      <c r="BE3563">
        <v>1</v>
      </c>
      <c r="BG3563">
        <v>0</v>
      </c>
      <c r="BH3563">
        <v>0</v>
      </c>
      <c r="BI3563">
        <v>0</v>
      </c>
      <c r="BJ3563">
        <v>4125</v>
      </c>
      <c r="BK3563">
        <v>25</v>
      </c>
      <c r="BL3563" t="s">
        <v>188</v>
      </c>
      <c r="BM3563">
        <v>1</v>
      </c>
      <c r="BN3563">
        <v>1</v>
      </c>
      <c r="BO3563">
        <v>0</v>
      </c>
      <c r="BP3563">
        <v>0</v>
      </c>
      <c r="BS3563">
        <v>0</v>
      </c>
      <c r="BT3563">
        <v>0</v>
      </c>
      <c r="BU3563">
        <v>0</v>
      </c>
      <c r="CE3563" t="str">
        <f t="shared" si="1411"/>
        <v>15:14:25.250</v>
      </c>
      <c r="CF3563">
        <v>250236188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4</v>
      </c>
      <c r="CY3563">
        <v>7</v>
      </c>
      <c r="CZ3563" t="s">
        <v>133</v>
      </c>
      <c r="DA3563">
        <v>275</v>
      </c>
      <c r="DB3563">
        <v>0</v>
      </c>
      <c r="DC3563" t="s">
        <v>134</v>
      </c>
      <c r="DD3563" t="s">
        <v>135</v>
      </c>
      <c r="DG3563">
        <v>3322782</v>
      </c>
      <c r="DI3563">
        <v>1</v>
      </c>
      <c r="DJ3563">
        <v>0</v>
      </c>
      <c r="DK3563">
        <v>1</v>
      </c>
      <c r="DL3563">
        <v>0</v>
      </c>
      <c r="DM3563">
        <v>0</v>
      </c>
      <c r="DN3563">
        <v>0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3">
      <c r="A3564" t="str">
        <f>"05/01/2025 15:14:25.480"</f>
        <v>05/01/2025 15:14:25.480</v>
      </c>
      <c r="C3564" t="str">
        <f t="shared" si="1394"/>
        <v>FFDFD3C0</v>
      </c>
      <c r="D3564" t="s">
        <v>145</v>
      </c>
      <c r="E3564" t="str">
        <f>"09"</f>
        <v>09</v>
      </c>
      <c r="H3564">
        <v>51</v>
      </c>
      <c r="I3564" t="s">
        <v>147</v>
      </c>
      <c r="J3564" t="s">
        <v>138</v>
      </c>
      <c r="K3564">
        <v>0</v>
      </c>
      <c r="L3564">
        <v>3</v>
      </c>
      <c r="M3564">
        <v>0</v>
      </c>
      <c r="N3564">
        <v>2</v>
      </c>
      <c r="O3564">
        <v>0</v>
      </c>
      <c r="P3564">
        <v>1</v>
      </c>
      <c r="Q3564">
        <v>0</v>
      </c>
      <c r="R3564" t="s">
        <v>127</v>
      </c>
      <c r="S3564" t="str">
        <f t="shared" si="1410"/>
        <v>15:14:25.000</v>
      </c>
      <c r="T3564" t="str">
        <f t="shared" si="1410"/>
        <v>15:14:25.000</v>
      </c>
      <c r="U3564" t="str">
        <f t="shared" si="1395"/>
        <v>A68FCB</v>
      </c>
      <c r="V3564">
        <v>0</v>
      </c>
      <c r="W3564">
        <v>0</v>
      </c>
      <c r="X3564">
        <v>2</v>
      </c>
      <c r="Y3564">
        <v>0</v>
      </c>
      <c r="AA3564">
        <v>1</v>
      </c>
      <c r="AB3564">
        <v>8</v>
      </c>
      <c r="AC3564">
        <v>3</v>
      </c>
      <c r="AD3564">
        <v>0</v>
      </c>
      <c r="AE3564">
        <v>9</v>
      </c>
      <c r="AF3564" t="s">
        <v>138</v>
      </c>
      <c r="AG3564">
        <v>0</v>
      </c>
      <c r="AH3564">
        <v>3</v>
      </c>
      <c r="AI3564">
        <v>2</v>
      </c>
      <c r="AJ3564">
        <v>0</v>
      </c>
      <c r="AK3564" t="s">
        <v>1151</v>
      </c>
      <c r="AL3564">
        <v>39.152054999999997</v>
      </c>
      <c r="AM3564" t="s">
        <v>1102</v>
      </c>
      <c r="AN3564">
        <v>-121.03105499999999</v>
      </c>
      <c r="AO3564">
        <v>25</v>
      </c>
      <c r="AP3564">
        <v>4100</v>
      </c>
      <c r="AQ3564" t="s">
        <v>131</v>
      </c>
      <c r="AR3564">
        <v>3</v>
      </c>
      <c r="AS3564">
        <v>87</v>
      </c>
      <c r="AT3564">
        <v>-320</v>
      </c>
      <c r="BB3564" t="str">
        <f t="shared" si="1396"/>
        <v>1200</v>
      </c>
      <c r="BC3564">
        <v>1</v>
      </c>
      <c r="BD3564" t="str">
        <f t="shared" si="1397"/>
        <v xml:space="preserve">N52156  </v>
      </c>
      <c r="BE3564">
        <v>1</v>
      </c>
      <c r="BG3564">
        <v>0</v>
      </c>
      <c r="BH3564">
        <v>0</v>
      </c>
      <c r="BI3564">
        <v>0</v>
      </c>
      <c r="BJ3564">
        <v>4125</v>
      </c>
      <c r="BK3564">
        <v>25</v>
      </c>
      <c r="BL3564" t="s">
        <v>188</v>
      </c>
      <c r="BM3564">
        <v>1</v>
      </c>
      <c r="BN3564">
        <v>1</v>
      </c>
      <c r="BO3564">
        <v>0</v>
      </c>
      <c r="BP3564">
        <v>0</v>
      </c>
      <c r="BS3564">
        <v>0</v>
      </c>
      <c r="BT3564">
        <v>0</v>
      </c>
      <c r="BU3564">
        <v>0</v>
      </c>
      <c r="CE3564" t="str">
        <f t="shared" si="1411"/>
        <v>15:14:25.250</v>
      </c>
      <c r="CF3564">
        <v>250236188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4</v>
      </c>
      <c r="CY3564">
        <v>7</v>
      </c>
      <c r="CZ3564" t="s">
        <v>133</v>
      </c>
      <c r="DA3564">
        <v>275</v>
      </c>
      <c r="DB3564">
        <v>0</v>
      </c>
      <c r="DC3564" t="s">
        <v>134</v>
      </c>
      <c r="DD3564" t="s">
        <v>135</v>
      </c>
      <c r="DG3564">
        <v>3322782</v>
      </c>
      <c r="DI3564">
        <v>1</v>
      </c>
      <c r="DJ3564">
        <v>0</v>
      </c>
      <c r="DK3564">
        <v>1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">
      <c r="A3565" t="str">
        <f>"05/01/2025 15:14:25.493"</f>
        <v>05/01/2025 15:14:25.493</v>
      </c>
      <c r="C3565" t="str">
        <f t="shared" si="1394"/>
        <v>FFDFD3C0</v>
      </c>
      <c r="D3565" t="s">
        <v>136</v>
      </c>
      <c r="E3565" t="str">
        <f>"20"</f>
        <v>20</v>
      </c>
      <c r="H3565">
        <v>400</v>
      </c>
      <c r="I3565" t="s">
        <v>137</v>
      </c>
      <c r="J3565" t="s">
        <v>138</v>
      </c>
      <c r="K3565">
        <v>0</v>
      </c>
      <c r="L3565">
        <v>3</v>
      </c>
      <c r="M3565">
        <v>0</v>
      </c>
      <c r="N3565">
        <v>2</v>
      </c>
      <c r="O3565">
        <v>0</v>
      </c>
      <c r="P3565">
        <v>1</v>
      </c>
      <c r="Q3565">
        <v>0</v>
      </c>
      <c r="R3565" t="s">
        <v>127</v>
      </c>
      <c r="S3565" t="str">
        <f t="shared" si="1410"/>
        <v>15:14:25.000</v>
      </c>
      <c r="T3565" t="str">
        <f t="shared" si="1410"/>
        <v>15:14:25.000</v>
      </c>
      <c r="U3565" t="str">
        <f t="shared" si="1395"/>
        <v>A68FCB</v>
      </c>
      <c r="V3565">
        <v>0</v>
      </c>
      <c r="W3565">
        <v>0</v>
      </c>
      <c r="X3565">
        <v>2</v>
      </c>
      <c r="Y3565">
        <v>0</v>
      </c>
      <c r="AA3565">
        <v>1</v>
      </c>
      <c r="AB3565">
        <v>8</v>
      </c>
      <c r="AC3565">
        <v>3</v>
      </c>
      <c r="AD3565">
        <v>0</v>
      </c>
      <c r="AE3565">
        <v>9</v>
      </c>
      <c r="AF3565" t="s">
        <v>138</v>
      </c>
      <c r="AG3565">
        <v>0</v>
      </c>
      <c r="AH3565">
        <v>3</v>
      </c>
      <c r="AI3565">
        <v>2</v>
      </c>
      <c r="AJ3565">
        <v>0</v>
      </c>
      <c r="AK3565" t="s">
        <v>1151</v>
      </c>
      <c r="AL3565">
        <v>39.152054999999997</v>
      </c>
      <c r="AM3565" t="s">
        <v>1102</v>
      </c>
      <c r="AN3565">
        <v>-121.03105499999999</v>
      </c>
      <c r="AO3565">
        <v>25</v>
      </c>
      <c r="AP3565">
        <v>4100</v>
      </c>
      <c r="AQ3565" t="s">
        <v>131</v>
      </c>
      <c r="AR3565">
        <v>3</v>
      </c>
      <c r="AS3565">
        <v>87</v>
      </c>
      <c r="AT3565">
        <v>-320</v>
      </c>
      <c r="BB3565" t="str">
        <f t="shared" si="1396"/>
        <v>1200</v>
      </c>
      <c r="BC3565">
        <v>1</v>
      </c>
      <c r="BD3565" t="str">
        <f t="shared" si="1397"/>
        <v xml:space="preserve">N52156  </v>
      </c>
      <c r="BE3565">
        <v>1</v>
      </c>
      <c r="BG3565">
        <v>0</v>
      </c>
      <c r="BH3565">
        <v>0</v>
      </c>
      <c r="BI3565">
        <v>0</v>
      </c>
      <c r="BJ3565">
        <v>4125</v>
      </c>
      <c r="BK3565">
        <v>25</v>
      </c>
      <c r="BL3565" t="s">
        <v>188</v>
      </c>
      <c r="BM3565">
        <v>1</v>
      </c>
      <c r="BN3565">
        <v>1</v>
      </c>
      <c r="BO3565">
        <v>0</v>
      </c>
      <c r="BP3565">
        <v>0</v>
      </c>
      <c r="BS3565">
        <v>0</v>
      </c>
      <c r="BT3565">
        <v>0</v>
      </c>
      <c r="BU3565">
        <v>0</v>
      </c>
      <c r="CE3565" t="str">
        <f t="shared" si="1411"/>
        <v>15:14:25.250</v>
      </c>
      <c r="CF3565">
        <v>250236188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4</v>
      </c>
      <c r="CY3565">
        <v>7</v>
      </c>
      <c r="CZ3565" t="s">
        <v>133</v>
      </c>
      <c r="DA3565">
        <v>275</v>
      </c>
      <c r="DB3565">
        <v>0</v>
      </c>
      <c r="DC3565" t="s">
        <v>134</v>
      </c>
      <c r="DD3565" t="s">
        <v>135</v>
      </c>
      <c r="DG3565">
        <v>3322782</v>
      </c>
      <c r="DI3565">
        <v>1</v>
      </c>
      <c r="DJ3565">
        <v>0</v>
      </c>
      <c r="DK3565">
        <v>1</v>
      </c>
      <c r="DL3565">
        <v>0</v>
      </c>
      <c r="DM3565">
        <v>0</v>
      </c>
      <c r="DN3565">
        <v>0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">
      <c r="A3566" t="str">
        <f>"05/01/2025 15:14:26.934"</f>
        <v>05/01/2025 15:14:26.934</v>
      </c>
      <c r="C3566" t="str">
        <f t="shared" si="1394"/>
        <v>FFDFD3C0</v>
      </c>
      <c r="D3566" t="s">
        <v>145</v>
      </c>
      <c r="E3566" t="str">
        <f>"05"</f>
        <v>05</v>
      </c>
      <c r="H3566">
        <v>47</v>
      </c>
      <c r="I3566" t="s">
        <v>146</v>
      </c>
      <c r="J3566" t="s">
        <v>138</v>
      </c>
      <c r="K3566">
        <v>0</v>
      </c>
      <c r="L3566">
        <v>3</v>
      </c>
      <c r="M3566">
        <v>0</v>
      </c>
      <c r="N3566">
        <v>2</v>
      </c>
      <c r="O3566">
        <v>0</v>
      </c>
      <c r="P3566">
        <v>1</v>
      </c>
      <c r="Q3566">
        <v>0</v>
      </c>
      <c r="R3566" t="s">
        <v>127</v>
      </c>
      <c r="S3566" t="str">
        <f t="shared" ref="S3566:T3571" si="1412">"15:14:26.000"</f>
        <v>15:14:26.000</v>
      </c>
      <c r="T3566" t="str">
        <f t="shared" si="1412"/>
        <v>15:14:26.000</v>
      </c>
      <c r="U3566" t="str">
        <f t="shared" si="1395"/>
        <v>A68FCB</v>
      </c>
      <c r="V3566">
        <v>0</v>
      </c>
      <c r="W3566">
        <v>0</v>
      </c>
      <c r="X3566">
        <v>2</v>
      </c>
      <c r="Y3566">
        <v>0</v>
      </c>
      <c r="AA3566">
        <v>1</v>
      </c>
      <c r="AB3566">
        <v>8</v>
      </c>
      <c r="AC3566">
        <v>3</v>
      </c>
      <c r="AD3566">
        <v>0</v>
      </c>
      <c r="AE3566">
        <v>9</v>
      </c>
      <c r="AF3566" t="s">
        <v>138</v>
      </c>
      <c r="AG3566">
        <v>0</v>
      </c>
      <c r="AH3566">
        <v>3</v>
      </c>
      <c r="AI3566">
        <v>2</v>
      </c>
      <c r="AJ3566">
        <v>0</v>
      </c>
      <c r="AK3566" t="s">
        <v>1152</v>
      </c>
      <c r="AL3566">
        <v>39.152462</v>
      </c>
      <c r="AM3566" t="s">
        <v>1104</v>
      </c>
      <c r="AN3566">
        <v>-121.03103400000001</v>
      </c>
      <c r="AO3566">
        <v>25</v>
      </c>
      <c r="AP3566">
        <v>4100</v>
      </c>
      <c r="AQ3566" t="s">
        <v>131</v>
      </c>
      <c r="AR3566">
        <v>3</v>
      </c>
      <c r="AS3566">
        <v>90</v>
      </c>
      <c r="AT3566">
        <v>-320</v>
      </c>
      <c r="BB3566" t="str">
        <f t="shared" si="1396"/>
        <v>1200</v>
      </c>
      <c r="BC3566">
        <v>1</v>
      </c>
      <c r="BD3566" t="str">
        <f t="shared" si="1397"/>
        <v xml:space="preserve">N52156  </v>
      </c>
      <c r="BE3566">
        <v>1</v>
      </c>
      <c r="BG3566">
        <v>0</v>
      </c>
      <c r="BH3566">
        <v>0</v>
      </c>
      <c r="BI3566">
        <v>0</v>
      </c>
      <c r="BJ3566">
        <v>4125</v>
      </c>
      <c r="BK3566">
        <v>25</v>
      </c>
      <c r="BL3566" t="s">
        <v>188</v>
      </c>
      <c r="BM3566">
        <v>1</v>
      </c>
      <c r="BN3566">
        <v>1</v>
      </c>
      <c r="BO3566">
        <v>0</v>
      </c>
      <c r="BP3566">
        <v>0</v>
      </c>
      <c r="BS3566">
        <v>0</v>
      </c>
      <c r="BT3566">
        <v>0</v>
      </c>
      <c r="BU3566">
        <v>0</v>
      </c>
      <c r="CE3566" t="str">
        <f t="shared" ref="CE3566:CE3571" si="1413">"15:14:26.729"</f>
        <v>15:14:26.729</v>
      </c>
      <c r="CF3566">
        <v>729487475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4</v>
      </c>
      <c r="CY3566">
        <v>7</v>
      </c>
      <c r="CZ3566" t="s">
        <v>133</v>
      </c>
      <c r="DA3566">
        <v>275</v>
      </c>
      <c r="DB3566">
        <v>0</v>
      </c>
      <c r="DC3566" t="s">
        <v>134</v>
      </c>
      <c r="DD3566" t="s">
        <v>135</v>
      </c>
      <c r="DG3566">
        <v>3322789</v>
      </c>
      <c r="DI3566">
        <v>1</v>
      </c>
      <c r="DJ3566">
        <v>0</v>
      </c>
      <c r="DK3566">
        <v>0</v>
      </c>
      <c r="DL3566">
        <v>0</v>
      </c>
      <c r="DM3566">
        <v>0</v>
      </c>
      <c r="DN3566">
        <v>0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">
      <c r="A3567" t="str">
        <f>"05/01/2025 15:14:26.945"</f>
        <v>05/01/2025 15:14:26.945</v>
      </c>
      <c r="C3567" t="str">
        <f t="shared" si="1394"/>
        <v>FFDFD3C0</v>
      </c>
      <c r="D3567" t="s">
        <v>136</v>
      </c>
      <c r="E3567" t="str">
        <f>"20"</f>
        <v>20</v>
      </c>
      <c r="H3567">
        <v>400</v>
      </c>
      <c r="I3567" t="s">
        <v>137</v>
      </c>
      <c r="J3567" t="s">
        <v>138</v>
      </c>
      <c r="K3567">
        <v>0</v>
      </c>
      <c r="L3567">
        <v>3</v>
      </c>
      <c r="M3567">
        <v>0</v>
      </c>
      <c r="N3567">
        <v>2</v>
      </c>
      <c r="O3567">
        <v>0</v>
      </c>
      <c r="P3567">
        <v>1</v>
      </c>
      <c r="Q3567">
        <v>0</v>
      </c>
      <c r="R3567" t="s">
        <v>127</v>
      </c>
      <c r="S3567" t="str">
        <f t="shared" si="1412"/>
        <v>15:14:26.000</v>
      </c>
      <c r="T3567" t="str">
        <f t="shared" si="1412"/>
        <v>15:14:26.000</v>
      </c>
      <c r="U3567" t="str">
        <f t="shared" si="1395"/>
        <v>A68FCB</v>
      </c>
      <c r="V3567">
        <v>0</v>
      </c>
      <c r="W3567">
        <v>0</v>
      </c>
      <c r="X3567">
        <v>2</v>
      </c>
      <c r="Y3567">
        <v>0</v>
      </c>
      <c r="AA3567">
        <v>1</v>
      </c>
      <c r="AB3567">
        <v>8</v>
      </c>
      <c r="AC3567">
        <v>3</v>
      </c>
      <c r="AD3567">
        <v>0</v>
      </c>
      <c r="AE3567">
        <v>9</v>
      </c>
      <c r="AF3567" t="s">
        <v>138</v>
      </c>
      <c r="AG3567">
        <v>0</v>
      </c>
      <c r="AH3567">
        <v>3</v>
      </c>
      <c r="AI3567">
        <v>2</v>
      </c>
      <c r="AJ3567">
        <v>0</v>
      </c>
      <c r="AK3567" t="s">
        <v>1152</v>
      </c>
      <c r="AL3567">
        <v>39.152462</v>
      </c>
      <c r="AM3567" t="s">
        <v>1104</v>
      </c>
      <c r="AN3567">
        <v>-121.03103400000001</v>
      </c>
      <c r="AO3567">
        <v>25</v>
      </c>
      <c r="AP3567">
        <v>4100</v>
      </c>
      <c r="AQ3567" t="s">
        <v>131</v>
      </c>
      <c r="AR3567">
        <v>3</v>
      </c>
      <c r="AS3567">
        <v>90</v>
      </c>
      <c r="AT3567">
        <v>-320</v>
      </c>
      <c r="BB3567" t="str">
        <f t="shared" si="1396"/>
        <v>1200</v>
      </c>
      <c r="BC3567">
        <v>1</v>
      </c>
      <c r="BD3567" t="str">
        <f t="shared" si="1397"/>
        <v xml:space="preserve">N52156  </v>
      </c>
      <c r="BE3567">
        <v>1</v>
      </c>
      <c r="BG3567">
        <v>0</v>
      </c>
      <c r="BH3567">
        <v>0</v>
      </c>
      <c r="BI3567">
        <v>0</v>
      </c>
      <c r="BJ3567">
        <v>4125</v>
      </c>
      <c r="BK3567">
        <v>25</v>
      </c>
      <c r="BL3567" t="s">
        <v>188</v>
      </c>
      <c r="BM3567">
        <v>1</v>
      </c>
      <c r="BN3567">
        <v>1</v>
      </c>
      <c r="BO3567">
        <v>0</v>
      </c>
      <c r="BP3567">
        <v>0</v>
      </c>
      <c r="BS3567">
        <v>0</v>
      </c>
      <c r="BT3567">
        <v>0</v>
      </c>
      <c r="BU3567">
        <v>0</v>
      </c>
      <c r="CE3567" t="str">
        <f t="shared" si="1413"/>
        <v>15:14:26.729</v>
      </c>
      <c r="CF3567">
        <v>729487475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4</v>
      </c>
      <c r="CY3567">
        <v>7</v>
      </c>
      <c r="CZ3567" t="s">
        <v>133</v>
      </c>
      <c r="DA3567">
        <v>275</v>
      </c>
      <c r="DB3567">
        <v>0</v>
      </c>
      <c r="DC3567" t="s">
        <v>134</v>
      </c>
      <c r="DD3567" t="s">
        <v>135</v>
      </c>
      <c r="DG3567">
        <v>3322789</v>
      </c>
      <c r="DI3567">
        <v>1</v>
      </c>
      <c r="DJ3567">
        <v>0</v>
      </c>
      <c r="DK3567">
        <v>1</v>
      </c>
      <c r="DL3567">
        <v>0</v>
      </c>
      <c r="DM3567">
        <v>0</v>
      </c>
      <c r="DN3567">
        <v>0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">
      <c r="A3568" t="str">
        <f>"05/01/2025 15:14:26.963"</f>
        <v>05/01/2025 15:14:26.963</v>
      </c>
      <c r="C3568" t="str">
        <f t="shared" si="1394"/>
        <v>FFDFD3C0</v>
      </c>
      <c r="D3568" t="s">
        <v>143</v>
      </c>
      <c r="E3568" t="str">
        <f>"05"</f>
        <v>05</v>
      </c>
      <c r="H3568">
        <v>172</v>
      </c>
      <c r="I3568" t="s">
        <v>141</v>
      </c>
      <c r="J3568" t="s">
        <v>144</v>
      </c>
      <c r="K3568">
        <v>0</v>
      </c>
      <c r="L3568">
        <v>3</v>
      </c>
      <c r="M3568">
        <v>0</v>
      </c>
      <c r="N3568">
        <v>2</v>
      </c>
      <c r="O3568">
        <v>0</v>
      </c>
      <c r="P3568">
        <v>1</v>
      </c>
      <c r="Q3568">
        <v>0</v>
      </c>
      <c r="R3568" t="s">
        <v>127</v>
      </c>
      <c r="S3568" t="str">
        <f t="shared" si="1412"/>
        <v>15:14:26.000</v>
      </c>
      <c r="T3568" t="str">
        <f t="shared" si="1412"/>
        <v>15:14:26.000</v>
      </c>
      <c r="U3568" t="str">
        <f t="shared" si="1395"/>
        <v>A68FCB</v>
      </c>
      <c r="V3568">
        <v>0</v>
      </c>
      <c r="W3568">
        <v>0</v>
      </c>
      <c r="X3568">
        <v>2</v>
      </c>
      <c r="Y3568">
        <v>0</v>
      </c>
      <c r="AA3568">
        <v>1</v>
      </c>
      <c r="AB3568">
        <v>8</v>
      </c>
      <c r="AC3568">
        <v>3</v>
      </c>
      <c r="AD3568">
        <v>0</v>
      </c>
      <c r="AE3568">
        <v>9</v>
      </c>
      <c r="AF3568" t="s">
        <v>138</v>
      </c>
      <c r="AG3568">
        <v>0</v>
      </c>
      <c r="AH3568">
        <v>3</v>
      </c>
      <c r="AI3568">
        <v>2</v>
      </c>
      <c r="AJ3568">
        <v>0</v>
      </c>
      <c r="AK3568" t="s">
        <v>1152</v>
      </c>
      <c r="AL3568">
        <v>39.152462</v>
      </c>
      <c r="AM3568" t="s">
        <v>1104</v>
      </c>
      <c r="AN3568">
        <v>-121.03103400000001</v>
      </c>
      <c r="AO3568">
        <v>25</v>
      </c>
      <c r="AP3568">
        <v>4100</v>
      </c>
      <c r="AQ3568" t="s">
        <v>131</v>
      </c>
      <c r="AR3568">
        <v>3</v>
      </c>
      <c r="AS3568">
        <v>90</v>
      </c>
      <c r="AT3568">
        <v>-320</v>
      </c>
      <c r="BB3568" t="str">
        <f t="shared" si="1396"/>
        <v>1200</v>
      </c>
      <c r="BC3568">
        <v>1</v>
      </c>
      <c r="BD3568" t="str">
        <f t="shared" si="1397"/>
        <v xml:space="preserve">N52156  </v>
      </c>
      <c r="BE3568">
        <v>1</v>
      </c>
      <c r="BG3568">
        <v>0</v>
      </c>
      <c r="BH3568">
        <v>0</v>
      </c>
      <c r="BI3568">
        <v>0</v>
      </c>
      <c r="BJ3568">
        <v>4125</v>
      </c>
      <c r="BK3568">
        <v>25</v>
      </c>
      <c r="BL3568" t="s">
        <v>188</v>
      </c>
      <c r="BM3568">
        <v>1</v>
      </c>
      <c r="BN3568">
        <v>1</v>
      </c>
      <c r="BO3568">
        <v>0</v>
      </c>
      <c r="BP3568">
        <v>0</v>
      </c>
      <c r="BS3568">
        <v>0</v>
      </c>
      <c r="BT3568">
        <v>0</v>
      </c>
      <c r="BU3568">
        <v>0</v>
      </c>
      <c r="CE3568" t="str">
        <f t="shared" si="1413"/>
        <v>15:14:26.729</v>
      </c>
      <c r="CF3568">
        <v>729487475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4</v>
      </c>
      <c r="CY3568">
        <v>7</v>
      </c>
      <c r="CZ3568" t="s">
        <v>133</v>
      </c>
      <c r="DA3568">
        <v>275</v>
      </c>
      <c r="DB3568">
        <v>0</v>
      </c>
      <c r="DC3568" t="s">
        <v>134</v>
      </c>
      <c r="DD3568" t="s">
        <v>135</v>
      </c>
      <c r="DG3568">
        <v>3322789</v>
      </c>
      <c r="DI3568">
        <v>1</v>
      </c>
      <c r="DJ3568">
        <v>0</v>
      </c>
      <c r="DK3568">
        <v>1</v>
      </c>
      <c r="DL3568">
        <v>0</v>
      </c>
      <c r="DM3568">
        <v>0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">
      <c r="A3569" t="str">
        <f>"05/01/2025 15:14:26.970"</f>
        <v>05/01/2025 15:14:26.970</v>
      </c>
      <c r="C3569" t="str">
        <f t="shared" si="1394"/>
        <v>FFDFD3C0</v>
      </c>
      <c r="D3569" t="s">
        <v>140</v>
      </c>
      <c r="E3569" t="str">
        <f>"13"</f>
        <v>13</v>
      </c>
      <c r="F3569">
        <v>1019</v>
      </c>
      <c r="G3569" t="s">
        <v>141</v>
      </c>
      <c r="J3569" t="s">
        <v>142</v>
      </c>
      <c r="K3569">
        <v>0</v>
      </c>
      <c r="L3569">
        <v>3</v>
      </c>
      <c r="M3569">
        <v>0</v>
      </c>
      <c r="N3569">
        <v>2</v>
      </c>
      <c r="O3569">
        <v>0</v>
      </c>
      <c r="P3569">
        <v>1</v>
      </c>
      <c r="Q3569">
        <v>0</v>
      </c>
      <c r="R3569" t="s">
        <v>127</v>
      </c>
      <c r="S3569" t="str">
        <f t="shared" si="1412"/>
        <v>15:14:26.000</v>
      </c>
      <c r="T3569" t="str">
        <f t="shared" si="1412"/>
        <v>15:14:26.000</v>
      </c>
      <c r="U3569" t="str">
        <f t="shared" si="1395"/>
        <v>A68FCB</v>
      </c>
      <c r="V3569">
        <v>0</v>
      </c>
      <c r="W3569">
        <v>0</v>
      </c>
      <c r="X3569">
        <v>2</v>
      </c>
      <c r="Y3569">
        <v>0</v>
      </c>
      <c r="AA3569">
        <v>1</v>
      </c>
      <c r="AB3569">
        <v>8</v>
      </c>
      <c r="AC3569">
        <v>3</v>
      </c>
      <c r="AD3569">
        <v>0</v>
      </c>
      <c r="AE3569">
        <v>9</v>
      </c>
      <c r="AF3569" t="s">
        <v>138</v>
      </c>
      <c r="AG3569">
        <v>0</v>
      </c>
      <c r="AH3569">
        <v>3</v>
      </c>
      <c r="AI3569">
        <v>2</v>
      </c>
      <c r="AJ3569">
        <v>0</v>
      </c>
      <c r="AK3569" t="s">
        <v>1152</v>
      </c>
      <c r="AL3569">
        <v>39.152462</v>
      </c>
      <c r="AM3569" t="s">
        <v>1104</v>
      </c>
      <c r="AN3569">
        <v>-121.03103400000001</v>
      </c>
      <c r="AO3569">
        <v>25</v>
      </c>
      <c r="AP3569">
        <v>4100</v>
      </c>
      <c r="AQ3569" t="s">
        <v>131</v>
      </c>
      <c r="AR3569">
        <v>3</v>
      </c>
      <c r="AS3569">
        <v>90</v>
      </c>
      <c r="AT3569">
        <v>-320</v>
      </c>
      <c r="BB3569" t="str">
        <f t="shared" si="1396"/>
        <v>1200</v>
      </c>
      <c r="BC3569">
        <v>1</v>
      </c>
      <c r="BD3569" t="str">
        <f t="shared" si="1397"/>
        <v xml:space="preserve">N52156  </v>
      </c>
      <c r="BE3569">
        <v>1</v>
      </c>
      <c r="BG3569">
        <v>0</v>
      </c>
      <c r="BH3569">
        <v>0</v>
      </c>
      <c r="BI3569">
        <v>0</v>
      </c>
      <c r="BJ3569">
        <v>4125</v>
      </c>
      <c r="BK3569">
        <v>25</v>
      </c>
      <c r="BL3569" t="s">
        <v>188</v>
      </c>
      <c r="BM3569">
        <v>1</v>
      </c>
      <c r="BN3569">
        <v>1</v>
      </c>
      <c r="BO3569">
        <v>0</v>
      </c>
      <c r="BP3569">
        <v>0</v>
      </c>
      <c r="BS3569">
        <v>0</v>
      </c>
      <c r="BT3569">
        <v>0</v>
      </c>
      <c r="BU3569">
        <v>0</v>
      </c>
      <c r="CE3569" t="str">
        <f t="shared" si="1413"/>
        <v>15:14:26.729</v>
      </c>
      <c r="CF3569">
        <v>729487475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4</v>
      </c>
      <c r="CY3569">
        <v>7</v>
      </c>
      <c r="CZ3569" t="s">
        <v>133</v>
      </c>
      <c r="DA3569">
        <v>275</v>
      </c>
      <c r="DB3569">
        <v>0</v>
      </c>
      <c r="DC3569" t="s">
        <v>134</v>
      </c>
      <c r="DD3569" t="s">
        <v>135</v>
      </c>
      <c r="DG3569">
        <v>3322789</v>
      </c>
      <c r="DI3569">
        <v>1</v>
      </c>
      <c r="DJ3569">
        <v>0</v>
      </c>
      <c r="DK3569">
        <v>1</v>
      </c>
      <c r="DL3569">
        <v>0</v>
      </c>
      <c r="DM3569">
        <v>0</v>
      </c>
      <c r="DN3569">
        <v>0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">
      <c r="A3570" t="str">
        <f>"05/01/2025 15:14:26.971"</f>
        <v>05/01/2025 15:14:26.971</v>
      </c>
      <c r="C3570" t="str">
        <f t="shared" si="1394"/>
        <v>FFDFD3C0</v>
      </c>
      <c r="D3570" t="s">
        <v>124</v>
      </c>
      <c r="E3570" t="str">
        <f>"06"</f>
        <v>06</v>
      </c>
      <c r="F3570">
        <v>2006</v>
      </c>
      <c r="G3570" t="s">
        <v>125</v>
      </c>
      <c r="J3570" t="s">
        <v>126</v>
      </c>
      <c r="K3570">
        <v>0</v>
      </c>
      <c r="L3570">
        <v>3</v>
      </c>
      <c r="M3570">
        <v>0</v>
      </c>
      <c r="N3570">
        <v>2</v>
      </c>
      <c r="O3570">
        <v>0</v>
      </c>
      <c r="P3570">
        <v>1</v>
      </c>
      <c r="Q3570">
        <v>0</v>
      </c>
      <c r="R3570" t="s">
        <v>127</v>
      </c>
      <c r="S3570" t="str">
        <f t="shared" si="1412"/>
        <v>15:14:26.000</v>
      </c>
      <c r="T3570" t="str">
        <f t="shared" si="1412"/>
        <v>15:14:26.000</v>
      </c>
      <c r="U3570" t="str">
        <f t="shared" si="1395"/>
        <v>A68FCB</v>
      </c>
      <c r="V3570">
        <v>0</v>
      </c>
      <c r="W3570">
        <v>0</v>
      </c>
      <c r="X3570">
        <v>2</v>
      </c>
      <c r="Y3570">
        <v>0</v>
      </c>
      <c r="AA3570">
        <v>1</v>
      </c>
      <c r="AB3570">
        <v>8</v>
      </c>
      <c r="AC3570">
        <v>3</v>
      </c>
      <c r="AD3570">
        <v>0</v>
      </c>
      <c r="AE3570">
        <v>9</v>
      </c>
      <c r="AF3570" t="s">
        <v>138</v>
      </c>
      <c r="AG3570">
        <v>0</v>
      </c>
      <c r="AH3570">
        <v>3</v>
      </c>
      <c r="AI3570">
        <v>2</v>
      </c>
      <c r="AJ3570">
        <v>0</v>
      </c>
      <c r="AK3570" t="s">
        <v>1152</v>
      </c>
      <c r="AL3570">
        <v>39.152462</v>
      </c>
      <c r="AM3570" t="s">
        <v>1104</v>
      </c>
      <c r="AN3570">
        <v>-121.03103400000001</v>
      </c>
      <c r="AO3570">
        <v>25</v>
      </c>
      <c r="AP3570">
        <v>4100</v>
      </c>
      <c r="AQ3570" t="s">
        <v>131</v>
      </c>
      <c r="AR3570">
        <v>3</v>
      </c>
      <c r="AS3570">
        <v>90</v>
      </c>
      <c r="AT3570">
        <v>-320</v>
      </c>
      <c r="BB3570" t="str">
        <f t="shared" si="1396"/>
        <v>1200</v>
      </c>
      <c r="BC3570">
        <v>1</v>
      </c>
      <c r="BD3570" t="str">
        <f t="shared" si="1397"/>
        <v xml:space="preserve">N52156  </v>
      </c>
      <c r="BE3570">
        <v>1</v>
      </c>
      <c r="BG3570">
        <v>0</v>
      </c>
      <c r="BH3570">
        <v>0</v>
      </c>
      <c r="BI3570">
        <v>0</v>
      </c>
      <c r="BJ3570">
        <v>4125</v>
      </c>
      <c r="BK3570">
        <v>25</v>
      </c>
      <c r="BL3570" t="s">
        <v>188</v>
      </c>
      <c r="BM3570">
        <v>1</v>
      </c>
      <c r="BN3570">
        <v>1</v>
      </c>
      <c r="BO3570">
        <v>0</v>
      </c>
      <c r="BP3570">
        <v>0</v>
      </c>
      <c r="BS3570">
        <v>0</v>
      </c>
      <c r="BT3570">
        <v>0</v>
      </c>
      <c r="BU3570">
        <v>0</v>
      </c>
      <c r="CE3570" t="str">
        <f t="shared" si="1413"/>
        <v>15:14:26.729</v>
      </c>
      <c r="CF3570">
        <v>729487475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4</v>
      </c>
      <c r="CY3570">
        <v>7</v>
      </c>
      <c r="CZ3570" t="s">
        <v>133</v>
      </c>
      <c r="DA3570">
        <v>275</v>
      </c>
      <c r="DB3570">
        <v>0</v>
      </c>
      <c r="DC3570" t="s">
        <v>134</v>
      </c>
      <c r="DD3570" t="s">
        <v>135</v>
      </c>
      <c r="DG3570">
        <v>3322789</v>
      </c>
      <c r="DI3570">
        <v>1</v>
      </c>
      <c r="DJ3570">
        <v>0</v>
      </c>
      <c r="DK3570">
        <v>1</v>
      </c>
      <c r="DL3570">
        <v>0</v>
      </c>
      <c r="DM3570">
        <v>0</v>
      </c>
      <c r="DN3570">
        <v>0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3">
      <c r="A3571" t="str">
        <f>"05/01/2025 15:14:26.982"</f>
        <v>05/01/2025 15:14:26.982</v>
      </c>
      <c r="C3571" t="str">
        <f t="shared" si="1394"/>
        <v>FFDFD3C0</v>
      </c>
      <c r="D3571" t="s">
        <v>145</v>
      </c>
      <c r="E3571" t="str">
        <f>"09"</f>
        <v>09</v>
      </c>
      <c r="H3571">
        <v>51</v>
      </c>
      <c r="I3571" t="s">
        <v>147</v>
      </c>
      <c r="J3571" t="s">
        <v>138</v>
      </c>
      <c r="K3571">
        <v>0</v>
      </c>
      <c r="L3571">
        <v>3</v>
      </c>
      <c r="M3571">
        <v>0</v>
      </c>
      <c r="N3571">
        <v>2</v>
      </c>
      <c r="O3571">
        <v>0</v>
      </c>
      <c r="P3571">
        <v>1</v>
      </c>
      <c r="Q3571">
        <v>0</v>
      </c>
      <c r="R3571" t="s">
        <v>127</v>
      </c>
      <c r="S3571" t="str">
        <f t="shared" si="1412"/>
        <v>15:14:26.000</v>
      </c>
      <c r="T3571" t="str">
        <f t="shared" si="1412"/>
        <v>15:14:26.000</v>
      </c>
      <c r="U3571" t="str">
        <f t="shared" si="1395"/>
        <v>A68FCB</v>
      </c>
      <c r="V3571">
        <v>0</v>
      </c>
      <c r="W3571">
        <v>0</v>
      </c>
      <c r="X3571">
        <v>2</v>
      </c>
      <c r="Y3571">
        <v>0</v>
      </c>
      <c r="AA3571">
        <v>1</v>
      </c>
      <c r="AB3571">
        <v>8</v>
      </c>
      <c r="AC3571">
        <v>3</v>
      </c>
      <c r="AD3571">
        <v>0</v>
      </c>
      <c r="AE3571">
        <v>9</v>
      </c>
      <c r="AF3571" t="s">
        <v>138</v>
      </c>
      <c r="AG3571">
        <v>0</v>
      </c>
      <c r="AH3571">
        <v>3</v>
      </c>
      <c r="AI3571">
        <v>2</v>
      </c>
      <c r="AJ3571">
        <v>0</v>
      </c>
      <c r="AK3571" t="s">
        <v>1152</v>
      </c>
      <c r="AL3571">
        <v>39.152462</v>
      </c>
      <c r="AM3571" t="s">
        <v>1104</v>
      </c>
      <c r="AN3571">
        <v>-121.03103400000001</v>
      </c>
      <c r="AO3571">
        <v>25</v>
      </c>
      <c r="AP3571">
        <v>4100</v>
      </c>
      <c r="AQ3571" t="s">
        <v>131</v>
      </c>
      <c r="AR3571">
        <v>3</v>
      </c>
      <c r="AS3571">
        <v>90</v>
      </c>
      <c r="AT3571">
        <v>-320</v>
      </c>
      <c r="BB3571" t="str">
        <f t="shared" si="1396"/>
        <v>1200</v>
      </c>
      <c r="BC3571">
        <v>1</v>
      </c>
      <c r="BD3571" t="str">
        <f t="shared" si="1397"/>
        <v xml:space="preserve">N52156  </v>
      </c>
      <c r="BE3571">
        <v>1</v>
      </c>
      <c r="BG3571">
        <v>0</v>
      </c>
      <c r="BH3571">
        <v>0</v>
      </c>
      <c r="BI3571">
        <v>0</v>
      </c>
      <c r="BJ3571">
        <v>4125</v>
      </c>
      <c r="BK3571">
        <v>25</v>
      </c>
      <c r="BL3571" t="s">
        <v>188</v>
      </c>
      <c r="BM3571">
        <v>1</v>
      </c>
      <c r="BN3571">
        <v>1</v>
      </c>
      <c r="BO3571">
        <v>0</v>
      </c>
      <c r="BP3571">
        <v>0</v>
      </c>
      <c r="BS3571">
        <v>0</v>
      </c>
      <c r="BT3571">
        <v>0</v>
      </c>
      <c r="BU3571">
        <v>0</v>
      </c>
      <c r="CE3571" t="str">
        <f t="shared" si="1413"/>
        <v>15:14:26.729</v>
      </c>
      <c r="CF3571">
        <v>729487475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4</v>
      </c>
      <c r="CY3571">
        <v>7</v>
      </c>
      <c r="CZ3571" t="s">
        <v>133</v>
      </c>
      <c r="DA3571">
        <v>275</v>
      </c>
      <c r="DB3571">
        <v>0</v>
      </c>
      <c r="DC3571" t="s">
        <v>134</v>
      </c>
      <c r="DD3571" t="s">
        <v>135</v>
      </c>
      <c r="DG3571">
        <v>3322789</v>
      </c>
      <c r="DI3571">
        <v>1</v>
      </c>
      <c r="DJ3571">
        <v>0</v>
      </c>
      <c r="DK3571">
        <v>1</v>
      </c>
      <c r="DL3571">
        <v>0</v>
      </c>
      <c r="DM3571">
        <v>0</v>
      </c>
      <c r="DN3571">
        <v>0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3">
      <c r="A3572" t="str">
        <f>"05/01/2025 15:14:27.521"</f>
        <v>05/01/2025 15:14:27.521</v>
      </c>
      <c r="C3572" t="str">
        <f t="shared" si="1394"/>
        <v>FFDFD3C0</v>
      </c>
      <c r="D3572" t="s">
        <v>140</v>
      </c>
      <c r="E3572" t="str">
        <f>"13"</f>
        <v>13</v>
      </c>
      <c r="F3572">
        <v>1019</v>
      </c>
      <c r="G3572" t="s">
        <v>141</v>
      </c>
      <c r="J3572" t="s">
        <v>142</v>
      </c>
      <c r="K3572">
        <v>0</v>
      </c>
      <c r="L3572">
        <v>3</v>
      </c>
      <c r="M3572">
        <v>0</v>
      </c>
      <c r="N3572">
        <v>2</v>
      </c>
      <c r="O3572">
        <v>0</v>
      </c>
      <c r="P3572">
        <v>1</v>
      </c>
      <c r="Q3572">
        <v>0</v>
      </c>
      <c r="R3572" t="s">
        <v>127</v>
      </c>
      <c r="S3572" t="str">
        <f t="shared" ref="S3572:T3577" si="1414">"15:14:27.000"</f>
        <v>15:14:27.000</v>
      </c>
      <c r="T3572" t="str">
        <f t="shared" si="1414"/>
        <v>15:14:27.000</v>
      </c>
      <c r="U3572" t="str">
        <f t="shared" si="1395"/>
        <v>A68FCB</v>
      </c>
      <c r="V3572">
        <v>0</v>
      </c>
      <c r="W3572">
        <v>0</v>
      </c>
      <c r="X3572">
        <v>2</v>
      </c>
      <c r="Y3572">
        <v>0</v>
      </c>
      <c r="AA3572">
        <v>1</v>
      </c>
      <c r="AB3572">
        <v>8</v>
      </c>
      <c r="AC3572">
        <v>3</v>
      </c>
      <c r="AD3572">
        <v>0</v>
      </c>
      <c r="AE3572">
        <v>9</v>
      </c>
      <c r="AF3572" t="s">
        <v>138</v>
      </c>
      <c r="AG3572">
        <v>0</v>
      </c>
      <c r="AH3572">
        <v>3</v>
      </c>
      <c r="AI3572">
        <v>2</v>
      </c>
      <c r="AJ3572">
        <v>0</v>
      </c>
      <c r="AK3572" t="s">
        <v>1153</v>
      </c>
      <c r="AL3572">
        <v>39.15287</v>
      </c>
      <c r="AM3572" t="s">
        <v>1107</v>
      </c>
      <c r="AN3572">
        <v>-121.031013</v>
      </c>
      <c r="AO3572">
        <v>25</v>
      </c>
      <c r="AP3572">
        <v>4100</v>
      </c>
      <c r="AQ3572" t="s">
        <v>131</v>
      </c>
      <c r="AR3572">
        <v>3</v>
      </c>
      <c r="AS3572">
        <v>90</v>
      </c>
      <c r="AT3572">
        <v>-320</v>
      </c>
      <c r="BB3572" t="str">
        <f t="shared" si="1396"/>
        <v>1200</v>
      </c>
      <c r="BC3572">
        <v>1</v>
      </c>
      <c r="BD3572" t="str">
        <f t="shared" si="1397"/>
        <v xml:space="preserve">N52156  </v>
      </c>
      <c r="BE3572">
        <v>1</v>
      </c>
      <c r="BG3572">
        <v>0</v>
      </c>
      <c r="BH3572">
        <v>0</v>
      </c>
      <c r="BI3572">
        <v>0</v>
      </c>
      <c r="BJ3572">
        <v>4125</v>
      </c>
      <c r="BK3572">
        <v>25</v>
      </c>
      <c r="BL3572" t="s">
        <v>188</v>
      </c>
      <c r="BM3572">
        <v>1</v>
      </c>
      <c r="BN3572">
        <v>1</v>
      </c>
      <c r="BO3572">
        <v>0</v>
      </c>
      <c r="BP3572">
        <v>0</v>
      </c>
      <c r="BS3572">
        <v>0</v>
      </c>
      <c r="BT3572">
        <v>0</v>
      </c>
      <c r="BU3572">
        <v>0</v>
      </c>
      <c r="CE3572" t="str">
        <f t="shared" ref="CE3572:CE3577" si="1415">"15:14:27.288"</f>
        <v>15:14:27.288</v>
      </c>
      <c r="CF3572">
        <v>287736439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4</v>
      </c>
      <c r="CY3572">
        <v>7</v>
      </c>
      <c r="CZ3572" t="s">
        <v>133</v>
      </c>
      <c r="DA3572">
        <v>275</v>
      </c>
      <c r="DB3572">
        <v>0</v>
      </c>
      <c r="DC3572" t="s">
        <v>134</v>
      </c>
      <c r="DD3572" t="s">
        <v>135</v>
      </c>
      <c r="DG3572">
        <v>3322793</v>
      </c>
      <c r="DI3572">
        <v>1</v>
      </c>
      <c r="DJ3572">
        <v>0</v>
      </c>
      <c r="DK3572">
        <v>0</v>
      </c>
      <c r="DL3572">
        <v>0</v>
      </c>
      <c r="DM3572">
        <v>0</v>
      </c>
      <c r="DN3572">
        <v>0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3">
      <c r="A3573" t="str">
        <f>"05/01/2025 15:14:27.522"</f>
        <v>05/01/2025 15:14:27.522</v>
      </c>
      <c r="C3573" t="str">
        <f t="shared" si="1394"/>
        <v>FFDFD3C0</v>
      </c>
      <c r="D3573" t="s">
        <v>124</v>
      </c>
      <c r="E3573" t="str">
        <f>"06"</f>
        <v>06</v>
      </c>
      <c r="F3573">
        <v>2006</v>
      </c>
      <c r="G3573" t="s">
        <v>125</v>
      </c>
      <c r="J3573" t="s">
        <v>126</v>
      </c>
      <c r="K3573">
        <v>0</v>
      </c>
      <c r="L3573">
        <v>3</v>
      </c>
      <c r="M3573">
        <v>0</v>
      </c>
      <c r="N3573">
        <v>2</v>
      </c>
      <c r="O3573">
        <v>0</v>
      </c>
      <c r="P3573">
        <v>1</v>
      </c>
      <c r="Q3573">
        <v>0</v>
      </c>
      <c r="R3573" t="s">
        <v>127</v>
      </c>
      <c r="S3573" t="str">
        <f t="shared" si="1414"/>
        <v>15:14:27.000</v>
      </c>
      <c r="T3573" t="str">
        <f t="shared" si="1414"/>
        <v>15:14:27.000</v>
      </c>
      <c r="U3573" t="str">
        <f t="shared" si="1395"/>
        <v>A68FCB</v>
      </c>
      <c r="V3573">
        <v>0</v>
      </c>
      <c r="W3573">
        <v>0</v>
      </c>
      <c r="X3573">
        <v>2</v>
      </c>
      <c r="Y3573">
        <v>0</v>
      </c>
      <c r="AA3573">
        <v>1</v>
      </c>
      <c r="AB3573">
        <v>8</v>
      </c>
      <c r="AC3573">
        <v>3</v>
      </c>
      <c r="AD3573">
        <v>0</v>
      </c>
      <c r="AE3573">
        <v>9</v>
      </c>
      <c r="AF3573" t="s">
        <v>138</v>
      </c>
      <c r="AG3573">
        <v>0</v>
      </c>
      <c r="AH3573">
        <v>3</v>
      </c>
      <c r="AI3573">
        <v>2</v>
      </c>
      <c r="AJ3573">
        <v>0</v>
      </c>
      <c r="AK3573" t="s">
        <v>1153</v>
      </c>
      <c r="AL3573">
        <v>39.15287</v>
      </c>
      <c r="AM3573" t="s">
        <v>1107</v>
      </c>
      <c r="AN3573">
        <v>-121.031013</v>
      </c>
      <c r="AO3573">
        <v>25</v>
      </c>
      <c r="AP3573">
        <v>4100</v>
      </c>
      <c r="AQ3573" t="s">
        <v>131</v>
      </c>
      <c r="AR3573">
        <v>3</v>
      </c>
      <c r="AS3573">
        <v>90</v>
      </c>
      <c r="AT3573">
        <v>-320</v>
      </c>
      <c r="BB3573" t="str">
        <f t="shared" si="1396"/>
        <v>1200</v>
      </c>
      <c r="BC3573">
        <v>1</v>
      </c>
      <c r="BD3573" t="str">
        <f t="shared" si="1397"/>
        <v xml:space="preserve">N52156  </v>
      </c>
      <c r="BE3573">
        <v>1</v>
      </c>
      <c r="BG3573">
        <v>0</v>
      </c>
      <c r="BH3573">
        <v>0</v>
      </c>
      <c r="BI3573">
        <v>0</v>
      </c>
      <c r="BJ3573">
        <v>4125</v>
      </c>
      <c r="BK3573">
        <v>25</v>
      </c>
      <c r="BL3573" t="s">
        <v>188</v>
      </c>
      <c r="BM3573">
        <v>1</v>
      </c>
      <c r="BN3573">
        <v>1</v>
      </c>
      <c r="BO3573">
        <v>0</v>
      </c>
      <c r="BP3573">
        <v>0</v>
      </c>
      <c r="BS3573">
        <v>0</v>
      </c>
      <c r="BT3573">
        <v>0</v>
      </c>
      <c r="BU3573">
        <v>0</v>
      </c>
      <c r="CE3573" t="str">
        <f t="shared" si="1415"/>
        <v>15:14:27.288</v>
      </c>
      <c r="CF3573">
        <v>287736439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4</v>
      </c>
      <c r="CY3573">
        <v>7</v>
      </c>
      <c r="CZ3573" t="s">
        <v>133</v>
      </c>
      <c r="DA3573">
        <v>275</v>
      </c>
      <c r="DB3573">
        <v>0</v>
      </c>
      <c r="DC3573" t="s">
        <v>134</v>
      </c>
      <c r="DD3573" t="s">
        <v>135</v>
      </c>
      <c r="DG3573">
        <v>3322793</v>
      </c>
      <c r="DI3573">
        <v>1</v>
      </c>
      <c r="DJ3573">
        <v>0</v>
      </c>
      <c r="DK3573">
        <v>1</v>
      </c>
      <c r="DL3573">
        <v>0</v>
      </c>
      <c r="DM3573">
        <v>0</v>
      </c>
      <c r="DN3573">
        <v>0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3">
      <c r="A3574" t="str">
        <f>"05/01/2025 15:14:27.533"</f>
        <v>05/01/2025 15:14:27.533</v>
      </c>
      <c r="C3574" t="str">
        <f t="shared" si="1394"/>
        <v>FFDFD3C0</v>
      </c>
      <c r="D3574" t="s">
        <v>145</v>
      </c>
      <c r="E3574" t="str">
        <f>"09"</f>
        <v>09</v>
      </c>
      <c r="H3574">
        <v>51</v>
      </c>
      <c r="I3574" t="s">
        <v>147</v>
      </c>
      <c r="J3574" t="s">
        <v>138</v>
      </c>
      <c r="K3574">
        <v>0</v>
      </c>
      <c r="L3574">
        <v>3</v>
      </c>
      <c r="M3574">
        <v>0</v>
      </c>
      <c r="N3574">
        <v>2</v>
      </c>
      <c r="O3574">
        <v>0</v>
      </c>
      <c r="P3574">
        <v>1</v>
      </c>
      <c r="Q3574">
        <v>0</v>
      </c>
      <c r="R3574" t="s">
        <v>127</v>
      </c>
      <c r="S3574" t="str">
        <f t="shared" si="1414"/>
        <v>15:14:27.000</v>
      </c>
      <c r="T3574" t="str">
        <f t="shared" si="1414"/>
        <v>15:14:27.000</v>
      </c>
      <c r="U3574" t="str">
        <f t="shared" si="1395"/>
        <v>A68FCB</v>
      </c>
      <c r="V3574">
        <v>0</v>
      </c>
      <c r="W3574">
        <v>0</v>
      </c>
      <c r="X3574">
        <v>2</v>
      </c>
      <c r="Y3574">
        <v>0</v>
      </c>
      <c r="AA3574">
        <v>1</v>
      </c>
      <c r="AB3574">
        <v>8</v>
      </c>
      <c r="AC3574">
        <v>3</v>
      </c>
      <c r="AD3574">
        <v>0</v>
      </c>
      <c r="AE3574">
        <v>9</v>
      </c>
      <c r="AF3574" t="s">
        <v>138</v>
      </c>
      <c r="AG3574">
        <v>0</v>
      </c>
      <c r="AH3574">
        <v>3</v>
      </c>
      <c r="AI3574">
        <v>2</v>
      </c>
      <c r="AJ3574">
        <v>0</v>
      </c>
      <c r="AK3574" t="s">
        <v>1153</v>
      </c>
      <c r="AL3574">
        <v>39.15287</v>
      </c>
      <c r="AM3574" t="s">
        <v>1107</v>
      </c>
      <c r="AN3574">
        <v>-121.031013</v>
      </c>
      <c r="AO3574">
        <v>25</v>
      </c>
      <c r="AP3574">
        <v>4100</v>
      </c>
      <c r="AQ3574" t="s">
        <v>131</v>
      </c>
      <c r="AR3574">
        <v>3</v>
      </c>
      <c r="AS3574">
        <v>90</v>
      </c>
      <c r="AT3574">
        <v>-320</v>
      </c>
      <c r="BB3574" t="str">
        <f t="shared" si="1396"/>
        <v>1200</v>
      </c>
      <c r="BC3574">
        <v>1</v>
      </c>
      <c r="BD3574" t="str">
        <f t="shared" si="1397"/>
        <v xml:space="preserve">N52156  </v>
      </c>
      <c r="BE3574">
        <v>1</v>
      </c>
      <c r="BG3574">
        <v>0</v>
      </c>
      <c r="BH3574">
        <v>0</v>
      </c>
      <c r="BI3574">
        <v>0</v>
      </c>
      <c r="BJ3574">
        <v>4125</v>
      </c>
      <c r="BK3574">
        <v>25</v>
      </c>
      <c r="BL3574" t="s">
        <v>188</v>
      </c>
      <c r="BM3574">
        <v>1</v>
      </c>
      <c r="BN3574">
        <v>1</v>
      </c>
      <c r="BO3574">
        <v>0</v>
      </c>
      <c r="BP3574">
        <v>0</v>
      </c>
      <c r="BS3574">
        <v>0</v>
      </c>
      <c r="BT3574">
        <v>0</v>
      </c>
      <c r="BU3574">
        <v>0</v>
      </c>
      <c r="CE3574" t="str">
        <f t="shared" si="1415"/>
        <v>15:14:27.288</v>
      </c>
      <c r="CF3574">
        <v>287736439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4</v>
      </c>
      <c r="CY3574">
        <v>7</v>
      </c>
      <c r="CZ3574" t="s">
        <v>133</v>
      </c>
      <c r="DA3574">
        <v>275</v>
      </c>
      <c r="DB3574">
        <v>0</v>
      </c>
      <c r="DC3574" t="s">
        <v>134</v>
      </c>
      <c r="DD3574" t="s">
        <v>135</v>
      </c>
      <c r="DG3574">
        <v>3322793</v>
      </c>
      <c r="DI3574">
        <v>1</v>
      </c>
      <c r="DJ3574">
        <v>0</v>
      </c>
      <c r="DK3574">
        <v>1</v>
      </c>
      <c r="DL3574">
        <v>0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3">
      <c r="A3575" t="str">
        <f>"05/01/2025 15:14:27.536"</f>
        <v>05/01/2025 15:14:27.536</v>
      </c>
      <c r="C3575" t="str">
        <f t="shared" si="1394"/>
        <v>FFDFD3C0</v>
      </c>
      <c r="D3575" t="s">
        <v>145</v>
      </c>
      <c r="E3575" t="str">
        <f>"05"</f>
        <v>05</v>
      </c>
      <c r="H3575">
        <v>47</v>
      </c>
      <c r="I3575" t="s">
        <v>146</v>
      </c>
      <c r="J3575" t="s">
        <v>138</v>
      </c>
      <c r="K3575">
        <v>0</v>
      </c>
      <c r="L3575">
        <v>3</v>
      </c>
      <c r="M3575">
        <v>0</v>
      </c>
      <c r="N3575">
        <v>2</v>
      </c>
      <c r="O3575">
        <v>0</v>
      </c>
      <c r="P3575">
        <v>1</v>
      </c>
      <c r="Q3575">
        <v>0</v>
      </c>
      <c r="R3575" t="s">
        <v>127</v>
      </c>
      <c r="S3575" t="str">
        <f t="shared" si="1414"/>
        <v>15:14:27.000</v>
      </c>
      <c r="T3575" t="str">
        <f t="shared" si="1414"/>
        <v>15:14:27.000</v>
      </c>
      <c r="U3575" t="str">
        <f t="shared" si="1395"/>
        <v>A68FCB</v>
      </c>
      <c r="V3575">
        <v>0</v>
      </c>
      <c r="W3575">
        <v>0</v>
      </c>
      <c r="X3575">
        <v>2</v>
      </c>
      <c r="Y3575">
        <v>0</v>
      </c>
      <c r="AA3575">
        <v>1</v>
      </c>
      <c r="AB3575">
        <v>8</v>
      </c>
      <c r="AC3575">
        <v>3</v>
      </c>
      <c r="AD3575">
        <v>0</v>
      </c>
      <c r="AE3575">
        <v>9</v>
      </c>
      <c r="AF3575" t="s">
        <v>138</v>
      </c>
      <c r="AG3575">
        <v>0</v>
      </c>
      <c r="AH3575">
        <v>3</v>
      </c>
      <c r="AI3575">
        <v>2</v>
      </c>
      <c r="AJ3575">
        <v>0</v>
      </c>
      <c r="AK3575" t="s">
        <v>1153</v>
      </c>
      <c r="AL3575">
        <v>39.15287</v>
      </c>
      <c r="AM3575" t="s">
        <v>1107</v>
      </c>
      <c r="AN3575">
        <v>-121.031013</v>
      </c>
      <c r="AO3575">
        <v>25</v>
      </c>
      <c r="AP3575">
        <v>4100</v>
      </c>
      <c r="AQ3575" t="s">
        <v>131</v>
      </c>
      <c r="AR3575">
        <v>3</v>
      </c>
      <c r="AS3575">
        <v>90</v>
      </c>
      <c r="AT3575">
        <v>-320</v>
      </c>
      <c r="BB3575" t="str">
        <f t="shared" si="1396"/>
        <v>1200</v>
      </c>
      <c r="BC3575">
        <v>1</v>
      </c>
      <c r="BD3575" t="str">
        <f t="shared" si="1397"/>
        <v xml:space="preserve">N52156  </v>
      </c>
      <c r="BE3575">
        <v>1</v>
      </c>
      <c r="BG3575">
        <v>0</v>
      </c>
      <c r="BH3575">
        <v>0</v>
      </c>
      <c r="BI3575">
        <v>0</v>
      </c>
      <c r="BJ3575">
        <v>4125</v>
      </c>
      <c r="BK3575">
        <v>25</v>
      </c>
      <c r="BL3575" t="s">
        <v>188</v>
      </c>
      <c r="BM3575">
        <v>1</v>
      </c>
      <c r="BN3575">
        <v>1</v>
      </c>
      <c r="BO3575">
        <v>0</v>
      </c>
      <c r="BP3575">
        <v>0</v>
      </c>
      <c r="BS3575">
        <v>0</v>
      </c>
      <c r="BT3575">
        <v>0</v>
      </c>
      <c r="BU3575">
        <v>0</v>
      </c>
      <c r="CE3575" t="str">
        <f t="shared" si="1415"/>
        <v>15:14:27.288</v>
      </c>
      <c r="CF3575">
        <v>287736439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4</v>
      </c>
      <c r="CY3575">
        <v>7</v>
      </c>
      <c r="CZ3575" t="s">
        <v>133</v>
      </c>
      <c r="DA3575">
        <v>275</v>
      </c>
      <c r="DB3575">
        <v>0</v>
      </c>
      <c r="DC3575" t="s">
        <v>134</v>
      </c>
      <c r="DD3575" t="s">
        <v>135</v>
      </c>
      <c r="DG3575">
        <v>3322793</v>
      </c>
      <c r="DI3575">
        <v>1</v>
      </c>
      <c r="DJ3575">
        <v>0</v>
      </c>
      <c r="DK3575">
        <v>1</v>
      </c>
      <c r="DL3575">
        <v>0</v>
      </c>
      <c r="DM3575">
        <v>0</v>
      </c>
      <c r="DN3575">
        <v>0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3">
      <c r="A3576" t="str">
        <f>"05/01/2025 15:14:27.546"</f>
        <v>05/01/2025 15:14:27.546</v>
      </c>
      <c r="C3576" t="str">
        <f t="shared" si="1394"/>
        <v>FFDFD3C0</v>
      </c>
      <c r="D3576" t="s">
        <v>136</v>
      </c>
      <c r="E3576" t="str">
        <f>"20"</f>
        <v>20</v>
      </c>
      <c r="H3576">
        <v>400</v>
      </c>
      <c r="I3576" t="s">
        <v>137</v>
      </c>
      <c r="J3576" t="s">
        <v>138</v>
      </c>
      <c r="K3576">
        <v>0</v>
      </c>
      <c r="L3576">
        <v>3</v>
      </c>
      <c r="M3576">
        <v>0</v>
      </c>
      <c r="N3576">
        <v>2</v>
      </c>
      <c r="O3576">
        <v>0</v>
      </c>
      <c r="P3576">
        <v>1</v>
      </c>
      <c r="Q3576">
        <v>0</v>
      </c>
      <c r="R3576" t="s">
        <v>127</v>
      </c>
      <c r="S3576" t="str">
        <f t="shared" si="1414"/>
        <v>15:14:27.000</v>
      </c>
      <c r="T3576" t="str">
        <f t="shared" si="1414"/>
        <v>15:14:27.000</v>
      </c>
      <c r="U3576" t="str">
        <f t="shared" si="1395"/>
        <v>A68FCB</v>
      </c>
      <c r="V3576">
        <v>0</v>
      </c>
      <c r="W3576">
        <v>0</v>
      </c>
      <c r="X3576">
        <v>2</v>
      </c>
      <c r="Y3576">
        <v>0</v>
      </c>
      <c r="AA3576">
        <v>1</v>
      </c>
      <c r="AB3576">
        <v>8</v>
      </c>
      <c r="AC3576">
        <v>3</v>
      </c>
      <c r="AD3576">
        <v>0</v>
      </c>
      <c r="AE3576">
        <v>9</v>
      </c>
      <c r="AF3576" t="s">
        <v>138</v>
      </c>
      <c r="AG3576">
        <v>0</v>
      </c>
      <c r="AH3576">
        <v>3</v>
      </c>
      <c r="AI3576">
        <v>2</v>
      </c>
      <c r="AJ3576">
        <v>0</v>
      </c>
      <c r="AK3576" t="s">
        <v>1153</v>
      </c>
      <c r="AL3576">
        <v>39.15287</v>
      </c>
      <c r="AM3576" t="s">
        <v>1107</v>
      </c>
      <c r="AN3576">
        <v>-121.031013</v>
      </c>
      <c r="AO3576">
        <v>25</v>
      </c>
      <c r="AP3576">
        <v>4100</v>
      </c>
      <c r="AQ3576" t="s">
        <v>131</v>
      </c>
      <c r="AR3576">
        <v>3</v>
      </c>
      <c r="AS3576">
        <v>90</v>
      </c>
      <c r="AT3576">
        <v>-320</v>
      </c>
      <c r="BB3576" t="str">
        <f t="shared" si="1396"/>
        <v>1200</v>
      </c>
      <c r="BC3576">
        <v>1</v>
      </c>
      <c r="BD3576" t="str">
        <f t="shared" si="1397"/>
        <v xml:space="preserve">N52156  </v>
      </c>
      <c r="BE3576">
        <v>1</v>
      </c>
      <c r="BG3576">
        <v>0</v>
      </c>
      <c r="BH3576">
        <v>0</v>
      </c>
      <c r="BI3576">
        <v>0</v>
      </c>
      <c r="BJ3576">
        <v>4125</v>
      </c>
      <c r="BK3576">
        <v>25</v>
      </c>
      <c r="BL3576" t="s">
        <v>188</v>
      </c>
      <c r="BM3576">
        <v>1</v>
      </c>
      <c r="BN3576">
        <v>1</v>
      </c>
      <c r="BO3576">
        <v>0</v>
      </c>
      <c r="BP3576">
        <v>0</v>
      </c>
      <c r="BS3576">
        <v>0</v>
      </c>
      <c r="BT3576">
        <v>0</v>
      </c>
      <c r="BU3576">
        <v>0</v>
      </c>
      <c r="CE3576" t="str">
        <f t="shared" si="1415"/>
        <v>15:14:27.288</v>
      </c>
      <c r="CF3576">
        <v>287736439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4</v>
      </c>
      <c r="CY3576">
        <v>7</v>
      </c>
      <c r="CZ3576" t="s">
        <v>133</v>
      </c>
      <c r="DA3576">
        <v>275</v>
      </c>
      <c r="DB3576">
        <v>0</v>
      </c>
      <c r="DC3576" t="s">
        <v>134</v>
      </c>
      <c r="DD3576" t="s">
        <v>135</v>
      </c>
      <c r="DG3576">
        <v>3322793</v>
      </c>
      <c r="DI3576">
        <v>1</v>
      </c>
      <c r="DJ3576">
        <v>0</v>
      </c>
      <c r="DK3576">
        <v>1</v>
      </c>
      <c r="DL3576">
        <v>0</v>
      </c>
      <c r="DM3576">
        <v>0</v>
      </c>
      <c r="DN3576">
        <v>0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3">
      <c r="A3577" t="str">
        <f>"05/01/2025 15:14:27.563"</f>
        <v>05/01/2025 15:14:27.563</v>
      </c>
      <c r="C3577" t="str">
        <f t="shared" si="1394"/>
        <v>FFDFD3C0</v>
      </c>
      <c r="D3577" t="s">
        <v>143</v>
      </c>
      <c r="E3577" t="str">
        <f>"05"</f>
        <v>05</v>
      </c>
      <c r="H3577">
        <v>172</v>
      </c>
      <c r="I3577" t="s">
        <v>141</v>
      </c>
      <c r="J3577" t="s">
        <v>144</v>
      </c>
      <c r="K3577">
        <v>0</v>
      </c>
      <c r="L3577">
        <v>3</v>
      </c>
      <c r="M3577">
        <v>0</v>
      </c>
      <c r="N3577">
        <v>2</v>
      </c>
      <c r="O3577">
        <v>0</v>
      </c>
      <c r="P3577">
        <v>1</v>
      </c>
      <c r="Q3577">
        <v>0</v>
      </c>
      <c r="R3577" t="s">
        <v>127</v>
      </c>
      <c r="S3577" t="str">
        <f t="shared" si="1414"/>
        <v>15:14:27.000</v>
      </c>
      <c r="T3577" t="str">
        <f t="shared" si="1414"/>
        <v>15:14:27.000</v>
      </c>
      <c r="U3577" t="str">
        <f t="shared" si="1395"/>
        <v>A68FCB</v>
      </c>
      <c r="V3577">
        <v>0</v>
      </c>
      <c r="W3577">
        <v>0</v>
      </c>
      <c r="X3577">
        <v>2</v>
      </c>
      <c r="Y3577">
        <v>0</v>
      </c>
      <c r="AA3577">
        <v>1</v>
      </c>
      <c r="AB3577">
        <v>8</v>
      </c>
      <c r="AC3577">
        <v>3</v>
      </c>
      <c r="AD3577">
        <v>0</v>
      </c>
      <c r="AE3577">
        <v>9</v>
      </c>
      <c r="AF3577" t="s">
        <v>138</v>
      </c>
      <c r="AG3577">
        <v>0</v>
      </c>
      <c r="AH3577">
        <v>3</v>
      </c>
      <c r="AI3577">
        <v>2</v>
      </c>
      <c r="AJ3577">
        <v>0</v>
      </c>
      <c r="AK3577" t="s">
        <v>1153</v>
      </c>
      <c r="AL3577">
        <v>39.15287</v>
      </c>
      <c r="AM3577" t="s">
        <v>1107</v>
      </c>
      <c r="AN3577">
        <v>-121.031013</v>
      </c>
      <c r="AO3577">
        <v>25</v>
      </c>
      <c r="AP3577">
        <v>4100</v>
      </c>
      <c r="AQ3577" t="s">
        <v>131</v>
      </c>
      <c r="AR3577">
        <v>3</v>
      </c>
      <c r="AS3577">
        <v>90</v>
      </c>
      <c r="AT3577">
        <v>-320</v>
      </c>
      <c r="BB3577" t="str">
        <f t="shared" si="1396"/>
        <v>1200</v>
      </c>
      <c r="BC3577">
        <v>1</v>
      </c>
      <c r="BD3577" t="str">
        <f t="shared" si="1397"/>
        <v xml:space="preserve">N52156  </v>
      </c>
      <c r="BE3577">
        <v>1</v>
      </c>
      <c r="BG3577">
        <v>0</v>
      </c>
      <c r="BH3577">
        <v>0</v>
      </c>
      <c r="BI3577">
        <v>0</v>
      </c>
      <c r="BJ3577">
        <v>4125</v>
      </c>
      <c r="BK3577">
        <v>25</v>
      </c>
      <c r="BL3577" t="s">
        <v>188</v>
      </c>
      <c r="BM3577">
        <v>1</v>
      </c>
      <c r="BN3577">
        <v>1</v>
      </c>
      <c r="BO3577">
        <v>0</v>
      </c>
      <c r="BP3577">
        <v>0</v>
      </c>
      <c r="BS3577">
        <v>0</v>
      </c>
      <c r="BT3577">
        <v>0</v>
      </c>
      <c r="BU3577">
        <v>0</v>
      </c>
      <c r="CE3577" t="str">
        <f t="shared" si="1415"/>
        <v>15:14:27.288</v>
      </c>
      <c r="CF3577">
        <v>287736439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4</v>
      </c>
      <c r="CY3577">
        <v>7</v>
      </c>
      <c r="CZ3577" t="s">
        <v>133</v>
      </c>
      <c r="DA3577">
        <v>275</v>
      </c>
      <c r="DB3577">
        <v>0</v>
      </c>
      <c r="DC3577" t="s">
        <v>134</v>
      </c>
      <c r="DD3577" t="s">
        <v>135</v>
      </c>
      <c r="DG3577">
        <v>3322793</v>
      </c>
      <c r="DI3577">
        <v>1</v>
      </c>
      <c r="DJ3577">
        <v>0</v>
      </c>
      <c r="DK3577">
        <v>1</v>
      </c>
      <c r="DL3577">
        <v>0</v>
      </c>
      <c r="DM3577">
        <v>0</v>
      </c>
      <c r="DN3577">
        <v>0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3">
      <c r="A3578" t="str">
        <f>"05/01/2025 15:14:28.598"</f>
        <v>05/01/2025 15:14:28.598</v>
      </c>
      <c r="C3578" t="str">
        <f t="shared" si="1394"/>
        <v>FFDFD3C0</v>
      </c>
      <c r="D3578" t="s">
        <v>136</v>
      </c>
      <c r="E3578" t="str">
        <f>"20"</f>
        <v>20</v>
      </c>
      <c r="H3578">
        <v>400</v>
      </c>
      <c r="I3578" t="s">
        <v>137</v>
      </c>
      <c r="J3578" t="s">
        <v>138</v>
      </c>
      <c r="K3578">
        <v>0</v>
      </c>
      <c r="L3578">
        <v>3</v>
      </c>
      <c r="M3578">
        <v>0</v>
      </c>
      <c r="N3578">
        <v>2</v>
      </c>
      <c r="O3578">
        <v>0</v>
      </c>
      <c r="P3578">
        <v>1</v>
      </c>
      <c r="Q3578">
        <v>0</v>
      </c>
      <c r="R3578" t="s">
        <v>127</v>
      </c>
      <c r="S3578" t="str">
        <f t="shared" ref="S3578:T3583" si="1416">"15:14:28.000"</f>
        <v>15:14:28.000</v>
      </c>
      <c r="T3578" t="str">
        <f t="shared" si="1416"/>
        <v>15:14:28.000</v>
      </c>
      <c r="U3578" t="str">
        <f t="shared" si="1395"/>
        <v>A68FCB</v>
      </c>
      <c r="V3578">
        <v>0</v>
      </c>
      <c r="W3578">
        <v>0</v>
      </c>
      <c r="X3578">
        <v>2</v>
      </c>
      <c r="Y3578">
        <v>0</v>
      </c>
      <c r="AA3578">
        <v>1</v>
      </c>
      <c r="AB3578">
        <v>8</v>
      </c>
      <c r="AC3578">
        <v>3</v>
      </c>
      <c r="AD3578">
        <v>0</v>
      </c>
      <c r="AE3578">
        <v>9</v>
      </c>
      <c r="AF3578" t="s">
        <v>138</v>
      </c>
      <c r="AG3578">
        <v>0</v>
      </c>
      <c r="AH3578">
        <v>3</v>
      </c>
      <c r="AI3578">
        <v>2</v>
      </c>
      <c r="AJ3578">
        <v>0</v>
      </c>
      <c r="AK3578" t="s">
        <v>1154</v>
      </c>
      <c r="AL3578">
        <v>39.153298999999997</v>
      </c>
      <c r="AM3578" t="s">
        <v>1107</v>
      </c>
      <c r="AN3578">
        <v>-121.031013</v>
      </c>
      <c r="AO3578">
        <v>25</v>
      </c>
      <c r="AP3578">
        <v>4100</v>
      </c>
      <c r="AQ3578" t="s">
        <v>131</v>
      </c>
      <c r="AR3578">
        <v>3</v>
      </c>
      <c r="AS3578">
        <v>90</v>
      </c>
      <c r="AT3578">
        <v>-256</v>
      </c>
      <c r="BB3578" t="str">
        <f t="shared" si="1396"/>
        <v>1200</v>
      </c>
      <c r="BC3578">
        <v>1</v>
      </c>
      <c r="BD3578" t="str">
        <f t="shared" si="1397"/>
        <v xml:space="preserve">N52156  </v>
      </c>
      <c r="BE3578">
        <v>1</v>
      </c>
      <c r="BG3578">
        <v>0</v>
      </c>
      <c r="BH3578">
        <v>0</v>
      </c>
      <c r="BI3578">
        <v>0</v>
      </c>
      <c r="BJ3578">
        <v>4100</v>
      </c>
      <c r="BK3578">
        <v>0</v>
      </c>
      <c r="BL3578" t="s">
        <v>188</v>
      </c>
      <c r="BM3578">
        <v>1</v>
      </c>
      <c r="BN3578">
        <v>1</v>
      </c>
      <c r="BO3578">
        <v>0</v>
      </c>
      <c r="BP3578">
        <v>0</v>
      </c>
      <c r="BS3578">
        <v>0</v>
      </c>
      <c r="BT3578">
        <v>0</v>
      </c>
      <c r="BU3578">
        <v>0</v>
      </c>
      <c r="CE3578" t="str">
        <f t="shared" ref="CE3578:CE3583" si="1417">"15:14:28.377"</f>
        <v>15:14:28.377</v>
      </c>
      <c r="CF3578">
        <v>376736726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4</v>
      </c>
      <c r="CY3578">
        <v>7</v>
      </c>
      <c r="CZ3578" t="s">
        <v>133</v>
      </c>
      <c r="DA3578">
        <v>275</v>
      </c>
      <c r="DB3578">
        <v>0</v>
      </c>
      <c r="DC3578" t="s">
        <v>134</v>
      </c>
      <c r="DD3578" t="s">
        <v>135</v>
      </c>
      <c r="DG3578">
        <v>3322799</v>
      </c>
      <c r="DI3578">
        <v>1</v>
      </c>
      <c r="DJ3578">
        <v>0</v>
      </c>
      <c r="DK3578">
        <v>0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3">
      <c r="A3579" t="str">
        <f>"05/01/2025 15:14:28.615"</f>
        <v>05/01/2025 15:14:28.615</v>
      </c>
      <c r="C3579" t="str">
        <f t="shared" si="1394"/>
        <v>FFDFD3C0</v>
      </c>
      <c r="D3579" t="s">
        <v>143</v>
      </c>
      <c r="E3579" t="str">
        <f>"05"</f>
        <v>05</v>
      </c>
      <c r="H3579">
        <v>172</v>
      </c>
      <c r="I3579" t="s">
        <v>141</v>
      </c>
      <c r="J3579" t="s">
        <v>144</v>
      </c>
      <c r="K3579">
        <v>0</v>
      </c>
      <c r="L3579">
        <v>3</v>
      </c>
      <c r="M3579">
        <v>0</v>
      </c>
      <c r="N3579">
        <v>2</v>
      </c>
      <c r="O3579">
        <v>0</v>
      </c>
      <c r="P3579">
        <v>1</v>
      </c>
      <c r="Q3579">
        <v>0</v>
      </c>
      <c r="R3579" t="s">
        <v>127</v>
      </c>
      <c r="S3579" t="str">
        <f t="shared" si="1416"/>
        <v>15:14:28.000</v>
      </c>
      <c r="T3579" t="str">
        <f t="shared" si="1416"/>
        <v>15:14:28.000</v>
      </c>
      <c r="U3579" t="str">
        <f t="shared" si="1395"/>
        <v>A68FCB</v>
      </c>
      <c r="V3579">
        <v>0</v>
      </c>
      <c r="W3579">
        <v>0</v>
      </c>
      <c r="X3579">
        <v>2</v>
      </c>
      <c r="Y3579">
        <v>0</v>
      </c>
      <c r="AA3579">
        <v>1</v>
      </c>
      <c r="AB3579">
        <v>8</v>
      </c>
      <c r="AC3579">
        <v>3</v>
      </c>
      <c r="AD3579">
        <v>0</v>
      </c>
      <c r="AE3579">
        <v>9</v>
      </c>
      <c r="AF3579" t="s">
        <v>138</v>
      </c>
      <c r="AG3579">
        <v>0</v>
      </c>
      <c r="AH3579">
        <v>3</v>
      </c>
      <c r="AI3579">
        <v>2</v>
      </c>
      <c r="AJ3579">
        <v>0</v>
      </c>
      <c r="AK3579" t="s">
        <v>1154</v>
      </c>
      <c r="AL3579">
        <v>39.153298999999997</v>
      </c>
      <c r="AM3579" t="s">
        <v>1107</v>
      </c>
      <c r="AN3579">
        <v>-121.031013</v>
      </c>
      <c r="AO3579">
        <v>25</v>
      </c>
      <c r="AP3579">
        <v>4100</v>
      </c>
      <c r="AQ3579" t="s">
        <v>131</v>
      </c>
      <c r="AR3579">
        <v>3</v>
      </c>
      <c r="AS3579">
        <v>90</v>
      </c>
      <c r="AT3579">
        <v>-256</v>
      </c>
      <c r="BB3579" t="str">
        <f t="shared" si="1396"/>
        <v>1200</v>
      </c>
      <c r="BC3579">
        <v>1</v>
      </c>
      <c r="BD3579" t="str">
        <f t="shared" si="1397"/>
        <v xml:space="preserve">N52156  </v>
      </c>
      <c r="BE3579">
        <v>1</v>
      </c>
      <c r="BG3579">
        <v>0</v>
      </c>
      <c r="BH3579">
        <v>0</v>
      </c>
      <c r="BI3579">
        <v>0</v>
      </c>
      <c r="BJ3579">
        <v>4100</v>
      </c>
      <c r="BK3579">
        <v>0</v>
      </c>
      <c r="BL3579" t="s">
        <v>188</v>
      </c>
      <c r="BM3579">
        <v>1</v>
      </c>
      <c r="BN3579">
        <v>1</v>
      </c>
      <c r="BO3579">
        <v>0</v>
      </c>
      <c r="BP3579">
        <v>0</v>
      </c>
      <c r="BS3579">
        <v>0</v>
      </c>
      <c r="BT3579">
        <v>0</v>
      </c>
      <c r="BU3579">
        <v>0</v>
      </c>
      <c r="CE3579" t="str">
        <f t="shared" si="1417"/>
        <v>15:14:28.377</v>
      </c>
      <c r="CF3579">
        <v>376736726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4</v>
      </c>
      <c r="CY3579">
        <v>7</v>
      </c>
      <c r="CZ3579" t="s">
        <v>133</v>
      </c>
      <c r="DA3579">
        <v>275</v>
      </c>
      <c r="DB3579">
        <v>0</v>
      </c>
      <c r="DC3579" t="s">
        <v>134</v>
      </c>
      <c r="DD3579" t="s">
        <v>135</v>
      </c>
      <c r="DG3579">
        <v>3322799</v>
      </c>
      <c r="DI3579">
        <v>1</v>
      </c>
      <c r="DJ3579">
        <v>0</v>
      </c>
      <c r="DK3579">
        <v>1</v>
      </c>
      <c r="DL3579">
        <v>0</v>
      </c>
      <c r="DM3579">
        <v>0</v>
      </c>
      <c r="DN3579">
        <v>0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3">
      <c r="A3580" t="str">
        <f>"05/01/2025 15:14:28.624"</f>
        <v>05/01/2025 15:14:28.624</v>
      </c>
      <c r="C3580" t="str">
        <f t="shared" si="1394"/>
        <v>FFDFD3C0</v>
      </c>
      <c r="D3580" t="s">
        <v>124</v>
      </c>
      <c r="E3580" t="str">
        <f>"06"</f>
        <v>06</v>
      </c>
      <c r="F3580">
        <v>2006</v>
      </c>
      <c r="G3580" t="s">
        <v>125</v>
      </c>
      <c r="J3580" t="s">
        <v>126</v>
      </c>
      <c r="K3580">
        <v>0</v>
      </c>
      <c r="L3580">
        <v>3</v>
      </c>
      <c r="M3580">
        <v>0</v>
      </c>
      <c r="N3580">
        <v>2</v>
      </c>
      <c r="O3580">
        <v>0</v>
      </c>
      <c r="P3580">
        <v>1</v>
      </c>
      <c r="Q3580">
        <v>0</v>
      </c>
      <c r="R3580" t="s">
        <v>127</v>
      </c>
      <c r="S3580" t="str">
        <f t="shared" si="1416"/>
        <v>15:14:28.000</v>
      </c>
      <c r="T3580" t="str">
        <f t="shared" si="1416"/>
        <v>15:14:28.000</v>
      </c>
      <c r="U3580" t="str">
        <f t="shared" si="1395"/>
        <v>A68FCB</v>
      </c>
      <c r="V3580">
        <v>0</v>
      </c>
      <c r="W3580">
        <v>0</v>
      </c>
      <c r="X3580">
        <v>2</v>
      </c>
      <c r="Y3580">
        <v>0</v>
      </c>
      <c r="AA3580">
        <v>1</v>
      </c>
      <c r="AB3580">
        <v>8</v>
      </c>
      <c r="AC3580">
        <v>3</v>
      </c>
      <c r="AD3580">
        <v>0</v>
      </c>
      <c r="AE3580">
        <v>9</v>
      </c>
      <c r="AF3580" t="s">
        <v>138</v>
      </c>
      <c r="AG3580">
        <v>0</v>
      </c>
      <c r="AH3580">
        <v>3</v>
      </c>
      <c r="AI3580">
        <v>2</v>
      </c>
      <c r="AJ3580">
        <v>0</v>
      </c>
      <c r="AK3580" t="s">
        <v>1154</v>
      </c>
      <c r="AL3580">
        <v>39.153298999999997</v>
      </c>
      <c r="AM3580" t="s">
        <v>1107</v>
      </c>
      <c r="AN3580">
        <v>-121.031013</v>
      </c>
      <c r="AO3580">
        <v>25</v>
      </c>
      <c r="AP3580">
        <v>4100</v>
      </c>
      <c r="AQ3580" t="s">
        <v>131</v>
      </c>
      <c r="AR3580">
        <v>3</v>
      </c>
      <c r="AS3580">
        <v>90</v>
      </c>
      <c r="AT3580">
        <v>-256</v>
      </c>
      <c r="BB3580" t="str">
        <f t="shared" si="1396"/>
        <v>1200</v>
      </c>
      <c r="BC3580">
        <v>1</v>
      </c>
      <c r="BD3580" t="str">
        <f t="shared" si="1397"/>
        <v xml:space="preserve">N52156  </v>
      </c>
      <c r="BE3580">
        <v>1</v>
      </c>
      <c r="BG3580">
        <v>0</v>
      </c>
      <c r="BH3580">
        <v>0</v>
      </c>
      <c r="BI3580">
        <v>0</v>
      </c>
      <c r="BJ3580">
        <v>4100</v>
      </c>
      <c r="BK3580">
        <v>0</v>
      </c>
      <c r="BL3580" t="s">
        <v>188</v>
      </c>
      <c r="BM3580">
        <v>1</v>
      </c>
      <c r="BN3580">
        <v>1</v>
      </c>
      <c r="BO3580">
        <v>0</v>
      </c>
      <c r="BP3580">
        <v>0</v>
      </c>
      <c r="BS3580">
        <v>0</v>
      </c>
      <c r="BT3580">
        <v>0</v>
      </c>
      <c r="BU3580">
        <v>0</v>
      </c>
      <c r="CE3580" t="str">
        <f t="shared" si="1417"/>
        <v>15:14:28.377</v>
      </c>
      <c r="CF3580">
        <v>376736726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4</v>
      </c>
      <c r="CY3580">
        <v>7</v>
      </c>
      <c r="CZ3580" t="s">
        <v>133</v>
      </c>
      <c r="DA3580">
        <v>275</v>
      </c>
      <c r="DB3580">
        <v>0</v>
      </c>
      <c r="DC3580" t="s">
        <v>134</v>
      </c>
      <c r="DD3580" t="s">
        <v>135</v>
      </c>
      <c r="DG3580">
        <v>3322799</v>
      </c>
      <c r="DI3580">
        <v>1</v>
      </c>
      <c r="DJ3580">
        <v>0</v>
      </c>
      <c r="DK3580">
        <v>1</v>
      </c>
      <c r="DL3580">
        <v>0</v>
      </c>
      <c r="DM3580">
        <v>0</v>
      </c>
      <c r="DN3580">
        <v>0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3">
      <c r="A3581" t="str">
        <f>"05/01/2025 15:14:28.623"</f>
        <v>05/01/2025 15:14:28.623</v>
      </c>
      <c r="C3581" t="str">
        <f t="shared" si="1394"/>
        <v>FFDFD3C0</v>
      </c>
      <c r="D3581" t="s">
        <v>140</v>
      </c>
      <c r="E3581" t="str">
        <f>"13"</f>
        <v>13</v>
      </c>
      <c r="F3581">
        <v>1019</v>
      </c>
      <c r="G3581" t="s">
        <v>141</v>
      </c>
      <c r="J3581" t="s">
        <v>142</v>
      </c>
      <c r="K3581">
        <v>0</v>
      </c>
      <c r="L3581">
        <v>3</v>
      </c>
      <c r="M3581">
        <v>0</v>
      </c>
      <c r="N3581">
        <v>2</v>
      </c>
      <c r="O3581">
        <v>0</v>
      </c>
      <c r="P3581">
        <v>1</v>
      </c>
      <c r="Q3581">
        <v>0</v>
      </c>
      <c r="R3581" t="s">
        <v>127</v>
      </c>
      <c r="S3581" t="str">
        <f t="shared" si="1416"/>
        <v>15:14:28.000</v>
      </c>
      <c r="T3581" t="str">
        <f t="shared" si="1416"/>
        <v>15:14:28.000</v>
      </c>
      <c r="U3581" t="str">
        <f t="shared" si="1395"/>
        <v>A68FCB</v>
      </c>
      <c r="V3581">
        <v>0</v>
      </c>
      <c r="W3581">
        <v>0</v>
      </c>
      <c r="X3581">
        <v>2</v>
      </c>
      <c r="Y3581">
        <v>0</v>
      </c>
      <c r="AA3581">
        <v>1</v>
      </c>
      <c r="AB3581">
        <v>8</v>
      </c>
      <c r="AC3581">
        <v>3</v>
      </c>
      <c r="AD3581">
        <v>0</v>
      </c>
      <c r="AE3581">
        <v>9</v>
      </c>
      <c r="AF3581" t="s">
        <v>138</v>
      </c>
      <c r="AG3581">
        <v>0</v>
      </c>
      <c r="AH3581">
        <v>3</v>
      </c>
      <c r="AI3581">
        <v>2</v>
      </c>
      <c r="AJ3581">
        <v>0</v>
      </c>
      <c r="AK3581" t="s">
        <v>1154</v>
      </c>
      <c r="AL3581">
        <v>39.153298999999997</v>
      </c>
      <c r="AM3581" t="s">
        <v>1107</v>
      </c>
      <c r="AN3581">
        <v>-121.031013</v>
      </c>
      <c r="AO3581">
        <v>25</v>
      </c>
      <c r="AP3581">
        <v>4100</v>
      </c>
      <c r="AQ3581" t="s">
        <v>131</v>
      </c>
      <c r="AR3581">
        <v>3</v>
      </c>
      <c r="AS3581">
        <v>90</v>
      </c>
      <c r="AT3581">
        <v>-256</v>
      </c>
      <c r="BB3581" t="str">
        <f t="shared" si="1396"/>
        <v>1200</v>
      </c>
      <c r="BC3581">
        <v>1</v>
      </c>
      <c r="BD3581" t="str">
        <f t="shared" si="1397"/>
        <v xml:space="preserve">N52156  </v>
      </c>
      <c r="BE3581">
        <v>1</v>
      </c>
      <c r="BG3581">
        <v>0</v>
      </c>
      <c r="BH3581">
        <v>0</v>
      </c>
      <c r="BI3581">
        <v>0</v>
      </c>
      <c r="BJ3581">
        <v>4100</v>
      </c>
      <c r="BK3581">
        <v>0</v>
      </c>
      <c r="BL3581" t="s">
        <v>188</v>
      </c>
      <c r="BM3581">
        <v>1</v>
      </c>
      <c r="BN3581">
        <v>1</v>
      </c>
      <c r="BO3581">
        <v>0</v>
      </c>
      <c r="BP3581">
        <v>0</v>
      </c>
      <c r="BS3581">
        <v>0</v>
      </c>
      <c r="BT3581">
        <v>0</v>
      </c>
      <c r="BU3581">
        <v>0</v>
      </c>
      <c r="CE3581" t="str">
        <f t="shared" si="1417"/>
        <v>15:14:28.377</v>
      </c>
      <c r="CF3581">
        <v>376736726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4</v>
      </c>
      <c r="CY3581">
        <v>7</v>
      </c>
      <c r="CZ3581" t="s">
        <v>133</v>
      </c>
      <c r="DA3581">
        <v>275</v>
      </c>
      <c r="DB3581">
        <v>0</v>
      </c>
      <c r="DC3581" t="s">
        <v>134</v>
      </c>
      <c r="DD3581" t="s">
        <v>135</v>
      </c>
      <c r="DG3581">
        <v>3322799</v>
      </c>
      <c r="DI3581">
        <v>1</v>
      </c>
      <c r="DJ3581">
        <v>0</v>
      </c>
      <c r="DK3581">
        <v>1</v>
      </c>
      <c r="DL3581">
        <v>0</v>
      </c>
      <c r="DM3581">
        <v>0</v>
      </c>
      <c r="DN3581">
        <v>0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3">
      <c r="A3582" t="str">
        <f>"05/01/2025 15:14:28.635"</f>
        <v>05/01/2025 15:14:28.635</v>
      </c>
      <c r="C3582" t="str">
        <f t="shared" si="1394"/>
        <v>FFDFD3C0</v>
      </c>
      <c r="D3582" t="s">
        <v>145</v>
      </c>
      <c r="E3582" t="str">
        <f>"09"</f>
        <v>09</v>
      </c>
      <c r="H3582">
        <v>51</v>
      </c>
      <c r="I3582" t="s">
        <v>147</v>
      </c>
      <c r="J3582" t="s">
        <v>138</v>
      </c>
      <c r="K3582">
        <v>0</v>
      </c>
      <c r="L3582">
        <v>3</v>
      </c>
      <c r="M3582">
        <v>0</v>
      </c>
      <c r="N3582">
        <v>2</v>
      </c>
      <c r="O3582">
        <v>0</v>
      </c>
      <c r="P3582">
        <v>1</v>
      </c>
      <c r="Q3582">
        <v>0</v>
      </c>
      <c r="R3582" t="s">
        <v>127</v>
      </c>
      <c r="S3582" t="str">
        <f t="shared" si="1416"/>
        <v>15:14:28.000</v>
      </c>
      <c r="T3582" t="str">
        <f t="shared" si="1416"/>
        <v>15:14:28.000</v>
      </c>
      <c r="U3582" t="str">
        <f t="shared" si="1395"/>
        <v>A68FCB</v>
      </c>
      <c r="V3582">
        <v>0</v>
      </c>
      <c r="W3582">
        <v>0</v>
      </c>
      <c r="X3582">
        <v>2</v>
      </c>
      <c r="Y3582">
        <v>0</v>
      </c>
      <c r="AA3582">
        <v>1</v>
      </c>
      <c r="AB3582">
        <v>8</v>
      </c>
      <c r="AC3582">
        <v>3</v>
      </c>
      <c r="AD3582">
        <v>0</v>
      </c>
      <c r="AE3582">
        <v>9</v>
      </c>
      <c r="AF3582" t="s">
        <v>138</v>
      </c>
      <c r="AG3582">
        <v>0</v>
      </c>
      <c r="AH3582">
        <v>3</v>
      </c>
      <c r="AI3582">
        <v>2</v>
      </c>
      <c r="AJ3582">
        <v>0</v>
      </c>
      <c r="AK3582" t="s">
        <v>1154</v>
      </c>
      <c r="AL3582">
        <v>39.153298999999997</v>
      </c>
      <c r="AM3582" t="s">
        <v>1107</v>
      </c>
      <c r="AN3582">
        <v>-121.031013</v>
      </c>
      <c r="AO3582">
        <v>25</v>
      </c>
      <c r="AP3582">
        <v>4100</v>
      </c>
      <c r="AQ3582" t="s">
        <v>131</v>
      </c>
      <c r="AR3582">
        <v>3</v>
      </c>
      <c r="AS3582">
        <v>90</v>
      </c>
      <c r="AT3582">
        <v>-256</v>
      </c>
      <c r="BB3582" t="str">
        <f t="shared" si="1396"/>
        <v>1200</v>
      </c>
      <c r="BC3582">
        <v>1</v>
      </c>
      <c r="BD3582" t="str">
        <f t="shared" si="1397"/>
        <v xml:space="preserve">N52156  </v>
      </c>
      <c r="BE3582">
        <v>1</v>
      </c>
      <c r="BG3582">
        <v>0</v>
      </c>
      <c r="BH3582">
        <v>0</v>
      </c>
      <c r="BI3582">
        <v>0</v>
      </c>
      <c r="BJ3582">
        <v>4100</v>
      </c>
      <c r="BK3582">
        <v>0</v>
      </c>
      <c r="BL3582" t="s">
        <v>188</v>
      </c>
      <c r="BM3582">
        <v>1</v>
      </c>
      <c r="BN3582">
        <v>1</v>
      </c>
      <c r="BO3582">
        <v>0</v>
      </c>
      <c r="BP3582">
        <v>0</v>
      </c>
      <c r="BS3582">
        <v>0</v>
      </c>
      <c r="BT3582">
        <v>0</v>
      </c>
      <c r="BU3582">
        <v>0</v>
      </c>
      <c r="CE3582" t="str">
        <f t="shared" si="1417"/>
        <v>15:14:28.377</v>
      </c>
      <c r="CF3582">
        <v>376736726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4</v>
      </c>
      <c r="CY3582">
        <v>7</v>
      </c>
      <c r="CZ3582" t="s">
        <v>133</v>
      </c>
      <c r="DA3582">
        <v>275</v>
      </c>
      <c r="DB3582">
        <v>0</v>
      </c>
      <c r="DC3582" t="s">
        <v>134</v>
      </c>
      <c r="DD3582" t="s">
        <v>135</v>
      </c>
      <c r="DG3582">
        <v>3322799</v>
      </c>
      <c r="DI3582">
        <v>1</v>
      </c>
      <c r="DJ3582">
        <v>0</v>
      </c>
      <c r="DK3582">
        <v>1</v>
      </c>
      <c r="DL3582">
        <v>0</v>
      </c>
      <c r="DM3582">
        <v>0</v>
      </c>
      <c r="DN3582">
        <v>0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3">
      <c r="A3583" t="str">
        <f>"05/01/2025 15:14:28.638"</f>
        <v>05/01/2025 15:14:28.638</v>
      </c>
      <c r="C3583" t="str">
        <f t="shared" si="1394"/>
        <v>FFDFD3C0</v>
      </c>
      <c r="D3583" t="s">
        <v>145</v>
      </c>
      <c r="E3583" t="str">
        <f>"05"</f>
        <v>05</v>
      </c>
      <c r="H3583">
        <v>47</v>
      </c>
      <c r="I3583" t="s">
        <v>146</v>
      </c>
      <c r="J3583" t="s">
        <v>138</v>
      </c>
      <c r="K3583">
        <v>0</v>
      </c>
      <c r="L3583">
        <v>3</v>
      </c>
      <c r="M3583">
        <v>0</v>
      </c>
      <c r="N3583">
        <v>2</v>
      </c>
      <c r="O3583">
        <v>0</v>
      </c>
      <c r="P3583">
        <v>1</v>
      </c>
      <c r="Q3583">
        <v>0</v>
      </c>
      <c r="R3583" t="s">
        <v>127</v>
      </c>
      <c r="S3583" t="str">
        <f t="shared" si="1416"/>
        <v>15:14:28.000</v>
      </c>
      <c r="T3583" t="str">
        <f t="shared" si="1416"/>
        <v>15:14:28.000</v>
      </c>
      <c r="U3583" t="str">
        <f t="shared" si="1395"/>
        <v>A68FCB</v>
      </c>
      <c r="V3583">
        <v>0</v>
      </c>
      <c r="W3583">
        <v>0</v>
      </c>
      <c r="X3583">
        <v>2</v>
      </c>
      <c r="Y3583">
        <v>0</v>
      </c>
      <c r="AA3583">
        <v>1</v>
      </c>
      <c r="AB3583">
        <v>8</v>
      </c>
      <c r="AC3583">
        <v>3</v>
      </c>
      <c r="AD3583">
        <v>0</v>
      </c>
      <c r="AE3583">
        <v>9</v>
      </c>
      <c r="AF3583" t="s">
        <v>138</v>
      </c>
      <c r="AG3583">
        <v>0</v>
      </c>
      <c r="AH3583">
        <v>3</v>
      </c>
      <c r="AI3583">
        <v>2</v>
      </c>
      <c r="AJ3583">
        <v>0</v>
      </c>
      <c r="AK3583" t="s">
        <v>1154</v>
      </c>
      <c r="AL3583">
        <v>39.153298999999997</v>
      </c>
      <c r="AM3583" t="s">
        <v>1107</v>
      </c>
      <c r="AN3583">
        <v>-121.031013</v>
      </c>
      <c r="AO3583">
        <v>25</v>
      </c>
      <c r="AP3583">
        <v>4100</v>
      </c>
      <c r="AQ3583" t="s">
        <v>131</v>
      </c>
      <c r="AR3583">
        <v>3</v>
      </c>
      <c r="AS3583">
        <v>90</v>
      </c>
      <c r="AT3583">
        <v>-256</v>
      </c>
      <c r="BB3583" t="str">
        <f t="shared" si="1396"/>
        <v>1200</v>
      </c>
      <c r="BC3583">
        <v>1</v>
      </c>
      <c r="BD3583" t="str">
        <f t="shared" si="1397"/>
        <v xml:space="preserve">N52156  </v>
      </c>
      <c r="BE3583">
        <v>1</v>
      </c>
      <c r="BG3583">
        <v>0</v>
      </c>
      <c r="BH3583">
        <v>0</v>
      </c>
      <c r="BI3583">
        <v>0</v>
      </c>
      <c r="BJ3583">
        <v>4100</v>
      </c>
      <c r="BK3583">
        <v>0</v>
      </c>
      <c r="BL3583" t="s">
        <v>188</v>
      </c>
      <c r="BM3583">
        <v>1</v>
      </c>
      <c r="BN3583">
        <v>1</v>
      </c>
      <c r="BO3583">
        <v>0</v>
      </c>
      <c r="BP3583">
        <v>0</v>
      </c>
      <c r="BS3583">
        <v>0</v>
      </c>
      <c r="BT3583">
        <v>0</v>
      </c>
      <c r="BU3583">
        <v>0</v>
      </c>
      <c r="CE3583" t="str">
        <f t="shared" si="1417"/>
        <v>15:14:28.377</v>
      </c>
      <c r="CF3583">
        <v>376736726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4</v>
      </c>
      <c r="CY3583">
        <v>7</v>
      </c>
      <c r="CZ3583" t="s">
        <v>133</v>
      </c>
      <c r="DA3583">
        <v>275</v>
      </c>
      <c r="DB3583">
        <v>0</v>
      </c>
      <c r="DC3583" t="s">
        <v>134</v>
      </c>
      <c r="DD3583" t="s">
        <v>135</v>
      </c>
      <c r="DG3583">
        <v>3322799</v>
      </c>
      <c r="DI3583">
        <v>1</v>
      </c>
      <c r="DJ3583">
        <v>0</v>
      </c>
      <c r="DK3583">
        <v>1</v>
      </c>
      <c r="DL3583">
        <v>0</v>
      </c>
      <c r="DM3583">
        <v>0</v>
      </c>
      <c r="DN3583">
        <v>0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3">
      <c r="A3584" t="str">
        <f>"05/01/2025 15:14:30.137"</f>
        <v>05/01/2025 15:14:30.137</v>
      </c>
      <c r="C3584" t="str">
        <f t="shared" si="1394"/>
        <v>FFDFD3C0</v>
      </c>
      <c r="D3584" t="s">
        <v>145</v>
      </c>
      <c r="E3584" t="str">
        <f>"09"</f>
        <v>09</v>
      </c>
      <c r="H3584">
        <v>51</v>
      </c>
      <c r="I3584" t="s">
        <v>147</v>
      </c>
      <c r="J3584" t="s">
        <v>138</v>
      </c>
      <c r="K3584">
        <v>0</v>
      </c>
      <c r="L3584">
        <v>3</v>
      </c>
      <c r="M3584">
        <v>0</v>
      </c>
      <c r="N3584">
        <v>2</v>
      </c>
      <c r="O3584">
        <v>0</v>
      </c>
      <c r="P3584">
        <v>1</v>
      </c>
      <c r="Q3584">
        <v>0</v>
      </c>
      <c r="R3584" t="s">
        <v>127</v>
      </c>
      <c r="S3584" t="str">
        <f t="shared" ref="S3584:T3589" si="1418">"15:14:29.000"</f>
        <v>15:14:29.000</v>
      </c>
      <c r="T3584" t="str">
        <f t="shared" si="1418"/>
        <v>15:14:29.000</v>
      </c>
      <c r="U3584" t="str">
        <f t="shared" si="1395"/>
        <v>A68FCB</v>
      </c>
      <c r="V3584">
        <v>0</v>
      </c>
      <c r="W3584">
        <v>0</v>
      </c>
      <c r="X3584">
        <v>2</v>
      </c>
      <c r="Y3584">
        <v>0</v>
      </c>
      <c r="AA3584">
        <v>1</v>
      </c>
      <c r="AB3584">
        <v>8</v>
      </c>
      <c r="AC3584">
        <v>3</v>
      </c>
      <c r="AD3584">
        <v>0</v>
      </c>
      <c r="AE3584">
        <v>9</v>
      </c>
      <c r="AF3584" t="s">
        <v>138</v>
      </c>
      <c r="AG3584">
        <v>0</v>
      </c>
      <c r="AH3584">
        <v>3</v>
      </c>
      <c r="AI3584">
        <v>2</v>
      </c>
      <c r="AJ3584">
        <v>0</v>
      </c>
      <c r="AK3584" t="s">
        <v>1155</v>
      </c>
      <c r="AL3584">
        <v>39.153728000000001</v>
      </c>
      <c r="AM3584" t="s">
        <v>1110</v>
      </c>
      <c r="AN3584">
        <v>-121.030991</v>
      </c>
      <c r="AO3584">
        <v>25</v>
      </c>
      <c r="AP3584">
        <v>4100</v>
      </c>
      <c r="AQ3584" t="s">
        <v>131</v>
      </c>
      <c r="AR3584">
        <v>3</v>
      </c>
      <c r="AS3584">
        <v>92</v>
      </c>
      <c r="AT3584">
        <v>-192</v>
      </c>
      <c r="BB3584" t="str">
        <f t="shared" si="1396"/>
        <v>1200</v>
      </c>
      <c r="BC3584">
        <v>1</v>
      </c>
      <c r="BD3584" t="str">
        <f t="shared" si="1397"/>
        <v xml:space="preserve">N52156  </v>
      </c>
      <c r="BE3584">
        <v>1</v>
      </c>
      <c r="BG3584">
        <v>0</v>
      </c>
      <c r="BH3584">
        <v>0</v>
      </c>
      <c r="BI3584">
        <v>0</v>
      </c>
      <c r="BJ3584">
        <v>4100</v>
      </c>
      <c r="BK3584">
        <v>0</v>
      </c>
      <c r="BL3584" t="s">
        <v>188</v>
      </c>
      <c r="BM3584">
        <v>1</v>
      </c>
      <c r="BN3584">
        <v>1</v>
      </c>
      <c r="BO3584">
        <v>0</v>
      </c>
      <c r="BP3584">
        <v>0</v>
      </c>
      <c r="BS3584">
        <v>0</v>
      </c>
      <c r="BT3584">
        <v>0</v>
      </c>
      <c r="BU3584">
        <v>0</v>
      </c>
      <c r="CE3584" t="str">
        <f t="shared" ref="CE3584:CE3589" si="1419">"15:14:29.935"</f>
        <v>15:14:29.935</v>
      </c>
      <c r="CF3584">
        <v>935488280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4</v>
      </c>
      <c r="CY3584">
        <v>7</v>
      </c>
      <c r="CZ3584" t="s">
        <v>133</v>
      </c>
      <c r="DA3584">
        <v>275</v>
      </c>
      <c r="DB3584">
        <v>0</v>
      </c>
      <c r="DC3584" t="s">
        <v>134</v>
      </c>
      <c r="DD3584" t="s">
        <v>135</v>
      </c>
      <c r="DG3584">
        <v>3322807</v>
      </c>
      <c r="DI3584">
        <v>1</v>
      </c>
      <c r="DJ3584">
        <v>0</v>
      </c>
      <c r="DK3584">
        <v>0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3">
      <c r="A3585" t="str">
        <f>"05/01/2025 15:14:30.140"</f>
        <v>05/01/2025 15:14:30.140</v>
      </c>
      <c r="C3585" t="str">
        <f t="shared" si="1394"/>
        <v>FFDFD3C0</v>
      </c>
      <c r="D3585" t="s">
        <v>145</v>
      </c>
      <c r="E3585" t="str">
        <f>"05"</f>
        <v>05</v>
      </c>
      <c r="H3585">
        <v>47</v>
      </c>
      <c r="I3585" t="s">
        <v>146</v>
      </c>
      <c r="J3585" t="s">
        <v>138</v>
      </c>
      <c r="K3585">
        <v>0</v>
      </c>
      <c r="L3585">
        <v>3</v>
      </c>
      <c r="M3585">
        <v>0</v>
      </c>
      <c r="N3585">
        <v>2</v>
      </c>
      <c r="O3585">
        <v>0</v>
      </c>
      <c r="P3585">
        <v>1</v>
      </c>
      <c r="Q3585">
        <v>0</v>
      </c>
      <c r="R3585" t="s">
        <v>127</v>
      </c>
      <c r="S3585" t="str">
        <f t="shared" si="1418"/>
        <v>15:14:29.000</v>
      </c>
      <c r="T3585" t="str">
        <f t="shared" si="1418"/>
        <v>15:14:29.000</v>
      </c>
      <c r="U3585" t="str">
        <f t="shared" si="1395"/>
        <v>A68FCB</v>
      </c>
      <c r="V3585">
        <v>0</v>
      </c>
      <c r="W3585">
        <v>0</v>
      </c>
      <c r="X3585">
        <v>2</v>
      </c>
      <c r="Y3585">
        <v>0</v>
      </c>
      <c r="AA3585">
        <v>1</v>
      </c>
      <c r="AB3585">
        <v>8</v>
      </c>
      <c r="AC3585">
        <v>3</v>
      </c>
      <c r="AD3585">
        <v>0</v>
      </c>
      <c r="AE3585">
        <v>9</v>
      </c>
      <c r="AF3585" t="s">
        <v>138</v>
      </c>
      <c r="AG3585">
        <v>0</v>
      </c>
      <c r="AH3585">
        <v>3</v>
      </c>
      <c r="AI3585">
        <v>2</v>
      </c>
      <c r="AJ3585">
        <v>0</v>
      </c>
      <c r="AK3585" t="s">
        <v>1155</v>
      </c>
      <c r="AL3585">
        <v>39.153728000000001</v>
      </c>
      <c r="AM3585" t="s">
        <v>1110</v>
      </c>
      <c r="AN3585">
        <v>-121.030991</v>
      </c>
      <c r="AO3585">
        <v>25</v>
      </c>
      <c r="AP3585">
        <v>4100</v>
      </c>
      <c r="AQ3585" t="s">
        <v>131</v>
      </c>
      <c r="AR3585">
        <v>3</v>
      </c>
      <c r="AS3585">
        <v>92</v>
      </c>
      <c r="AT3585">
        <v>-192</v>
      </c>
      <c r="BB3585" t="str">
        <f t="shared" si="1396"/>
        <v>1200</v>
      </c>
      <c r="BC3585">
        <v>1</v>
      </c>
      <c r="BD3585" t="str">
        <f t="shared" si="1397"/>
        <v xml:space="preserve">N52156  </v>
      </c>
      <c r="BE3585">
        <v>1</v>
      </c>
      <c r="BG3585">
        <v>0</v>
      </c>
      <c r="BH3585">
        <v>0</v>
      </c>
      <c r="BI3585">
        <v>0</v>
      </c>
      <c r="BJ3585">
        <v>4100</v>
      </c>
      <c r="BK3585">
        <v>0</v>
      </c>
      <c r="BL3585" t="s">
        <v>188</v>
      </c>
      <c r="BM3585">
        <v>1</v>
      </c>
      <c r="BN3585">
        <v>1</v>
      </c>
      <c r="BO3585">
        <v>0</v>
      </c>
      <c r="BP3585">
        <v>0</v>
      </c>
      <c r="BS3585">
        <v>0</v>
      </c>
      <c r="BT3585">
        <v>0</v>
      </c>
      <c r="BU3585">
        <v>0</v>
      </c>
      <c r="CE3585" t="str">
        <f t="shared" si="1419"/>
        <v>15:14:29.935</v>
      </c>
      <c r="CF3585">
        <v>935488280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4</v>
      </c>
      <c r="CY3585">
        <v>7</v>
      </c>
      <c r="CZ3585" t="s">
        <v>133</v>
      </c>
      <c r="DA3585">
        <v>275</v>
      </c>
      <c r="DB3585">
        <v>0</v>
      </c>
      <c r="DC3585" t="s">
        <v>134</v>
      </c>
      <c r="DD3585" t="s">
        <v>135</v>
      </c>
      <c r="DG3585">
        <v>3322807</v>
      </c>
      <c r="DI3585">
        <v>1</v>
      </c>
      <c r="DJ3585">
        <v>0</v>
      </c>
      <c r="DK3585">
        <v>1</v>
      </c>
      <c r="DL3585">
        <v>0</v>
      </c>
      <c r="DM3585">
        <v>0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3">
      <c r="A3586" t="str">
        <f>"05/01/2025 15:14:30.151"</f>
        <v>05/01/2025 15:14:30.151</v>
      </c>
      <c r="C3586" t="str">
        <f t="shared" ref="C3586:C3649" si="1420">"FFDFD3C0"</f>
        <v>FFDFD3C0</v>
      </c>
      <c r="D3586" t="s">
        <v>136</v>
      </c>
      <c r="E3586" t="str">
        <f>"20"</f>
        <v>20</v>
      </c>
      <c r="H3586">
        <v>400</v>
      </c>
      <c r="I3586" t="s">
        <v>137</v>
      </c>
      <c r="J3586" t="s">
        <v>138</v>
      </c>
      <c r="K3586">
        <v>0</v>
      </c>
      <c r="L3586">
        <v>3</v>
      </c>
      <c r="M3586">
        <v>0</v>
      </c>
      <c r="N3586">
        <v>2</v>
      </c>
      <c r="O3586">
        <v>0</v>
      </c>
      <c r="P3586">
        <v>1</v>
      </c>
      <c r="Q3586">
        <v>0</v>
      </c>
      <c r="R3586" t="s">
        <v>127</v>
      </c>
      <c r="S3586" t="str">
        <f t="shared" si="1418"/>
        <v>15:14:29.000</v>
      </c>
      <c r="T3586" t="str">
        <f t="shared" si="1418"/>
        <v>15:14:29.000</v>
      </c>
      <c r="U3586" t="str">
        <f t="shared" ref="U3586:U3649" si="1421">"A68FCB"</f>
        <v>A68FCB</v>
      </c>
      <c r="V3586">
        <v>0</v>
      </c>
      <c r="W3586">
        <v>0</v>
      </c>
      <c r="X3586">
        <v>2</v>
      </c>
      <c r="Y3586">
        <v>0</v>
      </c>
      <c r="AA3586">
        <v>1</v>
      </c>
      <c r="AB3586">
        <v>8</v>
      </c>
      <c r="AC3586">
        <v>3</v>
      </c>
      <c r="AD3586">
        <v>0</v>
      </c>
      <c r="AE3586">
        <v>9</v>
      </c>
      <c r="AF3586" t="s">
        <v>138</v>
      </c>
      <c r="AG3586">
        <v>0</v>
      </c>
      <c r="AH3586">
        <v>3</v>
      </c>
      <c r="AI3586">
        <v>2</v>
      </c>
      <c r="AJ3586">
        <v>0</v>
      </c>
      <c r="AK3586" t="s">
        <v>1155</v>
      </c>
      <c r="AL3586">
        <v>39.153728000000001</v>
      </c>
      <c r="AM3586" t="s">
        <v>1110</v>
      </c>
      <c r="AN3586">
        <v>-121.030991</v>
      </c>
      <c r="AO3586">
        <v>25</v>
      </c>
      <c r="AP3586">
        <v>4100</v>
      </c>
      <c r="AQ3586" t="s">
        <v>131</v>
      </c>
      <c r="AR3586">
        <v>3</v>
      </c>
      <c r="AS3586">
        <v>92</v>
      </c>
      <c r="AT3586">
        <v>-192</v>
      </c>
      <c r="BB3586" t="str">
        <f t="shared" ref="BB3586:BB3649" si="1422">"1200"</f>
        <v>1200</v>
      </c>
      <c r="BC3586">
        <v>1</v>
      </c>
      <c r="BD3586" t="str">
        <f t="shared" ref="BD3586:BD3649" si="1423">"N52156  "</f>
        <v xml:space="preserve">N52156  </v>
      </c>
      <c r="BE3586">
        <v>1</v>
      </c>
      <c r="BG3586">
        <v>0</v>
      </c>
      <c r="BH3586">
        <v>0</v>
      </c>
      <c r="BI3586">
        <v>0</v>
      </c>
      <c r="BJ3586">
        <v>4100</v>
      </c>
      <c r="BK3586">
        <v>0</v>
      </c>
      <c r="BL3586" t="s">
        <v>188</v>
      </c>
      <c r="BM3586">
        <v>1</v>
      </c>
      <c r="BN3586">
        <v>1</v>
      </c>
      <c r="BO3586">
        <v>0</v>
      </c>
      <c r="BP3586">
        <v>0</v>
      </c>
      <c r="BS3586">
        <v>0</v>
      </c>
      <c r="BT3586">
        <v>0</v>
      </c>
      <c r="BU3586">
        <v>0</v>
      </c>
      <c r="CE3586" t="str">
        <f t="shared" si="1419"/>
        <v>15:14:29.935</v>
      </c>
      <c r="CF3586">
        <v>935488280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4</v>
      </c>
      <c r="CY3586">
        <v>7</v>
      </c>
      <c r="CZ3586" t="s">
        <v>133</v>
      </c>
      <c r="DA3586">
        <v>275</v>
      </c>
      <c r="DB3586">
        <v>0</v>
      </c>
      <c r="DC3586" t="s">
        <v>134</v>
      </c>
      <c r="DD3586" t="s">
        <v>135</v>
      </c>
      <c r="DG3586">
        <v>3322807</v>
      </c>
      <c r="DI3586">
        <v>1</v>
      </c>
      <c r="DJ3586">
        <v>0</v>
      </c>
      <c r="DK3586">
        <v>1</v>
      </c>
      <c r="DL3586">
        <v>0</v>
      </c>
      <c r="DM3586">
        <v>0</v>
      </c>
      <c r="DN3586">
        <v>0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3">
      <c r="A3587" t="str">
        <f>"05/01/2025 15:14:30.168"</f>
        <v>05/01/2025 15:14:30.168</v>
      </c>
      <c r="C3587" t="str">
        <f t="shared" si="1420"/>
        <v>FFDFD3C0</v>
      </c>
      <c r="D3587" t="s">
        <v>143</v>
      </c>
      <c r="E3587" t="str">
        <f>"05"</f>
        <v>05</v>
      </c>
      <c r="H3587">
        <v>172</v>
      </c>
      <c r="I3587" t="s">
        <v>141</v>
      </c>
      <c r="J3587" t="s">
        <v>144</v>
      </c>
      <c r="K3587">
        <v>0</v>
      </c>
      <c r="L3587">
        <v>3</v>
      </c>
      <c r="M3587">
        <v>0</v>
      </c>
      <c r="N3587">
        <v>2</v>
      </c>
      <c r="O3587">
        <v>0</v>
      </c>
      <c r="P3587">
        <v>1</v>
      </c>
      <c r="Q3587">
        <v>0</v>
      </c>
      <c r="R3587" t="s">
        <v>127</v>
      </c>
      <c r="S3587" t="str">
        <f t="shared" si="1418"/>
        <v>15:14:29.000</v>
      </c>
      <c r="T3587" t="str">
        <f t="shared" si="1418"/>
        <v>15:14:29.000</v>
      </c>
      <c r="U3587" t="str">
        <f t="shared" si="1421"/>
        <v>A68FCB</v>
      </c>
      <c r="V3587">
        <v>0</v>
      </c>
      <c r="W3587">
        <v>0</v>
      </c>
      <c r="X3587">
        <v>2</v>
      </c>
      <c r="Y3587">
        <v>0</v>
      </c>
      <c r="AA3587">
        <v>1</v>
      </c>
      <c r="AB3587">
        <v>8</v>
      </c>
      <c r="AC3587">
        <v>3</v>
      </c>
      <c r="AD3587">
        <v>0</v>
      </c>
      <c r="AE3587">
        <v>9</v>
      </c>
      <c r="AF3587" t="s">
        <v>138</v>
      </c>
      <c r="AG3587">
        <v>0</v>
      </c>
      <c r="AH3587">
        <v>3</v>
      </c>
      <c r="AI3587">
        <v>2</v>
      </c>
      <c r="AJ3587">
        <v>0</v>
      </c>
      <c r="AK3587" t="s">
        <v>1155</v>
      </c>
      <c r="AL3587">
        <v>39.153728000000001</v>
      </c>
      <c r="AM3587" t="s">
        <v>1110</v>
      </c>
      <c r="AN3587">
        <v>-121.030991</v>
      </c>
      <c r="AO3587">
        <v>25</v>
      </c>
      <c r="AP3587">
        <v>4100</v>
      </c>
      <c r="AQ3587" t="s">
        <v>131</v>
      </c>
      <c r="AR3587">
        <v>3</v>
      </c>
      <c r="AS3587">
        <v>92</v>
      </c>
      <c r="AT3587">
        <v>-192</v>
      </c>
      <c r="BB3587" t="str">
        <f t="shared" si="1422"/>
        <v>1200</v>
      </c>
      <c r="BC3587">
        <v>1</v>
      </c>
      <c r="BD3587" t="str">
        <f t="shared" si="1423"/>
        <v xml:space="preserve">N52156  </v>
      </c>
      <c r="BE3587">
        <v>1</v>
      </c>
      <c r="BG3587">
        <v>0</v>
      </c>
      <c r="BH3587">
        <v>0</v>
      </c>
      <c r="BI3587">
        <v>0</v>
      </c>
      <c r="BJ3587">
        <v>4100</v>
      </c>
      <c r="BK3587">
        <v>0</v>
      </c>
      <c r="BL3587" t="s">
        <v>188</v>
      </c>
      <c r="BM3587">
        <v>1</v>
      </c>
      <c r="BN3587">
        <v>1</v>
      </c>
      <c r="BO3587">
        <v>0</v>
      </c>
      <c r="BP3587">
        <v>0</v>
      </c>
      <c r="BS3587">
        <v>0</v>
      </c>
      <c r="BT3587">
        <v>0</v>
      </c>
      <c r="BU3587">
        <v>0</v>
      </c>
      <c r="CE3587" t="str">
        <f t="shared" si="1419"/>
        <v>15:14:29.935</v>
      </c>
      <c r="CF3587">
        <v>935488280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4</v>
      </c>
      <c r="CY3587">
        <v>7</v>
      </c>
      <c r="CZ3587" t="s">
        <v>133</v>
      </c>
      <c r="DA3587">
        <v>275</v>
      </c>
      <c r="DB3587">
        <v>0</v>
      </c>
      <c r="DC3587" t="s">
        <v>134</v>
      </c>
      <c r="DD3587" t="s">
        <v>135</v>
      </c>
      <c r="DG3587">
        <v>3322807</v>
      </c>
      <c r="DI3587">
        <v>1</v>
      </c>
      <c r="DJ3587">
        <v>0</v>
      </c>
      <c r="DK3587">
        <v>1</v>
      </c>
      <c r="DL3587">
        <v>0</v>
      </c>
      <c r="DM3587">
        <v>0</v>
      </c>
      <c r="DN3587">
        <v>0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3">
      <c r="A3588" t="str">
        <f>"05/01/2025 15:14:30.175"</f>
        <v>05/01/2025 15:14:30.175</v>
      </c>
      <c r="C3588" t="str">
        <f t="shared" si="1420"/>
        <v>FFDFD3C0</v>
      </c>
      <c r="D3588" t="s">
        <v>140</v>
      </c>
      <c r="E3588" t="str">
        <f>"13"</f>
        <v>13</v>
      </c>
      <c r="F3588">
        <v>1019</v>
      </c>
      <c r="G3588" t="s">
        <v>141</v>
      </c>
      <c r="J3588" t="s">
        <v>142</v>
      </c>
      <c r="K3588">
        <v>0</v>
      </c>
      <c r="L3588">
        <v>3</v>
      </c>
      <c r="M3588">
        <v>0</v>
      </c>
      <c r="N3588">
        <v>2</v>
      </c>
      <c r="O3588">
        <v>0</v>
      </c>
      <c r="P3588">
        <v>1</v>
      </c>
      <c r="Q3588">
        <v>0</v>
      </c>
      <c r="R3588" t="s">
        <v>127</v>
      </c>
      <c r="S3588" t="str">
        <f t="shared" si="1418"/>
        <v>15:14:29.000</v>
      </c>
      <c r="T3588" t="str">
        <f t="shared" si="1418"/>
        <v>15:14:29.000</v>
      </c>
      <c r="U3588" t="str">
        <f t="shared" si="1421"/>
        <v>A68FCB</v>
      </c>
      <c r="V3588">
        <v>0</v>
      </c>
      <c r="W3588">
        <v>0</v>
      </c>
      <c r="X3588">
        <v>2</v>
      </c>
      <c r="Y3588">
        <v>0</v>
      </c>
      <c r="AA3588">
        <v>1</v>
      </c>
      <c r="AB3588">
        <v>8</v>
      </c>
      <c r="AC3588">
        <v>3</v>
      </c>
      <c r="AD3588">
        <v>0</v>
      </c>
      <c r="AE3588">
        <v>9</v>
      </c>
      <c r="AF3588" t="s">
        <v>138</v>
      </c>
      <c r="AG3588">
        <v>0</v>
      </c>
      <c r="AH3588">
        <v>3</v>
      </c>
      <c r="AI3588">
        <v>2</v>
      </c>
      <c r="AJ3588">
        <v>0</v>
      </c>
      <c r="AK3588" t="s">
        <v>1155</v>
      </c>
      <c r="AL3588">
        <v>39.153728000000001</v>
      </c>
      <c r="AM3588" t="s">
        <v>1110</v>
      </c>
      <c r="AN3588">
        <v>-121.030991</v>
      </c>
      <c r="AO3588">
        <v>25</v>
      </c>
      <c r="AP3588">
        <v>4100</v>
      </c>
      <c r="AQ3588" t="s">
        <v>131</v>
      </c>
      <c r="AR3588">
        <v>3</v>
      </c>
      <c r="AS3588">
        <v>92</v>
      </c>
      <c r="AT3588">
        <v>-192</v>
      </c>
      <c r="BB3588" t="str">
        <f t="shared" si="1422"/>
        <v>1200</v>
      </c>
      <c r="BC3588">
        <v>1</v>
      </c>
      <c r="BD3588" t="str">
        <f t="shared" si="1423"/>
        <v xml:space="preserve">N52156  </v>
      </c>
      <c r="BE3588">
        <v>1</v>
      </c>
      <c r="BG3588">
        <v>0</v>
      </c>
      <c r="BH3588">
        <v>0</v>
      </c>
      <c r="BI3588">
        <v>0</v>
      </c>
      <c r="BJ3588">
        <v>4100</v>
      </c>
      <c r="BK3588">
        <v>0</v>
      </c>
      <c r="BL3588" t="s">
        <v>188</v>
      </c>
      <c r="BM3588">
        <v>1</v>
      </c>
      <c r="BN3588">
        <v>1</v>
      </c>
      <c r="BO3588">
        <v>0</v>
      </c>
      <c r="BP3588">
        <v>0</v>
      </c>
      <c r="BS3588">
        <v>0</v>
      </c>
      <c r="BT3588">
        <v>0</v>
      </c>
      <c r="BU3588">
        <v>0</v>
      </c>
      <c r="CE3588" t="str">
        <f t="shared" si="1419"/>
        <v>15:14:29.935</v>
      </c>
      <c r="CF3588">
        <v>935488280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4</v>
      </c>
      <c r="CY3588">
        <v>7</v>
      </c>
      <c r="CZ3588" t="s">
        <v>133</v>
      </c>
      <c r="DA3588">
        <v>275</v>
      </c>
      <c r="DB3588">
        <v>0</v>
      </c>
      <c r="DC3588" t="s">
        <v>134</v>
      </c>
      <c r="DD3588" t="s">
        <v>135</v>
      </c>
      <c r="DG3588">
        <v>3322807</v>
      </c>
      <c r="DI3588">
        <v>1</v>
      </c>
      <c r="DJ3588">
        <v>0</v>
      </c>
      <c r="DK3588">
        <v>1</v>
      </c>
      <c r="DL3588">
        <v>0</v>
      </c>
      <c r="DM3588">
        <v>0</v>
      </c>
      <c r="DN3588">
        <v>0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3">
      <c r="A3589" t="str">
        <f>"05/01/2025 15:14:30.177"</f>
        <v>05/01/2025 15:14:30.177</v>
      </c>
      <c r="C3589" t="str">
        <f t="shared" si="1420"/>
        <v>FFDFD3C0</v>
      </c>
      <c r="D3589" t="s">
        <v>124</v>
      </c>
      <c r="E3589" t="str">
        <f>"06"</f>
        <v>06</v>
      </c>
      <c r="F3589">
        <v>2006</v>
      </c>
      <c r="G3589" t="s">
        <v>125</v>
      </c>
      <c r="J3589" t="s">
        <v>126</v>
      </c>
      <c r="K3589">
        <v>0</v>
      </c>
      <c r="L3589">
        <v>3</v>
      </c>
      <c r="M3589">
        <v>0</v>
      </c>
      <c r="N3589">
        <v>2</v>
      </c>
      <c r="O3589">
        <v>0</v>
      </c>
      <c r="P3589">
        <v>1</v>
      </c>
      <c r="Q3589">
        <v>0</v>
      </c>
      <c r="R3589" t="s">
        <v>127</v>
      </c>
      <c r="S3589" t="str">
        <f t="shared" si="1418"/>
        <v>15:14:29.000</v>
      </c>
      <c r="T3589" t="str">
        <f t="shared" si="1418"/>
        <v>15:14:29.000</v>
      </c>
      <c r="U3589" t="str">
        <f t="shared" si="1421"/>
        <v>A68FCB</v>
      </c>
      <c r="V3589">
        <v>0</v>
      </c>
      <c r="W3589">
        <v>0</v>
      </c>
      <c r="X3589">
        <v>2</v>
      </c>
      <c r="Y3589">
        <v>0</v>
      </c>
      <c r="AA3589">
        <v>1</v>
      </c>
      <c r="AB3589">
        <v>8</v>
      </c>
      <c r="AC3589">
        <v>3</v>
      </c>
      <c r="AD3589">
        <v>0</v>
      </c>
      <c r="AE3589">
        <v>9</v>
      </c>
      <c r="AF3589" t="s">
        <v>138</v>
      </c>
      <c r="AG3589">
        <v>0</v>
      </c>
      <c r="AH3589">
        <v>3</v>
      </c>
      <c r="AI3589">
        <v>2</v>
      </c>
      <c r="AJ3589">
        <v>0</v>
      </c>
      <c r="AK3589" t="s">
        <v>1155</v>
      </c>
      <c r="AL3589">
        <v>39.153728000000001</v>
      </c>
      <c r="AM3589" t="s">
        <v>1110</v>
      </c>
      <c r="AN3589">
        <v>-121.030991</v>
      </c>
      <c r="AO3589">
        <v>25</v>
      </c>
      <c r="AP3589">
        <v>4100</v>
      </c>
      <c r="AQ3589" t="s">
        <v>131</v>
      </c>
      <c r="AR3589">
        <v>3</v>
      </c>
      <c r="AS3589">
        <v>92</v>
      </c>
      <c r="AT3589">
        <v>-192</v>
      </c>
      <c r="BB3589" t="str">
        <f t="shared" si="1422"/>
        <v>1200</v>
      </c>
      <c r="BC3589">
        <v>1</v>
      </c>
      <c r="BD3589" t="str">
        <f t="shared" si="1423"/>
        <v xml:space="preserve">N52156  </v>
      </c>
      <c r="BE3589">
        <v>1</v>
      </c>
      <c r="BG3589">
        <v>0</v>
      </c>
      <c r="BH3589">
        <v>0</v>
      </c>
      <c r="BI3589">
        <v>0</v>
      </c>
      <c r="BJ3589">
        <v>4100</v>
      </c>
      <c r="BK3589">
        <v>0</v>
      </c>
      <c r="BL3589" t="s">
        <v>188</v>
      </c>
      <c r="BM3589">
        <v>1</v>
      </c>
      <c r="BN3589">
        <v>1</v>
      </c>
      <c r="BO3589">
        <v>0</v>
      </c>
      <c r="BP3589">
        <v>0</v>
      </c>
      <c r="BS3589">
        <v>0</v>
      </c>
      <c r="BT3589">
        <v>0</v>
      </c>
      <c r="BU3589">
        <v>0</v>
      </c>
      <c r="CE3589" t="str">
        <f t="shared" si="1419"/>
        <v>15:14:29.935</v>
      </c>
      <c r="CF3589">
        <v>935488280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4</v>
      </c>
      <c r="CY3589">
        <v>7</v>
      </c>
      <c r="CZ3589" t="s">
        <v>133</v>
      </c>
      <c r="DA3589">
        <v>275</v>
      </c>
      <c r="DB3589">
        <v>0</v>
      </c>
      <c r="DC3589" t="s">
        <v>134</v>
      </c>
      <c r="DD3589" t="s">
        <v>135</v>
      </c>
      <c r="DG3589">
        <v>3322807</v>
      </c>
      <c r="DI3589">
        <v>1</v>
      </c>
      <c r="DJ3589">
        <v>0</v>
      </c>
      <c r="DK3589">
        <v>1</v>
      </c>
      <c r="DL3589">
        <v>0</v>
      </c>
      <c r="DM3589">
        <v>0</v>
      </c>
      <c r="DN3589">
        <v>0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3">
      <c r="A3590" t="str">
        <f>"05/01/2025 15:14:31.052"</f>
        <v>05/01/2025 15:14:31.052</v>
      </c>
      <c r="C3590" t="str">
        <f t="shared" si="1420"/>
        <v>FFDFD3C0</v>
      </c>
      <c r="D3590" t="s">
        <v>136</v>
      </c>
      <c r="E3590" t="str">
        <f>"20"</f>
        <v>20</v>
      </c>
      <c r="H3590">
        <v>400</v>
      </c>
      <c r="I3590" t="s">
        <v>137</v>
      </c>
      <c r="J3590" t="s">
        <v>138</v>
      </c>
      <c r="K3590">
        <v>0</v>
      </c>
      <c r="L3590">
        <v>3</v>
      </c>
      <c r="M3590">
        <v>0</v>
      </c>
      <c r="N3590">
        <v>2</v>
      </c>
      <c r="O3590">
        <v>0</v>
      </c>
      <c r="P3590">
        <v>1</v>
      </c>
      <c r="Q3590">
        <v>0</v>
      </c>
      <c r="R3590" t="s">
        <v>127</v>
      </c>
      <c r="S3590" t="str">
        <f t="shared" ref="S3590:T3595" si="1424">"15:14:30.000"</f>
        <v>15:14:30.000</v>
      </c>
      <c r="T3590" t="str">
        <f t="shared" si="1424"/>
        <v>15:14:30.000</v>
      </c>
      <c r="U3590" t="str">
        <f t="shared" si="1421"/>
        <v>A68FCB</v>
      </c>
      <c r="V3590">
        <v>0</v>
      </c>
      <c r="W3590">
        <v>0</v>
      </c>
      <c r="X3590">
        <v>2</v>
      </c>
      <c r="Y3590">
        <v>0</v>
      </c>
      <c r="AA3590">
        <v>1</v>
      </c>
      <c r="AB3590">
        <v>8</v>
      </c>
      <c r="AC3590">
        <v>3</v>
      </c>
      <c r="AD3590">
        <v>0</v>
      </c>
      <c r="AE3590">
        <v>9</v>
      </c>
      <c r="AF3590" t="s">
        <v>138</v>
      </c>
      <c r="AG3590">
        <v>0</v>
      </c>
      <c r="AH3590">
        <v>3</v>
      </c>
      <c r="AI3590">
        <v>2</v>
      </c>
      <c r="AJ3590">
        <v>0</v>
      </c>
      <c r="AK3590" t="s">
        <v>1156</v>
      </c>
      <c r="AL3590">
        <v>39.154136000000001</v>
      </c>
      <c r="AM3590" t="s">
        <v>1157</v>
      </c>
      <c r="AN3590">
        <v>-121.030948</v>
      </c>
      <c r="AO3590">
        <v>25</v>
      </c>
      <c r="AP3590">
        <v>4100</v>
      </c>
      <c r="AQ3590" t="s">
        <v>131</v>
      </c>
      <c r="AR3590">
        <v>2</v>
      </c>
      <c r="AS3590">
        <v>93</v>
      </c>
      <c r="AT3590">
        <v>-128</v>
      </c>
      <c r="BB3590" t="str">
        <f t="shared" si="1422"/>
        <v>1200</v>
      </c>
      <c r="BC3590">
        <v>1</v>
      </c>
      <c r="BD3590" t="str">
        <f t="shared" si="1423"/>
        <v xml:space="preserve">N52156  </v>
      </c>
      <c r="BE3590">
        <v>1</v>
      </c>
      <c r="BG3590">
        <v>0</v>
      </c>
      <c r="BH3590">
        <v>0</v>
      </c>
      <c r="BI3590">
        <v>0</v>
      </c>
      <c r="BJ3590">
        <v>4100</v>
      </c>
      <c r="BK3590">
        <v>0</v>
      </c>
      <c r="BL3590" t="s">
        <v>188</v>
      </c>
      <c r="BM3590">
        <v>1</v>
      </c>
      <c r="BN3590">
        <v>1</v>
      </c>
      <c r="BO3590">
        <v>0</v>
      </c>
      <c r="BP3590">
        <v>0</v>
      </c>
      <c r="BS3590">
        <v>0</v>
      </c>
      <c r="BT3590">
        <v>0</v>
      </c>
      <c r="BU3590">
        <v>0</v>
      </c>
      <c r="CE3590" t="str">
        <f t="shared" ref="CE3590:CE3595" si="1425">"15:14:30.834"</f>
        <v>15:14:30.834</v>
      </c>
      <c r="CF3590">
        <v>834238051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4</v>
      </c>
      <c r="CY3590">
        <v>7</v>
      </c>
      <c r="CZ3590" t="s">
        <v>133</v>
      </c>
      <c r="DA3590">
        <v>275</v>
      </c>
      <c r="DB3590">
        <v>0</v>
      </c>
      <c r="DC3590" t="s">
        <v>134</v>
      </c>
      <c r="DD3590" t="s">
        <v>135</v>
      </c>
      <c r="DG3590">
        <v>3322812</v>
      </c>
      <c r="DI3590">
        <v>1</v>
      </c>
      <c r="DJ3590">
        <v>0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3">
      <c r="A3591" t="str">
        <f>"05/01/2025 15:14:31.070"</f>
        <v>05/01/2025 15:14:31.070</v>
      </c>
      <c r="C3591" t="str">
        <f t="shared" si="1420"/>
        <v>FFDFD3C0</v>
      </c>
      <c r="D3591" t="s">
        <v>143</v>
      </c>
      <c r="E3591" t="str">
        <f>"05"</f>
        <v>05</v>
      </c>
      <c r="H3591">
        <v>172</v>
      </c>
      <c r="I3591" t="s">
        <v>141</v>
      </c>
      <c r="J3591" t="s">
        <v>144</v>
      </c>
      <c r="K3591">
        <v>0</v>
      </c>
      <c r="L3591">
        <v>3</v>
      </c>
      <c r="M3591">
        <v>0</v>
      </c>
      <c r="N3591">
        <v>2</v>
      </c>
      <c r="O3591">
        <v>0</v>
      </c>
      <c r="P3591">
        <v>1</v>
      </c>
      <c r="Q3591">
        <v>0</v>
      </c>
      <c r="R3591" t="s">
        <v>127</v>
      </c>
      <c r="S3591" t="str">
        <f t="shared" si="1424"/>
        <v>15:14:30.000</v>
      </c>
      <c r="T3591" t="str">
        <f t="shared" si="1424"/>
        <v>15:14:30.000</v>
      </c>
      <c r="U3591" t="str">
        <f t="shared" si="1421"/>
        <v>A68FCB</v>
      </c>
      <c r="V3591">
        <v>0</v>
      </c>
      <c r="W3591">
        <v>0</v>
      </c>
      <c r="X3591">
        <v>2</v>
      </c>
      <c r="Y3591">
        <v>0</v>
      </c>
      <c r="AA3591">
        <v>1</v>
      </c>
      <c r="AB3591">
        <v>8</v>
      </c>
      <c r="AC3591">
        <v>3</v>
      </c>
      <c r="AD3591">
        <v>0</v>
      </c>
      <c r="AE3591">
        <v>9</v>
      </c>
      <c r="AF3591" t="s">
        <v>138</v>
      </c>
      <c r="AG3591">
        <v>0</v>
      </c>
      <c r="AH3591">
        <v>3</v>
      </c>
      <c r="AI3591">
        <v>2</v>
      </c>
      <c r="AJ3591">
        <v>0</v>
      </c>
      <c r="AK3591" t="s">
        <v>1156</v>
      </c>
      <c r="AL3591">
        <v>39.154136000000001</v>
      </c>
      <c r="AM3591" t="s">
        <v>1157</v>
      </c>
      <c r="AN3591">
        <v>-121.030948</v>
      </c>
      <c r="AO3591">
        <v>25</v>
      </c>
      <c r="AP3591">
        <v>4100</v>
      </c>
      <c r="AQ3591" t="s">
        <v>131</v>
      </c>
      <c r="AR3591">
        <v>2</v>
      </c>
      <c r="AS3591">
        <v>93</v>
      </c>
      <c r="AT3591">
        <v>-128</v>
      </c>
      <c r="BB3591" t="str">
        <f t="shared" si="1422"/>
        <v>1200</v>
      </c>
      <c r="BC3591">
        <v>1</v>
      </c>
      <c r="BD3591" t="str">
        <f t="shared" si="1423"/>
        <v xml:space="preserve">N52156  </v>
      </c>
      <c r="BE3591">
        <v>1</v>
      </c>
      <c r="BG3591">
        <v>0</v>
      </c>
      <c r="BH3591">
        <v>0</v>
      </c>
      <c r="BI3591">
        <v>0</v>
      </c>
      <c r="BJ3591">
        <v>4100</v>
      </c>
      <c r="BK3591">
        <v>0</v>
      </c>
      <c r="BL3591" t="s">
        <v>188</v>
      </c>
      <c r="BM3591">
        <v>1</v>
      </c>
      <c r="BN3591">
        <v>1</v>
      </c>
      <c r="BO3591">
        <v>0</v>
      </c>
      <c r="BP3591">
        <v>0</v>
      </c>
      <c r="BS3591">
        <v>0</v>
      </c>
      <c r="BT3591">
        <v>0</v>
      </c>
      <c r="BU3591">
        <v>0</v>
      </c>
      <c r="CE3591" t="str">
        <f t="shared" si="1425"/>
        <v>15:14:30.834</v>
      </c>
      <c r="CF3591">
        <v>834238051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4</v>
      </c>
      <c r="CY3591">
        <v>7</v>
      </c>
      <c r="CZ3591" t="s">
        <v>133</v>
      </c>
      <c r="DA3591">
        <v>275</v>
      </c>
      <c r="DB3591">
        <v>0</v>
      </c>
      <c r="DC3591" t="s">
        <v>134</v>
      </c>
      <c r="DD3591" t="s">
        <v>135</v>
      </c>
      <c r="DG3591">
        <v>3322812</v>
      </c>
      <c r="DI3591">
        <v>1</v>
      </c>
      <c r="DJ3591">
        <v>0</v>
      </c>
      <c r="DK3591">
        <v>1</v>
      </c>
      <c r="DL3591">
        <v>0</v>
      </c>
      <c r="DM3591">
        <v>0</v>
      </c>
      <c r="DN3591">
        <v>0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3">
      <c r="A3592" t="str">
        <f>"05/01/2025 15:14:31.077"</f>
        <v>05/01/2025 15:14:31.077</v>
      </c>
      <c r="C3592" t="str">
        <f t="shared" si="1420"/>
        <v>FFDFD3C0</v>
      </c>
      <c r="D3592" t="s">
        <v>140</v>
      </c>
      <c r="E3592" t="str">
        <f>"13"</f>
        <v>13</v>
      </c>
      <c r="F3592">
        <v>1019</v>
      </c>
      <c r="G3592" t="s">
        <v>141</v>
      </c>
      <c r="J3592" t="s">
        <v>142</v>
      </c>
      <c r="K3592">
        <v>0</v>
      </c>
      <c r="L3592">
        <v>3</v>
      </c>
      <c r="M3592">
        <v>0</v>
      </c>
      <c r="N3592">
        <v>2</v>
      </c>
      <c r="O3592">
        <v>0</v>
      </c>
      <c r="P3592">
        <v>1</v>
      </c>
      <c r="Q3592">
        <v>0</v>
      </c>
      <c r="R3592" t="s">
        <v>127</v>
      </c>
      <c r="S3592" t="str">
        <f t="shared" si="1424"/>
        <v>15:14:30.000</v>
      </c>
      <c r="T3592" t="str">
        <f t="shared" si="1424"/>
        <v>15:14:30.000</v>
      </c>
      <c r="U3592" t="str">
        <f t="shared" si="1421"/>
        <v>A68FCB</v>
      </c>
      <c r="V3592">
        <v>0</v>
      </c>
      <c r="W3592">
        <v>0</v>
      </c>
      <c r="X3592">
        <v>2</v>
      </c>
      <c r="Y3592">
        <v>0</v>
      </c>
      <c r="AA3592">
        <v>1</v>
      </c>
      <c r="AB3592">
        <v>8</v>
      </c>
      <c r="AC3592">
        <v>3</v>
      </c>
      <c r="AD3592">
        <v>0</v>
      </c>
      <c r="AE3592">
        <v>9</v>
      </c>
      <c r="AF3592" t="s">
        <v>138</v>
      </c>
      <c r="AG3592">
        <v>0</v>
      </c>
      <c r="AH3592">
        <v>3</v>
      </c>
      <c r="AI3592">
        <v>2</v>
      </c>
      <c r="AJ3592">
        <v>0</v>
      </c>
      <c r="AK3592" t="s">
        <v>1156</v>
      </c>
      <c r="AL3592">
        <v>39.154136000000001</v>
      </c>
      <c r="AM3592" t="s">
        <v>1157</v>
      </c>
      <c r="AN3592">
        <v>-121.030948</v>
      </c>
      <c r="AO3592">
        <v>25</v>
      </c>
      <c r="AP3592">
        <v>4100</v>
      </c>
      <c r="AQ3592" t="s">
        <v>131</v>
      </c>
      <c r="AR3592">
        <v>2</v>
      </c>
      <c r="AS3592">
        <v>93</v>
      </c>
      <c r="AT3592">
        <v>-128</v>
      </c>
      <c r="BB3592" t="str">
        <f t="shared" si="1422"/>
        <v>1200</v>
      </c>
      <c r="BC3592">
        <v>1</v>
      </c>
      <c r="BD3592" t="str">
        <f t="shared" si="1423"/>
        <v xml:space="preserve">N52156  </v>
      </c>
      <c r="BE3592">
        <v>1</v>
      </c>
      <c r="BG3592">
        <v>0</v>
      </c>
      <c r="BH3592">
        <v>0</v>
      </c>
      <c r="BI3592">
        <v>0</v>
      </c>
      <c r="BJ3592">
        <v>4100</v>
      </c>
      <c r="BK3592">
        <v>0</v>
      </c>
      <c r="BL3592" t="s">
        <v>188</v>
      </c>
      <c r="BM3592">
        <v>1</v>
      </c>
      <c r="BN3592">
        <v>1</v>
      </c>
      <c r="BO3592">
        <v>0</v>
      </c>
      <c r="BP3592">
        <v>0</v>
      </c>
      <c r="BS3592">
        <v>0</v>
      </c>
      <c r="BT3592">
        <v>0</v>
      </c>
      <c r="BU3592">
        <v>0</v>
      </c>
      <c r="CE3592" t="str">
        <f t="shared" si="1425"/>
        <v>15:14:30.834</v>
      </c>
      <c r="CF3592">
        <v>834238051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4</v>
      </c>
      <c r="CY3592">
        <v>7</v>
      </c>
      <c r="CZ3592" t="s">
        <v>133</v>
      </c>
      <c r="DA3592">
        <v>275</v>
      </c>
      <c r="DB3592">
        <v>0</v>
      </c>
      <c r="DC3592" t="s">
        <v>134</v>
      </c>
      <c r="DD3592" t="s">
        <v>135</v>
      </c>
      <c r="DG3592">
        <v>3322812</v>
      </c>
      <c r="DI3592">
        <v>1</v>
      </c>
      <c r="DJ3592">
        <v>0</v>
      </c>
      <c r="DK3592">
        <v>1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3">
      <c r="A3593" t="str">
        <f>"05/01/2025 15:14:31.079"</f>
        <v>05/01/2025 15:14:31.079</v>
      </c>
      <c r="C3593" t="str">
        <f t="shared" si="1420"/>
        <v>FFDFD3C0</v>
      </c>
      <c r="D3593" t="s">
        <v>124</v>
      </c>
      <c r="E3593" t="str">
        <f>"06"</f>
        <v>06</v>
      </c>
      <c r="F3593">
        <v>2006</v>
      </c>
      <c r="G3593" t="s">
        <v>125</v>
      </c>
      <c r="J3593" t="s">
        <v>126</v>
      </c>
      <c r="K3593">
        <v>0</v>
      </c>
      <c r="L3593">
        <v>3</v>
      </c>
      <c r="M3593">
        <v>0</v>
      </c>
      <c r="N3593">
        <v>2</v>
      </c>
      <c r="O3593">
        <v>0</v>
      </c>
      <c r="P3593">
        <v>1</v>
      </c>
      <c r="Q3593">
        <v>0</v>
      </c>
      <c r="R3593" t="s">
        <v>127</v>
      </c>
      <c r="S3593" t="str">
        <f t="shared" si="1424"/>
        <v>15:14:30.000</v>
      </c>
      <c r="T3593" t="str">
        <f t="shared" si="1424"/>
        <v>15:14:30.000</v>
      </c>
      <c r="U3593" t="str">
        <f t="shared" si="1421"/>
        <v>A68FCB</v>
      </c>
      <c r="V3593">
        <v>0</v>
      </c>
      <c r="W3593">
        <v>0</v>
      </c>
      <c r="X3593">
        <v>2</v>
      </c>
      <c r="Y3593">
        <v>0</v>
      </c>
      <c r="AA3593">
        <v>1</v>
      </c>
      <c r="AB3593">
        <v>8</v>
      </c>
      <c r="AC3593">
        <v>3</v>
      </c>
      <c r="AD3593">
        <v>0</v>
      </c>
      <c r="AE3593">
        <v>9</v>
      </c>
      <c r="AF3593" t="s">
        <v>138</v>
      </c>
      <c r="AG3593">
        <v>0</v>
      </c>
      <c r="AH3593">
        <v>3</v>
      </c>
      <c r="AI3593">
        <v>2</v>
      </c>
      <c r="AJ3593">
        <v>0</v>
      </c>
      <c r="AK3593" t="s">
        <v>1156</v>
      </c>
      <c r="AL3593">
        <v>39.154136000000001</v>
      </c>
      <c r="AM3593" t="s">
        <v>1157</v>
      </c>
      <c r="AN3593">
        <v>-121.030948</v>
      </c>
      <c r="AO3593">
        <v>25</v>
      </c>
      <c r="AP3593">
        <v>4100</v>
      </c>
      <c r="AQ3593" t="s">
        <v>131</v>
      </c>
      <c r="AR3593">
        <v>2</v>
      </c>
      <c r="AS3593">
        <v>93</v>
      </c>
      <c r="AT3593">
        <v>-128</v>
      </c>
      <c r="BB3593" t="str">
        <f t="shared" si="1422"/>
        <v>1200</v>
      </c>
      <c r="BC3593">
        <v>1</v>
      </c>
      <c r="BD3593" t="str">
        <f t="shared" si="1423"/>
        <v xml:space="preserve">N52156  </v>
      </c>
      <c r="BE3593">
        <v>1</v>
      </c>
      <c r="BG3593">
        <v>0</v>
      </c>
      <c r="BH3593">
        <v>0</v>
      </c>
      <c r="BI3593">
        <v>0</v>
      </c>
      <c r="BJ3593">
        <v>4100</v>
      </c>
      <c r="BK3593">
        <v>0</v>
      </c>
      <c r="BL3593" t="s">
        <v>188</v>
      </c>
      <c r="BM3593">
        <v>1</v>
      </c>
      <c r="BN3593">
        <v>1</v>
      </c>
      <c r="BO3593">
        <v>0</v>
      </c>
      <c r="BP3593">
        <v>0</v>
      </c>
      <c r="BS3593">
        <v>0</v>
      </c>
      <c r="BT3593">
        <v>0</v>
      </c>
      <c r="BU3593">
        <v>0</v>
      </c>
      <c r="CE3593" t="str">
        <f t="shared" si="1425"/>
        <v>15:14:30.834</v>
      </c>
      <c r="CF3593">
        <v>834238051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4</v>
      </c>
      <c r="CY3593">
        <v>7</v>
      </c>
      <c r="CZ3593" t="s">
        <v>133</v>
      </c>
      <c r="DA3593">
        <v>275</v>
      </c>
      <c r="DB3593">
        <v>0</v>
      </c>
      <c r="DC3593" t="s">
        <v>134</v>
      </c>
      <c r="DD3593" t="s">
        <v>135</v>
      </c>
      <c r="DG3593">
        <v>3322812</v>
      </c>
      <c r="DI3593">
        <v>1</v>
      </c>
      <c r="DJ3593">
        <v>0</v>
      </c>
      <c r="DK3593">
        <v>1</v>
      </c>
      <c r="DL3593">
        <v>0</v>
      </c>
      <c r="DM3593">
        <v>0</v>
      </c>
      <c r="DN3593">
        <v>0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3">
      <c r="A3594" t="str">
        <f>"05/01/2025 15:14:31.089"</f>
        <v>05/01/2025 15:14:31.089</v>
      </c>
      <c r="C3594" t="str">
        <f t="shared" si="1420"/>
        <v>FFDFD3C0</v>
      </c>
      <c r="D3594" t="s">
        <v>145</v>
      </c>
      <c r="E3594" t="str">
        <f>"09"</f>
        <v>09</v>
      </c>
      <c r="H3594">
        <v>51</v>
      </c>
      <c r="I3594" t="s">
        <v>147</v>
      </c>
      <c r="J3594" t="s">
        <v>138</v>
      </c>
      <c r="K3594">
        <v>0</v>
      </c>
      <c r="L3594">
        <v>3</v>
      </c>
      <c r="M3594">
        <v>0</v>
      </c>
      <c r="N3594">
        <v>2</v>
      </c>
      <c r="O3594">
        <v>0</v>
      </c>
      <c r="P3594">
        <v>1</v>
      </c>
      <c r="Q3594">
        <v>0</v>
      </c>
      <c r="R3594" t="s">
        <v>127</v>
      </c>
      <c r="S3594" t="str">
        <f t="shared" si="1424"/>
        <v>15:14:30.000</v>
      </c>
      <c r="T3594" t="str">
        <f t="shared" si="1424"/>
        <v>15:14:30.000</v>
      </c>
      <c r="U3594" t="str">
        <f t="shared" si="1421"/>
        <v>A68FCB</v>
      </c>
      <c r="V3594">
        <v>0</v>
      </c>
      <c r="W3594">
        <v>0</v>
      </c>
      <c r="X3594">
        <v>2</v>
      </c>
      <c r="Y3594">
        <v>0</v>
      </c>
      <c r="AA3594">
        <v>1</v>
      </c>
      <c r="AB3594">
        <v>8</v>
      </c>
      <c r="AC3594">
        <v>3</v>
      </c>
      <c r="AD3594">
        <v>0</v>
      </c>
      <c r="AE3594">
        <v>9</v>
      </c>
      <c r="AF3594" t="s">
        <v>138</v>
      </c>
      <c r="AG3594">
        <v>0</v>
      </c>
      <c r="AH3594">
        <v>3</v>
      </c>
      <c r="AI3594">
        <v>2</v>
      </c>
      <c r="AJ3594">
        <v>0</v>
      </c>
      <c r="AK3594" t="s">
        <v>1156</v>
      </c>
      <c r="AL3594">
        <v>39.154136000000001</v>
      </c>
      <c r="AM3594" t="s">
        <v>1157</v>
      </c>
      <c r="AN3594">
        <v>-121.030948</v>
      </c>
      <c r="AO3594">
        <v>25</v>
      </c>
      <c r="AP3594">
        <v>4100</v>
      </c>
      <c r="AQ3594" t="s">
        <v>131</v>
      </c>
      <c r="AR3594">
        <v>2</v>
      </c>
      <c r="AS3594">
        <v>93</v>
      </c>
      <c r="AT3594">
        <v>-128</v>
      </c>
      <c r="BB3594" t="str">
        <f t="shared" si="1422"/>
        <v>1200</v>
      </c>
      <c r="BC3594">
        <v>1</v>
      </c>
      <c r="BD3594" t="str">
        <f t="shared" si="1423"/>
        <v xml:space="preserve">N52156  </v>
      </c>
      <c r="BE3594">
        <v>1</v>
      </c>
      <c r="BG3594">
        <v>0</v>
      </c>
      <c r="BH3594">
        <v>0</v>
      </c>
      <c r="BI3594">
        <v>0</v>
      </c>
      <c r="BJ3594">
        <v>4100</v>
      </c>
      <c r="BK3594">
        <v>0</v>
      </c>
      <c r="BL3594" t="s">
        <v>188</v>
      </c>
      <c r="BM3594">
        <v>1</v>
      </c>
      <c r="BN3594">
        <v>1</v>
      </c>
      <c r="BO3594">
        <v>0</v>
      </c>
      <c r="BP3594">
        <v>0</v>
      </c>
      <c r="BS3594">
        <v>0</v>
      </c>
      <c r="BT3594">
        <v>0</v>
      </c>
      <c r="BU3594">
        <v>0</v>
      </c>
      <c r="CE3594" t="str">
        <f t="shared" si="1425"/>
        <v>15:14:30.834</v>
      </c>
      <c r="CF3594">
        <v>834238051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4</v>
      </c>
      <c r="CY3594">
        <v>7</v>
      </c>
      <c r="CZ3594" t="s">
        <v>133</v>
      </c>
      <c r="DA3594">
        <v>275</v>
      </c>
      <c r="DB3594">
        <v>0</v>
      </c>
      <c r="DC3594" t="s">
        <v>134</v>
      </c>
      <c r="DD3594" t="s">
        <v>135</v>
      </c>
      <c r="DG3594">
        <v>3322812</v>
      </c>
      <c r="DI3594">
        <v>1</v>
      </c>
      <c r="DJ3594">
        <v>0</v>
      </c>
      <c r="DK3594">
        <v>1</v>
      </c>
      <c r="DL3594">
        <v>0</v>
      </c>
      <c r="DM3594">
        <v>0</v>
      </c>
      <c r="DN3594">
        <v>0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3">
      <c r="A3595" t="str">
        <f>"05/01/2025 15:14:31.092"</f>
        <v>05/01/2025 15:14:31.092</v>
      </c>
      <c r="C3595" t="str">
        <f t="shared" si="1420"/>
        <v>FFDFD3C0</v>
      </c>
      <c r="D3595" t="s">
        <v>145</v>
      </c>
      <c r="E3595" t="str">
        <f>"05"</f>
        <v>05</v>
      </c>
      <c r="H3595">
        <v>47</v>
      </c>
      <c r="I3595" t="s">
        <v>146</v>
      </c>
      <c r="J3595" t="s">
        <v>138</v>
      </c>
      <c r="K3595">
        <v>0</v>
      </c>
      <c r="L3595">
        <v>3</v>
      </c>
      <c r="M3595">
        <v>0</v>
      </c>
      <c r="N3595">
        <v>2</v>
      </c>
      <c r="O3595">
        <v>0</v>
      </c>
      <c r="P3595">
        <v>1</v>
      </c>
      <c r="Q3595">
        <v>0</v>
      </c>
      <c r="R3595" t="s">
        <v>127</v>
      </c>
      <c r="S3595" t="str">
        <f t="shared" si="1424"/>
        <v>15:14:30.000</v>
      </c>
      <c r="T3595" t="str">
        <f t="shared" si="1424"/>
        <v>15:14:30.000</v>
      </c>
      <c r="U3595" t="str">
        <f t="shared" si="1421"/>
        <v>A68FCB</v>
      </c>
      <c r="V3595">
        <v>0</v>
      </c>
      <c r="W3595">
        <v>0</v>
      </c>
      <c r="X3595">
        <v>2</v>
      </c>
      <c r="Y3595">
        <v>0</v>
      </c>
      <c r="AA3595">
        <v>1</v>
      </c>
      <c r="AB3595">
        <v>8</v>
      </c>
      <c r="AC3595">
        <v>3</v>
      </c>
      <c r="AD3595">
        <v>0</v>
      </c>
      <c r="AE3595">
        <v>9</v>
      </c>
      <c r="AF3595" t="s">
        <v>138</v>
      </c>
      <c r="AG3595">
        <v>0</v>
      </c>
      <c r="AH3595">
        <v>3</v>
      </c>
      <c r="AI3595">
        <v>2</v>
      </c>
      <c r="AJ3595">
        <v>0</v>
      </c>
      <c r="AK3595" t="s">
        <v>1156</v>
      </c>
      <c r="AL3595">
        <v>39.154136000000001</v>
      </c>
      <c r="AM3595" t="s">
        <v>1157</v>
      </c>
      <c r="AN3595">
        <v>-121.030948</v>
      </c>
      <c r="AO3595">
        <v>25</v>
      </c>
      <c r="AP3595">
        <v>4100</v>
      </c>
      <c r="AQ3595" t="s">
        <v>131</v>
      </c>
      <c r="AR3595">
        <v>2</v>
      </c>
      <c r="AS3595">
        <v>93</v>
      </c>
      <c r="AT3595">
        <v>-128</v>
      </c>
      <c r="BB3595" t="str">
        <f t="shared" si="1422"/>
        <v>1200</v>
      </c>
      <c r="BC3595">
        <v>1</v>
      </c>
      <c r="BD3595" t="str">
        <f t="shared" si="1423"/>
        <v xml:space="preserve">N52156  </v>
      </c>
      <c r="BE3595">
        <v>1</v>
      </c>
      <c r="BG3595">
        <v>0</v>
      </c>
      <c r="BH3595">
        <v>0</v>
      </c>
      <c r="BI3595">
        <v>0</v>
      </c>
      <c r="BJ3595">
        <v>4100</v>
      </c>
      <c r="BK3595">
        <v>0</v>
      </c>
      <c r="BL3595" t="s">
        <v>188</v>
      </c>
      <c r="BM3595">
        <v>1</v>
      </c>
      <c r="BN3595">
        <v>1</v>
      </c>
      <c r="BO3595">
        <v>0</v>
      </c>
      <c r="BP3595">
        <v>0</v>
      </c>
      <c r="BS3595">
        <v>0</v>
      </c>
      <c r="BT3595">
        <v>0</v>
      </c>
      <c r="BU3595">
        <v>0</v>
      </c>
      <c r="CE3595" t="str">
        <f t="shared" si="1425"/>
        <v>15:14:30.834</v>
      </c>
      <c r="CF3595">
        <v>834238051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4</v>
      </c>
      <c r="CY3595">
        <v>7</v>
      </c>
      <c r="CZ3595" t="s">
        <v>133</v>
      </c>
      <c r="DA3595">
        <v>275</v>
      </c>
      <c r="DB3595">
        <v>0</v>
      </c>
      <c r="DC3595" t="s">
        <v>134</v>
      </c>
      <c r="DD3595" t="s">
        <v>135</v>
      </c>
      <c r="DG3595">
        <v>3322812</v>
      </c>
      <c r="DI3595">
        <v>1</v>
      </c>
      <c r="DJ3595">
        <v>0</v>
      </c>
      <c r="DK3595">
        <v>1</v>
      </c>
      <c r="DL3595">
        <v>0</v>
      </c>
      <c r="DM3595">
        <v>0</v>
      </c>
      <c r="DN3595">
        <v>0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3">
      <c r="A3596" t="str">
        <f>"05/01/2025 15:14:32.204"</f>
        <v>05/01/2025 15:14:32.204</v>
      </c>
      <c r="C3596" t="str">
        <f t="shared" si="1420"/>
        <v>FFDFD3C0</v>
      </c>
      <c r="D3596" t="s">
        <v>136</v>
      </c>
      <c r="E3596" t="str">
        <f>"20"</f>
        <v>20</v>
      </c>
      <c r="H3596">
        <v>400</v>
      </c>
      <c r="I3596" t="s">
        <v>137</v>
      </c>
      <c r="J3596" t="s">
        <v>138</v>
      </c>
      <c r="K3596">
        <v>0</v>
      </c>
      <c r="L3596">
        <v>3</v>
      </c>
      <c r="M3596">
        <v>0</v>
      </c>
      <c r="N3596">
        <v>2</v>
      </c>
      <c r="O3596">
        <v>0</v>
      </c>
      <c r="P3596">
        <v>1</v>
      </c>
      <c r="Q3596">
        <v>0</v>
      </c>
      <c r="R3596" t="s">
        <v>127</v>
      </c>
      <c r="S3596" t="str">
        <f t="shared" ref="S3596:T3601" si="1426">"15:14:31.000"</f>
        <v>15:14:31.000</v>
      </c>
      <c r="T3596" t="str">
        <f t="shared" si="1426"/>
        <v>15:14:31.000</v>
      </c>
      <c r="U3596" t="str">
        <f t="shared" si="1421"/>
        <v>A68FCB</v>
      </c>
      <c r="V3596">
        <v>0</v>
      </c>
      <c r="W3596">
        <v>0</v>
      </c>
      <c r="X3596">
        <v>2</v>
      </c>
      <c r="Y3596">
        <v>0</v>
      </c>
      <c r="AA3596">
        <v>1</v>
      </c>
      <c r="AB3596">
        <v>8</v>
      </c>
      <c r="AC3596">
        <v>3</v>
      </c>
      <c r="AD3596">
        <v>0</v>
      </c>
      <c r="AE3596">
        <v>9</v>
      </c>
      <c r="AF3596" t="s">
        <v>138</v>
      </c>
      <c r="AG3596">
        <v>0</v>
      </c>
      <c r="AH3596">
        <v>3</v>
      </c>
      <c r="AI3596">
        <v>2</v>
      </c>
      <c r="AJ3596">
        <v>0</v>
      </c>
      <c r="AK3596" t="s">
        <v>1158</v>
      </c>
      <c r="AL3596">
        <v>39.154586999999999</v>
      </c>
      <c r="AM3596" t="s">
        <v>1159</v>
      </c>
      <c r="AN3596">
        <v>-121.03092700000001</v>
      </c>
      <c r="AO3596">
        <v>25</v>
      </c>
      <c r="AP3596">
        <v>4100</v>
      </c>
      <c r="AQ3596" t="s">
        <v>131</v>
      </c>
      <c r="AR3596">
        <v>2</v>
      </c>
      <c r="AS3596">
        <v>94</v>
      </c>
      <c r="AT3596">
        <v>-128</v>
      </c>
      <c r="BB3596" t="str">
        <f t="shared" si="1422"/>
        <v>1200</v>
      </c>
      <c r="BC3596">
        <v>1</v>
      </c>
      <c r="BD3596" t="str">
        <f t="shared" si="1423"/>
        <v xml:space="preserve">N52156  </v>
      </c>
      <c r="BE3596">
        <v>1</v>
      </c>
      <c r="BG3596">
        <v>0</v>
      </c>
      <c r="BH3596">
        <v>0</v>
      </c>
      <c r="BI3596">
        <v>0</v>
      </c>
      <c r="BJ3596">
        <v>4100</v>
      </c>
      <c r="BK3596">
        <v>0</v>
      </c>
      <c r="BL3596" t="s">
        <v>188</v>
      </c>
      <c r="BM3596">
        <v>1</v>
      </c>
      <c r="BN3596">
        <v>1</v>
      </c>
      <c r="BO3596">
        <v>0</v>
      </c>
      <c r="BP3596">
        <v>0</v>
      </c>
      <c r="BS3596">
        <v>0</v>
      </c>
      <c r="BT3596">
        <v>0</v>
      </c>
      <c r="BU3596">
        <v>0</v>
      </c>
      <c r="CE3596" t="str">
        <f t="shared" ref="CE3596:CE3601" si="1427">"15:14:31.994"</f>
        <v>15:14:31.994</v>
      </c>
      <c r="CF3596">
        <v>993738564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4</v>
      </c>
      <c r="CY3596">
        <v>7</v>
      </c>
      <c r="CZ3596" t="s">
        <v>133</v>
      </c>
      <c r="DA3596">
        <v>275</v>
      </c>
      <c r="DB3596">
        <v>0</v>
      </c>
      <c r="DC3596" t="s">
        <v>134</v>
      </c>
      <c r="DD3596" t="s">
        <v>135</v>
      </c>
      <c r="DG3596">
        <v>3322818</v>
      </c>
      <c r="DI3596">
        <v>1</v>
      </c>
      <c r="DJ3596">
        <v>0</v>
      </c>
      <c r="DK3596">
        <v>0</v>
      </c>
      <c r="DL3596">
        <v>0</v>
      </c>
      <c r="DM3596">
        <v>0</v>
      </c>
      <c r="DN3596">
        <v>0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3">
      <c r="A3597" t="str">
        <f>"05/01/2025 15:14:32.222"</f>
        <v>05/01/2025 15:14:32.222</v>
      </c>
      <c r="C3597" t="str">
        <f t="shared" si="1420"/>
        <v>FFDFD3C0</v>
      </c>
      <c r="D3597" t="s">
        <v>143</v>
      </c>
      <c r="E3597" t="str">
        <f>"05"</f>
        <v>05</v>
      </c>
      <c r="H3597">
        <v>172</v>
      </c>
      <c r="I3597" t="s">
        <v>141</v>
      </c>
      <c r="J3597" t="s">
        <v>144</v>
      </c>
      <c r="K3597">
        <v>0</v>
      </c>
      <c r="L3597">
        <v>3</v>
      </c>
      <c r="M3597">
        <v>0</v>
      </c>
      <c r="N3597">
        <v>2</v>
      </c>
      <c r="O3597">
        <v>0</v>
      </c>
      <c r="P3597">
        <v>1</v>
      </c>
      <c r="Q3597">
        <v>0</v>
      </c>
      <c r="R3597" t="s">
        <v>127</v>
      </c>
      <c r="S3597" t="str">
        <f t="shared" si="1426"/>
        <v>15:14:31.000</v>
      </c>
      <c r="T3597" t="str">
        <f t="shared" si="1426"/>
        <v>15:14:31.000</v>
      </c>
      <c r="U3597" t="str">
        <f t="shared" si="1421"/>
        <v>A68FCB</v>
      </c>
      <c r="V3597">
        <v>0</v>
      </c>
      <c r="W3597">
        <v>0</v>
      </c>
      <c r="X3597">
        <v>2</v>
      </c>
      <c r="Y3597">
        <v>0</v>
      </c>
      <c r="AA3597">
        <v>1</v>
      </c>
      <c r="AB3597">
        <v>8</v>
      </c>
      <c r="AC3597">
        <v>3</v>
      </c>
      <c r="AD3597">
        <v>0</v>
      </c>
      <c r="AE3597">
        <v>9</v>
      </c>
      <c r="AF3597" t="s">
        <v>138</v>
      </c>
      <c r="AG3597">
        <v>0</v>
      </c>
      <c r="AH3597">
        <v>3</v>
      </c>
      <c r="AI3597">
        <v>2</v>
      </c>
      <c r="AJ3597">
        <v>0</v>
      </c>
      <c r="AK3597" t="s">
        <v>1158</v>
      </c>
      <c r="AL3597">
        <v>39.154586999999999</v>
      </c>
      <c r="AM3597" t="s">
        <v>1159</v>
      </c>
      <c r="AN3597">
        <v>-121.03092700000001</v>
      </c>
      <c r="AO3597">
        <v>25</v>
      </c>
      <c r="AP3597">
        <v>4100</v>
      </c>
      <c r="AQ3597" t="s">
        <v>131</v>
      </c>
      <c r="AR3597">
        <v>2</v>
      </c>
      <c r="AS3597">
        <v>94</v>
      </c>
      <c r="AT3597">
        <v>-128</v>
      </c>
      <c r="BB3597" t="str">
        <f t="shared" si="1422"/>
        <v>1200</v>
      </c>
      <c r="BC3597">
        <v>1</v>
      </c>
      <c r="BD3597" t="str">
        <f t="shared" si="1423"/>
        <v xml:space="preserve">N52156  </v>
      </c>
      <c r="BE3597">
        <v>1</v>
      </c>
      <c r="BG3597">
        <v>0</v>
      </c>
      <c r="BH3597">
        <v>0</v>
      </c>
      <c r="BI3597">
        <v>0</v>
      </c>
      <c r="BJ3597">
        <v>4100</v>
      </c>
      <c r="BK3597">
        <v>0</v>
      </c>
      <c r="BL3597" t="s">
        <v>188</v>
      </c>
      <c r="BM3597">
        <v>1</v>
      </c>
      <c r="BN3597">
        <v>1</v>
      </c>
      <c r="BO3597">
        <v>0</v>
      </c>
      <c r="BP3597">
        <v>0</v>
      </c>
      <c r="BS3597">
        <v>0</v>
      </c>
      <c r="BT3597">
        <v>0</v>
      </c>
      <c r="BU3597">
        <v>0</v>
      </c>
      <c r="CE3597" t="str">
        <f t="shared" si="1427"/>
        <v>15:14:31.994</v>
      </c>
      <c r="CF3597">
        <v>993738564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4</v>
      </c>
      <c r="CY3597">
        <v>7</v>
      </c>
      <c r="CZ3597" t="s">
        <v>133</v>
      </c>
      <c r="DA3597">
        <v>275</v>
      </c>
      <c r="DB3597">
        <v>0</v>
      </c>
      <c r="DC3597" t="s">
        <v>134</v>
      </c>
      <c r="DD3597" t="s">
        <v>135</v>
      </c>
      <c r="DG3597">
        <v>3322818</v>
      </c>
      <c r="DI3597">
        <v>1</v>
      </c>
      <c r="DJ3597">
        <v>0</v>
      </c>
      <c r="DK3597">
        <v>1</v>
      </c>
      <c r="DL3597">
        <v>0</v>
      </c>
      <c r="DM3597">
        <v>0</v>
      </c>
      <c r="DN3597">
        <v>0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3">
      <c r="A3598" t="str">
        <f>"05/01/2025 15:14:32.229"</f>
        <v>05/01/2025 15:14:32.229</v>
      </c>
      <c r="C3598" t="str">
        <f t="shared" si="1420"/>
        <v>FFDFD3C0</v>
      </c>
      <c r="D3598" t="s">
        <v>140</v>
      </c>
      <c r="E3598" t="str">
        <f>"13"</f>
        <v>13</v>
      </c>
      <c r="F3598">
        <v>1019</v>
      </c>
      <c r="G3598" t="s">
        <v>141</v>
      </c>
      <c r="J3598" t="s">
        <v>142</v>
      </c>
      <c r="K3598">
        <v>0</v>
      </c>
      <c r="L3598">
        <v>3</v>
      </c>
      <c r="M3598">
        <v>0</v>
      </c>
      <c r="N3598">
        <v>2</v>
      </c>
      <c r="O3598">
        <v>0</v>
      </c>
      <c r="P3598">
        <v>1</v>
      </c>
      <c r="Q3598">
        <v>0</v>
      </c>
      <c r="R3598" t="s">
        <v>127</v>
      </c>
      <c r="S3598" t="str">
        <f t="shared" si="1426"/>
        <v>15:14:31.000</v>
      </c>
      <c r="T3598" t="str">
        <f t="shared" si="1426"/>
        <v>15:14:31.000</v>
      </c>
      <c r="U3598" t="str">
        <f t="shared" si="1421"/>
        <v>A68FCB</v>
      </c>
      <c r="V3598">
        <v>0</v>
      </c>
      <c r="W3598">
        <v>0</v>
      </c>
      <c r="X3598">
        <v>2</v>
      </c>
      <c r="Y3598">
        <v>0</v>
      </c>
      <c r="AA3598">
        <v>1</v>
      </c>
      <c r="AB3598">
        <v>8</v>
      </c>
      <c r="AC3598">
        <v>3</v>
      </c>
      <c r="AD3598">
        <v>0</v>
      </c>
      <c r="AE3598">
        <v>9</v>
      </c>
      <c r="AF3598" t="s">
        <v>138</v>
      </c>
      <c r="AG3598">
        <v>0</v>
      </c>
      <c r="AH3598">
        <v>3</v>
      </c>
      <c r="AI3598">
        <v>2</v>
      </c>
      <c r="AJ3598">
        <v>0</v>
      </c>
      <c r="AK3598" t="s">
        <v>1158</v>
      </c>
      <c r="AL3598">
        <v>39.154586999999999</v>
      </c>
      <c r="AM3598" t="s">
        <v>1159</v>
      </c>
      <c r="AN3598">
        <v>-121.03092700000001</v>
      </c>
      <c r="AO3598">
        <v>25</v>
      </c>
      <c r="AP3598">
        <v>4100</v>
      </c>
      <c r="AQ3598" t="s">
        <v>131</v>
      </c>
      <c r="AR3598">
        <v>2</v>
      </c>
      <c r="AS3598">
        <v>94</v>
      </c>
      <c r="AT3598">
        <v>-128</v>
      </c>
      <c r="BB3598" t="str">
        <f t="shared" si="1422"/>
        <v>1200</v>
      </c>
      <c r="BC3598">
        <v>1</v>
      </c>
      <c r="BD3598" t="str">
        <f t="shared" si="1423"/>
        <v xml:space="preserve">N52156  </v>
      </c>
      <c r="BE3598">
        <v>1</v>
      </c>
      <c r="BG3598">
        <v>0</v>
      </c>
      <c r="BH3598">
        <v>0</v>
      </c>
      <c r="BI3598">
        <v>0</v>
      </c>
      <c r="BJ3598">
        <v>4100</v>
      </c>
      <c r="BK3598">
        <v>0</v>
      </c>
      <c r="BL3598" t="s">
        <v>188</v>
      </c>
      <c r="BM3598">
        <v>1</v>
      </c>
      <c r="BN3598">
        <v>1</v>
      </c>
      <c r="BO3598">
        <v>0</v>
      </c>
      <c r="BP3598">
        <v>0</v>
      </c>
      <c r="BS3598">
        <v>0</v>
      </c>
      <c r="BT3598">
        <v>0</v>
      </c>
      <c r="BU3598">
        <v>0</v>
      </c>
      <c r="CE3598" t="str">
        <f t="shared" si="1427"/>
        <v>15:14:31.994</v>
      </c>
      <c r="CF3598">
        <v>993738564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4</v>
      </c>
      <c r="CY3598">
        <v>7</v>
      </c>
      <c r="CZ3598" t="s">
        <v>133</v>
      </c>
      <c r="DA3598">
        <v>275</v>
      </c>
      <c r="DB3598">
        <v>0</v>
      </c>
      <c r="DC3598" t="s">
        <v>134</v>
      </c>
      <c r="DD3598" t="s">
        <v>135</v>
      </c>
      <c r="DG3598">
        <v>3322818</v>
      </c>
      <c r="DI3598">
        <v>1</v>
      </c>
      <c r="DJ3598">
        <v>0</v>
      </c>
      <c r="DK3598">
        <v>1</v>
      </c>
      <c r="DL3598">
        <v>0</v>
      </c>
      <c r="DM3598">
        <v>0</v>
      </c>
      <c r="DN3598">
        <v>0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3">
      <c r="A3599" t="str">
        <f>"05/01/2025 15:14:32.231"</f>
        <v>05/01/2025 15:14:32.231</v>
      </c>
      <c r="C3599" t="str">
        <f t="shared" si="1420"/>
        <v>FFDFD3C0</v>
      </c>
      <c r="D3599" t="s">
        <v>124</v>
      </c>
      <c r="E3599" t="str">
        <f>"06"</f>
        <v>06</v>
      </c>
      <c r="F3599">
        <v>2006</v>
      </c>
      <c r="G3599" t="s">
        <v>125</v>
      </c>
      <c r="J3599" t="s">
        <v>126</v>
      </c>
      <c r="K3599">
        <v>0</v>
      </c>
      <c r="L3599">
        <v>3</v>
      </c>
      <c r="M3599">
        <v>0</v>
      </c>
      <c r="N3599">
        <v>2</v>
      </c>
      <c r="O3599">
        <v>0</v>
      </c>
      <c r="P3599">
        <v>1</v>
      </c>
      <c r="Q3599">
        <v>0</v>
      </c>
      <c r="R3599" t="s">
        <v>127</v>
      </c>
      <c r="S3599" t="str">
        <f t="shared" si="1426"/>
        <v>15:14:31.000</v>
      </c>
      <c r="T3599" t="str">
        <f t="shared" si="1426"/>
        <v>15:14:31.000</v>
      </c>
      <c r="U3599" t="str">
        <f t="shared" si="1421"/>
        <v>A68FCB</v>
      </c>
      <c r="V3599">
        <v>0</v>
      </c>
      <c r="W3599">
        <v>0</v>
      </c>
      <c r="X3599">
        <v>2</v>
      </c>
      <c r="Y3599">
        <v>0</v>
      </c>
      <c r="AA3599">
        <v>1</v>
      </c>
      <c r="AB3599">
        <v>8</v>
      </c>
      <c r="AC3599">
        <v>3</v>
      </c>
      <c r="AD3599">
        <v>0</v>
      </c>
      <c r="AE3599">
        <v>9</v>
      </c>
      <c r="AF3599" t="s">
        <v>138</v>
      </c>
      <c r="AG3599">
        <v>0</v>
      </c>
      <c r="AH3599">
        <v>3</v>
      </c>
      <c r="AI3599">
        <v>2</v>
      </c>
      <c r="AJ3599">
        <v>0</v>
      </c>
      <c r="AK3599" t="s">
        <v>1158</v>
      </c>
      <c r="AL3599">
        <v>39.154586999999999</v>
      </c>
      <c r="AM3599" t="s">
        <v>1159</v>
      </c>
      <c r="AN3599">
        <v>-121.03092700000001</v>
      </c>
      <c r="AO3599">
        <v>25</v>
      </c>
      <c r="AP3599">
        <v>4100</v>
      </c>
      <c r="AQ3599" t="s">
        <v>131</v>
      </c>
      <c r="AR3599">
        <v>2</v>
      </c>
      <c r="AS3599">
        <v>94</v>
      </c>
      <c r="AT3599">
        <v>-128</v>
      </c>
      <c r="BB3599" t="str">
        <f t="shared" si="1422"/>
        <v>1200</v>
      </c>
      <c r="BC3599">
        <v>1</v>
      </c>
      <c r="BD3599" t="str">
        <f t="shared" si="1423"/>
        <v xml:space="preserve">N52156  </v>
      </c>
      <c r="BE3599">
        <v>1</v>
      </c>
      <c r="BG3599">
        <v>0</v>
      </c>
      <c r="BH3599">
        <v>0</v>
      </c>
      <c r="BI3599">
        <v>0</v>
      </c>
      <c r="BJ3599">
        <v>4100</v>
      </c>
      <c r="BK3599">
        <v>0</v>
      </c>
      <c r="BL3599" t="s">
        <v>188</v>
      </c>
      <c r="BM3599">
        <v>1</v>
      </c>
      <c r="BN3599">
        <v>1</v>
      </c>
      <c r="BO3599">
        <v>0</v>
      </c>
      <c r="BP3599">
        <v>0</v>
      </c>
      <c r="BS3599">
        <v>0</v>
      </c>
      <c r="BT3599">
        <v>0</v>
      </c>
      <c r="BU3599">
        <v>0</v>
      </c>
      <c r="CE3599" t="str">
        <f t="shared" si="1427"/>
        <v>15:14:31.994</v>
      </c>
      <c r="CF3599">
        <v>993738564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4</v>
      </c>
      <c r="CY3599">
        <v>7</v>
      </c>
      <c r="CZ3599" t="s">
        <v>133</v>
      </c>
      <c r="DA3599">
        <v>275</v>
      </c>
      <c r="DB3599">
        <v>0</v>
      </c>
      <c r="DC3599" t="s">
        <v>134</v>
      </c>
      <c r="DD3599" t="s">
        <v>135</v>
      </c>
      <c r="DG3599">
        <v>3322818</v>
      </c>
      <c r="DI3599">
        <v>1</v>
      </c>
      <c r="DJ3599">
        <v>0</v>
      </c>
      <c r="DK3599">
        <v>1</v>
      </c>
      <c r="DL3599">
        <v>0</v>
      </c>
      <c r="DM3599">
        <v>0</v>
      </c>
      <c r="DN3599">
        <v>0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3">
      <c r="A3600" t="str">
        <f>"05/01/2025 15:14:32.241"</f>
        <v>05/01/2025 15:14:32.241</v>
      </c>
      <c r="C3600" t="str">
        <f t="shared" si="1420"/>
        <v>FFDFD3C0</v>
      </c>
      <c r="D3600" t="s">
        <v>145</v>
      </c>
      <c r="E3600" t="str">
        <f>"09"</f>
        <v>09</v>
      </c>
      <c r="H3600">
        <v>51</v>
      </c>
      <c r="I3600" t="s">
        <v>147</v>
      </c>
      <c r="J3600" t="s">
        <v>138</v>
      </c>
      <c r="K3600">
        <v>0</v>
      </c>
      <c r="L3600">
        <v>3</v>
      </c>
      <c r="M3600">
        <v>0</v>
      </c>
      <c r="N3600">
        <v>2</v>
      </c>
      <c r="O3600">
        <v>0</v>
      </c>
      <c r="P3600">
        <v>1</v>
      </c>
      <c r="Q3600">
        <v>0</v>
      </c>
      <c r="R3600" t="s">
        <v>127</v>
      </c>
      <c r="S3600" t="str">
        <f t="shared" si="1426"/>
        <v>15:14:31.000</v>
      </c>
      <c r="T3600" t="str">
        <f t="shared" si="1426"/>
        <v>15:14:31.000</v>
      </c>
      <c r="U3600" t="str">
        <f t="shared" si="1421"/>
        <v>A68FCB</v>
      </c>
      <c r="V3600">
        <v>0</v>
      </c>
      <c r="W3600">
        <v>0</v>
      </c>
      <c r="X3600">
        <v>2</v>
      </c>
      <c r="Y3600">
        <v>0</v>
      </c>
      <c r="AA3600">
        <v>1</v>
      </c>
      <c r="AB3600">
        <v>8</v>
      </c>
      <c r="AC3600">
        <v>3</v>
      </c>
      <c r="AD3600">
        <v>0</v>
      </c>
      <c r="AE3600">
        <v>9</v>
      </c>
      <c r="AF3600" t="s">
        <v>138</v>
      </c>
      <c r="AG3600">
        <v>0</v>
      </c>
      <c r="AH3600">
        <v>3</v>
      </c>
      <c r="AI3600">
        <v>2</v>
      </c>
      <c r="AJ3600">
        <v>0</v>
      </c>
      <c r="AK3600" t="s">
        <v>1158</v>
      </c>
      <c r="AL3600">
        <v>39.154586999999999</v>
      </c>
      <c r="AM3600" t="s">
        <v>1159</v>
      </c>
      <c r="AN3600">
        <v>-121.03092700000001</v>
      </c>
      <c r="AO3600">
        <v>25</v>
      </c>
      <c r="AP3600">
        <v>4100</v>
      </c>
      <c r="AQ3600" t="s">
        <v>131</v>
      </c>
      <c r="AR3600">
        <v>2</v>
      </c>
      <c r="AS3600">
        <v>94</v>
      </c>
      <c r="AT3600">
        <v>-128</v>
      </c>
      <c r="BB3600" t="str">
        <f t="shared" si="1422"/>
        <v>1200</v>
      </c>
      <c r="BC3600">
        <v>1</v>
      </c>
      <c r="BD3600" t="str">
        <f t="shared" si="1423"/>
        <v xml:space="preserve">N52156  </v>
      </c>
      <c r="BE3600">
        <v>1</v>
      </c>
      <c r="BG3600">
        <v>0</v>
      </c>
      <c r="BH3600">
        <v>0</v>
      </c>
      <c r="BI3600">
        <v>0</v>
      </c>
      <c r="BJ3600">
        <v>4100</v>
      </c>
      <c r="BK3600">
        <v>0</v>
      </c>
      <c r="BL3600" t="s">
        <v>188</v>
      </c>
      <c r="BM3600">
        <v>1</v>
      </c>
      <c r="BN3600">
        <v>1</v>
      </c>
      <c r="BO3600">
        <v>0</v>
      </c>
      <c r="BP3600">
        <v>0</v>
      </c>
      <c r="BS3600">
        <v>0</v>
      </c>
      <c r="BT3600">
        <v>0</v>
      </c>
      <c r="BU3600">
        <v>0</v>
      </c>
      <c r="CE3600" t="str">
        <f t="shared" si="1427"/>
        <v>15:14:31.994</v>
      </c>
      <c r="CF3600">
        <v>993738564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4</v>
      </c>
      <c r="CY3600">
        <v>7</v>
      </c>
      <c r="CZ3600" t="s">
        <v>133</v>
      </c>
      <c r="DA3600">
        <v>275</v>
      </c>
      <c r="DB3600">
        <v>0</v>
      </c>
      <c r="DC3600" t="s">
        <v>134</v>
      </c>
      <c r="DD3600" t="s">
        <v>135</v>
      </c>
      <c r="DG3600">
        <v>3322818</v>
      </c>
      <c r="DI3600">
        <v>1</v>
      </c>
      <c r="DJ3600">
        <v>0</v>
      </c>
      <c r="DK3600">
        <v>1</v>
      </c>
      <c r="DL3600">
        <v>0</v>
      </c>
      <c r="DM3600">
        <v>0</v>
      </c>
      <c r="DN3600">
        <v>0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3">
      <c r="A3601" t="str">
        <f>"05/01/2025 15:14:32.244"</f>
        <v>05/01/2025 15:14:32.244</v>
      </c>
      <c r="C3601" t="str">
        <f t="shared" si="1420"/>
        <v>FFDFD3C0</v>
      </c>
      <c r="D3601" t="s">
        <v>145</v>
      </c>
      <c r="E3601" t="str">
        <f>"05"</f>
        <v>05</v>
      </c>
      <c r="H3601">
        <v>47</v>
      </c>
      <c r="I3601" t="s">
        <v>146</v>
      </c>
      <c r="J3601" t="s">
        <v>138</v>
      </c>
      <c r="K3601">
        <v>0</v>
      </c>
      <c r="L3601">
        <v>3</v>
      </c>
      <c r="M3601">
        <v>0</v>
      </c>
      <c r="N3601">
        <v>2</v>
      </c>
      <c r="O3601">
        <v>0</v>
      </c>
      <c r="P3601">
        <v>1</v>
      </c>
      <c r="Q3601">
        <v>0</v>
      </c>
      <c r="R3601" t="s">
        <v>127</v>
      </c>
      <c r="S3601" t="str">
        <f t="shared" si="1426"/>
        <v>15:14:31.000</v>
      </c>
      <c r="T3601" t="str">
        <f t="shared" si="1426"/>
        <v>15:14:31.000</v>
      </c>
      <c r="U3601" t="str">
        <f t="shared" si="1421"/>
        <v>A68FCB</v>
      </c>
      <c r="V3601">
        <v>0</v>
      </c>
      <c r="W3601">
        <v>0</v>
      </c>
      <c r="X3601">
        <v>2</v>
      </c>
      <c r="Y3601">
        <v>0</v>
      </c>
      <c r="AA3601">
        <v>1</v>
      </c>
      <c r="AB3601">
        <v>8</v>
      </c>
      <c r="AC3601">
        <v>3</v>
      </c>
      <c r="AD3601">
        <v>0</v>
      </c>
      <c r="AE3601">
        <v>9</v>
      </c>
      <c r="AF3601" t="s">
        <v>138</v>
      </c>
      <c r="AG3601">
        <v>0</v>
      </c>
      <c r="AH3601">
        <v>3</v>
      </c>
      <c r="AI3601">
        <v>2</v>
      </c>
      <c r="AJ3601">
        <v>0</v>
      </c>
      <c r="AK3601" t="s">
        <v>1158</v>
      </c>
      <c r="AL3601">
        <v>39.154586999999999</v>
      </c>
      <c r="AM3601" t="s">
        <v>1159</v>
      </c>
      <c r="AN3601">
        <v>-121.03092700000001</v>
      </c>
      <c r="AO3601">
        <v>25</v>
      </c>
      <c r="AP3601">
        <v>4100</v>
      </c>
      <c r="AQ3601" t="s">
        <v>131</v>
      </c>
      <c r="AR3601">
        <v>2</v>
      </c>
      <c r="AS3601">
        <v>94</v>
      </c>
      <c r="AT3601">
        <v>-128</v>
      </c>
      <c r="BB3601" t="str">
        <f t="shared" si="1422"/>
        <v>1200</v>
      </c>
      <c r="BC3601">
        <v>1</v>
      </c>
      <c r="BD3601" t="str">
        <f t="shared" si="1423"/>
        <v xml:space="preserve">N52156  </v>
      </c>
      <c r="BE3601">
        <v>1</v>
      </c>
      <c r="BG3601">
        <v>0</v>
      </c>
      <c r="BH3601">
        <v>0</v>
      </c>
      <c r="BI3601">
        <v>0</v>
      </c>
      <c r="BJ3601">
        <v>4100</v>
      </c>
      <c r="BK3601">
        <v>0</v>
      </c>
      <c r="BL3601" t="s">
        <v>188</v>
      </c>
      <c r="BM3601">
        <v>1</v>
      </c>
      <c r="BN3601">
        <v>1</v>
      </c>
      <c r="BO3601">
        <v>0</v>
      </c>
      <c r="BP3601">
        <v>0</v>
      </c>
      <c r="BS3601">
        <v>0</v>
      </c>
      <c r="BT3601">
        <v>0</v>
      </c>
      <c r="BU3601">
        <v>0</v>
      </c>
      <c r="CE3601" t="str">
        <f t="shared" si="1427"/>
        <v>15:14:31.994</v>
      </c>
      <c r="CF3601">
        <v>993738564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4</v>
      </c>
      <c r="CY3601">
        <v>7</v>
      </c>
      <c r="CZ3601" t="s">
        <v>133</v>
      </c>
      <c r="DA3601">
        <v>275</v>
      </c>
      <c r="DB3601">
        <v>0</v>
      </c>
      <c r="DC3601" t="s">
        <v>134</v>
      </c>
      <c r="DD3601" t="s">
        <v>135</v>
      </c>
      <c r="DG3601">
        <v>3322818</v>
      </c>
      <c r="DI3601">
        <v>1</v>
      </c>
      <c r="DJ3601">
        <v>0</v>
      </c>
      <c r="DK3601">
        <v>1</v>
      </c>
      <c r="DL3601">
        <v>0</v>
      </c>
      <c r="DM3601">
        <v>0</v>
      </c>
      <c r="DN3601">
        <v>0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3">
      <c r="A3602" t="str">
        <f>"05/01/2025 15:14:32.541"</f>
        <v>05/01/2025 15:14:32.541</v>
      </c>
      <c r="C3602" t="str">
        <f t="shared" si="1420"/>
        <v>FFDFD3C0</v>
      </c>
      <c r="D3602" t="s">
        <v>145</v>
      </c>
      <c r="E3602" t="str">
        <f>"09"</f>
        <v>09</v>
      </c>
      <c r="H3602">
        <v>51</v>
      </c>
      <c r="I3602" t="s">
        <v>147</v>
      </c>
      <c r="J3602" t="s">
        <v>138</v>
      </c>
      <c r="K3602">
        <v>0</v>
      </c>
      <c r="L3602">
        <v>3</v>
      </c>
      <c r="M3602">
        <v>0</v>
      </c>
      <c r="N3602">
        <v>2</v>
      </c>
      <c r="O3602">
        <v>0</v>
      </c>
      <c r="P3602">
        <v>1</v>
      </c>
      <c r="Q3602">
        <v>0</v>
      </c>
      <c r="R3602" t="s">
        <v>127</v>
      </c>
      <c r="S3602" t="str">
        <f t="shared" ref="S3602:T3607" si="1428">"15:14:32.000"</f>
        <v>15:14:32.000</v>
      </c>
      <c r="T3602" t="str">
        <f t="shared" si="1428"/>
        <v>15:14:32.000</v>
      </c>
      <c r="U3602" t="str">
        <f t="shared" si="1421"/>
        <v>A68FCB</v>
      </c>
      <c r="V3602">
        <v>0</v>
      </c>
      <c r="W3602">
        <v>0</v>
      </c>
      <c r="X3602">
        <v>2</v>
      </c>
      <c r="Y3602">
        <v>0</v>
      </c>
      <c r="AA3602">
        <v>1</v>
      </c>
      <c r="AB3602">
        <v>8</v>
      </c>
      <c r="AC3602">
        <v>3</v>
      </c>
      <c r="AD3602">
        <v>0</v>
      </c>
      <c r="AE3602">
        <v>9</v>
      </c>
      <c r="AF3602" t="s">
        <v>138</v>
      </c>
      <c r="AG3602">
        <v>0</v>
      </c>
      <c r="AH3602">
        <v>3</v>
      </c>
      <c r="AI3602">
        <v>2</v>
      </c>
      <c r="AJ3602">
        <v>0</v>
      </c>
      <c r="AK3602" t="s">
        <v>1160</v>
      </c>
      <c r="AL3602">
        <v>39.155016000000003</v>
      </c>
      <c r="AM3602" t="s">
        <v>1159</v>
      </c>
      <c r="AN3602">
        <v>-121.03092700000001</v>
      </c>
      <c r="AO3602">
        <v>25</v>
      </c>
      <c r="AP3602">
        <v>4000</v>
      </c>
      <c r="AQ3602" t="s">
        <v>131</v>
      </c>
      <c r="AR3602">
        <v>2</v>
      </c>
      <c r="AS3602">
        <v>94</v>
      </c>
      <c r="AT3602">
        <v>-64</v>
      </c>
      <c r="BB3602" t="str">
        <f t="shared" si="1422"/>
        <v>1200</v>
      </c>
      <c r="BC3602">
        <v>1</v>
      </c>
      <c r="BD3602" t="str">
        <f t="shared" si="1423"/>
        <v xml:space="preserve">N52156  </v>
      </c>
      <c r="BE3602">
        <v>1</v>
      </c>
      <c r="BG3602">
        <v>0</v>
      </c>
      <c r="BH3602">
        <v>0</v>
      </c>
      <c r="BI3602">
        <v>0</v>
      </c>
      <c r="BJ3602">
        <v>4100</v>
      </c>
      <c r="BK3602">
        <v>100</v>
      </c>
      <c r="BL3602" t="s">
        <v>188</v>
      </c>
      <c r="BM3602">
        <v>1</v>
      </c>
      <c r="BN3602">
        <v>1</v>
      </c>
      <c r="BO3602">
        <v>0</v>
      </c>
      <c r="BP3602">
        <v>0</v>
      </c>
      <c r="BS3602">
        <v>0</v>
      </c>
      <c r="BT3602">
        <v>0</v>
      </c>
      <c r="BU3602">
        <v>0</v>
      </c>
      <c r="CE3602" t="str">
        <f t="shared" ref="CE3602:CE3607" si="1429">"15:14:32.303"</f>
        <v>15:14:32.303</v>
      </c>
      <c r="CF3602">
        <v>302736870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4</v>
      </c>
      <c r="CY3602">
        <v>7</v>
      </c>
      <c r="CZ3602" t="s">
        <v>133</v>
      </c>
      <c r="DA3602">
        <v>275</v>
      </c>
      <c r="DB3602">
        <v>0</v>
      </c>
      <c r="DC3602" t="s">
        <v>134</v>
      </c>
      <c r="DD3602" t="s">
        <v>135</v>
      </c>
      <c r="DG3602">
        <v>3322821</v>
      </c>
      <c r="DI3602">
        <v>1</v>
      </c>
      <c r="DJ3602">
        <v>0</v>
      </c>
      <c r="DK3602">
        <v>0</v>
      </c>
      <c r="DL3602">
        <v>0</v>
      </c>
      <c r="DM3602">
        <v>0</v>
      </c>
      <c r="DN3602">
        <v>0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3">
      <c r="A3603" t="str">
        <f>"05/01/2025 15:14:32.544"</f>
        <v>05/01/2025 15:14:32.544</v>
      </c>
      <c r="C3603" t="str">
        <f t="shared" si="1420"/>
        <v>FFDFD3C0</v>
      </c>
      <c r="D3603" t="s">
        <v>145</v>
      </c>
      <c r="E3603" t="str">
        <f>"05"</f>
        <v>05</v>
      </c>
      <c r="H3603">
        <v>47</v>
      </c>
      <c r="I3603" t="s">
        <v>146</v>
      </c>
      <c r="J3603" t="s">
        <v>138</v>
      </c>
      <c r="K3603">
        <v>0</v>
      </c>
      <c r="L3603">
        <v>3</v>
      </c>
      <c r="M3603">
        <v>0</v>
      </c>
      <c r="N3603">
        <v>2</v>
      </c>
      <c r="O3603">
        <v>0</v>
      </c>
      <c r="P3603">
        <v>1</v>
      </c>
      <c r="Q3603">
        <v>0</v>
      </c>
      <c r="R3603" t="s">
        <v>127</v>
      </c>
      <c r="S3603" t="str">
        <f t="shared" si="1428"/>
        <v>15:14:32.000</v>
      </c>
      <c r="T3603" t="str">
        <f t="shared" si="1428"/>
        <v>15:14:32.000</v>
      </c>
      <c r="U3603" t="str">
        <f t="shared" si="1421"/>
        <v>A68FCB</v>
      </c>
      <c r="V3603">
        <v>0</v>
      </c>
      <c r="W3603">
        <v>0</v>
      </c>
      <c r="X3603">
        <v>2</v>
      </c>
      <c r="Y3603">
        <v>0</v>
      </c>
      <c r="AA3603">
        <v>1</v>
      </c>
      <c r="AB3603">
        <v>8</v>
      </c>
      <c r="AC3603">
        <v>3</v>
      </c>
      <c r="AD3603">
        <v>0</v>
      </c>
      <c r="AE3603">
        <v>9</v>
      </c>
      <c r="AF3603" t="s">
        <v>138</v>
      </c>
      <c r="AG3603">
        <v>0</v>
      </c>
      <c r="AH3603">
        <v>3</v>
      </c>
      <c r="AI3603">
        <v>2</v>
      </c>
      <c r="AJ3603">
        <v>0</v>
      </c>
      <c r="AK3603" t="s">
        <v>1160</v>
      </c>
      <c r="AL3603">
        <v>39.155016000000003</v>
      </c>
      <c r="AM3603" t="s">
        <v>1159</v>
      </c>
      <c r="AN3603">
        <v>-121.03092700000001</v>
      </c>
      <c r="AO3603">
        <v>25</v>
      </c>
      <c r="AP3603">
        <v>4000</v>
      </c>
      <c r="AQ3603" t="s">
        <v>131</v>
      </c>
      <c r="AR3603">
        <v>2</v>
      </c>
      <c r="AS3603">
        <v>94</v>
      </c>
      <c r="AT3603">
        <v>-64</v>
      </c>
      <c r="BB3603" t="str">
        <f t="shared" si="1422"/>
        <v>1200</v>
      </c>
      <c r="BC3603">
        <v>1</v>
      </c>
      <c r="BD3603" t="str">
        <f t="shared" si="1423"/>
        <v xml:space="preserve">N52156  </v>
      </c>
      <c r="BE3603">
        <v>1</v>
      </c>
      <c r="BG3603">
        <v>0</v>
      </c>
      <c r="BH3603">
        <v>0</v>
      </c>
      <c r="BI3603">
        <v>0</v>
      </c>
      <c r="BJ3603">
        <v>4100</v>
      </c>
      <c r="BK3603">
        <v>100</v>
      </c>
      <c r="BL3603" t="s">
        <v>188</v>
      </c>
      <c r="BM3603">
        <v>1</v>
      </c>
      <c r="BN3603">
        <v>1</v>
      </c>
      <c r="BO3603">
        <v>0</v>
      </c>
      <c r="BP3603">
        <v>0</v>
      </c>
      <c r="BS3603">
        <v>0</v>
      </c>
      <c r="BT3603">
        <v>0</v>
      </c>
      <c r="BU3603">
        <v>0</v>
      </c>
      <c r="CE3603" t="str">
        <f t="shared" si="1429"/>
        <v>15:14:32.303</v>
      </c>
      <c r="CF3603">
        <v>302736870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4</v>
      </c>
      <c r="CY3603">
        <v>7</v>
      </c>
      <c r="CZ3603" t="s">
        <v>133</v>
      </c>
      <c r="DA3603">
        <v>275</v>
      </c>
      <c r="DB3603">
        <v>0</v>
      </c>
      <c r="DC3603" t="s">
        <v>134</v>
      </c>
      <c r="DD3603" t="s">
        <v>135</v>
      </c>
      <c r="DG3603">
        <v>3322821</v>
      </c>
      <c r="DI3603">
        <v>1</v>
      </c>
      <c r="DJ3603">
        <v>0</v>
      </c>
      <c r="DK3603">
        <v>1</v>
      </c>
      <c r="DL3603">
        <v>0</v>
      </c>
      <c r="DM3603">
        <v>0</v>
      </c>
      <c r="DN3603">
        <v>0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3">
      <c r="A3604" t="str">
        <f>"05/01/2025 15:14:32.555"</f>
        <v>05/01/2025 15:14:32.555</v>
      </c>
      <c r="C3604" t="str">
        <f t="shared" si="1420"/>
        <v>FFDFD3C0</v>
      </c>
      <c r="D3604" t="s">
        <v>136</v>
      </c>
      <c r="E3604" t="str">
        <f>"20"</f>
        <v>20</v>
      </c>
      <c r="H3604">
        <v>400</v>
      </c>
      <c r="I3604" t="s">
        <v>137</v>
      </c>
      <c r="J3604" t="s">
        <v>138</v>
      </c>
      <c r="K3604">
        <v>0</v>
      </c>
      <c r="L3604">
        <v>3</v>
      </c>
      <c r="M3604">
        <v>0</v>
      </c>
      <c r="N3604">
        <v>2</v>
      </c>
      <c r="O3604">
        <v>0</v>
      </c>
      <c r="P3604">
        <v>1</v>
      </c>
      <c r="Q3604">
        <v>0</v>
      </c>
      <c r="R3604" t="s">
        <v>127</v>
      </c>
      <c r="S3604" t="str">
        <f t="shared" si="1428"/>
        <v>15:14:32.000</v>
      </c>
      <c r="T3604" t="str">
        <f t="shared" si="1428"/>
        <v>15:14:32.000</v>
      </c>
      <c r="U3604" t="str">
        <f t="shared" si="1421"/>
        <v>A68FCB</v>
      </c>
      <c r="V3604">
        <v>0</v>
      </c>
      <c r="W3604">
        <v>0</v>
      </c>
      <c r="X3604">
        <v>2</v>
      </c>
      <c r="Y3604">
        <v>0</v>
      </c>
      <c r="AA3604">
        <v>1</v>
      </c>
      <c r="AB3604">
        <v>8</v>
      </c>
      <c r="AC3604">
        <v>3</v>
      </c>
      <c r="AD3604">
        <v>0</v>
      </c>
      <c r="AE3604">
        <v>9</v>
      </c>
      <c r="AF3604" t="s">
        <v>138</v>
      </c>
      <c r="AG3604">
        <v>0</v>
      </c>
      <c r="AH3604">
        <v>3</v>
      </c>
      <c r="AI3604">
        <v>2</v>
      </c>
      <c r="AJ3604">
        <v>0</v>
      </c>
      <c r="AK3604" t="s">
        <v>1160</v>
      </c>
      <c r="AL3604">
        <v>39.155016000000003</v>
      </c>
      <c r="AM3604" t="s">
        <v>1159</v>
      </c>
      <c r="AN3604">
        <v>-121.03092700000001</v>
      </c>
      <c r="AO3604">
        <v>25</v>
      </c>
      <c r="AP3604">
        <v>4000</v>
      </c>
      <c r="AQ3604" t="s">
        <v>131</v>
      </c>
      <c r="AR3604">
        <v>2</v>
      </c>
      <c r="AS3604">
        <v>94</v>
      </c>
      <c r="AT3604">
        <v>-64</v>
      </c>
      <c r="BB3604" t="str">
        <f t="shared" si="1422"/>
        <v>1200</v>
      </c>
      <c r="BC3604">
        <v>1</v>
      </c>
      <c r="BD3604" t="str">
        <f t="shared" si="1423"/>
        <v xml:space="preserve">N52156  </v>
      </c>
      <c r="BE3604">
        <v>1</v>
      </c>
      <c r="BG3604">
        <v>0</v>
      </c>
      <c r="BH3604">
        <v>0</v>
      </c>
      <c r="BI3604">
        <v>0</v>
      </c>
      <c r="BJ3604">
        <v>4100</v>
      </c>
      <c r="BK3604">
        <v>100</v>
      </c>
      <c r="BL3604" t="s">
        <v>188</v>
      </c>
      <c r="BM3604">
        <v>1</v>
      </c>
      <c r="BN3604">
        <v>1</v>
      </c>
      <c r="BO3604">
        <v>0</v>
      </c>
      <c r="BP3604">
        <v>0</v>
      </c>
      <c r="BS3604">
        <v>0</v>
      </c>
      <c r="BT3604">
        <v>0</v>
      </c>
      <c r="BU3604">
        <v>0</v>
      </c>
      <c r="CE3604" t="str">
        <f t="shared" si="1429"/>
        <v>15:14:32.303</v>
      </c>
      <c r="CF3604">
        <v>302736870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4</v>
      </c>
      <c r="CY3604">
        <v>7</v>
      </c>
      <c r="CZ3604" t="s">
        <v>133</v>
      </c>
      <c r="DA3604">
        <v>275</v>
      </c>
      <c r="DB3604">
        <v>0</v>
      </c>
      <c r="DC3604" t="s">
        <v>134</v>
      </c>
      <c r="DD3604" t="s">
        <v>135</v>
      </c>
      <c r="DG3604">
        <v>3322821</v>
      </c>
      <c r="DI3604">
        <v>1</v>
      </c>
      <c r="DJ3604">
        <v>0</v>
      </c>
      <c r="DK3604">
        <v>1</v>
      </c>
      <c r="DL3604">
        <v>0</v>
      </c>
      <c r="DM3604">
        <v>0</v>
      </c>
      <c r="DN3604">
        <v>0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3">
      <c r="A3605" t="str">
        <f>"05/01/2025 15:14:32.572"</f>
        <v>05/01/2025 15:14:32.572</v>
      </c>
      <c r="C3605" t="str">
        <f t="shared" si="1420"/>
        <v>FFDFD3C0</v>
      </c>
      <c r="D3605" t="s">
        <v>143</v>
      </c>
      <c r="E3605" t="str">
        <f>"05"</f>
        <v>05</v>
      </c>
      <c r="H3605">
        <v>172</v>
      </c>
      <c r="I3605" t="s">
        <v>141</v>
      </c>
      <c r="J3605" t="s">
        <v>144</v>
      </c>
      <c r="K3605">
        <v>0</v>
      </c>
      <c r="L3605">
        <v>3</v>
      </c>
      <c r="M3605">
        <v>0</v>
      </c>
      <c r="N3605">
        <v>2</v>
      </c>
      <c r="O3605">
        <v>0</v>
      </c>
      <c r="P3605">
        <v>1</v>
      </c>
      <c r="Q3605">
        <v>0</v>
      </c>
      <c r="R3605" t="s">
        <v>127</v>
      </c>
      <c r="S3605" t="str">
        <f t="shared" si="1428"/>
        <v>15:14:32.000</v>
      </c>
      <c r="T3605" t="str">
        <f t="shared" si="1428"/>
        <v>15:14:32.000</v>
      </c>
      <c r="U3605" t="str">
        <f t="shared" si="1421"/>
        <v>A68FCB</v>
      </c>
      <c r="V3605">
        <v>0</v>
      </c>
      <c r="W3605">
        <v>0</v>
      </c>
      <c r="X3605">
        <v>2</v>
      </c>
      <c r="Y3605">
        <v>0</v>
      </c>
      <c r="AA3605">
        <v>1</v>
      </c>
      <c r="AB3605">
        <v>8</v>
      </c>
      <c r="AC3605">
        <v>3</v>
      </c>
      <c r="AD3605">
        <v>0</v>
      </c>
      <c r="AE3605">
        <v>9</v>
      </c>
      <c r="AF3605" t="s">
        <v>138</v>
      </c>
      <c r="AG3605">
        <v>0</v>
      </c>
      <c r="AH3605">
        <v>3</v>
      </c>
      <c r="AI3605">
        <v>2</v>
      </c>
      <c r="AJ3605">
        <v>0</v>
      </c>
      <c r="AK3605" t="s">
        <v>1160</v>
      </c>
      <c r="AL3605">
        <v>39.155016000000003</v>
      </c>
      <c r="AM3605" t="s">
        <v>1159</v>
      </c>
      <c r="AN3605">
        <v>-121.03092700000001</v>
      </c>
      <c r="AO3605">
        <v>25</v>
      </c>
      <c r="AP3605">
        <v>4000</v>
      </c>
      <c r="AQ3605" t="s">
        <v>131</v>
      </c>
      <c r="AR3605">
        <v>2</v>
      </c>
      <c r="AS3605">
        <v>94</v>
      </c>
      <c r="AT3605">
        <v>-64</v>
      </c>
      <c r="BB3605" t="str">
        <f t="shared" si="1422"/>
        <v>1200</v>
      </c>
      <c r="BC3605">
        <v>1</v>
      </c>
      <c r="BD3605" t="str">
        <f t="shared" si="1423"/>
        <v xml:space="preserve">N52156  </v>
      </c>
      <c r="BE3605">
        <v>1</v>
      </c>
      <c r="BG3605">
        <v>0</v>
      </c>
      <c r="BH3605">
        <v>0</v>
      </c>
      <c r="BI3605">
        <v>0</v>
      </c>
      <c r="BJ3605">
        <v>4100</v>
      </c>
      <c r="BK3605">
        <v>100</v>
      </c>
      <c r="BL3605" t="s">
        <v>188</v>
      </c>
      <c r="BM3605">
        <v>1</v>
      </c>
      <c r="BN3605">
        <v>1</v>
      </c>
      <c r="BO3605">
        <v>0</v>
      </c>
      <c r="BP3605">
        <v>0</v>
      </c>
      <c r="BS3605">
        <v>0</v>
      </c>
      <c r="BT3605">
        <v>0</v>
      </c>
      <c r="BU3605">
        <v>0</v>
      </c>
      <c r="CE3605" t="str">
        <f t="shared" si="1429"/>
        <v>15:14:32.303</v>
      </c>
      <c r="CF3605">
        <v>302736870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4</v>
      </c>
      <c r="CY3605">
        <v>7</v>
      </c>
      <c r="CZ3605" t="s">
        <v>133</v>
      </c>
      <c r="DA3605">
        <v>275</v>
      </c>
      <c r="DB3605">
        <v>0</v>
      </c>
      <c r="DC3605" t="s">
        <v>134</v>
      </c>
      <c r="DD3605" t="s">
        <v>135</v>
      </c>
      <c r="DG3605">
        <v>3322821</v>
      </c>
      <c r="DI3605">
        <v>1</v>
      </c>
      <c r="DJ3605">
        <v>0</v>
      </c>
      <c r="DK3605">
        <v>1</v>
      </c>
      <c r="DL3605">
        <v>0</v>
      </c>
      <c r="DM3605">
        <v>0</v>
      </c>
      <c r="DN3605">
        <v>0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3">
      <c r="A3606" t="str">
        <f>"05/01/2025 15:14:32.579"</f>
        <v>05/01/2025 15:14:32.579</v>
      </c>
      <c r="C3606" t="str">
        <f t="shared" si="1420"/>
        <v>FFDFD3C0</v>
      </c>
      <c r="D3606" t="s">
        <v>140</v>
      </c>
      <c r="E3606" t="str">
        <f>"13"</f>
        <v>13</v>
      </c>
      <c r="F3606">
        <v>1019</v>
      </c>
      <c r="G3606" t="s">
        <v>141</v>
      </c>
      <c r="J3606" t="s">
        <v>142</v>
      </c>
      <c r="K3606">
        <v>0</v>
      </c>
      <c r="L3606">
        <v>3</v>
      </c>
      <c r="M3606">
        <v>0</v>
      </c>
      <c r="N3606">
        <v>2</v>
      </c>
      <c r="O3606">
        <v>0</v>
      </c>
      <c r="P3606">
        <v>1</v>
      </c>
      <c r="Q3606">
        <v>0</v>
      </c>
      <c r="R3606" t="s">
        <v>127</v>
      </c>
      <c r="S3606" t="str">
        <f t="shared" si="1428"/>
        <v>15:14:32.000</v>
      </c>
      <c r="T3606" t="str">
        <f t="shared" si="1428"/>
        <v>15:14:32.000</v>
      </c>
      <c r="U3606" t="str">
        <f t="shared" si="1421"/>
        <v>A68FCB</v>
      </c>
      <c r="V3606">
        <v>0</v>
      </c>
      <c r="W3606">
        <v>0</v>
      </c>
      <c r="X3606">
        <v>2</v>
      </c>
      <c r="Y3606">
        <v>0</v>
      </c>
      <c r="AA3606">
        <v>1</v>
      </c>
      <c r="AB3606">
        <v>8</v>
      </c>
      <c r="AC3606">
        <v>3</v>
      </c>
      <c r="AD3606">
        <v>0</v>
      </c>
      <c r="AE3606">
        <v>9</v>
      </c>
      <c r="AF3606" t="s">
        <v>138</v>
      </c>
      <c r="AG3606">
        <v>0</v>
      </c>
      <c r="AH3606">
        <v>3</v>
      </c>
      <c r="AI3606">
        <v>2</v>
      </c>
      <c r="AJ3606">
        <v>0</v>
      </c>
      <c r="AK3606" t="s">
        <v>1160</v>
      </c>
      <c r="AL3606">
        <v>39.155016000000003</v>
      </c>
      <c r="AM3606" t="s">
        <v>1159</v>
      </c>
      <c r="AN3606">
        <v>-121.03092700000001</v>
      </c>
      <c r="AO3606">
        <v>25</v>
      </c>
      <c r="AP3606">
        <v>4000</v>
      </c>
      <c r="AQ3606" t="s">
        <v>131</v>
      </c>
      <c r="AR3606">
        <v>2</v>
      </c>
      <c r="AS3606">
        <v>94</v>
      </c>
      <c r="AT3606">
        <v>-64</v>
      </c>
      <c r="BB3606" t="str">
        <f t="shared" si="1422"/>
        <v>1200</v>
      </c>
      <c r="BC3606">
        <v>1</v>
      </c>
      <c r="BD3606" t="str">
        <f t="shared" si="1423"/>
        <v xml:space="preserve">N52156  </v>
      </c>
      <c r="BE3606">
        <v>1</v>
      </c>
      <c r="BG3606">
        <v>0</v>
      </c>
      <c r="BH3606">
        <v>0</v>
      </c>
      <c r="BI3606">
        <v>0</v>
      </c>
      <c r="BJ3606">
        <v>4100</v>
      </c>
      <c r="BK3606">
        <v>100</v>
      </c>
      <c r="BL3606" t="s">
        <v>188</v>
      </c>
      <c r="BM3606">
        <v>1</v>
      </c>
      <c r="BN3606">
        <v>1</v>
      </c>
      <c r="BO3606">
        <v>0</v>
      </c>
      <c r="BP3606">
        <v>0</v>
      </c>
      <c r="BS3606">
        <v>0</v>
      </c>
      <c r="BT3606">
        <v>0</v>
      </c>
      <c r="BU3606">
        <v>0</v>
      </c>
      <c r="CE3606" t="str">
        <f t="shared" si="1429"/>
        <v>15:14:32.303</v>
      </c>
      <c r="CF3606">
        <v>302736870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4</v>
      </c>
      <c r="CY3606">
        <v>7</v>
      </c>
      <c r="CZ3606" t="s">
        <v>133</v>
      </c>
      <c r="DA3606">
        <v>275</v>
      </c>
      <c r="DB3606">
        <v>0</v>
      </c>
      <c r="DC3606" t="s">
        <v>134</v>
      </c>
      <c r="DD3606" t="s">
        <v>135</v>
      </c>
      <c r="DG3606">
        <v>3322821</v>
      </c>
      <c r="DI3606">
        <v>1</v>
      </c>
      <c r="DJ3606">
        <v>0</v>
      </c>
      <c r="DK3606">
        <v>1</v>
      </c>
      <c r="DL3606">
        <v>0</v>
      </c>
      <c r="DM3606">
        <v>0</v>
      </c>
      <c r="DN3606">
        <v>0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3">
      <c r="A3607" t="str">
        <f>"05/01/2025 15:14:32.582"</f>
        <v>05/01/2025 15:14:32.582</v>
      </c>
      <c r="C3607" t="str">
        <f t="shared" si="1420"/>
        <v>FFDFD3C0</v>
      </c>
      <c r="D3607" t="s">
        <v>124</v>
      </c>
      <c r="E3607" t="str">
        <f>"06"</f>
        <v>06</v>
      </c>
      <c r="F3607">
        <v>2006</v>
      </c>
      <c r="G3607" t="s">
        <v>125</v>
      </c>
      <c r="J3607" t="s">
        <v>126</v>
      </c>
      <c r="K3607">
        <v>0</v>
      </c>
      <c r="L3607">
        <v>3</v>
      </c>
      <c r="M3607">
        <v>0</v>
      </c>
      <c r="N3607">
        <v>2</v>
      </c>
      <c r="O3607">
        <v>0</v>
      </c>
      <c r="P3607">
        <v>1</v>
      </c>
      <c r="Q3607">
        <v>0</v>
      </c>
      <c r="R3607" t="s">
        <v>127</v>
      </c>
      <c r="S3607" t="str">
        <f t="shared" si="1428"/>
        <v>15:14:32.000</v>
      </c>
      <c r="T3607" t="str">
        <f t="shared" si="1428"/>
        <v>15:14:32.000</v>
      </c>
      <c r="U3607" t="str">
        <f t="shared" si="1421"/>
        <v>A68FCB</v>
      </c>
      <c r="V3607">
        <v>0</v>
      </c>
      <c r="W3607">
        <v>0</v>
      </c>
      <c r="X3607">
        <v>2</v>
      </c>
      <c r="Y3607">
        <v>0</v>
      </c>
      <c r="AA3607">
        <v>1</v>
      </c>
      <c r="AB3607">
        <v>8</v>
      </c>
      <c r="AC3607">
        <v>3</v>
      </c>
      <c r="AD3607">
        <v>0</v>
      </c>
      <c r="AE3607">
        <v>9</v>
      </c>
      <c r="AF3607" t="s">
        <v>138</v>
      </c>
      <c r="AG3607">
        <v>0</v>
      </c>
      <c r="AH3607">
        <v>3</v>
      </c>
      <c r="AI3607">
        <v>2</v>
      </c>
      <c r="AJ3607">
        <v>0</v>
      </c>
      <c r="AK3607" t="s">
        <v>1160</v>
      </c>
      <c r="AL3607">
        <v>39.155016000000003</v>
      </c>
      <c r="AM3607" t="s">
        <v>1159</v>
      </c>
      <c r="AN3607">
        <v>-121.03092700000001</v>
      </c>
      <c r="AO3607">
        <v>25</v>
      </c>
      <c r="AP3607">
        <v>4000</v>
      </c>
      <c r="AQ3607" t="s">
        <v>131</v>
      </c>
      <c r="AR3607">
        <v>2</v>
      </c>
      <c r="AS3607">
        <v>94</v>
      </c>
      <c r="AT3607">
        <v>-64</v>
      </c>
      <c r="BB3607" t="str">
        <f t="shared" si="1422"/>
        <v>1200</v>
      </c>
      <c r="BC3607">
        <v>1</v>
      </c>
      <c r="BD3607" t="str">
        <f t="shared" si="1423"/>
        <v xml:space="preserve">N52156  </v>
      </c>
      <c r="BE3607">
        <v>1</v>
      </c>
      <c r="BG3607">
        <v>0</v>
      </c>
      <c r="BH3607">
        <v>0</v>
      </c>
      <c r="BI3607">
        <v>0</v>
      </c>
      <c r="BJ3607">
        <v>4100</v>
      </c>
      <c r="BK3607">
        <v>100</v>
      </c>
      <c r="BL3607" t="s">
        <v>188</v>
      </c>
      <c r="BM3607">
        <v>1</v>
      </c>
      <c r="BN3607">
        <v>1</v>
      </c>
      <c r="BO3607">
        <v>0</v>
      </c>
      <c r="BP3607">
        <v>0</v>
      </c>
      <c r="BS3607">
        <v>0</v>
      </c>
      <c r="BT3607">
        <v>0</v>
      </c>
      <c r="BU3607">
        <v>0</v>
      </c>
      <c r="CE3607" t="str">
        <f t="shared" si="1429"/>
        <v>15:14:32.303</v>
      </c>
      <c r="CF3607">
        <v>302736870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4</v>
      </c>
      <c r="CY3607">
        <v>7</v>
      </c>
      <c r="CZ3607" t="s">
        <v>133</v>
      </c>
      <c r="DA3607">
        <v>275</v>
      </c>
      <c r="DB3607">
        <v>0</v>
      </c>
      <c r="DC3607" t="s">
        <v>134</v>
      </c>
      <c r="DD3607" t="s">
        <v>135</v>
      </c>
      <c r="DG3607">
        <v>3322821</v>
      </c>
      <c r="DI3607">
        <v>1</v>
      </c>
      <c r="DJ3607">
        <v>0</v>
      </c>
      <c r="DK3607">
        <v>1</v>
      </c>
      <c r="DL3607">
        <v>0</v>
      </c>
      <c r="DM3607">
        <v>0</v>
      </c>
      <c r="DN3607">
        <v>0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3">
      <c r="A3608" t="str">
        <f>"05/01/2025 15:14:34.074"</f>
        <v>05/01/2025 15:14:34.074</v>
      </c>
      <c r="C3608" t="str">
        <f t="shared" si="1420"/>
        <v>FFDFD3C0</v>
      </c>
      <c r="D3608" t="s">
        <v>143</v>
      </c>
      <c r="E3608" t="str">
        <f>"05"</f>
        <v>05</v>
      </c>
      <c r="H3608">
        <v>172</v>
      </c>
      <c r="I3608" t="s">
        <v>141</v>
      </c>
      <c r="J3608" t="s">
        <v>144</v>
      </c>
      <c r="K3608">
        <v>0</v>
      </c>
      <c r="L3608">
        <v>3</v>
      </c>
      <c r="M3608">
        <v>0</v>
      </c>
      <c r="N3608">
        <v>2</v>
      </c>
      <c r="O3608">
        <v>0</v>
      </c>
      <c r="P3608">
        <v>1</v>
      </c>
      <c r="Q3608">
        <v>0</v>
      </c>
      <c r="R3608" t="s">
        <v>127</v>
      </c>
      <c r="S3608" t="str">
        <f t="shared" ref="S3608:T3613" si="1430">"15:14:33.000"</f>
        <v>15:14:33.000</v>
      </c>
      <c r="T3608" t="str">
        <f t="shared" si="1430"/>
        <v>15:14:33.000</v>
      </c>
      <c r="U3608" t="str">
        <f t="shared" si="1421"/>
        <v>A68FCB</v>
      </c>
      <c r="V3608">
        <v>0</v>
      </c>
      <c r="W3608">
        <v>0</v>
      </c>
      <c r="X3608">
        <v>2</v>
      </c>
      <c r="Y3608">
        <v>0</v>
      </c>
      <c r="AA3608">
        <v>1</v>
      </c>
      <c r="AB3608">
        <v>8</v>
      </c>
      <c r="AC3608">
        <v>3</v>
      </c>
      <c r="AD3608">
        <v>0</v>
      </c>
      <c r="AE3608">
        <v>9</v>
      </c>
      <c r="AF3608" t="s">
        <v>138</v>
      </c>
      <c r="AG3608">
        <v>0</v>
      </c>
      <c r="AH3608">
        <v>3</v>
      </c>
      <c r="AI3608">
        <v>2</v>
      </c>
      <c r="AJ3608">
        <v>0</v>
      </c>
      <c r="AK3608" t="s">
        <v>1161</v>
      </c>
      <c r="AL3608">
        <v>39.155445</v>
      </c>
      <c r="AM3608" t="s">
        <v>1162</v>
      </c>
      <c r="AN3608">
        <v>-121.030905</v>
      </c>
      <c r="AO3608">
        <v>25</v>
      </c>
      <c r="AP3608">
        <v>4100</v>
      </c>
      <c r="AQ3608" t="s">
        <v>131</v>
      </c>
      <c r="AR3608">
        <v>2</v>
      </c>
      <c r="AS3608">
        <v>94</v>
      </c>
      <c r="AT3608">
        <v>0</v>
      </c>
      <c r="BB3608" t="str">
        <f t="shared" si="1422"/>
        <v>1200</v>
      </c>
      <c r="BC3608">
        <v>1</v>
      </c>
      <c r="BD3608" t="str">
        <f t="shared" si="1423"/>
        <v xml:space="preserve">N52156  </v>
      </c>
      <c r="BE3608">
        <v>1</v>
      </c>
      <c r="BG3608">
        <v>0</v>
      </c>
      <c r="BH3608">
        <v>0</v>
      </c>
      <c r="BI3608">
        <v>0</v>
      </c>
      <c r="BJ3608">
        <v>4100</v>
      </c>
      <c r="BK3608">
        <v>0</v>
      </c>
      <c r="BL3608" t="s">
        <v>188</v>
      </c>
      <c r="BM3608">
        <v>1</v>
      </c>
      <c r="BN3608">
        <v>1</v>
      </c>
      <c r="BO3608">
        <v>0</v>
      </c>
      <c r="BP3608">
        <v>0</v>
      </c>
      <c r="BS3608">
        <v>0</v>
      </c>
      <c r="BT3608">
        <v>0</v>
      </c>
      <c r="BU3608">
        <v>0</v>
      </c>
      <c r="CE3608" t="str">
        <f t="shared" ref="CE3608:CE3613" si="1431">"15:14:33.862"</f>
        <v>15:14:33.862</v>
      </c>
      <c r="CF3608">
        <v>862488395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4</v>
      </c>
      <c r="CY3608">
        <v>7</v>
      </c>
      <c r="CZ3608" t="s">
        <v>133</v>
      </c>
      <c r="DA3608">
        <v>275</v>
      </c>
      <c r="DB3608">
        <v>0</v>
      </c>
      <c r="DC3608" t="s">
        <v>134</v>
      </c>
      <c r="DD3608" t="s">
        <v>135</v>
      </c>
      <c r="DG3608">
        <v>3322829</v>
      </c>
      <c r="DI3608">
        <v>1</v>
      </c>
      <c r="DJ3608">
        <v>0</v>
      </c>
      <c r="DK3608">
        <v>0</v>
      </c>
      <c r="DL3608">
        <v>0</v>
      </c>
      <c r="DM3608">
        <v>0</v>
      </c>
      <c r="DN3608">
        <v>0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3">
      <c r="A3609" t="str">
        <f>"05/01/2025 15:14:34.082"</f>
        <v>05/01/2025 15:14:34.082</v>
      </c>
      <c r="C3609" t="str">
        <f t="shared" si="1420"/>
        <v>FFDFD3C0</v>
      </c>
      <c r="D3609" t="s">
        <v>140</v>
      </c>
      <c r="E3609" t="str">
        <f>"13"</f>
        <v>13</v>
      </c>
      <c r="F3609">
        <v>1019</v>
      </c>
      <c r="G3609" t="s">
        <v>141</v>
      </c>
      <c r="J3609" t="s">
        <v>142</v>
      </c>
      <c r="K3609">
        <v>0</v>
      </c>
      <c r="L3609">
        <v>3</v>
      </c>
      <c r="M3609">
        <v>0</v>
      </c>
      <c r="N3609">
        <v>2</v>
      </c>
      <c r="O3609">
        <v>0</v>
      </c>
      <c r="P3609">
        <v>1</v>
      </c>
      <c r="Q3609">
        <v>0</v>
      </c>
      <c r="R3609" t="s">
        <v>127</v>
      </c>
      <c r="S3609" t="str">
        <f t="shared" si="1430"/>
        <v>15:14:33.000</v>
      </c>
      <c r="T3609" t="str">
        <f t="shared" si="1430"/>
        <v>15:14:33.000</v>
      </c>
      <c r="U3609" t="str">
        <f t="shared" si="1421"/>
        <v>A68FCB</v>
      </c>
      <c r="V3609">
        <v>0</v>
      </c>
      <c r="W3609">
        <v>0</v>
      </c>
      <c r="X3609">
        <v>2</v>
      </c>
      <c r="Y3609">
        <v>0</v>
      </c>
      <c r="AA3609">
        <v>1</v>
      </c>
      <c r="AB3609">
        <v>8</v>
      </c>
      <c r="AC3609">
        <v>3</v>
      </c>
      <c r="AD3609">
        <v>0</v>
      </c>
      <c r="AE3609">
        <v>9</v>
      </c>
      <c r="AF3609" t="s">
        <v>138</v>
      </c>
      <c r="AG3609">
        <v>0</v>
      </c>
      <c r="AH3609">
        <v>3</v>
      </c>
      <c r="AI3609">
        <v>2</v>
      </c>
      <c r="AJ3609">
        <v>0</v>
      </c>
      <c r="AK3609" t="s">
        <v>1161</v>
      </c>
      <c r="AL3609">
        <v>39.155445</v>
      </c>
      <c r="AM3609" t="s">
        <v>1162</v>
      </c>
      <c r="AN3609">
        <v>-121.030905</v>
      </c>
      <c r="AO3609">
        <v>25</v>
      </c>
      <c r="AP3609">
        <v>4100</v>
      </c>
      <c r="AQ3609" t="s">
        <v>131</v>
      </c>
      <c r="AR3609">
        <v>2</v>
      </c>
      <c r="AS3609">
        <v>94</v>
      </c>
      <c r="AT3609">
        <v>0</v>
      </c>
      <c r="BB3609" t="str">
        <f t="shared" si="1422"/>
        <v>1200</v>
      </c>
      <c r="BC3609">
        <v>1</v>
      </c>
      <c r="BD3609" t="str">
        <f t="shared" si="1423"/>
        <v xml:space="preserve">N52156  </v>
      </c>
      <c r="BE3609">
        <v>1</v>
      </c>
      <c r="BG3609">
        <v>0</v>
      </c>
      <c r="BH3609">
        <v>0</v>
      </c>
      <c r="BI3609">
        <v>0</v>
      </c>
      <c r="BJ3609">
        <v>4100</v>
      </c>
      <c r="BK3609">
        <v>0</v>
      </c>
      <c r="BL3609" t="s">
        <v>188</v>
      </c>
      <c r="BM3609">
        <v>1</v>
      </c>
      <c r="BN3609">
        <v>1</v>
      </c>
      <c r="BO3609">
        <v>0</v>
      </c>
      <c r="BP3609">
        <v>0</v>
      </c>
      <c r="BS3609">
        <v>0</v>
      </c>
      <c r="BT3609">
        <v>0</v>
      </c>
      <c r="BU3609">
        <v>0</v>
      </c>
      <c r="CE3609" t="str">
        <f t="shared" si="1431"/>
        <v>15:14:33.862</v>
      </c>
      <c r="CF3609">
        <v>862488395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4</v>
      </c>
      <c r="CY3609">
        <v>7</v>
      </c>
      <c r="CZ3609" t="s">
        <v>133</v>
      </c>
      <c r="DA3609">
        <v>275</v>
      </c>
      <c r="DB3609">
        <v>0</v>
      </c>
      <c r="DC3609" t="s">
        <v>134</v>
      </c>
      <c r="DD3609" t="s">
        <v>135</v>
      </c>
      <c r="DG3609">
        <v>3322829</v>
      </c>
      <c r="DI3609">
        <v>1</v>
      </c>
      <c r="DJ3609">
        <v>0</v>
      </c>
      <c r="DK3609">
        <v>1</v>
      </c>
      <c r="DL3609">
        <v>0</v>
      </c>
      <c r="DM3609">
        <v>0</v>
      </c>
      <c r="DN3609">
        <v>0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3">
      <c r="A3610" t="str">
        <f>"05/01/2025 15:14:34.084"</f>
        <v>05/01/2025 15:14:34.084</v>
      </c>
      <c r="C3610" t="str">
        <f t="shared" si="1420"/>
        <v>FFDFD3C0</v>
      </c>
      <c r="D3610" t="s">
        <v>124</v>
      </c>
      <c r="E3610" t="str">
        <f>"06"</f>
        <v>06</v>
      </c>
      <c r="F3610">
        <v>2006</v>
      </c>
      <c r="G3610" t="s">
        <v>125</v>
      </c>
      <c r="J3610" t="s">
        <v>126</v>
      </c>
      <c r="K3610">
        <v>0</v>
      </c>
      <c r="L3610">
        <v>3</v>
      </c>
      <c r="M3610">
        <v>0</v>
      </c>
      <c r="N3610">
        <v>2</v>
      </c>
      <c r="O3610">
        <v>0</v>
      </c>
      <c r="P3610">
        <v>1</v>
      </c>
      <c r="Q3610">
        <v>0</v>
      </c>
      <c r="R3610" t="s">
        <v>127</v>
      </c>
      <c r="S3610" t="str">
        <f t="shared" si="1430"/>
        <v>15:14:33.000</v>
      </c>
      <c r="T3610" t="str">
        <f t="shared" si="1430"/>
        <v>15:14:33.000</v>
      </c>
      <c r="U3610" t="str">
        <f t="shared" si="1421"/>
        <v>A68FCB</v>
      </c>
      <c r="V3610">
        <v>0</v>
      </c>
      <c r="W3610">
        <v>0</v>
      </c>
      <c r="X3610">
        <v>2</v>
      </c>
      <c r="Y3610">
        <v>0</v>
      </c>
      <c r="AA3610">
        <v>1</v>
      </c>
      <c r="AB3610">
        <v>8</v>
      </c>
      <c r="AC3610">
        <v>3</v>
      </c>
      <c r="AD3610">
        <v>0</v>
      </c>
      <c r="AE3610">
        <v>9</v>
      </c>
      <c r="AF3610" t="s">
        <v>138</v>
      </c>
      <c r="AG3610">
        <v>0</v>
      </c>
      <c r="AH3610">
        <v>3</v>
      </c>
      <c r="AI3610">
        <v>2</v>
      </c>
      <c r="AJ3610">
        <v>0</v>
      </c>
      <c r="AK3610" t="s">
        <v>1161</v>
      </c>
      <c r="AL3610">
        <v>39.155445</v>
      </c>
      <c r="AM3610" t="s">
        <v>1162</v>
      </c>
      <c r="AN3610">
        <v>-121.030905</v>
      </c>
      <c r="AO3610">
        <v>25</v>
      </c>
      <c r="AP3610">
        <v>4100</v>
      </c>
      <c r="AQ3610" t="s">
        <v>131</v>
      </c>
      <c r="AR3610">
        <v>2</v>
      </c>
      <c r="AS3610">
        <v>94</v>
      </c>
      <c r="AT3610">
        <v>0</v>
      </c>
      <c r="BB3610" t="str">
        <f t="shared" si="1422"/>
        <v>1200</v>
      </c>
      <c r="BC3610">
        <v>1</v>
      </c>
      <c r="BD3610" t="str">
        <f t="shared" si="1423"/>
        <v xml:space="preserve">N52156  </v>
      </c>
      <c r="BE3610">
        <v>1</v>
      </c>
      <c r="BG3610">
        <v>0</v>
      </c>
      <c r="BH3610">
        <v>0</v>
      </c>
      <c r="BI3610">
        <v>0</v>
      </c>
      <c r="BJ3610">
        <v>4100</v>
      </c>
      <c r="BK3610">
        <v>0</v>
      </c>
      <c r="BL3610" t="s">
        <v>188</v>
      </c>
      <c r="BM3610">
        <v>1</v>
      </c>
      <c r="BN3610">
        <v>1</v>
      </c>
      <c r="BO3610">
        <v>0</v>
      </c>
      <c r="BP3610">
        <v>0</v>
      </c>
      <c r="BS3610">
        <v>0</v>
      </c>
      <c r="BT3610">
        <v>0</v>
      </c>
      <c r="BU3610">
        <v>0</v>
      </c>
      <c r="CE3610" t="str">
        <f t="shared" si="1431"/>
        <v>15:14:33.862</v>
      </c>
      <c r="CF3610">
        <v>862488395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4</v>
      </c>
      <c r="CY3610">
        <v>7</v>
      </c>
      <c r="CZ3610" t="s">
        <v>133</v>
      </c>
      <c r="DA3610">
        <v>275</v>
      </c>
      <c r="DB3610">
        <v>0</v>
      </c>
      <c r="DC3610" t="s">
        <v>134</v>
      </c>
      <c r="DD3610" t="s">
        <v>135</v>
      </c>
      <c r="DG3610">
        <v>3322829</v>
      </c>
      <c r="DI3610">
        <v>1</v>
      </c>
      <c r="DJ3610">
        <v>0</v>
      </c>
      <c r="DK3610">
        <v>1</v>
      </c>
      <c r="DL3610">
        <v>0</v>
      </c>
      <c r="DM3610">
        <v>0</v>
      </c>
      <c r="DN3610">
        <v>0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3">
      <c r="A3611" t="str">
        <f>"05/01/2025 15:14:34.094"</f>
        <v>05/01/2025 15:14:34.094</v>
      </c>
      <c r="C3611" t="str">
        <f t="shared" si="1420"/>
        <v>FFDFD3C0</v>
      </c>
      <c r="D3611" t="s">
        <v>145</v>
      </c>
      <c r="E3611" t="str">
        <f>"09"</f>
        <v>09</v>
      </c>
      <c r="H3611">
        <v>51</v>
      </c>
      <c r="I3611" t="s">
        <v>147</v>
      </c>
      <c r="J3611" t="s">
        <v>138</v>
      </c>
      <c r="K3611">
        <v>0</v>
      </c>
      <c r="L3611">
        <v>3</v>
      </c>
      <c r="M3611">
        <v>0</v>
      </c>
      <c r="N3611">
        <v>2</v>
      </c>
      <c r="O3611">
        <v>0</v>
      </c>
      <c r="P3611">
        <v>1</v>
      </c>
      <c r="Q3611">
        <v>0</v>
      </c>
      <c r="R3611" t="s">
        <v>127</v>
      </c>
      <c r="S3611" t="str">
        <f t="shared" si="1430"/>
        <v>15:14:33.000</v>
      </c>
      <c r="T3611" t="str">
        <f t="shared" si="1430"/>
        <v>15:14:33.000</v>
      </c>
      <c r="U3611" t="str">
        <f t="shared" si="1421"/>
        <v>A68FCB</v>
      </c>
      <c r="V3611">
        <v>0</v>
      </c>
      <c r="W3611">
        <v>0</v>
      </c>
      <c r="X3611">
        <v>2</v>
      </c>
      <c r="Y3611">
        <v>0</v>
      </c>
      <c r="AA3611">
        <v>1</v>
      </c>
      <c r="AB3611">
        <v>8</v>
      </c>
      <c r="AC3611">
        <v>3</v>
      </c>
      <c r="AD3611">
        <v>0</v>
      </c>
      <c r="AE3611">
        <v>9</v>
      </c>
      <c r="AF3611" t="s">
        <v>138</v>
      </c>
      <c r="AG3611">
        <v>0</v>
      </c>
      <c r="AH3611">
        <v>3</v>
      </c>
      <c r="AI3611">
        <v>2</v>
      </c>
      <c r="AJ3611">
        <v>0</v>
      </c>
      <c r="AK3611" t="s">
        <v>1161</v>
      </c>
      <c r="AL3611">
        <v>39.155445</v>
      </c>
      <c r="AM3611" t="s">
        <v>1162</v>
      </c>
      <c r="AN3611">
        <v>-121.030905</v>
      </c>
      <c r="AO3611">
        <v>25</v>
      </c>
      <c r="AP3611">
        <v>4100</v>
      </c>
      <c r="AQ3611" t="s">
        <v>131</v>
      </c>
      <c r="AR3611">
        <v>2</v>
      </c>
      <c r="AS3611">
        <v>94</v>
      </c>
      <c r="AT3611">
        <v>0</v>
      </c>
      <c r="BB3611" t="str">
        <f t="shared" si="1422"/>
        <v>1200</v>
      </c>
      <c r="BC3611">
        <v>1</v>
      </c>
      <c r="BD3611" t="str">
        <f t="shared" si="1423"/>
        <v xml:space="preserve">N52156  </v>
      </c>
      <c r="BE3611">
        <v>1</v>
      </c>
      <c r="BG3611">
        <v>0</v>
      </c>
      <c r="BH3611">
        <v>0</v>
      </c>
      <c r="BI3611">
        <v>0</v>
      </c>
      <c r="BJ3611">
        <v>4100</v>
      </c>
      <c r="BK3611">
        <v>0</v>
      </c>
      <c r="BL3611" t="s">
        <v>188</v>
      </c>
      <c r="BM3611">
        <v>1</v>
      </c>
      <c r="BN3611">
        <v>1</v>
      </c>
      <c r="BO3611">
        <v>0</v>
      </c>
      <c r="BP3611">
        <v>0</v>
      </c>
      <c r="BS3611">
        <v>0</v>
      </c>
      <c r="BT3611">
        <v>0</v>
      </c>
      <c r="BU3611">
        <v>0</v>
      </c>
      <c r="CE3611" t="str">
        <f t="shared" si="1431"/>
        <v>15:14:33.862</v>
      </c>
      <c r="CF3611">
        <v>862488395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4</v>
      </c>
      <c r="CY3611">
        <v>7</v>
      </c>
      <c r="CZ3611" t="s">
        <v>133</v>
      </c>
      <c r="DA3611">
        <v>275</v>
      </c>
      <c r="DB3611">
        <v>0</v>
      </c>
      <c r="DC3611" t="s">
        <v>134</v>
      </c>
      <c r="DD3611" t="s">
        <v>135</v>
      </c>
      <c r="DG3611">
        <v>3322829</v>
      </c>
      <c r="DI3611">
        <v>1</v>
      </c>
      <c r="DJ3611">
        <v>0</v>
      </c>
      <c r="DK3611">
        <v>1</v>
      </c>
      <c r="DL3611">
        <v>0</v>
      </c>
      <c r="DM3611">
        <v>0</v>
      </c>
      <c r="DN3611">
        <v>0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3">
      <c r="A3612" t="str">
        <f>"05/01/2025 15:14:34.097"</f>
        <v>05/01/2025 15:14:34.097</v>
      </c>
      <c r="C3612" t="str">
        <f t="shared" si="1420"/>
        <v>FFDFD3C0</v>
      </c>
      <c r="D3612" t="s">
        <v>145</v>
      </c>
      <c r="E3612" t="str">
        <f>"05"</f>
        <v>05</v>
      </c>
      <c r="H3612">
        <v>47</v>
      </c>
      <c r="I3612" t="s">
        <v>146</v>
      </c>
      <c r="J3612" t="s">
        <v>138</v>
      </c>
      <c r="K3612">
        <v>0</v>
      </c>
      <c r="L3612">
        <v>3</v>
      </c>
      <c r="M3612">
        <v>0</v>
      </c>
      <c r="N3612">
        <v>2</v>
      </c>
      <c r="O3612">
        <v>0</v>
      </c>
      <c r="P3612">
        <v>1</v>
      </c>
      <c r="Q3612">
        <v>0</v>
      </c>
      <c r="R3612" t="s">
        <v>127</v>
      </c>
      <c r="S3612" t="str">
        <f t="shared" si="1430"/>
        <v>15:14:33.000</v>
      </c>
      <c r="T3612" t="str">
        <f t="shared" si="1430"/>
        <v>15:14:33.000</v>
      </c>
      <c r="U3612" t="str">
        <f t="shared" si="1421"/>
        <v>A68FCB</v>
      </c>
      <c r="V3612">
        <v>0</v>
      </c>
      <c r="W3612">
        <v>0</v>
      </c>
      <c r="X3612">
        <v>2</v>
      </c>
      <c r="Y3612">
        <v>0</v>
      </c>
      <c r="AA3612">
        <v>1</v>
      </c>
      <c r="AB3612">
        <v>8</v>
      </c>
      <c r="AC3612">
        <v>3</v>
      </c>
      <c r="AD3612">
        <v>0</v>
      </c>
      <c r="AE3612">
        <v>9</v>
      </c>
      <c r="AF3612" t="s">
        <v>138</v>
      </c>
      <c r="AG3612">
        <v>0</v>
      </c>
      <c r="AH3612">
        <v>3</v>
      </c>
      <c r="AI3612">
        <v>2</v>
      </c>
      <c r="AJ3612">
        <v>0</v>
      </c>
      <c r="AK3612" t="s">
        <v>1161</v>
      </c>
      <c r="AL3612">
        <v>39.155445</v>
      </c>
      <c r="AM3612" t="s">
        <v>1162</v>
      </c>
      <c r="AN3612">
        <v>-121.030905</v>
      </c>
      <c r="AO3612">
        <v>25</v>
      </c>
      <c r="AP3612">
        <v>4100</v>
      </c>
      <c r="AQ3612" t="s">
        <v>131</v>
      </c>
      <c r="AR3612">
        <v>2</v>
      </c>
      <c r="AS3612">
        <v>94</v>
      </c>
      <c r="AT3612">
        <v>0</v>
      </c>
      <c r="BB3612" t="str">
        <f t="shared" si="1422"/>
        <v>1200</v>
      </c>
      <c r="BC3612">
        <v>1</v>
      </c>
      <c r="BD3612" t="str">
        <f t="shared" si="1423"/>
        <v xml:space="preserve">N52156  </v>
      </c>
      <c r="BE3612">
        <v>1</v>
      </c>
      <c r="BG3612">
        <v>0</v>
      </c>
      <c r="BH3612">
        <v>0</v>
      </c>
      <c r="BI3612">
        <v>0</v>
      </c>
      <c r="BJ3612">
        <v>4100</v>
      </c>
      <c r="BK3612">
        <v>0</v>
      </c>
      <c r="BL3612" t="s">
        <v>188</v>
      </c>
      <c r="BM3612">
        <v>1</v>
      </c>
      <c r="BN3612">
        <v>1</v>
      </c>
      <c r="BO3612">
        <v>0</v>
      </c>
      <c r="BP3612">
        <v>0</v>
      </c>
      <c r="BS3612">
        <v>0</v>
      </c>
      <c r="BT3612">
        <v>0</v>
      </c>
      <c r="BU3612">
        <v>0</v>
      </c>
      <c r="CE3612" t="str">
        <f t="shared" si="1431"/>
        <v>15:14:33.862</v>
      </c>
      <c r="CF3612">
        <v>862488395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4</v>
      </c>
      <c r="CY3612">
        <v>7</v>
      </c>
      <c r="CZ3612" t="s">
        <v>133</v>
      </c>
      <c r="DA3612">
        <v>275</v>
      </c>
      <c r="DB3612">
        <v>0</v>
      </c>
      <c r="DC3612" t="s">
        <v>134</v>
      </c>
      <c r="DD3612" t="s">
        <v>135</v>
      </c>
      <c r="DG3612">
        <v>3322829</v>
      </c>
      <c r="DI3612">
        <v>1</v>
      </c>
      <c r="DJ3612">
        <v>0</v>
      </c>
      <c r="DK3612">
        <v>1</v>
      </c>
      <c r="DL3612">
        <v>0</v>
      </c>
      <c r="DM3612">
        <v>0</v>
      </c>
      <c r="DN3612">
        <v>0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3">
      <c r="A3613" t="str">
        <f>"05/01/2025 15:14:34.108"</f>
        <v>05/01/2025 15:14:34.108</v>
      </c>
      <c r="C3613" t="str">
        <f t="shared" si="1420"/>
        <v>FFDFD3C0</v>
      </c>
      <c r="D3613" t="s">
        <v>136</v>
      </c>
      <c r="E3613" t="str">
        <f>"20"</f>
        <v>20</v>
      </c>
      <c r="H3613">
        <v>400</v>
      </c>
      <c r="I3613" t="s">
        <v>137</v>
      </c>
      <c r="J3613" t="s">
        <v>138</v>
      </c>
      <c r="K3613">
        <v>0</v>
      </c>
      <c r="L3613">
        <v>3</v>
      </c>
      <c r="M3613">
        <v>0</v>
      </c>
      <c r="N3613">
        <v>2</v>
      </c>
      <c r="O3613">
        <v>0</v>
      </c>
      <c r="P3613">
        <v>1</v>
      </c>
      <c r="Q3613">
        <v>0</v>
      </c>
      <c r="R3613" t="s">
        <v>127</v>
      </c>
      <c r="S3613" t="str">
        <f t="shared" si="1430"/>
        <v>15:14:33.000</v>
      </c>
      <c r="T3613" t="str">
        <f t="shared" si="1430"/>
        <v>15:14:33.000</v>
      </c>
      <c r="U3613" t="str">
        <f t="shared" si="1421"/>
        <v>A68FCB</v>
      </c>
      <c r="V3613">
        <v>0</v>
      </c>
      <c r="W3613">
        <v>0</v>
      </c>
      <c r="X3613">
        <v>2</v>
      </c>
      <c r="Y3613">
        <v>0</v>
      </c>
      <c r="AA3613">
        <v>1</v>
      </c>
      <c r="AB3613">
        <v>8</v>
      </c>
      <c r="AC3613">
        <v>3</v>
      </c>
      <c r="AD3613">
        <v>0</v>
      </c>
      <c r="AE3613">
        <v>9</v>
      </c>
      <c r="AF3613" t="s">
        <v>138</v>
      </c>
      <c r="AG3613">
        <v>0</v>
      </c>
      <c r="AH3613">
        <v>3</v>
      </c>
      <c r="AI3613">
        <v>2</v>
      </c>
      <c r="AJ3613">
        <v>0</v>
      </c>
      <c r="AK3613" t="s">
        <v>1161</v>
      </c>
      <c r="AL3613">
        <v>39.155445</v>
      </c>
      <c r="AM3613" t="s">
        <v>1162</v>
      </c>
      <c r="AN3613">
        <v>-121.030905</v>
      </c>
      <c r="AO3613">
        <v>25</v>
      </c>
      <c r="AP3613">
        <v>4100</v>
      </c>
      <c r="AQ3613" t="s">
        <v>131</v>
      </c>
      <c r="AR3613">
        <v>2</v>
      </c>
      <c r="AS3613">
        <v>94</v>
      </c>
      <c r="AT3613">
        <v>0</v>
      </c>
      <c r="BB3613" t="str">
        <f t="shared" si="1422"/>
        <v>1200</v>
      </c>
      <c r="BC3613">
        <v>1</v>
      </c>
      <c r="BD3613" t="str">
        <f t="shared" si="1423"/>
        <v xml:space="preserve">N52156  </v>
      </c>
      <c r="BE3613">
        <v>1</v>
      </c>
      <c r="BG3613">
        <v>0</v>
      </c>
      <c r="BH3613">
        <v>0</v>
      </c>
      <c r="BI3613">
        <v>0</v>
      </c>
      <c r="BJ3613">
        <v>4100</v>
      </c>
      <c r="BK3613">
        <v>0</v>
      </c>
      <c r="BL3613" t="s">
        <v>188</v>
      </c>
      <c r="BM3613">
        <v>1</v>
      </c>
      <c r="BN3613">
        <v>1</v>
      </c>
      <c r="BO3613">
        <v>0</v>
      </c>
      <c r="BP3613">
        <v>0</v>
      </c>
      <c r="BS3613">
        <v>0</v>
      </c>
      <c r="BT3613">
        <v>0</v>
      </c>
      <c r="BU3613">
        <v>0</v>
      </c>
      <c r="CE3613" t="str">
        <f t="shared" si="1431"/>
        <v>15:14:33.862</v>
      </c>
      <c r="CF3613">
        <v>862488395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4</v>
      </c>
      <c r="CY3613">
        <v>7</v>
      </c>
      <c r="CZ3613" t="s">
        <v>133</v>
      </c>
      <c r="DA3613">
        <v>275</v>
      </c>
      <c r="DB3613">
        <v>0</v>
      </c>
      <c r="DC3613" t="s">
        <v>134</v>
      </c>
      <c r="DD3613" t="s">
        <v>135</v>
      </c>
      <c r="DG3613">
        <v>3322829</v>
      </c>
      <c r="DI3613">
        <v>1</v>
      </c>
      <c r="DJ3613">
        <v>0</v>
      </c>
      <c r="DK3613">
        <v>1</v>
      </c>
      <c r="DL3613">
        <v>0</v>
      </c>
      <c r="DM3613">
        <v>0</v>
      </c>
      <c r="DN3613">
        <v>0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3">
      <c r="A3614" t="str">
        <f>"05/01/2025 15:14:34.999"</f>
        <v>05/01/2025 15:14:34.999</v>
      </c>
      <c r="C3614" t="str">
        <f t="shared" si="1420"/>
        <v>FFDFD3C0</v>
      </c>
      <c r="D3614" t="s">
        <v>145</v>
      </c>
      <c r="E3614" t="str">
        <f>"05"</f>
        <v>05</v>
      </c>
      <c r="H3614">
        <v>47</v>
      </c>
      <c r="I3614" t="s">
        <v>146</v>
      </c>
      <c r="J3614" t="s">
        <v>138</v>
      </c>
      <c r="K3614">
        <v>0</v>
      </c>
      <c r="L3614">
        <v>3</v>
      </c>
      <c r="M3614">
        <v>0</v>
      </c>
      <c r="N3614">
        <v>2</v>
      </c>
      <c r="O3614">
        <v>0</v>
      </c>
      <c r="P3614">
        <v>1</v>
      </c>
      <c r="Q3614">
        <v>0</v>
      </c>
      <c r="R3614" t="s">
        <v>127</v>
      </c>
      <c r="S3614" t="str">
        <f t="shared" ref="S3614:T3619" si="1432">"15:14:34.000"</f>
        <v>15:14:34.000</v>
      </c>
      <c r="T3614" t="str">
        <f t="shared" si="1432"/>
        <v>15:14:34.000</v>
      </c>
      <c r="U3614" t="str">
        <f t="shared" si="1421"/>
        <v>A68FCB</v>
      </c>
      <c r="V3614">
        <v>0</v>
      </c>
      <c r="W3614">
        <v>0</v>
      </c>
      <c r="X3614">
        <v>2</v>
      </c>
      <c r="Y3614">
        <v>0</v>
      </c>
      <c r="AA3614">
        <v>1</v>
      </c>
      <c r="AB3614">
        <v>8</v>
      </c>
      <c r="AC3614">
        <v>3</v>
      </c>
      <c r="AD3614">
        <v>0</v>
      </c>
      <c r="AE3614">
        <v>9</v>
      </c>
      <c r="AF3614" t="s">
        <v>138</v>
      </c>
      <c r="AG3614">
        <v>0</v>
      </c>
      <c r="AH3614">
        <v>3</v>
      </c>
      <c r="AI3614">
        <v>2</v>
      </c>
      <c r="AJ3614">
        <v>0</v>
      </c>
      <c r="AK3614" t="s">
        <v>1163</v>
      </c>
      <c r="AL3614">
        <v>39.155895999999998</v>
      </c>
      <c r="AM3614" t="s">
        <v>1164</v>
      </c>
      <c r="AN3614">
        <v>-121.030884</v>
      </c>
      <c r="AO3614">
        <v>25</v>
      </c>
      <c r="AP3614">
        <v>4100</v>
      </c>
      <c r="AQ3614" t="s">
        <v>131</v>
      </c>
      <c r="AR3614">
        <v>1</v>
      </c>
      <c r="AS3614">
        <v>95</v>
      </c>
      <c r="AT3614">
        <v>0</v>
      </c>
      <c r="BB3614" t="str">
        <f t="shared" si="1422"/>
        <v>1200</v>
      </c>
      <c r="BC3614">
        <v>1</v>
      </c>
      <c r="BD3614" t="str">
        <f t="shared" si="1423"/>
        <v xml:space="preserve">N52156  </v>
      </c>
      <c r="BE3614">
        <v>1</v>
      </c>
      <c r="BG3614">
        <v>0</v>
      </c>
      <c r="BH3614">
        <v>0</v>
      </c>
      <c r="BI3614">
        <v>0</v>
      </c>
      <c r="BJ3614">
        <v>4100</v>
      </c>
      <c r="BK3614">
        <v>0</v>
      </c>
      <c r="BL3614" t="s">
        <v>188</v>
      </c>
      <c r="BM3614">
        <v>1</v>
      </c>
      <c r="BN3614">
        <v>1</v>
      </c>
      <c r="BO3614">
        <v>0</v>
      </c>
      <c r="BP3614">
        <v>0</v>
      </c>
      <c r="BS3614">
        <v>0</v>
      </c>
      <c r="BT3614">
        <v>0</v>
      </c>
      <c r="BU3614">
        <v>0</v>
      </c>
      <c r="CE3614" t="str">
        <f t="shared" ref="CE3614:CE3619" si="1433">"15:14:34.782"</f>
        <v>15:14:34.782</v>
      </c>
      <c r="CF3614">
        <v>781738254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4</v>
      </c>
      <c r="CY3614">
        <v>7</v>
      </c>
      <c r="CZ3614" t="s">
        <v>133</v>
      </c>
      <c r="DA3614">
        <v>275</v>
      </c>
      <c r="DB3614">
        <v>0</v>
      </c>
      <c r="DC3614" t="s">
        <v>134</v>
      </c>
      <c r="DD3614" t="s">
        <v>135</v>
      </c>
      <c r="DG3614">
        <v>3322834</v>
      </c>
      <c r="DI3614">
        <v>1</v>
      </c>
      <c r="DJ3614">
        <v>0</v>
      </c>
      <c r="DK3614">
        <v>0</v>
      </c>
      <c r="DL3614">
        <v>0</v>
      </c>
      <c r="DM3614">
        <v>0</v>
      </c>
      <c r="DN3614">
        <v>0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3">
      <c r="A3615" t="str">
        <f>"05/01/2025 15:14:35.010"</f>
        <v>05/01/2025 15:14:35.010</v>
      </c>
      <c r="C3615" t="str">
        <f t="shared" si="1420"/>
        <v>FFDFD3C0</v>
      </c>
      <c r="D3615" t="s">
        <v>136</v>
      </c>
      <c r="E3615" t="str">
        <f>"20"</f>
        <v>20</v>
      </c>
      <c r="H3615">
        <v>400</v>
      </c>
      <c r="I3615" t="s">
        <v>137</v>
      </c>
      <c r="J3615" t="s">
        <v>138</v>
      </c>
      <c r="K3615">
        <v>0</v>
      </c>
      <c r="L3615">
        <v>3</v>
      </c>
      <c r="M3615">
        <v>0</v>
      </c>
      <c r="N3615">
        <v>2</v>
      </c>
      <c r="O3615">
        <v>0</v>
      </c>
      <c r="P3615">
        <v>1</v>
      </c>
      <c r="Q3615">
        <v>0</v>
      </c>
      <c r="R3615" t="s">
        <v>127</v>
      </c>
      <c r="S3615" t="str">
        <f t="shared" si="1432"/>
        <v>15:14:34.000</v>
      </c>
      <c r="T3615" t="str">
        <f t="shared" si="1432"/>
        <v>15:14:34.000</v>
      </c>
      <c r="U3615" t="str">
        <f t="shared" si="1421"/>
        <v>A68FCB</v>
      </c>
      <c r="V3615">
        <v>0</v>
      </c>
      <c r="W3615">
        <v>0</v>
      </c>
      <c r="X3615">
        <v>2</v>
      </c>
      <c r="Y3615">
        <v>0</v>
      </c>
      <c r="AA3615">
        <v>1</v>
      </c>
      <c r="AB3615">
        <v>8</v>
      </c>
      <c r="AC3615">
        <v>3</v>
      </c>
      <c r="AD3615">
        <v>0</v>
      </c>
      <c r="AE3615">
        <v>9</v>
      </c>
      <c r="AF3615" t="s">
        <v>138</v>
      </c>
      <c r="AG3615">
        <v>0</v>
      </c>
      <c r="AH3615">
        <v>3</v>
      </c>
      <c r="AI3615">
        <v>2</v>
      </c>
      <c r="AJ3615">
        <v>0</v>
      </c>
      <c r="AK3615" t="s">
        <v>1163</v>
      </c>
      <c r="AL3615">
        <v>39.155895999999998</v>
      </c>
      <c r="AM3615" t="s">
        <v>1164</v>
      </c>
      <c r="AN3615">
        <v>-121.030884</v>
      </c>
      <c r="AO3615">
        <v>25</v>
      </c>
      <c r="AP3615">
        <v>4100</v>
      </c>
      <c r="AQ3615" t="s">
        <v>131</v>
      </c>
      <c r="AR3615">
        <v>1</v>
      </c>
      <c r="AS3615">
        <v>95</v>
      </c>
      <c r="AT3615">
        <v>0</v>
      </c>
      <c r="BB3615" t="str">
        <f t="shared" si="1422"/>
        <v>1200</v>
      </c>
      <c r="BC3615">
        <v>1</v>
      </c>
      <c r="BD3615" t="str">
        <f t="shared" si="1423"/>
        <v xml:space="preserve">N52156  </v>
      </c>
      <c r="BE3615">
        <v>1</v>
      </c>
      <c r="BG3615">
        <v>0</v>
      </c>
      <c r="BH3615">
        <v>0</v>
      </c>
      <c r="BI3615">
        <v>0</v>
      </c>
      <c r="BJ3615">
        <v>4100</v>
      </c>
      <c r="BK3615">
        <v>0</v>
      </c>
      <c r="BL3615" t="s">
        <v>188</v>
      </c>
      <c r="BM3615">
        <v>1</v>
      </c>
      <c r="BN3615">
        <v>1</v>
      </c>
      <c r="BO3615">
        <v>0</v>
      </c>
      <c r="BP3615">
        <v>0</v>
      </c>
      <c r="BS3615">
        <v>0</v>
      </c>
      <c r="BT3615">
        <v>0</v>
      </c>
      <c r="BU3615">
        <v>0</v>
      </c>
      <c r="CE3615" t="str">
        <f t="shared" si="1433"/>
        <v>15:14:34.782</v>
      </c>
      <c r="CF3615">
        <v>781738254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4</v>
      </c>
      <c r="CY3615">
        <v>7</v>
      </c>
      <c r="CZ3615" t="s">
        <v>133</v>
      </c>
      <c r="DA3615">
        <v>275</v>
      </c>
      <c r="DB3615">
        <v>0</v>
      </c>
      <c r="DC3615" t="s">
        <v>134</v>
      </c>
      <c r="DD3615" t="s">
        <v>135</v>
      </c>
      <c r="DG3615">
        <v>3322834</v>
      </c>
      <c r="DI3615">
        <v>1</v>
      </c>
      <c r="DJ3615">
        <v>0</v>
      </c>
      <c r="DK3615">
        <v>1</v>
      </c>
      <c r="DL3615">
        <v>0</v>
      </c>
      <c r="DM3615">
        <v>0</v>
      </c>
      <c r="DN3615">
        <v>0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3">
      <c r="A3616" t="str">
        <f>"05/01/2025 15:14:35.026"</f>
        <v>05/01/2025 15:14:35.026</v>
      </c>
      <c r="C3616" t="str">
        <f t="shared" si="1420"/>
        <v>FFDFD3C0</v>
      </c>
      <c r="D3616" t="s">
        <v>143</v>
      </c>
      <c r="E3616" t="str">
        <f>"05"</f>
        <v>05</v>
      </c>
      <c r="H3616">
        <v>172</v>
      </c>
      <c r="I3616" t="s">
        <v>141</v>
      </c>
      <c r="J3616" t="s">
        <v>144</v>
      </c>
      <c r="K3616">
        <v>0</v>
      </c>
      <c r="L3616">
        <v>3</v>
      </c>
      <c r="M3616">
        <v>0</v>
      </c>
      <c r="N3616">
        <v>2</v>
      </c>
      <c r="O3616">
        <v>0</v>
      </c>
      <c r="P3616">
        <v>1</v>
      </c>
      <c r="Q3616">
        <v>0</v>
      </c>
      <c r="R3616" t="s">
        <v>127</v>
      </c>
      <c r="S3616" t="str">
        <f t="shared" si="1432"/>
        <v>15:14:34.000</v>
      </c>
      <c r="T3616" t="str">
        <f t="shared" si="1432"/>
        <v>15:14:34.000</v>
      </c>
      <c r="U3616" t="str">
        <f t="shared" si="1421"/>
        <v>A68FCB</v>
      </c>
      <c r="V3616">
        <v>0</v>
      </c>
      <c r="W3616">
        <v>0</v>
      </c>
      <c r="X3616">
        <v>2</v>
      </c>
      <c r="Y3616">
        <v>0</v>
      </c>
      <c r="AA3616">
        <v>1</v>
      </c>
      <c r="AB3616">
        <v>8</v>
      </c>
      <c r="AC3616">
        <v>3</v>
      </c>
      <c r="AD3616">
        <v>0</v>
      </c>
      <c r="AE3616">
        <v>9</v>
      </c>
      <c r="AF3616" t="s">
        <v>138</v>
      </c>
      <c r="AG3616">
        <v>0</v>
      </c>
      <c r="AH3616">
        <v>3</v>
      </c>
      <c r="AI3616">
        <v>2</v>
      </c>
      <c r="AJ3616">
        <v>0</v>
      </c>
      <c r="AK3616" t="s">
        <v>1163</v>
      </c>
      <c r="AL3616">
        <v>39.155895999999998</v>
      </c>
      <c r="AM3616" t="s">
        <v>1164</v>
      </c>
      <c r="AN3616">
        <v>-121.030884</v>
      </c>
      <c r="AO3616">
        <v>25</v>
      </c>
      <c r="AP3616">
        <v>4100</v>
      </c>
      <c r="AQ3616" t="s">
        <v>131</v>
      </c>
      <c r="AR3616">
        <v>1</v>
      </c>
      <c r="AS3616">
        <v>95</v>
      </c>
      <c r="AT3616">
        <v>0</v>
      </c>
      <c r="BB3616" t="str">
        <f t="shared" si="1422"/>
        <v>1200</v>
      </c>
      <c r="BC3616">
        <v>1</v>
      </c>
      <c r="BD3616" t="str">
        <f t="shared" si="1423"/>
        <v xml:space="preserve">N52156  </v>
      </c>
      <c r="BE3616">
        <v>1</v>
      </c>
      <c r="BG3616">
        <v>0</v>
      </c>
      <c r="BH3616">
        <v>0</v>
      </c>
      <c r="BI3616">
        <v>0</v>
      </c>
      <c r="BJ3616">
        <v>4100</v>
      </c>
      <c r="BK3616">
        <v>0</v>
      </c>
      <c r="BL3616" t="s">
        <v>188</v>
      </c>
      <c r="BM3616">
        <v>1</v>
      </c>
      <c r="BN3616">
        <v>1</v>
      </c>
      <c r="BO3616">
        <v>0</v>
      </c>
      <c r="BP3616">
        <v>0</v>
      </c>
      <c r="BS3616">
        <v>0</v>
      </c>
      <c r="BT3616">
        <v>0</v>
      </c>
      <c r="BU3616">
        <v>0</v>
      </c>
      <c r="CE3616" t="str">
        <f t="shared" si="1433"/>
        <v>15:14:34.782</v>
      </c>
      <c r="CF3616">
        <v>781738254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4</v>
      </c>
      <c r="CY3616">
        <v>7</v>
      </c>
      <c r="CZ3616" t="s">
        <v>133</v>
      </c>
      <c r="DA3616">
        <v>275</v>
      </c>
      <c r="DB3616">
        <v>0</v>
      </c>
      <c r="DC3616" t="s">
        <v>134</v>
      </c>
      <c r="DD3616" t="s">
        <v>135</v>
      </c>
      <c r="DG3616">
        <v>3322834</v>
      </c>
      <c r="DI3616">
        <v>1</v>
      </c>
      <c r="DJ3616">
        <v>0</v>
      </c>
      <c r="DK3616">
        <v>1</v>
      </c>
      <c r="DL3616">
        <v>0</v>
      </c>
      <c r="DM3616">
        <v>0</v>
      </c>
      <c r="DN3616">
        <v>0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3">
      <c r="A3617" t="str">
        <f>"05/01/2025 15:14:35.033"</f>
        <v>05/01/2025 15:14:35.033</v>
      </c>
      <c r="C3617" t="str">
        <f t="shared" si="1420"/>
        <v>FFDFD3C0</v>
      </c>
      <c r="D3617" t="s">
        <v>140</v>
      </c>
      <c r="E3617" t="str">
        <f>"13"</f>
        <v>13</v>
      </c>
      <c r="F3617">
        <v>1019</v>
      </c>
      <c r="G3617" t="s">
        <v>141</v>
      </c>
      <c r="J3617" t="s">
        <v>142</v>
      </c>
      <c r="K3617">
        <v>0</v>
      </c>
      <c r="L3617">
        <v>3</v>
      </c>
      <c r="M3617">
        <v>0</v>
      </c>
      <c r="N3617">
        <v>2</v>
      </c>
      <c r="O3617">
        <v>0</v>
      </c>
      <c r="P3617">
        <v>1</v>
      </c>
      <c r="Q3617">
        <v>0</v>
      </c>
      <c r="R3617" t="s">
        <v>127</v>
      </c>
      <c r="S3617" t="str">
        <f t="shared" si="1432"/>
        <v>15:14:34.000</v>
      </c>
      <c r="T3617" t="str">
        <f t="shared" si="1432"/>
        <v>15:14:34.000</v>
      </c>
      <c r="U3617" t="str">
        <f t="shared" si="1421"/>
        <v>A68FCB</v>
      </c>
      <c r="V3617">
        <v>0</v>
      </c>
      <c r="W3617">
        <v>0</v>
      </c>
      <c r="X3617">
        <v>2</v>
      </c>
      <c r="Y3617">
        <v>0</v>
      </c>
      <c r="AA3617">
        <v>1</v>
      </c>
      <c r="AB3617">
        <v>8</v>
      </c>
      <c r="AC3617">
        <v>3</v>
      </c>
      <c r="AD3617">
        <v>0</v>
      </c>
      <c r="AE3617">
        <v>9</v>
      </c>
      <c r="AF3617" t="s">
        <v>138</v>
      </c>
      <c r="AG3617">
        <v>0</v>
      </c>
      <c r="AH3617">
        <v>3</v>
      </c>
      <c r="AI3617">
        <v>2</v>
      </c>
      <c r="AJ3617">
        <v>0</v>
      </c>
      <c r="AK3617" t="s">
        <v>1163</v>
      </c>
      <c r="AL3617">
        <v>39.155895999999998</v>
      </c>
      <c r="AM3617" t="s">
        <v>1164</v>
      </c>
      <c r="AN3617">
        <v>-121.030884</v>
      </c>
      <c r="AO3617">
        <v>25</v>
      </c>
      <c r="AP3617">
        <v>4100</v>
      </c>
      <c r="AQ3617" t="s">
        <v>131</v>
      </c>
      <c r="AR3617">
        <v>1</v>
      </c>
      <c r="AS3617">
        <v>95</v>
      </c>
      <c r="AT3617">
        <v>0</v>
      </c>
      <c r="BB3617" t="str">
        <f t="shared" si="1422"/>
        <v>1200</v>
      </c>
      <c r="BC3617">
        <v>1</v>
      </c>
      <c r="BD3617" t="str">
        <f t="shared" si="1423"/>
        <v xml:space="preserve">N52156  </v>
      </c>
      <c r="BE3617">
        <v>1</v>
      </c>
      <c r="BG3617">
        <v>0</v>
      </c>
      <c r="BH3617">
        <v>0</v>
      </c>
      <c r="BI3617">
        <v>0</v>
      </c>
      <c r="BJ3617">
        <v>4100</v>
      </c>
      <c r="BK3617">
        <v>0</v>
      </c>
      <c r="BL3617" t="s">
        <v>188</v>
      </c>
      <c r="BM3617">
        <v>1</v>
      </c>
      <c r="BN3617">
        <v>1</v>
      </c>
      <c r="BO3617">
        <v>0</v>
      </c>
      <c r="BP3617">
        <v>0</v>
      </c>
      <c r="BS3617">
        <v>0</v>
      </c>
      <c r="BT3617">
        <v>0</v>
      </c>
      <c r="BU3617">
        <v>0</v>
      </c>
      <c r="CE3617" t="str">
        <f t="shared" si="1433"/>
        <v>15:14:34.782</v>
      </c>
      <c r="CF3617">
        <v>781738254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4</v>
      </c>
      <c r="CY3617">
        <v>7</v>
      </c>
      <c r="CZ3617" t="s">
        <v>133</v>
      </c>
      <c r="DA3617">
        <v>275</v>
      </c>
      <c r="DB3617">
        <v>0</v>
      </c>
      <c r="DC3617" t="s">
        <v>134</v>
      </c>
      <c r="DD3617" t="s">
        <v>135</v>
      </c>
      <c r="DG3617">
        <v>3322834</v>
      </c>
      <c r="DI3617">
        <v>1</v>
      </c>
      <c r="DJ3617">
        <v>0</v>
      </c>
      <c r="DK3617">
        <v>1</v>
      </c>
      <c r="DL3617">
        <v>0</v>
      </c>
      <c r="DM3617">
        <v>0</v>
      </c>
      <c r="DN3617">
        <v>0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3">
      <c r="A3618" t="str">
        <f>"05/01/2025 15:14:35.036"</f>
        <v>05/01/2025 15:14:35.036</v>
      </c>
      <c r="C3618" t="str">
        <f t="shared" si="1420"/>
        <v>FFDFD3C0</v>
      </c>
      <c r="D3618" t="s">
        <v>124</v>
      </c>
      <c r="E3618" t="str">
        <f>"06"</f>
        <v>06</v>
      </c>
      <c r="F3618">
        <v>2006</v>
      </c>
      <c r="G3618" t="s">
        <v>125</v>
      </c>
      <c r="J3618" t="s">
        <v>126</v>
      </c>
      <c r="K3618">
        <v>0</v>
      </c>
      <c r="L3618">
        <v>3</v>
      </c>
      <c r="M3618">
        <v>0</v>
      </c>
      <c r="N3618">
        <v>2</v>
      </c>
      <c r="O3618">
        <v>0</v>
      </c>
      <c r="P3618">
        <v>1</v>
      </c>
      <c r="Q3618">
        <v>0</v>
      </c>
      <c r="R3618" t="s">
        <v>127</v>
      </c>
      <c r="S3618" t="str">
        <f t="shared" si="1432"/>
        <v>15:14:34.000</v>
      </c>
      <c r="T3618" t="str">
        <f t="shared" si="1432"/>
        <v>15:14:34.000</v>
      </c>
      <c r="U3618" t="str">
        <f t="shared" si="1421"/>
        <v>A68FCB</v>
      </c>
      <c r="V3618">
        <v>0</v>
      </c>
      <c r="W3618">
        <v>0</v>
      </c>
      <c r="X3618">
        <v>2</v>
      </c>
      <c r="Y3618">
        <v>0</v>
      </c>
      <c r="AA3618">
        <v>1</v>
      </c>
      <c r="AB3618">
        <v>8</v>
      </c>
      <c r="AC3618">
        <v>3</v>
      </c>
      <c r="AD3618">
        <v>0</v>
      </c>
      <c r="AE3618">
        <v>9</v>
      </c>
      <c r="AF3618" t="s">
        <v>138</v>
      </c>
      <c r="AG3618">
        <v>0</v>
      </c>
      <c r="AH3618">
        <v>3</v>
      </c>
      <c r="AI3618">
        <v>2</v>
      </c>
      <c r="AJ3618">
        <v>0</v>
      </c>
      <c r="AK3618" t="s">
        <v>1163</v>
      </c>
      <c r="AL3618">
        <v>39.155895999999998</v>
      </c>
      <c r="AM3618" t="s">
        <v>1164</v>
      </c>
      <c r="AN3618">
        <v>-121.030884</v>
      </c>
      <c r="AO3618">
        <v>25</v>
      </c>
      <c r="AP3618">
        <v>4100</v>
      </c>
      <c r="AQ3618" t="s">
        <v>131</v>
      </c>
      <c r="AR3618">
        <v>1</v>
      </c>
      <c r="AS3618">
        <v>95</v>
      </c>
      <c r="AT3618">
        <v>0</v>
      </c>
      <c r="BB3618" t="str">
        <f t="shared" si="1422"/>
        <v>1200</v>
      </c>
      <c r="BC3618">
        <v>1</v>
      </c>
      <c r="BD3618" t="str">
        <f t="shared" si="1423"/>
        <v xml:space="preserve">N52156  </v>
      </c>
      <c r="BE3618">
        <v>1</v>
      </c>
      <c r="BG3618">
        <v>0</v>
      </c>
      <c r="BH3618">
        <v>0</v>
      </c>
      <c r="BI3618">
        <v>0</v>
      </c>
      <c r="BJ3618">
        <v>4100</v>
      </c>
      <c r="BK3618">
        <v>0</v>
      </c>
      <c r="BL3618" t="s">
        <v>188</v>
      </c>
      <c r="BM3618">
        <v>1</v>
      </c>
      <c r="BN3618">
        <v>1</v>
      </c>
      <c r="BO3618">
        <v>0</v>
      </c>
      <c r="BP3618">
        <v>0</v>
      </c>
      <c r="BS3618">
        <v>0</v>
      </c>
      <c r="BT3618">
        <v>0</v>
      </c>
      <c r="BU3618">
        <v>0</v>
      </c>
      <c r="CE3618" t="str">
        <f t="shared" si="1433"/>
        <v>15:14:34.782</v>
      </c>
      <c r="CF3618">
        <v>781738254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4</v>
      </c>
      <c r="CY3618">
        <v>7</v>
      </c>
      <c r="CZ3618" t="s">
        <v>133</v>
      </c>
      <c r="DA3618">
        <v>275</v>
      </c>
      <c r="DB3618">
        <v>0</v>
      </c>
      <c r="DC3618" t="s">
        <v>134</v>
      </c>
      <c r="DD3618" t="s">
        <v>135</v>
      </c>
      <c r="DG3618">
        <v>3322834</v>
      </c>
      <c r="DI3618">
        <v>1</v>
      </c>
      <c r="DJ3618">
        <v>0</v>
      </c>
      <c r="DK3618">
        <v>1</v>
      </c>
      <c r="DL3618">
        <v>0</v>
      </c>
      <c r="DM3618">
        <v>0</v>
      </c>
      <c r="DN3618">
        <v>0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3">
      <c r="A3619" t="str">
        <f>"05/01/2025 15:14:35.046"</f>
        <v>05/01/2025 15:14:35.046</v>
      </c>
      <c r="C3619" t="str">
        <f t="shared" si="1420"/>
        <v>FFDFD3C0</v>
      </c>
      <c r="D3619" t="s">
        <v>145</v>
      </c>
      <c r="E3619" t="str">
        <f>"09"</f>
        <v>09</v>
      </c>
      <c r="H3619">
        <v>51</v>
      </c>
      <c r="I3619" t="s">
        <v>147</v>
      </c>
      <c r="J3619" t="s">
        <v>138</v>
      </c>
      <c r="K3619">
        <v>0</v>
      </c>
      <c r="L3619">
        <v>3</v>
      </c>
      <c r="M3619">
        <v>0</v>
      </c>
      <c r="N3619">
        <v>2</v>
      </c>
      <c r="O3619">
        <v>0</v>
      </c>
      <c r="P3619">
        <v>1</v>
      </c>
      <c r="Q3619">
        <v>0</v>
      </c>
      <c r="R3619" t="s">
        <v>127</v>
      </c>
      <c r="S3619" t="str">
        <f t="shared" si="1432"/>
        <v>15:14:34.000</v>
      </c>
      <c r="T3619" t="str">
        <f t="shared" si="1432"/>
        <v>15:14:34.000</v>
      </c>
      <c r="U3619" t="str">
        <f t="shared" si="1421"/>
        <v>A68FCB</v>
      </c>
      <c r="V3619">
        <v>0</v>
      </c>
      <c r="W3619">
        <v>0</v>
      </c>
      <c r="X3619">
        <v>2</v>
      </c>
      <c r="Y3619">
        <v>0</v>
      </c>
      <c r="AA3619">
        <v>1</v>
      </c>
      <c r="AB3619">
        <v>8</v>
      </c>
      <c r="AC3619">
        <v>3</v>
      </c>
      <c r="AD3619">
        <v>0</v>
      </c>
      <c r="AE3619">
        <v>9</v>
      </c>
      <c r="AF3619" t="s">
        <v>138</v>
      </c>
      <c r="AG3619">
        <v>0</v>
      </c>
      <c r="AH3619">
        <v>3</v>
      </c>
      <c r="AI3619">
        <v>2</v>
      </c>
      <c r="AJ3619">
        <v>0</v>
      </c>
      <c r="AK3619" t="s">
        <v>1163</v>
      </c>
      <c r="AL3619">
        <v>39.155895999999998</v>
      </c>
      <c r="AM3619" t="s">
        <v>1164</v>
      </c>
      <c r="AN3619">
        <v>-121.030884</v>
      </c>
      <c r="AO3619">
        <v>25</v>
      </c>
      <c r="AP3619">
        <v>4100</v>
      </c>
      <c r="AQ3619" t="s">
        <v>131</v>
      </c>
      <c r="AR3619">
        <v>1</v>
      </c>
      <c r="AS3619">
        <v>95</v>
      </c>
      <c r="AT3619">
        <v>0</v>
      </c>
      <c r="BB3619" t="str">
        <f t="shared" si="1422"/>
        <v>1200</v>
      </c>
      <c r="BC3619">
        <v>1</v>
      </c>
      <c r="BD3619" t="str">
        <f t="shared" si="1423"/>
        <v xml:space="preserve">N52156  </v>
      </c>
      <c r="BE3619">
        <v>1</v>
      </c>
      <c r="BG3619">
        <v>0</v>
      </c>
      <c r="BH3619">
        <v>0</v>
      </c>
      <c r="BI3619">
        <v>0</v>
      </c>
      <c r="BJ3619">
        <v>4100</v>
      </c>
      <c r="BK3619">
        <v>0</v>
      </c>
      <c r="BL3619" t="s">
        <v>188</v>
      </c>
      <c r="BM3619">
        <v>1</v>
      </c>
      <c r="BN3619">
        <v>1</v>
      </c>
      <c r="BO3619">
        <v>0</v>
      </c>
      <c r="BP3619">
        <v>0</v>
      </c>
      <c r="BS3619">
        <v>0</v>
      </c>
      <c r="BT3619">
        <v>0</v>
      </c>
      <c r="BU3619">
        <v>0</v>
      </c>
      <c r="CE3619" t="str">
        <f t="shared" si="1433"/>
        <v>15:14:34.782</v>
      </c>
      <c r="CF3619">
        <v>781738254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4</v>
      </c>
      <c r="CY3619">
        <v>7</v>
      </c>
      <c r="CZ3619" t="s">
        <v>133</v>
      </c>
      <c r="DA3619">
        <v>275</v>
      </c>
      <c r="DB3619">
        <v>0</v>
      </c>
      <c r="DC3619" t="s">
        <v>134</v>
      </c>
      <c r="DD3619" t="s">
        <v>135</v>
      </c>
      <c r="DG3619">
        <v>3322834</v>
      </c>
      <c r="DI3619">
        <v>1</v>
      </c>
      <c r="DJ3619">
        <v>0</v>
      </c>
      <c r="DK3619">
        <v>1</v>
      </c>
      <c r="DL3619">
        <v>0</v>
      </c>
      <c r="DM3619">
        <v>0</v>
      </c>
      <c r="DN3619">
        <v>0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3">
      <c r="A3620" t="str">
        <f>"05/01/2025 15:14:35.737"</f>
        <v>05/01/2025 15:14:35.737</v>
      </c>
      <c r="C3620" t="str">
        <f t="shared" si="1420"/>
        <v>FFDFD3C0</v>
      </c>
      <c r="D3620" t="s">
        <v>124</v>
      </c>
      <c r="E3620" t="str">
        <f>"06"</f>
        <v>06</v>
      </c>
      <c r="F3620">
        <v>2006</v>
      </c>
      <c r="G3620" t="s">
        <v>125</v>
      </c>
      <c r="J3620" t="s">
        <v>126</v>
      </c>
      <c r="K3620">
        <v>0</v>
      </c>
      <c r="L3620">
        <v>3</v>
      </c>
      <c r="M3620">
        <v>0</v>
      </c>
      <c r="N3620">
        <v>2</v>
      </c>
      <c r="O3620">
        <v>0</v>
      </c>
      <c r="P3620">
        <v>1</v>
      </c>
      <c r="Q3620">
        <v>0</v>
      </c>
      <c r="R3620" t="s">
        <v>127</v>
      </c>
      <c r="S3620" t="str">
        <f t="shared" ref="S3620:T3625" si="1434">"15:14:35.000"</f>
        <v>15:14:35.000</v>
      </c>
      <c r="T3620" t="str">
        <f t="shared" si="1434"/>
        <v>15:14:35.000</v>
      </c>
      <c r="U3620" t="str">
        <f t="shared" si="1421"/>
        <v>A68FCB</v>
      </c>
      <c r="V3620">
        <v>0</v>
      </c>
      <c r="W3620">
        <v>0</v>
      </c>
      <c r="X3620">
        <v>2</v>
      </c>
      <c r="Y3620">
        <v>0</v>
      </c>
      <c r="AA3620">
        <v>1</v>
      </c>
      <c r="AB3620">
        <v>8</v>
      </c>
      <c r="AC3620">
        <v>3</v>
      </c>
      <c r="AD3620">
        <v>0</v>
      </c>
      <c r="AE3620">
        <v>9</v>
      </c>
      <c r="AF3620" t="s">
        <v>138</v>
      </c>
      <c r="AG3620">
        <v>0</v>
      </c>
      <c r="AH3620">
        <v>3</v>
      </c>
      <c r="AI3620">
        <v>2</v>
      </c>
      <c r="AJ3620">
        <v>0</v>
      </c>
      <c r="AK3620" t="s">
        <v>1165</v>
      </c>
      <c r="AL3620">
        <v>39.156325000000002</v>
      </c>
      <c r="AM3620" t="s">
        <v>1164</v>
      </c>
      <c r="AN3620">
        <v>-121.030884</v>
      </c>
      <c r="AO3620">
        <v>25</v>
      </c>
      <c r="AP3620">
        <v>4100</v>
      </c>
      <c r="AQ3620" t="s">
        <v>131</v>
      </c>
      <c r="AR3620">
        <v>1</v>
      </c>
      <c r="AS3620">
        <v>95</v>
      </c>
      <c r="AT3620">
        <v>0</v>
      </c>
      <c r="BB3620" t="str">
        <f t="shared" si="1422"/>
        <v>1200</v>
      </c>
      <c r="BC3620">
        <v>1</v>
      </c>
      <c r="BD3620" t="str">
        <f t="shared" si="1423"/>
        <v xml:space="preserve">N52156  </v>
      </c>
      <c r="BE3620">
        <v>1</v>
      </c>
      <c r="BG3620">
        <v>0</v>
      </c>
      <c r="BH3620">
        <v>0</v>
      </c>
      <c r="BI3620">
        <v>0</v>
      </c>
      <c r="BJ3620">
        <v>4100</v>
      </c>
      <c r="BK3620">
        <v>0</v>
      </c>
      <c r="BL3620" t="s">
        <v>188</v>
      </c>
      <c r="BM3620">
        <v>1</v>
      </c>
      <c r="BN3620">
        <v>1</v>
      </c>
      <c r="BO3620">
        <v>0</v>
      </c>
      <c r="BP3620">
        <v>0</v>
      </c>
      <c r="BS3620">
        <v>0</v>
      </c>
      <c r="BT3620">
        <v>0</v>
      </c>
      <c r="BU3620">
        <v>0</v>
      </c>
      <c r="CE3620" t="str">
        <f t="shared" ref="CE3620:CE3625" si="1435">"15:14:35.542"</f>
        <v>15:14:35.542</v>
      </c>
      <c r="CF3620">
        <v>541737735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4</v>
      </c>
      <c r="CY3620">
        <v>7</v>
      </c>
      <c r="CZ3620" t="s">
        <v>133</v>
      </c>
      <c r="DA3620">
        <v>275</v>
      </c>
      <c r="DB3620">
        <v>0</v>
      </c>
      <c r="DC3620" t="s">
        <v>134</v>
      </c>
      <c r="DD3620" t="s">
        <v>135</v>
      </c>
      <c r="DG3620">
        <v>3322839</v>
      </c>
      <c r="DI3620">
        <v>1</v>
      </c>
      <c r="DJ3620">
        <v>0</v>
      </c>
      <c r="DK3620">
        <v>0</v>
      </c>
      <c r="DL3620">
        <v>0</v>
      </c>
      <c r="DM3620">
        <v>0</v>
      </c>
      <c r="DN3620">
        <v>0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3">
      <c r="A3621" t="str">
        <f>"05/01/2025 15:14:35.747"</f>
        <v>05/01/2025 15:14:35.747</v>
      </c>
      <c r="C3621" t="str">
        <f t="shared" si="1420"/>
        <v>FFDFD3C0</v>
      </c>
      <c r="D3621" t="s">
        <v>145</v>
      </c>
      <c r="E3621" t="str">
        <f>"09"</f>
        <v>09</v>
      </c>
      <c r="H3621">
        <v>51</v>
      </c>
      <c r="I3621" t="s">
        <v>147</v>
      </c>
      <c r="J3621" t="s">
        <v>138</v>
      </c>
      <c r="K3621">
        <v>0</v>
      </c>
      <c r="L3621">
        <v>3</v>
      </c>
      <c r="M3621">
        <v>0</v>
      </c>
      <c r="N3621">
        <v>2</v>
      </c>
      <c r="O3621">
        <v>0</v>
      </c>
      <c r="P3621">
        <v>1</v>
      </c>
      <c r="Q3621">
        <v>0</v>
      </c>
      <c r="R3621" t="s">
        <v>127</v>
      </c>
      <c r="S3621" t="str">
        <f t="shared" si="1434"/>
        <v>15:14:35.000</v>
      </c>
      <c r="T3621" t="str">
        <f t="shared" si="1434"/>
        <v>15:14:35.000</v>
      </c>
      <c r="U3621" t="str">
        <f t="shared" si="1421"/>
        <v>A68FCB</v>
      </c>
      <c r="V3621">
        <v>0</v>
      </c>
      <c r="W3621">
        <v>0</v>
      </c>
      <c r="X3621">
        <v>2</v>
      </c>
      <c r="Y3621">
        <v>0</v>
      </c>
      <c r="AA3621">
        <v>1</v>
      </c>
      <c r="AB3621">
        <v>8</v>
      </c>
      <c r="AC3621">
        <v>3</v>
      </c>
      <c r="AD3621">
        <v>0</v>
      </c>
      <c r="AE3621">
        <v>9</v>
      </c>
      <c r="AF3621" t="s">
        <v>138</v>
      </c>
      <c r="AG3621">
        <v>0</v>
      </c>
      <c r="AH3621">
        <v>3</v>
      </c>
      <c r="AI3621">
        <v>2</v>
      </c>
      <c r="AJ3621">
        <v>0</v>
      </c>
      <c r="AK3621" t="s">
        <v>1165</v>
      </c>
      <c r="AL3621">
        <v>39.156325000000002</v>
      </c>
      <c r="AM3621" t="s">
        <v>1164</v>
      </c>
      <c r="AN3621">
        <v>-121.030884</v>
      </c>
      <c r="AO3621">
        <v>25</v>
      </c>
      <c r="AP3621">
        <v>4100</v>
      </c>
      <c r="AQ3621" t="s">
        <v>131</v>
      </c>
      <c r="AR3621">
        <v>1</v>
      </c>
      <c r="AS3621">
        <v>95</v>
      </c>
      <c r="AT3621">
        <v>0</v>
      </c>
      <c r="BB3621" t="str">
        <f t="shared" si="1422"/>
        <v>1200</v>
      </c>
      <c r="BC3621">
        <v>1</v>
      </c>
      <c r="BD3621" t="str">
        <f t="shared" si="1423"/>
        <v xml:space="preserve">N52156  </v>
      </c>
      <c r="BE3621">
        <v>1</v>
      </c>
      <c r="BG3621">
        <v>0</v>
      </c>
      <c r="BH3621">
        <v>0</v>
      </c>
      <c r="BI3621">
        <v>0</v>
      </c>
      <c r="BJ3621">
        <v>4100</v>
      </c>
      <c r="BK3621">
        <v>0</v>
      </c>
      <c r="BL3621" t="s">
        <v>188</v>
      </c>
      <c r="BM3621">
        <v>1</v>
      </c>
      <c r="BN3621">
        <v>1</v>
      </c>
      <c r="BO3621">
        <v>0</v>
      </c>
      <c r="BP3621">
        <v>0</v>
      </c>
      <c r="BS3621">
        <v>0</v>
      </c>
      <c r="BT3621">
        <v>0</v>
      </c>
      <c r="BU3621">
        <v>0</v>
      </c>
      <c r="CE3621" t="str">
        <f t="shared" si="1435"/>
        <v>15:14:35.542</v>
      </c>
      <c r="CF3621">
        <v>541737735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4</v>
      </c>
      <c r="CY3621">
        <v>7</v>
      </c>
      <c r="CZ3621" t="s">
        <v>133</v>
      </c>
      <c r="DA3621">
        <v>275</v>
      </c>
      <c r="DB3621">
        <v>0</v>
      </c>
      <c r="DC3621" t="s">
        <v>134</v>
      </c>
      <c r="DD3621" t="s">
        <v>135</v>
      </c>
      <c r="DG3621">
        <v>3322839</v>
      </c>
      <c r="DI3621">
        <v>1</v>
      </c>
      <c r="DJ3621">
        <v>0</v>
      </c>
      <c r="DK3621">
        <v>1</v>
      </c>
      <c r="DL3621">
        <v>0</v>
      </c>
      <c r="DM3621">
        <v>0</v>
      </c>
      <c r="DN3621">
        <v>0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3">
      <c r="A3622" t="str">
        <f>"05/01/2025 15:14:35.750"</f>
        <v>05/01/2025 15:14:35.750</v>
      </c>
      <c r="C3622" t="str">
        <f t="shared" si="1420"/>
        <v>FFDFD3C0</v>
      </c>
      <c r="D3622" t="s">
        <v>145</v>
      </c>
      <c r="E3622" t="str">
        <f>"05"</f>
        <v>05</v>
      </c>
      <c r="H3622">
        <v>47</v>
      </c>
      <c r="I3622" t="s">
        <v>146</v>
      </c>
      <c r="J3622" t="s">
        <v>138</v>
      </c>
      <c r="K3622">
        <v>0</v>
      </c>
      <c r="L3622">
        <v>3</v>
      </c>
      <c r="M3622">
        <v>0</v>
      </c>
      <c r="N3622">
        <v>2</v>
      </c>
      <c r="O3622">
        <v>0</v>
      </c>
      <c r="P3622">
        <v>1</v>
      </c>
      <c r="Q3622">
        <v>0</v>
      </c>
      <c r="R3622" t="s">
        <v>127</v>
      </c>
      <c r="S3622" t="str">
        <f t="shared" si="1434"/>
        <v>15:14:35.000</v>
      </c>
      <c r="T3622" t="str">
        <f t="shared" si="1434"/>
        <v>15:14:35.000</v>
      </c>
      <c r="U3622" t="str">
        <f t="shared" si="1421"/>
        <v>A68FCB</v>
      </c>
      <c r="V3622">
        <v>0</v>
      </c>
      <c r="W3622">
        <v>0</v>
      </c>
      <c r="X3622">
        <v>2</v>
      </c>
      <c r="Y3622">
        <v>0</v>
      </c>
      <c r="AA3622">
        <v>1</v>
      </c>
      <c r="AB3622">
        <v>8</v>
      </c>
      <c r="AC3622">
        <v>3</v>
      </c>
      <c r="AD3622">
        <v>0</v>
      </c>
      <c r="AE3622">
        <v>9</v>
      </c>
      <c r="AF3622" t="s">
        <v>138</v>
      </c>
      <c r="AG3622">
        <v>0</v>
      </c>
      <c r="AH3622">
        <v>3</v>
      </c>
      <c r="AI3622">
        <v>2</v>
      </c>
      <c r="AJ3622">
        <v>0</v>
      </c>
      <c r="AK3622" t="s">
        <v>1165</v>
      </c>
      <c r="AL3622">
        <v>39.156325000000002</v>
      </c>
      <c r="AM3622" t="s">
        <v>1164</v>
      </c>
      <c r="AN3622">
        <v>-121.030884</v>
      </c>
      <c r="AO3622">
        <v>25</v>
      </c>
      <c r="AP3622">
        <v>4100</v>
      </c>
      <c r="AQ3622" t="s">
        <v>131</v>
      </c>
      <c r="AR3622">
        <v>1</v>
      </c>
      <c r="AS3622">
        <v>95</v>
      </c>
      <c r="AT3622">
        <v>0</v>
      </c>
      <c r="BB3622" t="str">
        <f t="shared" si="1422"/>
        <v>1200</v>
      </c>
      <c r="BC3622">
        <v>1</v>
      </c>
      <c r="BD3622" t="str">
        <f t="shared" si="1423"/>
        <v xml:space="preserve">N52156  </v>
      </c>
      <c r="BE3622">
        <v>1</v>
      </c>
      <c r="BG3622">
        <v>0</v>
      </c>
      <c r="BH3622">
        <v>0</v>
      </c>
      <c r="BI3622">
        <v>0</v>
      </c>
      <c r="BJ3622">
        <v>4100</v>
      </c>
      <c r="BK3622">
        <v>0</v>
      </c>
      <c r="BL3622" t="s">
        <v>188</v>
      </c>
      <c r="BM3622">
        <v>1</v>
      </c>
      <c r="BN3622">
        <v>1</v>
      </c>
      <c r="BO3622">
        <v>0</v>
      </c>
      <c r="BP3622">
        <v>0</v>
      </c>
      <c r="BS3622">
        <v>0</v>
      </c>
      <c r="BT3622">
        <v>0</v>
      </c>
      <c r="BU3622">
        <v>0</v>
      </c>
      <c r="CE3622" t="str">
        <f t="shared" si="1435"/>
        <v>15:14:35.542</v>
      </c>
      <c r="CF3622">
        <v>541737735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4</v>
      </c>
      <c r="CY3622">
        <v>7</v>
      </c>
      <c r="CZ3622" t="s">
        <v>133</v>
      </c>
      <c r="DA3622">
        <v>275</v>
      </c>
      <c r="DB3622">
        <v>0</v>
      </c>
      <c r="DC3622" t="s">
        <v>134</v>
      </c>
      <c r="DD3622" t="s">
        <v>135</v>
      </c>
      <c r="DG3622">
        <v>3322839</v>
      </c>
      <c r="DI3622">
        <v>1</v>
      </c>
      <c r="DJ3622">
        <v>0</v>
      </c>
      <c r="DK3622">
        <v>1</v>
      </c>
      <c r="DL3622">
        <v>0</v>
      </c>
      <c r="DM3622">
        <v>0</v>
      </c>
      <c r="DN3622">
        <v>0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3">
      <c r="A3623" t="str">
        <f>"05/01/2025 15:14:35.762"</f>
        <v>05/01/2025 15:14:35.762</v>
      </c>
      <c r="C3623" t="str">
        <f t="shared" si="1420"/>
        <v>FFDFD3C0</v>
      </c>
      <c r="D3623" t="s">
        <v>136</v>
      </c>
      <c r="E3623" t="str">
        <f>"20"</f>
        <v>20</v>
      </c>
      <c r="H3623">
        <v>400</v>
      </c>
      <c r="I3623" t="s">
        <v>137</v>
      </c>
      <c r="J3623" t="s">
        <v>138</v>
      </c>
      <c r="K3623">
        <v>0</v>
      </c>
      <c r="L3623">
        <v>3</v>
      </c>
      <c r="M3623">
        <v>0</v>
      </c>
      <c r="N3623">
        <v>2</v>
      </c>
      <c r="O3623">
        <v>0</v>
      </c>
      <c r="P3623">
        <v>1</v>
      </c>
      <c r="Q3623">
        <v>0</v>
      </c>
      <c r="R3623" t="s">
        <v>127</v>
      </c>
      <c r="S3623" t="str">
        <f t="shared" si="1434"/>
        <v>15:14:35.000</v>
      </c>
      <c r="T3623" t="str">
        <f t="shared" si="1434"/>
        <v>15:14:35.000</v>
      </c>
      <c r="U3623" t="str">
        <f t="shared" si="1421"/>
        <v>A68FCB</v>
      </c>
      <c r="V3623">
        <v>0</v>
      </c>
      <c r="W3623">
        <v>0</v>
      </c>
      <c r="X3623">
        <v>2</v>
      </c>
      <c r="Y3623">
        <v>0</v>
      </c>
      <c r="AA3623">
        <v>1</v>
      </c>
      <c r="AB3623">
        <v>8</v>
      </c>
      <c r="AC3623">
        <v>3</v>
      </c>
      <c r="AD3623">
        <v>0</v>
      </c>
      <c r="AE3623">
        <v>9</v>
      </c>
      <c r="AF3623" t="s">
        <v>138</v>
      </c>
      <c r="AG3623">
        <v>0</v>
      </c>
      <c r="AH3623">
        <v>3</v>
      </c>
      <c r="AI3623">
        <v>2</v>
      </c>
      <c r="AJ3623">
        <v>0</v>
      </c>
      <c r="AK3623" t="s">
        <v>1165</v>
      </c>
      <c r="AL3623">
        <v>39.156325000000002</v>
      </c>
      <c r="AM3623" t="s">
        <v>1164</v>
      </c>
      <c r="AN3623">
        <v>-121.030884</v>
      </c>
      <c r="AO3623">
        <v>25</v>
      </c>
      <c r="AP3623">
        <v>4100</v>
      </c>
      <c r="AQ3623" t="s">
        <v>131</v>
      </c>
      <c r="AR3623">
        <v>1</v>
      </c>
      <c r="AS3623">
        <v>95</v>
      </c>
      <c r="AT3623">
        <v>0</v>
      </c>
      <c r="BB3623" t="str">
        <f t="shared" si="1422"/>
        <v>1200</v>
      </c>
      <c r="BC3623">
        <v>1</v>
      </c>
      <c r="BD3623" t="str">
        <f t="shared" si="1423"/>
        <v xml:space="preserve">N52156  </v>
      </c>
      <c r="BE3623">
        <v>1</v>
      </c>
      <c r="BG3623">
        <v>0</v>
      </c>
      <c r="BH3623">
        <v>0</v>
      </c>
      <c r="BI3623">
        <v>0</v>
      </c>
      <c r="BJ3623">
        <v>4100</v>
      </c>
      <c r="BK3623">
        <v>0</v>
      </c>
      <c r="BL3623" t="s">
        <v>188</v>
      </c>
      <c r="BM3623">
        <v>1</v>
      </c>
      <c r="BN3623">
        <v>1</v>
      </c>
      <c r="BO3623">
        <v>0</v>
      </c>
      <c r="BP3623">
        <v>0</v>
      </c>
      <c r="BS3623">
        <v>0</v>
      </c>
      <c r="BT3623">
        <v>0</v>
      </c>
      <c r="BU3623">
        <v>0</v>
      </c>
      <c r="CE3623" t="str">
        <f t="shared" si="1435"/>
        <v>15:14:35.542</v>
      </c>
      <c r="CF3623">
        <v>541737735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4</v>
      </c>
      <c r="CY3623">
        <v>7</v>
      </c>
      <c r="CZ3623" t="s">
        <v>133</v>
      </c>
      <c r="DA3623">
        <v>275</v>
      </c>
      <c r="DB3623">
        <v>0</v>
      </c>
      <c r="DC3623" t="s">
        <v>134</v>
      </c>
      <c r="DD3623" t="s">
        <v>135</v>
      </c>
      <c r="DG3623">
        <v>3322839</v>
      </c>
      <c r="DI3623">
        <v>1</v>
      </c>
      <c r="DJ3623">
        <v>0</v>
      </c>
      <c r="DK3623">
        <v>1</v>
      </c>
      <c r="DL3623">
        <v>0</v>
      </c>
      <c r="DM3623">
        <v>0</v>
      </c>
      <c r="DN3623">
        <v>0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3">
      <c r="A3624" t="str">
        <f>"05/01/2025 15:14:35.778"</f>
        <v>05/01/2025 15:14:35.778</v>
      </c>
      <c r="C3624" t="str">
        <f t="shared" si="1420"/>
        <v>FFDFD3C0</v>
      </c>
      <c r="D3624" t="s">
        <v>143</v>
      </c>
      <c r="E3624" t="str">
        <f>"05"</f>
        <v>05</v>
      </c>
      <c r="H3624">
        <v>172</v>
      </c>
      <c r="I3624" t="s">
        <v>141</v>
      </c>
      <c r="J3624" t="s">
        <v>144</v>
      </c>
      <c r="K3624">
        <v>0</v>
      </c>
      <c r="L3624">
        <v>3</v>
      </c>
      <c r="M3624">
        <v>0</v>
      </c>
      <c r="N3624">
        <v>2</v>
      </c>
      <c r="O3624">
        <v>0</v>
      </c>
      <c r="P3624">
        <v>1</v>
      </c>
      <c r="Q3624">
        <v>0</v>
      </c>
      <c r="R3624" t="s">
        <v>127</v>
      </c>
      <c r="S3624" t="str">
        <f t="shared" si="1434"/>
        <v>15:14:35.000</v>
      </c>
      <c r="T3624" t="str">
        <f t="shared" si="1434"/>
        <v>15:14:35.000</v>
      </c>
      <c r="U3624" t="str">
        <f t="shared" si="1421"/>
        <v>A68FCB</v>
      </c>
      <c r="V3624">
        <v>0</v>
      </c>
      <c r="W3624">
        <v>0</v>
      </c>
      <c r="X3624">
        <v>2</v>
      </c>
      <c r="Y3624">
        <v>0</v>
      </c>
      <c r="AA3624">
        <v>1</v>
      </c>
      <c r="AB3624">
        <v>8</v>
      </c>
      <c r="AC3624">
        <v>3</v>
      </c>
      <c r="AD3624">
        <v>0</v>
      </c>
      <c r="AE3624">
        <v>9</v>
      </c>
      <c r="AF3624" t="s">
        <v>138</v>
      </c>
      <c r="AG3624">
        <v>0</v>
      </c>
      <c r="AH3624">
        <v>3</v>
      </c>
      <c r="AI3624">
        <v>2</v>
      </c>
      <c r="AJ3624">
        <v>0</v>
      </c>
      <c r="AK3624" t="s">
        <v>1165</v>
      </c>
      <c r="AL3624">
        <v>39.156325000000002</v>
      </c>
      <c r="AM3624" t="s">
        <v>1164</v>
      </c>
      <c r="AN3624">
        <v>-121.030884</v>
      </c>
      <c r="AO3624">
        <v>25</v>
      </c>
      <c r="AP3624">
        <v>4100</v>
      </c>
      <c r="AQ3624" t="s">
        <v>131</v>
      </c>
      <c r="AR3624">
        <v>1</v>
      </c>
      <c r="AS3624">
        <v>95</v>
      </c>
      <c r="AT3624">
        <v>0</v>
      </c>
      <c r="BB3624" t="str">
        <f t="shared" si="1422"/>
        <v>1200</v>
      </c>
      <c r="BC3624">
        <v>1</v>
      </c>
      <c r="BD3624" t="str">
        <f t="shared" si="1423"/>
        <v xml:space="preserve">N52156  </v>
      </c>
      <c r="BE3624">
        <v>1</v>
      </c>
      <c r="BG3624">
        <v>0</v>
      </c>
      <c r="BH3624">
        <v>0</v>
      </c>
      <c r="BI3624">
        <v>0</v>
      </c>
      <c r="BJ3624">
        <v>4100</v>
      </c>
      <c r="BK3624">
        <v>0</v>
      </c>
      <c r="BL3624" t="s">
        <v>188</v>
      </c>
      <c r="BM3624">
        <v>1</v>
      </c>
      <c r="BN3624">
        <v>1</v>
      </c>
      <c r="BO3624">
        <v>0</v>
      </c>
      <c r="BP3624">
        <v>0</v>
      </c>
      <c r="BS3624">
        <v>0</v>
      </c>
      <c r="BT3624">
        <v>0</v>
      </c>
      <c r="BU3624">
        <v>0</v>
      </c>
      <c r="CE3624" t="str">
        <f t="shared" si="1435"/>
        <v>15:14:35.542</v>
      </c>
      <c r="CF3624">
        <v>541737735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4</v>
      </c>
      <c r="CY3624">
        <v>7</v>
      </c>
      <c r="CZ3624" t="s">
        <v>133</v>
      </c>
      <c r="DA3624">
        <v>275</v>
      </c>
      <c r="DB3624">
        <v>0</v>
      </c>
      <c r="DC3624" t="s">
        <v>134</v>
      </c>
      <c r="DD3624" t="s">
        <v>135</v>
      </c>
      <c r="DG3624">
        <v>3322839</v>
      </c>
      <c r="DI3624">
        <v>1</v>
      </c>
      <c r="DJ3624">
        <v>0</v>
      </c>
      <c r="DK3624">
        <v>1</v>
      </c>
      <c r="DL3624">
        <v>0</v>
      </c>
      <c r="DM3624">
        <v>0</v>
      </c>
      <c r="DN3624">
        <v>0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3">
      <c r="A3625" t="str">
        <f>"05/01/2025 15:14:35.784"</f>
        <v>05/01/2025 15:14:35.784</v>
      </c>
      <c r="C3625" t="str">
        <f t="shared" si="1420"/>
        <v>FFDFD3C0</v>
      </c>
      <c r="D3625" t="s">
        <v>140</v>
      </c>
      <c r="E3625" t="str">
        <f>"13"</f>
        <v>13</v>
      </c>
      <c r="F3625">
        <v>1019</v>
      </c>
      <c r="G3625" t="s">
        <v>141</v>
      </c>
      <c r="J3625" t="s">
        <v>142</v>
      </c>
      <c r="K3625">
        <v>0</v>
      </c>
      <c r="L3625">
        <v>3</v>
      </c>
      <c r="M3625">
        <v>0</v>
      </c>
      <c r="N3625">
        <v>2</v>
      </c>
      <c r="O3625">
        <v>0</v>
      </c>
      <c r="P3625">
        <v>1</v>
      </c>
      <c r="Q3625">
        <v>0</v>
      </c>
      <c r="R3625" t="s">
        <v>127</v>
      </c>
      <c r="S3625" t="str">
        <f t="shared" si="1434"/>
        <v>15:14:35.000</v>
      </c>
      <c r="T3625" t="str">
        <f t="shared" si="1434"/>
        <v>15:14:35.000</v>
      </c>
      <c r="U3625" t="str">
        <f t="shared" si="1421"/>
        <v>A68FCB</v>
      </c>
      <c r="V3625">
        <v>0</v>
      </c>
      <c r="W3625">
        <v>0</v>
      </c>
      <c r="X3625">
        <v>2</v>
      </c>
      <c r="Y3625">
        <v>0</v>
      </c>
      <c r="AA3625">
        <v>1</v>
      </c>
      <c r="AB3625">
        <v>8</v>
      </c>
      <c r="AC3625">
        <v>3</v>
      </c>
      <c r="AD3625">
        <v>0</v>
      </c>
      <c r="AE3625">
        <v>9</v>
      </c>
      <c r="AF3625" t="s">
        <v>138</v>
      </c>
      <c r="AG3625">
        <v>0</v>
      </c>
      <c r="AH3625">
        <v>3</v>
      </c>
      <c r="AI3625">
        <v>2</v>
      </c>
      <c r="AJ3625">
        <v>0</v>
      </c>
      <c r="AK3625" t="s">
        <v>1165</v>
      </c>
      <c r="AL3625">
        <v>39.156325000000002</v>
      </c>
      <c r="AM3625" t="s">
        <v>1164</v>
      </c>
      <c r="AN3625">
        <v>-121.030884</v>
      </c>
      <c r="AO3625">
        <v>25</v>
      </c>
      <c r="AP3625">
        <v>4100</v>
      </c>
      <c r="AQ3625" t="s">
        <v>131</v>
      </c>
      <c r="AR3625">
        <v>1</v>
      </c>
      <c r="AS3625">
        <v>95</v>
      </c>
      <c r="AT3625">
        <v>0</v>
      </c>
      <c r="BB3625" t="str">
        <f t="shared" si="1422"/>
        <v>1200</v>
      </c>
      <c r="BC3625">
        <v>1</v>
      </c>
      <c r="BD3625" t="str">
        <f t="shared" si="1423"/>
        <v xml:space="preserve">N52156  </v>
      </c>
      <c r="BE3625">
        <v>1</v>
      </c>
      <c r="BG3625">
        <v>0</v>
      </c>
      <c r="BH3625">
        <v>0</v>
      </c>
      <c r="BI3625">
        <v>0</v>
      </c>
      <c r="BJ3625">
        <v>4100</v>
      </c>
      <c r="BK3625">
        <v>0</v>
      </c>
      <c r="BL3625" t="s">
        <v>188</v>
      </c>
      <c r="BM3625">
        <v>1</v>
      </c>
      <c r="BN3625">
        <v>1</v>
      </c>
      <c r="BO3625">
        <v>0</v>
      </c>
      <c r="BP3625">
        <v>0</v>
      </c>
      <c r="BS3625">
        <v>0</v>
      </c>
      <c r="BT3625">
        <v>0</v>
      </c>
      <c r="BU3625">
        <v>0</v>
      </c>
      <c r="CE3625" t="str">
        <f t="shared" si="1435"/>
        <v>15:14:35.542</v>
      </c>
      <c r="CF3625">
        <v>541737735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4</v>
      </c>
      <c r="CY3625">
        <v>7</v>
      </c>
      <c r="CZ3625" t="s">
        <v>133</v>
      </c>
      <c r="DA3625">
        <v>275</v>
      </c>
      <c r="DB3625">
        <v>0</v>
      </c>
      <c r="DC3625" t="s">
        <v>134</v>
      </c>
      <c r="DD3625" t="s">
        <v>135</v>
      </c>
      <c r="DG3625">
        <v>3322839</v>
      </c>
      <c r="DI3625">
        <v>1</v>
      </c>
      <c r="DJ3625">
        <v>0</v>
      </c>
      <c r="DK3625">
        <v>1</v>
      </c>
      <c r="DL3625">
        <v>0</v>
      </c>
      <c r="DM3625">
        <v>0</v>
      </c>
      <c r="DN3625">
        <v>0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3">
      <c r="A3626" t="str">
        <f>"05/01/2025 15:14:36.913"</f>
        <v>05/01/2025 15:14:36.913</v>
      </c>
      <c r="C3626" t="str">
        <f t="shared" si="1420"/>
        <v>FFDFD3C0</v>
      </c>
      <c r="D3626" t="s">
        <v>136</v>
      </c>
      <c r="E3626" t="str">
        <f>"20"</f>
        <v>20</v>
      </c>
      <c r="H3626">
        <v>400</v>
      </c>
      <c r="I3626" t="s">
        <v>137</v>
      </c>
      <c r="J3626" t="s">
        <v>138</v>
      </c>
      <c r="K3626">
        <v>0</v>
      </c>
      <c r="L3626">
        <v>3</v>
      </c>
      <c r="M3626">
        <v>0</v>
      </c>
      <c r="N3626">
        <v>2</v>
      </c>
      <c r="O3626">
        <v>0</v>
      </c>
      <c r="P3626">
        <v>1</v>
      </c>
      <c r="Q3626">
        <v>0</v>
      </c>
      <c r="R3626" t="s">
        <v>127</v>
      </c>
      <c r="S3626" t="str">
        <f t="shared" ref="S3626:T3631" si="1436">"15:14:36.000"</f>
        <v>15:14:36.000</v>
      </c>
      <c r="T3626" t="str">
        <f t="shared" si="1436"/>
        <v>15:14:36.000</v>
      </c>
      <c r="U3626" t="str">
        <f t="shared" si="1421"/>
        <v>A68FCB</v>
      </c>
      <c r="V3626">
        <v>0</v>
      </c>
      <c r="W3626">
        <v>0</v>
      </c>
      <c r="X3626">
        <v>2</v>
      </c>
      <c r="Y3626">
        <v>0</v>
      </c>
      <c r="AA3626">
        <v>1</v>
      </c>
      <c r="AB3626">
        <v>8</v>
      </c>
      <c r="AC3626">
        <v>3</v>
      </c>
      <c r="AD3626">
        <v>0</v>
      </c>
      <c r="AE3626">
        <v>9</v>
      </c>
      <c r="AF3626" t="s">
        <v>138</v>
      </c>
      <c r="AG3626">
        <v>0</v>
      </c>
      <c r="AH3626">
        <v>3</v>
      </c>
      <c r="AI3626">
        <v>2</v>
      </c>
      <c r="AJ3626">
        <v>0</v>
      </c>
      <c r="AK3626" t="s">
        <v>1166</v>
      </c>
      <c r="AL3626">
        <v>39.156775000000003</v>
      </c>
      <c r="AM3626" t="s">
        <v>1167</v>
      </c>
      <c r="AN3626">
        <v>-121.030862</v>
      </c>
      <c r="AO3626">
        <v>25</v>
      </c>
      <c r="AP3626">
        <v>4100</v>
      </c>
      <c r="AQ3626" t="s">
        <v>131</v>
      </c>
      <c r="AR3626">
        <v>1</v>
      </c>
      <c r="AS3626">
        <v>95</v>
      </c>
      <c r="AT3626">
        <v>64</v>
      </c>
      <c r="BB3626" t="str">
        <f t="shared" si="1422"/>
        <v>1200</v>
      </c>
      <c r="BC3626">
        <v>1</v>
      </c>
      <c r="BD3626" t="str">
        <f t="shared" si="1423"/>
        <v xml:space="preserve">N52156  </v>
      </c>
      <c r="BE3626">
        <v>1</v>
      </c>
      <c r="BG3626">
        <v>0</v>
      </c>
      <c r="BH3626">
        <v>0</v>
      </c>
      <c r="BI3626">
        <v>0</v>
      </c>
      <c r="BJ3626">
        <v>4100</v>
      </c>
      <c r="BK3626">
        <v>0</v>
      </c>
      <c r="BL3626" t="s">
        <v>188</v>
      </c>
      <c r="BM3626">
        <v>1</v>
      </c>
      <c r="BN3626">
        <v>1</v>
      </c>
      <c r="BO3626">
        <v>0</v>
      </c>
      <c r="BP3626">
        <v>0</v>
      </c>
      <c r="BS3626">
        <v>0</v>
      </c>
      <c r="BT3626">
        <v>0</v>
      </c>
      <c r="BU3626">
        <v>0</v>
      </c>
      <c r="CE3626" t="str">
        <f t="shared" ref="CE3626:CE3631" si="1437">"15:14:36.671"</f>
        <v>15:14:36.671</v>
      </c>
      <c r="CF3626">
        <v>671238105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4</v>
      </c>
      <c r="CY3626">
        <v>7</v>
      </c>
      <c r="CZ3626" t="s">
        <v>133</v>
      </c>
      <c r="DA3626">
        <v>275</v>
      </c>
      <c r="DB3626">
        <v>0</v>
      </c>
      <c r="DC3626" t="s">
        <v>134</v>
      </c>
      <c r="DD3626" t="s">
        <v>135</v>
      </c>
      <c r="DG3626">
        <v>3322844</v>
      </c>
      <c r="DI3626">
        <v>1</v>
      </c>
      <c r="DJ3626">
        <v>0</v>
      </c>
      <c r="DK3626">
        <v>0</v>
      </c>
      <c r="DL3626">
        <v>0</v>
      </c>
      <c r="DM3626">
        <v>0</v>
      </c>
      <c r="DN3626">
        <v>0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3">
      <c r="A3627" t="str">
        <f>"05/01/2025 15:14:36.929"</f>
        <v>05/01/2025 15:14:36.929</v>
      </c>
      <c r="C3627" t="str">
        <f t="shared" si="1420"/>
        <v>FFDFD3C0</v>
      </c>
      <c r="D3627" t="s">
        <v>143</v>
      </c>
      <c r="E3627" t="str">
        <f>"05"</f>
        <v>05</v>
      </c>
      <c r="H3627">
        <v>172</v>
      </c>
      <c r="I3627" t="s">
        <v>141</v>
      </c>
      <c r="J3627" t="s">
        <v>144</v>
      </c>
      <c r="K3627">
        <v>0</v>
      </c>
      <c r="L3627">
        <v>3</v>
      </c>
      <c r="M3627">
        <v>0</v>
      </c>
      <c r="N3627">
        <v>2</v>
      </c>
      <c r="O3627">
        <v>0</v>
      </c>
      <c r="P3627">
        <v>1</v>
      </c>
      <c r="Q3627">
        <v>0</v>
      </c>
      <c r="R3627" t="s">
        <v>127</v>
      </c>
      <c r="S3627" t="str">
        <f t="shared" si="1436"/>
        <v>15:14:36.000</v>
      </c>
      <c r="T3627" t="str">
        <f t="shared" si="1436"/>
        <v>15:14:36.000</v>
      </c>
      <c r="U3627" t="str">
        <f t="shared" si="1421"/>
        <v>A68FCB</v>
      </c>
      <c r="V3627">
        <v>0</v>
      </c>
      <c r="W3627">
        <v>0</v>
      </c>
      <c r="X3627">
        <v>2</v>
      </c>
      <c r="Y3627">
        <v>0</v>
      </c>
      <c r="AA3627">
        <v>1</v>
      </c>
      <c r="AB3627">
        <v>8</v>
      </c>
      <c r="AC3627">
        <v>3</v>
      </c>
      <c r="AD3627">
        <v>0</v>
      </c>
      <c r="AE3627">
        <v>9</v>
      </c>
      <c r="AF3627" t="s">
        <v>138</v>
      </c>
      <c r="AG3627">
        <v>0</v>
      </c>
      <c r="AH3627">
        <v>3</v>
      </c>
      <c r="AI3627">
        <v>2</v>
      </c>
      <c r="AJ3627">
        <v>0</v>
      </c>
      <c r="AK3627" t="s">
        <v>1166</v>
      </c>
      <c r="AL3627">
        <v>39.156775000000003</v>
      </c>
      <c r="AM3627" t="s">
        <v>1167</v>
      </c>
      <c r="AN3627">
        <v>-121.030862</v>
      </c>
      <c r="AO3627">
        <v>25</v>
      </c>
      <c r="AP3627">
        <v>4100</v>
      </c>
      <c r="AQ3627" t="s">
        <v>131</v>
      </c>
      <c r="AR3627">
        <v>1</v>
      </c>
      <c r="AS3627">
        <v>95</v>
      </c>
      <c r="AT3627">
        <v>64</v>
      </c>
      <c r="BB3627" t="str">
        <f t="shared" si="1422"/>
        <v>1200</v>
      </c>
      <c r="BC3627">
        <v>1</v>
      </c>
      <c r="BD3627" t="str">
        <f t="shared" si="1423"/>
        <v xml:space="preserve">N52156  </v>
      </c>
      <c r="BE3627">
        <v>1</v>
      </c>
      <c r="BG3627">
        <v>0</v>
      </c>
      <c r="BH3627">
        <v>0</v>
      </c>
      <c r="BI3627">
        <v>0</v>
      </c>
      <c r="BJ3627">
        <v>4100</v>
      </c>
      <c r="BK3627">
        <v>0</v>
      </c>
      <c r="BL3627" t="s">
        <v>188</v>
      </c>
      <c r="BM3627">
        <v>1</v>
      </c>
      <c r="BN3627">
        <v>1</v>
      </c>
      <c r="BO3627">
        <v>0</v>
      </c>
      <c r="BP3627">
        <v>0</v>
      </c>
      <c r="BS3627">
        <v>0</v>
      </c>
      <c r="BT3627">
        <v>0</v>
      </c>
      <c r="BU3627">
        <v>0</v>
      </c>
      <c r="CE3627" t="str">
        <f t="shared" si="1437"/>
        <v>15:14:36.671</v>
      </c>
      <c r="CF3627">
        <v>671238105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4</v>
      </c>
      <c r="CY3627">
        <v>7</v>
      </c>
      <c r="CZ3627" t="s">
        <v>133</v>
      </c>
      <c r="DA3627">
        <v>275</v>
      </c>
      <c r="DB3627">
        <v>0</v>
      </c>
      <c r="DC3627" t="s">
        <v>134</v>
      </c>
      <c r="DD3627" t="s">
        <v>135</v>
      </c>
      <c r="DG3627">
        <v>3322844</v>
      </c>
      <c r="DI3627">
        <v>1</v>
      </c>
      <c r="DJ3627">
        <v>0</v>
      </c>
      <c r="DK3627">
        <v>1</v>
      </c>
      <c r="DL3627">
        <v>0</v>
      </c>
      <c r="DM3627">
        <v>0</v>
      </c>
      <c r="DN3627">
        <v>0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3">
      <c r="A3628" t="str">
        <f>"05/01/2025 15:14:36.937"</f>
        <v>05/01/2025 15:14:36.937</v>
      </c>
      <c r="C3628" t="str">
        <f t="shared" si="1420"/>
        <v>FFDFD3C0</v>
      </c>
      <c r="D3628" t="s">
        <v>140</v>
      </c>
      <c r="E3628" t="str">
        <f>"13"</f>
        <v>13</v>
      </c>
      <c r="F3628">
        <v>1019</v>
      </c>
      <c r="G3628" t="s">
        <v>141</v>
      </c>
      <c r="J3628" t="s">
        <v>142</v>
      </c>
      <c r="K3628">
        <v>0</v>
      </c>
      <c r="L3628">
        <v>3</v>
      </c>
      <c r="M3628">
        <v>0</v>
      </c>
      <c r="N3628">
        <v>2</v>
      </c>
      <c r="O3628">
        <v>0</v>
      </c>
      <c r="P3628">
        <v>1</v>
      </c>
      <c r="Q3628">
        <v>0</v>
      </c>
      <c r="R3628" t="s">
        <v>127</v>
      </c>
      <c r="S3628" t="str">
        <f t="shared" si="1436"/>
        <v>15:14:36.000</v>
      </c>
      <c r="T3628" t="str">
        <f t="shared" si="1436"/>
        <v>15:14:36.000</v>
      </c>
      <c r="U3628" t="str">
        <f t="shared" si="1421"/>
        <v>A68FCB</v>
      </c>
      <c r="V3628">
        <v>0</v>
      </c>
      <c r="W3628">
        <v>0</v>
      </c>
      <c r="X3628">
        <v>2</v>
      </c>
      <c r="Y3628">
        <v>0</v>
      </c>
      <c r="AA3628">
        <v>1</v>
      </c>
      <c r="AB3628">
        <v>8</v>
      </c>
      <c r="AC3628">
        <v>3</v>
      </c>
      <c r="AD3628">
        <v>0</v>
      </c>
      <c r="AE3628">
        <v>9</v>
      </c>
      <c r="AF3628" t="s">
        <v>138</v>
      </c>
      <c r="AG3628">
        <v>0</v>
      </c>
      <c r="AH3628">
        <v>3</v>
      </c>
      <c r="AI3628">
        <v>2</v>
      </c>
      <c r="AJ3628">
        <v>0</v>
      </c>
      <c r="AK3628" t="s">
        <v>1166</v>
      </c>
      <c r="AL3628">
        <v>39.156775000000003</v>
      </c>
      <c r="AM3628" t="s">
        <v>1167</v>
      </c>
      <c r="AN3628">
        <v>-121.030862</v>
      </c>
      <c r="AO3628">
        <v>25</v>
      </c>
      <c r="AP3628">
        <v>4100</v>
      </c>
      <c r="AQ3628" t="s">
        <v>131</v>
      </c>
      <c r="AR3628">
        <v>1</v>
      </c>
      <c r="AS3628">
        <v>95</v>
      </c>
      <c r="AT3628">
        <v>64</v>
      </c>
      <c r="BB3628" t="str">
        <f t="shared" si="1422"/>
        <v>1200</v>
      </c>
      <c r="BC3628">
        <v>1</v>
      </c>
      <c r="BD3628" t="str">
        <f t="shared" si="1423"/>
        <v xml:space="preserve">N52156  </v>
      </c>
      <c r="BE3628">
        <v>1</v>
      </c>
      <c r="BG3628">
        <v>0</v>
      </c>
      <c r="BH3628">
        <v>0</v>
      </c>
      <c r="BI3628">
        <v>0</v>
      </c>
      <c r="BJ3628">
        <v>4100</v>
      </c>
      <c r="BK3628">
        <v>0</v>
      </c>
      <c r="BL3628" t="s">
        <v>188</v>
      </c>
      <c r="BM3628">
        <v>1</v>
      </c>
      <c r="BN3628">
        <v>1</v>
      </c>
      <c r="BO3628">
        <v>0</v>
      </c>
      <c r="BP3628">
        <v>0</v>
      </c>
      <c r="BS3628">
        <v>0</v>
      </c>
      <c r="BT3628">
        <v>0</v>
      </c>
      <c r="BU3628">
        <v>0</v>
      </c>
      <c r="CE3628" t="str">
        <f t="shared" si="1437"/>
        <v>15:14:36.671</v>
      </c>
      <c r="CF3628">
        <v>671238105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4</v>
      </c>
      <c r="CY3628">
        <v>7</v>
      </c>
      <c r="CZ3628" t="s">
        <v>133</v>
      </c>
      <c r="DA3628">
        <v>275</v>
      </c>
      <c r="DB3628">
        <v>0</v>
      </c>
      <c r="DC3628" t="s">
        <v>134</v>
      </c>
      <c r="DD3628" t="s">
        <v>135</v>
      </c>
      <c r="DG3628">
        <v>3322844</v>
      </c>
      <c r="DI3628">
        <v>1</v>
      </c>
      <c r="DJ3628">
        <v>0</v>
      </c>
      <c r="DK3628">
        <v>1</v>
      </c>
      <c r="DL3628">
        <v>0</v>
      </c>
      <c r="DM3628">
        <v>0</v>
      </c>
      <c r="DN3628">
        <v>0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3">
      <c r="A3629" t="str">
        <f>"05/01/2025 15:14:36.939"</f>
        <v>05/01/2025 15:14:36.939</v>
      </c>
      <c r="C3629" t="str">
        <f t="shared" si="1420"/>
        <v>FFDFD3C0</v>
      </c>
      <c r="D3629" t="s">
        <v>124</v>
      </c>
      <c r="E3629" t="str">
        <f>"06"</f>
        <v>06</v>
      </c>
      <c r="F3629">
        <v>2006</v>
      </c>
      <c r="G3629" t="s">
        <v>125</v>
      </c>
      <c r="J3629" t="s">
        <v>126</v>
      </c>
      <c r="K3629">
        <v>0</v>
      </c>
      <c r="L3629">
        <v>3</v>
      </c>
      <c r="M3629">
        <v>0</v>
      </c>
      <c r="N3629">
        <v>2</v>
      </c>
      <c r="O3629">
        <v>0</v>
      </c>
      <c r="P3629">
        <v>1</v>
      </c>
      <c r="Q3629">
        <v>0</v>
      </c>
      <c r="R3629" t="s">
        <v>127</v>
      </c>
      <c r="S3629" t="str">
        <f t="shared" si="1436"/>
        <v>15:14:36.000</v>
      </c>
      <c r="T3629" t="str">
        <f t="shared" si="1436"/>
        <v>15:14:36.000</v>
      </c>
      <c r="U3629" t="str">
        <f t="shared" si="1421"/>
        <v>A68FCB</v>
      </c>
      <c r="V3629">
        <v>0</v>
      </c>
      <c r="W3629">
        <v>0</v>
      </c>
      <c r="X3629">
        <v>2</v>
      </c>
      <c r="Y3629">
        <v>0</v>
      </c>
      <c r="AA3629">
        <v>1</v>
      </c>
      <c r="AB3629">
        <v>8</v>
      </c>
      <c r="AC3629">
        <v>3</v>
      </c>
      <c r="AD3629">
        <v>0</v>
      </c>
      <c r="AE3629">
        <v>9</v>
      </c>
      <c r="AF3629" t="s">
        <v>138</v>
      </c>
      <c r="AG3629">
        <v>0</v>
      </c>
      <c r="AH3629">
        <v>3</v>
      </c>
      <c r="AI3629">
        <v>2</v>
      </c>
      <c r="AJ3629">
        <v>0</v>
      </c>
      <c r="AK3629" t="s">
        <v>1166</v>
      </c>
      <c r="AL3629">
        <v>39.156775000000003</v>
      </c>
      <c r="AM3629" t="s">
        <v>1167</v>
      </c>
      <c r="AN3629">
        <v>-121.030862</v>
      </c>
      <c r="AO3629">
        <v>25</v>
      </c>
      <c r="AP3629">
        <v>4100</v>
      </c>
      <c r="AQ3629" t="s">
        <v>131</v>
      </c>
      <c r="AR3629">
        <v>1</v>
      </c>
      <c r="AS3629">
        <v>95</v>
      </c>
      <c r="AT3629">
        <v>64</v>
      </c>
      <c r="BB3629" t="str">
        <f t="shared" si="1422"/>
        <v>1200</v>
      </c>
      <c r="BC3629">
        <v>1</v>
      </c>
      <c r="BD3629" t="str">
        <f t="shared" si="1423"/>
        <v xml:space="preserve">N52156  </v>
      </c>
      <c r="BE3629">
        <v>1</v>
      </c>
      <c r="BG3629">
        <v>0</v>
      </c>
      <c r="BH3629">
        <v>0</v>
      </c>
      <c r="BI3629">
        <v>0</v>
      </c>
      <c r="BJ3629">
        <v>4100</v>
      </c>
      <c r="BK3629">
        <v>0</v>
      </c>
      <c r="BL3629" t="s">
        <v>188</v>
      </c>
      <c r="BM3629">
        <v>1</v>
      </c>
      <c r="BN3629">
        <v>1</v>
      </c>
      <c r="BO3629">
        <v>0</v>
      </c>
      <c r="BP3629">
        <v>0</v>
      </c>
      <c r="BS3629">
        <v>0</v>
      </c>
      <c r="BT3629">
        <v>0</v>
      </c>
      <c r="BU3629">
        <v>0</v>
      </c>
      <c r="CE3629" t="str">
        <f t="shared" si="1437"/>
        <v>15:14:36.671</v>
      </c>
      <c r="CF3629">
        <v>671238105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4</v>
      </c>
      <c r="CY3629">
        <v>7</v>
      </c>
      <c r="CZ3629" t="s">
        <v>133</v>
      </c>
      <c r="DA3629">
        <v>275</v>
      </c>
      <c r="DB3629">
        <v>0</v>
      </c>
      <c r="DC3629" t="s">
        <v>134</v>
      </c>
      <c r="DD3629" t="s">
        <v>135</v>
      </c>
      <c r="DG3629">
        <v>3322844</v>
      </c>
      <c r="DI3629">
        <v>1</v>
      </c>
      <c r="DJ3629">
        <v>0</v>
      </c>
      <c r="DK3629">
        <v>1</v>
      </c>
      <c r="DL3629">
        <v>0</v>
      </c>
      <c r="DM3629">
        <v>0</v>
      </c>
      <c r="DN3629">
        <v>0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3">
      <c r="A3630" t="str">
        <f>"05/01/2025 15:14:36.949"</f>
        <v>05/01/2025 15:14:36.949</v>
      </c>
      <c r="C3630" t="str">
        <f t="shared" si="1420"/>
        <v>FFDFD3C0</v>
      </c>
      <c r="D3630" t="s">
        <v>145</v>
      </c>
      <c r="E3630" t="str">
        <f>"09"</f>
        <v>09</v>
      </c>
      <c r="H3630">
        <v>51</v>
      </c>
      <c r="I3630" t="s">
        <v>147</v>
      </c>
      <c r="J3630" t="s">
        <v>138</v>
      </c>
      <c r="K3630">
        <v>0</v>
      </c>
      <c r="L3630">
        <v>3</v>
      </c>
      <c r="M3630">
        <v>0</v>
      </c>
      <c r="N3630">
        <v>2</v>
      </c>
      <c r="O3630">
        <v>0</v>
      </c>
      <c r="P3630">
        <v>1</v>
      </c>
      <c r="Q3630">
        <v>0</v>
      </c>
      <c r="R3630" t="s">
        <v>127</v>
      </c>
      <c r="S3630" t="str">
        <f t="shared" si="1436"/>
        <v>15:14:36.000</v>
      </c>
      <c r="T3630" t="str">
        <f t="shared" si="1436"/>
        <v>15:14:36.000</v>
      </c>
      <c r="U3630" t="str">
        <f t="shared" si="1421"/>
        <v>A68FCB</v>
      </c>
      <c r="V3630">
        <v>0</v>
      </c>
      <c r="W3630">
        <v>0</v>
      </c>
      <c r="X3630">
        <v>2</v>
      </c>
      <c r="Y3630">
        <v>0</v>
      </c>
      <c r="AA3630">
        <v>1</v>
      </c>
      <c r="AB3630">
        <v>8</v>
      </c>
      <c r="AC3630">
        <v>3</v>
      </c>
      <c r="AD3630">
        <v>0</v>
      </c>
      <c r="AE3630">
        <v>9</v>
      </c>
      <c r="AF3630" t="s">
        <v>138</v>
      </c>
      <c r="AG3630">
        <v>0</v>
      </c>
      <c r="AH3630">
        <v>3</v>
      </c>
      <c r="AI3630">
        <v>2</v>
      </c>
      <c r="AJ3630">
        <v>0</v>
      </c>
      <c r="AK3630" t="s">
        <v>1166</v>
      </c>
      <c r="AL3630">
        <v>39.156775000000003</v>
      </c>
      <c r="AM3630" t="s">
        <v>1167</v>
      </c>
      <c r="AN3630">
        <v>-121.030862</v>
      </c>
      <c r="AO3630">
        <v>25</v>
      </c>
      <c r="AP3630">
        <v>4100</v>
      </c>
      <c r="AQ3630" t="s">
        <v>131</v>
      </c>
      <c r="AR3630">
        <v>1</v>
      </c>
      <c r="AS3630">
        <v>95</v>
      </c>
      <c r="AT3630">
        <v>64</v>
      </c>
      <c r="BB3630" t="str">
        <f t="shared" si="1422"/>
        <v>1200</v>
      </c>
      <c r="BC3630">
        <v>1</v>
      </c>
      <c r="BD3630" t="str">
        <f t="shared" si="1423"/>
        <v xml:space="preserve">N52156  </v>
      </c>
      <c r="BE3630">
        <v>1</v>
      </c>
      <c r="BG3630">
        <v>0</v>
      </c>
      <c r="BH3630">
        <v>0</v>
      </c>
      <c r="BI3630">
        <v>0</v>
      </c>
      <c r="BJ3630">
        <v>4100</v>
      </c>
      <c r="BK3630">
        <v>0</v>
      </c>
      <c r="BL3630" t="s">
        <v>188</v>
      </c>
      <c r="BM3630">
        <v>1</v>
      </c>
      <c r="BN3630">
        <v>1</v>
      </c>
      <c r="BO3630">
        <v>0</v>
      </c>
      <c r="BP3630">
        <v>0</v>
      </c>
      <c r="BS3630">
        <v>0</v>
      </c>
      <c r="BT3630">
        <v>0</v>
      </c>
      <c r="BU3630">
        <v>0</v>
      </c>
      <c r="CE3630" t="str">
        <f t="shared" si="1437"/>
        <v>15:14:36.671</v>
      </c>
      <c r="CF3630">
        <v>671238105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4</v>
      </c>
      <c r="CY3630">
        <v>7</v>
      </c>
      <c r="CZ3630" t="s">
        <v>133</v>
      </c>
      <c r="DA3630">
        <v>275</v>
      </c>
      <c r="DB3630">
        <v>0</v>
      </c>
      <c r="DC3630" t="s">
        <v>134</v>
      </c>
      <c r="DD3630" t="s">
        <v>135</v>
      </c>
      <c r="DG3630">
        <v>3322844</v>
      </c>
      <c r="DI3630">
        <v>1</v>
      </c>
      <c r="DJ3630">
        <v>0</v>
      </c>
      <c r="DK3630">
        <v>1</v>
      </c>
      <c r="DL3630">
        <v>0</v>
      </c>
      <c r="DM3630">
        <v>0</v>
      </c>
      <c r="DN3630">
        <v>0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3">
      <c r="A3631" t="str">
        <f>"05/01/2025 15:14:36.952"</f>
        <v>05/01/2025 15:14:36.952</v>
      </c>
      <c r="C3631" t="str">
        <f t="shared" si="1420"/>
        <v>FFDFD3C0</v>
      </c>
      <c r="D3631" t="s">
        <v>145</v>
      </c>
      <c r="E3631" t="str">
        <f>"05"</f>
        <v>05</v>
      </c>
      <c r="H3631">
        <v>47</v>
      </c>
      <c r="I3631" t="s">
        <v>146</v>
      </c>
      <c r="J3631" t="s">
        <v>138</v>
      </c>
      <c r="K3631">
        <v>0</v>
      </c>
      <c r="L3631">
        <v>3</v>
      </c>
      <c r="M3631">
        <v>0</v>
      </c>
      <c r="N3631">
        <v>2</v>
      </c>
      <c r="O3631">
        <v>0</v>
      </c>
      <c r="P3631">
        <v>1</v>
      </c>
      <c r="Q3631">
        <v>0</v>
      </c>
      <c r="R3631" t="s">
        <v>127</v>
      </c>
      <c r="S3631" t="str">
        <f t="shared" si="1436"/>
        <v>15:14:36.000</v>
      </c>
      <c r="T3631" t="str">
        <f t="shared" si="1436"/>
        <v>15:14:36.000</v>
      </c>
      <c r="U3631" t="str">
        <f t="shared" si="1421"/>
        <v>A68FCB</v>
      </c>
      <c r="V3631">
        <v>0</v>
      </c>
      <c r="W3631">
        <v>0</v>
      </c>
      <c r="X3631">
        <v>2</v>
      </c>
      <c r="Y3631">
        <v>0</v>
      </c>
      <c r="AA3631">
        <v>1</v>
      </c>
      <c r="AB3631">
        <v>8</v>
      </c>
      <c r="AC3631">
        <v>3</v>
      </c>
      <c r="AD3631">
        <v>0</v>
      </c>
      <c r="AE3631">
        <v>9</v>
      </c>
      <c r="AF3631" t="s">
        <v>138</v>
      </c>
      <c r="AG3631">
        <v>0</v>
      </c>
      <c r="AH3631">
        <v>3</v>
      </c>
      <c r="AI3631">
        <v>2</v>
      </c>
      <c r="AJ3631">
        <v>0</v>
      </c>
      <c r="AK3631" t="s">
        <v>1166</v>
      </c>
      <c r="AL3631">
        <v>39.156775000000003</v>
      </c>
      <c r="AM3631" t="s">
        <v>1167</v>
      </c>
      <c r="AN3631">
        <v>-121.030862</v>
      </c>
      <c r="AO3631">
        <v>25</v>
      </c>
      <c r="AP3631">
        <v>4100</v>
      </c>
      <c r="AQ3631" t="s">
        <v>131</v>
      </c>
      <c r="AR3631">
        <v>1</v>
      </c>
      <c r="AS3631">
        <v>95</v>
      </c>
      <c r="AT3631">
        <v>64</v>
      </c>
      <c r="BB3631" t="str">
        <f t="shared" si="1422"/>
        <v>1200</v>
      </c>
      <c r="BC3631">
        <v>1</v>
      </c>
      <c r="BD3631" t="str">
        <f t="shared" si="1423"/>
        <v xml:space="preserve">N52156  </v>
      </c>
      <c r="BE3631">
        <v>1</v>
      </c>
      <c r="BG3631">
        <v>0</v>
      </c>
      <c r="BH3631">
        <v>0</v>
      </c>
      <c r="BI3631">
        <v>0</v>
      </c>
      <c r="BJ3631">
        <v>4100</v>
      </c>
      <c r="BK3631">
        <v>0</v>
      </c>
      <c r="BL3631" t="s">
        <v>188</v>
      </c>
      <c r="BM3631">
        <v>1</v>
      </c>
      <c r="BN3631">
        <v>1</v>
      </c>
      <c r="BO3631">
        <v>0</v>
      </c>
      <c r="BP3631">
        <v>0</v>
      </c>
      <c r="BS3631">
        <v>0</v>
      </c>
      <c r="BT3631">
        <v>0</v>
      </c>
      <c r="BU3631">
        <v>0</v>
      </c>
      <c r="CE3631" t="str">
        <f t="shared" si="1437"/>
        <v>15:14:36.671</v>
      </c>
      <c r="CF3631">
        <v>671238105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4</v>
      </c>
      <c r="CY3631">
        <v>7</v>
      </c>
      <c r="CZ3631" t="s">
        <v>133</v>
      </c>
      <c r="DA3631">
        <v>275</v>
      </c>
      <c r="DB3631">
        <v>0</v>
      </c>
      <c r="DC3631" t="s">
        <v>134</v>
      </c>
      <c r="DD3631" t="s">
        <v>135</v>
      </c>
      <c r="DG3631">
        <v>3322844</v>
      </c>
      <c r="DI3631">
        <v>1</v>
      </c>
      <c r="DJ3631">
        <v>0</v>
      </c>
      <c r="DK3631">
        <v>1</v>
      </c>
      <c r="DL3631">
        <v>0</v>
      </c>
      <c r="DM3631">
        <v>0</v>
      </c>
      <c r="DN3631">
        <v>0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3">
      <c r="A3632" t="str">
        <f>"05/01/2025 15:14:38.038"</f>
        <v>05/01/2025 15:14:38.038</v>
      </c>
      <c r="C3632" t="str">
        <f t="shared" si="1420"/>
        <v>FFDFD3C0</v>
      </c>
      <c r="D3632" t="s">
        <v>140</v>
      </c>
      <c r="E3632" t="str">
        <f>"13"</f>
        <v>13</v>
      </c>
      <c r="F3632">
        <v>1019</v>
      </c>
      <c r="G3632" t="s">
        <v>141</v>
      </c>
      <c r="J3632" t="s">
        <v>142</v>
      </c>
      <c r="K3632">
        <v>0</v>
      </c>
      <c r="L3632">
        <v>3</v>
      </c>
      <c r="M3632">
        <v>0</v>
      </c>
      <c r="N3632">
        <v>2</v>
      </c>
      <c r="O3632">
        <v>0</v>
      </c>
      <c r="P3632">
        <v>1</v>
      </c>
      <c r="Q3632">
        <v>0</v>
      </c>
      <c r="R3632" t="s">
        <v>127</v>
      </c>
      <c r="S3632" t="str">
        <f t="shared" ref="S3632:T3637" si="1438">"15:14:37.000"</f>
        <v>15:14:37.000</v>
      </c>
      <c r="T3632" t="str">
        <f t="shared" si="1438"/>
        <v>15:14:37.000</v>
      </c>
      <c r="U3632" t="str">
        <f t="shared" si="1421"/>
        <v>A68FCB</v>
      </c>
      <c r="V3632">
        <v>0</v>
      </c>
      <c r="W3632">
        <v>0</v>
      </c>
      <c r="X3632">
        <v>2</v>
      </c>
      <c r="Y3632">
        <v>0</v>
      </c>
      <c r="AA3632">
        <v>1</v>
      </c>
      <c r="AB3632">
        <v>8</v>
      </c>
      <c r="AC3632">
        <v>3</v>
      </c>
      <c r="AD3632">
        <v>0</v>
      </c>
      <c r="AE3632">
        <v>9</v>
      </c>
      <c r="AF3632" t="s">
        <v>138</v>
      </c>
      <c r="AG3632">
        <v>0</v>
      </c>
      <c r="AH3632">
        <v>3</v>
      </c>
      <c r="AI3632">
        <v>2</v>
      </c>
      <c r="AJ3632">
        <v>0</v>
      </c>
      <c r="AK3632" t="s">
        <v>1168</v>
      </c>
      <c r="AL3632">
        <v>39.157226000000001</v>
      </c>
      <c r="AM3632" t="s">
        <v>1167</v>
      </c>
      <c r="AN3632">
        <v>-121.030862</v>
      </c>
      <c r="AO3632">
        <v>25</v>
      </c>
      <c r="AP3632">
        <v>4100</v>
      </c>
      <c r="AQ3632" t="s">
        <v>131</v>
      </c>
      <c r="AR3632">
        <v>1</v>
      </c>
      <c r="AS3632">
        <v>95</v>
      </c>
      <c r="AT3632">
        <v>192</v>
      </c>
      <c r="BB3632" t="str">
        <f t="shared" si="1422"/>
        <v>1200</v>
      </c>
      <c r="BC3632">
        <v>1</v>
      </c>
      <c r="BD3632" t="str">
        <f t="shared" si="1423"/>
        <v xml:space="preserve">N52156  </v>
      </c>
      <c r="BE3632">
        <v>1</v>
      </c>
      <c r="BG3632">
        <v>0</v>
      </c>
      <c r="BH3632">
        <v>0</v>
      </c>
      <c r="BI3632">
        <v>0</v>
      </c>
      <c r="BJ3632">
        <v>4100</v>
      </c>
      <c r="BK3632">
        <v>0</v>
      </c>
      <c r="BL3632" t="s">
        <v>188</v>
      </c>
      <c r="BM3632">
        <v>1</v>
      </c>
      <c r="BN3632">
        <v>1</v>
      </c>
      <c r="BO3632">
        <v>0</v>
      </c>
      <c r="BP3632">
        <v>0</v>
      </c>
      <c r="BS3632">
        <v>0</v>
      </c>
      <c r="BT3632">
        <v>0</v>
      </c>
      <c r="BU3632">
        <v>0</v>
      </c>
      <c r="CE3632" t="str">
        <f t="shared" ref="CE3632:CE3637" si="1439">"15:14:37.831"</f>
        <v>15:14:37.831</v>
      </c>
      <c r="CF3632">
        <v>831488647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5</v>
      </c>
      <c r="CY3632">
        <v>7</v>
      </c>
      <c r="CZ3632" t="s">
        <v>133</v>
      </c>
      <c r="DA3632">
        <v>275</v>
      </c>
      <c r="DB3632">
        <v>0</v>
      </c>
      <c r="DC3632" t="s">
        <v>134</v>
      </c>
      <c r="DD3632" t="s">
        <v>135</v>
      </c>
      <c r="DG3632">
        <v>3322851</v>
      </c>
      <c r="DI3632">
        <v>1</v>
      </c>
      <c r="DJ3632">
        <v>0</v>
      </c>
      <c r="DK3632">
        <v>0</v>
      </c>
      <c r="DL3632">
        <v>0</v>
      </c>
      <c r="DM3632">
        <v>0</v>
      </c>
      <c r="DN3632">
        <v>0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3">
      <c r="A3633" t="str">
        <f>"05/01/2025 15:14:38.041"</f>
        <v>05/01/2025 15:14:38.041</v>
      </c>
      <c r="C3633" t="str">
        <f t="shared" si="1420"/>
        <v>FFDFD3C0</v>
      </c>
      <c r="D3633" t="s">
        <v>124</v>
      </c>
      <c r="E3633" t="str">
        <f>"06"</f>
        <v>06</v>
      </c>
      <c r="F3633">
        <v>2006</v>
      </c>
      <c r="G3633" t="s">
        <v>125</v>
      </c>
      <c r="J3633" t="s">
        <v>126</v>
      </c>
      <c r="K3633">
        <v>0</v>
      </c>
      <c r="L3633">
        <v>3</v>
      </c>
      <c r="M3633">
        <v>0</v>
      </c>
      <c r="N3633">
        <v>2</v>
      </c>
      <c r="O3633">
        <v>0</v>
      </c>
      <c r="P3633">
        <v>1</v>
      </c>
      <c r="Q3633">
        <v>0</v>
      </c>
      <c r="R3633" t="s">
        <v>127</v>
      </c>
      <c r="S3633" t="str">
        <f t="shared" si="1438"/>
        <v>15:14:37.000</v>
      </c>
      <c r="T3633" t="str">
        <f t="shared" si="1438"/>
        <v>15:14:37.000</v>
      </c>
      <c r="U3633" t="str">
        <f t="shared" si="1421"/>
        <v>A68FCB</v>
      </c>
      <c r="V3633">
        <v>0</v>
      </c>
      <c r="W3633">
        <v>0</v>
      </c>
      <c r="X3633">
        <v>2</v>
      </c>
      <c r="Y3633">
        <v>0</v>
      </c>
      <c r="AA3633">
        <v>1</v>
      </c>
      <c r="AB3633">
        <v>8</v>
      </c>
      <c r="AC3633">
        <v>3</v>
      </c>
      <c r="AD3633">
        <v>0</v>
      </c>
      <c r="AE3633">
        <v>9</v>
      </c>
      <c r="AF3633" t="s">
        <v>138</v>
      </c>
      <c r="AG3633">
        <v>0</v>
      </c>
      <c r="AH3633">
        <v>3</v>
      </c>
      <c r="AI3633">
        <v>2</v>
      </c>
      <c r="AJ3633">
        <v>0</v>
      </c>
      <c r="AK3633" t="s">
        <v>1168</v>
      </c>
      <c r="AL3633">
        <v>39.157226000000001</v>
      </c>
      <c r="AM3633" t="s">
        <v>1167</v>
      </c>
      <c r="AN3633">
        <v>-121.030862</v>
      </c>
      <c r="AO3633">
        <v>25</v>
      </c>
      <c r="AP3633">
        <v>4100</v>
      </c>
      <c r="AQ3633" t="s">
        <v>131</v>
      </c>
      <c r="AR3633">
        <v>1</v>
      </c>
      <c r="AS3633">
        <v>95</v>
      </c>
      <c r="AT3633">
        <v>192</v>
      </c>
      <c r="BB3633" t="str">
        <f t="shared" si="1422"/>
        <v>1200</v>
      </c>
      <c r="BC3633">
        <v>1</v>
      </c>
      <c r="BD3633" t="str">
        <f t="shared" si="1423"/>
        <v xml:space="preserve">N52156  </v>
      </c>
      <c r="BE3633">
        <v>1</v>
      </c>
      <c r="BG3633">
        <v>0</v>
      </c>
      <c r="BH3633">
        <v>0</v>
      </c>
      <c r="BI3633">
        <v>0</v>
      </c>
      <c r="BJ3633">
        <v>4100</v>
      </c>
      <c r="BK3633">
        <v>0</v>
      </c>
      <c r="BL3633" t="s">
        <v>188</v>
      </c>
      <c r="BM3633">
        <v>1</v>
      </c>
      <c r="BN3633">
        <v>1</v>
      </c>
      <c r="BO3633">
        <v>0</v>
      </c>
      <c r="BP3633">
        <v>0</v>
      </c>
      <c r="BS3633">
        <v>0</v>
      </c>
      <c r="BT3633">
        <v>0</v>
      </c>
      <c r="BU3633">
        <v>0</v>
      </c>
      <c r="CE3633" t="str">
        <f t="shared" si="1439"/>
        <v>15:14:37.831</v>
      </c>
      <c r="CF3633">
        <v>831488647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5</v>
      </c>
      <c r="CY3633">
        <v>7</v>
      </c>
      <c r="CZ3633" t="s">
        <v>133</v>
      </c>
      <c r="DA3633">
        <v>275</v>
      </c>
      <c r="DB3633">
        <v>0</v>
      </c>
      <c r="DC3633" t="s">
        <v>134</v>
      </c>
      <c r="DD3633" t="s">
        <v>135</v>
      </c>
      <c r="DG3633">
        <v>3322851</v>
      </c>
      <c r="DI3633">
        <v>1</v>
      </c>
      <c r="DJ3633">
        <v>0</v>
      </c>
      <c r="DK3633">
        <v>1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3">
      <c r="A3634" t="str">
        <f>"05/01/2025 15:14:38.051"</f>
        <v>05/01/2025 15:14:38.051</v>
      </c>
      <c r="C3634" t="str">
        <f t="shared" si="1420"/>
        <v>FFDFD3C0</v>
      </c>
      <c r="D3634" t="s">
        <v>145</v>
      </c>
      <c r="E3634" t="str">
        <f>"09"</f>
        <v>09</v>
      </c>
      <c r="H3634">
        <v>51</v>
      </c>
      <c r="I3634" t="s">
        <v>147</v>
      </c>
      <c r="J3634" t="s">
        <v>138</v>
      </c>
      <c r="K3634">
        <v>0</v>
      </c>
      <c r="L3634">
        <v>3</v>
      </c>
      <c r="M3634">
        <v>0</v>
      </c>
      <c r="N3634">
        <v>2</v>
      </c>
      <c r="O3634">
        <v>0</v>
      </c>
      <c r="P3634">
        <v>1</v>
      </c>
      <c r="Q3634">
        <v>0</v>
      </c>
      <c r="R3634" t="s">
        <v>127</v>
      </c>
      <c r="S3634" t="str">
        <f t="shared" si="1438"/>
        <v>15:14:37.000</v>
      </c>
      <c r="T3634" t="str">
        <f t="shared" si="1438"/>
        <v>15:14:37.000</v>
      </c>
      <c r="U3634" t="str">
        <f t="shared" si="1421"/>
        <v>A68FCB</v>
      </c>
      <c r="V3634">
        <v>0</v>
      </c>
      <c r="W3634">
        <v>0</v>
      </c>
      <c r="X3634">
        <v>2</v>
      </c>
      <c r="Y3634">
        <v>0</v>
      </c>
      <c r="AA3634">
        <v>1</v>
      </c>
      <c r="AB3634">
        <v>8</v>
      </c>
      <c r="AC3634">
        <v>3</v>
      </c>
      <c r="AD3634">
        <v>0</v>
      </c>
      <c r="AE3634">
        <v>9</v>
      </c>
      <c r="AF3634" t="s">
        <v>138</v>
      </c>
      <c r="AG3634">
        <v>0</v>
      </c>
      <c r="AH3634">
        <v>3</v>
      </c>
      <c r="AI3634">
        <v>2</v>
      </c>
      <c r="AJ3634">
        <v>0</v>
      </c>
      <c r="AK3634" t="s">
        <v>1168</v>
      </c>
      <c r="AL3634">
        <v>39.157226000000001</v>
      </c>
      <c r="AM3634" t="s">
        <v>1167</v>
      </c>
      <c r="AN3634">
        <v>-121.030862</v>
      </c>
      <c r="AO3634">
        <v>25</v>
      </c>
      <c r="AP3634">
        <v>4100</v>
      </c>
      <c r="AQ3634" t="s">
        <v>131</v>
      </c>
      <c r="AR3634">
        <v>1</v>
      </c>
      <c r="AS3634">
        <v>95</v>
      </c>
      <c r="AT3634">
        <v>192</v>
      </c>
      <c r="BB3634" t="str">
        <f t="shared" si="1422"/>
        <v>1200</v>
      </c>
      <c r="BC3634">
        <v>1</v>
      </c>
      <c r="BD3634" t="str">
        <f t="shared" si="1423"/>
        <v xml:space="preserve">N52156  </v>
      </c>
      <c r="BE3634">
        <v>1</v>
      </c>
      <c r="BG3634">
        <v>0</v>
      </c>
      <c r="BH3634">
        <v>0</v>
      </c>
      <c r="BI3634">
        <v>0</v>
      </c>
      <c r="BJ3634">
        <v>4100</v>
      </c>
      <c r="BK3634">
        <v>0</v>
      </c>
      <c r="BL3634" t="s">
        <v>188</v>
      </c>
      <c r="BM3634">
        <v>1</v>
      </c>
      <c r="BN3634">
        <v>1</v>
      </c>
      <c r="BO3634">
        <v>0</v>
      </c>
      <c r="BP3634">
        <v>0</v>
      </c>
      <c r="BS3634">
        <v>0</v>
      </c>
      <c r="BT3634">
        <v>0</v>
      </c>
      <c r="BU3634">
        <v>0</v>
      </c>
      <c r="CE3634" t="str">
        <f t="shared" si="1439"/>
        <v>15:14:37.831</v>
      </c>
      <c r="CF3634">
        <v>831488647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5</v>
      </c>
      <c r="CY3634">
        <v>7</v>
      </c>
      <c r="CZ3634" t="s">
        <v>133</v>
      </c>
      <c r="DA3634">
        <v>275</v>
      </c>
      <c r="DB3634">
        <v>0</v>
      </c>
      <c r="DC3634" t="s">
        <v>134</v>
      </c>
      <c r="DD3634" t="s">
        <v>135</v>
      </c>
      <c r="DG3634">
        <v>3322851</v>
      </c>
      <c r="DI3634">
        <v>1</v>
      </c>
      <c r="DJ3634">
        <v>0</v>
      </c>
      <c r="DK3634">
        <v>1</v>
      </c>
      <c r="DL3634">
        <v>0</v>
      </c>
      <c r="DM3634">
        <v>0</v>
      </c>
      <c r="DN3634">
        <v>0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3">
      <c r="A3635" t="str">
        <f>"05/01/2025 15:14:38.054"</f>
        <v>05/01/2025 15:14:38.054</v>
      </c>
      <c r="C3635" t="str">
        <f t="shared" si="1420"/>
        <v>FFDFD3C0</v>
      </c>
      <c r="D3635" t="s">
        <v>145</v>
      </c>
      <c r="E3635" t="str">
        <f>"05"</f>
        <v>05</v>
      </c>
      <c r="H3635">
        <v>47</v>
      </c>
      <c r="I3635" t="s">
        <v>146</v>
      </c>
      <c r="J3635" t="s">
        <v>138</v>
      </c>
      <c r="K3635">
        <v>0</v>
      </c>
      <c r="L3635">
        <v>3</v>
      </c>
      <c r="M3635">
        <v>0</v>
      </c>
      <c r="N3635">
        <v>2</v>
      </c>
      <c r="O3635">
        <v>0</v>
      </c>
      <c r="P3635">
        <v>1</v>
      </c>
      <c r="Q3635">
        <v>0</v>
      </c>
      <c r="R3635" t="s">
        <v>127</v>
      </c>
      <c r="S3635" t="str">
        <f t="shared" si="1438"/>
        <v>15:14:37.000</v>
      </c>
      <c r="T3635" t="str">
        <f t="shared" si="1438"/>
        <v>15:14:37.000</v>
      </c>
      <c r="U3635" t="str">
        <f t="shared" si="1421"/>
        <v>A68FCB</v>
      </c>
      <c r="V3635">
        <v>0</v>
      </c>
      <c r="W3635">
        <v>0</v>
      </c>
      <c r="X3635">
        <v>2</v>
      </c>
      <c r="Y3635">
        <v>0</v>
      </c>
      <c r="AA3635">
        <v>1</v>
      </c>
      <c r="AB3635">
        <v>8</v>
      </c>
      <c r="AC3635">
        <v>3</v>
      </c>
      <c r="AD3635">
        <v>0</v>
      </c>
      <c r="AE3635">
        <v>9</v>
      </c>
      <c r="AF3635" t="s">
        <v>138</v>
      </c>
      <c r="AG3635">
        <v>0</v>
      </c>
      <c r="AH3635">
        <v>3</v>
      </c>
      <c r="AI3635">
        <v>2</v>
      </c>
      <c r="AJ3635">
        <v>0</v>
      </c>
      <c r="AK3635" t="s">
        <v>1168</v>
      </c>
      <c r="AL3635">
        <v>39.157226000000001</v>
      </c>
      <c r="AM3635" t="s">
        <v>1167</v>
      </c>
      <c r="AN3635">
        <v>-121.030862</v>
      </c>
      <c r="AO3635">
        <v>25</v>
      </c>
      <c r="AP3635">
        <v>4100</v>
      </c>
      <c r="AQ3635" t="s">
        <v>131</v>
      </c>
      <c r="AR3635">
        <v>1</v>
      </c>
      <c r="AS3635">
        <v>95</v>
      </c>
      <c r="AT3635">
        <v>192</v>
      </c>
      <c r="BB3635" t="str">
        <f t="shared" si="1422"/>
        <v>1200</v>
      </c>
      <c r="BC3635">
        <v>1</v>
      </c>
      <c r="BD3635" t="str">
        <f t="shared" si="1423"/>
        <v xml:space="preserve">N52156  </v>
      </c>
      <c r="BE3635">
        <v>1</v>
      </c>
      <c r="BG3635">
        <v>0</v>
      </c>
      <c r="BH3635">
        <v>0</v>
      </c>
      <c r="BI3635">
        <v>0</v>
      </c>
      <c r="BJ3635">
        <v>4100</v>
      </c>
      <c r="BK3635">
        <v>0</v>
      </c>
      <c r="BL3635" t="s">
        <v>188</v>
      </c>
      <c r="BM3635">
        <v>1</v>
      </c>
      <c r="BN3635">
        <v>1</v>
      </c>
      <c r="BO3635">
        <v>0</v>
      </c>
      <c r="BP3635">
        <v>0</v>
      </c>
      <c r="BS3635">
        <v>0</v>
      </c>
      <c r="BT3635">
        <v>0</v>
      </c>
      <c r="BU3635">
        <v>0</v>
      </c>
      <c r="CE3635" t="str">
        <f t="shared" si="1439"/>
        <v>15:14:37.831</v>
      </c>
      <c r="CF3635">
        <v>831488647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5</v>
      </c>
      <c r="CY3635">
        <v>7</v>
      </c>
      <c r="CZ3635" t="s">
        <v>133</v>
      </c>
      <c r="DA3635">
        <v>275</v>
      </c>
      <c r="DB3635">
        <v>0</v>
      </c>
      <c r="DC3635" t="s">
        <v>134</v>
      </c>
      <c r="DD3635" t="s">
        <v>135</v>
      </c>
      <c r="DG3635">
        <v>3322851</v>
      </c>
      <c r="DI3635">
        <v>1</v>
      </c>
      <c r="DJ3635">
        <v>0</v>
      </c>
      <c r="DK3635">
        <v>1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3">
      <c r="A3636" t="str">
        <f>"05/01/2025 15:14:38.065"</f>
        <v>05/01/2025 15:14:38.065</v>
      </c>
      <c r="C3636" t="str">
        <f t="shared" si="1420"/>
        <v>FFDFD3C0</v>
      </c>
      <c r="D3636" t="s">
        <v>136</v>
      </c>
      <c r="E3636" t="str">
        <f>"20"</f>
        <v>20</v>
      </c>
      <c r="H3636">
        <v>400</v>
      </c>
      <c r="I3636" t="s">
        <v>137</v>
      </c>
      <c r="J3636" t="s">
        <v>138</v>
      </c>
      <c r="K3636">
        <v>0</v>
      </c>
      <c r="L3636">
        <v>3</v>
      </c>
      <c r="M3636">
        <v>0</v>
      </c>
      <c r="N3636">
        <v>2</v>
      </c>
      <c r="O3636">
        <v>0</v>
      </c>
      <c r="P3636">
        <v>1</v>
      </c>
      <c r="Q3636">
        <v>0</v>
      </c>
      <c r="R3636" t="s">
        <v>127</v>
      </c>
      <c r="S3636" t="str">
        <f t="shared" si="1438"/>
        <v>15:14:37.000</v>
      </c>
      <c r="T3636" t="str">
        <f t="shared" si="1438"/>
        <v>15:14:37.000</v>
      </c>
      <c r="U3636" t="str">
        <f t="shared" si="1421"/>
        <v>A68FCB</v>
      </c>
      <c r="V3636">
        <v>0</v>
      </c>
      <c r="W3636">
        <v>0</v>
      </c>
      <c r="X3636">
        <v>2</v>
      </c>
      <c r="Y3636">
        <v>0</v>
      </c>
      <c r="AA3636">
        <v>1</v>
      </c>
      <c r="AB3636">
        <v>8</v>
      </c>
      <c r="AC3636">
        <v>3</v>
      </c>
      <c r="AD3636">
        <v>0</v>
      </c>
      <c r="AE3636">
        <v>9</v>
      </c>
      <c r="AF3636" t="s">
        <v>138</v>
      </c>
      <c r="AG3636">
        <v>0</v>
      </c>
      <c r="AH3636">
        <v>3</v>
      </c>
      <c r="AI3636">
        <v>2</v>
      </c>
      <c r="AJ3636">
        <v>0</v>
      </c>
      <c r="AK3636" t="s">
        <v>1168</v>
      </c>
      <c r="AL3636">
        <v>39.157226000000001</v>
      </c>
      <c r="AM3636" t="s">
        <v>1167</v>
      </c>
      <c r="AN3636">
        <v>-121.030862</v>
      </c>
      <c r="AO3636">
        <v>25</v>
      </c>
      <c r="AP3636">
        <v>4100</v>
      </c>
      <c r="AQ3636" t="s">
        <v>131</v>
      </c>
      <c r="AR3636">
        <v>1</v>
      </c>
      <c r="AS3636">
        <v>95</v>
      </c>
      <c r="AT3636">
        <v>192</v>
      </c>
      <c r="BB3636" t="str">
        <f t="shared" si="1422"/>
        <v>1200</v>
      </c>
      <c r="BC3636">
        <v>1</v>
      </c>
      <c r="BD3636" t="str">
        <f t="shared" si="1423"/>
        <v xml:space="preserve">N52156  </v>
      </c>
      <c r="BE3636">
        <v>1</v>
      </c>
      <c r="BG3636">
        <v>0</v>
      </c>
      <c r="BH3636">
        <v>0</v>
      </c>
      <c r="BI3636">
        <v>0</v>
      </c>
      <c r="BJ3636">
        <v>4100</v>
      </c>
      <c r="BK3636">
        <v>0</v>
      </c>
      <c r="BL3636" t="s">
        <v>188</v>
      </c>
      <c r="BM3636">
        <v>1</v>
      </c>
      <c r="BN3636">
        <v>1</v>
      </c>
      <c r="BO3636">
        <v>0</v>
      </c>
      <c r="BP3636">
        <v>0</v>
      </c>
      <c r="BS3636">
        <v>0</v>
      </c>
      <c r="BT3636">
        <v>0</v>
      </c>
      <c r="BU3636">
        <v>0</v>
      </c>
      <c r="CE3636" t="str">
        <f t="shared" si="1439"/>
        <v>15:14:37.831</v>
      </c>
      <c r="CF3636">
        <v>831488647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5</v>
      </c>
      <c r="CY3636">
        <v>7</v>
      </c>
      <c r="CZ3636" t="s">
        <v>133</v>
      </c>
      <c r="DA3636">
        <v>275</v>
      </c>
      <c r="DB3636">
        <v>0</v>
      </c>
      <c r="DC3636" t="s">
        <v>134</v>
      </c>
      <c r="DD3636" t="s">
        <v>135</v>
      </c>
      <c r="DG3636">
        <v>3322851</v>
      </c>
      <c r="DI3636">
        <v>1</v>
      </c>
      <c r="DJ3636">
        <v>0</v>
      </c>
      <c r="DK3636">
        <v>1</v>
      </c>
      <c r="DL3636">
        <v>0</v>
      </c>
      <c r="DM3636">
        <v>0</v>
      </c>
      <c r="DN3636">
        <v>0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3">
      <c r="A3637" t="str">
        <f>"05/01/2025 15:14:38.081"</f>
        <v>05/01/2025 15:14:38.081</v>
      </c>
      <c r="C3637" t="str">
        <f t="shared" si="1420"/>
        <v>FFDFD3C0</v>
      </c>
      <c r="D3637" t="s">
        <v>143</v>
      </c>
      <c r="E3637" t="str">
        <f>"05"</f>
        <v>05</v>
      </c>
      <c r="H3637">
        <v>172</v>
      </c>
      <c r="I3637" t="s">
        <v>141</v>
      </c>
      <c r="J3637" t="s">
        <v>144</v>
      </c>
      <c r="K3637">
        <v>0</v>
      </c>
      <c r="L3637">
        <v>3</v>
      </c>
      <c r="M3637">
        <v>0</v>
      </c>
      <c r="N3637">
        <v>2</v>
      </c>
      <c r="O3637">
        <v>0</v>
      </c>
      <c r="P3637">
        <v>1</v>
      </c>
      <c r="Q3637">
        <v>0</v>
      </c>
      <c r="R3637" t="s">
        <v>127</v>
      </c>
      <c r="S3637" t="str">
        <f t="shared" si="1438"/>
        <v>15:14:37.000</v>
      </c>
      <c r="T3637" t="str">
        <f t="shared" si="1438"/>
        <v>15:14:37.000</v>
      </c>
      <c r="U3637" t="str">
        <f t="shared" si="1421"/>
        <v>A68FCB</v>
      </c>
      <c r="V3637">
        <v>0</v>
      </c>
      <c r="W3637">
        <v>0</v>
      </c>
      <c r="X3637">
        <v>2</v>
      </c>
      <c r="Y3637">
        <v>0</v>
      </c>
      <c r="AA3637">
        <v>1</v>
      </c>
      <c r="AB3637">
        <v>8</v>
      </c>
      <c r="AC3637">
        <v>3</v>
      </c>
      <c r="AD3637">
        <v>0</v>
      </c>
      <c r="AE3637">
        <v>9</v>
      </c>
      <c r="AF3637" t="s">
        <v>138</v>
      </c>
      <c r="AG3637">
        <v>0</v>
      </c>
      <c r="AH3637">
        <v>3</v>
      </c>
      <c r="AI3637">
        <v>2</v>
      </c>
      <c r="AJ3637">
        <v>0</v>
      </c>
      <c r="AK3637" t="s">
        <v>1168</v>
      </c>
      <c r="AL3637">
        <v>39.157226000000001</v>
      </c>
      <c r="AM3637" t="s">
        <v>1167</v>
      </c>
      <c r="AN3637">
        <v>-121.030862</v>
      </c>
      <c r="AO3637">
        <v>25</v>
      </c>
      <c r="AP3637">
        <v>4100</v>
      </c>
      <c r="AQ3637" t="s">
        <v>131</v>
      </c>
      <c r="AR3637">
        <v>1</v>
      </c>
      <c r="AS3637">
        <v>95</v>
      </c>
      <c r="AT3637">
        <v>192</v>
      </c>
      <c r="BB3637" t="str">
        <f t="shared" si="1422"/>
        <v>1200</v>
      </c>
      <c r="BC3637">
        <v>1</v>
      </c>
      <c r="BD3637" t="str">
        <f t="shared" si="1423"/>
        <v xml:space="preserve">N52156  </v>
      </c>
      <c r="BE3637">
        <v>1</v>
      </c>
      <c r="BG3637">
        <v>0</v>
      </c>
      <c r="BH3637">
        <v>0</v>
      </c>
      <c r="BI3637">
        <v>0</v>
      </c>
      <c r="BJ3637">
        <v>4100</v>
      </c>
      <c r="BK3637">
        <v>0</v>
      </c>
      <c r="BL3637" t="s">
        <v>188</v>
      </c>
      <c r="BM3637">
        <v>1</v>
      </c>
      <c r="BN3637">
        <v>1</v>
      </c>
      <c r="BO3637">
        <v>0</v>
      </c>
      <c r="BP3637">
        <v>0</v>
      </c>
      <c r="BS3637">
        <v>0</v>
      </c>
      <c r="BT3637">
        <v>0</v>
      </c>
      <c r="BU3637">
        <v>0</v>
      </c>
      <c r="CE3637" t="str">
        <f t="shared" si="1439"/>
        <v>15:14:37.831</v>
      </c>
      <c r="CF3637">
        <v>831488647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5</v>
      </c>
      <c r="CY3637">
        <v>7</v>
      </c>
      <c r="CZ3637" t="s">
        <v>133</v>
      </c>
      <c r="DA3637">
        <v>275</v>
      </c>
      <c r="DB3637">
        <v>0</v>
      </c>
      <c r="DC3637" t="s">
        <v>134</v>
      </c>
      <c r="DD3637" t="s">
        <v>135</v>
      </c>
      <c r="DG3637">
        <v>3322851</v>
      </c>
      <c r="DI3637">
        <v>1</v>
      </c>
      <c r="DJ3637">
        <v>0</v>
      </c>
      <c r="DK3637">
        <v>1</v>
      </c>
      <c r="DL3637">
        <v>0</v>
      </c>
      <c r="DM3637">
        <v>0</v>
      </c>
      <c r="DN3637">
        <v>0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3">
      <c r="A3638" t="str">
        <f>"05/01/2025 15:14:38.982"</f>
        <v>05/01/2025 15:14:38.982</v>
      </c>
      <c r="C3638" t="str">
        <f t="shared" si="1420"/>
        <v>FFDFD3C0</v>
      </c>
      <c r="D3638" t="s">
        <v>143</v>
      </c>
      <c r="E3638" t="str">
        <f>"05"</f>
        <v>05</v>
      </c>
      <c r="H3638">
        <v>172</v>
      </c>
      <c r="I3638" t="s">
        <v>141</v>
      </c>
      <c r="J3638" t="s">
        <v>144</v>
      </c>
      <c r="K3638">
        <v>0</v>
      </c>
      <c r="L3638">
        <v>3</v>
      </c>
      <c r="M3638">
        <v>0</v>
      </c>
      <c r="N3638">
        <v>2</v>
      </c>
      <c r="O3638">
        <v>0</v>
      </c>
      <c r="P3638">
        <v>1</v>
      </c>
      <c r="Q3638">
        <v>0</v>
      </c>
      <c r="R3638" t="s">
        <v>127</v>
      </c>
      <c r="S3638" t="str">
        <f t="shared" ref="S3638:T3643" si="1440">"15:14:38.000"</f>
        <v>15:14:38.000</v>
      </c>
      <c r="T3638" t="str">
        <f t="shared" si="1440"/>
        <v>15:14:38.000</v>
      </c>
      <c r="U3638" t="str">
        <f t="shared" si="1421"/>
        <v>A68FCB</v>
      </c>
      <c r="V3638">
        <v>0</v>
      </c>
      <c r="W3638">
        <v>0</v>
      </c>
      <c r="X3638">
        <v>2</v>
      </c>
      <c r="Y3638">
        <v>0</v>
      </c>
      <c r="AA3638">
        <v>1</v>
      </c>
      <c r="AB3638">
        <v>8</v>
      </c>
      <c r="AC3638">
        <v>3</v>
      </c>
      <c r="AD3638">
        <v>0</v>
      </c>
      <c r="AE3638">
        <v>9</v>
      </c>
      <c r="AF3638" t="s">
        <v>138</v>
      </c>
      <c r="AG3638">
        <v>0</v>
      </c>
      <c r="AH3638">
        <v>3</v>
      </c>
      <c r="AI3638">
        <v>2</v>
      </c>
      <c r="AJ3638">
        <v>0</v>
      </c>
      <c r="AK3638" t="s">
        <v>1169</v>
      </c>
      <c r="AL3638">
        <v>39.157654999999998</v>
      </c>
      <c r="AM3638" t="s">
        <v>1170</v>
      </c>
      <c r="AN3638">
        <v>-121.030841</v>
      </c>
      <c r="AO3638">
        <v>25</v>
      </c>
      <c r="AP3638">
        <v>4100</v>
      </c>
      <c r="AQ3638" t="s">
        <v>131</v>
      </c>
      <c r="AR3638">
        <v>0</v>
      </c>
      <c r="AS3638">
        <v>94</v>
      </c>
      <c r="AT3638">
        <v>256</v>
      </c>
      <c r="BB3638" t="str">
        <f t="shared" si="1422"/>
        <v>1200</v>
      </c>
      <c r="BC3638">
        <v>1</v>
      </c>
      <c r="BD3638" t="str">
        <f t="shared" si="1423"/>
        <v xml:space="preserve">N52156  </v>
      </c>
      <c r="BE3638">
        <v>1</v>
      </c>
      <c r="BG3638">
        <v>0</v>
      </c>
      <c r="BH3638">
        <v>0</v>
      </c>
      <c r="BI3638">
        <v>0</v>
      </c>
      <c r="BJ3638">
        <v>4100</v>
      </c>
      <c r="BK3638">
        <v>0</v>
      </c>
      <c r="BL3638" t="s">
        <v>188</v>
      </c>
      <c r="BM3638">
        <v>1</v>
      </c>
      <c r="BN3638">
        <v>1</v>
      </c>
      <c r="BO3638">
        <v>0</v>
      </c>
      <c r="BP3638">
        <v>0</v>
      </c>
      <c r="BS3638">
        <v>0</v>
      </c>
      <c r="BT3638">
        <v>0</v>
      </c>
      <c r="BU3638">
        <v>0</v>
      </c>
      <c r="CE3638" t="str">
        <f t="shared" ref="CE3638:CE3643" si="1441">"15:14:38.771"</f>
        <v>15:14:38.771</v>
      </c>
      <c r="CF3638">
        <v>771238544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4</v>
      </c>
      <c r="CY3638">
        <v>7</v>
      </c>
      <c r="CZ3638" t="s">
        <v>133</v>
      </c>
      <c r="DA3638">
        <v>275</v>
      </c>
      <c r="DB3638">
        <v>0</v>
      </c>
      <c r="DC3638" t="s">
        <v>134</v>
      </c>
      <c r="DD3638" t="s">
        <v>135</v>
      </c>
      <c r="DG3638">
        <v>3322857</v>
      </c>
      <c r="DI3638">
        <v>1</v>
      </c>
      <c r="DJ3638">
        <v>0</v>
      </c>
      <c r="DK3638">
        <v>0</v>
      </c>
      <c r="DL3638">
        <v>0</v>
      </c>
      <c r="DM3638">
        <v>0</v>
      </c>
      <c r="DN3638">
        <v>0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3">
      <c r="A3639" t="str">
        <f>"05/01/2025 15:14:38.989"</f>
        <v>05/01/2025 15:14:38.989</v>
      </c>
      <c r="C3639" t="str">
        <f t="shared" si="1420"/>
        <v>FFDFD3C0</v>
      </c>
      <c r="D3639" t="s">
        <v>140</v>
      </c>
      <c r="E3639" t="str">
        <f>"13"</f>
        <v>13</v>
      </c>
      <c r="F3639">
        <v>1019</v>
      </c>
      <c r="G3639" t="s">
        <v>141</v>
      </c>
      <c r="J3639" t="s">
        <v>142</v>
      </c>
      <c r="K3639">
        <v>0</v>
      </c>
      <c r="L3639">
        <v>3</v>
      </c>
      <c r="M3639">
        <v>0</v>
      </c>
      <c r="N3639">
        <v>2</v>
      </c>
      <c r="O3639">
        <v>0</v>
      </c>
      <c r="P3639">
        <v>1</v>
      </c>
      <c r="Q3639">
        <v>0</v>
      </c>
      <c r="R3639" t="s">
        <v>127</v>
      </c>
      <c r="S3639" t="str">
        <f t="shared" si="1440"/>
        <v>15:14:38.000</v>
      </c>
      <c r="T3639" t="str">
        <f t="shared" si="1440"/>
        <v>15:14:38.000</v>
      </c>
      <c r="U3639" t="str">
        <f t="shared" si="1421"/>
        <v>A68FCB</v>
      </c>
      <c r="V3639">
        <v>0</v>
      </c>
      <c r="W3639">
        <v>0</v>
      </c>
      <c r="X3639">
        <v>2</v>
      </c>
      <c r="Y3639">
        <v>0</v>
      </c>
      <c r="AA3639">
        <v>1</v>
      </c>
      <c r="AB3639">
        <v>8</v>
      </c>
      <c r="AC3639">
        <v>3</v>
      </c>
      <c r="AD3639">
        <v>0</v>
      </c>
      <c r="AE3639">
        <v>9</v>
      </c>
      <c r="AF3639" t="s">
        <v>138</v>
      </c>
      <c r="AG3639">
        <v>0</v>
      </c>
      <c r="AH3639">
        <v>3</v>
      </c>
      <c r="AI3639">
        <v>2</v>
      </c>
      <c r="AJ3639">
        <v>0</v>
      </c>
      <c r="AK3639" t="s">
        <v>1169</v>
      </c>
      <c r="AL3639">
        <v>39.157654999999998</v>
      </c>
      <c r="AM3639" t="s">
        <v>1170</v>
      </c>
      <c r="AN3639">
        <v>-121.030841</v>
      </c>
      <c r="AO3639">
        <v>25</v>
      </c>
      <c r="AP3639">
        <v>4100</v>
      </c>
      <c r="AQ3639" t="s">
        <v>131</v>
      </c>
      <c r="AR3639">
        <v>0</v>
      </c>
      <c r="AS3639">
        <v>94</v>
      </c>
      <c r="AT3639">
        <v>256</v>
      </c>
      <c r="BB3639" t="str">
        <f t="shared" si="1422"/>
        <v>1200</v>
      </c>
      <c r="BC3639">
        <v>1</v>
      </c>
      <c r="BD3639" t="str">
        <f t="shared" si="1423"/>
        <v xml:space="preserve">N52156  </v>
      </c>
      <c r="BE3639">
        <v>1</v>
      </c>
      <c r="BG3639">
        <v>0</v>
      </c>
      <c r="BH3639">
        <v>0</v>
      </c>
      <c r="BI3639">
        <v>0</v>
      </c>
      <c r="BJ3639">
        <v>4100</v>
      </c>
      <c r="BK3639">
        <v>0</v>
      </c>
      <c r="BL3639" t="s">
        <v>188</v>
      </c>
      <c r="BM3639">
        <v>1</v>
      </c>
      <c r="BN3639">
        <v>1</v>
      </c>
      <c r="BO3639">
        <v>0</v>
      </c>
      <c r="BP3639">
        <v>0</v>
      </c>
      <c r="BS3639">
        <v>0</v>
      </c>
      <c r="BT3639">
        <v>0</v>
      </c>
      <c r="BU3639">
        <v>0</v>
      </c>
      <c r="CE3639" t="str">
        <f t="shared" si="1441"/>
        <v>15:14:38.771</v>
      </c>
      <c r="CF3639">
        <v>771238544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4</v>
      </c>
      <c r="CY3639">
        <v>7</v>
      </c>
      <c r="CZ3639" t="s">
        <v>133</v>
      </c>
      <c r="DA3639">
        <v>275</v>
      </c>
      <c r="DB3639">
        <v>0</v>
      </c>
      <c r="DC3639" t="s">
        <v>134</v>
      </c>
      <c r="DD3639" t="s">
        <v>135</v>
      </c>
      <c r="DG3639">
        <v>3322857</v>
      </c>
      <c r="DI3639">
        <v>1</v>
      </c>
      <c r="DJ3639">
        <v>0</v>
      </c>
      <c r="DK3639">
        <v>1</v>
      </c>
      <c r="DL3639">
        <v>0</v>
      </c>
      <c r="DM3639">
        <v>0</v>
      </c>
      <c r="DN3639">
        <v>0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3">
      <c r="A3640" t="str">
        <f>"05/01/2025 15:14:38.992"</f>
        <v>05/01/2025 15:14:38.992</v>
      </c>
      <c r="C3640" t="str">
        <f t="shared" si="1420"/>
        <v>FFDFD3C0</v>
      </c>
      <c r="D3640" t="s">
        <v>124</v>
      </c>
      <c r="E3640" t="str">
        <f>"06"</f>
        <v>06</v>
      </c>
      <c r="F3640">
        <v>2006</v>
      </c>
      <c r="G3640" t="s">
        <v>125</v>
      </c>
      <c r="J3640" t="s">
        <v>126</v>
      </c>
      <c r="K3640">
        <v>0</v>
      </c>
      <c r="L3640">
        <v>3</v>
      </c>
      <c r="M3640">
        <v>0</v>
      </c>
      <c r="N3640">
        <v>2</v>
      </c>
      <c r="O3640">
        <v>0</v>
      </c>
      <c r="P3640">
        <v>1</v>
      </c>
      <c r="Q3640">
        <v>0</v>
      </c>
      <c r="R3640" t="s">
        <v>127</v>
      </c>
      <c r="S3640" t="str">
        <f t="shared" si="1440"/>
        <v>15:14:38.000</v>
      </c>
      <c r="T3640" t="str">
        <f t="shared" si="1440"/>
        <v>15:14:38.000</v>
      </c>
      <c r="U3640" t="str">
        <f t="shared" si="1421"/>
        <v>A68FCB</v>
      </c>
      <c r="V3640">
        <v>0</v>
      </c>
      <c r="W3640">
        <v>0</v>
      </c>
      <c r="X3640">
        <v>2</v>
      </c>
      <c r="Y3640">
        <v>0</v>
      </c>
      <c r="AA3640">
        <v>1</v>
      </c>
      <c r="AB3640">
        <v>8</v>
      </c>
      <c r="AC3640">
        <v>3</v>
      </c>
      <c r="AD3640">
        <v>0</v>
      </c>
      <c r="AE3640">
        <v>9</v>
      </c>
      <c r="AF3640" t="s">
        <v>138</v>
      </c>
      <c r="AG3640">
        <v>0</v>
      </c>
      <c r="AH3640">
        <v>3</v>
      </c>
      <c r="AI3640">
        <v>2</v>
      </c>
      <c r="AJ3640">
        <v>0</v>
      </c>
      <c r="AK3640" t="s">
        <v>1169</v>
      </c>
      <c r="AL3640">
        <v>39.157654999999998</v>
      </c>
      <c r="AM3640" t="s">
        <v>1170</v>
      </c>
      <c r="AN3640">
        <v>-121.030841</v>
      </c>
      <c r="AO3640">
        <v>25</v>
      </c>
      <c r="AP3640">
        <v>4100</v>
      </c>
      <c r="AQ3640" t="s">
        <v>131</v>
      </c>
      <c r="AR3640">
        <v>0</v>
      </c>
      <c r="AS3640">
        <v>94</v>
      </c>
      <c r="AT3640">
        <v>256</v>
      </c>
      <c r="BB3640" t="str">
        <f t="shared" si="1422"/>
        <v>1200</v>
      </c>
      <c r="BC3640">
        <v>1</v>
      </c>
      <c r="BD3640" t="str">
        <f t="shared" si="1423"/>
        <v xml:space="preserve">N52156  </v>
      </c>
      <c r="BE3640">
        <v>1</v>
      </c>
      <c r="BG3640">
        <v>0</v>
      </c>
      <c r="BH3640">
        <v>0</v>
      </c>
      <c r="BI3640">
        <v>0</v>
      </c>
      <c r="BJ3640">
        <v>4100</v>
      </c>
      <c r="BK3640">
        <v>0</v>
      </c>
      <c r="BL3640" t="s">
        <v>188</v>
      </c>
      <c r="BM3640">
        <v>1</v>
      </c>
      <c r="BN3640">
        <v>1</v>
      </c>
      <c r="BO3640">
        <v>0</v>
      </c>
      <c r="BP3640">
        <v>0</v>
      </c>
      <c r="BS3640">
        <v>0</v>
      </c>
      <c r="BT3640">
        <v>0</v>
      </c>
      <c r="BU3640">
        <v>0</v>
      </c>
      <c r="CE3640" t="str">
        <f t="shared" si="1441"/>
        <v>15:14:38.771</v>
      </c>
      <c r="CF3640">
        <v>771238544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4</v>
      </c>
      <c r="CY3640">
        <v>7</v>
      </c>
      <c r="CZ3640" t="s">
        <v>133</v>
      </c>
      <c r="DA3640">
        <v>275</v>
      </c>
      <c r="DB3640">
        <v>0</v>
      </c>
      <c r="DC3640" t="s">
        <v>134</v>
      </c>
      <c r="DD3640" t="s">
        <v>135</v>
      </c>
      <c r="DG3640">
        <v>3322857</v>
      </c>
      <c r="DI3640">
        <v>1</v>
      </c>
      <c r="DJ3640">
        <v>0</v>
      </c>
      <c r="DK3640">
        <v>1</v>
      </c>
      <c r="DL3640">
        <v>0</v>
      </c>
      <c r="DM3640">
        <v>0</v>
      </c>
      <c r="DN3640">
        <v>0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3">
      <c r="A3641" t="str">
        <f>"05/01/2025 15:14:39.002"</f>
        <v>05/01/2025 15:14:39.002</v>
      </c>
      <c r="C3641" t="str">
        <f t="shared" si="1420"/>
        <v>FFDFD3C0</v>
      </c>
      <c r="D3641" t="s">
        <v>145</v>
      </c>
      <c r="E3641" t="str">
        <f>"09"</f>
        <v>09</v>
      </c>
      <c r="H3641">
        <v>51</v>
      </c>
      <c r="I3641" t="s">
        <v>147</v>
      </c>
      <c r="J3641" t="s">
        <v>138</v>
      </c>
      <c r="K3641">
        <v>0</v>
      </c>
      <c r="L3641">
        <v>3</v>
      </c>
      <c r="M3641">
        <v>0</v>
      </c>
      <c r="N3641">
        <v>2</v>
      </c>
      <c r="O3641">
        <v>0</v>
      </c>
      <c r="P3641">
        <v>1</v>
      </c>
      <c r="Q3641">
        <v>0</v>
      </c>
      <c r="R3641" t="s">
        <v>127</v>
      </c>
      <c r="S3641" t="str">
        <f t="shared" si="1440"/>
        <v>15:14:38.000</v>
      </c>
      <c r="T3641" t="str">
        <f t="shared" si="1440"/>
        <v>15:14:38.000</v>
      </c>
      <c r="U3641" t="str">
        <f t="shared" si="1421"/>
        <v>A68FCB</v>
      </c>
      <c r="V3641">
        <v>0</v>
      </c>
      <c r="W3641">
        <v>0</v>
      </c>
      <c r="X3641">
        <v>2</v>
      </c>
      <c r="Y3641">
        <v>0</v>
      </c>
      <c r="AA3641">
        <v>1</v>
      </c>
      <c r="AB3641">
        <v>8</v>
      </c>
      <c r="AC3641">
        <v>3</v>
      </c>
      <c r="AD3641">
        <v>0</v>
      </c>
      <c r="AE3641">
        <v>9</v>
      </c>
      <c r="AF3641" t="s">
        <v>138</v>
      </c>
      <c r="AG3641">
        <v>0</v>
      </c>
      <c r="AH3641">
        <v>3</v>
      </c>
      <c r="AI3641">
        <v>2</v>
      </c>
      <c r="AJ3641">
        <v>0</v>
      </c>
      <c r="AK3641" t="s">
        <v>1169</v>
      </c>
      <c r="AL3641">
        <v>39.157654999999998</v>
      </c>
      <c r="AM3641" t="s">
        <v>1170</v>
      </c>
      <c r="AN3641">
        <v>-121.030841</v>
      </c>
      <c r="AO3641">
        <v>25</v>
      </c>
      <c r="AP3641">
        <v>4100</v>
      </c>
      <c r="AQ3641" t="s">
        <v>131</v>
      </c>
      <c r="AR3641">
        <v>0</v>
      </c>
      <c r="AS3641">
        <v>94</v>
      </c>
      <c r="AT3641">
        <v>256</v>
      </c>
      <c r="BB3641" t="str">
        <f t="shared" si="1422"/>
        <v>1200</v>
      </c>
      <c r="BC3641">
        <v>1</v>
      </c>
      <c r="BD3641" t="str">
        <f t="shared" si="1423"/>
        <v xml:space="preserve">N52156  </v>
      </c>
      <c r="BE3641">
        <v>1</v>
      </c>
      <c r="BG3641">
        <v>0</v>
      </c>
      <c r="BH3641">
        <v>0</v>
      </c>
      <c r="BI3641">
        <v>0</v>
      </c>
      <c r="BJ3641">
        <v>4100</v>
      </c>
      <c r="BK3641">
        <v>0</v>
      </c>
      <c r="BL3641" t="s">
        <v>188</v>
      </c>
      <c r="BM3641">
        <v>1</v>
      </c>
      <c r="BN3641">
        <v>1</v>
      </c>
      <c r="BO3641">
        <v>0</v>
      </c>
      <c r="BP3641">
        <v>0</v>
      </c>
      <c r="BS3641">
        <v>0</v>
      </c>
      <c r="BT3641">
        <v>0</v>
      </c>
      <c r="BU3641">
        <v>0</v>
      </c>
      <c r="CE3641" t="str">
        <f t="shared" si="1441"/>
        <v>15:14:38.771</v>
      </c>
      <c r="CF3641">
        <v>771238544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4</v>
      </c>
      <c r="CY3641">
        <v>7</v>
      </c>
      <c r="CZ3641" t="s">
        <v>133</v>
      </c>
      <c r="DA3641">
        <v>275</v>
      </c>
      <c r="DB3641">
        <v>0</v>
      </c>
      <c r="DC3641" t="s">
        <v>134</v>
      </c>
      <c r="DD3641" t="s">
        <v>135</v>
      </c>
      <c r="DG3641">
        <v>3322857</v>
      </c>
      <c r="DI3641">
        <v>1</v>
      </c>
      <c r="DJ3641">
        <v>0</v>
      </c>
      <c r="DK3641">
        <v>1</v>
      </c>
      <c r="DL3641">
        <v>0</v>
      </c>
      <c r="DM3641">
        <v>0</v>
      </c>
      <c r="DN3641">
        <v>0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3">
      <c r="A3642" t="str">
        <f>"05/01/2025 15:14:39.006"</f>
        <v>05/01/2025 15:14:39.006</v>
      </c>
      <c r="C3642" t="str">
        <f t="shared" si="1420"/>
        <v>FFDFD3C0</v>
      </c>
      <c r="D3642" t="s">
        <v>145</v>
      </c>
      <c r="E3642" t="str">
        <f>"05"</f>
        <v>05</v>
      </c>
      <c r="H3642">
        <v>47</v>
      </c>
      <c r="I3642" t="s">
        <v>146</v>
      </c>
      <c r="J3642" t="s">
        <v>138</v>
      </c>
      <c r="K3642">
        <v>0</v>
      </c>
      <c r="L3642">
        <v>3</v>
      </c>
      <c r="M3642">
        <v>0</v>
      </c>
      <c r="N3642">
        <v>2</v>
      </c>
      <c r="O3642">
        <v>0</v>
      </c>
      <c r="P3642">
        <v>1</v>
      </c>
      <c r="Q3642">
        <v>0</v>
      </c>
      <c r="R3642" t="s">
        <v>127</v>
      </c>
      <c r="S3642" t="str">
        <f t="shared" si="1440"/>
        <v>15:14:38.000</v>
      </c>
      <c r="T3642" t="str">
        <f t="shared" si="1440"/>
        <v>15:14:38.000</v>
      </c>
      <c r="U3642" t="str">
        <f t="shared" si="1421"/>
        <v>A68FCB</v>
      </c>
      <c r="V3642">
        <v>0</v>
      </c>
      <c r="W3642">
        <v>0</v>
      </c>
      <c r="X3642">
        <v>2</v>
      </c>
      <c r="Y3642">
        <v>0</v>
      </c>
      <c r="AA3642">
        <v>1</v>
      </c>
      <c r="AB3642">
        <v>8</v>
      </c>
      <c r="AC3642">
        <v>3</v>
      </c>
      <c r="AD3642">
        <v>0</v>
      </c>
      <c r="AE3642">
        <v>9</v>
      </c>
      <c r="AF3642" t="s">
        <v>138</v>
      </c>
      <c r="AG3642">
        <v>0</v>
      </c>
      <c r="AH3642">
        <v>3</v>
      </c>
      <c r="AI3642">
        <v>2</v>
      </c>
      <c r="AJ3642">
        <v>0</v>
      </c>
      <c r="AK3642" t="s">
        <v>1169</v>
      </c>
      <c r="AL3642">
        <v>39.157654999999998</v>
      </c>
      <c r="AM3642" t="s">
        <v>1170</v>
      </c>
      <c r="AN3642">
        <v>-121.030841</v>
      </c>
      <c r="AO3642">
        <v>25</v>
      </c>
      <c r="AP3642">
        <v>4100</v>
      </c>
      <c r="AQ3642" t="s">
        <v>131</v>
      </c>
      <c r="AR3642">
        <v>0</v>
      </c>
      <c r="AS3642">
        <v>94</v>
      </c>
      <c r="AT3642">
        <v>256</v>
      </c>
      <c r="BB3642" t="str">
        <f t="shared" si="1422"/>
        <v>1200</v>
      </c>
      <c r="BC3642">
        <v>1</v>
      </c>
      <c r="BD3642" t="str">
        <f t="shared" si="1423"/>
        <v xml:space="preserve">N52156  </v>
      </c>
      <c r="BE3642">
        <v>1</v>
      </c>
      <c r="BG3642">
        <v>0</v>
      </c>
      <c r="BH3642">
        <v>0</v>
      </c>
      <c r="BI3642">
        <v>0</v>
      </c>
      <c r="BJ3642">
        <v>4100</v>
      </c>
      <c r="BK3642">
        <v>0</v>
      </c>
      <c r="BL3642" t="s">
        <v>188</v>
      </c>
      <c r="BM3642">
        <v>1</v>
      </c>
      <c r="BN3642">
        <v>1</v>
      </c>
      <c r="BO3642">
        <v>0</v>
      </c>
      <c r="BP3642">
        <v>0</v>
      </c>
      <c r="BS3642">
        <v>0</v>
      </c>
      <c r="BT3642">
        <v>0</v>
      </c>
      <c r="BU3642">
        <v>0</v>
      </c>
      <c r="CE3642" t="str">
        <f t="shared" si="1441"/>
        <v>15:14:38.771</v>
      </c>
      <c r="CF3642">
        <v>771238544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4</v>
      </c>
      <c r="CY3642">
        <v>7</v>
      </c>
      <c r="CZ3642" t="s">
        <v>133</v>
      </c>
      <c r="DA3642">
        <v>275</v>
      </c>
      <c r="DB3642">
        <v>0</v>
      </c>
      <c r="DC3642" t="s">
        <v>134</v>
      </c>
      <c r="DD3642" t="s">
        <v>135</v>
      </c>
      <c r="DG3642">
        <v>3322857</v>
      </c>
      <c r="DI3642">
        <v>1</v>
      </c>
      <c r="DJ3642">
        <v>0</v>
      </c>
      <c r="DK3642">
        <v>1</v>
      </c>
      <c r="DL3642">
        <v>0</v>
      </c>
      <c r="DM3642">
        <v>0</v>
      </c>
      <c r="DN3642">
        <v>0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3">
      <c r="A3643" t="str">
        <f>"05/01/2025 15:14:39.017"</f>
        <v>05/01/2025 15:14:39.017</v>
      </c>
      <c r="C3643" t="str">
        <f t="shared" si="1420"/>
        <v>FFDFD3C0</v>
      </c>
      <c r="D3643" t="s">
        <v>136</v>
      </c>
      <c r="E3643" t="str">
        <f>"20"</f>
        <v>20</v>
      </c>
      <c r="H3643">
        <v>400</v>
      </c>
      <c r="I3643" t="s">
        <v>137</v>
      </c>
      <c r="J3643" t="s">
        <v>138</v>
      </c>
      <c r="K3643">
        <v>0</v>
      </c>
      <c r="L3643">
        <v>3</v>
      </c>
      <c r="M3643">
        <v>0</v>
      </c>
      <c r="N3643">
        <v>2</v>
      </c>
      <c r="O3643">
        <v>0</v>
      </c>
      <c r="P3643">
        <v>1</v>
      </c>
      <c r="Q3643">
        <v>0</v>
      </c>
      <c r="R3643" t="s">
        <v>127</v>
      </c>
      <c r="S3643" t="str">
        <f t="shared" si="1440"/>
        <v>15:14:38.000</v>
      </c>
      <c r="T3643" t="str">
        <f t="shared" si="1440"/>
        <v>15:14:38.000</v>
      </c>
      <c r="U3643" t="str">
        <f t="shared" si="1421"/>
        <v>A68FCB</v>
      </c>
      <c r="V3643">
        <v>0</v>
      </c>
      <c r="W3643">
        <v>0</v>
      </c>
      <c r="X3643">
        <v>2</v>
      </c>
      <c r="Y3643">
        <v>0</v>
      </c>
      <c r="AA3643">
        <v>1</v>
      </c>
      <c r="AB3643">
        <v>8</v>
      </c>
      <c r="AC3643">
        <v>3</v>
      </c>
      <c r="AD3643">
        <v>0</v>
      </c>
      <c r="AE3643">
        <v>9</v>
      </c>
      <c r="AF3643" t="s">
        <v>138</v>
      </c>
      <c r="AG3643">
        <v>0</v>
      </c>
      <c r="AH3643">
        <v>3</v>
      </c>
      <c r="AI3643">
        <v>2</v>
      </c>
      <c r="AJ3643">
        <v>0</v>
      </c>
      <c r="AK3643" t="s">
        <v>1169</v>
      </c>
      <c r="AL3643">
        <v>39.157654999999998</v>
      </c>
      <c r="AM3643" t="s">
        <v>1170</v>
      </c>
      <c r="AN3643">
        <v>-121.030841</v>
      </c>
      <c r="AO3643">
        <v>25</v>
      </c>
      <c r="AP3643">
        <v>4100</v>
      </c>
      <c r="AQ3643" t="s">
        <v>131</v>
      </c>
      <c r="AR3643">
        <v>0</v>
      </c>
      <c r="AS3643">
        <v>94</v>
      </c>
      <c r="AT3643">
        <v>256</v>
      </c>
      <c r="BB3643" t="str">
        <f t="shared" si="1422"/>
        <v>1200</v>
      </c>
      <c r="BC3643">
        <v>1</v>
      </c>
      <c r="BD3643" t="str">
        <f t="shared" si="1423"/>
        <v xml:space="preserve">N52156  </v>
      </c>
      <c r="BE3643">
        <v>1</v>
      </c>
      <c r="BG3643">
        <v>0</v>
      </c>
      <c r="BH3643">
        <v>0</v>
      </c>
      <c r="BI3643">
        <v>0</v>
      </c>
      <c r="BJ3643">
        <v>4100</v>
      </c>
      <c r="BK3643">
        <v>0</v>
      </c>
      <c r="BL3643" t="s">
        <v>188</v>
      </c>
      <c r="BM3643">
        <v>1</v>
      </c>
      <c r="BN3643">
        <v>1</v>
      </c>
      <c r="BO3643">
        <v>0</v>
      </c>
      <c r="BP3643">
        <v>0</v>
      </c>
      <c r="BS3643">
        <v>0</v>
      </c>
      <c r="BT3643">
        <v>0</v>
      </c>
      <c r="BU3643">
        <v>0</v>
      </c>
      <c r="CE3643" t="str">
        <f t="shared" si="1441"/>
        <v>15:14:38.771</v>
      </c>
      <c r="CF3643">
        <v>771238544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4</v>
      </c>
      <c r="CY3643">
        <v>7</v>
      </c>
      <c r="CZ3643" t="s">
        <v>133</v>
      </c>
      <c r="DA3643">
        <v>275</v>
      </c>
      <c r="DB3643">
        <v>0</v>
      </c>
      <c r="DC3643" t="s">
        <v>134</v>
      </c>
      <c r="DD3643" t="s">
        <v>135</v>
      </c>
      <c r="DG3643">
        <v>3322857</v>
      </c>
      <c r="DI3643">
        <v>1</v>
      </c>
      <c r="DJ3643">
        <v>0</v>
      </c>
      <c r="DK3643">
        <v>1</v>
      </c>
      <c r="DL3643">
        <v>0</v>
      </c>
      <c r="DM3643">
        <v>0</v>
      </c>
      <c r="DN3643">
        <v>0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3">
      <c r="A3644" t="str">
        <f>"05/01/2025 15:14:40.141"</f>
        <v>05/01/2025 15:14:40.141</v>
      </c>
      <c r="C3644" t="str">
        <f t="shared" si="1420"/>
        <v>FFDFD3C0</v>
      </c>
      <c r="D3644" t="s">
        <v>140</v>
      </c>
      <c r="E3644" t="str">
        <f>"13"</f>
        <v>13</v>
      </c>
      <c r="F3644">
        <v>1019</v>
      </c>
      <c r="G3644" t="s">
        <v>141</v>
      </c>
      <c r="J3644" t="s">
        <v>142</v>
      </c>
      <c r="K3644">
        <v>0</v>
      </c>
      <c r="L3644">
        <v>3</v>
      </c>
      <c r="M3644">
        <v>0</v>
      </c>
      <c r="N3644">
        <v>2</v>
      </c>
      <c r="O3644">
        <v>0</v>
      </c>
      <c r="P3644">
        <v>1</v>
      </c>
      <c r="Q3644">
        <v>0</v>
      </c>
      <c r="R3644" t="s">
        <v>127</v>
      </c>
      <c r="S3644" t="str">
        <f t="shared" ref="S3644:T3649" si="1442">"15:14:39.000"</f>
        <v>15:14:39.000</v>
      </c>
      <c r="T3644" t="str">
        <f t="shared" si="1442"/>
        <v>15:14:39.000</v>
      </c>
      <c r="U3644" t="str">
        <f t="shared" si="1421"/>
        <v>A68FCB</v>
      </c>
      <c r="V3644">
        <v>0</v>
      </c>
      <c r="W3644">
        <v>0</v>
      </c>
      <c r="X3644">
        <v>2</v>
      </c>
      <c r="Y3644">
        <v>0</v>
      </c>
      <c r="AA3644">
        <v>1</v>
      </c>
      <c r="AB3644">
        <v>8</v>
      </c>
      <c r="AC3644">
        <v>3</v>
      </c>
      <c r="AD3644">
        <v>0</v>
      </c>
      <c r="AE3644">
        <v>9</v>
      </c>
      <c r="AF3644" t="s">
        <v>138</v>
      </c>
      <c r="AG3644">
        <v>0</v>
      </c>
      <c r="AH3644">
        <v>3</v>
      </c>
      <c r="AI3644">
        <v>2</v>
      </c>
      <c r="AJ3644">
        <v>0</v>
      </c>
      <c r="AK3644" t="s">
        <v>1171</v>
      </c>
      <c r="AL3644">
        <v>39.158084000000002</v>
      </c>
      <c r="AM3644" t="s">
        <v>1170</v>
      </c>
      <c r="AN3644">
        <v>-121.030841</v>
      </c>
      <c r="AO3644">
        <v>25</v>
      </c>
      <c r="AP3644">
        <v>4100</v>
      </c>
      <c r="AQ3644" t="s">
        <v>131</v>
      </c>
      <c r="AR3644">
        <v>0</v>
      </c>
      <c r="AS3644">
        <v>94</v>
      </c>
      <c r="AT3644">
        <v>320</v>
      </c>
      <c r="BB3644" t="str">
        <f t="shared" si="1422"/>
        <v>1200</v>
      </c>
      <c r="BC3644">
        <v>1</v>
      </c>
      <c r="BD3644" t="str">
        <f t="shared" si="1423"/>
        <v xml:space="preserve">N52156  </v>
      </c>
      <c r="BE3644">
        <v>1</v>
      </c>
      <c r="BG3644">
        <v>0</v>
      </c>
      <c r="BH3644">
        <v>0</v>
      </c>
      <c r="BI3644">
        <v>0</v>
      </c>
      <c r="BJ3644">
        <v>4100</v>
      </c>
      <c r="BK3644">
        <v>0</v>
      </c>
      <c r="BL3644" t="s">
        <v>188</v>
      </c>
      <c r="BM3644">
        <v>1</v>
      </c>
      <c r="BN3644">
        <v>1</v>
      </c>
      <c r="BO3644">
        <v>0</v>
      </c>
      <c r="BP3644">
        <v>0</v>
      </c>
      <c r="BS3644">
        <v>0</v>
      </c>
      <c r="BT3644">
        <v>0</v>
      </c>
      <c r="BU3644">
        <v>0</v>
      </c>
      <c r="CE3644" t="str">
        <f t="shared" ref="CE3644:CE3649" si="1443">"15:14:39.932"</f>
        <v>15:14:39.932</v>
      </c>
      <c r="CF3644">
        <v>931739312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4</v>
      </c>
      <c r="CY3644">
        <v>7</v>
      </c>
      <c r="CZ3644" t="s">
        <v>133</v>
      </c>
      <c r="DA3644">
        <v>275</v>
      </c>
      <c r="DB3644">
        <v>0</v>
      </c>
      <c r="DC3644" t="s">
        <v>134</v>
      </c>
      <c r="DD3644" t="s">
        <v>135</v>
      </c>
      <c r="DG3644">
        <v>3322864</v>
      </c>
      <c r="DI3644">
        <v>1</v>
      </c>
      <c r="DJ3644">
        <v>0</v>
      </c>
      <c r="DK3644">
        <v>0</v>
      </c>
      <c r="DL3644">
        <v>0</v>
      </c>
      <c r="DM3644">
        <v>0</v>
      </c>
      <c r="DN3644">
        <v>0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3">
      <c r="A3645" t="str">
        <f>"05/01/2025 15:14:40.145"</f>
        <v>05/01/2025 15:14:40.145</v>
      </c>
      <c r="C3645" t="str">
        <f t="shared" si="1420"/>
        <v>FFDFD3C0</v>
      </c>
      <c r="D3645" t="s">
        <v>124</v>
      </c>
      <c r="E3645" t="str">
        <f>"06"</f>
        <v>06</v>
      </c>
      <c r="F3645">
        <v>2006</v>
      </c>
      <c r="G3645" t="s">
        <v>125</v>
      </c>
      <c r="J3645" t="s">
        <v>126</v>
      </c>
      <c r="K3645">
        <v>0</v>
      </c>
      <c r="L3645">
        <v>3</v>
      </c>
      <c r="M3645">
        <v>0</v>
      </c>
      <c r="N3645">
        <v>2</v>
      </c>
      <c r="O3645">
        <v>0</v>
      </c>
      <c r="P3645">
        <v>1</v>
      </c>
      <c r="Q3645">
        <v>0</v>
      </c>
      <c r="R3645" t="s">
        <v>127</v>
      </c>
      <c r="S3645" t="str">
        <f t="shared" si="1442"/>
        <v>15:14:39.000</v>
      </c>
      <c r="T3645" t="str">
        <f t="shared" si="1442"/>
        <v>15:14:39.000</v>
      </c>
      <c r="U3645" t="str">
        <f t="shared" si="1421"/>
        <v>A68FCB</v>
      </c>
      <c r="V3645">
        <v>0</v>
      </c>
      <c r="W3645">
        <v>0</v>
      </c>
      <c r="X3645">
        <v>2</v>
      </c>
      <c r="Y3645">
        <v>0</v>
      </c>
      <c r="AA3645">
        <v>1</v>
      </c>
      <c r="AB3645">
        <v>8</v>
      </c>
      <c r="AC3645">
        <v>3</v>
      </c>
      <c r="AD3645">
        <v>0</v>
      </c>
      <c r="AE3645">
        <v>9</v>
      </c>
      <c r="AF3645" t="s">
        <v>138</v>
      </c>
      <c r="AG3645">
        <v>0</v>
      </c>
      <c r="AH3645">
        <v>3</v>
      </c>
      <c r="AI3645">
        <v>2</v>
      </c>
      <c r="AJ3645">
        <v>0</v>
      </c>
      <c r="AK3645" t="s">
        <v>1171</v>
      </c>
      <c r="AL3645">
        <v>39.158084000000002</v>
      </c>
      <c r="AM3645" t="s">
        <v>1170</v>
      </c>
      <c r="AN3645">
        <v>-121.030841</v>
      </c>
      <c r="AO3645">
        <v>25</v>
      </c>
      <c r="AP3645">
        <v>4100</v>
      </c>
      <c r="AQ3645" t="s">
        <v>131</v>
      </c>
      <c r="AR3645">
        <v>0</v>
      </c>
      <c r="AS3645">
        <v>94</v>
      </c>
      <c r="AT3645">
        <v>320</v>
      </c>
      <c r="BB3645" t="str">
        <f t="shared" si="1422"/>
        <v>1200</v>
      </c>
      <c r="BC3645">
        <v>1</v>
      </c>
      <c r="BD3645" t="str">
        <f t="shared" si="1423"/>
        <v xml:space="preserve">N52156  </v>
      </c>
      <c r="BE3645">
        <v>1</v>
      </c>
      <c r="BG3645">
        <v>0</v>
      </c>
      <c r="BH3645">
        <v>0</v>
      </c>
      <c r="BI3645">
        <v>0</v>
      </c>
      <c r="BJ3645">
        <v>4100</v>
      </c>
      <c r="BK3645">
        <v>0</v>
      </c>
      <c r="BL3645" t="s">
        <v>188</v>
      </c>
      <c r="BM3645">
        <v>1</v>
      </c>
      <c r="BN3645">
        <v>1</v>
      </c>
      <c r="BO3645">
        <v>0</v>
      </c>
      <c r="BP3645">
        <v>0</v>
      </c>
      <c r="BS3645">
        <v>0</v>
      </c>
      <c r="BT3645">
        <v>0</v>
      </c>
      <c r="BU3645">
        <v>0</v>
      </c>
      <c r="CE3645" t="str">
        <f t="shared" si="1443"/>
        <v>15:14:39.932</v>
      </c>
      <c r="CF3645">
        <v>931739312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4</v>
      </c>
      <c r="CY3645">
        <v>7</v>
      </c>
      <c r="CZ3645" t="s">
        <v>133</v>
      </c>
      <c r="DA3645">
        <v>275</v>
      </c>
      <c r="DB3645">
        <v>0</v>
      </c>
      <c r="DC3645" t="s">
        <v>134</v>
      </c>
      <c r="DD3645" t="s">
        <v>135</v>
      </c>
      <c r="DG3645">
        <v>3322864</v>
      </c>
      <c r="DI3645">
        <v>1</v>
      </c>
      <c r="DJ3645">
        <v>0</v>
      </c>
      <c r="DK3645">
        <v>1</v>
      </c>
      <c r="DL3645">
        <v>0</v>
      </c>
      <c r="DM3645">
        <v>0</v>
      </c>
      <c r="DN3645">
        <v>0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3">
      <c r="A3646" t="str">
        <f>"05/01/2025 15:14:40.154"</f>
        <v>05/01/2025 15:14:40.154</v>
      </c>
      <c r="C3646" t="str">
        <f t="shared" si="1420"/>
        <v>FFDFD3C0</v>
      </c>
      <c r="D3646" t="s">
        <v>145</v>
      </c>
      <c r="E3646" t="str">
        <f>"09"</f>
        <v>09</v>
      </c>
      <c r="H3646">
        <v>51</v>
      </c>
      <c r="I3646" t="s">
        <v>147</v>
      </c>
      <c r="J3646" t="s">
        <v>138</v>
      </c>
      <c r="K3646">
        <v>0</v>
      </c>
      <c r="L3646">
        <v>3</v>
      </c>
      <c r="M3646">
        <v>0</v>
      </c>
      <c r="N3646">
        <v>2</v>
      </c>
      <c r="O3646">
        <v>0</v>
      </c>
      <c r="P3646">
        <v>1</v>
      </c>
      <c r="Q3646">
        <v>0</v>
      </c>
      <c r="R3646" t="s">
        <v>127</v>
      </c>
      <c r="S3646" t="str">
        <f t="shared" si="1442"/>
        <v>15:14:39.000</v>
      </c>
      <c r="T3646" t="str">
        <f t="shared" si="1442"/>
        <v>15:14:39.000</v>
      </c>
      <c r="U3646" t="str">
        <f t="shared" si="1421"/>
        <v>A68FCB</v>
      </c>
      <c r="V3646">
        <v>0</v>
      </c>
      <c r="W3646">
        <v>0</v>
      </c>
      <c r="X3646">
        <v>2</v>
      </c>
      <c r="Y3646">
        <v>0</v>
      </c>
      <c r="AA3646">
        <v>1</v>
      </c>
      <c r="AB3646">
        <v>8</v>
      </c>
      <c r="AC3646">
        <v>3</v>
      </c>
      <c r="AD3646">
        <v>0</v>
      </c>
      <c r="AE3646">
        <v>9</v>
      </c>
      <c r="AF3646" t="s">
        <v>138</v>
      </c>
      <c r="AG3646">
        <v>0</v>
      </c>
      <c r="AH3646">
        <v>3</v>
      </c>
      <c r="AI3646">
        <v>2</v>
      </c>
      <c r="AJ3646">
        <v>0</v>
      </c>
      <c r="AK3646" t="s">
        <v>1171</v>
      </c>
      <c r="AL3646">
        <v>39.158084000000002</v>
      </c>
      <c r="AM3646" t="s">
        <v>1170</v>
      </c>
      <c r="AN3646">
        <v>-121.030841</v>
      </c>
      <c r="AO3646">
        <v>25</v>
      </c>
      <c r="AP3646">
        <v>4100</v>
      </c>
      <c r="AQ3646" t="s">
        <v>131</v>
      </c>
      <c r="AR3646">
        <v>0</v>
      </c>
      <c r="AS3646">
        <v>94</v>
      </c>
      <c r="AT3646">
        <v>320</v>
      </c>
      <c r="BB3646" t="str">
        <f t="shared" si="1422"/>
        <v>1200</v>
      </c>
      <c r="BC3646">
        <v>1</v>
      </c>
      <c r="BD3646" t="str">
        <f t="shared" si="1423"/>
        <v xml:space="preserve">N52156  </v>
      </c>
      <c r="BE3646">
        <v>1</v>
      </c>
      <c r="BG3646">
        <v>0</v>
      </c>
      <c r="BH3646">
        <v>0</v>
      </c>
      <c r="BI3646">
        <v>0</v>
      </c>
      <c r="BJ3646">
        <v>4100</v>
      </c>
      <c r="BK3646">
        <v>0</v>
      </c>
      <c r="BL3646" t="s">
        <v>188</v>
      </c>
      <c r="BM3646">
        <v>1</v>
      </c>
      <c r="BN3646">
        <v>1</v>
      </c>
      <c r="BO3646">
        <v>0</v>
      </c>
      <c r="BP3646">
        <v>0</v>
      </c>
      <c r="BS3646">
        <v>0</v>
      </c>
      <c r="BT3646">
        <v>0</v>
      </c>
      <c r="BU3646">
        <v>0</v>
      </c>
      <c r="CE3646" t="str">
        <f t="shared" si="1443"/>
        <v>15:14:39.932</v>
      </c>
      <c r="CF3646">
        <v>931739312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4</v>
      </c>
      <c r="CY3646">
        <v>7</v>
      </c>
      <c r="CZ3646" t="s">
        <v>133</v>
      </c>
      <c r="DA3646">
        <v>275</v>
      </c>
      <c r="DB3646">
        <v>0</v>
      </c>
      <c r="DC3646" t="s">
        <v>134</v>
      </c>
      <c r="DD3646" t="s">
        <v>135</v>
      </c>
      <c r="DG3646">
        <v>3322864</v>
      </c>
      <c r="DI3646">
        <v>1</v>
      </c>
      <c r="DJ3646">
        <v>0</v>
      </c>
      <c r="DK3646">
        <v>1</v>
      </c>
      <c r="DL3646">
        <v>0</v>
      </c>
      <c r="DM3646">
        <v>0</v>
      </c>
      <c r="DN3646">
        <v>0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3">
      <c r="A3647" t="str">
        <f>"05/01/2025 15:14:40.158"</f>
        <v>05/01/2025 15:14:40.158</v>
      </c>
      <c r="C3647" t="str">
        <f t="shared" si="1420"/>
        <v>FFDFD3C0</v>
      </c>
      <c r="D3647" t="s">
        <v>145</v>
      </c>
      <c r="E3647" t="str">
        <f>"05"</f>
        <v>05</v>
      </c>
      <c r="H3647">
        <v>47</v>
      </c>
      <c r="I3647" t="s">
        <v>146</v>
      </c>
      <c r="J3647" t="s">
        <v>138</v>
      </c>
      <c r="K3647">
        <v>0</v>
      </c>
      <c r="L3647">
        <v>3</v>
      </c>
      <c r="M3647">
        <v>0</v>
      </c>
      <c r="N3647">
        <v>2</v>
      </c>
      <c r="O3647">
        <v>0</v>
      </c>
      <c r="P3647">
        <v>1</v>
      </c>
      <c r="Q3647">
        <v>0</v>
      </c>
      <c r="R3647" t="s">
        <v>127</v>
      </c>
      <c r="S3647" t="str">
        <f t="shared" si="1442"/>
        <v>15:14:39.000</v>
      </c>
      <c r="T3647" t="str">
        <f t="shared" si="1442"/>
        <v>15:14:39.000</v>
      </c>
      <c r="U3647" t="str">
        <f t="shared" si="1421"/>
        <v>A68FCB</v>
      </c>
      <c r="V3647">
        <v>0</v>
      </c>
      <c r="W3647">
        <v>0</v>
      </c>
      <c r="X3647">
        <v>2</v>
      </c>
      <c r="Y3647">
        <v>0</v>
      </c>
      <c r="AA3647">
        <v>1</v>
      </c>
      <c r="AB3647">
        <v>8</v>
      </c>
      <c r="AC3647">
        <v>3</v>
      </c>
      <c r="AD3647">
        <v>0</v>
      </c>
      <c r="AE3647">
        <v>9</v>
      </c>
      <c r="AF3647" t="s">
        <v>138</v>
      </c>
      <c r="AG3647">
        <v>0</v>
      </c>
      <c r="AH3647">
        <v>3</v>
      </c>
      <c r="AI3647">
        <v>2</v>
      </c>
      <c r="AJ3647">
        <v>0</v>
      </c>
      <c r="AK3647" t="s">
        <v>1171</v>
      </c>
      <c r="AL3647">
        <v>39.158084000000002</v>
      </c>
      <c r="AM3647" t="s">
        <v>1170</v>
      </c>
      <c r="AN3647">
        <v>-121.030841</v>
      </c>
      <c r="AO3647">
        <v>25</v>
      </c>
      <c r="AP3647">
        <v>4100</v>
      </c>
      <c r="AQ3647" t="s">
        <v>131</v>
      </c>
      <c r="AR3647">
        <v>0</v>
      </c>
      <c r="AS3647">
        <v>94</v>
      </c>
      <c r="AT3647">
        <v>320</v>
      </c>
      <c r="BB3647" t="str">
        <f t="shared" si="1422"/>
        <v>1200</v>
      </c>
      <c r="BC3647">
        <v>1</v>
      </c>
      <c r="BD3647" t="str">
        <f t="shared" si="1423"/>
        <v xml:space="preserve">N52156  </v>
      </c>
      <c r="BE3647">
        <v>1</v>
      </c>
      <c r="BG3647">
        <v>0</v>
      </c>
      <c r="BH3647">
        <v>0</v>
      </c>
      <c r="BI3647">
        <v>0</v>
      </c>
      <c r="BJ3647">
        <v>4100</v>
      </c>
      <c r="BK3647">
        <v>0</v>
      </c>
      <c r="BL3647" t="s">
        <v>188</v>
      </c>
      <c r="BM3647">
        <v>1</v>
      </c>
      <c r="BN3647">
        <v>1</v>
      </c>
      <c r="BO3647">
        <v>0</v>
      </c>
      <c r="BP3647">
        <v>0</v>
      </c>
      <c r="BS3647">
        <v>0</v>
      </c>
      <c r="BT3647">
        <v>0</v>
      </c>
      <c r="BU3647">
        <v>0</v>
      </c>
      <c r="CE3647" t="str">
        <f t="shared" si="1443"/>
        <v>15:14:39.932</v>
      </c>
      <c r="CF3647">
        <v>931739312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4</v>
      </c>
      <c r="CY3647">
        <v>7</v>
      </c>
      <c r="CZ3647" t="s">
        <v>133</v>
      </c>
      <c r="DA3647">
        <v>275</v>
      </c>
      <c r="DB3647">
        <v>0</v>
      </c>
      <c r="DC3647" t="s">
        <v>134</v>
      </c>
      <c r="DD3647" t="s">
        <v>135</v>
      </c>
      <c r="DG3647">
        <v>3322864</v>
      </c>
      <c r="DI3647">
        <v>1</v>
      </c>
      <c r="DJ3647">
        <v>0</v>
      </c>
      <c r="DK3647">
        <v>1</v>
      </c>
      <c r="DL3647">
        <v>0</v>
      </c>
      <c r="DM3647">
        <v>0</v>
      </c>
      <c r="DN3647">
        <v>0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3">
      <c r="A3648" t="str">
        <f>"05/01/2025 15:14:40.169"</f>
        <v>05/01/2025 15:14:40.169</v>
      </c>
      <c r="C3648" t="str">
        <f t="shared" si="1420"/>
        <v>FFDFD3C0</v>
      </c>
      <c r="D3648" t="s">
        <v>136</v>
      </c>
      <c r="E3648" t="str">
        <f>"20"</f>
        <v>20</v>
      </c>
      <c r="H3648">
        <v>400</v>
      </c>
      <c r="I3648" t="s">
        <v>137</v>
      </c>
      <c r="J3648" t="s">
        <v>138</v>
      </c>
      <c r="K3648">
        <v>0</v>
      </c>
      <c r="L3648">
        <v>3</v>
      </c>
      <c r="M3648">
        <v>0</v>
      </c>
      <c r="N3648">
        <v>2</v>
      </c>
      <c r="O3648">
        <v>0</v>
      </c>
      <c r="P3648">
        <v>1</v>
      </c>
      <c r="Q3648">
        <v>0</v>
      </c>
      <c r="R3648" t="s">
        <v>127</v>
      </c>
      <c r="S3648" t="str">
        <f t="shared" si="1442"/>
        <v>15:14:39.000</v>
      </c>
      <c r="T3648" t="str">
        <f t="shared" si="1442"/>
        <v>15:14:39.000</v>
      </c>
      <c r="U3648" t="str">
        <f t="shared" si="1421"/>
        <v>A68FCB</v>
      </c>
      <c r="V3648">
        <v>0</v>
      </c>
      <c r="W3648">
        <v>0</v>
      </c>
      <c r="X3648">
        <v>2</v>
      </c>
      <c r="Y3648">
        <v>0</v>
      </c>
      <c r="AA3648">
        <v>1</v>
      </c>
      <c r="AB3648">
        <v>8</v>
      </c>
      <c r="AC3648">
        <v>3</v>
      </c>
      <c r="AD3648">
        <v>0</v>
      </c>
      <c r="AE3648">
        <v>9</v>
      </c>
      <c r="AF3648" t="s">
        <v>138</v>
      </c>
      <c r="AG3648">
        <v>0</v>
      </c>
      <c r="AH3648">
        <v>3</v>
      </c>
      <c r="AI3648">
        <v>2</v>
      </c>
      <c r="AJ3648">
        <v>0</v>
      </c>
      <c r="AK3648" t="s">
        <v>1171</v>
      </c>
      <c r="AL3648">
        <v>39.158084000000002</v>
      </c>
      <c r="AM3648" t="s">
        <v>1170</v>
      </c>
      <c r="AN3648">
        <v>-121.030841</v>
      </c>
      <c r="AO3648">
        <v>25</v>
      </c>
      <c r="AP3648">
        <v>4100</v>
      </c>
      <c r="AQ3648" t="s">
        <v>131</v>
      </c>
      <c r="AR3648">
        <v>0</v>
      </c>
      <c r="AS3648">
        <v>94</v>
      </c>
      <c r="AT3648">
        <v>320</v>
      </c>
      <c r="BB3648" t="str">
        <f t="shared" si="1422"/>
        <v>1200</v>
      </c>
      <c r="BC3648">
        <v>1</v>
      </c>
      <c r="BD3648" t="str">
        <f t="shared" si="1423"/>
        <v xml:space="preserve">N52156  </v>
      </c>
      <c r="BE3648">
        <v>1</v>
      </c>
      <c r="BG3648">
        <v>0</v>
      </c>
      <c r="BH3648">
        <v>0</v>
      </c>
      <c r="BI3648">
        <v>0</v>
      </c>
      <c r="BJ3648">
        <v>4100</v>
      </c>
      <c r="BK3648">
        <v>0</v>
      </c>
      <c r="BL3648" t="s">
        <v>188</v>
      </c>
      <c r="BM3648">
        <v>1</v>
      </c>
      <c r="BN3648">
        <v>1</v>
      </c>
      <c r="BO3648">
        <v>0</v>
      </c>
      <c r="BP3648">
        <v>0</v>
      </c>
      <c r="BS3648">
        <v>0</v>
      </c>
      <c r="BT3648">
        <v>0</v>
      </c>
      <c r="BU3648">
        <v>0</v>
      </c>
      <c r="CE3648" t="str">
        <f t="shared" si="1443"/>
        <v>15:14:39.932</v>
      </c>
      <c r="CF3648">
        <v>931739312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4</v>
      </c>
      <c r="CY3648">
        <v>7</v>
      </c>
      <c r="CZ3648" t="s">
        <v>133</v>
      </c>
      <c r="DA3648">
        <v>275</v>
      </c>
      <c r="DB3648">
        <v>0</v>
      </c>
      <c r="DC3648" t="s">
        <v>134</v>
      </c>
      <c r="DD3648" t="s">
        <v>135</v>
      </c>
      <c r="DG3648">
        <v>3322864</v>
      </c>
      <c r="DI3648">
        <v>1</v>
      </c>
      <c r="DJ3648">
        <v>0</v>
      </c>
      <c r="DK3648">
        <v>1</v>
      </c>
      <c r="DL3648">
        <v>0</v>
      </c>
      <c r="DM3648">
        <v>0</v>
      </c>
      <c r="DN3648">
        <v>0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3">
      <c r="A3649" t="str">
        <f>"05/01/2025 15:14:40.184"</f>
        <v>05/01/2025 15:14:40.184</v>
      </c>
      <c r="C3649" t="str">
        <f t="shared" si="1420"/>
        <v>FFDFD3C0</v>
      </c>
      <c r="D3649" t="s">
        <v>143</v>
      </c>
      <c r="E3649" t="str">
        <f>"05"</f>
        <v>05</v>
      </c>
      <c r="H3649">
        <v>172</v>
      </c>
      <c r="I3649" t="s">
        <v>141</v>
      </c>
      <c r="J3649" t="s">
        <v>144</v>
      </c>
      <c r="K3649">
        <v>0</v>
      </c>
      <c r="L3649">
        <v>3</v>
      </c>
      <c r="M3649">
        <v>0</v>
      </c>
      <c r="N3649">
        <v>2</v>
      </c>
      <c r="O3649">
        <v>0</v>
      </c>
      <c r="P3649">
        <v>1</v>
      </c>
      <c r="Q3649">
        <v>0</v>
      </c>
      <c r="R3649" t="s">
        <v>127</v>
      </c>
      <c r="S3649" t="str">
        <f t="shared" si="1442"/>
        <v>15:14:39.000</v>
      </c>
      <c r="T3649" t="str">
        <f t="shared" si="1442"/>
        <v>15:14:39.000</v>
      </c>
      <c r="U3649" t="str">
        <f t="shared" si="1421"/>
        <v>A68FCB</v>
      </c>
      <c r="V3649">
        <v>0</v>
      </c>
      <c r="W3649">
        <v>0</v>
      </c>
      <c r="X3649">
        <v>2</v>
      </c>
      <c r="Y3649">
        <v>0</v>
      </c>
      <c r="AA3649">
        <v>1</v>
      </c>
      <c r="AB3649">
        <v>8</v>
      </c>
      <c r="AC3649">
        <v>3</v>
      </c>
      <c r="AD3649">
        <v>0</v>
      </c>
      <c r="AE3649">
        <v>9</v>
      </c>
      <c r="AF3649" t="s">
        <v>138</v>
      </c>
      <c r="AG3649">
        <v>0</v>
      </c>
      <c r="AH3649">
        <v>3</v>
      </c>
      <c r="AI3649">
        <v>2</v>
      </c>
      <c r="AJ3649">
        <v>0</v>
      </c>
      <c r="AK3649" t="s">
        <v>1171</v>
      </c>
      <c r="AL3649">
        <v>39.158084000000002</v>
      </c>
      <c r="AM3649" t="s">
        <v>1170</v>
      </c>
      <c r="AN3649">
        <v>-121.030841</v>
      </c>
      <c r="AO3649">
        <v>25</v>
      </c>
      <c r="AP3649">
        <v>4100</v>
      </c>
      <c r="AQ3649" t="s">
        <v>131</v>
      </c>
      <c r="AR3649">
        <v>0</v>
      </c>
      <c r="AS3649">
        <v>94</v>
      </c>
      <c r="AT3649">
        <v>320</v>
      </c>
      <c r="BB3649" t="str">
        <f t="shared" si="1422"/>
        <v>1200</v>
      </c>
      <c r="BC3649">
        <v>1</v>
      </c>
      <c r="BD3649" t="str">
        <f t="shared" si="1423"/>
        <v xml:space="preserve">N52156  </v>
      </c>
      <c r="BE3649">
        <v>1</v>
      </c>
      <c r="BG3649">
        <v>0</v>
      </c>
      <c r="BH3649">
        <v>0</v>
      </c>
      <c r="BI3649">
        <v>0</v>
      </c>
      <c r="BJ3649">
        <v>4100</v>
      </c>
      <c r="BK3649">
        <v>0</v>
      </c>
      <c r="BL3649" t="s">
        <v>188</v>
      </c>
      <c r="BM3649">
        <v>1</v>
      </c>
      <c r="BN3649">
        <v>1</v>
      </c>
      <c r="BO3649">
        <v>0</v>
      </c>
      <c r="BP3649">
        <v>0</v>
      </c>
      <c r="BS3649">
        <v>0</v>
      </c>
      <c r="BT3649">
        <v>0</v>
      </c>
      <c r="BU3649">
        <v>0</v>
      </c>
      <c r="CE3649" t="str">
        <f t="shared" si="1443"/>
        <v>15:14:39.932</v>
      </c>
      <c r="CF3649">
        <v>931739312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4</v>
      </c>
      <c r="CY3649">
        <v>7</v>
      </c>
      <c r="CZ3649" t="s">
        <v>133</v>
      </c>
      <c r="DA3649">
        <v>275</v>
      </c>
      <c r="DB3649">
        <v>0</v>
      </c>
      <c r="DC3649" t="s">
        <v>134</v>
      </c>
      <c r="DD3649" t="s">
        <v>135</v>
      </c>
      <c r="DG3649">
        <v>3322864</v>
      </c>
      <c r="DI3649">
        <v>1</v>
      </c>
      <c r="DJ3649">
        <v>0</v>
      </c>
      <c r="DK3649">
        <v>1</v>
      </c>
      <c r="DL3649">
        <v>0</v>
      </c>
      <c r="DM3649">
        <v>0</v>
      </c>
      <c r="DN3649">
        <v>0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3">
      <c r="A3650" t="str">
        <f>"05/01/2025 15:14:40.485"</f>
        <v>05/01/2025 15:14:40.485</v>
      </c>
      <c r="C3650" t="str">
        <f t="shared" ref="C3650:C3713" si="1444">"FFDFD3C0"</f>
        <v>FFDFD3C0</v>
      </c>
      <c r="D3650" t="s">
        <v>143</v>
      </c>
      <c r="E3650" t="str">
        <f>"05"</f>
        <v>05</v>
      </c>
      <c r="H3650">
        <v>172</v>
      </c>
      <c r="I3650" t="s">
        <v>141</v>
      </c>
      <c r="J3650" t="s">
        <v>144</v>
      </c>
      <c r="K3650">
        <v>0</v>
      </c>
      <c r="L3650">
        <v>3</v>
      </c>
      <c r="M3650">
        <v>0</v>
      </c>
      <c r="N3650">
        <v>2</v>
      </c>
      <c r="O3650">
        <v>0</v>
      </c>
      <c r="P3650">
        <v>1</v>
      </c>
      <c r="Q3650">
        <v>0</v>
      </c>
      <c r="R3650" t="s">
        <v>127</v>
      </c>
      <c r="S3650" t="str">
        <f t="shared" ref="S3650:T3655" si="1445">"15:14:40.000"</f>
        <v>15:14:40.000</v>
      </c>
      <c r="T3650" t="str">
        <f t="shared" si="1445"/>
        <v>15:14:40.000</v>
      </c>
      <c r="U3650" t="str">
        <f t="shared" ref="U3650:U3713" si="1446">"A68FCB"</f>
        <v>A68FCB</v>
      </c>
      <c r="V3650">
        <v>0</v>
      </c>
      <c r="W3650">
        <v>0</v>
      </c>
      <c r="X3650">
        <v>2</v>
      </c>
      <c r="Y3650">
        <v>0</v>
      </c>
      <c r="AA3650">
        <v>1</v>
      </c>
      <c r="AB3650">
        <v>8</v>
      </c>
      <c r="AC3650">
        <v>3</v>
      </c>
      <c r="AD3650">
        <v>0</v>
      </c>
      <c r="AE3650">
        <v>9</v>
      </c>
      <c r="AF3650" t="s">
        <v>138</v>
      </c>
      <c r="AG3650">
        <v>0</v>
      </c>
      <c r="AH3650">
        <v>3</v>
      </c>
      <c r="AI3650">
        <v>2</v>
      </c>
      <c r="AJ3650">
        <v>0</v>
      </c>
      <c r="AK3650" t="s">
        <v>1172</v>
      </c>
      <c r="AL3650">
        <v>39.158535000000001</v>
      </c>
      <c r="AM3650" t="s">
        <v>1170</v>
      </c>
      <c r="AN3650">
        <v>-121.030841</v>
      </c>
      <c r="AO3650">
        <v>25</v>
      </c>
      <c r="AP3650">
        <v>4100</v>
      </c>
      <c r="AQ3650" t="s">
        <v>131</v>
      </c>
      <c r="AR3650">
        <v>0</v>
      </c>
      <c r="AS3650">
        <v>94</v>
      </c>
      <c r="AT3650">
        <v>384</v>
      </c>
      <c r="BB3650" t="str">
        <f t="shared" ref="BB3650:BB3713" si="1447">"1200"</f>
        <v>1200</v>
      </c>
      <c r="BC3650">
        <v>1</v>
      </c>
      <c r="BD3650" t="str">
        <f t="shared" ref="BD3650:BD3713" si="1448">"N52156  "</f>
        <v xml:space="preserve">N52156  </v>
      </c>
      <c r="BE3650">
        <v>1</v>
      </c>
      <c r="BG3650">
        <v>0</v>
      </c>
      <c r="BH3650">
        <v>0</v>
      </c>
      <c r="BI3650">
        <v>0</v>
      </c>
      <c r="BJ3650">
        <v>4100</v>
      </c>
      <c r="BK3650">
        <v>0</v>
      </c>
      <c r="BL3650" t="s">
        <v>188</v>
      </c>
      <c r="BM3650">
        <v>1</v>
      </c>
      <c r="BN3650">
        <v>1</v>
      </c>
      <c r="BO3650">
        <v>0</v>
      </c>
      <c r="BP3650">
        <v>0</v>
      </c>
      <c r="BS3650">
        <v>0</v>
      </c>
      <c r="BT3650">
        <v>0</v>
      </c>
      <c r="BU3650">
        <v>0</v>
      </c>
      <c r="CE3650" t="str">
        <f t="shared" ref="CE3650:CE3655" si="1449">"15:14:40.282"</f>
        <v>15:14:40.282</v>
      </c>
      <c r="CF3650">
        <v>281737706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4</v>
      </c>
      <c r="CY3650">
        <v>7</v>
      </c>
      <c r="CZ3650" t="s">
        <v>133</v>
      </c>
      <c r="DA3650">
        <v>275</v>
      </c>
      <c r="DB3650">
        <v>0</v>
      </c>
      <c r="DC3650" t="s">
        <v>134</v>
      </c>
      <c r="DD3650" t="s">
        <v>135</v>
      </c>
      <c r="DG3650">
        <v>3322866</v>
      </c>
      <c r="DI3650">
        <v>1</v>
      </c>
      <c r="DJ3650">
        <v>0</v>
      </c>
      <c r="DK3650">
        <v>0</v>
      </c>
      <c r="DL3650">
        <v>0</v>
      </c>
      <c r="DM3650">
        <v>0</v>
      </c>
      <c r="DN3650">
        <v>0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3">
      <c r="A3651" t="str">
        <f>"05/01/2025 15:14:40.492"</f>
        <v>05/01/2025 15:14:40.492</v>
      </c>
      <c r="C3651" t="str">
        <f t="shared" si="1444"/>
        <v>FFDFD3C0</v>
      </c>
      <c r="D3651" t="s">
        <v>140</v>
      </c>
      <c r="E3651" t="str">
        <f>"13"</f>
        <v>13</v>
      </c>
      <c r="F3651">
        <v>1019</v>
      </c>
      <c r="G3651" t="s">
        <v>141</v>
      </c>
      <c r="J3651" t="s">
        <v>142</v>
      </c>
      <c r="K3651">
        <v>0</v>
      </c>
      <c r="L3651">
        <v>3</v>
      </c>
      <c r="M3651">
        <v>0</v>
      </c>
      <c r="N3651">
        <v>2</v>
      </c>
      <c r="O3651">
        <v>0</v>
      </c>
      <c r="P3651">
        <v>1</v>
      </c>
      <c r="Q3651">
        <v>0</v>
      </c>
      <c r="R3651" t="s">
        <v>127</v>
      </c>
      <c r="S3651" t="str">
        <f t="shared" si="1445"/>
        <v>15:14:40.000</v>
      </c>
      <c r="T3651" t="str">
        <f t="shared" si="1445"/>
        <v>15:14:40.000</v>
      </c>
      <c r="U3651" t="str">
        <f t="shared" si="1446"/>
        <v>A68FCB</v>
      </c>
      <c r="V3651">
        <v>0</v>
      </c>
      <c r="W3651">
        <v>0</v>
      </c>
      <c r="X3651">
        <v>2</v>
      </c>
      <c r="Y3651">
        <v>0</v>
      </c>
      <c r="AA3651">
        <v>1</v>
      </c>
      <c r="AB3651">
        <v>8</v>
      </c>
      <c r="AC3651">
        <v>3</v>
      </c>
      <c r="AD3651">
        <v>0</v>
      </c>
      <c r="AE3651">
        <v>9</v>
      </c>
      <c r="AF3651" t="s">
        <v>138</v>
      </c>
      <c r="AG3651">
        <v>0</v>
      </c>
      <c r="AH3651">
        <v>3</v>
      </c>
      <c r="AI3651">
        <v>2</v>
      </c>
      <c r="AJ3651">
        <v>0</v>
      </c>
      <c r="AK3651" t="s">
        <v>1172</v>
      </c>
      <c r="AL3651">
        <v>39.158535000000001</v>
      </c>
      <c r="AM3651" t="s">
        <v>1170</v>
      </c>
      <c r="AN3651">
        <v>-121.030841</v>
      </c>
      <c r="AO3651">
        <v>25</v>
      </c>
      <c r="AP3651">
        <v>4100</v>
      </c>
      <c r="AQ3651" t="s">
        <v>131</v>
      </c>
      <c r="AR3651">
        <v>0</v>
      </c>
      <c r="AS3651">
        <v>94</v>
      </c>
      <c r="AT3651">
        <v>384</v>
      </c>
      <c r="BB3651" t="str">
        <f t="shared" si="1447"/>
        <v>1200</v>
      </c>
      <c r="BC3651">
        <v>1</v>
      </c>
      <c r="BD3651" t="str">
        <f t="shared" si="1448"/>
        <v xml:space="preserve">N52156  </v>
      </c>
      <c r="BE3651">
        <v>1</v>
      </c>
      <c r="BG3651">
        <v>0</v>
      </c>
      <c r="BH3651">
        <v>0</v>
      </c>
      <c r="BI3651">
        <v>0</v>
      </c>
      <c r="BJ3651">
        <v>4100</v>
      </c>
      <c r="BK3651">
        <v>0</v>
      </c>
      <c r="BL3651" t="s">
        <v>188</v>
      </c>
      <c r="BM3651">
        <v>1</v>
      </c>
      <c r="BN3651">
        <v>1</v>
      </c>
      <c r="BO3651">
        <v>0</v>
      </c>
      <c r="BP3651">
        <v>0</v>
      </c>
      <c r="BS3651">
        <v>0</v>
      </c>
      <c r="BT3651">
        <v>0</v>
      </c>
      <c r="BU3651">
        <v>0</v>
      </c>
      <c r="CE3651" t="str">
        <f t="shared" si="1449"/>
        <v>15:14:40.282</v>
      </c>
      <c r="CF3651">
        <v>281737706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4</v>
      </c>
      <c r="CY3651">
        <v>7</v>
      </c>
      <c r="CZ3651" t="s">
        <v>133</v>
      </c>
      <c r="DA3651">
        <v>275</v>
      </c>
      <c r="DB3651">
        <v>0</v>
      </c>
      <c r="DC3651" t="s">
        <v>134</v>
      </c>
      <c r="DD3651" t="s">
        <v>135</v>
      </c>
      <c r="DG3651">
        <v>3322866</v>
      </c>
      <c r="DI3651">
        <v>1</v>
      </c>
      <c r="DJ3651">
        <v>0</v>
      </c>
      <c r="DK3651">
        <v>1</v>
      </c>
      <c r="DL3651">
        <v>0</v>
      </c>
      <c r="DM3651">
        <v>0</v>
      </c>
      <c r="DN3651">
        <v>0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3">
      <c r="A3652" t="str">
        <f>"05/01/2025 15:14:40.495"</f>
        <v>05/01/2025 15:14:40.495</v>
      </c>
      <c r="C3652" t="str">
        <f t="shared" si="1444"/>
        <v>FFDFD3C0</v>
      </c>
      <c r="D3652" t="s">
        <v>124</v>
      </c>
      <c r="E3652" t="str">
        <f>"06"</f>
        <v>06</v>
      </c>
      <c r="F3652">
        <v>2006</v>
      </c>
      <c r="G3652" t="s">
        <v>125</v>
      </c>
      <c r="J3652" t="s">
        <v>126</v>
      </c>
      <c r="K3652">
        <v>0</v>
      </c>
      <c r="L3652">
        <v>3</v>
      </c>
      <c r="M3652">
        <v>0</v>
      </c>
      <c r="N3652">
        <v>2</v>
      </c>
      <c r="O3652">
        <v>0</v>
      </c>
      <c r="P3652">
        <v>1</v>
      </c>
      <c r="Q3652">
        <v>0</v>
      </c>
      <c r="R3652" t="s">
        <v>127</v>
      </c>
      <c r="S3652" t="str">
        <f t="shared" si="1445"/>
        <v>15:14:40.000</v>
      </c>
      <c r="T3652" t="str">
        <f t="shared" si="1445"/>
        <v>15:14:40.000</v>
      </c>
      <c r="U3652" t="str">
        <f t="shared" si="1446"/>
        <v>A68FCB</v>
      </c>
      <c r="V3652">
        <v>0</v>
      </c>
      <c r="W3652">
        <v>0</v>
      </c>
      <c r="X3652">
        <v>2</v>
      </c>
      <c r="Y3652">
        <v>0</v>
      </c>
      <c r="AA3652">
        <v>1</v>
      </c>
      <c r="AB3652">
        <v>8</v>
      </c>
      <c r="AC3652">
        <v>3</v>
      </c>
      <c r="AD3652">
        <v>0</v>
      </c>
      <c r="AE3652">
        <v>9</v>
      </c>
      <c r="AF3652" t="s">
        <v>138</v>
      </c>
      <c r="AG3652">
        <v>0</v>
      </c>
      <c r="AH3652">
        <v>3</v>
      </c>
      <c r="AI3652">
        <v>2</v>
      </c>
      <c r="AJ3652">
        <v>0</v>
      </c>
      <c r="AK3652" t="s">
        <v>1172</v>
      </c>
      <c r="AL3652">
        <v>39.158535000000001</v>
      </c>
      <c r="AM3652" t="s">
        <v>1170</v>
      </c>
      <c r="AN3652">
        <v>-121.030841</v>
      </c>
      <c r="AO3652">
        <v>25</v>
      </c>
      <c r="AP3652">
        <v>4100</v>
      </c>
      <c r="AQ3652" t="s">
        <v>131</v>
      </c>
      <c r="AR3652">
        <v>0</v>
      </c>
      <c r="AS3652">
        <v>94</v>
      </c>
      <c r="AT3652">
        <v>384</v>
      </c>
      <c r="BB3652" t="str">
        <f t="shared" si="1447"/>
        <v>1200</v>
      </c>
      <c r="BC3652">
        <v>1</v>
      </c>
      <c r="BD3652" t="str">
        <f t="shared" si="1448"/>
        <v xml:space="preserve">N52156  </v>
      </c>
      <c r="BE3652">
        <v>1</v>
      </c>
      <c r="BG3652">
        <v>0</v>
      </c>
      <c r="BH3652">
        <v>0</v>
      </c>
      <c r="BI3652">
        <v>0</v>
      </c>
      <c r="BJ3652">
        <v>4100</v>
      </c>
      <c r="BK3652">
        <v>0</v>
      </c>
      <c r="BL3652" t="s">
        <v>188</v>
      </c>
      <c r="BM3652">
        <v>1</v>
      </c>
      <c r="BN3652">
        <v>1</v>
      </c>
      <c r="BO3652">
        <v>0</v>
      </c>
      <c r="BP3652">
        <v>0</v>
      </c>
      <c r="BS3652">
        <v>0</v>
      </c>
      <c r="BT3652">
        <v>0</v>
      </c>
      <c r="BU3652">
        <v>0</v>
      </c>
      <c r="CE3652" t="str">
        <f t="shared" si="1449"/>
        <v>15:14:40.282</v>
      </c>
      <c r="CF3652">
        <v>281737706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4</v>
      </c>
      <c r="CY3652">
        <v>7</v>
      </c>
      <c r="CZ3652" t="s">
        <v>133</v>
      </c>
      <c r="DA3652">
        <v>275</v>
      </c>
      <c r="DB3652">
        <v>0</v>
      </c>
      <c r="DC3652" t="s">
        <v>134</v>
      </c>
      <c r="DD3652" t="s">
        <v>135</v>
      </c>
      <c r="DG3652">
        <v>3322866</v>
      </c>
      <c r="DI3652">
        <v>1</v>
      </c>
      <c r="DJ3652">
        <v>0</v>
      </c>
      <c r="DK3652">
        <v>1</v>
      </c>
      <c r="DL3652">
        <v>0</v>
      </c>
      <c r="DM3652">
        <v>0</v>
      </c>
      <c r="DN3652">
        <v>0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3">
      <c r="A3653" t="str">
        <f>"05/01/2025 15:14:40.505"</f>
        <v>05/01/2025 15:14:40.505</v>
      </c>
      <c r="C3653" t="str">
        <f t="shared" si="1444"/>
        <v>FFDFD3C0</v>
      </c>
      <c r="D3653" t="s">
        <v>145</v>
      </c>
      <c r="E3653" t="str">
        <f>"09"</f>
        <v>09</v>
      </c>
      <c r="H3653">
        <v>51</v>
      </c>
      <c r="I3653" t="s">
        <v>147</v>
      </c>
      <c r="J3653" t="s">
        <v>138</v>
      </c>
      <c r="K3653">
        <v>0</v>
      </c>
      <c r="L3653">
        <v>3</v>
      </c>
      <c r="M3653">
        <v>0</v>
      </c>
      <c r="N3653">
        <v>2</v>
      </c>
      <c r="O3653">
        <v>0</v>
      </c>
      <c r="P3653">
        <v>1</v>
      </c>
      <c r="Q3653">
        <v>0</v>
      </c>
      <c r="R3653" t="s">
        <v>127</v>
      </c>
      <c r="S3653" t="str">
        <f t="shared" si="1445"/>
        <v>15:14:40.000</v>
      </c>
      <c r="T3653" t="str">
        <f t="shared" si="1445"/>
        <v>15:14:40.000</v>
      </c>
      <c r="U3653" t="str">
        <f t="shared" si="1446"/>
        <v>A68FCB</v>
      </c>
      <c r="V3653">
        <v>0</v>
      </c>
      <c r="W3653">
        <v>0</v>
      </c>
      <c r="X3653">
        <v>2</v>
      </c>
      <c r="Y3653">
        <v>0</v>
      </c>
      <c r="AA3653">
        <v>1</v>
      </c>
      <c r="AB3653">
        <v>8</v>
      </c>
      <c r="AC3653">
        <v>3</v>
      </c>
      <c r="AD3653">
        <v>0</v>
      </c>
      <c r="AE3653">
        <v>9</v>
      </c>
      <c r="AF3653" t="s">
        <v>138</v>
      </c>
      <c r="AG3653">
        <v>0</v>
      </c>
      <c r="AH3653">
        <v>3</v>
      </c>
      <c r="AI3653">
        <v>2</v>
      </c>
      <c r="AJ3653">
        <v>0</v>
      </c>
      <c r="AK3653" t="s">
        <v>1172</v>
      </c>
      <c r="AL3653">
        <v>39.158535000000001</v>
      </c>
      <c r="AM3653" t="s">
        <v>1170</v>
      </c>
      <c r="AN3653">
        <v>-121.030841</v>
      </c>
      <c r="AO3653">
        <v>25</v>
      </c>
      <c r="AP3653">
        <v>4100</v>
      </c>
      <c r="AQ3653" t="s">
        <v>131</v>
      </c>
      <c r="AR3653">
        <v>0</v>
      </c>
      <c r="AS3653">
        <v>94</v>
      </c>
      <c r="AT3653">
        <v>384</v>
      </c>
      <c r="BB3653" t="str">
        <f t="shared" si="1447"/>
        <v>1200</v>
      </c>
      <c r="BC3653">
        <v>1</v>
      </c>
      <c r="BD3653" t="str">
        <f t="shared" si="1448"/>
        <v xml:space="preserve">N52156  </v>
      </c>
      <c r="BE3653">
        <v>1</v>
      </c>
      <c r="BG3653">
        <v>0</v>
      </c>
      <c r="BH3653">
        <v>0</v>
      </c>
      <c r="BI3653">
        <v>0</v>
      </c>
      <c r="BJ3653">
        <v>4100</v>
      </c>
      <c r="BK3653">
        <v>0</v>
      </c>
      <c r="BL3653" t="s">
        <v>188</v>
      </c>
      <c r="BM3653">
        <v>1</v>
      </c>
      <c r="BN3653">
        <v>1</v>
      </c>
      <c r="BO3653">
        <v>0</v>
      </c>
      <c r="BP3653">
        <v>0</v>
      </c>
      <c r="BS3653">
        <v>0</v>
      </c>
      <c r="BT3653">
        <v>0</v>
      </c>
      <c r="BU3653">
        <v>0</v>
      </c>
      <c r="CE3653" t="str">
        <f t="shared" si="1449"/>
        <v>15:14:40.282</v>
      </c>
      <c r="CF3653">
        <v>281737706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4</v>
      </c>
      <c r="CY3653">
        <v>7</v>
      </c>
      <c r="CZ3653" t="s">
        <v>133</v>
      </c>
      <c r="DA3653">
        <v>275</v>
      </c>
      <c r="DB3653">
        <v>0</v>
      </c>
      <c r="DC3653" t="s">
        <v>134</v>
      </c>
      <c r="DD3653" t="s">
        <v>135</v>
      </c>
      <c r="DG3653">
        <v>3322866</v>
      </c>
      <c r="DI3653">
        <v>1</v>
      </c>
      <c r="DJ3653">
        <v>0</v>
      </c>
      <c r="DK3653">
        <v>1</v>
      </c>
      <c r="DL3653">
        <v>0</v>
      </c>
      <c r="DM3653">
        <v>0</v>
      </c>
      <c r="DN3653">
        <v>0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3">
      <c r="A3654" t="str">
        <f>"05/01/2025 15:14:40.508"</f>
        <v>05/01/2025 15:14:40.508</v>
      </c>
      <c r="C3654" t="str">
        <f t="shared" si="1444"/>
        <v>FFDFD3C0</v>
      </c>
      <c r="D3654" t="s">
        <v>145</v>
      </c>
      <c r="E3654" t="str">
        <f>"05"</f>
        <v>05</v>
      </c>
      <c r="H3654">
        <v>47</v>
      </c>
      <c r="I3654" t="s">
        <v>146</v>
      </c>
      <c r="J3654" t="s">
        <v>138</v>
      </c>
      <c r="K3654">
        <v>0</v>
      </c>
      <c r="L3654">
        <v>3</v>
      </c>
      <c r="M3654">
        <v>0</v>
      </c>
      <c r="N3654">
        <v>2</v>
      </c>
      <c r="O3654">
        <v>0</v>
      </c>
      <c r="P3654">
        <v>1</v>
      </c>
      <c r="Q3654">
        <v>0</v>
      </c>
      <c r="R3654" t="s">
        <v>127</v>
      </c>
      <c r="S3654" t="str">
        <f t="shared" si="1445"/>
        <v>15:14:40.000</v>
      </c>
      <c r="T3654" t="str">
        <f t="shared" si="1445"/>
        <v>15:14:40.000</v>
      </c>
      <c r="U3654" t="str">
        <f t="shared" si="1446"/>
        <v>A68FCB</v>
      </c>
      <c r="V3654">
        <v>0</v>
      </c>
      <c r="W3654">
        <v>0</v>
      </c>
      <c r="X3654">
        <v>2</v>
      </c>
      <c r="Y3654">
        <v>0</v>
      </c>
      <c r="AA3654">
        <v>1</v>
      </c>
      <c r="AB3654">
        <v>8</v>
      </c>
      <c r="AC3654">
        <v>3</v>
      </c>
      <c r="AD3654">
        <v>0</v>
      </c>
      <c r="AE3654">
        <v>9</v>
      </c>
      <c r="AF3654" t="s">
        <v>138</v>
      </c>
      <c r="AG3654">
        <v>0</v>
      </c>
      <c r="AH3654">
        <v>3</v>
      </c>
      <c r="AI3654">
        <v>2</v>
      </c>
      <c r="AJ3654">
        <v>0</v>
      </c>
      <c r="AK3654" t="s">
        <v>1172</v>
      </c>
      <c r="AL3654">
        <v>39.158535000000001</v>
      </c>
      <c r="AM3654" t="s">
        <v>1170</v>
      </c>
      <c r="AN3654">
        <v>-121.030841</v>
      </c>
      <c r="AO3654">
        <v>25</v>
      </c>
      <c r="AP3654">
        <v>4100</v>
      </c>
      <c r="AQ3654" t="s">
        <v>131</v>
      </c>
      <c r="AR3654">
        <v>0</v>
      </c>
      <c r="AS3654">
        <v>94</v>
      </c>
      <c r="AT3654">
        <v>384</v>
      </c>
      <c r="BB3654" t="str">
        <f t="shared" si="1447"/>
        <v>1200</v>
      </c>
      <c r="BC3654">
        <v>1</v>
      </c>
      <c r="BD3654" t="str">
        <f t="shared" si="1448"/>
        <v xml:space="preserve">N52156  </v>
      </c>
      <c r="BE3654">
        <v>1</v>
      </c>
      <c r="BG3654">
        <v>0</v>
      </c>
      <c r="BH3654">
        <v>0</v>
      </c>
      <c r="BI3654">
        <v>0</v>
      </c>
      <c r="BJ3654">
        <v>4100</v>
      </c>
      <c r="BK3654">
        <v>0</v>
      </c>
      <c r="BL3654" t="s">
        <v>188</v>
      </c>
      <c r="BM3654">
        <v>1</v>
      </c>
      <c r="BN3654">
        <v>1</v>
      </c>
      <c r="BO3654">
        <v>0</v>
      </c>
      <c r="BP3654">
        <v>0</v>
      </c>
      <c r="BS3654">
        <v>0</v>
      </c>
      <c r="BT3654">
        <v>0</v>
      </c>
      <c r="BU3654">
        <v>0</v>
      </c>
      <c r="CE3654" t="str">
        <f t="shared" si="1449"/>
        <v>15:14:40.282</v>
      </c>
      <c r="CF3654">
        <v>281737706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4</v>
      </c>
      <c r="CY3654">
        <v>7</v>
      </c>
      <c r="CZ3654" t="s">
        <v>133</v>
      </c>
      <c r="DA3654">
        <v>275</v>
      </c>
      <c r="DB3654">
        <v>0</v>
      </c>
      <c r="DC3654" t="s">
        <v>134</v>
      </c>
      <c r="DD3654" t="s">
        <v>135</v>
      </c>
      <c r="DG3654">
        <v>3322866</v>
      </c>
      <c r="DI3654">
        <v>1</v>
      </c>
      <c r="DJ3654">
        <v>0</v>
      </c>
      <c r="DK3654">
        <v>1</v>
      </c>
      <c r="DL3654">
        <v>0</v>
      </c>
      <c r="DM3654">
        <v>0</v>
      </c>
      <c r="DN3654">
        <v>0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3">
      <c r="A3655" t="str">
        <f>"05/01/2025 15:14:40.519"</f>
        <v>05/01/2025 15:14:40.519</v>
      </c>
      <c r="C3655" t="str">
        <f t="shared" si="1444"/>
        <v>FFDFD3C0</v>
      </c>
      <c r="D3655" t="s">
        <v>136</v>
      </c>
      <c r="E3655" t="str">
        <f>"20"</f>
        <v>20</v>
      </c>
      <c r="H3655">
        <v>400</v>
      </c>
      <c r="I3655" t="s">
        <v>137</v>
      </c>
      <c r="J3655" t="s">
        <v>138</v>
      </c>
      <c r="K3655">
        <v>0</v>
      </c>
      <c r="L3655">
        <v>3</v>
      </c>
      <c r="M3655">
        <v>0</v>
      </c>
      <c r="N3655">
        <v>2</v>
      </c>
      <c r="O3655">
        <v>0</v>
      </c>
      <c r="P3655">
        <v>1</v>
      </c>
      <c r="Q3655">
        <v>0</v>
      </c>
      <c r="R3655" t="s">
        <v>127</v>
      </c>
      <c r="S3655" t="str">
        <f t="shared" si="1445"/>
        <v>15:14:40.000</v>
      </c>
      <c r="T3655" t="str">
        <f t="shared" si="1445"/>
        <v>15:14:40.000</v>
      </c>
      <c r="U3655" t="str">
        <f t="shared" si="1446"/>
        <v>A68FCB</v>
      </c>
      <c r="V3655">
        <v>0</v>
      </c>
      <c r="W3655">
        <v>0</v>
      </c>
      <c r="X3655">
        <v>2</v>
      </c>
      <c r="Y3655">
        <v>0</v>
      </c>
      <c r="AA3655">
        <v>1</v>
      </c>
      <c r="AB3655">
        <v>8</v>
      </c>
      <c r="AC3655">
        <v>3</v>
      </c>
      <c r="AD3655">
        <v>0</v>
      </c>
      <c r="AE3655">
        <v>9</v>
      </c>
      <c r="AF3655" t="s">
        <v>138</v>
      </c>
      <c r="AG3655">
        <v>0</v>
      </c>
      <c r="AH3655">
        <v>3</v>
      </c>
      <c r="AI3655">
        <v>2</v>
      </c>
      <c r="AJ3655">
        <v>0</v>
      </c>
      <c r="AK3655" t="s">
        <v>1172</v>
      </c>
      <c r="AL3655">
        <v>39.158535000000001</v>
      </c>
      <c r="AM3655" t="s">
        <v>1170</v>
      </c>
      <c r="AN3655">
        <v>-121.030841</v>
      </c>
      <c r="AO3655">
        <v>25</v>
      </c>
      <c r="AP3655">
        <v>4100</v>
      </c>
      <c r="AQ3655" t="s">
        <v>131</v>
      </c>
      <c r="AR3655">
        <v>0</v>
      </c>
      <c r="AS3655">
        <v>94</v>
      </c>
      <c r="AT3655">
        <v>384</v>
      </c>
      <c r="BB3655" t="str">
        <f t="shared" si="1447"/>
        <v>1200</v>
      </c>
      <c r="BC3655">
        <v>1</v>
      </c>
      <c r="BD3655" t="str">
        <f t="shared" si="1448"/>
        <v xml:space="preserve">N52156  </v>
      </c>
      <c r="BE3655">
        <v>1</v>
      </c>
      <c r="BG3655">
        <v>0</v>
      </c>
      <c r="BH3655">
        <v>0</v>
      </c>
      <c r="BI3655">
        <v>0</v>
      </c>
      <c r="BJ3655">
        <v>4100</v>
      </c>
      <c r="BK3655">
        <v>0</v>
      </c>
      <c r="BL3655" t="s">
        <v>188</v>
      </c>
      <c r="BM3655">
        <v>1</v>
      </c>
      <c r="BN3655">
        <v>1</v>
      </c>
      <c r="BO3655">
        <v>0</v>
      </c>
      <c r="BP3655">
        <v>0</v>
      </c>
      <c r="BS3655">
        <v>0</v>
      </c>
      <c r="BT3655">
        <v>0</v>
      </c>
      <c r="BU3655">
        <v>0</v>
      </c>
      <c r="CE3655" t="str">
        <f t="shared" si="1449"/>
        <v>15:14:40.282</v>
      </c>
      <c r="CF3655">
        <v>281737706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4</v>
      </c>
      <c r="CY3655">
        <v>7</v>
      </c>
      <c r="CZ3655" t="s">
        <v>133</v>
      </c>
      <c r="DA3655">
        <v>275</v>
      </c>
      <c r="DB3655">
        <v>0</v>
      </c>
      <c r="DC3655" t="s">
        <v>134</v>
      </c>
      <c r="DD3655" t="s">
        <v>135</v>
      </c>
      <c r="DG3655">
        <v>3322866</v>
      </c>
      <c r="DI3655">
        <v>1</v>
      </c>
      <c r="DJ3655">
        <v>0</v>
      </c>
      <c r="DK3655">
        <v>1</v>
      </c>
      <c r="DL3655">
        <v>0</v>
      </c>
      <c r="DM3655">
        <v>0</v>
      </c>
      <c r="DN3655">
        <v>0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3">
      <c r="A3656" t="str">
        <f>"05/01/2025 15:14:42.048"</f>
        <v>05/01/2025 15:14:42.048</v>
      </c>
      <c r="C3656" t="str">
        <f t="shared" si="1444"/>
        <v>FFDFD3C0</v>
      </c>
      <c r="D3656" t="s">
        <v>124</v>
      </c>
      <c r="E3656" t="str">
        <f>"06"</f>
        <v>06</v>
      </c>
      <c r="F3656">
        <v>2006</v>
      </c>
      <c r="G3656" t="s">
        <v>125</v>
      </c>
      <c r="J3656" t="s">
        <v>126</v>
      </c>
      <c r="K3656">
        <v>0</v>
      </c>
      <c r="L3656">
        <v>3</v>
      </c>
      <c r="M3656">
        <v>0</v>
      </c>
      <c r="N3656">
        <v>2</v>
      </c>
      <c r="O3656">
        <v>0</v>
      </c>
      <c r="P3656">
        <v>1</v>
      </c>
      <c r="Q3656">
        <v>0</v>
      </c>
      <c r="R3656" t="s">
        <v>127</v>
      </c>
      <c r="S3656" t="str">
        <f t="shared" ref="S3656:T3661" si="1450">"15:14:41.000"</f>
        <v>15:14:41.000</v>
      </c>
      <c r="T3656" t="str">
        <f t="shared" si="1450"/>
        <v>15:14:41.000</v>
      </c>
      <c r="U3656" t="str">
        <f t="shared" si="1446"/>
        <v>A68FCB</v>
      </c>
      <c r="V3656">
        <v>0</v>
      </c>
      <c r="W3656">
        <v>0</v>
      </c>
      <c r="X3656">
        <v>2</v>
      </c>
      <c r="Y3656">
        <v>0</v>
      </c>
      <c r="AA3656">
        <v>1</v>
      </c>
      <c r="AB3656">
        <v>8</v>
      </c>
      <c r="AC3656">
        <v>3</v>
      </c>
      <c r="AD3656">
        <v>0</v>
      </c>
      <c r="AE3656">
        <v>9</v>
      </c>
      <c r="AF3656" t="s">
        <v>138</v>
      </c>
      <c r="AG3656">
        <v>0</v>
      </c>
      <c r="AH3656">
        <v>3</v>
      </c>
      <c r="AI3656">
        <v>2</v>
      </c>
      <c r="AJ3656">
        <v>0</v>
      </c>
      <c r="AK3656" t="s">
        <v>1173</v>
      </c>
      <c r="AL3656">
        <v>39.158963999999997</v>
      </c>
      <c r="AM3656" t="s">
        <v>1170</v>
      </c>
      <c r="AN3656">
        <v>-121.030841</v>
      </c>
      <c r="AO3656">
        <v>25</v>
      </c>
      <c r="AP3656">
        <v>4100</v>
      </c>
      <c r="AQ3656" t="s">
        <v>131</v>
      </c>
      <c r="AR3656">
        <v>0</v>
      </c>
      <c r="AS3656">
        <v>94</v>
      </c>
      <c r="AT3656">
        <v>384</v>
      </c>
      <c r="BB3656" t="str">
        <f t="shared" si="1447"/>
        <v>1200</v>
      </c>
      <c r="BC3656">
        <v>1</v>
      </c>
      <c r="BD3656" t="str">
        <f t="shared" si="1448"/>
        <v xml:space="preserve">N52156  </v>
      </c>
      <c r="BE3656">
        <v>1</v>
      </c>
      <c r="BG3656">
        <v>0</v>
      </c>
      <c r="BH3656">
        <v>0</v>
      </c>
      <c r="BI3656">
        <v>0</v>
      </c>
      <c r="BJ3656">
        <v>4125</v>
      </c>
      <c r="BK3656">
        <v>25</v>
      </c>
      <c r="BL3656" t="s">
        <v>188</v>
      </c>
      <c r="BM3656">
        <v>1</v>
      </c>
      <c r="BN3656">
        <v>1</v>
      </c>
      <c r="BO3656">
        <v>0</v>
      </c>
      <c r="BP3656">
        <v>0</v>
      </c>
      <c r="BS3656">
        <v>0</v>
      </c>
      <c r="BT3656">
        <v>0</v>
      </c>
      <c r="BU3656">
        <v>0</v>
      </c>
      <c r="CE3656" t="str">
        <f t="shared" ref="CE3656:CE3661" si="1451">"15:14:41.842"</f>
        <v>15:14:41.842</v>
      </c>
      <c r="CF3656">
        <v>842239224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4</v>
      </c>
      <c r="CY3656">
        <v>7</v>
      </c>
      <c r="CZ3656" t="s">
        <v>133</v>
      </c>
      <c r="DA3656">
        <v>275</v>
      </c>
      <c r="DB3656">
        <v>0</v>
      </c>
      <c r="DC3656" t="s">
        <v>134</v>
      </c>
      <c r="DD3656" t="s">
        <v>135</v>
      </c>
      <c r="DG3656">
        <v>3322875</v>
      </c>
      <c r="DI3656">
        <v>1</v>
      </c>
      <c r="DJ3656">
        <v>0</v>
      </c>
      <c r="DK3656">
        <v>0</v>
      </c>
      <c r="DL3656">
        <v>0</v>
      </c>
      <c r="DM3656">
        <v>0</v>
      </c>
      <c r="DN3656">
        <v>0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3">
      <c r="A3657" t="str">
        <f>"05/01/2025 15:14:42.057"</f>
        <v>05/01/2025 15:14:42.057</v>
      </c>
      <c r="C3657" t="str">
        <f t="shared" si="1444"/>
        <v>FFDFD3C0</v>
      </c>
      <c r="D3657" t="s">
        <v>145</v>
      </c>
      <c r="E3657" t="str">
        <f>"09"</f>
        <v>09</v>
      </c>
      <c r="H3657">
        <v>51</v>
      </c>
      <c r="I3657" t="s">
        <v>147</v>
      </c>
      <c r="J3657" t="s">
        <v>138</v>
      </c>
      <c r="K3657">
        <v>0</v>
      </c>
      <c r="L3657">
        <v>3</v>
      </c>
      <c r="M3657">
        <v>0</v>
      </c>
      <c r="N3657">
        <v>2</v>
      </c>
      <c r="O3657">
        <v>0</v>
      </c>
      <c r="P3657">
        <v>1</v>
      </c>
      <c r="Q3657">
        <v>0</v>
      </c>
      <c r="R3657" t="s">
        <v>127</v>
      </c>
      <c r="S3657" t="str">
        <f t="shared" si="1450"/>
        <v>15:14:41.000</v>
      </c>
      <c r="T3657" t="str">
        <f t="shared" si="1450"/>
        <v>15:14:41.000</v>
      </c>
      <c r="U3657" t="str">
        <f t="shared" si="1446"/>
        <v>A68FCB</v>
      </c>
      <c r="V3657">
        <v>0</v>
      </c>
      <c r="W3657">
        <v>0</v>
      </c>
      <c r="X3657">
        <v>2</v>
      </c>
      <c r="Y3657">
        <v>0</v>
      </c>
      <c r="AA3657">
        <v>1</v>
      </c>
      <c r="AB3657">
        <v>8</v>
      </c>
      <c r="AC3657">
        <v>3</v>
      </c>
      <c r="AD3657">
        <v>0</v>
      </c>
      <c r="AE3657">
        <v>9</v>
      </c>
      <c r="AF3657" t="s">
        <v>138</v>
      </c>
      <c r="AG3657">
        <v>0</v>
      </c>
      <c r="AH3657">
        <v>3</v>
      </c>
      <c r="AI3657">
        <v>2</v>
      </c>
      <c r="AJ3657">
        <v>0</v>
      </c>
      <c r="AK3657" t="s">
        <v>1173</v>
      </c>
      <c r="AL3657">
        <v>39.158963999999997</v>
      </c>
      <c r="AM3657" t="s">
        <v>1170</v>
      </c>
      <c r="AN3657">
        <v>-121.030841</v>
      </c>
      <c r="AO3657">
        <v>25</v>
      </c>
      <c r="AP3657">
        <v>4100</v>
      </c>
      <c r="AQ3657" t="s">
        <v>131</v>
      </c>
      <c r="AR3657">
        <v>0</v>
      </c>
      <c r="AS3657">
        <v>94</v>
      </c>
      <c r="AT3657">
        <v>384</v>
      </c>
      <c r="BB3657" t="str">
        <f t="shared" si="1447"/>
        <v>1200</v>
      </c>
      <c r="BC3657">
        <v>1</v>
      </c>
      <c r="BD3657" t="str">
        <f t="shared" si="1448"/>
        <v xml:space="preserve">N52156  </v>
      </c>
      <c r="BE3657">
        <v>1</v>
      </c>
      <c r="BG3657">
        <v>0</v>
      </c>
      <c r="BH3657">
        <v>0</v>
      </c>
      <c r="BI3657">
        <v>0</v>
      </c>
      <c r="BJ3657">
        <v>4125</v>
      </c>
      <c r="BK3657">
        <v>25</v>
      </c>
      <c r="BL3657" t="s">
        <v>188</v>
      </c>
      <c r="BM3657">
        <v>1</v>
      </c>
      <c r="BN3657">
        <v>1</v>
      </c>
      <c r="BO3657">
        <v>0</v>
      </c>
      <c r="BP3657">
        <v>0</v>
      </c>
      <c r="BS3657">
        <v>0</v>
      </c>
      <c r="BT3657">
        <v>0</v>
      </c>
      <c r="BU3657">
        <v>0</v>
      </c>
      <c r="CE3657" t="str">
        <f t="shared" si="1451"/>
        <v>15:14:41.842</v>
      </c>
      <c r="CF3657">
        <v>842239224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4</v>
      </c>
      <c r="CY3657">
        <v>7</v>
      </c>
      <c r="CZ3657" t="s">
        <v>133</v>
      </c>
      <c r="DA3657">
        <v>275</v>
      </c>
      <c r="DB3657">
        <v>0</v>
      </c>
      <c r="DC3657" t="s">
        <v>134</v>
      </c>
      <c r="DD3657" t="s">
        <v>135</v>
      </c>
      <c r="DG3657">
        <v>3322875</v>
      </c>
      <c r="DI3657">
        <v>1</v>
      </c>
      <c r="DJ3657">
        <v>0</v>
      </c>
      <c r="DK3657">
        <v>1</v>
      </c>
      <c r="DL3657">
        <v>0</v>
      </c>
      <c r="DM3657">
        <v>0</v>
      </c>
      <c r="DN3657">
        <v>0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3">
      <c r="A3658" t="str">
        <f>"05/01/2025 15:14:42.060"</f>
        <v>05/01/2025 15:14:42.060</v>
      </c>
      <c r="C3658" t="str">
        <f t="shared" si="1444"/>
        <v>FFDFD3C0</v>
      </c>
      <c r="D3658" t="s">
        <v>145</v>
      </c>
      <c r="E3658" t="str">
        <f>"05"</f>
        <v>05</v>
      </c>
      <c r="H3658">
        <v>47</v>
      </c>
      <c r="I3658" t="s">
        <v>146</v>
      </c>
      <c r="J3658" t="s">
        <v>138</v>
      </c>
      <c r="K3658">
        <v>0</v>
      </c>
      <c r="L3658">
        <v>3</v>
      </c>
      <c r="M3658">
        <v>0</v>
      </c>
      <c r="N3658">
        <v>2</v>
      </c>
      <c r="O3658">
        <v>0</v>
      </c>
      <c r="P3658">
        <v>1</v>
      </c>
      <c r="Q3658">
        <v>0</v>
      </c>
      <c r="R3658" t="s">
        <v>127</v>
      </c>
      <c r="S3658" t="str">
        <f t="shared" si="1450"/>
        <v>15:14:41.000</v>
      </c>
      <c r="T3658" t="str">
        <f t="shared" si="1450"/>
        <v>15:14:41.000</v>
      </c>
      <c r="U3658" t="str">
        <f t="shared" si="1446"/>
        <v>A68FCB</v>
      </c>
      <c r="V3658">
        <v>0</v>
      </c>
      <c r="W3658">
        <v>0</v>
      </c>
      <c r="X3658">
        <v>2</v>
      </c>
      <c r="Y3658">
        <v>0</v>
      </c>
      <c r="AA3658">
        <v>1</v>
      </c>
      <c r="AB3658">
        <v>8</v>
      </c>
      <c r="AC3658">
        <v>3</v>
      </c>
      <c r="AD3658">
        <v>0</v>
      </c>
      <c r="AE3658">
        <v>9</v>
      </c>
      <c r="AF3658" t="s">
        <v>138</v>
      </c>
      <c r="AG3658">
        <v>0</v>
      </c>
      <c r="AH3658">
        <v>3</v>
      </c>
      <c r="AI3658">
        <v>2</v>
      </c>
      <c r="AJ3658">
        <v>0</v>
      </c>
      <c r="AK3658" t="s">
        <v>1173</v>
      </c>
      <c r="AL3658">
        <v>39.158963999999997</v>
      </c>
      <c r="AM3658" t="s">
        <v>1170</v>
      </c>
      <c r="AN3658">
        <v>-121.030841</v>
      </c>
      <c r="AO3658">
        <v>25</v>
      </c>
      <c r="AP3658">
        <v>4100</v>
      </c>
      <c r="AQ3658" t="s">
        <v>131</v>
      </c>
      <c r="AR3658">
        <v>0</v>
      </c>
      <c r="AS3658">
        <v>94</v>
      </c>
      <c r="AT3658">
        <v>384</v>
      </c>
      <c r="BB3658" t="str">
        <f t="shared" si="1447"/>
        <v>1200</v>
      </c>
      <c r="BC3658">
        <v>1</v>
      </c>
      <c r="BD3658" t="str">
        <f t="shared" si="1448"/>
        <v xml:space="preserve">N52156  </v>
      </c>
      <c r="BE3658">
        <v>1</v>
      </c>
      <c r="BG3658">
        <v>0</v>
      </c>
      <c r="BH3658">
        <v>0</v>
      </c>
      <c r="BI3658">
        <v>0</v>
      </c>
      <c r="BJ3658">
        <v>4125</v>
      </c>
      <c r="BK3658">
        <v>25</v>
      </c>
      <c r="BL3658" t="s">
        <v>188</v>
      </c>
      <c r="BM3658">
        <v>1</v>
      </c>
      <c r="BN3658">
        <v>1</v>
      </c>
      <c r="BO3658">
        <v>0</v>
      </c>
      <c r="BP3658">
        <v>0</v>
      </c>
      <c r="BS3658">
        <v>0</v>
      </c>
      <c r="BT3658">
        <v>0</v>
      </c>
      <c r="BU3658">
        <v>0</v>
      </c>
      <c r="CE3658" t="str">
        <f t="shared" si="1451"/>
        <v>15:14:41.842</v>
      </c>
      <c r="CF3658">
        <v>842239224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4</v>
      </c>
      <c r="CY3658">
        <v>7</v>
      </c>
      <c r="CZ3658" t="s">
        <v>133</v>
      </c>
      <c r="DA3658">
        <v>275</v>
      </c>
      <c r="DB3658">
        <v>0</v>
      </c>
      <c r="DC3658" t="s">
        <v>134</v>
      </c>
      <c r="DD3658" t="s">
        <v>135</v>
      </c>
      <c r="DG3658">
        <v>3322875</v>
      </c>
      <c r="DI3658">
        <v>1</v>
      </c>
      <c r="DJ3658">
        <v>0</v>
      </c>
      <c r="DK3658">
        <v>1</v>
      </c>
      <c r="DL3658">
        <v>0</v>
      </c>
      <c r="DM3658">
        <v>0</v>
      </c>
      <c r="DN3658">
        <v>0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3">
      <c r="A3659" t="str">
        <f>"05/01/2025 15:14:42.072"</f>
        <v>05/01/2025 15:14:42.072</v>
      </c>
      <c r="C3659" t="str">
        <f t="shared" si="1444"/>
        <v>FFDFD3C0</v>
      </c>
      <c r="D3659" t="s">
        <v>136</v>
      </c>
      <c r="E3659" t="str">
        <f>"20"</f>
        <v>20</v>
      </c>
      <c r="H3659">
        <v>400</v>
      </c>
      <c r="I3659" t="s">
        <v>137</v>
      </c>
      <c r="J3659" t="s">
        <v>138</v>
      </c>
      <c r="K3659">
        <v>0</v>
      </c>
      <c r="L3659">
        <v>3</v>
      </c>
      <c r="M3659">
        <v>0</v>
      </c>
      <c r="N3659">
        <v>2</v>
      </c>
      <c r="O3659">
        <v>0</v>
      </c>
      <c r="P3659">
        <v>1</v>
      </c>
      <c r="Q3659">
        <v>0</v>
      </c>
      <c r="R3659" t="s">
        <v>127</v>
      </c>
      <c r="S3659" t="str">
        <f t="shared" si="1450"/>
        <v>15:14:41.000</v>
      </c>
      <c r="T3659" t="str">
        <f t="shared" si="1450"/>
        <v>15:14:41.000</v>
      </c>
      <c r="U3659" t="str">
        <f t="shared" si="1446"/>
        <v>A68FCB</v>
      </c>
      <c r="V3659">
        <v>0</v>
      </c>
      <c r="W3659">
        <v>0</v>
      </c>
      <c r="X3659">
        <v>2</v>
      </c>
      <c r="Y3659">
        <v>0</v>
      </c>
      <c r="AA3659">
        <v>1</v>
      </c>
      <c r="AB3659">
        <v>8</v>
      </c>
      <c r="AC3659">
        <v>3</v>
      </c>
      <c r="AD3659">
        <v>0</v>
      </c>
      <c r="AE3659">
        <v>9</v>
      </c>
      <c r="AF3659" t="s">
        <v>138</v>
      </c>
      <c r="AG3659">
        <v>0</v>
      </c>
      <c r="AH3659">
        <v>3</v>
      </c>
      <c r="AI3659">
        <v>2</v>
      </c>
      <c r="AJ3659">
        <v>0</v>
      </c>
      <c r="AK3659" t="s">
        <v>1173</v>
      </c>
      <c r="AL3659">
        <v>39.158963999999997</v>
      </c>
      <c r="AM3659" t="s">
        <v>1170</v>
      </c>
      <c r="AN3659">
        <v>-121.030841</v>
      </c>
      <c r="AO3659">
        <v>25</v>
      </c>
      <c r="AP3659">
        <v>4100</v>
      </c>
      <c r="AQ3659" t="s">
        <v>131</v>
      </c>
      <c r="AR3659">
        <v>0</v>
      </c>
      <c r="AS3659">
        <v>94</v>
      </c>
      <c r="AT3659">
        <v>384</v>
      </c>
      <c r="BB3659" t="str">
        <f t="shared" si="1447"/>
        <v>1200</v>
      </c>
      <c r="BC3659">
        <v>1</v>
      </c>
      <c r="BD3659" t="str">
        <f t="shared" si="1448"/>
        <v xml:space="preserve">N52156  </v>
      </c>
      <c r="BE3659">
        <v>1</v>
      </c>
      <c r="BG3659">
        <v>0</v>
      </c>
      <c r="BH3659">
        <v>0</v>
      </c>
      <c r="BI3659">
        <v>0</v>
      </c>
      <c r="BJ3659">
        <v>4125</v>
      </c>
      <c r="BK3659">
        <v>25</v>
      </c>
      <c r="BL3659" t="s">
        <v>188</v>
      </c>
      <c r="BM3659">
        <v>1</v>
      </c>
      <c r="BN3659">
        <v>1</v>
      </c>
      <c r="BO3659">
        <v>0</v>
      </c>
      <c r="BP3659">
        <v>0</v>
      </c>
      <c r="BS3659">
        <v>0</v>
      </c>
      <c r="BT3659">
        <v>0</v>
      </c>
      <c r="BU3659">
        <v>0</v>
      </c>
      <c r="CE3659" t="str">
        <f t="shared" si="1451"/>
        <v>15:14:41.842</v>
      </c>
      <c r="CF3659">
        <v>842239224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4</v>
      </c>
      <c r="CY3659">
        <v>7</v>
      </c>
      <c r="CZ3659" t="s">
        <v>133</v>
      </c>
      <c r="DA3659">
        <v>275</v>
      </c>
      <c r="DB3659">
        <v>0</v>
      </c>
      <c r="DC3659" t="s">
        <v>134</v>
      </c>
      <c r="DD3659" t="s">
        <v>135</v>
      </c>
      <c r="DG3659">
        <v>3322875</v>
      </c>
      <c r="DI3659">
        <v>1</v>
      </c>
      <c r="DJ3659">
        <v>0</v>
      </c>
      <c r="DK3659">
        <v>1</v>
      </c>
      <c r="DL3659">
        <v>0</v>
      </c>
      <c r="DM3659">
        <v>0</v>
      </c>
      <c r="DN3659">
        <v>0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3">
      <c r="A3660" t="str">
        <f>"05/01/2025 15:14:42.088"</f>
        <v>05/01/2025 15:14:42.088</v>
      </c>
      <c r="C3660" t="str">
        <f t="shared" si="1444"/>
        <v>FFDFD3C0</v>
      </c>
      <c r="D3660" t="s">
        <v>143</v>
      </c>
      <c r="E3660" t="str">
        <f>"05"</f>
        <v>05</v>
      </c>
      <c r="H3660">
        <v>172</v>
      </c>
      <c r="I3660" t="s">
        <v>141</v>
      </c>
      <c r="J3660" t="s">
        <v>144</v>
      </c>
      <c r="K3660">
        <v>0</v>
      </c>
      <c r="L3660">
        <v>3</v>
      </c>
      <c r="M3660">
        <v>0</v>
      </c>
      <c r="N3660">
        <v>2</v>
      </c>
      <c r="O3660">
        <v>0</v>
      </c>
      <c r="P3660">
        <v>1</v>
      </c>
      <c r="Q3660">
        <v>0</v>
      </c>
      <c r="R3660" t="s">
        <v>127</v>
      </c>
      <c r="S3660" t="str">
        <f t="shared" si="1450"/>
        <v>15:14:41.000</v>
      </c>
      <c r="T3660" t="str">
        <f t="shared" si="1450"/>
        <v>15:14:41.000</v>
      </c>
      <c r="U3660" t="str">
        <f t="shared" si="1446"/>
        <v>A68FCB</v>
      </c>
      <c r="V3660">
        <v>0</v>
      </c>
      <c r="W3660">
        <v>0</v>
      </c>
      <c r="X3660">
        <v>2</v>
      </c>
      <c r="Y3660">
        <v>0</v>
      </c>
      <c r="AA3660">
        <v>1</v>
      </c>
      <c r="AB3660">
        <v>8</v>
      </c>
      <c r="AC3660">
        <v>3</v>
      </c>
      <c r="AD3660">
        <v>0</v>
      </c>
      <c r="AE3660">
        <v>9</v>
      </c>
      <c r="AF3660" t="s">
        <v>138</v>
      </c>
      <c r="AG3660">
        <v>0</v>
      </c>
      <c r="AH3660">
        <v>3</v>
      </c>
      <c r="AI3660">
        <v>2</v>
      </c>
      <c r="AJ3660">
        <v>0</v>
      </c>
      <c r="AK3660" t="s">
        <v>1173</v>
      </c>
      <c r="AL3660">
        <v>39.158963999999997</v>
      </c>
      <c r="AM3660" t="s">
        <v>1170</v>
      </c>
      <c r="AN3660">
        <v>-121.030841</v>
      </c>
      <c r="AO3660">
        <v>25</v>
      </c>
      <c r="AP3660">
        <v>4100</v>
      </c>
      <c r="AQ3660" t="s">
        <v>131</v>
      </c>
      <c r="AR3660">
        <v>0</v>
      </c>
      <c r="AS3660">
        <v>94</v>
      </c>
      <c r="AT3660">
        <v>384</v>
      </c>
      <c r="BB3660" t="str">
        <f t="shared" si="1447"/>
        <v>1200</v>
      </c>
      <c r="BC3660">
        <v>1</v>
      </c>
      <c r="BD3660" t="str">
        <f t="shared" si="1448"/>
        <v xml:space="preserve">N52156  </v>
      </c>
      <c r="BE3660">
        <v>1</v>
      </c>
      <c r="BG3660">
        <v>0</v>
      </c>
      <c r="BH3660">
        <v>0</v>
      </c>
      <c r="BI3660">
        <v>0</v>
      </c>
      <c r="BJ3660">
        <v>4125</v>
      </c>
      <c r="BK3660">
        <v>25</v>
      </c>
      <c r="BL3660" t="s">
        <v>188</v>
      </c>
      <c r="BM3660">
        <v>1</v>
      </c>
      <c r="BN3660">
        <v>1</v>
      </c>
      <c r="BO3660">
        <v>0</v>
      </c>
      <c r="BP3660">
        <v>0</v>
      </c>
      <c r="BS3660">
        <v>0</v>
      </c>
      <c r="BT3660">
        <v>0</v>
      </c>
      <c r="BU3660">
        <v>0</v>
      </c>
      <c r="CE3660" t="str">
        <f t="shared" si="1451"/>
        <v>15:14:41.842</v>
      </c>
      <c r="CF3660">
        <v>842239224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4</v>
      </c>
      <c r="CY3660">
        <v>7</v>
      </c>
      <c r="CZ3660" t="s">
        <v>133</v>
      </c>
      <c r="DA3660">
        <v>275</v>
      </c>
      <c r="DB3660">
        <v>0</v>
      </c>
      <c r="DC3660" t="s">
        <v>134</v>
      </c>
      <c r="DD3660" t="s">
        <v>135</v>
      </c>
      <c r="DG3660">
        <v>3322875</v>
      </c>
      <c r="DI3660">
        <v>1</v>
      </c>
      <c r="DJ3660">
        <v>0</v>
      </c>
      <c r="DK3660">
        <v>1</v>
      </c>
      <c r="DL3660">
        <v>0</v>
      </c>
      <c r="DM3660">
        <v>0</v>
      </c>
      <c r="DN3660">
        <v>0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3">
      <c r="A3661" t="str">
        <f>"05/01/2025 15:14:42.095"</f>
        <v>05/01/2025 15:14:42.095</v>
      </c>
      <c r="C3661" t="str">
        <f t="shared" si="1444"/>
        <v>FFDFD3C0</v>
      </c>
      <c r="D3661" t="s">
        <v>140</v>
      </c>
      <c r="E3661" t="str">
        <f>"13"</f>
        <v>13</v>
      </c>
      <c r="F3661">
        <v>1019</v>
      </c>
      <c r="G3661" t="s">
        <v>141</v>
      </c>
      <c r="J3661" t="s">
        <v>142</v>
      </c>
      <c r="K3661">
        <v>0</v>
      </c>
      <c r="L3661">
        <v>3</v>
      </c>
      <c r="M3661">
        <v>0</v>
      </c>
      <c r="N3661">
        <v>2</v>
      </c>
      <c r="O3661">
        <v>0</v>
      </c>
      <c r="P3661">
        <v>1</v>
      </c>
      <c r="Q3661">
        <v>0</v>
      </c>
      <c r="R3661" t="s">
        <v>127</v>
      </c>
      <c r="S3661" t="str">
        <f t="shared" si="1450"/>
        <v>15:14:41.000</v>
      </c>
      <c r="T3661" t="str">
        <f t="shared" si="1450"/>
        <v>15:14:41.000</v>
      </c>
      <c r="U3661" t="str">
        <f t="shared" si="1446"/>
        <v>A68FCB</v>
      </c>
      <c r="V3661">
        <v>0</v>
      </c>
      <c r="W3661">
        <v>0</v>
      </c>
      <c r="X3661">
        <v>2</v>
      </c>
      <c r="Y3661">
        <v>0</v>
      </c>
      <c r="AA3661">
        <v>1</v>
      </c>
      <c r="AB3661">
        <v>8</v>
      </c>
      <c r="AC3661">
        <v>3</v>
      </c>
      <c r="AD3661">
        <v>0</v>
      </c>
      <c r="AE3661">
        <v>9</v>
      </c>
      <c r="AF3661" t="s">
        <v>138</v>
      </c>
      <c r="AG3661">
        <v>0</v>
      </c>
      <c r="AH3661">
        <v>3</v>
      </c>
      <c r="AI3661">
        <v>2</v>
      </c>
      <c r="AJ3661">
        <v>0</v>
      </c>
      <c r="AK3661" t="s">
        <v>1173</v>
      </c>
      <c r="AL3661">
        <v>39.158963999999997</v>
      </c>
      <c r="AM3661" t="s">
        <v>1170</v>
      </c>
      <c r="AN3661">
        <v>-121.030841</v>
      </c>
      <c r="AO3661">
        <v>25</v>
      </c>
      <c r="AP3661">
        <v>4100</v>
      </c>
      <c r="AQ3661" t="s">
        <v>131</v>
      </c>
      <c r="AR3661">
        <v>0</v>
      </c>
      <c r="AS3661">
        <v>94</v>
      </c>
      <c r="AT3661">
        <v>384</v>
      </c>
      <c r="BB3661" t="str">
        <f t="shared" si="1447"/>
        <v>1200</v>
      </c>
      <c r="BC3661">
        <v>1</v>
      </c>
      <c r="BD3661" t="str">
        <f t="shared" si="1448"/>
        <v xml:space="preserve">N52156  </v>
      </c>
      <c r="BE3661">
        <v>1</v>
      </c>
      <c r="BG3661">
        <v>0</v>
      </c>
      <c r="BH3661">
        <v>0</v>
      </c>
      <c r="BI3661">
        <v>0</v>
      </c>
      <c r="BJ3661">
        <v>4125</v>
      </c>
      <c r="BK3661">
        <v>25</v>
      </c>
      <c r="BL3661" t="s">
        <v>188</v>
      </c>
      <c r="BM3661">
        <v>1</v>
      </c>
      <c r="BN3661">
        <v>1</v>
      </c>
      <c r="BO3661">
        <v>0</v>
      </c>
      <c r="BP3661">
        <v>0</v>
      </c>
      <c r="BS3661">
        <v>0</v>
      </c>
      <c r="BT3661">
        <v>0</v>
      </c>
      <c r="BU3661">
        <v>0</v>
      </c>
      <c r="CE3661" t="str">
        <f t="shared" si="1451"/>
        <v>15:14:41.842</v>
      </c>
      <c r="CF3661">
        <v>842239224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4</v>
      </c>
      <c r="CY3661">
        <v>7</v>
      </c>
      <c r="CZ3661" t="s">
        <v>133</v>
      </c>
      <c r="DA3661">
        <v>275</v>
      </c>
      <c r="DB3661">
        <v>0</v>
      </c>
      <c r="DC3661" t="s">
        <v>134</v>
      </c>
      <c r="DD3661" t="s">
        <v>135</v>
      </c>
      <c r="DG3661">
        <v>3322875</v>
      </c>
      <c r="DI3661">
        <v>1</v>
      </c>
      <c r="DJ3661">
        <v>0</v>
      </c>
      <c r="DK3661">
        <v>1</v>
      </c>
      <c r="DL3661">
        <v>0</v>
      </c>
      <c r="DM3661">
        <v>0</v>
      </c>
      <c r="DN3661">
        <v>0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3">
      <c r="A3662" t="str">
        <f>"05/01/2025 15:14:42.796"</f>
        <v>05/01/2025 15:14:42.796</v>
      </c>
      <c r="C3662" t="str">
        <f t="shared" si="1444"/>
        <v>FFDFD3C0</v>
      </c>
      <c r="D3662" t="s">
        <v>140</v>
      </c>
      <c r="E3662" t="str">
        <f>"13"</f>
        <v>13</v>
      </c>
      <c r="F3662">
        <v>1019</v>
      </c>
      <c r="G3662" t="s">
        <v>141</v>
      </c>
      <c r="J3662" t="s">
        <v>142</v>
      </c>
      <c r="K3662">
        <v>0</v>
      </c>
      <c r="L3662">
        <v>3</v>
      </c>
      <c r="M3662">
        <v>0</v>
      </c>
      <c r="N3662">
        <v>2</v>
      </c>
      <c r="O3662">
        <v>0</v>
      </c>
      <c r="P3662">
        <v>1</v>
      </c>
      <c r="Q3662">
        <v>0</v>
      </c>
      <c r="R3662" t="s">
        <v>127</v>
      </c>
      <c r="S3662" t="str">
        <f t="shared" ref="S3662:T3667" si="1452">"15:14:42.000"</f>
        <v>15:14:42.000</v>
      </c>
      <c r="T3662" t="str">
        <f t="shared" si="1452"/>
        <v>15:14:42.000</v>
      </c>
      <c r="U3662" t="str">
        <f t="shared" si="1446"/>
        <v>A68FCB</v>
      </c>
      <c r="V3662">
        <v>0</v>
      </c>
      <c r="W3662">
        <v>0</v>
      </c>
      <c r="X3662">
        <v>2</v>
      </c>
      <c r="Y3662">
        <v>0</v>
      </c>
      <c r="AA3662">
        <v>1</v>
      </c>
      <c r="AB3662">
        <v>8</v>
      </c>
      <c r="AC3662">
        <v>3</v>
      </c>
      <c r="AD3662">
        <v>0</v>
      </c>
      <c r="AE3662">
        <v>9</v>
      </c>
      <c r="AF3662" t="s">
        <v>138</v>
      </c>
      <c r="AG3662">
        <v>0</v>
      </c>
      <c r="AH3662">
        <v>3</v>
      </c>
      <c r="AI3662">
        <v>2</v>
      </c>
      <c r="AJ3662">
        <v>0</v>
      </c>
      <c r="AK3662" t="s">
        <v>1174</v>
      </c>
      <c r="AL3662">
        <v>39.159415000000003</v>
      </c>
      <c r="AM3662" t="s">
        <v>1170</v>
      </c>
      <c r="AN3662">
        <v>-121.030841</v>
      </c>
      <c r="AO3662">
        <v>25</v>
      </c>
      <c r="AP3662">
        <v>4100</v>
      </c>
      <c r="AQ3662" t="s">
        <v>131</v>
      </c>
      <c r="AR3662">
        <v>0</v>
      </c>
      <c r="AS3662">
        <v>93</v>
      </c>
      <c r="AT3662">
        <v>384</v>
      </c>
      <c r="BB3662" t="str">
        <f t="shared" si="1447"/>
        <v>1200</v>
      </c>
      <c r="BC3662">
        <v>1</v>
      </c>
      <c r="BD3662" t="str">
        <f t="shared" si="1448"/>
        <v xml:space="preserve">N52156  </v>
      </c>
      <c r="BE3662">
        <v>1</v>
      </c>
      <c r="BG3662">
        <v>0</v>
      </c>
      <c r="BH3662">
        <v>0</v>
      </c>
      <c r="BI3662">
        <v>0</v>
      </c>
      <c r="BJ3662">
        <v>4125</v>
      </c>
      <c r="BK3662">
        <v>25</v>
      </c>
      <c r="BL3662" t="s">
        <v>188</v>
      </c>
      <c r="BM3662">
        <v>1</v>
      </c>
      <c r="BN3662">
        <v>1</v>
      </c>
      <c r="BO3662">
        <v>0</v>
      </c>
      <c r="BP3662">
        <v>0</v>
      </c>
      <c r="BS3662">
        <v>0</v>
      </c>
      <c r="BT3662">
        <v>0</v>
      </c>
      <c r="BU3662">
        <v>0</v>
      </c>
      <c r="CE3662" t="str">
        <f t="shared" ref="CE3662:CE3667" si="1453">"15:14:42.602"</f>
        <v>15:14:42.602</v>
      </c>
      <c r="CF3662">
        <v>602488678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4</v>
      </c>
      <c r="CY3662">
        <v>7</v>
      </c>
      <c r="CZ3662" t="s">
        <v>133</v>
      </c>
      <c r="DA3662">
        <v>275</v>
      </c>
      <c r="DB3662">
        <v>0</v>
      </c>
      <c r="DC3662" t="s">
        <v>134</v>
      </c>
      <c r="DD3662" t="s">
        <v>135</v>
      </c>
      <c r="DG3662">
        <v>3322879</v>
      </c>
      <c r="DI3662">
        <v>1</v>
      </c>
      <c r="DJ3662">
        <v>0</v>
      </c>
      <c r="DK3662">
        <v>0</v>
      </c>
      <c r="DL3662">
        <v>0</v>
      </c>
      <c r="DM3662">
        <v>0</v>
      </c>
      <c r="DN3662">
        <v>0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3">
      <c r="A3663" t="str">
        <f>"05/01/2025 15:14:42.799"</f>
        <v>05/01/2025 15:14:42.799</v>
      </c>
      <c r="C3663" t="str">
        <f t="shared" si="1444"/>
        <v>FFDFD3C0</v>
      </c>
      <c r="D3663" t="s">
        <v>124</v>
      </c>
      <c r="E3663" t="str">
        <f>"06"</f>
        <v>06</v>
      </c>
      <c r="F3663">
        <v>2006</v>
      </c>
      <c r="G3663" t="s">
        <v>125</v>
      </c>
      <c r="J3663" t="s">
        <v>126</v>
      </c>
      <c r="K3663">
        <v>0</v>
      </c>
      <c r="L3663">
        <v>3</v>
      </c>
      <c r="M3663">
        <v>0</v>
      </c>
      <c r="N3663">
        <v>2</v>
      </c>
      <c r="O3663">
        <v>0</v>
      </c>
      <c r="P3663">
        <v>1</v>
      </c>
      <c r="Q3663">
        <v>0</v>
      </c>
      <c r="R3663" t="s">
        <v>127</v>
      </c>
      <c r="S3663" t="str">
        <f t="shared" si="1452"/>
        <v>15:14:42.000</v>
      </c>
      <c r="T3663" t="str">
        <f t="shared" si="1452"/>
        <v>15:14:42.000</v>
      </c>
      <c r="U3663" t="str">
        <f t="shared" si="1446"/>
        <v>A68FCB</v>
      </c>
      <c r="V3663">
        <v>0</v>
      </c>
      <c r="W3663">
        <v>0</v>
      </c>
      <c r="X3663">
        <v>2</v>
      </c>
      <c r="Y3663">
        <v>0</v>
      </c>
      <c r="AA3663">
        <v>1</v>
      </c>
      <c r="AB3663">
        <v>8</v>
      </c>
      <c r="AC3663">
        <v>3</v>
      </c>
      <c r="AD3663">
        <v>0</v>
      </c>
      <c r="AE3663">
        <v>9</v>
      </c>
      <c r="AF3663" t="s">
        <v>138</v>
      </c>
      <c r="AG3663">
        <v>0</v>
      </c>
      <c r="AH3663">
        <v>3</v>
      </c>
      <c r="AI3663">
        <v>2</v>
      </c>
      <c r="AJ3663">
        <v>0</v>
      </c>
      <c r="AK3663" t="s">
        <v>1174</v>
      </c>
      <c r="AL3663">
        <v>39.159415000000003</v>
      </c>
      <c r="AM3663" t="s">
        <v>1170</v>
      </c>
      <c r="AN3663">
        <v>-121.030841</v>
      </c>
      <c r="AO3663">
        <v>25</v>
      </c>
      <c r="AP3663">
        <v>4100</v>
      </c>
      <c r="AQ3663" t="s">
        <v>131</v>
      </c>
      <c r="AR3663">
        <v>0</v>
      </c>
      <c r="AS3663">
        <v>93</v>
      </c>
      <c r="AT3663">
        <v>384</v>
      </c>
      <c r="BB3663" t="str">
        <f t="shared" si="1447"/>
        <v>1200</v>
      </c>
      <c r="BC3663">
        <v>1</v>
      </c>
      <c r="BD3663" t="str">
        <f t="shared" si="1448"/>
        <v xml:space="preserve">N52156  </v>
      </c>
      <c r="BE3663">
        <v>1</v>
      </c>
      <c r="BG3663">
        <v>0</v>
      </c>
      <c r="BH3663">
        <v>0</v>
      </c>
      <c r="BI3663">
        <v>0</v>
      </c>
      <c r="BJ3663">
        <v>4125</v>
      </c>
      <c r="BK3663">
        <v>25</v>
      </c>
      <c r="BL3663" t="s">
        <v>188</v>
      </c>
      <c r="BM3663">
        <v>1</v>
      </c>
      <c r="BN3663">
        <v>1</v>
      </c>
      <c r="BO3663">
        <v>0</v>
      </c>
      <c r="BP3663">
        <v>0</v>
      </c>
      <c r="BS3663">
        <v>0</v>
      </c>
      <c r="BT3663">
        <v>0</v>
      </c>
      <c r="BU3663">
        <v>0</v>
      </c>
      <c r="CE3663" t="str">
        <f t="shared" si="1453"/>
        <v>15:14:42.602</v>
      </c>
      <c r="CF3663">
        <v>602488678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4</v>
      </c>
      <c r="CY3663">
        <v>7</v>
      </c>
      <c r="CZ3663" t="s">
        <v>133</v>
      </c>
      <c r="DA3663">
        <v>275</v>
      </c>
      <c r="DB3663">
        <v>0</v>
      </c>
      <c r="DC3663" t="s">
        <v>134</v>
      </c>
      <c r="DD3663" t="s">
        <v>135</v>
      </c>
      <c r="DG3663">
        <v>3322879</v>
      </c>
      <c r="DI3663">
        <v>1</v>
      </c>
      <c r="DJ3663">
        <v>0</v>
      </c>
      <c r="DK3663">
        <v>1</v>
      </c>
      <c r="DL3663">
        <v>0</v>
      </c>
      <c r="DM3663">
        <v>0</v>
      </c>
      <c r="DN3663">
        <v>0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3">
      <c r="A3664" t="str">
        <f>"05/01/2025 15:14:42.809"</f>
        <v>05/01/2025 15:14:42.809</v>
      </c>
      <c r="C3664" t="str">
        <f t="shared" si="1444"/>
        <v>FFDFD3C0</v>
      </c>
      <c r="D3664" t="s">
        <v>145</v>
      </c>
      <c r="E3664" t="str">
        <f>"09"</f>
        <v>09</v>
      </c>
      <c r="H3664">
        <v>51</v>
      </c>
      <c r="I3664" t="s">
        <v>147</v>
      </c>
      <c r="J3664" t="s">
        <v>138</v>
      </c>
      <c r="K3664">
        <v>0</v>
      </c>
      <c r="L3664">
        <v>3</v>
      </c>
      <c r="M3664">
        <v>0</v>
      </c>
      <c r="N3664">
        <v>2</v>
      </c>
      <c r="O3664">
        <v>0</v>
      </c>
      <c r="P3664">
        <v>1</v>
      </c>
      <c r="Q3664">
        <v>0</v>
      </c>
      <c r="R3664" t="s">
        <v>127</v>
      </c>
      <c r="S3664" t="str">
        <f t="shared" si="1452"/>
        <v>15:14:42.000</v>
      </c>
      <c r="T3664" t="str">
        <f t="shared" si="1452"/>
        <v>15:14:42.000</v>
      </c>
      <c r="U3664" t="str">
        <f t="shared" si="1446"/>
        <v>A68FCB</v>
      </c>
      <c r="V3664">
        <v>0</v>
      </c>
      <c r="W3664">
        <v>0</v>
      </c>
      <c r="X3664">
        <v>2</v>
      </c>
      <c r="Y3664">
        <v>0</v>
      </c>
      <c r="AA3664">
        <v>1</v>
      </c>
      <c r="AB3664">
        <v>8</v>
      </c>
      <c r="AC3664">
        <v>3</v>
      </c>
      <c r="AD3664">
        <v>0</v>
      </c>
      <c r="AE3664">
        <v>9</v>
      </c>
      <c r="AF3664" t="s">
        <v>138</v>
      </c>
      <c r="AG3664">
        <v>0</v>
      </c>
      <c r="AH3664">
        <v>3</v>
      </c>
      <c r="AI3664">
        <v>2</v>
      </c>
      <c r="AJ3664">
        <v>0</v>
      </c>
      <c r="AK3664" t="s">
        <v>1174</v>
      </c>
      <c r="AL3664">
        <v>39.159415000000003</v>
      </c>
      <c r="AM3664" t="s">
        <v>1170</v>
      </c>
      <c r="AN3664">
        <v>-121.030841</v>
      </c>
      <c r="AO3664">
        <v>25</v>
      </c>
      <c r="AP3664">
        <v>4100</v>
      </c>
      <c r="AQ3664" t="s">
        <v>131</v>
      </c>
      <c r="AR3664">
        <v>0</v>
      </c>
      <c r="AS3664">
        <v>93</v>
      </c>
      <c r="AT3664">
        <v>384</v>
      </c>
      <c r="BB3664" t="str">
        <f t="shared" si="1447"/>
        <v>1200</v>
      </c>
      <c r="BC3664">
        <v>1</v>
      </c>
      <c r="BD3664" t="str">
        <f t="shared" si="1448"/>
        <v xml:space="preserve">N52156  </v>
      </c>
      <c r="BE3664">
        <v>1</v>
      </c>
      <c r="BG3664">
        <v>0</v>
      </c>
      <c r="BH3664">
        <v>0</v>
      </c>
      <c r="BI3664">
        <v>0</v>
      </c>
      <c r="BJ3664">
        <v>4125</v>
      </c>
      <c r="BK3664">
        <v>25</v>
      </c>
      <c r="BL3664" t="s">
        <v>188</v>
      </c>
      <c r="BM3664">
        <v>1</v>
      </c>
      <c r="BN3664">
        <v>1</v>
      </c>
      <c r="BO3664">
        <v>0</v>
      </c>
      <c r="BP3664">
        <v>0</v>
      </c>
      <c r="BS3664">
        <v>0</v>
      </c>
      <c r="BT3664">
        <v>0</v>
      </c>
      <c r="BU3664">
        <v>0</v>
      </c>
      <c r="CE3664" t="str">
        <f t="shared" si="1453"/>
        <v>15:14:42.602</v>
      </c>
      <c r="CF3664">
        <v>602488678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4</v>
      </c>
      <c r="CY3664">
        <v>7</v>
      </c>
      <c r="CZ3664" t="s">
        <v>133</v>
      </c>
      <c r="DA3664">
        <v>275</v>
      </c>
      <c r="DB3664">
        <v>0</v>
      </c>
      <c r="DC3664" t="s">
        <v>134</v>
      </c>
      <c r="DD3664" t="s">
        <v>135</v>
      </c>
      <c r="DG3664">
        <v>3322879</v>
      </c>
      <c r="DI3664">
        <v>1</v>
      </c>
      <c r="DJ3664">
        <v>0</v>
      </c>
      <c r="DK3664">
        <v>1</v>
      </c>
      <c r="DL3664">
        <v>0</v>
      </c>
      <c r="DM3664">
        <v>0</v>
      </c>
      <c r="DN3664">
        <v>0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3">
      <c r="A3665" t="str">
        <f>"05/01/2025 15:14:42.811"</f>
        <v>05/01/2025 15:14:42.811</v>
      </c>
      <c r="C3665" t="str">
        <f t="shared" si="1444"/>
        <v>FFDFD3C0</v>
      </c>
      <c r="D3665" t="s">
        <v>145</v>
      </c>
      <c r="E3665" t="str">
        <f>"05"</f>
        <v>05</v>
      </c>
      <c r="H3665">
        <v>47</v>
      </c>
      <c r="I3665" t="s">
        <v>146</v>
      </c>
      <c r="J3665" t="s">
        <v>138</v>
      </c>
      <c r="K3665">
        <v>0</v>
      </c>
      <c r="L3665">
        <v>3</v>
      </c>
      <c r="M3665">
        <v>0</v>
      </c>
      <c r="N3665">
        <v>2</v>
      </c>
      <c r="O3665">
        <v>0</v>
      </c>
      <c r="P3665">
        <v>1</v>
      </c>
      <c r="Q3665">
        <v>0</v>
      </c>
      <c r="R3665" t="s">
        <v>127</v>
      </c>
      <c r="S3665" t="str">
        <f t="shared" si="1452"/>
        <v>15:14:42.000</v>
      </c>
      <c r="T3665" t="str">
        <f t="shared" si="1452"/>
        <v>15:14:42.000</v>
      </c>
      <c r="U3665" t="str">
        <f t="shared" si="1446"/>
        <v>A68FCB</v>
      </c>
      <c r="V3665">
        <v>0</v>
      </c>
      <c r="W3665">
        <v>0</v>
      </c>
      <c r="X3665">
        <v>2</v>
      </c>
      <c r="Y3665">
        <v>0</v>
      </c>
      <c r="AA3665">
        <v>1</v>
      </c>
      <c r="AB3665">
        <v>8</v>
      </c>
      <c r="AC3665">
        <v>3</v>
      </c>
      <c r="AD3665">
        <v>0</v>
      </c>
      <c r="AE3665">
        <v>9</v>
      </c>
      <c r="AF3665" t="s">
        <v>138</v>
      </c>
      <c r="AG3665">
        <v>0</v>
      </c>
      <c r="AH3665">
        <v>3</v>
      </c>
      <c r="AI3665">
        <v>2</v>
      </c>
      <c r="AJ3665">
        <v>0</v>
      </c>
      <c r="AK3665" t="s">
        <v>1174</v>
      </c>
      <c r="AL3665">
        <v>39.159415000000003</v>
      </c>
      <c r="AM3665" t="s">
        <v>1170</v>
      </c>
      <c r="AN3665">
        <v>-121.030841</v>
      </c>
      <c r="AO3665">
        <v>25</v>
      </c>
      <c r="AP3665">
        <v>4100</v>
      </c>
      <c r="AQ3665" t="s">
        <v>131</v>
      </c>
      <c r="AR3665">
        <v>0</v>
      </c>
      <c r="AS3665">
        <v>93</v>
      </c>
      <c r="AT3665">
        <v>384</v>
      </c>
      <c r="BB3665" t="str">
        <f t="shared" si="1447"/>
        <v>1200</v>
      </c>
      <c r="BC3665">
        <v>1</v>
      </c>
      <c r="BD3665" t="str">
        <f t="shared" si="1448"/>
        <v xml:space="preserve">N52156  </v>
      </c>
      <c r="BE3665">
        <v>1</v>
      </c>
      <c r="BG3665">
        <v>0</v>
      </c>
      <c r="BH3665">
        <v>0</v>
      </c>
      <c r="BI3665">
        <v>0</v>
      </c>
      <c r="BJ3665">
        <v>4125</v>
      </c>
      <c r="BK3665">
        <v>25</v>
      </c>
      <c r="BL3665" t="s">
        <v>188</v>
      </c>
      <c r="BM3665">
        <v>1</v>
      </c>
      <c r="BN3665">
        <v>1</v>
      </c>
      <c r="BO3665">
        <v>0</v>
      </c>
      <c r="BP3665">
        <v>0</v>
      </c>
      <c r="BS3665">
        <v>0</v>
      </c>
      <c r="BT3665">
        <v>0</v>
      </c>
      <c r="BU3665">
        <v>0</v>
      </c>
      <c r="CE3665" t="str">
        <f t="shared" si="1453"/>
        <v>15:14:42.602</v>
      </c>
      <c r="CF3665">
        <v>602488678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4</v>
      </c>
      <c r="CY3665">
        <v>7</v>
      </c>
      <c r="CZ3665" t="s">
        <v>133</v>
      </c>
      <c r="DA3665">
        <v>275</v>
      </c>
      <c r="DB3665">
        <v>0</v>
      </c>
      <c r="DC3665" t="s">
        <v>134</v>
      </c>
      <c r="DD3665" t="s">
        <v>135</v>
      </c>
      <c r="DG3665">
        <v>3322879</v>
      </c>
      <c r="DI3665">
        <v>1</v>
      </c>
      <c r="DJ3665">
        <v>0</v>
      </c>
      <c r="DK3665">
        <v>1</v>
      </c>
      <c r="DL3665">
        <v>0</v>
      </c>
      <c r="DM3665">
        <v>0</v>
      </c>
      <c r="DN3665">
        <v>0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3">
      <c r="A3666" t="str">
        <f>"05/01/2025 15:14:42.824"</f>
        <v>05/01/2025 15:14:42.824</v>
      </c>
      <c r="C3666" t="str">
        <f t="shared" si="1444"/>
        <v>FFDFD3C0</v>
      </c>
      <c r="D3666" t="s">
        <v>136</v>
      </c>
      <c r="E3666" t="str">
        <f>"20"</f>
        <v>20</v>
      </c>
      <c r="H3666">
        <v>400</v>
      </c>
      <c r="I3666" t="s">
        <v>137</v>
      </c>
      <c r="J3666" t="s">
        <v>138</v>
      </c>
      <c r="K3666">
        <v>0</v>
      </c>
      <c r="L3666">
        <v>3</v>
      </c>
      <c r="M3666">
        <v>0</v>
      </c>
      <c r="N3666">
        <v>2</v>
      </c>
      <c r="O3666">
        <v>0</v>
      </c>
      <c r="P3666">
        <v>1</v>
      </c>
      <c r="Q3666">
        <v>0</v>
      </c>
      <c r="R3666" t="s">
        <v>127</v>
      </c>
      <c r="S3666" t="str">
        <f t="shared" si="1452"/>
        <v>15:14:42.000</v>
      </c>
      <c r="T3666" t="str">
        <f t="shared" si="1452"/>
        <v>15:14:42.000</v>
      </c>
      <c r="U3666" t="str">
        <f t="shared" si="1446"/>
        <v>A68FCB</v>
      </c>
      <c r="V3666">
        <v>0</v>
      </c>
      <c r="W3666">
        <v>0</v>
      </c>
      <c r="X3666">
        <v>2</v>
      </c>
      <c r="Y3666">
        <v>0</v>
      </c>
      <c r="AA3666">
        <v>1</v>
      </c>
      <c r="AB3666">
        <v>8</v>
      </c>
      <c r="AC3666">
        <v>3</v>
      </c>
      <c r="AD3666">
        <v>0</v>
      </c>
      <c r="AE3666">
        <v>9</v>
      </c>
      <c r="AF3666" t="s">
        <v>138</v>
      </c>
      <c r="AG3666">
        <v>0</v>
      </c>
      <c r="AH3666">
        <v>3</v>
      </c>
      <c r="AI3666">
        <v>2</v>
      </c>
      <c r="AJ3666">
        <v>0</v>
      </c>
      <c r="AK3666" t="s">
        <v>1174</v>
      </c>
      <c r="AL3666">
        <v>39.159415000000003</v>
      </c>
      <c r="AM3666" t="s">
        <v>1170</v>
      </c>
      <c r="AN3666">
        <v>-121.030841</v>
      </c>
      <c r="AO3666">
        <v>25</v>
      </c>
      <c r="AP3666">
        <v>4100</v>
      </c>
      <c r="AQ3666" t="s">
        <v>131</v>
      </c>
      <c r="AR3666">
        <v>0</v>
      </c>
      <c r="AS3666">
        <v>93</v>
      </c>
      <c r="AT3666">
        <v>384</v>
      </c>
      <c r="BB3666" t="str">
        <f t="shared" si="1447"/>
        <v>1200</v>
      </c>
      <c r="BC3666">
        <v>1</v>
      </c>
      <c r="BD3666" t="str">
        <f t="shared" si="1448"/>
        <v xml:space="preserve">N52156  </v>
      </c>
      <c r="BE3666">
        <v>1</v>
      </c>
      <c r="BG3666">
        <v>0</v>
      </c>
      <c r="BH3666">
        <v>0</v>
      </c>
      <c r="BI3666">
        <v>0</v>
      </c>
      <c r="BJ3666">
        <v>4125</v>
      </c>
      <c r="BK3666">
        <v>25</v>
      </c>
      <c r="BL3666" t="s">
        <v>188</v>
      </c>
      <c r="BM3666">
        <v>1</v>
      </c>
      <c r="BN3666">
        <v>1</v>
      </c>
      <c r="BO3666">
        <v>0</v>
      </c>
      <c r="BP3666">
        <v>0</v>
      </c>
      <c r="BS3666">
        <v>0</v>
      </c>
      <c r="BT3666">
        <v>0</v>
      </c>
      <c r="BU3666">
        <v>0</v>
      </c>
      <c r="CE3666" t="str">
        <f t="shared" si="1453"/>
        <v>15:14:42.602</v>
      </c>
      <c r="CF3666">
        <v>602488678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4</v>
      </c>
      <c r="CY3666">
        <v>7</v>
      </c>
      <c r="CZ3666" t="s">
        <v>133</v>
      </c>
      <c r="DA3666">
        <v>275</v>
      </c>
      <c r="DB3666">
        <v>0</v>
      </c>
      <c r="DC3666" t="s">
        <v>134</v>
      </c>
      <c r="DD3666" t="s">
        <v>135</v>
      </c>
      <c r="DG3666">
        <v>3322879</v>
      </c>
      <c r="DI3666">
        <v>1</v>
      </c>
      <c r="DJ3666">
        <v>0</v>
      </c>
      <c r="DK3666">
        <v>1</v>
      </c>
      <c r="DL3666">
        <v>0</v>
      </c>
      <c r="DM3666">
        <v>0</v>
      </c>
      <c r="DN3666">
        <v>0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3">
      <c r="A3667" t="str">
        <f>"05/01/2025 15:14:42.839"</f>
        <v>05/01/2025 15:14:42.839</v>
      </c>
      <c r="C3667" t="str">
        <f t="shared" si="1444"/>
        <v>FFDFD3C0</v>
      </c>
      <c r="D3667" t="s">
        <v>143</v>
      </c>
      <c r="E3667" t="str">
        <f>"05"</f>
        <v>05</v>
      </c>
      <c r="H3667">
        <v>172</v>
      </c>
      <c r="I3667" t="s">
        <v>141</v>
      </c>
      <c r="J3667" t="s">
        <v>144</v>
      </c>
      <c r="K3667">
        <v>0</v>
      </c>
      <c r="L3667">
        <v>3</v>
      </c>
      <c r="M3667">
        <v>0</v>
      </c>
      <c r="N3667">
        <v>2</v>
      </c>
      <c r="O3667">
        <v>0</v>
      </c>
      <c r="P3667">
        <v>1</v>
      </c>
      <c r="Q3667">
        <v>0</v>
      </c>
      <c r="R3667" t="s">
        <v>127</v>
      </c>
      <c r="S3667" t="str">
        <f t="shared" si="1452"/>
        <v>15:14:42.000</v>
      </c>
      <c r="T3667" t="str">
        <f t="shared" si="1452"/>
        <v>15:14:42.000</v>
      </c>
      <c r="U3667" t="str">
        <f t="shared" si="1446"/>
        <v>A68FCB</v>
      </c>
      <c r="V3667">
        <v>0</v>
      </c>
      <c r="W3667">
        <v>0</v>
      </c>
      <c r="X3667">
        <v>2</v>
      </c>
      <c r="Y3667">
        <v>0</v>
      </c>
      <c r="AA3667">
        <v>1</v>
      </c>
      <c r="AB3667">
        <v>8</v>
      </c>
      <c r="AC3667">
        <v>3</v>
      </c>
      <c r="AD3667">
        <v>0</v>
      </c>
      <c r="AE3667">
        <v>9</v>
      </c>
      <c r="AF3667" t="s">
        <v>138</v>
      </c>
      <c r="AG3667">
        <v>0</v>
      </c>
      <c r="AH3667">
        <v>3</v>
      </c>
      <c r="AI3667">
        <v>2</v>
      </c>
      <c r="AJ3667">
        <v>0</v>
      </c>
      <c r="AK3667" t="s">
        <v>1174</v>
      </c>
      <c r="AL3667">
        <v>39.159415000000003</v>
      </c>
      <c r="AM3667" t="s">
        <v>1170</v>
      </c>
      <c r="AN3667">
        <v>-121.030841</v>
      </c>
      <c r="AO3667">
        <v>25</v>
      </c>
      <c r="AP3667">
        <v>4100</v>
      </c>
      <c r="AQ3667" t="s">
        <v>131</v>
      </c>
      <c r="AR3667">
        <v>0</v>
      </c>
      <c r="AS3667">
        <v>93</v>
      </c>
      <c r="AT3667">
        <v>384</v>
      </c>
      <c r="BB3667" t="str">
        <f t="shared" si="1447"/>
        <v>1200</v>
      </c>
      <c r="BC3667">
        <v>1</v>
      </c>
      <c r="BD3667" t="str">
        <f t="shared" si="1448"/>
        <v xml:space="preserve">N52156  </v>
      </c>
      <c r="BE3667">
        <v>1</v>
      </c>
      <c r="BG3667">
        <v>0</v>
      </c>
      <c r="BH3667">
        <v>0</v>
      </c>
      <c r="BI3667">
        <v>0</v>
      </c>
      <c r="BJ3667">
        <v>4125</v>
      </c>
      <c r="BK3667">
        <v>25</v>
      </c>
      <c r="BL3667" t="s">
        <v>188</v>
      </c>
      <c r="BM3667">
        <v>1</v>
      </c>
      <c r="BN3667">
        <v>1</v>
      </c>
      <c r="BO3667">
        <v>0</v>
      </c>
      <c r="BP3667">
        <v>0</v>
      </c>
      <c r="BS3667">
        <v>0</v>
      </c>
      <c r="BT3667">
        <v>0</v>
      </c>
      <c r="BU3667">
        <v>0</v>
      </c>
      <c r="CE3667" t="str">
        <f t="shared" si="1453"/>
        <v>15:14:42.602</v>
      </c>
      <c r="CF3667">
        <v>602488678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4</v>
      </c>
      <c r="CY3667">
        <v>7</v>
      </c>
      <c r="CZ3667" t="s">
        <v>133</v>
      </c>
      <c r="DA3667">
        <v>275</v>
      </c>
      <c r="DB3667">
        <v>0</v>
      </c>
      <c r="DC3667" t="s">
        <v>134</v>
      </c>
      <c r="DD3667" t="s">
        <v>135</v>
      </c>
      <c r="DG3667">
        <v>3322879</v>
      </c>
      <c r="DI3667">
        <v>1</v>
      </c>
      <c r="DJ3667">
        <v>0</v>
      </c>
      <c r="DK3667">
        <v>1</v>
      </c>
      <c r="DL3667">
        <v>0</v>
      </c>
      <c r="DM3667">
        <v>0</v>
      </c>
      <c r="DN3667">
        <v>0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3">
      <c r="A3668" t="str">
        <f>"05/01/2025 15:14:44.162"</f>
        <v>05/01/2025 15:14:44.162</v>
      </c>
      <c r="C3668" t="str">
        <f t="shared" si="1444"/>
        <v>FFDFD3C0</v>
      </c>
      <c r="D3668" t="s">
        <v>145</v>
      </c>
      <c r="E3668" t="str">
        <f>"09"</f>
        <v>09</v>
      </c>
      <c r="H3668">
        <v>51</v>
      </c>
      <c r="I3668" t="s">
        <v>147</v>
      </c>
      <c r="J3668" t="s">
        <v>138</v>
      </c>
      <c r="K3668">
        <v>0</v>
      </c>
      <c r="L3668">
        <v>3</v>
      </c>
      <c r="M3668">
        <v>0</v>
      </c>
      <c r="N3668">
        <v>2</v>
      </c>
      <c r="O3668">
        <v>0</v>
      </c>
      <c r="P3668">
        <v>1</v>
      </c>
      <c r="Q3668">
        <v>0</v>
      </c>
      <c r="R3668" t="s">
        <v>127</v>
      </c>
      <c r="S3668" t="str">
        <f t="shared" ref="S3668:T3673" si="1454">"15:14:43.000"</f>
        <v>15:14:43.000</v>
      </c>
      <c r="T3668" t="str">
        <f t="shared" si="1454"/>
        <v>15:14:43.000</v>
      </c>
      <c r="U3668" t="str">
        <f t="shared" si="1446"/>
        <v>A68FCB</v>
      </c>
      <c r="V3668">
        <v>0</v>
      </c>
      <c r="W3668">
        <v>0</v>
      </c>
      <c r="X3668">
        <v>2</v>
      </c>
      <c r="Y3668">
        <v>0</v>
      </c>
      <c r="AA3668">
        <v>1</v>
      </c>
      <c r="AB3668">
        <v>8</v>
      </c>
      <c r="AC3668">
        <v>3</v>
      </c>
      <c r="AD3668">
        <v>0</v>
      </c>
      <c r="AE3668">
        <v>9</v>
      </c>
      <c r="AF3668" t="s">
        <v>138</v>
      </c>
      <c r="AG3668">
        <v>0</v>
      </c>
      <c r="AH3668">
        <v>3</v>
      </c>
      <c r="AI3668">
        <v>2</v>
      </c>
      <c r="AJ3668">
        <v>0</v>
      </c>
      <c r="AK3668" t="s">
        <v>1175</v>
      </c>
      <c r="AL3668">
        <v>39.159844</v>
      </c>
      <c r="AM3668" t="s">
        <v>1170</v>
      </c>
      <c r="AN3668">
        <v>-121.030841</v>
      </c>
      <c r="AO3668">
        <v>25</v>
      </c>
      <c r="AP3668">
        <v>4100</v>
      </c>
      <c r="AQ3668" t="s">
        <v>131</v>
      </c>
      <c r="AR3668">
        <v>0</v>
      </c>
      <c r="AS3668">
        <v>93</v>
      </c>
      <c r="AT3668">
        <v>448</v>
      </c>
      <c r="BB3668" t="str">
        <f t="shared" si="1447"/>
        <v>1200</v>
      </c>
      <c r="BC3668">
        <v>1</v>
      </c>
      <c r="BD3668" t="str">
        <f t="shared" si="1448"/>
        <v xml:space="preserve">N52156  </v>
      </c>
      <c r="BE3668">
        <v>1</v>
      </c>
      <c r="BG3668">
        <v>0</v>
      </c>
      <c r="BH3668">
        <v>0</v>
      </c>
      <c r="BI3668">
        <v>0</v>
      </c>
      <c r="BJ3668">
        <v>4125</v>
      </c>
      <c r="BK3668">
        <v>25</v>
      </c>
      <c r="BL3668" t="s">
        <v>188</v>
      </c>
      <c r="BM3668">
        <v>1</v>
      </c>
      <c r="BN3668">
        <v>1</v>
      </c>
      <c r="BO3668">
        <v>0</v>
      </c>
      <c r="BP3668">
        <v>0</v>
      </c>
      <c r="BS3668">
        <v>0</v>
      </c>
      <c r="BT3668">
        <v>0</v>
      </c>
      <c r="BU3668">
        <v>0</v>
      </c>
      <c r="CE3668" t="str">
        <f t="shared" ref="CE3668:CE3673" si="1455">"15:14:43.963"</f>
        <v>15:14:43.963</v>
      </c>
      <c r="CF3668">
        <v>962989704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5</v>
      </c>
      <c r="CY3668">
        <v>7</v>
      </c>
      <c r="CZ3668" t="s">
        <v>133</v>
      </c>
      <c r="DA3668">
        <v>275</v>
      </c>
      <c r="DB3668">
        <v>0</v>
      </c>
      <c r="DC3668" t="s">
        <v>134</v>
      </c>
      <c r="DD3668" t="s">
        <v>135</v>
      </c>
      <c r="DG3668">
        <v>3322888</v>
      </c>
      <c r="DI3668">
        <v>1</v>
      </c>
      <c r="DJ3668">
        <v>0</v>
      </c>
      <c r="DK3668">
        <v>0</v>
      </c>
      <c r="DL3668">
        <v>0</v>
      </c>
      <c r="DM3668">
        <v>0</v>
      </c>
      <c r="DN3668">
        <v>0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3">
      <c r="A3669" t="str">
        <f>"05/01/2025 15:14:44.163"</f>
        <v>05/01/2025 15:14:44.163</v>
      </c>
      <c r="C3669" t="str">
        <f t="shared" si="1444"/>
        <v>FFDFD3C0</v>
      </c>
      <c r="D3669" t="s">
        <v>145</v>
      </c>
      <c r="E3669" t="str">
        <f>"05"</f>
        <v>05</v>
      </c>
      <c r="H3669">
        <v>47</v>
      </c>
      <c r="I3669" t="s">
        <v>146</v>
      </c>
      <c r="J3669" t="s">
        <v>138</v>
      </c>
      <c r="K3669">
        <v>0</v>
      </c>
      <c r="L3669">
        <v>3</v>
      </c>
      <c r="M3669">
        <v>0</v>
      </c>
      <c r="N3669">
        <v>2</v>
      </c>
      <c r="O3669">
        <v>0</v>
      </c>
      <c r="P3669">
        <v>1</v>
      </c>
      <c r="Q3669">
        <v>0</v>
      </c>
      <c r="R3669" t="s">
        <v>127</v>
      </c>
      <c r="S3669" t="str">
        <f t="shared" si="1454"/>
        <v>15:14:43.000</v>
      </c>
      <c r="T3669" t="str">
        <f t="shared" si="1454"/>
        <v>15:14:43.000</v>
      </c>
      <c r="U3669" t="str">
        <f t="shared" si="1446"/>
        <v>A68FCB</v>
      </c>
      <c r="V3669">
        <v>0</v>
      </c>
      <c r="W3669">
        <v>0</v>
      </c>
      <c r="X3669">
        <v>2</v>
      </c>
      <c r="Y3669">
        <v>0</v>
      </c>
      <c r="AA3669">
        <v>1</v>
      </c>
      <c r="AB3669">
        <v>8</v>
      </c>
      <c r="AC3669">
        <v>3</v>
      </c>
      <c r="AD3669">
        <v>0</v>
      </c>
      <c r="AE3669">
        <v>9</v>
      </c>
      <c r="AF3669" t="s">
        <v>138</v>
      </c>
      <c r="AG3669">
        <v>0</v>
      </c>
      <c r="AH3669">
        <v>3</v>
      </c>
      <c r="AI3669">
        <v>2</v>
      </c>
      <c r="AJ3669">
        <v>0</v>
      </c>
      <c r="AK3669" t="s">
        <v>1175</v>
      </c>
      <c r="AL3669">
        <v>39.159844</v>
      </c>
      <c r="AM3669" t="s">
        <v>1170</v>
      </c>
      <c r="AN3669">
        <v>-121.030841</v>
      </c>
      <c r="AO3669">
        <v>25</v>
      </c>
      <c r="AP3669">
        <v>4100</v>
      </c>
      <c r="AQ3669" t="s">
        <v>131</v>
      </c>
      <c r="AR3669">
        <v>0</v>
      </c>
      <c r="AS3669">
        <v>93</v>
      </c>
      <c r="AT3669">
        <v>448</v>
      </c>
      <c r="BB3669" t="str">
        <f t="shared" si="1447"/>
        <v>1200</v>
      </c>
      <c r="BC3669">
        <v>1</v>
      </c>
      <c r="BD3669" t="str">
        <f t="shared" si="1448"/>
        <v xml:space="preserve">N52156  </v>
      </c>
      <c r="BE3669">
        <v>1</v>
      </c>
      <c r="BG3669">
        <v>0</v>
      </c>
      <c r="BH3669">
        <v>0</v>
      </c>
      <c r="BI3669">
        <v>0</v>
      </c>
      <c r="BJ3669">
        <v>4125</v>
      </c>
      <c r="BK3669">
        <v>25</v>
      </c>
      <c r="BL3669" t="s">
        <v>188</v>
      </c>
      <c r="BM3669">
        <v>1</v>
      </c>
      <c r="BN3669">
        <v>1</v>
      </c>
      <c r="BO3669">
        <v>0</v>
      </c>
      <c r="BP3669">
        <v>0</v>
      </c>
      <c r="BS3669">
        <v>0</v>
      </c>
      <c r="BT3669">
        <v>0</v>
      </c>
      <c r="BU3669">
        <v>0</v>
      </c>
      <c r="CE3669" t="str">
        <f t="shared" si="1455"/>
        <v>15:14:43.963</v>
      </c>
      <c r="CF3669">
        <v>962989704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5</v>
      </c>
      <c r="CY3669">
        <v>7</v>
      </c>
      <c r="CZ3669" t="s">
        <v>133</v>
      </c>
      <c r="DA3669">
        <v>275</v>
      </c>
      <c r="DB3669">
        <v>0</v>
      </c>
      <c r="DC3669" t="s">
        <v>134</v>
      </c>
      <c r="DD3669" t="s">
        <v>135</v>
      </c>
      <c r="DG3669">
        <v>3322888</v>
      </c>
      <c r="DI3669">
        <v>1</v>
      </c>
      <c r="DJ3669">
        <v>0</v>
      </c>
      <c r="DK3669">
        <v>1</v>
      </c>
      <c r="DL3669">
        <v>0</v>
      </c>
      <c r="DM3669">
        <v>0</v>
      </c>
      <c r="DN3669">
        <v>0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3">
      <c r="A3670" t="str">
        <f>"05/01/2025 15:14:44.175"</f>
        <v>05/01/2025 15:14:44.175</v>
      </c>
      <c r="C3670" t="str">
        <f t="shared" si="1444"/>
        <v>FFDFD3C0</v>
      </c>
      <c r="D3670" t="s">
        <v>136</v>
      </c>
      <c r="E3670" t="str">
        <f>"20"</f>
        <v>20</v>
      </c>
      <c r="H3670">
        <v>400</v>
      </c>
      <c r="I3670" t="s">
        <v>137</v>
      </c>
      <c r="J3670" t="s">
        <v>138</v>
      </c>
      <c r="K3670">
        <v>0</v>
      </c>
      <c r="L3670">
        <v>3</v>
      </c>
      <c r="M3670">
        <v>0</v>
      </c>
      <c r="N3670">
        <v>2</v>
      </c>
      <c r="O3670">
        <v>0</v>
      </c>
      <c r="P3670">
        <v>1</v>
      </c>
      <c r="Q3670">
        <v>0</v>
      </c>
      <c r="R3670" t="s">
        <v>127</v>
      </c>
      <c r="S3670" t="str">
        <f t="shared" si="1454"/>
        <v>15:14:43.000</v>
      </c>
      <c r="T3670" t="str">
        <f t="shared" si="1454"/>
        <v>15:14:43.000</v>
      </c>
      <c r="U3670" t="str">
        <f t="shared" si="1446"/>
        <v>A68FCB</v>
      </c>
      <c r="V3670">
        <v>0</v>
      </c>
      <c r="W3670">
        <v>0</v>
      </c>
      <c r="X3670">
        <v>2</v>
      </c>
      <c r="Y3670">
        <v>0</v>
      </c>
      <c r="AA3670">
        <v>1</v>
      </c>
      <c r="AB3670">
        <v>8</v>
      </c>
      <c r="AC3670">
        <v>3</v>
      </c>
      <c r="AD3670">
        <v>0</v>
      </c>
      <c r="AE3670">
        <v>9</v>
      </c>
      <c r="AF3670" t="s">
        <v>138</v>
      </c>
      <c r="AG3670">
        <v>0</v>
      </c>
      <c r="AH3670">
        <v>3</v>
      </c>
      <c r="AI3670">
        <v>2</v>
      </c>
      <c r="AJ3670">
        <v>0</v>
      </c>
      <c r="AK3670" t="s">
        <v>1175</v>
      </c>
      <c r="AL3670">
        <v>39.159844</v>
      </c>
      <c r="AM3670" t="s">
        <v>1170</v>
      </c>
      <c r="AN3670">
        <v>-121.030841</v>
      </c>
      <c r="AO3670">
        <v>25</v>
      </c>
      <c r="AP3670">
        <v>4100</v>
      </c>
      <c r="AQ3670" t="s">
        <v>131</v>
      </c>
      <c r="AR3670">
        <v>0</v>
      </c>
      <c r="AS3670">
        <v>93</v>
      </c>
      <c r="AT3670">
        <v>448</v>
      </c>
      <c r="BB3670" t="str">
        <f t="shared" si="1447"/>
        <v>1200</v>
      </c>
      <c r="BC3670">
        <v>1</v>
      </c>
      <c r="BD3670" t="str">
        <f t="shared" si="1448"/>
        <v xml:space="preserve">N52156  </v>
      </c>
      <c r="BE3670">
        <v>1</v>
      </c>
      <c r="BG3670">
        <v>0</v>
      </c>
      <c r="BH3670">
        <v>0</v>
      </c>
      <c r="BI3670">
        <v>0</v>
      </c>
      <c r="BJ3670">
        <v>4125</v>
      </c>
      <c r="BK3670">
        <v>25</v>
      </c>
      <c r="BL3670" t="s">
        <v>188</v>
      </c>
      <c r="BM3670">
        <v>1</v>
      </c>
      <c r="BN3670">
        <v>1</v>
      </c>
      <c r="BO3670">
        <v>0</v>
      </c>
      <c r="BP3670">
        <v>0</v>
      </c>
      <c r="BS3670">
        <v>0</v>
      </c>
      <c r="BT3670">
        <v>0</v>
      </c>
      <c r="BU3670">
        <v>0</v>
      </c>
      <c r="CE3670" t="str">
        <f t="shared" si="1455"/>
        <v>15:14:43.963</v>
      </c>
      <c r="CF3670">
        <v>962989704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5</v>
      </c>
      <c r="CY3670">
        <v>7</v>
      </c>
      <c r="CZ3670" t="s">
        <v>133</v>
      </c>
      <c r="DA3670">
        <v>275</v>
      </c>
      <c r="DB3670">
        <v>0</v>
      </c>
      <c r="DC3670" t="s">
        <v>134</v>
      </c>
      <c r="DD3670" t="s">
        <v>135</v>
      </c>
      <c r="DG3670">
        <v>3322888</v>
      </c>
      <c r="DI3670">
        <v>1</v>
      </c>
      <c r="DJ3670">
        <v>0</v>
      </c>
      <c r="DK3670">
        <v>1</v>
      </c>
      <c r="DL3670">
        <v>0</v>
      </c>
      <c r="DM3670">
        <v>0</v>
      </c>
      <c r="DN3670">
        <v>0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3">
      <c r="A3671" t="str">
        <f>"05/01/2025 15:14:44.192"</f>
        <v>05/01/2025 15:14:44.192</v>
      </c>
      <c r="C3671" t="str">
        <f t="shared" si="1444"/>
        <v>FFDFD3C0</v>
      </c>
      <c r="D3671" t="s">
        <v>143</v>
      </c>
      <c r="E3671" t="str">
        <f>"05"</f>
        <v>05</v>
      </c>
      <c r="H3671">
        <v>172</v>
      </c>
      <c r="I3671" t="s">
        <v>141</v>
      </c>
      <c r="J3671" t="s">
        <v>144</v>
      </c>
      <c r="K3671">
        <v>0</v>
      </c>
      <c r="L3671">
        <v>3</v>
      </c>
      <c r="M3671">
        <v>0</v>
      </c>
      <c r="N3671">
        <v>2</v>
      </c>
      <c r="O3671">
        <v>0</v>
      </c>
      <c r="P3671">
        <v>1</v>
      </c>
      <c r="Q3671">
        <v>0</v>
      </c>
      <c r="R3671" t="s">
        <v>127</v>
      </c>
      <c r="S3671" t="str">
        <f t="shared" si="1454"/>
        <v>15:14:43.000</v>
      </c>
      <c r="T3671" t="str">
        <f t="shared" si="1454"/>
        <v>15:14:43.000</v>
      </c>
      <c r="U3671" t="str">
        <f t="shared" si="1446"/>
        <v>A68FCB</v>
      </c>
      <c r="V3671">
        <v>0</v>
      </c>
      <c r="W3671">
        <v>0</v>
      </c>
      <c r="X3671">
        <v>2</v>
      </c>
      <c r="Y3671">
        <v>0</v>
      </c>
      <c r="AA3671">
        <v>1</v>
      </c>
      <c r="AB3671">
        <v>8</v>
      </c>
      <c r="AC3671">
        <v>3</v>
      </c>
      <c r="AD3671">
        <v>0</v>
      </c>
      <c r="AE3671">
        <v>9</v>
      </c>
      <c r="AF3671" t="s">
        <v>138</v>
      </c>
      <c r="AG3671">
        <v>0</v>
      </c>
      <c r="AH3671">
        <v>3</v>
      </c>
      <c r="AI3671">
        <v>2</v>
      </c>
      <c r="AJ3671">
        <v>0</v>
      </c>
      <c r="AK3671" t="s">
        <v>1175</v>
      </c>
      <c r="AL3671">
        <v>39.159844</v>
      </c>
      <c r="AM3671" t="s">
        <v>1170</v>
      </c>
      <c r="AN3671">
        <v>-121.030841</v>
      </c>
      <c r="AO3671">
        <v>25</v>
      </c>
      <c r="AP3671">
        <v>4100</v>
      </c>
      <c r="AQ3671" t="s">
        <v>131</v>
      </c>
      <c r="AR3671">
        <v>0</v>
      </c>
      <c r="AS3671">
        <v>93</v>
      </c>
      <c r="AT3671">
        <v>448</v>
      </c>
      <c r="BB3671" t="str">
        <f t="shared" si="1447"/>
        <v>1200</v>
      </c>
      <c r="BC3671">
        <v>1</v>
      </c>
      <c r="BD3671" t="str">
        <f t="shared" si="1448"/>
        <v xml:space="preserve">N52156  </v>
      </c>
      <c r="BE3671">
        <v>1</v>
      </c>
      <c r="BG3671">
        <v>0</v>
      </c>
      <c r="BH3671">
        <v>0</v>
      </c>
      <c r="BI3671">
        <v>0</v>
      </c>
      <c r="BJ3671">
        <v>4125</v>
      </c>
      <c r="BK3671">
        <v>25</v>
      </c>
      <c r="BL3671" t="s">
        <v>188</v>
      </c>
      <c r="BM3671">
        <v>1</v>
      </c>
      <c r="BN3671">
        <v>1</v>
      </c>
      <c r="BO3671">
        <v>0</v>
      </c>
      <c r="BP3671">
        <v>0</v>
      </c>
      <c r="BS3671">
        <v>0</v>
      </c>
      <c r="BT3671">
        <v>0</v>
      </c>
      <c r="BU3671">
        <v>0</v>
      </c>
      <c r="CE3671" t="str">
        <f t="shared" si="1455"/>
        <v>15:14:43.963</v>
      </c>
      <c r="CF3671">
        <v>962989704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5</v>
      </c>
      <c r="CY3671">
        <v>7</v>
      </c>
      <c r="CZ3671" t="s">
        <v>133</v>
      </c>
      <c r="DA3671">
        <v>275</v>
      </c>
      <c r="DB3671">
        <v>0</v>
      </c>
      <c r="DC3671" t="s">
        <v>134</v>
      </c>
      <c r="DD3671" t="s">
        <v>135</v>
      </c>
      <c r="DG3671">
        <v>3322888</v>
      </c>
      <c r="DI3671">
        <v>1</v>
      </c>
      <c r="DJ3671">
        <v>0</v>
      </c>
      <c r="DK3671">
        <v>1</v>
      </c>
      <c r="DL3671">
        <v>0</v>
      </c>
      <c r="DM3671">
        <v>0</v>
      </c>
      <c r="DN3671">
        <v>0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3">
      <c r="A3672" t="str">
        <f>"05/01/2025 15:14:44.197"</f>
        <v>05/01/2025 15:14:44.197</v>
      </c>
      <c r="C3672" t="str">
        <f t="shared" si="1444"/>
        <v>FFDFD3C0</v>
      </c>
      <c r="D3672" t="s">
        <v>140</v>
      </c>
      <c r="E3672" t="str">
        <f>"13"</f>
        <v>13</v>
      </c>
      <c r="F3672">
        <v>1019</v>
      </c>
      <c r="G3672" t="s">
        <v>141</v>
      </c>
      <c r="J3672" t="s">
        <v>142</v>
      </c>
      <c r="K3672">
        <v>0</v>
      </c>
      <c r="L3672">
        <v>3</v>
      </c>
      <c r="M3672">
        <v>0</v>
      </c>
      <c r="N3672">
        <v>2</v>
      </c>
      <c r="O3672">
        <v>0</v>
      </c>
      <c r="P3672">
        <v>1</v>
      </c>
      <c r="Q3672">
        <v>0</v>
      </c>
      <c r="R3672" t="s">
        <v>127</v>
      </c>
      <c r="S3672" t="str">
        <f t="shared" si="1454"/>
        <v>15:14:43.000</v>
      </c>
      <c r="T3672" t="str">
        <f t="shared" si="1454"/>
        <v>15:14:43.000</v>
      </c>
      <c r="U3672" t="str">
        <f t="shared" si="1446"/>
        <v>A68FCB</v>
      </c>
      <c r="V3672">
        <v>0</v>
      </c>
      <c r="W3672">
        <v>0</v>
      </c>
      <c r="X3672">
        <v>2</v>
      </c>
      <c r="Y3672">
        <v>0</v>
      </c>
      <c r="AA3672">
        <v>1</v>
      </c>
      <c r="AB3672">
        <v>8</v>
      </c>
      <c r="AC3672">
        <v>3</v>
      </c>
      <c r="AD3672">
        <v>0</v>
      </c>
      <c r="AE3672">
        <v>9</v>
      </c>
      <c r="AF3672" t="s">
        <v>138</v>
      </c>
      <c r="AG3672">
        <v>0</v>
      </c>
      <c r="AH3672">
        <v>3</v>
      </c>
      <c r="AI3672">
        <v>2</v>
      </c>
      <c r="AJ3672">
        <v>0</v>
      </c>
      <c r="AK3672" t="s">
        <v>1175</v>
      </c>
      <c r="AL3672">
        <v>39.159844</v>
      </c>
      <c r="AM3672" t="s">
        <v>1170</v>
      </c>
      <c r="AN3672">
        <v>-121.030841</v>
      </c>
      <c r="AO3672">
        <v>25</v>
      </c>
      <c r="AP3672">
        <v>4100</v>
      </c>
      <c r="AQ3672" t="s">
        <v>131</v>
      </c>
      <c r="AR3672">
        <v>0</v>
      </c>
      <c r="AS3672">
        <v>93</v>
      </c>
      <c r="AT3672">
        <v>448</v>
      </c>
      <c r="BB3672" t="str">
        <f t="shared" si="1447"/>
        <v>1200</v>
      </c>
      <c r="BC3672">
        <v>1</v>
      </c>
      <c r="BD3672" t="str">
        <f t="shared" si="1448"/>
        <v xml:space="preserve">N52156  </v>
      </c>
      <c r="BE3672">
        <v>1</v>
      </c>
      <c r="BG3672">
        <v>0</v>
      </c>
      <c r="BH3672">
        <v>0</v>
      </c>
      <c r="BI3672">
        <v>0</v>
      </c>
      <c r="BJ3672">
        <v>4125</v>
      </c>
      <c r="BK3672">
        <v>25</v>
      </c>
      <c r="BL3672" t="s">
        <v>188</v>
      </c>
      <c r="BM3672">
        <v>1</v>
      </c>
      <c r="BN3672">
        <v>1</v>
      </c>
      <c r="BO3672">
        <v>0</v>
      </c>
      <c r="BP3672">
        <v>0</v>
      </c>
      <c r="BS3672">
        <v>0</v>
      </c>
      <c r="BT3672">
        <v>0</v>
      </c>
      <c r="BU3672">
        <v>0</v>
      </c>
      <c r="CE3672" t="str">
        <f t="shared" si="1455"/>
        <v>15:14:43.963</v>
      </c>
      <c r="CF3672">
        <v>962989704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5</v>
      </c>
      <c r="CY3672">
        <v>7</v>
      </c>
      <c r="CZ3672" t="s">
        <v>133</v>
      </c>
      <c r="DA3672">
        <v>275</v>
      </c>
      <c r="DB3672">
        <v>0</v>
      </c>
      <c r="DC3672" t="s">
        <v>134</v>
      </c>
      <c r="DD3672" t="s">
        <v>135</v>
      </c>
      <c r="DG3672">
        <v>3322888</v>
      </c>
      <c r="DI3672">
        <v>1</v>
      </c>
      <c r="DJ3672">
        <v>0</v>
      </c>
      <c r="DK3672">
        <v>1</v>
      </c>
      <c r="DL3672">
        <v>0</v>
      </c>
      <c r="DM3672">
        <v>0</v>
      </c>
      <c r="DN3672">
        <v>0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3">
      <c r="A3673" t="str">
        <f>"05/01/2025 15:14:44.202"</f>
        <v>05/01/2025 15:14:44.202</v>
      </c>
      <c r="C3673" t="str">
        <f t="shared" si="1444"/>
        <v>FFDFD3C0</v>
      </c>
      <c r="D3673" t="s">
        <v>124</v>
      </c>
      <c r="E3673" t="str">
        <f>"06"</f>
        <v>06</v>
      </c>
      <c r="F3673">
        <v>2006</v>
      </c>
      <c r="G3673" t="s">
        <v>125</v>
      </c>
      <c r="J3673" t="s">
        <v>126</v>
      </c>
      <c r="K3673">
        <v>0</v>
      </c>
      <c r="L3673">
        <v>3</v>
      </c>
      <c r="M3673">
        <v>0</v>
      </c>
      <c r="N3673">
        <v>2</v>
      </c>
      <c r="O3673">
        <v>0</v>
      </c>
      <c r="P3673">
        <v>1</v>
      </c>
      <c r="Q3673">
        <v>0</v>
      </c>
      <c r="R3673" t="s">
        <v>127</v>
      </c>
      <c r="S3673" t="str">
        <f t="shared" si="1454"/>
        <v>15:14:43.000</v>
      </c>
      <c r="T3673" t="str">
        <f t="shared" si="1454"/>
        <v>15:14:43.000</v>
      </c>
      <c r="U3673" t="str">
        <f t="shared" si="1446"/>
        <v>A68FCB</v>
      </c>
      <c r="V3673">
        <v>0</v>
      </c>
      <c r="W3673">
        <v>0</v>
      </c>
      <c r="X3673">
        <v>2</v>
      </c>
      <c r="Y3673">
        <v>0</v>
      </c>
      <c r="AA3673">
        <v>1</v>
      </c>
      <c r="AB3673">
        <v>8</v>
      </c>
      <c r="AC3673">
        <v>3</v>
      </c>
      <c r="AD3673">
        <v>0</v>
      </c>
      <c r="AE3673">
        <v>9</v>
      </c>
      <c r="AF3673" t="s">
        <v>138</v>
      </c>
      <c r="AG3673">
        <v>0</v>
      </c>
      <c r="AH3673">
        <v>3</v>
      </c>
      <c r="AI3673">
        <v>2</v>
      </c>
      <c r="AJ3673">
        <v>0</v>
      </c>
      <c r="AK3673" t="s">
        <v>1175</v>
      </c>
      <c r="AL3673">
        <v>39.159844</v>
      </c>
      <c r="AM3673" t="s">
        <v>1170</v>
      </c>
      <c r="AN3673">
        <v>-121.030841</v>
      </c>
      <c r="AO3673">
        <v>25</v>
      </c>
      <c r="AP3673">
        <v>4100</v>
      </c>
      <c r="AQ3673" t="s">
        <v>131</v>
      </c>
      <c r="AR3673">
        <v>0</v>
      </c>
      <c r="AS3673">
        <v>93</v>
      </c>
      <c r="AT3673">
        <v>448</v>
      </c>
      <c r="BB3673" t="str">
        <f t="shared" si="1447"/>
        <v>1200</v>
      </c>
      <c r="BC3673">
        <v>1</v>
      </c>
      <c r="BD3673" t="str">
        <f t="shared" si="1448"/>
        <v xml:space="preserve">N52156  </v>
      </c>
      <c r="BE3673">
        <v>1</v>
      </c>
      <c r="BG3673">
        <v>0</v>
      </c>
      <c r="BH3673">
        <v>0</v>
      </c>
      <c r="BI3673">
        <v>0</v>
      </c>
      <c r="BJ3673">
        <v>4125</v>
      </c>
      <c r="BK3673">
        <v>25</v>
      </c>
      <c r="BL3673" t="s">
        <v>188</v>
      </c>
      <c r="BM3673">
        <v>1</v>
      </c>
      <c r="BN3673">
        <v>1</v>
      </c>
      <c r="BO3673">
        <v>0</v>
      </c>
      <c r="BP3673">
        <v>0</v>
      </c>
      <c r="BS3673">
        <v>0</v>
      </c>
      <c r="BT3673">
        <v>0</v>
      </c>
      <c r="BU3673">
        <v>0</v>
      </c>
      <c r="CE3673" t="str">
        <f t="shared" si="1455"/>
        <v>15:14:43.963</v>
      </c>
      <c r="CF3673">
        <v>962989704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5</v>
      </c>
      <c r="CY3673">
        <v>7</v>
      </c>
      <c r="CZ3673" t="s">
        <v>133</v>
      </c>
      <c r="DA3673">
        <v>275</v>
      </c>
      <c r="DB3673">
        <v>0</v>
      </c>
      <c r="DC3673" t="s">
        <v>134</v>
      </c>
      <c r="DD3673" t="s">
        <v>135</v>
      </c>
      <c r="DG3673">
        <v>3322888</v>
      </c>
      <c r="DI3673">
        <v>1</v>
      </c>
      <c r="DJ3673">
        <v>0</v>
      </c>
      <c r="DK3673">
        <v>1</v>
      </c>
      <c r="DL3673">
        <v>0</v>
      </c>
      <c r="DM3673">
        <v>0</v>
      </c>
      <c r="DN3673">
        <v>0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3">
      <c r="A3674" t="str">
        <f>"05/01/2025 15:14:44.726"</f>
        <v>05/01/2025 15:14:44.726</v>
      </c>
      <c r="C3674" t="str">
        <f t="shared" si="1444"/>
        <v>FFDFD3C0</v>
      </c>
      <c r="D3674" t="s">
        <v>136</v>
      </c>
      <c r="E3674" t="str">
        <f>"20"</f>
        <v>20</v>
      </c>
      <c r="H3674">
        <v>400</v>
      </c>
      <c r="I3674" t="s">
        <v>137</v>
      </c>
      <c r="J3674" t="s">
        <v>138</v>
      </c>
      <c r="K3674">
        <v>0</v>
      </c>
      <c r="L3674">
        <v>3</v>
      </c>
      <c r="M3674">
        <v>0</v>
      </c>
      <c r="N3674">
        <v>2</v>
      </c>
      <c r="O3674">
        <v>0</v>
      </c>
      <c r="P3674">
        <v>1</v>
      </c>
      <c r="Q3674">
        <v>0</v>
      </c>
      <c r="R3674" t="s">
        <v>127</v>
      </c>
      <c r="S3674" t="str">
        <f t="shared" ref="S3674:T3679" si="1456">"15:14:44.000"</f>
        <v>15:14:44.000</v>
      </c>
      <c r="T3674" t="str">
        <f t="shared" si="1456"/>
        <v>15:14:44.000</v>
      </c>
      <c r="U3674" t="str">
        <f t="shared" si="1446"/>
        <v>A68FCB</v>
      </c>
      <c r="V3674">
        <v>0</v>
      </c>
      <c r="W3674">
        <v>0</v>
      </c>
      <c r="X3674">
        <v>2</v>
      </c>
      <c r="Y3674">
        <v>0</v>
      </c>
      <c r="AA3674">
        <v>1</v>
      </c>
      <c r="AB3674">
        <v>8</v>
      </c>
      <c r="AC3674">
        <v>3</v>
      </c>
      <c r="AD3674">
        <v>0</v>
      </c>
      <c r="AE3674">
        <v>9</v>
      </c>
      <c r="AF3674" t="s">
        <v>138</v>
      </c>
      <c r="AG3674">
        <v>0</v>
      </c>
      <c r="AH3674">
        <v>3</v>
      </c>
      <c r="AI3674">
        <v>2</v>
      </c>
      <c r="AJ3674">
        <v>0</v>
      </c>
      <c r="AK3674" t="s">
        <v>1176</v>
      </c>
      <c r="AL3674">
        <v>39.160272999999997</v>
      </c>
      <c r="AM3674" t="s">
        <v>1170</v>
      </c>
      <c r="AN3674">
        <v>-121.030841</v>
      </c>
      <c r="AO3674">
        <v>25</v>
      </c>
      <c r="AP3674">
        <v>4100</v>
      </c>
      <c r="AQ3674" t="s">
        <v>131</v>
      </c>
      <c r="AR3674">
        <v>0</v>
      </c>
      <c r="AS3674">
        <v>93</v>
      </c>
      <c r="AT3674">
        <v>384</v>
      </c>
      <c r="BB3674" t="str">
        <f t="shared" si="1447"/>
        <v>1200</v>
      </c>
      <c r="BC3674">
        <v>1</v>
      </c>
      <c r="BD3674" t="str">
        <f t="shared" si="1448"/>
        <v xml:space="preserve">N52156  </v>
      </c>
      <c r="BE3674">
        <v>1</v>
      </c>
      <c r="BG3674">
        <v>0</v>
      </c>
      <c r="BH3674">
        <v>0</v>
      </c>
      <c r="BI3674">
        <v>0</v>
      </c>
      <c r="BJ3674">
        <v>4150</v>
      </c>
      <c r="BK3674">
        <v>50</v>
      </c>
      <c r="BL3674" t="s">
        <v>188</v>
      </c>
      <c r="BM3674">
        <v>1</v>
      </c>
      <c r="BN3674">
        <v>1</v>
      </c>
      <c r="BO3674">
        <v>0</v>
      </c>
      <c r="BP3674">
        <v>0</v>
      </c>
      <c r="BS3674">
        <v>0</v>
      </c>
      <c r="BT3674">
        <v>0</v>
      </c>
      <c r="BU3674">
        <v>0</v>
      </c>
      <c r="CE3674" t="str">
        <f t="shared" ref="CE3674:CE3679" si="1457">"15:14:44.533"</f>
        <v>15:14:44.533</v>
      </c>
      <c r="CF3674">
        <v>533238657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4</v>
      </c>
      <c r="CY3674">
        <v>7</v>
      </c>
      <c r="CZ3674" t="s">
        <v>133</v>
      </c>
      <c r="DA3674">
        <v>275</v>
      </c>
      <c r="DB3674">
        <v>0</v>
      </c>
      <c r="DC3674" t="s">
        <v>134</v>
      </c>
      <c r="DD3674" t="s">
        <v>135</v>
      </c>
      <c r="DG3674">
        <v>3322891</v>
      </c>
      <c r="DI3674">
        <v>1</v>
      </c>
      <c r="DJ3674">
        <v>0</v>
      </c>
      <c r="DK3674">
        <v>0</v>
      </c>
      <c r="DL3674">
        <v>0</v>
      </c>
      <c r="DM3674">
        <v>0</v>
      </c>
      <c r="DN3674">
        <v>0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3">
      <c r="A3675" t="str">
        <f>"05/01/2025 15:14:44.743"</f>
        <v>05/01/2025 15:14:44.743</v>
      </c>
      <c r="C3675" t="str">
        <f t="shared" si="1444"/>
        <v>FFDFD3C0</v>
      </c>
      <c r="D3675" t="s">
        <v>143</v>
      </c>
      <c r="E3675" t="str">
        <f>"05"</f>
        <v>05</v>
      </c>
      <c r="H3675">
        <v>172</v>
      </c>
      <c r="I3675" t="s">
        <v>141</v>
      </c>
      <c r="J3675" t="s">
        <v>144</v>
      </c>
      <c r="K3675">
        <v>0</v>
      </c>
      <c r="L3675">
        <v>3</v>
      </c>
      <c r="M3675">
        <v>0</v>
      </c>
      <c r="N3675">
        <v>2</v>
      </c>
      <c r="O3675">
        <v>0</v>
      </c>
      <c r="P3675">
        <v>1</v>
      </c>
      <c r="Q3675">
        <v>0</v>
      </c>
      <c r="R3675" t="s">
        <v>127</v>
      </c>
      <c r="S3675" t="str">
        <f t="shared" si="1456"/>
        <v>15:14:44.000</v>
      </c>
      <c r="T3675" t="str">
        <f t="shared" si="1456"/>
        <v>15:14:44.000</v>
      </c>
      <c r="U3675" t="str">
        <f t="shared" si="1446"/>
        <v>A68FCB</v>
      </c>
      <c r="V3675">
        <v>0</v>
      </c>
      <c r="W3675">
        <v>0</v>
      </c>
      <c r="X3675">
        <v>2</v>
      </c>
      <c r="Y3675">
        <v>0</v>
      </c>
      <c r="AA3675">
        <v>1</v>
      </c>
      <c r="AB3675">
        <v>8</v>
      </c>
      <c r="AC3675">
        <v>3</v>
      </c>
      <c r="AD3675">
        <v>0</v>
      </c>
      <c r="AE3675">
        <v>9</v>
      </c>
      <c r="AF3675" t="s">
        <v>138</v>
      </c>
      <c r="AG3675">
        <v>0</v>
      </c>
      <c r="AH3675">
        <v>3</v>
      </c>
      <c r="AI3675">
        <v>2</v>
      </c>
      <c r="AJ3675">
        <v>0</v>
      </c>
      <c r="AK3675" t="s">
        <v>1176</v>
      </c>
      <c r="AL3675">
        <v>39.160272999999997</v>
      </c>
      <c r="AM3675" t="s">
        <v>1170</v>
      </c>
      <c r="AN3675">
        <v>-121.030841</v>
      </c>
      <c r="AO3675">
        <v>25</v>
      </c>
      <c r="AP3675">
        <v>4100</v>
      </c>
      <c r="AQ3675" t="s">
        <v>131</v>
      </c>
      <c r="AR3675">
        <v>0</v>
      </c>
      <c r="AS3675">
        <v>93</v>
      </c>
      <c r="AT3675">
        <v>384</v>
      </c>
      <c r="BB3675" t="str">
        <f t="shared" si="1447"/>
        <v>1200</v>
      </c>
      <c r="BC3675">
        <v>1</v>
      </c>
      <c r="BD3675" t="str">
        <f t="shared" si="1448"/>
        <v xml:space="preserve">N52156  </v>
      </c>
      <c r="BE3675">
        <v>1</v>
      </c>
      <c r="BG3675">
        <v>0</v>
      </c>
      <c r="BH3675">
        <v>0</v>
      </c>
      <c r="BI3675">
        <v>0</v>
      </c>
      <c r="BJ3675">
        <v>4150</v>
      </c>
      <c r="BK3675">
        <v>50</v>
      </c>
      <c r="BL3675" t="s">
        <v>188</v>
      </c>
      <c r="BM3675">
        <v>1</v>
      </c>
      <c r="BN3675">
        <v>1</v>
      </c>
      <c r="BO3675">
        <v>0</v>
      </c>
      <c r="BP3675">
        <v>0</v>
      </c>
      <c r="BS3675">
        <v>0</v>
      </c>
      <c r="BT3675">
        <v>0</v>
      </c>
      <c r="BU3675">
        <v>0</v>
      </c>
      <c r="CE3675" t="str">
        <f t="shared" si="1457"/>
        <v>15:14:44.533</v>
      </c>
      <c r="CF3675">
        <v>533238657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4</v>
      </c>
      <c r="CY3675">
        <v>7</v>
      </c>
      <c r="CZ3675" t="s">
        <v>133</v>
      </c>
      <c r="DA3675">
        <v>275</v>
      </c>
      <c r="DB3675">
        <v>0</v>
      </c>
      <c r="DC3675" t="s">
        <v>134</v>
      </c>
      <c r="DD3675" t="s">
        <v>135</v>
      </c>
      <c r="DG3675">
        <v>3322891</v>
      </c>
      <c r="DI3675">
        <v>1</v>
      </c>
      <c r="DJ3675">
        <v>0</v>
      </c>
      <c r="DK3675">
        <v>1</v>
      </c>
      <c r="DL3675">
        <v>0</v>
      </c>
      <c r="DM3675">
        <v>0</v>
      </c>
      <c r="DN3675">
        <v>0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3">
      <c r="A3676" t="str">
        <f>"05/01/2025 15:14:44.748"</f>
        <v>05/01/2025 15:14:44.748</v>
      </c>
      <c r="C3676" t="str">
        <f t="shared" si="1444"/>
        <v>FFDFD3C0</v>
      </c>
      <c r="D3676" t="s">
        <v>140</v>
      </c>
      <c r="E3676" t="str">
        <f>"13"</f>
        <v>13</v>
      </c>
      <c r="F3676">
        <v>1019</v>
      </c>
      <c r="G3676" t="s">
        <v>141</v>
      </c>
      <c r="J3676" t="s">
        <v>142</v>
      </c>
      <c r="K3676">
        <v>0</v>
      </c>
      <c r="L3676">
        <v>3</v>
      </c>
      <c r="M3676">
        <v>0</v>
      </c>
      <c r="N3676">
        <v>2</v>
      </c>
      <c r="O3676">
        <v>0</v>
      </c>
      <c r="P3676">
        <v>1</v>
      </c>
      <c r="Q3676">
        <v>0</v>
      </c>
      <c r="R3676" t="s">
        <v>127</v>
      </c>
      <c r="S3676" t="str">
        <f t="shared" si="1456"/>
        <v>15:14:44.000</v>
      </c>
      <c r="T3676" t="str">
        <f t="shared" si="1456"/>
        <v>15:14:44.000</v>
      </c>
      <c r="U3676" t="str">
        <f t="shared" si="1446"/>
        <v>A68FCB</v>
      </c>
      <c r="V3676">
        <v>0</v>
      </c>
      <c r="W3676">
        <v>0</v>
      </c>
      <c r="X3676">
        <v>2</v>
      </c>
      <c r="Y3676">
        <v>0</v>
      </c>
      <c r="AA3676">
        <v>1</v>
      </c>
      <c r="AB3676">
        <v>8</v>
      </c>
      <c r="AC3676">
        <v>3</v>
      </c>
      <c r="AD3676">
        <v>0</v>
      </c>
      <c r="AE3676">
        <v>9</v>
      </c>
      <c r="AF3676" t="s">
        <v>138</v>
      </c>
      <c r="AG3676">
        <v>0</v>
      </c>
      <c r="AH3676">
        <v>3</v>
      </c>
      <c r="AI3676">
        <v>2</v>
      </c>
      <c r="AJ3676">
        <v>0</v>
      </c>
      <c r="AK3676" t="s">
        <v>1176</v>
      </c>
      <c r="AL3676">
        <v>39.160272999999997</v>
      </c>
      <c r="AM3676" t="s">
        <v>1170</v>
      </c>
      <c r="AN3676">
        <v>-121.030841</v>
      </c>
      <c r="AO3676">
        <v>25</v>
      </c>
      <c r="AP3676">
        <v>4100</v>
      </c>
      <c r="AQ3676" t="s">
        <v>131</v>
      </c>
      <c r="AR3676">
        <v>0</v>
      </c>
      <c r="AS3676">
        <v>93</v>
      </c>
      <c r="AT3676">
        <v>384</v>
      </c>
      <c r="BB3676" t="str">
        <f t="shared" si="1447"/>
        <v>1200</v>
      </c>
      <c r="BC3676">
        <v>1</v>
      </c>
      <c r="BD3676" t="str">
        <f t="shared" si="1448"/>
        <v xml:space="preserve">N52156  </v>
      </c>
      <c r="BE3676">
        <v>1</v>
      </c>
      <c r="BG3676">
        <v>0</v>
      </c>
      <c r="BH3676">
        <v>0</v>
      </c>
      <c r="BI3676">
        <v>0</v>
      </c>
      <c r="BJ3676">
        <v>4150</v>
      </c>
      <c r="BK3676">
        <v>50</v>
      </c>
      <c r="BL3676" t="s">
        <v>188</v>
      </c>
      <c r="BM3676">
        <v>1</v>
      </c>
      <c r="BN3676">
        <v>1</v>
      </c>
      <c r="BO3676">
        <v>0</v>
      </c>
      <c r="BP3676">
        <v>0</v>
      </c>
      <c r="BS3676">
        <v>0</v>
      </c>
      <c r="BT3676">
        <v>0</v>
      </c>
      <c r="BU3676">
        <v>0</v>
      </c>
      <c r="CE3676" t="str">
        <f t="shared" si="1457"/>
        <v>15:14:44.533</v>
      </c>
      <c r="CF3676">
        <v>533238657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4</v>
      </c>
      <c r="CY3676">
        <v>7</v>
      </c>
      <c r="CZ3676" t="s">
        <v>133</v>
      </c>
      <c r="DA3676">
        <v>275</v>
      </c>
      <c r="DB3676">
        <v>0</v>
      </c>
      <c r="DC3676" t="s">
        <v>134</v>
      </c>
      <c r="DD3676" t="s">
        <v>135</v>
      </c>
      <c r="DG3676">
        <v>3322891</v>
      </c>
      <c r="DI3676">
        <v>1</v>
      </c>
      <c r="DJ3676">
        <v>0</v>
      </c>
      <c r="DK3676">
        <v>1</v>
      </c>
      <c r="DL3676">
        <v>0</v>
      </c>
      <c r="DM3676">
        <v>0</v>
      </c>
      <c r="DN3676">
        <v>0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3">
      <c r="A3677" t="str">
        <f>"05/01/2025 15:14:44.753"</f>
        <v>05/01/2025 15:14:44.753</v>
      </c>
      <c r="C3677" t="str">
        <f t="shared" si="1444"/>
        <v>FFDFD3C0</v>
      </c>
      <c r="D3677" t="s">
        <v>124</v>
      </c>
      <c r="E3677" t="str">
        <f>"06"</f>
        <v>06</v>
      </c>
      <c r="F3677">
        <v>2006</v>
      </c>
      <c r="G3677" t="s">
        <v>125</v>
      </c>
      <c r="J3677" t="s">
        <v>126</v>
      </c>
      <c r="K3677">
        <v>0</v>
      </c>
      <c r="L3677">
        <v>3</v>
      </c>
      <c r="M3677">
        <v>0</v>
      </c>
      <c r="N3677">
        <v>2</v>
      </c>
      <c r="O3677">
        <v>0</v>
      </c>
      <c r="P3677">
        <v>1</v>
      </c>
      <c r="Q3677">
        <v>0</v>
      </c>
      <c r="R3677" t="s">
        <v>127</v>
      </c>
      <c r="S3677" t="str">
        <f t="shared" si="1456"/>
        <v>15:14:44.000</v>
      </c>
      <c r="T3677" t="str">
        <f t="shared" si="1456"/>
        <v>15:14:44.000</v>
      </c>
      <c r="U3677" t="str">
        <f t="shared" si="1446"/>
        <v>A68FCB</v>
      </c>
      <c r="V3677">
        <v>0</v>
      </c>
      <c r="W3677">
        <v>0</v>
      </c>
      <c r="X3677">
        <v>2</v>
      </c>
      <c r="Y3677">
        <v>0</v>
      </c>
      <c r="AA3677">
        <v>1</v>
      </c>
      <c r="AB3677">
        <v>8</v>
      </c>
      <c r="AC3677">
        <v>3</v>
      </c>
      <c r="AD3677">
        <v>0</v>
      </c>
      <c r="AE3677">
        <v>9</v>
      </c>
      <c r="AF3677" t="s">
        <v>138</v>
      </c>
      <c r="AG3677">
        <v>0</v>
      </c>
      <c r="AH3677">
        <v>3</v>
      </c>
      <c r="AI3677">
        <v>2</v>
      </c>
      <c r="AJ3677">
        <v>0</v>
      </c>
      <c r="AK3677" t="s">
        <v>1176</v>
      </c>
      <c r="AL3677">
        <v>39.160272999999997</v>
      </c>
      <c r="AM3677" t="s">
        <v>1170</v>
      </c>
      <c r="AN3677">
        <v>-121.030841</v>
      </c>
      <c r="AO3677">
        <v>25</v>
      </c>
      <c r="AP3677">
        <v>4100</v>
      </c>
      <c r="AQ3677" t="s">
        <v>131</v>
      </c>
      <c r="AR3677">
        <v>0</v>
      </c>
      <c r="AS3677">
        <v>93</v>
      </c>
      <c r="AT3677">
        <v>384</v>
      </c>
      <c r="BB3677" t="str">
        <f t="shared" si="1447"/>
        <v>1200</v>
      </c>
      <c r="BC3677">
        <v>1</v>
      </c>
      <c r="BD3677" t="str">
        <f t="shared" si="1448"/>
        <v xml:space="preserve">N52156  </v>
      </c>
      <c r="BE3677">
        <v>1</v>
      </c>
      <c r="BG3677">
        <v>0</v>
      </c>
      <c r="BH3677">
        <v>0</v>
      </c>
      <c r="BI3677">
        <v>0</v>
      </c>
      <c r="BJ3677">
        <v>4150</v>
      </c>
      <c r="BK3677">
        <v>50</v>
      </c>
      <c r="BL3677" t="s">
        <v>188</v>
      </c>
      <c r="BM3677">
        <v>1</v>
      </c>
      <c r="BN3677">
        <v>1</v>
      </c>
      <c r="BO3677">
        <v>0</v>
      </c>
      <c r="BP3677">
        <v>0</v>
      </c>
      <c r="BS3677">
        <v>0</v>
      </c>
      <c r="BT3677">
        <v>0</v>
      </c>
      <c r="BU3677">
        <v>0</v>
      </c>
      <c r="CE3677" t="str">
        <f t="shared" si="1457"/>
        <v>15:14:44.533</v>
      </c>
      <c r="CF3677">
        <v>533238657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4</v>
      </c>
      <c r="CY3677">
        <v>7</v>
      </c>
      <c r="CZ3677" t="s">
        <v>133</v>
      </c>
      <c r="DA3677">
        <v>275</v>
      </c>
      <c r="DB3677">
        <v>0</v>
      </c>
      <c r="DC3677" t="s">
        <v>134</v>
      </c>
      <c r="DD3677" t="s">
        <v>135</v>
      </c>
      <c r="DG3677">
        <v>3322891</v>
      </c>
      <c r="DI3677">
        <v>1</v>
      </c>
      <c r="DJ3677">
        <v>0</v>
      </c>
      <c r="DK3677">
        <v>1</v>
      </c>
      <c r="DL3677">
        <v>0</v>
      </c>
      <c r="DM3677">
        <v>0</v>
      </c>
      <c r="DN3677">
        <v>0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3">
      <c r="A3678" t="str">
        <f>"05/01/2025 15:14:44.763"</f>
        <v>05/01/2025 15:14:44.763</v>
      </c>
      <c r="C3678" t="str">
        <f t="shared" si="1444"/>
        <v>FFDFD3C0</v>
      </c>
      <c r="D3678" t="s">
        <v>145</v>
      </c>
      <c r="E3678" t="str">
        <f>"09"</f>
        <v>09</v>
      </c>
      <c r="H3678">
        <v>51</v>
      </c>
      <c r="I3678" t="s">
        <v>147</v>
      </c>
      <c r="J3678" t="s">
        <v>138</v>
      </c>
      <c r="K3678">
        <v>0</v>
      </c>
      <c r="L3678">
        <v>3</v>
      </c>
      <c r="M3678">
        <v>0</v>
      </c>
      <c r="N3678">
        <v>2</v>
      </c>
      <c r="O3678">
        <v>0</v>
      </c>
      <c r="P3678">
        <v>1</v>
      </c>
      <c r="Q3678">
        <v>0</v>
      </c>
      <c r="R3678" t="s">
        <v>127</v>
      </c>
      <c r="S3678" t="str">
        <f t="shared" si="1456"/>
        <v>15:14:44.000</v>
      </c>
      <c r="T3678" t="str">
        <f t="shared" si="1456"/>
        <v>15:14:44.000</v>
      </c>
      <c r="U3678" t="str">
        <f t="shared" si="1446"/>
        <v>A68FCB</v>
      </c>
      <c r="V3678">
        <v>0</v>
      </c>
      <c r="W3678">
        <v>0</v>
      </c>
      <c r="X3678">
        <v>2</v>
      </c>
      <c r="Y3678">
        <v>0</v>
      </c>
      <c r="AA3678">
        <v>1</v>
      </c>
      <c r="AB3678">
        <v>8</v>
      </c>
      <c r="AC3678">
        <v>3</v>
      </c>
      <c r="AD3678">
        <v>0</v>
      </c>
      <c r="AE3678">
        <v>9</v>
      </c>
      <c r="AF3678" t="s">
        <v>138</v>
      </c>
      <c r="AG3678">
        <v>0</v>
      </c>
      <c r="AH3678">
        <v>3</v>
      </c>
      <c r="AI3678">
        <v>2</v>
      </c>
      <c r="AJ3678">
        <v>0</v>
      </c>
      <c r="AK3678" t="s">
        <v>1176</v>
      </c>
      <c r="AL3678">
        <v>39.160272999999997</v>
      </c>
      <c r="AM3678" t="s">
        <v>1170</v>
      </c>
      <c r="AN3678">
        <v>-121.030841</v>
      </c>
      <c r="AO3678">
        <v>25</v>
      </c>
      <c r="AP3678">
        <v>4100</v>
      </c>
      <c r="AQ3678" t="s">
        <v>131</v>
      </c>
      <c r="AR3678">
        <v>0</v>
      </c>
      <c r="AS3678">
        <v>93</v>
      </c>
      <c r="AT3678">
        <v>384</v>
      </c>
      <c r="BB3678" t="str">
        <f t="shared" si="1447"/>
        <v>1200</v>
      </c>
      <c r="BC3678">
        <v>1</v>
      </c>
      <c r="BD3678" t="str">
        <f t="shared" si="1448"/>
        <v xml:space="preserve">N52156  </v>
      </c>
      <c r="BE3678">
        <v>1</v>
      </c>
      <c r="BG3678">
        <v>0</v>
      </c>
      <c r="BH3678">
        <v>0</v>
      </c>
      <c r="BI3678">
        <v>0</v>
      </c>
      <c r="BJ3678">
        <v>4150</v>
      </c>
      <c r="BK3678">
        <v>50</v>
      </c>
      <c r="BL3678" t="s">
        <v>188</v>
      </c>
      <c r="BM3678">
        <v>1</v>
      </c>
      <c r="BN3678">
        <v>1</v>
      </c>
      <c r="BO3678">
        <v>0</v>
      </c>
      <c r="BP3678">
        <v>0</v>
      </c>
      <c r="BS3678">
        <v>0</v>
      </c>
      <c r="BT3678">
        <v>0</v>
      </c>
      <c r="BU3678">
        <v>0</v>
      </c>
      <c r="CE3678" t="str">
        <f t="shared" si="1457"/>
        <v>15:14:44.533</v>
      </c>
      <c r="CF3678">
        <v>533238657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4</v>
      </c>
      <c r="CY3678">
        <v>7</v>
      </c>
      <c r="CZ3678" t="s">
        <v>133</v>
      </c>
      <c r="DA3678">
        <v>275</v>
      </c>
      <c r="DB3678">
        <v>0</v>
      </c>
      <c r="DC3678" t="s">
        <v>134</v>
      </c>
      <c r="DD3678" t="s">
        <v>135</v>
      </c>
      <c r="DG3678">
        <v>3322891</v>
      </c>
      <c r="DI3678">
        <v>1</v>
      </c>
      <c r="DJ3678">
        <v>0</v>
      </c>
      <c r="DK3678">
        <v>1</v>
      </c>
      <c r="DL3678">
        <v>0</v>
      </c>
      <c r="DM3678">
        <v>0</v>
      </c>
      <c r="DN3678">
        <v>0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3">
      <c r="A3679" t="str">
        <f>"05/01/2025 15:14:44.765"</f>
        <v>05/01/2025 15:14:44.765</v>
      </c>
      <c r="C3679" t="str">
        <f t="shared" si="1444"/>
        <v>FFDFD3C0</v>
      </c>
      <c r="D3679" t="s">
        <v>145</v>
      </c>
      <c r="E3679" t="str">
        <f>"05"</f>
        <v>05</v>
      </c>
      <c r="H3679">
        <v>47</v>
      </c>
      <c r="I3679" t="s">
        <v>146</v>
      </c>
      <c r="J3679" t="s">
        <v>138</v>
      </c>
      <c r="K3679">
        <v>0</v>
      </c>
      <c r="L3679">
        <v>3</v>
      </c>
      <c r="M3679">
        <v>0</v>
      </c>
      <c r="N3679">
        <v>2</v>
      </c>
      <c r="O3679">
        <v>0</v>
      </c>
      <c r="P3679">
        <v>1</v>
      </c>
      <c r="Q3679">
        <v>0</v>
      </c>
      <c r="R3679" t="s">
        <v>127</v>
      </c>
      <c r="S3679" t="str">
        <f t="shared" si="1456"/>
        <v>15:14:44.000</v>
      </c>
      <c r="T3679" t="str">
        <f t="shared" si="1456"/>
        <v>15:14:44.000</v>
      </c>
      <c r="U3679" t="str">
        <f t="shared" si="1446"/>
        <v>A68FCB</v>
      </c>
      <c r="V3679">
        <v>0</v>
      </c>
      <c r="W3679">
        <v>0</v>
      </c>
      <c r="X3679">
        <v>2</v>
      </c>
      <c r="Y3679">
        <v>0</v>
      </c>
      <c r="AA3679">
        <v>1</v>
      </c>
      <c r="AB3679">
        <v>8</v>
      </c>
      <c r="AC3679">
        <v>3</v>
      </c>
      <c r="AD3679">
        <v>0</v>
      </c>
      <c r="AE3679">
        <v>9</v>
      </c>
      <c r="AF3679" t="s">
        <v>138</v>
      </c>
      <c r="AG3679">
        <v>0</v>
      </c>
      <c r="AH3679">
        <v>3</v>
      </c>
      <c r="AI3679">
        <v>2</v>
      </c>
      <c r="AJ3679">
        <v>0</v>
      </c>
      <c r="AK3679" t="s">
        <v>1176</v>
      </c>
      <c r="AL3679">
        <v>39.160272999999997</v>
      </c>
      <c r="AM3679" t="s">
        <v>1170</v>
      </c>
      <c r="AN3679">
        <v>-121.030841</v>
      </c>
      <c r="AO3679">
        <v>25</v>
      </c>
      <c r="AP3679">
        <v>4100</v>
      </c>
      <c r="AQ3679" t="s">
        <v>131</v>
      </c>
      <c r="AR3679">
        <v>0</v>
      </c>
      <c r="AS3679">
        <v>93</v>
      </c>
      <c r="AT3679">
        <v>384</v>
      </c>
      <c r="BB3679" t="str">
        <f t="shared" si="1447"/>
        <v>1200</v>
      </c>
      <c r="BC3679">
        <v>1</v>
      </c>
      <c r="BD3679" t="str">
        <f t="shared" si="1448"/>
        <v xml:space="preserve">N52156  </v>
      </c>
      <c r="BE3679">
        <v>1</v>
      </c>
      <c r="BG3679">
        <v>0</v>
      </c>
      <c r="BH3679">
        <v>0</v>
      </c>
      <c r="BI3679">
        <v>0</v>
      </c>
      <c r="BJ3679">
        <v>4150</v>
      </c>
      <c r="BK3679">
        <v>50</v>
      </c>
      <c r="BL3679" t="s">
        <v>188</v>
      </c>
      <c r="BM3679">
        <v>1</v>
      </c>
      <c r="BN3679">
        <v>1</v>
      </c>
      <c r="BO3679">
        <v>0</v>
      </c>
      <c r="BP3679">
        <v>0</v>
      </c>
      <c r="BS3679">
        <v>0</v>
      </c>
      <c r="BT3679">
        <v>0</v>
      </c>
      <c r="BU3679">
        <v>0</v>
      </c>
      <c r="CE3679" t="str">
        <f t="shared" si="1457"/>
        <v>15:14:44.533</v>
      </c>
      <c r="CF3679">
        <v>533238657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4</v>
      </c>
      <c r="CY3679">
        <v>7</v>
      </c>
      <c r="CZ3679" t="s">
        <v>133</v>
      </c>
      <c r="DA3679">
        <v>275</v>
      </c>
      <c r="DB3679">
        <v>0</v>
      </c>
      <c r="DC3679" t="s">
        <v>134</v>
      </c>
      <c r="DD3679" t="s">
        <v>135</v>
      </c>
      <c r="DG3679">
        <v>3322891</v>
      </c>
      <c r="DI3679">
        <v>1</v>
      </c>
      <c r="DJ3679">
        <v>0</v>
      </c>
      <c r="DK3679">
        <v>1</v>
      </c>
      <c r="DL3679">
        <v>0</v>
      </c>
      <c r="DM3679">
        <v>0</v>
      </c>
      <c r="DN3679">
        <v>0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3">
      <c r="A3680" t="str">
        <f>"05/01/2025 15:14:45.928"</f>
        <v>05/01/2025 15:14:45.928</v>
      </c>
      <c r="C3680" t="str">
        <f t="shared" si="1444"/>
        <v>FFDFD3C0</v>
      </c>
      <c r="D3680" t="s">
        <v>136</v>
      </c>
      <c r="E3680" t="str">
        <f>"20"</f>
        <v>20</v>
      </c>
      <c r="H3680">
        <v>400</v>
      </c>
      <c r="I3680" t="s">
        <v>137</v>
      </c>
      <c r="J3680" t="s">
        <v>138</v>
      </c>
      <c r="K3680">
        <v>0</v>
      </c>
      <c r="L3680">
        <v>3</v>
      </c>
      <c r="M3680">
        <v>0</v>
      </c>
      <c r="N3680">
        <v>2</v>
      </c>
      <c r="O3680">
        <v>0</v>
      </c>
      <c r="P3680">
        <v>1</v>
      </c>
      <c r="Q3680">
        <v>0</v>
      </c>
      <c r="R3680" t="s">
        <v>127</v>
      </c>
      <c r="S3680" t="str">
        <f t="shared" ref="S3680:T3685" si="1458">"15:14:45.000"</f>
        <v>15:14:45.000</v>
      </c>
      <c r="T3680" t="str">
        <f t="shared" si="1458"/>
        <v>15:14:45.000</v>
      </c>
      <c r="U3680" t="str">
        <f t="shared" si="1446"/>
        <v>A68FCB</v>
      </c>
      <c r="V3680">
        <v>0</v>
      </c>
      <c r="W3680">
        <v>0</v>
      </c>
      <c r="X3680">
        <v>2</v>
      </c>
      <c r="Y3680">
        <v>0</v>
      </c>
      <c r="AA3680">
        <v>1</v>
      </c>
      <c r="AB3680">
        <v>8</v>
      </c>
      <c r="AC3680">
        <v>3</v>
      </c>
      <c r="AD3680">
        <v>0</v>
      </c>
      <c r="AE3680">
        <v>9</v>
      </c>
      <c r="AF3680" t="s">
        <v>138</v>
      </c>
      <c r="AG3680">
        <v>0</v>
      </c>
      <c r="AH3680">
        <v>3</v>
      </c>
      <c r="AI3680">
        <v>2</v>
      </c>
      <c r="AJ3680">
        <v>0</v>
      </c>
      <c r="AK3680" t="s">
        <v>1177</v>
      </c>
      <c r="AL3680">
        <v>39.160724000000002</v>
      </c>
      <c r="AM3680" t="s">
        <v>1170</v>
      </c>
      <c r="AN3680">
        <v>-121.030841</v>
      </c>
      <c r="AO3680">
        <v>25</v>
      </c>
      <c r="AP3680">
        <v>4100</v>
      </c>
      <c r="AQ3680" t="s">
        <v>131</v>
      </c>
      <c r="AR3680">
        <v>0</v>
      </c>
      <c r="AS3680">
        <v>93</v>
      </c>
      <c r="AT3680">
        <v>320</v>
      </c>
      <c r="BB3680" t="str">
        <f t="shared" si="1447"/>
        <v>1200</v>
      </c>
      <c r="BC3680">
        <v>1</v>
      </c>
      <c r="BD3680" t="str">
        <f t="shared" si="1448"/>
        <v xml:space="preserve">N52156  </v>
      </c>
      <c r="BE3680">
        <v>1</v>
      </c>
      <c r="BG3680">
        <v>0</v>
      </c>
      <c r="BH3680">
        <v>0</v>
      </c>
      <c r="BI3680">
        <v>0</v>
      </c>
      <c r="BJ3680">
        <v>4150</v>
      </c>
      <c r="BK3680">
        <v>50</v>
      </c>
      <c r="BL3680" t="s">
        <v>188</v>
      </c>
      <c r="BM3680">
        <v>1</v>
      </c>
      <c r="BN3680">
        <v>1</v>
      </c>
      <c r="BO3680">
        <v>0</v>
      </c>
      <c r="BP3680">
        <v>0</v>
      </c>
      <c r="BS3680">
        <v>0</v>
      </c>
      <c r="BT3680">
        <v>0</v>
      </c>
      <c r="BU3680">
        <v>0</v>
      </c>
      <c r="CE3680" t="str">
        <f t="shared" ref="CE3680:CE3685" si="1459">"15:14:45.694"</f>
        <v>15:14:45.694</v>
      </c>
      <c r="CF3680">
        <v>693739149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4</v>
      </c>
      <c r="CY3680">
        <v>7</v>
      </c>
      <c r="CZ3680" t="s">
        <v>133</v>
      </c>
      <c r="DA3680">
        <v>275</v>
      </c>
      <c r="DB3680">
        <v>0</v>
      </c>
      <c r="DC3680" t="s">
        <v>134</v>
      </c>
      <c r="DD3680" t="s">
        <v>135</v>
      </c>
      <c r="DG3680">
        <v>3322898</v>
      </c>
      <c r="DI3680">
        <v>1</v>
      </c>
      <c r="DJ3680">
        <v>0</v>
      </c>
      <c r="DK3680">
        <v>0</v>
      </c>
      <c r="DL3680">
        <v>0</v>
      </c>
      <c r="DM3680">
        <v>0</v>
      </c>
      <c r="DN3680">
        <v>0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3">
      <c r="A3681" t="str">
        <f>"05/01/2025 15:14:45.945"</f>
        <v>05/01/2025 15:14:45.945</v>
      </c>
      <c r="C3681" t="str">
        <f t="shared" si="1444"/>
        <v>FFDFD3C0</v>
      </c>
      <c r="D3681" t="s">
        <v>143</v>
      </c>
      <c r="E3681" t="str">
        <f>"05"</f>
        <v>05</v>
      </c>
      <c r="H3681">
        <v>172</v>
      </c>
      <c r="I3681" t="s">
        <v>141</v>
      </c>
      <c r="J3681" t="s">
        <v>144</v>
      </c>
      <c r="K3681">
        <v>0</v>
      </c>
      <c r="L3681">
        <v>3</v>
      </c>
      <c r="M3681">
        <v>0</v>
      </c>
      <c r="N3681">
        <v>2</v>
      </c>
      <c r="O3681">
        <v>0</v>
      </c>
      <c r="P3681">
        <v>1</v>
      </c>
      <c r="Q3681">
        <v>0</v>
      </c>
      <c r="R3681" t="s">
        <v>127</v>
      </c>
      <c r="S3681" t="str">
        <f t="shared" si="1458"/>
        <v>15:14:45.000</v>
      </c>
      <c r="T3681" t="str">
        <f t="shared" si="1458"/>
        <v>15:14:45.000</v>
      </c>
      <c r="U3681" t="str">
        <f t="shared" si="1446"/>
        <v>A68FCB</v>
      </c>
      <c r="V3681">
        <v>0</v>
      </c>
      <c r="W3681">
        <v>0</v>
      </c>
      <c r="X3681">
        <v>2</v>
      </c>
      <c r="Y3681">
        <v>0</v>
      </c>
      <c r="AA3681">
        <v>1</v>
      </c>
      <c r="AB3681">
        <v>8</v>
      </c>
      <c r="AC3681">
        <v>3</v>
      </c>
      <c r="AD3681">
        <v>0</v>
      </c>
      <c r="AE3681">
        <v>9</v>
      </c>
      <c r="AF3681" t="s">
        <v>138</v>
      </c>
      <c r="AG3681">
        <v>0</v>
      </c>
      <c r="AH3681">
        <v>3</v>
      </c>
      <c r="AI3681">
        <v>2</v>
      </c>
      <c r="AJ3681">
        <v>0</v>
      </c>
      <c r="AK3681" t="s">
        <v>1177</v>
      </c>
      <c r="AL3681">
        <v>39.160724000000002</v>
      </c>
      <c r="AM3681" t="s">
        <v>1170</v>
      </c>
      <c r="AN3681">
        <v>-121.030841</v>
      </c>
      <c r="AO3681">
        <v>25</v>
      </c>
      <c r="AP3681">
        <v>4100</v>
      </c>
      <c r="AQ3681" t="s">
        <v>131</v>
      </c>
      <c r="AR3681">
        <v>0</v>
      </c>
      <c r="AS3681">
        <v>93</v>
      </c>
      <c r="AT3681">
        <v>320</v>
      </c>
      <c r="BB3681" t="str">
        <f t="shared" si="1447"/>
        <v>1200</v>
      </c>
      <c r="BC3681">
        <v>1</v>
      </c>
      <c r="BD3681" t="str">
        <f t="shared" si="1448"/>
        <v xml:space="preserve">N52156  </v>
      </c>
      <c r="BE3681">
        <v>1</v>
      </c>
      <c r="BG3681">
        <v>0</v>
      </c>
      <c r="BH3681">
        <v>0</v>
      </c>
      <c r="BI3681">
        <v>0</v>
      </c>
      <c r="BJ3681">
        <v>4150</v>
      </c>
      <c r="BK3681">
        <v>50</v>
      </c>
      <c r="BL3681" t="s">
        <v>188</v>
      </c>
      <c r="BM3681">
        <v>1</v>
      </c>
      <c r="BN3681">
        <v>1</v>
      </c>
      <c r="BO3681">
        <v>0</v>
      </c>
      <c r="BP3681">
        <v>0</v>
      </c>
      <c r="BS3681">
        <v>0</v>
      </c>
      <c r="BT3681">
        <v>0</v>
      </c>
      <c r="BU3681">
        <v>0</v>
      </c>
      <c r="CE3681" t="str">
        <f t="shared" si="1459"/>
        <v>15:14:45.694</v>
      </c>
      <c r="CF3681">
        <v>693739149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4</v>
      </c>
      <c r="CY3681">
        <v>7</v>
      </c>
      <c r="CZ3681" t="s">
        <v>133</v>
      </c>
      <c r="DA3681">
        <v>275</v>
      </c>
      <c r="DB3681">
        <v>0</v>
      </c>
      <c r="DC3681" t="s">
        <v>134</v>
      </c>
      <c r="DD3681" t="s">
        <v>135</v>
      </c>
      <c r="DG3681">
        <v>3322898</v>
      </c>
      <c r="DI3681">
        <v>1</v>
      </c>
      <c r="DJ3681">
        <v>0</v>
      </c>
      <c r="DK3681">
        <v>1</v>
      </c>
      <c r="DL3681">
        <v>0</v>
      </c>
      <c r="DM3681">
        <v>0</v>
      </c>
      <c r="DN3681">
        <v>0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3">
      <c r="A3682" t="str">
        <f>"05/01/2025 15:14:45.950"</f>
        <v>05/01/2025 15:14:45.950</v>
      </c>
      <c r="C3682" t="str">
        <f t="shared" si="1444"/>
        <v>FFDFD3C0</v>
      </c>
      <c r="D3682" t="s">
        <v>140</v>
      </c>
      <c r="E3682" t="str">
        <f>"13"</f>
        <v>13</v>
      </c>
      <c r="F3682">
        <v>1019</v>
      </c>
      <c r="G3682" t="s">
        <v>141</v>
      </c>
      <c r="J3682" t="s">
        <v>142</v>
      </c>
      <c r="K3682">
        <v>0</v>
      </c>
      <c r="L3682">
        <v>3</v>
      </c>
      <c r="M3682">
        <v>0</v>
      </c>
      <c r="N3682">
        <v>2</v>
      </c>
      <c r="O3682">
        <v>0</v>
      </c>
      <c r="P3682">
        <v>1</v>
      </c>
      <c r="Q3682">
        <v>0</v>
      </c>
      <c r="R3682" t="s">
        <v>127</v>
      </c>
      <c r="S3682" t="str">
        <f t="shared" si="1458"/>
        <v>15:14:45.000</v>
      </c>
      <c r="T3682" t="str">
        <f t="shared" si="1458"/>
        <v>15:14:45.000</v>
      </c>
      <c r="U3682" t="str">
        <f t="shared" si="1446"/>
        <v>A68FCB</v>
      </c>
      <c r="V3682">
        <v>0</v>
      </c>
      <c r="W3682">
        <v>0</v>
      </c>
      <c r="X3682">
        <v>2</v>
      </c>
      <c r="Y3682">
        <v>0</v>
      </c>
      <c r="AA3682">
        <v>1</v>
      </c>
      <c r="AB3682">
        <v>8</v>
      </c>
      <c r="AC3682">
        <v>3</v>
      </c>
      <c r="AD3682">
        <v>0</v>
      </c>
      <c r="AE3682">
        <v>9</v>
      </c>
      <c r="AF3682" t="s">
        <v>138</v>
      </c>
      <c r="AG3682">
        <v>0</v>
      </c>
      <c r="AH3682">
        <v>3</v>
      </c>
      <c r="AI3682">
        <v>2</v>
      </c>
      <c r="AJ3682">
        <v>0</v>
      </c>
      <c r="AK3682" t="s">
        <v>1177</v>
      </c>
      <c r="AL3682">
        <v>39.160724000000002</v>
      </c>
      <c r="AM3682" t="s">
        <v>1170</v>
      </c>
      <c r="AN3682">
        <v>-121.030841</v>
      </c>
      <c r="AO3682">
        <v>25</v>
      </c>
      <c r="AP3682">
        <v>4100</v>
      </c>
      <c r="AQ3682" t="s">
        <v>131</v>
      </c>
      <c r="AR3682">
        <v>0</v>
      </c>
      <c r="AS3682">
        <v>93</v>
      </c>
      <c r="AT3682">
        <v>320</v>
      </c>
      <c r="BB3682" t="str">
        <f t="shared" si="1447"/>
        <v>1200</v>
      </c>
      <c r="BC3682">
        <v>1</v>
      </c>
      <c r="BD3682" t="str">
        <f t="shared" si="1448"/>
        <v xml:space="preserve">N52156  </v>
      </c>
      <c r="BE3682">
        <v>1</v>
      </c>
      <c r="BG3682">
        <v>0</v>
      </c>
      <c r="BH3682">
        <v>0</v>
      </c>
      <c r="BI3682">
        <v>0</v>
      </c>
      <c r="BJ3682">
        <v>4150</v>
      </c>
      <c r="BK3682">
        <v>50</v>
      </c>
      <c r="BL3682" t="s">
        <v>188</v>
      </c>
      <c r="BM3682">
        <v>1</v>
      </c>
      <c r="BN3682">
        <v>1</v>
      </c>
      <c r="BO3682">
        <v>0</v>
      </c>
      <c r="BP3682">
        <v>0</v>
      </c>
      <c r="BS3682">
        <v>0</v>
      </c>
      <c r="BT3682">
        <v>0</v>
      </c>
      <c r="BU3682">
        <v>0</v>
      </c>
      <c r="CE3682" t="str">
        <f t="shared" si="1459"/>
        <v>15:14:45.694</v>
      </c>
      <c r="CF3682">
        <v>693739149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4</v>
      </c>
      <c r="CY3682">
        <v>7</v>
      </c>
      <c r="CZ3682" t="s">
        <v>133</v>
      </c>
      <c r="DA3682">
        <v>275</v>
      </c>
      <c r="DB3682">
        <v>0</v>
      </c>
      <c r="DC3682" t="s">
        <v>134</v>
      </c>
      <c r="DD3682" t="s">
        <v>135</v>
      </c>
      <c r="DG3682">
        <v>3322898</v>
      </c>
      <c r="DI3682">
        <v>1</v>
      </c>
      <c r="DJ3682">
        <v>0</v>
      </c>
      <c r="DK3682">
        <v>1</v>
      </c>
      <c r="DL3682">
        <v>0</v>
      </c>
      <c r="DM3682">
        <v>0</v>
      </c>
      <c r="DN3682">
        <v>0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3">
      <c r="A3683" t="str">
        <f>"05/01/2025 15:14:45.954"</f>
        <v>05/01/2025 15:14:45.954</v>
      </c>
      <c r="C3683" t="str">
        <f t="shared" si="1444"/>
        <v>FFDFD3C0</v>
      </c>
      <c r="D3683" t="s">
        <v>124</v>
      </c>
      <c r="E3683" t="str">
        <f>"06"</f>
        <v>06</v>
      </c>
      <c r="F3683">
        <v>2006</v>
      </c>
      <c r="G3683" t="s">
        <v>125</v>
      </c>
      <c r="J3683" t="s">
        <v>126</v>
      </c>
      <c r="K3683">
        <v>0</v>
      </c>
      <c r="L3683">
        <v>3</v>
      </c>
      <c r="M3683">
        <v>0</v>
      </c>
      <c r="N3683">
        <v>2</v>
      </c>
      <c r="O3683">
        <v>0</v>
      </c>
      <c r="P3683">
        <v>1</v>
      </c>
      <c r="Q3683">
        <v>0</v>
      </c>
      <c r="R3683" t="s">
        <v>127</v>
      </c>
      <c r="S3683" t="str">
        <f t="shared" si="1458"/>
        <v>15:14:45.000</v>
      </c>
      <c r="T3683" t="str">
        <f t="shared" si="1458"/>
        <v>15:14:45.000</v>
      </c>
      <c r="U3683" t="str">
        <f t="shared" si="1446"/>
        <v>A68FCB</v>
      </c>
      <c r="V3683">
        <v>0</v>
      </c>
      <c r="W3683">
        <v>0</v>
      </c>
      <c r="X3683">
        <v>2</v>
      </c>
      <c r="Y3683">
        <v>0</v>
      </c>
      <c r="AA3683">
        <v>1</v>
      </c>
      <c r="AB3683">
        <v>8</v>
      </c>
      <c r="AC3683">
        <v>3</v>
      </c>
      <c r="AD3683">
        <v>0</v>
      </c>
      <c r="AE3683">
        <v>9</v>
      </c>
      <c r="AF3683" t="s">
        <v>138</v>
      </c>
      <c r="AG3683">
        <v>0</v>
      </c>
      <c r="AH3683">
        <v>3</v>
      </c>
      <c r="AI3683">
        <v>2</v>
      </c>
      <c r="AJ3683">
        <v>0</v>
      </c>
      <c r="AK3683" t="s">
        <v>1177</v>
      </c>
      <c r="AL3683">
        <v>39.160724000000002</v>
      </c>
      <c r="AM3683" t="s">
        <v>1170</v>
      </c>
      <c r="AN3683">
        <v>-121.030841</v>
      </c>
      <c r="AO3683">
        <v>25</v>
      </c>
      <c r="AP3683">
        <v>4100</v>
      </c>
      <c r="AQ3683" t="s">
        <v>131</v>
      </c>
      <c r="AR3683">
        <v>0</v>
      </c>
      <c r="AS3683">
        <v>93</v>
      </c>
      <c r="AT3683">
        <v>320</v>
      </c>
      <c r="BB3683" t="str">
        <f t="shared" si="1447"/>
        <v>1200</v>
      </c>
      <c r="BC3683">
        <v>1</v>
      </c>
      <c r="BD3683" t="str">
        <f t="shared" si="1448"/>
        <v xml:space="preserve">N52156  </v>
      </c>
      <c r="BE3683">
        <v>1</v>
      </c>
      <c r="BG3683">
        <v>0</v>
      </c>
      <c r="BH3683">
        <v>0</v>
      </c>
      <c r="BI3683">
        <v>0</v>
      </c>
      <c r="BJ3683">
        <v>4150</v>
      </c>
      <c r="BK3683">
        <v>50</v>
      </c>
      <c r="BL3683" t="s">
        <v>188</v>
      </c>
      <c r="BM3683">
        <v>1</v>
      </c>
      <c r="BN3683">
        <v>1</v>
      </c>
      <c r="BO3683">
        <v>0</v>
      </c>
      <c r="BP3683">
        <v>0</v>
      </c>
      <c r="BS3683">
        <v>0</v>
      </c>
      <c r="BT3683">
        <v>0</v>
      </c>
      <c r="BU3683">
        <v>0</v>
      </c>
      <c r="CE3683" t="str">
        <f t="shared" si="1459"/>
        <v>15:14:45.694</v>
      </c>
      <c r="CF3683">
        <v>693739149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4</v>
      </c>
      <c r="CY3683">
        <v>7</v>
      </c>
      <c r="CZ3683" t="s">
        <v>133</v>
      </c>
      <c r="DA3683">
        <v>275</v>
      </c>
      <c r="DB3683">
        <v>0</v>
      </c>
      <c r="DC3683" t="s">
        <v>134</v>
      </c>
      <c r="DD3683" t="s">
        <v>135</v>
      </c>
      <c r="DG3683">
        <v>3322898</v>
      </c>
      <c r="DI3683">
        <v>1</v>
      </c>
      <c r="DJ3683">
        <v>0</v>
      </c>
      <c r="DK3683">
        <v>1</v>
      </c>
      <c r="DL3683">
        <v>0</v>
      </c>
      <c r="DM3683">
        <v>0</v>
      </c>
      <c r="DN3683">
        <v>0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3">
      <c r="A3684" t="str">
        <f>"05/01/2025 15:14:45.965"</f>
        <v>05/01/2025 15:14:45.965</v>
      </c>
      <c r="C3684" t="str">
        <f t="shared" si="1444"/>
        <v>FFDFD3C0</v>
      </c>
      <c r="D3684" t="s">
        <v>145</v>
      </c>
      <c r="E3684" t="str">
        <f>"09"</f>
        <v>09</v>
      </c>
      <c r="H3684">
        <v>51</v>
      </c>
      <c r="I3684" t="s">
        <v>147</v>
      </c>
      <c r="J3684" t="s">
        <v>138</v>
      </c>
      <c r="K3684">
        <v>0</v>
      </c>
      <c r="L3684">
        <v>3</v>
      </c>
      <c r="M3684">
        <v>0</v>
      </c>
      <c r="N3684">
        <v>2</v>
      </c>
      <c r="O3684">
        <v>0</v>
      </c>
      <c r="P3684">
        <v>1</v>
      </c>
      <c r="Q3684">
        <v>0</v>
      </c>
      <c r="R3684" t="s">
        <v>127</v>
      </c>
      <c r="S3684" t="str">
        <f t="shared" si="1458"/>
        <v>15:14:45.000</v>
      </c>
      <c r="T3684" t="str">
        <f t="shared" si="1458"/>
        <v>15:14:45.000</v>
      </c>
      <c r="U3684" t="str">
        <f t="shared" si="1446"/>
        <v>A68FCB</v>
      </c>
      <c r="V3684">
        <v>0</v>
      </c>
      <c r="W3684">
        <v>0</v>
      </c>
      <c r="X3684">
        <v>2</v>
      </c>
      <c r="Y3684">
        <v>0</v>
      </c>
      <c r="AA3684">
        <v>1</v>
      </c>
      <c r="AB3684">
        <v>8</v>
      </c>
      <c r="AC3684">
        <v>3</v>
      </c>
      <c r="AD3684">
        <v>0</v>
      </c>
      <c r="AE3684">
        <v>9</v>
      </c>
      <c r="AF3684" t="s">
        <v>138</v>
      </c>
      <c r="AG3684">
        <v>0</v>
      </c>
      <c r="AH3684">
        <v>3</v>
      </c>
      <c r="AI3684">
        <v>2</v>
      </c>
      <c r="AJ3684">
        <v>0</v>
      </c>
      <c r="AK3684" t="s">
        <v>1177</v>
      </c>
      <c r="AL3684">
        <v>39.160724000000002</v>
      </c>
      <c r="AM3684" t="s">
        <v>1170</v>
      </c>
      <c r="AN3684">
        <v>-121.030841</v>
      </c>
      <c r="AO3684">
        <v>25</v>
      </c>
      <c r="AP3684">
        <v>4100</v>
      </c>
      <c r="AQ3684" t="s">
        <v>131</v>
      </c>
      <c r="AR3684">
        <v>0</v>
      </c>
      <c r="AS3684">
        <v>93</v>
      </c>
      <c r="AT3684">
        <v>320</v>
      </c>
      <c r="BB3684" t="str">
        <f t="shared" si="1447"/>
        <v>1200</v>
      </c>
      <c r="BC3684">
        <v>1</v>
      </c>
      <c r="BD3684" t="str">
        <f t="shared" si="1448"/>
        <v xml:space="preserve">N52156  </v>
      </c>
      <c r="BE3684">
        <v>1</v>
      </c>
      <c r="BG3684">
        <v>0</v>
      </c>
      <c r="BH3684">
        <v>0</v>
      </c>
      <c r="BI3684">
        <v>0</v>
      </c>
      <c r="BJ3684">
        <v>4150</v>
      </c>
      <c r="BK3684">
        <v>50</v>
      </c>
      <c r="BL3684" t="s">
        <v>188</v>
      </c>
      <c r="BM3684">
        <v>1</v>
      </c>
      <c r="BN3684">
        <v>1</v>
      </c>
      <c r="BO3684">
        <v>0</v>
      </c>
      <c r="BP3684">
        <v>0</v>
      </c>
      <c r="BS3684">
        <v>0</v>
      </c>
      <c r="BT3684">
        <v>0</v>
      </c>
      <c r="BU3684">
        <v>0</v>
      </c>
      <c r="CE3684" t="str">
        <f t="shared" si="1459"/>
        <v>15:14:45.694</v>
      </c>
      <c r="CF3684">
        <v>693739149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4</v>
      </c>
      <c r="CY3684">
        <v>7</v>
      </c>
      <c r="CZ3684" t="s">
        <v>133</v>
      </c>
      <c r="DA3684">
        <v>275</v>
      </c>
      <c r="DB3684">
        <v>0</v>
      </c>
      <c r="DC3684" t="s">
        <v>134</v>
      </c>
      <c r="DD3684" t="s">
        <v>135</v>
      </c>
      <c r="DG3684">
        <v>3322898</v>
      </c>
      <c r="DI3684">
        <v>1</v>
      </c>
      <c r="DJ3684">
        <v>0</v>
      </c>
      <c r="DK3684">
        <v>1</v>
      </c>
      <c r="DL3684">
        <v>0</v>
      </c>
      <c r="DM3684">
        <v>0</v>
      </c>
      <c r="DN3684">
        <v>0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3">
      <c r="A3685" t="str">
        <f>"05/01/2025 15:14:45.966"</f>
        <v>05/01/2025 15:14:45.966</v>
      </c>
      <c r="C3685" t="str">
        <f t="shared" si="1444"/>
        <v>FFDFD3C0</v>
      </c>
      <c r="D3685" t="s">
        <v>145</v>
      </c>
      <c r="E3685" t="str">
        <f>"05"</f>
        <v>05</v>
      </c>
      <c r="H3685">
        <v>47</v>
      </c>
      <c r="I3685" t="s">
        <v>146</v>
      </c>
      <c r="J3685" t="s">
        <v>138</v>
      </c>
      <c r="K3685">
        <v>0</v>
      </c>
      <c r="L3685">
        <v>3</v>
      </c>
      <c r="M3685">
        <v>0</v>
      </c>
      <c r="N3685">
        <v>2</v>
      </c>
      <c r="O3685">
        <v>0</v>
      </c>
      <c r="P3685">
        <v>1</v>
      </c>
      <c r="Q3685">
        <v>0</v>
      </c>
      <c r="R3685" t="s">
        <v>127</v>
      </c>
      <c r="S3685" t="str">
        <f t="shared" si="1458"/>
        <v>15:14:45.000</v>
      </c>
      <c r="T3685" t="str">
        <f t="shared" si="1458"/>
        <v>15:14:45.000</v>
      </c>
      <c r="U3685" t="str">
        <f t="shared" si="1446"/>
        <v>A68FCB</v>
      </c>
      <c r="V3685">
        <v>0</v>
      </c>
      <c r="W3685">
        <v>0</v>
      </c>
      <c r="X3685">
        <v>2</v>
      </c>
      <c r="Y3685">
        <v>0</v>
      </c>
      <c r="AA3685">
        <v>1</v>
      </c>
      <c r="AB3685">
        <v>8</v>
      </c>
      <c r="AC3685">
        <v>3</v>
      </c>
      <c r="AD3685">
        <v>0</v>
      </c>
      <c r="AE3685">
        <v>9</v>
      </c>
      <c r="AF3685" t="s">
        <v>138</v>
      </c>
      <c r="AG3685">
        <v>0</v>
      </c>
      <c r="AH3685">
        <v>3</v>
      </c>
      <c r="AI3685">
        <v>2</v>
      </c>
      <c r="AJ3685">
        <v>0</v>
      </c>
      <c r="AK3685" t="s">
        <v>1177</v>
      </c>
      <c r="AL3685">
        <v>39.160724000000002</v>
      </c>
      <c r="AM3685" t="s">
        <v>1170</v>
      </c>
      <c r="AN3685">
        <v>-121.030841</v>
      </c>
      <c r="AO3685">
        <v>25</v>
      </c>
      <c r="AP3685">
        <v>4100</v>
      </c>
      <c r="AQ3685" t="s">
        <v>131</v>
      </c>
      <c r="AR3685">
        <v>0</v>
      </c>
      <c r="AS3685">
        <v>93</v>
      </c>
      <c r="AT3685">
        <v>320</v>
      </c>
      <c r="BB3685" t="str">
        <f t="shared" si="1447"/>
        <v>1200</v>
      </c>
      <c r="BC3685">
        <v>1</v>
      </c>
      <c r="BD3685" t="str">
        <f t="shared" si="1448"/>
        <v xml:space="preserve">N52156  </v>
      </c>
      <c r="BE3685">
        <v>1</v>
      </c>
      <c r="BG3685">
        <v>0</v>
      </c>
      <c r="BH3685">
        <v>0</v>
      </c>
      <c r="BI3685">
        <v>0</v>
      </c>
      <c r="BJ3685">
        <v>4150</v>
      </c>
      <c r="BK3685">
        <v>50</v>
      </c>
      <c r="BL3685" t="s">
        <v>188</v>
      </c>
      <c r="BM3685">
        <v>1</v>
      </c>
      <c r="BN3685">
        <v>1</v>
      </c>
      <c r="BO3685">
        <v>0</v>
      </c>
      <c r="BP3685">
        <v>0</v>
      </c>
      <c r="BS3685">
        <v>0</v>
      </c>
      <c r="BT3685">
        <v>0</v>
      </c>
      <c r="BU3685">
        <v>0</v>
      </c>
      <c r="CE3685" t="str">
        <f t="shared" si="1459"/>
        <v>15:14:45.694</v>
      </c>
      <c r="CF3685">
        <v>693739149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4</v>
      </c>
      <c r="CY3685">
        <v>7</v>
      </c>
      <c r="CZ3685" t="s">
        <v>133</v>
      </c>
      <c r="DA3685">
        <v>275</v>
      </c>
      <c r="DB3685">
        <v>0</v>
      </c>
      <c r="DC3685" t="s">
        <v>134</v>
      </c>
      <c r="DD3685" t="s">
        <v>135</v>
      </c>
      <c r="DG3685">
        <v>3322898</v>
      </c>
      <c r="DI3685">
        <v>1</v>
      </c>
      <c r="DJ3685">
        <v>0</v>
      </c>
      <c r="DK3685">
        <v>1</v>
      </c>
      <c r="DL3685">
        <v>0</v>
      </c>
      <c r="DM3685">
        <v>0</v>
      </c>
      <c r="DN3685">
        <v>0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3">
      <c r="A3686" t="str">
        <f>"05/01/2025 15:14:47.097"</f>
        <v>05/01/2025 15:14:47.097</v>
      </c>
      <c r="C3686" t="str">
        <f t="shared" si="1444"/>
        <v>FFDFD3C0</v>
      </c>
      <c r="D3686" t="s">
        <v>143</v>
      </c>
      <c r="E3686" t="str">
        <f>"05"</f>
        <v>05</v>
      </c>
      <c r="H3686">
        <v>172</v>
      </c>
      <c r="I3686" t="s">
        <v>141</v>
      </c>
      <c r="J3686" t="s">
        <v>144</v>
      </c>
      <c r="K3686">
        <v>0</v>
      </c>
      <c r="L3686">
        <v>3</v>
      </c>
      <c r="M3686">
        <v>0</v>
      </c>
      <c r="N3686">
        <v>2</v>
      </c>
      <c r="O3686">
        <v>0</v>
      </c>
      <c r="P3686">
        <v>1</v>
      </c>
      <c r="Q3686">
        <v>0</v>
      </c>
      <c r="R3686" t="s">
        <v>127</v>
      </c>
      <c r="S3686" t="str">
        <f t="shared" ref="S3686:T3691" si="1460">"15:14:46.000"</f>
        <v>15:14:46.000</v>
      </c>
      <c r="T3686" t="str">
        <f t="shared" si="1460"/>
        <v>15:14:46.000</v>
      </c>
      <c r="U3686" t="str">
        <f t="shared" si="1446"/>
        <v>A68FCB</v>
      </c>
      <c r="V3686">
        <v>0</v>
      </c>
      <c r="W3686">
        <v>0</v>
      </c>
      <c r="X3686">
        <v>2</v>
      </c>
      <c r="Y3686">
        <v>0</v>
      </c>
      <c r="AA3686">
        <v>1</v>
      </c>
      <c r="AB3686">
        <v>8</v>
      </c>
      <c r="AC3686">
        <v>3</v>
      </c>
      <c r="AD3686">
        <v>0</v>
      </c>
      <c r="AE3686">
        <v>9</v>
      </c>
      <c r="AF3686" t="s">
        <v>138</v>
      </c>
      <c r="AG3686">
        <v>0</v>
      </c>
      <c r="AH3686">
        <v>3</v>
      </c>
      <c r="AI3686">
        <v>2</v>
      </c>
      <c r="AJ3686">
        <v>0</v>
      </c>
      <c r="AK3686" t="s">
        <v>1178</v>
      </c>
      <c r="AL3686">
        <v>39.161152999999999</v>
      </c>
      <c r="AM3686" t="s">
        <v>1170</v>
      </c>
      <c r="AN3686">
        <v>-121.030841</v>
      </c>
      <c r="AO3686">
        <v>25</v>
      </c>
      <c r="AP3686">
        <v>4100</v>
      </c>
      <c r="AQ3686" t="s">
        <v>131</v>
      </c>
      <c r="AR3686">
        <v>0</v>
      </c>
      <c r="AS3686">
        <v>93</v>
      </c>
      <c r="AT3686">
        <v>320</v>
      </c>
      <c r="BB3686" t="str">
        <f t="shared" si="1447"/>
        <v>1200</v>
      </c>
      <c r="BC3686">
        <v>1</v>
      </c>
      <c r="BD3686" t="str">
        <f t="shared" si="1448"/>
        <v xml:space="preserve">N52156  </v>
      </c>
      <c r="BE3686">
        <v>1</v>
      </c>
      <c r="BG3686">
        <v>0</v>
      </c>
      <c r="BH3686">
        <v>0</v>
      </c>
      <c r="BI3686">
        <v>0</v>
      </c>
      <c r="BJ3686">
        <v>4150</v>
      </c>
      <c r="BK3686">
        <v>50</v>
      </c>
      <c r="BL3686" t="s">
        <v>188</v>
      </c>
      <c r="BM3686">
        <v>1</v>
      </c>
      <c r="BN3686">
        <v>1</v>
      </c>
      <c r="BO3686">
        <v>0</v>
      </c>
      <c r="BP3686">
        <v>0</v>
      </c>
      <c r="BS3686">
        <v>0</v>
      </c>
      <c r="BT3686">
        <v>0</v>
      </c>
      <c r="BU3686">
        <v>0</v>
      </c>
      <c r="CE3686" t="str">
        <f t="shared" ref="CE3686:CE3691" si="1461">"15:14:46.874"</f>
        <v>15:14:46.874</v>
      </c>
      <c r="CF3686">
        <v>873989716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4</v>
      </c>
      <c r="CY3686">
        <v>7</v>
      </c>
      <c r="CZ3686" t="s">
        <v>133</v>
      </c>
      <c r="DA3686">
        <v>275</v>
      </c>
      <c r="DB3686">
        <v>0</v>
      </c>
      <c r="DC3686" t="s">
        <v>134</v>
      </c>
      <c r="DD3686" t="s">
        <v>135</v>
      </c>
      <c r="DG3686">
        <v>3322904</v>
      </c>
      <c r="DI3686">
        <v>1</v>
      </c>
      <c r="DJ3686">
        <v>0</v>
      </c>
      <c r="DK3686">
        <v>0</v>
      </c>
      <c r="DL3686">
        <v>0</v>
      </c>
      <c r="DM3686">
        <v>0</v>
      </c>
      <c r="DN3686">
        <v>0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3">
      <c r="A3687" t="str">
        <f>"05/01/2025 15:14:47.102"</f>
        <v>05/01/2025 15:14:47.102</v>
      </c>
      <c r="C3687" t="str">
        <f t="shared" si="1444"/>
        <v>FFDFD3C0</v>
      </c>
      <c r="D3687" t="s">
        <v>140</v>
      </c>
      <c r="E3687" t="str">
        <f>"13"</f>
        <v>13</v>
      </c>
      <c r="F3687">
        <v>1019</v>
      </c>
      <c r="G3687" t="s">
        <v>141</v>
      </c>
      <c r="J3687" t="s">
        <v>142</v>
      </c>
      <c r="K3687">
        <v>0</v>
      </c>
      <c r="L3687">
        <v>3</v>
      </c>
      <c r="M3687">
        <v>0</v>
      </c>
      <c r="N3687">
        <v>2</v>
      </c>
      <c r="O3687">
        <v>0</v>
      </c>
      <c r="P3687">
        <v>1</v>
      </c>
      <c r="Q3687">
        <v>0</v>
      </c>
      <c r="R3687" t="s">
        <v>127</v>
      </c>
      <c r="S3687" t="str">
        <f t="shared" si="1460"/>
        <v>15:14:46.000</v>
      </c>
      <c r="T3687" t="str">
        <f t="shared" si="1460"/>
        <v>15:14:46.000</v>
      </c>
      <c r="U3687" t="str">
        <f t="shared" si="1446"/>
        <v>A68FCB</v>
      </c>
      <c r="V3687">
        <v>0</v>
      </c>
      <c r="W3687">
        <v>0</v>
      </c>
      <c r="X3687">
        <v>2</v>
      </c>
      <c r="Y3687">
        <v>0</v>
      </c>
      <c r="AA3687">
        <v>1</v>
      </c>
      <c r="AB3687">
        <v>8</v>
      </c>
      <c r="AC3687">
        <v>3</v>
      </c>
      <c r="AD3687">
        <v>0</v>
      </c>
      <c r="AE3687">
        <v>9</v>
      </c>
      <c r="AF3687" t="s">
        <v>138</v>
      </c>
      <c r="AG3687">
        <v>0</v>
      </c>
      <c r="AH3687">
        <v>3</v>
      </c>
      <c r="AI3687">
        <v>2</v>
      </c>
      <c r="AJ3687">
        <v>0</v>
      </c>
      <c r="AK3687" t="s">
        <v>1178</v>
      </c>
      <c r="AL3687">
        <v>39.161152999999999</v>
      </c>
      <c r="AM3687" t="s">
        <v>1170</v>
      </c>
      <c r="AN3687">
        <v>-121.030841</v>
      </c>
      <c r="AO3687">
        <v>25</v>
      </c>
      <c r="AP3687">
        <v>4100</v>
      </c>
      <c r="AQ3687" t="s">
        <v>131</v>
      </c>
      <c r="AR3687">
        <v>0</v>
      </c>
      <c r="AS3687">
        <v>93</v>
      </c>
      <c r="AT3687">
        <v>320</v>
      </c>
      <c r="BB3687" t="str">
        <f t="shared" si="1447"/>
        <v>1200</v>
      </c>
      <c r="BC3687">
        <v>1</v>
      </c>
      <c r="BD3687" t="str">
        <f t="shared" si="1448"/>
        <v xml:space="preserve">N52156  </v>
      </c>
      <c r="BE3687">
        <v>1</v>
      </c>
      <c r="BG3687">
        <v>0</v>
      </c>
      <c r="BH3687">
        <v>0</v>
      </c>
      <c r="BI3687">
        <v>0</v>
      </c>
      <c r="BJ3687">
        <v>4150</v>
      </c>
      <c r="BK3687">
        <v>50</v>
      </c>
      <c r="BL3687" t="s">
        <v>188</v>
      </c>
      <c r="BM3687">
        <v>1</v>
      </c>
      <c r="BN3687">
        <v>1</v>
      </c>
      <c r="BO3687">
        <v>0</v>
      </c>
      <c r="BP3687">
        <v>0</v>
      </c>
      <c r="BS3687">
        <v>0</v>
      </c>
      <c r="BT3687">
        <v>0</v>
      </c>
      <c r="BU3687">
        <v>0</v>
      </c>
      <c r="CE3687" t="str">
        <f t="shared" si="1461"/>
        <v>15:14:46.874</v>
      </c>
      <c r="CF3687">
        <v>873989716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4</v>
      </c>
      <c r="CY3687">
        <v>7</v>
      </c>
      <c r="CZ3687" t="s">
        <v>133</v>
      </c>
      <c r="DA3687">
        <v>275</v>
      </c>
      <c r="DB3687">
        <v>0</v>
      </c>
      <c r="DC3687" t="s">
        <v>134</v>
      </c>
      <c r="DD3687" t="s">
        <v>135</v>
      </c>
      <c r="DG3687">
        <v>3322904</v>
      </c>
      <c r="DI3687">
        <v>1</v>
      </c>
      <c r="DJ3687">
        <v>0</v>
      </c>
      <c r="DK3687">
        <v>1</v>
      </c>
      <c r="DL3687">
        <v>0</v>
      </c>
      <c r="DM3687">
        <v>0</v>
      </c>
      <c r="DN3687">
        <v>0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3">
      <c r="A3688" t="str">
        <f>"05/01/2025 15:14:47.106"</f>
        <v>05/01/2025 15:14:47.106</v>
      </c>
      <c r="C3688" t="str">
        <f t="shared" si="1444"/>
        <v>FFDFD3C0</v>
      </c>
      <c r="D3688" t="s">
        <v>124</v>
      </c>
      <c r="E3688" t="str">
        <f>"06"</f>
        <v>06</v>
      </c>
      <c r="F3688">
        <v>2006</v>
      </c>
      <c r="G3688" t="s">
        <v>125</v>
      </c>
      <c r="J3688" t="s">
        <v>126</v>
      </c>
      <c r="K3688">
        <v>0</v>
      </c>
      <c r="L3688">
        <v>3</v>
      </c>
      <c r="M3688">
        <v>0</v>
      </c>
      <c r="N3688">
        <v>2</v>
      </c>
      <c r="O3688">
        <v>0</v>
      </c>
      <c r="P3688">
        <v>1</v>
      </c>
      <c r="Q3688">
        <v>0</v>
      </c>
      <c r="R3688" t="s">
        <v>127</v>
      </c>
      <c r="S3688" t="str">
        <f t="shared" si="1460"/>
        <v>15:14:46.000</v>
      </c>
      <c r="T3688" t="str">
        <f t="shared" si="1460"/>
        <v>15:14:46.000</v>
      </c>
      <c r="U3688" t="str">
        <f t="shared" si="1446"/>
        <v>A68FCB</v>
      </c>
      <c r="V3688">
        <v>0</v>
      </c>
      <c r="W3688">
        <v>0</v>
      </c>
      <c r="X3688">
        <v>2</v>
      </c>
      <c r="Y3688">
        <v>0</v>
      </c>
      <c r="AA3688">
        <v>1</v>
      </c>
      <c r="AB3688">
        <v>8</v>
      </c>
      <c r="AC3688">
        <v>3</v>
      </c>
      <c r="AD3688">
        <v>0</v>
      </c>
      <c r="AE3688">
        <v>9</v>
      </c>
      <c r="AF3688" t="s">
        <v>138</v>
      </c>
      <c r="AG3688">
        <v>0</v>
      </c>
      <c r="AH3688">
        <v>3</v>
      </c>
      <c r="AI3688">
        <v>2</v>
      </c>
      <c r="AJ3688">
        <v>0</v>
      </c>
      <c r="AK3688" t="s">
        <v>1178</v>
      </c>
      <c r="AL3688">
        <v>39.161152999999999</v>
      </c>
      <c r="AM3688" t="s">
        <v>1170</v>
      </c>
      <c r="AN3688">
        <v>-121.030841</v>
      </c>
      <c r="AO3688">
        <v>25</v>
      </c>
      <c r="AP3688">
        <v>4100</v>
      </c>
      <c r="AQ3688" t="s">
        <v>131</v>
      </c>
      <c r="AR3688">
        <v>0</v>
      </c>
      <c r="AS3688">
        <v>93</v>
      </c>
      <c r="AT3688">
        <v>320</v>
      </c>
      <c r="BB3688" t="str">
        <f t="shared" si="1447"/>
        <v>1200</v>
      </c>
      <c r="BC3688">
        <v>1</v>
      </c>
      <c r="BD3688" t="str">
        <f t="shared" si="1448"/>
        <v xml:space="preserve">N52156  </v>
      </c>
      <c r="BE3688">
        <v>1</v>
      </c>
      <c r="BG3688">
        <v>0</v>
      </c>
      <c r="BH3688">
        <v>0</v>
      </c>
      <c r="BI3688">
        <v>0</v>
      </c>
      <c r="BJ3688">
        <v>4150</v>
      </c>
      <c r="BK3688">
        <v>50</v>
      </c>
      <c r="BL3688" t="s">
        <v>188</v>
      </c>
      <c r="BM3688">
        <v>1</v>
      </c>
      <c r="BN3688">
        <v>1</v>
      </c>
      <c r="BO3688">
        <v>0</v>
      </c>
      <c r="BP3688">
        <v>0</v>
      </c>
      <c r="BS3688">
        <v>0</v>
      </c>
      <c r="BT3688">
        <v>0</v>
      </c>
      <c r="BU3688">
        <v>0</v>
      </c>
      <c r="CE3688" t="str">
        <f t="shared" si="1461"/>
        <v>15:14:46.874</v>
      </c>
      <c r="CF3688">
        <v>873989716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4</v>
      </c>
      <c r="CY3688">
        <v>7</v>
      </c>
      <c r="CZ3688" t="s">
        <v>133</v>
      </c>
      <c r="DA3688">
        <v>275</v>
      </c>
      <c r="DB3688">
        <v>0</v>
      </c>
      <c r="DC3688" t="s">
        <v>134</v>
      </c>
      <c r="DD3688" t="s">
        <v>135</v>
      </c>
      <c r="DG3688">
        <v>3322904</v>
      </c>
      <c r="DI3688">
        <v>1</v>
      </c>
      <c r="DJ3688">
        <v>0</v>
      </c>
      <c r="DK3688">
        <v>1</v>
      </c>
      <c r="DL3688">
        <v>0</v>
      </c>
      <c r="DM3688">
        <v>0</v>
      </c>
      <c r="DN3688">
        <v>0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3">
      <c r="A3689" t="str">
        <f>"05/01/2025 15:14:47.117"</f>
        <v>05/01/2025 15:14:47.117</v>
      </c>
      <c r="C3689" t="str">
        <f t="shared" si="1444"/>
        <v>FFDFD3C0</v>
      </c>
      <c r="D3689" t="s">
        <v>145</v>
      </c>
      <c r="E3689" t="str">
        <f>"09"</f>
        <v>09</v>
      </c>
      <c r="H3689">
        <v>51</v>
      </c>
      <c r="I3689" t="s">
        <v>147</v>
      </c>
      <c r="J3689" t="s">
        <v>138</v>
      </c>
      <c r="K3689">
        <v>0</v>
      </c>
      <c r="L3689">
        <v>3</v>
      </c>
      <c r="M3689">
        <v>0</v>
      </c>
      <c r="N3689">
        <v>2</v>
      </c>
      <c r="O3689">
        <v>0</v>
      </c>
      <c r="P3689">
        <v>1</v>
      </c>
      <c r="Q3689">
        <v>0</v>
      </c>
      <c r="R3689" t="s">
        <v>127</v>
      </c>
      <c r="S3689" t="str">
        <f t="shared" si="1460"/>
        <v>15:14:46.000</v>
      </c>
      <c r="T3689" t="str">
        <f t="shared" si="1460"/>
        <v>15:14:46.000</v>
      </c>
      <c r="U3689" t="str">
        <f t="shared" si="1446"/>
        <v>A68FCB</v>
      </c>
      <c r="V3689">
        <v>0</v>
      </c>
      <c r="W3689">
        <v>0</v>
      </c>
      <c r="X3689">
        <v>2</v>
      </c>
      <c r="Y3689">
        <v>0</v>
      </c>
      <c r="AA3689">
        <v>1</v>
      </c>
      <c r="AB3689">
        <v>8</v>
      </c>
      <c r="AC3689">
        <v>3</v>
      </c>
      <c r="AD3689">
        <v>0</v>
      </c>
      <c r="AE3689">
        <v>9</v>
      </c>
      <c r="AF3689" t="s">
        <v>138</v>
      </c>
      <c r="AG3689">
        <v>0</v>
      </c>
      <c r="AH3689">
        <v>3</v>
      </c>
      <c r="AI3689">
        <v>2</v>
      </c>
      <c r="AJ3689">
        <v>0</v>
      </c>
      <c r="AK3689" t="s">
        <v>1178</v>
      </c>
      <c r="AL3689">
        <v>39.161152999999999</v>
      </c>
      <c r="AM3689" t="s">
        <v>1170</v>
      </c>
      <c r="AN3689">
        <v>-121.030841</v>
      </c>
      <c r="AO3689">
        <v>25</v>
      </c>
      <c r="AP3689">
        <v>4100</v>
      </c>
      <c r="AQ3689" t="s">
        <v>131</v>
      </c>
      <c r="AR3689">
        <v>0</v>
      </c>
      <c r="AS3689">
        <v>93</v>
      </c>
      <c r="AT3689">
        <v>320</v>
      </c>
      <c r="BB3689" t="str">
        <f t="shared" si="1447"/>
        <v>1200</v>
      </c>
      <c r="BC3689">
        <v>1</v>
      </c>
      <c r="BD3689" t="str">
        <f t="shared" si="1448"/>
        <v xml:space="preserve">N52156  </v>
      </c>
      <c r="BE3689">
        <v>1</v>
      </c>
      <c r="BG3689">
        <v>0</v>
      </c>
      <c r="BH3689">
        <v>0</v>
      </c>
      <c r="BI3689">
        <v>0</v>
      </c>
      <c r="BJ3689">
        <v>4150</v>
      </c>
      <c r="BK3689">
        <v>50</v>
      </c>
      <c r="BL3689" t="s">
        <v>188</v>
      </c>
      <c r="BM3689">
        <v>1</v>
      </c>
      <c r="BN3689">
        <v>1</v>
      </c>
      <c r="BO3689">
        <v>0</v>
      </c>
      <c r="BP3689">
        <v>0</v>
      </c>
      <c r="BS3689">
        <v>0</v>
      </c>
      <c r="BT3689">
        <v>0</v>
      </c>
      <c r="BU3689">
        <v>0</v>
      </c>
      <c r="CE3689" t="str">
        <f t="shared" si="1461"/>
        <v>15:14:46.874</v>
      </c>
      <c r="CF3689">
        <v>873989716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4</v>
      </c>
      <c r="CY3689">
        <v>7</v>
      </c>
      <c r="CZ3689" t="s">
        <v>133</v>
      </c>
      <c r="DA3689">
        <v>275</v>
      </c>
      <c r="DB3689">
        <v>0</v>
      </c>
      <c r="DC3689" t="s">
        <v>134</v>
      </c>
      <c r="DD3689" t="s">
        <v>135</v>
      </c>
      <c r="DG3689">
        <v>3322904</v>
      </c>
      <c r="DI3689">
        <v>1</v>
      </c>
      <c r="DJ3689">
        <v>0</v>
      </c>
      <c r="DK3689">
        <v>1</v>
      </c>
      <c r="DL3689">
        <v>0</v>
      </c>
      <c r="DM3689">
        <v>0</v>
      </c>
      <c r="DN3689">
        <v>0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3">
      <c r="A3690" t="str">
        <f>"05/01/2025 15:14:47.119"</f>
        <v>05/01/2025 15:14:47.119</v>
      </c>
      <c r="C3690" t="str">
        <f t="shared" si="1444"/>
        <v>FFDFD3C0</v>
      </c>
      <c r="D3690" t="s">
        <v>145</v>
      </c>
      <c r="E3690" t="str">
        <f>"05"</f>
        <v>05</v>
      </c>
      <c r="H3690">
        <v>47</v>
      </c>
      <c r="I3690" t="s">
        <v>146</v>
      </c>
      <c r="J3690" t="s">
        <v>138</v>
      </c>
      <c r="K3690">
        <v>0</v>
      </c>
      <c r="L3690">
        <v>3</v>
      </c>
      <c r="M3690">
        <v>0</v>
      </c>
      <c r="N3690">
        <v>2</v>
      </c>
      <c r="O3690">
        <v>0</v>
      </c>
      <c r="P3690">
        <v>1</v>
      </c>
      <c r="Q3690">
        <v>0</v>
      </c>
      <c r="R3690" t="s">
        <v>127</v>
      </c>
      <c r="S3690" t="str">
        <f t="shared" si="1460"/>
        <v>15:14:46.000</v>
      </c>
      <c r="T3690" t="str">
        <f t="shared" si="1460"/>
        <v>15:14:46.000</v>
      </c>
      <c r="U3690" t="str">
        <f t="shared" si="1446"/>
        <v>A68FCB</v>
      </c>
      <c r="V3690">
        <v>0</v>
      </c>
      <c r="W3690">
        <v>0</v>
      </c>
      <c r="X3690">
        <v>2</v>
      </c>
      <c r="Y3690">
        <v>0</v>
      </c>
      <c r="AA3690">
        <v>1</v>
      </c>
      <c r="AB3690">
        <v>8</v>
      </c>
      <c r="AC3690">
        <v>3</v>
      </c>
      <c r="AD3690">
        <v>0</v>
      </c>
      <c r="AE3690">
        <v>9</v>
      </c>
      <c r="AF3690" t="s">
        <v>138</v>
      </c>
      <c r="AG3690">
        <v>0</v>
      </c>
      <c r="AH3690">
        <v>3</v>
      </c>
      <c r="AI3690">
        <v>2</v>
      </c>
      <c r="AJ3690">
        <v>0</v>
      </c>
      <c r="AK3690" t="s">
        <v>1178</v>
      </c>
      <c r="AL3690">
        <v>39.161152999999999</v>
      </c>
      <c r="AM3690" t="s">
        <v>1170</v>
      </c>
      <c r="AN3690">
        <v>-121.030841</v>
      </c>
      <c r="AO3690">
        <v>25</v>
      </c>
      <c r="AP3690">
        <v>4100</v>
      </c>
      <c r="AQ3690" t="s">
        <v>131</v>
      </c>
      <c r="AR3690">
        <v>0</v>
      </c>
      <c r="AS3690">
        <v>93</v>
      </c>
      <c r="AT3690">
        <v>320</v>
      </c>
      <c r="BB3690" t="str">
        <f t="shared" si="1447"/>
        <v>1200</v>
      </c>
      <c r="BC3690">
        <v>1</v>
      </c>
      <c r="BD3690" t="str">
        <f t="shared" si="1448"/>
        <v xml:space="preserve">N52156  </v>
      </c>
      <c r="BE3690">
        <v>1</v>
      </c>
      <c r="BG3690">
        <v>0</v>
      </c>
      <c r="BH3690">
        <v>0</v>
      </c>
      <c r="BI3690">
        <v>0</v>
      </c>
      <c r="BJ3690">
        <v>4150</v>
      </c>
      <c r="BK3690">
        <v>50</v>
      </c>
      <c r="BL3690" t="s">
        <v>188</v>
      </c>
      <c r="BM3690">
        <v>1</v>
      </c>
      <c r="BN3690">
        <v>1</v>
      </c>
      <c r="BO3690">
        <v>0</v>
      </c>
      <c r="BP3690">
        <v>0</v>
      </c>
      <c r="BS3690">
        <v>0</v>
      </c>
      <c r="BT3690">
        <v>0</v>
      </c>
      <c r="BU3690">
        <v>0</v>
      </c>
      <c r="CE3690" t="str">
        <f t="shared" si="1461"/>
        <v>15:14:46.874</v>
      </c>
      <c r="CF3690">
        <v>873989716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4</v>
      </c>
      <c r="CY3690">
        <v>7</v>
      </c>
      <c r="CZ3690" t="s">
        <v>133</v>
      </c>
      <c r="DA3690">
        <v>275</v>
      </c>
      <c r="DB3690">
        <v>0</v>
      </c>
      <c r="DC3690" t="s">
        <v>134</v>
      </c>
      <c r="DD3690" t="s">
        <v>135</v>
      </c>
      <c r="DG3690">
        <v>3322904</v>
      </c>
      <c r="DI3690">
        <v>1</v>
      </c>
      <c r="DJ3690">
        <v>0</v>
      </c>
      <c r="DK3690">
        <v>1</v>
      </c>
      <c r="DL3690">
        <v>0</v>
      </c>
      <c r="DM3690">
        <v>0</v>
      </c>
      <c r="DN3690">
        <v>0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3">
      <c r="A3691" t="str">
        <f>"05/01/2025 15:14:47.130"</f>
        <v>05/01/2025 15:14:47.130</v>
      </c>
      <c r="C3691" t="str">
        <f t="shared" si="1444"/>
        <v>FFDFD3C0</v>
      </c>
      <c r="D3691" t="s">
        <v>136</v>
      </c>
      <c r="E3691" t="str">
        <f>"20"</f>
        <v>20</v>
      </c>
      <c r="H3691">
        <v>400</v>
      </c>
      <c r="I3691" t="s">
        <v>137</v>
      </c>
      <c r="J3691" t="s">
        <v>138</v>
      </c>
      <c r="K3691">
        <v>0</v>
      </c>
      <c r="L3691">
        <v>3</v>
      </c>
      <c r="M3691">
        <v>0</v>
      </c>
      <c r="N3691">
        <v>2</v>
      </c>
      <c r="O3691">
        <v>0</v>
      </c>
      <c r="P3691">
        <v>1</v>
      </c>
      <c r="Q3691">
        <v>0</v>
      </c>
      <c r="R3691" t="s">
        <v>127</v>
      </c>
      <c r="S3691" t="str">
        <f t="shared" si="1460"/>
        <v>15:14:46.000</v>
      </c>
      <c r="T3691" t="str">
        <f t="shared" si="1460"/>
        <v>15:14:46.000</v>
      </c>
      <c r="U3691" t="str">
        <f t="shared" si="1446"/>
        <v>A68FCB</v>
      </c>
      <c r="V3691">
        <v>0</v>
      </c>
      <c r="W3691">
        <v>0</v>
      </c>
      <c r="X3691">
        <v>2</v>
      </c>
      <c r="Y3691">
        <v>0</v>
      </c>
      <c r="AA3691">
        <v>1</v>
      </c>
      <c r="AB3691">
        <v>8</v>
      </c>
      <c r="AC3691">
        <v>3</v>
      </c>
      <c r="AD3691">
        <v>0</v>
      </c>
      <c r="AE3691">
        <v>9</v>
      </c>
      <c r="AF3691" t="s">
        <v>138</v>
      </c>
      <c r="AG3691">
        <v>0</v>
      </c>
      <c r="AH3691">
        <v>3</v>
      </c>
      <c r="AI3691">
        <v>2</v>
      </c>
      <c r="AJ3691">
        <v>0</v>
      </c>
      <c r="AK3691" t="s">
        <v>1178</v>
      </c>
      <c r="AL3691">
        <v>39.161152999999999</v>
      </c>
      <c r="AM3691" t="s">
        <v>1170</v>
      </c>
      <c r="AN3691">
        <v>-121.030841</v>
      </c>
      <c r="AO3691">
        <v>25</v>
      </c>
      <c r="AP3691">
        <v>4100</v>
      </c>
      <c r="AQ3691" t="s">
        <v>131</v>
      </c>
      <c r="AR3691">
        <v>0</v>
      </c>
      <c r="AS3691">
        <v>93</v>
      </c>
      <c r="AT3691">
        <v>320</v>
      </c>
      <c r="BB3691" t="str">
        <f t="shared" si="1447"/>
        <v>1200</v>
      </c>
      <c r="BC3691">
        <v>1</v>
      </c>
      <c r="BD3691" t="str">
        <f t="shared" si="1448"/>
        <v xml:space="preserve">N52156  </v>
      </c>
      <c r="BE3691">
        <v>1</v>
      </c>
      <c r="BG3691">
        <v>0</v>
      </c>
      <c r="BH3691">
        <v>0</v>
      </c>
      <c r="BI3691">
        <v>0</v>
      </c>
      <c r="BJ3691">
        <v>4150</v>
      </c>
      <c r="BK3691">
        <v>50</v>
      </c>
      <c r="BL3691" t="s">
        <v>188</v>
      </c>
      <c r="BM3691">
        <v>1</v>
      </c>
      <c r="BN3691">
        <v>1</v>
      </c>
      <c r="BO3691">
        <v>0</v>
      </c>
      <c r="BP3691">
        <v>0</v>
      </c>
      <c r="BS3691">
        <v>0</v>
      </c>
      <c r="BT3691">
        <v>0</v>
      </c>
      <c r="BU3691">
        <v>0</v>
      </c>
      <c r="CE3691" t="str">
        <f t="shared" si="1461"/>
        <v>15:14:46.874</v>
      </c>
      <c r="CF3691">
        <v>873989716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4</v>
      </c>
      <c r="CY3691">
        <v>7</v>
      </c>
      <c r="CZ3691" t="s">
        <v>133</v>
      </c>
      <c r="DA3691">
        <v>275</v>
      </c>
      <c r="DB3691">
        <v>0</v>
      </c>
      <c r="DC3691" t="s">
        <v>134</v>
      </c>
      <c r="DD3691" t="s">
        <v>135</v>
      </c>
      <c r="DG3691">
        <v>3322904</v>
      </c>
      <c r="DI3691">
        <v>1</v>
      </c>
      <c r="DJ3691">
        <v>0</v>
      </c>
      <c r="DK3691">
        <v>1</v>
      </c>
      <c r="DL3691">
        <v>0</v>
      </c>
      <c r="DM3691">
        <v>0</v>
      </c>
      <c r="DN3691">
        <v>0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3">
      <c r="A3692" t="str">
        <f>"05/01/2025 15:14:48.032"</f>
        <v>05/01/2025 15:14:48.032</v>
      </c>
      <c r="C3692" t="str">
        <f t="shared" si="1444"/>
        <v>FFDFD3C0</v>
      </c>
      <c r="D3692" t="s">
        <v>136</v>
      </c>
      <c r="E3692" t="str">
        <f>"20"</f>
        <v>20</v>
      </c>
      <c r="H3692">
        <v>400</v>
      </c>
      <c r="I3692" t="s">
        <v>137</v>
      </c>
      <c r="J3692" t="s">
        <v>138</v>
      </c>
      <c r="K3692">
        <v>0</v>
      </c>
      <c r="L3692">
        <v>3</v>
      </c>
      <c r="M3692">
        <v>0</v>
      </c>
      <c r="N3692">
        <v>2</v>
      </c>
      <c r="O3692">
        <v>0</v>
      </c>
      <c r="P3692">
        <v>1</v>
      </c>
      <c r="Q3692">
        <v>0</v>
      </c>
      <c r="R3692" t="s">
        <v>127</v>
      </c>
      <c r="S3692" t="str">
        <f t="shared" ref="S3692:T3697" si="1462">"15:14:47.000"</f>
        <v>15:14:47.000</v>
      </c>
      <c r="T3692" t="str">
        <f t="shared" si="1462"/>
        <v>15:14:47.000</v>
      </c>
      <c r="U3692" t="str">
        <f t="shared" si="1446"/>
        <v>A68FCB</v>
      </c>
      <c r="V3692">
        <v>0</v>
      </c>
      <c r="W3692">
        <v>0</v>
      </c>
      <c r="X3692">
        <v>2</v>
      </c>
      <c r="Y3692">
        <v>0</v>
      </c>
      <c r="AA3692">
        <v>1</v>
      </c>
      <c r="AB3692">
        <v>8</v>
      </c>
      <c r="AC3692">
        <v>3</v>
      </c>
      <c r="AD3692">
        <v>0</v>
      </c>
      <c r="AE3692">
        <v>9</v>
      </c>
      <c r="AF3692" t="s">
        <v>138</v>
      </c>
      <c r="AG3692">
        <v>0</v>
      </c>
      <c r="AH3692">
        <v>3</v>
      </c>
      <c r="AI3692">
        <v>2</v>
      </c>
      <c r="AJ3692">
        <v>0</v>
      </c>
      <c r="AK3692" t="s">
        <v>1179</v>
      </c>
      <c r="AL3692">
        <v>39.161582000000003</v>
      </c>
      <c r="AM3692" t="s">
        <v>1167</v>
      </c>
      <c r="AN3692">
        <v>-121.030862</v>
      </c>
      <c r="AO3692">
        <v>25</v>
      </c>
      <c r="AP3692">
        <v>4100</v>
      </c>
      <c r="AQ3692" t="s">
        <v>131</v>
      </c>
      <c r="AR3692">
        <v>0</v>
      </c>
      <c r="AS3692">
        <v>93</v>
      </c>
      <c r="AT3692">
        <v>256</v>
      </c>
      <c r="BB3692" t="str">
        <f t="shared" si="1447"/>
        <v>1200</v>
      </c>
      <c r="BC3692">
        <v>1</v>
      </c>
      <c r="BD3692" t="str">
        <f t="shared" si="1448"/>
        <v xml:space="preserve">N52156  </v>
      </c>
      <c r="BE3692">
        <v>1</v>
      </c>
      <c r="BG3692">
        <v>0</v>
      </c>
      <c r="BH3692">
        <v>0</v>
      </c>
      <c r="BI3692">
        <v>0</v>
      </c>
      <c r="BJ3692">
        <v>4175</v>
      </c>
      <c r="BK3692">
        <v>75</v>
      </c>
      <c r="BL3692" t="s">
        <v>188</v>
      </c>
      <c r="BM3692">
        <v>1</v>
      </c>
      <c r="BN3692">
        <v>1</v>
      </c>
      <c r="BO3692">
        <v>0</v>
      </c>
      <c r="BP3692">
        <v>0</v>
      </c>
      <c r="BS3692">
        <v>0</v>
      </c>
      <c r="BT3692">
        <v>0</v>
      </c>
      <c r="BU3692">
        <v>0</v>
      </c>
      <c r="CE3692" t="str">
        <f t="shared" ref="CE3692:CE3697" si="1463">"15:14:47.834"</f>
        <v>15:14:47.834</v>
      </c>
      <c r="CF3692">
        <v>834239686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4</v>
      </c>
      <c r="CY3692">
        <v>7</v>
      </c>
      <c r="CZ3692" t="s">
        <v>133</v>
      </c>
      <c r="DA3692">
        <v>275</v>
      </c>
      <c r="DB3692">
        <v>0</v>
      </c>
      <c r="DC3692" t="s">
        <v>134</v>
      </c>
      <c r="DD3692" t="s">
        <v>135</v>
      </c>
      <c r="DG3692">
        <v>3322910</v>
      </c>
      <c r="DI3692">
        <v>1</v>
      </c>
      <c r="DJ3692">
        <v>0</v>
      </c>
      <c r="DK3692">
        <v>0</v>
      </c>
      <c r="DL3692">
        <v>0</v>
      </c>
      <c r="DM3692">
        <v>0</v>
      </c>
      <c r="DN3692">
        <v>0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3">
      <c r="A3693" t="str">
        <f>"05/01/2025 15:14:48.049"</f>
        <v>05/01/2025 15:14:48.049</v>
      </c>
      <c r="C3693" t="str">
        <f t="shared" si="1444"/>
        <v>FFDFD3C0</v>
      </c>
      <c r="D3693" t="s">
        <v>143</v>
      </c>
      <c r="E3693" t="str">
        <f>"05"</f>
        <v>05</v>
      </c>
      <c r="H3693">
        <v>172</v>
      </c>
      <c r="I3693" t="s">
        <v>141</v>
      </c>
      <c r="J3693" t="s">
        <v>144</v>
      </c>
      <c r="K3693">
        <v>0</v>
      </c>
      <c r="L3693">
        <v>3</v>
      </c>
      <c r="M3693">
        <v>0</v>
      </c>
      <c r="N3693">
        <v>2</v>
      </c>
      <c r="O3693">
        <v>0</v>
      </c>
      <c r="P3693">
        <v>1</v>
      </c>
      <c r="Q3693">
        <v>0</v>
      </c>
      <c r="R3693" t="s">
        <v>127</v>
      </c>
      <c r="S3693" t="str">
        <f t="shared" si="1462"/>
        <v>15:14:47.000</v>
      </c>
      <c r="T3693" t="str">
        <f t="shared" si="1462"/>
        <v>15:14:47.000</v>
      </c>
      <c r="U3693" t="str">
        <f t="shared" si="1446"/>
        <v>A68FCB</v>
      </c>
      <c r="V3693">
        <v>0</v>
      </c>
      <c r="W3693">
        <v>0</v>
      </c>
      <c r="X3693">
        <v>2</v>
      </c>
      <c r="Y3693">
        <v>0</v>
      </c>
      <c r="AA3693">
        <v>1</v>
      </c>
      <c r="AB3693">
        <v>8</v>
      </c>
      <c r="AC3693">
        <v>3</v>
      </c>
      <c r="AD3693">
        <v>0</v>
      </c>
      <c r="AE3693">
        <v>9</v>
      </c>
      <c r="AF3693" t="s">
        <v>138</v>
      </c>
      <c r="AG3693">
        <v>0</v>
      </c>
      <c r="AH3693">
        <v>3</v>
      </c>
      <c r="AI3693">
        <v>2</v>
      </c>
      <c r="AJ3693">
        <v>0</v>
      </c>
      <c r="AK3693" t="s">
        <v>1179</v>
      </c>
      <c r="AL3693">
        <v>39.161582000000003</v>
      </c>
      <c r="AM3693" t="s">
        <v>1167</v>
      </c>
      <c r="AN3693">
        <v>-121.030862</v>
      </c>
      <c r="AO3693">
        <v>25</v>
      </c>
      <c r="AP3693">
        <v>4100</v>
      </c>
      <c r="AQ3693" t="s">
        <v>131</v>
      </c>
      <c r="AR3693">
        <v>0</v>
      </c>
      <c r="AS3693">
        <v>93</v>
      </c>
      <c r="AT3693">
        <v>256</v>
      </c>
      <c r="BB3693" t="str">
        <f t="shared" si="1447"/>
        <v>1200</v>
      </c>
      <c r="BC3693">
        <v>1</v>
      </c>
      <c r="BD3693" t="str">
        <f t="shared" si="1448"/>
        <v xml:space="preserve">N52156  </v>
      </c>
      <c r="BE3693">
        <v>1</v>
      </c>
      <c r="BG3693">
        <v>0</v>
      </c>
      <c r="BH3693">
        <v>0</v>
      </c>
      <c r="BI3693">
        <v>0</v>
      </c>
      <c r="BJ3693">
        <v>4175</v>
      </c>
      <c r="BK3693">
        <v>75</v>
      </c>
      <c r="BL3693" t="s">
        <v>188</v>
      </c>
      <c r="BM3693">
        <v>1</v>
      </c>
      <c r="BN3693">
        <v>1</v>
      </c>
      <c r="BO3693">
        <v>0</v>
      </c>
      <c r="BP3693">
        <v>0</v>
      </c>
      <c r="BS3693">
        <v>0</v>
      </c>
      <c r="BT3693">
        <v>0</v>
      </c>
      <c r="BU3693">
        <v>0</v>
      </c>
      <c r="CE3693" t="str">
        <f t="shared" si="1463"/>
        <v>15:14:47.834</v>
      </c>
      <c r="CF3693">
        <v>834239686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4</v>
      </c>
      <c r="CY3693">
        <v>7</v>
      </c>
      <c r="CZ3693" t="s">
        <v>133</v>
      </c>
      <c r="DA3693">
        <v>275</v>
      </c>
      <c r="DB3693">
        <v>0</v>
      </c>
      <c r="DC3693" t="s">
        <v>134</v>
      </c>
      <c r="DD3693" t="s">
        <v>135</v>
      </c>
      <c r="DG3693">
        <v>3322910</v>
      </c>
      <c r="DI3693">
        <v>1</v>
      </c>
      <c r="DJ3693">
        <v>0</v>
      </c>
      <c r="DK3693">
        <v>1</v>
      </c>
      <c r="DL3693">
        <v>0</v>
      </c>
      <c r="DM3693">
        <v>0</v>
      </c>
      <c r="DN3693">
        <v>0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3">
      <c r="A3694" t="str">
        <f>"05/01/2025 15:14:48.054"</f>
        <v>05/01/2025 15:14:48.054</v>
      </c>
      <c r="C3694" t="str">
        <f t="shared" si="1444"/>
        <v>FFDFD3C0</v>
      </c>
      <c r="D3694" t="s">
        <v>140</v>
      </c>
      <c r="E3694" t="str">
        <f>"13"</f>
        <v>13</v>
      </c>
      <c r="F3694">
        <v>1019</v>
      </c>
      <c r="G3694" t="s">
        <v>141</v>
      </c>
      <c r="J3694" t="s">
        <v>142</v>
      </c>
      <c r="K3694">
        <v>0</v>
      </c>
      <c r="L3694">
        <v>3</v>
      </c>
      <c r="M3694">
        <v>0</v>
      </c>
      <c r="N3694">
        <v>2</v>
      </c>
      <c r="O3694">
        <v>0</v>
      </c>
      <c r="P3694">
        <v>1</v>
      </c>
      <c r="Q3694">
        <v>0</v>
      </c>
      <c r="R3694" t="s">
        <v>127</v>
      </c>
      <c r="S3694" t="str">
        <f t="shared" si="1462"/>
        <v>15:14:47.000</v>
      </c>
      <c r="T3694" t="str">
        <f t="shared" si="1462"/>
        <v>15:14:47.000</v>
      </c>
      <c r="U3694" t="str">
        <f t="shared" si="1446"/>
        <v>A68FCB</v>
      </c>
      <c r="V3694">
        <v>0</v>
      </c>
      <c r="W3694">
        <v>0</v>
      </c>
      <c r="X3694">
        <v>2</v>
      </c>
      <c r="Y3694">
        <v>0</v>
      </c>
      <c r="AA3694">
        <v>1</v>
      </c>
      <c r="AB3694">
        <v>8</v>
      </c>
      <c r="AC3694">
        <v>3</v>
      </c>
      <c r="AD3694">
        <v>0</v>
      </c>
      <c r="AE3694">
        <v>9</v>
      </c>
      <c r="AF3694" t="s">
        <v>138</v>
      </c>
      <c r="AG3694">
        <v>0</v>
      </c>
      <c r="AH3694">
        <v>3</v>
      </c>
      <c r="AI3694">
        <v>2</v>
      </c>
      <c r="AJ3694">
        <v>0</v>
      </c>
      <c r="AK3694" t="s">
        <v>1179</v>
      </c>
      <c r="AL3694">
        <v>39.161582000000003</v>
      </c>
      <c r="AM3694" t="s">
        <v>1167</v>
      </c>
      <c r="AN3694">
        <v>-121.030862</v>
      </c>
      <c r="AO3694">
        <v>25</v>
      </c>
      <c r="AP3694">
        <v>4100</v>
      </c>
      <c r="AQ3694" t="s">
        <v>131</v>
      </c>
      <c r="AR3694">
        <v>0</v>
      </c>
      <c r="AS3694">
        <v>93</v>
      </c>
      <c r="AT3694">
        <v>256</v>
      </c>
      <c r="BB3694" t="str">
        <f t="shared" si="1447"/>
        <v>1200</v>
      </c>
      <c r="BC3694">
        <v>1</v>
      </c>
      <c r="BD3694" t="str">
        <f t="shared" si="1448"/>
        <v xml:space="preserve">N52156  </v>
      </c>
      <c r="BE3694">
        <v>1</v>
      </c>
      <c r="BG3694">
        <v>0</v>
      </c>
      <c r="BH3694">
        <v>0</v>
      </c>
      <c r="BI3694">
        <v>0</v>
      </c>
      <c r="BJ3694">
        <v>4175</v>
      </c>
      <c r="BK3694">
        <v>75</v>
      </c>
      <c r="BL3694" t="s">
        <v>188</v>
      </c>
      <c r="BM3694">
        <v>1</v>
      </c>
      <c r="BN3694">
        <v>1</v>
      </c>
      <c r="BO3694">
        <v>0</v>
      </c>
      <c r="BP3694">
        <v>0</v>
      </c>
      <c r="BS3694">
        <v>0</v>
      </c>
      <c r="BT3694">
        <v>0</v>
      </c>
      <c r="BU3694">
        <v>0</v>
      </c>
      <c r="CE3694" t="str">
        <f t="shared" si="1463"/>
        <v>15:14:47.834</v>
      </c>
      <c r="CF3694">
        <v>834239686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4</v>
      </c>
      <c r="CY3694">
        <v>7</v>
      </c>
      <c r="CZ3694" t="s">
        <v>133</v>
      </c>
      <c r="DA3694">
        <v>275</v>
      </c>
      <c r="DB3694">
        <v>0</v>
      </c>
      <c r="DC3694" t="s">
        <v>134</v>
      </c>
      <c r="DD3694" t="s">
        <v>135</v>
      </c>
      <c r="DG3694">
        <v>3322910</v>
      </c>
      <c r="DI3694">
        <v>1</v>
      </c>
      <c r="DJ3694">
        <v>0</v>
      </c>
      <c r="DK3694">
        <v>1</v>
      </c>
      <c r="DL3694">
        <v>0</v>
      </c>
      <c r="DM3694">
        <v>0</v>
      </c>
      <c r="DN3694">
        <v>0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3">
      <c r="A3695" t="str">
        <f>"05/01/2025 15:14:48.058"</f>
        <v>05/01/2025 15:14:48.058</v>
      </c>
      <c r="C3695" t="str">
        <f t="shared" si="1444"/>
        <v>FFDFD3C0</v>
      </c>
      <c r="D3695" t="s">
        <v>124</v>
      </c>
      <c r="E3695" t="str">
        <f>"06"</f>
        <v>06</v>
      </c>
      <c r="F3695">
        <v>2006</v>
      </c>
      <c r="G3695" t="s">
        <v>125</v>
      </c>
      <c r="J3695" t="s">
        <v>126</v>
      </c>
      <c r="K3695">
        <v>0</v>
      </c>
      <c r="L3695">
        <v>3</v>
      </c>
      <c r="M3695">
        <v>0</v>
      </c>
      <c r="N3695">
        <v>2</v>
      </c>
      <c r="O3695">
        <v>0</v>
      </c>
      <c r="P3695">
        <v>1</v>
      </c>
      <c r="Q3695">
        <v>0</v>
      </c>
      <c r="R3695" t="s">
        <v>127</v>
      </c>
      <c r="S3695" t="str">
        <f t="shared" si="1462"/>
        <v>15:14:47.000</v>
      </c>
      <c r="T3695" t="str">
        <f t="shared" si="1462"/>
        <v>15:14:47.000</v>
      </c>
      <c r="U3695" t="str">
        <f t="shared" si="1446"/>
        <v>A68FCB</v>
      </c>
      <c r="V3695">
        <v>0</v>
      </c>
      <c r="W3695">
        <v>0</v>
      </c>
      <c r="X3695">
        <v>2</v>
      </c>
      <c r="Y3695">
        <v>0</v>
      </c>
      <c r="AA3695">
        <v>1</v>
      </c>
      <c r="AB3695">
        <v>8</v>
      </c>
      <c r="AC3695">
        <v>3</v>
      </c>
      <c r="AD3695">
        <v>0</v>
      </c>
      <c r="AE3695">
        <v>9</v>
      </c>
      <c r="AF3695" t="s">
        <v>138</v>
      </c>
      <c r="AG3695">
        <v>0</v>
      </c>
      <c r="AH3695">
        <v>3</v>
      </c>
      <c r="AI3695">
        <v>2</v>
      </c>
      <c r="AJ3695">
        <v>0</v>
      </c>
      <c r="AK3695" t="s">
        <v>1179</v>
      </c>
      <c r="AL3695">
        <v>39.161582000000003</v>
      </c>
      <c r="AM3695" t="s">
        <v>1167</v>
      </c>
      <c r="AN3695">
        <v>-121.030862</v>
      </c>
      <c r="AO3695">
        <v>25</v>
      </c>
      <c r="AP3695">
        <v>4100</v>
      </c>
      <c r="AQ3695" t="s">
        <v>131</v>
      </c>
      <c r="AR3695">
        <v>0</v>
      </c>
      <c r="AS3695">
        <v>93</v>
      </c>
      <c r="AT3695">
        <v>256</v>
      </c>
      <c r="BB3695" t="str">
        <f t="shared" si="1447"/>
        <v>1200</v>
      </c>
      <c r="BC3695">
        <v>1</v>
      </c>
      <c r="BD3695" t="str">
        <f t="shared" si="1448"/>
        <v xml:space="preserve">N52156  </v>
      </c>
      <c r="BE3695">
        <v>1</v>
      </c>
      <c r="BG3695">
        <v>0</v>
      </c>
      <c r="BH3695">
        <v>0</v>
      </c>
      <c r="BI3695">
        <v>0</v>
      </c>
      <c r="BJ3695">
        <v>4175</v>
      </c>
      <c r="BK3695">
        <v>75</v>
      </c>
      <c r="BL3695" t="s">
        <v>188</v>
      </c>
      <c r="BM3695">
        <v>1</v>
      </c>
      <c r="BN3695">
        <v>1</v>
      </c>
      <c r="BO3695">
        <v>0</v>
      </c>
      <c r="BP3695">
        <v>0</v>
      </c>
      <c r="BS3695">
        <v>0</v>
      </c>
      <c r="BT3695">
        <v>0</v>
      </c>
      <c r="BU3695">
        <v>0</v>
      </c>
      <c r="CE3695" t="str">
        <f t="shared" si="1463"/>
        <v>15:14:47.834</v>
      </c>
      <c r="CF3695">
        <v>834239686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4</v>
      </c>
      <c r="CY3695">
        <v>7</v>
      </c>
      <c r="CZ3695" t="s">
        <v>133</v>
      </c>
      <c r="DA3695">
        <v>275</v>
      </c>
      <c r="DB3695">
        <v>0</v>
      </c>
      <c r="DC3695" t="s">
        <v>134</v>
      </c>
      <c r="DD3695" t="s">
        <v>135</v>
      </c>
      <c r="DG3695">
        <v>3322910</v>
      </c>
      <c r="DI3695">
        <v>1</v>
      </c>
      <c r="DJ3695">
        <v>0</v>
      </c>
      <c r="DK3695">
        <v>1</v>
      </c>
      <c r="DL3695">
        <v>0</v>
      </c>
      <c r="DM3695">
        <v>0</v>
      </c>
      <c r="DN3695">
        <v>0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3">
      <c r="A3696" t="str">
        <f>"05/01/2025 15:14:48.068"</f>
        <v>05/01/2025 15:14:48.068</v>
      </c>
      <c r="C3696" t="str">
        <f t="shared" si="1444"/>
        <v>FFDFD3C0</v>
      </c>
      <c r="D3696" t="s">
        <v>145</v>
      </c>
      <c r="E3696" t="str">
        <f>"09"</f>
        <v>09</v>
      </c>
      <c r="H3696">
        <v>51</v>
      </c>
      <c r="I3696" t="s">
        <v>147</v>
      </c>
      <c r="J3696" t="s">
        <v>138</v>
      </c>
      <c r="K3696">
        <v>0</v>
      </c>
      <c r="L3696">
        <v>3</v>
      </c>
      <c r="M3696">
        <v>0</v>
      </c>
      <c r="N3696">
        <v>2</v>
      </c>
      <c r="O3696">
        <v>0</v>
      </c>
      <c r="P3696">
        <v>1</v>
      </c>
      <c r="Q3696">
        <v>0</v>
      </c>
      <c r="R3696" t="s">
        <v>127</v>
      </c>
      <c r="S3696" t="str">
        <f t="shared" si="1462"/>
        <v>15:14:47.000</v>
      </c>
      <c r="T3696" t="str">
        <f t="shared" si="1462"/>
        <v>15:14:47.000</v>
      </c>
      <c r="U3696" t="str">
        <f t="shared" si="1446"/>
        <v>A68FCB</v>
      </c>
      <c r="V3696">
        <v>0</v>
      </c>
      <c r="W3696">
        <v>0</v>
      </c>
      <c r="X3696">
        <v>2</v>
      </c>
      <c r="Y3696">
        <v>0</v>
      </c>
      <c r="AA3696">
        <v>1</v>
      </c>
      <c r="AB3696">
        <v>8</v>
      </c>
      <c r="AC3696">
        <v>3</v>
      </c>
      <c r="AD3696">
        <v>0</v>
      </c>
      <c r="AE3696">
        <v>9</v>
      </c>
      <c r="AF3696" t="s">
        <v>138</v>
      </c>
      <c r="AG3696">
        <v>0</v>
      </c>
      <c r="AH3696">
        <v>3</v>
      </c>
      <c r="AI3696">
        <v>2</v>
      </c>
      <c r="AJ3696">
        <v>0</v>
      </c>
      <c r="AK3696" t="s">
        <v>1179</v>
      </c>
      <c r="AL3696">
        <v>39.161582000000003</v>
      </c>
      <c r="AM3696" t="s">
        <v>1167</v>
      </c>
      <c r="AN3696">
        <v>-121.030862</v>
      </c>
      <c r="AO3696">
        <v>25</v>
      </c>
      <c r="AP3696">
        <v>4100</v>
      </c>
      <c r="AQ3696" t="s">
        <v>131</v>
      </c>
      <c r="AR3696">
        <v>0</v>
      </c>
      <c r="AS3696">
        <v>93</v>
      </c>
      <c r="AT3696">
        <v>256</v>
      </c>
      <c r="BB3696" t="str">
        <f t="shared" si="1447"/>
        <v>1200</v>
      </c>
      <c r="BC3696">
        <v>1</v>
      </c>
      <c r="BD3696" t="str">
        <f t="shared" si="1448"/>
        <v xml:space="preserve">N52156  </v>
      </c>
      <c r="BE3696">
        <v>1</v>
      </c>
      <c r="BG3696">
        <v>0</v>
      </c>
      <c r="BH3696">
        <v>0</v>
      </c>
      <c r="BI3696">
        <v>0</v>
      </c>
      <c r="BJ3696">
        <v>4175</v>
      </c>
      <c r="BK3696">
        <v>75</v>
      </c>
      <c r="BL3696" t="s">
        <v>188</v>
      </c>
      <c r="BM3696">
        <v>1</v>
      </c>
      <c r="BN3696">
        <v>1</v>
      </c>
      <c r="BO3696">
        <v>0</v>
      </c>
      <c r="BP3696">
        <v>0</v>
      </c>
      <c r="BS3696">
        <v>0</v>
      </c>
      <c r="BT3696">
        <v>0</v>
      </c>
      <c r="BU3696">
        <v>0</v>
      </c>
      <c r="CE3696" t="str">
        <f t="shared" si="1463"/>
        <v>15:14:47.834</v>
      </c>
      <c r="CF3696">
        <v>834239686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4</v>
      </c>
      <c r="CY3696">
        <v>7</v>
      </c>
      <c r="CZ3696" t="s">
        <v>133</v>
      </c>
      <c r="DA3696">
        <v>275</v>
      </c>
      <c r="DB3696">
        <v>0</v>
      </c>
      <c r="DC3696" t="s">
        <v>134</v>
      </c>
      <c r="DD3696" t="s">
        <v>135</v>
      </c>
      <c r="DG3696">
        <v>3322910</v>
      </c>
      <c r="DI3696">
        <v>1</v>
      </c>
      <c r="DJ3696">
        <v>0</v>
      </c>
      <c r="DK3696">
        <v>1</v>
      </c>
      <c r="DL3696">
        <v>0</v>
      </c>
      <c r="DM3696">
        <v>0</v>
      </c>
      <c r="DN3696">
        <v>0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3">
      <c r="A3697" t="str">
        <f>"05/01/2025 15:14:48.070"</f>
        <v>05/01/2025 15:14:48.070</v>
      </c>
      <c r="C3697" t="str">
        <f t="shared" si="1444"/>
        <v>FFDFD3C0</v>
      </c>
      <c r="D3697" t="s">
        <v>145</v>
      </c>
      <c r="E3697" t="str">
        <f>"05"</f>
        <v>05</v>
      </c>
      <c r="H3697">
        <v>47</v>
      </c>
      <c r="I3697" t="s">
        <v>146</v>
      </c>
      <c r="J3697" t="s">
        <v>138</v>
      </c>
      <c r="K3697">
        <v>0</v>
      </c>
      <c r="L3697">
        <v>3</v>
      </c>
      <c r="M3697">
        <v>0</v>
      </c>
      <c r="N3697">
        <v>2</v>
      </c>
      <c r="O3697">
        <v>0</v>
      </c>
      <c r="P3697">
        <v>1</v>
      </c>
      <c r="Q3697">
        <v>0</v>
      </c>
      <c r="R3697" t="s">
        <v>127</v>
      </c>
      <c r="S3697" t="str">
        <f t="shared" si="1462"/>
        <v>15:14:47.000</v>
      </c>
      <c r="T3697" t="str">
        <f t="shared" si="1462"/>
        <v>15:14:47.000</v>
      </c>
      <c r="U3697" t="str">
        <f t="shared" si="1446"/>
        <v>A68FCB</v>
      </c>
      <c r="V3697">
        <v>0</v>
      </c>
      <c r="W3697">
        <v>0</v>
      </c>
      <c r="X3697">
        <v>2</v>
      </c>
      <c r="Y3697">
        <v>0</v>
      </c>
      <c r="AA3697">
        <v>1</v>
      </c>
      <c r="AB3697">
        <v>8</v>
      </c>
      <c r="AC3697">
        <v>3</v>
      </c>
      <c r="AD3697">
        <v>0</v>
      </c>
      <c r="AE3697">
        <v>9</v>
      </c>
      <c r="AF3697" t="s">
        <v>138</v>
      </c>
      <c r="AG3697">
        <v>0</v>
      </c>
      <c r="AH3697">
        <v>3</v>
      </c>
      <c r="AI3697">
        <v>2</v>
      </c>
      <c r="AJ3697">
        <v>0</v>
      </c>
      <c r="AK3697" t="s">
        <v>1179</v>
      </c>
      <c r="AL3697">
        <v>39.161582000000003</v>
      </c>
      <c r="AM3697" t="s">
        <v>1167</v>
      </c>
      <c r="AN3697">
        <v>-121.030862</v>
      </c>
      <c r="AO3697">
        <v>25</v>
      </c>
      <c r="AP3697">
        <v>4100</v>
      </c>
      <c r="AQ3697" t="s">
        <v>131</v>
      </c>
      <c r="AR3697">
        <v>0</v>
      </c>
      <c r="AS3697">
        <v>93</v>
      </c>
      <c r="AT3697">
        <v>256</v>
      </c>
      <c r="BB3697" t="str">
        <f t="shared" si="1447"/>
        <v>1200</v>
      </c>
      <c r="BC3697">
        <v>1</v>
      </c>
      <c r="BD3697" t="str">
        <f t="shared" si="1448"/>
        <v xml:space="preserve">N52156  </v>
      </c>
      <c r="BE3697">
        <v>1</v>
      </c>
      <c r="BG3697">
        <v>0</v>
      </c>
      <c r="BH3697">
        <v>0</v>
      </c>
      <c r="BI3697">
        <v>0</v>
      </c>
      <c r="BJ3697">
        <v>4175</v>
      </c>
      <c r="BK3697">
        <v>75</v>
      </c>
      <c r="BL3697" t="s">
        <v>188</v>
      </c>
      <c r="BM3697">
        <v>1</v>
      </c>
      <c r="BN3697">
        <v>1</v>
      </c>
      <c r="BO3697">
        <v>0</v>
      </c>
      <c r="BP3697">
        <v>0</v>
      </c>
      <c r="BS3697">
        <v>0</v>
      </c>
      <c r="BT3697">
        <v>0</v>
      </c>
      <c r="BU3697">
        <v>0</v>
      </c>
      <c r="CE3697" t="str">
        <f t="shared" si="1463"/>
        <v>15:14:47.834</v>
      </c>
      <c r="CF3697">
        <v>834239686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4</v>
      </c>
      <c r="CY3697">
        <v>7</v>
      </c>
      <c r="CZ3697" t="s">
        <v>133</v>
      </c>
      <c r="DA3697">
        <v>275</v>
      </c>
      <c r="DB3697">
        <v>0</v>
      </c>
      <c r="DC3697" t="s">
        <v>134</v>
      </c>
      <c r="DD3697" t="s">
        <v>135</v>
      </c>
      <c r="DG3697">
        <v>3322910</v>
      </c>
      <c r="DI3697">
        <v>1</v>
      </c>
      <c r="DJ3697">
        <v>0</v>
      </c>
      <c r="DK3697">
        <v>1</v>
      </c>
      <c r="DL3697">
        <v>0</v>
      </c>
      <c r="DM3697">
        <v>0</v>
      </c>
      <c r="DN3697">
        <v>0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3">
      <c r="A3698" t="str">
        <f>"05/01/2025 15:14:48.821"</f>
        <v>05/01/2025 15:14:48.821</v>
      </c>
      <c r="C3698" t="str">
        <f t="shared" si="1444"/>
        <v>FFDFD3C0</v>
      </c>
      <c r="D3698" t="s">
        <v>145</v>
      </c>
      <c r="E3698" t="str">
        <f>"05"</f>
        <v>05</v>
      </c>
      <c r="H3698">
        <v>47</v>
      </c>
      <c r="I3698" t="s">
        <v>146</v>
      </c>
      <c r="J3698" t="s">
        <v>138</v>
      </c>
      <c r="K3698">
        <v>0</v>
      </c>
      <c r="L3698">
        <v>3</v>
      </c>
      <c r="M3698">
        <v>0</v>
      </c>
      <c r="N3698">
        <v>2</v>
      </c>
      <c r="O3698">
        <v>0</v>
      </c>
      <c r="P3698">
        <v>1</v>
      </c>
      <c r="Q3698">
        <v>0</v>
      </c>
      <c r="R3698" t="s">
        <v>127</v>
      </c>
      <c r="S3698" t="str">
        <f t="shared" ref="S3698:T3703" si="1464">"15:14:48.000"</f>
        <v>15:14:48.000</v>
      </c>
      <c r="T3698" t="str">
        <f t="shared" si="1464"/>
        <v>15:14:48.000</v>
      </c>
      <c r="U3698" t="str">
        <f t="shared" si="1446"/>
        <v>A68FCB</v>
      </c>
      <c r="V3698">
        <v>0</v>
      </c>
      <c r="W3698">
        <v>0</v>
      </c>
      <c r="X3698">
        <v>2</v>
      </c>
      <c r="Y3698">
        <v>0</v>
      </c>
      <c r="AA3698">
        <v>1</v>
      </c>
      <c r="AB3698">
        <v>8</v>
      </c>
      <c r="AC3698">
        <v>3</v>
      </c>
      <c r="AD3698">
        <v>0</v>
      </c>
      <c r="AE3698">
        <v>9</v>
      </c>
      <c r="AF3698" t="s">
        <v>138</v>
      </c>
      <c r="AG3698">
        <v>0</v>
      </c>
      <c r="AH3698">
        <v>3</v>
      </c>
      <c r="AI3698">
        <v>2</v>
      </c>
      <c r="AJ3698">
        <v>0</v>
      </c>
      <c r="AK3698" t="s">
        <v>1180</v>
      </c>
      <c r="AL3698">
        <v>39.162011</v>
      </c>
      <c r="AM3698" t="s">
        <v>1167</v>
      </c>
      <c r="AN3698">
        <v>-121.030862</v>
      </c>
      <c r="AO3698">
        <v>25</v>
      </c>
      <c r="AP3698">
        <v>4100</v>
      </c>
      <c r="AQ3698" t="s">
        <v>131</v>
      </c>
      <c r="AR3698">
        <v>0</v>
      </c>
      <c r="AS3698">
        <v>93</v>
      </c>
      <c r="AT3698">
        <v>256</v>
      </c>
      <c r="BB3698" t="str">
        <f t="shared" si="1447"/>
        <v>1200</v>
      </c>
      <c r="BC3698">
        <v>1</v>
      </c>
      <c r="BD3698" t="str">
        <f t="shared" si="1448"/>
        <v xml:space="preserve">N52156  </v>
      </c>
      <c r="BE3698">
        <v>1</v>
      </c>
      <c r="BG3698">
        <v>0</v>
      </c>
      <c r="BH3698">
        <v>0</v>
      </c>
      <c r="BI3698">
        <v>0</v>
      </c>
      <c r="BJ3698">
        <v>4175</v>
      </c>
      <c r="BK3698">
        <v>75</v>
      </c>
      <c r="BL3698" t="s">
        <v>188</v>
      </c>
      <c r="BM3698">
        <v>1</v>
      </c>
      <c r="BN3698">
        <v>1</v>
      </c>
      <c r="BO3698">
        <v>0</v>
      </c>
      <c r="BP3698">
        <v>0</v>
      </c>
      <c r="BS3698">
        <v>0</v>
      </c>
      <c r="BT3698">
        <v>0</v>
      </c>
      <c r="BU3698">
        <v>0</v>
      </c>
      <c r="CE3698" t="str">
        <f t="shared" ref="CE3698:CE3703" si="1465">"15:14:48.625"</f>
        <v>15:14:48.625</v>
      </c>
      <c r="CF3698">
        <v>624739211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4</v>
      </c>
      <c r="CY3698">
        <v>7</v>
      </c>
      <c r="CZ3698" t="s">
        <v>133</v>
      </c>
      <c r="DA3698">
        <v>275</v>
      </c>
      <c r="DB3698">
        <v>0</v>
      </c>
      <c r="DC3698" t="s">
        <v>134</v>
      </c>
      <c r="DD3698" t="s">
        <v>135</v>
      </c>
      <c r="DG3698">
        <v>3322914</v>
      </c>
      <c r="DI3698">
        <v>1</v>
      </c>
      <c r="DJ3698">
        <v>0</v>
      </c>
      <c r="DK3698">
        <v>0</v>
      </c>
      <c r="DL3698">
        <v>0</v>
      </c>
      <c r="DM3698">
        <v>0</v>
      </c>
      <c r="DN3698">
        <v>0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3">
      <c r="A3699" t="str">
        <f>"05/01/2025 15:14:48.833"</f>
        <v>05/01/2025 15:14:48.833</v>
      </c>
      <c r="C3699" t="str">
        <f t="shared" si="1444"/>
        <v>FFDFD3C0</v>
      </c>
      <c r="D3699" t="s">
        <v>136</v>
      </c>
      <c r="E3699" t="str">
        <f>"20"</f>
        <v>20</v>
      </c>
      <c r="H3699">
        <v>400</v>
      </c>
      <c r="I3699" t="s">
        <v>137</v>
      </c>
      <c r="J3699" t="s">
        <v>138</v>
      </c>
      <c r="K3699">
        <v>0</v>
      </c>
      <c r="L3699">
        <v>3</v>
      </c>
      <c r="M3699">
        <v>0</v>
      </c>
      <c r="N3699">
        <v>2</v>
      </c>
      <c r="O3699">
        <v>0</v>
      </c>
      <c r="P3699">
        <v>1</v>
      </c>
      <c r="Q3699">
        <v>0</v>
      </c>
      <c r="R3699" t="s">
        <v>127</v>
      </c>
      <c r="S3699" t="str">
        <f t="shared" si="1464"/>
        <v>15:14:48.000</v>
      </c>
      <c r="T3699" t="str">
        <f t="shared" si="1464"/>
        <v>15:14:48.000</v>
      </c>
      <c r="U3699" t="str">
        <f t="shared" si="1446"/>
        <v>A68FCB</v>
      </c>
      <c r="V3699">
        <v>0</v>
      </c>
      <c r="W3699">
        <v>0</v>
      </c>
      <c r="X3699">
        <v>2</v>
      </c>
      <c r="Y3699">
        <v>0</v>
      </c>
      <c r="AA3699">
        <v>1</v>
      </c>
      <c r="AB3699">
        <v>8</v>
      </c>
      <c r="AC3699">
        <v>3</v>
      </c>
      <c r="AD3699">
        <v>0</v>
      </c>
      <c r="AE3699">
        <v>9</v>
      </c>
      <c r="AF3699" t="s">
        <v>138</v>
      </c>
      <c r="AG3699">
        <v>0</v>
      </c>
      <c r="AH3699">
        <v>3</v>
      </c>
      <c r="AI3699">
        <v>2</v>
      </c>
      <c r="AJ3699">
        <v>0</v>
      </c>
      <c r="AK3699" t="s">
        <v>1180</v>
      </c>
      <c r="AL3699">
        <v>39.162011</v>
      </c>
      <c r="AM3699" t="s">
        <v>1167</v>
      </c>
      <c r="AN3699">
        <v>-121.030862</v>
      </c>
      <c r="AO3699">
        <v>25</v>
      </c>
      <c r="AP3699">
        <v>4100</v>
      </c>
      <c r="AQ3699" t="s">
        <v>131</v>
      </c>
      <c r="AR3699">
        <v>0</v>
      </c>
      <c r="AS3699">
        <v>93</v>
      </c>
      <c r="AT3699">
        <v>256</v>
      </c>
      <c r="BB3699" t="str">
        <f t="shared" si="1447"/>
        <v>1200</v>
      </c>
      <c r="BC3699">
        <v>1</v>
      </c>
      <c r="BD3699" t="str">
        <f t="shared" si="1448"/>
        <v xml:space="preserve">N52156  </v>
      </c>
      <c r="BE3699">
        <v>1</v>
      </c>
      <c r="BG3699">
        <v>0</v>
      </c>
      <c r="BH3699">
        <v>0</v>
      </c>
      <c r="BI3699">
        <v>0</v>
      </c>
      <c r="BJ3699">
        <v>4175</v>
      </c>
      <c r="BK3699">
        <v>75</v>
      </c>
      <c r="BL3699" t="s">
        <v>188</v>
      </c>
      <c r="BM3699">
        <v>1</v>
      </c>
      <c r="BN3699">
        <v>1</v>
      </c>
      <c r="BO3699">
        <v>0</v>
      </c>
      <c r="BP3699">
        <v>0</v>
      </c>
      <c r="BS3699">
        <v>0</v>
      </c>
      <c r="BT3699">
        <v>0</v>
      </c>
      <c r="BU3699">
        <v>0</v>
      </c>
      <c r="CE3699" t="str">
        <f t="shared" si="1465"/>
        <v>15:14:48.625</v>
      </c>
      <c r="CF3699">
        <v>624739211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4</v>
      </c>
      <c r="CY3699">
        <v>7</v>
      </c>
      <c r="CZ3699" t="s">
        <v>133</v>
      </c>
      <c r="DA3699">
        <v>275</v>
      </c>
      <c r="DB3699">
        <v>0</v>
      </c>
      <c r="DC3699" t="s">
        <v>134</v>
      </c>
      <c r="DD3699" t="s">
        <v>135</v>
      </c>
      <c r="DG3699">
        <v>3322914</v>
      </c>
      <c r="DI3699">
        <v>1</v>
      </c>
      <c r="DJ3699">
        <v>0</v>
      </c>
      <c r="DK3699">
        <v>1</v>
      </c>
      <c r="DL3699">
        <v>0</v>
      </c>
      <c r="DM3699">
        <v>0</v>
      </c>
      <c r="DN3699">
        <v>0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3">
      <c r="A3700" t="str">
        <f>"05/01/2025 15:14:48.850"</f>
        <v>05/01/2025 15:14:48.850</v>
      </c>
      <c r="C3700" t="str">
        <f t="shared" si="1444"/>
        <v>FFDFD3C0</v>
      </c>
      <c r="D3700" t="s">
        <v>143</v>
      </c>
      <c r="E3700" t="str">
        <f>"05"</f>
        <v>05</v>
      </c>
      <c r="H3700">
        <v>172</v>
      </c>
      <c r="I3700" t="s">
        <v>141</v>
      </c>
      <c r="J3700" t="s">
        <v>144</v>
      </c>
      <c r="K3700">
        <v>0</v>
      </c>
      <c r="L3700">
        <v>3</v>
      </c>
      <c r="M3700">
        <v>0</v>
      </c>
      <c r="N3700">
        <v>2</v>
      </c>
      <c r="O3700">
        <v>0</v>
      </c>
      <c r="P3700">
        <v>1</v>
      </c>
      <c r="Q3700">
        <v>0</v>
      </c>
      <c r="R3700" t="s">
        <v>127</v>
      </c>
      <c r="S3700" t="str">
        <f t="shared" si="1464"/>
        <v>15:14:48.000</v>
      </c>
      <c r="T3700" t="str">
        <f t="shared" si="1464"/>
        <v>15:14:48.000</v>
      </c>
      <c r="U3700" t="str">
        <f t="shared" si="1446"/>
        <v>A68FCB</v>
      </c>
      <c r="V3700">
        <v>0</v>
      </c>
      <c r="W3700">
        <v>0</v>
      </c>
      <c r="X3700">
        <v>2</v>
      </c>
      <c r="Y3700">
        <v>0</v>
      </c>
      <c r="AA3700">
        <v>1</v>
      </c>
      <c r="AB3700">
        <v>8</v>
      </c>
      <c r="AC3700">
        <v>3</v>
      </c>
      <c r="AD3700">
        <v>0</v>
      </c>
      <c r="AE3700">
        <v>9</v>
      </c>
      <c r="AF3700" t="s">
        <v>138</v>
      </c>
      <c r="AG3700">
        <v>0</v>
      </c>
      <c r="AH3700">
        <v>3</v>
      </c>
      <c r="AI3700">
        <v>2</v>
      </c>
      <c r="AJ3700">
        <v>0</v>
      </c>
      <c r="AK3700" t="s">
        <v>1180</v>
      </c>
      <c r="AL3700">
        <v>39.162011</v>
      </c>
      <c r="AM3700" t="s">
        <v>1167</v>
      </c>
      <c r="AN3700">
        <v>-121.030862</v>
      </c>
      <c r="AO3700">
        <v>25</v>
      </c>
      <c r="AP3700">
        <v>4100</v>
      </c>
      <c r="AQ3700" t="s">
        <v>131</v>
      </c>
      <c r="AR3700">
        <v>0</v>
      </c>
      <c r="AS3700">
        <v>93</v>
      </c>
      <c r="AT3700">
        <v>256</v>
      </c>
      <c r="BB3700" t="str">
        <f t="shared" si="1447"/>
        <v>1200</v>
      </c>
      <c r="BC3700">
        <v>1</v>
      </c>
      <c r="BD3700" t="str">
        <f t="shared" si="1448"/>
        <v xml:space="preserve">N52156  </v>
      </c>
      <c r="BE3700">
        <v>1</v>
      </c>
      <c r="BG3700">
        <v>0</v>
      </c>
      <c r="BH3700">
        <v>0</v>
      </c>
      <c r="BI3700">
        <v>0</v>
      </c>
      <c r="BJ3700">
        <v>4175</v>
      </c>
      <c r="BK3700">
        <v>75</v>
      </c>
      <c r="BL3700" t="s">
        <v>188</v>
      </c>
      <c r="BM3700">
        <v>1</v>
      </c>
      <c r="BN3700">
        <v>1</v>
      </c>
      <c r="BO3700">
        <v>0</v>
      </c>
      <c r="BP3700">
        <v>0</v>
      </c>
      <c r="BS3700">
        <v>0</v>
      </c>
      <c r="BT3700">
        <v>0</v>
      </c>
      <c r="BU3700">
        <v>0</v>
      </c>
      <c r="CE3700" t="str">
        <f t="shared" si="1465"/>
        <v>15:14:48.625</v>
      </c>
      <c r="CF3700">
        <v>624739211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4</v>
      </c>
      <c r="CY3700">
        <v>7</v>
      </c>
      <c r="CZ3700" t="s">
        <v>133</v>
      </c>
      <c r="DA3700">
        <v>275</v>
      </c>
      <c r="DB3700">
        <v>0</v>
      </c>
      <c r="DC3700" t="s">
        <v>134</v>
      </c>
      <c r="DD3700" t="s">
        <v>135</v>
      </c>
      <c r="DG3700">
        <v>3322914</v>
      </c>
      <c r="DI3700">
        <v>1</v>
      </c>
      <c r="DJ3700">
        <v>0</v>
      </c>
      <c r="DK3700">
        <v>1</v>
      </c>
      <c r="DL3700">
        <v>0</v>
      </c>
      <c r="DM3700">
        <v>0</v>
      </c>
      <c r="DN3700">
        <v>0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3">
      <c r="A3701" t="str">
        <f>"05/01/2025 15:14:48.855"</f>
        <v>05/01/2025 15:14:48.855</v>
      </c>
      <c r="C3701" t="str">
        <f t="shared" si="1444"/>
        <v>FFDFD3C0</v>
      </c>
      <c r="D3701" t="s">
        <v>140</v>
      </c>
      <c r="E3701" t="str">
        <f>"13"</f>
        <v>13</v>
      </c>
      <c r="F3701">
        <v>1019</v>
      </c>
      <c r="G3701" t="s">
        <v>141</v>
      </c>
      <c r="J3701" t="s">
        <v>142</v>
      </c>
      <c r="K3701">
        <v>0</v>
      </c>
      <c r="L3701">
        <v>3</v>
      </c>
      <c r="M3701">
        <v>0</v>
      </c>
      <c r="N3701">
        <v>2</v>
      </c>
      <c r="O3701">
        <v>0</v>
      </c>
      <c r="P3701">
        <v>1</v>
      </c>
      <c r="Q3701">
        <v>0</v>
      </c>
      <c r="R3701" t="s">
        <v>127</v>
      </c>
      <c r="S3701" t="str">
        <f t="shared" si="1464"/>
        <v>15:14:48.000</v>
      </c>
      <c r="T3701" t="str">
        <f t="shared" si="1464"/>
        <v>15:14:48.000</v>
      </c>
      <c r="U3701" t="str">
        <f t="shared" si="1446"/>
        <v>A68FCB</v>
      </c>
      <c r="V3701">
        <v>0</v>
      </c>
      <c r="W3701">
        <v>0</v>
      </c>
      <c r="X3701">
        <v>2</v>
      </c>
      <c r="Y3701">
        <v>0</v>
      </c>
      <c r="AA3701">
        <v>1</v>
      </c>
      <c r="AB3701">
        <v>8</v>
      </c>
      <c r="AC3701">
        <v>3</v>
      </c>
      <c r="AD3701">
        <v>0</v>
      </c>
      <c r="AE3701">
        <v>9</v>
      </c>
      <c r="AF3701" t="s">
        <v>138</v>
      </c>
      <c r="AG3701">
        <v>0</v>
      </c>
      <c r="AH3701">
        <v>3</v>
      </c>
      <c r="AI3701">
        <v>2</v>
      </c>
      <c r="AJ3701">
        <v>0</v>
      </c>
      <c r="AK3701" t="s">
        <v>1180</v>
      </c>
      <c r="AL3701">
        <v>39.162011</v>
      </c>
      <c r="AM3701" t="s">
        <v>1167</v>
      </c>
      <c r="AN3701">
        <v>-121.030862</v>
      </c>
      <c r="AO3701">
        <v>25</v>
      </c>
      <c r="AP3701">
        <v>4100</v>
      </c>
      <c r="AQ3701" t="s">
        <v>131</v>
      </c>
      <c r="AR3701">
        <v>0</v>
      </c>
      <c r="AS3701">
        <v>93</v>
      </c>
      <c r="AT3701">
        <v>256</v>
      </c>
      <c r="BB3701" t="str">
        <f t="shared" si="1447"/>
        <v>1200</v>
      </c>
      <c r="BC3701">
        <v>1</v>
      </c>
      <c r="BD3701" t="str">
        <f t="shared" si="1448"/>
        <v xml:space="preserve">N52156  </v>
      </c>
      <c r="BE3701">
        <v>1</v>
      </c>
      <c r="BG3701">
        <v>0</v>
      </c>
      <c r="BH3701">
        <v>0</v>
      </c>
      <c r="BI3701">
        <v>0</v>
      </c>
      <c r="BJ3701">
        <v>4175</v>
      </c>
      <c r="BK3701">
        <v>75</v>
      </c>
      <c r="BL3701" t="s">
        <v>188</v>
      </c>
      <c r="BM3701">
        <v>1</v>
      </c>
      <c r="BN3701">
        <v>1</v>
      </c>
      <c r="BO3701">
        <v>0</v>
      </c>
      <c r="BP3701">
        <v>0</v>
      </c>
      <c r="BS3701">
        <v>0</v>
      </c>
      <c r="BT3701">
        <v>0</v>
      </c>
      <c r="BU3701">
        <v>0</v>
      </c>
      <c r="CE3701" t="str">
        <f t="shared" si="1465"/>
        <v>15:14:48.625</v>
      </c>
      <c r="CF3701">
        <v>624739211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4</v>
      </c>
      <c r="CY3701">
        <v>7</v>
      </c>
      <c r="CZ3701" t="s">
        <v>133</v>
      </c>
      <c r="DA3701">
        <v>275</v>
      </c>
      <c r="DB3701">
        <v>0</v>
      </c>
      <c r="DC3701" t="s">
        <v>134</v>
      </c>
      <c r="DD3701" t="s">
        <v>135</v>
      </c>
      <c r="DG3701">
        <v>3322914</v>
      </c>
      <c r="DI3701">
        <v>1</v>
      </c>
      <c r="DJ3701">
        <v>0</v>
      </c>
      <c r="DK3701">
        <v>1</v>
      </c>
      <c r="DL3701">
        <v>0</v>
      </c>
      <c r="DM3701">
        <v>0</v>
      </c>
      <c r="DN3701">
        <v>0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3">
      <c r="A3702" t="str">
        <f>"05/01/2025 15:14:48.859"</f>
        <v>05/01/2025 15:14:48.859</v>
      </c>
      <c r="C3702" t="str">
        <f t="shared" si="1444"/>
        <v>FFDFD3C0</v>
      </c>
      <c r="D3702" t="s">
        <v>124</v>
      </c>
      <c r="E3702" t="str">
        <f>"06"</f>
        <v>06</v>
      </c>
      <c r="F3702">
        <v>2006</v>
      </c>
      <c r="G3702" t="s">
        <v>125</v>
      </c>
      <c r="J3702" t="s">
        <v>126</v>
      </c>
      <c r="K3702">
        <v>0</v>
      </c>
      <c r="L3702">
        <v>3</v>
      </c>
      <c r="M3702">
        <v>0</v>
      </c>
      <c r="N3702">
        <v>2</v>
      </c>
      <c r="O3702">
        <v>0</v>
      </c>
      <c r="P3702">
        <v>1</v>
      </c>
      <c r="Q3702">
        <v>0</v>
      </c>
      <c r="R3702" t="s">
        <v>127</v>
      </c>
      <c r="S3702" t="str">
        <f t="shared" si="1464"/>
        <v>15:14:48.000</v>
      </c>
      <c r="T3702" t="str">
        <f t="shared" si="1464"/>
        <v>15:14:48.000</v>
      </c>
      <c r="U3702" t="str">
        <f t="shared" si="1446"/>
        <v>A68FCB</v>
      </c>
      <c r="V3702">
        <v>0</v>
      </c>
      <c r="W3702">
        <v>0</v>
      </c>
      <c r="X3702">
        <v>2</v>
      </c>
      <c r="Y3702">
        <v>0</v>
      </c>
      <c r="AA3702">
        <v>1</v>
      </c>
      <c r="AB3702">
        <v>8</v>
      </c>
      <c r="AC3702">
        <v>3</v>
      </c>
      <c r="AD3702">
        <v>0</v>
      </c>
      <c r="AE3702">
        <v>9</v>
      </c>
      <c r="AF3702" t="s">
        <v>138</v>
      </c>
      <c r="AG3702">
        <v>0</v>
      </c>
      <c r="AH3702">
        <v>3</v>
      </c>
      <c r="AI3702">
        <v>2</v>
      </c>
      <c r="AJ3702">
        <v>0</v>
      </c>
      <c r="AK3702" t="s">
        <v>1180</v>
      </c>
      <c r="AL3702">
        <v>39.162011</v>
      </c>
      <c r="AM3702" t="s">
        <v>1167</v>
      </c>
      <c r="AN3702">
        <v>-121.030862</v>
      </c>
      <c r="AO3702">
        <v>25</v>
      </c>
      <c r="AP3702">
        <v>4100</v>
      </c>
      <c r="AQ3702" t="s">
        <v>131</v>
      </c>
      <c r="AR3702">
        <v>0</v>
      </c>
      <c r="AS3702">
        <v>93</v>
      </c>
      <c r="AT3702">
        <v>256</v>
      </c>
      <c r="BB3702" t="str">
        <f t="shared" si="1447"/>
        <v>1200</v>
      </c>
      <c r="BC3702">
        <v>1</v>
      </c>
      <c r="BD3702" t="str">
        <f t="shared" si="1448"/>
        <v xml:space="preserve">N52156  </v>
      </c>
      <c r="BE3702">
        <v>1</v>
      </c>
      <c r="BG3702">
        <v>0</v>
      </c>
      <c r="BH3702">
        <v>0</v>
      </c>
      <c r="BI3702">
        <v>0</v>
      </c>
      <c r="BJ3702">
        <v>4175</v>
      </c>
      <c r="BK3702">
        <v>75</v>
      </c>
      <c r="BL3702" t="s">
        <v>188</v>
      </c>
      <c r="BM3702">
        <v>1</v>
      </c>
      <c r="BN3702">
        <v>1</v>
      </c>
      <c r="BO3702">
        <v>0</v>
      </c>
      <c r="BP3702">
        <v>0</v>
      </c>
      <c r="BS3702">
        <v>0</v>
      </c>
      <c r="BT3702">
        <v>0</v>
      </c>
      <c r="BU3702">
        <v>0</v>
      </c>
      <c r="CE3702" t="str">
        <f t="shared" si="1465"/>
        <v>15:14:48.625</v>
      </c>
      <c r="CF3702">
        <v>624739211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4</v>
      </c>
      <c r="CY3702">
        <v>7</v>
      </c>
      <c r="CZ3702" t="s">
        <v>133</v>
      </c>
      <c r="DA3702">
        <v>275</v>
      </c>
      <c r="DB3702">
        <v>0</v>
      </c>
      <c r="DC3702" t="s">
        <v>134</v>
      </c>
      <c r="DD3702" t="s">
        <v>135</v>
      </c>
      <c r="DG3702">
        <v>3322914</v>
      </c>
      <c r="DI3702">
        <v>1</v>
      </c>
      <c r="DJ3702">
        <v>0</v>
      </c>
      <c r="DK3702">
        <v>1</v>
      </c>
      <c r="DL3702">
        <v>0</v>
      </c>
      <c r="DM3702">
        <v>0</v>
      </c>
      <c r="DN3702">
        <v>0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3">
      <c r="A3703" t="str">
        <f>"05/01/2025 15:14:48.869"</f>
        <v>05/01/2025 15:14:48.869</v>
      </c>
      <c r="C3703" t="str">
        <f t="shared" si="1444"/>
        <v>FFDFD3C0</v>
      </c>
      <c r="D3703" t="s">
        <v>145</v>
      </c>
      <c r="E3703" t="str">
        <f>"09"</f>
        <v>09</v>
      </c>
      <c r="H3703">
        <v>51</v>
      </c>
      <c r="I3703" t="s">
        <v>147</v>
      </c>
      <c r="J3703" t="s">
        <v>138</v>
      </c>
      <c r="K3703">
        <v>0</v>
      </c>
      <c r="L3703">
        <v>3</v>
      </c>
      <c r="M3703">
        <v>0</v>
      </c>
      <c r="N3703">
        <v>2</v>
      </c>
      <c r="O3703">
        <v>0</v>
      </c>
      <c r="P3703">
        <v>1</v>
      </c>
      <c r="Q3703">
        <v>0</v>
      </c>
      <c r="R3703" t="s">
        <v>127</v>
      </c>
      <c r="S3703" t="str">
        <f t="shared" si="1464"/>
        <v>15:14:48.000</v>
      </c>
      <c r="T3703" t="str">
        <f t="shared" si="1464"/>
        <v>15:14:48.000</v>
      </c>
      <c r="U3703" t="str">
        <f t="shared" si="1446"/>
        <v>A68FCB</v>
      </c>
      <c r="V3703">
        <v>0</v>
      </c>
      <c r="W3703">
        <v>0</v>
      </c>
      <c r="X3703">
        <v>2</v>
      </c>
      <c r="Y3703">
        <v>0</v>
      </c>
      <c r="AA3703">
        <v>1</v>
      </c>
      <c r="AB3703">
        <v>8</v>
      </c>
      <c r="AC3703">
        <v>3</v>
      </c>
      <c r="AD3703">
        <v>0</v>
      </c>
      <c r="AE3703">
        <v>9</v>
      </c>
      <c r="AF3703" t="s">
        <v>138</v>
      </c>
      <c r="AG3703">
        <v>0</v>
      </c>
      <c r="AH3703">
        <v>3</v>
      </c>
      <c r="AI3703">
        <v>2</v>
      </c>
      <c r="AJ3703">
        <v>0</v>
      </c>
      <c r="AK3703" t="s">
        <v>1180</v>
      </c>
      <c r="AL3703">
        <v>39.162011</v>
      </c>
      <c r="AM3703" t="s">
        <v>1167</v>
      </c>
      <c r="AN3703">
        <v>-121.030862</v>
      </c>
      <c r="AO3703">
        <v>25</v>
      </c>
      <c r="AP3703">
        <v>4100</v>
      </c>
      <c r="AQ3703" t="s">
        <v>131</v>
      </c>
      <c r="AR3703">
        <v>0</v>
      </c>
      <c r="AS3703">
        <v>93</v>
      </c>
      <c r="AT3703">
        <v>256</v>
      </c>
      <c r="BB3703" t="str">
        <f t="shared" si="1447"/>
        <v>1200</v>
      </c>
      <c r="BC3703">
        <v>1</v>
      </c>
      <c r="BD3703" t="str">
        <f t="shared" si="1448"/>
        <v xml:space="preserve">N52156  </v>
      </c>
      <c r="BE3703">
        <v>1</v>
      </c>
      <c r="BG3703">
        <v>0</v>
      </c>
      <c r="BH3703">
        <v>0</v>
      </c>
      <c r="BI3703">
        <v>0</v>
      </c>
      <c r="BJ3703">
        <v>4175</v>
      </c>
      <c r="BK3703">
        <v>75</v>
      </c>
      <c r="BL3703" t="s">
        <v>188</v>
      </c>
      <c r="BM3703">
        <v>1</v>
      </c>
      <c r="BN3703">
        <v>1</v>
      </c>
      <c r="BO3703">
        <v>0</v>
      </c>
      <c r="BP3703">
        <v>0</v>
      </c>
      <c r="BS3703">
        <v>0</v>
      </c>
      <c r="BT3703">
        <v>0</v>
      </c>
      <c r="BU3703">
        <v>0</v>
      </c>
      <c r="CE3703" t="str">
        <f t="shared" si="1465"/>
        <v>15:14:48.625</v>
      </c>
      <c r="CF3703">
        <v>624739211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4</v>
      </c>
      <c r="CY3703">
        <v>7</v>
      </c>
      <c r="CZ3703" t="s">
        <v>133</v>
      </c>
      <c r="DA3703">
        <v>275</v>
      </c>
      <c r="DB3703">
        <v>0</v>
      </c>
      <c r="DC3703" t="s">
        <v>134</v>
      </c>
      <c r="DD3703" t="s">
        <v>135</v>
      </c>
      <c r="DG3703">
        <v>3322914</v>
      </c>
      <c r="DI3703">
        <v>1</v>
      </c>
      <c r="DJ3703">
        <v>0</v>
      </c>
      <c r="DK3703">
        <v>1</v>
      </c>
      <c r="DL3703">
        <v>0</v>
      </c>
      <c r="DM3703">
        <v>0</v>
      </c>
      <c r="DN3703">
        <v>0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3">
      <c r="A3704" t="str">
        <f>"05/01/2025 15:14:49.602"</f>
        <v>05/01/2025 15:14:49.602</v>
      </c>
      <c r="C3704" t="str">
        <f t="shared" si="1444"/>
        <v>FFDFD3C0</v>
      </c>
      <c r="D3704" t="s">
        <v>143</v>
      </c>
      <c r="E3704" t="str">
        <f>"05"</f>
        <v>05</v>
      </c>
      <c r="H3704">
        <v>172</v>
      </c>
      <c r="I3704" t="s">
        <v>141</v>
      </c>
      <c r="J3704" t="s">
        <v>144</v>
      </c>
      <c r="K3704">
        <v>0</v>
      </c>
      <c r="L3704">
        <v>3</v>
      </c>
      <c r="M3704">
        <v>0</v>
      </c>
      <c r="N3704">
        <v>2</v>
      </c>
      <c r="O3704">
        <v>0</v>
      </c>
      <c r="P3704">
        <v>1</v>
      </c>
      <c r="Q3704">
        <v>0</v>
      </c>
      <c r="R3704" t="s">
        <v>127</v>
      </c>
      <c r="S3704" t="str">
        <f t="shared" ref="S3704:T3709" si="1466">"15:14:49.000"</f>
        <v>15:14:49.000</v>
      </c>
      <c r="T3704" t="str">
        <f t="shared" si="1466"/>
        <v>15:14:49.000</v>
      </c>
      <c r="U3704" t="str">
        <f t="shared" si="1446"/>
        <v>A68FCB</v>
      </c>
      <c r="V3704">
        <v>0</v>
      </c>
      <c r="W3704">
        <v>0</v>
      </c>
      <c r="X3704">
        <v>2</v>
      </c>
      <c r="Y3704">
        <v>0</v>
      </c>
      <c r="AA3704">
        <v>1</v>
      </c>
      <c r="AB3704">
        <v>8</v>
      </c>
      <c r="AC3704">
        <v>3</v>
      </c>
      <c r="AD3704">
        <v>0</v>
      </c>
      <c r="AE3704">
        <v>9</v>
      </c>
      <c r="AF3704" t="s">
        <v>138</v>
      </c>
      <c r="AG3704">
        <v>0</v>
      </c>
      <c r="AH3704">
        <v>3</v>
      </c>
      <c r="AI3704">
        <v>2</v>
      </c>
      <c r="AJ3704">
        <v>0</v>
      </c>
      <c r="AK3704" t="s">
        <v>1181</v>
      </c>
      <c r="AL3704">
        <v>39.162439999999997</v>
      </c>
      <c r="AM3704" t="s">
        <v>1167</v>
      </c>
      <c r="AN3704">
        <v>-121.030862</v>
      </c>
      <c r="AO3704">
        <v>25</v>
      </c>
      <c r="AP3704">
        <v>4100</v>
      </c>
      <c r="AQ3704" t="s">
        <v>131</v>
      </c>
      <c r="AR3704">
        <v>0</v>
      </c>
      <c r="AS3704">
        <v>93</v>
      </c>
      <c r="AT3704">
        <v>192</v>
      </c>
      <c r="BB3704" t="str">
        <f t="shared" si="1447"/>
        <v>1200</v>
      </c>
      <c r="BC3704">
        <v>1</v>
      </c>
      <c r="BD3704" t="str">
        <f t="shared" si="1448"/>
        <v xml:space="preserve">N52156  </v>
      </c>
      <c r="BE3704">
        <v>1</v>
      </c>
      <c r="BG3704">
        <v>0</v>
      </c>
      <c r="BH3704">
        <v>0</v>
      </c>
      <c r="BI3704">
        <v>0</v>
      </c>
      <c r="BJ3704">
        <v>4175</v>
      </c>
      <c r="BK3704">
        <v>75</v>
      </c>
      <c r="BL3704" t="s">
        <v>188</v>
      </c>
      <c r="BM3704">
        <v>1</v>
      </c>
      <c r="BN3704">
        <v>1</v>
      </c>
      <c r="BO3704">
        <v>0</v>
      </c>
      <c r="BP3704">
        <v>0</v>
      </c>
      <c r="BS3704">
        <v>0</v>
      </c>
      <c r="BT3704">
        <v>0</v>
      </c>
      <c r="BU3704">
        <v>0</v>
      </c>
      <c r="CE3704" t="str">
        <f t="shared" ref="CE3704:CE3709" si="1467">"15:14:49.385"</f>
        <v>15:14:49.385</v>
      </c>
      <c r="CF3704">
        <v>384988662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4</v>
      </c>
      <c r="CY3704">
        <v>7</v>
      </c>
      <c r="CZ3704" t="s">
        <v>133</v>
      </c>
      <c r="DA3704">
        <v>275</v>
      </c>
      <c r="DB3704">
        <v>0</v>
      </c>
      <c r="DC3704" t="s">
        <v>134</v>
      </c>
      <c r="DD3704" t="s">
        <v>135</v>
      </c>
      <c r="DG3704">
        <v>3322920</v>
      </c>
      <c r="DI3704">
        <v>1</v>
      </c>
      <c r="DJ3704">
        <v>0</v>
      </c>
      <c r="DK3704">
        <v>0</v>
      </c>
      <c r="DL3704">
        <v>0</v>
      </c>
      <c r="DM3704">
        <v>0</v>
      </c>
      <c r="DN3704">
        <v>0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3">
      <c r="A3705" t="str">
        <f>"05/01/2025 15:14:49.606"</f>
        <v>05/01/2025 15:14:49.606</v>
      </c>
      <c r="C3705" t="str">
        <f t="shared" si="1444"/>
        <v>FFDFD3C0</v>
      </c>
      <c r="D3705" t="s">
        <v>140</v>
      </c>
      <c r="E3705" t="str">
        <f>"13"</f>
        <v>13</v>
      </c>
      <c r="F3705">
        <v>1019</v>
      </c>
      <c r="G3705" t="s">
        <v>141</v>
      </c>
      <c r="J3705" t="s">
        <v>142</v>
      </c>
      <c r="K3705">
        <v>0</v>
      </c>
      <c r="L3705">
        <v>3</v>
      </c>
      <c r="M3705">
        <v>0</v>
      </c>
      <c r="N3705">
        <v>2</v>
      </c>
      <c r="O3705">
        <v>0</v>
      </c>
      <c r="P3705">
        <v>1</v>
      </c>
      <c r="Q3705">
        <v>0</v>
      </c>
      <c r="R3705" t="s">
        <v>127</v>
      </c>
      <c r="S3705" t="str">
        <f t="shared" si="1466"/>
        <v>15:14:49.000</v>
      </c>
      <c r="T3705" t="str">
        <f t="shared" si="1466"/>
        <v>15:14:49.000</v>
      </c>
      <c r="U3705" t="str">
        <f t="shared" si="1446"/>
        <v>A68FCB</v>
      </c>
      <c r="V3705">
        <v>0</v>
      </c>
      <c r="W3705">
        <v>0</v>
      </c>
      <c r="X3705">
        <v>2</v>
      </c>
      <c r="Y3705">
        <v>0</v>
      </c>
      <c r="AA3705">
        <v>1</v>
      </c>
      <c r="AB3705">
        <v>8</v>
      </c>
      <c r="AC3705">
        <v>3</v>
      </c>
      <c r="AD3705">
        <v>0</v>
      </c>
      <c r="AE3705">
        <v>9</v>
      </c>
      <c r="AF3705" t="s">
        <v>138</v>
      </c>
      <c r="AG3705">
        <v>0</v>
      </c>
      <c r="AH3705">
        <v>3</v>
      </c>
      <c r="AI3705">
        <v>2</v>
      </c>
      <c r="AJ3705">
        <v>0</v>
      </c>
      <c r="AK3705" t="s">
        <v>1181</v>
      </c>
      <c r="AL3705">
        <v>39.162439999999997</v>
      </c>
      <c r="AM3705" t="s">
        <v>1167</v>
      </c>
      <c r="AN3705">
        <v>-121.030862</v>
      </c>
      <c r="AO3705">
        <v>25</v>
      </c>
      <c r="AP3705">
        <v>4100</v>
      </c>
      <c r="AQ3705" t="s">
        <v>131</v>
      </c>
      <c r="AR3705">
        <v>0</v>
      </c>
      <c r="AS3705">
        <v>93</v>
      </c>
      <c r="AT3705">
        <v>192</v>
      </c>
      <c r="BB3705" t="str">
        <f t="shared" si="1447"/>
        <v>1200</v>
      </c>
      <c r="BC3705">
        <v>1</v>
      </c>
      <c r="BD3705" t="str">
        <f t="shared" si="1448"/>
        <v xml:space="preserve">N52156  </v>
      </c>
      <c r="BE3705">
        <v>1</v>
      </c>
      <c r="BG3705">
        <v>0</v>
      </c>
      <c r="BH3705">
        <v>0</v>
      </c>
      <c r="BI3705">
        <v>0</v>
      </c>
      <c r="BJ3705">
        <v>4175</v>
      </c>
      <c r="BK3705">
        <v>75</v>
      </c>
      <c r="BL3705" t="s">
        <v>188</v>
      </c>
      <c r="BM3705">
        <v>1</v>
      </c>
      <c r="BN3705">
        <v>1</v>
      </c>
      <c r="BO3705">
        <v>0</v>
      </c>
      <c r="BP3705">
        <v>0</v>
      </c>
      <c r="BS3705">
        <v>0</v>
      </c>
      <c r="BT3705">
        <v>0</v>
      </c>
      <c r="BU3705">
        <v>0</v>
      </c>
      <c r="CE3705" t="str">
        <f t="shared" si="1467"/>
        <v>15:14:49.385</v>
      </c>
      <c r="CF3705">
        <v>384988662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4</v>
      </c>
      <c r="CY3705">
        <v>7</v>
      </c>
      <c r="CZ3705" t="s">
        <v>133</v>
      </c>
      <c r="DA3705">
        <v>275</v>
      </c>
      <c r="DB3705">
        <v>0</v>
      </c>
      <c r="DC3705" t="s">
        <v>134</v>
      </c>
      <c r="DD3705" t="s">
        <v>135</v>
      </c>
      <c r="DG3705">
        <v>3322920</v>
      </c>
      <c r="DI3705">
        <v>1</v>
      </c>
      <c r="DJ3705">
        <v>0</v>
      </c>
      <c r="DK3705">
        <v>1</v>
      </c>
      <c r="DL3705">
        <v>0</v>
      </c>
      <c r="DM3705">
        <v>0</v>
      </c>
      <c r="DN3705">
        <v>0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3">
      <c r="A3706" t="str">
        <f>"05/01/2025 15:14:49.610"</f>
        <v>05/01/2025 15:14:49.610</v>
      </c>
      <c r="C3706" t="str">
        <f t="shared" si="1444"/>
        <v>FFDFD3C0</v>
      </c>
      <c r="D3706" t="s">
        <v>124</v>
      </c>
      <c r="E3706" t="str">
        <f>"06"</f>
        <v>06</v>
      </c>
      <c r="F3706">
        <v>2006</v>
      </c>
      <c r="G3706" t="s">
        <v>125</v>
      </c>
      <c r="J3706" t="s">
        <v>126</v>
      </c>
      <c r="K3706">
        <v>0</v>
      </c>
      <c r="L3706">
        <v>3</v>
      </c>
      <c r="M3706">
        <v>0</v>
      </c>
      <c r="N3706">
        <v>2</v>
      </c>
      <c r="O3706">
        <v>0</v>
      </c>
      <c r="P3706">
        <v>1</v>
      </c>
      <c r="Q3706">
        <v>0</v>
      </c>
      <c r="R3706" t="s">
        <v>127</v>
      </c>
      <c r="S3706" t="str">
        <f t="shared" si="1466"/>
        <v>15:14:49.000</v>
      </c>
      <c r="T3706" t="str">
        <f t="shared" si="1466"/>
        <v>15:14:49.000</v>
      </c>
      <c r="U3706" t="str">
        <f t="shared" si="1446"/>
        <v>A68FCB</v>
      </c>
      <c r="V3706">
        <v>0</v>
      </c>
      <c r="W3706">
        <v>0</v>
      </c>
      <c r="X3706">
        <v>2</v>
      </c>
      <c r="Y3706">
        <v>0</v>
      </c>
      <c r="AA3706">
        <v>1</v>
      </c>
      <c r="AB3706">
        <v>8</v>
      </c>
      <c r="AC3706">
        <v>3</v>
      </c>
      <c r="AD3706">
        <v>0</v>
      </c>
      <c r="AE3706">
        <v>9</v>
      </c>
      <c r="AF3706" t="s">
        <v>138</v>
      </c>
      <c r="AG3706">
        <v>0</v>
      </c>
      <c r="AH3706">
        <v>3</v>
      </c>
      <c r="AI3706">
        <v>2</v>
      </c>
      <c r="AJ3706">
        <v>0</v>
      </c>
      <c r="AK3706" t="s">
        <v>1181</v>
      </c>
      <c r="AL3706">
        <v>39.162439999999997</v>
      </c>
      <c r="AM3706" t="s">
        <v>1167</v>
      </c>
      <c r="AN3706">
        <v>-121.030862</v>
      </c>
      <c r="AO3706">
        <v>25</v>
      </c>
      <c r="AP3706">
        <v>4100</v>
      </c>
      <c r="AQ3706" t="s">
        <v>131</v>
      </c>
      <c r="AR3706">
        <v>0</v>
      </c>
      <c r="AS3706">
        <v>93</v>
      </c>
      <c r="AT3706">
        <v>192</v>
      </c>
      <c r="BB3706" t="str">
        <f t="shared" si="1447"/>
        <v>1200</v>
      </c>
      <c r="BC3706">
        <v>1</v>
      </c>
      <c r="BD3706" t="str">
        <f t="shared" si="1448"/>
        <v xml:space="preserve">N52156  </v>
      </c>
      <c r="BE3706">
        <v>1</v>
      </c>
      <c r="BG3706">
        <v>0</v>
      </c>
      <c r="BH3706">
        <v>0</v>
      </c>
      <c r="BI3706">
        <v>0</v>
      </c>
      <c r="BJ3706">
        <v>4175</v>
      </c>
      <c r="BK3706">
        <v>75</v>
      </c>
      <c r="BL3706" t="s">
        <v>188</v>
      </c>
      <c r="BM3706">
        <v>1</v>
      </c>
      <c r="BN3706">
        <v>1</v>
      </c>
      <c r="BO3706">
        <v>0</v>
      </c>
      <c r="BP3706">
        <v>0</v>
      </c>
      <c r="BS3706">
        <v>0</v>
      </c>
      <c r="BT3706">
        <v>0</v>
      </c>
      <c r="BU3706">
        <v>0</v>
      </c>
      <c r="CE3706" t="str">
        <f t="shared" si="1467"/>
        <v>15:14:49.385</v>
      </c>
      <c r="CF3706">
        <v>384988662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4</v>
      </c>
      <c r="CY3706">
        <v>7</v>
      </c>
      <c r="CZ3706" t="s">
        <v>133</v>
      </c>
      <c r="DA3706">
        <v>275</v>
      </c>
      <c r="DB3706">
        <v>0</v>
      </c>
      <c r="DC3706" t="s">
        <v>134</v>
      </c>
      <c r="DD3706" t="s">
        <v>135</v>
      </c>
      <c r="DG3706">
        <v>3322920</v>
      </c>
      <c r="DI3706">
        <v>1</v>
      </c>
      <c r="DJ3706">
        <v>0</v>
      </c>
      <c r="DK3706">
        <v>1</v>
      </c>
      <c r="DL3706">
        <v>0</v>
      </c>
      <c r="DM3706">
        <v>0</v>
      </c>
      <c r="DN3706">
        <v>0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3">
      <c r="A3707" t="str">
        <f>"05/01/2025 15:14:49.620"</f>
        <v>05/01/2025 15:14:49.620</v>
      </c>
      <c r="C3707" t="str">
        <f t="shared" si="1444"/>
        <v>FFDFD3C0</v>
      </c>
      <c r="D3707" t="s">
        <v>145</v>
      </c>
      <c r="E3707" t="str">
        <f>"09"</f>
        <v>09</v>
      </c>
      <c r="H3707">
        <v>51</v>
      </c>
      <c r="I3707" t="s">
        <v>147</v>
      </c>
      <c r="J3707" t="s">
        <v>138</v>
      </c>
      <c r="K3707">
        <v>0</v>
      </c>
      <c r="L3707">
        <v>3</v>
      </c>
      <c r="M3707">
        <v>0</v>
      </c>
      <c r="N3707">
        <v>2</v>
      </c>
      <c r="O3707">
        <v>0</v>
      </c>
      <c r="P3707">
        <v>1</v>
      </c>
      <c r="Q3707">
        <v>0</v>
      </c>
      <c r="R3707" t="s">
        <v>127</v>
      </c>
      <c r="S3707" t="str">
        <f t="shared" si="1466"/>
        <v>15:14:49.000</v>
      </c>
      <c r="T3707" t="str">
        <f t="shared" si="1466"/>
        <v>15:14:49.000</v>
      </c>
      <c r="U3707" t="str">
        <f t="shared" si="1446"/>
        <v>A68FCB</v>
      </c>
      <c r="V3707">
        <v>0</v>
      </c>
      <c r="W3707">
        <v>0</v>
      </c>
      <c r="X3707">
        <v>2</v>
      </c>
      <c r="Y3707">
        <v>0</v>
      </c>
      <c r="AA3707">
        <v>1</v>
      </c>
      <c r="AB3707">
        <v>8</v>
      </c>
      <c r="AC3707">
        <v>3</v>
      </c>
      <c r="AD3707">
        <v>0</v>
      </c>
      <c r="AE3707">
        <v>9</v>
      </c>
      <c r="AF3707" t="s">
        <v>138</v>
      </c>
      <c r="AG3707">
        <v>0</v>
      </c>
      <c r="AH3707">
        <v>3</v>
      </c>
      <c r="AI3707">
        <v>2</v>
      </c>
      <c r="AJ3707">
        <v>0</v>
      </c>
      <c r="AK3707" t="s">
        <v>1181</v>
      </c>
      <c r="AL3707">
        <v>39.162439999999997</v>
      </c>
      <c r="AM3707" t="s">
        <v>1167</v>
      </c>
      <c r="AN3707">
        <v>-121.030862</v>
      </c>
      <c r="AO3707">
        <v>25</v>
      </c>
      <c r="AP3707">
        <v>4100</v>
      </c>
      <c r="AQ3707" t="s">
        <v>131</v>
      </c>
      <c r="AR3707">
        <v>0</v>
      </c>
      <c r="AS3707">
        <v>93</v>
      </c>
      <c r="AT3707">
        <v>192</v>
      </c>
      <c r="BB3707" t="str">
        <f t="shared" si="1447"/>
        <v>1200</v>
      </c>
      <c r="BC3707">
        <v>1</v>
      </c>
      <c r="BD3707" t="str">
        <f t="shared" si="1448"/>
        <v xml:space="preserve">N52156  </v>
      </c>
      <c r="BE3707">
        <v>1</v>
      </c>
      <c r="BG3707">
        <v>0</v>
      </c>
      <c r="BH3707">
        <v>0</v>
      </c>
      <c r="BI3707">
        <v>0</v>
      </c>
      <c r="BJ3707">
        <v>4175</v>
      </c>
      <c r="BK3707">
        <v>75</v>
      </c>
      <c r="BL3707" t="s">
        <v>188</v>
      </c>
      <c r="BM3707">
        <v>1</v>
      </c>
      <c r="BN3707">
        <v>1</v>
      </c>
      <c r="BO3707">
        <v>0</v>
      </c>
      <c r="BP3707">
        <v>0</v>
      </c>
      <c r="BS3707">
        <v>0</v>
      </c>
      <c r="BT3707">
        <v>0</v>
      </c>
      <c r="BU3707">
        <v>0</v>
      </c>
      <c r="CE3707" t="str">
        <f t="shared" si="1467"/>
        <v>15:14:49.385</v>
      </c>
      <c r="CF3707">
        <v>384988662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4</v>
      </c>
      <c r="CY3707">
        <v>7</v>
      </c>
      <c r="CZ3707" t="s">
        <v>133</v>
      </c>
      <c r="DA3707">
        <v>275</v>
      </c>
      <c r="DB3707">
        <v>0</v>
      </c>
      <c r="DC3707" t="s">
        <v>134</v>
      </c>
      <c r="DD3707" t="s">
        <v>135</v>
      </c>
      <c r="DG3707">
        <v>3322920</v>
      </c>
      <c r="DI3707">
        <v>1</v>
      </c>
      <c r="DJ3707">
        <v>0</v>
      </c>
      <c r="DK3707">
        <v>1</v>
      </c>
      <c r="DL3707">
        <v>0</v>
      </c>
      <c r="DM3707">
        <v>0</v>
      </c>
      <c r="DN3707">
        <v>0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3">
      <c r="A3708" t="str">
        <f>"05/01/2025 15:14:49.622"</f>
        <v>05/01/2025 15:14:49.622</v>
      </c>
      <c r="C3708" t="str">
        <f t="shared" si="1444"/>
        <v>FFDFD3C0</v>
      </c>
      <c r="D3708" t="s">
        <v>145</v>
      </c>
      <c r="E3708" t="str">
        <f>"05"</f>
        <v>05</v>
      </c>
      <c r="H3708">
        <v>47</v>
      </c>
      <c r="I3708" t="s">
        <v>146</v>
      </c>
      <c r="J3708" t="s">
        <v>138</v>
      </c>
      <c r="K3708">
        <v>0</v>
      </c>
      <c r="L3708">
        <v>3</v>
      </c>
      <c r="M3708">
        <v>0</v>
      </c>
      <c r="N3708">
        <v>2</v>
      </c>
      <c r="O3708">
        <v>0</v>
      </c>
      <c r="P3708">
        <v>1</v>
      </c>
      <c r="Q3708">
        <v>0</v>
      </c>
      <c r="R3708" t="s">
        <v>127</v>
      </c>
      <c r="S3708" t="str">
        <f t="shared" si="1466"/>
        <v>15:14:49.000</v>
      </c>
      <c r="T3708" t="str">
        <f t="shared" si="1466"/>
        <v>15:14:49.000</v>
      </c>
      <c r="U3708" t="str">
        <f t="shared" si="1446"/>
        <v>A68FCB</v>
      </c>
      <c r="V3708">
        <v>0</v>
      </c>
      <c r="W3708">
        <v>0</v>
      </c>
      <c r="X3708">
        <v>2</v>
      </c>
      <c r="Y3708">
        <v>0</v>
      </c>
      <c r="AA3708">
        <v>1</v>
      </c>
      <c r="AB3708">
        <v>8</v>
      </c>
      <c r="AC3708">
        <v>3</v>
      </c>
      <c r="AD3708">
        <v>0</v>
      </c>
      <c r="AE3708">
        <v>9</v>
      </c>
      <c r="AF3708" t="s">
        <v>138</v>
      </c>
      <c r="AG3708">
        <v>0</v>
      </c>
      <c r="AH3708">
        <v>3</v>
      </c>
      <c r="AI3708">
        <v>2</v>
      </c>
      <c r="AJ3708">
        <v>0</v>
      </c>
      <c r="AK3708" t="s">
        <v>1181</v>
      </c>
      <c r="AL3708">
        <v>39.162439999999997</v>
      </c>
      <c r="AM3708" t="s">
        <v>1167</v>
      </c>
      <c r="AN3708">
        <v>-121.030862</v>
      </c>
      <c r="AO3708">
        <v>25</v>
      </c>
      <c r="AP3708">
        <v>4100</v>
      </c>
      <c r="AQ3708" t="s">
        <v>131</v>
      </c>
      <c r="AR3708">
        <v>0</v>
      </c>
      <c r="AS3708">
        <v>93</v>
      </c>
      <c r="AT3708">
        <v>192</v>
      </c>
      <c r="BB3708" t="str">
        <f t="shared" si="1447"/>
        <v>1200</v>
      </c>
      <c r="BC3708">
        <v>1</v>
      </c>
      <c r="BD3708" t="str">
        <f t="shared" si="1448"/>
        <v xml:space="preserve">N52156  </v>
      </c>
      <c r="BE3708">
        <v>1</v>
      </c>
      <c r="BG3708">
        <v>0</v>
      </c>
      <c r="BH3708">
        <v>0</v>
      </c>
      <c r="BI3708">
        <v>0</v>
      </c>
      <c r="BJ3708">
        <v>4175</v>
      </c>
      <c r="BK3708">
        <v>75</v>
      </c>
      <c r="BL3708" t="s">
        <v>188</v>
      </c>
      <c r="BM3708">
        <v>1</v>
      </c>
      <c r="BN3708">
        <v>1</v>
      </c>
      <c r="BO3708">
        <v>0</v>
      </c>
      <c r="BP3708">
        <v>0</v>
      </c>
      <c r="BS3708">
        <v>0</v>
      </c>
      <c r="BT3708">
        <v>0</v>
      </c>
      <c r="BU3708">
        <v>0</v>
      </c>
      <c r="CE3708" t="str">
        <f t="shared" si="1467"/>
        <v>15:14:49.385</v>
      </c>
      <c r="CF3708">
        <v>384988662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4</v>
      </c>
      <c r="CY3708">
        <v>7</v>
      </c>
      <c r="CZ3708" t="s">
        <v>133</v>
      </c>
      <c r="DA3708">
        <v>275</v>
      </c>
      <c r="DB3708">
        <v>0</v>
      </c>
      <c r="DC3708" t="s">
        <v>134</v>
      </c>
      <c r="DD3708" t="s">
        <v>135</v>
      </c>
      <c r="DG3708">
        <v>3322920</v>
      </c>
      <c r="DI3708">
        <v>1</v>
      </c>
      <c r="DJ3708">
        <v>0</v>
      </c>
      <c r="DK3708">
        <v>1</v>
      </c>
      <c r="DL3708">
        <v>0</v>
      </c>
      <c r="DM3708">
        <v>0</v>
      </c>
      <c r="DN3708">
        <v>0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3">
      <c r="A3709" t="str">
        <f>"05/01/2025 15:14:49.635"</f>
        <v>05/01/2025 15:14:49.635</v>
      </c>
      <c r="C3709" t="str">
        <f t="shared" si="1444"/>
        <v>FFDFD3C0</v>
      </c>
      <c r="D3709" t="s">
        <v>136</v>
      </c>
      <c r="E3709" t="str">
        <f>"20"</f>
        <v>20</v>
      </c>
      <c r="H3709">
        <v>400</v>
      </c>
      <c r="I3709" t="s">
        <v>137</v>
      </c>
      <c r="J3709" t="s">
        <v>138</v>
      </c>
      <c r="K3709">
        <v>0</v>
      </c>
      <c r="L3709">
        <v>3</v>
      </c>
      <c r="M3709">
        <v>0</v>
      </c>
      <c r="N3709">
        <v>2</v>
      </c>
      <c r="O3709">
        <v>0</v>
      </c>
      <c r="P3709">
        <v>1</v>
      </c>
      <c r="Q3709">
        <v>0</v>
      </c>
      <c r="R3709" t="s">
        <v>127</v>
      </c>
      <c r="S3709" t="str">
        <f t="shared" si="1466"/>
        <v>15:14:49.000</v>
      </c>
      <c r="T3709" t="str">
        <f t="shared" si="1466"/>
        <v>15:14:49.000</v>
      </c>
      <c r="U3709" t="str">
        <f t="shared" si="1446"/>
        <v>A68FCB</v>
      </c>
      <c r="V3709">
        <v>0</v>
      </c>
      <c r="W3709">
        <v>0</v>
      </c>
      <c r="X3709">
        <v>2</v>
      </c>
      <c r="Y3709">
        <v>0</v>
      </c>
      <c r="AA3709">
        <v>1</v>
      </c>
      <c r="AB3709">
        <v>8</v>
      </c>
      <c r="AC3709">
        <v>3</v>
      </c>
      <c r="AD3709">
        <v>0</v>
      </c>
      <c r="AE3709">
        <v>9</v>
      </c>
      <c r="AF3709" t="s">
        <v>138</v>
      </c>
      <c r="AG3709">
        <v>0</v>
      </c>
      <c r="AH3709">
        <v>3</v>
      </c>
      <c r="AI3709">
        <v>2</v>
      </c>
      <c r="AJ3709">
        <v>0</v>
      </c>
      <c r="AK3709" t="s">
        <v>1181</v>
      </c>
      <c r="AL3709">
        <v>39.162439999999997</v>
      </c>
      <c r="AM3709" t="s">
        <v>1167</v>
      </c>
      <c r="AN3709">
        <v>-121.030862</v>
      </c>
      <c r="AO3709">
        <v>25</v>
      </c>
      <c r="AP3709">
        <v>4100</v>
      </c>
      <c r="AQ3709" t="s">
        <v>131</v>
      </c>
      <c r="AR3709">
        <v>0</v>
      </c>
      <c r="AS3709">
        <v>93</v>
      </c>
      <c r="AT3709">
        <v>192</v>
      </c>
      <c r="BB3709" t="str">
        <f t="shared" si="1447"/>
        <v>1200</v>
      </c>
      <c r="BC3709">
        <v>1</v>
      </c>
      <c r="BD3709" t="str">
        <f t="shared" si="1448"/>
        <v xml:space="preserve">N52156  </v>
      </c>
      <c r="BE3709">
        <v>1</v>
      </c>
      <c r="BG3709">
        <v>0</v>
      </c>
      <c r="BH3709">
        <v>0</v>
      </c>
      <c r="BI3709">
        <v>0</v>
      </c>
      <c r="BJ3709">
        <v>4175</v>
      </c>
      <c r="BK3709">
        <v>75</v>
      </c>
      <c r="BL3709" t="s">
        <v>188</v>
      </c>
      <c r="BM3709">
        <v>1</v>
      </c>
      <c r="BN3709">
        <v>1</v>
      </c>
      <c r="BO3709">
        <v>0</v>
      </c>
      <c r="BP3709">
        <v>0</v>
      </c>
      <c r="BS3709">
        <v>0</v>
      </c>
      <c r="BT3709">
        <v>0</v>
      </c>
      <c r="BU3709">
        <v>0</v>
      </c>
      <c r="CE3709" t="str">
        <f t="shared" si="1467"/>
        <v>15:14:49.385</v>
      </c>
      <c r="CF3709">
        <v>384988662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4</v>
      </c>
      <c r="CY3709">
        <v>7</v>
      </c>
      <c r="CZ3709" t="s">
        <v>133</v>
      </c>
      <c r="DA3709">
        <v>275</v>
      </c>
      <c r="DB3709">
        <v>0</v>
      </c>
      <c r="DC3709" t="s">
        <v>134</v>
      </c>
      <c r="DD3709" t="s">
        <v>135</v>
      </c>
      <c r="DG3709">
        <v>3322920</v>
      </c>
      <c r="DI3709">
        <v>1</v>
      </c>
      <c r="DJ3709">
        <v>0</v>
      </c>
      <c r="DK3709">
        <v>1</v>
      </c>
      <c r="DL3709">
        <v>0</v>
      </c>
      <c r="DM3709">
        <v>0</v>
      </c>
      <c r="DN3709">
        <v>0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3">
      <c r="A3710" t="str">
        <f>"05/01/2025 15:14:50.986"</f>
        <v>05/01/2025 15:14:50.986</v>
      </c>
      <c r="C3710" t="str">
        <f t="shared" si="1444"/>
        <v>FFDFD3C0</v>
      </c>
      <c r="D3710" t="s">
        <v>136</v>
      </c>
      <c r="E3710" t="str">
        <f>"20"</f>
        <v>20</v>
      </c>
      <c r="H3710">
        <v>400</v>
      </c>
      <c r="I3710" t="s">
        <v>137</v>
      </c>
      <c r="J3710" t="s">
        <v>138</v>
      </c>
      <c r="K3710">
        <v>0</v>
      </c>
      <c r="L3710">
        <v>3</v>
      </c>
      <c r="M3710">
        <v>0</v>
      </c>
      <c r="N3710">
        <v>2</v>
      </c>
      <c r="O3710">
        <v>0</v>
      </c>
      <c r="P3710">
        <v>1</v>
      </c>
      <c r="Q3710">
        <v>0</v>
      </c>
      <c r="R3710" t="s">
        <v>127</v>
      </c>
      <c r="S3710" t="str">
        <f t="shared" ref="S3710:T3715" si="1468">"15:14:50.000"</f>
        <v>15:14:50.000</v>
      </c>
      <c r="T3710" t="str">
        <f t="shared" si="1468"/>
        <v>15:14:50.000</v>
      </c>
      <c r="U3710" t="str">
        <f t="shared" si="1446"/>
        <v>A68FCB</v>
      </c>
      <c r="V3710">
        <v>0</v>
      </c>
      <c r="W3710">
        <v>0</v>
      </c>
      <c r="X3710">
        <v>2</v>
      </c>
      <c r="Y3710">
        <v>0</v>
      </c>
      <c r="AA3710">
        <v>1</v>
      </c>
      <c r="AB3710">
        <v>8</v>
      </c>
      <c r="AC3710">
        <v>3</v>
      </c>
      <c r="AD3710">
        <v>0</v>
      </c>
      <c r="AE3710">
        <v>9</v>
      </c>
      <c r="AF3710" t="s">
        <v>138</v>
      </c>
      <c r="AG3710">
        <v>0</v>
      </c>
      <c r="AH3710">
        <v>3</v>
      </c>
      <c r="AI3710">
        <v>2</v>
      </c>
      <c r="AJ3710">
        <v>0</v>
      </c>
      <c r="AK3710" t="s">
        <v>1182</v>
      </c>
      <c r="AL3710">
        <v>39.162869000000001</v>
      </c>
      <c r="AM3710" t="s">
        <v>1167</v>
      </c>
      <c r="AN3710">
        <v>-121.030862</v>
      </c>
      <c r="AO3710">
        <v>25</v>
      </c>
      <c r="AP3710">
        <v>4100</v>
      </c>
      <c r="AQ3710" t="s">
        <v>131</v>
      </c>
      <c r="AR3710">
        <v>-1</v>
      </c>
      <c r="AS3710">
        <v>93</v>
      </c>
      <c r="AT3710">
        <v>192</v>
      </c>
      <c r="BB3710" t="str">
        <f t="shared" si="1447"/>
        <v>1200</v>
      </c>
      <c r="BC3710">
        <v>1</v>
      </c>
      <c r="BD3710" t="str">
        <f t="shared" si="1448"/>
        <v xml:space="preserve">N52156  </v>
      </c>
      <c r="BE3710">
        <v>1</v>
      </c>
      <c r="BG3710">
        <v>0</v>
      </c>
      <c r="BH3710">
        <v>0</v>
      </c>
      <c r="BI3710">
        <v>0</v>
      </c>
      <c r="BJ3710">
        <v>4175</v>
      </c>
      <c r="BK3710">
        <v>75</v>
      </c>
      <c r="BL3710" t="s">
        <v>188</v>
      </c>
      <c r="BM3710">
        <v>1</v>
      </c>
      <c r="BN3710">
        <v>1</v>
      </c>
      <c r="BO3710">
        <v>0</v>
      </c>
      <c r="BP3710">
        <v>0</v>
      </c>
      <c r="BS3710">
        <v>0</v>
      </c>
      <c r="BT3710">
        <v>0</v>
      </c>
      <c r="BU3710">
        <v>0</v>
      </c>
      <c r="CE3710" t="str">
        <f t="shared" ref="CE3710:CE3715" si="1469">"15:14:50.785"</f>
        <v>15:14:50.785</v>
      </c>
      <c r="CF3710">
        <v>785489780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4</v>
      </c>
      <c r="CY3710">
        <v>7</v>
      </c>
      <c r="CZ3710" t="s">
        <v>133</v>
      </c>
      <c r="DA3710">
        <v>275</v>
      </c>
      <c r="DB3710">
        <v>0</v>
      </c>
      <c r="DC3710" t="s">
        <v>134</v>
      </c>
      <c r="DD3710" t="s">
        <v>135</v>
      </c>
      <c r="DG3710">
        <v>3322927</v>
      </c>
      <c r="DI3710">
        <v>1</v>
      </c>
      <c r="DJ3710">
        <v>0</v>
      </c>
      <c r="DK3710">
        <v>0</v>
      </c>
      <c r="DL3710">
        <v>0</v>
      </c>
      <c r="DM3710">
        <v>0</v>
      </c>
      <c r="DN3710">
        <v>0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3">
      <c r="A3711" t="str">
        <f>"05/01/2025 15:14:51.005"</f>
        <v>05/01/2025 15:14:51.005</v>
      </c>
      <c r="C3711" t="str">
        <f t="shared" si="1444"/>
        <v>FFDFD3C0</v>
      </c>
      <c r="D3711" t="s">
        <v>143</v>
      </c>
      <c r="E3711" t="str">
        <f>"05"</f>
        <v>05</v>
      </c>
      <c r="H3711">
        <v>172</v>
      </c>
      <c r="I3711" t="s">
        <v>141</v>
      </c>
      <c r="J3711" t="s">
        <v>144</v>
      </c>
      <c r="K3711">
        <v>0</v>
      </c>
      <c r="L3711">
        <v>3</v>
      </c>
      <c r="M3711">
        <v>0</v>
      </c>
      <c r="N3711">
        <v>2</v>
      </c>
      <c r="O3711">
        <v>0</v>
      </c>
      <c r="P3711">
        <v>1</v>
      </c>
      <c r="Q3711">
        <v>0</v>
      </c>
      <c r="R3711" t="s">
        <v>127</v>
      </c>
      <c r="S3711" t="str">
        <f t="shared" si="1468"/>
        <v>15:14:50.000</v>
      </c>
      <c r="T3711" t="str">
        <f t="shared" si="1468"/>
        <v>15:14:50.000</v>
      </c>
      <c r="U3711" t="str">
        <f t="shared" si="1446"/>
        <v>A68FCB</v>
      </c>
      <c r="V3711">
        <v>0</v>
      </c>
      <c r="W3711">
        <v>0</v>
      </c>
      <c r="X3711">
        <v>2</v>
      </c>
      <c r="Y3711">
        <v>0</v>
      </c>
      <c r="AA3711">
        <v>1</v>
      </c>
      <c r="AB3711">
        <v>8</v>
      </c>
      <c r="AC3711">
        <v>3</v>
      </c>
      <c r="AD3711">
        <v>0</v>
      </c>
      <c r="AE3711">
        <v>9</v>
      </c>
      <c r="AF3711" t="s">
        <v>138</v>
      </c>
      <c r="AG3711">
        <v>0</v>
      </c>
      <c r="AH3711">
        <v>3</v>
      </c>
      <c r="AI3711">
        <v>2</v>
      </c>
      <c r="AJ3711">
        <v>0</v>
      </c>
      <c r="AK3711" t="s">
        <v>1182</v>
      </c>
      <c r="AL3711">
        <v>39.162869000000001</v>
      </c>
      <c r="AM3711" t="s">
        <v>1167</v>
      </c>
      <c r="AN3711">
        <v>-121.030862</v>
      </c>
      <c r="AO3711">
        <v>25</v>
      </c>
      <c r="AP3711">
        <v>4100</v>
      </c>
      <c r="AQ3711" t="s">
        <v>131</v>
      </c>
      <c r="AR3711">
        <v>-1</v>
      </c>
      <c r="AS3711">
        <v>93</v>
      </c>
      <c r="AT3711">
        <v>192</v>
      </c>
      <c r="BB3711" t="str">
        <f t="shared" si="1447"/>
        <v>1200</v>
      </c>
      <c r="BC3711">
        <v>1</v>
      </c>
      <c r="BD3711" t="str">
        <f t="shared" si="1448"/>
        <v xml:space="preserve">N52156  </v>
      </c>
      <c r="BE3711">
        <v>1</v>
      </c>
      <c r="BG3711">
        <v>0</v>
      </c>
      <c r="BH3711">
        <v>0</v>
      </c>
      <c r="BI3711">
        <v>0</v>
      </c>
      <c r="BJ3711">
        <v>4175</v>
      </c>
      <c r="BK3711">
        <v>75</v>
      </c>
      <c r="BL3711" t="s">
        <v>188</v>
      </c>
      <c r="BM3711">
        <v>1</v>
      </c>
      <c r="BN3711">
        <v>1</v>
      </c>
      <c r="BO3711">
        <v>0</v>
      </c>
      <c r="BP3711">
        <v>0</v>
      </c>
      <c r="BS3711">
        <v>0</v>
      </c>
      <c r="BT3711">
        <v>0</v>
      </c>
      <c r="BU3711">
        <v>0</v>
      </c>
      <c r="CE3711" t="str">
        <f t="shared" si="1469"/>
        <v>15:14:50.785</v>
      </c>
      <c r="CF3711">
        <v>785489780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4</v>
      </c>
      <c r="CY3711">
        <v>7</v>
      </c>
      <c r="CZ3711" t="s">
        <v>133</v>
      </c>
      <c r="DA3711">
        <v>275</v>
      </c>
      <c r="DB3711">
        <v>0</v>
      </c>
      <c r="DC3711" t="s">
        <v>134</v>
      </c>
      <c r="DD3711" t="s">
        <v>135</v>
      </c>
      <c r="DG3711">
        <v>3322927</v>
      </c>
      <c r="DI3711">
        <v>1</v>
      </c>
      <c r="DJ3711">
        <v>0</v>
      </c>
      <c r="DK3711">
        <v>1</v>
      </c>
      <c r="DL3711">
        <v>0</v>
      </c>
      <c r="DM3711">
        <v>0</v>
      </c>
      <c r="DN3711">
        <v>0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3">
      <c r="A3712" t="str">
        <f>"05/01/2025 15:14:51.009"</f>
        <v>05/01/2025 15:14:51.009</v>
      </c>
      <c r="C3712" t="str">
        <f t="shared" si="1444"/>
        <v>FFDFD3C0</v>
      </c>
      <c r="D3712" t="s">
        <v>140</v>
      </c>
      <c r="E3712" t="str">
        <f>"13"</f>
        <v>13</v>
      </c>
      <c r="F3712">
        <v>1019</v>
      </c>
      <c r="G3712" t="s">
        <v>141</v>
      </c>
      <c r="J3712" t="s">
        <v>142</v>
      </c>
      <c r="K3712">
        <v>0</v>
      </c>
      <c r="L3712">
        <v>3</v>
      </c>
      <c r="M3712">
        <v>0</v>
      </c>
      <c r="N3712">
        <v>2</v>
      </c>
      <c r="O3712">
        <v>0</v>
      </c>
      <c r="P3712">
        <v>1</v>
      </c>
      <c r="Q3712">
        <v>0</v>
      </c>
      <c r="R3712" t="s">
        <v>127</v>
      </c>
      <c r="S3712" t="str">
        <f t="shared" si="1468"/>
        <v>15:14:50.000</v>
      </c>
      <c r="T3712" t="str">
        <f t="shared" si="1468"/>
        <v>15:14:50.000</v>
      </c>
      <c r="U3712" t="str">
        <f t="shared" si="1446"/>
        <v>A68FCB</v>
      </c>
      <c r="V3712">
        <v>0</v>
      </c>
      <c r="W3712">
        <v>0</v>
      </c>
      <c r="X3712">
        <v>2</v>
      </c>
      <c r="Y3712">
        <v>0</v>
      </c>
      <c r="AA3712">
        <v>1</v>
      </c>
      <c r="AB3712">
        <v>8</v>
      </c>
      <c r="AC3712">
        <v>3</v>
      </c>
      <c r="AD3712">
        <v>0</v>
      </c>
      <c r="AE3712">
        <v>9</v>
      </c>
      <c r="AF3712" t="s">
        <v>138</v>
      </c>
      <c r="AG3712">
        <v>0</v>
      </c>
      <c r="AH3712">
        <v>3</v>
      </c>
      <c r="AI3712">
        <v>2</v>
      </c>
      <c r="AJ3712">
        <v>0</v>
      </c>
      <c r="AK3712" t="s">
        <v>1182</v>
      </c>
      <c r="AL3712">
        <v>39.162869000000001</v>
      </c>
      <c r="AM3712" t="s">
        <v>1167</v>
      </c>
      <c r="AN3712">
        <v>-121.030862</v>
      </c>
      <c r="AO3712">
        <v>25</v>
      </c>
      <c r="AP3712">
        <v>4100</v>
      </c>
      <c r="AQ3712" t="s">
        <v>131</v>
      </c>
      <c r="AR3712">
        <v>-1</v>
      </c>
      <c r="AS3712">
        <v>93</v>
      </c>
      <c r="AT3712">
        <v>192</v>
      </c>
      <c r="BB3712" t="str">
        <f t="shared" si="1447"/>
        <v>1200</v>
      </c>
      <c r="BC3712">
        <v>1</v>
      </c>
      <c r="BD3712" t="str">
        <f t="shared" si="1448"/>
        <v xml:space="preserve">N52156  </v>
      </c>
      <c r="BE3712">
        <v>1</v>
      </c>
      <c r="BG3712">
        <v>0</v>
      </c>
      <c r="BH3712">
        <v>0</v>
      </c>
      <c r="BI3712">
        <v>0</v>
      </c>
      <c r="BJ3712">
        <v>4175</v>
      </c>
      <c r="BK3712">
        <v>75</v>
      </c>
      <c r="BL3712" t="s">
        <v>188</v>
      </c>
      <c r="BM3712">
        <v>1</v>
      </c>
      <c r="BN3712">
        <v>1</v>
      </c>
      <c r="BO3712">
        <v>0</v>
      </c>
      <c r="BP3712">
        <v>0</v>
      </c>
      <c r="BS3712">
        <v>0</v>
      </c>
      <c r="BT3712">
        <v>0</v>
      </c>
      <c r="BU3712">
        <v>0</v>
      </c>
      <c r="CE3712" t="str">
        <f t="shared" si="1469"/>
        <v>15:14:50.785</v>
      </c>
      <c r="CF3712">
        <v>785489780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4</v>
      </c>
      <c r="CY3712">
        <v>7</v>
      </c>
      <c r="CZ3712" t="s">
        <v>133</v>
      </c>
      <c r="DA3712">
        <v>275</v>
      </c>
      <c r="DB3712">
        <v>0</v>
      </c>
      <c r="DC3712" t="s">
        <v>134</v>
      </c>
      <c r="DD3712" t="s">
        <v>135</v>
      </c>
      <c r="DG3712">
        <v>3322927</v>
      </c>
      <c r="DI3712">
        <v>1</v>
      </c>
      <c r="DJ3712">
        <v>0</v>
      </c>
      <c r="DK3712">
        <v>1</v>
      </c>
      <c r="DL3712">
        <v>0</v>
      </c>
      <c r="DM3712">
        <v>0</v>
      </c>
      <c r="DN3712">
        <v>0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3">
      <c r="A3713" t="str">
        <f>"05/01/2025 15:14:51.012"</f>
        <v>05/01/2025 15:14:51.012</v>
      </c>
      <c r="C3713" t="str">
        <f t="shared" si="1444"/>
        <v>FFDFD3C0</v>
      </c>
      <c r="D3713" t="s">
        <v>124</v>
      </c>
      <c r="E3713" t="str">
        <f>"06"</f>
        <v>06</v>
      </c>
      <c r="F3713">
        <v>2006</v>
      </c>
      <c r="G3713" t="s">
        <v>125</v>
      </c>
      <c r="J3713" t="s">
        <v>126</v>
      </c>
      <c r="K3713">
        <v>0</v>
      </c>
      <c r="L3713">
        <v>3</v>
      </c>
      <c r="M3713">
        <v>0</v>
      </c>
      <c r="N3713">
        <v>2</v>
      </c>
      <c r="O3713">
        <v>0</v>
      </c>
      <c r="P3713">
        <v>1</v>
      </c>
      <c r="Q3713">
        <v>0</v>
      </c>
      <c r="R3713" t="s">
        <v>127</v>
      </c>
      <c r="S3713" t="str">
        <f t="shared" si="1468"/>
        <v>15:14:50.000</v>
      </c>
      <c r="T3713" t="str">
        <f t="shared" si="1468"/>
        <v>15:14:50.000</v>
      </c>
      <c r="U3713" t="str">
        <f t="shared" si="1446"/>
        <v>A68FCB</v>
      </c>
      <c r="V3713">
        <v>0</v>
      </c>
      <c r="W3713">
        <v>0</v>
      </c>
      <c r="X3713">
        <v>2</v>
      </c>
      <c r="Y3713">
        <v>0</v>
      </c>
      <c r="AA3713">
        <v>1</v>
      </c>
      <c r="AB3713">
        <v>8</v>
      </c>
      <c r="AC3713">
        <v>3</v>
      </c>
      <c r="AD3713">
        <v>0</v>
      </c>
      <c r="AE3713">
        <v>9</v>
      </c>
      <c r="AF3713" t="s">
        <v>138</v>
      </c>
      <c r="AG3713">
        <v>0</v>
      </c>
      <c r="AH3713">
        <v>3</v>
      </c>
      <c r="AI3713">
        <v>2</v>
      </c>
      <c r="AJ3713">
        <v>0</v>
      </c>
      <c r="AK3713" t="s">
        <v>1182</v>
      </c>
      <c r="AL3713">
        <v>39.162869000000001</v>
      </c>
      <c r="AM3713" t="s">
        <v>1167</v>
      </c>
      <c r="AN3713">
        <v>-121.030862</v>
      </c>
      <c r="AO3713">
        <v>25</v>
      </c>
      <c r="AP3713">
        <v>4100</v>
      </c>
      <c r="AQ3713" t="s">
        <v>131</v>
      </c>
      <c r="AR3713">
        <v>-1</v>
      </c>
      <c r="AS3713">
        <v>93</v>
      </c>
      <c r="AT3713">
        <v>192</v>
      </c>
      <c r="BB3713" t="str">
        <f t="shared" si="1447"/>
        <v>1200</v>
      </c>
      <c r="BC3713">
        <v>1</v>
      </c>
      <c r="BD3713" t="str">
        <f t="shared" si="1448"/>
        <v xml:space="preserve">N52156  </v>
      </c>
      <c r="BE3713">
        <v>1</v>
      </c>
      <c r="BG3713">
        <v>0</v>
      </c>
      <c r="BH3713">
        <v>0</v>
      </c>
      <c r="BI3713">
        <v>0</v>
      </c>
      <c r="BJ3713">
        <v>4175</v>
      </c>
      <c r="BK3713">
        <v>75</v>
      </c>
      <c r="BL3713" t="s">
        <v>188</v>
      </c>
      <c r="BM3713">
        <v>1</v>
      </c>
      <c r="BN3713">
        <v>1</v>
      </c>
      <c r="BO3713">
        <v>0</v>
      </c>
      <c r="BP3713">
        <v>0</v>
      </c>
      <c r="BS3713">
        <v>0</v>
      </c>
      <c r="BT3713">
        <v>0</v>
      </c>
      <c r="BU3713">
        <v>0</v>
      </c>
      <c r="CE3713" t="str">
        <f t="shared" si="1469"/>
        <v>15:14:50.785</v>
      </c>
      <c r="CF3713">
        <v>785489780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4</v>
      </c>
      <c r="CY3713">
        <v>7</v>
      </c>
      <c r="CZ3713" t="s">
        <v>133</v>
      </c>
      <c r="DA3713">
        <v>275</v>
      </c>
      <c r="DB3713">
        <v>0</v>
      </c>
      <c r="DC3713" t="s">
        <v>134</v>
      </c>
      <c r="DD3713" t="s">
        <v>135</v>
      </c>
      <c r="DG3713">
        <v>3322927</v>
      </c>
      <c r="DI3713">
        <v>1</v>
      </c>
      <c r="DJ3713">
        <v>0</v>
      </c>
      <c r="DK3713">
        <v>1</v>
      </c>
      <c r="DL3713">
        <v>0</v>
      </c>
      <c r="DM3713">
        <v>0</v>
      </c>
      <c r="DN3713">
        <v>0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3">
      <c r="A3714" t="str">
        <f>"05/01/2025 15:14:51.023"</f>
        <v>05/01/2025 15:14:51.023</v>
      </c>
      <c r="C3714" t="str">
        <f t="shared" ref="C3714:C3777" si="1470">"FFDFD3C0"</f>
        <v>FFDFD3C0</v>
      </c>
      <c r="D3714" t="s">
        <v>145</v>
      </c>
      <c r="E3714" t="str">
        <f>"09"</f>
        <v>09</v>
      </c>
      <c r="H3714">
        <v>51</v>
      </c>
      <c r="I3714" t="s">
        <v>147</v>
      </c>
      <c r="J3714" t="s">
        <v>138</v>
      </c>
      <c r="K3714">
        <v>0</v>
      </c>
      <c r="L3714">
        <v>3</v>
      </c>
      <c r="M3714">
        <v>0</v>
      </c>
      <c r="N3714">
        <v>2</v>
      </c>
      <c r="O3714">
        <v>0</v>
      </c>
      <c r="P3714">
        <v>1</v>
      </c>
      <c r="Q3714">
        <v>0</v>
      </c>
      <c r="R3714" t="s">
        <v>127</v>
      </c>
      <c r="S3714" t="str">
        <f t="shared" si="1468"/>
        <v>15:14:50.000</v>
      </c>
      <c r="T3714" t="str">
        <f t="shared" si="1468"/>
        <v>15:14:50.000</v>
      </c>
      <c r="U3714" t="str">
        <f t="shared" ref="U3714:U3777" si="1471">"A68FCB"</f>
        <v>A68FCB</v>
      </c>
      <c r="V3714">
        <v>0</v>
      </c>
      <c r="W3714">
        <v>0</v>
      </c>
      <c r="X3714">
        <v>2</v>
      </c>
      <c r="Y3714">
        <v>0</v>
      </c>
      <c r="AA3714">
        <v>1</v>
      </c>
      <c r="AB3714">
        <v>8</v>
      </c>
      <c r="AC3714">
        <v>3</v>
      </c>
      <c r="AD3714">
        <v>0</v>
      </c>
      <c r="AE3714">
        <v>9</v>
      </c>
      <c r="AF3714" t="s">
        <v>138</v>
      </c>
      <c r="AG3714">
        <v>0</v>
      </c>
      <c r="AH3714">
        <v>3</v>
      </c>
      <c r="AI3714">
        <v>2</v>
      </c>
      <c r="AJ3714">
        <v>0</v>
      </c>
      <c r="AK3714" t="s">
        <v>1182</v>
      </c>
      <c r="AL3714">
        <v>39.162869000000001</v>
      </c>
      <c r="AM3714" t="s">
        <v>1167</v>
      </c>
      <c r="AN3714">
        <v>-121.030862</v>
      </c>
      <c r="AO3714">
        <v>25</v>
      </c>
      <c r="AP3714">
        <v>4100</v>
      </c>
      <c r="AQ3714" t="s">
        <v>131</v>
      </c>
      <c r="AR3714">
        <v>-1</v>
      </c>
      <c r="AS3714">
        <v>93</v>
      </c>
      <c r="AT3714">
        <v>192</v>
      </c>
      <c r="BB3714" t="str">
        <f t="shared" ref="BB3714:BB3777" si="1472">"1200"</f>
        <v>1200</v>
      </c>
      <c r="BC3714">
        <v>1</v>
      </c>
      <c r="BD3714" t="str">
        <f t="shared" ref="BD3714:BD3777" si="1473">"N52156  "</f>
        <v xml:space="preserve">N52156  </v>
      </c>
      <c r="BE3714">
        <v>1</v>
      </c>
      <c r="BG3714">
        <v>0</v>
      </c>
      <c r="BH3714">
        <v>0</v>
      </c>
      <c r="BI3714">
        <v>0</v>
      </c>
      <c r="BJ3714">
        <v>4175</v>
      </c>
      <c r="BK3714">
        <v>75</v>
      </c>
      <c r="BL3714" t="s">
        <v>188</v>
      </c>
      <c r="BM3714">
        <v>1</v>
      </c>
      <c r="BN3714">
        <v>1</v>
      </c>
      <c r="BO3714">
        <v>0</v>
      </c>
      <c r="BP3714">
        <v>0</v>
      </c>
      <c r="BS3714">
        <v>0</v>
      </c>
      <c r="BT3714">
        <v>0</v>
      </c>
      <c r="BU3714">
        <v>0</v>
      </c>
      <c r="CE3714" t="str">
        <f t="shared" si="1469"/>
        <v>15:14:50.785</v>
      </c>
      <c r="CF3714">
        <v>785489780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4</v>
      </c>
      <c r="CY3714">
        <v>7</v>
      </c>
      <c r="CZ3714" t="s">
        <v>133</v>
      </c>
      <c r="DA3714">
        <v>275</v>
      </c>
      <c r="DB3714">
        <v>0</v>
      </c>
      <c r="DC3714" t="s">
        <v>134</v>
      </c>
      <c r="DD3714" t="s">
        <v>135</v>
      </c>
      <c r="DG3714">
        <v>3322927</v>
      </c>
      <c r="DI3714">
        <v>1</v>
      </c>
      <c r="DJ3714">
        <v>0</v>
      </c>
      <c r="DK3714">
        <v>1</v>
      </c>
      <c r="DL3714">
        <v>0</v>
      </c>
      <c r="DM3714">
        <v>0</v>
      </c>
      <c r="DN3714">
        <v>0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3">
      <c r="A3715" t="str">
        <f>"05/01/2025 15:14:51.025"</f>
        <v>05/01/2025 15:14:51.025</v>
      </c>
      <c r="C3715" t="str">
        <f t="shared" si="1470"/>
        <v>FFDFD3C0</v>
      </c>
      <c r="D3715" t="s">
        <v>145</v>
      </c>
      <c r="E3715" t="str">
        <f>"05"</f>
        <v>05</v>
      </c>
      <c r="H3715">
        <v>47</v>
      </c>
      <c r="I3715" t="s">
        <v>146</v>
      </c>
      <c r="J3715" t="s">
        <v>138</v>
      </c>
      <c r="K3715">
        <v>0</v>
      </c>
      <c r="L3715">
        <v>3</v>
      </c>
      <c r="M3715">
        <v>0</v>
      </c>
      <c r="N3715">
        <v>2</v>
      </c>
      <c r="O3715">
        <v>0</v>
      </c>
      <c r="P3715">
        <v>1</v>
      </c>
      <c r="Q3715">
        <v>0</v>
      </c>
      <c r="R3715" t="s">
        <v>127</v>
      </c>
      <c r="S3715" t="str">
        <f t="shared" si="1468"/>
        <v>15:14:50.000</v>
      </c>
      <c r="T3715" t="str">
        <f t="shared" si="1468"/>
        <v>15:14:50.000</v>
      </c>
      <c r="U3715" t="str">
        <f t="shared" si="1471"/>
        <v>A68FCB</v>
      </c>
      <c r="V3715">
        <v>0</v>
      </c>
      <c r="W3715">
        <v>0</v>
      </c>
      <c r="X3715">
        <v>2</v>
      </c>
      <c r="Y3715">
        <v>0</v>
      </c>
      <c r="AA3715">
        <v>1</v>
      </c>
      <c r="AB3715">
        <v>8</v>
      </c>
      <c r="AC3715">
        <v>3</v>
      </c>
      <c r="AD3715">
        <v>0</v>
      </c>
      <c r="AE3715">
        <v>9</v>
      </c>
      <c r="AF3715" t="s">
        <v>138</v>
      </c>
      <c r="AG3715">
        <v>0</v>
      </c>
      <c r="AH3715">
        <v>3</v>
      </c>
      <c r="AI3715">
        <v>2</v>
      </c>
      <c r="AJ3715">
        <v>0</v>
      </c>
      <c r="AK3715" t="s">
        <v>1182</v>
      </c>
      <c r="AL3715">
        <v>39.162869000000001</v>
      </c>
      <c r="AM3715" t="s">
        <v>1167</v>
      </c>
      <c r="AN3715">
        <v>-121.030862</v>
      </c>
      <c r="AO3715">
        <v>25</v>
      </c>
      <c r="AP3715">
        <v>4100</v>
      </c>
      <c r="AQ3715" t="s">
        <v>131</v>
      </c>
      <c r="AR3715">
        <v>-1</v>
      </c>
      <c r="AS3715">
        <v>93</v>
      </c>
      <c r="AT3715">
        <v>192</v>
      </c>
      <c r="BB3715" t="str">
        <f t="shared" si="1472"/>
        <v>1200</v>
      </c>
      <c r="BC3715">
        <v>1</v>
      </c>
      <c r="BD3715" t="str">
        <f t="shared" si="1473"/>
        <v xml:space="preserve">N52156  </v>
      </c>
      <c r="BE3715">
        <v>1</v>
      </c>
      <c r="BG3715">
        <v>0</v>
      </c>
      <c r="BH3715">
        <v>0</v>
      </c>
      <c r="BI3715">
        <v>0</v>
      </c>
      <c r="BJ3715">
        <v>4175</v>
      </c>
      <c r="BK3715">
        <v>75</v>
      </c>
      <c r="BL3715" t="s">
        <v>188</v>
      </c>
      <c r="BM3715">
        <v>1</v>
      </c>
      <c r="BN3715">
        <v>1</v>
      </c>
      <c r="BO3715">
        <v>0</v>
      </c>
      <c r="BP3715">
        <v>0</v>
      </c>
      <c r="BS3715">
        <v>0</v>
      </c>
      <c r="BT3715">
        <v>0</v>
      </c>
      <c r="BU3715">
        <v>0</v>
      </c>
      <c r="CE3715" t="str">
        <f t="shared" si="1469"/>
        <v>15:14:50.785</v>
      </c>
      <c r="CF3715">
        <v>785489780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4</v>
      </c>
      <c r="CY3715">
        <v>7</v>
      </c>
      <c r="CZ3715" t="s">
        <v>133</v>
      </c>
      <c r="DA3715">
        <v>275</v>
      </c>
      <c r="DB3715">
        <v>0</v>
      </c>
      <c r="DC3715" t="s">
        <v>134</v>
      </c>
      <c r="DD3715" t="s">
        <v>135</v>
      </c>
      <c r="DG3715">
        <v>3322927</v>
      </c>
      <c r="DI3715">
        <v>1</v>
      </c>
      <c r="DJ3715">
        <v>0</v>
      </c>
      <c r="DK3715">
        <v>1</v>
      </c>
      <c r="DL3715">
        <v>0</v>
      </c>
      <c r="DM3715">
        <v>0</v>
      </c>
      <c r="DN3715">
        <v>0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3">
      <c r="A3716" t="str">
        <f>"05/01/2025 15:14:51.555"</f>
        <v>05/01/2025 15:14:51.555</v>
      </c>
      <c r="C3716" t="str">
        <f t="shared" si="1470"/>
        <v>FFDFD3C0</v>
      </c>
      <c r="D3716" t="s">
        <v>143</v>
      </c>
      <c r="E3716" t="str">
        <f>"05"</f>
        <v>05</v>
      </c>
      <c r="H3716">
        <v>172</v>
      </c>
      <c r="I3716" t="s">
        <v>141</v>
      </c>
      <c r="J3716" t="s">
        <v>144</v>
      </c>
      <c r="K3716">
        <v>0</v>
      </c>
      <c r="L3716">
        <v>3</v>
      </c>
      <c r="M3716">
        <v>0</v>
      </c>
      <c r="N3716">
        <v>2</v>
      </c>
      <c r="O3716">
        <v>0</v>
      </c>
      <c r="P3716">
        <v>1</v>
      </c>
      <c r="Q3716">
        <v>0</v>
      </c>
      <c r="R3716" t="s">
        <v>127</v>
      </c>
      <c r="S3716" t="str">
        <f t="shared" ref="S3716:T3721" si="1474">"15:14:51.000"</f>
        <v>15:14:51.000</v>
      </c>
      <c r="T3716" t="str">
        <f t="shared" si="1474"/>
        <v>15:14:51.000</v>
      </c>
      <c r="U3716" t="str">
        <f t="shared" si="1471"/>
        <v>A68FCB</v>
      </c>
      <c r="V3716">
        <v>0</v>
      </c>
      <c r="W3716">
        <v>0</v>
      </c>
      <c r="X3716">
        <v>2</v>
      </c>
      <c r="Y3716">
        <v>0</v>
      </c>
      <c r="AA3716">
        <v>1</v>
      </c>
      <c r="AB3716">
        <v>8</v>
      </c>
      <c r="AC3716">
        <v>3</v>
      </c>
      <c r="AD3716">
        <v>0</v>
      </c>
      <c r="AE3716">
        <v>9</v>
      </c>
      <c r="AF3716" t="s">
        <v>138</v>
      </c>
      <c r="AG3716">
        <v>0</v>
      </c>
      <c r="AH3716">
        <v>3</v>
      </c>
      <c r="AI3716">
        <v>2</v>
      </c>
      <c r="AJ3716">
        <v>0</v>
      </c>
      <c r="AK3716" t="s">
        <v>1183</v>
      </c>
      <c r="AL3716">
        <v>39.163299000000002</v>
      </c>
      <c r="AM3716" t="s">
        <v>1167</v>
      </c>
      <c r="AN3716">
        <v>-121.030862</v>
      </c>
      <c r="AO3716">
        <v>25</v>
      </c>
      <c r="AP3716">
        <v>4100</v>
      </c>
      <c r="AQ3716" t="s">
        <v>131</v>
      </c>
      <c r="AR3716">
        <v>-1</v>
      </c>
      <c r="AS3716">
        <v>93</v>
      </c>
      <c r="AT3716">
        <v>192</v>
      </c>
      <c r="BB3716" t="str">
        <f t="shared" si="1472"/>
        <v>1200</v>
      </c>
      <c r="BC3716">
        <v>1</v>
      </c>
      <c r="BD3716" t="str">
        <f t="shared" si="1473"/>
        <v xml:space="preserve">N52156  </v>
      </c>
      <c r="BE3716">
        <v>1</v>
      </c>
      <c r="BG3716">
        <v>0</v>
      </c>
      <c r="BH3716">
        <v>0</v>
      </c>
      <c r="BI3716">
        <v>0</v>
      </c>
      <c r="BJ3716">
        <v>4175</v>
      </c>
      <c r="BK3716">
        <v>75</v>
      </c>
      <c r="BL3716" t="s">
        <v>188</v>
      </c>
      <c r="BM3716">
        <v>1</v>
      </c>
      <c r="BN3716">
        <v>1</v>
      </c>
      <c r="BO3716">
        <v>0</v>
      </c>
      <c r="BP3716">
        <v>0</v>
      </c>
      <c r="BS3716">
        <v>0</v>
      </c>
      <c r="BT3716">
        <v>0</v>
      </c>
      <c r="BU3716">
        <v>0</v>
      </c>
      <c r="CE3716" t="str">
        <f t="shared" ref="CE3716:CE3721" si="1475">"15:14:51.345"</f>
        <v>15:14:51.345</v>
      </c>
      <c r="CF3716">
        <v>345488722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4</v>
      </c>
      <c r="CY3716">
        <v>7</v>
      </c>
      <c r="CZ3716" t="s">
        <v>133</v>
      </c>
      <c r="DA3716">
        <v>275</v>
      </c>
      <c r="DB3716">
        <v>0</v>
      </c>
      <c r="DC3716" t="s">
        <v>134</v>
      </c>
      <c r="DD3716" t="s">
        <v>135</v>
      </c>
      <c r="DG3716">
        <v>3322931</v>
      </c>
      <c r="DI3716">
        <v>1</v>
      </c>
      <c r="DJ3716">
        <v>0</v>
      </c>
      <c r="DK3716">
        <v>0</v>
      </c>
      <c r="DL3716">
        <v>0</v>
      </c>
      <c r="DM3716">
        <v>0</v>
      </c>
      <c r="DN3716">
        <v>0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3">
      <c r="A3717" t="str">
        <f>"05/01/2025 15:14:51.560"</f>
        <v>05/01/2025 15:14:51.560</v>
      </c>
      <c r="C3717" t="str">
        <f t="shared" si="1470"/>
        <v>FFDFD3C0</v>
      </c>
      <c r="D3717" t="s">
        <v>140</v>
      </c>
      <c r="E3717" t="str">
        <f>"13"</f>
        <v>13</v>
      </c>
      <c r="F3717">
        <v>1019</v>
      </c>
      <c r="G3717" t="s">
        <v>141</v>
      </c>
      <c r="J3717" t="s">
        <v>142</v>
      </c>
      <c r="K3717">
        <v>0</v>
      </c>
      <c r="L3717">
        <v>3</v>
      </c>
      <c r="M3717">
        <v>0</v>
      </c>
      <c r="N3717">
        <v>2</v>
      </c>
      <c r="O3717">
        <v>0</v>
      </c>
      <c r="P3717">
        <v>1</v>
      </c>
      <c r="Q3717">
        <v>0</v>
      </c>
      <c r="R3717" t="s">
        <v>127</v>
      </c>
      <c r="S3717" t="str">
        <f t="shared" si="1474"/>
        <v>15:14:51.000</v>
      </c>
      <c r="T3717" t="str">
        <f t="shared" si="1474"/>
        <v>15:14:51.000</v>
      </c>
      <c r="U3717" t="str">
        <f t="shared" si="1471"/>
        <v>A68FCB</v>
      </c>
      <c r="V3717">
        <v>0</v>
      </c>
      <c r="W3717">
        <v>0</v>
      </c>
      <c r="X3717">
        <v>2</v>
      </c>
      <c r="Y3717">
        <v>0</v>
      </c>
      <c r="AA3717">
        <v>1</v>
      </c>
      <c r="AB3717">
        <v>8</v>
      </c>
      <c r="AC3717">
        <v>3</v>
      </c>
      <c r="AD3717">
        <v>0</v>
      </c>
      <c r="AE3717">
        <v>9</v>
      </c>
      <c r="AF3717" t="s">
        <v>138</v>
      </c>
      <c r="AG3717">
        <v>0</v>
      </c>
      <c r="AH3717">
        <v>3</v>
      </c>
      <c r="AI3717">
        <v>2</v>
      </c>
      <c r="AJ3717">
        <v>0</v>
      </c>
      <c r="AK3717" t="s">
        <v>1183</v>
      </c>
      <c r="AL3717">
        <v>39.163299000000002</v>
      </c>
      <c r="AM3717" t="s">
        <v>1167</v>
      </c>
      <c r="AN3717">
        <v>-121.030862</v>
      </c>
      <c r="AO3717">
        <v>25</v>
      </c>
      <c r="AP3717">
        <v>4100</v>
      </c>
      <c r="AQ3717" t="s">
        <v>131</v>
      </c>
      <c r="AR3717">
        <v>-1</v>
      </c>
      <c r="AS3717">
        <v>93</v>
      </c>
      <c r="AT3717">
        <v>192</v>
      </c>
      <c r="BB3717" t="str">
        <f t="shared" si="1472"/>
        <v>1200</v>
      </c>
      <c r="BC3717">
        <v>1</v>
      </c>
      <c r="BD3717" t="str">
        <f t="shared" si="1473"/>
        <v xml:space="preserve">N52156  </v>
      </c>
      <c r="BE3717">
        <v>1</v>
      </c>
      <c r="BG3717">
        <v>0</v>
      </c>
      <c r="BH3717">
        <v>0</v>
      </c>
      <c r="BI3717">
        <v>0</v>
      </c>
      <c r="BJ3717">
        <v>4175</v>
      </c>
      <c r="BK3717">
        <v>75</v>
      </c>
      <c r="BL3717" t="s">
        <v>188</v>
      </c>
      <c r="BM3717">
        <v>1</v>
      </c>
      <c r="BN3717">
        <v>1</v>
      </c>
      <c r="BO3717">
        <v>0</v>
      </c>
      <c r="BP3717">
        <v>0</v>
      </c>
      <c r="BS3717">
        <v>0</v>
      </c>
      <c r="BT3717">
        <v>0</v>
      </c>
      <c r="BU3717">
        <v>0</v>
      </c>
      <c r="CE3717" t="str">
        <f t="shared" si="1475"/>
        <v>15:14:51.345</v>
      </c>
      <c r="CF3717">
        <v>345488722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4</v>
      </c>
      <c r="CY3717">
        <v>7</v>
      </c>
      <c r="CZ3717" t="s">
        <v>133</v>
      </c>
      <c r="DA3717">
        <v>275</v>
      </c>
      <c r="DB3717">
        <v>0</v>
      </c>
      <c r="DC3717" t="s">
        <v>134</v>
      </c>
      <c r="DD3717" t="s">
        <v>135</v>
      </c>
      <c r="DG3717">
        <v>3322931</v>
      </c>
      <c r="DI3717">
        <v>1</v>
      </c>
      <c r="DJ3717">
        <v>0</v>
      </c>
      <c r="DK3717">
        <v>1</v>
      </c>
      <c r="DL3717">
        <v>0</v>
      </c>
      <c r="DM3717">
        <v>0</v>
      </c>
      <c r="DN3717">
        <v>0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3">
      <c r="A3718" t="str">
        <f>"05/01/2025 15:14:51.563"</f>
        <v>05/01/2025 15:14:51.563</v>
      </c>
      <c r="C3718" t="str">
        <f t="shared" si="1470"/>
        <v>FFDFD3C0</v>
      </c>
      <c r="D3718" t="s">
        <v>124</v>
      </c>
      <c r="E3718" t="str">
        <f>"06"</f>
        <v>06</v>
      </c>
      <c r="F3718">
        <v>2006</v>
      </c>
      <c r="G3718" t="s">
        <v>125</v>
      </c>
      <c r="J3718" t="s">
        <v>126</v>
      </c>
      <c r="K3718">
        <v>0</v>
      </c>
      <c r="L3718">
        <v>3</v>
      </c>
      <c r="M3718">
        <v>0</v>
      </c>
      <c r="N3718">
        <v>2</v>
      </c>
      <c r="O3718">
        <v>0</v>
      </c>
      <c r="P3718">
        <v>1</v>
      </c>
      <c r="Q3718">
        <v>0</v>
      </c>
      <c r="R3718" t="s">
        <v>127</v>
      </c>
      <c r="S3718" t="str">
        <f t="shared" si="1474"/>
        <v>15:14:51.000</v>
      </c>
      <c r="T3718" t="str">
        <f t="shared" si="1474"/>
        <v>15:14:51.000</v>
      </c>
      <c r="U3718" t="str">
        <f t="shared" si="1471"/>
        <v>A68FCB</v>
      </c>
      <c r="V3718">
        <v>0</v>
      </c>
      <c r="W3718">
        <v>0</v>
      </c>
      <c r="X3718">
        <v>2</v>
      </c>
      <c r="Y3718">
        <v>0</v>
      </c>
      <c r="AA3718">
        <v>1</v>
      </c>
      <c r="AB3718">
        <v>8</v>
      </c>
      <c r="AC3718">
        <v>3</v>
      </c>
      <c r="AD3718">
        <v>0</v>
      </c>
      <c r="AE3718">
        <v>9</v>
      </c>
      <c r="AF3718" t="s">
        <v>138</v>
      </c>
      <c r="AG3718">
        <v>0</v>
      </c>
      <c r="AH3718">
        <v>3</v>
      </c>
      <c r="AI3718">
        <v>2</v>
      </c>
      <c r="AJ3718">
        <v>0</v>
      </c>
      <c r="AK3718" t="s">
        <v>1183</v>
      </c>
      <c r="AL3718">
        <v>39.163299000000002</v>
      </c>
      <c r="AM3718" t="s">
        <v>1167</v>
      </c>
      <c r="AN3718">
        <v>-121.030862</v>
      </c>
      <c r="AO3718">
        <v>25</v>
      </c>
      <c r="AP3718">
        <v>4100</v>
      </c>
      <c r="AQ3718" t="s">
        <v>131</v>
      </c>
      <c r="AR3718">
        <v>-1</v>
      </c>
      <c r="AS3718">
        <v>93</v>
      </c>
      <c r="AT3718">
        <v>192</v>
      </c>
      <c r="BB3718" t="str">
        <f t="shared" si="1472"/>
        <v>1200</v>
      </c>
      <c r="BC3718">
        <v>1</v>
      </c>
      <c r="BD3718" t="str">
        <f t="shared" si="1473"/>
        <v xml:space="preserve">N52156  </v>
      </c>
      <c r="BE3718">
        <v>1</v>
      </c>
      <c r="BG3718">
        <v>0</v>
      </c>
      <c r="BH3718">
        <v>0</v>
      </c>
      <c r="BI3718">
        <v>0</v>
      </c>
      <c r="BJ3718">
        <v>4175</v>
      </c>
      <c r="BK3718">
        <v>75</v>
      </c>
      <c r="BL3718" t="s">
        <v>188</v>
      </c>
      <c r="BM3718">
        <v>1</v>
      </c>
      <c r="BN3718">
        <v>1</v>
      </c>
      <c r="BO3718">
        <v>0</v>
      </c>
      <c r="BP3718">
        <v>0</v>
      </c>
      <c r="BS3718">
        <v>0</v>
      </c>
      <c r="BT3718">
        <v>0</v>
      </c>
      <c r="BU3718">
        <v>0</v>
      </c>
      <c r="CE3718" t="str">
        <f t="shared" si="1475"/>
        <v>15:14:51.345</v>
      </c>
      <c r="CF3718">
        <v>345488722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4</v>
      </c>
      <c r="CY3718">
        <v>7</v>
      </c>
      <c r="CZ3718" t="s">
        <v>133</v>
      </c>
      <c r="DA3718">
        <v>275</v>
      </c>
      <c r="DB3718">
        <v>0</v>
      </c>
      <c r="DC3718" t="s">
        <v>134</v>
      </c>
      <c r="DD3718" t="s">
        <v>135</v>
      </c>
      <c r="DG3718">
        <v>3322931</v>
      </c>
      <c r="DI3718">
        <v>1</v>
      </c>
      <c r="DJ3718">
        <v>0</v>
      </c>
      <c r="DK3718">
        <v>1</v>
      </c>
      <c r="DL3718">
        <v>0</v>
      </c>
      <c r="DM3718">
        <v>0</v>
      </c>
      <c r="DN3718">
        <v>0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3">
      <c r="A3719" t="str">
        <f>"05/01/2025 15:14:51.574"</f>
        <v>05/01/2025 15:14:51.574</v>
      </c>
      <c r="C3719" t="str">
        <f t="shared" si="1470"/>
        <v>FFDFD3C0</v>
      </c>
      <c r="D3719" t="s">
        <v>145</v>
      </c>
      <c r="E3719" t="str">
        <f>"09"</f>
        <v>09</v>
      </c>
      <c r="H3719">
        <v>51</v>
      </c>
      <c r="I3719" t="s">
        <v>147</v>
      </c>
      <c r="J3719" t="s">
        <v>138</v>
      </c>
      <c r="K3719">
        <v>0</v>
      </c>
      <c r="L3719">
        <v>3</v>
      </c>
      <c r="M3719">
        <v>0</v>
      </c>
      <c r="N3719">
        <v>2</v>
      </c>
      <c r="O3719">
        <v>0</v>
      </c>
      <c r="P3719">
        <v>1</v>
      </c>
      <c r="Q3719">
        <v>0</v>
      </c>
      <c r="R3719" t="s">
        <v>127</v>
      </c>
      <c r="S3719" t="str">
        <f t="shared" si="1474"/>
        <v>15:14:51.000</v>
      </c>
      <c r="T3719" t="str">
        <f t="shared" si="1474"/>
        <v>15:14:51.000</v>
      </c>
      <c r="U3719" t="str">
        <f t="shared" si="1471"/>
        <v>A68FCB</v>
      </c>
      <c r="V3719">
        <v>0</v>
      </c>
      <c r="W3719">
        <v>0</v>
      </c>
      <c r="X3719">
        <v>2</v>
      </c>
      <c r="Y3719">
        <v>0</v>
      </c>
      <c r="AA3719">
        <v>1</v>
      </c>
      <c r="AB3719">
        <v>8</v>
      </c>
      <c r="AC3719">
        <v>3</v>
      </c>
      <c r="AD3719">
        <v>0</v>
      </c>
      <c r="AE3719">
        <v>9</v>
      </c>
      <c r="AF3719" t="s">
        <v>138</v>
      </c>
      <c r="AG3719">
        <v>0</v>
      </c>
      <c r="AH3719">
        <v>3</v>
      </c>
      <c r="AI3719">
        <v>2</v>
      </c>
      <c r="AJ3719">
        <v>0</v>
      </c>
      <c r="AK3719" t="s">
        <v>1183</v>
      </c>
      <c r="AL3719">
        <v>39.163299000000002</v>
      </c>
      <c r="AM3719" t="s">
        <v>1167</v>
      </c>
      <c r="AN3719">
        <v>-121.030862</v>
      </c>
      <c r="AO3719">
        <v>25</v>
      </c>
      <c r="AP3719">
        <v>4100</v>
      </c>
      <c r="AQ3719" t="s">
        <v>131</v>
      </c>
      <c r="AR3719">
        <v>-1</v>
      </c>
      <c r="AS3719">
        <v>93</v>
      </c>
      <c r="AT3719">
        <v>192</v>
      </c>
      <c r="BB3719" t="str">
        <f t="shared" si="1472"/>
        <v>1200</v>
      </c>
      <c r="BC3719">
        <v>1</v>
      </c>
      <c r="BD3719" t="str">
        <f t="shared" si="1473"/>
        <v xml:space="preserve">N52156  </v>
      </c>
      <c r="BE3719">
        <v>1</v>
      </c>
      <c r="BG3719">
        <v>0</v>
      </c>
      <c r="BH3719">
        <v>0</v>
      </c>
      <c r="BI3719">
        <v>0</v>
      </c>
      <c r="BJ3719">
        <v>4175</v>
      </c>
      <c r="BK3719">
        <v>75</v>
      </c>
      <c r="BL3719" t="s">
        <v>188</v>
      </c>
      <c r="BM3719">
        <v>1</v>
      </c>
      <c r="BN3719">
        <v>1</v>
      </c>
      <c r="BO3719">
        <v>0</v>
      </c>
      <c r="BP3719">
        <v>0</v>
      </c>
      <c r="BS3719">
        <v>0</v>
      </c>
      <c r="BT3719">
        <v>0</v>
      </c>
      <c r="BU3719">
        <v>0</v>
      </c>
      <c r="CE3719" t="str">
        <f t="shared" si="1475"/>
        <v>15:14:51.345</v>
      </c>
      <c r="CF3719">
        <v>345488722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4</v>
      </c>
      <c r="CY3719">
        <v>7</v>
      </c>
      <c r="CZ3719" t="s">
        <v>133</v>
      </c>
      <c r="DA3719">
        <v>275</v>
      </c>
      <c r="DB3719">
        <v>0</v>
      </c>
      <c r="DC3719" t="s">
        <v>134</v>
      </c>
      <c r="DD3719" t="s">
        <v>135</v>
      </c>
      <c r="DG3719">
        <v>3322931</v>
      </c>
      <c r="DI3719">
        <v>1</v>
      </c>
      <c r="DJ3719">
        <v>0</v>
      </c>
      <c r="DK3719">
        <v>1</v>
      </c>
      <c r="DL3719">
        <v>0</v>
      </c>
      <c r="DM3719">
        <v>0</v>
      </c>
      <c r="DN3719">
        <v>0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3">
      <c r="A3720" t="str">
        <f>"05/01/2025 15:14:51.576"</f>
        <v>05/01/2025 15:14:51.576</v>
      </c>
      <c r="C3720" t="str">
        <f t="shared" si="1470"/>
        <v>FFDFD3C0</v>
      </c>
      <c r="D3720" t="s">
        <v>145</v>
      </c>
      <c r="E3720" t="str">
        <f>"05"</f>
        <v>05</v>
      </c>
      <c r="H3720">
        <v>47</v>
      </c>
      <c r="I3720" t="s">
        <v>146</v>
      </c>
      <c r="J3720" t="s">
        <v>138</v>
      </c>
      <c r="K3720">
        <v>0</v>
      </c>
      <c r="L3720">
        <v>3</v>
      </c>
      <c r="M3720">
        <v>0</v>
      </c>
      <c r="N3720">
        <v>2</v>
      </c>
      <c r="O3720">
        <v>0</v>
      </c>
      <c r="P3720">
        <v>1</v>
      </c>
      <c r="Q3720">
        <v>0</v>
      </c>
      <c r="R3720" t="s">
        <v>127</v>
      </c>
      <c r="S3720" t="str">
        <f t="shared" si="1474"/>
        <v>15:14:51.000</v>
      </c>
      <c r="T3720" t="str">
        <f t="shared" si="1474"/>
        <v>15:14:51.000</v>
      </c>
      <c r="U3720" t="str">
        <f t="shared" si="1471"/>
        <v>A68FCB</v>
      </c>
      <c r="V3720">
        <v>0</v>
      </c>
      <c r="W3720">
        <v>0</v>
      </c>
      <c r="X3720">
        <v>2</v>
      </c>
      <c r="Y3720">
        <v>0</v>
      </c>
      <c r="AA3720">
        <v>1</v>
      </c>
      <c r="AB3720">
        <v>8</v>
      </c>
      <c r="AC3720">
        <v>3</v>
      </c>
      <c r="AD3720">
        <v>0</v>
      </c>
      <c r="AE3720">
        <v>9</v>
      </c>
      <c r="AF3720" t="s">
        <v>138</v>
      </c>
      <c r="AG3720">
        <v>0</v>
      </c>
      <c r="AH3720">
        <v>3</v>
      </c>
      <c r="AI3720">
        <v>2</v>
      </c>
      <c r="AJ3720">
        <v>0</v>
      </c>
      <c r="AK3720" t="s">
        <v>1183</v>
      </c>
      <c r="AL3720">
        <v>39.163299000000002</v>
      </c>
      <c r="AM3720" t="s">
        <v>1167</v>
      </c>
      <c r="AN3720">
        <v>-121.030862</v>
      </c>
      <c r="AO3720">
        <v>25</v>
      </c>
      <c r="AP3720">
        <v>4100</v>
      </c>
      <c r="AQ3720" t="s">
        <v>131</v>
      </c>
      <c r="AR3720">
        <v>-1</v>
      </c>
      <c r="AS3720">
        <v>93</v>
      </c>
      <c r="AT3720">
        <v>192</v>
      </c>
      <c r="BB3720" t="str">
        <f t="shared" si="1472"/>
        <v>1200</v>
      </c>
      <c r="BC3720">
        <v>1</v>
      </c>
      <c r="BD3720" t="str">
        <f t="shared" si="1473"/>
        <v xml:space="preserve">N52156  </v>
      </c>
      <c r="BE3720">
        <v>1</v>
      </c>
      <c r="BG3720">
        <v>0</v>
      </c>
      <c r="BH3720">
        <v>0</v>
      </c>
      <c r="BI3720">
        <v>0</v>
      </c>
      <c r="BJ3720">
        <v>4175</v>
      </c>
      <c r="BK3720">
        <v>75</v>
      </c>
      <c r="BL3720" t="s">
        <v>188</v>
      </c>
      <c r="BM3720">
        <v>1</v>
      </c>
      <c r="BN3720">
        <v>1</v>
      </c>
      <c r="BO3720">
        <v>0</v>
      </c>
      <c r="BP3720">
        <v>0</v>
      </c>
      <c r="BS3720">
        <v>0</v>
      </c>
      <c r="BT3720">
        <v>0</v>
      </c>
      <c r="BU3720">
        <v>0</v>
      </c>
      <c r="CE3720" t="str">
        <f t="shared" si="1475"/>
        <v>15:14:51.345</v>
      </c>
      <c r="CF3720">
        <v>345488722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4</v>
      </c>
      <c r="CY3720">
        <v>7</v>
      </c>
      <c r="CZ3720" t="s">
        <v>133</v>
      </c>
      <c r="DA3720">
        <v>275</v>
      </c>
      <c r="DB3720">
        <v>0</v>
      </c>
      <c r="DC3720" t="s">
        <v>134</v>
      </c>
      <c r="DD3720" t="s">
        <v>135</v>
      </c>
      <c r="DG3720">
        <v>3322931</v>
      </c>
      <c r="DI3720">
        <v>1</v>
      </c>
      <c r="DJ3720">
        <v>0</v>
      </c>
      <c r="DK3720">
        <v>1</v>
      </c>
      <c r="DL3720">
        <v>0</v>
      </c>
      <c r="DM3720">
        <v>0</v>
      </c>
      <c r="DN3720">
        <v>0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3">
      <c r="A3721" t="str">
        <f>"05/01/2025 15:14:51.587"</f>
        <v>05/01/2025 15:14:51.587</v>
      </c>
      <c r="C3721" t="str">
        <f t="shared" si="1470"/>
        <v>FFDFD3C0</v>
      </c>
      <c r="D3721" t="s">
        <v>136</v>
      </c>
      <c r="E3721" t="str">
        <f>"20"</f>
        <v>20</v>
      </c>
      <c r="H3721">
        <v>400</v>
      </c>
      <c r="I3721" t="s">
        <v>137</v>
      </c>
      <c r="J3721" t="s">
        <v>138</v>
      </c>
      <c r="K3721">
        <v>0</v>
      </c>
      <c r="L3721">
        <v>3</v>
      </c>
      <c r="M3721">
        <v>0</v>
      </c>
      <c r="N3721">
        <v>2</v>
      </c>
      <c r="O3721">
        <v>0</v>
      </c>
      <c r="P3721">
        <v>1</v>
      </c>
      <c r="Q3721">
        <v>0</v>
      </c>
      <c r="R3721" t="s">
        <v>127</v>
      </c>
      <c r="S3721" t="str">
        <f t="shared" si="1474"/>
        <v>15:14:51.000</v>
      </c>
      <c r="T3721" t="str">
        <f t="shared" si="1474"/>
        <v>15:14:51.000</v>
      </c>
      <c r="U3721" t="str">
        <f t="shared" si="1471"/>
        <v>A68FCB</v>
      </c>
      <c r="V3721">
        <v>0</v>
      </c>
      <c r="W3721">
        <v>0</v>
      </c>
      <c r="X3721">
        <v>2</v>
      </c>
      <c r="Y3721">
        <v>0</v>
      </c>
      <c r="AA3721">
        <v>1</v>
      </c>
      <c r="AB3721">
        <v>8</v>
      </c>
      <c r="AC3721">
        <v>3</v>
      </c>
      <c r="AD3721">
        <v>0</v>
      </c>
      <c r="AE3721">
        <v>9</v>
      </c>
      <c r="AF3721" t="s">
        <v>138</v>
      </c>
      <c r="AG3721">
        <v>0</v>
      </c>
      <c r="AH3721">
        <v>3</v>
      </c>
      <c r="AI3721">
        <v>2</v>
      </c>
      <c r="AJ3721">
        <v>0</v>
      </c>
      <c r="AK3721" t="s">
        <v>1183</v>
      </c>
      <c r="AL3721">
        <v>39.163299000000002</v>
      </c>
      <c r="AM3721" t="s">
        <v>1167</v>
      </c>
      <c r="AN3721">
        <v>-121.030862</v>
      </c>
      <c r="AO3721">
        <v>25</v>
      </c>
      <c r="AP3721">
        <v>4100</v>
      </c>
      <c r="AQ3721" t="s">
        <v>131</v>
      </c>
      <c r="AR3721">
        <v>-1</v>
      </c>
      <c r="AS3721">
        <v>93</v>
      </c>
      <c r="AT3721">
        <v>192</v>
      </c>
      <c r="BB3721" t="str">
        <f t="shared" si="1472"/>
        <v>1200</v>
      </c>
      <c r="BC3721">
        <v>1</v>
      </c>
      <c r="BD3721" t="str">
        <f t="shared" si="1473"/>
        <v xml:space="preserve">N52156  </v>
      </c>
      <c r="BE3721">
        <v>1</v>
      </c>
      <c r="BG3721">
        <v>0</v>
      </c>
      <c r="BH3721">
        <v>0</v>
      </c>
      <c r="BI3721">
        <v>0</v>
      </c>
      <c r="BJ3721">
        <v>4175</v>
      </c>
      <c r="BK3721">
        <v>75</v>
      </c>
      <c r="BL3721" t="s">
        <v>188</v>
      </c>
      <c r="BM3721">
        <v>1</v>
      </c>
      <c r="BN3721">
        <v>1</v>
      </c>
      <c r="BO3721">
        <v>0</v>
      </c>
      <c r="BP3721">
        <v>0</v>
      </c>
      <c r="BS3721">
        <v>0</v>
      </c>
      <c r="BT3721">
        <v>0</v>
      </c>
      <c r="BU3721">
        <v>0</v>
      </c>
      <c r="CE3721" t="str">
        <f t="shared" si="1475"/>
        <v>15:14:51.345</v>
      </c>
      <c r="CF3721">
        <v>345488722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4</v>
      </c>
      <c r="CY3721">
        <v>7</v>
      </c>
      <c r="CZ3721" t="s">
        <v>133</v>
      </c>
      <c r="DA3721">
        <v>275</v>
      </c>
      <c r="DB3721">
        <v>0</v>
      </c>
      <c r="DC3721" t="s">
        <v>134</v>
      </c>
      <c r="DD3721" t="s">
        <v>135</v>
      </c>
      <c r="DG3721">
        <v>3322931</v>
      </c>
      <c r="DI3721">
        <v>1</v>
      </c>
      <c r="DJ3721">
        <v>0</v>
      </c>
      <c r="DK3721">
        <v>1</v>
      </c>
      <c r="DL3721">
        <v>0</v>
      </c>
      <c r="DM3721">
        <v>0</v>
      </c>
      <c r="DN3721">
        <v>0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3">
      <c r="A3722" t="str">
        <f>"05/01/2025 15:14:52.557"</f>
        <v>05/01/2025 15:14:52.557</v>
      </c>
      <c r="C3722" t="str">
        <f t="shared" si="1470"/>
        <v>FFDFD3C0</v>
      </c>
      <c r="D3722" t="s">
        <v>143</v>
      </c>
      <c r="E3722" t="str">
        <f>"05"</f>
        <v>05</v>
      </c>
      <c r="H3722">
        <v>172</v>
      </c>
      <c r="I3722" t="s">
        <v>141</v>
      </c>
      <c r="J3722" t="s">
        <v>144</v>
      </c>
      <c r="K3722">
        <v>0</v>
      </c>
      <c r="L3722">
        <v>3</v>
      </c>
      <c r="M3722">
        <v>0</v>
      </c>
      <c r="N3722">
        <v>2</v>
      </c>
      <c r="O3722">
        <v>0</v>
      </c>
      <c r="P3722">
        <v>1</v>
      </c>
      <c r="Q3722">
        <v>0</v>
      </c>
      <c r="R3722" t="s">
        <v>127</v>
      </c>
      <c r="S3722" t="str">
        <f t="shared" ref="S3722:T3727" si="1476">"15:14:52.000"</f>
        <v>15:14:52.000</v>
      </c>
      <c r="T3722" t="str">
        <f t="shared" si="1476"/>
        <v>15:14:52.000</v>
      </c>
      <c r="U3722" t="str">
        <f t="shared" si="1471"/>
        <v>A68FCB</v>
      </c>
      <c r="V3722">
        <v>0</v>
      </c>
      <c r="W3722">
        <v>0</v>
      </c>
      <c r="X3722">
        <v>2</v>
      </c>
      <c r="Y3722">
        <v>0</v>
      </c>
      <c r="AA3722">
        <v>1</v>
      </c>
      <c r="AB3722">
        <v>8</v>
      </c>
      <c r="AC3722">
        <v>3</v>
      </c>
      <c r="AD3722">
        <v>0</v>
      </c>
      <c r="AE3722">
        <v>9</v>
      </c>
      <c r="AF3722" t="s">
        <v>138</v>
      </c>
      <c r="AG3722">
        <v>0</v>
      </c>
      <c r="AH3722">
        <v>3</v>
      </c>
      <c r="AI3722">
        <v>2</v>
      </c>
      <c r="AJ3722">
        <v>0</v>
      </c>
      <c r="AK3722" t="s">
        <v>1184</v>
      </c>
      <c r="AL3722">
        <v>39.163749000000003</v>
      </c>
      <c r="AM3722" t="s">
        <v>1164</v>
      </c>
      <c r="AN3722">
        <v>-121.030884</v>
      </c>
      <c r="AO3722">
        <v>25</v>
      </c>
      <c r="AP3722">
        <v>4200</v>
      </c>
      <c r="AQ3722" t="s">
        <v>131</v>
      </c>
      <c r="AR3722">
        <v>-1</v>
      </c>
      <c r="AS3722">
        <v>93</v>
      </c>
      <c r="AT3722">
        <v>192</v>
      </c>
      <c r="BB3722" t="str">
        <f t="shared" si="1472"/>
        <v>1200</v>
      </c>
      <c r="BC3722">
        <v>1</v>
      </c>
      <c r="BD3722" t="str">
        <f t="shared" si="1473"/>
        <v xml:space="preserve">N52156  </v>
      </c>
      <c r="BE3722">
        <v>1</v>
      </c>
      <c r="BG3722">
        <v>0</v>
      </c>
      <c r="BH3722">
        <v>0</v>
      </c>
      <c r="BI3722">
        <v>0</v>
      </c>
      <c r="BJ3722">
        <v>4175</v>
      </c>
      <c r="BK3722">
        <v>-25</v>
      </c>
      <c r="BL3722" t="s">
        <v>188</v>
      </c>
      <c r="BM3722">
        <v>1</v>
      </c>
      <c r="BN3722">
        <v>1</v>
      </c>
      <c r="BO3722">
        <v>0</v>
      </c>
      <c r="BP3722">
        <v>0</v>
      </c>
      <c r="BS3722">
        <v>0</v>
      </c>
      <c r="BT3722">
        <v>0</v>
      </c>
      <c r="BU3722">
        <v>0</v>
      </c>
      <c r="CE3722" t="str">
        <f t="shared" ref="CE3722:CE3727" si="1477">"15:14:52.356"</f>
        <v>15:14:52.356</v>
      </c>
      <c r="CF3722">
        <v>356238819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4</v>
      </c>
      <c r="CY3722">
        <v>7</v>
      </c>
      <c r="CZ3722" t="s">
        <v>133</v>
      </c>
      <c r="DA3722">
        <v>275</v>
      </c>
      <c r="DB3722">
        <v>0</v>
      </c>
      <c r="DC3722" t="s">
        <v>134</v>
      </c>
      <c r="DD3722" t="s">
        <v>135</v>
      </c>
      <c r="DG3722">
        <v>3322936</v>
      </c>
      <c r="DI3722">
        <v>1</v>
      </c>
      <c r="DJ3722">
        <v>0</v>
      </c>
      <c r="DK3722">
        <v>0</v>
      </c>
      <c r="DL3722">
        <v>0</v>
      </c>
      <c r="DM3722">
        <v>0</v>
      </c>
      <c r="DN3722">
        <v>0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3">
      <c r="A3723" t="str">
        <f>"05/01/2025 15:14:52.562"</f>
        <v>05/01/2025 15:14:52.562</v>
      </c>
      <c r="C3723" t="str">
        <f t="shared" si="1470"/>
        <v>FFDFD3C0</v>
      </c>
      <c r="D3723" t="s">
        <v>140</v>
      </c>
      <c r="E3723" t="str">
        <f>"13"</f>
        <v>13</v>
      </c>
      <c r="F3723">
        <v>1019</v>
      </c>
      <c r="G3723" t="s">
        <v>141</v>
      </c>
      <c r="J3723" t="s">
        <v>142</v>
      </c>
      <c r="K3723">
        <v>0</v>
      </c>
      <c r="L3723">
        <v>3</v>
      </c>
      <c r="M3723">
        <v>0</v>
      </c>
      <c r="N3723">
        <v>2</v>
      </c>
      <c r="O3723">
        <v>0</v>
      </c>
      <c r="P3723">
        <v>1</v>
      </c>
      <c r="Q3723">
        <v>0</v>
      </c>
      <c r="R3723" t="s">
        <v>127</v>
      </c>
      <c r="S3723" t="str">
        <f t="shared" si="1476"/>
        <v>15:14:52.000</v>
      </c>
      <c r="T3723" t="str">
        <f t="shared" si="1476"/>
        <v>15:14:52.000</v>
      </c>
      <c r="U3723" t="str">
        <f t="shared" si="1471"/>
        <v>A68FCB</v>
      </c>
      <c r="V3723">
        <v>0</v>
      </c>
      <c r="W3723">
        <v>0</v>
      </c>
      <c r="X3723">
        <v>2</v>
      </c>
      <c r="Y3723">
        <v>0</v>
      </c>
      <c r="AA3723">
        <v>1</v>
      </c>
      <c r="AB3723">
        <v>8</v>
      </c>
      <c r="AC3723">
        <v>3</v>
      </c>
      <c r="AD3723">
        <v>0</v>
      </c>
      <c r="AE3723">
        <v>9</v>
      </c>
      <c r="AF3723" t="s">
        <v>138</v>
      </c>
      <c r="AG3723">
        <v>0</v>
      </c>
      <c r="AH3723">
        <v>3</v>
      </c>
      <c r="AI3723">
        <v>2</v>
      </c>
      <c r="AJ3723">
        <v>0</v>
      </c>
      <c r="AK3723" t="s">
        <v>1184</v>
      </c>
      <c r="AL3723">
        <v>39.163749000000003</v>
      </c>
      <c r="AM3723" t="s">
        <v>1164</v>
      </c>
      <c r="AN3723">
        <v>-121.030884</v>
      </c>
      <c r="AO3723">
        <v>25</v>
      </c>
      <c r="AP3723">
        <v>4200</v>
      </c>
      <c r="AQ3723" t="s">
        <v>131</v>
      </c>
      <c r="AR3723">
        <v>-1</v>
      </c>
      <c r="AS3723">
        <v>93</v>
      </c>
      <c r="AT3723">
        <v>192</v>
      </c>
      <c r="BB3723" t="str">
        <f t="shared" si="1472"/>
        <v>1200</v>
      </c>
      <c r="BC3723">
        <v>1</v>
      </c>
      <c r="BD3723" t="str">
        <f t="shared" si="1473"/>
        <v xml:space="preserve">N52156  </v>
      </c>
      <c r="BE3723">
        <v>1</v>
      </c>
      <c r="BG3723">
        <v>0</v>
      </c>
      <c r="BH3723">
        <v>0</v>
      </c>
      <c r="BI3723">
        <v>0</v>
      </c>
      <c r="BJ3723">
        <v>4175</v>
      </c>
      <c r="BK3723">
        <v>-25</v>
      </c>
      <c r="BL3723" t="s">
        <v>188</v>
      </c>
      <c r="BM3723">
        <v>1</v>
      </c>
      <c r="BN3723">
        <v>1</v>
      </c>
      <c r="BO3723">
        <v>0</v>
      </c>
      <c r="BP3723">
        <v>0</v>
      </c>
      <c r="BS3723">
        <v>0</v>
      </c>
      <c r="BT3723">
        <v>0</v>
      </c>
      <c r="BU3723">
        <v>0</v>
      </c>
      <c r="CE3723" t="str">
        <f t="shared" si="1477"/>
        <v>15:14:52.356</v>
      </c>
      <c r="CF3723">
        <v>356238819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4</v>
      </c>
      <c r="CY3723">
        <v>7</v>
      </c>
      <c r="CZ3723" t="s">
        <v>133</v>
      </c>
      <c r="DA3723">
        <v>275</v>
      </c>
      <c r="DB3723">
        <v>0</v>
      </c>
      <c r="DC3723" t="s">
        <v>134</v>
      </c>
      <c r="DD3723" t="s">
        <v>135</v>
      </c>
      <c r="DG3723">
        <v>3322936</v>
      </c>
      <c r="DI3723">
        <v>1</v>
      </c>
      <c r="DJ3723">
        <v>0</v>
      </c>
      <c r="DK3723">
        <v>1</v>
      </c>
      <c r="DL3723">
        <v>0</v>
      </c>
      <c r="DM3723">
        <v>0</v>
      </c>
      <c r="DN3723">
        <v>0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3">
      <c r="A3724" t="str">
        <f>"05/01/2025 15:14:52.564"</f>
        <v>05/01/2025 15:14:52.564</v>
      </c>
      <c r="C3724" t="str">
        <f t="shared" si="1470"/>
        <v>FFDFD3C0</v>
      </c>
      <c r="D3724" t="s">
        <v>124</v>
      </c>
      <c r="E3724" t="str">
        <f>"06"</f>
        <v>06</v>
      </c>
      <c r="F3724">
        <v>2006</v>
      </c>
      <c r="G3724" t="s">
        <v>125</v>
      </c>
      <c r="J3724" t="s">
        <v>126</v>
      </c>
      <c r="K3724">
        <v>0</v>
      </c>
      <c r="L3724">
        <v>3</v>
      </c>
      <c r="M3724">
        <v>0</v>
      </c>
      <c r="N3724">
        <v>2</v>
      </c>
      <c r="O3724">
        <v>0</v>
      </c>
      <c r="P3724">
        <v>1</v>
      </c>
      <c r="Q3724">
        <v>0</v>
      </c>
      <c r="R3724" t="s">
        <v>127</v>
      </c>
      <c r="S3724" t="str">
        <f t="shared" si="1476"/>
        <v>15:14:52.000</v>
      </c>
      <c r="T3724" t="str">
        <f t="shared" si="1476"/>
        <v>15:14:52.000</v>
      </c>
      <c r="U3724" t="str">
        <f t="shared" si="1471"/>
        <v>A68FCB</v>
      </c>
      <c r="V3724">
        <v>0</v>
      </c>
      <c r="W3724">
        <v>0</v>
      </c>
      <c r="X3724">
        <v>2</v>
      </c>
      <c r="Y3724">
        <v>0</v>
      </c>
      <c r="AA3724">
        <v>1</v>
      </c>
      <c r="AB3724">
        <v>8</v>
      </c>
      <c r="AC3724">
        <v>3</v>
      </c>
      <c r="AD3724">
        <v>0</v>
      </c>
      <c r="AE3724">
        <v>9</v>
      </c>
      <c r="AF3724" t="s">
        <v>138</v>
      </c>
      <c r="AG3724">
        <v>0</v>
      </c>
      <c r="AH3724">
        <v>3</v>
      </c>
      <c r="AI3724">
        <v>2</v>
      </c>
      <c r="AJ3724">
        <v>0</v>
      </c>
      <c r="AK3724" t="s">
        <v>1184</v>
      </c>
      <c r="AL3724">
        <v>39.163749000000003</v>
      </c>
      <c r="AM3724" t="s">
        <v>1164</v>
      </c>
      <c r="AN3724">
        <v>-121.030884</v>
      </c>
      <c r="AO3724">
        <v>25</v>
      </c>
      <c r="AP3724">
        <v>4200</v>
      </c>
      <c r="AQ3724" t="s">
        <v>131</v>
      </c>
      <c r="AR3724">
        <v>-1</v>
      </c>
      <c r="AS3724">
        <v>93</v>
      </c>
      <c r="AT3724">
        <v>192</v>
      </c>
      <c r="BB3724" t="str">
        <f t="shared" si="1472"/>
        <v>1200</v>
      </c>
      <c r="BC3724">
        <v>1</v>
      </c>
      <c r="BD3724" t="str">
        <f t="shared" si="1473"/>
        <v xml:space="preserve">N52156  </v>
      </c>
      <c r="BE3724">
        <v>1</v>
      </c>
      <c r="BG3724">
        <v>0</v>
      </c>
      <c r="BH3724">
        <v>0</v>
      </c>
      <c r="BI3724">
        <v>0</v>
      </c>
      <c r="BJ3724">
        <v>4175</v>
      </c>
      <c r="BK3724">
        <v>-25</v>
      </c>
      <c r="BL3724" t="s">
        <v>188</v>
      </c>
      <c r="BM3724">
        <v>1</v>
      </c>
      <c r="BN3724">
        <v>1</v>
      </c>
      <c r="BO3724">
        <v>0</v>
      </c>
      <c r="BP3724">
        <v>0</v>
      </c>
      <c r="BS3724">
        <v>0</v>
      </c>
      <c r="BT3724">
        <v>0</v>
      </c>
      <c r="BU3724">
        <v>0</v>
      </c>
      <c r="CE3724" t="str">
        <f t="shared" si="1477"/>
        <v>15:14:52.356</v>
      </c>
      <c r="CF3724">
        <v>356238819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4</v>
      </c>
      <c r="CY3724">
        <v>7</v>
      </c>
      <c r="CZ3724" t="s">
        <v>133</v>
      </c>
      <c r="DA3724">
        <v>275</v>
      </c>
      <c r="DB3724">
        <v>0</v>
      </c>
      <c r="DC3724" t="s">
        <v>134</v>
      </c>
      <c r="DD3724" t="s">
        <v>135</v>
      </c>
      <c r="DG3724">
        <v>3322936</v>
      </c>
      <c r="DI3724">
        <v>1</v>
      </c>
      <c r="DJ3724">
        <v>0</v>
      </c>
      <c r="DK3724">
        <v>1</v>
      </c>
      <c r="DL3724">
        <v>0</v>
      </c>
      <c r="DM3724">
        <v>0</v>
      </c>
      <c r="DN3724">
        <v>0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3">
      <c r="A3725" t="str">
        <f>"05/01/2025 15:14:52.576"</f>
        <v>05/01/2025 15:14:52.576</v>
      </c>
      <c r="C3725" t="str">
        <f t="shared" si="1470"/>
        <v>FFDFD3C0</v>
      </c>
      <c r="D3725" t="s">
        <v>145</v>
      </c>
      <c r="E3725" t="str">
        <f>"09"</f>
        <v>09</v>
      </c>
      <c r="H3725">
        <v>51</v>
      </c>
      <c r="I3725" t="s">
        <v>147</v>
      </c>
      <c r="J3725" t="s">
        <v>138</v>
      </c>
      <c r="K3725">
        <v>0</v>
      </c>
      <c r="L3725">
        <v>3</v>
      </c>
      <c r="M3725">
        <v>0</v>
      </c>
      <c r="N3725">
        <v>2</v>
      </c>
      <c r="O3725">
        <v>0</v>
      </c>
      <c r="P3725">
        <v>1</v>
      </c>
      <c r="Q3725">
        <v>0</v>
      </c>
      <c r="R3725" t="s">
        <v>127</v>
      </c>
      <c r="S3725" t="str">
        <f t="shared" si="1476"/>
        <v>15:14:52.000</v>
      </c>
      <c r="T3725" t="str">
        <f t="shared" si="1476"/>
        <v>15:14:52.000</v>
      </c>
      <c r="U3725" t="str">
        <f t="shared" si="1471"/>
        <v>A68FCB</v>
      </c>
      <c r="V3725">
        <v>0</v>
      </c>
      <c r="W3725">
        <v>0</v>
      </c>
      <c r="X3725">
        <v>2</v>
      </c>
      <c r="Y3725">
        <v>0</v>
      </c>
      <c r="AA3725">
        <v>1</v>
      </c>
      <c r="AB3725">
        <v>8</v>
      </c>
      <c r="AC3725">
        <v>3</v>
      </c>
      <c r="AD3725">
        <v>0</v>
      </c>
      <c r="AE3725">
        <v>9</v>
      </c>
      <c r="AF3725" t="s">
        <v>138</v>
      </c>
      <c r="AG3725">
        <v>0</v>
      </c>
      <c r="AH3725">
        <v>3</v>
      </c>
      <c r="AI3725">
        <v>2</v>
      </c>
      <c r="AJ3725">
        <v>0</v>
      </c>
      <c r="AK3725" t="s">
        <v>1184</v>
      </c>
      <c r="AL3725">
        <v>39.163749000000003</v>
      </c>
      <c r="AM3725" t="s">
        <v>1164</v>
      </c>
      <c r="AN3725">
        <v>-121.030884</v>
      </c>
      <c r="AO3725">
        <v>25</v>
      </c>
      <c r="AP3725">
        <v>4200</v>
      </c>
      <c r="AQ3725" t="s">
        <v>131</v>
      </c>
      <c r="AR3725">
        <v>-1</v>
      </c>
      <c r="AS3725">
        <v>93</v>
      </c>
      <c r="AT3725">
        <v>192</v>
      </c>
      <c r="BB3725" t="str">
        <f t="shared" si="1472"/>
        <v>1200</v>
      </c>
      <c r="BC3725">
        <v>1</v>
      </c>
      <c r="BD3725" t="str">
        <f t="shared" si="1473"/>
        <v xml:space="preserve">N52156  </v>
      </c>
      <c r="BE3725">
        <v>1</v>
      </c>
      <c r="BG3725">
        <v>0</v>
      </c>
      <c r="BH3725">
        <v>0</v>
      </c>
      <c r="BI3725">
        <v>0</v>
      </c>
      <c r="BJ3725">
        <v>4175</v>
      </c>
      <c r="BK3725">
        <v>-25</v>
      </c>
      <c r="BL3725" t="s">
        <v>188</v>
      </c>
      <c r="BM3725">
        <v>1</v>
      </c>
      <c r="BN3725">
        <v>1</v>
      </c>
      <c r="BO3725">
        <v>0</v>
      </c>
      <c r="BP3725">
        <v>0</v>
      </c>
      <c r="BS3725">
        <v>0</v>
      </c>
      <c r="BT3725">
        <v>0</v>
      </c>
      <c r="BU3725">
        <v>0</v>
      </c>
      <c r="CE3725" t="str">
        <f t="shared" si="1477"/>
        <v>15:14:52.356</v>
      </c>
      <c r="CF3725">
        <v>356238819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4</v>
      </c>
      <c r="CY3725">
        <v>7</v>
      </c>
      <c r="CZ3725" t="s">
        <v>133</v>
      </c>
      <c r="DA3725">
        <v>275</v>
      </c>
      <c r="DB3725">
        <v>0</v>
      </c>
      <c r="DC3725" t="s">
        <v>134</v>
      </c>
      <c r="DD3725" t="s">
        <v>135</v>
      </c>
      <c r="DG3725">
        <v>3322936</v>
      </c>
      <c r="DI3725">
        <v>1</v>
      </c>
      <c r="DJ3725">
        <v>0</v>
      </c>
      <c r="DK3725">
        <v>1</v>
      </c>
      <c r="DL3725">
        <v>0</v>
      </c>
      <c r="DM3725">
        <v>0</v>
      </c>
      <c r="DN3725">
        <v>0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3">
      <c r="A3726" t="str">
        <f>"05/01/2025 15:14:52.578"</f>
        <v>05/01/2025 15:14:52.578</v>
      </c>
      <c r="C3726" t="str">
        <f t="shared" si="1470"/>
        <v>FFDFD3C0</v>
      </c>
      <c r="D3726" t="s">
        <v>145</v>
      </c>
      <c r="E3726" t="str">
        <f>"05"</f>
        <v>05</v>
      </c>
      <c r="H3726">
        <v>47</v>
      </c>
      <c r="I3726" t="s">
        <v>146</v>
      </c>
      <c r="J3726" t="s">
        <v>138</v>
      </c>
      <c r="K3726">
        <v>0</v>
      </c>
      <c r="L3726">
        <v>3</v>
      </c>
      <c r="M3726">
        <v>0</v>
      </c>
      <c r="N3726">
        <v>2</v>
      </c>
      <c r="O3726">
        <v>0</v>
      </c>
      <c r="P3726">
        <v>1</v>
      </c>
      <c r="Q3726">
        <v>0</v>
      </c>
      <c r="R3726" t="s">
        <v>127</v>
      </c>
      <c r="S3726" t="str">
        <f t="shared" si="1476"/>
        <v>15:14:52.000</v>
      </c>
      <c r="T3726" t="str">
        <f t="shared" si="1476"/>
        <v>15:14:52.000</v>
      </c>
      <c r="U3726" t="str">
        <f t="shared" si="1471"/>
        <v>A68FCB</v>
      </c>
      <c r="V3726">
        <v>0</v>
      </c>
      <c r="W3726">
        <v>0</v>
      </c>
      <c r="X3726">
        <v>2</v>
      </c>
      <c r="Y3726">
        <v>0</v>
      </c>
      <c r="AA3726">
        <v>1</v>
      </c>
      <c r="AB3726">
        <v>8</v>
      </c>
      <c r="AC3726">
        <v>3</v>
      </c>
      <c r="AD3726">
        <v>0</v>
      </c>
      <c r="AE3726">
        <v>9</v>
      </c>
      <c r="AF3726" t="s">
        <v>138</v>
      </c>
      <c r="AG3726">
        <v>0</v>
      </c>
      <c r="AH3726">
        <v>3</v>
      </c>
      <c r="AI3726">
        <v>2</v>
      </c>
      <c r="AJ3726">
        <v>0</v>
      </c>
      <c r="AK3726" t="s">
        <v>1184</v>
      </c>
      <c r="AL3726">
        <v>39.163749000000003</v>
      </c>
      <c r="AM3726" t="s">
        <v>1164</v>
      </c>
      <c r="AN3726">
        <v>-121.030884</v>
      </c>
      <c r="AO3726">
        <v>25</v>
      </c>
      <c r="AP3726">
        <v>4200</v>
      </c>
      <c r="AQ3726" t="s">
        <v>131</v>
      </c>
      <c r="AR3726">
        <v>-1</v>
      </c>
      <c r="AS3726">
        <v>93</v>
      </c>
      <c r="AT3726">
        <v>192</v>
      </c>
      <c r="BB3726" t="str">
        <f t="shared" si="1472"/>
        <v>1200</v>
      </c>
      <c r="BC3726">
        <v>1</v>
      </c>
      <c r="BD3726" t="str">
        <f t="shared" si="1473"/>
        <v xml:space="preserve">N52156  </v>
      </c>
      <c r="BE3726">
        <v>1</v>
      </c>
      <c r="BG3726">
        <v>0</v>
      </c>
      <c r="BH3726">
        <v>0</v>
      </c>
      <c r="BI3726">
        <v>0</v>
      </c>
      <c r="BJ3726">
        <v>4175</v>
      </c>
      <c r="BK3726">
        <v>-25</v>
      </c>
      <c r="BL3726" t="s">
        <v>188</v>
      </c>
      <c r="BM3726">
        <v>1</v>
      </c>
      <c r="BN3726">
        <v>1</v>
      </c>
      <c r="BO3726">
        <v>0</v>
      </c>
      <c r="BP3726">
        <v>0</v>
      </c>
      <c r="BS3726">
        <v>0</v>
      </c>
      <c r="BT3726">
        <v>0</v>
      </c>
      <c r="BU3726">
        <v>0</v>
      </c>
      <c r="CE3726" t="str">
        <f t="shared" si="1477"/>
        <v>15:14:52.356</v>
      </c>
      <c r="CF3726">
        <v>356238819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4</v>
      </c>
      <c r="CY3726">
        <v>7</v>
      </c>
      <c r="CZ3726" t="s">
        <v>133</v>
      </c>
      <c r="DA3726">
        <v>275</v>
      </c>
      <c r="DB3726">
        <v>0</v>
      </c>
      <c r="DC3726" t="s">
        <v>134</v>
      </c>
      <c r="DD3726" t="s">
        <v>135</v>
      </c>
      <c r="DG3726">
        <v>3322936</v>
      </c>
      <c r="DI3726">
        <v>1</v>
      </c>
      <c r="DJ3726">
        <v>0</v>
      </c>
      <c r="DK3726">
        <v>1</v>
      </c>
      <c r="DL3726">
        <v>0</v>
      </c>
      <c r="DM3726">
        <v>0</v>
      </c>
      <c r="DN3726">
        <v>0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3">
      <c r="A3727" t="str">
        <f>"05/01/2025 15:14:52.589"</f>
        <v>05/01/2025 15:14:52.589</v>
      </c>
      <c r="C3727" t="str">
        <f t="shared" si="1470"/>
        <v>FFDFD3C0</v>
      </c>
      <c r="D3727" t="s">
        <v>136</v>
      </c>
      <c r="E3727" t="str">
        <f>"20"</f>
        <v>20</v>
      </c>
      <c r="H3727">
        <v>400</v>
      </c>
      <c r="I3727" t="s">
        <v>137</v>
      </c>
      <c r="J3727" t="s">
        <v>138</v>
      </c>
      <c r="K3727">
        <v>0</v>
      </c>
      <c r="L3727">
        <v>3</v>
      </c>
      <c r="M3727">
        <v>0</v>
      </c>
      <c r="N3727">
        <v>2</v>
      </c>
      <c r="O3727">
        <v>0</v>
      </c>
      <c r="P3727">
        <v>1</v>
      </c>
      <c r="Q3727">
        <v>0</v>
      </c>
      <c r="R3727" t="s">
        <v>127</v>
      </c>
      <c r="S3727" t="str">
        <f t="shared" si="1476"/>
        <v>15:14:52.000</v>
      </c>
      <c r="T3727" t="str">
        <f t="shared" si="1476"/>
        <v>15:14:52.000</v>
      </c>
      <c r="U3727" t="str">
        <f t="shared" si="1471"/>
        <v>A68FCB</v>
      </c>
      <c r="V3727">
        <v>0</v>
      </c>
      <c r="W3727">
        <v>0</v>
      </c>
      <c r="X3727">
        <v>2</v>
      </c>
      <c r="Y3727">
        <v>0</v>
      </c>
      <c r="AA3727">
        <v>1</v>
      </c>
      <c r="AB3727">
        <v>8</v>
      </c>
      <c r="AC3727">
        <v>3</v>
      </c>
      <c r="AD3727">
        <v>0</v>
      </c>
      <c r="AE3727">
        <v>9</v>
      </c>
      <c r="AF3727" t="s">
        <v>138</v>
      </c>
      <c r="AG3727">
        <v>0</v>
      </c>
      <c r="AH3727">
        <v>3</v>
      </c>
      <c r="AI3727">
        <v>2</v>
      </c>
      <c r="AJ3727">
        <v>0</v>
      </c>
      <c r="AK3727" t="s">
        <v>1184</v>
      </c>
      <c r="AL3727">
        <v>39.163749000000003</v>
      </c>
      <c r="AM3727" t="s">
        <v>1164</v>
      </c>
      <c r="AN3727">
        <v>-121.030884</v>
      </c>
      <c r="AO3727">
        <v>25</v>
      </c>
      <c r="AP3727">
        <v>4200</v>
      </c>
      <c r="AQ3727" t="s">
        <v>131</v>
      </c>
      <c r="AR3727">
        <v>-1</v>
      </c>
      <c r="AS3727">
        <v>93</v>
      </c>
      <c r="AT3727">
        <v>192</v>
      </c>
      <c r="BB3727" t="str">
        <f t="shared" si="1472"/>
        <v>1200</v>
      </c>
      <c r="BC3727">
        <v>1</v>
      </c>
      <c r="BD3727" t="str">
        <f t="shared" si="1473"/>
        <v xml:space="preserve">N52156  </v>
      </c>
      <c r="BE3727">
        <v>1</v>
      </c>
      <c r="BG3727">
        <v>0</v>
      </c>
      <c r="BH3727">
        <v>0</v>
      </c>
      <c r="BI3727">
        <v>0</v>
      </c>
      <c r="BJ3727">
        <v>4175</v>
      </c>
      <c r="BK3727">
        <v>-25</v>
      </c>
      <c r="BL3727" t="s">
        <v>188</v>
      </c>
      <c r="BM3727">
        <v>1</v>
      </c>
      <c r="BN3727">
        <v>1</v>
      </c>
      <c r="BO3727">
        <v>0</v>
      </c>
      <c r="BP3727">
        <v>0</v>
      </c>
      <c r="BS3727">
        <v>0</v>
      </c>
      <c r="BT3727">
        <v>0</v>
      </c>
      <c r="BU3727">
        <v>0</v>
      </c>
      <c r="CE3727" t="str">
        <f t="shared" si="1477"/>
        <v>15:14:52.356</v>
      </c>
      <c r="CF3727">
        <v>356238819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4</v>
      </c>
      <c r="CY3727">
        <v>7</v>
      </c>
      <c r="CZ3727" t="s">
        <v>133</v>
      </c>
      <c r="DA3727">
        <v>275</v>
      </c>
      <c r="DB3727">
        <v>0</v>
      </c>
      <c r="DC3727" t="s">
        <v>134</v>
      </c>
      <c r="DD3727" t="s">
        <v>135</v>
      </c>
      <c r="DG3727">
        <v>3322936</v>
      </c>
      <c r="DI3727">
        <v>1</v>
      </c>
      <c r="DJ3727">
        <v>0</v>
      </c>
      <c r="DK3727">
        <v>1</v>
      </c>
      <c r="DL3727">
        <v>0</v>
      </c>
      <c r="DM3727">
        <v>0</v>
      </c>
      <c r="DN3727">
        <v>0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3">
      <c r="A3728" t="str">
        <f>"05/01/2025 15:14:53.741"</f>
        <v>05/01/2025 15:14:53.741</v>
      </c>
      <c r="C3728" t="str">
        <f t="shared" si="1470"/>
        <v>FFDFD3C0</v>
      </c>
      <c r="D3728" t="s">
        <v>136</v>
      </c>
      <c r="E3728" t="str">
        <f>"20"</f>
        <v>20</v>
      </c>
      <c r="H3728">
        <v>400</v>
      </c>
      <c r="I3728" t="s">
        <v>137</v>
      </c>
      <c r="J3728" t="s">
        <v>138</v>
      </c>
      <c r="K3728">
        <v>0</v>
      </c>
      <c r="L3728">
        <v>3</v>
      </c>
      <c r="M3728">
        <v>0</v>
      </c>
      <c r="N3728">
        <v>2</v>
      </c>
      <c r="O3728">
        <v>0</v>
      </c>
      <c r="P3728">
        <v>1</v>
      </c>
      <c r="Q3728">
        <v>0</v>
      </c>
      <c r="R3728" t="s">
        <v>127</v>
      </c>
      <c r="S3728" t="str">
        <f t="shared" ref="S3728:T3733" si="1478">"15:14:53.000"</f>
        <v>15:14:53.000</v>
      </c>
      <c r="T3728" t="str">
        <f t="shared" si="1478"/>
        <v>15:14:53.000</v>
      </c>
      <c r="U3728" t="str">
        <f t="shared" si="1471"/>
        <v>A68FCB</v>
      </c>
      <c r="V3728">
        <v>0</v>
      </c>
      <c r="W3728">
        <v>0</v>
      </c>
      <c r="X3728">
        <v>2</v>
      </c>
      <c r="Y3728">
        <v>0</v>
      </c>
      <c r="AA3728">
        <v>1</v>
      </c>
      <c r="AB3728">
        <v>8</v>
      </c>
      <c r="AC3728">
        <v>3</v>
      </c>
      <c r="AD3728">
        <v>0</v>
      </c>
      <c r="AE3728">
        <v>9</v>
      </c>
      <c r="AF3728" t="s">
        <v>138</v>
      </c>
      <c r="AG3728">
        <v>0</v>
      </c>
      <c r="AH3728">
        <v>3</v>
      </c>
      <c r="AI3728">
        <v>2</v>
      </c>
      <c r="AJ3728">
        <v>0</v>
      </c>
      <c r="AK3728" t="s">
        <v>1185</v>
      </c>
      <c r="AL3728">
        <v>39.164178</v>
      </c>
      <c r="AM3728" t="s">
        <v>1162</v>
      </c>
      <c r="AN3728">
        <v>-121.030905</v>
      </c>
      <c r="AO3728">
        <v>25</v>
      </c>
      <c r="AP3728">
        <v>4200</v>
      </c>
      <c r="AQ3728" t="s">
        <v>131</v>
      </c>
      <c r="AR3728">
        <v>0</v>
      </c>
      <c r="AS3728">
        <v>93</v>
      </c>
      <c r="AT3728">
        <v>256</v>
      </c>
      <c r="BB3728" t="str">
        <f t="shared" si="1472"/>
        <v>1200</v>
      </c>
      <c r="BC3728">
        <v>1</v>
      </c>
      <c r="BD3728" t="str">
        <f t="shared" si="1473"/>
        <v xml:space="preserve">N52156  </v>
      </c>
      <c r="BE3728">
        <v>1</v>
      </c>
      <c r="BG3728">
        <v>0</v>
      </c>
      <c r="BH3728">
        <v>0</v>
      </c>
      <c r="BI3728">
        <v>0</v>
      </c>
      <c r="BJ3728">
        <v>4175</v>
      </c>
      <c r="BK3728">
        <v>-25</v>
      </c>
      <c r="BL3728" t="s">
        <v>188</v>
      </c>
      <c r="BM3728">
        <v>1</v>
      </c>
      <c r="BN3728">
        <v>1</v>
      </c>
      <c r="BO3728">
        <v>0</v>
      </c>
      <c r="BP3728">
        <v>0</v>
      </c>
      <c r="BS3728">
        <v>0</v>
      </c>
      <c r="BT3728">
        <v>0</v>
      </c>
      <c r="BU3728">
        <v>0</v>
      </c>
      <c r="CE3728" t="str">
        <f t="shared" ref="CE3728:CE3733" si="1479">"15:14:53.516"</f>
        <v>15:14:53.516</v>
      </c>
      <c r="CF3728">
        <v>515989299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4</v>
      </c>
      <c r="CY3728">
        <v>7</v>
      </c>
      <c r="CZ3728" t="s">
        <v>133</v>
      </c>
      <c r="DA3728">
        <v>275</v>
      </c>
      <c r="DB3728">
        <v>0</v>
      </c>
      <c r="DC3728" t="s">
        <v>134</v>
      </c>
      <c r="DD3728" t="s">
        <v>135</v>
      </c>
      <c r="DG3728">
        <v>3322943</v>
      </c>
      <c r="DI3728">
        <v>1</v>
      </c>
      <c r="DJ3728">
        <v>0</v>
      </c>
      <c r="DK3728">
        <v>0</v>
      </c>
      <c r="DL3728">
        <v>0</v>
      </c>
      <c r="DM3728">
        <v>0</v>
      </c>
      <c r="DN3728">
        <v>0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3">
      <c r="A3729" t="str">
        <f>"05/01/2025 15:14:53.759"</f>
        <v>05/01/2025 15:14:53.759</v>
      </c>
      <c r="C3729" t="str">
        <f t="shared" si="1470"/>
        <v>FFDFD3C0</v>
      </c>
      <c r="D3729" t="s">
        <v>143</v>
      </c>
      <c r="E3729" t="str">
        <f>"05"</f>
        <v>05</v>
      </c>
      <c r="H3729">
        <v>172</v>
      </c>
      <c r="I3729" t="s">
        <v>141</v>
      </c>
      <c r="J3729" t="s">
        <v>144</v>
      </c>
      <c r="K3729">
        <v>0</v>
      </c>
      <c r="L3729">
        <v>3</v>
      </c>
      <c r="M3729">
        <v>0</v>
      </c>
      <c r="N3729">
        <v>2</v>
      </c>
      <c r="O3729">
        <v>0</v>
      </c>
      <c r="P3729">
        <v>1</v>
      </c>
      <c r="Q3729">
        <v>0</v>
      </c>
      <c r="R3729" t="s">
        <v>127</v>
      </c>
      <c r="S3729" t="str">
        <f t="shared" si="1478"/>
        <v>15:14:53.000</v>
      </c>
      <c r="T3729" t="str">
        <f t="shared" si="1478"/>
        <v>15:14:53.000</v>
      </c>
      <c r="U3729" t="str">
        <f t="shared" si="1471"/>
        <v>A68FCB</v>
      </c>
      <c r="V3729">
        <v>0</v>
      </c>
      <c r="W3729">
        <v>0</v>
      </c>
      <c r="X3729">
        <v>2</v>
      </c>
      <c r="Y3729">
        <v>0</v>
      </c>
      <c r="AA3729">
        <v>1</v>
      </c>
      <c r="AB3729">
        <v>8</v>
      </c>
      <c r="AC3729">
        <v>3</v>
      </c>
      <c r="AD3729">
        <v>0</v>
      </c>
      <c r="AE3729">
        <v>9</v>
      </c>
      <c r="AF3729" t="s">
        <v>138</v>
      </c>
      <c r="AG3729">
        <v>0</v>
      </c>
      <c r="AH3729">
        <v>3</v>
      </c>
      <c r="AI3729">
        <v>2</v>
      </c>
      <c r="AJ3729">
        <v>0</v>
      </c>
      <c r="AK3729" t="s">
        <v>1185</v>
      </c>
      <c r="AL3729">
        <v>39.164178</v>
      </c>
      <c r="AM3729" t="s">
        <v>1162</v>
      </c>
      <c r="AN3729">
        <v>-121.030905</v>
      </c>
      <c r="AO3729">
        <v>25</v>
      </c>
      <c r="AP3729">
        <v>4200</v>
      </c>
      <c r="AQ3729" t="s">
        <v>131</v>
      </c>
      <c r="AR3729">
        <v>0</v>
      </c>
      <c r="AS3729">
        <v>93</v>
      </c>
      <c r="AT3729">
        <v>256</v>
      </c>
      <c r="BB3729" t="str">
        <f t="shared" si="1472"/>
        <v>1200</v>
      </c>
      <c r="BC3729">
        <v>1</v>
      </c>
      <c r="BD3729" t="str">
        <f t="shared" si="1473"/>
        <v xml:space="preserve">N52156  </v>
      </c>
      <c r="BE3729">
        <v>1</v>
      </c>
      <c r="BG3729">
        <v>0</v>
      </c>
      <c r="BH3729">
        <v>0</v>
      </c>
      <c r="BI3729">
        <v>0</v>
      </c>
      <c r="BJ3729">
        <v>4175</v>
      </c>
      <c r="BK3729">
        <v>-25</v>
      </c>
      <c r="BL3729" t="s">
        <v>188</v>
      </c>
      <c r="BM3729">
        <v>1</v>
      </c>
      <c r="BN3729">
        <v>1</v>
      </c>
      <c r="BO3729">
        <v>0</v>
      </c>
      <c r="BP3729">
        <v>0</v>
      </c>
      <c r="BS3729">
        <v>0</v>
      </c>
      <c r="BT3729">
        <v>0</v>
      </c>
      <c r="BU3729">
        <v>0</v>
      </c>
      <c r="CE3729" t="str">
        <f t="shared" si="1479"/>
        <v>15:14:53.516</v>
      </c>
      <c r="CF3729">
        <v>515989299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4</v>
      </c>
      <c r="CY3729">
        <v>7</v>
      </c>
      <c r="CZ3729" t="s">
        <v>133</v>
      </c>
      <c r="DA3729">
        <v>275</v>
      </c>
      <c r="DB3729">
        <v>0</v>
      </c>
      <c r="DC3729" t="s">
        <v>134</v>
      </c>
      <c r="DD3729" t="s">
        <v>135</v>
      </c>
      <c r="DG3729">
        <v>3322943</v>
      </c>
      <c r="DI3729">
        <v>1</v>
      </c>
      <c r="DJ3729">
        <v>0</v>
      </c>
      <c r="DK3729">
        <v>1</v>
      </c>
      <c r="DL3729">
        <v>0</v>
      </c>
      <c r="DM3729">
        <v>0</v>
      </c>
      <c r="DN3729">
        <v>0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3">
      <c r="A3730" t="str">
        <f>"05/01/2025 15:14:53.763"</f>
        <v>05/01/2025 15:14:53.763</v>
      </c>
      <c r="C3730" t="str">
        <f t="shared" si="1470"/>
        <v>FFDFD3C0</v>
      </c>
      <c r="D3730" t="s">
        <v>140</v>
      </c>
      <c r="E3730" t="str">
        <f>"13"</f>
        <v>13</v>
      </c>
      <c r="F3730">
        <v>1019</v>
      </c>
      <c r="G3730" t="s">
        <v>141</v>
      </c>
      <c r="J3730" t="s">
        <v>142</v>
      </c>
      <c r="K3730">
        <v>0</v>
      </c>
      <c r="L3730">
        <v>3</v>
      </c>
      <c r="M3730">
        <v>0</v>
      </c>
      <c r="N3730">
        <v>2</v>
      </c>
      <c r="O3730">
        <v>0</v>
      </c>
      <c r="P3730">
        <v>1</v>
      </c>
      <c r="Q3730">
        <v>0</v>
      </c>
      <c r="R3730" t="s">
        <v>127</v>
      </c>
      <c r="S3730" t="str">
        <f t="shared" si="1478"/>
        <v>15:14:53.000</v>
      </c>
      <c r="T3730" t="str">
        <f t="shared" si="1478"/>
        <v>15:14:53.000</v>
      </c>
      <c r="U3730" t="str">
        <f t="shared" si="1471"/>
        <v>A68FCB</v>
      </c>
      <c r="V3730">
        <v>0</v>
      </c>
      <c r="W3730">
        <v>0</v>
      </c>
      <c r="X3730">
        <v>2</v>
      </c>
      <c r="Y3730">
        <v>0</v>
      </c>
      <c r="AA3730">
        <v>1</v>
      </c>
      <c r="AB3730">
        <v>8</v>
      </c>
      <c r="AC3730">
        <v>3</v>
      </c>
      <c r="AD3730">
        <v>0</v>
      </c>
      <c r="AE3730">
        <v>9</v>
      </c>
      <c r="AF3730" t="s">
        <v>138</v>
      </c>
      <c r="AG3730">
        <v>0</v>
      </c>
      <c r="AH3730">
        <v>3</v>
      </c>
      <c r="AI3730">
        <v>2</v>
      </c>
      <c r="AJ3730">
        <v>0</v>
      </c>
      <c r="AK3730" t="s">
        <v>1185</v>
      </c>
      <c r="AL3730">
        <v>39.164178</v>
      </c>
      <c r="AM3730" t="s">
        <v>1162</v>
      </c>
      <c r="AN3730">
        <v>-121.030905</v>
      </c>
      <c r="AO3730">
        <v>25</v>
      </c>
      <c r="AP3730">
        <v>4200</v>
      </c>
      <c r="AQ3730" t="s">
        <v>131</v>
      </c>
      <c r="AR3730">
        <v>0</v>
      </c>
      <c r="AS3730">
        <v>93</v>
      </c>
      <c r="AT3730">
        <v>256</v>
      </c>
      <c r="BB3730" t="str">
        <f t="shared" si="1472"/>
        <v>1200</v>
      </c>
      <c r="BC3730">
        <v>1</v>
      </c>
      <c r="BD3730" t="str">
        <f t="shared" si="1473"/>
        <v xml:space="preserve">N52156  </v>
      </c>
      <c r="BE3730">
        <v>1</v>
      </c>
      <c r="BG3730">
        <v>0</v>
      </c>
      <c r="BH3730">
        <v>0</v>
      </c>
      <c r="BI3730">
        <v>0</v>
      </c>
      <c r="BJ3730">
        <v>4175</v>
      </c>
      <c r="BK3730">
        <v>-25</v>
      </c>
      <c r="BL3730" t="s">
        <v>188</v>
      </c>
      <c r="BM3730">
        <v>1</v>
      </c>
      <c r="BN3730">
        <v>1</v>
      </c>
      <c r="BO3730">
        <v>0</v>
      </c>
      <c r="BP3730">
        <v>0</v>
      </c>
      <c r="BS3730">
        <v>0</v>
      </c>
      <c r="BT3730">
        <v>0</v>
      </c>
      <c r="BU3730">
        <v>0</v>
      </c>
      <c r="CE3730" t="str">
        <f t="shared" si="1479"/>
        <v>15:14:53.516</v>
      </c>
      <c r="CF3730">
        <v>515989299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4</v>
      </c>
      <c r="CY3730">
        <v>7</v>
      </c>
      <c r="CZ3730" t="s">
        <v>133</v>
      </c>
      <c r="DA3730">
        <v>275</v>
      </c>
      <c r="DB3730">
        <v>0</v>
      </c>
      <c r="DC3730" t="s">
        <v>134</v>
      </c>
      <c r="DD3730" t="s">
        <v>135</v>
      </c>
      <c r="DG3730">
        <v>3322943</v>
      </c>
      <c r="DI3730">
        <v>1</v>
      </c>
      <c r="DJ3730">
        <v>0</v>
      </c>
      <c r="DK3730">
        <v>1</v>
      </c>
      <c r="DL3730">
        <v>0</v>
      </c>
      <c r="DM3730">
        <v>0</v>
      </c>
      <c r="DN3730">
        <v>0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3">
      <c r="A3731" t="str">
        <f>"05/01/2025 15:14:53.767"</f>
        <v>05/01/2025 15:14:53.767</v>
      </c>
      <c r="C3731" t="str">
        <f t="shared" si="1470"/>
        <v>FFDFD3C0</v>
      </c>
      <c r="D3731" t="s">
        <v>124</v>
      </c>
      <c r="E3731" t="str">
        <f>"06"</f>
        <v>06</v>
      </c>
      <c r="F3731">
        <v>2006</v>
      </c>
      <c r="G3731" t="s">
        <v>125</v>
      </c>
      <c r="J3731" t="s">
        <v>126</v>
      </c>
      <c r="K3731">
        <v>0</v>
      </c>
      <c r="L3731">
        <v>3</v>
      </c>
      <c r="M3731">
        <v>0</v>
      </c>
      <c r="N3731">
        <v>2</v>
      </c>
      <c r="O3731">
        <v>0</v>
      </c>
      <c r="P3731">
        <v>1</v>
      </c>
      <c r="Q3731">
        <v>0</v>
      </c>
      <c r="R3731" t="s">
        <v>127</v>
      </c>
      <c r="S3731" t="str">
        <f t="shared" si="1478"/>
        <v>15:14:53.000</v>
      </c>
      <c r="T3731" t="str">
        <f t="shared" si="1478"/>
        <v>15:14:53.000</v>
      </c>
      <c r="U3731" t="str">
        <f t="shared" si="1471"/>
        <v>A68FCB</v>
      </c>
      <c r="V3731">
        <v>0</v>
      </c>
      <c r="W3731">
        <v>0</v>
      </c>
      <c r="X3731">
        <v>2</v>
      </c>
      <c r="Y3731">
        <v>0</v>
      </c>
      <c r="AA3731">
        <v>1</v>
      </c>
      <c r="AB3731">
        <v>8</v>
      </c>
      <c r="AC3731">
        <v>3</v>
      </c>
      <c r="AD3731">
        <v>0</v>
      </c>
      <c r="AE3731">
        <v>9</v>
      </c>
      <c r="AF3731" t="s">
        <v>138</v>
      </c>
      <c r="AG3731">
        <v>0</v>
      </c>
      <c r="AH3731">
        <v>3</v>
      </c>
      <c r="AI3731">
        <v>2</v>
      </c>
      <c r="AJ3731">
        <v>0</v>
      </c>
      <c r="AK3731" t="s">
        <v>1185</v>
      </c>
      <c r="AL3731">
        <v>39.164178</v>
      </c>
      <c r="AM3731" t="s">
        <v>1162</v>
      </c>
      <c r="AN3731">
        <v>-121.030905</v>
      </c>
      <c r="AO3731">
        <v>25</v>
      </c>
      <c r="AP3731">
        <v>4200</v>
      </c>
      <c r="AQ3731" t="s">
        <v>131</v>
      </c>
      <c r="AR3731">
        <v>0</v>
      </c>
      <c r="AS3731">
        <v>93</v>
      </c>
      <c r="AT3731">
        <v>256</v>
      </c>
      <c r="BB3731" t="str">
        <f t="shared" si="1472"/>
        <v>1200</v>
      </c>
      <c r="BC3731">
        <v>1</v>
      </c>
      <c r="BD3731" t="str">
        <f t="shared" si="1473"/>
        <v xml:space="preserve">N52156  </v>
      </c>
      <c r="BE3731">
        <v>1</v>
      </c>
      <c r="BG3731">
        <v>0</v>
      </c>
      <c r="BH3731">
        <v>0</v>
      </c>
      <c r="BI3731">
        <v>0</v>
      </c>
      <c r="BJ3731">
        <v>4175</v>
      </c>
      <c r="BK3731">
        <v>-25</v>
      </c>
      <c r="BL3731" t="s">
        <v>188</v>
      </c>
      <c r="BM3731">
        <v>1</v>
      </c>
      <c r="BN3731">
        <v>1</v>
      </c>
      <c r="BO3731">
        <v>0</v>
      </c>
      <c r="BP3731">
        <v>0</v>
      </c>
      <c r="BS3731">
        <v>0</v>
      </c>
      <c r="BT3731">
        <v>0</v>
      </c>
      <c r="BU3731">
        <v>0</v>
      </c>
      <c r="CE3731" t="str">
        <f t="shared" si="1479"/>
        <v>15:14:53.516</v>
      </c>
      <c r="CF3731">
        <v>515989299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4</v>
      </c>
      <c r="CY3731">
        <v>7</v>
      </c>
      <c r="CZ3731" t="s">
        <v>133</v>
      </c>
      <c r="DA3731">
        <v>275</v>
      </c>
      <c r="DB3731">
        <v>0</v>
      </c>
      <c r="DC3731" t="s">
        <v>134</v>
      </c>
      <c r="DD3731" t="s">
        <v>135</v>
      </c>
      <c r="DG3731">
        <v>3322943</v>
      </c>
      <c r="DI3731">
        <v>1</v>
      </c>
      <c r="DJ3731">
        <v>0</v>
      </c>
      <c r="DK3731">
        <v>1</v>
      </c>
      <c r="DL3731">
        <v>0</v>
      </c>
      <c r="DM3731">
        <v>0</v>
      </c>
      <c r="DN3731">
        <v>0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3">
      <c r="A3732" t="str">
        <f>"05/01/2025 15:14:53.777"</f>
        <v>05/01/2025 15:14:53.777</v>
      </c>
      <c r="C3732" t="str">
        <f t="shared" si="1470"/>
        <v>FFDFD3C0</v>
      </c>
      <c r="D3732" t="s">
        <v>145</v>
      </c>
      <c r="E3732" t="str">
        <f>"09"</f>
        <v>09</v>
      </c>
      <c r="H3732">
        <v>51</v>
      </c>
      <c r="I3732" t="s">
        <v>147</v>
      </c>
      <c r="J3732" t="s">
        <v>138</v>
      </c>
      <c r="K3732">
        <v>0</v>
      </c>
      <c r="L3732">
        <v>3</v>
      </c>
      <c r="M3732">
        <v>0</v>
      </c>
      <c r="N3732">
        <v>2</v>
      </c>
      <c r="O3732">
        <v>0</v>
      </c>
      <c r="P3732">
        <v>1</v>
      </c>
      <c r="Q3732">
        <v>0</v>
      </c>
      <c r="R3732" t="s">
        <v>127</v>
      </c>
      <c r="S3732" t="str">
        <f t="shared" si="1478"/>
        <v>15:14:53.000</v>
      </c>
      <c r="T3732" t="str">
        <f t="shared" si="1478"/>
        <v>15:14:53.000</v>
      </c>
      <c r="U3732" t="str">
        <f t="shared" si="1471"/>
        <v>A68FCB</v>
      </c>
      <c r="V3732">
        <v>0</v>
      </c>
      <c r="W3732">
        <v>0</v>
      </c>
      <c r="X3732">
        <v>2</v>
      </c>
      <c r="Y3732">
        <v>0</v>
      </c>
      <c r="AA3732">
        <v>1</v>
      </c>
      <c r="AB3732">
        <v>8</v>
      </c>
      <c r="AC3732">
        <v>3</v>
      </c>
      <c r="AD3732">
        <v>0</v>
      </c>
      <c r="AE3732">
        <v>9</v>
      </c>
      <c r="AF3732" t="s">
        <v>138</v>
      </c>
      <c r="AG3732">
        <v>0</v>
      </c>
      <c r="AH3732">
        <v>3</v>
      </c>
      <c r="AI3732">
        <v>2</v>
      </c>
      <c r="AJ3732">
        <v>0</v>
      </c>
      <c r="AK3732" t="s">
        <v>1185</v>
      </c>
      <c r="AL3732">
        <v>39.164178</v>
      </c>
      <c r="AM3732" t="s">
        <v>1162</v>
      </c>
      <c r="AN3732">
        <v>-121.030905</v>
      </c>
      <c r="AO3732">
        <v>25</v>
      </c>
      <c r="AP3732">
        <v>4200</v>
      </c>
      <c r="AQ3732" t="s">
        <v>131</v>
      </c>
      <c r="AR3732">
        <v>0</v>
      </c>
      <c r="AS3732">
        <v>93</v>
      </c>
      <c r="AT3732">
        <v>256</v>
      </c>
      <c r="BB3732" t="str">
        <f t="shared" si="1472"/>
        <v>1200</v>
      </c>
      <c r="BC3732">
        <v>1</v>
      </c>
      <c r="BD3732" t="str">
        <f t="shared" si="1473"/>
        <v xml:space="preserve">N52156  </v>
      </c>
      <c r="BE3732">
        <v>1</v>
      </c>
      <c r="BG3732">
        <v>0</v>
      </c>
      <c r="BH3732">
        <v>0</v>
      </c>
      <c r="BI3732">
        <v>0</v>
      </c>
      <c r="BJ3732">
        <v>4175</v>
      </c>
      <c r="BK3732">
        <v>-25</v>
      </c>
      <c r="BL3732" t="s">
        <v>188</v>
      </c>
      <c r="BM3732">
        <v>1</v>
      </c>
      <c r="BN3732">
        <v>1</v>
      </c>
      <c r="BO3732">
        <v>0</v>
      </c>
      <c r="BP3732">
        <v>0</v>
      </c>
      <c r="BS3732">
        <v>0</v>
      </c>
      <c r="BT3732">
        <v>0</v>
      </c>
      <c r="BU3732">
        <v>0</v>
      </c>
      <c r="CE3732" t="str">
        <f t="shared" si="1479"/>
        <v>15:14:53.516</v>
      </c>
      <c r="CF3732">
        <v>515989299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4</v>
      </c>
      <c r="CY3732">
        <v>7</v>
      </c>
      <c r="CZ3732" t="s">
        <v>133</v>
      </c>
      <c r="DA3732">
        <v>275</v>
      </c>
      <c r="DB3732">
        <v>0</v>
      </c>
      <c r="DC3732" t="s">
        <v>134</v>
      </c>
      <c r="DD3732" t="s">
        <v>135</v>
      </c>
      <c r="DG3732">
        <v>3322943</v>
      </c>
      <c r="DI3732">
        <v>1</v>
      </c>
      <c r="DJ3732">
        <v>0</v>
      </c>
      <c r="DK3732">
        <v>1</v>
      </c>
      <c r="DL3732">
        <v>0</v>
      </c>
      <c r="DM3732">
        <v>0</v>
      </c>
      <c r="DN3732">
        <v>0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3">
      <c r="A3733" t="str">
        <f>"05/01/2025 15:14:53.780"</f>
        <v>05/01/2025 15:14:53.780</v>
      </c>
      <c r="C3733" t="str">
        <f t="shared" si="1470"/>
        <v>FFDFD3C0</v>
      </c>
      <c r="D3733" t="s">
        <v>145</v>
      </c>
      <c r="E3733" t="str">
        <f>"05"</f>
        <v>05</v>
      </c>
      <c r="H3733">
        <v>47</v>
      </c>
      <c r="I3733" t="s">
        <v>146</v>
      </c>
      <c r="J3733" t="s">
        <v>138</v>
      </c>
      <c r="K3733">
        <v>0</v>
      </c>
      <c r="L3733">
        <v>3</v>
      </c>
      <c r="M3733">
        <v>0</v>
      </c>
      <c r="N3733">
        <v>2</v>
      </c>
      <c r="O3733">
        <v>0</v>
      </c>
      <c r="P3733">
        <v>1</v>
      </c>
      <c r="Q3733">
        <v>0</v>
      </c>
      <c r="R3733" t="s">
        <v>127</v>
      </c>
      <c r="S3733" t="str">
        <f t="shared" si="1478"/>
        <v>15:14:53.000</v>
      </c>
      <c r="T3733" t="str">
        <f t="shared" si="1478"/>
        <v>15:14:53.000</v>
      </c>
      <c r="U3733" t="str">
        <f t="shared" si="1471"/>
        <v>A68FCB</v>
      </c>
      <c r="V3733">
        <v>0</v>
      </c>
      <c r="W3733">
        <v>0</v>
      </c>
      <c r="X3733">
        <v>2</v>
      </c>
      <c r="Y3733">
        <v>0</v>
      </c>
      <c r="AA3733">
        <v>1</v>
      </c>
      <c r="AB3733">
        <v>8</v>
      </c>
      <c r="AC3733">
        <v>3</v>
      </c>
      <c r="AD3733">
        <v>0</v>
      </c>
      <c r="AE3733">
        <v>9</v>
      </c>
      <c r="AF3733" t="s">
        <v>138</v>
      </c>
      <c r="AG3733">
        <v>0</v>
      </c>
      <c r="AH3733">
        <v>3</v>
      </c>
      <c r="AI3733">
        <v>2</v>
      </c>
      <c r="AJ3733">
        <v>0</v>
      </c>
      <c r="AK3733" t="s">
        <v>1185</v>
      </c>
      <c r="AL3733">
        <v>39.164178</v>
      </c>
      <c r="AM3733" t="s">
        <v>1162</v>
      </c>
      <c r="AN3733">
        <v>-121.030905</v>
      </c>
      <c r="AO3733">
        <v>25</v>
      </c>
      <c r="AP3733">
        <v>4200</v>
      </c>
      <c r="AQ3733" t="s">
        <v>131</v>
      </c>
      <c r="AR3733">
        <v>0</v>
      </c>
      <c r="AS3733">
        <v>93</v>
      </c>
      <c r="AT3733">
        <v>256</v>
      </c>
      <c r="BB3733" t="str">
        <f t="shared" si="1472"/>
        <v>1200</v>
      </c>
      <c r="BC3733">
        <v>1</v>
      </c>
      <c r="BD3733" t="str">
        <f t="shared" si="1473"/>
        <v xml:space="preserve">N52156  </v>
      </c>
      <c r="BE3733">
        <v>1</v>
      </c>
      <c r="BG3733">
        <v>0</v>
      </c>
      <c r="BH3733">
        <v>0</v>
      </c>
      <c r="BI3733">
        <v>0</v>
      </c>
      <c r="BJ3733">
        <v>4175</v>
      </c>
      <c r="BK3733">
        <v>-25</v>
      </c>
      <c r="BL3733" t="s">
        <v>188</v>
      </c>
      <c r="BM3733">
        <v>1</v>
      </c>
      <c r="BN3733">
        <v>1</v>
      </c>
      <c r="BO3733">
        <v>0</v>
      </c>
      <c r="BP3733">
        <v>0</v>
      </c>
      <c r="BS3733">
        <v>0</v>
      </c>
      <c r="BT3733">
        <v>0</v>
      </c>
      <c r="BU3733">
        <v>0</v>
      </c>
      <c r="CE3733" t="str">
        <f t="shared" si="1479"/>
        <v>15:14:53.516</v>
      </c>
      <c r="CF3733">
        <v>515989299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4</v>
      </c>
      <c r="CY3733">
        <v>7</v>
      </c>
      <c r="CZ3733" t="s">
        <v>133</v>
      </c>
      <c r="DA3733">
        <v>275</v>
      </c>
      <c r="DB3733">
        <v>0</v>
      </c>
      <c r="DC3733" t="s">
        <v>134</v>
      </c>
      <c r="DD3733" t="s">
        <v>135</v>
      </c>
      <c r="DG3733">
        <v>3322943</v>
      </c>
      <c r="DI3733">
        <v>1</v>
      </c>
      <c r="DJ3733">
        <v>0</v>
      </c>
      <c r="DK3733">
        <v>1</v>
      </c>
      <c r="DL3733">
        <v>0</v>
      </c>
      <c r="DM3733">
        <v>0</v>
      </c>
      <c r="DN3733">
        <v>0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3">
      <c r="A3734" t="str">
        <f>"05/01/2025 15:14:55.162"</f>
        <v>05/01/2025 15:14:55.162</v>
      </c>
      <c r="C3734" t="str">
        <f t="shared" si="1470"/>
        <v>FFDFD3C0</v>
      </c>
      <c r="D3734" t="s">
        <v>143</v>
      </c>
      <c r="E3734" t="str">
        <f>"05"</f>
        <v>05</v>
      </c>
      <c r="H3734">
        <v>172</v>
      </c>
      <c r="I3734" t="s">
        <v>141</v>
      </c>
      <c r="J3734" t="s">
        <v>144</v>
      </c>
      <c r="K3734">
        <v>0</v>
      </c>
      <c r="L3734">
        <v>3</v>
      </c>
      <c r="M3734">
        <v>0</v>
      </c>
      <c r="N3734">
        <v>2</v>
      </c>
      <c r="O3734">
        <v>0</v>
      </c>
      <c r="P3734">
        <v>1</v>
      </c>
      <c r="Q3734">
        <v>0</v>
      </c>
      <c r="R3734" t="s">
        <v>127</v>
      </c>
      <c r="S3734" t="str">
        <f t="shared" ref="S3734:T3739" si="1480">"15:14:54.000"</f>
        <v>15:14:54.000</v>
      </c>
      <c r="T3734" t="str">
        <f t="shared" si="1480"/>
        <v>15:14:54.000</v>
      </c>
      <c r="U3734" t="str">
        <f t="shared" si="1471"/>
        <v>A68FCB</v>
      </c>
      <c r="V3734">
        <v>0</v>
      </c>
      <c r="W3734">
        <v>0</v>
      </c>
      <c r="X3734">
        <v>2</v>
      </c>
      <c r="Y3734">
        <v>0</v>
      </c>
      <c r="AA3734">
        <v>1</v>
      </c>
      <c r="AB3734">
        <v>8</v>
      </c>
      <c r="AC3734">
        <v>3</v>
      </c>
      <c r="AD3734">
        <v>0</v>
      </c>
      <c r="AE3734">
        <v>9</v>
      </c>
      <c r="AF3734" t="s">
        <v>138</v>
      </c>
      <c r="AG3734">
        <v>0</v>
      </c>
      <c r="AH3734">
        <v>3</v>
      </c>
      <c r="AI3734">
        <v>2</v>
      </c>
      <c r="AJ3734">
        <v>0</v>
      </c>
      <c r="AK3734" t="s">
        <v>1186</v>
      </c>
      <c r="AL3734">
        <v>39.164608000000001</v>
      </c>
      <c r="AM3734" t="s">
        <v>1162</v>
      </c>
      <c r="AN3734">
        <v>-121.030905</v>
      </c>
      <c r="AO3734">
        <v>25</v>
      </c>
      <c r="AP3734">
        <v>4200</v>
      </c>
      <c r="AQ3734" t="s">
        <v>131</v>
      </c>
      <c r="AR3734">
        <v>0</v>
      </c>
      <c r="AS3734">
        <v>92</v>
      </c>
      <c r="AT3734">
        <v>256</v>
      </c>
      <c r="BB3734" t="str">
        <f t="shared" si="1472"/>
        <v>1200</v>
      </c>
      <c r="BC3734">
        <v>1</v>
      </c>
      <c r="BD3734" t="str">
        <f t="shared" si="1473"/>
        <v xml:space="preserve">N52156  </v>
      </c>
      <c r="BE3734">
        <v>1</v>
      </c>
      <c r="BG3734">
        <v>0</v>
      </c>
      <c r="BH3734">
        <v>0</v>
      </c>
      <c r="BI3734">
        <v>0</v>
      </c>
      <c r="BJ3734">
        <v>4175</v>
      </c>
      <c r="BK3734">
        <v>-25</v>
      </c>
      <c r="BL3734" t="s">
        <v>188</v>
      </c>
      <c r="BM3734">
        <v>1</v>
      </c>
      <c r="BN3734">
        <v>1</v>
      </c>
      <c r="BO3734">
        <v>0</v>
      </c>
      <c r="BP3734">
        <v>0</v>
      </c>
      <c r="BS3734">
        <v>0</v>
      </c>
      <c r="BT3734">
        <v>0</v>
      </c>
      <c r="BU3734">
        <v>0</v>
      </c>
      <c r="CE3734" t="str">
        <f t="shared" ref="CE3734:CE3739" si="1481">"15:14:54.937"</f>
        <v>15:14:54.937</v>
      </c>
      <c r="CF3734">
        <v>936740737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5</v>
      </c>
      <c r="CY3734">
        <v>7</v>
      </c>
      <c r="CZ3734" t="s">
        <v>133</v>
      </c>
      <c r="DA3734">
        <v>275</v>
      </c>
      <c r="DB3734">
        <v>0</v>
      </c>
      <c r="DC3734" t="s">
        <v>134</v>
      </c>
      <c r="DD3734" t="s">
        <v>135</v>
      </c>
      <c r="DG3734">
        <v>3322950</v>
      </c>
      <c r="DI3734">
        <v>1</v>
      </c>
      <c r="DJ3734">
        <v>0</v>
      </c>
      <c r="DK3734">
        <v>0</v>
      </c>
      <c r="DL3734">
        <v>0</v>
      </c>
      <c r="DM3734">
        <v>0</v>
      </c>
      <c r="DN3734">
        <v>0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3">
      <c r="A3735" t="str">
        <f>"05/01/2025 15:14:55.166"</f>
        <v>05/01/2025 15:14:55.166</v>
      </c>
      <c r="C3735" t="str">
        <f t="shared" si="1470"/>
        <v>FFDFD3C0</v>
      </c>
      <c r="D3735" t="s">
        <v>140</v>
      </c>
      <c r="E3735" t="str">
        <f>"13"</f>
        <v>13</v>
      </c>
      <c r="F3735">
        <v>1019</v>
      </c>
      <c r="G3735" t="s">
        <v>141</v>
      </c>
      <c r="J3735" t="s">
        <v>142</v>
      </c>
      <c r="K3735">
        <v>0</v>
      </c>
      <c r="L3735">
        <v>3</v>
      </c>
      <c r="M3735">
        <v>0</v>
      </c>
      <c r="N3735">
        <v>2</v>
      </c>
      <c r="O3735">
        <v>0</v>
      </c>
      <c r="P3735">
        <v>1</v>
      </c>
      <c r="Q3735">
        <v>0</v>
      </c>
      <c r="R3735" t="s">
        <v>127</v>
      </c>
      <c r="S3735" t="str">
        <f t="shared" si="1480"/>
        <v>15:14:54.000</v>
      </c>
      <c r="T3735" t="str">
        <f t="shared" si="1480"/>
        <v>15:14:54.000</v>
      </c>
      <c r="U3735" t="str">
        <f t="shared" si="1471"/>
        <v>A68FCB</v>
      </c>
      <c r="V3735">
        <v>0</v>
      </c>
      <c r="W3735">
        <v>0</v>
      </c>
      <c r="X3735">
        <v>2</v>
      </c>
      <c r="Y3735">
        <v>0</v>
      </c>
      <c r="AA3735">
        <v>1</v>
      </c>
      <c r="AB3735">
        <v>8</v>
      </c>
      <c r="AC3735">
        <v>3</v>
      </c>
      <c r="AD3735">
        <v>0</v>
      </c>
      <c r="AE3735">
        <v>9</v>
      </c>
      <c r="AF3735" t="s">
        <v>138</v>
      </c>
      <c r="AG3735">
        <v>0</v>
      </c>
      <c r="AH3735">
        <v>3</v>
      </c>
      <c r="AI3735">
        <v>2</v>
      </c>
      <c r="AJ3735">
        <v>0</v>
      </c>
      <c r="AK3735" t="s">
        <v>1186</v>
      </c>
      <c r="AL3735">
        <v>39.164608000000001</v>
      </c>
      <c r="AM3735" t="s">
        <v>1162</v>
      </c>
      <c r="AN3735">
        <v>-121.030905</v>
      </c>
      <c r="AO3735">
        <v>25</v>
      </c>
      <c r="AP3735">
        <v>4200</v>
      </c>
      <c r="AQ3735" t="s">
        <v>131</v>
      </c>
      <c r="AR3735">
        <v>0</v>
      </c>
      <c r="AS3735">
        <v>92</v>
      </c>
      <c r="AT3735">
        <v>256</v>
      </c>
      <c r="BB3735" t="str">
        <f t="shared" si="1472"/>
        <v>1200</v>
      </c>
      <c r="BC3735">
        <v>1</v>
      </c>
      <c r="BD3735" t="str">
        <f t="shared" si="1473"/>
        <v xml:space="preserve">N52156  </v>
      </c>
      <c r="BE3735">
        <v>1</v>
      </c>
      <c r="BG3735">
        <v>0</v>
      </c>
      <c r="BH3735">
        <v>0</v>
      </c>
      <c r="BI3735">
        <v>0</v>
      </c>
      <c r="BJ3735">
        <v>4175</v>
      </c>
      <c r="BK3735">
        <v>-25</v>
      </c>
      <c r="BL3735" t="s">
        <v>188</v>
      </c>
      <c r="BM3735">
        <v>1</v>
      </c>
      <c r="BN3735">
        <v>1</v>
      </c>
      <c r="BO3735">
        <v>0</v>
      </c>
      <c r="BP3735">
        <v>0</v>
      </c>
      <c r="BS3735">
        <v>0</v>
      </c>
      <c r="BT3735">
        <v>0</v>
      </c>
      <c r="BU3735">
        <v>0</v>
      </c>
      <c r="CE3735" t="str">
        <f t="shared" si="1481"/>
        <v>15:14:54.937</v>
      </c>
      <c r="CF3735">
        <v>936740737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5</v>
      </c>
      <c r="CY3735">
        <v>7</v>
      </c>
      <c r="CZ3735" t="s">
        <v>133</v>
      </c>
      <c r="DA3735">
        <v>275</v>
      </c>
      <c r="DB3735">
        <v>0</v>
      </c>
      <c r="DC3735" t="s">
        <v>134</v>
      </c>
      <c r="DD3735" t="s">
        <v>135</v>
      </c>
      <c r="DG3735">
        <v>3322950</v>
      </c>
      <c r="DI3735">
        <v>1</v>
      </c>
      <c r="DJ3735">
        <v>0</v>
      </c>
      <c r="DK3735">
        <v>1</v>
      </c>
      <c r="DL3735">
        <v>0</v>
      </c>
      <c r="DM3735">
        <v>0</v>
      </c>
      <c r="DN3735">
        <v>0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3">
      <c r="A3736" t="str">
        <f>"05/01/2025 15:14:55.169"</f>
        <v>05/01/2025 15:14:55.169</v>
      </c>
      <c r="C3736" t="str">
        <f t="shared" si="1470"/>
        <v>FFDFD3C0</v>
      </c>
      <c r="D3736" t="s">
        <v>124</v>
      </c>
      <c r="E3736" t="str">
        <f>"06"</f>
        <v>06</v>
      </c>
      <c r="F3736">
        <v>2006</v>
      </c>
      <c r="G3736" t="s">
        <v>125</v>
      </c>
      <c r="J3736" t="s">
        <v>126</v>
      </c>
      <c r="K3736">
        <v>0</v>
      </c>
      <c r="L3736">
        <v>3</v>
      </c>
      <c r="M3736">
        <v>0</v>
      </c>
      <c r="N3736">
        <v>2</v>
      </c>
      <c r="O3736">
        <v>0</v>
      </c>
      <c r="P3736">
        <v>1</v>
      </c>
      <c r="Q3736">
        <v>0</v>
      </c>
      <c r="R3736" t="s">
        <v>127</v>
      </c>
      <c r="S3736" t="str">
        <f t="shared" si="1480"/>
        <v>15:14:54.000</v>
      </c>
      <c r="T3736" t="str">
        <f t="shared" si="1480"/>
        <v>15:14:54.000</v>
      </c>
      <c r="U3736" t="str">
        <f t="shared" si="1471"/>
        <v>A68FCB</v>
      </c>
      <c r="V3736">
        <v>0</v>
      </c>
      <c r="W3736">
        <v>0</v>
      </c>
      <c r="X3736">
        <v>2</v>
      </c>
      <c r="Y3736">
        <v>0</v>
      </c>
      <c r="AA3736">
        <v>1</v>
      </c>
      <c r="AB3736">
        <v>8</v>
      </c>
      <c r="AC3736">
        <v>3</v>
      </c>
      <c r="AD3736">
        <v>0</v>
      </c>
      <c r="AE3736">
        <v>9</v>
      </c>
      <c r="AF3736" t="s">
        <v>138</v>
      </c>
      <c r="AG3736">
        <v>0</v>
      </c>
      <c r="AH3736">
        <v>3</v>
      </c>
      <c r="AI3736">
        <v>2</v>
      </c>
      <c r="AJ3736">
        <v>0</v>
      </c>
      <c r="AK3736" t="s">
        <v>1186</v>
      </c>
      <c r="AL3736">
        <v>39.164608000000001</v>
      </c>
      <c r="AM3736" t="s">
        <v>1162</v>
      </c>
      <c r="AN3736">
        <v>-121.030905</v>
      </c>
      <c r="AO3736">
        <v>25</v>
      </c>
      <c r="AP3736">
        <v>4200</v>
      </c>
      <c r="AQ3736" t="s">
        <v>131</v>
      </c>
      <c r="AR3736">
        <v>0</v>
      </c>
      <c r="AS3736">
        <v>92</v>
      </c>
      <c r="AT3736">
        <v>256</v>
      </c>
      <c r="BB3736" t="str">
        <f t="shared" si="1472"/>
        <v>1200</v>
      </c>
      <c r="BC3736">
        <v>1</v>
      </c>
      <c r="BD3736" t="str">
        <f t="shared" si="1473"/>
        <v xml:space="preserve">N52156  </v>
      </c>
      <c r="BE3736">
        <v>1</v>
      </c>
      <c r="BG3736">
        <v>0</v>
      </c>
      <c r="BH3736">
        <v>0</v>
      </c>
      <c r="BI3736">
        <v>0</v>
      </c>
      <c r="BJ3736">
        <v>4175</v>
      </c>
      <c r="BK3736">
        <v>-25</v>
      </c>
      <c r="BL3736" t="s">
        <v>188</v>
      </c>
      <c r="BM3736">
        <v>1</v>
      </c>
      <c r="BN3736">
        <v>1</v>
      </c>
      <c r="BO3736">
        <v>0</v>
      </c>
      <c r="BP3736">
        <v>0</v>
      </c>
      <c r="BS3736">
        <v>0</v>
      </c>
      <c r="BT3736">
        <v>0</v>
      </c>
      <c r="BU3736">
        <v>0</v>
      </c>
      <c r="CE3736" t="str">
        <f t="shared" si="1481"/>
        <v>15:14:54.937</v>
      </c>
      <c r="CF3736">
        <v>936740737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5</v>
      </c>
      <c r="CY3736">
        <v>7</v>
      </c>
      <c r="CZ3736" t="s">
        <v>133</v>
      </c>
      <c r="DA3736">
        <v>275</v>
      </c>
      <c r="DB3736">
        <v>0</v>
      </c>
      <c r="DC3736" t="s">
        <v>134</v>
      </c>
      <c r="DD3736" t="s">
        <v>135</v>
      </c>
      <c r="DG3736">
        <v>3322950</v>
      </c>
      <c r="DI3736">
        <v>1</v>
      </c>
      <c r="DJ3736">
        <v>0</v>
      </c>
      <c r="DK3736">
        <v>1</v>
      </c>
      <c r="DL3736">
        <v>0</v>
      </c>
      <c r="DM3736">
        <v>0</v>
      </c>
      <c r="DN3736">
        <v>0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3">
      <c r="A3737" t="str">
        <f>"05/01/2025 15:14:55.180"</f>
        <v>05/01/2025 15:14:55.180</v>
      </c>
      <c r="C3737" t="str">
        <f t="shared" si="1470"/>
        <v>FFDFD3C0</v>
      </c>
      <c r="D3737" t="s">
        <v>145</v>
      </c>
      <c r="E3737" t="str">
        <f>"09"</f>
        <v>09</v>
      </c>
      <c r="H3737">
        <v>51</v>
      </c>
      <c r="I3737" t="s">
        <v>147</v>
      </c>
      <c r="J3737" t="s">
        <v>138</v>
      </c>
      <c r="K3737">
        <v>0</v>
      </c>
      <c r="L3737">
        <v>3</v>
      </c>
      <c r="M3737">
        <v>0</v>
      </c>
      <c r="N3737">
        <v>2</v>
      </c>
      <c r="O3737">
        <v>0</v>
      </c>
      <c r="P3737">
        <v>1</v>
      </c>
      <c r="Q3737">
        <v>0</v>
      </c>
      <c r="R3737" t="s">
        <v>127</v>
      </c>
      <c r="S3737" t="str">
        <f t="shared" si="1480"/>
        <v>15:14:54.000</v>
      </c>
      <c r="T3737" t="str">
        <f t="shared" si="1480"/>
        <v>15:14:54.000</v>
      </c>
      <c r="U3737" t="str">
        <f t="shared" si="1471"/>
        <v>A68FCB</v>
      </c>
      <c r="V3737">
        <v>0</v>
      </c>
      <c r="W3737">
        <v>0</v>
      </c>
      <c r="X3737">
        <v>2</v>
      </c>
      <c r="Y3737">
        <v>0</v>
      </c>
      <c r="AA3737">
        <v>1</v>
      </c>
      <c r="AB3737">
        <v>8</v>
      </c>
      <c r="AC3737">
        <v>3</v>
      </c>
      <c r="AD3737">
        <v>0</v>
      </c>
      <c r="AE3737">
        <v>9</v>
      </c>
      <c r="AF3737" t="s">
        <v>138</v>
      </c>
      <c r="AG3737">
        <v>0</v>
      </c>
      <c r="AH3737">
        <v>3</v>
      </c>
      <c r="AI3737">
        <v>2</v>
      </c>
      <c r="AJ3737">
        <v>0</v>
      </c>
      <c r="AK3737" t="s">
        <v>1186</v>
      </c>
      <c r="AL3737">
        <v>39.164608000000001</v>
      </c>
      <c r="AM3737" t="s">
        <v>1162</v>
      </c>
      <c r="AN3737">
        <v>-121.030905</v>
      </c>
      <c r="AO3737">
        <v>25</v>
      </c>
      <c r="AP3737">
        <v>4200</v>
      </c>
      <c r="AQ3737" t="s">
        <v>131</v>
      </c>
      <c r="AR3737">
        <v>0</v>
      </c>
      <c r="AS3737">
        <v>92</v>
      </c>
      <c r="AT3737">
        <v>256</v>
      </c>
      <c r="BB3737" t="str">
        <f t="shared" si="1472"/>
        <v>1200</v>
      </c>
      <c r="BC3737">
        <v>1</v>
      </c>
      <c r="BD3737" t="str">
        <f t="shared" si="1473"/>
        <v xml:space="preserve">N52156  </v>
      </c>
      <c r="BE3737">
        <v>1</v>
      </c>
      <c r="BG3737">
        <v>0</v>
      </c>
      <c r="BH3737">
        <v>0</v>
      </c>
      <c r="BI3737">
        <v>0</v>
      </c>
      <c r="BJ3737">
        <v>4175</v>
      </c>
      <c r="BK3737">
        <v>-25</v>
      </c>
      <c r="BL3737" t="s">
        <v>188</v>
      </c>
      <c r="BM3737">
        <v>1</v>
      </c>
      <c r="BN3737">
        <v>1</v>
      </c>
      <c r="BO3737">
        <v>0</v>
      </c>
      <c r="BP3737">
        <v>0</v>
      </c>
      <c r="BS3737">
        <v>0</v>
      </c>
      <c r="BT3737">
        <v>0</v>
      </c>
      <c r="BU3737">
        <v>0</v>
      </c>
      <c r="CE3737" t="str">
        <f t="shared" si="1481"/>
        <v>15:14:54.937</v>
      </c>
      <c r="CF3737">
        <v>936740737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5</v>
      </c>
      <c r="CY3737">
        <v>7</v>
      </c>
      <c r="CZ3737" t="s">
        <v>133</v>
      </c>
      <c r="DA3737">
        <v>275</v>
      </c>
      <c r="DB3737">
        <v>0</v>
      </c>
      <c r="DC3737" t="s">
        <v>134</v>
      </c>
      <c r="DD3737" t="s">
        <v>135</v>
      </c>
      <c r="DG3737">
        <v>3322950</v>
      </c>
      <c r="DI3737">
        <v>1</v>
      </c>
      <c r="DJ3737">
        <v>0</v>
      </c>
      <c r="DK3737">
        <v>1</v>
      </c>
      <c r="DL3737">
        <v>0</v>
      </c>
      <c r="DM3737">
        <v>0</v>
      </c>
      <c r="DN3737">
        <v>0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3">
      <c r="A3738" t="str">
        <f>"05/01/2025 15:14:55.182"</f>
        <v>05/01/2025 15:14:55.182</v>
      </c>
      <c r="C3738" t="str">
        <f t="shared" si="1470"/>
        <v>FFDFD3C0</v>
      </c>
      <c r="D3738" t="s">
        <v>145</v>
      </c>
      <c r="E3738" t="str">
        <f>"05"</f>
        <v>05</v>
      </c>
      <c r="H3738">
        <v>47</v>
      </c>
      <c r="I3738" t="s">
        <v>146</v>
      </c>
      <c r="J3738" t="s">
        <v>138</v>
      </c>
      <c r="K3738">
        <v>0</v>
      </c>
      <c r="L3738">
        <v>3</v>
      </c>
      <c r="M3738">
        <v>0</v>
      </c>
      <c r="N3738">
        <v>2</v>
      </c>
      <c r="O3738">
        <v>0</v>
      </c>
      <c r="P3738">
        <v>1</v>
      </c>
      <c r="Q3738">
        <v>0</v>
      </c>
      <c r="R3738" t="s">
        <v>127</v>
      </c>
      <c r="S3738" t="str">
        <f t="shared" si="1480"/>
        <v>15:14:54.000</v>
      </c>
      <c r="T3738" t="str">
        <f t="shared" si="1480"/>
        <v>15:14:54.000</v>
      </c>
      <c r="U3738" t="str">
        <f t="shared" si="1471"/>
        <v>A68FCB</v>
      </c>
      <c r="V3738">
        <v>0</v>
      </c>
      <c r="W3738">
        <v>0</v>
      </c>
      <c r="X3738">
        <v>2</v>
      </c>
      <c r="Y3738">
        <v>0</v>
      </c>
      <c r="AA3738">
        <v>1</v>
      </c>
      <c r="AB3738">
        <v>8</v>
      </c>
      <c r="AC3738">
        <v>3</v>
      </c>
      <c r="AD3738">
        <v>0</v>
      </c>
      <c r="AE3738">
        <v>9</v>
      </c>
      <c r="AF3738" t="s">
        <v>138</v>
      </c>
      <c r="AG3738">
        <v>0</v>
      </c>
      <c r="AH3738">
        <v>3</v>
      </c>
      <c r="AI3738">
        <v>2</v>
      </c>
      <c r="AJ3738">
        <v>0</v>
      </c>
      <c r="AK3738" t="s">
        <v>1186</v>
      </c>
      <c r="AL3738">
        <v>39.164608000000001</v>
      </c>
      <c r="AM3738" t="s">
        <v>1162</v>
      </c>
      <c r="AN3738">
        <v>-121.030905</v>
      </c>
      <c r="AO3738">
        <v>25</v>
      </c>
      <c r="AP3738">
        <v>4200</v>
      </c>
      <c r="AQ3738" t="s">
        <v>131</v>
      </c>
      <c r="AR3738">
        <v>0</v>
      </c>
      <c r="AS3738">
        <v>92</v>
      </c>
      <c r="AT3738">
        <v>256</v>
      </c>
      <c r="BB3738" t="str">
        <f t="shared" si="1472"/>
        <v>1200</v>
      </c>
      <c r="BC3738">
        <v>1</v>
      </c>
      <c r="BD3738" t="str">
        <f t="shared" si="1473"/>
        <v xml:space="preserve">N52156  </v>
      </c>
      <c r="BE3738">
        <v>1</v>
      </c>
      <c r="BG3738">
        <v>0</v>
      </c>
      <c r="BH3738">
        <v>0</v>
      </c>
      <c r="BI3738">
        <v>0</v>
      </c>
      <c r="BJ3738">
        <v>4175</v>
      </c>
      <c r="BK3738">
        <v>-25</v>
      </c>
      <c r="BL3738" t="s">
        <v>188</v>
      </c>
      <c r="BM3738">
        <v>1</v>
      </c>
      <c r="BN3738">
        <v>1</v>
      </c>
      <c r="BO3738">
        <v>0</v>
      </c>
      <c r="BP3738">
        <v>0</v>
      </c>
      <c r="BS3738">
        <v>0</v>
      </c>
      <c r="BT3738">
        <v>0</v>
      </c>
      <c r="BU3738">
        <v>0</v>
      </c>
      <c r="CE3738" t="str">
        <f t="shared" si="1481"/>
        <v>15:14:54.937</v>
      </c>
      <c r="CF3738">
        <v>936740737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5</v>
      </c>
      <c r="CY3738">
        <v>7</v>
      </c>
      <c r="CZ3738" t="s">
        <v>133</v>
      </c>
      <c r="DA3738">
        <v>275</v>
      </c>
      <c r="DB3738">
        <v>0</v>
      </c>
      <c r="DC3738" t="s">
        <v>134</v>
      </c>
      <c r="DD3738" t="s">
        <v>135</v>
      </c>
      <c r="DG3738">
        <v>3322950</v>
      </c>
      <c r="DI3738">
        <v>1</v>
      </c>
      <c r="DJ3738">
        <v>0</v>
      </c>
      <c r="DK3738">
        <v>1</v>
      </c>
      <c r="DL3738">
        <v>0</v>
      </c>
      <c r="DM3738">
        <v>0</v>
      </c>
      <c r="DN3738">
        <v>0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3">
      <c r="A3739" t="str">
        <f>"05/01/2025 15:14:55.193"</f>
        <v>05/01/2025 15:14:55.193</v>
      </c>
      <c r="C3739" t="str">
        <f t="shared" si="1470"/>
        <v>FFDFD3C0</v>
      </c>
      <c r="D3739" t="s">
        <v>136</v>
      </c>
      <c r="E3739" t="str">
        <f>"20"</f>
        <v>20</v>
      </c>
      <c r="H3739">
        <v>400</v>
      </c>
      <c r="I3739" t="s">
        <v>137</v>
      </c>
      <c r="J3739" t="s">
        <v>138</v>
      </c>
      <c r="K3739">
        <v>0</v>
      </c>
      <c r="L3739">
        <v>3</v>
      </c>
      <c r="M3739">
        <v>0</v>
      </c>
      <c r="N3739">
        <v>2</v>
      </c>
      <c r="O3739">
        <v>0</v>
      </c>
      <c r="P3739">
        <v>1</v>
      </c>
      <c r="Q3739">
        <v>0</v>
      </c>
      <c r="R3739" t="s">
        <v>127</v>
      </c>
      <c r="S3739" t="str">
        <f t="shared" si="1480"/>
        <v>15:14:54.000</v>
      </c>
      <c r="T3739" t="str">
        <f t="shared" si="1480"/>
        <v>15:14:54.000</v>
      </c>
      <c r="U3739" t="str">
        <f t="shared" si="1471"/>
        <v>A68FCB</v>
      </c>
      <c r="V3739">
        <v>0</v>
      </c>
      <c r="W3739">
        <v>0</v>
      </c>
      <c r="X3739">
        <v>2</v>
      </c>
      <c r="Y3739">
        <v>0</v>
      </c>
      <c r="AA3739">
        <v>1</v>
      </c>
      <c r="AB3739">
        <v>8</v>
      </c>
      <c r="AC3739">
        <v>3</v>
      </c>
      <c r="AD3739">
        <v>0</v>
      </c>
      <c r="AE3739">
        <v>9</v>
      </c>
      <c r="AF3739" t="s">
        <v>138</v>
      </c>
      <c r="AG3739">
        <v>0</v>
      </c>
      <c r="AH3739">
        <v>3</v>
      </c>
      <c r="AI3739">
        <v>2</v>
      </c>
      <c r="AJ3739">
        <v>0</v>
      </c>
      <c r="AK3739" t="s">
        <v>1186</v>
      </c>
      <c r="AL3739">
        <v>39.164608000000001</v>
      </c>
      <c r="AM3739" t="s">
        <v>1162</v>
      </c>
      <c r="AN3739">
        <v>-121.030905</v>
      </c>
      <c r="AO3739">
        <v>25</v>
      </c>
      <c r="AP3739">
        <v>4200</v>
      </c>
      <c r="AQ3739" t="s">
        <v>131</v>
      </c>
      <c r="AR3739">
        <v>0</v>
      </c>
      <c r="AS3739">
        <v>92</v>
      </c>
      <c r="AT3739">
        <v>256</v>
      </c>
      <c r="BB3739" t="str">
        <f t="shared" si="1472"/>
        <v>1200</v>
      </c>
      <c r="BC3739">
        <v>1</v>
      </c>
      <c r="BD3739" t="str">
        <f t="shared" si="1473"/>
        <v xml:space="preserve">N52156  </v>
      </c>
      <c r="BE3739">
        <v>1</v>
      </c>
      <c r="BG3739">
        <v>0</v>
      </c>
      <c r="BH3739">
        <v>0</v>
      </c>
      <c r="BI3739">
        <v>0</v>
      </c>
      <c r="BJ3739">
        <v>4175</v>
      </c>
      <c r="BK3739">
        <v>-25</v>
      </c>
      <c r="BL3739" t="s">
        <v>188</v>
      </c>
      <c r="BM3739">
        <v>1</v>
      </c>
      <c r="BN3739">
        <v>1</v>
      </c>
      <c r="BO3739">
        <v>0</v>
      </c>
      <c r="BP3739">
        <v>0</v>
      </c>
      <c r="BS3739">
        <v>0</v>
      </c>
      <c r="BT3739">
        <v>0</v>
      </c>
      <c r="BU3739">
        <v>0</v>
      </c>
      <c r="CE3739" t="str">
        <f t="shared" si="1481"/>
        <v>15:14:54.937</v>
      </c>
      <c r="CF3739">
        <v>936740737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5</v>
      </c>
      <c r="CY3739">
        <v>7</v>
      </c>
      <c r="CZ3739" t="s">
        <v>133</v>
      </c>
      <c r="DA3739">
        <v>275</v>
      </c>
      <c r="DB3739">
        <v>0</v>
      </c>
      <c r="DC3739" t="s">
        <v>134</v>
      </c>
      <c r="DD3739" t="s">
        <v>135</v>
      </c>
      <c r="DG3739">
        <v>3322950</v>
      </c>
      <c r="DI3739">
        <v>1</v>
      </c>
      <c r="DJ3739">
        <v>0</v>
      </c>
      <c r="DK3739">
        <v>1</v>
      </c>
      <c r="DL3739">
        <v>0</v>
      </c>
      <c r="DM3739">
        <v>0</v>
      </c>
      <c r="DN3739">
        <v>0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3">
      <c r="A3740" t="str">
        <f>"05/01/2025 15:14:55.914"</f>
        <v>05/01/2025 15:14:55.914</v>
      </c>
      <c r="C3740" t="str">
        <f t="shared" si="1470"/>
        <v>FFDFD3C0</v>
      </c>
      <c r="D3740" t="s">
        <v>143</v>
      </c>
      <c r="E3740" t="str">
        <f>"05"</f>
        <v>05</v>
      </c>
      <c r="H3740">
        <v>172</v>
      </c>
      <c r="I3740" t="s">
        <v>141</v>
      </c>
      <c r="J3740" t="s">
        <v>144</v>
      </c>
      <c r="K3740">
        <v>0</v>
      </c>
      <c r="L3740">
        <v>3</v>
      </c>
      <c r="M3740">
        <v>0</v>
      </c>
      <c r="N3740">
        <v>2</v>
      </c>
      <c r="O3740">
        <v>0</v>
      </c>
      <c r="P3740">
        <v>1</v>
      </c>
      <c r="Q3740">
        <v>0</v>
      </c>
      <c r="R3740" t="s">
        <v>127</v>
      </c>
      <c r="S3740" t="str">
        <f t="shared" ref="S3740:T3745" si="1482">"15:14:55.000"</f>
        <v>15:14:55.000</v>
      </c>
      <c r="T3740" t="str">
        <f t="shared" si="1482"/>
        <v>15:14:55.000</v>
      </c>
      <c r="U3740" t="str">
        <f t="shared" si="1471"/>
        <v>A68FCB</v>
      </c>
      <c r="V3740">
        <v>0</v>
      </c>
      <c r="W3740">
        <v>0</v>
      </c>
      <c r="X3740">
        <v>2</v>
      </c>
      <c r="Y3740">
        <v>0</v>
      </c>
      <c r="AA3740">
        <v>1</v>
      </c>
      <c r="AB3740">
        <v>8</v>
      </c>
      <c r="AC3740">
        <v>3</v>
      </c>
      <c r="AD3740">
        <v>0</v>
      </c>
      <c r="AE3740">
        <v>9</v>
      </c>
      <c r="AF3740" t="s">
        <v>138</v>
      </c>
      <c r="AG3740">
        <v>0</v>
      </c>
      <c r="AH3740">
        <v>3</v>
      </c>
      <c r="AI3740">
        <v>2</v>
      </c>
      <c r="AJ3740">
        <v>0</v>
      </c>
      <c r="AK3740" t="s">
        <v>1187</v>
      </c>
      <c r="AL3740">
        <v>39.165036999999998</v>
      </c>
      <c r="AM3740" t="s">
        <v>1162</v>
      </c>
      <c r="AN3740">
        <v>-121.030905</v>
      </c>
      <c r="AO3740">
        <v>25</v>
      </c>
      <c r="AP3740">
        <v>4200</v>
      </c>
      <c r="AQ3740" t="s">
        <v>131</v>
      </c>
      <c r="AR3740">
        <v>0</v>
      </c>
      <c r="AS3740">
        <v>92</v>
      </c>
      <c r="AT3740">
        <v>256</v>
      </c>
      <c r="BB3740" t="str">
        <f t="shared" si="1472"/>
        <v>1200</v>
      </c>
      <c r="BC3740">
        <v>1</v>
      </c>
      <c r="BD3740" t="str">
        <f t="shared" si="1473"/>
        <v xml:space="preserve">N52156  </v>
      </c>
      <c r="BE3740">
        <v>1</v>
      </c>
      <c r="BG3740">
        <v>0</v>
      </c>
      <c r="BH3740">
        <v>0</v>
      </c>
      <c r="BI3740">
        <v>0</v>
      </c>
      <c r="BJ3740">
        <v>4200</v>
      </c>
      <c r="BK3740">
        <v>0</v>
      </c>
      <c r="BL3740" t="s">
        <v>188</v>
      </c>
      <c r="BM3740">
        <v>1</v>
      </c>
      <c r="BN3740">
        <v>1</v>
      </c>
      <c r="BO3740">
        <v>0</v>
      </c>
      <c r="BP3740">
        <v>0</v>
      </c>
      <c r="BS3740">
        <v>0</v>
      </c>
      <c r="BT3740">
        <v>0</v>
      </c>
      <c r="BU3740">
        <v>0</v>
      </c>
      <c r="CE3740" t="str">
        <f t="shared" ref="CE3740:CE3745" si="1483">"15:14:55.696"</f>
        <v>15:14:55.696</v>
      </c>
      <c r="CF3740">
        <v>696490189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5</v>
      </c>
      <c r="CY3740">
        <v>7</v>
      </c>
      <c r="CZ3740" t="s">
        <v>133</v>
      </c>
      <c r="DA3740">
        <v>275</v>
      </c>
      <c r="DB3740">
        <v>0</v>
      </c>
      <c r="DC3740" t="s">
        <v>134</v>
      </c>
      <c r="DD3740" t="s">
        <v>135</v>
      </c>
      <c r="DG3740">
        <v>3322956</v>
      </c>
      <c r="DI3740">
        <v>1</v>
      </c>
      <c r="DJ3740">
        <v>0</v>
      </c>
      <c r="DK3740">
        <v>0</v>
      </c>
      <c r="DL3740">
        <v>0</v>
      </c>
      <c r="DM3740">
        <v>0</v>
      </c>
      <c r="DN3740">
        <v>0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3">
      <c r="A3741" t="str">
        <f>"05/01/2025 15:14:55.917"</f>
        <v>05/01/2025 15:14:55.917</v>
      </c>
      <c r="C3741" t="str">
        <f t="shared" si="1470"/>
        <v>FFDFD3C0</v>
      </c>
      <c r="D3741" t="s">
        <v>140</v>
      </c>
      <c r="E3741" t="str">
        <f>"13"</f>
        <v>13</v>
      </c>
      <c r="F3741">
        <v>1019</v>
      </c>
      <c r="G3741" t="s">
        <v>141</v>
      </c>
      <c r="J3741" t="s">
        <v>142</v>
      </c>
      <c r="K3741">
        <v>0</v>
      </c>
      <c r="L3741">
        <v>3</v>
      </c>
      <c r="M3741">
        <v>0</v>
      </c>
      <c r="N3741">
        <v>2</v>
      </c>
      <c r="O3741">
        <v>0</v>
      </c>
      <c r="P3741">
        <v>1</v>
      </c>
      <c r="Q3741">
        <v>0</v>
      </c>
      <c r="R3741" t="s">
        <v>127</v>
      </c>
      <c r="S3741" t="str">
        <f t="shared" si="1482"/>
        <v>15:14:55.000</v>
      </c>
      <c r="T3741" t="str">
        <f t="shared" si="1482"/>
        <v>15:14:55.000</v>
      </c>
      <c r="U3741" t="str">
        <f t="shared" si="1471"/>
        <v>A68FCB</v>
      </c>
      <c r="V3741">
        <v>0</v>
      </c>
      <c r="W3741">
        <v>0</v>
      </c>
      <c r="X3741">
        <v>2</v>
      </c>
      <c r="Y3741">
        <v>0</v>
      </c>
      <c r="AA3741">
        <v>1</v>
      </c>
      <c r="AB3741">
        <v>8</v>
      </c>
      <c r="AC3741">
        <v>3</v>
      </c>
      <c r="AD3741">
        <v>0</v>
      </c>
      <c r="AE3741">
        <v>9</v>
      </c>
      <c r="AF3741" t="s">
        <v>138</v>
      </c>
      <c r="AG3741">
        <v>0</v>
      </c>
      <c r="AH3741">
        <v>3</v>
      </c>
      <c r="AI3741">
        <v>2</v>
      </c>
      <c r="AJ3741">
        <v>0</v>
      </c>
      <c r="AK3741" t="s">
        <v>1187</v>
      </c>
      <c r="AL3741">
        <v>39.165036999999998</v>
      </c>
      <c r="AM3741" t="s">
        <v>1162</v>
      </c>
      <c r="AN3741">
        <v>-121.030905</v>
      </c>
      <c r="AO3741">
        <v>25</v>
      </c>
      <c r="AP3741">
        <v>4200</v>
      </c>
      <c r="AQ3741" t="s">
        <v>131</v>
      </c>
      <c r="AR3741">
        <v>0</v>
      </c>
      <c r="AS3741">
        <v>92</v>
      </c>
      <c r="AT3741">
        <v>256</v>
      </c>
      <c r="BB3741" t="str">
        <f t="shared" si="1472"/>
        <v>1200</v>
      </c>
      <c r="BC3741">
        <v>1</v>
      </c>
      <c r="BD3741" t="str">
        <f t="shared" si="1473"/>
        <v xml:space="preserve">N52156  </v>
      </c>
      <c r="BE3741">
        <v>1</v>
      </c>
      <c r="BG3741">
        <v>0</v>
      </c>
      <c r="BH3741">
        <v>0</v>
      </c>
      <c r="BI3741">
        <v>0</v>
      </c>
      <c r="BJ3741">
        <v>4200</v>
      </c>
      <c r="BK3741">
        <v>0</v>
      </c>
      <c r="BL3741" t="s">
        <v>188</v>
      </c>
      <c r="BM3741">
        <v>1</v>
      </c>
      <c r="BN3741">
        <v>1</v>
      </c>
      <c r="BO3741">
        <v>0</v>
      </c>
      <c r="BP3741">
        <v>0</v>
      </c>
      <c r="BS3741">
        <v>0</v>
      </c>
      <c r="BT3741">
        <v>0</v>
      </c>
      <c r="BU3741">
        <v>0</v>
      </c>
      <c r="CE3741" t="str">
        <f t="shared" si="1483"/>
        <v>15:14:55.696</v>
      </c>
      <c r="CF3741">
        <v>696490189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5</v>
      </c>
      <c r="CY3741">
        <v>7</v>
      </c>
      <c r="CZ3741" t="s">
        <v>133</v>
      </c>
      <c r="DA3741">
        <v>275</v>
      </c>
      <c r="DB3741">
        <v>0</v>
      </c>
      <c r="DC3741" t="s">
        <v>134</v>
      </c>
      <c r="DD3741" t="s">
        <v>135</v>
      </c>
      <c r="DG3741">
        <v>3322956</v>
      </c>
      <c r="DI3741">
        <v>1</v>
      </c>
      <c r="DJ3741">
        <v>0</v>
      </c>
      <c r="DK3741">
        <v>1</v>
      </c>
      <c r="DL3741">
        <v>0</v>
      </c>
      <c r="DM3741">
        <v>0</v>
      </c>
      <c r="DN3741">
        <v>0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3">
      <c r="A3742" t="str">
        <f>"05/01/2025 15:14:55.920"</f>
        <v>05/01/2025 15:14:55.920</v>
      </c>
      <c r="C3742" t="str">
        <f t="shared" si="1470"/>
        <v>FFDFD3C0</v>
      </c>
      <c r="D3742" t="s">
        <v>124</v>
      </c>
      <c r="E3742" t="str">
        <f>"06"</f>
        <v>06</v>
      </c>
      <c r="F3742">
        <v>2006</v>
      </c>
      <c r="G3742" t="s">
        <v>125</v>
      </c>
      <c r="J3742" t="s">
        <v>126</v>
      </c>
      <c r="K3742">
        <v>0</v>
      </c>
      <c r="L3742">
        <v>3</v>
      </c>
      <c r="M3742">
        <v>0</v>
      </c>
      <c r="N3742">
        <v>2</v>
      </c>
      <c r="O3742">
        <v>0</v>
      </c>
      <c r="P3742">
        <v>1</v>
      </c>
      <c r="Q3742">
        <v>0</v>
      </c>
      <c r="R3742" t="s">
        <v>127</v>
      </c>
      <c r="S3742" t="str">
        <f t="shared" si="1482"/>
        <v>15:14:55.000</v>
      </c>
      <c r="T3742" t="str">
        <f t="shared" si="1482"/>
        <v>15:14:55.000</v>
      </c>
      <c r="U3742" t="str">
        <f t="shared" si="1471"/>
        <v>A68FCB</v>
      </c>
      <c r="V3742">
        <v>0</v>
      </c>
      <c r="W3742">
        <v>0</v>
      </c>
      <c r="X3742">
        <v>2</v>
      </c>
      <c r="Y3742">
        <v>0</v>
      </c>
      <c r="AA3742">
        <v>1</v>
      </c>
      <c r="AB3742">
        <v>8</v>
      </c>
      <c r="AC3742">
        <v>3</v>
      </c>
      <c r="AD3742">
        <v>0</v>
      </c>
      <c r="AE3742">
        <v>9</v>
      </c>
      <c r="AF3742" t="s">
        <v>138</v>
      </c>
      <c r="AG3742">
        <v>0</v>
      </c>
      <c r="AH3742">
        <v>3</v>
      </c>
      <c r="AI3742">
        <v>2</v>
      </c>
      <c r="AJ3742">
        <v>0</v>
      </c>
      <c r="AK3742" t="s">
        <v>1187</v>
      </c>
      <c r="AL3742">
        <v>39.165036999999998</v>
      </c>
      <c r="AM3742" t="s">
        <v>1162</v>
      </c>
      <c r="AN3742">
        <v>-121.030905</v>
      </c>
      <c r="AO3742">
        <v>25</v>
      </c>
      <c r="AP3742">
        <v>4200</v>
      </c>
      <c r="AQ3742" t="s">
        <v>131</v>
      </c>
      <c r="AR3742">
        <v>0</v>
      </c>
      <c r="AS3742">
        <v>92</v>
      </c>
      <c r="AT3742">
        <v>256</v>
      </c>
      <c r="BB3742" t="str">
        <f t="shared" si="1472"/>
        <v>1200</v>
      </c>
      <c r="BC3742">
        <v>1</v>
      </c>
      <c r="BD3742" t="str">
        <f t="shared" si="1473"/>
        <v xml:space="preserve">N52156  </v>
      </c>
      <c r="BE3742">
        <v>1</v>
      </c>
      <c r="BG3742">
        <v>0</v>
      </c>
      <c r="BH3742">
        <v>0</v>
      </c>
      <c r="BI3742">
        <v>0</v>
      </c>
      <c r="BJ3742">
        <v>4200</v>
      </c>
      <c r="BK3742">
        <v>0</v>
      </c>
      <c r="BL3742" t="s">
        <v>188</v>
      </c>
      <c r="BM3742">
        <v>1</v>
      </c>
      <c r="BN3742">
        <v>1</v>
      </c>
      <c r="BO3742">
        <v>0</v>
      </c>
      <c r="BP3742">
        <v>0</v>
      </c>
      <c r="BS3742">
        <v>0</v>
      </c>
      <c r="BT3742">
        <v>0</v>
      </c>
      <c r="BU3742">
        <v>0</v>
      </c>
      <c r="CE3742" t="str">
        <f t="shared" si="1483"/>
        <v>15:14:55.696</v>
      </c>
      <c r="CF3742">
        <v>696490189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5</v>
      </c>
      <c r="CY3742">
        <v>7</v>
      </c>
      <c r="CZ3742" t="s">
        <v>133</v>
      </c>
      <c r="DA3742">
        <v>275</v>
      </c>
      <c r="DB3742">
        <v>0</v>
      </c>
      <c r="DC3742" t="s">
        <v>134</v>
      </c>
      <c r="DD3742" t="s">
        <v>135</v>
      </c>
      <c r="DG3742">
        <v>3322956</v>
      </c>
      <c r="DI3742">
        <v>1</v>
      </c>
      <c r="DJ3742">
        <v>0</v>
      </c>
      <c r="DK3742">
        <v>1</v>
      </c>
      <c r="DL3742">
        <v>0</v>
      </c>
      <c r="DM3742">
        <v>0</v>
      </c>
      <c r="DN3742">
        <v>0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3">
      <c r="A3743" t="str">
        <f>"05/01/2025 15:14:55.932"</f>
        <v>05/01/2025 15:14:55.932</v>
      </c>
      <c r="C3743" t="str">
        <f t="shared" si="1470"/>
        <v>FFDFD3C0</v>
      </c>
      <c r="D3743" t="s">
        <v>145</v>
      </c>
      <c r="E3743" t="str">
        <f>"09"</f>
        <v>09</v>
      </c>
      <c r="H3743">
        <v>51</v>
      </c>
      <c r="I3743" t="s">
        <v>147</v>
      </c>
      <c r="J3743" t="s">
        <v>138</v>
      </c>
      <c r="K3743">
        <v>0</v>
      </c>
      <c r="L3743">
        <v>3</v>
      </c>
      <c r="M3743">
        <v>0</v>
      </c>
      <c r="N3743">
        <v>2</v>
      </c>
      <c r="O3743">
        <v>0</v>
      </c>
      <c r="P3743">
        <v>1</v>
      </c>
      <c r="Q3743">
        <v>0</v>
      </c>
      <c r="R3743" t="s">
        <v>127</v>
      </c>
      <c r="S3743" t="str">
        <f t="shared" si="1482"/>
        <v>15:14:55.000</v>
      </c>
      <c r="T3743" t="str">
        <f t="shared" si="1482"/>
        <v>15:14:55.000</v>
      </c>
      <c r="U3743" t="str">
        <f t="shared" si="1471"/>
        <v>A68FCB</v>
      </c>
      <c r="V3743">
        <v>0</v>
      </c>
      <c r="W3743">
        <v>0</v>
      </c>
      <c r="X3743">
        <v>2</v>
      </c>
      <c r="Y3743">
        <v>0</v>
      </c>
      <c r="AA3743">
        <v>1</v>
      </c>
      <c r="AB3743">
        <v>8</v>
      </c>
      <c r="AC3743">
        <v>3</v>
      </c>
      <c r="AD3743">
        <v>0</v>
      </c>
      <c r="AE3743">
        <v>9</v>
      </c>
      <c r="AF3743" t="s">
        <v>138</v>
      </c>
      <c r="AG3743">
        <v>0</v>
      </c>
      <c r="AH3743">
        <v>3</v>
      </c>
      <c r="AI3743">
        <v>2</v>
      </c>
      <c r="AJ3743">
        <v>0</v>
      </c>
      <c r="AK3743" t="s">
        <v>1187</v>
      </c>
      <c r="AL3743">
        <v>39.165036999999998</v>
      </c>
      <c r="AM3743" t="s">
        <v>1162</v>
      </c>
      <c r="AN3743">
        <v>-121.030905</v>
      </c>
      <c r="AO3743">
        <v>25</v>
      </c>
      <c r="AP3743">
        <v>4200</v>
      </c>
      <c r="AQ3743" t="s">
        <v>131</v>
      </c>
      <c r="AR3743">
        <v>0</v>
      </c>
      <c r="AS3743">
        <v>92</v>
      </c>
      <c r="AT3743">
        <v>256</v>
      </c>
      <c r="BB3743" t="str">
        <f t="shared" si="1472"/>
        <v>1200</v>
      </c>
      <c r="BC3743">
        <v>1</v>
      </c>
      <c r="BD3743" t="str">
        <f t="shared" si="1473"/>
        <v xml:space="preserve">N52156  </v>
      </c>
      <c r="BE3743">
        <v>1</v>
      </c>
      <c r="BG3743">
        <v>0</v>
      </c>
      <c r="BH3743">
        <v>0</v>
      </c>
      <c r="BI3743">
        <v>0</v>
      </c>
      <c r="BJ3743">
        <v>4200</v>
      </c>
      <c r="BK3743">
        <v>0</v>
      </c>
      <c r="BL3743" t="s">
        <v>188</v>
      </c>
      <c r="BM3743">
        <v>1</v>
      </c>
      <c r="BN3743">
        <v>1</v>
      </c>
      <c r="BO3743">
        <v>0</v>
      </c>
      <c r="BP3743">
        <v>0</v>
      </c>
      <c r="BS3743">
        <v>0</v>
      </c>
      <c r="BT3743">
        <v>0</v>
      </c>
      <c r="BU3743">
        <v>0</v>
      </c>
      <c r="CE3743" t="str">
        <f t="shared" si="1483"/>
        <v>15:14:55.696</v>
      </c>
      <c r="CF3743">
        <v>696490189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5</v>
      </c>
      <c r="CY3743">
        <v>7</v>
      </c>
      <c r="CZ3743" t="s">
        <v>133</v>
      </c>
      <c r="DA3743">
        <v>275</v>
      </c>
      <c r="DB3743">
        <v>0</v>
      </c>
      <c r="DC3743" t="s">
        <v>134</v>
      </c>
      <c r="DD3743" t="s">
        <v>135</v>
      </c>
      <c r="DG3743">
        <v>3322956</v>
      </c>
      <c r="DI3743">
        <v>1</v>
      </c>
      <c r="DJ3743">
        <v>0</v>
      </c>
      <c r="DK3743">
        <v>1</v>
      </c>
      <c r="DL3743">
        <v>0</v>
      </c>
      <c r="DM3743">
        <v>0</v>
      </c>
      <c r="DN3743">
        <v>0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3">
      <c r="A3744" t="str">
        <f>"05/01/2025 15:14:55.934"</f>
        <v>05/01/2025 15:14:55.934</v>
      </c>
      <c r="C3744" t="str">
        <f t="shared" si="1470"/>
        <v>FFDFD3C0</v>
      </c>
      <c r="D3744" t="s">
        <v>145</v>
      </c>
      <c r="E3744" t="str">
        <f>"05"</f>
        <v>05</v>
      </c>
      <c r="H3744">
        <v>47</v>
      </c>
      <c r="I3744" t="s">
        <v>146</v>
      </c>
      <c r="J3744" t="s">
        <v>138</v>
      </c>
      <c r="K3744">
        <v>0</v>
      </c>
      <c r="L3744">
        <v>3</v>
      </c>
      <c r="M3744">
        <v>0</v>
      </c>
      <c r="N3744">
        <v>2</v>
      </c>
      <c r="O3744">
        <v>0</v>
      </c>
      <c r="P3744">
        <v>1</v>
      </c>
      <c r="Q3744">
        <v>0</v>
      </c>
      <c r="R3744" t="s">
        <v>127</v>
      </c>
      <c r="S3744" t="str">
        <f t="shared" si="1482"/>
        <v>15:14:55.000</v>
      </c>
      <c r="T3744" t="str">
        <f t="shared" si="1482"/>
        <v>15:14:55.000</v>
      </c>
      <c r="U3744" t="str">
        <f t="shared" si="1471"/>
        <v>A68FCB</v>
      </c>
      <c r="V3744">
        <v>0</v>
      </c>
      <c r="W3744">
        <v>0</v>
      </c>
      <c r="X3744">
        <v>2</v>
      </c>
      <c r="Y3744">
        <v>0</v>
      </c>
      <c r="AA3744">
        <v>1</v>
      </c>
      <c r="AB3744">
        <v>8</v>
      </c>
      <c r="AC3744">
        <v>3</v>
      </c>
      <c r="AD3744">
        <v>0</v>
      </c>
      <c r="AE3744">
        <v>9</v>
      </c>
      <c r="AF3744" t="s">
        <v>138</v>
      </c>
      <c r="AG3744">
        <v>0</v>
      </c>
      <c r="AH3744">
        <v>3</v>
      </c>
      <c r="AI3744">
        <v>2</v>
      </c>
      <c r="AJ3744">
        <v>0</v>
      </c>
      <c r="AK3744" t="s">
        <v>1187</v>
      </c>
      <c r="AL3744">
        <v>39.165036999999998</v>
      </c>
      <c r="AM3744" t="s">
        <v>1162</v>
      </c>
      <c r="AN3744">
        <v>-121.030905</v>
      </c>
      <c r="AO3744">
        <v>25</v>
      </c>
      <c r="AP3744">
        <v>4200</v>
      </c>
      <c r="AQ3744" t="s">
        <v>131</v>
      </c>
      <c r="AR3744">
        <v>0</v>
      </c>
      <c r="AS3744">
        <v>92</v>
      </c>
      <c r="AT3744">
        <v>256</v>
      </c>
      <c r="BB3744" t="str">
        <f t="shared" si="1472"/>
        <v>1200</v>
      </c>
      <c r="BC3744">
        <v>1</v>
      </c>
      <c r="BD3744" t="str">
        <f t="shared" si="1473"/>
        <v xml:space="preserve">N52156  </v>
      </c>
      <c r="BE3744">
        <v>1</v>
      </c>
      <c r="BG3744">
        <v>0</v>
      </c>
      <c r="BH3744">
        <v>0</v>
      </c>
      <c r="BI3744">
        <v>0</v>
      </c>
      <c r="BJ3744">
        <v>4200</v>
      </c>
      <c r="BK3744">
        <v>0</v>
      </c>
      <c r="BL3744" t="s">
        <v>188</v>
      </c>
      <c r="BM3744">
        <v>1</v>
      </c>
      <c r="BN3744">
        <v>1</v>
      </c>
      <c r="BO3744">
        <v>0</v>
      </c>
      <c r="BP3744">
        <v>0</v>
      </c>
      <c r="BS3744">
        <v>0</v>
      </c>
      <c r="BT3744">
        <v>0</v>
      </c>
      <c r="BU3744">
        <v>0</v>
      </c>
      <c r="CE3744" t="str">
        <f t="shared" si="1483"/>
        <v>15:14:55.696</v>
      </c>
      <c r="CF3744">
        <v>696490189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5</v>
      </c>
      <c r="CY3744">
        <v>7</v>
      </c>
      <c r="CZ3744" t="s">
        <v>133</v>
      </c>
      <c r="DA3744">
        <v>275</v>
      </c>
      <c r="DB3744">
        <v>0</v>
      </c>
      <c r="DC3744" t="s">
        <v>134</v>
      </c>
      <c r="DD3744" t="s">
        <v>135</v>
      </c>
      <c r="DG3744">
        <v>3322956</v>
      </c>
      <c r="DI3744">
        <v>1</v>
      </c>
      <c r="DJ3744">
        <v>0</v>
      </c>
      <c r="DK3744">
        <v>1</v>
      </c>
      <c r="DL3744">
        <v>0</v>
      </c>
      <c r="DM3744">
        <v>0</v>
      </c>
      <c r="DN3744">
        <v>0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3">
      <c r="A3745" t="str">
        <f>"05/01/2025 15:14:55.945"</f>
        <v>05/01/2025 15:14:55.945</v>
      </c>
      <c r="C3745" t="str">
        <f t="shared" si="1470"/>
        <v>FFDFD3C0</v>
      </c>
      <c r="D3745" t="s">
        <v>136</v>
      </c>
      <c r="E3745" t="str">
        <f>"20"</f>
        <v>20</v>
      </c>
      <c r="H3745">
        <v>400</v>
      </c>
      <c r="I3745" t="s">
        <v>137</v>
      </c>
      <c r="J3745" t="s">
        <v>138</v>
      </c>
      <c r="K3745">
        <v>0</v>
      </c>
      <c r="L3745">
        <v>3</v>
      </c>
      <c r="M3745">
        <v>0</v>
      </c>
      <c r="N3745">
        <v>2</v>
      </c>
      <c r="O3745">
        <v>0</v>
      </c>
      <c r="P3745">
        <v>1</v>
      </c>
      <c r="Q3745">
        <v>0</v>
      </c>
      <c r="R3745" t="s">
        <v>127</v>
      </c>
      <c r="S3745" t="str">
        <f t="shared" si="1482"/>
        <v>15:14:55.000</v>
      </c>
      <c r="T3745" t="str">
        <f t="shared" si="1482"/>
        <v>15:14:55.000</v>
      </c>
      <c r="U3745" t="str">
        <f t="shared" si="1471"/>
        <v>A68FCB</v>
      </c>
      <c r="V3745">
        <v>0</v>
      </c>
      <c r="W3745">
        <v>0</v>
      </c>
      <c r="X3745">
        <v>2</v>
      </c>
      <c r="Y3745">
        <v>0</v>
      </c>
      <c r="AA3745">
        <v>1</v>
      </c>
      <c r="AB3745">
        <v>8</v>
      </c>
      <c r="AC3745">
        <v>3</v>
      </c>
      <c r="AD3745">
        <v>0</v>
      </c>
      <c r="AE3745">
        <v>9</v>
      </c>
      <c r="AF3745" t="s">
        <v>138</v>
      </c>
      <c r="AG3745">
        <v>0</v>
      </c>
      <c r="AH3745">
        <v>3</v>
      </c>
      <c r="AI3745">
        <v>2</v>
      </c>
      <c r="AJ3745">
        <v>0</v>
      </c>
      <c r="AK3745" t="s">
        <v>1187</v>
      </c>
      <c r="AL3745">
        <v>39.165036999999998</v>
      </c>
      <c r="AM3745" t="s">
        <v>1162</v>
      </c>
      <c r="AN3745">
        <v>-121.030905</v>
      </c>
      <c r="AO3745">
        <v>25</v>
      </c>
      <c r="AP3745">
        <v>4200</v>
      </c>
      <c r="AQ3745" t="s">
        <v>131</v>
      </c>
      <c r="AR3745">
        <v>0</v>
      </c>
      <c r="AS3745">
        <v>92</v>
      </c>
      <c r="AT3745">
        <v>256</v>
      </c>
      <c r="BB3745" t="str">
        <f t="shared" si="1472"/>
        <v>1200</v>
      </c>
      <c r="BC3745">
        <v>1</v>
      </c>
      <c r="BD3745" t="str">
        <f t="shared" si="1473"/>
        <v xml:space="preserve">N52156  </v>
      </c>
      <c r="BE3745">
        <v>1</v>
      </c>
      <c r="BG3745">
        <v>0</v>
      </c>
      <c r="BH3745">
        <v>0</v>
      </c>
      <c r="BI3745">
        <v>0</v>
      </c>
      <c r="BJ3745">
        <v>4200</v>
      </c>
      <c r="BK3745">
        <v>0</v>
      </c>
      <c r="BL3745" t="s">
        <v>188</v>
      </c>
      <c r="BM3745">
        <v>1</v>
      </c>
      <c r="BN3745">
        <v>1</v>
      </c>
      <c r="BO3745">
        <v>0</v>
      </c>
      <c r="BP3745">
        <v>0</v>
      </c>
      <c r="BS3745">
        <v>0</v>
      </c>
      <c r="BT3745">
        <v>0</v>
      </c>
      <c r="BU3745">
        <v>0</v>
      </c>
      <c r="CE3745" t="str">
        <f t="shared" si="1483"/>
        <v>15:14:55.696</v>
      </c>
      <c r="CF3745">
        <v>696490189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5</v>
      </c>
      <c r="CY3745">
        <v>7</v>
      </c>
      <c r="CZ3745" t="s">
        <v>133</v>
      </c>
      <c r="DA3745">
        <v>275</v>
      </c>
      <c r="DB3745">
        <v>0</v>
      </c>
      <c r="DC3745" t="s">
        <v>134</v>
      </c>
      <c r="DD3745" t="s">
        <v>135</v>
      </c>
      <c r="DG3745">
        <v>3322956</v>
      </c>
      <c r="DI3745">
        <v>1</v>
      </c>
      <c r="DJ3745">
        <v>0</v>
      </c>
      <c r="DK3745">
        <v>1</v>
      </c>
      <c r="DL3745">
        <v>0</v>
      </c>
      <c r="DM3745">
        <v>0</v>
      </c>
      <c r="DN3745">
        <v>0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3">
      <c r="A3746" t="str">
        <f>"05/01/2025 15:14:56.933"</f>
        <v>05/01/2025 15:14:56.933</v>
      </c>
      <c r="C3746" t="str">
        <f t="shared" si="1470"/>
        <v>FFDFD3C0</v>
      </c>
      <c r="D3746" t="s">
        <v>145</v>
      </c>
      <c r="E3746" t="str">
        <f>"09"</f>
        <v>09</v>
      </c>
      <c r="H3746">
        <v>51</v>
      </c>
      <c r="I3746" t="s">
        <v>147</v>
      </c>
      <c r="J3746" t="s">
        <v>138</v>
      </c>
      <c r="K3746">
        <v>0</v>
      </c>
      <c r="L3746">
        <v>3</v>
      </c>
      <c r="M3746">
        <v>0</v>
      </c>
      <c r="N3746">
        <v>2</v>
      </c>
      <c r="O3746">
        <v>0</v>
      </c>
      <c r="P3746">
        <v>1</v>
      </c>
      <c r="Q3746">
        <v>0</v>
      </c>
      <c r="R3746" t="s">
        <v>127</v>
      </c>
      <c r="S3746" t="str">
        <f t="shared" ref="S3746:T3751" si="1484">"15:14:56.000"</f>
        <v>15:14:56.000</v>
      </c>
      <c r="T3746" t="str">
        <f t="shared" si="1484"/>
        <v>15:14:56.000</v>
      </c>
      <c r="U3746" t="str">
        <f t="shared" si="1471"/>
        <v>A68FCB</v>
      </c>
      <c r="V3746">
        <v>0</v>
      </c>
      <c r="W3746">
        <v>0</v>
      </c>
      <c r="X3746">
        <v>2</v>
      </c>
      <c r="Y3746">
        <v>0</v>
      </c>
      <c r="AA3746">
        <v>1</v>
      </c>
      <c r="AB3746">
        <v>8</v>
      </c>
      <c r="AC3746">
        <v>3</v>
      </c>
      <c r="AD3746">
        <v>0</v>
      </c>
      <c r="AE3746">
        <v>9</v>
      </c>
      <c r="AF3746" t="s">
        <v>138</v>
      </c>
      <c r="AG3746">
        <v>0</v>
      </c>
      <c r="AH3746">
        <v>3</v>
      </c>
      <c r="AI3746">
        <v>2</v>
      </c>
      <c r="AJ3746">
        <v>0</v>
      </c>
      <c r="AK3746" t="s">
        <v>1188</v>
      </c>
      <c r="AL3746">
        <v>39.165466000000002</v>
      </c>
      <c r="AM3746" t="s">
        <v>1162</v>
      </c>
      <c r="AN3746">
        <v>-121.030905</v>
      </c>
      <c r="AO3746">
        <v>25</v>
      </c>
      <c r="AP3746">
        <v>4200</v>
      </c>
      <c r="AQ3746" t="s">
        <v>131</v>
      </c>
      <c r="AR3746">
        <v>0</v>
      </c>
      <c r="AS3746">
        <v>92</v>
      </c>
      <c r="AT3746">
        <v>256</v>
      </c>
      <c r="BB3746" t="str">
        <f t="shared" si="1472"/>
        <v>1200</v>
      </c>
      <c r="BC3746">
        <v>1</v>
      </c>
      <c r="BD3746" t="str">
        <f t="shared" si="1473"/>
        <v xml:space="preserve">N52156  </v>
      </c>
      <c r="BE3746">
        <v>1</v>
      </c>
      <c r="BG3746">
        <v>0</v>
      </c>
      <c r="BH3746">
        <v>0</v>
      </c>
      <c r="BI3746">
        <v>0</v>
      </c>
      <c r="BJ3746">
        <v>4200</v>
      </c>
      <c r="BK3746">
        <v>0</v>
      </c>
      <c r="BL3746" t="s">
        <v>188</v>
      </c>
      <c r="BM3746">
        <v>1</v>
      </c>
      <c r="BN3746">
        <v>1</v>
      </c>
      <c r="BO3746">
        <v>0</v>
      </c>
      <c r="BP3746">
        <v>0</v>
      </c>
      <c r="BS3746">
        <v>0</v>
      </c>
      <c r="BT3746">
        <v>0</v>
      </c>
      <c r="BU3746">
        <v>0</v>
      </c>
      <c r="CE3746" t="str">
        <f t="shared" ref="CE3746:CE3751" si="1485">"15:14:56.727"</f>
        <v>15:14:56.727</v>
      </c>
      <c r="CF3746">
        <v>727240334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4</v>
      </c>
      <c r="CY3746">
        <v>7</v>
      </c>
      <c r="CZ3746" t="s">
        <v>133</v>
      </c>
      <c r="DA3746">
        <v>275</v>
      </c>
      <c r="DB3746">
        <v>0</v>
      </c>
      <c r="DC3746" t="s">
        <v>134</v>
      </c>
      <c r="DD3746" t="s">
        <v>135</v>
      </c>
      <c r="DG3746">
        <v>3322961</v>
      </c>
      <c r="DI3746">
        <v>1</v>
      </c>
      <c r="DJ3746">
        <v>0</v>
      </c>
      <c r="DK3746">
        <v>0</v>
      </c>
      <c r="DL3746">
        <v>0</v>
      </c>
      <c r="DM3746">
        <v>0</v>
      </c>
      <c r="DN3746">
        <v>0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3">
      <c r="A3747" t="str">
        <f>"05/01/2025 15:14:56.935"</f>
        <v>05/01/2025 15:14:56.935</v>
      </c>
      <c r="C3747" t="str">
        <f t="shared" si="1470"/>
        <v>FFDFD3C0</v>
      </c>
      <c r="D3747" t="s">
        <v>145</v>
      </c>
      <c r="E3747" t="str">
        <f>"05"</f>
        <v>05</v>
      </c>
      <c r="H3747">
        <v>47</v>
      </c>
      <c r="I3747" t="s">
        <v>146</v>
      </c>
      <c r="J3747" t="s">
        <v>138</v>
      </c>
      <c r="K3747">
        <v>0</v>
      </c>
      <c r="L3747">
        <v>3</v>
      </c>
      <c r="M3747">
        <v>0</v>
      </c>
      <c r="N3747">
        <v>2</v>
      </c>
      <c r="O3747">
        <v>0</v>
      </c>
      <c r="P3747">
        <v>1</v>
      </c>
      <c r="Q3747">
        <v>0</v>
      </c>
      <c r="R3747" t="s">
        <v>127</v>
      </c>
      <c r="S3747" t="str">
        <f t="shared" si="1484"/>
        <v>15:14:56.000</v>
      </c>
      <c r="T3747" t="str">
        <f t="shared" si="1484"/>
        <v>15:14:56.000</v>
      </c>
      <c r="U3747" t="str">
        <f t="shared" si="1471"/>
        <v>A68FCB</v>
      </c>
      <c r="V3747">
        <v>0</v>
      </c>
      <c r="W3747">
        <v>0</v>
      </c>
      <c r="X3747">
        <v>2</v>
      </c>
      <c r="Y3747">
        <v>0</v>
      </c>
      <c r="AA3747">
        <v>1</v>
      </c>
      <c r="AB3747">
        <v>8</v>
      </c>
      <c r="AC3747">
        <v>3</v>
      </c>
      <c r="AD3747">
        <v>0</v>
      </c>
      <c r="AE3747">
        <v>9</v>
      </c>
      <c r="AF3747" t="s">
        <v>138</v>
      </c>
      <c r="AG3747">
        <v>0</v>
      </c>
      <c r="AH3747">
        <v>3</v>
      </c>
      <c r="AI3747">
        <v>2</v>
      </c>
      <c r="AJ3747">
        <v>0</v>
      </c>
      <c r="AK3747" t="s">
        <v>1188</v>
      </c>
      <c r="AL3747">
        <v>39.165466000000002</v>
      </c>
      <c r="AM3747" t="s">
        <v>1162</v>
      </c>
      <c r="AN3747">
        <v>-121.030905</v>
      </c>
      <c r="AO3747">
        <v>25</v>
      </c>
      <c r="AP3747">
        <v>4200</v>
      </c>
      <c r="AQ3747" t="s">
        <v>131</v>
      </c>
      <c r="AR3747">
        <v>0</v>
      </c>
      <c r="AS3747">
        <v>92</v>
      </c>
      <c r="AT3747">
        <v>256</v>
      </c>
      <c r="BB3747" t="str">
        <f t="shared" si="1472"/>
        <v>1200</v>
      </c>
      <c r="BC3747">
        <v>1</v>
      </c>
      <c r="BD3747" t="str">
        <f t="shared" si="1473"/>
        <v xml:space="preserve">N52156  </v>
      </c>
      <c r="BE3747">
        <v>1</v>
      </c>
      <c r="BG3747">
        <v>0</v>
      </c>
      <c r="BH3747">
        <v>0</v>
      </c>
      <c r="BI3747">
        <v>0</v>
      </c>
      <c r="BJ3747">
        <v>4200</v>
      </c>
      <c r="BK3747">
        <v>0</v>
      </c>
      <c r="BL3747" t="s">
        <v>188</v>
      </c>
      <c r="BM3747">
        <v>1</v>
      </c>
      <c r="BN3747">
        <v>1</v>
      </c>
      <c r="BO3747">
        <v>0</v>
      </c>
      <c r="BP3747">
        <v>0</v>
      </c>
      <c r="BS3747">
        <v>0</v>
      </c>
      <c r="BT3747">
        <v>0</v>
      </c>
      <c r="BU3747">
        <v>0</v>
      </c>
      <c r="CE3747" t="str">
        <f t="shared" si="1485"/>
        <v>15:14:56.727</v>
      </c>
      <c r="CF3747">
        <v>727240334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4</v>
      </c>
      <c r="CY3747">
        <v>7</v>
      </c>
      <c r="CZ3747" t="s">
        <v>133</v>
      </c>
      <c r="DA3747">
        <v>275</v>
      </c>
      <c r="DB3747">
        <v>0</v>
      </c>
      <c r="DC3747" t="s">
        <v>134</v>
      </c>
      <c r="DD3747" t="s">
        <v>135</v>
      </c>
      <c r="DG3747">
        <v>3322961</v>
      </c>
      <c r="DI3747">
        <v>1</v>
      </c>
      <c r="DJ3747">
        <v>0</v>
      </c>
      <c r="DK3747">
        <v>1</v>
      </c>
      <c r="DL3747">
        <v>0</v>
      </c>
      <c r="DM3747">
        <v>0</v>
      </c>
      <c r="DN3747">
        <v>0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3">
      <c r="A3748" t="str">
        <f>"05/01/2025 15:14:56.946"</f>
        <v>05/01/2025 15:14:56.946</v>
      </c>
      <c r="C3748" t="str">
        <f t="shared" si="1470"/>
        <v>FFDFD3C0</v>
      </c>
      <c r="D3748" t="s">
        <v>136</v>
      </c>
      <c r="E3748" t="str">
        <f>"20"</f>
        <v>20</v>
      </c>
      <c r="H3748">
        <v>400</v>
      </c>
      <c r="I3748" t="s">
        <v>137</v>
      </c>
      <c r="J3748" t="s">
        <v>138</v>
      </c>
      <c r="K3748">
        <v>0</v>
      </c>
      <c r="L3748">
        <v>3</v>
      </c>
      <c r="M3748">
        <v>0</v>
      </c>
      <c r="N3748">
        <v>2</v>
      </c>
      <c r="O3748">
        <v>0</v>
      </c>
      <c r="P3748">
        <v>1</v>
      </c>
      <c r="Q3748">
        <v>0</v>
      </c>
      <c r="R3748" t="s">
        <v>127</v>
      </c>
      <c r="S3748" t="str">
        <f t="shared" si="1484"/>
        <v>15:14:56.000</v>
      </c>
      <c r="T3748" t="str">
        <f t="shared" si="1484"/>
        <v>15:14:56.000</v>
      </c>
      <c r="U3748" t="str">
        <f t="shared" si="1471"/>
        <v>A68FCB</v>
      </c>
      <c r="V3748">
        <v>0</v>
      </c>
      <c r="W3748">
        <v>0</v>
      </c>
      <c r="X3748">
        <v>2</v>
      </c>
      <c r="Y3748">
        <v>0</v>
      </c>
      <c r="AA3748">
        <v>1</v>
      </c>
      <c r="AB3748">
        <v>8</v>
      </c>
      <c r="AC3748">
        <v>3</v>
      </c>
      <c r="AD3748">
        <v>0</v>
      </c>
      <c r="AE3748">
        <v>9</v>
      </c>
      <c r="AF3748" t="s">
        <v>138</v>
      </c>
      <c r="AG3748">
        <v>0</v>
      </c>
      <c r="AH3748">
        <v>3</v>
      </c>
      <c r="AI3748">
        <v>2</v>
      </c>
      <c r="AJ3748">
        <v>0</v>
      </c>
      <c r="AK3748" t="s">
        <v>1188</v>
      </c>
      <c r="AL3748">
        <v>39.165466000000002</v>
      </c>
      <c r="AM3748" t="s">
        <v>1162</v>
      </c>
      <c r="AN3748">
        <v>-121.030905</v>
      </c>
      <c r="AO3748">
        <v>25</v>
      </c>
      <c r="AP3748">
        <v>4200</v>
      </c>
      <c r="AQ3748" t="s">
        <v>131</v>
      </c>
      <c r="AR3748">
        <v>0</v>
      </c>
      <c r="AS3748">
        <v>92</v>
      </c>
      <c r="AT3748">
        <v>256</v>
      </c>
      <c r="BB3748" t="str">
        <f t="shared" si="1472"/>
        <v>1200</v>
      </c>
      <c r="BC3748">
        <v>1</v>
      </c>
      <c r="BD3748" t="str">
        <f t="shared" si="1473"/>
        <v xml:space="preserve">N52156  </v>
      </c>
      <c r="BE3748">
        <v>1</v>
      </c>
      <c r="BG3748">
        <v>0</v>
      </c>
      <c r="BH3748">
        <v>0</v>
      </c>
      <c r="BI3748">
        <v>0</v>
      </c>
      <c r="BJ3748">
        <v>4200</v>
      </c>
      <c r="BK3748">
        <v>0</v>
      </c>
      <c r="BL3748" t="s">
        <v>188</v>
      </c>
      <c r="BM3748">
        <v>1</v>
      </c>
      <c r="BN3748">
        <v>1</v>
      </c>
      <c r="BO3748">
        <v>0</v>
      </c>
      <c r="BP3748">
        <v>0</v>
      </c>
      <c r="BS3748">
        <v>0</v>
      </c>
      <c r="BT3748">
        <v>0</v>
      </c>
      <c r="BU3748">
        <v>0</v>
      </c>
      <c r="CE3748" t="str">
        <f t="shared" si="1485"/>
        <v>15:14:56.727</v>
      </c>
      <c r="CF3748">
        <v>727240334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4</v>
      </c>
      <c r="CY3748">
        <v>7</v>
      </c>
      <c r="CZ3748" t="s">
        <v>133</v>
      </c>
      <c r="DA3748">
        <v>275</v>
      </c>
      <c r="DB3748">
        <v>0</v>
      </c>
      <c r="DC3748" t="s">
        <v>134</v>
      </c>
      <c r="DD3748" t="s">
        <v>135</v>
      </c>
      <c r="DG3748">
        <v>3322961</v>
      </c>
      <c r="DI3748">
        <v>1</v>
      </c>
      <c r="DJ3748">
        <v>0</v>
      </c>
      <c r="DK3748">
        <v>1</v>
      </c>
      <c r="DL3748">
        <v>0</v>
      </c>
      <c r="DM3748">
        <v>0</v>
      </c>
      <c r="DN3748">
        <v>0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3">
      <c r="A3749" t="str">
        <f>"05/01/2025 15:14:56.966"</f>
        <v>05/01/2025 15:14:56.966</v>
      </c>
      <c r="C3749" t="str">
        <f t="shared" si="1470"/>
        <v>FFDFD3C0</v>
      </c>
      <c r="D3749" t="s">
        <v>143</v>
      </c>
      <c r="E3749" t="str">
        <f>"05"</f>
        <v>05</v>
      </c>
      <c r="H3749">
        <v>172</v>
      </c>
      <c r="I3749" t="s">
        <v>141</v>
      </c>
      <c r="J3749" t="s">
        <v>144</v>
      </c>
      <c r="K3749">
        <v>0</v>
      </c>
      <c r="L3749">
        <v>3</v>
      </c>
      <c r="M3749">
        <v>0</v>
      </c>
      <c r="N3749">
        <v>2</v>
      </c>
      <c r="O3749">
        <v>0</v>
      </c>
      <c r="P3749">
        <v>1</v>
      </c>
      <c r="Q3749">
        <v>0</v>
      </c>
      <c r="R3749" t="s">
        <v>127</v>
      </c>
      <c r="S3749" t="str">
        <f t="shared" si="1484"/>
        <v>15:14:56.000</v>
      </c>
      <c r="T3749" t="str">
        <f t="shared" si="1484"/>
        <v>15:14:56.000</v>
      </c>
      <c r="U3749" t="str">
        <f t="shared" si="1471"/>
        <v>A68FCB</v>
      </c>
      <c r="V3749">
        <v>0</v>
      </c>
      <c r="W3749">
        <v>0</v>
      </c>
      <c r="X3749">
        <v>2</v>
      </c>
      <c r="Y3749">
        <v>0</v>
      </c>
      <c r="AA3749">
        <v>1</v>
      </c>
      <c r="AB3749">
        <v>8</v>
      </c>
      <c r="AC3749">
        <v>3</v>
      </c>
      <c r="AD3749">
        <v>0</v>
      </c>
      <c r="AE3749">
        <v>9</v>
      </c>
      <c r="AF3749" t="s">
        <v>138</v>
      </c>
      <c r="AG3749">
        <v>0</v>
      </c>
      <c r="AH3749">
        <v>3</v>
      </c>
      <c r="AI3749">
        <v>2</v>
      </c>
      <c r="AJ3749">
        <v>0</v>
      </c>
      <c r="AK3749" t="s">
        <v>1188</v>
      </c>
      <c r="AL3749">
        <v>39.165466000000002</v>
      </c>
      <c r="AM3749" t="s">
        <v>1162</v>
      </c>
      <c r="AN3749">
        <v>-121.030905</v>
      </c>
      <c r="AO3749">
        <v>25</v>
      </c>
      <c r="AP3749">
        <v>4200</v>
      </c>
      <c r="AQ3749" t="s">
        <v>131</v>
      </c>
      <c r="AR3749">
        <v>0</v>
      </c>
      <c r="AS3749">
        <v>92</v>
      </c>
      <c r="AT3749">
        <v>256</v>
      </c>
      <c r="BB3749" t="str">
        <f t="shared" si="1472"/>
        <v>1200</v>
      </c>
      <c r="BC3749">
        <v>1</v>
      </c>
      <c r="BD3749" t="str">
        <f t="shared" si="1473"/>
        <v xml:space="preserve">N52156  </v>
      </c>
      <c r="BE3749">
        <v>1</v>
      </c>
      <c r="BG3749">
        <v>0</v>
      </c>
      <c r="BH3749">
        <v>0</v>
      </c>
      <c r="BI3749">
        <v>0</v>
      </c>
      <c r="BJ3749">
        <v>4200</v>
      </c>
      <c r="BK3749">
        <v>0</v>
      </c>
      <c r="BL3749" t="s">
        <v>188</v>
      </c>
      <c r="BM3749">
        <v>1</v>
      </c>
      <c r="BN3749">
        <v>1</v>
      </c>
      <c r="BO3749">
        <v>0</v>
      </c>
      <c r="BP3749">
        <v>0</v>
      </c>
      <c r="BS3749">
        <v>0</v>
      </c>
      <c r="BT3749">
        <v>0</v>
      </c>
      <c r="BU3749">
        <v>0</v>
      </c>
      <c r="CE3749" t="str">
        <f t="shared" si="1485"/>
        <v>15:14:56.727</v>
      </c>
      <c r="CF3749">
        <v>727240334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4</v>
      </c>
      <c r="CY3749">
        <v>7</v>
      </c>
      <c r="CZ3749" t="s">
        <v>133</v>
      </c>
      <c r="DA3749">
        <v>275</v>
      </c>
      <c r="DB3749">
        <v>0</v>
      </c>
      <c r="DC3749" t="s">
        <v>134</v>
      </c>
      <c r="DD3749" t="s">
        <v>135</v>
      </c>
      <c r="DG3749">
        <v>3322961</v>
      </c>
      <c r="DI3749">
        <v>1</v>
      </c>
      <c r="DJ3749">
        <v>0</v>
      </c>
      <c r="DK3749">
        <v>1</v>
      </c>
      <c r="DL3749">
        <v>0</v>
      </c>
      <c r="DM3749">
        <v>0</v>
      </c>
      <c r="DN3749">
        <v>0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3">
      <c r="A3750" t="str">
        <f>"05/01/2025 15:14:56.968"</f>
        <v>05/01/2025 15:14:56.968</v>
      </c>
      <c r="C3750" t="str">
        <f t="shared" si="1470"/>
        <v>FFDFD3C0</v>
      </c>
      <c r="D3750" t="s">
        <v>140</v>
      </c>
      <c r="E3750" t="str">
        <f>"13"</f>
        <v>13</v>
      </c>
      <c r="F3750">
        <v>1019</v>
      </c>
      <c r="G3750" t="s">
        <v>141</v>
      </c>
      <c r="J3750" t="s">
        <v>142</v>
      </c>
      <c r="K3750">
        <v>0</v>
      </c>
      <c r="L3750">
        <v>3</v>
      </c>
      <c r="M3750">
        <v>0</v>
      </c>
      <c r="N3750">
        <v>2</v>
      </c>
      <c r="O3750">
        <v>0</v>
      </c>
      <c r="P3750">
        <v>1</v>
      </c>
      <c r="Q3750">
        <v>0</v>
      </c>
      <c r="R3750" t="s">
        <v>127</v>
      </c>
      <c r="S3750" t="str">
        <f t="shared" si="1484"/>
        <v>15:14:56.000</v>
      </c>
      <c r="T3750" t="str">
        <f t="shared" si="1484"/>
        <v>15:14:56.000</v>
      </c>
      <c r="U3750" t="str">
        <f t="shared" si="1471"/>
        <v>A68FCB</v>
      </c>
      <c r="V3750">
        <v>0</v>
      </c>
      <c r="W3750">
        <v>0</v>
      </c>
      <c r="X3750">
        <v>2</v>
      </c>
      <c r="Y3750">
        <v>0</v>
      </c>
      <c r="AA3750">
        <v>1</v>
      </c>
      <c r="AB3750">
        <v>8</v>
      </c>
      <c r="AC3750">
        <v>3</v>
      </c>
      <c r="AD3750">
        <v>0</v>
      </c>
      <c r="AE3750">
        <v>9</v>
      </c>
      <c r="AF3750" t="s">
        <v>138</v>
      </c>
      <c r="AG3750">
        <v>0</v>
      </c>
      <c r="AH3750">
        <v>3</v>
      </c>
      <c r="AI3750">
        <v>2</v>
      </c>
      <c r="AJ3750">
        <v>0</v>
      </c>
      <c r="AK3750" t="s">
        <v>1188</v>
      </c>
      <c r="AL3750">
        <v>39.165466000000002</v>
      </c>
      <c r="AM3750" t="s">
        <v>1162</v>
      </c>
      <c r="AN3750">
        <v>-121.030905</v>
      </c>
      <c r="AO3750">
        <v>25</v>
      </c>
      <c r="AP3750">
        <v>4200</v>
      </c>
      <c r="AQ3750" t="s">
        <v>131</v>
      </c>
      <c r="AR3750">
        <v>0</v>
      </c>
      <c r="AS3750">
        <v>92</v>
      </c>
      <c r="AT3750">
        <v>256</v>
      </c>
      <c r="BB3750" t="str">
        <f t="shared" si="1472"/>
        <v>1200</v>
      </c>
      <c r="BC3750">
        <v>1</v>
      </c>
      <c r="BD3750" t="str">
        <f t="shared" si="1473"/>
        <v xml:space="preserve">N52156  </v>
      </c>
      <c r="BE3750">
        <v>1</v>
      </c>
      <c r="BG3750">
        <v>0</v>
      </c>
      <c r="BH3750">
        <v>0</v>
      </c>
      <c r="BI3750">
        <v>0</v>
      </c>
      <c r="BJ3750">
        <v>4200</v>
      </c>
      <c r="BK3750">
        <v>0</v>
      </c>
      <c r="BL3750" t="s">
        <v>188</v>
      </c>
      <c r="BM3750">
        <v>1</v>
      </c>
      <c r="BN3750">
        <v>1</v>
      </c>
      <c r="BO3750">
        <v>0</v>
      </c>
      <c r="BP3750">
        <v>0</v>
      </c>
      <c r="BS3750">
        <v>0</v>
      </c>
      <c r="BT3750">
        <v>0</v>
      </c>
      <c r="BU3750">
        <v>0</v>
      </c>
      <c r="CE3750" t="str">
        <f t="shared" si="1485"/>
        <v>15:14:56.727</v>
      </c>
      <c r="CF3750">
        <v>727240334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4</v>
      </c>
      <c r="CY3750">
        <v>7</v>
      </c>
      <c r="CZ3750" t="s">
        <v>133</v>
      </c>
      <c r="DA3750">
        <v>275</v>
      </c>
      <c r="DB3750">
        <v>0</v>
      </c>
      <c r="DC3750" t="s">
        <v>134</v>
      </c>
      <c r="DD3750" t="s">
        <v>135</v>
      </c>
      <c r="DG3750">
        <v>3322961</v>
      </c>
      <c r="DI3750">
        <v>1</v>
      </c>
      <c r="DJ3750">
        <v>0</v>
      </c>
      <c r="DK3750">
        <v>1</v>
      </c>
      <c r="DL3750">
        <v>0</v>
      </c>
      <c r="DM3750">
        <v>0</v>
      </c>
      <c r="DN3750">
        <v>0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3">
      <c r="A3751" t="str">
        <f>"05/01/2025 15:14:56.972"</f>
        <v>05/01/2025 15:14:56.972</v>
      </c>
      <c r="C3751" t="str">
        <f t="shared" si="1470"/>
        <v>FFDFD3C0</v>
      </c>
      <c r="D3751" t="s">
        <v>124</v>
      </c>
      <c r="E3751" t="str">
        <f>"06"</f>
        <v>06</v>
      </c>
      <c r="F3751">
        <v>2006</v>
      </c>
      <c r="G3751" t="s">
        <v>125</v>
      </c>
      <c r="J3751" t="s">
        <v>126</v>
      </c>
      <c r="K3751">
        <v>0</v>
      </c>
      <c r="L3751">
        <v>3</v>
      </c>
      <c r="M3751">
        <v>0</v>
      </c>
      <c r="N3751">
        <v>2</v>
      </c>
      <c r="O3751">
        <v>0</v>
      </c>
      <c r="P3751">
        <v>1</v>
      </c>
      <c r="Q3751">
        <v>0</v>
      </c>
      <c r="R3751" t="s">
        <v>127</v>
      </c>
      <c r="S3751" t="str">
        <f t="shared" si="1484"/>
        <v>15:14:56.000</v>
      </c>
      <c r="T3751" t="str">
        <f t="shared" si="1484"/>
        <v>15:14:56.000</v>
      </c>
      <c r="U3751" t="str">
        <f t="shared" si="1471"/>
        <v>A68FCB</v>
      </c>
      <c r="V3751">
        <v>0</v>
      </c>
      <c r="W3751">
        <v>0</v>
      </c>
      <c r="X3751">
        <v>2</v>
      </c>
      <c r="Y3751">
        <v>0</v>
      </c>
      <c r="AA3751">
        <v>1</v>
      </c>
      <c r="AB3751">
        <v>8</v>
      </c>
      <c r="AC3751">
        <v>3</v>
      </c>
      <c r="AD3751">
        <v>0</v>
      </c>
      <c r="AE3751">
        <v>9</v>
      </c>
      <c r="AF3751" t="s">
        <v>138</v>
      </c>
      <c r="AG3751">
        <v>0</v>
      </c>
      <c r="AH3751">
        <v>3</v>
      </c>
      <c r="AI3751">
        <v>2</v>
      </c>
      <c r="AJ3751">
        <v>0</v>
      </c>
      <c r="AK3751" t="s">
        <v>1188</v>
      </c>
      <c r="AL3751">
        <v>39.165466000000002</v>
      </c>
      <c r="AM3751" t="s">
        <v>1162</v>
      </c>
      <c r="AN3751">
        <v>-121.030905</v>
      </c>
      <c r="AO3751">
        <v>25</v>
      </c>
      <c r="AP3751">
        <v>4200</v>
      </c>
      <c r="AQ3751" t="s">
        <v>131</v>
      </c>
      <c r="AR3751">
        <v>0</v>
      </c>
      <c r="AS3751">
        <v>92</v>
      </c>
      <c r="AT3751">
        <v>256</v>
      </c>
      <c r="BB3751" t="str">
        <f t="shared" si="1472"/>
        <v>1200</v>
      </c>
      <c r="BC3751">
        <v>1</v>
      </c>
      <c r="BD3751" t="str">
        <f t="shared" si="1473"/>
        <v xml:space="preserve">N52156  </v>
      </c>
      <c r="BE3751">
        <v>1</v>
      </c>
      <c r="BG3751">
        <v>0</v>
      </c>
      <c r="BH3751">
        <v>0</v>
      </c>
      <c r="BI3751">
        <v>0</v>
      </c>
      <c r="BJ3751">
        <v>4200</v>
      </c>
      <c r="BK3751">
        <v>0</v>
      </c>
      <c r="BL3751" t="s">
        <v>188</v>
      </c>
      <c r="BM3751">
        <v>1</v>
      </c>
      <c r="BN3751">
        <v>1</v>
      </c>
      <c r="BO3751">
        <v>0</v>
      </c>
      <c r="BP3751">
        <v>0</v>
      </c>
      <c r="BS3751">
        <v>0</v>
      </c>
      <c r="BT3751">
        <v>0</v>
      </c>
      <c r="BU3751">
        <v>0</v>
      </c>
      <c r="CE3751" t="str">
        <f t="shared" si="1485"/>
        <v>15:14:56.727</v>
      </c>
      <c r="CF3751">
        <v>727240334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4</v>
      </c>
      <c r="CY3751">
        <v>7</v>
      </c>
      <c r="CZ3751" t="s">
        <v>133</v>
      </c>
      <c r="DA3751">
        <v>275</v>
      </c>
      <c r="DB3751">
        <v>0</v>
      </c>
      <c r="DC3751" t="s">
        <v>134</v>
      </c>
      <c r="DD3751" t="s">
        <v>135</v>
      </c>
      <c r="DG3751">
        <v>3322961</v>
      </c>
      <c r="DI3751">
        <v>1</v>
      </c>
      <c r="DJ3751">
        <v>0</v>
      </c>
      <c r="DK3751">
        <v>1</v>
      </c>
      <c r="DL3751">
        <v>0</v>
      </c>
      <c r="DM3751">
        <v>0</v>
      </c>
      <c r="DN3751">
        <v>0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3">
      <c r="A3752" t="str">
        <f>"05/01/2025 15:14:58.085"</f>
        <v>05/01/2025 15:14:58.085</v>
      </c>
      <c r="C3752" t="str">
        <f t="shared" si="1470"/>
        <v>FFDFD3C0</v>
      </c>
      <c r="D3752" t="s">
        <v>145</v>
      </c>
      <c r="E3752" t="str">
        <f>"09"</f>
        <v>09</v>
      </c>
      <c r="H3752">
        <v>51</v>
      </c>
      <c r="I3752" t="s">
        <v>147</v>
      </c>
      <c r="J3752" t="s">
        <v>138</v>
      </c>
      <c r="K3752">
        <v>0</v>
      </c>
      <c r="L3752">
        <v>3</v>
      </c>
      <c r="M3752">
        <v>0</v>
      </c>
      <c r="N3752">
        <v>2</v>
      </c>
      <c r="O3752">
        <v>0</v>
      </c>
      <c r="P3752">
        <v>1</v>
      </c>
      <c r="Q3752">
        <v>0</v>
      </c>
      <c r="R3752" t="s">
        <v>127</v>
      </c>
      <c r="S3752" t="str">
        <f t="shared" ref="S3752:T3757" si="1486">"15:14:57.000"</f>
        <v>15:14:57.000</v>
      </c>
      <c r="T3752" t="str">
        <f t="shared" si="1486"/>
        <v>15:14:57.000</v>
      </c>
      <c r="U3752" t="str">
        <f t="shared" si="1471"/>
        <v>A68FCB</v>
      </c>
      <c r="V3752">
        <v>0</v>
      </c>
      <c r="W3752">
        <v>0</v>
      </c>
      <c r="X3752">
        <v>2</v>
      </c>
      <c r="Y3752">
        <v>0</v>
      </c>
      <c r="AA3752">
        <v>1</v>
      </c>
      <c r="AB3752">
        <v>8</v>
      </c>
      <c r="AC3752">
        <v>3</v>
      </c>
      <c r="AD3752">
        <v>0</v>
      </c>
      <c r="AE3752">
        <v>9</v>
      </c>
      <c r="AF3752" t="s">
        <v>138</v>
      </c>
      <c r="AG3752">
        <v>0</v>
      </c>
      <c r="AH3752">
        <v>3</v>
      </c>
      <c r="AI3752">
        <v>2</v>
      </c>
      <c r="AJ3752">
        <v>0</v>
      </c>
      <c r="AK3752" t="s">
        <v>1189</v>
      </c>
      <c r="AL3752">
        <v>39.165894999999999</v>
      </c>
      <c r="AM3752" t="s">
        <v>1162</v>
      </c>
      <c r="AN3752">
        <v>-121.030905</v>
      </c>
      <c r="AO3752">
        <v>25</v>
      </c>
      <c r="AP3752">
        <v>4200</v>
      </c>
      <c r="AQ3752" t="s">
        <v>131</v>
      </c>
      <c r="AR3752">
        <v>2</v>
      </c>
      <c r="AS3752">
        <v>91</v>
      </c>
      <c r="AT3752">
        <v>256</v>
      </c>
      <c r="BB3752" t="str">
        <f t="shared" si="1472"/>
        <v>1200</v>
      </c>
      <c r="BC3752">
        <v>1</v>
      </c>
      <c r="BD3752" t="str">
        <f t="shared" si="1473"/>
        <v xml:space="preserve">N52156  </v>
      </c>
      <c r="BE3752">
        <v>1</v>
      </c>
      <c r="BG3752">
        <v>0</v>
      </c>
      <c r="BH3752">
        <v>0</v>
      </c>
      <c r="BI3752">
        <v>0</v>
      </c>
      <c r="BJ3752">
        <v>4225</v>
      </c>
      <c r="BK3752">
        <v>25</v>
      </c>
      <c r="BL3752" t="s">
        <v>188</v>
      </c>
      <c r="BM3752">
        <v>1</v>
      </c>
      <c r="BN3752">
        <v>1</v>
      </c>
      <c r="BO3752">
        <v>0</v>
      </c>
      <c r="BP3752">
        <v>0</v>
      </c>
      <c r="BS3752">
        <v>0</v>
      </c>
      <c r="BT3752">
        <v>0</v>
      </c>
      <c r="BU3752">
        <v>0</v>
      </c>
      <c r="CE3752" t="str">
        <f t="shared" ref="CE3752:CE3757" si="1487">"15:14:57.887"</f>
        <v>15:14:57.887</v>
      </c>
      <c r="CF3752">
        <v>886990836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4</v>
      </c>
      <c r="CY3752">
        <v>7</v>
      </c>
      <c r="CZ3752" t="s">
        <v>133</v>
      </c>
      <c r="DA3752">
        <v>275</v>
      </c>
      <c r="DB3752">
        <v>0</v>
      </c>
      <c r="DC3752" t="s">
        <v>134</v>
      </c>
      <c r="DD3752" t="s">
        <v>135</v>
      </c>
      <c r="DG3752">
        <v>3322969</v>
      </c>
      <c r="DI3752">
        <v>1</v>
      </c>
      <c r="DJ3752">
        <v>0</v>
      </c>
      <c r="DK3752">
        <v>0</v>
      </c>
      <c r="DL3752">
        <v>0</v>
      </c>
      <c r="DM3752">
        <v>0</v>
      </c>
      <c r="DN3752">
        <v>0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3">
      <c r="A3753" t="str">
        <f>"05/01/2025 15:14:58.087"</f>
        <v>05/01/2025 15:14:58.087</v>
      </c>
      <c r="C3753" t="str">
        <f t="shared" si="1470"/>
        <v>FFDFD3C0</v>
      </c>
      <c r="D3753" t="s">
        <v>145</v>
      </c>
      <c r="E3753" t="str">
        <f>"05"</f>
        <v>05</v>
      </c>
      <c r="H3753">
        <v>47</v>
      </c>
      <c r="I3753" t="s">
        <v>146</v>
      </c>
      <c r="J3753" t="s">
        <v>138</v>
      </c>
      <c r="K3753">
        <v>0</v>
      </c>
      <c r="L3753">
        <v>3</v>
      </c>
      <c r="M3753">
        <v>0</v>
      </c>
      <c r="N3753">
        <v>2</v>
      </c>
      <c r="O3753">
        <v>0</v>
      </c>
      <c r="P3753">
        <v>1</v>
      </c>
      <c r="Q3753">
        <v>0</v>
      </c>
      <c r="R3753" t="s">
        <v>127</v>
      </c>
      <c r="S3753" t="str">
        <f t="shared" si="1486"/>
        <v>15:14:57.000</v>
      </c>
      <c r="T3753" t="str">
        <f t="shared" si="1486"/>
        <v>15:14:57.000</v>
      </c>
      <c r="U3753" t="str">
        <f t="shared" si="1471"/>
        <v>A68FCB</v>
      </c>
      <c r="V3753">
        <v>0</v>
      </c>
      <c r="W3753">
        <v>0</v>
      </c>
      <c r="X3753">
        <v>2</v>
      </c>
      <c r="Y3753">
        <v>0</v>
      </c>
      <c r="AA3753">
        <v>1</v>
      </c>
      <c r="AB3753">
        <v>8</v>
      </c>
      <c r="AC3753">
        <v>3</v>
      </c>
      <c r="AD3753">
        <v>0</v>
      </c>
      <c r="AE3753">
        <v>9</v>
      </c>
      <c r="AF3753" t="s">
        <v>138</v>
      </c>
      <c r="AG3753">
        <v>0</v>
      </c>
      <c r="AH3753">
        <v>3</v>
      </c>
      <c r="AI3753">
        <v>2</v>
      </c>
      <c r="AJ3753">
        <v>0</v>
      </c>
      <c r="AK3753" t="s">
        <v>1189</v>
      </c>
      <c r="AL3753">
        <v>39.165894999999999</v>
      </c>
      <c r="AM3753" t="s">
        <v>1162</v>
      </c>
      <c r="AN3753">
        <v>-121.030905</v>
      </c>
      <c r="AO3753">
        <v>25</v>
      </c>
      <c r="AP3753">
        <v>4200</v>
      </c>
      <c r="AQ3753" t="s">
        <v>131</v>
      </c>
      <c r="AR3753">
        <v>2</v>
      </c>
      <c r="AS3753">
        <v>91</v>
      </c>
      <c r="AT3753">
        <v>256</v>
      </c>
      <c r="BB3753" t="str">
        <f t="shared" si="1472"/>
        <v>1200</v>
      </c>
      <c r="BC3753">
        <v>1</v>
      </c>
      <c r="BD3753" t="str">
        <f t="shared" si="1473"/>
        <v xml:space="preserve">N52156  </v>
      </c>
      <c r="BE3753">
        <v>1</v>
      </c>
      <c r="BG3753">
        <v>0</v>
      </c>
      <c r="BH3753">
        <v>0</v>
      </c>
      <c r="BI3753">
        <v>0</v>
      </c>
      <c r="BJ3753">
        <v>4225</v>
      </c>
      <c r="BK3753">
        <v>25</v>
      </c>
      <c r="BL3753" t="s">
        <v>188</v>
      </c>
      <c r="BM3753">
        <v>1</v>
      </c>
      <c r="BN3753">
        <v>1</v>
      </c>
      <c r="BO3753">
        <v>0</v>
      </c>
      <c r="BP3753">
        <v>0</v>
      </c>
      <c r="BS3753">
        <v>0</v>
      </c>
      <c r="BT3753">
        <v>0</v>
      </c>
      <c r="BU3753">
        <v>0</v>
      </c>
      <c r="CE3753" t="str">
        <f t="shared" si="1487"/>
        <v>15:14:57.887</v>
      </c>
      <c r="CF3753">
        <v>886990836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4</v>
      </c>
      <c r="CY3753">
        <v>7</v>
      </c>
      <c r="CZ3753" t="s">
        <v>133</v>
      </c>
      <c r="DA3753">
        <v>275</v>
      </c>
      <c r="DB3753">
        <v>0</v>
      </c>
      <c r="DC3753" t="s">
        <v>134</v>
      </c>
      <c r="DD3753" t="s">
        <v>135</v>
      </c>
      <c r="DG3753">
        <v>3322969</v>
      </c>
      <c r="DI3753">
        <v>1</v>
      </c>
      <c r="DJ3753">
        <v>0</v>
      </c>
      <c r="DK3753">
        <v>1</v>
      </c>
      <c r="DL3753">
        <v>0</v>
      </c>
      <c r="DM3753">
        <v>0</v>
      </c>
      <c r="DN3753">
        <v>0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3">
      <c r="A3754" t="str">
        <f>"05/01/2025 15:14:58.098"</f>
        <v>05/01/2025 15:14:58.098</v>
      </c>
      <c r="C3754" t="str">
        <f t="shared" si="1470"/>
        <v>FFDFD3C0</v>
      </c>
      <c r="D3754" t="s">
        <v>136</v>
      </c>
      <c r="E3754" t="str">
        <f>"20"</f>
        <v>20</v>
      </c>
      <c r="H3754">
        <v>400</v>
      </c>
      <c r="I3754" t="s">
        <v>137</v>
      </c>
      <c r="J3754" t="s">
        <v>138</v>
      </c>
      <c r="K3754">
        <v>0</v>
      </c>
      <c r="L3754">
        <v>3</v>
      </c>
      <c r="M3754">
        <v>0</v>
      </c>
      <c r="N3754">
        <v>2</v>
      </c>
      <c r="O3754">
        <v>0</v>
      </c>
      <c r="P3754">
        <v>1</v>
      </c>
      <c r="Q3754">
        <v>0</v>
      </c>
      <c r="R3754" t="s">
        <v>127</v>
      </c>
      <c r="S3754" t="str">
        <f t="shared" si="1486"/>
        <v>15:14:57.000</v>
      </c>
      <c r="T3754" t="str">
        <f t="shared" si="1486"/>
        <v>15:14:57.000</v>
      </c>
      <c r="U3754" t="str">
        <f t="shared" si="1471"/>
        <v>A68FCB</v>
      </c>
      <c r="V3754">
        <v>0</v>
      </c>
      <c r="W3754">
        <v>0</v>
      </c>
      <c r="X3754">
        <v>2</v>
      </c>
      <c r="Y3754">
        <v>0</v>
      </c>
      <c r="AA3754">
        <v>1</v>
      </c>
      <c r="AB3754">
        <v>8</v>
      </c>
      <c r="AC3754">
        <v>3</v>
      </c>
      <c r="AD3754">
        <v>0</v>
      </c>
      <c r="AE3754">
        <v>9</v>
      </c>
      <c r="AF3754" t="s">
        <v>138</v>
      </c>
      <c r="AG3754">
        <v>0</v>
      </c>
      <c r="AH3754">
        <v>3</v>
      </c>
      <c r="AI3754">
        <v>2</v>
      </c>
      <c r="AJ3754">
        <v>0</v>
      </c>
      <c r="AK3754" t="s">
        <v>1189</v>
      </c>
      <c r="AL3754">
        <v>39.165894999999999</v>
      </c>
      <c r="AM3754" t="s">
        <v>1162</v>
      </c>
      <c r="AN3754">
        <v>-121.030905</v>
      </c>
      <c r="AO3754">
        <v>25</v>
      </c>
      <c r="AP3754">
        <v>4200</v>
      </c>
      <c r="AQ3754" t="s">
        <v>131</v>
      </c>
      <c r="AR3754">
        <v>2</v>
      </c>
      <c r="AS3754">
        <v>91</v>
      </c>
      <c r="AT3754">
        <v>256</v>
      </c>
      <c r="BB3754" t="str">
        <f t="shared" si="1472"/>
        <v>1200</v>
      </c>
      <c r="BC3754">
        <v>1</v>
      </c>
      <c r="BD3754" t="str">
        <f t="shared" si="1473"/>
        <v xml:space="preserve">N52156  </v>
      </c>
      <c r="BE3754">
        <v>1</v>
      </c>
      <c r="BG3754">
        <v>0</v>
      </c>
      <c r="BH3754">
        <v>0</v>
      </c>
      <c r="BI3754">
        <v>0</v>
      </c>
      <c r="BJ3754">
        <v>4225</v>
      </c>
      <c r="BK3754">
        <v>25</v>
      </c>
      <c r="BL3754" t="s">
        <v>188</v>
      </c>
      <c r="BM3754">
        <v>1</v>
      </c>
      <c r="BN3754">
        <v>1</v>
      </c>
      <c r="BO3754">
        <v>0</v>
      </c>
      <c r="BP3754">
        <v>0</v>
      </c>
      <c r="BS3754">
        <v>0</v>
      </c>
      <c r="BT3754">
        <v>0</v>
      </c>
      <c r="BU3754">
        <v>0</v>
      </c>
      <c r="CE3754" t="str">
        <f t="shared" si="1487"/>
        <v>15:14:57.887</v>
      </c>
      <c r="CF3754">
        <v>886990836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4</v>
      </c>
      <c r="CY3754">
        <v>7</v>
      </c>
      <c r="CZ3754" t="s">
        <v>133</v>
      </c>
      <c r="DA3754">
        <v>275</v>
      </c>
      <c r="DB3754">
        <v>0</v>
      </c>
      <c r="DC3754" t="s">
        <v>134</v>
      </c>
      <c r="DD3754" t="s">
        <v>135</v>
      </c>
      <c r="DG3754">
        <v>3322969</v>
      </c>
      <c r="DI3754">
        <v>1</v>
      </c>
      <c r="DJ3754">
        <v>0</v>
      </c>
      <c r="DK3754">
        <v>1</v>
      </c>
      <c r="DL3754">
        <v>0</v>
      </c>
      <c r="DM3754">
        <v>0</v>
      </c>
      <c r="DN3754">
        <v>0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3">
      <c r="A3755" t="str">
        <f>"05/01/2025 15:14:58.118"</f>
        <v>05/01/2025 15:14:58.118</v>
      </c>
      <c r="C3755" t="str">
        <f t="shared" si="1470"/>
        <v>FFDFD3C0</v>
      </c>
      <c r="D3755" t="s">
        <v>143</v>
      </c>
      <c r="E3755" t="str">
        <f>"05"</f>
        <v>05</v>
      </c>
      <c r="H3755">
        <v>172</v>
      </c>
      <c r="I3755" t="s">
        <v>141</v>
      </c>
      <c r="J3755" t="s">
        <v>144</v>
      </c>
      <c r="K3755">
        <v>0</v>
      </c>
      <c r="L3755">
        <v>3</v>
      </c>
      <c r="M3755">
        <v>0</v>
      </c>
      <c r="N3755">
        <v>2</v>
      </c>
      <c r="O3755">
        <v>0</v>
      </c>
      <c r="P3755">
        <v>1</v>
      </c>
      <c r="Q3755">
        <v>0</v>
      </c>
      <c r="R3755" t="s">
        <v>127</v>
      </c>
      <c r="S3755" t="str">
        <f t="shared" si="1486"/>
        <v>15:14:57.000</v>
      </c>
      <c r="T3755" t="str">
        <f t="shared" si="1486"/>
        <v>15:14:57.000</v>
      </c>
      <c r="U3755" t="str">
        <f t="shared" si="1471"/>
        <v>A68FCB</v>
      </c>
      <c r="V3755">
        <v>0</v>
      </c>
      <c r="W3755">
        <v>0</v>
      </c>
      <c r="X3755">
        <v>2</v>
      </c>
      <c r="Y3755">
        <v>0</v>
      </c>
      <c r="AA3755">
        <v>1</v>
      </c>
      <c r="AB3755">
        <v>8</v>
      </c>
      <c r="AC3755">
        <v>3</v>
      </c>
      <c r="AD3755">
        <v>0</v>
      </c>
      <c r="AE3755">
        <v>9</v>
      </c>
      <c r="AF3755" t="s">
        <v>138</v>
      </c>
      <c r="AG3755">
        <v>0</v>
      </c>
      <c r="AH3755">
        <v>3</v>
      </c>
      <c r="AI3755">
        <v>2</v>
      </c>
      <c r="AJ3755">
        <v>0</v>
      </c>
      <c r="AK3755" t="s">
        <v>1189</v>
      </c>
      <c r="AL3755">
        <v>39.165894999999999</v>
      </c>
      <c r="AM3755" t="s">
        <v>1162</v>
      </c>
      <c r="AN3755">
        <v>-121.030905</v>
      </c>
      <c r="AO3755">
        <v>25</v>
      </c>
      <c r="AP3755">
        <v>4200</v>
      </c>
      <c r="AQ3755" t="s">
        <v>131</v>
      </c>
      <c r="AR3755">
        <v>2</v>
      </c>
      <c r="AS3755">
        <v>91</v>
      </c>
      <c r="AT3755">
        <v>256</v>
      </c>
      <c r="BB3755" t="str">
        <f t="shared" si="1472"/>
        <v>1200</v>
      </c>
      <c r="BC3755">
        <v>1</v>
      </c>
      <c r="BD3755" t="str">
        <f t="shared" si="1473"/>
        <v xml:space="preserve">N52156  </v>
      </c>
      <c r="BE3755">
        <v>1</v>
      </c>
      <c r="BG3755">
        <v>0</v>
      </c>
      <c r="BH3755">
        <v>0</v>
      </c>
      <c r="BI3755">
        <v>0</v>
      </c>
      <c r="BJ3755">
        <v>4225</v>
      </c>
      <c r="BK3755">
        <v>25</v>
      </c>
      <c r="BL3755" t="s">
        <v>188</v>
      </c>
      <c r="BM3755">
        <v>1</v>
      </c>
      <c r="BN3755">
        <v>1</v>
      </c>
      <c r="BO3755">
        <v>0</v>
      </c>
      <c r="BP3755">
        <v>0</v>
      </c>
      <c r="BS3755">
        <v>0</v>
      </c>
      <c r="BT3755">
        <v>0</v>
      </c>
      <c r="BU3755">
        <v>0</v>
      </c>
      <c r="CE3755" t="str">
        <f t="shared" si="1487"/>
        <v>15:14:57.887</v>
      </c>
      <c r="CF3755">
        <v>886990836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4</v>
      </c>
      <c r="CY3755">
        <v>7</v>
      </c>
      <c r="CZ3755" t="s">
        <v>133</v>
      </c>
      <c r="DA3755">
        <v>275</v>
      </c>
      <c r="DB3755">
        <v>0</v>
      </c>
      <c r="DC3755" t="s">
        <v>134</v>
      </c>
      <c r="DD3755" t="s">
        <v>135</v>
      </c>
      <c r="DG3755">
        <v>3322969</v>
      </c>
      <c r="DI3755">
        <v>1</v>
      </c>
      <c r="DJ3755">
        <v>0</v>
      </c>
      <c r="DK3755">
        <v>1</v>
      </c>
      <c r="DL3755">
        <v>0</v>
      </c>
      <c r="DM3755">
        <v>0</v>
      </c>
      <c r="DN3755">
        <v>0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3">
      <c r="A3756" t="str">
        <f>"05/01/2025 15:14:58.120"</f>
        <v>05/01/2025 15:14:58.120</v>
      </c>
      <c r="C3756" t="str">
        <f t="shared" si="1470"/>
        <v>FFDFD3C0</v>
      </c>
      <c r="D3756" t="s">
        <v>140</v>
      </c>
      <c r="E3756" t="str">
        <f>"13"</f>
        <v>13</v>
      </c>
      <c r="F3756">
        <v>1019</v>
      </c>
      <c r="G3756" t="s">
        <v>141</v>
      </c>
      <c r="J3756" t="s">
        <v>142</v>
      </c>
      <c r="K3756">
        <v>0</v>
      </c>
      <c r="L3756">
        <v>3</v>
      </c>
      <c r="M3756">
        <v>0</v>
      </c>
      <c r="N3756">
        <v>2</v>
      </c>
      <c r="O3756">
        <v>0</v>
      </c>
      <c r="P3756">
        <v>1</v>
      </c>
      <c r="Q3756">
        <v>0</v>
      </c>
      <c r="R3756" t="s">
        <v>127</v>
      </c>
      <c r="S3756" t="str">
        <f t="shared" si="1486"/>
        <v>15:14:57.000</v>
      </c>
      <c r="T3756" t="str">
        <f t="shared" si="1486"/>
        <v>15:14:57.000</v>
      </c>
      <c r="U3756" t="str">
        <f t="shared" si="1471"/>
        <v>A68FCB</v>
      </c>
      <c r="V3756">
        <v>0</v>
      </c>
      <c r="W3756">
        <v>0</v>
      </c>
      <c r="X3756">
        <v>2</v>
      </c>
      <c r="Y3756">
        <v>0</v>
      </c>
      <c r="AA3756">
        <v>1</v>
      </c>
      <c r="AB3756">
        <v>8</v>
      </c>
      <c r="AC3756">
        <v>3</v>
      </c>
      <c r="AD3756">
        <v>0</v>
      </c>
      <c r="AE3756">
        <v>9</v>
      </c>
      <c r="AF3756" t="s">
        <v>138</v>
      </c>
      <c r="AG3756">
        <v>0</v>
      </c>
      <c r="AH3756">
        <v>3</v>
      </c>
      <c r="AI3756">
        <v>2</v>
      </c>
      <c r="AJ3756">
        <v>0</v>
      </c>
      <c r="AK3756" t="s">
        <v>1189</v>
      </c>
      <c r="AL3756">
        <v>39.165894999999999</v>
      </c>
      <c r="AM3756" t="s">
        <v>1162</v>
      </c>
      <c r="AN3756">
        <v>-121.030905</v>
      </c>
      <c r="AO3756">
        <v>25</v>
      </c>
      <c r="AP3756">
        <v>4200</v>
      </c>
      <c r="AQ3756" t="s">
        <v>131</v>
      </c>
      <c r="AR3756">
        <v>2</v>
      </c>
      <c r="AS3756">
        <v>91</v>
      </c>
      <c r="AT3756">
        <v>256</v>
      </c>
      <c r="BB3756" t="str">
        <f t="shared" si="1472"/>
        <v>1200</v>
      </c>
      <c r="BC3756">
        <v>1</v>
      </c>
      <c r="BD3756" t="str">
        <f t="shared" si="1473"/>
        <v xml:space="preserve">N52156  </v>
      </c>
      <c r="BE3756">
        <v>1</v>
      </c>
      <c r="BG3756">
        <v>0</v>
      </c>
      <c r="BH3756">
        <v>0</v>
      </c>
      <c r="BI3756">
        <v>0</v>
      </c>
      <c r="BJ3756">
        <v>4225</v>
      </c>
      <c r="BK3756">
        <v>25</v>
      </c>
      <c r="BL3756" t="s">
        <v>188</v>
      </c>
      <c r="BM3756">
        <v>1</v>
      </c>
      <c r="BN3756">
        <v>1</v>
      </c>
      <c r="BO3756">
        <v>0</v>
      </c>
      <c r="BP3756">
        <v>0</v>
      </c>
      <c r="BS3756">
        <v>0</v>
      </c>
      <c r="BT3756">
        <v>0</v>
      </c>
      <c r="BU3756">
        <v>0</v>
      </c>
      <c r="CE3756" t="str">
        <f t="shared" si="1487"/>
        <v>15:14:57.887</v>
      </c>
      <c r="CF3756">
        <v>886990836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4</v>
      </c>
      <c r="CY3756">
        <v>7</v>
      </c>
      <c r="CZ3756" t="s">
        <v>133</v>
      </c>
      <c r="DA3756">
        <v>275</v>
      </c>
      <c r="DB3756">
        <v>0</v>
      </c>
      <c r="DC3756" t="s">
        <v>134</v>
      </c>
      <c r="DD3756" t="s">
        <v>135</v>
      </c>
      <c r="DG3756">
        <v>3322969</v>
      </c>
      <c r="DI3756">
        <v>1</v>
      </c>
      <c r="DJ3756">
        <v>0</v>
      </c>
      <c r="DK3756">
        <v>1</v>
      </c>
      <c r="DL3756">
        <v>0</v>
      </c>
      <c r="DM3756">
        <v>0</v>
      </c>
      <c r="DN3756">
        <v>0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3">
      <c r="A3757" t="str">
        <f>"05/01/2025 15:14:58.124"</f>
        <v>05/01/2025 15:14:58.124</v>
      </c>
      <c r="C3757" t="str">
        <f t="shared" si="1470"/>
        <v>FFDFD3C0</v>
      </c>
      <c r="D3757" t="s">
        <v>124</v>
      </c>
      <c r="E3757" t="str">
        <f>"06"</f>
        <v>06</v>
      </c>
      <c r="F3757">
        <v>2006</v>
      </c>
      <c r="G3757" t="s">
        <v>125</v>
      </c>
      <c r="J3757" t="s">
        <v>126</v>
      </c>
      <c r="K3757">
        <v>0</v>
      </c>
      <c r="L3757">
        <v>3</v>
      </c>
      <c r="M3757">
        <v>0</v>
      </c>
      <c r="N3757">
        <v>2</v>
      </c>
      <c r="O3757">
        <v>0</v>
      </c>
      <c r="P3757">
        <v>1</v>
      </c>
      <c r="Q3757">
        <v>0</v>
      </c>
      <c r="R3757" t="s">
        <v>127</v>
      </c>
      <c r="S3757" t="str">
        <f t="shared" si="1486"/>
        <v>15:14:57.000</v>
      </c>
      <c r="T3757" t="str">
        <f t="shared" si="1486"/>
        <v>15:14:57.000</v>
      </c>
      <c r="U3757" t="str">
        <f t="shared" si="1471"/>
        <v>A68FCB</v>
      </c>
      <c r="V3757">
        <v>0</v>
      </c>
      <c r="W3757">
        <v>0</v>
      </c>
      <c r="X3757">
        <v>2</v>
      </c>
      <c r="Y3757">
        <v>0</v>
      </c>
      <c r="AA3757">
        <v>1</v>
      </c>
      <c r="AB3757">
        <v>8</v>
      </c>
      <c r="AC3757">
        <v>3</v>
      </c>
      <c r="AD3757">
        <v>0</v>
      </c>
      <c r="AE3757">
        <v>9</v>
      </c>
      <c r="AF3757" t="s">
        <v>138</v>
      </c>
      <c r="AG3757">
        <v>0</v>
      </c>
      <c r="AH3757">
        <v>3</v>
      </c>
      <c r="AI3757">
        <v>2</v>
      </c>
      <c r="AJ3757">
        <v>0</v>
      </c>
      <c r="AK3757" t="s">
        <v>1189</v>
      </c>
      <c r="AL3757">
        <v>39.165894999999999</v>
      </c>
      <c r="AM3757" t="s">
        <v>1162</v>
      </c>
      <c r="AN3757">
        <v>-121.030905</v>
      </c>
      <c r="AO3757">
        <v>25</v>
      </c>
      <c r="AP3757">
        <v>4200</v>
      </c>
      <c r="AQ3757" t="s">
        <v>131</v>
      </c>
      <c r="AR3757">
        <v>2</v>
      </c>
      <c r="AS3757">
        <v>91</v>
      </c>
      <c r="AT3757">
        <v>256</v>
      </c>
      <c r="BB3757" t="str">
        <f t="shared" si="1472"/>
        <v>1200</v>
      </c>
      <c r="BC3757">
        <v>1</v>
      </c>
      <c r="BD3757" t="str">
        <f t="shared" si="1473"/>
        <v xml:space="preserve">N52156  </v>
      </c>
      <c r="BE3757">
        <v>1</v>
      </c>
      <c r="BG3757">
        <v>0</v>
      </c>
      <c r="BH3757">
        <v>0</v>
      </c>
      <c r="BI3757">
        <v>0</v>
      </c>
      <c r="BJ3757">
        <v>4225</v>
      </c>
      <c r="BK3757">
        <v>25</v>
      </c>
      <c r="BL3757" t="s">
        <v>188</v>
      </c>
      <c r="BM3757">
        <v>1</v>
      </c>
      <c r="BN3757">
        <v>1</v>
      </c>
      <c r="BO3757">
        <v>0</v>
      </c>
      <c r="BP3757">
        <v>0</v>
      </c>
      <c r="BS3757">
        <v>0</v>
      </c>
      <c r="BT3757">
        <v>0</v>
      </c>
      <c r="BU3757">
        <v>0</v>
      </c>
      <c r="CE3757" t="str">
        <f t="shared" si="1487"/>
        <v>15:14:57.887</v>
      </c>
      <c r="CF3757">
        <v>886990836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4</v>
      </c>
      <c r="CY3757">
        <v>7</v>
      </c>
      <c r="CZ3757" t="s">
        <v>133</v>
      </c>
      <c r="DA3757">
        <v>275</v>
      </c>
      <c r="DB3757">
        <v>0</v>
      </c>
      <c r="DC3757" t="s">
        <v>134</v>
      </c>
      <c r="DD3757" t="s">
        <v>135</v>
      </c>
      <c r="DG3757">
        <v>3322969</v>
      </c>
      <c r="DI3757">
        <v>1</v>
      </c>
      <c r="DJ3757">
        <v>0</v>
      </c>
      <c r="DK3757">
        <v>1</v>
      </c>
      <c r="DL3757">
        <v>0</v>
      </c>
      <c r="DM3757">
        <v>0</v>
      </c>
      <c r="DN3757">
        <v>0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3">
      <c r="A3758" t="str">
        <f>"05/01/2025 15:14:58.771"</f>
        <v>05/01/2025 15:14:58.771</v>
      </c>
      <c r="C3758" t="str">
        <f t="shared" si="1470"/>
        <v>FFDFD3C0</v>
      </c>
      <c r="D3758" t="s">
        <v>140</v>
      </c>
      <c r="E3758" t="str">
        <f>"13"</f>
        <v>13</v>
      </c>
      <c r="F3758">
        <v>1019</v>
      </c>
      <c r="G3758" t="s">
        <v>141</v>
      </c>
      <c r="J3758" t="s">
        <v>142</v>
      </c>
      <c r="K3758">
        <v>0</v>
      </c>
      <c r="L3758">
        <v>3</v>
      </c>
      <c r="M3758">
        <v>0</v>
      </c>
      <c r="N3758">
        <v>2</v>
      </c>
      <c r="O3758">
        <v>0</v>
      </c>
      <c r="P3758">
        <v>1</v>
      </c>
      <c r="Q3758">
        <v>0</v>
      </c>
      <c r="R3758" t="s">
        <v>127</v>
      </c>
      <c r="S3758" t="str">
        <f t="shared" ref="S3758:T3763" si="1488">"15:14:58.000"</f>
        <v>15:14:58.000</v>
      </c>
      <c r="T3758" t="str">
        <f t="shared" si="1488"/>
        <v>15:14:58.000</v>
      </c>
      <c r="U3758" t="str">
        <f t="shared" si="1471"/>
        <v>A68FCB</v>
      </c>
      <c r="V3758">
        <v>0</v>
      </c>
      <c r="W3758">
        <v>0</v>
      </c>
      <c r="X3758">
        <v>2</v>
      </c>
      <c r="Y3758">
        <v>0</v>
      </c>
      <c r="AA3758">
        <v>1</v>
      </c>
      <c r="AB3758">
        <v>8</v>
      </c>
      <c r="AC3758">
        <v>3</v>
      </c>
      <c r="AD3758">
        <v>0</v>
      </c>
      <c r="AE3758">
        <v>9</v>
      </c>
      <c r="AF3758" t="s">
        <v>138</v>
      </c>
      <c r="AG3758">
        <v>0</v>
      </c>
      <c r="AH3758">
        <v>3</v>
      </c>
      <c r="AI3758">
        <v>2</v>
      </c>
      <c r="AJ3758">
        <v>0</v>
      </c>
      <c r="AK3758" t="s">
        <v>1190</v>
      </c>
      <c r="AL3758">
        <v>39.166324000000003</v>
      </c>
      <c r="AM3758" t="s">
        <v>1162</v>
      </c>
      <c r="AN3758">
        <v>-121.030905</v>
      </c>
      <c r="AO3758">
        <v>25</v>
      </c>
      <c r="AP3758">
        <v>4200</v>
      </c>
      <c r="AQ3758" t="s">
        <v>131</v>
      </c>
      <c r="AR3758">
        <v>2</v>
      </c>
      <c r="AS3758">
        <v>91</v>
      </c>
      <c r="AT3758">
        <v>256</v>
      </c>
      <c r="BB3758" t="str">
        <f t="shared" si="1472"/>
        <v>1200</v>
      </c>
      <c r="BC3758">
        <v>1</v>
      </c>
      <c r="BD3758" t="str">
        <f t="shared" si="1473"/>
        <v xml:space="preserve">N52156  </v>
      </c>
      <c r="BE3758">
        <v>1</v>
      </c>
      <c r="BG3758">
        <v>0</v>
      </c>
      <c r="BH3758">
        <v>0</v>
      </c>
      <c r="BI3758">
        <v>0</v>
      </c>
      <c r="BJ3758">
        <v>4225</v>
      </c>
      <c r="BK3758">
        <v>25</v>
      </c>
      <c r="BL3758" t="s">
        <v>188</v>
      </c>
      <c r="BM3758">
        <v>1</v>
      </c>
      <c r="BN3758">
        <v>1</v>
      </c>
      <c r="BO3758">
        <v>0</v>
      </c>
      <c r="BP3758">
        <v>0</v>
      </c>
      <c r="BS3758">
        <v>0</v>
      </c>
      <c r="BT3758">
        <v>0</v>
      </c>
      <c r="BU3758">
        <v>0</v>
      </c>
      <c r="CE3758" t="str">
        <f t="shared" ref="CE3758:CE3763" si="1489">"15:14:58.528"</f>
        <v>15:14:58.528</v>
      </c>
      <c r="CF3758">
        <v>527739990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4</v>
      </c>
      <c r="CY3758">
        <v>7</v>
      </c>
      <c r="CZ3758" t="s">
        <v>133</v>
      </c>
      <c r="DA3758">
        <v>275</v>
      </c>
      <c r="DB3758">
        <v>0</v>
      </c>
      <c r="DC3758" t="s">
        <v>134</v>
      </c>
      <c r="DD3758" t="s">
        <v>135</v>
      </c>
      <c r="DG3758">
        <v>3322972</v>
      </c>
      <c r="DI3758">
        <v>1</v>
      </c>
      <c r="DJ3758">
        <v>0</v>
      </c>
      <c r="DK3758">
        <v>0</v>
      </c>
      <c r="DL3758">
        <v>0</v>
      </c>
      <c r="DM3758">
        <v>0</v>
      </c>
      <c r="DN3758">
        <v>0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3">
      <c r="A3759" t="str">
        <f>"05/01/2025 15:14:58.769"</f>
        <v>05/01/2025 15:14:58.769</v>
      </c>
      <c r="C3759" t="str">
        <f t="shared" si="1470"/>
        <v>FFDFD3C0</v>
      </c>
      <c r="D3759" t="s">
        <v>143</v>
      </c>
      <c r="E3759" t="str">
        <f>"05"</f>
        <v>05</v>
      </c>
      <c r="H3759">
        <v>172</v>
      </c>
      <c r="I3759" t="s">
        <v>141</v>
      </c>
      <c r="J3759" t="s">
        <v>144</v>
      </c>
      <c r="K3759">
        <v>0</v>
      </c>
      <c r="L3759">
        <v>3</v>
      </c>
      <c r="M3759">
        <v>0</v>
      </c>
      <c r="N3759">
        <v>2</v>
      </c>
      <c r="O3759">
        <v>0</v>
      </c>
      <c r="P3759">
        <v>1</v>
      </c>
      <c r="Q3759">
        <v>0</v>
      </c>
      <c r="R3759" t="s">
        <v>127</v>
      </c>
      <c r="S3759" t="str">
        <f t="shared" si="1488"/>
        <v>15:14:58.000</v>
      </c>
      <c r="T3759" t="str">
        <f t="shared" si="1488"/>
        <v>15:14:58.000</v>
      </c>
      <c r="U3759" t="str">
        <f t="shared" si="1471"/>
        <v>A68FCB</v>
      </c>
      <c r="V3759">
        <v>0</v>
      </c>
      <c r="W3759">
        <v>0</v>
      </c>
      <c r="X3759">
        <v>2</v>
      </c>
      <c r="Y3759">
        <v>0</v>
      </c>
      <c r="AA3759">
        <v>1</v>
      </c>
      <c r="AB3759">
        <v>8</v>
      </c>
      <c r="AC3759">
        <v>3</v>
      </c>
      <c r="AD3759">
        <v>0</v>
      </c>
      <c r="AE3759">
        <v>9</v>
      </c>
      <c r="AF3759" t="s">
        <v>138</v>
      </c>
      <c r="AG3759">
        <v>0</v>
      </c>
      <c r="AH3759">
        <v>3</v>
      </c>
      <c r="AI3759">
        <v>2</v>
      </c>
      <c r="AJ3759">
        <v>0</v>
      </c>
      <c r="AK3759" t="s">
        <v>1190</v>
      </c>
      <c r="AL3759">
        <v>39.166324000000003</v>
      </c>
      <c r="AM3759" t="s">
        <v>1162</v>
      </c>
      <c r="AN3759">
        <v>-121.030905</v>
      </c>
      <c r="AO3759">
        <v>25</v>
      </c>
      <c r="AP3759">
        <v>4200</v>
      </c>
      <c r="AQ3759" t="s">
        <v>131</v>
      </c>
      <c r="AR3759">
        <v>2</v>
      </c>
      <c r="AS3759">
        <v>91</v>
      </c>
      <c r="AT3759">
        <v>256</v>
      </c>
      <c r="BB3759" t="str">
        <f t="shared" si="1472"/>
        <v>1200</v>
      </c>
      <c r="BC3759">
        <v>1</v>
      </c>
      <c r="BD3759" t="str">
        <f t="shared" si="1473"/>
        <v xml:space="preserve">N52156  </v>
      </c>
      <c r="BE3759">
        <v>1</v>
      </c>
      <c r="BG3759">
        <v>0</v>
      </c>
      <c r="BH3759">
        <v>0</v>
      </c>
      <c r="BI3759">
        <v>0</v>
      </c>
      <c r="BJ3759">
        <v>4225</v>
      </c>
      <c r="BK3759">
        <v>25</v>
      </c>
      <c r="BL3759" t="s">
        <v>188</v>
      </c>
      <c r="BM3759">
        <v>1</v>
      </c>
      <c r="BN3759">
        <v>1</v>
      </c>
      <c r="BO3759">
        <v>0</v>
      </c>
      <c r="BP3759">
        <v>0</v>
      </c>
      <c r="BS3759">
        <v>0</v>
      </c>
      <c r="BT3759">
        <v>0</v>
      </c>
      <c r="BU3759">
        <v>0</v>
      </c>
      <c r="CE3759" t="str">
        <f t="shared" si="1489"/>
        <v>15:14:58.528</v>
      </c>
      <c r="CF3759">
        <v>527739990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4</v>
      </c>
      <c r="CY3759">
        <v>7</v>
      </c>
      <c r="CZ3759" t="s">
        <v>133</v>
      </c>
      <c r="DA3759">
        <v>275</v>
      </c>
      <c r="DB3759">
        <v>0</v>
      </c>
      <c r="DC3759" t="s">
        <v>134</v>
      </c>
      <c r="DD3759" t="s">
        <v>135</v>
      </c>
      <c r="DG3759">
        <v>3322972</v>
      </c>
      <c r="DI3759">
        <v>1</v>
      </c>
      <c r="DJ3759">
        <v>0</v>
      </c>
      <c r="DK3759">
        <v>1</v>
      </c>
      <c r="DL3759">
        <v>0</v>
      </c>
      <c r="DM3759">
        <v>0</v>
      </c>
      <c r="DN3759">
        <v>0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3">
      <c r="A3760" t="str">
        <f>"05/01/2025 15:14:58.786"</f>
        <v>05/01/2025 15:14:58.786</v>
      </c>
      <c r="C3760" t="str">
        <f t="shared" si="1470"/>
        <v>FFDFD3C0</v>
      </c>
      <c r="D3760" t="s">
        <v>145</v>
      </c>
      <c r="E3760" t="str">
        <f>"09"</f>
        <v>09</v>
      </c>
      <c r="H3760">
        <v>51</v>
      </c>
      <c r="I3760" t="s">
        <v>147</v>
      </c>
      <c r="J3760" t="s">
        <v>138</v>
      </c>
      <c r="K3760">
        <v>0</v>
      </c>
      <c r="L3760">
        <v>3</v>
      </c>
      <c r="M3760">
        <v>0</v>
      </c>
      <c r="N3760">
        <v>2</v>
      </c>
      <c r="O3760">
        <v>0</v>
      </c>
      <c r="P3760">
        <v>1</v>
      </c>
      <c r="Q3760">
        <v>0</v>
      </c>
      <c r="R3760" t="s">
        <v>127</v>
      </c>
      <c r="S3760" t="str">
        <f t="shared" si="1488"/>
        <v>15:14:58.000</v>
      </c>
      <c r="T3760" t="str">
        <f t="shared" si="1488"/>
        <v>15:14:58.000</v>
      </c>
      <c r="U3760" t="str">
        <f t="shared" si="1471"/>
        <v>A68FCB</v>
      </c>
      <c r="V3760">
        <v>0</v>
      </c>
      <c r="W3760">
        <v>0</v>
      </c>
      <c r="X3760">
        <v>2</v>
      </c>
      <c r="Y3760">
        <v>0</v>
      </c>
      <c r="AA3760">
        <v>1</v>
      </c>
      <c r="AB3760">
        <v>8</v>
      </c>
      <c r="AC3760">
        <v>3</v>
      </c>
      <c r="AD3760">
        <v>0</v>
      </c>
      <c r="AE3760">
        <v>9</v>
      </c>
      <c r="AF3760" t="s">
        <v>138</v>
      </c>
      <c r="AG3760">
        <v>0</v>
      </c>
      <c r="AH3760">
        <v>3</v>
      </c>
      <c r="AI3760">
        <v>2</v>
      </c>
      <c r="AJ3760">
        <v>0</v>
      </c>
      <c r="AK3760" t="s">
        <v>1190</v>
      </c>
      <c r="AL3760">
        <v>39.166324000000003</v>
      </c>
      <c r="AM3760" t="s">
        <v>1162</v>
      </c>
      <c r="AN3760">
        <v>-121.030905</v>
      </c>
      <c r="AO3760">
        <v>25</v>
      </c>
      <c r="AP3760">
        <v>4200</v>
      </c>
      <c r="AQ3760" t="s">
        <v>131</v>
      </c>
      <c r="AR3760">
        <v>2</v>
      </c>
      <c r="AS3760">
        <v>91</v>
      </c>
      <c r="AT3760">
        <v>256</v>
      </c>
      <c r="BB3760" t="str">
        <f t="shared" si="1472"/>
        <v>1200</v>
      </c>
      <c r="BC3760">
        <v>1</v>
      </c>
      <c r="BD3760" t="str">
        <f t="shared" si="1473"/>
        <v xml:space="preserve">N52156  </v>
      </c>
      <c r="BE3760">
        <v>1</v>
      </c>
      <c r="BG3760">
        <v>0</v>
      </c>
      <c r="BH3760">
        <v>0</v>
      </c>
      <c r="BI3760">
        <v>0</v>
      </c>
      <c r="BJ3760">
        <v>4225</v>
      </c>
      <c r="BK3760">
        <v>25</v>
      </c>
      <c r="BL3760" t="s">
        <v>188</v>
      </c>
      <c r="BM3760">
        <v>1</v>
      </c>
      <c r="BN3760">
        <v>1</v>
      </c>
      <c r="BO3760">
        <v>0</v>
      </c>
      <c r="BP3760">
        <v>0</v>
      </c>
      <c r="BS3760">
        <v>0</v>
      </c>
      <c r="BT3760">
        <v>0</v>
      </c>
      <c r="BU3760">
        <v>0</v>
      </c>
      <c r="CE3760" t="str">
        <f t="shared" si="1489"/>
        <v>15:14:58.528</v>
      </c>
      <c r="CF3760">
        <v>527739990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4</v>
      </c>
      <c r="CY3760">
        <v>7</v>
      </c>
      <c r="CZ3760" t="s">
        <v>133</v>
      </c>
      <c r="DA3760">
        <v>275</v>
      </c>
      <c r="DB3760">
        <v>0</v>
      </c>
      <c r="DC3760" t="s">
        <v>134</v>
      </c>
      <c r="DD3760" t="s">
        <v>135</v>
      </c>
      <c r="DG3760">
        <v>3322972</v>
      </c>
      <c r="DI3760">
        <v>1</v>
      </c>
      <c r="DJ3760">
        <v>0</v>
      </c>
      <c r="DK3760">
        <v>1</v>
      </c>
      <c r="DL3760">
        <v>0</v>
      </c>
      <c r="DM3760">
        <v>0</v>
      </c>
      <c r="DN3760">
        <v>0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3">
      <c r="A3761" t="str">
        <f>"05/01/2025 15:14:58.775"</f>
        <v>05/01/2025 15:14:58.775</v>
      </c>
      <c r="C3761" t="str">
        <f t="shared" si="1470"/>
        <v>FFDFD3C0</v>
      </c>
      <c r="D3761" t="s">
        <v>124</v>
      </c>
      <c r="E3761" t="str">
        <f>"06"</f>
        <v>06</v>
      </c>
      <c r="F3761">
        <v>2006</v>
      </c>
      <c r="G3761" t="s">
        <v>125</v>
      </c>
      <c r="J3761" t="s">
        <v>126</v>
      </c>
      <c r="K3761">
        <v>0</v>
      </c>
      <c r="L3761">
        <v>3</v>
      </c>
      <c r="M3761">
        <v>0</v>
      </c>
      <c r="N3761">
        <v>2</v>
      </c>
      <c r="O3761">
        <v>0</v>
      </c>
      <c r="P3761">
        <v>1</v>
      </c>
      <c r="Q3761">
        <v>0</v>
      </c>
      <c r="R3761" t="s">
        <v>127</v>
      </c>
      <c r="S3761" t="str">
        <f t="shared" si="1488"/>
        <v>15:14:58.000</v>
      </c>
      <c r="T3761" t="str">
        <f t="shared" si="1488"/>
        <v>15:14:58.000</v>
      </c>
      <c r="U3761" t="str">
        <f t="shared" si="1471"/>
        <v>A68FCB</v>
      </c>
      <c r="V3761">
        <v>0</v>
      </c>
      <c r="W3761">
        <v>0</v>
      </c>
      <c r="X3761">
        <v>2</v>
      </c>
      <c r="Y3761">
        <v>0</v>
      </c>
      <c r="AA3761">
        <v>1</v>
      </c>
      <c r="AB3761">
        <v>8</v>
      </c>
      <c r="AC3761">
        <v>3</v>
      </c>
      <c r="AD3761">
        <v>0</v>
      </c>
      <c r="AE3761">
        <v>9</v>
      </c>
      <c r="AF3761" t="s">
        <v>138</v>
      </c>
      <c r="AG3761">
        <v>0</v>
      </c>
      <c r="AH3761">
        <v>3</v>
      </c>
      <c r="AI3761">
        <v>2</v>
      </c>
      <c r="AJ3761">
        <v>0</v>
      </c>
      <c r="AK3761" t="s">
        <v>1190</v>
      </c>
      <c r="AL3761">
        <v>39.166324000000003</v>
      </c>
      <c r="AM3761" t="s">
        <v>1162</v>
      </c>
      <c r="AN3761">
        <v>-121.030905</v>
      </c>
      <c r="AO3761">
        <v>25</v>
      </c>
      <c r="AP3761">
        <v>4200</v>
      </c>
      <c r="AQ3761" t="s">
        <v>131</v>
      </c>
      <c r="AR3761">
        <v>2</v>
      </c>
      <c r="AS3761">
        <v>91</v>
      </c>
      <c r="AT3761">
        <v>256</v>
      </c>
      <c r="BB3761" t="str">
        <f t="shared" si="1472"/>
        <v>1200</v>
      </c>
      <c r="BC3761">
        <v>1</v>
      </c>
      <c r="BD3761" t="str">
        <f t="shared" si="1473"/>
        <v xml:space="preserve">N52156  </v>
      </c>
      <c r="BE3761">
        <v>1</v>
      </c>
      <c r="BG3761">
        <v>0</v>
      </c>
      <c r="BH3761">
        <v>0</v>
      </c>
      <c r="BI3761">
        <v>0</v>
      </c>
      <c r="BJ3761">
        <v>4225</v>
      </c>
      <c r="BK3761">
        <v>25</v>
      </c>
      <c r="BL3761" t="s">
        <v>188</v>
      </c>
      <c r="BM3761">
        <v>1</v>
      </c>
      <c r="BN3761">
        <v>1</v>
      </c>
      <c r="BO3761">
        <v>0</v>
      </c>
      <c r="BP3761">
        <v>0</v>
      </c>
      <c r="BS3761">
        <v>0</v>
      </c>
      <c r="BT3761">
        <v>0</v>
      </c>
      <c r="BU3761">
        <v>0</v>
      </c>
      <c r="CE3761" t="str">
        <f t="shared" si="1489"/>
        <v>15:14:58.528</v>
      </c>
      <c r="CF3761">
        <v>527739990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4</v>
      </c>
      <c r="CY3761">
        <v>7</v>
      </c>
      <c r="CZ3761" t="s">
        <v>133</v>
      </c>
      <c r="DA3761">
        <v>275</v>
      </c>
      <c r="DB3761">
        <v>0</v>
      </c>
      <c r="DC3761" t="s">
        <v>134</v>
      </c>
      <c r="DD3761" t="s">
        <v>135</v>
      </c>
      <c r="DG3761">
        <v>3322972</v>
      </c>
      <c r="DI3761">
        <v>1</v>
      </c>
      <c r="DJ3761">
        <v>0</v>
      </c>
      <c r="DK3761">
        <v>1</v>
      </c>
      <c r="DL3761">
        <v>0</v>
      </c>
      <c r="DM3761">
        <v>0</v>
      </c>
      <c r="DN3761">
        <v>0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3">
      <c r="A3762" t="str">
        <f>"05/01/2025 15:14:58.788"</f>
        <v>05/01/2025 15:14:58.788</v>
      </c>
      <c r="C3762" t="str">
        <f t="shared" si="1470"/>
        <v>FFDFD3C0</v>
      </c>
      <c r="D3762" t="s">
        <v>145</v>
      </c>
      <c r="E3762" t="str">
        <f>"05"</f>
        <v>05</v>
      </c>
      <c r="H3762">
        <v>47</v>
      </c>
      <c r="I3762" t="s">
        <v>146</v>
      </c>
      <c r="J3762" t="s">
        <v>138</v>
      </c>
      <c r="K3762">
        <v>0</v>
      </c>
      <c r="L3762">
        <v>3</v>
      </c>
      <c r="M3762">
        <v>0</v>
      </c>
      <c r="N3762">
        <v>2</v>
      </c>
      <c r="O3762">
        <v>0</v>
      </c>
      <c r="P3762">
        <v>1</v>
      </c>
      <c r="Q3762">
        <v>0</v>
      </c>
      <c r="R3762" t="s">
        <v>127</v>
      </c>
      <c r="S3762" t="str">
        <f t="shared" si="1488"/>
        <v>15:14:58.000</v>
      </c>
      <c r="T3762" t="str">
        <f t="shared" si="1488"/>
        <v>15:14:58.000</v>
      </c>
      <c r="U3762" t="str">
        <f t="shared" si="1471"/>
        <v>A68FCB</v>
      </c>
      <c r="V3762">
        <v>0</v>
      </c>
      <c r="W3762">
        <v>0</v>
      </c>
      <c r="X3762">
        <v>2</v>
      </c>
      <c r="Y3762">
        <v>0</v>
      </c>
      <c r="AA3762">
        <v>1</v>
      </c>
      <c r="AB3762">
        <v>8</v>
      </c>
      <c r="AC3762">
        <v>3</v>
      </c>
      <c r="AD3762">
        <v>0</v>
      </c>
      <c r="AE3762">
        <v>9</v>
      </c>
      <c r="AF3762" t="s">
        <v>138</v>
      </c>
      <c r="AG3762">
        <v>0</v>
      </c>
      <c r="AH3762">
        <v>3</v>
      </c>
      <c r="AI3762">
        <v>2</v>
      </c>
      <c r="AJ3762">
        <v>0</v>
      </c>
      <c r="AK3762" t="s">
        <v>1190</v>
      </c>
      <c r="AL3762">
        <v>39.166324000000003</v>
      </c>
      <c r="AM3762" t="s">
        <v>1162</v>
      </c>
      <c r="AN3762">
        <v>-121.030905</v>
      </c>
      <c r="AO3762">
        <v>25</v>
      </c>
      <c r="AP3762">
        <v>4200</v>
      </c>
      <c r="AQ3762" t="s">
        <v>131</v>
      </c>
      <c r="AR3762">
        <v>2</v>
      </c>
      <c r="AS3762">
        <v>91</v>
      </c>
      <c r="AT3762">
        <v>256</v>
      </c>
      <c r="BB3762" t="str">
        <f t="shared" si="1472"/>
        <v>1200</v>
      </c>
      <c r="BC3762">
        <v>1</v>
      </c>
      <c r="BD3762" t="str">
        <f t="shared" si="1473"/>
        <v xml:space="preserve">N52156  </v>
      </c>
      <c r="BE3762">
        <v>1</v>
      </c>
      <c r="BG3762">
        <v>0</v>
      </c>
      <c r="BH3762">
        <v>0</v>
      </c>
      <c r="BI3762">
        <v>0</v>
      </c>
      <c r="BJ3762">
        <v>4225</v>
      </c>
      <c r="BK3762">
        <v>25</v>
      </c>
      <c r="BL3762" t="s">
        <v>188</v>
      </c>
      <c r="BM3762">
        <v>1</v>
      </c>
      <c r="BN3762">
        <v>1</v>
      </c>
      <c r="BO3762">
        <v>0</v>
      </c>
      <c r="BP3762">
        <v>0</v>
      </c>
      <c r="BS3762">
        <v>0</v>
      </c>
      <c r="BT3762">
        <v>0</v>
      </c>
      <c r="BU3762">
        <v>0</v>
      </c>
      <c r="CE3762" t="str">
        <f t="shared" si="1489"/>
        <v>15:14:58.528</v>
      </c>
      <c r="CF3762">
        <v>527739990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4</v>
      </c>
      <c r="CY3762">
        <v>7</v>
      </c>
      <c r="CZ3762" t="s">
        <v>133</v>
      </c>
      <c r="DA3762">
        <v>275</v>
      </c>
      <c r="DB3762">
        <v>0</v>
      </c>
      <c r="DC3762" t="s">
        <v>134</v>
      </c>
      <c r="DD3762" t="s">
        <v>135</v>
      </c>
      <c r="DG3762">
        <v>3322972</v>
      </c>
      <c r="DI3762">
        <v>1</v>
      </c>
      <c r="DJ3762">
        <v>0</v>
      </c>
      <c r="DK3762">
        <v>1</v>
      </c>
      <c r="DL3762">
        <v>0</v>
      </c>
      <c r="DM3762">
        <v>0</v>
      </c>
      <c r="DN3762">
        <v>0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3">
      <c r="A3763" t="str">
        <f>"05/01/2025 15:14:58.799"</f>
        <v>05/01/2025 15:14:58.799</v>
      </c>
      <c r="C3763" t="str">
        <f t="shared" si="1470"/>
        <v>FFDFD3C0</v>
      </c>
      <c r="D3763" t="s">
        <v>136</v>
      </c>
      <c r="E3763" t="str">
        <f>"20"</f>
        <v>20</v>
      </c>
      <c r="H3763">
        <v>400</v>
      </c>
      <c r="I3763" t="s">
        <v>137</v>
      </c>
      <c r="J3763" t="s">
        <v>138</v>
      </c>
      <c r="K3763">
        <v>0</v>
      </c>
      <c r="L3763">
        <v>3</v>
      </c>
      <c r="M3763">
        <v>0</v>
      </c>
      <c r="N3763">
        <v>2</v>
      </c>
      <c r="O3763">
        <v>0</v>
      </c>
      <c r="P3763">
        <v>1</v>
      </c>
      <c r="Q3763">
        <v>0</v>
      </c>
      <c r="R3763" t="s">
        <v>127</v>
      </c>
      <c r="S3763" t="str">
        <f t="shared" si="1488"/>
        <v>15:14:58.000</v>
      </c>
      <c r="T3763" t="str">
        <f t="shared" si="1488"/>
        <v>15:14:58.000</v>
      </c>
      <c r="U3763" t="str">
        <f t="shared" si="1471"/>
        <v>A68FCB</v>
      </c>
      <c r="V3763">
        <v>0</v>
      </c>
      <c r="W3763">
        <v>0</v>
      </c>
      <c r="X3763">
        <v>2</v>
      </c>
      <c r="Y3763">
        <v>0</v>
      </c>
      <c r="AA3763">
        <v>1</v>
      </c>
      <c r="AB3763">
        <v>8</v>
      </c>
      <c r="AC3763">
        <v>3</v>
      </c>
      <c r="AD3763">
        <v>0</v>
      </c>
      <c r="AE3763">
        <v>9</v>
      </c>
      <c r="AF3763" t="s">
        <v>138</v>
      </c>
      <c r="AG3763">
        <v>0</v>
      </c>
      <c r="AH3763">
        <v>3</v>
      </c>
      <c r="AI3763">
        <v>2</v>
      </c>
      <c r="AJ3763">
        <v>0</v>
      </c>
      <c r="AK3763" t="s">
        <v>1190</v>
      </c>
      <c r="AL3763">
        <v>39.166324000000003</v>
      </c>
      <c r="AM3763" t="s">
        <v>1162</v>
      </c>
      <c r="AN3763">
        <v>-121.030905</v>
      </c>
      <c r="AO3763">
        <v>25</v>
      </c>
      <c r="AP3763">
        <v>4200</v>
      </c>
      <c r="AQ3763" t="s">
        <v>131</v>
      </c>
      <c r="AR3763">
        <v>2</v>
      </c>
      <c r="AS3763">
        <v>91</v>
      </c>
      <c r="AT3763">
        <v>256</v>
      </c>
      <c r="BB3763" t="str">
        <f t="shared" si="1472"/>
        <v>1200</v>
      </c>
      <c r="BC3763">
        <v>1</v>
      </c>
      <c r="BD3763" t="str">
        <f t="shared" si="1473"/>
        <v xml:space="preserve">N52156  </v>
      </c>
      <c r="BE3763">
        <v>1</v>
      </c>
      <c r="BG3763">
        <v>0</v>
      </c>
      <c r="BH3763">
        <v>0</v>
      </c>
      <c r="BI3763">
        <v>0</v>
      </c>
      <c r="BJ3763">
        <v>4225</v>
      </c>
      <c r="BK3763">
        <v>25</v>
      </c>
      <c r="BL3763" t="s">
        <v>188</v>
      </c>
      <c r="BM3763">
        <v>1</v>
      </c>
      <c r="BN3763">
        <v>1</v>
      </c>
      <c r="BO3763">
        <v>0</v>
      </c>
      <c r="BP3763">
        <v>0</v>
      </c>
      <c r="BS3763">
        <v>0</v>
      </c>
      <c r="BT3763">
        <v>0</v>
      </c>
      <c r="BU3763">
        <v>0</v>
      </c>
      <c r="CE3763" t="str">
        <f t="shared" si="1489"/>
        <v>15:14:58.528</v>
      </c>
      <c r="CF3763">
        <v>527739990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4</v>
      </c>
      <c r="CY3763">
        <v>7</v>
      </c>
      <c r="CZ3763" t="s">
        <v>133</v>
      </c>
      <c r="DA3763">
        <v>275</v>
      </c>
      <c r="DB3763">
        <v>0</v>
      </c>
      <c r="DC3763" t="s">
        <v>134</v>
      </c>
      <c r="DD3763" t="s">
        <v>135</v>
      </c>
      <c r="DG3763">
        <v>3322972</v>
      </c>
      <c r="DI3763">
        <v>1</v>
      </c>
      <c r="DJ3763">
        <v>0</v>
      </c>
      <c r="DK3763">
        <v>1</v>
      </c>
      <c r="DL3763">
        <v>0</v>
      </c>
      <c r="DM3763">
        <v>0</v>
      </c>
      <c r="DN3763">
        <v>0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3">
      <c r="A3764" t="str">
        <f>"05/01/2025 15:14:59.487"</f>
        <v>05/01/2025 15:14:59.487</v>
      </c>
      <c r="C3764" t="str">
        <f t="shared" si="1470"/>
        <v>FFDFD3C0</v>
      </c>
      <c r="D3764" t="s">
        <v>145</v>
      </c>
      <c r="E3764" t="str">
        <f>"09"</f>
        <v>09</v>
      </c>
      <c r="H3764">
        <v>51</v>
      </c>
      <c r="I3764" t="s">
        <v>147</v>
      </c>
      <c r="J3764" t="s">
        <v>138</v>
      </c>
      <c r="K3764">
        <v>0</v>
      </c>
      <c r="L3764">
        <v>3</v>
      </c>
      <c r="M3764">
        <v>0</v>
      </c>
      <c r="N3764">
        <v>2</v>
      </c>
      <c r="O3764">
        <v>0</v>
      </c>
      <c r="P3764">
        <v>1</v>
      </c>
      <c r="Q3764">
        <v>0</v>
      </c>
      <c r="R3764" t="s">
        <v>127</v>
      </c>
      <c r="S3764" t="str">
        <f t="shared" ref="S3764:T3769" si="1490">"15:14:59.000"</f>
        <v>15:14:59.000</v>
      </c>
      <c r="T3764" t="str">
        <f t="shared" si="1490"/>
        <v>15:14:59.000</v>
      </c>
      <c r="U3764" t="str">
        <f t="shared" si="1471"/>
        <v>A68FCB</v>
      </c>
      <c r="V3764">
        <v>0</v>
      </c>
      <c r="W3764">
        <v>0</v>
      </c>
      <c r="X3764">
        <v>2</v>
      </c>
      <c r="Y3764">
        <v>0</v>
      </c>
      <c r="AA3764">
        <v>1</v>
      </c>
      <c r="AB3764">
        <v>8</v>
      </c>
      <c r="AC3764">
        <v>3</v>
      </c>
      <c r="AD3764">
        <v>0</v>
      </c>
      <c r="AE3764">
        <v>9</v>
      </c>
      <c r="AF3764" t="s">
        <v>138</v>
      </c>
      <c r="AG3764">
        <v>0</v>
      </c>
      <c r="AH3764">
        <v>3</v>
      </c>
      <c r="AI3764">
        <v>2</v>
      </c>
      <c r="AJ3764">
        <v>0</v>
      </c>
      <c r="AK3764" t="s">
        <v>1191</v>
      </c>
      <c r="AL3764">
        <v>39.166753</v>
      </c>
      <c r="AM3764" t="s">
        <v>1164</v>
      </c>
      <c r="AN3764">
        <v>-121.030884</v>
      </c>
      <c r="AO3764">
        <v>25</v>
      </c>
      <c r="AP3764">
        <v>4200</v>
      </c>
      <c r="AQ3764" t="s">
        <v>131</v>
      </c>
      <c r="AR3764">
        <v>3</v>
      </c>
      <c r="AS3764">
        <v>91</v>
      </c>
      <c r="AT3764">
        <v>256</v>
      </c>
      <c r="BB3764" t="str">
        <f t="shared" si="1472"/>
        <v>1200</v>
      </c>
      <c r="BC3764">
        <v>1</v>
      </c>
      <c r="BD3764" t="str">
        <f t="shared" si="1473"/>
        <v xml:space="preserve">N52156  </v>
      </c>
      <c r="BE3764">
        <v>1</v>
      </c>
      <c r="BG3764">
        <v>0</v>
      </c>
      <c r="BH3764">
        <v>0</v>
      </c>
      <c r="BI3764">
        <v>0</v>
      </c>
      <c r="BJ3764">
        <v>4225</v>
      </c>
      <c r="BK3764">
        <v>25</v>
      </c>
      <c r="BL3764" t="s">
        <v>188</v>
      </c>
      <c r="BM3764">
        <v>1</v>
      </c>
      <c r="BN3764">
        <v>1</v>
      </c>
      <c r="BO3764">
        <v>0</v>
      </c>
      <c r="BP3764">
        <v>0</v>
      </c>
      <c r="BS3764">
        <v>0</v>
      </c>
      <c r="BT3764">
        <v>0</v>
      </c>
      <c r="BU3764">
        <v>0</v>
      </c>
      <c r="CE3764" t="str">
        <f t="shared" ref="CE3764:CE3769" si="1491">"15:14:59.287"</f>
        <v>15:14:59.287</v>
      </c>
      <c r="CF3764">
        <v>287489431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4</v>
      </c>
      <c r="CY3764">
        <v>7</v>
      </c>
      <c r="CZ3764" t="s">
        <v>133</v>
      </c>
      <c r="DA3764">
        <v>275</v>
      </c>
      <c r="DB3764">
        <v>0</v>
      </c>
      <c r="DC3764" t="s">
        <v>134</v>
      </c>
      <c r="DD3764" t="s">
        <v>135</v>
      </c>
      <c r="DG3764">
        <v>3322977</v>
      </c>
      <c r="DI3764">
        <v>1</v>
      </c>
      <c r="DJ3764">
        <v>0</v>
      </c>
      <c r="DK3764">
        <v>0</v>
      </c>
      <c r="DL3764">
        <v>0</v>
      </c>
      <c r="DM3764">
        <v>0</v>
      </c>
      <c r="DN3764">
        <v>0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3">
      <c r="A3765" t="str">
        <f>"05/01/2025 15:14:59.489"</f>
        <v>05/01/2025 15:14:59.489</v>
      </c>
      <c r="C3765" t="str">
        <f t="shared" si="1470"/>
        <v>FFDFD3C0</v>
      </c>
      <c r="D3765" t="s">
        <v>145</v>
      </c>
      <c r="E3765" t="str">
        <f>"05"</f>
        <v>05</v>
      </c>
      <c r="H3765">
        <v>47</v>
      </c>
      <c r="I3765" t="s">
        <v>146</v>
      </c>
      <c r="J3765" t="s">
        <v>138</v>
      </c>
      <c r="K3765">
        <v>0</v>
      </c>
      <c r="L3765">
        <v>3</v>
      </c>
      <c r="M3765">
        <v>0</v>
      </c>
      <c r="N3765">
        <v>2</v>
      </c>
      <c r="O3765">
        <v>0</v>
      </c>
      <c r="P3765">
        <v>1</v>
      </c>
      <c r="Q3765">
        <v>0</v>
      </c>
      <c r="R3765" t="s">
        <v>127</v>
      </c>
      <c r="S3765" t="str">
        <f t="shared" si="1490"/>
        <v>15:14:59.000</v>
      </c>
      <c r="T3765" t="str">
        <f t="shared" si="1490"/>
        <v>15:14:59.000</v>
      </c>
      <c r="U3765" t="str">
        <f t="shared" si="1471"/>
        <v>A68FCB</v>
      </c>
      <c r="V3765">
        <v>0</v>
      </c>
      <c r="W3765">
        <v>0</v>
      </c>
      <c r="X3765">
        <v>2</v>
      </c>
      <c r="Y3765">
        <v>0</v>
      </c>
      <c r="AA3765">
        <v>1</v>
      </c>
      <c r="AB3765">
        <v>8</v>
      </c>
      <c r="AC3765">
        <v>3</v>
      </c>
      <c r="AD3765">
        <v>0</v>
      </c>
      <c r="AE3765">
        <v>9</v>
      </c>
      <c r="AF3765" t="s">
        <v>138</v>
      </c>
      <c r="AG3765">
        <v>0</v>
      </c>
      <c r="AH3765">
        <v>3</v>
      </c>
      <c r="AI3765">
        <v>2</v>
      </c>
      <c r="AJ3765">
        <v>0</v>
      </c>
      <c r="AK3765" t="s">
        <v>1191</v>
      </c>
      <c r="AL3765">
        <v>39.166753</v>
      </c>
      <c r="AM3765" t="s">
        <v>1164</v>
      </c>
      <c r="AN3765">
        <v>-121.030884</v>
      </c>
      <c r="AO3765">
        <v>25</v>
      </c>
      <c r="AP3765">
        <v>4200</v>
      </c>
      <c r="AQ3765" t="s">
        <v>131</v>
      </c>
      <c r="AR3765">
        <v>3</v>
      </c>
      <c r="AS3765">
        <v>91</v>
      </c>
      <c r="AT3765">
        <v>256</v>
      </c>
      <c r="BB3765" t="str">
        <f t="shared" si="1472"/>
        <v>1200</v>
      </c>
      <c r="BC3765">
        <v>1</v>
      </c>
      <c r="BD3765" t="str">
        <f t="shared" si="1473"/>
        <v xml:space="preserve">N52156  </v>
      </c>
      <c r="BE3765">
        <v>1</v>
      </c>
      <c r="BG3765">
        <v>0</v>
      </c>
      <c r="BH3765">
        <v>0</v>
      </c>
      <c r="BI3765">
        <v>0</v>
      </c>
      <c r="BJ3765">
        <v>4225</v>
      </c>
      <c r="BK3765">
        <v>25</v>
      </c>
      <c r="BL3765" t="s">
        <v>188</v>
      </c>
      <c r="BM3765">
        <v>1</v>
      </c>
      <c r="BN3765">
        <v>1</v>
      </c>
      <c r="BO3765">
        <v>0</v>
      </c>
      <c r="BP3765">
        <v>0</v>
      </c>
      <c r="BS3765">
        <v>0</v>
      </c>
      <c r="BT3765">
        <v>0</v>
      </c>
      <c r="BU3765">
        <v>0</v>
      </c>
      <c r="CE3765" t="str">
        <f t="shared" si="1491"/>
        <v>15:14:59.287</v>
      </c>
      <c r="CF3765">
        <v>287489431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4</v>
      </c>
      <c r="CY3765">
        <v>7</v>
      </c>
      <c r="CZ3765" t="s">
        <v>133</v>
      </c>
      <c r="DA3765">
        <v>275</v>
      </c>
      <c r="DB3765">
        <v>0</v>
      </c>
      <c r="DC3765" t="s">
        <v>134</v>
      </c>
      <c r="DD3765" t="s">
        <v>135</v>
      </c>
      <c r="DG3765">
        <v>3322977</v>
      </c>
      <c r="DI3765">
        <v>1</v>
      </c>
      <c r="DJ3765">
        <v>0</v>
      </c>
      <c r="DK3765">
        <v>1</v>
      </c>
      <c r="DL3765">
        <v>0</v>
      </c>
      <c r="DM3765">
        <v>0</v>
      </c>
      <c r="DN3765">
        <v>0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3">
      <c r="A3766" t="str">
        <f>"05/01/2025 15:14:59.500"</f>
        <v>05/01/2025 15:14:59.500</v>
      </c>
      <c r="C3766" t="str">
        <f t="shared" si="1470"/>
        <v>FFDFD3C0</v>
      </c>
      <c r="D3766" t="s">
        <v>136</v>
      </c>
      <c r="E3766" t="str">
        <f>"20"</f>
        <v>20</v>
      </c>
      <c r="H3766">
        <v>400</v>
      </c>
      <c r="I3766" t="s">
        <v>137</v>
      </c>
      <c r="J3766" t="s">
        <v>138</v>
      </c>
      <c r="K3766">
        <v>0</v>
      </c>
      <c r="L3766">
        <v>3</v>
      </c>
      <c r="M3766">
        <v>0</v>
      </c>
      <c r="N3766">
        <v>2</v>
      </c>
      <c r="O3766">
        <v>0</v>
      </c>
      <c r="P3766">
        <v>1</v>
      </c>
      <c r="Q3766">
        <v>0</v>
      </c>
      <c r="R3766" t="s">
        <v>127</v>
      </c>
      <c r="S3766" t="str">
        <f t="shared" si="1490"/>
        <v>15:14:59.000</v>
      </c>
      <c r="T3766" t="str">
        <f t="shared" si="1490"/>
        <v>15:14:59.000</v>
      </c>
      <c r="U3766" t="str">
        <f t="shared" si="1471"/>
        <v>A68FCB</v>
      </c>
      <c r="V3766">
        <v>0</v>
      </c>
      <c r="W3766">
        <v>0</v>
      </c>
      <c r="X3766">
        <v>2</v>
      </c>
      <c r="Y3766">
        <v>0</v>
      </c>
      <c r="AA3766">
        <v>1</v>
      </c>
      <c r="AB3766">
        <v>8</v>
      </c>
      <c r="AC3766">
        <v>3</v>
      </c>
      <c r="AD3766">
        <v>0</v>
      </c>
      <c r="AE3766">
        <v>9</v>
      </c>
      <c r="AF3766" t="s">
        <v>138</v>
      </c>
      <c r="AG3766">
        <v>0</v>
      </c>
      <c r="AH3766">
        <v>3</v>
      </c>
      <c r="AI3766">
        <v>2</v>
      </c>
      <c r="AJ3766">
        <v>0</v>
      </c>
      <c r="AK3766" t="s">
        <v>1191</v>
      </c>
      <c r="AL3766">
        <v>39.166753</v>
      </c>
      <c r="AM3766" t="s">
        <v>1164</v>
      </c>
      <c r="AN3766">
        <v>-121.030884</v>
      </c>
      <c r="AO3766">
        <v>25</v>
      </c>
      <c r="AP3766">
        <v>4200</v>
      </c>
      <c r="AQ3766" t="s">
        <v>131</v>
      </c>
      <c r="AR3766">
        <v>3</v>
      </c>
      <c r="AS3766">
        <v>91</v>
      </c>
      <c r="AT3766">
        <v>256</v>
      </c>
      <c r="BB3766" t="str">
        <f t="shared" si="1472"/>
        <v>1200</v>
      </c>
      <c r="BC3766">
        <v>1</v>
      </c>
      <c r="BD3766" t="str">
        <f t="shared" si="1473"/>
        <v xml:space="preserve">N52156  </v>
      </c>
      <c r="BE3766">
        <v>1</v>
      </c>
      <c r="BG3766">
        <v>0</v>
      </c>
      <c r="BH3766">
        <v>0</v>
      </c>
      <c r="BI3766">
        <v>0</v>
      </c>
      <c r="BJ3766">
        <v>4225</v>
      </c>
      <c r="BK3766">
        <v>25</v>
      </c>
      <c r="BL3766" t="s">
        <v>188</v>
      </c>
      <c r="BM3766">
        <v>1</v>
      </c>
      <c r="BN3766">
        <v>1</v>
      </c>
      <c r="BO3766">
        <v>0</v>
      </c>
      <c r="BP3766">
        <v>0</v>
      </c>
      <c r="BS3766">
        <v>0</v>
      </c>
      <c r="BT3766">
        <v>0</v>
      </c>
      <c r="BU3766">
        <v>0</v>
      </c>
      <c r="CE3766" t="str">
        <f t="shared" si="1491"/>
        <v>15:14:59.287</v>
      </c>
      <c r="CF3766">
        <v>287489431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4</v>
      </c>
      <c r="CY3766">
        <v>7</v>
      </c>
      <c r="CZ3766" t="s">
        <v>133</v>
      </c>
      <c r="DA3766">
        <v>275</v>
      </c>
      <c r="DB3766">
        <v>0</v>
      </c>
      <c r="DC3766" t="s">
        <v>134</v>
      </c>
      <c r="DD3766" t="s">
        <v>135</v>
      </c>
      <c r="DG3766">
        <v>3322977</v>
      </c>
      <c r="DI3766">
        <v>1</v>
      </c>
      <c r="DJ3766">
        <v>0</v>
      </c>
      <c r="DK3766">
        <v>1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3">
      <c r="A3767" t="str">
        <f>"05/01/2025 15:14:59.521"</f>
        <v>05/01/2025 15:14:59.521</v>
      </c>
      <c r="C3767" t="str">
        <f t="shared" si="1470"/>
        <v>FFDFD3C0</v>
      </c>
      <c r="D3767" t="s">
        <v>143</v>
      </c>
      <c r="E3767" t="str">
        <f>"05"</f>
        <v>05</v>
      </c>
      <c r="H3767">
        <v>172</v>
      </c>
      <c r="I3767" t="s">
        <v>141</v>
      </c>
      <c r="J3767" t="s">
        <v>144</v>
      </c>
      <c r="K3767">
        <v>0</v>
      </c>
      <c r="L3767">
        <v>3</v>
      </c>
      <c r="M3767">
        <v>0</v>
      </c>
      <c r="N3767">
        <v>2</v>
      </c>
      <c r="O3767">
        <v>0</v>
      </c>
      <c r="P3767">
        <v>1</v>
      </c>
      <c r="Q3767">
        <v>0</v>
      </c>
      <c r="R3767" t="s">
        <v>127</v>
      </c>
      <c r="S3767" t="str">
        <f t="shared" si="1490"/>
        <v>15:14:59.000</v>
      </c>
      <c r="T3767" t="str">
        <f t="shared" si="1490"/>
        <v>15:14:59.000</v>
      </c>
      <c r="U3767" t="str">
        <f t="shared" si="1471"/>
        <v>A68FCB</v>
      </c>
      <c r="V3767">
        <v>0</v>
      </c>
      <c r="W3767">
        <v>0</v>
      </c>
      <c r="X3767">
        <v>2</v>
      </c>
      <c r="Y3767">
        <v>0</v>
      </c>
      <c r="AA3767">
        <v>1</v>
      </c>
      <c r="AB3767">
        <v>8</v>
      </c>
      <c r="AC3767">
        <v>3</v>
      </c>
      <c r="AD3767">
        <v>0</v>
      </c>
      <c r="AE3767">
        <v>9</v>
      </c>
      <c r="AF3767" t="s">
        <v>138</v>
      </c>
      <c r="AG3767">
        <v>0</v>
      </c>
      <c r="AH3767">
        <v>3</v>
      </c>
      <c r="AI3767">
        <v>2</v>
      </c>
      <c r="AJ3767">
        <v>0</v>
      </c>
      <c r="AK3767" t="s">
        <v>1191</v>
      </c>
      <c r="AL3767">
        <v>39.166753</v>
      </c>
      <c r="AM3767" t="s">
        <v>1164</v>
      </c>
      <c r="AN3767">
        <v>-121.030884</v>
      </c>
      <c r="AO3767">
        <v>25</v>
      </c>
      <c r="AP3767">
        <v>4200</v>
      </c>
      <c r="AQ3767" t="s">
        <v>131</v>
      </c>
      <c r="AR3767">
        <v>3</v>
      </c>
      <c r="AS3767">
        <v>91</v>
      </c>
      <c r="AT3767">
        <v>256</v>
      </c>
      <c r="BB3767" t="str">
        <f t="shared" si="1472"/>
        <v>1200</v>
      </c>
      <c r="BC3767">
        <v>1</v>
      </c>
      <c r="BD3767" t="str">
        <f t="shared" si="1473"/>
        <v xml:space="preserve">N52156  </v>
      </c>
      <c r="BE3767">
        <v>1</v>
      </c>
      <c r="BG3767">
        <v>0</v>
      </c>
      <c r="BH3767">
        <v>0</v>
      </c>
      <c r="BI3767">
        <v>0</v>
      </c>
      <c r="BJ3767">
        <v>4225</v>
      </c>
      <c r="BK3767">
        <v>25</v>
      </c>
      <c r="BL3767" t="s">
        <v>188</v>
      </c>
      <c r="BM3767">
        <v>1</v>
      </c>
      <c r="BN3767">
        <v>1</v>
      </c>
      <c r="BO3767">
        <v>0</v>
      </c>
      <c r="BP3767">
        <v>0</v>
      </c>
      <c r="BS3767">
        <v>0</v>
      </c>
      <c r="BT3767">
        <v>0</v>
      </c>
      <c r="BU3767">
        <v>0</v>
      </c>
      <c r="CE3767" t="str">
        <f t="shared" si="1491"/>
        <v>15:14:59.287</v>
      </c>
      <c r="CF3767">
        <v>287489431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4</v>
      </c>
      <c r="CY3767">
        <v>7</v>
      </c>
      <c r="CZ3767" t="s">
        <v>133</v>
      </c>
      <c r="DA3767">
        <v>275</v>
      </c>
      <c r="DB3767">
        <v>0</v>
      </c>
      <c r="DC3767" t="s">
        <v>134</v>
      </c>
      <c r="DD3767" t="s">
        <v>135</v>
      </c>
      <c r="DG3767">
        <v>3322977</v>
      </c>
      <c r="DI3767">
        <v>1</v>
      </c>
      <c r="DJ3767">
        <v>0</v>
      </c>
      <c r="DK3767">
        <v>1</v>
      </c>
      <c r="DL3767">
        <v>0</v>
      </c>
      <c r="DM3767">
        <v>0</v>
      </c>
      <c r="DN3767">
        <v>0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3">
      <c r="A3768" t="str">
        <f>"05/01/2025 15:14:59.526"</f>
        <v>05/01/2025 15:14:59.526</v>
      </c>
      <c r="C3768" t="str">
        <f t="shared" si="1470"/>
        <v>FFDFD3C0</v>
      </c>
      <c r="D3768" t="s">
        <v>124</v>
      </c>
      <c r="E3768" t="str">
        <f>"06"</f>
        <v>06</v>
      </c>
      <c r="F3768">
        <v>2006</v>
      </c>
      <c r="G3768" t="s">
        <v>125</v>
      </c>
      <c r="J3768" t="s">
        <v>126</v>
      </c>
      <c r="K3768">
        <v>0</v>
      </c>
      <c r="L3768">
        <v>3</v>
      </c>
      <c r="M3768">
        <v>0</v>
      </c>
      <c r="N3768">
        <v>2</v>
      </c>
      <c r="O3768">
        <v>0</v>
      </c>
      <c r="P3768">
        <v>1</v>
      </c>
      <c r="Q3768">
        <v>0</v>
      </c>
      <c r="R3768" t="s">
        <v>127</v>
      </c>
      <c r="S3768" t="str">
        <f t="shared" si="1490"/>
        <v>15:14:59.000</v>
      </c>
      <c r="T3768" t="str">
        <f t="shared" si="1490"/>
        <v>15:14:59.000</v>
      </c>
      <c r="U3768" t="str">
        <f t="shared" si="1471"/>
        <v>A68FCB</v>
      </c>
      <c r="V3768">
        <v>0</v>
      </c>
      <c r="W3768">
        <v>0</v>
      </c>
      <c r="X3768">
        <v>2</v>
      </c>
      <c r="Y3768">
        <v>0</v>
      </c>
      <c r="AA3768">
        <v>1</v>
      </c>
      <c r="AB3768">
        <v>8</v>
      </c>
      <c r="AC3768">
        <v>3</v>
      </c>
      <c r="AD3768">
        <v>0</v>
      </c>
      <c r="AE3768">
        <v>9</v>
      </c>
      <c r="AF3768" t="s">
        <v>138</v>
      </c>
      <c r="AG3768">
        <v>0</v>
      </c>
      <c r="AH3768">
        <v>3</v>
      </c>
      <c r="AI3768">
        <v>2</v>
      </c>
      <c r="AJ3768">
        <v>0</v>
      </c>
      <c r="AK3768" t="s">
        <v>1191</v>
      </c>
      <c r="AL3768">
        <v>39.166753</v>
      </c>
      <c r="AM3768" t="s">
        <v>1164</v>
      </c>
      <c r="AN3768">
        <v>-121.030884</v>
      </c>
      <c r="AO3768">
        <v>25</v>
      </c>
      <c r="AP3768">
        <v>4200</v>
      </c>
      <c r="AQ3768" t="s">
        <v>131</v>
      </c>
      <c r="AR3768">
        <v>3</v>
      </c>
      <c r="AS3768">
        <v>91</v>
      </c>
      <c r="AT3768">
        <v>256</v>
      </c>
      <c r="BB3768" t="str">
        <f t="shared" si="1472"/>
        <v>1200</v>
      </c>
      <c r="BC3768">
        <v>1</v>
      </c>
      <c r="BD3768" t="str">
        <f t="shared" si="1473"/>
        <v xml:space="preserve">N52156  </v>
      </c>
      <c r="BE3768">
        <v>1</v>
      </c>
      <c r="BG3768">
        <v>0</v>
      </c>
      <c r="BH3768">
        <v>0</v>
      </c>
      <c r="BI3768">
        <v>0</v>
      </c>
      <c r="BJ3768">
        <v>4225</v>
      </c>
      <c r="BK3768">
        <v>25</v>
      </c>
      <c r="BL3768" t="s">
        <v>188</v>
      </c>
      <c r="BM3768">
        <v>1</v>
      </c>
      <c r="BN3768">
        <v>1</v>
      </c>
      <c r="BO3768">
        <v>0</v>
      </c>
      <c r="BP3768">
        <v>0</v>
      </c>
      <c r="BS3768">
        <v>0</v>
      </c>
      <c r="BT3768">
        <v>0</v>
      </c>
      <c r="BU3768">
        <v>0</v>
      </c>
      <c r="CE3768" t="str">
        <f t="shared" si="1491"/>
        <v>15:14:59.287</v>
      </c>
      <c r="CF3768">
        <v>287489431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4</v>
      </c>
      <c r="CY3768">
        <v>7</v>
      </c>
      <c r="CZ3768" t="s">
        <v>133</v>
      </c>
      <c r="DA3768">
        <v>275</v>
      </c>
      <c r="DB3768">
        <v>0</v>
      </c>
      <c r="DC3768" t="s">
        <v>134</v>
      </c>
      <c r="DD3768" t="s">
        <v>135</v>
      </c>
      <c r="DG3768">
        <v>3322977</v>
      </c>
      <c r="DI3768">
        <v>1</v>
      </c>
      <c r="DJ3768">
        <v>0</v>
      </c>
      <c r="DK3768">
        <v>1</v>
      </c>
      <c r="DL3768">
        <v>0</v>
      </c>
      <c r="DM3768">
        <v>0</v>
      </c>
      <c r="DN3768">
        <v>0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3">
      <c r="A3769" t="str">
        <f>"05/01/2025 15:14:59.522"</f>
        <v>05/01/2025 15:14:59.522</v>
      </c>
      <c r="C3769" t="str">
        <f t="shared" si="1470"/>
        <v>FFDFD3C0</v>
      </c>
      <c r="D3769" t="s">
        <v>140</v>
      </c>
      <c r="E3769" t="str">
        <f>"13"</f>
        <v>13</v>
      </c>
      <c r="F3769">
        <v>1019</v>
      </c>
      <c r="G3769" t="s">
        <v>141</v>
      </c>
      <c r="J3769" t="s">
        <v>142</v>
      </c>
      <c r="K3769">
        <v>0</v>
      </c>
      <c r="L3769">
        <v>3</v>
      </c>
      <c r="M3769">
        <v>0</v>
      </c>
      <c r="N3769">
        <v>2</v>
      </c>
      <c r="O3769">
        <v>0</v>
      </c>
      <c r="P3769">
        <v>1</v>
      </c>
      <c r="Q3769">
        <v>0</v>
      </c>
      <c r="R3769" t="s">
        <v>127</v>
      </c>
      <c r="S3769" t="str">
        <f t="shared" si="1490"/>
        <v>15:14:59.000</v>
      </c>
      <c r="T3769" t="str">
        <f t="shared" si="1490"/>
        <v>15:14:59.000</v>
      </c>
      <c r="U3769" t="str">
        <f t="shared" si="1471"/>
        <v>A68FCB</v>
      </c>
      <c r="V3769">
        <v>0</v>
      </c>
      <c r="W3769">
        <v>0</v>
      </c>
      <c r="X3769">
        <v>2</v>
      </c>
      <c r="Y3769">
        <v>0</v>
      </c>
      <c r="AA3769">
        <v>1</v>
      </c>
      <c r="AB3769">
        <v>8</v>
      </c>
      <c r="AC3769">
        <v>3</v>
      </c>
      <c r="AD3769">
        <v>0</v>
      </c>
      <c r="AE3769">
        <v>9</v>
      </c>
      <c r="AF3769" t="s">
        <v>138</v>
      </c>
      <c r="AG3769">
        <v>0</v>
      </c>
      <c r="AH3769">
        <v>3</v>
      </c>
      <c r="AI3769">
        <v>2</v>
      </c>
      <c r="AJ3769">
        <v>0</v>
      </c>
      <c r="AK3769" t="s">
        <v>1191</v>
      </c>
      <c r="AL3769">
        <v>39.166753</v>
      </c>
      <c r="AM3769" t="s">
        <v>1164</v>
      </c>
      <c r="AN3769">
        <v>-121.030884</v>
      </c>
      <c r="AO3769">
        <v>25</v>
      </c>
      <c r="AP3769">
        <v>4200</v>
      </c>
      <c r="AQ3769" t="s">
        <v>131</v>
      </c>
      <c r="AR3769">
        <v>3</v>
      </c>
      <c r="AS3769">
        <v>91</v>
      </c>
      <c r="AT3769">
        <v>256</v>
      </c>
      <c r="BB3769" t="str">
        <f t="shared" si="1472"/>
        <v>1200</v>
      </c>
      <c r="BC3769">
        <v>1</v>
      </c>
      <c r="BD3769" t="str">
        <f t="shared" si="1473"/>
        <v xml:space="preserve">N52156  </v>
      </c>
      <c r="BE3769">
        <v>1</v>
      </c>
      <c r="BG3769">
        <v>0</v>
      </c>
      <c r="BH3769">
        <v>0</v>
      </c>
      <c r="BI3769">
        <v>0</v>
      </c>
      <c r="BJ3769">
        <v>4225</v>
      </c>
      <c r="BK3769">
        <v>25</v>
      </c>
      <c r="BL3769" t="s">
        <v>188</v>
      </c>
      <c r="BM3769">
        <v>1</v>
      </c>
      <c r="BN3769">
        <v>1</v>
      </c>
      <c r="BO3769">
        <v>0</v>
      </c>
      <c r="BP3769">
        <v>0</v>
      </c>
      <c r="BS3769">
        <v>0</v>
      </c>
      <c r="BT3769">
        <v>0</v>
      </c>
      <c r="BU3769">
        <v>0</v>
      </c>
      <c r="CE3769" t="str">
        <f t="shared" si="1491"/>
        <v>15:14:59.287</v>
      </c>
      <c r="CF3769">
        <v>287489431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4</v>
      </c>
      <c r="CY3769">
        <v>7</v>
      </c>
      <c r="CZ3769" t="s">
        <v>133</v>
      </c>
      <c r="DA3769">
        <v>275</v>
      </c>
      <c r="DB3769">
        <v>0</v>
      </c>
      <c r="DC3769" t="s">
        <v>134</v>
      </c>
      <c r="DD3769" t="s">
        <v>135</v>
      </c>
      <c r="DG3769">
        <v>3322977</v>
      </c>
      <c r="DI3769">
        <v>1</v>
      </c>
      <c r="DJ3769">
        <v>0</v>
      </c>
      <c r="DK3769">
        <v>1</v>
      </c>
      <c r="DL3769">
        <v>0</v>
      </c>
      <c r="DM3769">
        <v>0</v>
      </c>
      <c r="DN3769">
        <v>0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3">
      <c r="A3770" t="str">
        <f>"05/01/2025 15:15:00.539"</f>
        <v>05/01/2025 15:15:00.539</v>
      </c>
      <c r="C3770" t="str">
        <f t="shared" si="1470"/>
        <v>FFDFD3C0</v>
      </c>
      <c r="D3770" t="s">
        <v>145</v>
      </c>
      <c r="E3770" t="str">
        <f>"09"</f>
        <v>09</v>
      </c>
      <c r="H3770">
        <v>51</v>
      </c>
      <c r="I3770" t="s">
        <v>147</v>
      </c>
      <c r="J3770" t="s">
        <v>138</v>
      </c>
      <c r="K3770">
        <v>0</v>
      </c>
      <c r="L3770">
        <v>3</v>
      </c>
      <c r="M3770">
        <v>0</v>
      </c>
      <c r="N3770">
        <v>2</v>
      </c>
      <c r="O3770">
        <v>0</v>
      </c>
      <c r="P3770">
        <v>1</v>
      </c>
      <c r="Q3770">
        <v>0</v>
      </c>
      <c r="R3770" t="s">
        <v>127</v>
      </c>
      <c r="S3770" t="str">
        <f t="shared" ref="S3770:T3775" si="1492">"15:15:00.000"</f>
        <v>15:15:00.000</v>
      </c>
      <c r="T3770" t="str">
        <f t="shared" si="1492"/>
        <v>15:15:00.000</v>
      </c>
      <c r="U3770" t="str">
        <f t="shared" si="1471"/>
        <v>A68FCB</v>
      </c>
      <c r="V3770">
        <v>0</v>
      </c>
      <c r="W3770">
        <v>0</v>
      </c>
      <c r="X3770">
        <v>2</v>
      </c>
      <c r="Y3770">
        <v>0</v>
      </c>
      <c r="AA3770">
        <v>1</v>
      </c>
      <c r="AB3770">
        <v>8</v>
      </c>
      <c r="AC3770">
        <v>3</v>
      </c>
      <c r="AD3770">
        <v>0</v>
      </c>
      <c r="AE3770">
        <v>9</v>
      </c>
      <c r="AF3770" t="s">
        <v>138</v>
      </c>
      <c r="AG3770">
        <v>0</v>
      </c>
      <c r="AH3770">
        <v>3</v>
      </c>
      <c r="AI3770">
        <v>2</v>
      </c>
      <c r="AJ3770">
        <v>0</v>
      </c>
      <c r="AK3770" t="s">
        <v>1192</v>
      </c>
      <c r="AL3770">
        <v>39.167161</v>
      </c>
      <c r="AM3770" t="s">
        <v>1167</v>
      </c>
      <c r="AN3770">
        <v>-121.030862</v>
      </c>
      <c r="AO3770">
        <v>25</v>
      </c>
      <c r="AP3770">
        <v>4200</v>
      </c>
      <c r="AQ3770" t="s">
        <v>131</v>
      </c>
      <c r="AR3770">
        <v>5</v>
      </c>
      <c r="AS3770">
        <v>90</v>
      </c>
      <c r="AT3770">
        <v>256</v>
      </c>
      <c r="BB3770" t="str">
        <f t="shared" si="1472"/>
        <v>1200</v>
      </c>
      <c r="BC3770">
        <v>1</v>
      </c>
      <c r="BD3770" t="str">
        <f t="shared" si="1473"/>
        <v xml:space="preserve">N52156  </v>
      </c>
      <c r="BE3770">
        <v>1</v>
      </c>
      <c r="BG3770">
        <v>0</v>
      </c>
      <c r="BH3770">
        <v>0</v>
      </c>
      <c r="BI3770">
        <v>0</v>
      </c>
      <c r="BJ3770">
        <v>4225</v>
      </c>
      <c r="BK3770">
        <v>25</v>
      </c>
      <c r="BL3770" t="s">
        <v>188</v>
      </c>
      <c r="BM3770">
        <v>1</v>
      </c>
      <c r="BN3770">
        <v>1</v>
      </c>
      <c r="BO3770">
        <v>0</v>
      </c>
      <c r="BP3770">
        <v>0</v>
      </c>
      <c r="BS3770">
        <v>0</v>
      </c>
      <c r="BT3770">
        <v>0</v>
      </c>
      <c r="BU3770">
        <v>0</v>
      </c>
      <c r="CE3770" t="str">
        <f t="shared" ref="CE3770:CE3775" si="1493">"15:15:00.338"</f>
        <v>15:15:00.338</v>
      </c>
      <c r="CF3770">
        <v>337989617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4</v>
      </c>
      <c r="CY3770">
        <v>7</v>
      </c>
      <c r="CZ3770" t="s">
        <v>133</v>
      </c>
      <c r="DA3770">
        <v>275</v>
      </c>
      <c r="DB3770">
        <v>0</v>
      </c>
      <c r="DC3770" t="s">
        <v>134</v>
      </c>
      <c r="DD3770" t="s">
        <v>135</v>
      </c>
      <c r="DG3770">
        <v>3322980</v>
      </c>
      <c r="DI3770">
        <v>1</v>
      </c>
      <c r="DJ3770">
        <v>0</v>
      </c>
      <c r="DK3770">
        <v>0</v>
      </c>
      <c r="DL3770">
        <v>0</v>
      </c>
      <c r="DM3770">
        <v>0</v>
      </c>
      <c r="DN3770">
        <v>0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3">
      <c r="A3771" t="str">
        <f>"05/01/2025 15:15:00.541"</f>
        <v>05/01/2025 15:15:00.541</v>
      </c>
      <c r="C3771" t="str">
        <f t="shared" si="1470"/>
        <v>FFDFD3C0</v>
      </c>
      <c r="D3771" t="s">
        <v>145</v>
      </c>
      <c r="E3771" t="str">
        <f>"05"</f>
        <v>05</v>
      </c>
      <c r="H3771">
        <v>47</v>
      </c>
      <c r="I3771" t="s">
        <v>146</v>
      </c>
      <c r="J3771" t="s">
        <v>138</v>
      </c>
      <c r="K3771">
        <v>0</v>
      </c>
      <c r="L3771">
        <v>3</v>
      </c>
      <c r="M3771">
        <v>0</v>
      </c>
      <c r="N3771">
        <v>2</v>
      </c>
      <c r="O3771">
        <v>0</v>
      </c>
      <c r="P3771">
        <v>1</v>
      </c>
      <c r="Q3771">
        <v>0</v>
      </c>
      <c r="R3771" t="s">
        <v>127</v>
      </c>
      <c r="S3771" t="str">
        <f t="shared" si="1492"/>
        <v>15:15:00.000</v>
      </c>
      <c r="T3771" t="str">
        <f t="shared" si="1492"/>
        <v>15:15:00.000</v>
      </c>
      <c r="U3771" t="str">
        <f t="shared" si="1471"/>
        <v>A68FCB</v>
      </c>
      <c r="V3771">
        <v>0</v>
      </c>
      <c r="W3771">
        <v>0</v>
      </c>
      <c r="X3771">
        <v>2</v>
      </c>
      <c r="Y3771">
        <v>0</v>
      </c>
      <c r="AA3771">
        <v>1</v>
      </c>
      <c r="AB3771">
        <v>8</v>
      </c>
      <c r="AC3771">
        <v>3</v>
      </c>
      <c r="AD3771">
        <v>0</v>
      </c>
      <c r="AE3771">
        <v>9</v>
      </c>
      <c r="AF3771" t="s">
        <v>138</v>
      </c>
      <c r="AG3771">
        <v>0</v>
      </c>
      <c r="AH3771">
        <v>3</v>
      </c>
      <c r="AI3771">
        <v>2</v>
      </c>
      <c r="AJ3771">
        <v>0</v>
      </c>
      <c r="AK3771" t="s">
        <v>1192</v>
      </c>
      <c r="AL3771">
        <v>39.167161</v>
      </c>
      <c r="AM3771" t="s">
        <v>1167</v>
      </c>
      <c r="AN3771">
        <v>-121.030862</v>
      </c>
      <c r="AO3771">
        <v>25</v>
      </c>
      <c r="AP3771">
        <v>4200</v>
      </c>
      <c r="AQ3771" t="s">
        <v>131</v>
      </c>
      <c r="AR3771">
        <v>5</v>
      </c>
      <c r="AS3771">
        <v>90</v>
      </c>
      <c r="AT3771">
        <v>256</v>
      </c>
      <c r="BB3771" t="str">
        <f t="shared" si="1472"/>
        <v>1200</v>
      </c>
      <c r="BC3771">
        <v>1</v>
      </c>
      <c r="BD3771" t="str">
        <f t="shared" si="1473"/>
        <v xml:space="preserve">N52156  </v>
      </c>
      <c r="BE3771">
        <v>1</v>
      </c>
      <c r="BG3771">
        <v>0</v>
      </c>
      <c r="BH3771">
        <v>0</v>
      </c>
      <c r="BI3771">
        <v>0</v>
      </c>
      <c r="BJ3771">
        <v>4225</v>
      </c>
      <c r="BK3771">
        <v>25</v>
      </c>
      <c r="BL3771" t="s">
        <v>188</v>
      </c>
      <c r="BM3771">
        <v>1</v>
      </c>
      <c r="BN3771">
        <v>1</v>
      </c>
      <c r="BO3771">
        <v>0</v>
      </c>
      <c r="BP3771">
        <v>0</v>
      </c>
      <c r="BS3771">
        <v>0</v>
      </c>
      <c r="BT3771">
        <v>0</v>
      </c>
      <c r="BU3771">
        <v>0</v>
      </c>
      <c r="CE3771" t="str">
        <f t="shared" si="1493"/>
        <v>15:15:00.338</v>
      </c>
      <c r="CF3771">
        <v>337989617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4</v>
      </c>
      <c r="CY3771">
        <v>7</v>
      </c>
      <c r="CZ3771" t="s">
        <v>133</v>
      </c>
      <c r="DA3771">
        <v>275</v>
      </c>
      <c r="DB3771">
        <v>0</v>
      </c>
      <c r="DC3771" t="s">
        <v>134</v>
      </c>
      <c r="DD3771" t="s">
        <v>135</v>
      </c>
      <c r="DG3771">
        <v>3322980</v>
      </c>
      <c r="DI3771">
        <v>1</v>
      </c>
      <c r="DJ3771">
        <v>0</v>
      </c>
      <c r="DK3771">
        <v>1</v>
      </c>
      <c r="DL3771">
        <v>0</v>
      </c>
      <c r="DM3771">
        <v>0</v>
      </c>
      <c r="DN3771">
        <v>0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3">
      <c r="A3772" t="str">
        <f>"05/01/2025 15:15:00.552"</f>
        <v>05/01/2025 15:15:00.552</v>
      </c>
      <c r="C3772" t="str">
        <f t="shared" si="1470"/>
        <v>FFDFD3C0</v>
      </c>
      <c r="D3772" t="s">
        <v>136</v>
      </c>
      <c r="E3772" t="str">
        <f>"20"</f>
        <v>20</v>
      </c>
      <c r="H3772">
        <v>400</v>
      </c>
      <c r="I3772" t="s">
        <v>137</v>
      </c>
      <c r="J3772" t="s">
        <v>138</v>
      </c>
      <c r="K3772">
        <v>0</v>
      </c>
      <c r="L3772">
        <v>3</v>
      </c>
      <c r="M3772">
        <v>0</v>
      </c>
      <c r="N3772">
        <v>2</v>
      </c>
      <c r="O3772">
        <v>0</v>
      </c>
      <c r="P3772">
        <v>1</v>
      </c>
      <c r="Q3772">
        <v>0</v>
      </c>
      <c r="R3772" t="s">
        <v>127</v>
      </c>
      <c r="S3772" t="str">
        <f t="shared" si="1492"/>
        <v>15:15:00.000</v>
      </c>
      <c r="T3772" t="str">
        <f t="shared" si="1492"/>
        <v>15:15:00.000</v>
      </c>
      <c r="U3772" t="str">
        <f t="shared" si="1471"/>
        <v>A68FCB</v>
      </c>
      <c r="V3772">
        <v>0</v>
      </c>
      <c r="W3772">
        <v>0</v>
      </c>
      <c r="X3772">
        <v>2</v>
      </c>
      <c r="Y3772">
        <v>0</v>
      </c>
      <c r="AA3772">
        <v>1</v>
      </c>
      <c r="AB3772">
        <v>8</v>
      </c>
      <c r="AC3772">
        <v>3</v>
      </c>
      <c r="AD3772">
        <v>0</v>
      </c>
      <c r="AE3772">
        <v>9</v>
      </c>
      <c r="AF3772" t="s">
        <v>138</v>
      </c>
      <c r="AG3772">
        <v>0</v>
      </c>
      <c r="AH3772">
        <v>3</v>
      </c>
      <c r="AI3772">
        <v>2</v>
      </c>
      <c r="AJ3772">
        <v>0</v>
      </c>
      <c r="AK3772" t="s">
        <v>1192</v>
      </c>
      <c r="AL3772">
        <v>39.167161</v>
      </c>
      <c r="AM3772" t="s">
        <v>1167</v>
      </c>
      <c r="AN3772">
        <v>-121.030862</v>
      </c>
      <c r="AO3772">
        <v>25</v>
      </c>
      <c r="AP3772">
        <v>4200</v>
      </c>
      <c r="AQ3772" t="s">
        <v>131</v>
      </c>
      <c r="AR3772">
        <v>5</v>
      </c>
      <c r="AS3772">
        <v>90</v>
      </c>
      <c r="AT3772">
        <v>256</v>
      </c>
      <c r="BB3772" t="str">
        <f t="shared" si="1472"/>
        <v>1200</v>
      </c>
      <c r="BC3772">
        <v>1</v>
      </c>
      <c r="BD3772" t="str">
        <f t="shared" si="1473"/>
        <v xml:space="preserve">N52156  </v>
      </c>
      <c r="BE3772">
        <v>1</v>
      </c>
      <c r="BG3772">
        <v>0</v>
      </c>
      <c r="BH3772">
        <v>0</v>
      </c>
      <c r="BI3772">
        <v>0</v>
      </c>
      <c r="BJ3772">
        <v>4225</v>
      </c>
      <c r="BK3772">
        <v>25</v>
      </c>
      <c r="BL3772" t="s">
        <v>188</v>
      </c>
      <c r="BM3772">
        <v>1</v>
      </c>
      <c r="BN3772">
        <v>1</v>
      </c>
      <c r="BO3772">
        <v>0</v>
      </c>
      <c r="BP3772">
        <v>0</v>
      </c>
      <c r="BS3772">
        <v>0</v>
      </c>
      <c r="BT3772">
        <v>0</v>
      </c>
      <c r="BU3772">
        <v>0</v>
      </c>
      <c r="CE3772" t="str">
        <f t="shared" si="1493"/>
        <v>15:15:00.338</v>
      </c>
      <c r="CF3772">
        <v>337989617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4</v>
      </c>
      <c r="CY3772">
        <v>7</v>
      </c>
      <c r="CZ3772" t="s">
        <v>133</v>
      </c>
      <c r="DA3772">
        <v>275</v>
      </c>
      <c r="DB3772">
        <v>0</v>
      </c>
      <c r="DC3772" t="s">
        <v>134</v>
      </c>
      <c r="DD3772" t="s">
        <v>135</v>
      </c>
      <c r="DG3772">
        <v>3322980</v>
      </c>
      <c r="DI3772">
        <v>1</v>
      </c>
      <c r="DJ3772">
        <v>0</v>
      </c>
      <c r="DK3772">
        <v>1</v>
      </c>
      <c r="DL3772">
        <v>0</v>
      </c>
      <c r="DM3772">
        <v>0</v>
      </c>
      <c r="DN3772">
        <v>0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3">
      <c r="A3773" t="str">
        <f>"05/01/2025 15:15:00.573"</f>
        <v>05/01/2025 15:15:00.573</v>
      </c>
      <c r="C3773" t="str">
        <f t="shared" si="1470"/>
        <v>FFDFD3C0</v>
      </c>
      <c r="D3773" t="s">
        <v>143</v>
      </c>
      <c r="E3773" t="str">
        <f>"05"</f>
        <v>05</v>
      </c>
      <c r="H3773">
        <v>172</v>
      </c>
      <c r="I3773" t="s">
        <v>141</v>
      </c>
      <c r="J3773" t="s">
        <v>144</v>
      </c>
      <c r="K3773">
        <v>0</v>
      </c>
      <c r="L3773">
        <v>3</v>
      </c>
      <c r="M3773">
        <v>0</v>
      </c>
      <c r="N3773">
        <v>2</v>
      </c>
      <c r="O3773">
        <v>0</v>
      </c>
      <c r="P3773">
        <v>1</v>
      </c>
      <c r="Q3773">
        <v>0</v>
      </c>
      <c r="R3773" t="s">
        <v>127</v>
      </c>
      <c r="S3773" t="str">
        <f t="shared" si="1492"/>
        <v>15:15:00.000</v>
      </c>
      <c r="T3773" t="str">
        <f t="shared" si="1492"/>
        <v>15:15:00.000</v>
      </c>
      <c r="U3773" t="str">
        <f t="shared" si="1471"/>
        <v>A68FCB</v>
      </c>
      <c r="V3773">
        <v>0</v>
      </c>
      <c r="W3773">
        <v>0</v>
      </c>
      <c r="X3773">
        <v>2</v>
      </c>
      <c r="Y3773">
        <v>0</v>
      </c>
      <c r="AA3773">
        <v>1</v>
      </c>
      <c r="AB3773">
        <v>8</v>
      </c>
      <c r="AC3773">
        <v>3</v>
      </c>
      <c r="AD3773">
        <v>0</v>
      </c>
      <c r="AE3773">
        <v>9</v>
      </c>
      <c r="AF3773" t="s">
        <v>138</v>
      </c>
      <c r="AG3773">
        <v>0</v>
      </c>
      <c r="AH3773">
        <v>3</v>
      </c>
      <c r="AI3773">
        <v>2</v>
      </c>
      <c r="AJ3773">
        <v>0</v>
      </c>
      <c r="AK3773" t="s">
        <v>1192</v>
      </c>
      <c r="AL3773">
        <v>39.167161</v>
      </c>
      <c r="AM3773" t="s">
        <v>1167</v>
      </c>
      <c r="AN3773">
        <v>-121.030862</v>
      </c>
      <c r="AO3773">
        <v>25</v>
      </c>
      <c r="AP3773">
        <v>4200</v>
      </c>
      <c r="AQ3773" t="s">
        <v>131</v>
      </c>
      <c r="AR3773">
        <v>5</v>
      </c>
      <c r="AS3773">
        <v>90</v>
      </c>
      <c r="AT3773">
        <v>256</v>
      </c>
      <c r="BB3773" t="str">
        <f t="shared" si="1472"/>
        <v>1200</v>
      </c>
      <c r="BC3773">
        <v>1</v>
      </c>
      <c r="BD3773" t="str">
        <f t="shared" si="1473"/>
        <v xml:space="preserve">N52156  </v>
      </c>
      <c r="BE3773">
        <v>1</v>
      </c>
      <c r="BG3773">
        <v>0</v>
      </c>
      <c r="BH3773">
        <v>0</v>
      </c>
      <c r="BI3773">
        <v>0</v>
      </c>
      <c r="BJ3773">
        <v>4225</v>
      </c>
      <c r="BK3773">
        <v>25</v>
      </c>
      <c r="BL3773" t="s">
        <v>188</v>
      </c>
      <c r="BM3773">
        <v>1</v>
      </c>
      <c r="BN3773">
        <v>1</v>
      </c>
      <c r="BO3773">
        <v>0</v>
      </c>
      <c r="BP3773">
        <v>0</v>
      </c>
      <c r="BS3773">
        <v>0</v>
      </c>
      <c r="BT3773">
        <v>0</v>
      </c>
      <c r="BU3773">
        <v>0</v>
      </c>
      <c r="CE3773" t="str">
        <f t="shared" si="1493"/>
        <v>15:15:00.338</v>
      </c>
      <c r="CF3773">
        <v>337989617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4</v>
      </c>
      <c r="CY3773">
        <v>7</v>
      </c>
      <c r="CZ3773" t="s">
        <v>133</v>
      </c>
      <c r="DA3773">
        <v>275</v>
      </c>
      <c r="DB3773">
        <v>0</v>
      </c>
      <c r="DC3773" t="s">
        <v>134</v>
      </c>
      <c r="DD3773" t="s">
        <v>135</v>
      </c>
      <c r="DG3773">
        <v>3322980</v>
      </c>
      <c r="DI3773">
        <v>1</v>
      </c>
      <c r="DJ3773">
        <v>0</v>
      </c>
      <c r="DK3773">
        <v>1</v>
      </c>
      <c r="DL3773">
        <v>0</v>
      </c>
      <c r="DM3773">
        <v>0</v>
      </c>
      <c r="DN3773">
        <v>0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3">
      <c r="A3774" t="str">
        <f>"05/01/2025 15:15:00.574"</f>
        <v>05/01/2025 15:15:00.574</v>
      </c>
      <c r="C3774" t="str">
        <f t="shared" si="1470"/>
        <v>FFDFD3C0</v>
      </c>
      <c r="D3774" t="s">
        <v>140</v>
      </c>
      <c r="E3774" t="str">
        <f>"13"</f>
        <v>13</v>
      </c>
      <c r="F3774">
        <v>1019</v>
      </c>
      <c r="G3774" t="s">
        <v>141</v>
      </c>
      <c r="J3774" t="s">
        <v>142</v>
      </c>
      <c r="K3774">
        <v>0</v>
      </c>
      <c r="L3774">
        <v>3</v>
      </c>
      <c r="M3774">
        <v>0</v>
      </c>
      <c r="N3774">
        <v>2</v>
      </c>
      <c r="O3774">
        <v>0</v>
      </c>
      <c r="P3774">
        <v>1</v>
      </c>
      <c r="Q3774">
        <v>0</v>
      </c>
      <c r="R3774" t="s">
        <v>127</v>
      </c>
      <c r="S3774" t="str">
        <f t="shared" si="1492"/>
        <v>15:15:00.000</v>
      </c>
      <c r="T3774" t="str">
        <f t="shared" si="1492"/>
        <v>15:15:00.000</v>
      </c>
      <c r="U3774" t="str">
        <f t="shared" si="1471"/>
        <v>A68FCB</v>
      </c>
      <c r="V3774">
        <v>0</v>
      </c>
      <c r="W3774">
        <v>0</v>
      </c>
      <c r="X3774">
        <v>2</v>
      </c>
      <c r="Y3774">
        <v>0</v>
      </c>
      <c r="AA3774">
        <v>1</v>
      </c>
      <c r="AB3774">
        <v>8</v>
      </c>
      <c r="AC3774">
        <v>3</v>
      </c>
      <c r="AD3774">
        <v>0</v>
      </c>
      <c r="AE3774">
        <v>9</v>
      </c>
      <c r="AF3774" t="s">
        <v>138</v>
      </c>
      <c r="AG3774">
        <v>0</v>
      </c>
      <c r="AH3774">
        <v>3</v>
      </c>
      <c r="AI3774">
        <v>2</v>
      </c>
      <c r="AJ3774">
        <v>0</v>
      </c>
      <c r="AK3774" t="s">
        <v>1192</v>
      </c>
      <c r="AL3774">
        <v>39.167161</v>
      </c>
      <c r="AM3774" t="s">
        <v>1167</v>
      </c>
      <c r="AN3774">
        <v>-121.030862</v>
      </c>
      <c r="AO3774">
        <v>25</v>
      </c>
      <c r="AP3774">
        <v>4200</v>
      </c>
      <c r="AQ3774" t="s">
        <v>131</v>
      </c>
      <c r="AR3774">
        <v>5</v>
      </c>
      <c r="AS3774">
        <v>90</v>
      </c>
      <c r="AT3774">
        <v>256</v>
      </c>
      <c r="BB3774" t="str">
        <f t="shared" si="1472"/>
        <v>1200</v>
      </c>
      <c r="BC3774">
        <v>1</v>
      </c>
      <c r="BD3774" t="str">
        <f t="shared" si="1473"/>
        <v xml:space="preserve">N52156  </v>
      </c>
      <c r="BE3774">
        <v>1</v>
      </c>
      <c r="BG3774">
        <v>0</v>
      </c>
      <c r="BH3774">
        <v>0</v>
      </c>
      <c r="BI3774">
        <v>0</v>
      </c>
      <c r="BJ3774">
        <v>4225</v>
      </c>
      <c r="BK3774">
        <v>25</v>
      </c>
      <c r="BL3774" t="s">
        <v>188</v>
      </c>
      <c r="BM3774">
        <v>1</v>
      </c>
      <c r="BN3774">
        <v>1</v>
      </c>
      <c r="BO3774">
        <v>0</v>
      </c>
      <c r="BP3774">
        <v>0</v>
      </c>
      <c r="BS3774">
        <v>0</v>
      </c>
      <c r="BT3774">
        <v>0</v>
      </c>
      <c r="BU3774">
        <v>0</v>
      </c>
      <c r="CE3774" t="str">
        <f t="shared" si="1493"/>
        <v>15:15:00.338</v>
      </c>
      <c r="CF3774">
        <v>337989617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4</v>
      </c>
      <c r="CY3774">
        <v>7</v>
      </c>
      <c r="CZ3774" t="s">
        <v>133</v>
      </c>
      <c r="DA3774">
        <v>275</v>
      </c>
      <c r="DB3774">
        <v>0</v>
      </c>
      <c r="DC3774" t="s">
        <v>134</v>
      </c>
      <c r="DD3774" t="s">
        <v>135</v>
      </c>
      <c r="DG3774">
        <v>3322980</v>
      </c>
      <c r="DI3774">
        <v>1</v>
      </c>
      <c r="DJ3774">
        <v>0</v>
      </c>
      <c r="DK3774">
        <v>1</v>
      </c>
      <c r="DL3774">
        <v>0</v>
      </c>
      <c r="DM3774">
        <v>0</v>
      </c>
      <c r="DN3774">
        <v>0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3">
      <c r="A3775" t="str">
        <f>"05/01/2025 15:15:00.578"</f>
        <v>05/01/2025 15:15:00.578</v>
      </c>
      <c r="C3775" t="str">
        <f t="shared" si="1470"/>
        <v>FFDFD3C0</v>
      </c>
      <c r="D3775" t="s">
        <v>124</v>
      </c>
      <c r="E3775" t="str">
        <f>"06"</f>
        <v>06</v>
      </c>
      <c r="F3775">
        <v>2006</v>
      </c>
      <c r="G3775" t="s">
        <v>125</v>
      </c>
      <c r="J3775" t="s">
        <v>126</v>
      </c>
      <c r="K3775">
        <v>0</v>
      </c>
      <c r="L3775">
        <v>3</v>
      </c>
      <c r="M3775">
        <v>0</v>
      </c>
      <c r="N3775">
        <v>2</v>
      </c>
      <c r="O3775">
        <v>0</v>
      </c>
      <c r="P3775">
        <v>1</v>
      </c>
      <c r="Q3775">
        <v>0</v>
      </c>
      <c r="R3775" t="s">
        <v>127</v>
      </c>
      <c r="S3775" t="str">
        <f t="shared" si="1492"/>
        <v>15:15:00.000</v>
      </c>
      <c r="T3775" t="str">
        <f t="shared" si="1492"/>
        <v>15:15:00.000</v>
      </c>
      <c r="U3775" t="str">
        <f t="shared" si="1471"/>
        <v>A68FCB</v>
      </c>
      <c r="V3775">
        <v>0</v>
      </c>
      <c r="W3775">
        <v>0</v>
      </c>
      <c r="X3775">
        <v>2</v>
      </c>
      <c r="Y3775">
        <v>0</v>
      </c>
      <c r="AA3775">
        <v>1</v>
      </c>
      <c r="AB3775">
        <v>8</v>
      </c>
      <c r="AC3775">
        <v>3</v>
      </c>
      <c r="AD3775">
        <v>0</v>
      </c>
      <c r="AE3775">
        <v>9</v>
      </c>
      <c r="AF3775" t="s">
        <v>138</v>
      </c>
      <c r="AG3775">
        <v>0</v>
      </c>
      <c r="AH3775">
        <v>3</v>
      </c>
      <c r="AI3775">
        <v>2</v>
      </c>
      <c r="AJ3775">
        <v>0</v>
      </c>
      <c r="AK3775" t="s">
        <v>1192</v>
      </c>
      <c r="AL3775">
        <v>39.167161</v>
      </c>
      <c r="AM3775" t="s">
        <v>1167</v>
      </c>
      <c r="AN3775">
        <v>-121.030862</v>
      </c>
      <c r="AO3775">
        <v>25</v>
      </c>
      <c r="AP3775">
        <v>4200</v>
      </c>
      <c r="AQ3775" t="s">
        <v>131</v>
      </c>
      <c r="AR3775">
        <v>5</v>
      </c>
      <c r="AS3775">
        <v>90</v>
      </c>
      <c r="AT3775">
        <v>256</v>
      </c>
      <c r="BB3775" t="str">
        <f t="shared" si="1472"/>
        <v>1200</v>
      </c>
      <c r="BC3775">
        <v>1</v>
      </c>
      <c r="BD3775" t="str">
        <f t="shared" si="1473"/>
        <v xml:space="preserve">N52156  </v>
      </c>
      <c r="BE3775">
        <v>1</v>
      </c>
      <c r="BG3775">
        <v>0</v>
      </c>
      <c r="BH3775">
        <v>0</v>
      </c>
      <c r="BI3775">
        <v>0</v>
      </c>
      <c r="BJ3775">
        <v>4225</v>
      </c>
      <c r="BK3775">
        <v>25</v>
      </c>
      <c r="BL3775" t="s">
        <v>188</v>
      </c>
      <c r="BM3775">
        <v>1</v>
      </c>
      <c r="BN3775">
        <v>1</v>
      </c>
      <c r="BO3775">
        <v>0</v>
      </c>
      <c r="BP3775">
        <v>0</v>
      </c>
      <c r="BS3775">
        <v>0</v>
      </c>
      <c r="BT3775">
        <v>0</v>
      </c>
      <c r="BU3775">
        <v>0</v>
      </c>
      <c r="CE3775" t="str">
        <f t="shared" si="1493"/>
        <v>15:15:00.338</v>
      </c>
      <c r="CF3775">
        <v>337989617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4</v>
      </c>
      <c r="CY3775">
        <v>7</v>
      </c>
      <c r="CZ3775" t="s">
        <v>133</v>
      </c>
      <c r="DA3775">
        <v>275</v>
      </c>
      <c r="DB3775">
        <v>0</v>
      </c>
      <c r="DC3775" t="s">
        <v>134</v>
      </c>
      <c r="DD3775" t="s">
        <v>135</v>
      </c>
      <c r="DG3775">
        <v>3322980</v>
      </c>
      <c r="DI3775">
        <v>1</v>
      </c>
      <c r="DJ3775">
        <v>0</v>
      </c>
      <c r="DK3775">
        <v>1</v>
      </c>
      <c r="DL3775">
        <v>0</v>
      </c>
      <c r="DM3775">
        <v>0</v>
      </c>
      <c r="DN3775">
        <v>0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3">
      <c r="A3776" t="str">
        <f>"05/01/2025 15:15:01.504"</f>
        <v>05/01/2025 15:15:01.504</v>
      </c>
      <c r="C3776" t="str">
        <f t="shared" si="1470"/>
        <v>FFDFD3C0</v>
      </c>
      <c r="D3776" t="s">
        <v>136</v>
      </c>
      <c r="E3776" t="str">
        <f>"20"</f>
        <v>20</v>
      </c>
      <c r="H3776">
        <v>400</v>
      </c>
      <c r="I3776" t="s">
        <v>137</v>
      </c>
      <c r="J3776" t="s">
        <v>138</v>
      </c>
      <c r="K3776">
        <v>0</v>
      </c>
      <c r="L3776">
        <v>3</v>
      </c>
      <c r="M3776">
        <v>0</v>
      </c>
      <c r="N3776">
        <v>2</v>
      </c>
      <c r="O3776">
        <v>0</v>
      </c>
      <c r="P3776">
        <v>1</v>
      </c>
      <c r="Q3776">
        <v>0</v>
      </c>
      <c r="R3776" t="s">
        <v>127</v>
      </c>
      <c r="S3776" t="str">
        <f t="shared" ref="S3776:T3781" si="1494">"15:15:01.000"</f>
        <v>15:15:01.000</v>
      </c>
      <c r="T3776" t="str">
        <f t="shared" si="1494"/>
        <v>15:15:01.000</v>
      </c>
      <c r="U3776" t="str">
        <f t="shared" si="1471"/>
        <v>A68FCB</v>
      </c>
      <c r="V3776">
        <v>0</v>
      </c>
      <c r="W3776">
        <v>0</v>
      </c>
      <c r="X3776">
        <v>2</v>
      </c>
      <c r="Y3776">
        <v>0</v>
      </c>
      <c r="AA3776">
        <v>1</v>
      </c>
      <c r="AB3776">
        <v>8</v>
      </c>
      <c r="AC3776">
        <v>3</v>
      </c>
      <c r="AD3776">
        <v>0</v>
      </c>
      <c r="AE3776">
        <v>9</v>
      </c>
      <c r="AF3776" t="s">
        <v>138</v>
      </c>
      <c r="AG3776">
        <v>0</v>
      </c>
      <c r="AH3776">
        <v>3</v>
      </c>
      <c r="AI3776">
        <v>2</v>
      </c>
      <c r="AJ3776">
        <v>0</v>
      </c>
      <c r="AK3776" t="s">
        <v>1193</v>
      </c>
      <c r="AL3776">
        <v>39.167589999999997</v>
      </c>
      <c r="AM3776" t="s">
        <v>1170</v>
      </c>
      <c r="AN3776">
        <v>-121.030841</v>
      </c>
      <c r="AO3776">
        <v>25</v>
      </c>
      <c r="AP3776">
        <v>4200</v>
      </c>
      <c r="AQ3776" t="s">
        <v>131</v>
      </c>
      <c r="AR3776">
        <v>5</v>
      </c>
      <c r="AS3776">
        <v>89</v>
      </c>
      <c r="AT3776">
        <v>256</v>
      </c>
      <c r="BB3776" t="str">
        <f t="shared" si="1472"/>
        <v>1200</v>
      </c>
      <c r="BC3776">
        <v>1</v>
      </c>
      <c r="BD3776" t="str">
        <f t="shared" si="1473"/>
        <v xml:space="preserve">N52156  </v>
      </c>
      <c r="BE3776">
        <v>1</v>
      </c>
      <c r="BG3776">
        <v>0</v>
      </c>
      <c r="BH3776">
        <v>0</v>
      </c>
      <c r="BI3776">
        <v>0</v>
      </c>
      <c r="BJ3776">
        <v>4225</v>
      </c>
      <c r="BK3776">
        <v>25</v>
      </c>
      <c r="BL3776" t="s">
        <v>188</v>
      </c>
      <c r="BM3776">
        <v>1</v>
      </c>
      <c r="BN3776">
        <v>1</v>
      </c>
      <c r="BO3776">
        <v>0</v>
      </c>
      <c r="BP3776">
        <v>0</v>
      </c>
      <c r="BS3776">
        <v>0</v>
      </c>
      <c r="BT3776">
        <v>0</v>
      </c>
      <c r="BU3776">
        <v>0</v>
      </c>
      <c r="CE3776" t="str">
        <f t="shared" ref="CE3776:CE3781" si="1495">"15:15:01.298"</f>
        <v>15:15:01.298</v>
      </c>
      <c r="CF3776">
        <v>298489625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4</v>
      </c>
      <c r="CY3776">
        <v>7</v>
      </c>
      <c r="CZ3776" t="s">
        <v>133</v>
      </c>
      <c r="DA3776">
        <v>275</v>
      </c>
      <c r="DB3776">
        <v>0</v>
      </c>
      <c r="DC3776" t="s">
        <v>134</v>
      </c>
      <c r="DD3776" t="s">
        <v>135</v>
      </c>
      <c r="DG3776">
        <v>3322984</v>
      </c>
      <c r="DI3776">
        <v>1</v>
      </c>
      <c r="DJ3776">
        <v>0</v>
      </c>
      <c r="DK3776">
        <v>0</v>
      </c>
      <c r="DL3776">
        <v>0</v>
      </c>
      <c r="DM3776">
        <v>0</v>
      </c>
      <c r="DN3776">
        <v>0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3">
      <c r="A3777" t="str">
        <f>"05/01/2025 15:15:01.524"</f>
        <v>05/01/2025 15:15:01.524</v>
      </c>
      <c r="C3777" t="str">
        <f t="shared" si="1470"/>
        <v>FFDFD3C0</v>
      </c>
      <c r="D3777" t="s">
        <v>143</v>
      </c>
      <c r="E3777" t="str">
        <f>"05"</f>
        <v>05</v>
      </c>
      <c r="H3777">
        <v>172</v>
      </c>
      <c r="I3777" t="s">
        <v>141</v>
      </c>
      <c r="J3777" t="s">
        <v>144</v>
      </c>
      <c r="K3777">
        <v>0</v>
      </c>
      <c r="L3777">
        <v>3</v>
      </c>
      <c r="M3777">
        <v>0</v>
      </c>
      <c r="N3777">
        <v>2</v>
      </c>
      <c r="O3777">
        <v>0</v>
      </c>
      <c r="P3777">
        <v>1</v>
      </c>
      <c r="Q3777">
        <v>0</v>
      </c>
      <c r="R3777" t="s">
        <v>127</v>
      </c>
      <c r="S3777" t="str">
        <f t="shared" si="1494"/>
        <v>15:15:01.000</v>
      </c>
      <c r="T3777" t="str">
        <f t="shared" si="1494"/>
        <v>15:15:01.000</v>
      </c>
      <c r="U3777" t="str">
        <f t="shared" si="1471"/>
        <v>A68FCB</v>
      </c>
      <c r="V3777">
        <v>0</v>
      </c>
      <c r="W3777">
        <v>0</v>
      </c>
      <c r="X3777">
        <v>2</v>
      </c>
      <c r="Y3777">
        <v>0</v>
      </c>
      <c r="AA3777">
        <v>1</v>
      </c>
      <c r="AB3777">
        <v>8</v>
      </c>
      <c r="AC3777">
        <v>3</v>
      </c>
      <c r="AD3777">
        <v>0</v>
      </c>
      <c r="AE3777">
        <v>9</v>
      </c>
      <c r="AF3777" t="s">
        <v>138</v>
      </c>
      <c r="AG3777">
        <v>0</v>
      </c>
      <c r="AH3777">
        <v>3</v>
      </c>
      <c r="AI3777">
        <v>2</v>
      </c>
      <c r="AJ3777">
        <v>0</v>
      </c>
      <c r="AK3777" t="s">
        <v>1193</v>
      </c>
      <c r="AL3777">
        <v>39.167589999999997</v>
      </c>
      <c r="AM3777" t="s">
        <v>1170</v>
      </c>
      <c r="AN3777">
        <v>-121.030841</v>
      </c>
      <c r="AO3777">
        <v>25</v>
      </c>
      <c r="AP3777">
        <v>4200</v>
      </c>
      <c r="AQ3777" t="s">
        <v>131</v>
      </c>
      <c r="AR3777">
        <v>5</v>
      </c>
      <c r="AS3777">
        <v>89</v>
      </c>
      <c r="AT3777">
        <v>256</v>
      </c>
      <c r="BB3777" t="str">
        <f t="shared" si="1472"/>
        <v>1200</v>
      </c>
      <c r="BC3777">
        <v>1</v>
      </c>
      <c r="BD3777" t="str">
        <f t="shared" si="1473"/>
        <v xml:space="preserve">N52156  </v>
      </c>
      <c r="BE3777">
        <v>1</v>
      </c>
      <c r="BG3777">
        <v>0</v>
      </c>
      <c r="BH3777">
        <v>0</v>
      </c>
      <c r="BI3777">
        <v>0</v>
      </c>
      <c r="BJ3777">
        <v>4225</v>
      </c>
      <c r="BK3777">
        <v>25</v>
      </c>
      <c r="BL3777" t="s">
        <v>188</v>
      </c>
      <c r="BM3777">
        <v>1</v>
      </c>
      <c r="BN3777">
        <v>1</v>
      </c>
      <c r="BO3777">
        <v>0</v>
      </c>
      <c r="BP3777">
        <v>0</v>
      </c>
      <c r="BS3777">
        <v>0</v>
      </c>
      <c r="BT3777">
        <v>0</v>
      </c>
      <c r="BU3777">
        <v>0</v>
      </c>
      <c r="CE3777" t="str">
        <f t="shared" si="1495"/>
        <v>15:15:01.298</v>
      </c>
      <c r="CF3777">
        <v>298489625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4</v>
      </c>
      <c r="CY3777">
        <v>7</v>
      </c>
      <c r="CZ3777" t="s">
        <v>133</v>
      </c>
      <c r="DA3777">
        <v>275</v>
      </c>
      <c r="DB3777">
        <v>0</v>
      </c>
      <c r="DC3777" t="s">
        <v>134</v>
      </c>
      <c r="DD3777" t="s">
        <v>135</v>
      </c>
      <c r="DG3777">
        <v>3322984</v>
      </c>
      <c r="DI3777">
        <v>1</v>
      </c>
      <c r="DJ3777">
        <v>0</v>
      </c>
      <c r="DK3777">
        <v>1</v>
      </c>
      <c r="DL3777">
        <v>0</v>
      </c>
      <c r="DM3777">
        <v>0</v>
      </c>
      <c r="DN3777">
        <v>0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3">
      <c r="A3778" t="str">
        <f>"05/01/2025 15:15:01.526"</f>
        <v>05/01/2025 15:15:01.526</v>
      </c>
      <c r="C3778" t="str">
        <f t="shared" ref="C3778:C3841" si="1496">"FFDFD3C0"</f>
        <v>FFDFD3C0</v>
      </c>
      <c r="D3778" t="s">
        <v>140</v>
      </c>
      <c r="E3778" t="str">
        <f>"13"</f>
        <v>13</v>
      </c>
      <c r="F3778">
        <v>1019</v>
      </c>
      <c r="G3778" t="s">
        <v>141</v>
      </c>
      <c r="J3778" t="s">
        <v>142</v>
      </c>
      <c r="K3778">
        <v>0</v>
      </c>
      <c r="L3778">
        <v>3</v>
      </c>
      <c r="M3778">
        <v>0</v>
      </c>
      <c r="N3778">
        <v>2</v>
      </c>
      <c r="O3778">
        <v>0</v>
      </c>
      <c r="P3778">
        <v>1</v>
      </c>
      <c r="Q3778">
        <v>0</v>
      </c>
      <c r="R3778" t="s">
        <v>127</v>
      </c>
      <c r="S3778" t="str">
        <f t="shared" si="1494"/>
        <v>15:15:01.000</v>
      </c>
      <c r="T3778" t="str">
        <f t="shared" si="1494"/>
        <v>15:15:01.000</v>
      </c>
      <c r="U3778" t="str">
        <f t="shared" ref="U3778:U3841" si="1497">"A68FCB"</f>
        <v>A68FCB</v>
      </c>
      <c r="V3778">
        <v>0</v>
      </c>
      <c r="W3778">
        <v>0</v>
      </c>
      <c r="X3778">
        <v>2</v>
      </c>
      <c r="Y3778">
        <v>0</v>
      </c>
      <c r="AA3778">
        <v>1</v>
      </c>
      <c r="AB3778">
        <v>8</v>
      </c>
      <c r="AC3778">
        <v>3</v>
      </c>
      <c r="AD3778">
        <v>0</v>
      </c>
      <c r="AE3778">
        <v>9</v>
      </c>
      <c r="AF3778" t="s">
        <v>138</v>
      </c>
      <c r="AG3778">
        <v>0</v>
      </c>
      <c r="AH3778">
        <v>3</v>
      </c>
      <c r="AI3778">
        <v>2</v>
      </c>
      <c r="AJ3778">
        <v>0</v>
      </c>
      <c r="AK3778" t="s">
        <v>1193</v>
      </c>
      <c r="AL3778">
        <v>39.167589999999997</v>
      </c>
      <c r="AM3778" t="s">
        <v>1170</v>
      </c>
      <c r="AN3778">
        <v>-121.030841</v>
      </c>
      <c r="AO3778">
        <v>25</v>
      </c>
      <c r="AP3778">
        <v>4200</v>
      </c>
      <c r="AQ3778" t="s">
        <v>131</v>
      </c>
      <c r="AR3778">
        <v>5</v>
      </c>
      <c r="AS3778">
        <v>89</v>
      </c>
      <c r="AT3778">
        <v>256</v>
      </c>
      <c r="BB3778" t="str">
        <f t="shared" ref="BB3778:BB3841" si="1498">"1200"</f>
        <v>1200</v>
      </c>
      <c r="BC3778">
        <v>1</v>
      </c>
      <c r="BD3778" t="str">
        <f t="shared" ref="BD3778:BD3841" si="1499">"N52156  "</f>
        <v xml:space="preserve">N52156  </v>
      </c>
      <c r="BE3778">
        <v>1</v>
      </c>
      <c r="BG3778">
        <v>0</v>
      </c>
      <c r="BH3778">
        <v>0</v>
      </c>
      <c r="BI3778">
        <v>0</v>
      </c>
      <c r="BJ3778">
        <v>4225</v>
      </c>
      <c r="BK3778">
        <v>25</v>
      </c>
      <c r="BL3778" t="s">
        <v>188</v>
      </c>
      <c r="BM3778">
        <v>1</v>
      </c>
      <c r="BN3778">
        <v>1</v>
      </c>
      <c r="BO3778">
        <v>0</v>
      </c>
      <c r="BP3778">
        <v>0</v>
      </c>
      <c r="BS3778">
        <v>0</v>
      </c>
      <c r="BT3778">
        <v>0</v>
      </c>
      <c r="BU3778">
        <v>0</v>
      </c>
      <c r="CE3778" t="str">
        <f t="shared" si="1495"/>
        <v>15:15:01.298</v>
      </c>
      <c r="CF3778">
        <v>298489625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4</v>
      </c>
      <c r="CY3778">
        <v>7</v>
      </c>
      <c r="CZ3778" t="s">
        <v>133</v>
      </c>
      <c r="DA3778">
        <v>275</v>
      </c>
      <c r="DB3778">
        <v>0</v>
      </c>
      <c r="DC3778" t="s">
        <v>134</v>
      </c>
      <c r="DD3778" t="s">
        <v>135</v>
      </c>
      <c r="DG3778">
        <v>3322984</v>
      </c>
      <c r="DI3778">
        <v>1</v>
      </c>
      <c r="DJ3778">
        <v>0</v>
      </c>
      <c r="DK3778">
        <v>1</v>
      </c>
      <c r="DL3778">
        <v>0</v>
      </c>
      <c r="DM3778">
        <v>0</v>
      </c>
      <c r="DN3778">
        <v>0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3">
      <c r="A3779" t="str">
        <f>"05/01/2025 15:15:01.531"</f>
        <v>05/01/2025 15:15:01.531</v>
      </c>
      <c r="C3779" t="str">
        <f t="shared" si="1496"/>
        <v>FFDFD3C0</v>
      </c>
      <c r="D3779" t="s">
        <v>124</v>
      </c>
      <c r="E3779" t="str">
        <f>"06"</f>
        <v>06</v>
      </c>
      <c r="F3779">
        <v>2006</v>
      </c>
      <c r="G3779" t="s">
        <v>125</v>
      </c>
      <c r="J3779" t="s">
        <v>126</v>
      </c>
      <c r="K3779">
        <v>0</v>
      </c>
      <c r="L3779">
        <v>3</v>
      </c>
      <c r="M3779">
        <v>0</v>
      </c>
      <c r="N3779">
        <v>2</v>
      </c>
      <c r="O3779">
        <v>0</v>
      </c>
      <c r="P3779">
        <v>1</v>
      </c>
      <c r="Q3779">
        <v>0</v>
      </c>
      <c r="R3779" t="s">
        <v>127</v>
      </c>
      <c r="S3779" t="str">
        <f t="shared" si="1494"/>
        <v>15:15:01.000</v>
      </c>
      <c r="T3779" t="str">
        <f t="shared" si="1494"/>
        <v>15:15:01.000</v>
      </c>
      <c r="U3779" t="str">
        <f t="shared" si="1497"/>
        <v>A68FCB</v>
      </c>
      <c r="V3779">
        <v>0</v>
      </c>
      <c r="W3779">
        <v>0</v>
      </c>
      <c r="X3779">
        <v>2</v>
      </c>
      <c r="Y3779">
        <v>0</v>
      </c>
      <c r="AA3779">
        <v>1</v>
      </c>
      <c r="AB3779">
        <v>8</v>
      </c>
      <c r="AC3779">
        <v>3</v>
      </c>
      <c r="AD3779">
        <v>0</v>
      </c>
      <c r="AE3779">
        <v>9</v>
      </c>
      <c r="AF3779" t="s">
        <v>138</v>
      </c>
      <c r="AG3779">
        <v>0</v>
      </c>
      <c r="AH3779">
        <v>3</v>
      </c>
      <c r="AI3779">
        <v>2</v>
      </c>
      <c r="AJ3779">
        <v>0</v>
      </c>
      <c r="AK3779" t="s">
        <v>1193</v>
      </c>
      <c r="AL3779">
        <v>39.167589999999997</v>
      </c>
      <c r="AM3779" t="s">
        <v>1170</v>
      </c>
      <c r="AN3779">
        <v>-121.030841</v>
      </c>
      <c r="AO3779">
        <v>25</v>
      </c>
      <c r="AP3779">
        <v>4200</v>
      </c>
      <c r="AQ3779" t="s">
        <v>131</v>
      </c>
      <c r="AR3779">
        <v>5</v>
      </c>
      <c r="AS3779">
        <v>89</v>
      </c>
      <c r="AT3779">
        <v>256</v>
      </c>
      <c r="BB3779" t="str">
        <f t="shared" si="1498"/>
        <v>1200</v>
      </c>
      <c r="BC3779">
        <v>1</v>
      </c>
      <c r="BD3779" t="str">
        <f t="shared" si="1499"/>
        <v xml:space="preserve">N52156  </v>
      </c>
      <c r="BE3779">
        <v>1</v>
      </c>
      <c r="BG3779">
        <v>0</v>
      </c>
      <c r="BH3779">
        <v>0</v>
      </c>
      <c r="BI3779">
        <v>0</v>
      </c>
      <c r="BJ3779">
        <v>4225</v>
      </c>
      <c r="BK3779">
        <v>25</v>
      </c>
      <c r="BL3779" t="s">
        <v>188</v>
      </c>
      <c r="BM3779">
        <v>1</v>
      </c>
      <c r="BN3779">
        <v>1</v>
      </c>
      <c r="BO3779">
        <v>0</v>
      </c>
      <c r="BP3779">
        <v>0</v>
      </c>
      <c r="BS3779">
        <v>0</v>
      </c>
      <c r="BT3779">
        <v>0</v>
      </c>
      <c r="BU3779">
        <v>0</v>
      </c>
      <c r="CE3779" t="str">
        <f t="shared" si="1495"/>
        <v>15:15:01.298</v>
      </c>
      <c r="CF3779">
        <v>298489625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4</v>
      </c>
      <c r="CY3779">
        <v>7</v>
      </c>
      <c r="CZ3779" t="s">
        <v>133</v>
      </c>
      <c r="DA3779">
        <v>275</v>
      </c>
      <c r="DB3779">
        <v>0</v>
      </c>
      <c r="DC3779" t="s">
        <v>134</v>
      </c>
      <c r="DD3779" t="s">
        <v>135</v>
      </c>
      <c r="DG3779">
        <v>3322984</v>
      </c>
      <c r="DI3779">
        <v>1</v>
      </c>
      <c r="DJ3779">
        <v>0</v>
      </c>
      <c r="DK3779">
        <v>1</v>
      </c>
      <c r="DL3779">
        <v>0</v>
      </c>
      <c r="DM3779">
        <v>0</v>
      </c>
      <c r="DN3779">
        <v>0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3">
      <c r="A3780" t="str">
        <f>"05/01/2025 15:15:01.540"</f>
        <v>05/01/2025 15:15:01.540</v>
      </c>
      <c r="C3780" t="str">
        <f t="shared" si="1496"/>
        <v>FFDFD3C0</v>
      </c>
      <c r="D3780" t="s">
        <v>145</v>
      </c>
      <c r="E3780" t="str">
        <f>"09"</f>
        <v>09</v>
      </c>
      <c r="H3780">
        <v>51</v>
      </c>
      <c r="I3780" t="s">
        <v>147</v>
      </c>
      <c r="J3780" t="s">
        <v>138</v>
      </c>
      <c r="K3780">
        <v>0</v>
      </c>
      <c r="L3780">
        <v>3</v>
      </c>
      <c r="M3780">
        <v>0</v>
      </c>
      <c r="N3780">
        <v>2</v>
      </c>
      <c r="O3780">
        <v>0</v>
      </c>
      <c r="P3780">
        <v>1</v>
      </c>
      <c r="Q3780">
        <v>0</v>
      </c>
      <c r="R3780" t="s">
        <v>127</v>
      </c>
      <c r="S3780" t="str">
        <f t="shared" si="1494"/>
        <v>15:15:01.000</v>
      </c>
      <c r="T3780" t="str">
        <f t="shared" si="1494"/>
        <v>15:15:01.000</v>
      </c>
      <c r="U3780" t="str">
        <f t="shared" si="1497"/>
        <v>A68FCB</v>
      </c>
      <c r="V3780">
        <v>0</v>
      </c>
      <c r="W3780">
        <v>0</v>
      </c>
      <c r="X3780">
        <v>2</v>
      </c>
      <c r="Y3780">
        <v>0</v>
      </c>
      <c r="AA3780">
        <v>1</v>
      </c>
      <c r="AB3780">
        <v>8</v>
      </c>
      <c r="AC3780">
        <v>3</v>
      </c>
      <c r="AD3780">
        <v>0</v>
      </c>
      <c r="AE3780">
        <v>9</v>
      </c>
      <c r="AF3780" t="s">
        <v>138</v>
      </c>
      <c r="AG3780">
        <v>0</v>
      </c>
      <c r="AH3780">
        <v>3</v>
      </c>
      <c r="AI3780">
        <v>2</v>
      </c>
      <c r="AJ3780">
        <v>0</v>
      </c>
      <c r="AK3780" t="s">
        <v>1193</v>
      </c>
      <c r="AL3780">
        <v>39.167589999999997</v>
      </c>
      <c r="AM3780" t="s">
        <v>1170</v>
      </c>
      <c r="AN3780">
        <v>-121.030841</v>
      </c>
      <c r="AO3780">
        <v>25</v>
      </c>
      <c r="AP3780">
        <v>4200</v>
      </c>
      <c r="AQ3780" t="s">
        <v>131</v>
      </c>
      <c r="AR3780">
        <v>5</v>
      </c>
      <c r="AS3780">
        <v>89</v>
      </c>
      <c r="AT3780">
        <v>256</v>
      </c>
      <c r="BB3780" t="str">
        <f t="shared" si="1498"/>
        <v>1200</v>
      </c>
      <c r="BC3780">
        <v>1</v>
      </c>
      <c r="BD3780" t="str">
        <f t="shared" si="1499"/>
        <v xml:space="preserve">N52156  </v>
      </c>
      <c r="BE3780">
        <v>1</v>
      </c>
      <c r="BG3780">
        <v>0</v>
      </c>
      <c r="BH3780">
        <v>0</v>
      </c>
      <c r="BI3780">
        <v>0</v>
      </c>
      <c r="BJ3780">
        <v>4225</v>
      </c>
      <c r="BK3780">
        <v>25</v>
      </c>
      <c r="BL3780" t="s">
        <v>188</v>
      </c>
      <c r="BM3780">
        <v>1</v>
      </c>
      <c r="BN3780">
        <v>1</v>
      </c>
      <c r="BO3780">
        <v>0</v>
      </c>
      <c r="BP3780">
        <v>0</v>
      </c>
      <c r="BS3780">
        <v>0</v>
      </c>
      <c r="BT3780">
        <v>0</v>
      </c>
      <c r="BU3780">
        <v>0</v>
      </c>
      <c r="CE3780" t="str">
        <f t="shared" si="1495"/>
        <v>15:15:01.298</v>
      </c>
      <c r="CF3780">
        <v>298489625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4</v>
      </c>
      <c r="CY3780">
        <v>7</v>
      </c>
      <c r="CZ3780" t="s">
        <v>133</v>
      </c>
      <c r="DA3780">
        <v>275</v>
      </c>
      <c r="DB3780">
        <v>0</v>
      </c>
      <c r="DC3780" t="s">
        <v>134</v>
      </c>
      <c r="DD3780" t="s">
        <v>135</v>
      </c>
      <c r="DG3780">
        <v>3322984</v>
      </c>
      <c r="DI3780">
        <v>1</v>
      </c>
      <c r="DJ3780">
        <v>0</v>
      </c>
      <c r="DK3780">
        <v>1</v>
      </c>
      <c r="DL3780">
        <v>0</v>
      </c>
      <c r="DM3780">
        <v>0</v>
      </c>
      <c r="DN3780">
        <v>0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3">
      <c r="A3781" t="str">
        <f>"05/01/2025 15:15:01.542"</f>
        <v>05/01/2025 15:15:01.542</v>
      </c>
      <c r="C3781" t="str">
        <f t="shared" si="1496"/>
        <v>FFDFD3C0</v>
      </c>
      <c r="D3781" t="s">
        <v>145</v>
      </c>
      <c r="E3781" t="str">
        <f>"05"</f>
        <v>05</v>
      </c>
      <c r="H3781">
        <v>47</v>
      </c>
      <c r="I3781" t="s">
        <v>146</v>
      </c>
      <c r="J3781" t="s">
        <v>138</v>
      </c>
      <c r="K3781">
        <v>0</v>
      </c>
      <c r="L3781">
        <v>3</v>
      </c>
      <c r="M3781">
        <v>0</v>
      </c>
      <c r="N3781">
        <v>2</v>
      </c>
      <c r="O3781">
        <v>0</v>
      </c>
      <c r="P3781">
        <v>1</v>
      </c>
      <c r="Q3781">
        <v>0</v>
      </c>
      <c r="R3781" t="s">
        <v>127</v>
      </c>
      <c r="S3781" t="str">
        <f t="shared" si="1494"/>
        <v>15:15:01.000</v>
      </c>
      <c r="T3781" t="str">
        <f t="shared" si="1494"/>
        <v>15:15:01.000</v>
      </c>
      <c r="U3781" t="str">
        <f t="shared" si="1497"/>
        <v>A68FCB</v>
      </c>
      <c r="V3781">
        <v>0</v>
      </c>
      <c r="W3781">
        <v>0</v>
      </c>
      <c r="X3781">
        <v>2</v>
      </c>
      <c r="Y3781">
        <v>0</v>
      </c>
      <c r="AA3781">
        <v>1</v>
      </c>
      <c r="AB3781">
        <v>8</v>
      </c>
      <c r="AC3781">
        <v>3</v>
      </c>
      <c r="AD3781">
        <v>0</v>
      </c>
      <c r="AE3781">
        <v>9</v>
      </c>
      <c r="AF3781" t="s">
        <v>138</v>
      </c>
      <c r="AG3781">
        <v>0</v>
      </c>
      <c r="AH3781">
        <v>3</v>
      </c>
      <c r="AI3781">
        <v>2</v>
      </c>
      <c r="AJ3781">
        <v>0</v>
      </c>
      <c r="AK3781" t="s">
        <v>1193</v>
      </c>
      <c r="AL3781">
        <v>39.167589999999997</v>
      </c>
      <c r="AM3781" t="s">
        <v>1170</v>
      </c>
      <c r="AN3781">
        <v>-121.030841</v>
      </c>
      <c r="AO3781">
        <v>25</v>
      </c>
      <c r="AP3781">
        <v>4200</v>
      </c>
      <c r="AQ3781" t="s">
        <v>131</v>
      </c>
      <c r="AR3781">
        <v>5</v>
      </c>
      <c r="AS3781">
        <v>89</v>
      </c>
      <c r="AT3781">
        <v>256</v>
      </c>
      <c r="BB3781" t="str">
        <f t="shared" si="1498"/>
        <v>1200</v>
      </c>
      <c r="BC3781">
        <v>1</v>
      </c>
      <c r="BD3781" t="str">
        <f t="shared" si="1499"/>
        <v xml:space="preserve">N52156  </v>
      </c>
      <c r="BE3781">
        <v>1</v>
      </c>
      <c r="BG3781">
        <v>0</v>
      </c>
      <c r="BH3781">
        <v>0</v>
      </c>
      <c r="BI3781">
        <v>0</v>
      </c>
      <c r="BJ3781">
        <v>4225</v>
      </c>
      <c r="BK3781">
        <v>25</v>
      </c>
      <c r="BL3781" t="s">
        <v>188</v>
      </c>
      <c r="BM3781">
        <v>1</v>
      </c>
      <c r="BN3781">
        <v>1</v>
      </c>
      <c r="BO3781">
        <v>0</v>
      </c>
      <c r="BP3781">
        <v>0</v>
      </c>
      <c r="BS3781">
        <v>0</v>
      </c>
      <c r="BT3781">
        <v>0</v>
      </c>
      <c r="BU3781">
        <v>0</v>
      </c>
      <c r="CE3781" t="str">
        <f t="shared" si="1495"/>
        <v>15:15:01.298</v>
      </c>
      <c r="CF3781">
        <v>298489625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4</v>
      </c>
      <c r="CY3781">
        <v>7</v>
      </c>
      <c r="CZ3781" t="s">
        <v>133</v>
      </c>
      <c r="DA3781">
        <v>275</v>
      </c>
      <c r="DB3781">
        <v>0</v>
      </c>
      <c r="DC3781" t="s">
        <v>134</v>
      </c>
      <c r="DD3781" t="s">
        <v>135</v>
      </c>
      <c r="DG3781">
        <v>3322984</v>
      </c>
      <c r="DI3781">
        <v>1</v>
      </c>
      <c r="DJ3781">
        <v>0</v>
      </c>
      <c r="DK3781">
        <v>1</v>
      </c>
      <c r="DL3781">
        <v>0</v>
      </c>
      <c r="DM3781">
        <v>0</v>
      </c>
      <c r="DN3781">
        <v>0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3">
      <c r="A3782" t="str">
        <f>"05/01/2025 15:15:02.576"</f>
        <v>05/01/2025 15:15:02.576</v>
      </c>
      <c r="C3782" t="str">
        <f t="shared" si="1496"/>
        <v>FFDFD3C0</v>
      </c>
      <c r="D3782" t="s">
        <v>143</v>
      </c>
      <c r="E3782" t="str">
        <f>"05"</f>
        <v>05</v>
      </c>
      <c r="H3782">
        <v>172</v>
      </c>
      <c r="I3782" t="s">
        <v>141</v>
      </c>
      <c r="J3782" t="s">
        <v>144</v>
      </c>
      <c r="K3782">
        <v>0</v>
      </c>
      <c r="L3782">
        <v>3</v>
      </c>
      <c r="M3782">
        <v>0</v>
      </c>
      <c r="N3782">
        <v>2</v>
      </c>
      <c r="O3782">
        <v>0</v>
      </c>
      <c r="P3782">
        <v>1</v>
      </c>
      <c r="Q3782">
        <v>0</v>
      </c>
      <c r="R3782" t="s">
        <v>127</v>
      </c>
      <c r="S3782" t="str">
        <f t="shared" ref="S3782:T3787" si="1500">"15:15:02.000"</f>
        <v>15:15:02.000</v>
      </c>
      <c r="T3782" t="str">
        <f t="shared" si="1500"/>
        <v>15:15:02.000</v>
      </c>
      <c r="U3782" t="str">
        <f t="shared" si="1497"/>
        <v>A68FCB</v>
      </c>
      <c r="V3782">
        <v>0</v>
      </c>
      <c r="W3782">
        <v>0</v>
      </c>
      <c r="X3782">
        <v>2</v>
      </c>
      <c r="Y3782">
        <v>0</v>
      </c>
      <c r="AA3782">
        <v>1</v>
      </c>
      <c r="AB3782">
        <v>8</v>
      </c>
      <c r="AC3782">
        <v>3</v>
      </c>
      <c r="AD3782">
        <v>0</v>
      </c>
      <c r="AE3782">
        <v>9</v>
      </c>
      <c r="AF3782" t="s">
        <v>138</v>
      </c>
      <c r="AG3782">
        <v>0</v>
      </c>
      <c r="AH3782">
        <v>3</v>
      </c>
      <c r="AI3782">
        <v>2</v>
      </c>
      <c r="AJ3782">
        <v>0</v>
      </c>
      <c r="AK3782" t="s">
        <v>1194</v>
      </c>
      <c r="AL3782">
        <v>39.167997999999997</v>
      </c>
      <c r="AM3782" t="s">
        <v>1195</v>
      </c>
      <c r="AN3782">
        <v>-121.030798</v>
      </c>
      <c r="AO3782">
        <v>25</v>
      </c>
      <c r="AP3782">
        <v>4200</v>
      </c>
      <c r="AQ3782" t="s">
        <v>131</v>
      </c>
      <c r="AR3782">
        <v>6</v>
      </c>
      <c r="AS3782">
        <v>89</v>
      </c>
      <c r="AT3782">
        <v>256</v>
      </c>
      <c r="BB3782" t="str">
        <f t="shared" si="1498"/>
        <v>1200</v>
      </c>
      <c r="BC3782">
        <v>1</v>
      </c>
      <c r="BD3782" t="str">
        <f t="shared" si="1499"/>
        <v xml:space="preserve">N52156  </v>
      </c>
      <c r="BE3782">
        <v>1</v>
      </c>
      <c r="BG3782">
        <v>0</v>
      </c>
      <c r="BH3782">
        <v>0</v>
      </c>
      <c r="BI3782">
        <v>0</v>
      </c>
      <c r="BJ3782">
        <v>4225</v>
      </c>
      <c r="BK3782">
        <v>25</v>
      </c>
      <c r="BL3782" t="s">
        <v>188</v>
      </c>
      <c r="BM3782">
        <v>1</v>
      </c>
      <c r="BN3782">
        <v>1</v>
      </c>
      <c r="BO3782">
        <v>0</v>
      </c>
      <c r="BP3782">
        <v>0</v>
      </c>
      <c r="BS3782">
        <v>0</v>
      </c>
      <c r="BT3782">
        <v>0</v>
      </c>
      <c r="BU3782">
        <v>0</v>
      </c>
      <c r="CE3782" t="str">
        <f t="shared" ref="CE3782:CE3787" si="1501">"15:15:02.359"</f>
        <v>15:15:02.359</v>
      </c>
      <c r="CF3782">
        <v>358739847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4</v>
      </c>
      <c r="CY3782">
        <v>7</v>
      </c>
      <c r="CZ3782" t="s">
        <v>133</v>
      </c>
      <c r="DA3782">
        <v>275</v>
      </c>
      <c r="DB3782">
        <v>0</v>
      </c>
      <c r="DC3782" t="s">
        <v>134</v>
      </c>
      <c r="DD3782" t="s">
        <v>135</v>
      </c>
      <c r="DG3782">
        <v>3322987</v>
      </c>
      <c r="DI3782">
        <v>1</v>
      </c>
      <c r="DJ3782">
        <v>0</v>
      </c>
      <c r="DK3782">
        <v>0</v>
      </c>
      <c r="DL3782">
        <v>0</v>
      </c>
      <c r="DM3782">
        <v>0</v>
      </c>
      <c r="DN3782">
        <v>0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3">
      <c r="A3783" t="str">
        <f>"05/01/2025 15:15:02.578"</f>
        <v>05/01/2025 15:15:02.578</v>
      </c>
      <c r="C3783" t="str">
        <f t="shared" si="1496"/>
        <v>FFDFD3C0</v>
      </c>
      <c r="D3783" t="s">
        <v>140</v>
      </c>
      <c r="E3783" t="str">
        <f>"13"</f>
        <v>13</v>
      </c>
      <c r="F3783">
        <v>1019</v>
      </c>
      <c r="G3783" t="s">
        <v>141</v>
      </c>
      <c r="J3783" t="s">
        <v>142</v>
      </c>
      <c r="K3783">
        <v>0</v>
      </c>
      <c r="L3783">
        <v>3</v>
      </c>
      <c r="M3783">
        <v>0</v>
      </c>
      <c r="N3783">
        <v>2</v>
      </c>
      <c r="O3783">
        <v>0</v>
      </c>
      <c r="P3783">
        <v>1</v>
      </c>
      <c r="Q3783">
        <v>0</v>
      </c>
      <c r="R3783" t="s">
        <v>127</v>
      </c>
      <c r="S3783" t="str">
        <f t="shared" si="1500"/>
        <v>15:15:02.000</v>
      </c>
      <c r="T3783" t="str">
        <f t="shared" si="1500"/>
        <v>15:15:02.000</v>
      </c>
      <c r="U3783" t="str">
        <f t="shared" si="1497"/>
        <v>A68FCB</v>
      </c>
      <c r="V3783">
        <v>0</v>
      </c>
      <c r="W3783">
        <v>0</v>
      </c>
      <c r="X3783">
        <v>2</v>
      </c>
      <c r="Y3783">
        <v>0</v>
      </c>
      <c r="AA3783">
        <v>1</v>
      </c>
      <c r="AB3783">
        <v>8</v>
      </c>
      <c r="AC3783">
        <v>3</v>
      </c>
      <c r="AD3783">
        <v>0</v>
      </c>
      <c r="AE3783">
        <v>9</v>
      </c>
      <c r="AF3783" t="s">
        <v>138</v>
      </c>
      <c r="AG3783">
        <v>0</v>
      </c>
      <c r="AH3783">
        <v>3</v>
      </c>
      <c r="AI3783">
        <v>2</v>
      </c>
      <c r="AJ3783">
        <v>0</v>
      </c>
      <c r="AK3783" t="s">
        <v>1194</v>
      </c>
      <c r="AL3783">
        <v>39.167997999999997</v>
      </c>
      <c r="AM3783" t="s">
        <v>1195</v>
      </c>
      <c r="AN3783">
        <v>-121.030798</v>
      </c>
      <c r="AO3783">
        <v>25</v>
      </c>
      <c r="AP3783">
        <v>4200</v>
      </c>
      <c r="AQ3783" t="s">
        <v>131</v>
      </c>
      <c r="AR3783">
        <v>6</v>
      </c>
      <c r="AS3783">
        <v>89</v>
      </c>
      <c r="AT3783">
        <v>256</v>
      </c>
      <c r="BB3783" t="str">
        <f t="shared" si="1498"/>
        <v>1200</v>
      </c>
      <c r="BC3783">
        <v>1</v>
      </c>
      <c r="BD3783" t="str">
        <f t="shared" si="1499"/>
        <v xml:space="preserve">N52156  </v>
      </c>
      <c r="BE3783">
        <v>1</v>
      </c>
      <c r="BG3783">
        <v>0</v>
      </c>
      <c r="BH3783">
        <v>0</v>
      </c>
      <c r="BI3783">
        <v>0</v>
      </c>
      <c r="BJ3783">
        <v>4225</v>
      </c>
      <c r="BK3783">
        <v>25</v>
      </c>
      <c r="BL3783" t="s">
        <v>188</v>
      </c>
      <c r="BM3783">
        <v>1</v>
      </c>
      <c r="BN3783">
        <v>1</v>
      </c>
      <c r="BO3783">
        <v>0</v>
      </c>
      <c r="BP3783">
        <v>0</v>
      </c>
      <c r="BS3783">
        <v>0</v>
      </c>
      <c r="BT3783">
        <v>0</v>
      </c>
      <c r="BU3783">
        <v>0</v>
      </c>
      <c r="CE3783" t="str">
        <f t="shared" si="1501"/>
        <v>15:15:02.359</v>
      </c>
      <c r="CF3783">
        <v>358739847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4</v>
      </c>
      <c r="CY3783">
        <v>7</v>
      </c>
      <c r="CZ3783" t="s">
        <v>133</v>
      </c>
      <c r="DA3783">
        <v>275</v>
      </c>
      <c r="DB3783">
        <v>0</v>
      </c>
      <c r="DC3783" t="s">
        <v>134</v>
      </c>
      <c r="DD3783" t="s">
        <v>135</v>
      </c>
      <c r="DG3783">
        <v>3322987</v>
      </c>
      <c r="DI3783">
        <v>1</v>
      </c>
      <c r="DJ3783">
        <v>0</v>
      </c>
      <c r="DK3783">
        <v>1</v>
      </c>
      <c r="DL3783">
        <v>0</v>
      </c>
      <c r="DM3783">
        <v>0</v>
      </c>
      <c r="DN3783">
        <v>0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3">
      <c r="A3784" t="str">
        <f>"05/01/2025 15:15:02.582"</f>
        <v>05/01/2025 15:15:02.582</v>
      </c>
      <c r="C3784" t="str">
        <f t="shared" si="1496"/>
        <v>FFDFD3C0</v>
      </c>
      <c r="D3784" t="s">
        <v>124</v>
      </c>
      <c r="E3784" t="str">
        <f>"06"</f>
        <v>06</v>
      </c>
      <c r="F3784">
        <v>2006</v>
      </c>
      <c r="G3784" t="s">
        <v>125</v>
      </c>
      <c r="J3784" t="s">
        <v>126</v>
      </c>
      <c r="K3784">
        <v>0</v>
      </c>
      <c r="L3784">
        <v>3</v>
      </c>
      <c r="M3784">
        <v>0</v>
      </c>
      <c r="N3784">
        <v>2</v>
      </c>
      <c r="O3784">
        <v>0</v>
      </c>
      <c r="P3784">
        <v>1</v>
      </c>
      <c r="Q3784">
        <v>0</v>
      </c>
      <c r="R3784" t="s">
        <v>127</v>
      </c>
      <c r="S3784" t="str">
        <f t="shared" si="1500"/>
        <v>15:15:02.000</v>
      </c>
      <c r="T3784" t="str">
        <f t="shared" si="1500"/>
        <v>15:15:02.000</v>
      </c>
      <c r="U3784" t="str">
        <f t="shared" si="1497"/>
        <v>A68FCB</v>
      </c>
      <c r="V3784">
        <v>0</v>
      </c>
      <c r="W3784">
        <v>0</v>
      </c>
      <c r="X3784">
        <v>2</v>
      </c>
      <c r="Y3784">
        <v>0</v>
      </c>
      <c r="AA3784">
        <v>1</v>
      </c>
      <c r="AB3784">
        <v>8</v>
      </c>
      <c r="AC3784">
        <v>3</v>
      </c>
      <c r="AD3784">
        <v>0</v>
      </c>
      <c r="AE3784">
        <v>9</v>
      </c>
      <c r="AF3784" t="s">
        <v>138</v>
      </c>
      <c r="AG3784">
        <v>0</v>
      </c>
      <c r="AH3784">
        <v>3</v>
      </c>
      <c r="AI3784">
        <v>2</v>
      </c>
      <c r="AJ3784">
        <v>0</v>
      </c>
      <c r="AK3784" t="s">
        <v>1194</v>
      </c>
      <c r="AL3784">
        <v>39.167997999999997</v>
      </c>
      <c r="AM3784" t="s">
        <v>1195</v>
      </c>
      <c r="AN3784">
        <v>-121.030798</v>
      </c>
      <c r="AO3784">
        <v>25</v>
      </c>
      <c r="AP3784">
        <v>4200</v>
      </c>
      <c r="AQ3784" t="s">
        <v>131</v>
      </c>
      <c r="AR3784">
        <v>6</v>
      </c>
      <c r="AS3784">
        <v>89</v>
      </c>
      <c r="AT3784">
        <v>256</v>
      </c>
      <c r="BB3784" t="str">
        <f t="shared" si="1498"/>
        <v>1200</v>
      </c>
      <c r="BC3784">
        <v>1</v>
      </c>
      <c r="BD3784" t="str">
        <f t="shared" si="1499"/>
        <v xml:space="preserve">N52156  </v>
      </c>
      <c r="BE3784">
        <v>1</v>
      </c>
      <c r="BG3784">
        <v>0</v>
      </c>
      <c r="BH3784">
        <v>0</v>
      </c>
      <c r="BI3784">
        <v>0</v>
      </c>
      <c r="BJ3784">
        <v>4225</v>
      </c>
      <c r="BK3784">
        <v>25</v>
      </c>
      <c r="BL3784" t="s">
        <v>188</v>
      </c>
      <c r="BM3784">
        <v>1</v>
      </c>
      <c r="BN3784">
        <v>1</v>
      </c>
      <c r="BO3784">
        <v>0</v>
      </c>
      <c r="BP3784">
        <v>0</v>
      </c>
      <c r="BS3784">
        <v>0</v>
      </c>
      <c r="BT3784">
        <v>0</v>
      </c>
      <c r="BU3784">
        <v>0</v>
      </c>
      <c r="CE3784" t="str">
        <f t="shared" si="1501"/>
        <v>15:15:02.359</v>
      </c>
      <c r="CF3784">
        <v>358739847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4</v>
      </c>
      <c r="CY3784">
        <v>7</v>
      </c>
      <c r="CZ3784" t="s">
        <v>133</v>
      </c>
      <c r="DA3784">
        <v>275</v>
      </c>
      <c r="DB3784">
        <v>0</v>
      </c>
      <c r="DC3784" t="s">
        <v>134</v>
      </c>
      <c r="DD3784" t="s">
        <v>135</v>
      </c>
      <c r="DG3784">
        <v>3322987</v>
      </c>
      <c r="DI3784">
        <v>1</v>
      </c>
      <c r="DJ3784">
        <v>0</v>
      </c>
      <c r="DK3784">
        <v>1</v>
      </c>
      <c r="DL3784">
        <v>0</v>
      </c>
      <c r="DM3784">
        <v>0</v>
      </c>
      <c r="DN3784">
        <v>0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3">
      <c r="A3785" t="str">
        <f>"05/01/2025 15:15:02.592"</f>
        <v>05/01/2025 15:15:02.592</v>
      </c>
      <c r="C3785" t="str">
        <f t="shared" si="1496"/>
        <v>FFDFD3C0</v>
      </c>
      <c r="D3785" t="s">
        <v>145</v>
      </c>
      <c r="E3785" t="str">
        <f>"09"</f>
        <v>09</v>
      </c>
      <c r="H3785">
        <v>51</v>
      </c>
      <c r="I3785" t="s">
        <v>147</v>
      </c>
      <c r="J3785" t="s">
        <v>138</v>
      </c>
      <c r="K3785">
        <v>0</v>
      </c>
      <c r="L3785">
        <v>3</v>
      </c>
      <c r="M3785">
        <v>0</v>
      </c>
      <c r="N3785">
        <v>2</v>
      </c>
      <c r="O3785">
        <v>0</v>
      </c>
      <c r="P3785">
        <v>1</v>
      </c>
      <c r="Q3785">
        <v>0</v>
      </c>
      <c r="R3785" t="s">
        <v>127</v>
      </c>
      <c r="S3785" t="str">
        <f t="shared" si="1500"/>
        <v>15:15:02.000</v>
      </c>
      <c r="T3785" t="str">
        <f t="shared" si="1500"/>
        <v>15:15:02.000</v>
      </c>
      <c r="U3785" t="str">
        <f t="shared" si="1497"/>
        <v>A68FCB</v>
      </c>
      <c r="V3785">
        <v>0</v>
      </c>
      <c r="W3785">
        <v>0</v>
      </c>
      <c r="X3785">
        <v>2</v>
      </c>
      <c r="Y3785">
        <v>0</v>
      </c>
      <c r="AA3785">
        <v>1</v>
      </c>
      <c r="AB3785">
        <v>8</v>
      </c>
      <c r="AC3785">
        <v>3</v>
      </c>
      <c r="AD3785">
        <v>0</v>
      </c>
      <c r="AE3785">
        <v>9</v>
      </c>
      <c r="AF3785" t="s">
        <v>138</v>
      </c>
      <c r="AG3785">
        <v>0</v>
      </c>
      <c r="AH3785">
        <v>3</v>
      </c>
      <c r="AI3785">
        <v>2</v>
      </c>
      <c r="AJ3785">
        <v>0</v>
      </c>
      <c r="AK3785" t="s">
        <v>1194</v>
      </c>
      <c r="AL3785">
        <v>39.167997999999997</v>
      </c>
      <c r="AM3785" t="s">
        <v>1195</v>
      </c>
      <c r="AN3785">
        <v>-121.030798</v>
      </c>
      <c r="AO3785">
        <v>25</v>
      </c>
      <c r="AP3785">
        <v>4200</v>
      </c>
      <c r="AQ3785" t="s">
        <v>131</v>
      </c>
      <c r="AR3785">
        <v>6</v>
      </c>
      <c r="AS3785">
        <v>89</v>
      </c>
      <c r="AT3785">
        <v>256</v>
      </c>
      <c r="BB3785" t="str">
        <f t="shared" si="1498"/>
        <v>1200</v>
      </c>
      <c r="BC3785">
        <v>1</v>
      </c>
      <c r="BD3785" t="str">
        <f t="shared" si="1499"/>
        <v xml:space="preserve">N52156  </v>
      </c>
      <c r="BE3785">
        <v>1</v>
      </c>
      <c r="BG3785">
        <v>0</v>
      </c>
      <c r="BH3785">
        <v>0</v>
      </c>
      <c r="BI3785">
        <v>0</v>
      </c>
      <c r="BJ3785">
        <v>4225</v>
      </c>
      <c r="BK3785">
        <v>25</v>
      </c>
      <c r="BL3785" t="s">
        <v>188</v>
      </c>
      <c r="BM3785">
        <v>1</v>
      </c>
      <c r="BN3785">
        <v>1</v>
      </c>
      <c r="BO3785">
        <v>0</v>
      </c>
      <c r="BP3785">
        <v>0</v>
      </c>
      <c r="BS3785">
        <v>0</v>
      </c>
      <c r="BT3785">
        <v>0</v>
      </c>
      <c r="BU3785">
        <v>0</v>
      </c>
      <c r="CE3785" t="str">
        <f t="shared" si="1501"/>
        <v>15:15:02.359</v>
      </c>
      <c r="CF3785">
        <v>358739847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4</v>
      </c>
      <c r="CY3785">
        <v>7</v>
      </c>
      <c r="CZ3785" t="s">
        <v>133</v>
      </c>
      <c r="DA3785">
        <v>275</v>
      </c>
      <c r="DB3785">
        <v>0</v>
      </c>
      <c r="DC3785" t="s">
        <v>134</v>
      </c>
      <c r="DD3785" t="s">
        <v>135</v>
      </c>
      <c r="DG3785">
        <v>3322987</v>
      </c>
      <c r="DI3785">
        <v>1</v>
      </c>
      <c r="DJ3785">
        <v>0</v>
      </c>
      <c r="DK3785">
        <v>1</v>
      </c>
      <c r="DL3785">
        <v>0</v>
      </c>
      <c r="DM3785">
        <v>0</v>
      </c>
      <c r="DN3785">
        <v>0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3">
      <c r="A3786" t="str">
        <f>"05/01/2025 15:15:02.594"</f>
        <v>05/01/2025 15:15:02.594</v>
      </c>
      <c r="C3786" t="str">
        <f t="shared" si="1496"/>
        <v>FFDFD3C0</v>
      </c>
      <c r="D3786" t="s">
        <v>145</v>
      </c>
      <c r="E3786" t="str">
        <f>"05"</f>
        <v>05</v>
      </c>
      <c r="H3786">
        <v>47</v>
      </c>
      <c r="I3786" t="s">
        <v>146</v>
      </c>
      <c r="J3786" t="s">
        <v>138</v>
      </c>
      <c r="K3786">
        <v>0</v>
      </c>
      <c r="L3786">
        <v>3</v>
      </c>
      <c r="M3786">
        <v>0</v>
      </c>
      <c r="N3786">
        <v>2</v>
      </c>
      <c r="O3786">
        <v>0</v>
      </c>
      <c r="P3786">
        <v>1</v>
      </c>
      <c r="Q3786">
        <v>0</v>
      </c>
      <c r="R3786" t="s">
        <v>127</v>
      </c>
      <c r="S3786" t="str">
        <f t="shared" si="1500"/>
        <v>15:15:02.000</v>
      </c>
      <c r="T3786" t="str">
        <f t="shared" si="1500"/>
        <v>15:15:02.000</v>
      </c>
      <c r="U3786" t="str">
        <f t="shared" si="1497"/>
        <v>A68FCB</v>
      </c>
      <c r="V3786">
        <v>0</v>
      </c>
      <c r="W3786">
        <v>0</v>
      </c>
      <c r="X3786">
        <v>2</v>
      </c>
      <c r="Y3786">
        <v>0</v>
      </c>
      <c r="AA3786">
        <v>1</v>
      </c>
      <c r="AB3786">
        <v>8</v>
      </c>
      <c r="AC3786">
        <v>3</v>
      </c>
      <c r="AD3786">
        <v>0</v>
      </c>
      <c r="AE3786">
        <v>9</v>
      </c>
      <c r="AF3786" t="s">
        <v>138</v>
      </c>
      <c r="AG3786">
        <v>0</v>
      </c>
      <c r="AH3786">
        <v>3</v>
      </c>
      <c r="AI3786">
        <v>2</v>
      </c>
      <c r="AJ3786">
        <v>0</v>
      </c>
      <c r="AK3786" t="s">
        <v>1194</v>
      </c>
      <c r="AL3786">
        <v>39.167997999999997</v>
      </c>
      <c r="AM3786" t="s">
        <v>1195</v>
      </c>
      <c r="AN3786">
        <v>-121.030798</v>
      </c>
      <c r="AO3786">
        <v>25</v>
      </c>
      <c r="AP3786">
        <v>4200</v>
      </c>
      <c r="AQ3786" t="s">
        <v>131</v>
      </c>
      <c r="AR3786">
        <v>6</v>
      </c>
      <c r="AS3786">
        <v>89</v>
      </c>
      <c r="AT3786">
        <v>256</v>
      </c>
      <c r="BB3786" t="str">
        <f t="shared" si="1498"/>
        <v>1200</v>
      </c>
      <c r="BC3786">
        <v>1</v>
      </c>
      <c r="BD3786" t="str">
        <f t="shared" si="1499"/>
        <v xml:space="preserve">N52156  </v>
      </c>
      <c r="BE3786">
        <v>1</v>
      </c>
      <c r="BG3786">
        <v>0</v>
      </c>
      <c r="BH3786">
        <v>0</v>
      </c>
      <c r="BI3786">
        <v>0</v>
      </c>
      <c r="BJ3786">
        <v>4225</v>
      </c>
      <c r="BK3786">
        <v>25</v>
      </c>
      <c r="BL3786" t="s">
        <v>188</v>
      </c>
      <c r="BM3786">
        <v>1</v>
      </c>
      <c r="BN3786">
        <v>1</v>
      </c>
      <c r="BO3786">
        <v>0</v>
      </c>
      <c r="BP3786">
        <v>0</v>
      </c>
      <c r="BS3786">
        <v>0</v>
      </c>
      <c r="BT3786">
        <v>0</v>
      </c>
      <c r="BU3786">
        <v>0</v>
      </c>
      <c r="CE3786" t="str">
        <f t="shared" si="1501"/>
        <v>15:15:02.359</v>
      </c>
      <c r="CF3786">
        <v>358739847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4</v>
      </c>
      <c r="CY3786">
        <v>7</v>
      </c>
      <c r="CZ3786" t="s">
        <v>133</v>
      </c>
      <c r="DA3786">
        <v>275</v>
      </c>
      <c r="DB3786">
        <v>0</v>
      </c>
      <c r="DC3786" t="s">
        <v>134</v>
      </c>
      <c r="DD3786" t="s">
        <v>135</v>
      </c>
      <c r="DG3786">
        <v>3322987</v>
      </c>
      <c r="DI3786">
        <v>1</v>
      </c>
      <c r="DJ3786">
        <v>0</v>
      </c>
      <c r="DK3786">
        <v>1</v>
      </c>
      <c r="DL3786">
        <v>0</v>
      </c>
      <c r="DM3786">
        <v>0</v>
      </c>
      <c r="DN3786">
        <v>0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3">
      <c r="A3787" t="str">
        <f>"05/01/2025 15:15:02.606"</f>
        <v>05/01/2025 15:15:02.606</v>
      </c>
      <c r="C3787" t="str">
        <f t="shared" si="1496"/>
        <v>FFDFD3C0</v>
      </c>
      <c r="D3787" t="s">
        <v>136</v>
      </c>
      <c r="E3787" t="str">
        <f>"20"</f>
        <v>20</v>
      </c>
      <c r="H3787">
        <v>400</v>
      </c>
      <c r="I3787" t="s">
        <v>137</v>
      </c>
      <c r="J3787" t="s">
        <v>138</v>
      </c>
      <c r="K3787">
        <v>0</v>
      </c>
      <c r="L3787">
        <v>3</v>
      </c>
      <c r="M3787">
        <v>0</v>
      </c>
      <c r="N3787">
        <v>2</v>
      </c>
      <c r="O3787">
        <v>0</v>
      </c>
      <c r="P3787">
        <v>1</v>
      </c>
      <c r="Q3787">
        <v>0</v>
      </c>
      <c r="R3787" t="s">
        <v>127</v>
      </c>
      <c r="S3787" t="str">
        <f t="shared" si="1500"/>
        <v>15:15:02.000</v>
      </c>
      <c r="T3787" t="str">
        <f t="shared" si="1500"/>
        <v>15:15:02.000</v>
      </c>
      <c r="U3787" t="str">
        <f t="shared" si="1497"/>
        <v>A68FCB</v>
      </c>
      <c r="V3787">
        <v>0</v>
      </c>
      <c r="W3787">
        <v>0</v>
      </c>
      <c r="X3787">
        <v>2</v>
      </c>
      <c r="Y3787">
        <v>0</v>
      </c>
      <c r="AA3787">
        <v>1</v>
      </c>
      <c r="AB3787">
        <v>8</v>
      </c>
      <c r="AC3787">
        <v>3</v>
      </c>
      <c r="AD3787">
        <v>0</v>
      </c>
      <c r="AE3787">
        <v>9</v>
      </c>
      <c r="AF3787" t="s">
        <v>138</v>
      </c>
      <c r="AG3787">
        <v>0</v>
      </c>
      <c r="AH3787">
        <v>3</v>
      </c>
      <c r="AI3787">
        <v>2</v>
      </c>
      <c r="AJ3787">
        <v>0</v>
      </c>
      <c r="AK3787" t="s">
        <v>1194</v>
      </c>
      <c r="AL3787">
        <v>39.167997999999997</v>
      </c>
      <c r="AM3787" t="s">
        <v>1195</v>
      </c>
      <c r="AN3787">
        <v>-121.030798</v>
      </c>
      <c r="AO3787">
        <v>25</v>
      </c>
      <c r="AP3787">
        <v>4200</v>
      </c>
      <c r="AQ3787" t="s">
        <v>131</v>
      </c>
      <c r="AR3787">
        <v>6</v>
      </c>
      <c r="AS3787">
        <v>89</v>
      </c>
      <c r="AT3787">
        <v>256</v>
      </c>
      <c r="BB3787" t="str">
        <f t="shared" si="1498"/>
        <v>1200</v>
      </c>
      <c r="BC3787">
        <v>1</v>
      </c>
      <c r="BD3787" t="str">
        <f t="shared" si="1499"/>
        <v xml:space="preserve">N52156  </v>
      </c>
      <c r="BE3787">
        <v>1</v>
      </c>
      <c r="BG3787">
        <v>0</v>
      </c>
      <c r="BH3787">
        <v>0</v>
      </c>
      <c r="BI3787">
        <v>0</v>
      </c>
      <c r="BJ3787">
        <v>4225</v>
      </c>
      <c r="BK3787">
        <v>25</v>
      </c>
      <c r="BL3787" t="s">
        <v>188</v>
      </c>
      <c r="BM3787">
        <v>1</v>
      </c>
      <c r="BN3787">
        <v>1</v>
      </c>
      <c r="BO3787">
        <v>0</v>
      </c>
      <c r="BP3787">
        <v>0</v>
      </c>
      <c r="BS3787">
        <v>0</v>
      </c>
      <c r="BT3787">
        <v>0</v>
      </c>
      <c r="BU3787">
        <v>0</v>
      </c>
      <c r="CE3787" t="str">
        <f t="shared" si="1501"/>
        <v>15:15:02.359</v>
      </c>
      <c r="CF3787">
        <v>358739847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4</v>
      </c>
      <c r="CY3787">
        <v>7</v>
      </c>
      <c r="CZ3787" t="s">
        <v>133</v>
      </c>
      <c r="DA3787">
        <v>275</v>
      </c>
      <c r="DB3787">
        <v>0</v>
      </c>
      <c r="DC3787" t="s">
        <v>134</v>
      </c>
      <c r="DD3787" t="s">
        <v>135</v>
      </c>
      <c r="DG3787">
        <v>3322987</v>
      </c>
      <c r="DI3787">
        <v>1</v>
      </c>
      <c r="DJ3787">
        <v>0</v>
      </c>
      <c r="DK3787">
        <v>1</v>
      </c>
      <c r="DL3787">
        <v>0</v>
      </c>
      <c r="DM3787">
        <v>0</v>
      </c>
      <c r="DN3787">
        <v>0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3">
      <c r="A3788" t="str">
        <f>"05/01/2025 15:15:04.135"</f>
        <v>05/01/2025 15:15:04.135</v>
      </c>
      <c r="C3788" t="str">
        <f t="shared" si="1496"/>
        <v>FFDFD3C0</v>
      </c>
      <c r="D3788" t="s">
        <v>124</v>
      </c>
      <c r="E3788" t="str">
        <f>"06"</f>
        <v>06</v>
      </c>
      <c r="F3788">
        <v>2006</v>
      </c>
      <c r="G3788" t="s">
        <v>125</v>
      </c>
      <c r="J3788" t="s">
        <v>126</v>
      </c>
      <c r="K3788">
        <v>0</v>
      </c>
      <c r="L3788">
        <v>3</v>
      </c>
      <c r="M3788">
        <v>0</v>
      </c>
      <c r="N3788">
        <v>2</v>
      </c>
      <c r="O3788">
        <v>0</v>
      </c>
      <c r="P3788">
        <v>1</v>
      </c>
      <c r="Q3788">
        <v>0</v>
      </c>
      <c r="R3788" t="s">
        <v>127</v>
      </c>
      <c r="S3788" t="str">
        <f t="shared" ref="S3788:T3793" si="1502">"15:15:03.000"</f>
        <v>15:15:03.000</v>
      </c>
      <c r="T3788" t="str">
        <f t="shared" si="1502"/>
        <v>15:15:03.000</v>
      </c>
      <c r="U3788" t="str">
        <f t="shared" si="1497"/>
        <v>A68FCB</v>
      </c>
      <c r="V3788">
        <v>0</v>
      </c>
      <c r="W3788">
        <v>0</v>
      </c>
      <c r="X3788">
        <v>2</v>
      </c>
      <c r="Y3788">
        <v>0</v>
      </c>
      <c r="AA3788">
        <v>1</v>
      </c>
      <c r="AB3788">
        <v>8</v>
      </c>
      <c r="AC3788">
        <v>3</v>
      </c>
      <c r="AD3788">
        <v>0</v>
      </c>
      <c r="AE3788">
        <v>9</v>
      </c>
      <c r="AF3788" t="s">
        <v>138</v>
      </c>
      <c r="AG3788">
        <v>0</v>
      </c>
      <c r="AH3788">
        <v>3</v>
      </c>
      <c r="AI3788">
        <v>2</v>
      </c>
      <c r="AJ3788">
        <v>0</v>
      </c>
      <c r="AK3788" t="s">
        <v>1196</v>
      </c>
      <c r="AL3788">
        <v>39.168405999999997</v>
      </c>
      <c r="AM3788" t="s">
        <v>1197</v>
      </c>
      <c r="AN3788">
        <v>-121.030755</v>
      </c>
      <c r="AO3788">
        <v>25</v>
      </c>
      <c r="AP3788">
        <v>4200</v>
      </c>
      <c r="AQ3788" t="s">
        <v>131</v>
      </c>
      <c r="AR3788">
        <v>6</v>
      </c>
      <c r="AS3788">
        <v>89</v>
      </c>
      <c r="AT3788">
        <v>256</v>
      </c>
      <c r="BB3788" t="str">
        <f t="shared" si="1498"/>
        <v>1200</v>
      </c>
      <c r="BC3788">
        <v>1</v>
      </c>
      <c r="BD3788" t="str">
        <f t="shared" si="1499"/>
        <v xml:space="preserve">N52156  </v>
      </c>
      <c r="BE3788">
        <v>1</v>
      </c>
      <c r="BG3788">
        <v>0</v>
      </c>
      <c r="BH3788">
        <v>0</v>
      </c>
      <c r="BI3788">
        <v>0</v>
      </c>
      <c r="BJ3788">
        <v>4250</v>
      </c>
      <c r="BK3788">
        <v>50</v>
      </c>
      <c r="BL3788" t="s">
        <v>188</v>
      </c>
      <c r="BM3788">
        <v>1</v>
      </c>
      <c r="BN3788">
        <v>1</v>
      </c>
      <c r="BO3788">
        <v>0</v>
      </c>
      <c r="BP3788">
        <v>0</v>
      </c>
      <c r="BS3788">
        <v>0</v>
      </c>
      <c r="BT3788">
        <v>0</v>
      </c>
      <c r="BU3788">
        <v>0</v>
      </c>
      <c r="CE3788" t="str">
        <f t="shared" ref="CE3788:CE3793" si="1503">"15:15:03.920"</f>
        <v>15:15:03.920</v>
      </c>
      <c r="CF3788">
        <v>920241370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4</v>
      </c>
      <c r="CY3788">
        <v>7</v>
      </c>
      <c r="CZ3788" t="s">
        <v>133</v>
      </c>
      <c r="DA3788">
        <v>275</v>
      </c>
      <c r="DB3788">
        <v>0</v>
      </c>
      <c r="DC3788" t="s">
        <v>134</v>
      </c>
      <c r="DD3788" t="s">
        <v>135</v>
      </c>
      <c r="DG3788">
        <v>3322994</v>
      </c>
      <c r="DI3788">
        <v>1</v>
      </c>
      <c r="DJ3788">
        <v>0</v>
      </c>
      <c r="DK3788">
        <v>0</v>
      </c>
      <c r="DL3788">
        <v>0</v>
      </c>
      <c r="DM3788">
        <v>0</v>
      </c>
      <c r="DN3788">
        <v>0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3">
      <c r="A3789" t="str">
        <f>"05/01/2025 15:15:04.129"</f>
        <v>05/01/2025 15:15:04.129</v>
      </c>
      <c r="C3789" t="str">
        <f t="shared" si="1496"/>
        <v>FFDFD3C0</v>
      </c>
      <c r="D3789" t="s">
        <v>143</v>
      </c>
      <c r="E3789" t="str">
        <f>"05"</f>
        <v>05</v>
      </c>
      <c r="H3789">
        <v>172</v>
      </c>
      <c r="I3789" t="s">
        <v>141</v>
      </c>
      <c r="J3789" t="s">
        <v>144</v>
      </c>
      <c r="K3789">
        <v>0</v>
      </c>
      <c r="L3789">
        <v>3</v>
      </c>
      <c r="M3789">
        <v>0</v>
      </c>
      <c r="N3789">
        <v>2</v>
      </c>
      <c r="O3789">
        <v>0</v>
      </c>
      <c r="P3789">
        <v>1</v>
      </c>
      <c r="Q3789">
        <v>0</v>
      </c>
      <c r="R3789" t="s">
        <v>127</v>
      </c>
      <c r="S3789" t="str">
        <f t="shared" si="1502"/>
        <v>15:15:03.000</v>
      </c>
      <c r="T3789" t="str">
        <f t="shared" si="1502"/>
        <v>15:15:03.000</v>
      </c>
      <c r="U3789" t="str">
        <f t="shared" si="1497"/>
        <v>A68FCB</v>
      </c>
      <c r="V3789">
        <v>0</v>
      </c>
      <c r="W3789">
        <v>0</v>
      </c>
      <c r="X3789">
        <v>2</v>
      </c>
      <c r="Y3789">
        <v>0</v>
      </c>
      <c r="AA3789">
        <v>1</v>
      </c>
      <c r="AB3789">
        <v>8</v>
      </c>
      <c r="AC3789">
        <v>3</v>
      </c>
      <c r="AD3789">
        <v>0</v>
      </c>
      <c r="AE3789">
        <v>9</v>
      </c>
      <c r="AF3789" t="s">
        <v>138</v>
      </c>
      <c r="AG3789">
        <v>0</v>
      </c>
      <c r="AH3789">
        <v>3</v>
      </c>
      <c r="AI3789">
        <v>2</v>
      </c>
      <c r="AJ3789">
        <v>0</v>
      </c>
      <c r="AK3789" t="s">
        <v>1196</v>
      </c>
      <c r="AL3789">
        <v>39.168405999999997</v>
      </c>
      <c r="AM3789" t="s">
        <v>1197</v>
      </c>
      <c r="AN3789">
        <v>-121.030755</v>
      </c>
      <c r="AO3789">
        <v>25</v>
      </c>
      <c r="AP3789">
        <v>4200</v>
      </c>
      <c r="AQ3789" t="s">
        <v>131</v>
      </c>
      <c r="AR3789">
        <v>6</v>
      </c>
      <c r="AS3789">
        <v>89</v>
      </c>
      <c r="AT3789">
        <v>256</v>
      </c>
      <c r="BB3789" t="str">
        <f t="shared" si="1498"/>
        <v>1200</v>
      </c>
      <c r="BC3789">
        <v>1</v>
      </c>
      <c r="BD3789" t="str">
        <f t="shared" si="1499"/>
        <v xml:space="preserve">N52156  </v>
      </c>
      <c r="BE3789">
        <v>1</v>
      </c>
      <c r="BG3789">
        <v>0</v>
      </c>
      <c r="BH3789">
        <v>0</v>
      </c>
      <c r="BI3789">
        <v>0</v>
      </c>
      <c r="BJ3789">
        <v>4250</v>
      </c>
      <c r="BK3789">
        <v>50</v>
      </c>
      <c r="BL3789" t="s">
        <v>188</v>
      </c>
      <c r="BM3789">
        <v>1</v>
      </c>
      <c r="BN3789">
        <v>1</v>
      </c>
      <c r="BO3789">
        <v>0</v>
      </c>
      <c r="BP3789">
        <v>0</v>
      </c>
      <c r="BS3789">
        <v>0</v>
      </c>
      <c r="BT3789">
        <v>0</v>
      </c>
      <c r="BU3789">
        <v>0</v>
      </c>
      <c r="CE3789" t="str">
        <f t="shared" si="1503"/>
        <v>15:15:03.920</v>
      </c>
      <c r="CF3789">
        <v>920241370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4</v>
      </c>
      <c r="CY3789">
        <v>7</v>
      </c>
      <c r="CZ3789" t="s">
        <v>133</v>
      </c>
      <c r="DA3789">
        <v>275</v>
      </c>
      <c r="DB3789">
        <v>0</v>
      </c>
      <c r="DC3789" t="s">
        <v>134</v>
      </c>
      <c r="DD3789" t="s">
        <v>135</v>
      </c>
      <c r="DG3789">
        <v>3322994</v>
      </c>
      <c r="DI3789">
        <v>1</v>
      </c>
      <c r="DJ3789">
        <v>0</v>
      </c>
      <c r="DK3789">
        <v>1</v>
      </c>
      <c r="DL3789">
        <v>0</v>
      </c>
      <c r="DM3789">
        <v>0</v>
      </c>
      <c r="DN3789">
        <v>0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3">
      <c r="A3790" t="str">
        <f>"05/01/2025 15:15:04.130"</f>
        <v>05/01/2025 15:15:04.130</v>
      </c>
      <c r="C3790" t="str">
        <f t="shared" si="1496"/>
        <v>FFDFD3C0</v>
      </c>
      <c r="D3790" t="s">
        <v>140</v>
      </c>
      <c r="E3790" t="str">
        <f>"13"</f>
        <v>13</v>
      </c>
      <c r="F3790">
        <v>1019</v>
      </c>
      <c r="G3790" t="s">
        <v>141</v>
      </c>
      <c r="J3790" t="s">
        <v>142</v>
      </c>
      <c r="K3790">
        <v>0</v>
      </c>
      <c r="L3790">
        <v>3</v>
      </c>
      <c r="M3790">
        <v>0</v>
      </c>
      <c r="N3790">
        <v>2</v>
      </c>
      <c r="O3790">
        <v>0</v>
      </c>
      <c r="P3790">
        <v>1</v>
      </c>
      <c r="Q3790">
        <v>0</v>
      </c>
      <c r="R3790" t="s">
        <v>127</v>
      </c>
      <c r="S3790" t="str">
        <f t="shared" si="1502"/>
        <v>15:15:03.000</v>
      </c>
      <c r="T3790" t="str">
        <f t="shared" si="1502"/>
        <v>15:15:03.000</v>
      </c>
      <c r="U3790" t="str">
        <f t="shared" si="1497"/>
        <v>A68FCB</v>
      </c>
      <c r="V3790">
        <v>0</v>
      </c>
      <c r="W3790">
        <v>0</v>
      </c>
      <c r="X3790">
        <v>2</v>
      </c>
      <c r="Y3790">
        <v>0</v>
      </c>
      <c r="AA3790">
        <v>1</v>
      </c>
      <c r="AB3790">
        <v>8</v>
      </c>
      <c r="AC3790">
        <v>3</v>
      </c>
      <c r="AD3790">
        <v>0</v>
      </c>
      <c r="AE3790">
        <v>9</v>
      </c>
      <c r="AF3790" t="s">
        <v>138</v>
      </c>
      <c r="AG3790">
        <v>0</v>
      </c>
      <c r="AH3790">
        <v>3</v>
      </c>
      <c r="AI3790">
        <v>2</v>
      </c>
      <c r="AJ3790">
        <v>0</v>
      </c>
      <c r="AK3790" t="s">
        <v>1196</v>
      </c>
      <c r="AL3790">
        <v>39.168405999999997</v>
      </c>
      <c r="AM3790" t="s">
        <v>1197</v>
      </c>
      <c r="AN3790">
        <v>-121.030755</v>
      </c>
      <c r="AO3790">
        <v>25</v>
      </c>
      <c r="AP3790">
        <v>4200</v>
      </c>
      <c r="AQ3790" t="s">
        <v>131</v>
      </c>
      <c r="AR3790">
        <v>6</v>
      </c>
      <c r="AS3790">
        <v>89</v>
      </c>
      <c r="AT3790">
        <v>256</v>
      </c>
      <c r="BB3790" t="str">
        <f t="shared" si="1498"/>
        <v>1200</v>
      </c>
      <c r="BC3790">
        <v>1</v>
      </c>
      <c r="BD3790" t="str">
        <f t="shared" si="1499"/>
        <v xml:space="preserve">N52156  </v>
      </c>
      <c r="BE3790">
        <v>1</v>
      </c>
      <c r="BG3790">
        <v>0</v>
      </c>
      <c r="BH3790">
        <v>0</v>
      </c>
      <c r="BI3790">
        <v>0</v>
      </c>
      <c r="BJ3790">
        <v>4250</v>
      </c>
      <c r="BK3790">
        <v>50</v>
      </c>
      <c r="BL3790" t="s">
        <v>188</v>
      </c>
      <c r="BM3790">
        <v>1</v>
      </c>
      <c r="BN3790">
        <v>1</v>
      </c>
      <c r="BO3790">
        <v>0</v>
      </c>
      <c r="BP3790">
        <v>0</v>
      </c>
      <c r="BS3790">
        <v>0</v>
      </c>
      <c r="BT3790">
        <v>0</v>
      </c>
      <c r="BU3790">
        <v>0</v>
      </c>
      <c r="CE3790" t="str">
        <f t="shared" si="1503"/>
        <v>15:15:03.920</v>
      </c>
      <c r="CF3790">
        <v>920241370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4</v>
      </c>
      <c r="CY3790">
        <v>7</v>
      </c>
      <c r="CZ3790" t="s">
        <v>133</v>
      </c>
      <c r="DA3790">
        <v>275</v>
      </c>
      <c r="DB3790">
        <v>0</v>
      </c>
      <c r="DC3790" t="s">
        <v>134</v>
      </c>
      <c r="DD3790" t="s">
        <v>135</v>
      </c>
      <c r="DG3790">
        <v>3322994</v>
      </c>
      <c r="DI3790">
        <v>1</v>
      </c>
      <c r="DJ3790">
        <v>0</v>
      </c>
      <c r="DK3790">
        <v>1</v>
      </c>
      <c r="DL3790">
        <v>0</v>
      </c>
      <c r="DM3790">
        <v>0</v>
      </c>
      <c r="DN3790">
        <v>0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3">
      <c r="A3791" t="str">
        <f>"05/01/2025 15:15:04.144"</f>
        <v>05/01/2025 15:15:04.144</v>
      </c>
      <c r="C3791" t="str">
        <f t="shared" si="1496"/>
        <v>FFDFD3C0</v>
      </c>
      <c r="D3791" t="s">
        <v>145</v>
      </c>
      <c r="E3791" t="str">
        <f>"09"</f>
        <v>09</v>
      </c>
      <c r="H3791">
        <v>51</v>
      </c>
      <c r="I3791" t="s">
        <v>147</v>
      </c>
      <c r="J3791" t="s">
        <v>138</v>
      </c>
      <c r="K3791">
        <v>0</v>
      </c>
      <c r="L3791">
        <v>3</v>
      </c>
      <c r="M3791">
        <v>0</v>
      </c>
      <c r="N3791">
        <v>2</v>
      </c>
      <c r="O3791">
        <v>0</v>
      </c>
      <c r="P3791">
        <v>1</v>
      </c>
      <c r="Q3791">
        <v>0</v>
      </c>
      <c r="R3791" t="s">
        <v>127</v>
      </c>
      <c r="S3791" t="str">
        <f t="shared" si="1502"/>
        <v>15:15:03.000</v>
      </c>
      <c r="T3791" t="str">
        <f t="shared" si="1502"/>
        <v>15:15:03.000</v>
      </c>
      <c r="U3791" t="str">
        <f t="shared" si="1497"/>
        <v>A68FCB</v>
      </c>
      <c r="V3791">
        <v>0</v>
      </c>
      <c r="W3791">
        <v>0</v>
      </c>
      <c r="X3791">
        <v>2</v>
      </c>
      <c r="Y3791">
        <v>0</v>
      </c>
      <c r="AA3791">
        <v>1</v>
      </c>
      <c r="AB3791">
        <v>8</v>
      </c>
      <c r="AC3791">
        <v>3</v>
      </c>
      <c r="AD3791">
        <v>0</v>
      </c>
      <c r="AE3791">
        <v>9</v>
      </c>
      <c r="AF3791" t="s">
        <v>138</v>
      </c>
      <c r="AG3791">
        <v>0</v>
      </c>
      <c r="AH3791">
        <v>3</v>
      </c>
      <c r="AI3791">
        <v>2</v>
      </c>
      <c r="AJ3791">
        <v>0</v>
      </c>
      <c r="AK3791" t="s">
        <v>1196</v>
      </c>
      <c r="AL3791">
        <v>39.168405999999997</v>
      </c>
      <c r="AM3791" t="s">
        <v>1197</v>
      </c>
      <c r="AN3791">
        <v>-121.030755</v>
      </c>
      <c r="AO3791">
        <v>25</v>
      </c>
      <c r="AP3791">
        <v>4200</v>
      </c>
      <c r="AQ3791" t="s">
        <v>131</v>
      </c>
      <c r="AR3791">
        <v>6</v>
      </c>
      <c r="AS3791">
        <v>89</v>
      </c>
      <c r="AT3791">
        <v>256</v>
      </c>
      <c r="BB3791" t="str">
        <f t="shared" si="1498"/>
        <v>1200</v>
      </c>
      <c r="BC3791">
        <v>1</v>
      </c>
      <c r="BD3791" t="str">
        <f t="shared" si="1499"/>
        <v xml:space="preserve">N52156  </v>
      </c>
      <c r="BE3791">
        <v>1</v>
      </c>
      <c r="BG3791">
        <v>0</v>
      </c>
      <c r="BH3791">
        <v>0</v>
      </c>
      <c r="BI3791">
        <v>0</v>
      </c>
      <c r="BJ3791">
        <v>4250</v>
      </c>
      <c r="BK3791">
        <v>50</v>
      </c>
      <c r="BL3791" t="s">
        <v>188</v>
      </c>
      <c r="BM3791">
        <v>1</v>
      </c>
      <c r="BN3791">
        <v>1</v>
      </c>
      <c r="BO3791">
        <v>0</v>
      </c>
      <c r="BP3791">
        <v>0</v>
      </c>
      <c r="BS3791">
        <v>0</v>
      </c>
      <c r="BT3791">
        <v>0</v>
      </c>
      <c r="BU3791">
        <v>0</v>
      </c>
      <c r="CE3791" t="str">
        <f t="shared" si="1503"/>
        <v>15:15:03.920</v>
      </c>
      <c r="CF3791">
        <v>920241370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4</v>
      </c>
      <c r="CY3791">
        <v>7</v>
      </c>
      <c r="CZ3791" t="s">
        <v>133</v>
      </c>
      <c r="DA3791">
        <v>275</v>
      </c>
      <c r="DB3791">
        <v>0</v>
      </c>
      <c r="DC3791" t="s">
        <v>134</v>
      </c>
      <c r="DD3791" t="s">
        <v>135</v>
      </c>
      <c r="DG3791">
        <v>3322994</v>
      </c>
      <c r="DI3791">
        <v>1</v>
      </c>
      <c r="DJ3791">
        <v>0</v>
      </c>
      <c r="DK3791">
        <v>1</v>
      </c>
      <c r="DL3791">
        <v>0</v>
      </c>
      <c r="DM3791">
        <v>0</v>
      </c>
      <c r="DN3791">
        <v>0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3">
      <c r="A3792" t="str">
        <f>"05/01/2025 15:15:04.147"</f>
        <v>05/01/2025 15:15:04.147</v>
      </c>
      <c r="C3792" t="str">
        <f t="shared" si="1496"/>
        <v>FFDFD3C0</v>
      </c>
      <c r="D3792" t="s">
        <v>145</v>
      </c>
      <c r="E3792" t="str">
        <f>"05"</f>
        <v>05</v>
      </c>
      <c r="H3792">
        <v>47</v>
      </c>
      <c r="I3792" t="s">
        <v>146</v>
      </c>
      <c r="J3792" t="s">
        <v>138</v>
      </c>
      <c r="K3792">
        <v>0</v>
      </c>
      <c r="L3792">
        <v>3</v>
      </c>
      <c r="M3792">
        <v>0</v>
      </c>
      <c r="N3792">
        <v>2</v>
      </c>
      <c r="O3792">
        <v>0</v>
      </c>
      <c r="P3792">
        <v>1</v>
      </c>
      <c r="Q3792">
        <v>0</v>
      </c>
      <c r="R3792" t="s">
        <v>127</v>
      </c>
      <c r="S3792" t="str">
        <f t="shared" si="1502"/>
        <v>15:15:03.000</v>
      </c>
      <c r="T3792" t="str">
        <f t="shared" si="1502"/>
        <v>15:15:03.000</v>
      </c>
      <c r="U3792" t="str">
        <f t="shared" si="1497"/>
        <v>A68FCB</v>
      </c>
      <c r="V3792">
        <v>0</v>
      </c>
      <c r="W3792">
        <v>0</v>
      </c>
      <c r="X3792">
        <v>2</v>
      </c>
      <c r="Y3792">
        <v>0</v>
      </c>
      <c r="AA3792">
        <v>1</v>
      </c>
      <c r="AB3792">
        <v>8</v>
      </c>
      <c r="AC3792">
        <v>3</v>
      </c>
      <c r="AD3792">
        <v>0</v>
      </c>
      <c r="AE3792">
        <v>9</v>
      </c>
      <c r="AF3792" t="s">
        <v>138</v>
      </c>
      <c r="AG3792">
        <v>0</v>
      </c>
      <c r="AH3792">
        <v>3</v>
      </c>
      <c r="AI3792">
        <v>2</v>
      </c>
      <c r="AJ3792">
        <v>0</v>
      </c>
      <c r="AK3792" t="s">
        <v>1196</v>
      </c>
      <c r="AL3792">
        <v>39.168405999999997</v>
      </c>
      <c r="AM3792" t="s">
        <v>1197</v>
      </c>
      <c r="AN3792">
        <v>-121.030755</v>
      </c>
      <c r="AO3792">
        <v>25</v>
      </c>
      <c r="AP3792">
        <v>4200</v>
      </c>
      <c r="AQ3792" t="s">
        <v>131</v>
      </c>
      <c r="AR3792">
        <v>6</v>
      </c>
      <c r="AS3792">
        <v>89</v>
      </c>
      <c r="AT3792">
        <v>256</v>
      </c>
      <c r="BB3792" t="str">
        <f t="shared" si="1498"/>
        <v>1200</v>
      </c>
      <c r="BC3792">
        <v>1</v>
      </c>
      <c r="BD3792" t="str">
        <f t="shared" si="1499"/>
        <v xml:space="preserve">N52156  </v>
      </c>
      <c r="BE3792">
        <v>1</v>
      </c>
      <c r="BG3792">
        <v>0</v>
      </c>
      <c r="BH3792">
        <v>0</v>
      </c>
      <c r="BI3792">
        <v>0</v>
      </c>
      <c r="BJ3792">
        <v>4250</v>
      </c>
      <c r="BK3792">
        <v>50</v>
      </c>
      <c r="BL3792" t="s">
        <v>188</v>
      </c>
      <c r="BM3792">
        <v>1</v>
      </c>
      <c r="BN3792">
        <v>1</v>
      </c>
      <c r="BO3792">
        <v>0</v>
      </c>
      <c r="BP3792">
        <v>0</v>
      </c>
      <c r="BS3792">
        <v>0</v>
      </c>
      <c r="BT3792">
        <v>0</v>
      </c>
      <c r="BU3792">
        <v>0</v>
      </c>
      <c r="CE3792" t="str">
        <f t="shared" si="1503"/>
        <v>15:15:03.920</v>
      </c>
      <c r="CF3792">
        <v>920241370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4</v>
      </c>
      <c r="CY3792">
        <v>7</v>
      </c>
      <c r="CZ3792" t="s">
        <v>133</v>
      </c>
      <c r="DA3792">
        <v>275</v>
      </c>
      <c r="DB3792">
        <v>0</v>
      </c>
      <c r="DC3792" t="s">
        <v>134</v>
      </c>
      <c r="DD3792" t="s">
        <v>135</v>
      </c>
      <c r="DG3792">
        <v>3322994</v>
      </c>
      <c r="DI3792">
        <v>1</v>
      </c>
      <c r="DJ3792">
        <v>0</v>
      </c>
      <c r="DK3792">
        <v>1</v>
      </c>
      <c r="DL3792">
        <v>0</v>
      </c>
      <c r="DM3792">
        <v>0</v>
      </c>
      <c r="DN3792">
        <v>0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3">
      <c r="A3793" t="str">
        <f>"05/01/2025 15:15:04.159"</f>
        <v>05/01/2025 15:15:04.159</v>
      </c>
      <c r="C3793" t="str">
        <f t="shared" si="1496"/>
        <v>FFDFD3C0</v>
      </c>
      <c r="D3793" t="s">
        <v>136</v>
      </c>
      <c r="E3793" t="str">
        <f>"20"</f>
        <v>20</v>
      </c>
      <c r="H3793">
        <v>400</v>
      </c>
      <c r="I3793" t="s">
        <v>137</v>
      </c>
      <c r="J3793" t="s">
        <v>138</v>
      </c>
      <c r="K3793">
        <v>0</v>
      </c>
      <c r="L3793">
        <v>3</v>
      </c>
      <c r="M3793">
        <v>0</v>
      </c>
      <c r="N3793">
        <v>2</v>
      </c>
      <c r="O3793">
        <v>0</v>
      </c>
      <c r="P3793">
        <v>1</v>
      </c>
      <c r="Q3793">
        <v>0</v>
      </c>
      <c r="R3793" t="s">
        <v>127</v>
      </c>
      <c r="S3793" t="str">
        <f t="shared" si="1502"/>
        <v>15:15:03.000</v>
      </c>
      <c r="T3793" t="str">
        <f t="shared" si="1502"/>
        <v>15:15:03.000</v>
      </c>
      <c r="U3793" t="str">
        <f t="shared" si="1497"/>
        <v>A68FCB</v>
      </c>
      <c r="V3793">
        <v>0</v>
      </c>
      <c r="W3793">
        <v>0</v>
      </c>
      <c r="X3793">
        <v>2</v>
      </c>
      <c r="Y3793">
        <v>0</v>
      </c>
      <c r="AA3793">
        <v>1</v>
      </c>
      <c r="AB3793">
        <v>8</v>
      </c>
      <c r="AC3793">
        <v>3</v>
      </c>
      <c r="AD3793">
        <v>0</v>
      </c>
      <c r="AE3793">
        <v>9</v>
      </c>
      <c r="AF3793" t="s">
        <v>138</v>
      </c>
      <c r="AG3793">
        <v>0</v>
      </c>
      <c r="AH3793">
        <v>3</v>
      </c>
      <c r="AI3793">
        <v>2</v>
      </c>
      <c r="AJ3793">
        <v>0</v>
      </c>
      <c r="AK3793" t="s">
        <v>1196</v>
      </c>
      <c r="AL3793">
        <v>39.168405999999997</v>
      </c>
      <c r="AM3793" t="s">
        <v>1197</v>
      </c>
      <c r="AN3793">
        <v>-121.030755</v>
      </c>
      <c r="AO3793">
        <v>25</v>
      </c>
      <c r="AP3793">
        <v>4200</v>
      </c>
      <c r="AQ3793" t="s">
        <v>131</v>
      </c>
      <c r="AR3793">
        <v>6</v>
      </c>
      <c r="AS3793">
        <v>89</v>
      </c>
      <c r="AT3793">
        <v>256</v>
      </c>
      <c r="BB3793" t="str">
        <f t="shared" si="1498"/>
        <v>1200</v>
      </c>
      <c r="BC3793">
        <v>1</v>
      </c>
      <c r="BD3793" t="str">
        <f t="shared" si="1499"/>
        <v xml:space="preserve">N52156  </v>
      </c>
      <c r="BE3793">
        <v>1</v>
      </c>
      <c r="BG3793">
        <v>0</v>
      </c>
      <c r="BH3793">
        <v>0</v>
      </c>
      <c r="BI3793">
        <v>0</v>
      </c>
      <c r="BJ3793">
        <v>4250</v>
      </c>
      <c r="BK3793">
        <v>50</v>
      </c>
      <c r="BL3793" t="s">
        <v>188</v>
      </c>
      <c r="BM3793">
        <v>1</v>
      </c>
      <c r="BN3793">
        <v>1</v>
      </c>
      <c r="BO3793">
        <v>0</v>
      </c>
      <c r="BP3793">
        <v>0</v>
      </c>
      <c r="BS3793">
        <v>0</v>
      </c>
      <c r="BT3793">
        <v>0</v>
      </c>
      <c r="BU3793">
        <v>0</v>
      </c>
      <c r="CE3793" t="str">
        <f t="shared" si="1503"/>
        <v>15:15:03.920</v>
      </c>
      <c r="CF3793">
        <v>920241370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4</v>
      </c>
      <c r="CY3793">
        <v>7</v>
      </c>
      <c r="CZ3793" t="s">
        <v>133</v>
      </c>
      <c r="DA3793">
        <v>275</v>
      </c>
      <c r="DB3793">
        <v>0</v>
      </c>
      <c r="DC3793" t="s">
        <v>134</v>
      </c>
      <c r="DD3793" t="s">
        <v>135</v>
      </c>
      <c r="DG3793">
        <v>3322994</v>
      </c>
      <c r="DI3793">
        <v>1</v>
      </c>
      <c r="DJ3793">
        <v>0</v>
      </c>
      <c r="DK3793">
        <v>1</v>
      </c>
      <c r="DL3793">
        <v>0</v>
      </c>
      <c r="DM3793">
        <v>0</v>
      </c>
      <c r="DN3793">
        <v>0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3">
      <c r="A3794" t="str">
        <f>"05/01/2025 15:15:05.030"</f>
        <v>05/01/2025 15:15:05.030</v>
      </c>
      <c r="C3794" t="str">
        <f t="shared" si="1496"/>
        <v>FFDFD3C0</v>
      </c>
      <c r="D3794" t="s">
        <v>143</v>
      </c>
      <c r="E3794" t="str">
        <f>"05"</f>
        <v>05</v>
      </c>
      <c r="H3794">
        <v>172</v>
      </c>
      <c r="I3794" t="s">
        <v>141</v>
      </c>
      <c r="J3794" t="s">
        <v>144</v>
      </c>
      <c r="K3794">
        <v>0</v>
      </c>
      <c r="L3794">
        <v>3</v>
      </c>
      <c r="M3794">
        <v>0</v>
      </c>
      <c r="N3794">
        <v>2</v>
      </c>
      <c r="O3794">
        <v>0</v>
      </c>
      <c r="P3794">
        <v>1</v>
      </c>
      <c r="Q3794">
        <v>0</v>
      </c>
      <c r="R3794" t="s">
        <v>127</v>
      </c>
      <c r="S3794" t="str">
        <f t="shared" ref="S3794:T3799" si="1504">"15:15:04.000"</f>
        <v>15:15:04.000</v>
      </c>
      <c r="T3794" t="str">
        <f t="shared" si="1504"/>
        <v>15:15:04.000</v>
      </c>
      <c r="U3794" t="str">
        <f t="shared" si="1497"/>
        <v>A68FCB</v>
      </c>
      <c r="V3794">
        <v>0</v>
      </c>
      <c r="W3794">
        <v>0</v>
      </c>
      <c r="X3794">
        <v>2</v>
      </c>
      <c r="Y3794">
        <v>0</v>
      </c>
      <c r="AA3794">
        <v>1</v>
      </c>
      <c r="AB3794">
        <v>8</v>
      </c>
      <c r="AC3794">
        <v>3</v>
      </c>
      <c r="AD3794">
        <v>0</v>
      </c>
      <c r="AE3794">
        <v>9</v>
      </c>
      <c r="AF3794" t="s">
        <v>138</v>
      </c>
      <c r="AG3794">
        <v>0</v>
      </c>
      <c r="AH3794">
        <v>3</v>
      </c>
      <c r="AI3794">
        <v>2</v>
      </c>
      <c r="AJ3794">
        <v>0</v>
      </c>
      <c r="AK3794" t="s">
        <v>1198</v>
      </c>
      <c r="AL3794">
        <v>39.168835000000001</v>
      </c>
      <c r="AM3794" t="s">
        <v>1199</v>
      </c>
      <c r="AN3794">
        <v>-121.03071199999999</v>
      </c>
      <c r="AO3794">
        <v>25</v>
      </c>
      <c r="AP3794">
        <v>4200</v>
      </c>
      <c r="AQ3794" t="s">
        <v>131</v>
      </c>
      <c r="AR3794">
        <v>7</v>
      </c>
      <c r="AS3794">
        <v>89</v>
      </c>
      <c r="AT3794">
        <v>256</v>
      </c>
      <c r="BB3794" t="str">
        <f t="shared" si="1498"/>
        <v>1200</v>
      </c>
      <c r="BC3794">
        <v>1</v>
      </c>
      <c r="BD3794" t="str">
        <f t="shared" si="1499"/>
        <v xml:space="preserve">N52156  </v>
      </c>
      <c r="BE3794">
        <v>1</v>
      </c>
      <c r="BG3794">
        <v>0</v>
      </c>
      <c r="BH3794">
        <v>0</v>
      </c>
      <c r="BI3794">
        <v>0</v>
      </c>
      <c r="BJ3794">
        <v>4250</v>
      </c>
      <c r="BK3794">
        <v>50</v>
      </c>
      <c r="BL3794" t="s">
        <v>188</v>
      </c>
      <c r="BM3794">
        <v>1</v>
      </c>
      <c r="BN3794">
        <v>1</v>
      </c>
      <c r="BO3794">
        <v>0</v>
      </c>
      <c r="BP3794">
        <v>0</v>
      </c>
      <c r="BS3794">
        <v>0</v>
      </c>
      <c r="BT3794">
        <v>0</v>
      </c>
      <c r="BU3794">
        <v>0</v>
      </c>
      <c r="CE3794" t="str">
        <f t="shared" ref="CE3794:CE3799" si="1505">"15:15:04.790"</f>
        <v>15:15:04.790</v>
      </c>
      <c r="CF3794">
        <v>790241105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4</v>
      </c>
      <c r="CY3794">
        <v>7</v>
      </c>
      <c r="CZ3794" t="s">
        <v>133</v>
      </c>
      <c r="DA3794">
        <v>275</v>
      </c>
      <c r="DB3794">
        <v>0</v>
      </c>
      <c r="DC3794" t="s">
        <v>134</v>
      </c>
      <c r="DD3794" t="s">
        <v>135</v>
      </c>
      <c r="DG3794">
        <v>3322999</v>
      </c>
      <c r="DI3794">
        <v>1</v>
      </c>
      <c r="DJ3794">
        <v>0</v>
      </c>
      <c r="DK3794">
        <v>0</v>
      </c>
      <c r="DL3794">
        <v>0</v>
      </c>
      <c r="DM3794">
        <v>0</v>
      </c>
      <c r="DN3794">
        <v>0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3">
      <c r="A3795" t="str">
        <f>"05/01/2025 15:15:05.032"</f>
        <v>05/01/2025 15:15:05.032</v>
      </c>
      <c r="C3795" t="str">
        <f t="shared" si="1496"/>
        <v>FFDFD3C0</v>
      </c>
      <c r="D3795" t="s">
        <v>140</v>
      </c>
      <c r="E3795" t="str">
        <f>"13"</f>
        <v>13</v>
      </c>
      <c r="F3795">
        <v>1019</v>
      </c>
      <c r="G3795" t="s">
        <v>141</v>
      </c>
      <c r="J3795" t="s">
        <v>142</v>
      </c>
      <c r="K3795">
        <v>0</v>
      </c>
      <c r="L3795">
        <v>3</v>
      </c>
      <c r="M3795">
        <v>0</v>
      </c>
      <c r="N3795">
        <v>2</v>
      </c>
      <c r="O3795">
        <v>0</v>
      </c>
      <c r="P3795">
        <v>1</v>
      </c>
      <c r="Q3795">
        <v>0</v>
      </c>
      <c r="R3795" t="s">
        <v>127</v>
      </c>
      <c r="S3795" t="str">
        <f t="shared" si="1504"/>
        <v>15:15:04.000</v>
      </c>
      <c r="T3795" t="str">
        <f t="shared" si="1504"/>
        <v>15:15:04.000</v>
      </c>
      <c r="U3795" t="str">
        <f t="shared" si="1497"/>
        <v>A68FCB</v>
      </c>
      <c r="V3795">
        <v>0</v>
      </c>
      <c r="W3795">
        <v>0</v>
      </c>
      <c r="X3795">
        <v>2</v>
      </c>
      <c r="Y3795">
        <v>0</v>
      </c>
      <c r="AA3795">
        <v>1</v>
      </c>
      <c r="AB3795">
        <v>8</v>
      </c>
      <c r="AC3795">
        <v>3</v>
      </c>
      <c r="AD3795">
        <v>0</v>
      </c>
      <c r="AE3795">
        <v>9</v>
      </c>
      <c r="AF3795" t="s">
        <v>138</v>
      </c>
      <c r="AG3795">
        <v>0</v>
      </c>
      <c r="AH3795">
        <v>3</v>
      </c>
      <c r="AI3795">
        <v>2</v>
      </c>
      <c r="AJ3795">
        <v>0</v>
      </c>
      <c r="AK3795" t="s">
        <v>1198</v>
      </c>
      <c r="AL3795">
        <v>39.168835000000001</v>
      </c>
      <c r="AM3795" t="s">
        <v>1199</v>
      </c>
      <c r="AN3795">
        <v>-121.03071199999999</v>
      </c>
      <c r="AO3795">
        <v>25</v>
      </c>
      <c r="AP3795">
        <v>4200</v>
      </c>
      <c r="AQ3795" t="s">
        <v>131</v>
      </c>
      <c r="AR3795">
        <v>7</v>
      </c>
      <c r="AS3795">
        <v>89</v>
      </c>
      <c r="AT3795">
        <v>256</v>
      </c>
      <c r="BB3795" t="str">
        <f t="shared" si="1498"/>
        <v>1200</v>
      </c>
      <c r="BC3795">
        <v>1</v>
      </c>
      <c r="BD3795" t="str">
        <f t="shared" si="1499"/>
        <v xml:space="preserve">N52156  </v>
      </c>
      <c r="BE3795">
        <v>1</v>
      </c>
      <c r="BG3795">
        <v>0</v>
      </c>
      <c r="BH3795">
        <v>0</v>
      </c>
      <c r="BI3795">
        <v>0</v>
      </c>
      <c r="BJ3795">
        <v>4250</v>
      </c>
      <c r="BK3795">
        <v>50</v>
      </c>
      <c r="BL3795" t="s">
        <v>188</v>
      </c>
      <c r="BM3795">
        <v>1</v>
      </c>
      <c r="BN3795">
        <v>1</v>
      </c>
      <c r="BO3795">
        <v>0</v>
      </c>
      <c r="BP3795">
        <v>0</v>
      </c>
      <c r="BS3795">
        <v>0</v>
      </c>
      <c r="BT3795">
        <v>0</v>
      </c>
      <c r="BU3795">
        <v>0</v>
      </c>
      <c r="CE3795" t="str">
        <f t="shared" si="1505"/>
        <v>15:15:04.790</v>
      </c>
      <c r="CF3795">
        <v>790241105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4</v>
      </c>
      <c r="CY3795">
        <v>7</v>
      </c>
      <c r="CZ3795" t="s">
        <v>133</v>
      </c>
      <c r="DA3795">
        <v>275</v>
      </c>
      <c r="DB3795">
        <v>0</v>
      </c>
      <c r="DC3795" t="s">
        <v>134</v>
      </c>
      <c r="DD3795" t="s">
        <v>135</v>
      </c>
      <c r="DG3795">
        <v>3322999</v>
      </c>
      <c r="DI3795">
        <v>1</v>
      </c>
      <c r="DJ3795">
        <v>0</v>
      </c>
      <c r="DK3795">
        <v>1</v>
      </c>
      <c r="DL3795">
        <v>0</v>
      </c>
      <c r="DM3795">
        <v>0</v>
      </c>
      <c r="DN3795">
        <v>0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3">
      <c r="A3796" t="str">
        <f>"05/01/2025 15:15:05.036"</f>
        <v>05/01/2025 15:15:05.036</v>
      </c>
      <c r="C3796" t="str">
        <f t="shared" si="1496"/>
        <v>FFDFD3C0</v>
      </c>
      <c r="D3796" t="s">
        <v>124</v>
      </c>
      <c r="E3796" t="str">
        <f>"06"</f>
        <v>06</v>
      </c>
      <c r="F3796">
        <v>2006</v>
      </c>
      <c r="G3796" t="s">
        <v>125</v>
      </c>
      <c r="J3796" t="s">
        <v>126</v>
      </c>
      <c r="K3796">
        <v>0</v>
      </c>
      <c r="L3796">
        <v>3</v>
      </c>
      <c r="M3796">
        <v>0</v>
      </c>
      <c r="N3796">
        <v>2</v>
      </c>
      <c r="O3796">
        <v>0</v>
      </c>
      <c r="P3796">
        <v>1</v>
      </c>
      <c r="Q3796">
        <v>0</v>
      </c>
      <c r="R3796" t="s">
        <v>127</v>
      </c>
      <c r="S3796" t="str">
        <f t="shared" si="1504"/>
        <v>15:15:04.000</v>
      </c>
      <c r="T3796" t="str">
        <f t="shared" si="1504"/>
        <v>15:15:04.000</v>
      </c>
      <c r="U3796" t="str">
        <f t="shared" si="1497"/>
        <v>A68FCB</v>
      </c>
      <c r="V3796">
        <v>0</v>
      </c>
      <c r="W3796">
        <v>0</v>
      </c>
      <c r="X3796">
        <v>2</v>
      </c>
      <c r="Y3796">
        <v>0</v>
      </c>
      <c r="AA3796">
        <v>1</v>
      </c>
      <c r="AB3796">
        <v>8</v>
      </c>
      <c r="AC3796">
        <v>3</v>
      </c>
      <c r="AD3796">
        <v>0</v>
      </c>
      <c r="AE3796">
        <v>9</v>
      </c>
      <c r="AF3796" t="s">
        <v>138</v>
      </c>
      <c r="AG3796">
        <v>0</v>
      </c>
      <c r="AH3796">
        <v>3</v>
      </c>
      <c r="AI3796">
        <v>2</v>
      </c>
      <c r="AJ3796">
        <v>0</v>
      </c>
      <c r="AK3796" t="s">
        <v>1198</v>
      </c>
      <c r="AL3796">
        <v>39.168835000000001</v>
      </c>
      <c r="AM3796" t="s">
        <v>1199</v>
      </c>
      <c r="AN3796">
        <v>-121.03071199999999</v>
      </c>
      <c r="AO3796">
        <v>25</v>
      </c>
      <c r="AP3796">
        <v>4200</v>
      </c>
      <c r="AQ3796" t="s">
        <v>131</v>
      </c>
      <c r="AR3796">
        <v>7</v>
      </c>
      <c r="AS3796">
        <v>89</v>
      </c>
      <c r="AT3796">
        <v>256</v>
      </c>
      <c r="BB3796" t="str">
        <f t="shared" si="1498"/>
        <v>1200</v>
      </c>
      <c r="BC3796">
        <v>1</v>
      </c>
      <c r="BD3796" t="str">
        <f t="shared" si="1499"/>
        <v xml:space="preserve">N52156  </v>
      </c>
      <c r="BE3796">
        <v>1</v>
      </c>
      <c r="BG3796">
        <v>0</v>
      </c>
      <c r="BH3796">
        <v>0</v>
      </c>
      <c r="BI3796">
        <v>0</v>
      </c>
      <c r="BJ3796">
        <v>4250</v>
      </c>
      <c r="BK3796">
        <v>50</v>
      </c>
      <c r="BL3796" t="s">
        <v>188</v>
      </c>
      <c r="BM3796">
        <v>1</v>
      </c>
      <c r="BN3796">
        <v>1</v>
      </c>
      <c r="BO3796">
        <v>0</v>
      </c>
      <c r="BP3796">
        <v>0</v>
      </c>
      <c r="BS3796">
        <v>0</v>
      </c>
      <c r="BT3796">
        <v>0</v>
      </c>
      <c r="BU3796">
        <v>0</v>
      </c>
      <c r="CE3796" t="str">
        <f t="shared" si="1505"/>
        <v>15:15:04.790</v>
      </c>
      <c r="CF3796">
        <v>790241105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4</v>
      </c>
      <c r="CY3796">
        <v>7</v>
      </c>
      <c r="CZ3796" t="s">
        <v>133</v>
      </c>
      <c r="DA3796">
        <v>275</v>
      </c>
      <c r="DB3796">
        <v>0</v>
      </c>
      <c r="DC3796" t="s">
        <v>134</v>
      </c>
      <c r="DD3796" t="s">
        <v>135</v>
      </c>
      <c r="DG3796">
        <v>3322999</v>
      </c>
      <c r="DI3796">
        <v>1</v>
      </c>
      <c r="DJ3796">
        <v>0</v>
      </c>
      <c r="DK3796">
        <v>1</v>
      </c>
      <c r="DL3796">
        <v>0</v>
      </c>
      <c r="DM3796">
        <v>0</v>
      </c>
      <c r="DN3796">
        <v>0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3">
      <c r="A3797" t="str">
        <f>"05/01/2025 15:15:05.046"</f>
        <v>05/01/2025 15:15:05.046</v>
      </c>
      <c r="C3797" t="str">
        <f t="shared" si="1496"/>
        <v>FFDFD3C0</v>
      </c>
      <c r="D3797" t="s">
        <v>145</v>
      </c>
      <c r="E3797" t="str">
        <f>"09"</f>
        <v>09</v>
      </c>
      <c r="H3797">
        <v>51</v>
      </c>
      <c r="I3797" t="s">
        <v>147</v>
      </c>
      <c r="J3797" t="s">
        <v>138</v>
      </c>
      <c r="K3797">
        <v>0</v>
      </c>
      <c r="L3797">
        <v>3</v>
      </c>
      <c r="M3797">
        <v>0</v>
      </c>
      <c r="N3797">
        <v>2</v>
      </c>
      <c r="O3797">
        <v>0</v>
      </c>
      <c r="P3797">
        <v>1</v>
      </c>
      <c r="Q3797">
        <v>0</v>
      </c>
      <c r="R3797" t="s">
        <v>127</v>
      </c>
      <c r="S3797" t="str">
        <f t="shared" si="1504"/>
        <v>15:15:04.000</v>
      </c>
      <c r="T3797" t="str">
        <f t="shared" si="1504"/>
        <v>15:15:04.000</v>
      </c>
      <c r="U3797" t="str">
        <f t="shared" si="1497"/>
        <v>A68FCB</v>
      </c>
      <c r="V3797">
        <v>0</v>
      </c>
      <c r="W3797">
        <v>0</v>
      </c>
      <c r="X3797">
        <v>2</v>
      </c>
      <c r="Y3797">
        <v>0</v>
      </c>
      <c r="AA3797">
        <v>1</v>
      </c>
      <c r="AB3797">
        <v>8</v>
      </c>
      <c r="AC3797">
        <v>3</v>
      </c>
      <c r="AD3797">
        <v>0</v>
      </c>
      <c r="AE3797">
        <v>9</v>
      </c>
      <c r="AF3797" t="s">
        <v>138</v>
      </c>
      <c r="AG3797">
        <v>0</v>
      </c>
      <c r="AH3797">
        <v>3</v>
      </c>
      <c r="AI3797">
        <v>2</v>
      </c>
      <c r="AJ3797">
        <v>0</v>
      </c>
      <c r="AK3797" t="s">
        <v>1198</v>
      </c>
      <c r="AL3797">
        <v>39.168835000000001</v>
      </c>
      <c r="AM3797" t="s">
        <v>1199</v>
      </c>
      <c r="AN3797">
        <v>-121.03071199999999</v>
      </c>
      <c r="AO3797">
        <v>25</v>
      </c>
      <c r="AP3797">
        <v>4200</v>
      </c>
      <c r="AQ3797" t="s">
        <v>131</v>
      </c>
      <c r="AR3797">
        <v>7</v>
      </c>
      <c r="AS3797">
        <v>89</v>
      </c>
      <c r="AT3797">
        <v>256</v>
      </c>
      <c r="BB3797" t="str">
        <f t="shared" si="1498"/>
        <v>1200</v>
      </c>
      <c r="BC3797">
        <v>1</v>
      </c>
      <c r="BD3797" t="str">
        <f t="shared" si="1499"/>
        <v xml:space="preserve">N52156  </v>
      </c>
      <c r="BE3797">
        <v>1</v>
      </c>
      <c r="BG3797">
        <v>0</v>
      </c>
      <c r="BH3797">
        <v>0</v>
      </c>
      <c r="BI3797">
        <v>0</v>
      </c>
      <c r="BJ3797">
        <v>4250</v>
      </c>
      <c r="BK3797">
        <v>50</v>
      </c>
      <c r="BL3797" t="s">
        <v>188</v>
      </c>
      <c r="BM3797">
        <v>1</v>
      </c>
      <c r="BN3797">
        <v>1</v>
      </c>
      <c r="BO3797">
        <v>0</v>
      </c>
      <c r="BP3797">
        <v>0</v>
      </c>
      <c r="BS3797">
        <v>0</v>
      </c>
      <c r="BT3797">
        <v>0</v>
      </c>
      <c r="BU3797">
        <v>0</v>
      </c>
      <c r="CE3797" t="str">
        <f t="shared" si="1505"/>
        <v>15:15:04.790</v>
      </c>
      <c r="CF3797">
        <v>790241105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4</v>
      </c>
      <c r="CY3797">
        <v>7</v>
      </c>
      <c r="CZ3797" t="s">
        <v>133</v>
      </c>
      <c r="DA3797">
        <v>275</v>
      </c>
      <c r="DB3797">
        <v>0</v>
      </c>
      <c r="DC3797" t="s">
        <v>134</v>
      </c>
      <c r="DD3797" t="s">
        <v>135</v>
      </c>
      <c r="DG3797">
        <v>3322999</v>
      </c>
      <c r="DI3797">
        <v>1</v>
      </c>
      <c r="DJ3797">
        <v>0</v>
      </c>
      <c r="DK3797">
        <v>1</v>
      </c>
      <c r="DL3797">
        <v>0</v>
      </c>
      <c r="DM3797">
        <v>0</v>
      </c>
      <c r="DN3797">
        <v>0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3">
      <c r="A3798" t="str">
        <f>"05/01/2025 15:15:05.049"</f>
        <v>05/01/2025 15:15:05.049</v>
      </c>
      <c r="C3798" t="str">
        <f t="shared" si="1496"/>
        <v>FFDFD3C0</v>
      </c>
      <c r="D3798" t="s">
        <v>145</v>
      </c>
      <c r="E3798" t="str">
        <f>"05"</f>
        <v>05</v>
      </c>
      <c r="H3798">
        <v>47</v>
      </c>
      <c r="I3798" t="s">
        <v>146</v>
      </c>
      <c r="J3798" t="s">
        <v>138</v>
      </c>
      <c r="K3798">
        <v>0</v>
      </c>
      <c r="L3798">
        <v>3</v>
      </c>
      <c r="M3798">
        <v>0</v>
      </c>
      <c r="N3798">
        <v>2</v>
      </c>
      <c r="O3798">
        <v>0</v>
      </c>
      <c r="P3798">
        <v>1</v>
      </c>
      <c r="Q3798">
        <v>0</v>
      </c>
      <c r="R3798" t="s">
        <v>127</v>
      </c>
      <c r="S3798" t="str">
        <f t="shared" si="1504"/>
        <v>15:15:04.000</v>
      </c>
      <c r="T3798" t="str">
        <f t="shared" si="1504"/>
        <v>15:15:04.000</v>
      </c>
      <c r="U3798" t="str">
        <f t="shared" si="1497"/>
        <v>A68FCB</v>
      </c>
      <c r="V3798">
        <v>0</v>
      </c>
      <c r="W3798">
        <v>0</v>
      </c>
      <c r="X3798">
        <v>2</v>
      </c>
      <c r="Y3798">
        <v>0</v>
      </c>
      <c r="AA3798">
        <v>1</v>
      </c>
      <c r="AB3798">
        <v>8</v>
      </c>
      <c r="AC3798">
        <v>3</v>
      </c>
      <c r="AD3798">
        <v>0</v>
      </c>
      <c r="AE3798">
        <v>9</v>
      </c>
      <c r="AF3798" t="s">
        <v>138</v>
      </c>
      <c r="AG3798">
        <v>0</v>
      </c>
      <c r="AH3798">
        <v>3</v>
      </c>
      <c r="AI3798">
        <v>2</v>
      </c>
      <c r="AJ3798">
        <v>0</v>
      </c>
      <c r="AK3798" t="s">
        <v>1198</v>
      </c>
      <c r="AL3798">
        <v>39.168835000000001</v>
      </c>
      <c r="AM3798" t="s">
        <v>1199</v>
      </c>
      <c r="AN3798">
        <v>-121.03071199999999</v>
      </c>
      <c r="AO3798">
        <v>25</v>
      </c>
      <c r="AP3798">
        <v>4200</v>
      </c>
      <c r="AQ3798" t="s">
        <v>131</v>
      </c>
      <c r="AR3798">
        <v>7</v>
      </c>
      <c r="AS3798">
        <v>89</v>
      </c>
      <c r="AT3798">
        <v>256</v>
      </c>
      <c r="BB3798" t="str">
        <f t="shared" si="1498"/>
        <v>1200</v>
      </c>
      <c r="BC3798">
        <v>1</v>
      </c>
      <c r="BD3798" t="str">
        <f t="shared" si="1499"/>
        <v xml:space="preserve">N52156  </v>
      </c>
      <c r="BE3798">
        <v>1</v>
      </c>
      <c r="BG3798">
        <v>0</v>
      </c>
      <c r="BH3798">
        <v>0</v>
      </c>
      <c r="BI3798">
        <v>0</v>
      </c>
      <c r="BJ3798">
        <v>4250</v>
      </c>
      <c r="BK3798">
        <v>50</v>
      </c>
      <c r="BL3798" t="s">
        <v>188</v>
      </c>
      <c r="BM3798">
        <v>1</v>
      </c>
      <c r="BN3798">
        <v>1</v>
      </c>
      <c r="BO3798">
        <v>0</v>
      </c>
      <c r="BP3798">
        <v>0</v>
      </c>
      <c r="BS3798">
        <v>0</v>
      </c>
      <c r="BT3798">
        <v>0</v>
      </c>
      <c r="BU3798">
        <v>0</v>
      </c>
      <c r="CE3798" t="str">
        <f t="shared" si="1505"/>
        <v>15:15:04.790</v>
      </c>
      <c r="CF3798">
        <v>790241105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4</v>
      </c>
      <c r="CY3798">
        <v>7</v>
      </c>
      <c r="CZ3798" t="s">
        <v>133</v>
      </c>
      <c r="DA3798">
        <v>275</v>
      </c>
      <c r="DB3798">
        <v>0</v>
      </c>
      <c r="DC3798" t="s">
        <v>134</v>
      </c>
      <c r="DD3798" t="s">
        <v>135</v>
      </c>
      <c r="DG3798">
        <v>3322999</v>
      </c>
      <c r="DI3798">
        <v>1</v>
      </c>
      <c r="DJ3798">
        <v>0</v>
      </c>
      <c r="DK3798">
        <v>1</v>
      </c>
      <c r="DL3798">
        <v>0</v>
      </c>
      <c r="DM3798">
        <v>0</v>
      </c>
      <c r="DN3798">
        <v>0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3">
      <c r="A3799" t="str">
        <f>"05/01/2025 15:15:05.060"</f>
        <v>05/01/2025 15:15:05.060</v>
      </c>
      <c r="C3799" t="str">
        <f t="shared" si="1496"/>
        <v>FFDFD3C0</v>
      </c>
      <c r="D3799" t="s">
        <v>136</v>
      </c>
      <c r="E3799" t="str">
        <f>"20"</f>
        <v>20</v>
      </c>
      <c r="H3799">
        <v>400</v>
      </c>
      <c r="I3799" t="s">
        <v>137</v>
      </c>
      <c r="J3799" t="s">
        <v>138</v>
      </c>
      <c r="K3799">
        <v>0</v>
      </c>
      <c r="L3799">
        <v>3</v>
      </c>
      <c r="M3799">
        <v>0</v>
      </c>
      <c r="N3799">
        <v>2</v>
      </c>
      <c r="O3799">
        <v>0</v>
      </c>
      <c r="P3799">
        <v>1</v>
      </c>
      <c r="Q3799">
        <v>0</v>
      </c>
      <c r="R3799" t="s">
        <v>127</v>
      </c>
      <c r="S3799" t="str">
        <f t="shared" si="1504"/>
        <v>15:15:04.000</v>
      </c>
      <c r="T3799" t="str">
        <f t="shared" si="1504"/>
        <v>15:15:04.000</v>
      </c>
      <c r="U3799" t="str">
        <f t="shared" si="1497"/>
        <v>A68FCB</v>
      </c>
      <c r="V3799">
        <v>0</v>
      </c>
      <c r="W3799">
        <v>0</v>
      </c>
      <c r="X3799">
        <v>2</v>
      </c>
      <c r="Y3799">
        <v>0</v>
      </c>
      <c r="AA3799">
        <v>1</v>
      </c>
      <c r="AB3799">
        <v>8</v>
      </c>
      <c r="AC3799">
        <v>3</v>
      </c>
      <c r="AD3799">
        <v>0</v>
      </c>
      <c r="AE3799">
        <v>9</v>
      </c>
      <c r="AF3799" t="s">
        <v>138</v>
      </c>
      <c r="AG3799">
        <v>0</v>
      </c>
      <c r="AH3799">
        <v>3</v>
      </c>
      <c r="AI3799">
        <v>2</v>
      </c>
      <c r="AJ3799">
        <v>0</v>
      </c>
      <c r="AK3799" t="s">
        <v>1198</v>
      </c>
      <c r="AL3799">
        <v>39.168835000000001</v>
      </c>
      <c r="AM3799" t="s">
        <v>1199</v>
      </c>
      <c r="AN3799">
        <v>-121.03071199999999</v>
      </c>
      <c r="AO3799">
        <v>25</v>
      </c>
      <c r="AP3799">
        <v>4200</v>
      </c>
      <c r="AQ3799" t="s">
        <v>131</v>
      </c>
      <c r="AR3799">
        <v>7</v>
      </c>
      <c r="AS3799">
        <v>89</v>
      </c>
      <c r="AT3799">
        <v>256</v>
      </c>
      <c r="BB3799" t="str">
        <f t="shared" si="1498"/>
        <v>1200</v>
      </c>
      <c r="BC3799">
        <v>1</v>
      </c>
      <c r="BD3799" t="str">
        <f t="shared" si="1499"/>
        <v xml:space="preserve">N52156  </v>
      </c>
      <c r="BE3799">
        <v>1</v>
      </c>
      <c r="BG3799">
        <v>0</v>
      </c>
      <c r="BH3799">
        <v>0</v>
      </c>
      <c r="BI3799">
        <v>0</v>
      </c>
      <c r="BJ3799">
        <v>4250</v>
      </c>
      <c r="BK3799">
        <v>50</v>
      </c>
      <c r="BL3799" t="s">
        <v>188</v>
      </c>
      <c r="BM3799">
        <v>1</v>
      </c>
      <c r="BN3799">
        <v>1</v>
      </c>
      <c r="BO3799">
        <v>0</v>
      </c>
      <c r="BP3799">
        <v>0</v>
      </c>
      <c r="BS3799">
        <v>0</v>
      </c>
      <c r="BT3799">
        <v>0</v>
      </c>
      <c r="BU3799">
        <v>0</v>
      </c>
      <c r="CE3799" t="str">
        <f t="shared" si="1505"/>
        <v>15:15:04.790</v>
      </c>
      <c r="CF3799">
        <v>790241105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4</v>
      </c>
      <c r="CY3799">
        <v>7</v>
      </c>
      <c r="CZ3799" t="s">
        <v>133</v>
      </c>
      <c r="DA3799">
        <v>275</v>
      </c>
      <c r="DB3799">
        <v>0</v>
      </c>
      <c r="DC3799" t="s">
        <v>134</v>
      </c>
      <c r="DD3799" t="s">
        <v>135</v>
      </c>
      <c r="DG3799">
        <v>3322999</v>
      </c>
      <c r="DI3799">
        <v>1</v>
      </c>
      <c r="DJ3799">
        <v>0</v>
      </c>
      <c r="DK3799">
        <v>1</v>
      </c>
      <c r="DL3799">
        <v>0</v>
      </c>
      <c r="DM3799">
        <v>0</v>
      </c>
      <c r="DN3799">
        <v>0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3">
      <c r="A3800" t="str">
        <f>"05/01/2025 15:15:06.162"</f>
        <v>05/01/2025 15:15:06.162</v>
      </c>
      <c r="C3800" t="str">
        <f t="shared" si="1496"/>
        <v>FFDFD3C0</v>
      </c>
      <c r="D3800" t="s">
        <v>136</v>
      </c>
      <c r="E3800" t="str">
        <f>"20"</f>
        <v>20</v>
      </c>
      <c r="H3800">
        <v>400</v>
      </c>
      <c r="I3800" t="s">
        <v>137</v>
      </c>
      <c r="J3800" t="s">
        <v>138</v>
      </c>
      <c r="K3800">
        <v>0</v>
      </c>
      <c r="L3800">
        <v>3</v>
      </c>
      <c r="M3800">
        <v>0</v>
      </c>
      <c r="N3800">
        <v>2</v>
      </c>
      <c r="O3800">
        <v>0</v>
      </c>
      <c r="P3800">
        <v>1</v>
      </c>
      <c r="Q3800">
        <v>0</v>
      </c>
      <c r="R3800" t="s">
        <v>127</v>
      </c>
      <c r="S3800" t="str">
        <f t="shared" ref="S3800:T3805" si="1506">"15:15:05.000"</f>
        <v>15:15:05.000</v>
      </c>
      <c r="T3800" t="str">
        <f t="shared" si="1506"/>
        <v>15:15:05.000</v>
      </c>
      <c r="U3800" t="str">
        <f t="shared" si="1497"/>
        <v>A68FCB</v>
      </c>
      <c r="V3800">
        <v>0</v>
      </c>
      <c r="W3800">
        <v>0</v>
      </c>
      <c r="X3800">
        <v>2</v>
      </c>
      <c r="Y3800">
        <v>0</v>
      </c>
      <c r="AA3800">
        <v>1</v>
      </c>
      <c r="AB3800">
        <v>8</v>
      </c>
      <c r="AC3800">
        <v>3</v>
      </c>
      <c r="AD3800">
        <v>0</v>
      </c>
      <c r="AE3800">
        <v>9</v>
      </c>
      <c r="AF3800" t="s">
        <v>138</v>
      </c>
      <c r="AG3800">
        <v>0</v>
      </c>
      <c r="AH3800">
        <v>3</v>
      </c>
      <c r="AI3800">
        <v>2</v>
      </c>
      <c r="AJ3800">
        <v>0</v>
      </c>
      <c r="AK3800" t="s">
        <v>1200</v>
      </c>
      <c r="AL3800">
        <v>39.169241999999997</v>
      </c>
      <c r="AM3800" t="s">
        <v>1201</v>
      </c>
      <c r="AN3800">
        <v>-121.030669</v>
      </c>
      <c r="AO3800">
        <v>25</v>
      </c>
      <c r="AP3800">
        <v>4200</v>
      </c>
      <c r="AQ3800" t="s">
        <v>131</v>
      </c>
      <c r="AR3800">
        <v>8</v>
      </c>
      <c r="AS3800">
        <v>89</v>
      </c>
      <c r="AT3800">
        <v>256</v>
      </c>
      <c r="BB3800" t="str">
        <f t="shared" si="1498"/>
        <v>1200</v>
      </c>
      <c r="BC3800">
        <v>1</v>
      </c>
      <c r="BD3800" t="str">
        <f t="shared" si="1499"/>
        <v xml:space="preserve">N52156  </v>
      </c>
      <c r="BE3800">
        <v>1</v>
      </c>
      <c r="BG3800">
        <v>0</v>
      </c>
      <c r="BH3800">
        <v>0</v>
      </c>
      <c r="BI3800">
        <v>0</v>
      </c>
      <c r="BJ3800">
        <v>4250</v>
      </c>
      <c r="BK3800">
        <v>50</v>
      </c>
      <c r="BL3800" t="s">
        <v>188</v>
      </c>
      <c r="BM3800">
        <v>1</v>
      </c>
      <c r="BN3800">
        <v>1</v>
      </c>
      <c r="BO3800">
        <v>0</v>
      </c>
      <c r="BP3800">
        <v>0</v>
      </c>
      <c r="BS3800">
        <v>0</v>
      </c>
      <c r="BT3800">
        <v>0</v>
      </c>
      <c r="BU3800">
        <v>0</v>
      </c>
      <c r="CE3800" t="str">
        <f t="shared" ref="CE3800:CE3805" si="1507">"15:15:05.953"</f>
        <v>15:15:05.953</v>
      </c>
      <c r="CF3800">
        <v>952741623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4</v>
      </c>
      <c r="CY3800">
        <v>7</v>
      </c>
      <c r="CZ3800" t="s">
        <v>133</v>
      </c>
      <c r="DA3800">
        <v>275</v>
      </c>
      <c r="DB3800">
        <v>0</v>
      </c>
      <c r="DC3800" t="s">
        <v>134</v>
      </c>
      <c r="DD3800" t="s">
        <v>135</v>
      </c>
      <c r="DG3800">
        <v>3323006</v>
      </c>
      <c r="DI3800">
        <v>1</v>
      </c>
      <c r="DJ3800">
        <v>0</v>
      </c>
      <c r="DK3800">
        <v>0</v>
      </c>
      <c r="DL3800">
        <v>0</v>
      </c>
      <c r="DM3800">
        <v>0</v>
      </c>
      <c r="DN3800">
        <v>0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3">
      <c r="A3801" t="str">
        <f>"05/01/2025 15:15:06.183"</f>
        <v>05/01/2025 15:15:06.183</v>
      </c>
      <c r="C3801" t="str">
        <f t="shared" si="1496"/>
        <v>FFDFD3C0</v>
      </c>
      <c r="D3801" t="s">
        <v>143</v>
      </c>
      <c r="E3801" t="str">
        <f>"05"</f>
        <v>05</v>
      </c>
      <c r="H3801">
        <v>172</v>
      </c>
      <c r="I3801" t="s">
        <v>141</v>
      </c>
      <c r="J3801" t="s">
        <v>144</v>
      </c>
      <c r="K3801">
        <v>0</v>
      </c>
      <c r="L3801">
        <v>3</v>
      </c>
      <c r="M3801">
        <v>0</v>
      </c>
      <c r="N3801">
        <v>2</v>
      </c>
      <c r="O3801">
        <v>0</v>
      </c>
      <c r="P3801">
        <v>1</v>
      </c>
      <c r="Q3801">
        <v>0</v>
      </c>
      <c r="R3801" t="s">
        <v>127</v>
      </c>
      <c r="S3801" t="str">
        <f t="shared" si="1506"/>
        <v>15:15:05.000</v>
      </c>
      <c r="T3801" t="str">
        <f t="shared" si="1506"/>
        <v>15:15:05.000</v>
      </c>
      <c r="U3801" t="str">
        <f t="shared" si="1497"/>
        <v>A68FCB</v>
      </c>
      <c r="V3801">
        <v>0</v>
      </c>
      <c r="W3801">
        <v>0</v>
      </c>
      <c r="X3801">
        <v>2</v>
      </c>
      <c r="Y3801">
        <v>0</v>
      </c>
      <c r="AA3801">
        <v>1</v>
      </c>
      <c r="AB3801">
        <v>8</v>
      </c>
      <c r="AC3801">
        <v>3</v>
      </c>
      <c r="AD3801">
        <v>0</v>
      </c>
      <c r="AE3801">
        <v>9</v>
      </c>
      <c r="AF3801" t="s">
        <v>138</v>
      </c>
      <c r="AG3801">
        <v>0</v>
      </c>
      <c r="AH3801">
        <v>3</v>
      </c>
      <c r="AI3801">
        <v>2</v>
      </c>
      <c r="AJ3801">
        <v>0</v>
      </c>
      <c r="AK3801" t="s">
        <v>1200</v>
      </c>
      <c r="AL3801">
        <v>39.169241999999997</v>
      </c>
      <c r="AM3801" t="s">
        <v>1201</v>
      </c>
      <c r="AN3801">
        <v>-121.030669</v>
      </c>
      <c r="AO3801">
        <v>25</v>
      </c>
      <c r="AP3801">
        <v>4200</v>
      </c>
      <c r="AQ3801" t="s">
        <v>131</v>
      </c>
      <c r="AR3801">
        <v>8</v>
      </c>
      <c r="AS3801">
        <v>89</v>
      </c>
      <c r="AT3801">
        <v>256</v>
      </c>
      <c r="BB3801" t="str">
        <f t="shared" si="1498"/>
        <v>1200</v>
      </c>
      <c r="BC3801">
        <v>1</v>
      </c>
      <c r="BD3801" t="str">
        <f t="shared" si="1499"/>
        <v xml:space="preserve">N52156  </v>
      </c>
      <c r="BE3801">
        <v>1</v>
      </c>
      <c r="BG3801">
        <v>0</v>
      </c>
      <c r="BH3801">
        <v>0</v>
      </c>
      <c r="BI3801">
        <v>0</v>
      </c>
      <c r="BJ3801">
        <v>4250</v>
      </c>
      <c r="BK3801">
        <v>50</v>
      </c>
      <c r="BL3801" t="s">
        <v>188</v>
      </c>
      <c r="BM3801">
        <v>1</v>
      </c>
      <c r="BN3801">
        <v>1</v>
      </c>
      <c r="BO3801">
        <v>0</v>
      </c>
      <c r="BP3801">
        <v>0</v>
      </c>
      <c r="BS3801">
        <v>0</v>
      </c>
      <c r="BT3801">
        <v>0</v>
      </c>
      <c r="BU3801">
        <v>0</v>
      </c>
      <c r="CE3801" t="str">
        <f t="shared" si="1507"/>
        <v>15:15:05.953</v>
      </c>
      <c r="CF3801">
        <v>952741623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4</v>
      </c>
      <c r="CY3801">
        <v>7</v>
      </c>
      <c r="CZ3801" t="s">
        <v>133</v>
      </c>
      <c r="DA3801">
        <v>275</v>
      </c>
      <c r="DB3801">
        <v>0</v>
      </c>
      <c r="DC3801" t="s">
        <v>134</v>
      </c>
      <c r="DD3801" t="s">
        <v>135</v>
      </c>
      <c r="DG3801">
        <v>3323006</v>
      </c>
      <c r="DI3801">
        <v>1</v>
      </c>
      <c r="DJ3801">
        <v>0</v>
      </c>
      <c r="DK3801">
        <v>1</v>
      </c>
      <c r="DL3801">
        <v>0</v>
      </c>
      <c r="DM3801">
        <v>0</v>
      </c>
      <c r="DN3801">
        <v>0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3">
      <c r="A3802" t="str">
        <f>"05/01/2025 15:15:06.184"</f>
        <v>05/01/2025 15:15:06.184</v>
      </c>
      <c r="C3802" t="str">
        <f t="shared" si="1496"/>
        <v>FFDFD3C0</v>
      </c>
      <c r="D3802" t="s">
        <v>140</v>
      </c>
      <c r="E3802" t="str">
        <f>"13"</f>
        <v>13</v>
      </c>
      <c r="F3802">
        <v>1019</v>
      </c>
      <c r="G3802" t="s">
        <v>141</v>
      </c>
      <c r="J3802" t="s">
        <v>142</v>
      </c>
      <c r="K3802">
        <v>0</v>
      </c>
      <c r="L3802">
        <v>3</v>
      </c>
      <c r="M3802">
        <v>0</v>
      </c>
      <c r="N3802">
        <v>2</v>
      </c>
      <c r="O3802">
        <v>0</v>
      </c>
      <c r="P3802">
        <v>1</v>
      </c>
      <c r="Q3802">
        <v>0</v>
      </c>
      <c r="R3802" t="s">
        <v>127</v>
      </c>
      <c r="S3802" t="str">
        <f t="shared" si="1506"/>
        <v>15:15:05.000</v>
      </c>
      <c r="T3802" t="str">
        <f t="shared" si="1506"/>
        <v>15:15:05.000</v>
      </c>
      <c r="U3802" t="str">
        <f t="shared" si="1497"/>
        <v>A68FCB</v>
      </c>
      <c r="V3802">
        <v>0</v>
      </c>
      <c r="W3802">
        <v>0</v>
      </c>
      <c r="X3802">
        <v>2</v>
      </c>
      <c r="Y3802">
        <v>0</v>
      </c>
      <c r="AA3802">
        <v>1</v>
      </c>
      <c r="AB3802">
        <v>8</v>
      </c>
      <c r="AC3802">
        <v>3</v>
      </c>
      <c r="AD3802">
        <v>0</v>
      </c>
      <c r="AE3802">
        <v>9</v>
      </c>
      <c r="AF3802" t="s">
        <v>138</v>
      </c>
      <c r="AG3802">
        <v>0</v>
      </c>
      <c r="AH3802">
        <v>3</v>
      </c>
      <c r="AI3802">
        <v>2</v>
      </c>
      <c r="AJ3802">
        <v>0</v>
      </c>
      <c r="AK3802" t="s">
        <v>1200</v>
      </c>
      <c r="AL3802">
        <v>39.169241999999997</v>
      </c>
      <c r="AM3802" t="s">
        <v>1201</v>
      </c>
      <c r="AN3802">
        <v>-121.030669</v>
      </c>
      <c r="AO3802">
        <v>25</v>
      </c>
      <c r="AP3802">
        <v>4200</v>
      </c>
      <c r="AQ3802" t="s">
        <v>131</v>
      </c>
      <c r="AR3802">
        <v>8</v>
      </c>
      <c r="AS3802">
        <v>89</v>
      </c>
      <c r="AT3802">
        <v>256</v>
      </c>
      <c r="BB3802" t="str">
        <f t="shared" si="1498"/>
        <v>1200</v>
      </c>
      <c r="BC3802">
        <v>1</v>
      </c>
      <c r="BD3802" t="str">
        <f t="shared" si="1499"/>
        <v xml:space="preserve">N52156  </v>
      </c>
      <c r="BE3802">
        <v>1</v>
      </c>
      <c r="BG3802">
        <v>0</v>
      </c>
      <c r="BH3802">
        <v>0</v>
      </c>
      <c r="BI3802">
        <v>0</v>
      </c>
      <c r="BJ3802">
        <v>4250</v>
      </c>
      <c r="BK3802">
        <v>50</v>
      </c>
      <c r="BL3802" t="s">
        <v>188</v>
      </c>
      <c r="BM3802">
        <v>1</v>
      </c>
      <c r="BN3802">
        <v>1</v>
      </c>
      <c r="BO3802">
        <v>0</v>
      </c>
      <c r="BP3802">
        <v>0</v>
      </c>
      <c r="BS3802">
        <v>0</v>
      </c>
      <c r="BT3802">
        <v>0</v>
      </c>
      <c r="BU3802">
        <v>0</v>
      </c>
      <c r="CE3802" t="str">
        <f t="shared" si="1507"/>
        <v>15:15:05.953</v>
      </c>
      <c r="CF3802">
        <v>952741623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4</v>
      </c>
      <c r="CY3802">
        <v>7</v>
      </c>
      <c r="CZ3802" t="s">
        <v>133</v>
      </c>
      <c r="DA3802">
        <v>275</v>
      </c>
      <c r="DB3802">
        <v>0</v>
      </c>
      <c r="DC3802" t="s">
        <v>134</v>
      </c>
      <c r="DD3802" t="s">
        <v>135</v>
      </c>
      <c r="DG3802">
        <v>3323006</v>
      </c>
      <c r="DI3802">
        <v>1</v>
      </c>
      <c r="DJ3802">
        <v>0</v>
      </c>
      <c r="DK3802">
        <v>1</v>
      </c>
      <c r="DL3802">
        <v>0</v>
      </c>
      <c r="DM3802">
        <v>0</v>
      </c>
      <c r="DN3802">
        <v>0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3">
      <c r="A3803" t="str">
        <f>"05/01/2025 15:15:06.188"</f>
        <v>05/01/2025 15:15:06.188</v>
      </c>
      <c r="C3803" t="str">
        <f t="shared" si="1496"/>
        <v>FFDFD3C0</v>
      </c>
      <c r="D3803" t="s">
        <v>124</v>
      </c>
      <c r="E3803" t="str">
        <f>"06"</f>
        <v>06</v>
      </c>
      <c r="F3803">
        <v>2006</v>
      </c>
      <c r="G3803" t="s">
        <v>125</v>
      </c>
      <c r="J3803" t="s">
        <v>126</v>
      </c>
      <c r="K3803">
        <v>0</v>
      </c>
      <c r="L3803">
        <v>3</v>
      </c>
      <c r="M3803">
        <v>0</v>
      </c>
      <c r="N3803">
        <v>2</v>
      </c>
      <c r="O3803">
        <v>0</v>
      </c>
      <c r="P3803">
        <v>1</v>
      </c>
      <c r="Q3803">
        <v>0</v>
      </c>
      <c r="R3803" t="s">
        <v>127</v>
      </c>
      <c r="S3803" t="str">
        <f t="shared" si="1506"/>
        <v>15:15:05.000</v>
      </c>
      <c r="T3803" t="str">
        <f t="shared" si="1506"/>
        <v>15:15:05.000</v>
      </c>
      <c r="U3803" t="str">
        <f t="shared" si="1497"/>
        <v>A68FCB</v>
      </c>
      <c r="V3803">
        <v>0</v>
      </c>
      <c r="W3803">
        <v>0</v>
      </c>
      <c r="X3803">
        <v>2</v>
      </c>
      <c r="Y3803">
        <v>0</v>
      </c>
      <c r="AA3803">
        <v>1</v>
      </c>
      <c r="AB3803">
        <v>8</v>
      </c>
      <c r="AC3803">
        <v>3</v>
      </c>
      <c r="AD3803">
        <v>0</v>
      </c>
      <c r="AE3803">
        <v>9</v>
      </c>
      <c r="AF3803" t="s">
        <v>138</v>
      </c>
      <c r="AG3803">
        <v>0</v>
      </c>
      <c r="AH3803">
        <v>3</v>
      </c>
      <c r="AI3803">
        <v>2</v>
      </c>
      <c r="AJ3803">
        <v>0</v>
      </c>
      <c r="AK3803" t="s">
        <v>1200</v>
      </c>
      <c r="AL3803">
        <v>39.169241999999997</v>
      </c>
      <c r="AM3803" t="s">
        <v>1201</v>
      </c>
      <c r="AN3803">
        <v>-121.030669</v>
      </c>
      <c r="AO3803">
        <v>25</v>
      </c>
      <c r="AP3803">
        <v>4200</v>
      </c>
      <c r="AQ3803" t="s">
        <v>131</v>
      </c>
      <c r="AR3803">
        <v>8</v>
      </c>
      <c r="AS3803">
        <v>89</v>
      </c>
      <c r="AT3803">
        <v>256</v>
      </c>
      <c r="BB3803" t="str">
        <f t="shared" si="1498"/>
        <v>1200</v>
      </c>
      <c r="BC3803">
        <v>1</v>
      </c>
      <c r="BD3803" t="str">
        <f t="shared" si="1499"/>
        <v xml:space="preserve">N52156  </v>
      </c>
      <c r="BE3803">
        <v>1</v>
      </c>
      <c r="BG3803">
        <v>0</v>
      </c>
      <c r="BH3803">
        <v>0</v>
      </c>
      <c r="BI3803">
        <v>0</v>
      </c>
      <c r="BJ3803">
        <v>4250</v>
      </c>
      <c r="BK3803">
        <v>50</v>
      </c>
      <c r="BL3803" t="s">
        <v>188</v>
      </c>
      <c r="BM3803">
        <v>1</v>
      </c>
      <c r="BN3803">
        <v>1</v>
      </c>
      <c r="BO3803">
        <v>0</v>
      </c>
      <c r="BP3803">
        <v>0</v>
      </c>
      <c r="BS3803">
        <v>0</v>
      </c>
      <c r="BT3803">
        <v>0</v>
      </c>
      <c r="BU3803">
        <v>0</v>
      </c>
      <c r="CE3803" t="str">
        <f t="shared" si="1507"/>
        <v>15:15:05.953</v>
      </c>
      <c r="CF3803">
        <v>952741623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4</v>
      </c>
      <c r="CY3803">
        <v>7</v>
      </c>
      <c r="CZ3803" t="s">
        <v>133</v>
      </c>
      <c r="DA3803">
        <v>275</v>
      </c>
      <c r="DB3803">
        <v>0</v>
      </c>
      <c r="DC3803" t="s">
        <v>134</v>
      </c>
      <c r="DD3803" t="s">
        <v>135</v>
      </c>
      <c r="DG3803">
        <v>3323006</v>
      </c>
      <c r="DI3803">
        <v>1</v>
      </c>
      <c r="DJ3803">
        <v>0</v>
      </c>
      <c r="DK3803">
        <v>1</v>
      </c>
      <c r="DL3803">
        <v>0</v>
      </c>
      <c r="DM3803">
        <v>0</v>
      </c>
      <c r="DN3803">
        <v>0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3">
      <c r="A3804" t="str">
        <f>"05/01/2025 15:15:06.198"</f>
        <v>05/01/2025 15:15:06.198</v>
      </c>
      <c r="C3804" t="str">
        <f t="shared" si="1496"/>
        <v>FFDFD3C0</v>
      </c>
      <c r="D3804" t="s">
        <v>145</v>
      </c>
      <c r="E3804" t="str">
        <f>"09"</f>
        <v>09</v>
      </c>
      <c r="H3804">
        <v>51</v>
      </c>
      <c r="I3804" t="s">
        <v>147</v>
      </c>
      <c r="J3804" t="s">
        <v>138</v>
      </c>
      <c r="K3804">
        <v>0</v>
      </c>
      <c r="L3804">
        <v>3</v>
      </c>
      <c r="M3804">
        <v>0</v>
      </c>
      <c r="N3804">
        <v>2</v>
      </c>
      <c r="O3804">
        <v>0</v>
      </c>
      <c r="P3804">
        <v>1</v>
      </c>
      <c r="Q3804">
        <v>0</v>
      </c>
      <c r="R3804" t="s">
        <v>127</v>
      </c>
      <c r="S3804" t="str">
        <f t="shared" si="1506"/>
        <v>15:15:05.000</v>
      </c>
      <c r="T3804" t="str">
        <f t="shared" si="1506"/>
        <v>15:15:05.000</v>
      </c>
      <c r="U3804" t="str">
        <f t="shared" si="1497"/>
        <v>A68FCB</v>
      </c>
      <c r="V3804">
        <v>0</v>
      </c>
      <c r="W3804">
        <v>0</v>
      </c>
      <c r="X3804">
        <v>2</v>
      </c>
      <c r="Y3804">
        <v>0</v>
      </c>
      <c r="AA3804">
        <v>1</v>
      </c>
      <c r="AB3804">
        <v>8</v>
      </c>
      <c r="AC3804">
        <v>3</v>
      </c>
      <c r="AD3804">
        <v>0</v>
      </c>
      <c r="AE3804">
        <v>9</v>
      </c>
      <c r="AF3804" t="s">
        <v>138</v>
      </c>
      <c r="AG3804">
        <v>0</v>
      </c>
      <c r="AH3804">
        <v>3</v>
      </c>
      <c r="AI3804">
        <v>2</v>
      </c>
      <c r="AJ3804">
        <v>0</v>
      </c>
      <c r="AK3804" t="s">
        <v>1200</v>
      </c>
      <c r="AL3804">
        <v>39.169241999999997</v>
      </c>
      <c r="AM3804" t="s">
        <v>1201</v>
      </c>
      <c r="AN3804">
        <v>-121.030669</v>
      </c>
      <c r="AO3804">
        <v>25</v>
      </c>
      <c r="AP3804">
        <v>4200</v>
      </c>
      <c r="AQ3804" t="s">
        <v>131</v>
      </c>
      <c r="AR3804">
        <v>8</v>
      </c>
      <c r="AS3804">
        <v>89</v>
      </c>
      <c r="AT3804">
        <v>256</v>
      </c>
      <c r="BB3804" t="str">
        <f t="shared" si="1498"/>
        <v>1200</v>
      </c>
      <c r="BC3804">
        <v>1</v>
      </c>
      <c r="BD3804" t="str">
        <f t="shared" si="1499"/>
        <v xml:space="preserve">N52156  </v>
      </c>
      <c r="BE3804">
        <v>1</v>
      </c>
      <c r="BG3804">
        <v>0</v>
      </c>
      <c r="BH3804">
        <v>0</v>
      </c>
      <c r="BI3804">
        <v>0</v>
      </c>
      <c r="BJ3804">
        <v>4250</v>
      </c>
      <c r="BK3804">
        <v>50</v>
      </c>
      <c r="BL3804" t="s">
        <v>188</v>
      </c>
      <c r="BM3804">
        <v>1</v>
      </c>
      <c r="BN3804">
        <v>1</v>
      </c>
      <c r="BO3804">
        <v>0</v>
      </c>
      <c r="BP3804">
        <v>0</v>
      </c>
      <c r="BS3804">
        <v>0</v>
      </c>
      <c r="BT3804">
        <v>0</v>
      </c>
      <c r="BU3804">
        <v>0</v>
      </c>
      <c r="CE3804" t="str">
        <f t="shared" si="1507"/>
        <v>15:15:05.953</v>
      </c>
      <c r="CF3804">
        <v>952741623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4</v>
      </c>
      <c r="CY3804">
        <v>7</v>
      </c>
      <c r="CZ3804" t="s">
        <v>133</v>
      </c>
      <c r="DA3804">
        <v>275</v>
      </c>
      <c r="DB3804">
        <v>0</v>
      </c>
      <c r="DC3804" t="s">
        <v>134</v>
      </c>
      <c r="DD3804" t="s">
        <v>135</v>
      </c>
      <c r="DG3804">
        <v>3323006</v>
      </c>
      <c r="DI3804">
        <v>1</v>
      </c>
      <c r="DJ3804">
        <v>0</v>
      </c>
      <c r="DK3804">
        <v>1</v>
      </c>
      <c r="DL3804">
        <v>0</v>
      </c>
      <c r="DM3804">
        <v>0</v>
      </c>
      <c r="DN3804">
        <v>0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3">
      <c r="A3805" t="str">
        <f>"05/01/2025 15:15:06.200"</f>
        <v>05/01/2025 15:15:06.200</v>
      </c>
      <c r="C3805" t="str">
        <f t="shared" si="1496"/>
        <v>FFDFD3C0</v>
      </c>
      <c r="D3805" t="s">
        <v>145</v>
      </c>
      <c r="E3805" t="str">
        <f>"05"</f>
        <v>05</v>
      </c>
      <c r="H3805">
        <v>47</v>
      </c>
      <c r="I3805" t="s">
        <v>146</v>
      </c>
      <c r="J3805" t="s">
        <v>138</v>
      </c>
      <c r="K3805">
        <v>0</v>
      </c>
      <c r="L3805">
        <v>3</v>
      </c>
      <c r="M3805">
        <v>0</v>
      </c>
      <c r="N3805">
        <v>2</v>
      </c>
      <c r="O3805">
        <v>0</v>
      </c>
      <c r="P3805">
        <v>1</v>
      </c>
      <c r="Q3805">
        <v>0</v>
      </c>
      <c r="R3805" t="s">
        <v>127</v>
      </c>
      <c r="S3805" t="str">
        <f t="shared" si="1506"/>
        <v>15:15:05.000</v>
      </c>
      <c r="T3805" t="str">
        <f t="shared" si="1506"/>
        <v>15:15:05.000</v>
      </c>
      <c r="U3805" t="str">
        <f t="shared" si="1497"/>
        <v>A68FCB</v>
      </c>
      <c r="V3805">
        <v>0</v>
      </c>
      <c r="W3805">
        <v>0</v>
      </c>
      <c r="X3805">
        <v>2</v>
      </c>
      <c r="Y3805">
        <v>0</v>
      </c>
      <c r="AA3805">
        <v>1</v>
      </c>
      <c r="AB3805">
        <v>8</v>
      </c>
      <c r="AC3805">
        <v>3</v>
      </c>
      <c r="AD3805">
        <v>0</v>
      </c>
      <c r="AE3805">
        <v>9</v>
      </c>
      <c r="AF3805" t="s">
        <v>138</v>
      </c>
      <c r="AG3805">
        <v>0</v>
      </c>
      <c r="AH3805">
        <v>3</v>
      </c>
      <c r="AI3805">
        <v>2</v>
      </c>
      <c r="AJ3805">
        <v>0</v>
      </c>
      <c r="AK3805" t="s">
        <v>1200</v>
      </c>
      <c r="AL3805">
        <v>39.169241999999997</v>
      </c>
      <c r="AM3805" t="s">
        <v>1201</v>
      </c>
      <c r="AN3805">
        <v>-121.030669</v>
      </c>
      <c r="AO3805">
        <v>25</v>
      </c>
      <c r="AP3805">
        <v>4200</v>
      </c>
      <c r="AQ3805" t="s">
        <v>131</v>
      </c>
      <c r="AR3805">
        <v>8</v>
      </c>
      <c r="AS3805">
        <v>89</v>
      </c>
      <c r="AT3805">
        <v>256</v>
      </c>
      <c r="BB3805" t="str">
        <f t="shared" si="1498"/>
        <v>1200</v>
      </c>
      <c r="BC3805">
        <v>1</v>
      </c>
      <c r="BD3805" t="str">
        <f t="shared" si="1499"/>
        <v xml:space="preserve">N52156  </v>
      </c>
      <c r="BE3805">
        <v>1</v>
      </c>
      <c r="BG3805">
        <v>0</v>
      </c>
      <c r="BH3805">
        <v>0</v>
      </c>
      <c r="BI3805">
        <v>0</v>
      </c>
      <c r="BJ3805">
        <v>4250</v>
      </c>
      <c r="BK3805">
        <v>50</v>
      </c>
      <c r="BL3805" t="s">
        <v>188</v>
      </c>
      <c r="BM3805">
        <v>1</v>
      </c>
      <c r="BN3805">
        <v>1</v>
      </c>
      <c r="BO3805">
        <v>0</v>
      </c>
      <c r="BP3805">
        <v>0</v>
      </c>
      <c r="BS3805">
        <v>0</v>
      </c>
      <c r="BT3805">
        <v>0</v>
      </c>
      <c r="BU3805">
        <v>0</v>
      </c>
      <c r="CE3805" t="str">
        <f t="shared" si="1507"/>
        <v>15:15:05.953</v>
      </c>
      <c r="CF3805">
        <v>952741623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4</v>
      </c>
      <c r="CY3805">
        <v>7</v>
      </c>
      <c r="CZ3805" t="s">
        <v>133</v>
      </c>
      <c r="DA3805">
        <v>275</v>
      </c>
      <c r="DB3805">
        <v>0</v>
      </c>
      <c r="DC3805" t="s">
        <v>134</v>
      </c>
      <c r="DD3805" t="s">
        <v>135</v>
      </c>
      <c r="DG3805">
        <v>3323006</v>
      </c>
      <c r="DI3805">
        <v>1</v>
      </c>
      <c r="DJ3805">
        <v>0</v>
      </c>
      <c r="DK3805">
        <v>1</v>
      </c>
      <c r="DL3805">
        <v>0</v>
      </c>
      <c r="DM3805">
        <v>0</v>
      </c>
      <c r="DN3805">
        <v>0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3">
      <c r="A3806" t="str">
        <f>"05/01/2025 15:15:06.649"</f>
        <v>05/01/2025 15:15:06.649</v>
      </c>
      <c r="C3806" t="str">
        <f t="shared" si="1496"/>
        <v>FFDFD3C0</v>
      </c>
      <c r="D3806" t="s">
        <v>145</v>
      </c>
      <c r="E3806" t="str">
        <f>"09"</f>
        <v>09</v>
      </c>
      <c r="H3806">
        <v>51</v>
      </c>
      <c r="I3806" t="s">
        <v>147</v>
      </c>
      <c r="J3806" t="s">
        <v>138</v>
      </c>
      <c r="K3806">
        <v>0</v>
      </c>
      <c r="L3806">
        <v>3</v>
      </c>
      <c r="M3806">
        <v>0</v>
      </c>
      <c r="N3806">
        <v>2</v>
      </c>
      <c r="O3806">
        <v>0</v>
      </c>
      <c r="P3806">
        <v>1</v>
      </c>
      <c r="Q3806">
        <v>0</v>
      </c>
      <c r="R3806" t="s">
        <v>127</v>
      </c>
      <c r="S3806" t="str">
        <f t="shared" ref="S3806:T3811" si="1508">"15:15:06.000"</f>
        <v>15:15:06.000</v>
      </c>
      <c r="T3806" t="str">
        <f t="shared" si="1508"/>
        <v>15:15:06.000</v>
      </c>
      <c r="U3806" t="str">
        <f t="shared" si="1497"/>
        <v>A68FCB</v>
      </c>
      <c r="V3806">
        <v>0</v>
      </c>
      <c r="W3806">
        <v>0</v>
      </c>
      <c r="X3806">
        <v>2</v>
      </c>
      <c r="Y3806">
        <v>0</v>
      </c>
      <c r="AA3806">
        <v>1</v>
      </c>
      <c r="AB3806">
        <v>8</v>
      </c>
      <c r="AC3806">
        <v>3</v>
      </c>
      <c r="AD3806">
        <v>0</v>
      </c>
      <c r="AE3806">
        <v>9</v>
      </c>
      <c r="AF3806" t="s">
        <v>138</v>
      </c>
      <c r="AG3806">
        <v>0</v>
      </c>
      <c r="AH3806">
        <v>3</v>
      </c>
      <c r="AI3806">
        <v>2</v>
      </c>
      <c r="AJ3806">
        <v>0</v>
      </c>
      <c r="AK3806" t="s">
        <v>1202</v>
      </c>
      <c r="AL3806">
        <v>39.169649999999997</v>
      </c>
      <c r="AM3806" t="s">
        <v>1203</v>
      </c>
      <c r="AN3806">
        <v>-121.030626</v>
      </c>
      <c r="AO3806">
        <v>25</v>
      </c>
      <c r="AP3806">
        <v>4200</v>
      </c>
      <c r="AQ3806" t="s">
        <v>131</v>
      </c>
      <c r="AR3806">
        <v>8</v>
      </c>
      <c r="AS3806">
        <v>89</v>
      </c>
      <c r="AT3806">
        <v>320</v>
      </c>
      <c r="BB3806" t="str">
        <f t="shared" si="1498"/>
        <v>1200</v>
      </c>
      <c r="BC3806">
        <v>1</v>
      </c>
      <c r="BD3806" t="str">
        <f t="shared" si="1499"/>
        <v xml:space="preserve">N52156  </v>
      </c>
      <c r="BE3806">
        <v>1</v>
      </c>
      <c r="BG3806">
        <v>0</v>
      </c>
      <c r="BH3806">
        <v>0</v>
      </c>
      <c r="BI3806">
        <v>0</v>
      </c>
      <c r="BJ3806">
        <v>4275</v>
      </c>
      <c r="BK3806">
        <v>75</v>
      </c>
      <c r="BL3806" t="s">
        <v>188</v>
      </c>
      <c r="BM3806">
        <v>1</v>
      </c>
      <c r="BN3806">
        <v>1</v>
      </c>
      <c r="BO3806">
        <v>0</v>
      </c>
      <c r="BP3806">
        <v>0</v>
      </c>
      <c r="BS3806">
        <v>0</v>
      </c>
      <c r="BT3806">
        <v>0</v>
      </c>
      <c r="BU3806">
        <v>0</v>
      </c>
      <c r="CE3806" t="str">
        <f t="shared" ref="CE3806:CE3811" si="1509">"15:15:06.432"</f>
        <v>15:15:06.432</v>
      </c>
      <c r="CF3806">
        <v>432240600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4</v>
      </c>
      <c r="CY3806">
        <v>7</v>
      </c>
      <c r="CZ3806" t="s">
        <v>133</v>
      </c>
      <c r="DA3806">
        <v>275</v>
      </c>
      <c r="DB3806">
        <v>0</v>
      </c>
      <c r="DC3806" t="s">
        <v>134</v>
      </c>
      <c r="DD3806" t="s">
        <v>135</v>
      </c>
      <c r="DG3806">
        <v>3323009</v>
      </c>
      <c r="DI3806">
        <v>1</v>
      </c>
      <c r="DJ3806">
        <v>0</v>
      </c>
      <c r="DK3806">
        <v>0</v>
      </c>
      <c r="DL3806">
        <v>0</v>
      </c>
      <c r="DM3806">
        <v>0</v>
      </c>
      <c r="DN3806">
        <v>0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3">
      <c r="A3807" t="str">
        <f>"05/01/2025 15:15:06.651"</f>
        <v>05/01/2025 15:15:06.651</v>
      </c>
      <c r="C3807" t="str">
        <f t="shared" si="1496"/>
        <v>FFDFD3C0</v>
      </c>
      <c r="D3807" t="s">
        <v>145</v>
      </c>
      <c r="E3807" t="str">
        <f>"05"</f>
        <v>05</v>
      </c>
      <c r="H3807">
        <v>47</v>
      </c>
      <c r="I3807" t="s">
        <v>146</v>
      </c>
      <c r="J3807" t="s">
        <v>138</v>
      </c>
      <c r="K3807">
        <v>0</v>
      </c>
      <c r="L3807">
        <v>3</v>
      </c>
      <c r="M3807">
        <v>0</v>
      </c>
      <c r="N3807">
        <v>2</v>
      </c>
      <c r="O3807">
        <v>0</v>
      </c>
      <c r="P3807">
        <v>1</v>
      </c>
      <c r="Q3807">
        <v>0</v>
      </c>
      <c r="R3807" t="s">
        <v>127</v>
      </c>
      <c r="S3807" t="str">
        <f t="shared" si="1508"/>
        <v>15:15:06.000</v>
      </c>
      <c r="T3807" t="str">
        <f t="shared" si="1508"/>
        <v>15:15:06.000</v>
      </c>
      <c r="U3807" t="str">
        <f t="shared" si="1497"/>
        <v>A68FCB</v>
      </c>
      <c r="V3807">
        <v>0</v>
      </c>
      <c r="W3807">
        <v>0</v>
      </c>
      <c r="X3807">
        <v>2</v>
      </c>
      <c r="Y3807">
        <v>0</v>
      </c>
      <c r="AA3807">
        <v>1</v>
      </c>
      <c r="AB3807">
        <v>8</v>
      </c>
      <c r="AC3807">
        <v>3</v>
      </c>
      <c r="AD3807">
        <v>0</v>
      </c>
      <c r="AE3807">
        <v>9</v>
      </c>
      <c r="AF3807" t="s">
        <v>138</v>
      </c>
      <c r="AG3807">
        <v>0</v>
      </c>
      <c r="AH3807">
        <v>3</v>
      </c>
      <c r="AI3807">
        <v>2</v>
      </c>
      <c r="AJ3807">
        <v>0</v>
      </c>
      <c r="AK3807" t="s">
        <v>1202</v>
      </c>
      <c r="AL3807">
        <v>39.169649999999997</v>
      </c>
      <c r="AM3807" t="s">
        <v>1203</v>
      </c>
      <c r="AN3807">
        <v>-121.030626</v>
      </c>
      <c r="AO3807">
        <v>25</v>
      </c>
      <c r="AP3807">
        <v>4200</v>
      </c>
      <c r="AQ3807" t="s">
        <v>131</v>
      </c>
      <c r="AR3807">
        <v>8</v>
      </c>
      <c r="AS3807">
        <v>89</v>
      </c>
      <c r="AT3807">
        <v>320</v>
      </c>
      <c r="BB3807" t="str">
        <f t="shared" si="1498"/>
        <v>1200</v>
      </c>
      <c r="BC3807">
        <v>1</v>
      </c>
      <c r="BD3807" t="str">
        <f t="shared" si="1499"/>
        <v xml:space="preserve">N52156  </v>
      </c>
      <c r="BE3807">
        <v>1</v>
      </c>
      <c r="BG3807">
        <v>0</v>
      </c>
      <c r="BH3807">
        <v>0</v>
      </c>
      <c r="BI3807">
        <v>0</v>
      </c>
      <c r="BJ3807">
        <v>4275</v>
      </c>
      <c r="BK3807">
        <v>75</v>
      </c>
      <c r="BL3807" t="s">
        <v>188</v>
      </c>
      <c r="BM3807">
        <v>1</v>
      </c>
      <c r="BN3807">
        <v>1</v>
      </c>
      <c r="BO3807">
        <v>0</v>
      </c>
      <c r="BP3807">
        <v>0</v>
      </c>
      <c r="BS3807">
        <v>0</v>
      </c>
      <c r="BT3807">
        <v>0</v>
      </c>
      <c r="BU3807">
        <v>0</v>
      </c>
      <c r="CE3807" t="str">
        <f t="shared" si="1509"/>
        <v>15:15:06.432</v>
      </c>
      <c r="CF3807">
        <v>432240600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4</v>
      </c>
      <c r="CY3807">
        <v>7</v>
      </c>
      <c r="CZ3807" t="s">
        <v>133</v>
      </c>
      <c r="DA3807">
        <v>275</v>
      </c>
      <c r="DB3807">
        <v>0</v>
      </c>
      <c r="DC3807" t="s">
        <v>134</v>
      </c>
      <c r="DD3807" t="s">
        <v>135</v>
      </c>
      <c r="DG3807">
        <v>3323009</v>
      </c>
      <c r="DI3807">
        <v>1</v>
      </c>
      <c r="DJ3807">
        <v>0</v>
      </c>
      <c r="DK3807">
        <v>1</v>
      </c>
      <c r="DL3807">
        <v>0</v>
      </c>
      <c r="DM3807">
        <v>0</v>
      </c>
      <c r="DN3807">
        <v>0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3">
      <c r="A3808" t="str">
        <f>"05/01/2025 15:15:06.663"</f>
        <v>05/01/2025 15:15:06.663</v>
      </c>
      <c r="C3808" t="str">
        <f t="shared" si="1496"/>
        <v>FFDFD3C0</v>
      </c>
      <c r="D3808" t="s">
        <v>136</v>
      </c>
      <c r="E3808" t="str">
        <f>"20"</f>
        <v>20</v>
      </c>
      <c r="H3808">
        <v>400</v>
      </c>
      <c r="I3808" t="s">
        <v>137</v>
      </c>
      <c r="J3808" t="s">
        <v>138</v>
      </c>
      <c r="K3808">
        <v>0</v>
      </c>
      <c r="L3808">
        <v>3</v>
      </c>
      <c r="M3808">
        <v>0</v>
      </c>
      <c r="N3808">
        <v>2</v>
      </c>
      <c r="O3808">
        <v>0</v>
      </c>
      <c r="P3808">
        <v>1</v>
      </c>
      <c r="Q3808">
        <v>0</v>
      </c>
      <c r="R3808" t="s">
        <v>127</v>
      </c>
      <c r="S3808" t="str">
        <f t="shared" si="1508"/>
        <v>15:15:06.000</v>
      </c>
      <c r="T3808" t="str">
        <f t="shared" si="1508"/>
        <v>15:15:06.000</v>
      </c>
      <c r="U3808" t="str">
        <f t="shared" si="1497"/>
        <v>A68FCB</v>
      </c>
      <c r="V3808">
        <v>0</v>
      </c>
      <c r="W3808">
        <v>0</v>
      </c>
      <c r="X3808">
        <v>2</v>
      </c>
      <c r="Y3808">
        <v>0</v>
      </c>
      <c r="AA3808">
        <v>1</v>
      </c>
      <c r="AB3808">
        <v>8</v>
      </c>
      <c r="AC3808">
        <v>3</v>
      </c>
      <c r="AD3808">
        <v>0</v>
      </c>
      <c r="AE3808">
        <v>9</v>
      </c>
      <c r="AF3808" t="s">
        <v>138</v>
      </c>
      <c r="AG3808">
        <v>0</v>
      </c>
      <c r="AH3808">
        <v>3</v>
      </c>
      <c r="AI3808">
        <v>2</v>
      </c>
      <c r="AJ3808">
        <v>0</v>
      </c>
      <c r="AK3808" t="s">
        <v>1202</v>
      </c>
      <c r="AL3808">
        <v>39.169649999999997</v>
      </c>
      <c r="AM3808" t="s">
        <v>1203</v>
      </c>
      <c r="AN3808">
        <v>-121.030626</v>
      </c>
      <c r="AO3808">
        <v>25</v>
      </c>
      <c r="AP3808">
        <v>4200</v>
      </c>
      <c r="AQ3808" t="s">
        <v>131</v>
      </c>
      <c r="AR3808">
        <v>8</v>
      </c>
      <c r="AS3808">
        <v>89</v>
      </c>
      <c r="AT3808">
        <v>320</v>
      </c>
      <c r="BB3808" t="str">
        <f t="shared" si="1498"/>
        <v>1200</v>
      </c>
      <c r="BC3808">
        <v>1</v>
      </c>
      <c r="BD3808" t="str">
        <f t="shared" si="1499"/>
        <v xml:space="preserve">N52156  </v>
      </c>
      <c r="BE3808">
        <v>1</v>
      </c>
      <c r="BG3808">
        <v>0</v>
      </c>
      <c r="BH3808">
        <v>0</v>
      </c>
      <c r="BI3808">
        <v>0</v>
      </c>
      <c r="BJ3808">
        <v>4275</v>
      </c>
      <c r="BK3808">
        <v>75</v>
      </c>
      <c r="BL3808" t="s">
        <v>188</v>
      </c>
      <c r="BM3808">
        <v>1</v>
      </c>
      <c r="BN3808">
        <v>1</v>
      </c>
      <c r="BO3808">
        <v>0</v>
      </c>
      <c r="BP3808">
        <v>0</v>
      </c>
      <c r="BS3808">
        <v>0</v>
      </c>
      <c r="BT3808">
        <v>0</v>
      </c>
      <c r="BU3808">
        <v>0</v>
      </c>
      <c r="CE3808" t="str">
        <f t="shared" si="1509"/>
        <v>15:15:06.432</v>
      </c>
      <c r="CF3808">
        <v>432240600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4</v>
      </c>
      <c r="CY3808">
        <v>7</v>
      </c>
      <c r="CZ3808" t="s">
        <v>133</v>
      </c>
      <c r="DA3808">
        <v>275</v>
      </c>
      <c r="DB3808">
        <v>0</v>
      </c>
      <c r="DC3808" t="s">
        <v>134</v>
      </c>
      <c r="DD3808" t="s">
        <v>135</v>
      </c>
      <c r="DG3808">
        <v>3323009</v>
      </c>
      <c r="DI3808">
        <v>1</v>
      </c>
      <c r="DJ3808">
        <v>0</v>
      </c>
      <c r="DK3808">
        <v>1</v>
      </c>
      <c r="DL3808">
        <v>0</v>
      </c>
      <c r="DM3808">
        <v>0</v>
      </c>
      <c r="DN3808">
        <v>0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3">
      <c r="A3809" t="str">
        <f>"05/01/2025 15:15:06.683"</f>
        <v>05/01/2025 15:15:06.683</v>
      </c>
      <c r="C3809" t="str">
        <f t="shared" si="1496"/>
        <v>FFDFD3C0</v>
      </c>
      <c r="D3809" t="s">
        <v>143</v>
      </c>
      <c r="E3809" t="str">
        <f>"05"</f>
        <v>05</v>
      </c>
      <c r="H3809">
        <v>172</v>
      </c>
      <c r="I3809" t="s">
        <v>141</v>
      </c>
      <c r="J3809" t="s">
        <v>144</v>
      </c>
      <c r="K3809">
        <v>0</v>
      </c>
      <c r="L3809">
        <v>3</v>
      </c>
      <c r="M3809">
        <v>0</v>
      </c>
      <c r="N3809">
        <v>2</v>
      </c>
      <c r="O3809">
        <v>0</v>
      </c>
      <c r="P3809">
        <v>1</v>
      </c>
      <c r="Q3809">
        <v>0</v>
      </c>
      <c r="R3809" t="s">
        <v>127</v>
      </c>
      <c r="S3809" t="str">
        <f t="shared" si="1508"/>
        <v>15:15:06.000</v>
      </c>
      <c r="T3809" t="str">
        <f t="shared" si="1508"/>
        <v>15:15:06.000</v>
      </c>
      <c r="U3809" t="str">
        <f t="shared" si="1497"/>
        <v>A68FCB</v>
      </c>
      <c r="V3809">
        <v>0</v>
      </c>
      <c r="W3809">
        <v>0</v>
      </c>
      <c r="X3809">
        <v>2</v>
      </c>
      <c r="Y3809">
        <v>0</v>
      </c>
      <c r="AA3809">
        <v>1</v>
      </c>
      <c r="AB3809">
        <v>8</v>
      </c>
      <c r="AC3809">
        <v>3</v>
      </c>
      <c r="AD3809">
        <v>0</v>
      </c>
      <c r="AE3809">
        <v>9</v>
      </c>
      <c r="AF3809" t="s">
        <v>138</v>
      </c>
      <c r="AG3809">
        <v>0</v>
      </c>
      <c r="AH3809">
        <v>3</v>
      </c>
      <c r="AI3809">
        <v>2</v>
      </c>
      <c r="AJ3809">
        <v>0</v>
      </c>
      <c r="AK3809" t="s">
        <v>1202</v>
      </c>
      <c r="AL3809">
        <v>39.169649999999997</v>
      </c>
      <c r="AM3809" t="s">
        <v>1203</v>
      </c>
      <c r="AN3809">
        <v>-121.030626</v>
      </c>
      <c r="AO3809">
        <v>25</v>
      </c>
      <c r="AP3809">
        <v>4200</v>
      </c>
      <c r="AQ3809" t="s">
        <v>131</v>
      </c>
      <c r="AR3809">
        <v>8</v>
      </c>
      <c r="AS3809">
        <v>89</v>
      </c>
      <c r="AT3809">
        <v>320</v>
      </c>
      <c r="BB3809" t="str">
        <f t="shared" si="1498"/>
        <v>1200</v>
      </c>
      <c r="BC3809">
        <v>1</v>
      </c>
      <c r="BD3809" t="str">
        <f t="shared" si="1499"/>
        <v xml:space="preserve">N52156  </v>
      </c>
      <c r="BE3809">
        <v>1</v>
      </c>
      <c r="BG3809">
        <v>0</v>
      </c>
      <c r="BH3809">
        <v>0</v>
      </c>
      <c r="BI3809">
        <v>0</v>
      </c>
      <c r="BJ3809">
        <v>4275</v>
      </c>
      <c r="BK3809">
        <v>75</v>
      </c>
      <c r="BL3809" t="s">
        <v>188</v>
      </c>
      <c r="BM3809">
        <v>1</v>
      </c>
      <c r="BN3809">
        <v>1</v>
      </c>
      <c r="BO3809">
        <v>0</v>
      </c>
      <c r="BP3809">
        <v>0</v>
      </c>
      <c r="BS3809">
        <v>0</v>
      </c>
      <c r="BT3809">
        <v>0</v>
      </c>
      <c r="BU3809">
        <v>0</v>
      </c>
      <c r="CE3809" t="str">
        <f t="shared" si="1509"/>
        <v>15:15:06.432</v>
      </c>
      <c r="CF3809">
        <v>432240600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4</v>
      </c>
      <c r="CY3809">
        <v>7</v>
      </c>
      <c r="CZ3809" t="s">
        <v>133</v>
      </c>
      <c r="DA3809">
        <v>275</v>
      </c>
      <c r="DB3809">
        <v>0</v>
      </c>
      <c r="DC3809" t="s">
        <v>134</v>
      </c>
      <c r="DD3809" t="s">
        <v>135</v>
      </c>
      <c r="DG3809">
        <v>3323009</v>
      </c>
      <c r="DI3809">
        <v>1</v>
      </c>
      <c r="DJ3809">
        <v>0</v>
      </c>
      <c r="DK3809">
        <v>1</v>
      </c>
      <c r="DL3809">
        <v>0</v>
      </c>
      <c r="DM3809">
        <v>0</v>
      </c>
      <c r="DN3809">
        <v>0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3">
      <c r="A3810" t="str">
        <f>"05/01/2025 15:15:06.685"</f>
        <v>05/01/2025 15:15:06.685</v>
      </c>
      <c r="C3810" t="str">
        <f t="shared" si="1496"/>
        <v>FFDFD3C0</v>
      </c>
      <c r="D3810" t="s">
        <v>140</v>
      </c>
      <c r="E3810" t="str">
        <f>"13"</f>
        <v>13</v>
      </c>
      <c r="F3810">
        <v>1019</v>
      </c>
      <c r="G3810" t="s">
        <v>141</v>
      </c>
      <c r="J3810" t="s">
        <v>142</v>
      </c>
      <c r="K3810">
        <v>0</v>
      </c>
      <c r="L3810">
        <v>3</v>
      </c>
      <c r="M3810">
        <v>0</v>
      </c>
      <c r="N3810">
        <v>2</v>
      </c>
      <c r="O3810">
        <v>0</v>
      </c>
      <c r="P3810">
        <v>1</v>
      </c>
      <c r="Q3810">
        <v>0</v>
      </c>
      <c r="R3810" t="s">
        <v>127</v>
      </c>
      <c r="S3810" t="str">
        <f t="shared" si="1508"/>
        <v>15:15:06.000</v>
      </c>
      <c r="T3810" t="str">
        <f t="shared" si="1508"/>
        <v>15:15:06.000</v>
      </c>
      <c r="U3810" t="str">
        <f t="shared" si="1497"/>
        <v>A68FCB</v>
      </c>
      <c r="V3810">
        <v>0</v>
      </c>
      <c r="W3810">
        <v>0</v>
      </c>
      <c r="X3810">
        <v>2</v>
      </c>
      <c r="Y3810">
        <v>0</v>
      </c>
      <c r="AA3810">
        <v>1</v>
      </c>
      <c r="AB3810">
        <v>8</v>
      </c>
      <c r="AC3810">
        <v>3</v>
      </c>
      <c r="AD3810">
        <v>0</v>
      </c>
      <c r="AE3810">
        <v>9</v>
      </c>
      <c r="AF3810" t="s">
        <v>138</v>
      </c>
      <c r="AG3810">
        <v>0</v>
      </c>
      <c r="AH3810">
        <v>3</v>
      </c>
      <c r="AI3810">
        <v>2</v>
      </c>
      <c r="AJ3810">
        <v>0</v>
      </c>
      <c r="AK3810" t="s">
        <v>1202</v>
      </c>
      <c r="AL3810">
        <v>39.169649999999997</v>
      </c>
      <c r="AM3810" t="s">
        <v>1203</v>
      </c>
      <c r="AN3810">
        <v>-121.030626</v>
      </c>
      <c r="AO3810">
        <v>25</v>
      </c>
      <c r="AP3810">
        <v>4200</v>
      </c>
      <c r="AQ3810" t="s">
        <v>131</v>
      </c>
      <c r="AR3810">
        <v>8</v>
      </c>
      <c r="AS3810">
        <v>89</v>
      </c>
      <c r="AT3810">
        <v>320</v>
      </c>
      <c r="BB3810" t="str">
        <f t="shared" si="1498"/>
        <v>1200</v>
      </c>
      <c r="BC3810">
        <v>1</v>
      </c>
      <c r="BD3810" t="str">
        <f t="shared" si="1499"/>
        <v xml:space="preserve">N52156  </v>
      </c>
      <c r="BE3810">
        <v>1</v>
      </c>
      <c r="BG3810">
        <v>0</v>
      </c>
      <c r="BH3810">
        <v>0</v>
      </c>
      <c r="BI3810">
        <v>0</v>
      </c>
      <c r="BJ3810">
        <v>4275</v>
      </c>
      <c r="BK3810">
        <v>75</v>
      </c>
      <c r="BL3810" t="s">
        <v>188</v>
      </c>
      <c r="BM3810">
        <v>1</v>
      </c>
      <c r="BN3810">
        <v>1</v>
      </c>
      <c r="BO3810">
        <v>0</v>
      </c>
      <c r="BP3810">
        <v>0</v>
      </c>
      <c r="BS3810">
        <v>0</v>
      </c>
      <c r="BT3810">
        <v>0</v>
      </c>
      <c r="BU3810">
        <v>0</v>
      </c>
      <c r="CE3810" t="str">
        <f t="shared" si="1509"/>
        <v>15:15:06.432</v>
      </c>
      <c r="CF3810">
        <v>432240600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4</v>
      </c>
      <c r="CY3810">
        <v>7</v>
      </c>
      <c r="CZ3810" t="s">
        <v>133</v>
      </c>
      <c r="DA3810">
        <v>275</v>
      </c>
      <c r="DB3810">
        <v>0</v>
      </c>
      <c r="DC3810" t="s">
        <v>134</v>
      </c>
      <c r="DD3810" t="s">
        <v>135</v>
      </c>
      <c r="DG3810">
        <v>3323009</v>
      </c>
      <c r="DI3810">
        <v>1</v>
      </c>
      <c r="DJ3810">
        <v>0</v>
      </c>
      <c r="DK3810">
        <v>1</v>
      </c>
      <c r="DL3810">
        <v>0</v>
      </c>
      <c r="DM3810">
        <v>0</v>
      </c>
      <c r="DN3810">
        <v>0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3">
      <c r="A3811" t="str">
        <f>"05/01/2025 15:15:06.689"</f>
        <v>05/01/2025 15:15:06.689</v>
      </c>
      <c r="C3811" t="str">
        <f t="shared" si="1496"/>
        <v>FFDFD3C0</v>
      </c>
      <c r="D3811" t="s">
        <v>124</v>
      </c>
      <c r="E3811" t="str">
        <f>"06"</f>
        <v>06</v>
      </c>
      <c r="F3811">
        <v>2006</v>
      </c>
      <c r="G3811" t="s">
        <v>125</v>
      </c>
      <c r="J3811" t="s">
        <v>126</v>
      </c>
      <c r="K3811">
        <v>0</v>
      </c>
      <c r="L3811">
        <v>3</v>
      </c>
      <c r="M3811">
        <v>0</v>
      </c>
      <c r="N3811">
        <v>2</v>
      </c>
      <c r="O3811">
        <v>0</v>
      </c>
      <c r="P3811">
        <v>1</v>
      </c>
      <c r="Q3811">
        <v>0</v>
      </c>
      <c r="R3811" t="s">
        <v>127</v>
      </c>
      <c r="S3811" t="str">
        <f t="shared" si="1508"/>
        <v>15:15:06.000</v>
      </c>
      <c r="T3811" t="str">
        <f t="shared" si="1508"/>
        <v>15:15:06.000</v>
      </c>
      <c r="U3811" t="str">
        <f t="shared" si="1497"/>
        <v>A68FCB</v>
      </c>
      <c r="V3811">
        <v>0</v>
      </c>
      <c r="W3811">
        <v>0</v>
      </c>
      <c r="X3811">
        <v>2</v>
      </c>
      <c r="Y3811">
        <v>0</v>
      </c>
      <c r="AA3811">
        <v>1</v>
      </c>
      <c r="AB3811">
        <v>8</v>
      </c>
      <c r="AC3811">
        <v>3</v>
      </c>
      <c r="AD3811">
        <v>0</v>
      </c>
      <c r="AE3811">
        <v>9</v>
      </c>
      <c r="AF3811" t="s">
        <v>138</v>
      </c>
      <c r="AG3811">
        <v>0</v>
      </c>
      <c r="AH3811">
        <v>3</v>
      </c>
      <c r="AI3811">
        <v>2</v>
      </c>
      <c r="AJ3811">
        <v>0</v>
      </c>
      <c r="AK3811" t="s">
        <v>1202</v>
      </c>
      <c r="AL3811">
        <v>39.169649999999997</v>
      </c>
      <c r="AM3811" t="s">
        <v>1203</v>
      </c>
      <c r="AN3811">
        <v>-121.030626</v>
      </c>
      <c r="AO3811">
        <v>25</v>
      </c>
      <c r="AP3811">
        <v>4200</v>
      </c>
      <c r="AQ3811" t="s">
        <v>131</v>
      </c>
      <c r="AR3811">
        <v>8</v>
      </c>
      <c r="AS3811">
        <v>89</v>
      </c>
      <c r="AT3811">
        <v>320</v>
      </c>
      <c r="BB3811" t="str">
        <f t="shared" si="1498"/>
        <v>1200</v>
      </c>
      <c r="BC3811">
        <v>1</v>
      </c>
      <c r="BD3811" t="str">
        <f t="shared" si="1499"/>
        <v xml:space="preserve">N52156  </v>
      </c>
      <c r="BE3811">
        <v>1</v>
      </c>
      <c r="BG3811">
        <v>0</v>
      </c>
      <c r="BH3811">
        <v>0</v>
      </c>
      <c r="BI3811">
        <v>0</v>
      </c>
      <c r="BJ3811">
        <v>4275</v>
      </c>
      <c r="BK3811">
        <v>75</v>
      </c>
      <c r="BL3811" t="s">
        <v>188</v>
      </c>
      <c r="BM3811">
        <v>1</v>
      </c>
      <c r="BN3811">
        <v>1</v>
      </c>
      <c r="BO3811">
        <v>0</v>
      </c>
      <c r="BP3811">
        <v>0</v>
      </c>
      <c r="BS3811">
        <v>0</v>
      </c>
      <c r="BT3811">
        <v>0</v>
      </c>
      <c r="BU3811">
        <v>0</v>
      </c>
      <c r="CE3811" t="str">
        <f t="shared" si="1509"/>
        <v>15:15:06.432</v>
      </c>
      <c r="CF3811">
        <v>432240600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4</v>
      </c>
      <c r="CY3811">
        <v>7</v>
      </c>
      <c r="CZ3811" t="s">
        <v>133</v>
      </c>
      <c r="DA3811">
        <v>275</v>
      </c>
      <c r="DB3811">
        <v>0</v>
      </c>
      <c r="DC3811" t="s">
        <v>134</v>
      </c>
      <c r="DD3811" t="s">
        <v>135</v>
      </c>
      <c r="DG3811">
        <v>3323009</v>
      </c>
      <c r="DI3811">
        <v>1</v>
      </c>
      <c r="DJ3811">
        <v>0</v>
      </c>
      <c r="DK3811">
        <v>1</v>
      </c>
      <c r="DL3811">
        <v>0</v>
      </c>
      <c r="DM3811">
        <v>0</v>
      </c>
      <c r="DN3811">
        <v>0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3">
      <c r="A3812" t="str">
        <f>"05/01/2025 15:15:07.814"</f>
        <v>05/01/2025 15:15:07.814</v>
      </c>
      <c r="C3812" t="str">
        <f t="shared" si="1496"/>
        <v>FFDFD3C0</v>
      </c>
      <c r="D3812" t="s">
        <v>136</v>
      </c>
      <c r="E3812" t="str">
        <f>"20"</f>
        <v>20</v>
      </c>
      <c r="H3812">
        <v>400</v>
      </c>
      <c r="I3812" t="s">
        <v>137</v>
      </c>
      <c r="J3812" t="s">
        <v>138</v>
      </c>
      <c r="K3812">
        <v>0</v>
      </c>
      <c r="L3812">
        <v>3</v>
      </c>
      <c r="M3812">
        <v>0</v>
      </c>
      <c r="N3812">
        <v>2</v>
      </c>
      <c r="O3812">
        <v>0</v>
      </c>
      <c r="P3812">
        <v>1</v>
      </c>
      <c r="Q3812">
        <v>0</v>
      </c>
      <c r="R3812" t="s">
        <v>127</v>
      </c>
      <c r="S3812" t="str">
        <f t="shared" ref="S3812:T3817" si="1510">"15:15:07.000"</f>
        <v>15:15:07.000</v>
      </c>
      <c r="T3812" t="str">
        <f t="shared" si="1510"/>
        <v>15:15:07.000</v>
      </c>
      <c r="U3812" t="str">
        <f t="shared" si="1497"/>
        <v>A68FCB</v>
      </c>
      <c r="V3812">
        <v>0</v>
      </c>
      <c r="W3812">
        <v>0</v>
      </c>
      <c r="X3812">
        <v>2</v>
      </c>
      <c r="Y3812">
        <v>0</v>
      </c>
      <c r="AA3812">
        <v>1</v>
      </c>
      <c r="AB3812">
        <v>8</v>
      </c>
      <c r="AC3812">
        <v>3</v>
      </c>
      <c r="AD3812">
        <v>0</v>
      </c>
      <c r="AE3812">
        <v>9</v>
      </c>
      <c r="AF3812" t="s">
        <v>138</v>
      </c>
      <c r="AG3812">
        <v>0</v>
      </c>
      <c r="AH3812">
        <v>3</v>
      </c>
      <c r="AI3812">
        <v>2</v>
      </c>
      <c r="AJ3812">
        <v>0</v>
      </c>
      <c r="AK3812" t="s">
        <v>1204</v>
      </c>
      <c r="AL3812">
        <v>39.170079000000001</v>
      </c>
      <c r="AM3812" t="s">
        <v>1205</v>
      </c>
      <c r="AN3812">
        <v>-121.030562</v>
      </c>
      <c r="AO3812">
        <v>25</v>
      </c>
      <c r="AP3812">
        <v>4200</v>
      </c>
      <c r="AQ3812" t="s">
        <v>131</v>
      </c>
      <c r="AR3812">
        <v>9</v>
      </c>
      <c r="AS3812">
        <v>88</v>
      </c>
      <c r="AT3812">
        <v>320</v>
      </c>
      <c r="BB3812" t="str">
        <f t="shared" si="1498"/>
        <v>1200</v>
      </c>
      <c r="BC3812">
        <v>1</v>
      </c>
      <c r="BD3812" t="str">
        <f t="shared" si="1499"/>
        <v xml:space="preserve">N52156  </v>
      </c>
      <c r="BE3812">
        <v>1</v>
      </c>
      <c r="BG3812">
        <v>0</v>
      </c>
      <c r="BH3812">
        <v>0</v>
      </c>
      <c r="BI3812">
        <v>0</v>
      </c>
      <c r="BJ3812">
        <v>4275</v>
      </c>
      <c r="BK3812">
        <v>75</v>
      </c>
      <c r="BL3812" t="s">
        <v>188</v>
      </c>
      <c r="BM3812">
        <v>1</v>
      </c>
      <c r="BN3812">
        <v>1</v>
      </c>
      <c r="BO3812">
        <v>0</v>
      </c>
      <c r="BP3812">
        <v>0</v>
      </c>
      <c r="BS3812">
        <v>0</v>
      </c>
      <c r="BT3812">
        <v>0</v>
      </c>
      <c r="BU3812">
        <v>0</v>
      </c>
      <c r="CE3812" t="str">
        <f t="shared" ref="CE3812:CE3817" si="1511">"15:15:07.596"</f>
        <v>15:15:07.596</v>
      </c>
      <c r="CF3812">
        <v>595991109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4</v>
      </c>
      <c r="CY3812">
        <v>7</v>
      </c>
      <c r="CZ3812" t="s">
        <v>133</v>
      </c>
      <c r="DA3812">
        <v>275</v>
      </c>
      <c r="DB3812">
        <v>0</v>
      </c>
      <c r="DC3812" t="s">
        <v>134</v>
      </c>
      <c r="DD3812" t="s">
        <v>135</v>
      </c>
      <c r="DG3812">
        <v>3323014</v>
      </c>
      <c r="DI3812">
        <v>1</v>
      </c>
      <c r="DJ3812">
        <v>0</v>
      </c>
      <c r="DK3812">
        <v>0</v>
      </c>
      <c r="DL3812">
        <v>0</v>
      </c>
      <c r="DM3812">
        <v>0</v>
      </c>
      <c r="DN3812">
        <v>0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3">
      <c r="A3813" t="str">
        <f>"05/01/2025 15:15:07.835"</f>
        <v>05/01/2025 15:15:07.835</v>
      </c>
      <c r="C3813" t="str">
        <f t="shared" si="1496"/>
        <v>FFDFD3C0</v>
      </c>
      <c r="D3813" t="s">
        <v>143</v>
      </c>
      <c r="E3813" t="str">
        <f>"05"</f>
        <v>05</v>
      </c>
      <c r="H3813">
        <v>172</v>
      </c>
      <c r="I3813" t="s">
        <v>141</v>
      </c>
      <c r="J3813" t="s">
        <v>144</v>
      </c>
      <c r="K3813">
        <v>0</v>
      </c>
      <c r="L3813">
        <v>3</v>
      </c>
      <c r="M3813">
        <v>0</v>
      </c>
      <c r="N3813">
        <v>2</v>
      </c>
      <c r="O3813">
        <v>0</v>
      </c>
      <c r="P3813">
        <v>1</v>
      </c>
      <c r="Q3813">
        <v>0</v>
      </c>
      <c r="R3813" t="s">
        <v>127</v>
      </c>
      <c r="S3813" t="str">
        <f t="shared" si="1510"/>
        <v>15:15:07.000</v>
      </c>
      <c r="T3813" t="str">
        <f t="shared" si="1510"/>
        <v>15:15:07.000</v>
      </c>
      <c r="U3813" t="str">
        <f t="shared" si="1497"/>
        <v>A68FCB</v>
      </c>
      <c r="V3813">
        <v>0</v>
      </c>
      <c r="W3813">
        <v>0</v>
      </c>
      <c r="X3813">
        <v>2</v>
      </c>
      <c r="Y3813">
        <v>0</v>
      </c>
      <c r="AA3813">
        <v>1</v>
      </c>
      <c r="AB3813">
        <v>8</v>
      </c>
      <c r="AC3813">
        <v>3</v>
      </c>
      <c r="AD3813">
        <v>0</v>
      </c>
      <c r="AE3813">
        <v>9</v>
      </c>
      <c r="AF3813" t="s">
        <v>138</v>
      </c>
      <c r="AG3813">
        <v>0</v>
      </c>
      <c r="AH3813">
        <v>3</v>
      </c>
      <c r="AI3813">
        <v>2</v>
      </c>
      <c r="AJ3813">
        <v>0</v>
      </c>
      <c r="AK3813" t="s">
        <v>1204</v>
      </c>
      <c r="AL3813">
        <v>39.170079000000001</v>
      </c>
      <c r="AM3813" t="s">
        <v>1205</v>
      </c>
      <c r="AN3813">
        <v>-121.030562</v>
      </c>
      <c r="AO3813">
        <v>25</v>
      </c>
      <c r="AP3813">
        <v>4200</v>
      </c>
      <c r="AQ3813" t="s">
        <v>131</v>
      </c>
      <c r="AR3813">
        <v>9</v>
      </c>
      <c r="AS3813">
        <v>88</v>
      </c>
      <c r="AT3813">
        <v>320</v>
      </c>
      <c r="BB3813" t="str">
        <f t="shared" si="1498"/>
        <v>1200</v>
      </c>
      <c r="BC3813">
        <v>1</v>
      </c>
      <c r="BD3813" t="str">
        <f t="shared" si="1499"/>
        <v xml:space="preserve">N52156  </v>
      </c>
      <c r="BE3813">
        <v>1</v>
      </c>
      <c r="BG3813">
        <v>0</v>
      </c>
      <c r="BH3813">
        <v>0</v>
      </c>
      <c r="BI3813">
        <v>0</v>
      </c>
      <c r="BJ3813">
        <v>4275</v>
      </c>
      <c r="BK3813">
        <v>75</v>
      </c>
      <c r="BL3813" t="s">
        <v>188</v>
      </c>
      <c r="BM3813">
        <v>1</v>
      </c>
      <c r="BN3813">
        <v>1</v>
      </c>
      <c r="BO3813">
        <v>0</v>
      </c>
      <c r="BP3813">
        <v>0</v>
      </c>
      <c r="BS3813">
        <v>0</v>
      </c>
      <c r="BT3813">
        <v>0</v>
      </c>
      <c r="BU3813">
        <v>0</v>
      </c>
      <c r="CE3813" t="str">
        <f t="shared" si="1511"/>
        <v>15:15:07.596</v>
      </c>
      <c r="CF3813">
        <v>595991109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4</v>
      </c>
      <c r="CY3813">
        <v>7</v>
      </c>
      <c r="CZ3813" t="s">
        <v>133</v>
      </c>
      <c r="DA3813">
        <v>275</v>
      </c>
      <c r="DB3813">
        <v>0</v>
      </c>
      <c r="DC3813" t="s">
        <v>134</v>
      </c>
      <c r="DD3813" t="s">
        <v>135</v>
      </c>
      <c r="DG3813">
        <v>3323014</v>
      </c>
      <c r="DI3813">
        <v>1</v>
      </c>
      <c r="DJ3813">
        <v>0</v>
      </c>
      <c r="DK3813">
        <v>1</v>
      </c>
      <c r="DL3813">
        <v>0</v>
      </c>
      <c r="DM3813">
        <v>0</v>
      </c>
      <c r="DN3813">
        <v>0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3">
      <c r="A3814" t="str">
        <f>"05/01/2025 15:15:07.837"</f>
        <v>05/01/2025 15:15:07.837</v>
      </c>
      <c r="C3814" t="str">
        <f t="shared" si="1496"/>
        <v>FFDFD3C0</v>
      </c>
      <c r="D3814" t="s">
        <v>140</v>
      </c>
      <c r="E3814" t="str">
        <f>"13"</f>
        <v>13</v>
      </c>
      <c r="F3814">
        <v>1019</v>
      </c>
      <c r="G3814" t="s">
        <v>141</v>
      </c>
      <c r="J3814" t="s">
        <v>142</v>
      </c>
      <c r="K3814">
        <v>0</v>
      </c>
      <c r="L3814">
        <v>3</v>
      </c>
      <c r="M3814">
        <v>0</v>
      </c>
      <c r="N3814">
        <v>2</v>
      </c>
      <c r="O3814">
        <v>0</v>
      </c>
      <c r="P3814">
        <v>1</v>
      </c>
      <c r="Q3814">
        <v>0</v>
      </c>
      <c r="R3814" t="s">
        <v>127</v>
      </c>
      <c r="S3814" t="str">
        <f t="shared" si="1510"/>
        <v>15:15:07.000</v>
      </c>
      <c r="T3814" t="str">
        <f t="shared" si="1510"/>
        <v>15:15:07.000</v>
      </c>
      <c r="U3814" t="str">
        <f t="shared" si="1497"/>
        <v>A68FCB</v>
      </c>
      <c r="V3814">
        <v>0</v>
      </c>
      <c r="W3814">
        <v>0</v>
      </c>
      <c r="X3814">
        <v>2</v>
      </c>
      <c r="Y3814">
        <v>0</v>
      </c>
      <c r="AA3814">
        <v>1</v>
      </c>
      <c r="AB3814">
        <v>8</v>
      </c>
      <c r="AC3814">
        <v>3</v>
      </c>
      <c r="AD3814">
        <v>0</v>
      </c>
      <c r="AE3814">
        <v>9</v>
      </c>
      <c r="AF3814" t="s">
        <v>138</v>
      </c>
      <c r="AG3814">
        <v>0</v>
      </c>
      <c r="AH3814">
        <v>3</v>
      </c>
      <c r="AI3814">
        <v>2</v>
      </c>
      <c r="AJ3814">
        <v>0</v>
      </c>
      <c r="AK3814" t="s">
        <v>1204</v>
      </c>
      <c r="AL3814">
        <v>39.170079000000001</v>
      </c>
      <c r="AM3814" t="s">
        <v>1205</v>
      </c>
      <c r="AN3814">
        <v>-121.030562</v>
      </c>
      <c r="AO3814">
        <v>25</v>
      </c>
      <c r="AP3814">
        <v>4200</v>
      </c>
      <c r="AQ3814" t="s">
        <v>131</v>
      </c>
      <c r="AR3814">
        <v>9</v>
      </c>
      <c r="AS3814">
        <v>88</v>
      </c>
      <c r="AT3814">
        <v>320</v>
      </c>
      <c r="BB3814" t="str">
        <f t="shared" si="1498"/>
        <v>1200</v>
      </c>
      <c r="BC3814">
        <v>1</v>
      </c>
      <c r="BD3814" t="str">
        <f t="shared" si="1499"/>
        <v xml:space="preserve">N52156  </v>
      </c>
      <c r="BE3814">
        <v>1</v>
      </c>
      <c r="BG3814">
        <v>0</v>
      </c>
      <c r="BH3814">
        <v>0</v>
      </c>
      <c r="BI3814">
        <v>0</v>
      </c>
      <c r="BJ3814">
        <v>4275</v>
      </c>
      <c r="BK3814">
        <v>75</v>
      </c>
      <c r="BL3814" t="s">
        <v>188</v>
      </c>
      <c r="BM3814">
        <v>1</v>
      </c>
      <c r="BN3814">
        <v>1</v>
      </c>
      <c r="BO3814">
        <v>0</v>
      </c>
      <c r="BP3814">
        <v>0</v>
      </c>
      <c r="BS3814">
        <v>0</v>
      </c>
      <c r="BT3814">
        <v>0</v>
      </c>
      <c r="BU3814">
        <v>0</v>
      </c>
      <c r="CE3814" t="str">
        <f t="shared" si="1511"/>
        <v>15:15:07.596</v>
      </c>
      <c r="CF3814">
        <v>595991109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4</v>
      </c>
      <c r="CY3814">
        <v>7</v>
      </c>
      <c r="CZ3814" t="s">
        <v>133</v>
      </c>
      <c r="DA3814">
        <v>275</v>
      </c>
      <c r="DB3814">
        <v>0</v>
      </c>
      <c r="DC3814" t="s">
        <v>134</v>
      </c>
      <c r="DD3814" t="s">
        <v>135</v>
      </c>
      <c r="DG3814">
        <v>3323014</v>
      </c>
      <c r="DI3814">
        <v>1</v>
      </c>
      <c r="DJ3814">
        <v>0</v>
      </c>
      <c r="DK3814">
        <v>1</v>
      </c>
      <c r="DL3814">
        <v>0</v>
      </c>
      <c r="DM3814">
        <v>0</v>
      </c>
      <c r="DN3814">
        <v>0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3">
      <c r="A3815" t="str">
        <f>"05/01/2025 15:15:07.841"</f>
        <v>05/01/2025 15:15:07.841</v>
      </c>
      <c r="C3815" t="str">
        <f t="shared" si="1496"/>
        <v>FFDFD3C0</v>
      </c>
      <c r="D3815" t="s">
        <v>124</v>
      </c>
      <c r="E3815" t="str">
        <f>"06"</f>
        <v>06</v>
      </c>
      <c r="F3815">
        <v>2006</v>
      </c>
      <c r="G3815" t="s">
        <v>125</v>
      </c>
      <c r="J3815" t="s">
        <v>126</v>
      </c>
      <c r="K3815">
        <v>0</v>
      </c>
      <c r="L3815">
        <v>3</v>
      </c>
      <c r="M3815">
        <v>0</v>
      </c>
      <c r="N3815">
        <v>2</v>
      </c>
      <c r="O3815">
        <v>0</v>
      </c>
      <c r="P3815">
        <v>1</v>
      </c>
      <c r="Q3815">
        <v>0</v>
      </c>
      <c r="R3815" t="s">
        <v>127</v>
      </c>
      <c r="S3815" t="str">
        <f t="shared" si="1510"/>
        <v>15:15:07.000</v>
      </c>
      <c r="T3815" t="str">
        <f t="shared" si="1510"/>
        <v>15:15:07.000</v>
      </c>
      <c r="U3815" t="str">
        <f t="shared" si="1497"/>
        <v>A68FCB</v>
      </c>
      <c r="V3815">
        <v>0</v>
      </c>
      <c r="W3815">
        <v>0</v>
      </c>
      <c r="X3815">
        <v>2</v>
      </c>
      <c r="Y3815">
        <v>0</v>
      </c>
      <c r="AA3815">
        <v>1</v>
      </c>
      <c r="AB3815">
        <v>8</v>
      </c>
      <c r="AC3815">
        <v>3</v>
      </c>
      <c r="AD3815">
        <v>0</v>
      </c>
      <c r="AE3815">
        <v>9</v>
      </c>
      <c r="AF3815" t="s">
        <v>138</v>
      </c>
      <c r="AG3815">
        <v>0</v>
      </c>
      <c r="AH3815">
        <v>3</v>
      </c>
      <c r="AI3815">
        <v>2</v>
      </c>
      <c r="AJ3815">
        <v>0</v>
      </c>
      <c r="AK3815" t="s">
        <v>1204</v>
      </c>
      <c r="AL3815">
        <v>39.170079000000001</v>
      </c>
      <c r="AM3815" t="s">
        <v>1205</v>
      </c>
      <c r="AN3815">
        <v>-121.030562</v>
      </c>
      <c r="AO3815">
        <v>25</v>
      </c>
      <c r="AP3815">
        <v>4200</v>
      </c>
      <c r="AQ3815" t="s">
        <v>131</v>
      </c>
      <c r="AR3815">
        <v>9</v>
      </c>
      <c r="AS3815">
        <v>88</v>
      </c>
      <c r="AT3815">
        <v>320</v>
      </c>
      <c r="BB3815" t="str">
        <f t="shared" si="1498"/>
        <v>1200</v>
      </c>
      <c r="BC3815">
        <v>1</v>
      </c>
      <c r="BD3815" t="str">
        <f t="shared" si="1499"/>
        <v xml:space="preserve">N52156  </v>
      </c>
      <c r="BE3815">
        <v>1</v>
      </c>
      <c r="BG3815">
        <v>0</v>
      </c>
      <c r="BH3815">
        <v>0</v>
      </c>
      <c r="BI3815">
        <v>0</v>
      </c>
      <c r="BJ3815">
        <v>4275</v>
      </c>
      <c r="BK3815">
        <v>75</v>
      </c>
      <c r="BL3815" t="s">
        <v>188</v>
      </c>
      <c r="BM3815">
        <v>1</v>
      </c>
      <c r="BN3815">
        <v>1</v>
      </c>
      <c r="BO3815">
        <v>0</v>
      </c>
      <c r="BP3815">
        <v>0</v>
      </c>
      <c r="BS3815">
        <v>0</v>
      </c>
      <c r="BT3815">
        <v>0</v>
      </c>
      <c r="BU3815">
        <v>0</v>
      </c>
      <c r="CE3815" t="str">
        <f t="shared" si="1511"/>
        <v>15:15:07.596</v>
      </c>
      <c r="CF3815">
        <v>595991109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4</v>
      </c>
      <c r="CY3815">
        <v>7</v>
      </c>
      <c r="CZ3815" t="s">
        <v>133</v>
      </c>
      <c r="DA3815">
        <v>275</v>
      </c>
      <c r="DB3815">
        <v>0</v>
      </c>
      <c r="DC3815" t="s">
        <v>134</v>
      </c>
      <c r="DD3815" t="s">
        <v>135</v>
      </c>
      <c r="DG3815">
        <v>3323014</v>
      </c>
      <c r="DI3815">
        <v>1</v>
      </c>
      <c r="DJ3815">
        <v>0</v>
      </c>
      <c r="DK3815">
        <v>1</v>
      </c>
      <c r="DL3815">
        <v>0</v>
      </c>
      <c r="DM3815">
        <v>0</v>
      </c>
      <c r="DN3815">
        <v>0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3">
      <c r="A3816" t="str">
        <f>"05/01/2025 15:15:07.851"</f>
        <v>05/01/2025 15:15:07.851</v>
      </c>
      <c r="C3816" t="str">
        <f t="shared" si="1496"/>
        <v>FFDFD3C0</v>
      </c>
      <c r="D3816" t="s">
        <v>145</v>
      </c>
      <c r="E3816" t="str">
        <f>"09"</f>
        <v>09</v>
      </c>
      <c r="H3816">
        <v>51</v>
      </c>
      <c r="I3816" t="s">
        <v>147</v>
      </c>
      <c r="J3816" t="s">
        <v>138</v>
      </c>
      <c r="K3816">
        <v>0</v>
      </c>
      <c r="L3816">
        <v>3</v>
      </c>
      <c r="M3816">
        <v>0</v>
      </c>
      <c r="N3816">
        <v>2</v>
      </c>
      <c r="O3816">
        <v>0</v>
      </c>
      <c r="P3816">
        <v>1</v>
      </c>
      <c r="Q3816">
        <v>0</v>
      </c>
      <c r="R3816" t="s">
        <v>127</v>
      </c>
      <c r="S3816" t="str">
        <f t="shared" si="1510"/>
        <v>15:15:07.000</v>
      </c>
      <c r="T3816" t="str">
        <f t="shared" si="1510"/>
        <v>15:15:07.000</v>
      </c>
      <c r="U3816" t="str">
        <f t="shared" si="1497"/>
        <v>A68FCB</v>
      </c>
      <c r="V3816">
        <v>0</v>
      </c>
      <c r="W3816">
        <v>0</v>
      </c>
      <c r="X3816">
        <v>2</v>
      </c>
      <c r="Y3816">
        <v>0</v>
      </c>
      <c r="AA3816">
        <v>1</v>
      </c>
      <c r="AB3816">
        <v>8</v>
      </c>
      <c r="AC3816">
        <v>3</v>
      </c>
      <c r="AD3816">
        <v>0</v>
      </c>
      <c r="AE3816">
        <v>9</v>
      </c>
      <c r="AF3816" t="s">
        <v>138</v>
      </c>
      <c r="AG3816">
        <v>0</v>
      </c>
      <c r="AH3816">
        <v>3</v>
      </c>
      <c r="AI3816">
        <v>2</v>
      </c>
      <c r="AJ3816">
        <v>0</v>
      </c>
      <c r="AK3816" t="s">
        <v>1204</v>
      </c>
      <c r="AL3816">
        <v>39.170079000000001</v>
      </c>
      <c r="AM3816" t="s">
        <v>1205</v>
      </c>
      <c r="AN3816">
        <v>-121.030562</v>
      </c>
      <c r="AO3816">
        <v>25</v>
      </c>
      <c r="AP3816">
        <v>4200</v>
      </c>
      <c r="AQ3816" t="s">
        <v>131</v>
      </c>
      <c r="AR3816">
        <v>9</v>
      </c>
      <c r="AS3816">
        <v>88</v>
      </c>
      <c r="AT3816">
        <v>320</v>
      </c>
      <c r="BB3816" t="str">
        <f t="shared" si="1498"/>
        <v>1200</v>
      </c>
      <c r="BC3816">
        <v>1</v>
      </c>
      <c r="BD3816" t="str">
        <f t="shared" si="1499"/>
        <v xml:space="preserve">N52156  </v>
      </c>
      <c r="BE3816">
        <v>1</v>
      </c>
      <c r="BG3816">
        <v>0</v>
      </c>
      <c r="BH3816">
        <v>0</v>
      </c>
      <c r="BI3816">
        <v>0</v>
      </c>
      <c r="BJ3816">
        <v>4275</v>
      </c>
      <c r="BK3816">
        <v>75</v>
      </c>
      <c r="BL3816" t="s">
        <v>188</v>
      </c>
      <c r="BM3816">
        <v>1</v>
      </c>
      <c r="BN3816">
        <v>1</v>
      </c>
      <c r="BO3816">
        <v>0</v>
      </c>
      <c r="BP3816">
        <v>0</v>
      </c>
      <c r="BS3816">
        <v>0</v>
      </c>
      <c r="BT3816">
        <v>0</v>
      </c>
      <c r="BU3816">
        <v>0</v>
      </c>
      <c r="CE3816" t="str">
        <f t="shared" si="1511"/>
        <v>15:15:07.596</v>
      </c>
      <c r="CF3816">
        <v>595991109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4</v>
      </c>
      <c r="CY3816">
        <v>7</v>
      </c>
      <c r="CZ3816" t="s">
        <v>133</v>
      </c>
      <c r="DA3816">
        <v>275</v>
      </c>
      <c r="DB3816">
        <v>0</v>
      </c>
      <c r="DC3816" t="s">
        <v>134</v>
      </c>
      <c r="DD3816" t="s">
        <v>135</v>
      </c>
      <c r="DG3816">
        <v>3323014</v>
      </c>
      <c r="DI3816">
        <v>1</v>
      </c>
      <c r="DJ3816">
        <v>0</v>
      </c>
      <c r="DK3816">
        <v>1</v>
      </c>
      <c r="DL3816">
        <v>0</v>
      </c>
      <c r="DM3816">
        <v>0</v>
      </c>
      <c r="DN3816">
        <v>0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3">
      <c r="A3817" t="str">
        <f>"05/01/2025 15:15:07.853"</f>
        <v>05/01/2025 15:15:07.853</v>
      </c>
      <c r="C3817" t="str">
        <f t="shared" si="1496"/>
        <v>FFDFD3C0</v>
      </c>
      <c r="D3817" t="s">
        <v>145</v>
      </c>
      <c r="E3817" t="str">
        <f>"05"</f>
        <v>05</v>
      </c>
      <c r="H3817">
        <v>47</v>
      </c>
      <c r="I3817" t="s">
        <v>146</v>
      </c>
      <c r="J3817" t="s">
        <v>138</v>
      </c>
      <c r="K3817">
        <v>0</v>
      </c>
      <c r="L3817">
        <v>3</v>
      </c>
      <c r="M3817">
        <v>0</v>
      </c>
      <c r="N3817">
        <v>2</v>
      </c>
      <c r="O3817">
        <v>0</v>
      </c>
      <c r="P3817">
        <v>1</v>
      </c>
      <c r="Q3817">
        <v>0</v>
      </c>
      <c r="R3817" t="s">
        <v>127</v>
      </c>
      <c r="S3817" t="str">
        <f t="shared" si="1510"/>
        <v>15:15:07.000</v>
      </c>
      <c r="T3817" t="str">
        <f t="shared" si="1510"/>
        <v>15:15:07.000</v>
      </c>
      <c r="U3817" t="str">
        <f t="shared" si="1497"/>
        <v>A68FCB</v>
      </c>
      <c r="V3817">
        <v>0</v>
      </c>
      <c r="W3817">
        <v>0</v>
      </c>
      <c r="X3817">
        <v>2</v>
      </c>
      <c r="Y3817">
        <v>0</v>
      </c>
      <c r="AA3817">
        <v>1</v>
      </c>
      <c r="AB3817">
        <v>8</v>
      </c>
      <c r="AC3817">
        <v>3</v>
      </c>
      <c r="AD3817">
        <v>0</v>
      </c>
      <c r="AE3817">
        <v>9</v>
      </c>
      <c r="AF3817" t="s">
        <v>138</v>
      </c>
      <c r="AG3817">
        <v>0</v>
      </c>
      <c r="AH3817">
        <v>3</v>
      </c>
      <c r="AI3817">
        <v>2</v>
      </c>
      <c r="AJ3817">
        <v>0</v>
      </c>
      <c r="AK3817" t="s">
        <v>1204</v>
      </c>
      <c r="AL3817">
        <v>39.170079000000001</v>
      </c>
      <c r="AM3817" t="s">
        <v>1205</v>
      </c>
      <c r="AN3817">
        <v>-121.030562</v>
      </c>
      <c r="AO3817">
        <v>25</v>
      </c>
      <c r="AP3817">
        <v>4200</v>
      </c>
      <c r="AQ3817" t="s">
        <v>131</v>
      </c>
      <c r="AR3817">
        <v>9</v>
      </c>
      <c r="AS3817">
        <v>88</v>
      </c>
      <c r="AT3817">
        <v>320</v>
      </c>
      <c r="BB3817" t="str">
        <f t="shared" si="1498"/>
        <v>1200</v>
      </c>
      <c r="BC3817">
        <v>1</v>
      </c>
      <c r="BD3817" t="str">
        <f t="shared" si="1499"/>
        <v xml:space="preserve">N52156  </v>
      </c>
      <c r="BE3817">
        <v>1</v>
      </c>
      <c r="BG3817">
        <v>0</v>
      </c>
      <c r="BH3817">
        <v>0</v>
      </c>
      <c r="BI3817">
        <v>0</v>
      </c>
      <c r="BJ3817">
        <v>4275</v>
      </c>
      <c r="BK3817">
        <v>75</v>
      </c>
      <c r="BL3817" t="s">
        <v>188</v>
      </c>
      <c r="BM3817">
        <v>1</v>
      </c>
      <c r="BN3817">
        <v>1</v>
      </c>
      <c r="BO3817">
        <v>0</v>
      </c>
      <c r="BP3817">
        <v>0</v>
      </c>
      <c r="BS3817">
        <v>0</v>
      </c>
      <c r="BT3817">
        <v>0</v>
      </c>
      <c r="BU3817">
        <v>0</v>
      </c>
      <c r="CE3817" t="str">
        <f t="shared" si="1511"/>
        <v>15:15:07.596</v>
      </c>
      <c r="CF3817">
        <v>595991109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4</v>
      </c>
      <c r="CY3817">
        <v>7</v>
      </c>
      <c r="CZ3817" t="s">
        <v>133</v>
      </c>
      <c r="DA3817">
        <v>275</v>
      </c>
      <c r="DB3817">
        <v>0</v>
      </c>
      <c r="DC3817" t="s">
        <v>134</v>
      </c>
      <c r="DD3817" t="s">
        <v>135</v>
      </c>
      <c r="DG3817">
        <v>3323014</v>
      </c>
      <c r="DI3817">
        <v>1</v>
      </c>
      <c r="DJ3817">
        <v>0</v>
      </c>
      <c r="DK3817">
        <v>1</v>
      </c>
      <c r="DL3817">
        <v>0</v>
      </c>
      <c r="DM3817">
        <v>0</v>
      </c>
      <c r="DN3817">
        <v>0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3">
      <c r="A3818" t="str">
        <f>"05/01/2025 15:15:08.492"</f>
        <v>05/01/2025 15:15:08.492</v>
      </c>
      <c r="C3818" t="str">
        <f t="shared" si="1496"/>
        <v>FFDFD3C0</v>
      </c>
      <c r="D3818" t="s">
        <v>124</v>
      </c>
      <c r="E3818" t="str">
        <f>"06"</f>
        <v>06</v>
      </c>
      <c r="F3818">
        <v>2006</v>
      </c>
      <c r="G3818" t="s">
        <v>125</v>
      </c>
      <c r="J3818" t="s">
        <v>126</v>
      </c>
      <c r="K3818">
        <v>0</v>
      </c>
      <c r="L3818">
        <v>3</v>
      </c>
      <c r="M3818">
        <v>0</v>
      </c>
      <c r="N3818">
        <v>2</v>
      </c>
      <c r="O3818">
        <v>0</v>
      </c>
      <c r="P3818">
        <v>1</v>
      </c>
      <c r="Q3818">
        <v>0</v>
      </c>
      <c r="R3818" t="s">
        <v>127</v>
      </c>
      <c r="S3818" t="str">
        <f t="shared" ref="S3818:T3823" si="1512">"15:15:08.000"</f>
        <v>15:15:08.000</v>
      </c>
      <c r="T3818" t="str">
        <f t="shared" si="1512"/>
        <v>15:15:08.000</v>
      </c>
      <c r="U3818" t="str">
        <f t="shared" si="1497"/>
        <v>A68FCB</v>
      </c>
      <c r="V3818">
        <v>0</v>
      </c>
      <c r="W3818">
        <v>0</v>
      </c>
      <c r="X3818">
        <v>2</v>
      </c>
      <c r="Y3818">
        <v>0</v>
      </c>
      <c r="AA3818">
        <v>1</v>
      </c>
      <c r="AB3818">
        <v>8</v>
      </c>
      <c r="AC3818">
        <v>3</v>
      </c>
      <c r="AD3818">
        <v>0</v>
      </c>
      <c r="AE3818">
        <v>9</v>
      </c>
      <c r="AF3818" t="s">
        <v>138</v>
      </c>
      <c r="AG3818">
        <v>0</v>
      </c>
      <c r="AH3818">
        <v>3</v>
      </c>
      <c r="AI3818">
        <v>2</v>
      </c>
      <c r="AJ3818">
        <v>0</v>
      </c>
      <c r="AK3818" t="s">
        <v>1206</v>
      </c>
      <c r="AL3818">
        <v>39.170487000000001</v>
      </c>
      <c r="AM3818" t="s">
        <v>1207</v>
      </c>
      <c r="AN3818">
        <v>-121.03049799999999</v>
      </c>
      <c r="AO3818">
        <v>25</v>
      </c>
      <c r="AP3818">
        <v>4200</v>
      </c>
      <c r="AQ3818" t="s">
        <v>131</v>
      </c>
      <c r="AR3818">
        <v>9</v>
      </c>
      <c r="AS3818">
        <v>88</v>
      </c>
      <c r="AT3818">
        <v>384</v>
      </c>
      <c r="BB3818" t="str">
        <f t="shared" si="1498"/>
        <v>1200</v>
      </c>
      <c r="BC3818">
        <v>1</v>
      </c>
      <c r="BD3818" t="str">
        <f t="shared" si="1499"/>
        <v xml:space="preserve">N52156  </v>
      </c>
      <c r="BE3818">
        <v>1</v>
      </c>
      <c r="BG3818">
        <v>0</v>
      </c>
      <c r="BH3818">
        <v>0</v>
      </c>
      <c r="BI3818">
        <v>0</v>
      </c>
      <c r="BJ3818">
        <v>4275</v>
      </c>
      <c r="BK3818">
        <v>75</v>
      </c>
      <c r="BL3818" t="s">
        <v>188</v>
      </c>
      <c r="BM3818">
        <v>1</v>
      </c>
      <c r="BN3818">
        <v>1</v>
      </c>
      <c r="BO3818">
        <v>0</v>
      </c>
      <c r="BP3818">
        <v>0</v>
      </c>
      <c r="BS3818">
        <v>0</v>
      </c>
      <c r="BT3818">
        <v>0</v>
      </c>
      <c r="BU3818">
        <v>0</v>
      </c>
      <c r="CE3818" t="str">
        <f t="shared" ref="CE3818:CE3823" si="1513">"15:15:08.285"</f>
        <v>15:15:08.285</v>
      </c>
      <c r="CF3818">
        <v>285240375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4</v>
      </c>
      <c r="CY3818">
        <v>7</v>
      </c>
      <c r="CZ3818" t="s">
        <v>133</v>
      </c>
      <c r="DA3818">
        <v>275</v>
      </c>
      <c r="DB3818">
        <v>0</v>
      </c>
      <c r="DC3818" t="s">
        <v>134</v>
      </c>
      <c r="DD3818" t="s">
        <v>135</v>
      </c>
      <c r="DG3818">
        <v>3323017</v>
      </c>
      <c r="DI3818">
        <v>1</v>
      </c>
      <c r="DJ3818">
        <v>0</v>
      </c>
      <c r="DK3818">
        <v>0</v>
      </c>
      <c r="DL3818">
        <v>0</v>
      </c>
      <c r="DM3818">
        <v>0</v>
      </c>
      <c r="DN3818">
        <v>0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3">
      <c r="A3819" t="str">
        <f>"05/01/2025 15:15:08.502"</f>
        <v>05/01/2025 15:15:08.502</v>
      </c>
      <c r="C3819" t="str">
        <f t="shared" si="1496"/>
        <v>FFDFD3C0</v>
      </c>
      <c r="D3819" t="s">
        <v>145</v>
      </c>
      <c r="E3819" t="str">
        <f>"09"</f>
        <v>09</v>
      </c>
      <c r="H3819">
        <v>51</v>
      </c>
      <c r="I3819" t="s">
        <v>147</v>
      </c>
      <c r="J3819" t="s">
        <v>138</v>
      </c>
      <c r="K3819">
        <v>0</v>
      </c>
      <c r="L3819">
        <v>3</v>
      </c>
      <c r="M3819">
        <v>0</v>
      </c>
      <c r="N3819">
        <v>2</v>
      </c>
      <c r="O3819">
        <v>0</v>
      </c>
      <c r="P3819">
        <v>1</v>
      </c>
      <c r="Q3819">
        <v>0</v>
      </c>
      <c r="R3819" t="s">
        <v>127</v>
      </c>
      <c r="S3819" t="str">
        <f t="shared" si="1512"/>
        <v>15:15:08.000</v>
      </c>
      <c r="T3819" t="str">
        <f t="shared" si="1512"/>
        <v>15:15:08.000</v>
      </c>
      <c r="U3819" t="str">
        <f t="shared" si="1497"/>
        <v>A68FCB</v>
      </c>
      <c r="V3819">
        <v>0</v>
      </c>
      <c r="W3819">
        <v>0</v>
      </c>
      <c r="X3819">
        <v>2</v>
      </c>
      <c r="Y3819">
        <v>0</v>
      </c>
      <c r="AA3819">
        <v>1</v>
      </c>
      <c r="AB3819">
        <v>8</v>
      </c>
      <c r="AC3819">
        <v>3</v>
      </c>
      <c r="AD3819">
        <v>0</v>
      </c>
      <c r="AE3819">
        <v>9</v>
      </c>
      <c r="AF3819" t="s">
        <v>138</v>
      </c>
      <c r="AG3819">
        <v>0</v>
      </c>
      <c r="AH3819">
        <v>3</v>
      </c>
      <c r="AI3819">
        <v>2</v>
      </c>
      <c r="AJ3819">
        <v>0</v>
      </c>
      <c r="AK3819" t="s">
        <v>1206</v>
      </c>
      <c r="AL3819">
        <v>39.170487000000001</v>
      </c>
      <c r="AM3819" t="s">
        <v>1207</v>
      </c>
      <c r="AN3819">
        <v>-121.03049799999999</v>
      </c>
      <c r="AO3819">
        <v>25</v>
      </c>
      <c r="AP3819">
        <v>4200</v>
      </c>
      <c r="AQ3819" t="s">
        <v>131</v>
      </c>
      <c r="AR3819">
        <v>9</v>
      </c>
      <c r="AS3819">
        <v>88</v>
      </c>
      <c r="AT3819">
        <v>384</v>
      </c>
      <c r="BB3819" t="str">
        <f t="shared" si="1498"/>
        <v>1200</v>
      </c>
      <c r="BC3819">
        <v>1</v>
      </c>
      <c r="BD3819" t="str">
        <f t="shared" si="1499"/>
        <v xml:space="preserve">N52156  </v>
      </c>
      <c r="BE3819">
        <v>1</v>
      </c>
      <c r="BG3819">
        <v>0</v>
      </c>
      <c r="BH3819">
        <v>0</v>
      </c>
      <c r="BI3819">
        <v>0</v>
      </c>
      <c r="BJ3819">
        <v>4275</v>
      </c>
      <c r="BK3819">
        <v>75</v>
      </c>
      <c r="BL3819" t="s">
        <v>188</v>
      </c>
      <c r="BM3819">
        <v>1</v>
      </c>
      <c r="BN3819">
        <v>1</v>
      </c>
      <c r="BO3819">
        <v>0</v>
      </c>
      <c r="BP3819">
        <v>0</v>
      </c>
      <c r="BS3819">
        <v>0</v>
      </c>
      <c r="BT3819">
        <v>0</v>
      </c>
      <c r="BU3819">
        <v>0</v>
      </c>
      <c r="CE3819" t="str">
        <f t="shared" si="1513"/>
        <v>15:15:08.285</v>
      </c>
      <c r="CF3819">
        <v>285240375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4</v>
      </c>
      <c r="CY3819">
        <v>7</v>
      </c>
      <c r="CZ3819" t="s">
        <v>133</v>
      </c>
      <c r="DA3819">
        <v>275</v>
      </c>
      <c r="DB3819">
        <v>0</v>
      </c>
      <c r="DC3819" t="s">
        <v>134</v>
      </c>
      <c r="DD3819" t="s">
        <v>135</v>
      </c>
      <c r="DG3819">
        <v>3323017</v>
      </c>
      <c r="DI3819">
        <v>1</v>
      </c>
      <c r="DJ3819">
        <v>0</v>
      </c>
      <c r="DK3819">
        <v>1</v>
      </c>
      <c r="DL3819">
        <v>0</v>
      </c>
      <c r="DM3819">
        <v>0</v>
      </c>
      <c r="DN3819">
        <v>0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3">
      <c r="A3820" t="str">
        <f>"05/01/2025 15:15:08.504"</f>
        <v>05/01/2025 15:15:08.504</v>
      </c>
      <c r="C3820" t="str">
        <f t="shared" si="1496"/>
        <v>FFDFD3C0</v>
      </c>
      <c r="D3820" t="s">
        <v>145</v>
      </c>
      <c r="E3820" t="str">
        <f>"05"</f>
        <v>05</v>
      </c>
      <c r="H3820">
        <v>47</v>
      </c>
      <c r="I3820" t="s">
        <v>146</v>
      </c>
      <c r="J3820" t="s">
        <v>138</v>
      </c>
      <c r="K3820">
        <v>0</v>
      </c>
      <c r="L3820">
        <v>3</v>
      </c>
      <c r="M3820">
        <v>0</v>
      </c>
      <c r="N3820">
        <v>2</v>
      </c>
      <c r="O3820">
        <v>0</v>
      </c>
      <c r="P3820">
        <v>1</v>
      </c>
      <c r="Q3820">
        <v>0</v>
      </c>
      <c r="R3820" t="s">
        <v>127</v>
      </c>
      <c r="S3820" t="str">
        <f t="shared" si="1512"/>
        <v>15:15:08.000</v>
      </c>
      <c r="T3820" t="str">
        <f t="shared" si="1512"/>
        <v>15:15:08.000</v>
      </c>
      <c r="U3820" t="str">
        <f t="shared" si="1497"/>
        <v>A68FCB</v>
      </c>
      <c r="V3820">
        <v>0</v>
      </c>
      <c r="W3820">
        <v>0</v>
      </c>
      <c r="X3820">
        <v>2</v>
      </c>
      <c r="Y3820">
        <v>0</v>
      </c>
      <c r="AA3820">
        <v>1</v>
      </c>
      <c r="AB3820">
        <v>8</v>
      </c>
      <c r="AC3820">
        <v>3</v>
      </c>
      <c r="AD3820">
        <v>0</v>
      </c>
      <c r="AE3820">
        <v>9</v>
      </c>
      <c r="AF3820" t="s">
        <v>138</v>
      </c>
      <c r="AG3820">
        <v>0</v>
      </c>
      <c r="AH3820">
        <v>3</v>
      </c>
      <c r="AI3820">
        <v>2</v>
      </c>
      <c r="AJ3820">
        <v>0</v>
      </c>
      <c r="AK3820" t="s">
        <v>1206</v>
      </c>
      <c r="AL3820">
        <v>39.170487000000001</v>
      </c>
      <c r="AM3820" t="s">
        <v>1207</v>
      </c>
      <c r="AN3820">
        <v>-121.03049799999999</v>
      </c>
      <c r="AO3820">
        <v>25</v>
      </c>
      <c r="AP3820">
        <v>4200</v>
      </c>
      <c r="AQ3820" t="s">
        <v>131</v>
      </c>
      <c r="AR3820">
        <v>9</v>
      </c>
      <c r="AS3820">
        <v>88</v>
      </c>
      <c r="AT3820">
        <v>384</v>
      </c>
      <c r="BB3820" t="str">
        <f t="shared" si="1498"/>
        <v>1200</v>
      </c>
      <c r="BC3820">
        <v>1</v>
      </c>
      <c r="BD3820" t="str">
        <f t="shared" si="1499"/>
        <v xml:space="preserve">N52156  </v>
      </c>
      <c r="BE3820">
        <v>1</v>
      </c>
      <c r="BG3820">
        <v>0</v>
      </c>
      <c r="BH3820">
        <v>0</v>
      </c>
      <c r="BI3820">
        <v>0</v>
      </c>
      <c r="BJ3820">
        <v>4275</v>
      </c>
      <c r="BK3820">
        <v>75</v>
      </c>
      <c r="BL3820" t="s">
        <v>188</v>
      </c>
      <c r="BM3820">
        <v>1</v>
      </c>
      <c r="BN3820">
        <v>1</v>
      </c>
      <c r="BO3820">
        <v>0</v>
      </c>
      <c r="BP3820">
        <v>0</v>
      </c>
      <c r="BS3820">
        <v>0</v>
      </c>
      <c r="BT3820">
        <v>0</v>
      </c>
      <c r="BU3820">
        <v>0</v>
      </c>
      <c r="CE3820" t="str">
        <f t="shared" si="1513"/>
        <v>15:15:08.285</v>
      </c>
      <c r="CF3820">
        <v>285240375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4</v>
      </c>
      <c r="CY3820">
        <v>7</v>
      </c>
      <c r="CZ3820" t="s">
        <v>133</v>
      </c>
      <c r="DA3820">
        <v>275</v>
      </c>
      <c r="DB3820">
        <v>0</v>
      </c>
      <c r="DC3820" t="s">
        <v>134</v>
      </c>
      <c r="DD3820" t="s">
        <v>135</v>
      </c>
      <c r="DG3820">
        <v>3323017</v>
      </c>
      <c r="DI3820">
        <v>1</v>
      </c>
      <c r="DJ3820">
        <v>0</v>
      </c>
      <c r="DK3820">
        <v>1</v>
      </c>
      <c r="DL3820">
        <v>0</v>
      </c>
      <c r="DM3820">
        <v>0</v>
      </c>
      <c r="DN3820">
        <v>0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3">
      <c r="A3821" t="str">
        <f>"05/01/2025 15:15:08.516"</f>
        <v>05/01/2025 15:15:08.516</v>
      </c>
      <c r="C3821" t="str">
        <f t="shared" si="1496"/>
        <v>FFDFD3C0</v>
      </c>
      <c r="D3821" t="s">
        <v>136</v>
      </c>
      <c r="E3821" t="str">
        <f>"20"</f>
        <v>20</v>
      </c>
      <c r="H3821">
        <v>400</v>
      </c>
      <c r="I3821" t="s">
        <v>137</v>
      </c>
      <c r="J3821" t="s">
        <v>138</v>
      </c>
      <c r="K3821">
        <v>0</v>
      </c>
      <c r="L3821">
        <v>3</v>
      </c>
      <c r="M3821">
        <v>0</v>
      </c>
      <c r="N3821">
        <v>2</v>
      </c>
      <c r="O3821">
        <v>0</v>
      </c>
      <c r="P3821">
        <v>1</v>
      </c>
      <c r="Q3821">
        <v>0</v>
      </c>
      <c r="R3821" t="s">
        <v>127</v>
      </c>
      <c r="S3821" t="str">
        <f t="shared" si="1512"/>
        <v>15:15:08.000</v>
      </c>
      <c r="T3821" t="str">
        <f t="shared" si="1512"/>
        <v>15:15:08.000</v>
      </c>
      <c r="U3821" t="str">
        <f t="shared" si="1497"/>
        <v>A68FCB</v>
      </c>
      <c r="V3821">
        <v>0</v>
      </c>
      <c r="W3821">
        <v>0</v>
      </c>
      <c r="X3821">
        <v>2</v>
      </c>
      <c r="Y3821">
        <v>0</v>
      </c>
      <c r="AA3821">
        <v>1</v>
      </c>
      <c r="AB3821">
        <v>8</v>
      </c>
      <c r="AC3821">
        <v>3</v>
      </c>
      <c r="AD3821">
        <v>0</v>
      </c>
      <c r="AE3821">
        <v>9</v>
      </c>
      <c r="AF3821" t="s">
        <v>138</v>
      </c>
      <c r="AG3821">
        <v>0</v>
      </c>
      <c r="AH3821">
        <v>3</v>
      </c>
      <c r="AI3821">
        <v>2</v>
      </c>
      <c r="AJ3821">
        <v>0</v>
      </c>
      <c r="AK3821" t="s">
        <v>1206</v>
      </c>
      <c r="AL3821">
        <v>39.170487000000001</v>
      </c>
      <c r="AM3821" t="s">
        <v>1207</v>
      </c>
      <c r="AN3821">
        <v>-121.03049799999999</v>
      </c>
      <c r="AO3821">
        <v>25</v>
      </c>
      <c r="AP3821">
        <v>4200</v>
      </c>
      <c r="AQ3821" t="s">
        <v>131</v>
      </c>
      <c r="AR3821">
        <v>9</v>
      </c>
      <c r="AS3821">
        <v>88</v>
      </c>
      <c r="AT3821">
        <v>384</v>
      </c>
      <c r="BB3821" t="str">
        <f t="shared" si="1498"/>
        <v>1200</v>
      </c>
      <c r="BC3821">
        <v>1</v>
      </c>
      <c r="BD3821" t="str">
        <f t="shared" si="1499"/>
        <v xml:space="preserve">N52156  </v>
      </c>
      <c r="BE3821">
        <v>1</v>
      </c>
      <c r="BG3821">
        <v>0</v>
      </c>
      <c r="BH3821">
        <v>0</v>
      </c>
      <c r="BI3821">
        <v>0</v>
      </c>
      <c r="BJ3821">
        <v>4275</v>
      </c>
      <c r="BK3821">
        <v>75</v>
      </c>
      <c r="BL3821" t="s">
        <v>188</v>
      </c>
      <c r="BM3821">
        <v>1</v>
      </c>
      <c r="BN3821">
        <v>1</v>
      </c>
      <c r="BO3821">
        <v>0</v>
      </c>
      <c r="BP3821">
        <v>0</v>
      </c>
      <c r="BS3821">
        <v>0</v>
      </c>
      <c r="BT3821">
        <v>0</v>
      </c>
      <c r="BU3821">
        <v>0</v>
      </c>
      <c r="CE3821" t="str">
        <f t="shared" si="1513"/>
        <v>15:15:08.285</v>
      </c>
      <c r="CF3821">
        <v>285240375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4</v>
      </c>
      <c r="CY3821">
        <v>7</v>
      </c>
      <c r="CZ3821" t="s">
        <v>133</v>
      </c>
      <c r="DA3821">
        <v>275</v>
      </c>
      <c r="DB3821">
        <v>0</v>
      </c>
      <c r="DC3821" t="s">
        <v>134</v>
      </c>
      <c r="DD3821" t="s">
        <v>135</v>
      </c>
      <c r="DG3821">
        <v>3323017</v>
      </c>
      <c r="DI3821">
        <v>1</v>
      </c>
      <c r="DJ3821">
        <v>0</v>
      </c>
      <c r="DK3821">
        <v>1</v>
      </c>
      <c r="DL3821">
        <v>0</v>
      </c>
      <c r="DM3821">
        <v>0</v>
      </c>
      <c r="DN3821">
        <v>0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3">
      <c r="A3822" t="str">
        <f>"05/01/2025 15:15:08.538"</f>
        <v>05/01/2025 15:15:08.538</v>
      </c>
      <c r="C3822" t="str">
        <f t="shared" si="1496"/>
        <v>FFDFD3C0</v>
      </c>
      <c r="D3822" t="s">
        <v>140</v>
      </c>
      <c r="E3822" t="str">
        <f>"13"</f>
        <v>13</v>
      </c>
      <c r="F3822">
        <v>1019</v>
      </c>
      <c r="G3822" t="s">
        <v>141</v>
      </c>
      <c r="J3822" t="s">
        <v>142</v>
      </c>
      <c r="K3822">
        <v>0</v>
      </c>
      <c r="L3822">
        <v>3</v>
      </c>
      <c r="M3822">
        <v>0</v>
      </c>
      <c r="N3822">
        <v>2</v>
      </c>
      <c r="O3822">
        <v>0</v>
      </c>
      <c r="P3822">
        <v>1</v>
      </c>
      <c r="Q3822">
        <v>0</v>
      </c>
      <c r="R3822" t="s">
        <v>127</v>
      </c>
      <c r="S3822" t="str">
        <f t="shared" si="1512"/>
        <v>15:15:08.000</v>
      </c>
      <c r="T3822" t="str">
        <f t="shared" si="1512"/>
        <v>15:15:08.000</v>
      </c>
      <c r="U3822" t="str">
        <f t="shared" si="1497"/>
        <v>A68FCB</v>
      </c>
      <c r="V3822">
        <v>0</v>
      </c>
      <c r="W3822">
        <v>0</v>
      </c>
      <c r="X3822">
        <v>2</v>
      </c>
      <c r="Y3822">
        <v>0</v>
      </c>
      <c r="AA3822">
        <v>1</v>
      </c>
      <c r="AB3822">
        <v>8</v>
      </c>
      <c r="AC3822">
        <v>3</v>
      </c>
      <c r="AD3822">
        <v>0</v>
      </c>
      <c r="AE3822">
        <v>9</v>
      </c>
      <c r="AF3822" t="s">
        <v>138</v>
      </c>
      <c r="AG3822">
        <v>0</v>
      </c>
      <c r="AH3822">
        <v>3</v>
      </c>
      <c r="AI3822">
        <v>2</v>
      </c>
      <c r="AJ3822">
        <v>0</v>
      </c>
      <c r="AK3822" t="s">
        <v>1206</v>
      </c>
      <c r="AL3822">
        <v>39.170487000000001</v>
      </c>
      <c r="AM3822" t="s">
        <v>1207</v>
      </c>
      <c r="AN3822">
        <v>-121.03049799999999</v>
      </c>
      <c r="AO3822">
        <v>25</v>
      </c>
      <c r="AP3822">
        <v>4200</v>
      </c>
      <c r="AQ3822" t="s">
        <v>131</v>
      </c>
      <c r="AR3822">
        <v>9</v>
      </c>
      <c r="AS3822">
        <v>88</v>
      </c>
      <c r="AT3822">
        <v>384</v>
      </c>
      <c r="BB3822" t="str">
        <f t="shared" si="1498"/>
        <v>1200</v>
      </c>
      <c r="BC3822">
        <v>1</v>
      </c>
      <c r="BD3822" t="str">
        <f t="shared" si="1499"/>
        <v xml:space="preserve">N52156  </v>
      </c>
      <c r="BE3822">
        <v>1</v>
      </c>
      <c r="BG3822">
        <v>0</v>
      </c>
      <c r="BH3822">
        <v>0</v>
      </c>
      <c r="BI3822">
        <v>0</v>
      </c>
      <c r="BJ3822">
        <v>4275</v>
      </c>
      <c r="BK3822">
        <v>75</v>
      </c>
      <c r="BL3822" t="s">
        <v>188</v>
      </c>
      <c r="BM3822">
        <v>1</v>
      </c>
      <c r="BN3822">
        <v>1</v>
      </c>
      <c r="BO3822">
        <v>0</v>
      </c>
      <c r="BP3822">
        <v>0</v>
      </c>
      <c r="BS3822">
        <v>0</v>
      </c>
      <c r="BT3822">
        <v>0</v>
      </c>
      <c r="BU3822">
        <v>0</v>
      </c>
      <c r="CE3822" t="str">
        <f t="shared" si="1513"/>
        <v>15:15:08.285</v>
      </c>
      <c r="CF3822">
        <v>285240375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4</v>
      </c>
      <c r="CY3822">
        <v>7</v>
      </c>
      <c r="CZ3822" t="s">
        <v>133</v>
      </c>
      <c r="DA3822">
        <v>275</v>
      </c>
      <c r="DB3822">
        <v>0</v>
      </c>
      <c r="DC3822" t="s">
        <v>134</v>
      </c>
      <c r="DD3822" t="s">
        <v>135</v>
      </c>
      <c r="DG3822">
        <v>3323017</v>
      </c>
      <c r="DI3822">
        <v>1</v>
      </c>
      <c r="DJ3822">
        <v>0</v>
      </c>
      <c r="DK3822">
        <v>1</v>
      </c>
      <c r="DL3822">
        <v>0</v>
      </c>
      <c r="DM3822">
        <v>0</v>
      </c>
      <c r="DN3822">
        <v>0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3">
      <c r="A3823" t="str">
        <f>"05/01/2025 15:15:08.536"</f>
        <v>05/01/2025 15:15:08.536</v>
      </c>
      <c r="C3823" t="str">
        <f t="shared" si="1496"/>
        <v>FFDFD3C0</v>
      </c>
      <c r="D3823" t="s">
        <v>143</v>
      </c>
      <c r="E3823" t="str">
        <f>"05"</f>
        <v>05</v>
      </c>
      <c r="H3823">
        <v>172</v>
      </c>
      <c r="I3823" t="s">
        <v>141</v>
      </c>
      <c r="J3823" t="s">
        <v>144</v>
      </c>
      <c r="K3823">
        <v>0</v>
      </c>
      <c r="L3823">
        <v>3</v>
      </c>
      <c r="M3823">
        <v>0</v>
      </c>
      <c r="N3823">
        <v>2</v>
      </c>
      <c r="O3823">
        <v>0</v>
      </c>
      <c r="P3823">
        <v>1</v>
      </c>
      <c r="Q3823">
        <v>0</v>
      </c>
      <c r="R3823" t="s">
        <v>127</v>
      </c>
      <c r="S3823" t="str">
        <f t="shared" si="1512"/>
        <v>15:15:08.000</v>
      </c>
      <c r="T3823" t="str">
        <f t="shared" si="1512"/>
        <v>15:15:08.000</v>
      </c>
      <c r="U3823" t="str">
        <f t="shared" si="1497"/>
        <v>A68FCB</v>
      </c>
      <c r="V3823">
        <v>0</v>
      </c>
      <c r="W3823">
        <v>0</v>
      </c>
      <c r="X3823">
        <v>2</v>
      </c>
      <c r="Y3823">
        <v>0</v>
      </c>
      <c r="AA3823">
        <v>1</v>
      </c>
      <c r="AB3823">
        <v>8</v>
      </c>
      <c r="AC3823">
        <v>3</v>
      </c>
      <c r="AD3823">
        <v>0</v>
      </c>
      <c r="AE3823">
        <v>9</v>
      </c>
      <c r="AF3823" t="s">
        <v>138</v>
      </c>
      <c r="AG3823">
        <v>0</v>
      </c>
      <c r="AH3823">
        <v>3</v>
      </c>
      <c r="AI3823">
        <v>2</v>
      </c>
      <c r="AJ3823">
        <v>0</v>
      </c>
      <c r="AK3823" t="s">
        <v>1206</v>
      </c>
      <c r="AL3823">
        <v>39.170487000000001</v>
      </c>
      <c r="AM3823" t="s">
        <v>1207</v>
      </c>
      <c r="AN3823">
        <v>-121.03049799999999</v>
      </c>
      <c r="AO3823">
        <v>25</v>
      </c>
      <c r="AP3823">
        <v>4200</v>
      </c>
      <c r="AQ3823" t="s">
        <v>131</v>
      </c>
      <c r="AR3823">
        <v>9</v>
      </c>
      <c r="AS3823">
        <v>88</v>
      </c>
      <c r="AT3823">
        <v>384</v>
      </c>
      <c r="BB3823" t="str">
        <f t="shared" si="1498"/>
        <v>1200</v>
      </c>
      <c r="BC3823">
        <v>1</v>
      </c>
      <c r="BD3823" t="str">
        <f t="shared" si="1499"/>
        <v xml:space="preserve">N52156  </v>
      </c>
      <c r="BE3823">
        <v>1</v>
      </c>
      <c r="BG3823">
        <v>0</v>
      </c>
      <c r="BH3823">
        <v>0</v>
      </c>
      <c r="BI3823">
        <v>0</v>
      </c>
      <c r="BJ3823">
        <v>4275</v>
      </c>
      <c r="BK3823">
        <v>75</v>
      </c>
      <c r="BL3823" t="s">
        <v>188</v>
      </c>
      <c r="BM3823">
        <v>1</v>
      </c>
      <c r="BN3823">
        <v>1</v>
      </c>
      <c r="BO3823">
        <v>0</v>
      </c>
      <c r="BP3823">
        <v>0</v>
      </c>
      <c r="BS3823">
        <v>0</v>
      </c>
      <c r="BT3823">
        <v>0</v>
      </c>
      <c r="BU3823">
        <v>0</v>
      </c>
      <c r="CE3823" t="str">
        <f t="shared" si="1513"/>
        <v>15:15:08.285</v>
      </c>
      <c r="CF3823">
        <v>285240375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4</v>
      </c>
      <c r="CY3823">
        <v>7</v>
      </c>
      <c r="CZ3823" t="s">
        <v>133</v>
      </c>
      <c r="DA3823">
        <v>275</v>
      </c>
      <c r="DB3823">
        <v>0</v>
      </c>
      <c r="DC3823" t="s">
        <v>134</v>
      </c>
      <c r="DD3823" t="s">
        <v>135</v>
      </c>
      <c r="DG3823">
        <v>3323017</v>
      </c>
      <c r="DI3823">
        <v>1</v>
      </c>
      <c r="DJ3823">
        <v>0</v>
      </c>
      <c r="DK3823">
        <v>1</v>
      </c>
      <c r="DL3823">
        <v>0</v>
      </c>
      <c r="DM3823">
        <v>0</v>
      </c>
      <c r="DN3823">
        <v>0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3">
      <c r="A3824" t="str">
        <f>"05/01/2025 15:15:09.656"</f>
        <v>05/01/2025 15:15:09.656</v>
      </c>
      <c r="C3824" t="str">
        <f t="shared" si="1496"/>
        <v>FFDFD3C0</v>
      </c>
      <c r="D3824" t="s">
        <v>145</v>
      </c>
      <c r="E3824" t="str">
        <f>"05"</f>
        <v>05</v>
      </c>
      <c r="H3824">
        <v>47</v>
      </c>
      <c r="I3824" t="s">
        <v>146</v>
      </c>
      <c r="J3824" t="s">
        <v>138</v>
      </c>
      <c r="K3824">
        <v>0</v>
      </c>
      <c r="L3824">
        <v>3</v>
      </c>
      <c r="M3824">
        <v>0</v>
      </c>
      <c r="N3824">
        <v>2</v>
      </c>
      <c r="O3824">
        <v>0</v>
      </c>
      <c r="P3824">
        <v>1</v>
      </c>
      <c r="Q3824">
        <v>0</v>
      </c>
      <c r="R3824" t="s">
        <v>127</v>
      </c>
      <c r="S3824" t="str">
        <f t="shared" ref="S3824:T3829" si="1514">"15:15:09.000"</f>
        <v>15:15:09.000</v>
      </c>
      <c r="T3824" t="str">
        <f t="shared" si="1514"/>
        <v>15:15:09.000</v>
      </c>
      <c r="U3824" t="str">
        <f t="shared" si="1497"/>
        <v>A68FCB</v>
      </c>
      <c r="V3824">
        <v>0</v>
      </c>
      <c r="W3824">
        <v>0</v>
      </c>
      <c r="X3824">
        <v>2</v>
      </c>
      <c r="Y3824">
        <v>0</v>
      </c>
      <c r="AA3824">
        <v>1</v>
      </c>
      <c r="AB3824">
        <v>8</v>
      </c>
      <c r="AC3824">
        <v>3</v>
      </c>
      <c r="AD3824">
        <v>0</v>
      </c>
      <c r="AE3824">
        <v>9</v>
      </c>
      <c r="AF3824" t="s">
        <v>138</v>
      </c>
      <c r="AG3824">
        <v>0</v>
      </c>
      <c r="AH3824">
        <v>3</v>
      </c>
      <c r="AI3824">
        <v>2</v>
      </c>
      <c r="AJ3824">
        <v>0</v>
      </c>
      <c r="AK3824" t="s">
        <v>1208</v>
      </c>
      <c r="AL3824">
        <v>39.170895000000002</v>
      </c>
      <c r="AM3824" t="s">
        <v>1209</v>
      </c>
      <c r="AN3824">
        <v>-121.030433</v>
      </c>
      <c r="AO3824">
        <v>25</v>
      </c>
      <c r="AP3824">
        <v>4300</v>
      </c>
      <c r="AQ3824" t="s">
        <v>131</v>
      </c>
      <c r="AR3824">
        <v>10</v>
      </c>
      <c r="AS3824">
        <v>87</v>
      </c>
      <c r="AT3824">
        <v>384</v>
      </c>
      <c r="BB3824" t="str">
        <f t="shared" si="1498"/>
        <v>1200</v>
      </c>
      <c r="BC3824">
        <v>1</v>
      </c>
      <c r="BD3824" t="str">
        <f t="shared" si="1499"/>
        <v xml:space="preserve">N52156  </v>
      </c>
      <c r="BE3824">
        <v>1</v>
      </c>
      <c r="BG3824">
        <v>0</v>
      </c>
      <c r="BH3824">
        <v>0</v>
      </c>
      <c r="BI3824">
        <v>0</v>
      </c>
      <c r="BJ3824">
        <v>4275</v>
      </c>
      <c r="BK3824">
        <v>-25</v>
      </c>
      <c r="BL3824" t="s">
        <v>188</v>
      </c>
      <c r="BM3824">
        <v>1</v>
      </c>
      <c r="BN3824">
        <v>1</v>
      </c>
      <c r="BO3824">
        <v>0</v>
      </c>
      <c r="BP3824">
        <v>0</v>
      </c>
      <c r="BS3824">
        <v>0</v>
      </c>
      <c r="BT3824">
        <v>0</v>
      </c>
      <c r="BU3824">
        <v>0</v>
      </c>
      <c r="CE3824" t="str">
        <f t="shared" ref="CE3824:CE3829" si="1515">"15:15:09.450"</f>
        <v>15:15:09.450</v>
      </c>
      <c r="CF3824">
        <v>450240876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4</v>
      </c>
      <c r="CY3824">
        <v>7</v>
      </c>
      <c r="CZ3824" t="s">
        <v>133</v>
      </c>
      <c r="DA3824">
        <v>275</v>
      </c>
      <c r="DB3824">
        <v>0</v>
      </c>
      <c r="DC3824" t="s">
        <v>134</v>
      </c>
      <c r="DD3824" t="s">
        <v>135</v>
      </c>
      <c r="DG3824">
        <v>3323025</v>
      </c>
      <c r="DI3824">
        <v>1</v>
      </c>
      <c r="DJ3824">
        <v>0</v>
      </c>
      <c r="DK3824">
        <v>0</v>
      </c>
      <c r="DL3824">
        <v>0</v>
      </c>
      <c r="DM3824">
        <v>0</v>
      </c>
      <c r="DN3824">
        <v>0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3">
      <c r="A3825" t="str">
        <f>"05/01/2025 15:15:09.654"</f>
        <v>05/01/2025 15:15:09.654</v>
      </c>
      <c r="C3825" t="str">
        <f t="shared" si="1496"/>
        <v>FFDFD3C0</v>
      </c>
      <c r="D3825" t="s">
        <v>145</v>
      </c>
      <c r="E3825" t="str">
        <f>"09"</f>
        <v>09</v>
      </c>
      <c r="H3825">
        <v>51</v>
      </c>
      <c r="I3825" t="s">
        <v>147</v>
      </c>
      <c r="J3825" t="s">
        <v>138</v>
      </c>
      <c r="K3825">
        <v>0</v>
      </c>
      <c r="L3825">
        <v>3</v>
      </c>
      <c r="M3825">
        <v>0</v>
      </c>
      <c r="N3825">
        <v>2</v>
      </c>
      <c r="O3825">
        <v>0</v>
      </c>
      <c r="P3825">
        <v>1</v>
      </c>
      <c r="Q3825">
        <v>0</v>
      </c>
      <c r="R3825" t="s">
        <v>127</v>
      </c>
      <c r="S3825" t="str">
        <f t="shared" si="1514"/>
        <v>15:15:09.000</v>
      </c>
      <c r="T3825" t="str">
        <f t="shared" si="1514"/>
        <v>15:15:09.000</v>
      </c>
      <c r="U3825" t="str">
        <f t="shared" si="1497"/>
        <v>A68FCB</v>
      </c>
      <c r="V3825">
        <v>0</v>
      </c>
      <c r="W3825">
        <v>0</v>
      </c>
      <c r="X3825">
        <v>2</v>
      </c>
      <c r="Y3825">
        <v>0</v>
      </c>
      <c r="AA3825">
        <v>1</v>
      </c>
      <c r="AB3825">
        <v>8</v>
      </c>
      <c r="AC3825">
        <v>3</v>
      </c>
      <c r="AD3825">
        <v>0</v>
      </c>
      <c r="AE3825">
        <v>9</v>
      </c>
      <c r="AF3825" t="s">
        <v>138</v>
      </c>
      <c r="AG3825">
        <v>0</v>
      </c>
      <c r="AH3825">
        <v>3</v>
      </c>
      <c r="AI3825">
        <v>2</v>
      </c>
      <c r="AJ3825">
        <v>0</v>
      </c>
      <c r="AK3825" t="s">
        <v>1208</v>
      </c>
      <c r="AL3825">
        <v>39.170895000000002</v>
      </c>
      <c r="AM3825" t="s">
        <v>1209</v>
      </c>
      <c r="AN3825">
        <v>-121.030433</v>
      </c>
      <c r="AO3825">
        <v>25</v>
      </c>
      <c r="AP3825">
        <v>4300</v>
      </c>
      <c r="AQ3825" t="s">
        <v>131</v>
      </c>
      <c r="AR3825">
        <v>10</v>
      </c>
      <c r="AS3825">
        <v>87</v>
      </c>
      <c r="AT3825">
        <v>384</v>
      </c>
      <c r="BB3825" t="str">
        <f t="shared" si="1498"/>
        <v>1200</v>
      </c>
      <c r="BC3825">
        <v>1</v>
      </c>
      <c r="BD3825" t="str">
        <f t="shared" si="1499"/>
        <v xml:space="preserve">N52156  </v>
      </c>
      <c r="BE3825">
        <v>1</v>
      </c>
      <c r="BG3825">
        <v>0</v>
      </c>
      <c r="BH3825">
        <v>0</v>
      </c>
      <c r="BI3825">
        <v>0</v>
      </c>
      <c r="BJ3825">
        <v>4275</v>
      </c>
      <c r="BK3825">
        <v>-25</v>
      </c>
      <c r="BL3825" t="s">
        <v>188</v>
      </c>
      <c r="BM3825">
        <v>1</v>
      </c>
      <c r="BN3825">
        <v>1</v>
      </c>
      <c r="BO3825">
        <v>0</v>
      </c>
      <c r="BP3825">
        <v>0</v>
      </c>
      <c r="BS3825">
        <v>0</v>
      </c>
      <c r="BT3825">
        <v>0</v>
      </c>
      <c r="BU3825">
        <v>0</v>
      </c>
      <c r="CE3825" t="str">
        <f t="shared" si="1515"/>
        <v>15:15:09.450</v>
      </c>
      <c r="CF3825">
        <v>450240876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4</v>
      </c>
      <c r="CY3825">
        <v>7</v>
      </c>
      <c r="CZ3825" t="s">
        <v>133</v>
      </c>
      <c r="DA3825">
        <v>275</v>
      </c>
      <c r="DB3825">
        <v>0</v>
      </c>
      <c r="DC3825" t="s">
        <v>134</v>
      </c>
      <c r="DD3825" t="s">
        <v>135</v>
      </c>
      <c r="DG3825">
        <v>3323025</v>
      </c>
      <c r="DI3825">
        <v>1</v>
      </c>
      <c r="DJ3825">
        <v>0</v>
      </c>
      <c r="DK3825">
        <v>1</v>
      </c>
      <c r="DL3825">
        <v>0</v>
      </c>
      <c r="DM3825">
        <v>0</v>
      </c>
      <c r="DN3825">
        <v>0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3">
      <c r="A3826" t="str">
        <f>"05/01/2025 15:15:09.667"</f>
        <v>05/01/2025 15:15:09.667</v>
      </c>
      <c r="C3826" t="str">
        <f t="shared" si="1496"/>
        <v>FFDFD3C0</v>
      </c>
      <c r="D3826" t="s">
        <v>136</v>
      </c>
      <c r="E3826" t="str">
        <f>"20"</f>
        <v>20</v>
      </c>
      <c r="H3826">
        <v>400</v>
      </c>
      <c r="I3826" t="s">
        <v>137</v>
      </c>
      <c r="J3826" t="s">
        <v>138</v>
      </c>
      <c r="K3826">
        <v>0</v>
      </c>
      <c r="L3826">
        <v>3</v>
      </c>
      <c r="M3826">
        <v>0</v>
      </c>
      <c r="N3826">
        <v>2</v>
      </c>
      <c r="O3826">
        <v>0</v>
      </c>
      <c r="P3826">
        <v>1</v>
      </c>
      <c r="Q3826">
        <v>0</v>
      </c>
      <c r="R3826" t="s">
        <v>127</v>
      </c>
      <c r="S3826" t="str">
        <f t="shared" si="1514"/>
        <v>15:15:09.000</v>
      </c>
      <c r="T3826" t="str">
        <f t="shared" si="1514"/>
        <v>15:15:09.000</v>
      </c>
      <c r="U3826" t="str">
        <f t="shared" si="1497"/>
        <v>A68FCB</v>
      </c>
      <c r="V3826">
        <v>0</v>
      </c>
      <c r="W3826">
        <v>0</v>
      </c>
      <c r="X3826">
        <v>2</v>
      </c>
      <c r="Y3826">
        <v>0</v>
      </c>
      <c r="AA3826">
        <v>1</v>
      </c>
      <c r="AB3826">
        <v>8</v>
      </c>
      <c r="AC3826">
        <v>3</v>
      </c>
      <c r="AD3826">
        <v>0</v>
      </c>
      <c r="AE3826">
        <v>9</v>
      </c>
      <c r="AF3826" t="s">
        <v>138</v>
      </c>
      <c r="AG3826">
        <v>0</v>
      </c>
      <c r="AH3826">
        <v>3</v>
      </c>
      <c r="AI3826">
        <v>2</v>
      </c>
      <c r="AJ3826">
        <v>0</v>
      </c>
      <c r="AK3826" t="s">
        <v>1208</v>
      </c>
      <c r="AL3826">
        <v>39.170895000000002</v>
      </c>
      <c r="AM3826" t="s">
        <v>1209</v>
      </c>
      <c r="AN3826">
        <v>-121.030433</v>
      </c>
      <c r="AO3826">
        <v>25</v>
      </c>
      <c r="AP3826">
        <v>4300</v>
      </c>
      <c r="AQ3826" t="s">
        <v>131</v>
      </c>
      <c r="AR3826">
        <v>10</v>
      </c>
      <c r="AS3826">
        <v>87</v>
      </c>
      <c r="AT3826">
        <v>384</v>
      </c>
      <c r="BB3826" t="str">
        <f t="shared" si="1498"/>
        <v>1200</v>
      </c>
      <c r="BC3826">
        <v>1</v>
      </c>
      <c r="BD3826" t="str">
        <f t="shared" si="1499"/>
        <v xml:space="preserve">N52156  </v>
      </c>
      <c r="BE3826">
        <v>1</v>
      </c>
      <c r="BG3826">
        <v>0</v>
      </c>
      <c r="BH3826">
        <v>0</v>
      </c>
      <c r="BI3826">
        <v>0</v>
      </c>
      <c r="BJ3826">
        <v>4275</v>
      </c>
      <c r="BK3826">
        <v>-25</v>
      </c>
      <c r="BL3826" t="s">
        <v>188</v>
      </c>
      <c r="BM3826">
        <v>1</v>
      </c>
      <c r="BN3826">
        <v>1</v>
      </c>
      <c r="BO3826">
        <v>0</v>
      </c>
      <c r="BP3826">
        <v>0</v>
      </c>
      <c r="BS3826">
        <v>0</v>
      </c>
      <c r="BT3826">
        <v>0</v>
      </c>
      <c r="BU3826">
        <v>0</v>
      </c>
      <c r="CE3826" t="str">
        <f t="shared" si="1515"/>
        <v>15:15:09.450</v>
      </c>
      <c r="CF3826">
        <v>450240876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4</v>
      </c>
      <c r="CY3826">
        <v>7</v>
      </c>
      <c r="CZ3826" t="s">
        <v>133</v>
      </c>
      <c r="DA3826">
        <v>275</v>
      </c>
      <c r="DB3826">
        <v>0</v>
      </c>
      <c r="DC3826" t="s">
        <v>134</v>
      </c>
      <c r="DD3826" t="s">
        <v>135</v>
      </c>
      <c r="DG3826">
        <v>3323025</v>
      </c>
      <c r="DI3826">
        <v>1</v>
      </c>
      <c r="DJ3826">
        <v>0</v>
      </c>
      <c r="DK3826">
        <v>1</v>
      </c>
      <c r="DL3826">
        <v>0</v>
      </c>
      <c r="DM3826">
        <v>0</v>
      </c>
      <c r="DN3826">
        <v>0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3">
      <c r="A3827" t="str">
        <f>"05/01/2025 15:15:09.688"</f>
        <v>05/01/2025 15:15:09.688</v>
      </c>
      <c r="C3827" t="str">
        <f t="shared" si="1496"/>
        <v>FFDFD3C0</v>
      </c>
      <c r="D3827" t="s">
        <v>143</v>
      </c>
      <c r="E3827" t="str">
        <f>"05"</f>
        <v>05</v>
      </c>
      <c r="H3827">
        <v>172</v>
      </c>
      <c r="I3827" t="s">
        <v>141</v>
      </c>
      <c r="J3827" t="s">
        <v>144</v>
      </c>
      <c r="K3827">
        <v>0</v>
      </c>
      <c r="L3827">
        <v>3</v>
      </c>
      <c r="M3827">
        <v>0</v>
      </c>
      <c r="N3827">
        <v>2</v>
      </c>
      <c r="O3827">
        <v>0</v>
      </c>
      <c r="P3827">
        <v>1</v>
      </c>
      <c r="Q3827">
        <v>0</v>
      </c>
      <c r="R3827" t="s">
        <v>127</v>
      </c>
      <c r="S3827" t="str">
        <f t="shared" si="1514"/>
        <v>15:15:09.000</v>
      </c>
      <c r="T3827" t="str">
        <f t="shared" si="1514"/>
        <v>15:15:09.000</v>
      </c>
      <c r="U3827" t="str">
        <f t="shared" si="1497"/>
        <v>A68FCB</v>
      </c>
      <c r="V3827">
        <v>0</v>
      </c>
      <c r="W3827">
        <v>0</v>
      </c>
      <c r="X3827">
        <v>2</v>
      </c>
      <c r="Y3827">
        <v>0</v>
      </c>
      <c r="AA3827">
        <v>1</v>
      </c>
      <c r="AB3827">
        <v>8</v>
      </c>
      <c r="AC3827">
        <v>3</v>
      </c>
      <c r="AD3827">
        <v>0</v>
      </c>
      <c r="AE3827">
        <v>9</v>
      </c>
      <c r="AF3827" t="s">
        <v>138</v>
      </c>
      <c r="AG3827">
        <v>0</v>
      </c>
      <c r="AH3827">
        <v>3</v>
      </c>
      <c r="AI3827">
        <v>2</v>
      </c>
      <c r="AJ3827">
        <v>0</v>
      </c>
      <c r="AK3827" t="s">
        <v>1208</v>
      </c>
      <c r="AL3827">
        <v>39.170895000000002</v>
      </c>
      <c r="AM3827" t="s">
        <v>1209</v>
      </c>
      <c r="AN3827">
        <v>-121.030433</v>
      </c>
      <c r="AO3827">
        <v>25</v>
      </c>
      <c r="AP3827">
        <v>4300</v>
      </c>
      <c r="AQ3827" t="s">
        <v>131</v>
      </c>
      <c r="AR3827">
        <v>10</v>
      </c>
      <c r="AS3827">
        <v>87</v>
      </c>
      <c r="AT3827">
        <v>384</v>
      </c>
      <c r="BB3827" t="str">
        <f t="shared" si="1498"/>
        <v>1200</v>
      </c>
      <c r="BC3827">
        <v>1</v>
      </c>
      <c r="BD3827" t="str">
        <f t="shared" si="1499"/>
        <v xml:space="preserve">N52156  </v>
      </c>
      <c r="BE3827">
        <v>1</v>
      </c>
      <c r="BG3827">
        <v>0</v>
      </c>
      <c r="BH3827">
        <v>0</v>
      </c>
      <c r="BI3827">
        <v>0</v>
      </c>
      <c r="BJ3827">
        <v>4275</v>
      </c>
      <c r="BK3827">
        <v>-25</v>
      </c>
      <c r="BL3827" t="s">
        <v>188</v>
      </c>
      <c r="BM3827">
        <v>1</v>
      </c>
      <c r="BN3827">
        <v>1</v>
      </c>
      <c r="BO3827">
        <v>0</v>
      </c>
      <c r="BP3827">
        <v>0</v>
      </c>
      <c r="BS3827">
        <v>0</v>
      </c>
      <c r="BT3827">
        <v>0</v>
      </c>
      <c r="BU3827">
        <v>0</v>
      </c>
      <c r="CE3827" t="str">
        <f t="shared" si="1515"/>
        <v>15:15:09.450</v>
      </c>
      <c r="CF3827">
        <v>450240876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4</v>
      </c>
      <c r="CY3827">
        <v>7</v>
      </c>
      <c r="CZ3827" t="s">
        <v>133</v>
      </c>
      <c r="DA3827">
        <v>275</v>
      </c>
      <c r="DB3827">
        <v>0</v>
      </c>
      <c r="DC3827" t="s">
        <v>134</v>
      </c>
      <c r="DD3827" t="s">
        <v>135</v>
      </c>
      <c r="DG3827">
        <v>3323025</v>
      </c>
      <c r="DI3827">
        <v>1</v>
      </c>
      <c r="DJ3827">
        <v>0</v>
      </c>
      <c r="DK3827">
        <v>1</v>
      </c>
      <c r="DL3827">
        <v>0</v>
      </c>
      <c r="DM3827">
        <v>0</v>
      </c>
      <c r="DN3827">
        <v>0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3">
      <c r="A3828" t="str">
        <f>"05/01/2025 15:15:09.690"</f>
        <v>05/01/2025 15:15:09.690</v>
      </c>
      <c r="C3828" t="str">
        <f t="shared" si="1496"/>
        <v>FFDFD3C0</v>
      </c>
      <c r="D3828" t="s">
        <v>140</v>
      </c>
      <c r="E3828" t="str">
        <f>"13"</f>
        <v>13</v>
      </c>
      <c r="F3828">
        <v>1019</v>
      </c>
      <c r="G3828" t="s">
        <v>141</v>
      </c>
      <c r="J3828" t="s">
        <v>142</v>
      </c>
      <c r="K3828">
        <v>0</v>
      </c>
      <c r="L3828">
        <v>3</v>
      </c>
      <c r="M3828">
        <v>0</v>
      </c>
      <c r="N3828">
        <v>2</v>
      </c>
      <c r="O3828">
        <v>0</v>
      </c>
      <c r="P3828">
        <v>1</v>
      </c>
      <c r="Q3828">
        <v>0</v>
      </c>
      <c r="R3828" t="s">
        <v>127</v>
      </c>
      <c r="S3828" t="str">
        <f t="shared" si="1514"/>
        <v>15:15:09.000</v>
      </c>
      <c r="T3828" t="str">
        <f t="shared" si="1514"/>
        <v>15:15:09.000</v>
      </c>
      <c r="U3828" t="str">
        <f t="shared" si="1497"/>
        <v>A68FCB</v>
      </c>
      <c r="V3828">
        <v>0</v>
      </c>
      <c r="W3828">
        <v>0</v>
      </c>
      <c r="X3828">
        <v>2</v>
      </c>
      <c r="Y3828">
        <v>0</v>
      </c>
      <c r="AA3828">
        <v>1</v>
      </c>
      <c r="AB3828">
        <v>8</v>
      </c>
      <c r="AC3828">
        <v>3</v>
      </c>
      <c r="AD3828">
        <v>0</v>
      </c>
      <c r="AE3828">
        <v>9</v>
      </c>
      <c r="AF3828" t="s">
        <v>138</v>
      </c>
      <c r="AG3828">
        <v>0</v>
      </c>
      <c r="AH3828">
        <v>3</v>
      </c>
      <c r="AI3828">
        <v>2</v>
      </c>
      <c r="AJ3828">
        <v>0</v>
      </c>
      <c r="AK3828" t="s">
        <v>1208</v>
      </c>
      <c r="AL3828">
        <v>39.170895000000002</v>
      </c>
      <c r="AM3828" t="s">
        <v>1209</v>
      </c>
      <c r="AN3828">
        <v>-121.030433</v>
      </c>
      <c r="AO3828">
        <v>25</v>
      </c>
      <c r="AP3828">
        <v>4300</v>
      </c>
      <c r="AQ3828" t="s">
        <v>131</v>
      </c>
      <c r="AR3828">
        <v>10</v>
      </c>
      <c r="AS3828">
        <v>87</v>
      </c>
      <c r="AT3828">
        <v>384</v>
      </c>
      <c r="BB3828" t="str">
        <f t="shared" si="1498"/>
        <v>1200</v>
      </c>
      <c r="BC3828">
        <v>1</v>
      </c>
      <c r="BD3828" t="str">
        <f t="shared" si="1499"/>
        <v xml:space="preserve">N52156  </v>
      </c>
      <c r="BE3828">
        <v>1</v>
      </c>
      <c r="BG3828">
        <v>0</v>
      </c>
      <c r="BH3828">
        <v>0</v>
      </c>
      <c r="BI3828">
        <v>0</v>
      </c>
      <c r="BJ3828">
        <v>4275</v>
      </c>
      <c r="BK3828">
        <v>-25</v>
      </c>
      <c r="BL3828" t="s">
        <v>188</v>
      </c>
      <c r="BM3828">
        <v>1</v>
      </c>
      <c r="BN3828">
        <v>1</v>
      </c>
      <c r="BO3828">
        <v>0</v>
      </c>
      <c r="BP3828">
        <v>0</v>
      </c>
      <c r="BS3828">
        <v>0</v>
      </c>
      <c r="BT3828">
        <v>0</v>
      </c>
      <c r="BU3828">
        <v>0</v>
      </c>
      <c r="CE3828" t="str">
        <f t="shared" si="1515"/>
        <v>15:15:09.450</v>
      </c>
      <c r="CF3828">
        <v>450240876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4</v>
      </c>
      <c r="CY3828">
        <v>7</v>
      </c>
      <c r="CZ3828" t="s">
        <v>133</v>
      </c>
      <c r="DA3828">
        <v>275</v>
      </c>
      <c r="DB3828">
        <v>0</v>
      </c>
      <c r="DC3828" t="s">
        <v>134</v>
      </c>
      <c r="DD3828" t="s">
        <v>135</v>
      </c>
      <c r="DG3828">
        <v>3323025</v>
      </c>
      <c r="DI3828">
        <v>1</v>
      </c>
      <c r="DJ3828">
        <v>0</v>
      </c>
      <c r="DK3828">
        <v>1</v>
      </c>
      <c r="DL3828">
        <v>0</v>
      </c>
      <c r="DM3828">
        <v>0</v>
      </c>
      <c r="DN3828">
        <v>0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3">
      <c r="A3829" t="str">
        <f>"05/01/2025 15:15:09.695"</f>
        <v>05/01/2025 15:15:09.695</v>
      </c>
      <c r="C3829" t="str">
        <f t="shared" si="1496"/>
        <v>FFDFD3C0</v>
      </c>
      <c r="D3829" t="s">
        <v>124</v>
      </c>
      <c r="E3829" t="str">
        <f>"06"</f>
        <v>06</v>
      </c>
      <c r="F3829">
        <v>2006</v>
      </c>
      <c r="G3829" t="s">
        <v>125</v>
      </c>
      <c r="J3829" t="s">
        <v>126</v>
      </c>
      <c r="K3829">
        <v>0</v>
      </c>
      <c r="L3829">
        <v>3</v>
      </c>
      <c r="M3829">
        <v>0</v>
      </c>
      <c r="N3829">
        <v>2</v>
      </c>
      <c r="O3829">
        <v>0</v>
      </c>
      <c r="P3829">
        <v>1</v>
      </c>
      <c r="Q3829">
        <v>0</v>
      </c>
      <c r="R3829" t="s">
        <v>127</v>
      </c>
      <c r="S3829" t="str">
        <f t="shared" si="1514"/>
        <v>15:15:09.000</v>
      </c>
      <c r="T3829" t="str">
        <f t="shared" si="1514"/>
        <v>15:15:09.000</v>
      </c>
      <c r="U3829" t="str">
        <f t="shared" si="1497"/>
        <v>A68FCB</v>
      </c>
      <c r="V3829">
        <v>0</v>
      </c>
      <c r="W3829">
        <v>0</v>
      </c>
      <c r="X3829">
        <v>2</v>
      </c>
      <c r="Y3829">
        <v>0</v>
      </c>
      <c r="AA3829">
        <v>1</v>
      </c>
      <c r="AB3829">
        <v>8</v>
      </c>
      <c r="AC3829">
        <v>3</v>
      </c>
      <c r="AD3829">
        <v>0</v>
      </c>
      <c r="AE3829">
        <v>9</v>
      </c>
      <c r="AF3829" t="s">
        <v>138</v>
      </c>
      <c r="AG3829">
        <v>0</v>
      </c>
      <c r="AH3829">
        <v>3</v>
      </c>
      <c r="AI3829">
        <v>2</v>
      </c>
      <c r="AJ3829">
        <v>0</v>
      </c>
      <c r="AK3829" t="s">
        <v>1208</v>
      </c>
      <c r="AL3829">
        <v>39.170895000000002</v>
      </c>
      <c r="AM3829" t="s">
        <v>1209</v>
      </c>
      <c r="AN3829">
        <v>-121.030433</v>
      </c>
      <c r="AO3829">
        <v>25</v>
      </c>
      <c r="AP3829">
        <v>4300</v>
      </c>
      <c r="AQ3829" t="s">
        <v>131</v>
      </c>
      <c r="AR3829">
        <v>10</v>
      </c>
      <c r="AS3829">
        <v>87</v>
      </c>
      <c r="AT3829">
        <v>384</v>
      </c>
      <c r="BB3829" t="str">
        <f t="shared" si="1498"/>
        <v>1200</v>
      </c>
      <c r="BC3829">
        <v>1</v>
      </c>
      <c r="BD3829" t="str">
        <f t="shared" si="1499"/>
        <v xml:space="preserve">N52156  </v>
      </c>
      <c r="BE3829">
        <v>1</v>
      </c>
      <c r="BG3829">
        <v>0</v>
      </c>
      <c r="BH3829">
        <v>0</v>
      </c>
      <c r="BI3829">
        <v>0</v>
      </c>
      <c r="BJ3829">
        <v>4275</v>
      </c>
      <c r="BK3829">
        <v>-25</v>
      </c>
      <c r="BL3829" t="s">
        <v>188</v>
      </c>
      <c r="BM3829">
        <v>1</v>
      </c>
      <c r="BN3829">
        <v>1</v>
      </c>
      <c r="BO3829">
        <v>0</v>
      </c>
      <c r="BP3829">
        <v>0</v>
      </c>
      <c r="BS3829">
        <v>0</v>
      </c>
      <c r="BT3829">
        <v>0</v>
      </c>
      <c r="BU3829">
        <v>0</v>
      </c>
      <c r="CE3829" t="str">
        <f t="shared" si="1515"/>
        <v>15:15:09.450</v>
      </c>
      <c r="CF3829">
        <v>450240876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4</v>
      </c>
      <c r="CY3829">
        <v>7</v>
      </c>
      <c r="CZ3829" t="s">
        <v>133</v>
      </c>
      <c r="DA3829">
        <v>275</v>
      </c>
      <c r="DB3829">
        <v>0</v>
      </c>
      <c r="DC3829" t="s">
        <v>134</v>
      </c>
      <c r="DD3829" t="s">
        <v>135</v>
      </c>
      <c r="DG3829">
        <v>3323025</v>
      </c>
      <c r="DI3829">
        <v>1</v>
      </c>
      <c r="DJ3829">
        <v>0</v>
      </c>
      <c r="DK3829">
        <v>1</v>
      </c>
      <c r="DL3829">
        <v>0</v>
      </c>
      <c r="DM3829">
        <v>0</v>
      </c>
      <c r="DN3829">
        <v>0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3">
      <c r="A3830" t="str">
        <f>"05/01/2025 15:15:10.569"</f>
        <v>05/01/2025 15:15:10.569</v>
      </c>
      <c r="C3830" t="str">
        <f t="shared" si="1496"/>
        <v>FFDFD3C0</v>
      </c>
      <c r="D3830" t="s">
        <v>136</v>
      </c>
      <c r="E3830" t="str">
        <f>"20"</f>
        <v>20</v>
      </c>
      <c r="H3830">
        <v>400</v>
      </c>
      <c r="I3830" t="s">
        <v>137</v>
      </c>
      <c r="J3830" t="s">
        <v>138</v>
      </c>
      <c r="K3830">
        <v>0</v>
      </c>
      <c r="L3830">
        <v>3</v>
      </c>
      <c r="M3830">
        <v>0</v>
      </c>
      <c r="N3830">
        <v>2</v>
      </c>
      <c r="O3830">
        <v>0</v>
      </c>
      <c r="P3830">
        <v>1</v>
      </c>
      <c r="Q3830">
        <v>0</v>
      </c>
      <c r="R3830" t="s">
        <v>127</v>
      </c>
      <c r="S3830" t="str">
        <f t="shared" ref="S3830:T3835" si="1516">"15:15:10.000"</f>
        <v>15:15:10.000</v>
      </c>
      <c r="T3830" t="str">
        <f t="shared" si="1516"/>
        <v>15:15:10.000</v>
      </c>
      <c r="U3830" t="str">
        <f t="shared" si="1497"/>
        <v>A68FCB</v>
      </c>
      <c r="V3830">
        <v>0</v>
      </c>
      <c r="W3830">
        <v>0</v>
      </c>
      <c r="X3830">
        <v>2</v>
      </c>
      <c r="Y3830">
        <v>0</v>
      </c>
      <c r="AA3830">
        <v>1</v>
      </c>
      <c r="AB3830">
        <v>8</v>
      </c>
      <c r="AC3830">
        <v>3</v>
      </c>
      <c r="AD3830">
        <v>0</v>
      </c>
      <c r="AE3830">
        <v>9</v>
      </c>
      <c r="AF3830" t="s">
        <v>138</v>
      </c>
      <c r="AG3830">
        <v>0</v>
      </c>
      <c r="AH3830">
        <v>3</v>
      </c>
      <c r="AI3830">
        <v>2</v>
      </c>
      <c r="AJ3830">
        <v>0</v>
      </c>
      <c r="AK3830" t="s">
        <v>1210</v>
      </c>
      <c r="AL3830">
        <v>39.171281</v>
      </c>
      <c r="AM3830" t="s">
        <v>1211</v>
      </c>
      <c r="AN3830">
        <v>-121.03036899999999</v>
      </c>
      <c r="AO3830">
        <v>25</v>
      </c>
      <c r="AP3830">
        <v>4300</v>
      </c>
      <c r="AQ3830" t="s">
        <v>131</v>
      </c>
      <c r="AR3830">
        <v>11</v>
      </c>
      <c r="AS3830">
        <v>87</v>
      </c>
      <c r="AT3830">
        <v>448</v>
      </c>
      <c r="BB3830" t="str">
        <f t="shared" si="1498"/>
        <v>1200</v>
      </c>
      <c r="BC3830">
        <v>1</v>
      </c>
      <c r="BD3830" t="str">
        <f t="shared" si="1499"/>
        <v xml:space="preserve">N52156  </v>
      </c>
      <c r="BE3830">
        <v>1</v>
      </c>
      <c r="BG3830">
        <v>0</v>
      </c>
      <c r="BH3830">
        <v>0</v>
      </c>
      <c r="BI3830">
        <v>0</v>
      </c>
      <c r="BJ3830">
        <v>4275</v>
      </c>
      <c r="BK3830">
        <v>-25</v>
      </c>
      <c r="BL3830" t="s">
        <v>188</v>
      </c>
      <c r="BM3830">
        <v>1</v>
      </c>
      <c r="BN3830">
        <v>1</v>
      </c>
      <c r="BO3830">
        <v>0</v>
      </c>
      <c r="BP3830">
        <v>0</v>
      </c>
      <c r="BS3830">
        <v>0</v>
      </c>
      <c r="BT3830">
        <v>0</v>
      </c>
      <c r="BU3830">
        <v>0</v>
      </c>
      <c r="CE3830" t="str">
        <f t="shared" ref="CE3830:CE3835" si="1517">"15:15:10.349"</f>
        <v>15:15:10.349</v>
      </c>
      <c r="CF3830">
        <v>348740679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4</v>
      </c>
      <c r="CY3830">
        <v>7</v>
      </c>
      <c r="CZ3830" t="s">
        <v>133</v>
      </c>
      <c r="DA3830">
        <v>275</v>
      </c>
      <c r="DB3830">
        <v>0</v>
      </c>
      <c r="DC3830" t="s">
        <v>134</v>
      </c>
      <c r="DD3830" t="s">
        <v>135</v>
      </c>
      <c r="DG3830">
        <v>3323030</v>
      </c>
      <c r="DI3830">
        <v>1</v>
      </c>
      <c r="DJ3830">
        <v>0</v>
      </c>
      <c r="DK3830">
        <v>0</v>
      </c>
      <c r="DL3830">
        <v>0</v>
      </c>
      <c r="DM3830">
        <v>0</v>
      </c>
      <c r="DN3830">
        <v>0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3">
      <c r="A3831" t="str">
        <f>"05/01/2025 15:15:10.590"</f>
        <v>05/01/2025 15:15:10.590</v>
      </c>
      <c r="C3831" t="str">
        <f t="shared" si="1496"/>
        <v>FFDFD3C0</v>
      </c>
      <c r="D3831" t="s">
        <v>143</v>
      </c>
      <c r="E3831" t="str">
        <f>"05"</f>
        <v>05</v>
      </c>
      <c r="H3831">
        <v>172</v>
      </c>
      <c r="I3831" t="s">
        <v>141</v>
      </c>
      <c r="J3831" t="s">
        <v>144</v>
      </c>
      <c r="K3831">
        <v>0</v>
      </c>
      <c r="L3831">
        <v>3</v>
      </c>
      <c r="M3831">
        <v>0</v>
      </c>
      <c r="N3831">
        <v>2</v>
      </c>
      <c r="O3831">
        <v>0</v>
      </c>
      <c r="P3831">
        <v>1</v>
      </c>
      <c r="Q3831">
        <v>0</v>
      </c>
      <c r="R3831" t="s">
        <v>127</v>
      </c>
      <c r="S3831" t="str">
        <f t="shared" si="1516"/>
        <v>15:15:10.000</v>
      </c>
      <c r="T3831" t="str">
        <f t="shared" si="1516"/>
        <v>15:15:10.000</v>
      </c>
      <c r="U3831" t="str">
        <f t="shared" si="1497"/>
        <v>A68FCB</v>
      </c>
      <c r="V3831">
        <v>0</v>
      </c>
      <c r="W3831">
        <v>0</v>
      </c>
      <c r="X3831">
        <v>2</v>
      </c>
      <c r="Y3831">
        <v>0</v>
      </c>
      <c r="AA3831">
        <v>1</v>
      </c>
      <c r="AB3831">
        <v>8</v>
      </c>
      <c r="AC3831">
        <v>3</v>
      </c>
      <c r="AD3831">
        <v>0</v>
      </c>
      <c r="AE3831">
        <v>9</v>
      </c>
      <c r="AF3831" t="s">
        <v>138</v>
      </c>
      <c r="AG3831">
        <v>0</v>
      </c>
      <c r="AH3831">
        <v>3</v>
      </c>
      <c r="AI3831">
        <v>2</v>
      </c>
      <c r="AJ3831">
        <v>0</v>
      </c>
      <c r="AK3831" t="s">
        <v>1210</v>
      </c>
      <c r="AL3831">
        <v>39.171281</v>
      </c>
      <c r="AM3831" t="s">
        <v>1211</v>
      </c>
      <c r="AN3831">
        <v>-121.03036899999999</v>
      </c>
      <c r="AO3831">
        <v>25</v>
      </c>
      <c r="AP3831">
        <v>4300</v>
      </c>
      <c r="AQ3831" t="s">
        <v>131</v>
      </c>
      <c r="AR3831">
        <v>11</v>
      </c>
      <c r="AS3831">
        <v>87</v>
      </c>
      <c r="AT3831">
        <v>448</v>
      </c>
      <c r="BB3831" t="str">
        <f t="shared" si="1498"/>
        <v>1200</v>
      </c>
      <c r="BC3831">
        <v>1</v>
      </c>
      <c r="BD3831" t="str">
        <f t="shared" si="1499"/>
        <v xml:space="preserve">N52156  </v>
      </c>
      <c r="BE3831">
        <v>1</v>
      </c>
      <c r="BG3831">
        <v>0</v>
      </c>
      <c r="BH3831">
        <v>0</v>
      </c>
      <c r="BI3831">
        <v>0</v>
      </c>
      <c r="BJ3831">
        <v>4275</v>
      </c>
      <c r="BK3831">
        <v>-25</v>
      </c>
      <c r="BL3831" t="s">
        <v>188</v>
      </c>
      <c r="BM3831">
        <v>1</v>
      </c>
      <c r="BN3831">
        <v>1</v>
      </c>
      <c r="BO3831">
        <v>0</v>
      </c>
      <c r="BP3831">
        <v>0</v>
      </c>
      <c r="BS3831">
        <v>0</v>
      </c>
      <c r="BT3831">
        <v>0</v>
      </c>
      <c r="BU3831">
        <v>0</v>
      </c>
      <c r="CE3831" t="str">
        <f t="shared" si="1517"/>
        <v>15:15:10.349</v>
      </c>
      <c r="CF3831">
        <v>348740679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4</v>
      </c>
      <c r="CY3831">
        <v>7</v>
      </c>
      <c r="CZ3831" t="s">
        <v>133</v>
      </c>
      <c r="DA3831">
        <v>275</v>
      </c>
      <c r="DB3831">
        <v>0</v>
      </c>
      <c r="DC3831" t="s">
        <v>134</v>
      </c>
      <c r="DD3831" t="s">
        <v>135</v>
      </c>
      <c r="DG3831">
        <v>3323030</v>
      </c>
      <c r="DI3831">
        <v>1</v>
      </c>
      <c r="DJ3831">
        <v>0</v>
      </c>
      <c r="DK3831">
        <v>1</v>
      </c>
      <c r="DL3831">
        <v>0</v>
      </c>
      <c r="DM3831">
        <v>0</v>
      </c>
      <c r="DN3831">
        <v>0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3">
      <c r="A3832" t="str">
        <f>"05/01/2025 15:15:10.591"</f>
        <v>05/01/2025 15:15:10.591</v>
      </c>
      <c r="C3832" t="str">
        <f t="shared" si="1496"/>
        <v>FFDFD3C0</v>
      </c>
      <c r="D3832" t="s">
        <v>140</v>
      </c>
      <c r="E3832" t="str">
        <f>"13"</f>
        <v>13</v>
      </c>
      <c r="F3832">
        <v>1019</v>
      </c>
      <c r="G3832" t="s">
        <v>141</v>
      </c>
      <c r="J3832" t="s">
        <v>142</v>
      </c>
      <c r="K3832">
        <v>0</v>
      </c>
      <c r="L3832">
        <v>3</v>
      </c>
      <c r="M3832">
        <v>0</v>
      </c>
      <c r="N3832">
        <v>2</v>
      </c>
      <c r="O3832">
        <v>0</v>
      </c>
      <c r="P3832">
        <v>1</v>
      </c>
      <c r="Q3832">
        <v>0</v>
      </c>
      <c r="R3832" t="s">
        <v>127</v>
      </c>
      <c r="S3832" t="str">
        <f t="shared" si="1516"/>
        <v>15:15:10.000</v>
      </c>
      <c r="T3832" t="str">
        <f t="shared" si="1516"/>
        <v>15:15:10.000</v>
      </c>
      <c r="U3832" t="str">
        <f t="shared" si="1497"/>
        <v>A68FCB</v>
      </c>
      <c r="V3832">
        <v>0</v>
      </c>
      <c r="W3832">
        <v>0</v>
      </c>
      <c r="X3832">
        <v>2</v>
      </c>
      <c r="Y3832">
        <v>0</v>
      </c>
      <c r="AA3832">
        <v>1</v>
      </c>
      <c r="AB3832">
        <v>8</v>
      </c>
      <c r="AC3832">
        <v>3</v>
      </c>
      <c r="AD3832">
        <v>0</v>
      </c>
      <c r="AE3832">
        <v>9</v>
      </c>
      <c r="AF3832" t="s">
        <v>138</v>
      </c>
      <c r="AG3832">
        <v>0</v>
      </c>
      <c r="AH3832">
        <v>3</v>
      </c>
      <c r="AI3832">
        <v>2</v>
      </c>
      <c r="AJ3832">
        <v>0</v>
      </c>
      <c r="AK3832" t="s">
        <v>1210</v>
      </c>
      <c r="AL3832">
        <v>39.171281</v>
      </c>
      <c r="AM3832" t="s">
        <v>1211</v>
      </c>
      <c r="AN3832">
        <v>-121.03036899999999</v>
      </c>
      <c r="AO3832">
        <v>25</v>
      </c>
      <c r="AP3832">
        <v>4300</v>
      </c>
      <c r="AQ3832" t="s">
        <v>131</v>
      </c>
      <c r="AR3832">
        <v>11</v>
      </c>
      <c r="AS3832">
        <v>87</v>
      </c>
      <c r="AT3832">
        <v>448</v>
      </c>
      <c r="BB3832" t="str">
        <f t="shared" si="1498"/>
        <v>1200</v>
      </c>
      <c r="BC3832">
        <v>1</v>
      </c>
      <c r="BD3832" t="str">
        <f t="shared" si="1499"/>
        <v xml:space="preserve">N52156  </v>
      </c>
      <c r="BE3832">
        <v>1</v>
      </c>
      <c r="BG3832">
        <v>0</v>
      </c>
      <c r="BH3832">
        <v>0</v>
      </c>
      <c r="BI3832">
        <v>0</v>
      </c>
      <c r="BJ3832">
        <v>4275</v>
      </c>
      <c r="BK3832">
        <v>-25</v>
      </c>
      <c r="BL3832" t="s">
        <v>188</v>
      </c>
      <c r="BM3832">
        <v>1</v>
      </c>
      <c r="BN3832">
        <v>1</v>
      </c>
      <c r="BO3832">
        <v>0</v>
      </c>
      <c r="BP3832">
        <v>0</v>
      </c>
      <c r="BS3832">
        <v>0</v>
      </c>
      <c r="BT3832">
        <v>0</v>
      </c>
      <c r="BU3832">
        <v>0</v>
      </c>
      <c r="CE3832" t="str">
        <f t="shared" si="1517"/>
        <v>15:15:10.349</v>
      </c>
      <c r="CF3832">
        <v>348740679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4</v>
      </c>
      <c r="CY3832">
        <v>7</v>
      </c>
      <c r="CZ3832" t="s">
        <v>133</v>
      </c>
      <c r="DA3832">
        <v>275</v>
      </c>
      <c r="DB3832">
        <v>0</v>
      </c>
      <c r="DC3832" t="s">
        <v>134</v>
      </c>
      <c r="DD3832" t="s">
        <v>135</v>
      </c>
      <c r="DG3832">
        <v>3323030</v>
      </c>
      <c r="DI3832">
        <v>1</v>
      </c>
      <c r="DJ3832">
        <v>0</v>
      </c>
      <c r="DK3832">
        <v>1</v>
      </c>
      <c r="DL3832">
        <v>0</v>
      </c>
      <c r="DM3832">
        <v>0</v>
      </c>
      <c r="DN3832">
        <v>0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3">
      <c r="A3833" t="str">
        <f>"05/01/2025 15:15:10.595"</f>
        <v>05/01/2025 15:15:10.595</v>
      </c>
      <c r="C3833" t="str">
        <f t="shared" si="1496"/>
        <v>FFDFD3C0</v>
      </c>
      <c r="D3833" t="s">
        <v>124</v>
      </c>
      <c r="E3833" t="str">
        <f>"06"</f>
        <v>06</v>
      </c>
      <c r="F3833">
        <v>2006</v>
      </c>
      <c r="G3833" t="s">
        <v>125</v>
      </c>
      <c r="J3833" t="s">
        <v>126</v>
      </c>
      <c r="K3833">
        <v>0</v>
      </c>
      <c r="L3833">
        <v>3</v>
      </c>
      <c r="M3833">
        <v>0</v>
      </c>
      <c r="N3833">
        <v>2</v>
      </c>
      <c r="O3833">
        <v>0</v>
      </c>
      <c r="P3833">
        <v>1</v>
      </c>
      <c r="Q3833">
        <v>0</v>
      </c>
      <c r="R3833" t="s">
        <v>127</v>
      </c>
      <c r="S3833" t="str">
        <f t="shared" si="1516"/>
        <v>15:15:10.000</v>
      </c>
      <c r="T3833" t="str">
        <f t="shared" si="1516"/>
        <v>15:15:10.000</v>
      </c>
      <c r="U3833" t="str">
        <f t="shared" si="1497"/>
        <v>A68FCB</v>
      </c>
      <c r="V3833">
        <v>0</v>
      </c>
      <c r="W3833">
        <v>0</v>
      </c>
      <c r="X3833">
        <v>2</v>
      </c>
      <c r="Y3833">
        <v>0</v>
      </c>
      <c r="AA3833">
        <v>1</v>
      </c>
      <c r="AB3833">
        <v>8</v>
      </c>
      <c r="AC3833">
        <v>3</v>
      </c>
      <c r="AD3833">
        <v>0</v>
      </c>
      <c r="AE3833">
        <v>9</v>
      </c>
      <c r="AF3833" t="s">
        <v>138</v>
      </c>
      <c r="AG3833">
        <v>0</v>
      </c>
      <c r="AH3833">
        <v>3</v>
      </c>
      <c r="AI3833">
        <v>2</v>
      </c>
      <c r="AJ3833">
        <v>0</v>
      </c>
      <c r="AK3833" t="s">
        <v>1210</v>
      </c>
      <c r="AL3833">
        <v>39.171281</v>
      </c>
      <c r="AM3833" t="s">
        <v>1211</v>
      </c>
      <c r="AN3833">
        <v>-121.03036899999999</v>
      </c>
      <c r="AO3833">
        <v>25</v>
      </c>
      <c r="AP3833">
        <v>4300</v>
      </c>
      <c r="AQ3833" t="s">
        <v>131</v>
      </c>
      <c r="AR3833">
        <v>11</v>
      </c>
      <c r="AS3833">
        <v>87</v>
      </c>
      <c r="AT3833">
        <v>448</v>
      </c>
      <c r="BB3833" t="str">
        <f t="shared" si="1498"/>
        <v>1200</v>
      </c>
      <c r="BC3833">
        <v>1</v>
      </c>
      <c r="BD3833" t="str">
        <f t="shared" si="1499"/>
        <v xml:space="preserve">N52156  </v>
      </c>
      <c r="BE3833">
        <v>1</v>
      </c>
      <c r="BG3833">
        <v>0</v>
      </c>
      <c r="BH3833">
        <v>0</v>
      </c>
      <c r="BI3833">
        <v>0</v>
      </c>
      <c r="BJ3833">
        <v>4275</v>
      </c>
      <c r="BK3833">
        <v>-25</v>
      </c>
      <c r="BL3833" t="s">
        <v>188</v>
      </c>
      <c r="BM3833">
        <v>1</v>
      </c>
      <c r="BN3833">
        <v>1</v>
      </c>
      <c r="BO3833">
        <v>0</v>
      </c>
      <c r="BP3833">
        <v>0</v>
      </c>
      <c r="BS3833">
        <v>0</v>
      </c>
      <c r="BT3833">
        <v>0</v>
      </c>
      <c r="BU3833">
        <v>0</v>
      </c>
      <c r="CE3833" t="str">
        <f t="shared" si="1517"/>
        <v>15:15:10.349</v>
      </c>
      <c r="CF3833">
        <v>348740679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4</v>
      </c>
      <c r="CY3833">
        <v>7</v>
      </c>
      <c r="CZ3833" t="s">
        <v>133</v>
      </c>
      <c r="DA3833">
        <v>275</v>
      </c>
      <c r="DB3833">
        <v>0</v>
      </c>
      <c r="DC3833" t="s">
        <v>134</v>
      </c>
      <c r="DD3833" t="s">
        <v>135</v>
      </c>
      <c r="DG3833">
        <v>3323030</v>
      </c>
      <c r="DI3833">
        <v>1</v>
      </c>
      <c r="DJ3833">
        <v>0</v>
      </c>
      <c r="DK3833">
        <v>1</v>
      </c>
      <c r="DL3833">
        <v>0</v>
      </c>
      <c r="DM3833">
        <v>0</v>
      </c>
      <c r="DN3833">
        <v>0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3">
      <c r="A3834" t="str">
        <f>"05/01/2025 15:15:10.606"</f>
        <v>05/01/2025 15:15:10.606</v>
      </c>
      <c r="C3834" t="str">
        <f t="shared" si="1496"/>
        <v>FFDFD3C0</v>
      </c>
      <c r="D3834" t="s">
        <v>145</v>
      </c>
      <c r="E3834" t="str">
        <f>"09"</f>
        <v>09</v>
      </c>
      <c r="H3834">
        <v>51</v>
      </c>
      <c r="I3834" t="s">
        <v>147</v>
      </c>
      <c r="J3834" t="s">
        <v>138</v>
      </c>
      <c r="K3834">
        <v>0</v>
      </c>
      <c r="L3834">
        <v>3</v>
      </c>
      <c r="M3834">
        <v>0</v>
      </c>
      <c r="N3834">
        <v>2</v>
      </c>
      <c r="O3834">
        <v>0</v>
      </c>
      <c r="P3834">
        <v>1</v>
      </c>
      <c r="Q3834">
        <v>0</v>
      </c>
      <c r="R3834" t="s">
        <v>127</v>
      </c>
      <c r="S3834" t="str">
        <f t="shared" si="1516"/>
        <v>15:15:10.000</v>
      </c>
      <c r="T3834" t="str">
        <f t="shared" si="1516"/>
        <v>15:15:10.000</v>
      </c>
      <c r="U3834" t="str">
        <f t="shared" si="1497"/>
        <v>A68FCB</v>
      </c>
      <c r="V3834">
        <v>0</v>
      </c>
      <c r="W3834">
        <v>0</v>
      </c>
      <c r="X3834">
        <v>2</v>
      </c>
      <c r="Y3834">
        <v>0</v>
      </c>
      <c r="AA3834">
        <v>1</v>
      </c>
      <c r="AB3834">
        <v>8</v>
      </c>
      <c r="AC3834">
        <v>3</v>
      </c>
      <c r="AD3834">
        <v>0</v>
      </c>
      <c r="AE3834">
        <v>9</v>
      </c>
      <c r="AF3834" t="s">
        <v>138</v>
      </c>
      <c r="AG3834">
        <v>0</v>
      </c>
      <c r="AH3834">
        <v>3</v>
      </c>
      <c r="AI3834">
        <v>2</v>
      </c>
      <c r="AJ3834">
        <v>0</v>
      </c>
      <c r="AK3834" t="s">
        <v>1210</v>
      </c>
      <c r="AL3834">
        <v>39.171281</v>
      </c>
      <c r="AM3834" t="s">
        <v>1211</v>
      </c>
      <c r="AN3834">
        <v>-121.03036899999999</v>
      </c>
      <c r="AO3834">
        <v>25</v>
      </c>
      <c r="AP3834">
        <v>4300</v>
      </c>
      <c r="AQ3834" t="s">
        <v>131</v>
      </c>
      <c r="AR3834">
        <v>11</v>
      </c>
      <c r="AS3834">
        <v>87</v>
      </c>
      <c r="AT3834">
        <v>448</v>
      </c>
      <c r="BB3834" t="str">
        <f t="shared" si="1498"/>
        <v>1200</v>
      </c>
      <c r="BC3834">
        <v>1</v>
      </c>
      <c r="BD3834" t="str">
        <f t="shared" si="1499"/>
        <v xml:space="preserve">N52156  </v>
      </c>
      <c r="BE3834">
        <v>1</v>
      </c>
      <c r="BG3834">
        <v>0</v>
      </c>
      <c r="BH3834">
        <v>0</v>
      </c>
      <c r="BI3834">
        <v>0</v>
      </c>
      <c r="BJ3834">
        <v>4275</v>
      </c>
      <c r="BK3834">
        <v>-25</v>
      </c>
      <c r="BL3834" t="s">
        <v>188</v>
      </c>
      <c r="BM3834">
        <v>1</v>
      </c>
      <c r="BN3834">
        <v>1</v>
      </c>
      <c r="BO3834">
        <v>0</v>
      </c>
      <c r="BP3834">
        <v>0</v>
      </c>
      <c r="BS3834">
        <v>0</v>
      </c>
      <c r="BT3834">
        <v>0</v>
      </c>
      <c r="BU3834">
        <v>0</v>
      </c>
      <c r="CE3834" t="str">
        <f t="shared" si="1517"/>
        <v>15:15:10.349</v>
      </c>
      <c r="CF3834">
        <v>348740679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4</v>
      </c>
      <c r="CY3834">
        <v>7</v>
      </c>
      <c r="CZ3834" t="s">
        <v>133</v>
      </c>
      <c r="DA3834">
        <v>275</v>
      </c>
      <c r="DB3834">
        <v>0</v>
      </c>
      <c r="DC3834" t="s">
        <v>134</v>
      </c>
      <c r="DD3834" t="s">
        <v>135</v>
      </c>
      <c r="DG3834">
        <v>3323030</v>
      </c>
      <c r="DI3834">
        <v>1</v>
      </c>
      <c r="DJ3834">
        <v>0</v>
      </c>
      <c r="DK3834">
        <v>1</v>
      </c>
      <c r="DL3834">
        <v>0</v>
      </c>
      <c r="DM3834">
        <v>0</v>
      </c>
      <c r="DN3834">
        <v>0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3">
      <c r="A3835" t="str">
        <f>"05/01/2025 15:15:10.608"</f>
        <v>05/01/2025 15:15:10.608</v>
      </c>
      <c r="C3835" t="str">
        <f t="shared" si="1496"/>
        <v>FFDFD3C0</v>
      </c>
      <c r="D3835" t="s">
        <v>145</v>
      </c>
      <c r="E3835" t="str">
        <f>"05"</f>
        <v>05</v>
      </c>
      <c r="H3835">
        <v>47</v>
      </c>
      <c r="I3835" t="s">
        <v>146</v>
      </c>
      <c r="J3835" t="s">
        <v>138</v>
      </c>
      <c r="K3835">
        <v>0</v>
      </c>
      <c r="L3835">
        <v>3</v>
      </c>
      <c r="M3835">
        <v>0</v>
      </c>
      <c r="N3835">
        <v>2</v>
      </c>
      <c r="O3835">
        <v>0</v>
      </c>
      <c r="P3835">
        <v>1</v>
      </c>
      <c r="Q3835">
        <v>0</v>
      </c>
      <c r="R3835" t="s">
        <v>127</v>
      </c>
      <c r="S3835" t="str">
        <f t="shared" si="1516"/>
        <v>15:15:10.000</v>
      </c>
      <c r="T3835" t="str">
        <f t="shared" si="1516"/>
        <v>15:15:10.000</v>
      </c>
      <c r="U3835" t="str">
        <f t="shared" si="1497"/>
        <v>A68FCB</v>
      </c>
      <c r="V3835">
        <v>0</v>
      </c>
      <c r="W3835">
        <v>0</v>
      </c>
      <c r="X3835">
        <v>2</v>
      </c>
      <c r="Y3835">
        <v>0</v>
      </c>
      <c r="AA3835">
        <v>1</v>
      </c>
      <c r="AB3835">
        <v>8</v>
      </c>
      <c r="AC3835">
        <v>3</v>
      </c>
      <c r="AD3835">
        <v>0</v>
      </c>
      <c r="AE3835">
        <v>9</v>
      </c>
      <c r="AF3835" t="s">
        <v>138</v>
      </c>
      <c r="AG3835">
        <v>0</v>
      </c>
      <c r="AH3835">
        <v>3</v>
      </c>
      <c r="AI3835">
        <v>2</v>
      </c>
      <c r="AJ3835">
        <v>0</v>
      </c>
      <c r="AK3835" t="s">
        <v>1210</v>
      </c>
      <c r="AL3835">
        <v>39.171281</v>
      </c>
      <c r="AM3835" t="s">
        <v>1211</v>
      </c>
      <c r="AN3835">
        <v>-121.03036899999999</v>
      </c>
      <c r="AO3835">
        <v>25</v>
      </c>
      <c r="AP3835">
        <v>4300</v>
      </c>
      <c r="AQ3835" t="s">
        <v>131</v>
      </c>
      <c r="AR3835">
        <v>11</v>
      </c>
      <c r="AS3835">
        <v>87</v>
      </c>
      <c r="AT3835">
        <v>448</v>
      </c>
      <c r="BB3835" t="str">
        <f t="shared" si="1498"/>
        <v>1200</v>
      </c>
      <c r="BC3835">
        <v>1</v>
      </c>
      <c r="BD3835" t="str">
        <f t="shared" si="1499"/>
        <v xml:space="preserve">N52156  </v>
      </c>
      <c r="BE3835">
        <v>1</v>
      </c>
      <c r="BG3835">
        <v>0</v>
      </c>
      <c r="BH3835">
        <v>0</v>
      </c>
      <c r="BI3835">
        <v>0</v>
      </c>
      <c r="BJ3835">
        <v>4275</v>
      </c>
      <c r="BK3835">
        <v>-25</v>
      </c>
      <c r="BL3835" t="s">
        <v>188</v>
      </c>
      <c r="BM3835">
        <v>1</v>
      </c>
      <c r="BN3835">
        <v>1</v>
      </c>
      <c r="BO3835">
        <v>0</v>
      </c>
      <c r="BP3835">
        <v>0</v>
      </c>
      <c r="BS3835">
        <v>0</v>
      </c>
      <c r="BT3835">
        <v>0</v>
      </c>
      <c r="BU3835">
        <v>0</v>
      </c>
      <c r="CE3835" t="str">
        <f t="shared" si="1517"/>
        <v>15:15:10.349</v>
      </c>
      <c r="CF3835">
        <v>348740679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4</v>
      </c>
      <c r="CY3835">
        <v>7</v>
      </c>
      <c r="CZ3835" t="s">
        <v>133</v>
      </c>
      <c r="DA3835">
        <v>275</v>
      </c>
      <c r="DB3835">
        <v>0</v>
      </c>
      <c r="DC3835" t="s">
        <v>134</v>
      </c>
      <c r="DD3835" t="s">
        <v>135</v>
      </c>
      <c r="DG3835">
        <v>3323030</v>
      </c>
      <c r="DI3835">
        <v>1</v>
      </c>
      <c r="DJ3835">
        <v>0</v>
      </c>
      <c r="DK3835">
        <v>1</v>
      </c>
      <c r="DL3835">
        <v>0</v>
      </c>
      <c r="DM3835">
        <v>0</v>
      </c>
      <c r="DN3835">
        <v>0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3">
      <c r="A3836" t="str">
        <f>"05/01/2025 15:15:12.143"</f>
        <v>05/01/2025 15:15:12.143</v>
      </c>
      <c r="C3836" t="str">
        <f t="shared" si="1496"/>
        <v>FFDFD3C0</v>
      </c>
      <c r="D3836" t="s">
        <v>140</v>
      </c>
      <c r="E3836" t="str">
        <f>"13"</f>
        <v>13</v>
      </c>
      <c r="F3836">
        <v>1019</v>
      </c>
      <c r="G3836" t="s">
        <v>141</v>
      </c>
      <c r="J3836" t="s">
        <v>142</v>
      </c>
      <c r="K3836">
        <v>0</v>
      </c>
      <c r="L3836">
        <v>3</v>
      </c>
      <c r="M3836">
        <v>0</v>
      </c>
      <c r="N3836">
        <v>2</v>
      </c>
      <c r="O3836">
        <v>0</v>
      </c>
      <c r="P3836">
        <v>1</v>
      </c>
      <c r="Q3836">
        <v>0</v>
      </c>
      <c r="R3836" t="s">
        <v>127</v>
      </c>
      <c r="S3836" t="str">
        <f t="shared" ref="S3836:T3841" si="1518">"15:15:11.000"</f>
        <v>15:15:11.000</v>
      </c>
      <c r="T3836" t="str">
        <f t="shared" si="1518"/>
        <v>15:15:11.000</v>
      </c>
      <c r="U3836" t="str">
        <f t="shared" si="1497"/>
        <v>A68FCB</v>
      </c>
      <c r="V3836">
        <v>0</v>
      </c>
      <c r="W3836">
        <v>0</v>
      </c>
      <c r="X3836">
        <v>2</v>
      </c>
      <c r="Y3836">
        <v>0</v>
      </c>
      <c r="AA3836">
        <v>1</v>
      </c>
      <c r="AB3836">
        <v>8</v>
      </c>
      <c r="AC3836">
        <v>3</v>
      </c>
      <c r="AD3836">
        <v>0</v>
      </c>
      <c r="AE3836">
        <v>9</v>
      </c>
      <c r="AF3836" t="s">
        <v>138</v>
      </c>
      <c r="AG3836">
        <v>0</v>
      </c>
      <c r="AH3836">
        <v>3</v>
      </c>
      <c r="AI3836">
        <v>2</v>
      </c>
      <c r="AJ3836">
        <v>0</v>
      </c>
      <c r="AK3836" t="s">
        <v>1212</v>
      </c>
      <c r="AL3836">
        <v>39.171689000000001</v>
      </c>
      <c r="AM3836" t="s">
        <v>1213</v>
      </c>
      <c r="AN3836">
        <v>-121.030304</v>
      </c>
      <c r="AO3836">
        <v>25</v>
      </c>
      <c r="AP3836">
        <v>4300</v>
      </c>
      <c r="AQ3836" t="s">
        <v>131</v>
      </c>
      <c r="AR3836">
        <v>12</v>
      </c>
      <c r="AS3836">
        <v>86</v>
      </c>
      <c r="AT3836">
        <v>384</v>
      </c>
      <c r="BB3836" t="str">
        <f t="shared" si="1498"/>
        <v>1200</v>
      </c>
      <c r="BC3836">
        <v>1</v>
      </c>
      <c r="BD3836" t="str">
        <f t="shared" si="1499"/>
        <v xml:space="preserve">N52156  </v>
      </c>
      <c r="BE3836">
        <v>1</v>
      </c>
      <c r="BG3836">
        <v>0</v>
      </c>
      <c r="BH3836">
        <v>0</v>
      </c>
      <c r="BI3836">
        <v>0</v>
      </c>
      <c r="BJ3836">
        <v>4300</v>
      </c>
      <c r="BK3836">
        <v>0</v>
      </c>
      <c r="BL3836" t="s">
        <v>188</v>
      </c>
      <c r="BM3836">
        <v>1</v>
      </c>
      <c r="BN3836">
        <v>1</v>
      </c>
      <c r="BO3836">
        <v>0</v>
      </c>
      <c r="BP3836">
        <v>0</v>
      </c>
      <c r="BS3836">
        <v>0</v>
      </c>
      <c r="BT3836">
        <v>0</v>
      </c>
      <c r="BU3836">
        <v>0</v>
      </c>
      <c r="CE3836" t="str">
        <f t="shared" ref="CE3836:CE3841" si="1519">"15:15:11.915"</f>
        <v>15:15:11.915</v>
      </c>
      <c r="CF3836">
        <v>915492243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4</v>
      </c>
      <c r="CY3836">
        <v>7</v>
      </c>
      <c r="CZ3836" t="s">
        <v>133</v>
      </c>
      <c r="DA3836">
        <v>275</v>
      </c>
      <c r="DB3836">
        <v>0</v>
      </c>
      <c r="DC3836" t="s">
        <v>134</v>
      </c>
      <c r="DD3836" t="s">
        <v>135</v>
      </c>
      <c r="DG3836">
        <v>3323038</v>
      </c>
      <c r="DI3836">
        <v>1</v>
      </c>
      <c r="DJ3836">
        <v>0</v>
      </c>
      <c r="DK3836">
        <v>0</v>
      </c>
      <c r="DL3836">
        <v>0</v>
      </c>
      <c r="DM3836">
        <v>0</v>
      </c>
      <c r="DN3836">
        <v>0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3">
      <c r="A3837" t="str">
        <f>"05/01/2025 15:15:12.142"</f>
        <v>05/01/2025 15:15:12.142</v>
      </c>
      <c r="C3837" t="str">
        <f t="shared" si="1496"/>
        <v>FFDFD3C0</v>
      </c>
      <c r="D3837" t="s">
        <v>143</v>
      </c>
      <c r="E3837" t="str">
        <f>"05"</f>
        <v>05</v>
      </c>
      <c r="H3837">
        <v>172</v>
      </c>
      <c r="I3837" t="s">
        <v>141</v>
      </c>
      <c r="J3837" t="s">
        <v>144</v>
      </c>
      <c r="K3837">
        <v>0</v>
      </c>
      <c r="L3837">
        <v>3</v>
      </c>
      <c r="M3837">
        <v>0</v>
      </c>
      <c r="N3837">
        <v>2</v>
      </c>
      <c r="O3837">
        <v>0</v>
      </c>
      <c r="P3837">
        <v>1</v>
      </c>
      <c r="Q3837">
        <v>0</v>
      </c>
      <c r="R3837" t="s">
        <v>127</v>
      </c>
      <c r="S3837" t="str">
        <f t="shared" si="1518"/>
        <v>15:15:11.000</v>
      </c>
      <c r="T3837" t="str">
        <f t="shared" si="1518"/>
        <v>15:15:11.000</v>
      </c>
      <c r="U3837" t="str">
        <f t="shared" si="1497"/>
        <v>A68FCB</v>
      </c>
      <c r="V3837">
        <v>0</v>
      </c>
      <c r="W3837">
        <v>0</v>
      </c>
      <c r="X3837">
        <v>2</v>
      </c>
      <c r="Y3837">
        <v>0</v>
      </c>
      <c r="AA3837">
        <v>1</v>
      </c>
      <c r="AB3837">
        <v>8</v>
      </c>
      <c r="AC3837">
        <v>3</v>
      </c>
      <c r="AD3837">
        <v>0</v>
      </c>
      <c r="AE3837">
        <v>9</v>
      </c>
      <c r="AF3837" t="s">
        <v>138</v>
      </c>
      <c r="AG3837">
        <v>0</v>
      </c>
      <c r="AH3837">
        <v>3</v>
      </c>
      <c r="AI3837">
        <v>2</v>
      </c>
      <c r="AJ3837">
        <v>0</v>
      </c>
      <c r="AK3837" t="s">
        <v>1212</v>
      </c>
      <c r="AL3837">
        <v>39.171689000000001</v>
      </c>
      <c r="AM3837" t="s">
        <v>1213</v>
      </c>
      <c r="AN3837">
        <v>-121.030304</v>
      </c>
      <c r="AO3837">
        <v>25</v>
      </c>
      <c r="AP3837">
        <v>4300</v>
      </c>
      <c r="AQ3837" t="s">
        <v>131</v>
      </c>
      <c r="AR3837">
        <v>12</v>
      </c>
      <c r="AS3837">
        <v>86</v>
      </c>
      <c r="AT3837">
        <v>384</v>
      </c>
      <c r="BB3837" t="str">
        <f t="shared" si="1498"/>
        <v>1200</v>
      </c>
      <c r="BC3837">
        <v>1</v>
      </c>
      <c r="BD3837" t="str">
        <f t="shared" si="1499"/>
        <v xml:space="preserve">N52156  </v>
      </c>
      <c r="BE3837">
        <v>1</v>
      </c>
      <c r="BG3837">
        <v>0</v>
      </c>
      <c r="BH3837">
        <v>0</v>
      </c>
      <c r="BI3837">
        <v>0</v>
      </c>
      <c r="BJ3837">
        <v>4300</v>
      </c>
      <c r="BK3837">
        <v>0</v>
      </c>
      <c r="BL3837" t="s">
        <v>188</v>
      </c>
      <c r="BM3837">
        <v>1</v>
      </c>
      <c r="BN3837">
        <v>1</v>
      </c>
      <c r="BO3837">
        <v>0</v>
      </c>
      <c r="BP3837">
        <v>0</v>
      </c>
      <c r="BS3837">
        <v>0</v>
      </c>
      <c r="BT3837">
        <v>0</v>
      </c>
      <c r="BU3837">
        <v>0</v>
      </c>
      <c r="CE3837" t="str">
        <f t="shared" si="1519"/>
        <v>15:15:11.915</v>
      </c>
      <c r="CF3837">
        <v>915492243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4</v>
      </c>
      <c r="CY3837">
        <v>7</v>
      </c>
      <c r="CZ3837" t="s">
        <v>133</v>
      </c>
      <c r="DA3837">
        <v>275</v>
      </c>
      <c r="DB3837">
        <v>0</v>
      </c>
      <c r="DC3837" t="s">
        <v>134</v>
      </c>
      <c r="DD3837" t="s">
        <v>135</v>
      </c>
      <c r="DG3837">
        <v>3323038</v>
      </c>
      <c r="DI3837">
        <v>1</v>
      </c>
      <c r="DJ3837">
        <v>0</v>
      </c>
      <c r="DK3837">
        <v>1</v>
      </c>
      <c r="DL3837">
        <v>0</v>
      </c>
      <c r="DM3837">
        <v>0</v>
      </c>
      <c r="DN3837">
        <v>0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3">
      <c r="A3838" t="str">
        <f>"05/01/2025 15:15:12.148"</f>
        <v>05/01/2025 15:15:12.148</v>
      </c>
      <c r="C3838" t="str">
        <f t="shared" si="1496"/>
        <v>FFDFD3C0</v>
      </c>
      <c r="D3838" t="s">
        <v>124</v>
      </c>
      <c r="E3838" t="str">
        <f>"06"</f>
        <v>06</v>
      </c>
      <c r="F3838">
        <v>2006</v>
      </c>
      <c r="G3838" t="s">
        <v>125</v>
      </c>
      <c r="J3838" t="s">
        <v>126</v>
      </c>
      <c r="K3838">
        <v>0</v>
      </c>
      <c r="L3838">
        <v>3</v>
      </c>
      <c r="M3838">
        <v>0</v>
      </c>
      <c r="N3838">
        <v>2</v>
      </c>
      <c r="O3838">
        <v>0</v>
      </c>
      <c r="P3838">
        <v>1</v>
      </c>
      <c r="Q3838">
        <v>0</v>
      </c>
      <c r="R3838" t="s">
        <v>127</v>
      </c>
      <c r="S3838" t="str">
        <f t="shared" si="1518"/>
        <v>15:15:11.000</v>
      </c>
      <c r="T3838" t="str">
        <f t="shared" si="1518"/>
        <v>15:15:11.000</v>
      </c>
      <c r="U3838" t="str">
        <f t="shared" si="1497"/>
        <v>A68FCB</v>
      </c>
      <c r="V3838">
        <v>0</v>
      </c>
      <c r="W3838">
        <v>0</v>
      </c>
      <c r="X3838">
        <v>2</v>
      </c>
      <c r="Y3838">
        <v>0</v>
      </c>
      <c r="AA3838">
        <v>1</v>
      </c>
      <c r="AB3838">
        <v>8</v>
      </c>
      <c r="AC3838">
        <v>3</v>
      </c>
      <c r="AD3838">
        <v>0</v>
      </c>
      <c r="AE3838">
        <v>9</v>
      </c>
      <c r="AF3838" t="s">
        <v>138</v>
      </c>
      <c r="AG3838">
        <v>0</v>
      </c>
      <c r="AH3838">
        <v>3</v>
      </c>
      <c r="AI3838">
        <v>2</v>
      </c>
      <c r="AJ3838">
        <v>0</v>
      </c>
      <c r="AK3838" t="s">
        <v>1212</v>
      </c>
      <c r="AL3838">
        <v>39.171689000000001</v>
      </c>
      <c r="AM3838" t="s">
        <v>1213</v>
      </c>
      <c r="AN3838">
        <v>-121.030304</v>
      </c>
      <c r="AO3838">
        <v>25</v>
      </c>
      <c r="AP3838">
        <v>4300</v>
      </c>
      <c r="AQ3838" t="s">
        <v>131</v>
      </c>
      <c r="AR3838">
        <v>12</v>
      </c>
      <c r="AS3838">
        <v>86</v>
      </c>
      <c r="AT3838">
        <v>384</v>
      </c>
      <c r="BB3838" t="str">
        <f t="shared" si="1498"/>
        <v>1200</v>
      </c>
      <c r="BC3838">
        <v>1</v>
      </c>
      <c r="BD3838" t="str">
        <f t="shared" si="1499"/>
        <v xml:space="preserve">N52156  </v>
      </c>
      <c r="BE3838">
        <v>1</v>
      </c>
      <c r="BG3838">
        <v>0</v>
      </c>
      <c r="BH3838">
        <v>0</v>
      </c>
      <c r="BI3838">
        <v>0</v>
      </c>
      <c r="BJ3838">
        <v>4300</v>
      </c>
      <c r="BK3838">
        <v>0</v>
      </c>
      <c r="BL3838" t="s">
        <v>188</v>
      </c>
      <c r="BM3838">
        <v>1</v>
      </c>
      <c r="BN3838">
        <v>1</v>
      </c>
      <c r="BO3838">
        <v>0</v>
      </c>
      <c r="BP3838">
        <v>0</v>
      </c>
      <c r="BS3838">
        <v>0</v>
      </c>
      <c r="BT3838">
        <v>0</v>
      </c>
      <c r="BU3838">
        <v>0</v>
      </c>
      <c r="CE3838" t="str">
        <f t="shared" si="1519"/>
        <v>15:15:11.915</v>
      </c>
      <c r="CF3838">
        <v>915492243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4</v>
      </c>
      <c r="CY3838">
        <v>7</v>
      </c>
      <c r="CZ3838" t="s">
        <v>133</v>
      </c>
      <c r="DA3838">
        <v>275</v>
      </c>
      <c r="DB3838">
        <v>0</v>
      </c>
      <c r="DC3838" t="s">
        <v>134</v>
      </c>
      <c r="DD3838" t="s">
        <v>135</v>
      </c>
      <c r="DG3838">
        <v>3323038</v>
      </c>
      <c r="DI3838">
        <v>1</v>
      </c>
      <c r="DJ3838">
        <v>0</v>
      </c>
      <c r="DK3838">
        <v>1</v>
      </c>
      <c r="DL3838">
        <v>0</v>
      </c>
      <c r="DM3838">
        <v>0</v>
      </c>
      <c r="DN3838">
        <v>0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3">
      <c r="A3839" t="str">
        <f>"05/01/2025 15:15:12.159"</f>
        <v>05/01/2025 15:15:12.159</v>
      </c>
      <c r="C3839" t="str">
        <f t="shared" si="1496"/>
        <v>FFDFD3C0</v>
      </c>
      <c r="D3839" t="s">
        <v>145</v>
      </c>
      <c r="E3839" t="str">
        <f>"09"</f>
        <v>09</v>
      </c>
      <c r="H3839">
        <v>51</v>
      </c>
      <c r="I3839" t="s">
        <v>147</v>
      </c>
      <c r="J3839" t="s">
        <v>138</v>
      </c>
      <c r="K3839">
        <v>0</v>
      </c>
      <c r="L3839">
        <v>3</v>
      </c>
      <c r="M3839">
        <v>0</v>
      </c>
      <c r="N3839">
        <v>2</v>
      </c>
      <c r="O3839">
        <v>0</v>
      </c>
      <c r="P3839">
        <v>1</v>
      </c>
      <c r="Q3839">
        <v>0</v>
      </c>
      <c r="R3839" t="s">
        <v>127</v>
      </c>
      <c r="S3839" t="str">
        <f t="shared" si="1518"/>
        <v>15:15:11.000</v>
      </c>
      <c r="T3839" t="str">
        <f t="shared" si="1518"/>
        <v>15:15:11.000</v>
      </c>
      <c r="U3839" t="str">
        <f t="shared" si="1497"/>
        <v>A68FCB</v>
      </c>
      <c r="V3839">
        <v>0</v>
      </c>
      <c r="W3839">
        <v>0</v>
      </c>
      <c r="X3839">
        <v>2</v>
      </c>
      <c r="Y3839">
        <v>0</v>
      </c>
      <c r="AA3839">
        <v>1</v>
      </c>
      <c r="AB3839">
        <v>8</v>
      </c>
      <c r="AC3839">
        <v>3</v>
      </c>
      <c r="AD3839">
        <v>0</v>
      </c>
      <c r="AE3839">
        <v>9</v>
      </c>
      <c r="AF3839" t="s">
        <v>138</v>
      </c>
      <c r="AG3839">
        <v>0</v>
      </c>
      <c r="AH3839">
        <v>3</v>
      </c>
      <c r="AI3839">
        <v>2</v>
      </c>
      <c r="AJ3839">
        <v>0</v>
      </c>
      <c r="AK3839" t="s">
        <v>1212</v>
      </c>
      <c r="AL3839">
        <v>39.171689000000001</v>
      </c>
      <c r="AM3839" t="s">
        <v>1213</v>
      </c>
      <c r="AN3839">
        <v>-121.030304</v>
      </c>
      <c r="AO3839">
        <v>25</v>
      </c>
      <c r="AP3839">
        <v>4300</v>
      </c>
      <c r="AQ3839" t="s">
        <v>131</v>
      </c>
      <c r="AR3839">
        <v>12</v>
      </c>
      <c r="AS3839">
        <v>86</v>
      </c>
      <c r="AT3839">
        <v>384</v>
      </c>
      <c r="BB3839" t="str">
        <f t="shared" si="1498"/>
        <v>1200</v>
      </c>
      <c r="BC3839">
        <v>1</v>
      </c>
      <c r="BD3839" t="str">
        <f t="shared" si="1499"/>
        <v xml:space="preserve">N52156  </v>
      </c>
      <c r="BE3839">
        <v>1</v>
      </c>
      <c r="BG3839">
        <v>0</v>
      </c>
      <c r="BH3839">
        <v>0</v>
      </c>
      <c r="BI3839">
        <v>0</v>
      </c>
      <c r="BJ3839">
        <v>4300</v>
      </c>
      <c r="BK3839">
        <v>0</v>
      </c>
      <c r="BL3839" t="s">
        <v>188</v>
      </c>
      <c r="BM3839">
        <v>1</v>
      </c>
      <c r="BN3839">
        <v>1</v>
      </c>
      <c r="BO3839">
        <v>0</v>
      </c>
      <c r="BP3839">
        <v>0</v>
      </c>
      <c r="BS3839">
        <v>0</v>
      </c>
      <c r="BT3839">
        <v>0</v>
      </c>
      <c r="BU3839">
        <v>0</v>
      </c>
      <c r="CE3839" t="str">
        <f t="shared" si="1519"/>
        <v>15:15:11.915</v>
      </c>
      <c r="CF3839">
        <v>915492243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4</v>
      </c>
      <c r="CY3839">
        <v>7</v>
      </c>
      <c r="CZ3839" t="s">
        <v>133</v>
      </c>
      <c r="DA3839">
        <v>275</v>
      </c>
      <c r="DB3839">
        <v>0</v>
      </c>
      <c r="DC3839" t="s">
        <v>134</v>
      </c>
      <c r="DD3839" t="s">
        <v>135</v>
      </c>
      <c r="DG3839">
        <v>3323038</v>
      </c>
      <c r="DI3839">
        <v>1</v>
      </c>
      <c r="DJ3839">
        <v>0</v>
      </c>
      <c r="DK3839">
        <v>1</v>
      </c>
      <c r="DL3839">
        <v>0</v>
      </c>
      <c r="DM3839">
        <v>0</v>
      </c>
      <c r="DN3839">
        <v>0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3">
      <c r="A3840" t="str">
        <f>"05/01/2025 15:15:12.161"</f>
        <v>05/01/2025 15:15:12.161</v>
      </c>
      <c r="C3840" t="str">
        <f t="shared" si="1496"/>
        <v>FFDFD3C0</v>
      </c>
      <c r="D3840" t="s">
        <v>145</v>
      </c>
      <c r="E3840" t="str">
        <f>"05"</f>
        <v>05</v>
      </c>
      <c r="H3840">
        <v>47</v>
      </c>
      <c r="I3840" t="s">
        <v>146</v>
      </c>
      <c r="J3840" t="s">
        <v>138</v>
      </c>
      <c r="K3840">
        <v>0</v>
      </c>
      <c r="L3840">
        <v>3</v>
      </c>
      <c r="M3840">
        <v>0</v>
      </c>
      <c r="N3840">
        <v>2</v>
      </c>
      <c r="O3840">
        <v>0</v>
      </c>
      <c r="P3840">
        <v>1</v>
      </c>
      <c r="Q3840">
        <v>0</v>
      </c>
      <c r="R3840" t="s">
        <v>127</v>
      </c>
      <c r="S3840" t="str">
        <f t="shared" si="1518"/>
        <v>15:15:11.000</v>
      </c>
      <c r="T3840" t="str">
        <f t="shared" si="1518"/>
        <v>15:15:11.000</v>
      </c>
      <c r="U3840" t="str">
        <f t="shared" si="1497"/>
        <v>A68FCB</v>
      </c>
      <c r="V3840">
        <v>0</v>
      </c>
      <c r="W3840">
        <v>0</v>
      </c>
      <c r="X3840">
        <v>2</v>
      </c>
      <c r="Y3840">
        <v>0</v>
      </c>
      <c r="AA3840">
        <v>1</v>
      </c>
      <c r="AB3840">
        <v>8</v>
      </c>
      <c r="AC3840">
        <v>3</v>
      </c>
      <c r="AD3840">
        <v>0</v>
      </c>
      <c r="AE3840">
        <v>9</v>
      </c>
      <c r="AF3840" t="s">
        <v>138</v>
      </c>
      <c r="AG3840">
        <v>0</v>
      </c>
      <c r="AH3840">
        <v>3</v>
      </c>
      <c r="AI3840">
        <v>2</v>
      </c>
      <c r="AJ3840">
        <v>0</v>
      </c>
      <c r="AK3840" t="s">
        <v>1212</v>
      </c>
      <c r="AL3840">
        <v>39.171689000000001</v>
      </c>
      <c r="AM3840" t="s">
        <v>1213</v>
      </c>
      <c r="AN3840">
        <v>-121.030304</v>
      </c>
      <c r="AO3840">
        <v>25</v>
      </c>
      <c r="AP3840">
        <v>4300</v>
      </c>
      <c r="AQ3840" t="s">
        <v>131</v>
      </c>
      <c r="AR3840">
        <v>12</v>
      </c>
      <c r="AS3840">
        <v>86</v>
      </c>
      <c r="AT3840">
        <v>384</v>
      </c>
      <c r="BB3840" t="str">
        <f t="shared" si="1498"/>
        <v>1200</v>
      </c>
      <c r="BC3840">
        <v>1</v>
      </c>
      <c r="BD3840" t="str">
        <f t="shared" si="1499"/>
        <v xml:space="preserve">N52156  </v>
      </c>
      <c r="BE3840">
        <v>1</v>
      </c>
      <c r="BG3840">
        <v>0</v>
      </c>
      <c r="BH3840">
        <v>0</v>
      </c>
      <c r="BI3840">
        <v>0</v>
      </c>
      <c r="BJ3840">
        <v>4300</v>
      </c>
      <c r="BK3840">
        <v>0</v>
      </c>
      <c r="BL3840" t="s">
        <v>188</v>
      </c>
      <c r="BM3840">
        <v>1</v>
      </c>
      <c r="BN3840">
        <v>1</v>
      </c>
      <c r="BO3840">
        <v>0</v>
      </c>
      <c r="BP3840">
        <v>0</v>
      </c>
      <c r="BS3840">
        <v>0</v>
      </c>
      <c r="BT3840">
        <v>0</v>
      </c>
      <c r="BU3840">
        <v>0</v>
      </c>
      <c r="CE3840" t="str">
        <f t="shared" si="1519"/>
        <v>15:15:11.915</v>
      </c>
      <c r="CF3840">
        <v>915492243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4</v>
      </c>
      <c r="CY3840">
        <v>7</v>
      </c>
      <c r="CZ3840" t="s">
        <v>133</v>
      </c>
      <c r="DA3840">
        <v>275</v>
      </c>
      <c r="DB3840">
        <v>0</v>
      </c>
      <c r="DC3840" t="s">
        <v>134</v>
      </c>
      <c r="DD3840" t="s">
        <v>135</v>
      </c>
      <c r="DG3840">
        <v>3323038</v>
      </c>
      <c r="DI3840">
        <v>1</v>
      </c>
      <c r="DJ3840">
        <v>0</v>
      </c>
      <c r="DK3840">
        <v>1</v>
      </c>
      <c r="DL3840">
        <v>0</v>
      </c>
      <c r="DM3840">
        <v>0</v>
      </c>
      <c r="DN3840">
        <v>0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3">
      <c r="A3841" t="str">
        <f>"05/01/2025 15:15:12.172"</f>
        <v>05/01/2025 15:15:12.172</v>
      </c>
      <c r="C3841" t="str">
        <f t="shared" si="1496"/>
        <v>FFDFD3C0</v>
      </c>
      <c r="D3841" t="s">
        <v>136</v>
      </c>
      <c r="E3841" t="str">
        <f>"20"</f>
        <v>20</v>
      </c>
      <c r="H3841">
        <v>400</v>
      </c>
      <c r="I3841" t="s">
        <v>137</v>
      </c>
      <c r="J3841" t="s">
        <v>138</v>
      </c>
      <c r="K3841">
        <v>0</v>
      </c>
      <c r="L3841">
        <v>3</v>
      </c>
      <c r="M3841">
        <v>0</v>
      </c>
      <c r="N3841">
        <v>2</v>
      </c>
      <c r="O3841">
        <v>0</v>
      </c>
      <c r="P3841">
        <v>1</v>
      </c>
      <c r="Q3841">
        <v>0</v>
      </c>
      <c r="R3841" t="s">
        <v>127</v>
      </c>
      <c r="S3841" t="str">
        <f t="shared" si="1518"/>
        <v>15:15:11.000</v>
      </c>
      <c r="T3841" t="str">
        <f t="shared" si="1518"/>
        <v>15:15:11.000</v>
      </c>
      <c r="U3841" t="str">
        <f t="shared" si="1497"/>
        <v>A68FCB</v>
      </c>
      <c r="V3841">
        <v>0</v>
      </c>
      <c r="W3841">
        <v>0</v>
      </c>
      <c r="X3841">
        <v>2</v>
      </c>
      <c r="Y3841">
        <v>0</v>
      </c>
      <c r="AA3841">
        <v>1</v>
      </c>
      <c r="AB3841">
        <v>8</v>
      </c>
      <c r="AC3841">
        <v>3</v>
      </c>
      <c r="AD3841">
        <v>0</v>
      </c>
      <c r="AE3841">
        <v>9</v>
      </c>
      <c r="AF3841" t="s">
        <v>138</v>
      </c>
      <c r="AG3841">
        <v>0</v>
      </c>
      <c r="AH3841">
        <v>3</v>
      </c>
      <c r="AI3841">
        <v>2</v>
      </c>
      <c r="AJ3841">
        <v>0</v>
      </c>
      <c r="AK3841" t="s">
        <v>1212</v>
      </c>
      <c r="AL3841">
        <v>39.171689000000001</v>
      </c>
      <c r="AM3841" t="s">
        <v>1213</v>
      </c>
      <c r="AN3841">
        <v>-121.030304</v>
      </c>
      <c r="AO3841">
        <v>25</v>
      </c>
      <c r="AP3841">
        <v>4300</v>
      </c>
      <c r="AQ3841" t="s">
        <v>131</v>
      </c>
      <c r="AR3841">
        <v>12</v>
      </c>
      <c r="AS3841">
        <v>86</v>
      </c>
      <c r="AT3841">
        <v>384</v>
      </c>
      <c r="BB3841" t="str">
        <f t="shared" si="1498"/>
        <v>1200</v>
      </c>
      <c r="BC3841">
        <v>1</v>
      </c>
      <c r="BD3841" t="str">
        <f t="shared" si="1499"/>
        <v xml:space="preserve">N52156  </v>
      </c>
      <c r="BE3841">
        <v>1</v>
      </c>
      <c r="BG3841">
        <v>0</v>
      </c>
      <c r="BH3841">
        <v>0</v>
      </c>
      <c r="BI3841">
        <v>0</v>
      </c>
      <c r="BJ3841">
        <v>4300</v>
      </c>
      <c r="BK3841">
        <v>0</v>
      </c>
      <c r="BL3841" t="s">
        <v>188</v>
      </c>
      <c r="BM3841">
        <v>1</v>
      </c>
      <c r="BN3841">
        <v>1</v>
      </c>
      <c r="BO3841">
        <v>0</v>
      </c>
      <c r="BP3841">
        <v>0</v>
      </c>
      <c r="BS3841">
        <v>0</v>
      </c>
      <c r="BT3841">
        <v>0</v>
      </c>
      <c r="BU3841">
        <v>0</v>
      </c>
      <c r="CE3841" t="str">
        <f t="shared" si="1519"/>
        <v>15:15:11.915</v>
      </c>
      <c r="CF3841">
        <v>915492243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4</v>
      </c>
      <c r="CY3841">
        <v>7</v>
      </c>
      <c r="CZ3841" t="s">
        <v>133</v>
      </c>
      <c r="DA3841">
        <v>275</v>
      </c>
      <c r="DB3841">
        <v>0</v>
      </c>
      <c r="DC3841" t="s">
        <v>134</v>
      </c>
      <c r="DD3841" t="s">
        <v>135</v>
      </c>
      <c r="DG3841">
        <v>3323038</v>
      </c>
      <c r="DI3841">
        <v>1</v>
      </c>
      <c r="DJ3841">
        <v>0</v>
      </c>
      <c r="DK3841">
        <v>1</v>
      </c>
      <c r="DL3841">
        <v>0</v>
      </c>
      <c r="DM3841">
        <v>0</v>
      </c>
      <c r="DN3841">
        <v>0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3">
      <c r="A3842" t="str">
        <f>"05/01/2025 15:15:12.444"</f>
        <v>05/01/2025 15:15:12.444</v>
      </c>
      <c r="C3842" t="str">
        <f t="shared" ref="C3842:C3905" si="1520">"FFDFD3C0"</f>
        <v>FFDFD3C0</v>
      </c>
      <c r="D3842" t="s">
        <v>140</v>
      </c>
      <c r="E3842" t="str">
        <f>"13"</f>
        <v>13</v>
      </c>
      <c r="F3842">
        <v>1019</v>
      </c>
      <c r="G3842" t="s">
        <v>141</v>
      </c>
      <c r="J3842" t="s">
        <v>142</v>
      </c>
      <c r="K3842">
        <v>0</v>
      </c>
      <c r="L3842">
        <v>3</v>
      </c>
      <c r="M3842">
        <v>0</v>
      </c>
      <c r="N3842">
        <v>2</v>
      </c>
      <c r="O3842">
        <v>0</v>
      </c>
      <c r="P3842">
        <v>1</v>
      </c>
      <c r="Q3842">
        <v>0</v>
      </c>
      <c r="R3842" t="s">
        <v>127</v>
      </c>
      <c r="S3842" t="str">
        <f t="shared" ref="S3842:T3847" si="1521">"15:15:12.000"</f>
        <v>15:15:12.000</v>
      </c>
      <c r="T3842" t="str">
        <f t="shared" si="1521"/>
        <v>15:15:12.000</v>
      </c>
      <c r="U3842" t="str">
        <f t="shared" ref="U3842:U3905" si="1522">"A68FCB"</f>
        <v>A68FCB</v>
      </c>
      <c r="V3842">
        <v>0</v>
      </c>
      <c r="W3842">
        <v>0</v>
      </c>
      <c r="X3842">
        <v>2</v>
      </c>
      <c r="Y3842">
        <v>0</v>
      </c>
      <c r="AA3842">
        <v>1</v>
      </c>
      <c r="AB3842">
        <v>8</v>
      </c>
      <c r="AC3842">
        <v>3</v>
      </c>
      <c r="AD3842">
        <v>0</v>
      </c>
      <c r="AE3842">
        <v>9</v>
      </c>
      <c r="AF3842" t="s">
        <v>138</v>
      </c>
      <c r="AG3842">
        <v>0</v>
      </c>
      <c r="AH3842">
        <v>3</v>
      </c>
      <c r="AI3842">
        <v>2</v>
      </c>
      <c r="AJ3842">
        <v>0</v>
      </c>
      <c r="AK3842" t="s">
        <v>1214</v>
      </c>
      <c r="AL3842">
        <v>39.172096000000003</v>
      </c>
      <c r="AM3842" t="s">
        <v>1215</v>
      </c>
      <c r="AN3842">
        <v>-121.03024000000001</v>
      </c>
      <c r="AO3842">
        <v>25</v>
      </c>
      <c r="AP3842">
        <v>4300</v>
      </c>
      <c r="AQ3842" t="s">
        <v>131</v>
      </c>
      <c r="AR3842">
        <v>12</v>
      </c>
      <c r="AS3842">
        <v>86</v>
      </c>
      <c r="AT3842">
        <v>384</v>
      </c>
      <c r="BB3842" t="str">
        <f t="shared" ref="BB3842:BB3905" si="1523">"1200"</f>
        <v>1200</v>
      </c>
      <c r="BC3842">
        <v>1</v>
      </c>
      <c r="BD3842" t="str">
        <f t="shared" ref="BD3842:BD3905" si="1524">"N52156  "</f>
        <v xml:space="preserve">N52156  </v>
      </c>
      <c r="BE3842">
        <v>1</v>
      </c>
      <c r="BG3842">
        <v>0</v>
      </c>
      <c r="BH3842">
        <v>0</v>
      </c>
      <c r="BI3842">
        <v>0</v>
      </c>
      <c r="BJ3842">
        <v>4300</v>
      </c>
      <c r="BK3842">
        <v>0</v>
      </c>
      <c r="BL3842" t="s">
        <v>188</v>
      </c>
      <c r="BM3842">
        <v>1</v>
      </c>
      <c r="BN3842">
        <v>1</v>
      </c>
      <c r="BO3842">
        <v>0</v>
      </c>
      <c r="BP3842">
        <v>0</v>
      </c>
      <c r="BS3842">
        <v>0</v>
      </c>
      <c r="BT3842">
        <v>0</v>
      </c>
      <c r="BU3842">
        <v>0</v>
      </c>
      <c r="CE3842" t="str">
        <f t="shared" ref="CE3842:CE3847" si="1525">"15:15:12.223"</f>
        <v>15:15:12.223</v>
      </c>
      <c r="CF3842">
        <v>223490523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3</v>
      </c>
      <c r="CY3842">
        <v>7</v>
      </c>
      <c r="CZ3842" t="s">
        <v>133</v>
      </c>
      <c r="DA3842">
        <v>275</v>
      </c>
      <c r="DB3842">
        <v>0</v>
      </c>
      <c r="DC3842" t="s">
        <v>134</v>
      </c>
      <c r="DD3842" t="s">
        <v>135</v>
      </c>
      <c r="DG3842">
        <v>3323040</v>
      </c>
      <c r="DI3842">
        <v>1</v>
      </c>
      <c r="DJ3842">
        <v>0</v>
      </c>
      <c r="DK3842">
        <v>0</v>
      </c>
      <c r="DL3842">
        <v>0</v>
      </c>
      <c r="DM3842">
        <v>0</v>
      </c>
      <c r="DN3842">
        <v>0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3">
      <c r="A3843" t="str">
        <f>"05/01/2025 15:15:12.443"</f>
        <v>05/01/2025 15:15:12.443</v>
      </c>
      <c r="C3843" t="str">
        <f t="shared" si="1520"/>
        <v>FFDFD3C0</v>
      </c>
      <c r="D3843" t="s">
        <v>143</v>
      </c>
      <c r="E3843" t="str">
        <f>"05"</f>
        <v>05</v>
      </c>
      <c r="H3843">
        <v>172</v>
      </c>
      <c r="I3843" t="s">
        <v>141</v>
      </c>
      <c r="J3843" t="s">
        <v>144</v>
      </c>
      <c r="K3843">
        <v>0</v>
      </c>
      <c r="L3843">
        <v>3</v>
      </c>
      <c r="M3843">
        <v>0</v>
      </c>
      <c r="N3843">
        <v>2</v>
      </c>
      <c r="O3843">
        <v>0</v>
      </c>
      <c r="P3843">
        <v>1</v>
      </c>
      <c r="Q3843">
        <v>0</v>
      </c>
      <c r="R3843" t="s">
        <v>127</v>
      </c>
      <c r="S3843" t="str">
        <f t="shared" si="1521"/>
        <v>15:15:12.000</v>
      </c>
      <c r="T3843" t="str">
        <f t="shared" si="1521"/>
        <v>15:15:12.000</v>
      </c>
      <c r="U3843" t="str">
        <f t="shared" si="1522"/>
        <v>A68FCB</v>
      </c>
      <c r="V3843">
        <v>0</v>
      </c>
      <c r="W3843">
        <v>0</v>
      </c>
      <c r="X3843">
        <v>2</v>
      </c>
      <c r="Y3843">
        <v>0</v>
      </c>
      <c r="AA3843">
        <v>1</v>
      </c>
      <c r="AB3843">
        <v>8</v>
      </c>
      <c r="AC3843">
        <v>3</v>
      </c>
      <c r="AD3843">
        <v>0</v>
      </c>
      <c r="AE3843">
        <v>9</v>
      </c>
      <c r="AF3843" t="s">
        <v>138</v>
      </c>
      <c r="AG3843">
        <v>0</v>
      </c>
      <c r="AH3843">
        <v>3</v>
      </c>
      <c r="AI3843">
        <v>2</v>
      </c>
      <c r="AJ3843">
        <v>0</v>
      </c>
      <c r="AK3843" t="s">
        <v>1214</v>
      </c>
      <c r="AL3843">
        <v>39.172096000000003</v>
      </c>
      <c r="AM3843" t="s">
        <v>1215</v>
      </c>
      <c r="AN3843">
        <v>-121.03024000000001</v>
      </c>
      <c r="AO3843">
        <v>25</v>
      </c>
      <c r="AP3843">
        <v>4300</v>
      </c>
      <c r="AQ3843" t="s">
        <v>131</v>
      </c>
      <c r="AR3843">
        <v>12</v>
      </c>
      <c r="AS3843">
        <v>86</v>
      </c>
      <c r="AT3843">
        <v>384</v>
      </c>
      <c r="BB3843" t="str">
        <f t="shared" si="1523"/>
        <v>1200</v>
      </c>
      <c r="BC3843">
        <v>1</v>
      </c>
      <c r="BD3843" t="str">
        <f t="shared" si="1524"/>
        <v xml:space="preserve">N52156  </v>
      </c>
      <c r="BE3843">
        <v>1</v>
      </c>
      <c r="BG3843">
        <v>0</v>
      </c>
      <c r="BH3843">
        <v>0</v>
      </c>
      <c r="BI3843">
        <v>0</v>
      </c>
      <c r="BJ3843">
        <v>4300</v>
      </c>
      <c r="BK3843">
        <v>0</v>
      </c>
      <c r="BL3843" t="s">
        <v>188</v>
      </c>
      <c r="BM3843">
        <v>1</v>
      </c>
      <c r="BN3843">
        <v>1</v>
      </c>
      <c r="BO3843">
        <v>0</v>
      </c>
      <c r="BP3843">
        <v>0</v>
      </c>
      <c r="BS3843">
        <v>0</v>
      </c>
      <c r="BT3843">
        <v>0</v>
      </c>
      <c r="BU3843">
        <v>0</v>
      </c>
      <c r="CE3843" t="str">
        <f t="shared" si="1525"/>
        <v>15:15:12.223</v>
      </c>
      <c r="CF3843">
        <v>223490523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3</v>
      </c>
      <c r="CY3843">
        <v>7</v>
      </c>
      <c r="CZ3843" t="s">
        <v>133</v>
      </c>
      <c r="DA3843">
        <v>275</v>
      </c>
      <c r="DB3843">
        <v>0</v>
      </c>
      <c r="DC3843" t="s">
        <v>134</v>
      </c>
      <c r="DD3843" t="s">
        <v>135</v>
      </c>
      <c r="DG3843">
        <v>3323040</v>
      </c>
      <c r="DI3843">
        <v>1</v>
      </c>
      <c r="DJ3843">
        <v>0</v>
      </c>
      <c r="DK3843">
        <v>1</v>
      </c>
      <c r="DL3843">
        <v>0</v>
      </c>
      <c r="DM3843">
        <v>0</v>
      </c>
      <c r="DN3843">
        <v>0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3">
      <c r="A3844" t="str">
        <f>"05/01/2025 15:15:12.448"</f>
        <v>05/01/2025 15:15:12.448</v>
      </c>
      <c r="C3844" t="str">
        <f t="shared" si="1520"/>
        <v>FFDFD3C0</v>
      </c>
      <c r="D3844" t="s">
        <v>124</v>
      </c>
      <c r="E3844" t="str">
        <f>"06"</f>
        <v>06</v>
      </c>
      <c r="F3844">
        <v>2006</v>
      </c>
      <c r="G3844" t="s">
        <v>125</v>
      </c>
      <c r="J3844" t="s">
        <v>126</v>
      </c>
      <c r="K3844">
        <v>0</v>
      </c>
      <c r="L3844">
        <v>3</v>
      </c>
      <c r="M3844">
        <v>0</v>
      </c>
      <c r="N3844">
        <v>2</v>
      </c>
      <c r="O3844">
        <v>0</v>
      </c>
      <c r="P3844">
        <v>1</v>
      </c>
      <c r="Q3844">
        <v>0</v>
      </c>
      <c r="R3844" t="s">
        <v>127</v>
      </c>
      <c r="S3844" t="str">
        <f t="shared" si="1521"/>
        <v>15:15:12.000</v>
      </c>
      <c r="T3844" t="str">
        <f t="shared" si="1521"/>
        <v>15:15:12.000</v>
      </c>
      <c r="U3844" t="str">
        <f t="shared" si="1522"/>
        <v>A68FCB</v>
      </c>
      <c r="V3844">
        <v>0</v>
      </c>
      <c r="W3844">
        <v>0</v>
      </c>
      <c r="X3844">
        <v>2</v>
      </c>
      <c r="Y3844">
        <v>0</v>
      </c>
      <c r="AA3844">
        <v>1</v>
      </c>
      <c r="AB3844">
        <v>8</v>
      </c>
      <c r="AC3844">
        <v>3</v>
      </c>
      <c r="AD3844">
        <v>0</v>
      </c>
      <c r="AE3844">
        <v>9</v>
      </c>
      <c r="AF3844" t="s">
        <v>138</v>
      </c>
      <c r="AG3844">
        <v>0</v>
      </c>
      <c r="AH3844">
        <v>3</v>
      </c>
      <c r="AI3844">
        <v>2</v>
      </c>
      <c r="AJ3844">
        <v>0</v>
      </c>
      <c r="AK3844" t="s">
        <v>1214</v>
      </c>
      <c r="AL3844">
        <v>39.172096000000003</v>
      </c>
      <c r="AM3844" t="s">
        <v>1215</v>
      </c>
      <c r="AN3844">
        <v>-121.03024000000001</v>
      </c>
      <c r="AO3844">
        <v>25</v>
      </c>
      <c r="AP3844">
        <v>4300</v>
      </c>
      <c r="AQ3844" t="s">
        <v>131</v>
      </c>
      <c r="AR3844">
        <v>12</v>
      </c>
      <c r="AS3844">
        <v>86</v>
      </c>
      <c r="AT3844">
        <v>384</v>
      </c>
      <c r="BB3844" t="str">
        <f t="shared" si="1523"/>
        <v>1200</v>
      </c>
      <c r="BC3844">
        <v>1</v>
      </c>
      <c r="BD3844" t="str">
        <f t="shared" si="1524"/>
        <v xml:space="preserve">N52156  </v>
      </c>
      <c r="BE3844">
        <v>1</v>
      </c>
      <c r="BG3844">
        <v>0</v>
      </c>
      <c r="BH3844">
        <v>0</v>
      </c>
      <c r="BI3844">
        <v>0</v>
      </c>
      <c r="BJ3844">
        <v>4300</v>
      </c>
      <c r="BK3844">
        <v>0</v>
      </c>
      <c r="BL3844" t="s">
        <v>188</v>
      </c>
      <c r="BM3844">
        <v>1</v>
      </c>
      <c r="BN3844">
        <v>1</v>
      </c>
      <c r="BO3844">
        <v>0</v>
      </c>
      <c r="BP3844">
        <v>0</v>
      </c>
      <c r="BS3844">
        <v>0</v>
      </c>
      <c r="BT3844">
        <v>0</v>
      </c>
      <c r="BU3844">
        <v>0</v>
      </c>
      <c r="CE3844" t="str">
        <f t="shared" si="1525"/>
        <v>15:15:12.223</v>
      </c>
      <c r="CF3844">
        <v>223490523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3</v>
      </c>
      <c r="CY3844">
        <v>7</v>
      </c>
      <c r="CZ3844" t="s">
        <v>133</v>
      </c>
      <c r="DA3844">
        <v>275</v>
      </c>
      <c r="DB3844">
        <v>0</v>
      </c>
      <c r="DC3844" t="s">
        <v>134</v>
      </c>
      <c r="DD3844" t="s">
        <v>135</v>
      </c>
      <c r="DG3844">
        <v>3323040</v>
      </c>
      <c r="DI3844">
        <v>1</v>
      </c>
      <c r="DJ3844">
        <v>0</v>
      </c>
      <c r="DK3844">
        <v>1</v>
      </c>
      <c r="DL3844">
        <v>0</v>
      </c>
      <c r="DM3844">
        <v>0</v>
      </c>
      <c r="DN3844">
        <v>0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3">
      <c r="A3845" t="str">
        <f>"05/01/2025 15:15:12.462"</f>
        <v>05/01/2025 15:15:12.462</v>
      </c>
      <c r="C3845" t="str">
        <f t="shared" si="1520"/>
        <v>FFDFD3C0</v>
      </c>
      <c r="D3845" t="s">
        <v>145</v>
      </c>
      <c r="E3845" t="str">
        <f>"05"</f>
        <v>05</v>
      </c>
      <c r="H3845">
        <v>47</v>
      </c>
      <c r="I3845" t="s">
        <v>146</v>
      </c>
      <c r="J3845" t="s">
        <v>138</v>
      </c>
      <c r="K3845">
        <v>0</v>
      </c>
      <c r="L3845">
        <v>3</v>
      </c>
      <c r="M3845">
        <v>0</v>
      </c>
      <c r="N3845">
        <v>2</v>
      </c>
      <c r="O3845">
        <v>0</v>
      </c>
      <c r="P3845">
        <v>1</v>
      </c>
      <c r="Q3845">
        <v>0</v>
      </c>
      <c r="R3845" t="s">
        <v>127</v>
      </c>
      <c r="S3845" t="str">
        <f t="shared" si="1521"/>
        <v>15:15:12.000</v>
      </c>
      <c r="T3845" t="str">
        <f t="shared" si="1521"/>
        <v>15:15:12.000</v>
      </c>
      <c r="U3845" t="str">
        <f t="shared" si="1522"/>
        <v>A68FCB</v>
      </c>
      <c r="V3845">
        <v>0</v>
      </c>
      <c r="W3845">
        <v>0</v>
      </c>
      <c r="X3845">
        <v>2</v>
      </c>
      <c r="Y3845">
        <v>0</v>
      </c>
      <c r="AA3845">
        <v>1</v>
      </c>
      <c r="AB3845">
        <v>8</v>
      </c>
      <c r="AC3845">
        <v>3</v>
      </c>
      <c r="AD3845">
        <v>0</v>
      </c>
      <c r="AE3845">
        <v>9</v>
      </c>
      <c r="AF3845" t="s">
        <v>138</v>
      </c>
      <c r="AG3845">
        <v>0</v>
      </c>
      <c r="AH3845">
        <v>3</v>
      </c>
      <c r="AI3845">
        <v>2</v>
      </c>
      <c r="AJ3845">
        <v>0</v>
      </c>
      <c r="AK3845" t="s">
        <v>1214</v>
      </c>
      <c r="AL3845">
        <v>39.172096000000003</v>
      </c>
      <c r="AM3845" t="s">
        <v>1215</v>
      </c>
      <c r="AN3845">
        <v>-121.03024000000001</v>
      </c>
      <c r="AO3845">
        <v>25</v>
      </c>
      <c r="AP3845">
        <v>4300</v>
      </c>
      <c r="AQ3845" t="s">
        <v>131</v>
      </c>
      <c r="AR3845">
        <v>12</v>
      </c>
      <c r="AS3845">
        <v>86</v>
      </c>
      <c r="AT3845">
        <v>384</v>
      </c>
      <c r="BB3845" t="str">
        <f t="shared" si="1523"/>
        <v>1200</v>
      </c>
      <c r="BC3845">
        <v>1</v>
      </c>
      <c r="BD3845" t="str">
        <f t="shared" si="1524"/>
        <v xml:space="preserve">N52156  </v>
      </c>
      <c r="BE3845">
        <v>1</v>
      </c>
      <c r="BG3845">
        <v>0</v>
      </c>
      <c r="BH3845">
        <v>0</v>
      </c>
      <c r="BI3845">
        <v>0</v>
      </c>
      <c r="BJ3845">
        <v>4300</v>
      </c>
      <c r="BK3845">
        <v>0</v>
      </c>
      <c r="BL3845" t="s">
        <v>188</v>
      </c>
      <c r="BM3845">
        <v>1</v>
      </c>
      <c r="BN3845">
        <v>1</v>
      </c>
      <c r="BO3845">
        <v>0</v>
      </c>
      <c r="BP3845">
        <v>0</v>
      </c>
      <c r="BS3845">
        <v>0</v>
      </c>
      <c r="BT3845">
        <v>0</v>
      </c>
      <c r="BU3845">
        <v>0</v>
      </c>
      <c r="CE3845" t="str">
        <f t="shared" si="1525"/>
        <v>15:15:12.223</v>
      </c>
      <c r="CF3845">
        <v>223490523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3</v>
      </c>
      <c r="CY3845">
        <v>7</v>
      </c>
      <c r="CZ3845" t="s">
        <v>133</v>
      </c>
      <c r="DA3845">
        <v>275</v>
      </c>
      <c r="DB3845">
        <v>0</v>
      </c>
      <c r="DC3845" t="s">
        <v>134</v>
      </c>
      <c r="DD3845" t="s">
        <v>135</v>
      </c>
      <c r="DG3845">
        <v>3323040</v>
      </c>
      <c r="DI3845">
        <v>1</v>
      </c>
      <c r="DJ3845">
        <v>0</v>
      </c>
      <c r="DK3845">
        <v>1</v>
      </c>
      <c r="DL3845">
        <v>0</v>
      </c>
      <c r="DM3845">
        <v>0</v>
      </c>
      <c r="DN3845">
        <v>0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3">
      <c r="A3846" t="str">
        <f>"05/01/2025 15:15:12.459"</f>
        <v>05/01/2025 15:15:12.459</v>
      </c>
      <c r="C3846" t="str">
        <f t="shared" si="1520"/>
        <v>FFDFD3C0</v>
      </c>
      <c r="D3846" t="s">
        <v>145</v>
      </c>
      <c r="E3846" t="str">
        <f>"09"</f>
        <v>09</v>
      </c>
      <c r="H3846">
        <v>51</v>
      </c>
      <c r="I3846" t="s">
        <v>147</v>
      </c>
      <c r="J3846" t="s">
        <v>138</v>
      </c>
      <c r="K3846">
        <v>0</v>
      </c>
      <c r="L3846">
        <v>3</v>
      </c>
      <c r="M3846">
        <v>0</v>
      </c>
      <c r="N3846">
        <v>2</v>
      </c>
      <c r="O3846">
        <v>0</v>
      </c>
      <c r="P3846">
        <v>1</v>
      </c>
      <c r="Q3846">
        <v>0</v>
      </c>
      <c r="R3846" t="s">
        <v>127</v>
      </c>
      <c r="S3846" t="str">
        <f t="shared" si="1521"/>
        <v>15:15:12.000</v>
      </c>
      <c r="T3846" t="str">
        <f t="shared" si="1521"/>
        <v>15:15:12.000</v>
      </c>
      <c r="U3846" t="str">
        <f t="shared" si="1522"/>
        <v>A68FCB</v>
      </c>
      <c r="V3846">
        <v>0</v>
      </c>
      <c r="W3846">
        <v>0</v>
      </c>
      <c r="X3846">
        <v>2</v>
      </c>
      <c r="Y3846">
        <v>0</v>
      </c>
      <c r="AA3846">
        <v>1</v>
      </c>
      <c r="AB3846">
        <v>8</v>
      </c>
      <c r="AC3846">
        <v>3</v>
      </c>
      <c r="AD3846">
        <v>0</v>
      </c>
      <c r="AE3846">
        <v>9</v>
      </c>
      <c r="AF3846" t="s">
        <v>138</v>
      </c>
      <c r="AG3846">
        <v>0</v>
      </c>
      <c r="AH3846">
        <v>3</v>
      </c>
      <c r="AI3846">
        <v>2</v>
      </c>
      <c r="AJ3846">
        <v>0</v>
      </c>
      <c r="AK3846" t="s">
        <v>1214</v>
      </c>
      <c r="AL3846">
        <v>39.172096000000003</v>
      </c>
      <c r="AM3846" t="s">
        <v>1215</v>
      </c>
      <c r="AN3846">
        <v>-121.03024000000001</v>
      </c>
      <c r="AO3846">
        <v>25</v>
      </c>
      <c r="AP3846">
        <v>4300</v>
      </c>
      <c r="AQ3846" t="s">
        <v>131</v>
      </c>
      <c r="AR3846">
        <v>12</v>
      </c>
      <c r="AS3846">
        <v>86</v>
      </c>
      <c r="AT3846">
        <v>384</v>
      </c>
      <c r="BB3846" t="str">
        <f t="shared" si="1523"/>
        <v>1200</v>
      </c>
      <c r="BC3846">
        <v>1</v>
      </c>
      <c r="BD3846" t="str">
        <f t="shared" si="1524"/>
        <v xml:space="preserve">N52156  </v>
      </c>
      <c r="BE3846">
        <v>1</v>
      </c>
      <c r="BG3846">
        <v>0</v>
      </c>
      <c r="BH3846">
        <v>0</v>
      </c>
      <c r="BI3846">
        <v>0</v>
      </c>
      <c r="BJ3846">
        <v>4300</v>
      </c>
      <c r="BK3846">
        <v>0</v>
      </c>
      <c r="BL3846" t="s">
        <v>188</v>
      </c>
      <c r="BM3846">
        <v>1</v>
      </c>
      <c r="BN3846">
        <v>1</v>
      </c>
      <c r="BO3846">
        <v>0</v>
      </c>
      <c r="BP3846">
        <v>0</v>
      </c>
      <c r="BS3846">
        <v>0</v>
      </c>
      <c r="BT3846">
        <v>0</v>
      </c>
      <c r="BU3846">
        <v>0</v>
      </c>
      <c r="CE3846" t="str">
        <f t="shared" si="1525"/>
        <v>15:15:12.223</v>
      </c>
      <c r="CF3846">
        <v>223490523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3</v>
      </c>
      <c r="CY3846">
        <v>7</v>
      </c>
      <c r="CZ3846" t="s">
        <v>133</v>
      </c>
      <c r="DA3846">
        <v>275</v>
      </c>
      <c r="DB3846">
        <v>0</v>
      </c>
      <c r="DC3846" t="s">
        <v>134</v>
      </c>
      <c r="DD3846" t="s">
        <v>135</v>
      </c>
      <c r="DG3846">
        <v>3323040</v>
      </c>
      <c r="DI3846">
        <v>1</v>
      </c>
      <c r="DJ3846">
        <v>0</v>
      </c>
      <c r="DK3846">
        <v>1</v>
      </c>
      <c r="DL3846">
        <v>0</v>
      </c>
      <c r="DM3846">
        <v>0</v>
      </c>
      <c r="DN3846">
        <v>0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3">
      <c r="A3847" t="str">
        <f>"05/01/2025 15:15:12.472"</f>
        <v>05/01/2025 15:15:12.472</v>
      </c>
      <c r="C3847" t="str">
        <f t="shared" si="1520"/>
        <v>FFDFD3C0</v>
      </c>
      <c r="D3847" t="s">
        <v>136</v>
      </c>
      <c r="E3847" t="str">
        <f>"20"</f>
        <v>20</v>
      </c>
      <c r="H3847">
        <v>400</v>
      </c>
      <c r="I3847" t="s">
        <v>137</v>
      </c>
      <c r="J3847" t="s">
        <v>138</v>
      </c>
      <c r="K3847">
        <v>0</v>
      </c>
      <c r="L3847">
        <v>3</v>
      </c>
      <c r="M3847">
        <v>0</v>
      </c>
      <c r="N3847">
        <v>2</v>
      </c>
      <c r="O3847">
        <v>0</v>
      </c>
      <c r="P3847">
        <v>1</v>
      </c>
      <c r="Q3847">
        <v>0</v>
      </c>
      <c r="R3847" t="s">
        <v>127</v>
      </c>
      <c r="S3847" t="str">
        <f t="shared" si="1521"/>
        <v>15:15:12.000</v>
      </c>
      <c r="T3847" t="str">
        <f t="shared" si="1521"/>
        <v>15:15:12.000</v>
      </c>
      <c r="U3847" t="str">
        <f t="shared" si="1522"/>
        <v>A68FCB</v>
      </c>
      <c r="V3847">
        <v>0</v>
      </c>
      <c r="W3847">
        <v>0</v>
      </c>
      <c r="X3847">
        <v>2</v>
      </c>
      <c r="Y3847">
        <v>0</v>
      </c>
      <c r="AA3847">
        <v>1</v>
      </c>
      <c r="AB3847">
        <v>8</v>
      </c>
      <c r="AC3847">
        <v>3</v>
      </c>
      <c r="AD3847">
        <v>0</v>
      </c>
      <c r="AE3847">
        <v>9</v>
      </c>
      <c r="AF3847" t="s">
        <v>138</v>
      </c>
      <c r="AG3847">
        <v>0</v>
      </c>
      <c r="AH3847">
        <v>3</v>
      </c>
      <c r="AI3847">
        <v>2</v>
      </c>
      <c r="AJ3847">
        <v>0</v>
      </c>
      <c r="AK3847" t="s">
        <v>1214</v>
      </c>
      <c r="AL3847">
        <v>39.172096000000003</v>
      </c>
      <c r="AM3847" t="s">
        <v>1215</v>
      </c>
      <c r="AN3847">
        <v>-121.03024000000001</v>
      </c>
      <c r="AO3847">
        <v>25</v>
      </c>
      <c r="AP3847">
        <v>4300</v>
      </c>
      <c r="AQ3847" t="s">
        <v>131</v>
      </c>
      <c r="AR3847">
        <v>12</v>
      </c>
      <c r="AS3847">
        <v>86</v>
      </c>
      <c r="AT3847">
        <v>384</v>
      </c>
      <c r="BB3847" t="str">
        <f t="shared" si="1523"/>
        <v>1200</v>
      </c>
      <c r="BC3847">
        <v>1</v>
      </c>
      <c r="BD3847" t="str">
        <f t="shared" si="1524"/>
        <v xml:space="preserve">N52156  </v>
      </c>
      <c r="BE3847">
        <v>1</v>
      </c>
      <c r="BG3847">
        <v>0</v>
      </c>
      <c r="BH3847">
        <v>0</v>
      </c>
      <c r="BI3847">
        <v>0</v>
      </c>
      <c r="BJ3847">
        <v>4300</v>
      </c>
      <c r="BK3847">
        <v>0</v>
      </c>
      <c r="BL3847" t="s">
        <v>188</v>
      </c>
      <c r="BM3847">
        <v>1</v>
      </c>
      <c r="BN3847">
        <v>1</v>
      </c>
      <c r="BO3847">
        <v>0</v>
      </c>
      <c r="BP3847">
        <v>0</v>
      </c>
      <c r="BS3847">
        <v>0</v>
      </c>
      <c r="BT3847">
        <v>0</v>
      </c>
      <c r="BU3847">
        <v>0</v>
      </c>
      <c r="CE3847" t="str">
        <f t="shared" si="1525"/>
        <v>15:15:12.223</v>
      </c>
      <c r="CF3847">
        <v>223490523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3</v>
      </c>
      <c r="CY3847">
        <v>7</v>
      </c>
      <c r="CZ3847" t="s">
        <v>133</v>
      </c>
      <c r="DA3847">
        <v>275</v>
      </c>
      <c r="DB3847">
        <v>0</v>
      </c>
      <c r="DC3847" t="s">
        <v>134</v>
      </c>
      <c r="DD3847" t="s">
        <v>135</v>
      </c>
      <c r="DG3847">
        <v>3323040</v>
      </c>
      <c r="DI3847">
        <v>1</v>
      </c>
      <c r="DJ3847">
        <v>0</v>
      </c>
      <c r="DK3847">
        <v>1</v>
      </c>
      <c r="DL3847">
        <v>0</v>
      </c>
      <c r="DM3847">
        <v>0</v>
      </c>
      <c r="DN3847">
        <v>0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3">
      <c r="A3848" t="str">
        <f>"05/01/2025 15:15:13.795"</f>
        <v>05/01/2025 15:15:13.795</v>
      </c>
      <c r="C3848" t="str">
        <f t="shared" si="1520"/>
        <v>FFDFD3C0</v>
      </c>
      <c r="D3848" t="s">
        <v>143</v>
      </c>
      <c r="E3848" t="str">
        <f>"05"</f>
        <v>05</v>
      </c>
      <c r="H3848">
        <v>172</v>
      </c>
      <c r="I3848" t="s">
        <v>141</v>
      </c>
      <c r="J3848" t="s">
        <v>144</v>
      </c>
      <c r="K3848">
        <v>0</v>
      </c>
      <c r="L3848">
        <v>3</v>
      </c>
      <c r="M3848">
        <v>0</v>
      </c>
      <c r="N3848">
        <v>2</v>
      </c>
      <c r="O3848">
        <v>0</v>
      </c>
      <c r="P3848">
        <v>1</v>
      </c>
      <c r="Q3848">
        <v>0</v>
      </c>
      <c r="R3848" t="s">
        <v>127</v>
      </c>
      <c r="S3848" t="str">
        <f t="shared" ref="S3848:T3853" si="1526">"15:15:13.000"</f>
        <v>15:15:13.000</v>
      </c>
      <c r="T3848" t="str">
        <f t="shared" si="1526"/>
        <v>15:15:13.000</v>
      </c>
      <c r="U3848" t="str">
        <f t="shared" si="1522"/>
        <v>A68FCB</v>
      </c>
      <c r="V3848">
        <v>0</v>
      </c>
      <c r="W3848">
        <v>0</v>
      </c>
      <c r="X3848">
        <v>2</v>
      </c>
      <c r="Y3848">
        <v>0</v>
      </c>
      <c r="AA3848">
        <v>1</v>
      </c>
      <c r="AB3848">
        <v>8</v>
      </c>
      <c r="AC3848">
        <v>3</v>
      </c>
      <c r="AD3848">
        <v>0</v>
      </c>
      <c r="AE3848">
        <v>9</v>
      </c>
      <c r="AF3848" t="s">
        <v>138</v>
      </c>
      <c r="AG3848">
        <v>0</v>
      </c>
      <c r="AH3848">
        <v>3</v>
      </c>
      <c r="AI3848">
        <v>2</v>
      </c>
      <c r="AJ3848">
        <v>0</v>
      </c>
      <c r="AK3848" t="s">
        <v>1216</v>
      </c>
      <c r="AL3848">
        <v>39.172504000000004</v>
      </c>
      <c r="AM3848" t="s">
        <v>1217</v>
      </c>
      <c r="AN3848">
        <v>-121.030154</v>
      </c>
      <c r="AO3848">
        <v>25</v>
      </c>
      <c r="AP3848">
        <v>4300</v>
      </c>
      <c r="AQ3848" t="s">
        <v>131</v>
      </c>
      <c r="AR3848">
        <v>13</v>
      </c>
      <c r="AS3848">
        <v>85</v>
      </c>
      <c r="AT3848">
        <v>384</v>
      </c>
      <c r="BB3848" t="str">
        <f t="shared" si="1523"/>
        <v>1200</v>
      </c>
      <c r="BC3848">
        <v>1</v>
      </c>
      <c r="BD3848" t="str">
        <f t="shared" si="1524"/>
        <v xml:space="preserve">N52156  </v>
      </c>
      <c r="BE3848">
        <v>1</v>
      </c>
      <c r="BG3848">
        <v>0</v>
      </c>
      <c r="BH3848">
        <v>0</v>
      </c>
      <c r="BI3848">
        <v>0</v>
      </c>
      <c r="BJ3848">
        <v>4325</v>
      </c>
      <c r="BK3848">
        <v>25</v>
      </c>
      <c r="BL3848" t="s">
        <v>188</v>
      </c>
      <c r="BM3848">
        <v>1</v>
      </c>
      <c r="BN3848">
        <v>1</v>
      </c>
      <c r="BO3848">
        <v>0</v>
      </c>
      <c r="BP3848">
        <v>0</v>
      </c>
      <c r="BS3848">
        <v>0</v>
      </c>
      <c r="BT3848">
        <v>0</v>
      </c>
      <c r="BU3848">
        <v>0</v>
      </c>
      <c r="CE3848" t="str">
        <f t="shared" ref="CE3848:CE3853" si="1527">"15:15:13.592"</f>
        <v>15:15:13.592</v>
      </c>
      <c r="CF3848">
        <v>591741572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3</v>
      </c>
      <c r="CY3848">
        <v>7</v>
      </c>
      <c r="CZ3848" t="s">
        <v>133</v>
      </c>
      <c r="DA3848">
        <v>275</v>
      </c>
      <c r="DB3848">
        <v>0</v>
      </c>
      <c r="DC3848" t="s">
        <v>134</v>
      </c>
      <c r="DD3848" t="s">
        <v>135</v>
      </c>
      <c r="DG3848">
        <v>3323049</v>
      </c>
      <c r="DI3848">
        <v>1</v>
      </c>
      <c r="DJ3848">
        <v>0</v>
      </c>
      <c r="DK3848">
        <v>0</v>
      </c>
      <c r="DL3848">
        <v>0</v>
      </c>
      <c r="DM3848">
        <v>0</v>
      </c>
      <c r="DN3848">
        <v>0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3">
      <c r="A3849" t="str">
        <f>"05/01/2025 15:15:13.796"</f>
        <v>05/01/2025 15:15:13.796</v>
      </c>
      <c r="C3849" t="str">
        <f t="shared" si="1520"/>
        <v>FFDFD3C0</v>
      </c>
      <c r="D3849" t="s">
        <v>140</v>
      </c>
      <c r="E3849" t="str">
        <f>"13"</f>
        <v>13</v>
      </c>
      <c r="F3849">
        <v>1019</v>
      </c>
      <c r="G3849" t="s">
        <v>141</v>
      </c>
      <c r="J3849" t="s">
        <v>142</v>
      </c>
      <c r="K3849">
        <v>0</v>
      </c>
      <c r="L3849">
        <v>3</v>
      </c>
      <c r="M3849">
        <v>0</v>
      </c>
      <c r="N3849">
        <v>2</v>
      </c>
      <c r="O3849">
        <v>0</v>
      </c>
      <c r="P3849">
        <v>1</v>
      </c>
      <c r="Q3849">
        <v>0</v>
      </c>
      <c r="R3849" t="s">
        <v>127</v>
      </c>
      <c r="S3849" t="str">
        <f t="shared" si="1526"/>
        <v>15:15:13.000</v>
      </c>
      <c r="T3849" t="str">
        <f t="shared" si="1526"/>
        <v>15:15:13.000</v>
      </c>
      <c r="U3849" t="str">
        <f t="shared" si="1522"/>
        <v>A68FCB</v>
      </c>
      <c r="V3849">
        <v>0</v>
      </c>
      <c r="W3849">
        <v>0</v>
      </c>
      <c r="X3849">
        <v>2</v>
      </c>
      <c r="Y3849">
        <v>0</v>
      </c>
      <c r="AA3849">
        <v>1</v>
      </c>
      <c r="AB3849">
        <v>8</v>
      </c>
      <c r="AC3849">
        <v>3</v>
      </c>
      <c r="AD3849">
        <v>0</v>
      </c>
      <c r="AE3849">
        <v>9</v>
      </c>
      <c r="AF3849" t="s">
        <v>138</v>
      </c>
      <c r="AG3849">
        <v>0</v>
      </c>
      <c r="AH3849">
        <v>3</v>
      </c>
      <c r="AI3849">
        <v>2</v>
      </c>
      <c r="AJ3849">
        <v>0</v>
      </c>
      <c r="AK3849" t="s">
        <v>1216</v>
      </c>
      <c r="AL3849">
        <v>39.172504000000004</v>
      </c>
      <c r="AM3849" t="s">
        <v>1217</v>
      </c>
      <c r="AN3849">
        <v>-121.030154</v>
      </c>
      <c r="AO3849">
        <v>25</v>
      </c>
      <c r="AP3849">
        <v>4300</v>
      </c>
      <c r="AQ3849" t="s">
        <v>131</v>
      </c>
      <c r="AR3849">
        <v>13</v>
      </c>
      <c r="AS3849">
        <v>85</v>
      </c>
      <c r="AT3849">
        <v>384</v>
      </c>
      <c r="BB3849" t="str">
        <f t="shared" si="1523"/>
        <v>1200</v>
      </c>
      <c r="BC3849">
        <v>1</v>
      </c>
      <c r="BD3849" t="str">
        <f t="shared" si="1524"/>
        <v xml:space="preserve">N52156  </v>
      </c>
      <c r="BE3849">
        <v>1</v>
      </c>
      <c r="BG3849">
        <v>0</v>
      </c>
      <c r="BH3849">
        <v>0</v>
      </c>
      <c r="BI3849">
        <v>0</v>
      </c>
      <c r="BJ3849">
        <v>4325</v>
      </c>
      <c r="BK3849">
        <v>25</v>
      </c>
      <c r="BL3849" t="s">
        <v>188</v>
      </c>
      <c r="BM3849">
        <v>1</v>
      </c>
      <c r="BN3849">
        <v>1</v>
      </c>
      <c r="BO3849">
        <v>0</v>
      </c>
      <c r="BP3849">
        <v>0</v>
      </c>
      <c r="BS3849">
        <v>0</v>
      </c>
      <c r="BT3849">
        <v>0</v>
      </c>
      <c r="BU3849">
        <v>0</v>
      </c>
      <c r="CE3849" t="str">
        <f t="shared" si="1527"/>
        <v>15:15:13.592</v>
      </c>
      <c r="CF3849">
        <v>591741572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3</v>
      </c>
      <c r="CY3849">
        <v>7</v>
      </c>
      <c r="CZ3849" t="s">
        <v>133</v>
      </c>
      <c r="DA3849">
        <v>275</v>
      </c>
      <c r="DB3849">
        <v>0</v>
      </c>
      <c r="DC3849" t="s">
        <v>134</v>
      </c>
      <c r="DD3849" t="s">
        <v>135</v>
      </c>
      <c r="DG3849">
        <v>3323049</v>
      </c>
      <c r="DI3849">
        <v>1</v>
      </c>
      <c r="DJ3849">
        <v>0</v>
      </c>
      <c r="DK3849">
        <v>1</v>
      </c>
      <c r="DL3849">
        <v>0</v>
      </c>
      <c r="DM3849">
        <v>0</v>
      </c>
      <c r="DN3849">
        <v>0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3">
      <c r="A3850" t="str">
        <f>"05/01/2025 15:15:13.800"</f>
        <v>05/01/2025 15:15:13.800</v>
      </c>
      <c r="C3850" t="str">
        <f t="shared" si="1520"/>
        <v>FFDFD3C0</v>
      </c>
      <c r="D3850" t="s">
        <v>124</v>
      </c>
      <c r="E3850" t="str">
        <f>"06"</f>
        <v>06</v>
      </c>
      <c r="F3850">
        <v>2006</v>
      </c>
      <c r="G3850" t="s">
        <v>125</v>
      </c>
      <c r="J3850" t="s">
        <v>126</v>
      </c>
      <c r="K3850">
        <v>0</v>
      </c>
      <c r="L3850">
        <v>3</v>
      </c>
      <c r="M3850">
        <v>0</v>
      </c>
      <c r="N3850">
        <v>2</v>
      </c>
      <c r="O3850">
        <v>0</v>
      </c>
      <c r="P3850">
        <v>1</v>
      </c>
      <c r="Q3850">
        <v>0</v>
      </c>
      <c r="R3850" t="s">
        <v>127</v>
      </c>
      <c r="S3850" t="str">
        <f t="shared" si="1526"/>
        <v>15:15:13.000</v>
      </c>
      <c r="T3850" t="str">
        <f t="shared" si="1526"/>
        <v>15:15:13.000</v>
      </c>
      <c r="U3850" t="str">
        <f t="shared" si="1522"/>
        <v>A68FCB</v>
      </c>
      <c r="V3850">
        <v>0</v>
      </c>
      <c r="W3850">
        <v>0</v>
      </c>
      <c r="X3850">
        <v>2</v>
      </c>
      <c r="Y3850">
        <v>0</v>
      </c>
      <c r="AA3850">
        <v>1</v>
      </c>
      <c r="AB3850">
        <v>8</v>
      </c>
      <c r="AC3850">
        <v>3</v>
      </c>
      <c r="AD3850">
        <v>0</v>
      </c>
      <c r="AE3850">
        <v>9</v>
      </c>
      <c r="AF3850" t="s">
        <v>138</v>
      </c>
      <c r="AG3850">
        <v>0</v>
      </c>
      <c r="AH3850">
        <v>3</v>
      </c>
      <c r="AI3850">
        <v>2</v>
      </c>
      <c r="AJ3850">
        <v>0</v>
      </c>
      <c r="AK3850" t="s">
        <v>1216</v>
      </c>
      <c r="AL3850">
        <v>39.172504000000004</v>
      </c>
      <c r="AM3850" t="s">
        <v>1217</v>
      </c>
      <c r="AN3850">
        <v>-121.030154</v>
      </c>
      <c r="AO3850">
        <v>25</v>
      </c>
      <c r="AP3850">
        <v>4300</v>
      </c>
      <c r="AQ3850" t="s">
        <v>131</v>
      </c>
      <c r="AR3850">
        <v>13</v>
      </c>
      <c r="AS3850">
        <v>85</v>
      </c>
      <c r="AT3850">
        <v>384</v>
      </c>
      <c r="BB3850" t="str">
        <f t="shared" si="1523"/>
        <v>1200</v>
      </c>
      <c r="BC3850">
        <v>1</v>
      </c>
      <c r="BD3850" t="str">
        <f t="shared" si="1524"/>
        <v xml:space="preserve">N52156  </v>
      </c>
      <c r="BE3850">
        <v>1</v>
      </c>
      <c r="BG3850">
        <v>0</v>
      </c>
      <c r="BH3850">
        <v>0</v>
      </c>
      <c r="BI3850">
        <v>0</v>
      </c>
      <c r="BJ3850">
        <v>4325</v>
      </c>
      <c r="BK3850">
        <v>25</v>
      </c>
      <c r="BL3850" t="s">
        <v>188</v>
      </c>
      <c r="BM3850">
        <v>1</v>
      </c>
      <c r="BN3850">
        <v>1</v>
      </c>
      <c r="BO3850">
        <v>0</v>
      </c>
      <c r="BP3850">
        <v>0</v>
      </c>
      <c r="BS3850">
        <v>0</v>
      </c>
      <c r="BT3850">
        <v>0</v>
      </c>
      <c r="BU3850">
        <v>0</v>
      </c>
      <c r="CE3850" t="str">
        <f t="shared" si="1527"/>
        <v>15:15:13.592</v>
      </c>
      <c r="CF3850">
        <v>591741572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3</v>
      </c>
      <c r="CY3850">
        <v>7</v>
      </c>
      <c r="CZ3850" t="s">
        <v>133</v>
      </c>
      <c r="DA3850">
        <v>275</v>
      </c>
      <c r="DB3850">
        <v>0</v>
      </c>
      <c r="DC3850" t="s">
        <v>134</v>
      </c>
      <c r="DD3850" t="s">
        <v>135</v>
      </c>
      <c r="DG3850">
        <v>3323049</v>
      </c>
      <c r="DI3850">
        <v>1</v>
      </c>
      <c r="DJ3850">
        <v>0</v>
      </c>
      <c r="DK3850">
        <v>1</v>
      </c>
      <c r="DL3850">
        <v>0</v>
      </c>
      <c r="DM3850">
        <v>0</v>
      </c>
      <c r="DN3850">
        <v>0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3">
      <c r="A3851" t="str">
        <f>"05/01/2025 15:15:13.812"</f>
        <v>05/01/2025 15:15:13.812</v>
      </c>
      <c r="C3851" t="str">
        <f t="shared" si="1520"/>
        <v>FFDFD3C0</v>
      </c>
      <c r="D3851" t="s">
        <v>145</v>
      </c>
      <c r="E3851" t="str">
        <f>"09"</f>
        <v>09</v>
      </c>
      <c r="H3851">
        <v>51</v>
      </c>
      <c r="I3851" t="s">
        <v>147</v>
      </c>
      <c r="J3851" t="s">
        <v>138</v>
      </c>
      <c r="K3851">
        <v>0</v>
      </c>
      <c r="L3851">
        <v>3</v>
      </c>
      <c r="M3851">
        <v>0</v>
      </c>
      <c r="N3851">
        <v>2</v>
      </c>
      <c r="O3851">
        <v>0</v>
      </c>
      <c r="P3851">
        <v>1</v>
      </c>
      <c r="Q3851">
        <v>0</v>
      </c>
      <c r="R3851" t="s">
        <v>127</v>
      </c>
      <c r="S3851" t="str">
        <f t="shared" si="1526"/>
        <v>15:15:13.000</v>
      </c>
      <c r="T3851" t="str">
        <f t="shared" si="1526"/>
        <v>15:15:13.000</v>
      </c>
      <c r="U3851" t="str">
        <f t="shared" si="1522"/>
        <v>A68FCB</v>
      </c>
      <c r="V3851">
        <v>0</v>
      </c>
      <c r="W3851">
        <v>0</v>
      </c>
      <c r="X3851">
        <v>2</v>
      </c>
      <c r="Y3851">
        <v>0</v>
      </c>
      <c r="AA3851">
        <v>1</v>
      </c>
      <c r="AB3851">
        <v>8</v>
      </c>
      <c r="AC3851">
        <v>3</v>
      </c>
      <c r="AD3851">
        <v>0</v>
      </c>
      <c r="AE3851">
        <v>9</v>
      </c>
      <c r="AF3851" t="s">
        <v>138</v>
      </c>
      <c r="AG3851">
        <v>0</v>
      </c>
      <c r="AH3851">
        <v>3</v>
      </c>
      <c r="AI3851">
        <v>2</v>
      </c>
      <c r="AJ3851">
        <v>0</v>
      </c>
      <c r="AK3851" t="s">
        <v>1216</v>
      </c>
      <c r="AL3851">
        <v>39.172504000000004</v>
      </c>
      <c r="AM3851" t="s">
        <v>1217</v>
      </c>
      <c r="AN3851">
        <v>-121.030154</v>
      </c>
      <c r="AO3851">
        <v>25</v>
      </c>
      <c r="AP3851">
        <v>4300</v>
      </c>
      <c r="AQ3851" t="s">
        <v>131</v>
      </c>
      <c r="AR3851">
        <v>13</v>
      </c>
      <c r="AS3851">
        <v>85</v>
      </c>
      <c r="AT3851">
        <v>384</v>
      </c>
      <c r="BB3851" t="str">
        <f t="shared" si="1523"/>
        <v>1200</v>
      </c>
      <c r="BC3851">
        <v>1</v>
      </c>
      <c r="BD3851" t="str">
        <f t="shared" si="1524"/>
        <v xml:space="preserve">N52156  </v>
      </c>
      <c r="BE3851">
        <v>1</v>
      </c>
      <c r="BG3851">
        <v>0</v>
      </c>
      <c r="BH3851">
        <v>0</v>
      </c>
      <c r="BI3851">
        <v>0</v>
      </c>
      <c r="BJ3851">
        <v>4325</v>
      </c>
      <c r="BK3851">
        <v>25</v>
      </c>
      <c r="BL3851" t="s">
        <v>188</v>
      </c>
      <c r="BM3851">
        <v>1</v>
      </c>
      <c r="BN3851">
        <v>1</v>
      </c>
      <c r="BO3851">
        <v>0</v>
      </c>
      <c r="BP3851">
        <v>0</v>
      </c>
      <c r="BS3851">
        <v>0</v>
      </c>
      <c r="BT3851">
        <v>0</v>
      </c>
      <c r="BU3851">
        <v>0</v>
      </c>
      <c r="CE3851" t="str">
        <f t="shared" si="1527"/>
        <v>15:15:13.592</v>
      </c>
      <c r="CF3851">
        <v>591741572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3</v>
      </c>
      <c r="CY3851">
        <v>7</v>
      </c>
      <c r="CZ3851" t="s">
        <v>133</v>
      </c>
      <c r="DA3851">
        <v>275</v>
      </c>
      <c r="DB3851">
        <v>0</v>
      </c>
      <c r="DC3851" t="s">
        <v>134</v>
      </c>
      <c r="DD3851" t="s">
        <v>135</v>
      </c>
      <c r="DG3851">
        <v>3323049</v>
      </c>
      <c r="DI3851">
        <v>1</v>
      </c>
      <c r="DJ3851">
        <v>0</v>
      </c>
      <c r="DK3851">
        <v>1</v>
      </c>
      <c r="DL3851">
        <v>0</v>
      </c>
      <c r="DM3851">
        <v>0</v>
      </c>
      <c r="DN3851">
        <v>0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3">
      <c r="A3852" t="str">
        <f>"05/01/2025 15:15:13.814"</f>
        <v>05/01/2025 15:15:13.814</v>
      </c>
      <c r="C3852" t="str">
        <f t="shared" si="1520"/>
        <v>FFDFD3C0</v>
      </c>
      <c r="D3852" t="s">
        <v>145</v>
      </c>
      <c r="E3852" t="str">
        <f>"05"</f>
        <v>05</v>
      </c>
      <c r="H3852">
        <v>47</v>
      </c>
      <c r="I3852" t="s">
        <v>146</v>
      </c>
      <c r="J3852" t="s">
        <v>138</v>
      </c>
      <c r="K3852">
        <v>0</v>
      </c>
      <c r="L3852">
        <v>3</v>
      </c>
      <c r="M3852">
        <v>0</v>
      </c>
      <c r="N3852">
        <v>2</v>
      </c>
      <c r="O3852">
        <v>0</v>
      </c>
      <c r="P3852">
        <v>1</v>
      </c>
      <c r="Q3852">
        <v>0</v>
      </c>
      <c r="R3852" t="s">
        <v>127</v>
      </c>
      <c r="S3852" t="str">
        <f t="shared" si="1526"/>
        <v>15:15:13.000</v>
      </c>
      <c r="T3852" t="str">
        <f t="shared" si="1526"/>
        <v>15:15:13.000</v>
      </c>
      <c r="U3852" t="str">
        <f t="shared" si="1522"/>
        <v>A68FCB</v>
      </c>
      <c r="V3852">
        <v>0</v>
      </c>
      <c r="W3852">
        <v>0</v>
      </c>
      <c r="X3852">
        <v>2</v>
      </c>
      <c r="Y3852">
        <v>0</v>
      </c>
      <c r="AA3852">
        <v>1</v>
      </c>
      <c r="AB3852">
        <v>8</v>
      </c>
      <c r="AC3852">
        <v>3</v>
      </c>
      <c r="AD3852">
        <v>0</v>
      </c>
      <c r="AE3852">
        <v>9</v>
      </c>
      <c r="AF3852" t="s">
        <v>138</v>
      </c>
      <c r="AG3852">
        <v>0</v>
      </c>
      <c r="AH3852">
        <v>3</v>
      </c>
      <c r="AI3852">
        <v>2</v>
      </c>
      <c r="AJ3852">
        <v>0</v>
      </c>
      <c r="AK3852" t="s">
        <v>1216</v>
      </c>
      <c r="AL3852">
        <v>39.172504000000004</v>
      </c>
      <c r="AM3852" t="s">
        <v>1217</v>
      </c>
      <c r="AN3852">
        <v>-121.030154</v>
      </c>
      <c r="AO3852">
        <v>25</v>
      </c>
      <c r="AP3852">
        <v>4300</v>
      </c>
      <c r="AQ3852" t="s">
        <v>131</v>
      </c>
      <c r="AR3852">
        <v>13</v>
      </c>
      <c r="AS3852">
        <v>85</v>
      </c>
      <c r="AT3852">
        <v>384</v>
      </c>
      <c r="BB3852" t="str">
        <f t="shared" si="1523"/>
        <v>1200</v>
      </c>
      <c r="BC3852">
        <v>1</v>
      </c>
      <c r="BD3852" t="str">
        <f t="shared" si="1524"/>
        <v xml:space="preserve">N52156  </v>
      </c>
      <c r="BE3852">
        <v>1</v>
      </c>
      <c r="BG3852">
        <v>0</v>
      </c>
      <c r="BH3852">
        <v>0</v>
      </c>
      <c r="BI3852">
        <v>0</v>
      </c>
      <c r="BJ3852">
        <v>4325</v>
      </c>
      <c r="BK3852">
        <v>25</v>
      </c>
      <c r="BL3852" t="s">
        <v>188</v>
      </c>
      <c r="BM3852">
        <v>1</v>
      </c>
      <c r="BN3852">
        <v>1</v>
      </c>
      <c r="BO3852">
        <v>0</v>
      </c>
      <c r="BP3852">
        <v>0</v>
      </c>
      <c r="BS3852">
        <v>0</v>
      </c>
      <c r="BT3852">
        <v>0</v>
      </c>
      <c r="BU3852">
        <v>0</v>
      </c>
      <c r="CE3852" t="str">
        <f t="shared" si="1527"/>
        <v>15:15:13.592</v>
      </c>
      <c r="CF3852">
        <v>591741572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3</v>
      </c>
      <c r="CY3852">
        <v>7</v>
      </c>
      <c r="CZ3852" t="s">
        <v>133</v>
      </c>
      <c r="DA3852">
        <v>275</v>
      </c>
      <c r="DB3852">
        <v>0</v>
      </c>
      <c r="DC3852" t="s">
        <v>134</v>
      </c>
      <c r="DD3852" t="s">
        <v>135</v>
      </c>
      <c r="DG3852">
        <v>3323049</v>
      </c>
      <c r="DI3852">
        <v>1</v>
      </c>
      <c r="DJ3852">
        <v>0</v>
      </c>
      <c r="DK3852">
        <v>1</v>
      </c>
      <c r="DL3852">
        <v>0</v>
      </c>
      <c r="DM3852">
        <v>0</v>
      </c>
      <c r="DN3852">
        <v>0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3">
      <c r="A3853" t="str">
        <f>"05/01/2025 15:15:13.824"</f>
        <v>05/01/2025 15:15:13.824</v>
      </c>
      <c r="C3853" t="str">
        <f t="shared" si="1520"/>
        <v>FFDFD3C0</v>
      </c>
      <c r="D3853" t="s">
        <v>136</v>
      </c>
      <c r="E3853" t="str">
        <f>"20"</f>
        <v>20</v>
      </c>
      <c r="H3853">
        <v>400</v>
      </c>
      <c r="I3853" t="s">
        <v>137</v>
      </c>
      <c r="J3853" t="s">
        <v>138</v>
      </c>
      <c r="K3853">
        <v>0</v>
      </c>
      <c r="L3853">
        <v>3</v>
      </c>
      <c r="M3853">
        <v>0</v>
      </c>
      <c r="N3853">
        <v>2</v>
      </c>
      <c r="O3853">
        <v>0</v>
      </c>
      <c r="P3853">
        <v>1</v>
      </c>
      <c r="Q3853">
        <v>0</v>
      </c>
      <c r="R3853" t="s">
        <v>127</v>
      </c>
      <c r="S3853" t="str">
        <f t="shared" si="1526"/>
        <v>15:15:13.000</v>
      </c>
      <c r="T3853" t="str">
        <f t="shared" si="1526"/>
        <v>15:15:13.000</v>
      </c>
      <c r="U3853" t="str">
        <f t="shared" si="1522"/>
        <v>A68FCB</v>
      </c>
      <c r="V3853">
        <v>0</v>
      </c>
      <c r="W3853">
        <v>0</v>
      </c>
      <c r="X3853">
        <v>2</v>
      </c>
      <c r="Y3853">
        <v>0</v>
      </c>
      <c r="AA3853">
        <v>1</v>
      </c>
      <c r="AB3853">
        <v>8</v>
      </c>
      <c r="AC3853">
        <v>3</v>
      </c>
      <c r="AD3853">
        <v>0</v>
      </c>
      <c r="AE3853">
        <v>9</v>
      </c>
      <c r="AF3853" t="s">
        <v>138</v>
      </c>
      <c r="AG3853">
        <v>0</v>
      </c>
      <c r="AH3853">
        <v>3</v>
      </c>
      <c r="AI3853">
        <v>2</v>
      </c>
      <c r="AJ3853">
        <v>0</v>
      </c>
      <c r="AK3853" t="s">
        <v>1216</v>
      </c>
      <c r="AL3853">
        <v>39.172504000000004</v>
      </c>
      <c r="AM3853" t="s">
        <v>1217</v>
      </c>
      <c r="AN3853">
        <v>-121.030154</v>
      </c>
      <c r="AO3853">
        <v>25</v>
      </c>
      <c r="AP3853">
        <v>4300</v>
      </c>
      <c r="AQ3853" t="s">
        <v>131</v>
      </c>
      <c r="AR3853">
        <v>13</v>
      </c>
      <c r="AS3853">
        <v>85</v>
      </c>
      <c r="AT3853">
        <v>384</v>
      </c>
      <c r="BB3853" t="str">
        <f t="shared" si="1523"/>
        <v>1200</v>
      </c>
      <c r="BC3853">
        <v>1</v>
      </c>
      <c r="BD3853" t="str">
        <f t="shared" si="1524"/>
        <v xml:space="preserve">N52156  </v>
      </c>
      <c r="BE3853">
        <v>1</v>
      </c>
      <c r="BG3853">
        <v>0</v>
      </c>
      <c r="BH3853">
        <v>0</v>
      </c>
      <c r="BI3853">
        <v>0</v>
      </c>
      <c r="BJ3853">
        <v>4325</v>
      </c>
      <c r="BK3853">
        <v>25</v>
      </c>
      <c r="BL3853" t="s">
        <v>188</v>
      </c>
      <c r="BM3853">
        <v>1</v>
      </c>
      <c r="BN3853">
        <v>1</v>
      </c>
      <c r="BO3853">
        <v>0</v>
      </c>
      <c r="BP3853">
        <v>0</v>
      </c>
      <c r="BS3853">
        <v>0</v>
      </c>
      <c r="BT3853">
        <v>0</v>
      </c>
      <c r="BU3853">
        <v>0</v>
      </c>
      <c r="CE3853" t="str">
        <f t="shared" si="1527"/>
        <v>15:15:13.592</v>
      </c>
      <c r="CF3853">
        <v>591741572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3</v>
      </c>
      <c r="CY3853">
        <v>7</v>
      </c>
      <c r="CZ3853" t="s">
        <v>133</v>
      </c>
      <c r="DA3853">
        <v>275</v>
      </c>
      <c r="DB3853">
        <v>0</v>
      </c>
      <c r="DC3853" t="s">
        <v>134</v>
      </c>
      <c r="DD3853" t="s">
        <v>135</v>
      </c>
      <c r="DG3853">
        <v>3323049</v>
      </c>
      <c r="DI3853">
        <v>1</v>
      </c>
      <c r="DJ3853">
        <v>0</v>
      </c>
      <c r="DK3853">
        <v>1</v>
      </c>
      <c r="DL3853">
        <v>0</v>
      </c>
      <c r="DM3853">
        <v>0</v>
      </c>
      <c r="DN3853">
        <v>0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3">
      <c r="A3854" t="str">
        <f>"05/01/2025 15:15:15.116"</f>
        <v>05/01/2025 15:15:15.116</v>
      </c>
      <c r="C3854" t="str">
        <f t="shared" si="1520"/>
        <v>FFDFD3C0</v>
      </c>
      <c r="D3854" t="s">
        <v>145</v>
      </c>
      <c r="E3854" t="str">
        <f>"05"</f>
        <v>05</v>
      </c>
      <c r="H3854">
        <v>47</v>
      </c>
      <c r="I3854" t="s">
        <v>146</v>
      </c>
      <c r="J3854" t="s">
        <v>138</v>
      </c>
      <c r="K3854">
        <v>0</v>
      </c>
      <c r="L3854">
        <v>3</v>
      </c>
      <c r="M3854">
        <v>0</v>
      </c>
      <c r="N3854">
        <v>2</v>
      </c>
      <c r="O3854">
        <v>0</v>
      </c>
      <c r="P3854">
        <v>1</v>
      </c>
      <c r="Q3854">
        <v>0</v>
      </c>
      <c r="R3854" t="s">
        <v>127</v>
      </c>
      <c r="S3854" t="str">
        <f t="shared" ref="S3854:T3859" si="1528">"15:15:14.000"</f>
        <v>15:15:14.000</v>
      </c>
      <c r="T3854" t="str">
        <f t="shared" si="1528"/>
        <v>15:15:14.000</v>
      </c>
      <c r="U3854" t="str">
        <f t="shared" si="1522"/>
        <v>A68FCB</v>
      </c>
      <c r="V3854">
        <v>0</v>
      </c>
      <c r="W3854">
        <v>0</v>
      </c>
      <c r="X3854">
        <v>2</v>
      </c>
      <c r="Y3854">
        <v>0</v>
      </c>
      <c r="AA3854">
        <v>1</v>
      </c>
      <c r="AB3854">
        <v>8</v>
      </c>
      <c r="AC3854">
        <v>3</v>
      </c>
      <c r="AD3854">
        <v>0</v>
      </c>
      <c r="AE3854">
        <v>9</v>
      </c>
      <c r="AF3854" t="s">
        <v>138</v>
      </c>
      <c r="AG3854">
        <v>0</v>
      </c>
      <c r="AH3854">
        <v>3</v>
      </c>
      <c r="AI3854">
        <v>2</v>
      </c>
      <c r="AJ3854">
        <v>0</v>
      </c>
      <c r="AK3854" t="s">
        <v>1218</v>
      </c>
      <c r="AL3854">
        <v>39.172890000000002</v>
      </c>
      <c r="AM3854" t="s">
        <v>1219</v>
      </c>
      <c r="AN3854">
        <v>-121.03009</v>
      </c>
      <c r="AO3854">
        <v>25</v>
      </c>
      <c r="AP3854">
        <v>4300</v>
      </c>
      <c r="AQ3854" t="s">
        <v>131</v>
      </c>
      <c r="AR3854">
        <v>14</v>
      </c>
      <c r="AS3854">
        <v>84</v>
      </c>
      <c r="AT3854">
        <v>384</v>
      </c>
      <c r="BB3854" t="str">
        <f t="shared" si="1523"/>
        <v>1200</v>
      </c>
      <c r="BC3854">
        <v>1</v>
      </c>
      <c r="BD3854" t="str">
        <f t="shared" si="1524"/>
        <v xml:space="preserve">N52156  </v>
      </c>
      <c r="BE3854">
        <v>1</v>
      </c>
      <c r="BG3854">
        <v>0</v>
      </c>
      <c r="BH3854">
        <v>0</v>
      </c>
      <c r="BI3854">
        <v>0</v>
      </c>
      <c r="BJ3854">
        <v>4325</v>
      </c>
      <c r="BK3854">
        <v>25</v>
      </c>
      <c r="BL3854" t="s">
        <v>188</v>
      </c>
      <c r="BM3854">
        <v>1</v>
      </c>
      <c r="BN3854">
        <v>1</v>
      </c>
      <c r="BO3854">
        <v>0</v>
      </c>
      <c r="BP3854">
        <v>0</v>
      </c>
      <c r="BS3854">
        <v>0</v>
      </c>
      <c r="BT3854">
        <v>0</v>
      </c>
      <c r="BU3854">
        <v>0</v>
      </c>
      <c r="CE3854" t="str">
        <f t="shared" ref="CE3854:CE3859" si="1529">"15:15:14.909"</f>
        <v>15:15:14.909</v>
      </c>
      <c r="CF3854">
        <v>908992445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3</v>
      </c>
      <c r="CY3854">
        <v>7</v>
      </c>
      <c r="CZ3854" t="s">
        <v>133</v>
      </c>
      <c r="DA3854">
        <v>275</v>
      </c>
      <c r="DB3854">
        <v>0</v>
      </c>
      <c r="DC3854" t="s">
        <v>134</v>
      </c>
      <c r="DD3854" t="s">
        <v>135</v>
      </c>
      <c r="DG3854">
        <v>3323057</v>
      </c>
      <c r="DI3854">
        <v>1</v>
      </c>
      <c r="DJ3854">
        <v>0</v>
      </c>
      <c r="DK3854">
        <v>0</v>
      </c>
      <c r="DL3854">
        <v>0</v>
      </c>
      <c r="DM3854">
        <v>0</v>
      </c>
      <c r="DN3854">
        <v>0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3">
      <c r="A3855" t="str">
        <f>"05/01/2025 15:15:15.114"</f>
        <v>05/01/2025 15:15:15.114</v>
      </c>
      <c r="C3855" t="str">
        <f t="shared" si="1520"/>
        <v>FFDFD3C0</v>
      </c>
      <c r="D3855" t="s">
        <v>145</v>
      </c>
      <c r="E3855" t="str">
        <f>"09"</f>
        <v>09</v>
      </c>
      <c r="H3855">
        <v>51</v>
      </c>
      <c r="I3855" t="s">
        <v>147</v>
      </c>
      <c r="J3855" t="s">
        <v>138</v>
      </c>
      <c r="K3855">
        <v>0</v>
      </c>
      <c r="L3855">
        <v>3</v>
      </c>
      <c r="M3855">
        <v>0</v>
      </c>
      <c r="N3855">
        <v>2</v>
      </c>
      <c r="O3855">
        <v>0</v>
      </c>
      <c r="P3855">
        <v>1</v>
      </c>
      <c r="Q3855">
        <v>0</v>
      </c>
      <c r="R3855" t="s">
        <v>127</v>
      </c>
      <c r="S3855" t="str">
        <f t="shared" si="1528"/>
        <v>15:15:14.000</v>
      </c>
      <c r="T3855" t="str">
        <f t="shared" si="1528"/>
        <v>15:15:14.000</v>
      </c>
      <c r="U3855" t="str">
        <f t="shared" si="1522"/>
        <v>A68FCB</v>
      </c>
      <c r="V3855">
        <v>0</v>
      </c>
      <c r="W3855">
        <v>0</v>
      </c>
      <c r="X3855">
        <v>2</v>
      </c>
      <c r="Y3855">
        <v>0</v>
      </c>
      <c r="AA3855">
        <v>1</v>
      </c>
      <c r="AB3855">
        <v>8</v>
      </c>
      <c r="AC3855">
        <v>3</v>
      </c>
      <c r="AD3855">
        <v>0</v>
      </c>
      <c r="AE3855">
        <v>9</v>
      </c>
      <c r="AF3855" t="s">
        <v>138</v>
      </c>
      <c r="AG3855">
        <v>0</v>
      </c>
      <c r="AH3855">
        <v>3</v>
      </c>
      <c r="AI3855">
        <v>2</v>
      </c>
      <c r="AJ3855">
        <v>0</v>
      </c>
      <c r="AK3855" t="s">
        <v>1218</v>
      </c>
      <c r="AL3855">
        <v>39.172890000000002</v>
      </c>
      <c r="AM3855" t="s">
        <v>1219</v>
      </c>
      <c r="AN3855">
        <v>-121.03009</v>
      </c>
      <c r="AO3855">
        <v>25</v>
      </c>
      <c r="AP3855">
        <v>4300</v>
      </c>
      <c r="AQ3855" t="s">
        <v>131</v>
      </c>
      <c r="AR3855">
        <v>14</v>
      </c>
      <c r="AS3855">
        <v>84</v>
      </c>
      <c r="AT3855">
        <v>384</v>
      </c>
      <c r="BB3855" t="str">
        <f t="shared" si="1523"/>
        <v>1200</v>
      </c>
      <c r="BC3855">
        <v>1</v>
      </c>
      <c r="BD3855" t="str">
        <f t="shared" si="1524"/>
        <v xml:space="preserve">N52156  </v>
      </c>
      <c r="BE3855">
        <v>1</v>
      </c>
      <c r="BG3855">
        <v>0</v>
      </c>
      <c r="BH3855">
        <v>0</v>
      </c>
      <c r="BI3855">
        <v>0</v>
      </c>
      <c r="BJ3855">
        <v>4325</v>
      </c>
      <c r="BK3855">
        <v>25</v>
      </c>
      <c r="BL3855" t="s">
        <v>188</v>
      </c>
      <c r="BM3855">
        <v>1</v>
      </c>
      <c r="BN3855">
        <v>1</v>
      </c>
      <c r="BO3855">
        <v>0</v>
      </c>
      <c r="BP3855">
        <v>0</v>
      </c>
      <c r="BS3855">
        <v>0</v>
      </c>
      <c r="BT3855">
        <v>0</v>
      </c>
      <c r="BU3855">
        <v>0</v>
      </c>
      <c r="CE3855" t="str">
        <f t="shared" si="1529"/>
        <v>15:15:14.909</v>
      </c>
      <c r="CF3855">
        <v>908992445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3</v>
      </c>
      <c r="CY3855">
        <v>7</v>
      </c>
      <c r="CZ3855" t="s">
        <v>133</v>
      </c>
      <c r="DA3855">
        <v>275</v>
      </c>
      <c r="DB3855">
        <v>0</v>
      </c>
      <c r="DC3855" t="s">
        <v>134</v>
      </c>
      <c r="DD3855" t="s">
        <v>135</v>
      </c>
      <c r="DG3855">
        <v>3323057</v>
      </c>
      <c r="DI3855">
        <v>1</v>
      </c>
      <c r="DJ3855">
        <v>0</v>
      </c>
      <c r="DK3855">
        <v>1</v>
      </c>
      <c r="DL3855">
        <v>0</v>
      </c>
      <c r="DM3855">
        <v>0</v>
      </c>
      <c r="DN3855">
        <v>0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3">
      <c r="A3856" t="str">
        <f>"05/01/2025 15:15:15.127"</f>
        <v>05/01/2025 15:15:15.127</v>
      </c>
      <c r="C3856" t="str">
        <f t="shared" si="1520"/>
        <v>FFDFD3C0</v>
      </c>
      <c r="D3856" t="s">
        <v>136</v>
      </c>
      <c r="E3856" t="str">
        <f>"20"</f>
        <v>20</v>
      </c>
      <c r="H3856">
        <v>400</v>
      </c>
      <c r="I3856" t="s">
        <v>137</v>
      </c>
      <c r="J3856" t="s">
        <v>138</v>
      </c>
      <c r="K3856">
        <v>0</v>
      </c>
      <c r="L3856">
        <v>3</v>
      </c>
      <c r="M3856">
        <v>0</v>
      </c>
      <c r="N3856">
        <v>2</v>
      </c>
      <c r="O3856">
        <v>0</v>
      </c>
      <c r="P3856">
        <v>1</v>
      </c>
      <c r="Q3856">
        <v>0</v>
      </c>
      <c r="R3856" t="s">
        <v>127</v>
      </c>
      <c r="S3856" t="str">
        <f t="shared" si="1528"/>
        <v>15:15:14.000</v>
      </c>
      <c r="T3856" t="str">
        <f t="shared" si="1528"/>
        <v>15:15:14.000</v>
      </c>
      <c r="U3856" t="str">
        <f t="shared" si="1522"/>
        <v>A68FCB</v>
      </c>
      <c r="V3856">
        <v>0</v>
      </c>
      <c r="W3856">
        <v>0</v>
      </c>
      <c r="X3856">
        <v>2</v>
      </c>
      <c r="Y3856">
        <v>0</v>
      </c>
      <c r="AA3856">
        <v>1</v>
      </c>
      <c r="AB3856">
        <v>8</v>
      </c>
      <c r="AC3856">
        <v>3</v>
      </c>
      <c r="AD3856">
        <v>0</v>
      </c>
      <c r="AE3856">
        <v>9</v>
      </c>
      <c r="AF3856" t="s">
        <v>138</v>
      </c>
      <c r="AG3856">
        <v>0</v>
      </c>
      <c r="AH3856">
        <v>3</v>
      </c>
      <c r="AI3856">
        <v>2</v>
      </c>
      <c r="AJ3856">
        <v>0</v>
      </c>
      <c r="AK3856" t="s">
        <v>1218</v>
      </c>
      <c r="AL3856">
        <v>39.172890000000002</v>
      </c>
      <c r="AM3856" t="s">
        <v>1219</v>
      </c>
      <c r="AN3856">
        <v>-121.03009</v>
      </c>
      <c r="AO3856">
        <v>25</v>
      </c>
      <c r="AP3856">
        <v>4300</v>
      </c>
      <c r="AQ3856" t="s">
        <v>131</v>
      </c>
      <c r="AR3856">
        <v>14</v>
      </c>
      <c r="AS3856">
        <v>84</v>
      </c>
      <c r="AT3856">
        <v>384</v>
      </c>
      <c r="BB3856" t="str">
        <f t="shared" si="1523"/>
        <v>1200</v>
      </c>
      <c r="BC3856">
        <v>1</v>
      </c>
      <c r="BD3856" t="str">
        <f t="shared" si="1524"/>
        <v xml:space="preserve">N52156  </v>
      </c>
      <c r="BE3856">
        <v>1</v>
      </c>
      <c r="BG3856">
        <v>0</v>
      </c>
      <c r="BH3856">
        <v>0</v>
      </c>
      <c r="BI3856">
        <v>0</v>
      </c>
      <c r="BJ3856">
        <v>4325</v>
      </c>
      <c r="BK3856">
        <v>25</v>
      </c>
      <c r="BL3856" t="s">
        <v>188</v>
      </c>
      <c r="BM3856">
        <v>1</v>
      </c>
      <c r="BN3856">
        <v>1</v>
      </c>
      <c r="BO3856">
        <v>0</v>
      </c>
      <c r="BP3856">
        <v>0</v>
      </c>
      <c r="BS3856">
        <v>0</v>
      </c>
      <c r="BT3856">
        <v>0</v>
      </c>
      <c r="BU3856">
        <v>0</v>
      </c>
      <c r="CE3856" t="str">
        <f t="shared" si="1529"/>
        <v>15:15:14.909</v>
      </c>
      <c r="CF3856">
        <v>908992445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3</v>
      </c>
      <c r="CY3856">
        <v>7</v>
      </c>
      <c r="CZ3856" t="s">
        <v>133</v>
      </c>
      <c r="DA3856">
        <v>275</v>
      </c>
      <c r="DB3856">
        <v>0</v>
      </c>
      <c r="DC3856" t="s">
        <v>134</v>
      </c>
      <c r="DD3856" t="s">
        <v>135</v>
      </c>
      <c r="DG3856">
        <v>3323057</v>
      </c>
      <c r="DI3856">
        <v>1</v>
      </c>
      <c r="DJ3856">
        <v>0</v>
      </c>
      <c r="DK3856">
        <v>1</v>
      </c>
      <c r="DL3856">
        <v>0</v>
      </c>
      <c r="DM3856">
        <v>0</v>
      </c>
      <c r="DN3856">
        <v>0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3">
      <c r="A3857" t="str">
        <f>"05/01/2025 15:15:15.148"</f>
        <v>05/01/2025 15:15:15.148</v>
      </c>
      <c r="C3857" t="str">
        <f t="shared" si="1520"/>
        <v>FFDFD3C0</v>
      </c>
      <c r="D3857" t="s">
        <v>143</v>
      </c>
      <c r="E3857" t="str">
        <f>"05"</f>
        <v>05</v>
      </c>
      <c r="H3857">
        <v>172</v>
      </c>
      <c r="I3857" t="s">
        <v>141</v>
      </c>
      <c r="J3857" t="s">
        <v>144</v>
      </c>
      <c r="K3857">
        <v>0</v>
      </c>
      <c r="L3857">
        <v>3</v>
      </c>
      <c r="M3857">
        <v>0</v>
      </c>
      <c r="N3857">
        <v>2</v>
      </c>
      <c r="O3857">
        <v>0</v>
      </c>
      <c r="P3857">
        <v>1</v>
      </c>
      <c r="Q3857">
        <v>0</v>
      </c>
      <c r="R3857" t="s">
        <v>127</v>
      </c>
      <c r="S3857" t="str">
        <f t="shared" si="1528"/>
        <v>15:15:14.000</v>
      </c>
      <c r="T3857" t="str">
        <f t="shared" si="1528"/>
        <v>15:15:14.000</v>
      </c>
      <c r="U3857" t="str">
        <f t="shared" si="1522"/>
        <v>A68FCB</v>
      </c>
      <c r="V3857">
        <v>0</v>
      </c>
      <c r="W3857">
        <v>0</v>
      </c>
      <c r="X3857">
        <v>2</v>
      </c>
      <c r="Y3857">
        <v>0</v>
      </c>
      <c r="AA3857">
        <v>1</v>
      </c>
      <c r="AB3857">
        <v>8</v>
      </c>
      <c r="AC3857">
        <v>3</v>
      </c>
      <c r="AD3857">
        <v>0</v>
      </c>
      <c r="AE3857">
        <v>9</v>
      </c>
      <c r="AF3857" t="s">
        <v>138</v>
      </c>
      <c r="AG3857">
        <v>0</v>
      </c>
      <c r="AH3857">
        <v>3</v>
      </c>
      <c r="AI3857">
        <v>2</v>
      </c>
      <c r="AJ3857">
        <v>0</v>
      </c>
      <c r="AK3857" t="s">
        <v>1218</v>
      </c>
      <c r="AL3857">
        <v>39.172890000000002</v>
      </c>
      <c r="AM3857" t="s">
        <v>1219</v>
      </c>
      <c r="AN3857">
        <v>-121.03009</v>
      </c>
      <c r="AO3857">
        <v>25</v>
      </c>
      <c r="AP3857">
        <v>4300</v>
      </c>
      <c r="AQ3857" t="s">
        <v>131</v>
      </c>
      <c r="AR3857">
        <v>14</v>
      </c>
      <c r="AS3857">
        <v>84</v>
      </c>
      <c r="AT3857">
        <v>384</v>
      </c>
      <c r="BB3857" t="str">
        <f t="shared" si="1523"/>
        <v>1200</v>
      </c>
      <c r="BC3857">
        <v>1</v>
      </c>
      <c r="BD3857" t="str">
        <f t="shared" si="1524"/>
        <v xml:space="preserve">N52156  </v>
      </c>
      <c r="BE3857">
        <v>1</v>
      </c>
      <c r="BG3857">
        <v>0</v>
      </c>
      <c r="BH3857">
        <v>0</v>
      </c>
      <c r="BI3857">
        <v>0</v>
      </c>
      <c r="BJ3857">
        <v>4325</v>
      </c>
      <c r="BK3857">
        <v>25</v>
      </c>
      <c r="BL3857" t="s">
        <v>188</v>
      </c>
      <c r="BM3857">
        <v>1</v>
      </c>
      <c r="BN3857">
        <v>1</v>
      </c>
      <c r="BO3857">
        <v>0</v>
      </c>
      <c r="BP3857">
        <v>0</v>
      </c>
      <c r="BS3857">
        <v>0</v>
      </c>
      <c r="BT3857">
        <v>0</v>
      </c>
      <c r="BU3857">
        <v>0</v>
      </c>
      <c r="CE3857" t="str">
        <f t="shared" si="1529"/>
        <v>15:15:14.909</v>
      </c>
      <c r="CF3857">
        <v>908992445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3</v>
      </c>
      <c r="CY3857">
        <v>7</v>
      </c>
      <c r="CZ3857" t="s">
        <v>133</v>
      </c>
      <c r="DA3857">
        <v>275</v>
      </c>
      <c r="DB3857">
        <v>0</v>
      </c>
      <c r="DC3857" t="s">
        <v>134</v>
      </c>
      <c r="DD3857" t="s">
        <v>135</v>
      </c>
      <c r="DG3857">
        <v>3323057</v>
      </c>
      <c r="DI3857">
        <v>1</v>
      </c>
      <c r="DJ3857">
        <v>0</v>
      </c>
      <c r="DK3857">
        <v>1</v>
      </c>
      <c r="DL3857">
        <v>0</v>
      </c>
      <c r="DM3857">
        <v>0</v>
      </c>
      <c r="DN3857">
        <v>0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3">
      <c r="A3858" t="str">
        <f>"05/01/2025 15:15:15.149"</f>
        <v>05/01/2025 15:15:15.149</v>
      </c>
      <c r="C3858" t="str">
        <f t="shared" si="1520"/>
        <v>FFDFD3C0</v>
      </c>
      <c r="D3858" t="s">
        <v>140</v>
      </c>
      <c r="E3858" t="str">
        <f>"13"</f>
        <v>13</v>
      </c>
      <c r="F3858">
        <v>1019</v>
      </c>
      <c r="G3858" t="s">
        <v>141</v>
      </c>
      <c r="J3858" t="s">
        <v>142</v>
      </c>
      <c r="K3858">
        <v>0</v>
      </c>
      <c r="L3858">
        <v>3</v>
      </c>
      <c r="M3858">
        <v>0</v>
      </c>
      <c r="N3858">
        <v>2</v>
      </c>
      <c r="O3858">
        <v>0</v>
      </c>
      <c r="P3858">
        <v>1</v>
      </c>
      <c r="Q3858">
        <v>0</v>
      </c>
      <c r="R3858" t="s">
        <v>127</v>
      </c>
      <c r="S3858" t="str">
        <f t="shared" si="1528"/>
        <v>15:15:14.000</v>
      </c>
      <c r="T3858" t="str">
        <f t="shared" si="1528"/>
        <v>15:15:14.000</v>
      </c>
      <c r="U3858" t="str">
        <f t="shared" si="1522"/>
        <v>A68FCB</v>
      </c>
      <c r="V3858">
        <v>0</v>
      </c>
      <c r="W3858">
        <v>0</v>
      </c>
      <c r="X3858">
        <v>2</v>
      </c>
      <c r="Y3858">
        <v>0</v>
      </c>
      <c r="AA3858">
        <v>1</v>
      </c>
      <c r="AB3858">
        <v>8</v>
      </c>
      <c r="AC3858">
        <v>3</v>
      </c>
      <c r="AD3858">
        <v>0</v>
      </c>
      <c r="AE3858">
        <v>9</v>
      </c>
      <c r="AF3858" t="s">
        <v>138</v>
      </c>
      <c r="AG3858">
        <v>0</v>
      </c>
      <c r="AH3858">
        <v>3</v>
      </c>
      <c r="AI3858">
        <v>2</v>
      </c>
      <c r="AJ3858">
        <v>0</v>
      </c>
      <c r="AK3858" t="s">
        <v>1218</v>
      </c>
      <c r="AL3858">
        <v>39.172890000000002</v>
      </c>
      <c r="AM3858" t="s">
        <v>1219</v>
      </c>
      <c r="AN3858">
        <v>-121.03009</v>
      </c>
      <c r="AO3858">
        <v>25</v>
      </c>
      <c r="AP3858">
        <v>4300</v>
      </c>
      <c r="AQ3858" t="s">
        <v>131</v>
      </c>
      <c r="AR3858">
        <v>14</v>
      </c>
      <c r="AS3858">
        <v>84</v>
      </c>
      <c r="AT3858">
        <v>384</v>
      </c>
      <c r="BB3858" t="str">
        <f t="shared" si="1523"/>
        <v>1200</v>
      </c>
      <c r="BC3858">
        <v>1</v>
      </c>
      <c r="BD3858" t="str">
        <f t="shared" si="1524"/>
        <v xml:space="preserve">N52156  </v>
      </c>
      <c r="BE3858">
        <v>1</v>
      </c>
      <c r="BG3858">
        <v>0</v>
      </c>
      <c r="BH3858">
        <v>0</v>
      </c>
      <c r="BI3858">
        <v>0</v>
      </c>
      <c r="BJ3858">
        <v>4325</v>
      </c>
      <c r="BK3858">
        <v>25</v>
      </c>
      <c r="BL3858" t="s">
        <v>188</v>
      </c>
      <c r="BM3858">
        <v>1</v>
      </c>
      <c r="BN3858">
        <v>1</v>
      </c>
      <c r="BO3858">
        <v>0</v>
      </c>
      <c r="BP3858">
        <v>0</v>
      </c>
      <c r="BS3858">
        <v>0</v>
      </c>
      <c r="BT3858">
        <v>0</v>
      </c>
      <c r="BU3858">
        <v>0</v>
      </c>
      <c r="CE3858" t="str">
        <f t="shared" si="1529"/>
        <v>15:15:14.909</v>
      </c>
      <c r="CF3858">
        <v>908992445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3</v>
      </c>
      <c r="CY3858">
        <v>7</v>
      </c>
      <c r="CZ3858" t="s">
        <v>133</v>
      </c>
      <c r="DA3858">
        <v>275</v>
      </c>
      <c r="DB3858">
        <v>0</v>
      </c>
      <c r="DC3858" t="s">
        <v>134</v>
      </c>
      <c r="DD3858" t="s">
        <v>135</v>
      </c>
      <c r="DG3858">
        <v>3323057</v>
      </c>
      <c r="DI3858">
        <v>1</v>
      </c>
      <c r="DJ3858">
        <v>0</v>
      </c>
      <c r="DK3858">
        <v>1</v>
      </c>
      <c r="DL3858">
        <v>0</v>
      </c>
      <c r="DM3858">
        <v>0</v>
      </c>
      <c r="DN3858">
        <v>0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3">
      <c r="A3859" t="str">
        <f>"05/01/2025 15:15:15.153"</f>
        <v>05/01/2025 15:15:15.153</v>
      </c>
      <c r="C3859" t="str">
        <f t="shared" si="1520"/>
        <v>FFDFD3C0</v>
      </c>
      <c r="D3859" t="s">
        <v>124</v>
      </c>
      <c r="E3859" t="str">
        <f>"06"</f>
        <v>06</v>
      </c>
      <c r="F3859">
        <v>2006</v>
      </c>
      <c r="G3859" t="s">
        <v>125</v>
      </c>
      <c r="J3859" t="s">
        <v>126</v>
      </c>
      <c r="K3859">
        <v>0</v>
      </c>
      <c r="L3859">
        <v>3</v>
      </c>
      <c r="M3859">
        <v>0</v>
      </c>
      <c r="N3859">
        <v>2</v>
      </c>
      <c r="O3859">
        <v>0</v>
      </c>
      <c r="P3859">
        <v>1</v>
      </c>
      <c r="Q3859">
        <v>0</v>
      </c>
      <c r="R3859" t="s">
        <v>127</v>
      </c>
      <c r="S3859" t="str">
        <f t="shared" si="1528"/>
        <v>15:15:14.000</v>
      </c>
      <c r="T3859" t="str">
        <f t="shared" si="1528"/>
        <v>15:15:14.000</v>
      </c>
      <c r="U3859" t="str">
        <f t="shared" si="1522"/>
        <v>A68FCB</v>
      </c>
      <c r="V3859">
        <v>0</v>
      </c>
      <c r="W3859">
        <v>0</v>
      </c>
      <c r="X3859">
        <v>2</v>
      </c>
      <c r="Y3859">
        <v>0</v>
      </c>
      <c r="AA3859">
        <v>1</v>
      </c>
      <c r="AB3859">
        <v>8</v>
      </c>
      <c r="AC3859">
        <v>3</v>
      </c>
      <c r="AD3859">
        <v>0</v>
      </c>
      <c r="AE3859">
        <v>9</v>
      </c>
      <c r="AF3859" t="s">
        <v>138</v>
      </c>
      <c r="AG3859">
        <v>0</v>
      </c>
      <c r="AH3859">
        <v>3</v>
      </c>
      <c r="AI3859">
        <v>2</v>
      </c>
      <c r="AJ3859">
        <v>0</v>
      </c>
      <c r="AK3859" t="s">
        <v>1218</v>
      </c>
      <c r="AL3859">
        <v>39.172890000000002</v>
      </c>
      <c r="AM3859" t="s">
        <v>1219</v>
      </c>
      <c r="AN3859">
        <v>-121.03009</v>
      </c>
      <c r="AO3859">
        <v>25</v>
      </c>
      <c r="AP3859">
        <v>4300</v>
      </c>
      <c r="AQ3859" t="s">
        <v>131</v>
      </c>
      <c r="AR3859">
        <v>14</v>
      </c>
      <c r="AS3859">
        <v>84</v>
      </c>
      <c r="AT3859">
        <v>384</v>
      </c>
      <c r="BB3859" t="str">
        <f t="shared" si="1523"/>
        <v>1200</v>
      </c>
      <c r="BC3859">
        <v>1</v>
      </c>
      <c r="BD3859" t="str">
        <f t="shared" si="1524"/>
        <v xml:space="preserve">N52156  </v>
      </c>
      <c r="BE3859">
        <v>1</v>
      </c>
      <c r="BG3859">
        <v>0</v>
      </c>
      <c r="BH3859">
        <v>0</v>
      </c>
      <c r="BI3859">
        <v>0</v>
      </c>
      <c r="BJ3859">
        <v>4325</v>
      </c>
      <c r="BK3859">
        <v>25</v>
      </c>
      <c r="BL3859" t="s">
        <v>188</v>
      </c>
      <c r="BM3859">
        <v>1</v>
      </c>
      <c r="BN3859">
        <v>1</v>
      </c>
      <c r="BO3859">
        <v>0</v>
      </c>
      <c r="BP3859">
        <v>0</v>
      </c>
      <c r="BS3859">
        <v>0</v>
      </c>
      <c r="BT3859">
        <v>0</v>
      </c>
      <c r="BU3859">
        <v>0</v>
      </c>
      <c r="CE3859" t="str">
        <f t="shared" si="1529"/>
        <v>15:15:14.909</v>
      </c>
      <c r="CF3859">
        <v>908992445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3</v>
      </c>
      <c r="CY3859">
        <v>7</v>
      </c>
      <c r="CZ3859" t="s">
        <v>133</v>
      </c>
      <c r="DA3859">
        <v>275</v>
      </c>
      <c r="DB3859">
        <v>0</v>
      </c>
      <c r="DC3859" t="s">
        <v>134</v>
      </c>
      <c r="DD3859" t="s">
        <v>135</v>
      </c>
      <c r="DG3859">
        <v>3323057</v>
      </c>
      <c r="DI3859">
        <v>1</v>
      </c>
      <c r="DJ3859">
        <v>0</v>
      </c>
      <c r="DK3859">
        <v>1</v>
      </c>
      <c r="DL3859">
        <v>0</v>
      </c>
      <c r="DM3859">
        <v>0</v>
      </c>
      <c r="DN3859">
        <v>0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3">
      <c r="A3860" t="str">
        <f>"05/01/2025 15:15:16.100"</f>
        <v>05/01/2025 15:15:16.100</v>
      </c>
      <c r="C3860" t="str">
        <f t="shared" si="1520"/>
        <v>FFDFD3C0</v>
      </c>
      <c r="D3860" t="s">
        <v>143</v>
      </c>
      <c r="E3860" t="str">
        <f>"05"</f>
        <v>05</v>
      </c>
      <c r="H3860">
        <v>172</v>
      </c>
      <c r="I3860" t="s">
        <v>141</v>
      </c>
      <c r="J3860" t="s">
        <v>144</v>
      </c>
      <c r="K3860">
        <v>0</v>
      </c>
      <c r="L3860">
        <v>3</v>
      </c>
      <c r="M3860">
        <v>0</v>
      </c>
      <c r="N3860">
        <v>2</v>
      </c>
      <c r="O3860">
        <v>0</v>
      </c>
      <c r="P3860">
        <v>1</v>
      </c>
      <c r="Q3860">
        <v>0</v>
      </c>
      <c r="R3860" t="s">
        <v>127</v>
      </c>
      <c r="S3860" t="str">
        <f t="shared" ref="S3860:T3865" si="1530">"15:15:15.000"</f>
        <v>15:15:15.000</v>
      </c>
      <c r="T3860" t="str">
        <f t="shared" si="1530"/>
        <v>15:15:15.000</v>
      </c>
      <c r="U3860" t="str">
        <f t="shared" si="1522"/>
        <v>A68FCB</v>
      </c>
      <c r="V3860">
        <v>0</v>
      </c>
      <c r="W3860">
        <v>0</v>
      </c>
      <c r="X3860">
        <v>2</v>
      </c>
      <c r="Y3860">
        <v>0</v>
      </c>
      <c r="AA3860">
        <v>1</v>
      </c>
      <c r="AB3860">
        <v>8</v>
      </c>
      <c r="AC3860">
        <v>3</v>
      </c>
      <c r="AD3860">
        <v>0</v>
      </c>
      <c r="AE3860">
        <v>9</v>
      </c>
      <c r="AF3860" t="s">
        <v>138</v>
      </c>
      <c r="AG3860">
        <v>0</v>
      </c>
      <c r="AH3860">
        <v>3</v>
      </c>
      <c r="AI3860">
        <v>2</v>
      </c>
      <c r="AJ3860">
        <v>0</v>
      </c>
      <c r="AK3860" t="s">
        <v>1220</v>
      </c>
      <c r="AL3860">
        <v>39.173298000000003</v>
      </c>
      <c r="AM3860" t="s">
        <v>1221</v>
      </c>
      <c r="AN3860">
        <v>-121.03000400000001</v>
      </c>
      <c r="AO3860">
        <v>25</v>
      </c>
      <c r="AP3860">
        <v>4300</v>
      </c>
      <c r="AQ3860" t="s">
        <v>131</v>
      </c>
      <c r="AR3860">
        <v>15</v>
      </c>
      <c r="AS3860">
        <v>84</v>
      </c>
      <c r="AT3860">
        <v>384</v>
      </c>
      <c r="BB3860" t="str">
        <f t="shared" si="1523"/>
        <v>1200</v>
      </c>
      <c r="BC3860">
        <v>1</v>
      </c>
      <c r="BD3860" t="str">
        <f t="shared" si="1524"/>
        <v xml:space="preserve">N52156  </v>
      </c>
      <c r="BE3860">
        <v>1</v>
      </c>
      <c r="BG3860">
        <v>0</v>
      </c>
      <c r="BH3860">
        <v>0</v>
      </c>
      <c r="BI3860">
        <v>0</v>
      </c>
      <c r="BJ3860">
        <v>4325</v>
      </c>
      <c r="BK3860">
        <v>25</v>
      </c>
      <c r="BL3860" t="s">
        <v>188</v>
      </c>
      <c r="BM3860">
        <v>1</v>
      </c>
      <c r="BN3860">
        <v>1</v>
      </c>
      <c r="BO3860">
        <v>0</v>
      </c>
      <c r="BP3860">
        <v>0</v>
      </c>
      <c r="BS3860">
        <v>0</v>
      </c>
      <c r="BT3860">
        <v>0</v>
      </c>
      <c r="BU3860">
        <v>0</v>
      </c>
      <c r="CE3860" t="str">
        <f t="shared" ref="CE3860:CE3865" si="1531">"15:15:15.879"</f>
        <v>15:15:15.879</v>
      </c>
      <c r="CF3860">
        <v>879242467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3</v>
      </c>
      <c r="CY3860">
        <v>7</v>
      </c>
      <c r="CZ3860" t="s">
        <v>133</v>
      </c>
      <c r="DA3860">
        <v>275</v>
      </c>
      <c r="DB3860">
        <v>0</v>
      </c>
      <c r="DC3860" t="s">
        <v>134</v>
      </c>
      <c r="DD3860" t="s">
        <v>135</v>
      </c>
      <c r="DG3860">
        <v>3323061</v>
      </c>
      <c r="DI3860">
        <v>1</v>
      </c>
      <c r="DJ3860">
        <v>0</v>
      </c>
      <c r="DK3860">
        <v>0</v>
      </c>
      <c r="DL3860">
        <v>0</v>
      </c>
      <c r="DM3860">
        <v>0</v>
      </c>
      <c r="DN3860">
        <v>0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3">
      <c r="A3861" t="str">
        <f>"05/01/2025 15:15:16.100"</f>
        <v>05/01/2025 15:15:16.100</v>
      </c>
      <c r="C3861" t="str">
        <f t="shared" si="1520"/>
        <v>FFDFD3C0</v>
      </c>
      <c r="D3861" t="s">
        <v>140</v>
      </c>
      <c r="E3861" t="str">
        <f>"13"</f>
        <v>13</v>
      </c>
      <c r="F3861">
        <v>1019</v>
      </c>
      <c r="G3861" t="s">
        <v>141</v>
      </c>
      <c r="J3861" t="s">
        <v>142</v>
      </c>
      <c r="K3861">
        <v>0</v>
      </c>
      <c r="L3861">
        <v>3</v>
      </c>
      <c r="M3861">
        <v>0</v>
      </c>
      <c r="N3861">
        <v>2</v>
      </c>
      <c r="O3861">
        <v>0</v>
      </c>
      <c r="P3861">
        <v>1</v>
      </c>
      <c r="Q3861">
        <v>0</v>
      </c>
      <c r="R3861" t="s">
        <v>127</v>
      </c>
      <c r="S3861" t="str">
        <f t="shared" si="1530"/>
        <v>15:15:15.000</v>
      </c>
      <c r="T3861" t="str">
        <f t="shared" si="1530"/>
        <v>15:15:15.000</v>
      </c>
      <c r="U3861" t="str">
        <f t="shared" si="1522"/>
        <v>A68FCB</v>
      </c>
      <c r="V3861">
        <v>0</v>
      </c>
      <c r="W3861">
        <v>0</v>
      </c>
      <c r="X3861">
        <v>2</v>
      </c>
      <c r="Y3861">
        <v>0</v>
      </c>
      <c r="AA3861">
        <v>1</v>
      </c>
      <c r="AB3861">
        <v>8</v>
      </c>
      <c r="AC3861">
        <v>3</v>
      </c>
      <c r="AD3861">
        <v>0</v>
      </c>
      <c r="AE3861">
        <v>9</v>
      </c>
      <c r="AF3861" t="s">
        <v>138</v>
      </c>
      <c r="AG3861">
        <v>0</v>
      </c>
      <c r="AH3861">
        <v>3</v>
      </c>
      <c r="AI3861">
        <v>2</v>
      </c>
      <c r="AJ3861">
        <v>0</v>
      </c>
      <c r="AK3861" t="s">
        <v>1220</v>
      </c>
      <c r="AL3861">
        <v>39.173298000000003</v>
      </c>
      <c r="AM3861" t="s">
        <v>1221</v>
      </c>
      <c r="AN3861">
        <v>-121.03000400000001</v>
      </c>
      <c r="AO3861">
        <v>25</v>
      </c>
      <c r="AP3861">
        <v>4300</v>
      </c>
      <c r="AQ3861" t="s">
        <v>131</v>
      </c>
      <c r="AR3861">
        <v>15</v>
      </c>
      <c r="AS3861">
        <v>84</v>
      </c>
      <c r="AT3861">
        <v>384</v>
      </c>
      <c r="BB3861" t="str">
        <f t="shared" si="1523"/>
        <v>1200</v>
      </c>
      <c r="BC3861">
        <v>1</v>
      </c>
      <c r="BD3861" t="str">
        <f t="shared" si="1524"/>
        <v xml:space="preserve">N52156  </v>
      </c>
      <c r="BE3861">
        <v>1</v>
      </c>
      <c r="BG3861">
        <v>0</v>
      </c>
      <c r="BH3861">
        <v>0</v>
      </c>
      <c r="BI3861">
        <v>0</v>
      </c>
      <c r="BJ3861">
        <v>4325</v>
      </c>
      <c r="BK3861">
        <v>25</v>
      </c>
      <c r="BL3861" t="s">
        <v>188</v>
      </c>
      <c r="BM3861">
        <v>1</v>
      </c>
      <c r="BN3861">
        <v>1</v>
      </c>
      <c r="BO3861">
        <v>0</v>
      </c>
      <c r="BP3861">
        <v>0</v>
      </c>
      <c r="BS3861">
        <v>0</v>
      </c>
      <c r="BT3861">
        <v>0</v>
      </c>
      <c r="BU3861">
        <v>0</v>
      </c>
      <c r="CE3861" t="str">
        <f t="shared" si="1531"/>
        <v>15:15:15.879</v>
      </c>
      <c r="CF3861">
        <v>879242467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3</v>
      </c>
      <c r="CY3861">
        <v>7</v>
      </c>
      <c r="CZ3861" t="s">
        <v>133</v>
      </c>
      <c r="DA3861">
        <v>275</v>
      </c>
      <c r="DB3861">
        <v>0</v>
      </c>
      <c r="DC3861" t="s">
        <v>134</v>
      </c>
      <c r="DD3861" t="s">
        <v>135</v>
      </c>
      <c r="DG3861">
        <v>3323061</v>
      </c>
      <c r="DI3861">
        <v>1</v>
      </c>
      <c r="DJ3861">
        <v>0</v>
      </c>
      <c r="DK3861">
        <v>1</v>
      </c>
      <c r="DL3861">
        <v>0</v>
      </c>
      <c r="DM3861">
        <v>0</v>
      </c>
      <c r="DN3861">
        <v>0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3">
      <c r="A3862" t="str">
        <f>"05/01/2025 15:15:16.105"</f>
        <v>05/01/2025 15:15:16.105</v>
      </c>
      <c r="C3862" t="str">
        <f t="shared" si="1520"/>
        <v>FFDFD3C0</v>
      </c>
      <c r="D3862" t="s">
        <v>124</v>
      </c>
      <c r="E3862" t="str">
        <f>"06"</f>
        <v>06</v>
      </c>
      <c r="F3862">
        <v>2006</v>
      </c>
      <c r="G3862" t="s">
        <v>125</v>
      </c>
      <c r="J3862" t="s">
        <v>126</v>
      </c>
      <c r="K3862">
        <v>0</v>
      </c>
      <c r="L3862">
        <v>3</v>
      </c>
      <c r="M3862">
        <v>0</v>
      </c>
      <c r="N3862">
        <v>2</v>
      </c>
      <c r="O3862">
        <v>0</v>
      </c>
      <c r="P3862">
        <v>1</v>
      </c>
      <c r="Q3862">
        <v>0</v>
      </c>
      <c r="R3862" t="s">
        <v>127</v>
      </c>
      <c r="S3862" t="str">
        <f t="shared" si="1530"/>
        <v>15:15:15.000</v>
      </c>
      <c r="T3862" t="str">
        <f t="shared" si="1530"/>
        <v>15:15:15.000</v>
      </c>
      <c r="U3862" t="str">
        <f t="shared" si="1522"/>
        <v>A68FCB</v>
      </c>
      <c r="V3862">
        <v>0</v>
      </c>
      <c r="W3862">
        <v>0</v>
      </c>
      <c r="X3862">
        <v>2</v>
      </c>
      <c r="Y3862">
        <v>0</v>
      </c>
      <c r="AA3862">
        <v>1</v>
      </c>
      <c r="AB3862">
        <v>8</v>
      </c>
      <c r="AC3862">
        <v>3</v>
      </c>
      <c r="AD3862">
        <v>0</v>
      </c>
      <c r="AE3862">
        <v>9</v>
      </c>
      <c r="AF3862" t="s">
        <v>138</v>
      </c>
      <c r="AG3862">
        <v>0</v>
      </c>
      <c r="AH3862">
        <v>3</v>
      </c>
      <c r="AI3862">
        <v>2</v>
      </c>
      <c r="AJ3862">
        <v>0</v>
      </c>
      <c r="AK3862" t="s">
        <v>1220</v>
      </c>
      <c r="AL3862">
        <v>39.173298000000003</v>
      </c>
      <c r="AM3862" t="s">
        <v>1221</v>
      </c>
      <c r="AN3862">
        <v>-121.03000400000001</v>
      </c>
      <c r="AO3862">
        <v>25</v>
      </c>
      <c r="AP3862">
        <v>4300</v>
      </c>
      <c r="AQ3862" t="s">
        <v>131</v>
      </c>
      <c r="AR3862">
        <v>15</v>
      </c>
      <c r="AS3862">
        <v>84</v>
      </c>
      <c r="AT3862">
        <v>384</v>
      </c>
      <c r="BB3862" t="str">
        <f t="shared" si="1523"/>
        <v>1200</v>
      </c>
      <c r="BC3862">
        <v>1</v>
      </c>
      <c r="BD3862" t="str">
        <f t="shared" si="1524"/>
        <v xml:space="preserve">N52156  </v>
      </c>
      <c r="BE3862">
        <v>1</v>
      </c>
      <c r="BG3862">
        <v>0</v>
      </c>
      <c r="BH3862">
        <v>0</v>
      </c>
      <c r="BI3862">
        <v>0</v>
      </c>
      <c r="BJ3862">
        <v>4325</v>
      </c>
      <c r="BK3862">
        <v>25</v>
      </c>
      <c r="BL3862" t="s">
        <v>188</v>
      </c>
      <c r="BM3862">
        <v>1</v>
      </c>
      <c r="BN3862">
        <v>1</v>
      </c>
      <c r="BO3862">
        <v>0</v>
      </c>
      <c r="BP3862">
        <v>0</v>
      </c>
      <c r="BS3862">
        <v>0</v>
      </c>
      <c r="BT3862">
        <v>0</v>
      </c>
      <c r="BU3862">
        <v>0</v>
      </c>
      <c r="CE3862" t="str">
        <f t="shared" si="1531"/>
        <v>15:15:15.879</v>
      </c>
      <c r="CF3862">
        <v>879242467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3</v>
      </c>
      <c r="CY3862">
        <v>7</v>
      </c>
      <c r="CZ3862" t="s">
        <v>133</v>
      </c>
      <c r="DA3862">
        <v>275</v>
      </c>
      <c r="DB3862">
        <v>0</v>
      </c>
      <c r="DC3862" t="s">
        <v>134</v>
      </c>
      <c r="DD3862" t="s">
        <v>135</v>
      </c>
      <c r="DG3862">
        <v>3323061</v>
      </c>
      <c r="DI3862">
        <v>1</v>
      </c>
      <c r="DJ3862">
        <v>0</v>
      </c>
      <c r="DK3862">
        <v>1</v>
      </c>
      <c r="DL3862">
        <v>0</v>
      </c>
      <c r="DM3862">
        <v>0</v>
      </c>
      <c r="DN3862">
        <v>0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3">
      <c r="A3863" t="str">
        <f>"05/01/2025 15:15:16.115"</f>
        <v>05/01/2025 15:15:16.115</v>
      </c>
      <c r="C3863" t="str">
        <f t="shared" si="1520"/>
        <v>FFDFD3C0</v>
      </c>
      <c r="D3863" t="s">
        <v>145</v>
      </c>
      <c r="E3863" t="str">
        <f>"09"</f>
        <v>09</v>
      </c>
      <c r="H3863">
        <v>51</v>
      </c>
      <c r="I3863" t="s">
        <v>147</v>
      </c>
      <c r="J3863" t="s">
        <v>138</v>
      </c>
      <c r="K3863">
        <v>0</v>
      </c>
      <c r="L3863">
        <v>3</v>
      </c>
      <c r="M3863">
        <v>0</v>
      </c>
      <c r="N3863">
        <v>2</v>
      </c>
      <c r="O3863">
        <v>0</v>
      </c>
      <c r="P3863">
        <v>1</v>
      </c>
      <c r="Q3863">
        <v>0</v>
      </c>
      <c r="R3863" t="s">
        <v>127</v>
      </c>
      <c r="S3863" t="str">
        <f t="shared" si="1530"/>
        <v>15:15:15.000</v>
      </c>
      <c r="T3863" t="str">
        <f t="shared" si="1530"/>
        <v>15:15:15.000</v>
      </c>
      <c r="U3863" t="str">
        <f t="shared" si="1522"/>
        <v>A68FCB</v>
      </c>
      <c r="V3863">
        <v>0</v>
      </c>
      <c r="W3863">
        <v>0</v>
      </c>
      <c r="X3863">
        <v>2</v>
      </c>
      <c r="Y3863">
        <v>0</v>
      </c>
      <c r="AA3863">
        <v>1</v>
      </c>
      <c r="AB3863">
        <v>8</v>
      </c>
      <c r="AC3863">
        <v>3</v>
      </c>
      <c r="AD3863">
        <v>0</v>
      </c>
      <c r="AE3863">
        <v>9</v>
      </c>
      <c r="AF3863" t="s">
        <v>138</v>
      </c>
      <c r="AG3863">
        <v>0</v>
      </c>
      <c r="AH3863">
        <v>3</v>
      </c>
      <c r="AI3863">
        <v>2</v>
      </c>
      <c r="AJ3863">
        <v>0</v>
      </c>
      <c r="AK3863" t="s">
        <v>1220</v>
      </c>
      <c r="AL3863">
        <v>39.173298000000003</v>
      </c>
      <c r="AM3863" t="s">
        <v>1221</v>
      </c>
      <c r="AN3863">
        <v>-121.03000400000001</v>
      </c>
      <c r="AO3863">
        <v>25</v>
      </c>
      <c r="AP3863">
        <v>4300</v>
      </c>
      <c r="AQ3863" t="s">
        <v>131</v>
      </c>
      <c r="AR3863">
        <v>15</v>
      </c>
      <c r="AS3863">
        <v>84</v>
      </c>
      <c r="AT3863">
        <v>384</v>
      </c>
      <c r="BB3863" t="str">
        <f t="shared" si="1523"/>
        <v>1200</v>
      </c>
      <c r="BC3863">
        <v>1</v>
      </c>
      <c r="BD3863" t="str">
        <f t="shared" si="1524"/>
        <v xml:space="preserve">N52156  </v>
      </c>
      <c r="BE3863">
        <v>1</v>
      </c>
      <c r="BG3863">
        <v>0</v>
      </c>
      <c r="BH3863">
        <v>0</v>
      </c>
      <c r="BI3863">
        <v>0</v>
      </c>
      <c r="BJ3863">
        <v>4325</v>
      </c>
      <c r="BK3863">
        <v>25</v>
      </c>
      <c r="BL3863" t="s">
        <v>188</v>
      </c>
      <c r="BM3863">
        <v>1</v>
      </c>
      <c r="BN3863">
        <v>1</v>
      </c>
      <c r="BO3863">
        <v>0</v>
      </c>
      <c r="BP3863">
        <v>0</v>
      </c>
      <c r="BS3863">
        <v>0</v>
      </c>
      <c r="BT3863">
        <v>0</v>
      </c>
      <c r="BU3863">
        <v>0</v>
      </c>
      <c r="CE3863" t="str">
        <f t="shared" si="1531"/>
        <v>15:15:15.879</v>
      </c>
      <c r="CF3863">
        <v>879242467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3</v>
      </c>
      <c r="CY3863">
        <v>7</v>
      </c>
      <c r="CZ3863" t="s">
        <v>133</v>
      </c>
      <c r="DA3863">
        <v>275</v>
      </c>
      <c r="DB3863">
        <v>0</v>
      </c>
      <c r="DC3863" t="s">
        <v>134</v>
      </c>
      <c r="DD3863" t="s">
        <v>135</v>
      </c>
      <c r="DG3863">
        <v>3323061</v>
      </c>
      <c r="DI3863">
        <v>1</v>
      </c>
      <c r="DJ3863">
        <v>0</v>
      </c>
      <c r="DK3863">
        <v>1</v>
      </c>
      <c r="DL3863">
        <v>0</v>
      </c>
      <c r="DM3863">
        <v>0</v>
      </c>
      <c r="DN3863">
        <v>0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3">
      <c r="A3864" t="str">
        <f>"05/01/2025 15:15:16.118"</f>
        <v>05/01/2025 15:15:16.118</v>
      </c>
      <c r="C3864" t="str">
        <f t="shared" si="1520"/>
        <v>FFDFD3C0</v>
      </c>
      <c r="D3864" t="s">
        <v>145</v>
      </c>
      <c r="E3864" t="str">
        <f>"05"</f>
        <v>05</v>
      </c>
      <c r="H3864">
        <v>47</v>
      </c>
      <c r="I3864" t="s">
        <v>146</v>
      </c>
      <c r="J3864" t="s">
        <v>138</v>
      </c>
      <c r="K3864">
        <v>0</v>
      </c>
      <c r="L3864">
        <v>3</v>
      </c>
      <c r="M3864">
        <v>0</v>
      </c>
      <c r="N3864">
        <v>2</v>
      </c>
      <c r="O3864">
        <v>0</v>
      </c>
      <c r="P3864">
        <v>1</v>
      </c>
      <c r="Q3864">
        <v>0</v>
      </c>
      <c r="R3864" t="s">
        <v>127</v>
      </c>
      <c r="S3864" t="str">
        <f t="shared" si="1530"/>
        <v>15:15:15.000</v>
      </c>
      <c r="T3864" t="str">
        <f t="shared" si="1530"/>
        <v>15:15:15.000</v>
      </c>
      <c r="U3864" t="str">
        <f t="shared" si="1522"/>
        <v>A68FCB</v>
      </c>
      <c r="V3864">
        <v>0</v>
      </c>
      <c r="W3864">
        <v>0</v>
      </c>
      <c r="X3864">
        <v>2</v>
      </c>
      <c r="Y3864">
        <v>0</v>
      </c>
      <c r="AA3864">
        <v>1</v>
      </c>
      <c r="AB3864">
        <v>8</v>
      </c>
      <c r="AC3864">
        <v>3</v>
      </c>
      <c r="AD3864">
        <v>0</v>
      </c>
      <c r="AE3864">
        <v>9</v>
      </c>
      <c r="AF3864" t="s">
        <v>138</v>
      </c>
      <c r="AG3864">
        <v>0</v>
      </c>
      <c r="AH3864">
        <v>3</v>
      </c>
      <c r="AI3864">
        <v>2</v>
      </c>
      <c r="AJ3864">
        <v>0</v>
      </c>
      <c r="AK3864" t="s">
        <v>1220</v>
      </c>
      <c r="AL3864">
        <v>39.173298000000003</v>
      </c>
      <c r="AM3864" t="s">
        <v>1221</v>
      </c>
      <c r="AN3864">
        <v>-121.03000400000001</v>
      </c>
      <c r="AO3864">
        <v>25</v>
      </c>
      <c r="AP3864">
        <v>4300</v>
      </c>
      <c r="AQ3864" t="s">
        <v>131</v>
      </c>
      <c r="AR3864">
        <v>15</v>
      </c>
      <c r="AS3864">
        <v>84</v>
      </c>
      <c r="AT3864">
        <v>384</v>
      </c>
      <c r="BB3864" t="str">
        <f t="shared" si="1523"/>
        <v>1200</v>
      </c>
      <c r="BC3864">
        <v>1</v>
      </c>
      <c r="BD3864" t="str">
        <f t="shared" si="1524"/>
        <v xml:space="preserve">N52156  </v>
      </c>
      <c r="BE3864">
        <v>1</v>
      </c>
      <c r="BG3864">
        <v>0</v>
      </c>
      <c r="BH3864">
        <v>0</v>
      </c>
      <c r="BI3864">
        <v>0</v>
      </c>
      <c r="BJ3864">
        <v>4325</v>
      </c>
      <c r="BK3864">
        <v>25</v>
      </c>
      <c r="BL3864" t="s">
        <v>188</v>
      </c>
      <c r="BM3864">
        <v>1</v>
      </c>
      <c r="BN3864">
        <v>1</v>
      </c>
      <c r="BO3864">
        <v>0</v>
      </c>
      <c r="BP3864">
        <v>0</v>
      </c>
      <c r="BS3864">
        <v>0</v>
      </c>
      <c r="BT3864">
        <v>0</v>
      </c>
      <c r="BU3864">
        <v>0</v>
      </c>
      <c r="CE3864" t="str">
        <f t="shared" si="1531"/>
        <v>15:15:15.879</v>
      </c>
      <c r="CF3864">
        <v>879242467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3</v>
      </c>
      <c r="CY3864">
        <v>7</v>
      </c>
      <c r="CZ3864" t="s">
        <v>133</v>
      </c>
      <c r="DA3864">
        <v>275</v>
      </c>
      <c r="DB3864">
        <v>0</v>
      </c>
      <c r="DC3864" t="s">
        <v>134</v>
      </c>
      <c r="DD3864" t="s">
        <v>135</v>
      </c>
      <c r="DG3864">
        <v>3323061</v>
      </c>
      <c r="DI3864">
        <v>1</v>
      </c>
      <c r="DJ3864">
        <v>0</v>
      </c>
      <c r="DK3864">
        <v>1</v>
      </c>
      <c r="DL3864">
        <v>0</v>
      </c>
      <c r="DM3864">
        <v>0</v>
      </c>
      <c r="DN3864">
        <v>0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3">
      <c r="A3865" t="str">
        <f>"05/01/2025 15:15:16.128"</f>
        <v>05/01/2025 15:15:16.128</v>
      </c>
      <c r="C3865" t="str">
        <f t="shared" si="1520"/>
        <v>FFDFD3C0</v>
      </c>
      <c r="D3865" t="s">
        <v>136</v>
      </c>
      <c r="E3865" t="str">
        <f>"20"</f>
        <v>20</v>
      </c>
      <c r="H3865">
        <v>400</v>
      </c>
      <c r="I3865" t="s">
        <v>137</v>
      </c>
      <c r="J3865" t="s">
        <v>138</v>
      </c>
      <c r="K3865">
        <v>0</v>
      </c>
      <c r="L3865">
        <v>3</v>
      </c>
      <c r="M3865">
        <v>0</v>
      </c>
      <c r="N3865">
        <v>2</v>
      </c>
      <c r="O3865">
        <v>0</v>
      </c>
      <c r="P3865">
        <v>1</v>
      </c>
      <c r="Q3865">
        <v>0</v>
      </c>
      <c r="R3865" t="s">
        <v>127</v>
      </c>
      <c r="S3865" t="str">
        <f t="shared" si="1530"/>
        <v>15:15:15.000</v>
      </c>
      <c r="T3865" t="str">
        <f t="shared" si="1530"/>
        <v>15:15:15.000</v>
      </c>
      <c r="U3865" t="str">
        <f t="shared" si="1522"/>
        <v>A68FCB</v>
      </c>
      <c r="V3865">
        <v>0</v>
      </c>
      <c r="W3865">
        <v>0</v>
      </c>
      <c r="X3865">
        <v>2</v>
      </c>
      <c r="Y3865">
        <v>0</v>
      </c>
      <c r="AA3865">
        <v>1</v>
      </c>
      <c r="AB3865">
        <v>8</v>
      </c>
      <c r="AC3865">
        <v>3</v>
      </c>
      <c r="AD3865">
        <v>0</v>
      </c>
      <c r="AE3865">
        <v>9</v>
      </c>
      <c r="AF3865" t="s">
        <v>138</v>
      </c>
      <c r="AG3865">
        <v>0</v>
      </c>
      <c r="AH3865">
        <v>3</v>
      </c>
      <c r="AI3865">
        <v>2</v>
      </c>
      <c r="AJ3865">
        <v>0</v>
      </c>
      <c r="AK3865" t="s">
        <v>1220</v>
      </c>
      <c r="AL3865">
        <v>39.173298000000003</v>
      </c>
      <c r="AM3865" t="s">
        <v>1221</v>
      </c>
      <c r="AN3865">
        <v>-121.03000400000001</v>
      </c>
      <c r="AO3865">
        <v>25</v>
      </c>
      <c r="AP3865">
        <v>4300</v>
      </c>
      <c r="AQ3865" t="s">
        <v>131</v>
      </c>
      <c r="AR3865">
        <v>15</v>
      </c>
      <c r="AS3865">
        <v>84</v>
      </c>
      <c r="AT3865">
        <v>384</v>
      </c>
      <c r="BB3865" t="str">
        <f t="shared" si="1523"/>
        <v>1200</v>
      </c>
      <c r="BC3865">
        <v>1</v>
      </c>
      <c r="BD3865" t="str">
        <f t="shared" si="1524"/>
        <v xml:space="preserve">N52156  </v>
      </c>
      <c r="BE3865">
        <v>1</v>
      </c>
      <c r="BG3865">
        <v>0</v>
      </c>
      <c r="BH3865">
        <v>0</v>
      </c>
      <c r="BI3865">
        <v>0</v>
      </c>
      <c r="BJ3865">
        <v>4325</v>
      </c>
      <c r="BK3865">
        <v>25</v>
      </c>
      <c r="BL3865" t="s">
        <v>188</v>
      </c>
      <c r="BM3865">
        <v>1</v>
      </c>
      <c r="BN3865">
        <v>1</v>
      </c>
      <c r="BO3865">
        <v>0</v>
      </c>
      <c r="BP3865">
        <v>0</v>
      </c>
      <c r="BS3865">
        <v>0</v>
      </c>
      <c r="BT3865">
        <v>0</v>
      </c>
      <c r="BU3865">
        <v>0</v>
      </c>
      <c r="CE3865" t="str">
        <f t="shared" si="1531"/>
        <v>15:15:15.879</v>
      </c>
      <c r="CF3865">
        <v>879242467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3</v>
      </c>
      <c r="CY3865">
        <v>7</v>
      </c>
      <c r="CZ3865" t="s">
        <v>133</v>
      </c>
      <c r="DA3865">
        <v>275</v>
      </c>
      <c r="DB3865">
        <v>0</v>
      </c>
      <c r="DC3865" t="s">
        <v>134</v>
      </c>
      <c r="DD3865" t="s">
        <v>135</v>
      </c>
      <c r="DG3865">
        <v>3323061</v>
      </c>
      <c r="DI3865">
        <v>1</v>
      </c>
      <c r="DJ3865">
        <v>0</v>
      </c>
      <c r="DK3865">
        <v>1</v>
      </c>
      <c r="DL3865">
        <v>0</v>
      </c>
      <c r="DM3865">
        <v>0</v>
      </c>
      <c r="DN3865">
        <v>0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3">
      <c r="A3866" t="str">
        <f>"05/01/2025 15:15:17.030"</f>
        <v>05/01/2025 15:15:17.030</v>
      </c>
      <c r="C3866" t="str">
        <f t="shared" si="1520"/>
        <v>FFDFD3C0</v>
      </c>
      <c r="D3866" t="s">
        <v>136</v>
      </c>
      <c r="E3866" t="str">
        <f>"20"</f>
        <v>20</v>
      </c>
      <c r="H3866">
        <v>400</v>
      </c>
      <c r="I3866" t="s">
        <v>137</v>
      </c>
      <c r="J3866" t="s">
        <v>138</v>
      </c>
      <c r="K3866">
        <v>0</v>
      </c>
      <c r="L3866">
        <v>3</v>
      </c>
      <c r="M3866">
        <v>0</v>
      </c>
      <c r="N3866">
        <v>2</v>
      </c>
      <c r="O3866">
        <v>0</v>
      </c>
      <c r="P3866">
        <v>1</v>
      </c>
      <c r="Q3866">
        <v>0</v>
      </c>
      <c r="R3866" t="s">
        <v>127</v>
      </c>
      <c r="S3866" t="str">
        <f t="shared" ref="S3866:T3871" si="1532">"15:15:16.000"</f>
        <v>15:15:16.000</v>
      </c>
      <c r="T3866" t="str">
        <f t="shared" si="1532"/>
        <v>15:15:16.000</v>
      </c>
      <c r="U3866" t="str">
        <f t="shared" si="1522"/>
        <v>A68FCB</v>
      </c>
      <c r="V3866">
        <v>0</v>
      </c>
      <c r="W3866">
        <v>0</v>
      </c>
      <c r="X3866">
        <v>2</v>
      </c>
      <c r="Y3866">
        <v>0</v>
      </c>
      <c r="AA3866">
        <v>1</v>
      </c>
      <c r="AB3866">
        <v>8</v>
      </c>
      <c r="AC3866">
        <v>3</v>
      </c>
      <c r="AD3866">
        <v>0</v>
      </c>
      <c r="AE3866">
        <v>9</v>
      </c>
      <c r="AF3866" t="s">
        <v>138</v>
      </c>
      <c r="AG3866">
        <v>0</v>
      </c>
      <c r="AH3866">
        <v>3</v>
      </c>
      <c r="AI3866">
        <v>2</v>
      </c>
      <c r="AJ3866">
        <v>0</v>
      </c>
      <c r="AK3866" t="s">
        <v>1222</v>
      </c>
      <c r="AL3866">
        <v>39.173684000000002</v>
      </c>
      <c r="AM3866" t="s">
        <v>1223</v>
      </c>
      <c r="AN3866">
        <v>-121.02989700000001</v>
      </c>
      <c r="AO3866">
        <v>25</v>
      </c>
      <c r="AP3866">
        <v>4300</v>
      </c>
      <c r="AQ3866" t="s">
        <v>131</v>
      </c>
      <c r="AR3866">
        <v>16</v>
      </c>
      <c r="AS3866">
        <v>84</v>
      </c>
      <c r="AT3866">
        <v>384</v>
      </c>
      <c r="BB3866" t="str">
        <f t="shared" si="1523"/>
        <v>1200</v>
      </c>
      <c r="BC3866">
        <v>1</v>
      </c>
      <c r="BD3866" t="str">
        <f t="shared" si="1524"/>
        <v xml:space="preserve">N52156  </v>
      </c>
      <c r="BE3866">
        <v>1</v>
      </c>
      <c r="BG3866">
        <v>0</v>
      </c>
      <c r="BH3866">
        <v>0</v>
      </c>
      <c r="BI3866">
        <v>0</v>
      </c>
      <c r="BJ3866">
        <v>4350</v>
      </c>
      <c r="BK3866">
        <v>50</v>
      </c>
      <c r="BL3866" t="s">
        <v>188</v>
      </c>
      <c r="BM3866">
        <v>1</v>
      </c>
      <c r="BN3866">
        <v>1</v>
      </c>
      <c r="BO3866">
        <v>0</v>
      </c>
      <c r="BP3866">
        <v>0</v>
      </c>
      <c r="BS3866">
        <v>0</v>
      </c>
      <c r="BT3866">
        <v>0</v>
      </c>
      <c r="BU3866">
        <v>0</v>
      </c>
      <c r="CE3866" t="str">
        <f t="shared" ref="CE3866:CE3871" si="1533">"15:15:16.806"</f>
        <v>15:15:16.806</v>
      </c>
      <c r="CF3866">
        <v>805823763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3</v>
      </c>
      <c r="CY3866">
        <v>7</v>
      </c>
      <c r="CZ3866" t="s">
        <v>133</v>
      </c>
      <c r="DA3866">
        <v>276</v>
      </c>
      <c r="DB3866">
        <v>0</v>
      </c>
      <c r="DC3866" t="s">
        <v>402</v>
      </c>
      <c r="DD3866" t="s">
        <v>403</v>
      </c>
      <c r="DG3866">
        <v>1628281</v>
      </c>
      <c r="DI3866">
        <v>1</v>
      </c>
      <c r="DJ3866">
        <v>0</v>
      </c>
      <c r="DK3866">
        <v>0</v>
      </c>
      <c r="DL3866">
        <v>0</v>
      </c>
      <c r="DM3866">
        <v>0</v>
      </c>
      <c r="DN3866">
        <v>0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3">
      <c r="A3867" t="str">
        <f>"05/01/2025 15:15:17.052"</f>
        <v>05/01/2025 15:15:17.052</v>
      </c>
      <c r="C3867" t="str">
        <f t="shared" si="1520"/>
        <v>FFDFD3C0</v>
      </c>
      <c r="D3867" t="s">
        <v>140</v>
      </c>
      <c r="E3867" t="str">
        <f>"13"</f>
        <v>13</v>
      </c>
      <c r="F3867">
        <v>1019</v>
      </c>
      <c r="G3867" t="s">
        <v>141</v>
      </c>
      <c r="J3867" t="s">
        <v>142</v>
      </c>
      <c r="K3867">
        <v>0</v>
      </c>
      <c r="L3867">
        <v>3</v>
      </c>
      <c r="M3867">
        <v>0</v>
      </c>
      <c r="N3867">
        <v>2</v>
      </c>
      <c r="O3867">
        <v>0</v>
      </c>
      <c r="P3867">
        <v>1</v>
      </c>
      <c r="Q3867">
        <v>0</v>
      </c>
      <c r="R3867" t="s">
        <v>127</v>
      </c>
      <c r="S3867" t="str">
        <f t="shared" si="1532"/>
        <v>15:15:16.000</v>
      </c>
      <c r="T3867" t="str">
        <f t="shared" si="1532"/>
        <v>15:15:16.000</v>
      </c>
      <c r="U3867" t="str">
        <f t="shared" si="1522"/>
        <v>A68FCB</v>
      </c>
      <c r="V3867">
        <v>0</v>
      </c>
      <c r="W3867">
        <v>0</v>
      </c>
      <c r="X3867">
        <v>2</v>
      </c>
      <c r="Y3867">
        <v>0</v>
      </c>
      <c r="AA3867">
        <v>1</v>
      </c>
      <c r="AB3867">
        <v>8</v>
      </c>
      <c r="AC3867">
        <v>3</v>
      </c>
      <c r="AD3867">
        <v>0</v>
      </c>
      <c r="AE3867">
        <v>9</v>
      </c>
      <c r="AF3867" t="s">
        <v>138</v>
      </c>
      <c r="AG3867">
        <v>0</v>
      </c>
      <c r="AH3867">
        <v>3</v>
      </c>
      <c r="AI3867">
        <v>2</v>
      </c>
      <c r="AJ3867">
        <v>0</v>
      </c>
      <c r="AK3867" t="s">
        <v>1222</v>
      </c>
      <c r="AL3867">
        <v>39.173684000000002</v>
      </c>
      <c r="AM3867" t="s">
        <v>1223</v>
      </c>
      <c r="AN3867">
        <v>-121.02989700000001</v>
      </c>
      <c r="AO3867">
        <v>25</v>
      </c>
      <c r="AP3867">
        <v>4300</v>
      </c>
      <c r="AQ3867" t="s">
        <v>131</v>
      </c>
      <c r="AR3867">
        <v>16</v>
      </c>
      <c r="AS3867">
        <v>84</v>
      </c>
      <c r="AT3867">
        <v>384</v>
      </c>
      <c r="BB3867" t="str">
        <f t="shared" si="1523"/>
        <v>1200</v>
      </c>
      <c r="BC3867">
        <v>1</v>
      </c>
      <c r="BD3867" t="str">
        <f t="shared" si="1524"/>
        <v xml:space="preserve">N52156  </v>
      </c>
      <c r="BE3867">
        <v>1</v>
      </c>
      <c r="BG3867">
        <v>0</v>
      </c>
      <c r="BH3867">
        <v>0</v>
      </c>
      <c r="BI3867">
        <v>0</v>
      </c>
      <c r="BJ3867">
        <v>4350</v>
      </c>
      <c r="BK3867">
        <v>50</v>
      </c>
      <c r="BL3867" t="s">
        <v>188</v>
      </c>
      <c r="BM3867">
        <v>1</v>
      </c>
      <c r="BN3867">
        <v>1</v>
      </c>
      <c r="BO3867">
        <v>0</v>
      </c>
      <c r="BP3867">
        <v>0</v>
      </c>
      <c r="BS3867">
        <v>0</v>
      </c>
      <c r="BT3867">
        <v>0</v>
      </c>
      <c r="BU3867">
        <v>0</v>
      </c>
      <c r="CE3867" t="str">
        <f t="shared" si="1533"/>
        <v>15:15:16.806</v>
      </c>
      <c r="CF3867">
        <v>805823763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3</v>
      </c>
      <c r="CY3867">
        <v>7</v>
      </c>
      <c r="CZ3867" t="s">
        <v>133</v>
      </c>
      <c r="DA3867">
        <v>276</v>
      </c>
      <c r="DB3867">
        <v>0</v>
      </c>
      <c r="DC3867" t="s">
        <v>402</v>
      </c>
      <c r="DD3867" t="s">
        <v>403</v>
      </c>
      <c r="DG3867">
        <v>1628281</v>
      </c>
      <c r="DI3867">
        <v>1</v>
      </c>
      <c r="DJ3867">
        <v>0</v>
      </c>
      <c r="DK3867">
        <v>1</v>
      </c>
      <c r="DL3867">
        <v>0</v>
      </c>
      <c r="DM3867">
        <v>0</v>
      </c>
      <c r="DN3867">
        <v>0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3">
      <c r="A3868" t="str">
        <f>"05/01/2025 15:15:17.051"</f>
        <v>05/01/2025 15:15:17.051</v>
      </c>
      <c r="C3868" t="str">
        <f t="shared" si="1520"/>
        <v>FFDFD3C0</v>
      </c>
      <c r="D3868" t="s">
        <v>143</v>
      </c>
      <c r="E3868" t="str">
        <f>"05"</f>
        <v>05</v>
      </c>
      <c r="H3868">
        <v>172</v>
      </c>
      <c r="I3868" t="s">
        <v>141</v>
      </c>
      <c r="J3868" t="s">
        <v>144</v>
      </c>
      <c r="K3868">
        <v>0</v>
      </c>
      <c r="L3868">
        <v>3</v>
      </c>
      <c r="M3868">
        <v>0</v>
      </c>
      <c r="N3868">
        <v>2</v>
      </c>
      <c r="O3868">
        <v>0</v>
      </c>
      <c r="P3868">
        <v>1</v>
      </c>
      <c r="Q3868">
        <v>0</v>
      </c>
      <c r="R3868" t="s">
        <v>127</v>
      </c>
      <c r="S3868" t="str">
        <f t="shared" si="1532"/>
        <v>15:15:16.000</v>
      </c>
      <c r="T3868" t="str">
        <f t="shared" si="1532"/>
        <v>15:15:16.000</v>
      </c>
      <c r="U3868" t="str">
        <f t="shared" si="1522"/>
        <v>A68FCB</v>
      </c>
      <c r="V3868">
        <v>0</v>
      </c>
      <c r="W3868">
        <v>0</v>
      </c>
      <c r="X3868">
        <v>2</v>
      </c>
      <c r="Y3868">
        <v>0</v>
      </c>
      <c r="AA3868">
        <v>1</v>
      </c>
      <c r="AB3868">
        <v>8</v>
      </c>
      <c r="AC3868">
        <v>3</v>
      </c>
      <c r="AD3868">
        <v>0</v>
      </c>
      <c r="AE3868">
        <v>9</v>
      </c>
      <c r="AF3868" t="s">
        <v>138</v>
      </c>
      <c r="AG3868">
        <v>0</v>
      </c>
      <c r="AH3868">
        <v>3</v>
      </c>
      <c r="AI3868">
        <v>2</v>
      </c>
      <c r="AJ3868">
        <v>0</v>
      </c>
      <c r="AK3868" t="s">
        <v>1222</v>
      </c>
      <c r="AL3868">
        <v>39.173684000000002</v>
      </c>
      <c r="AM3868" t="s">
        <v>1223</v>
      </c>
      <c r="AN3868">
        <v>-121.02989700000001</v>
      </c>
      <c r="AO3868">
        <v>25</v>
      </c>
      <c r="AP3868">
        <v>4300</v>
      </c>
      <c r="AQ3868" t="s">
        <v>131</v>
      </c>
      <c r="AR3868">
        <v>16</v>
      </c>
      <c r="AS3868">
        <v>84</v>
      </c>
      <c r="AT3868">
        <v>384</v>
      </c>
      <c r="BB3868" t="str">
        <f t="shared" si="1523"/>
        <v>1200</v>
      </c>
      <c r="BC3868">
        <v>1</v>
      </c>
      <c r="BD3868" t="str">
        <f t="shared" si="1524"/>
        <v xml:space="preserve">N52156  </v>
      </c>
      <c r="BE3868">
        <v>1</v>
      </c>
      <c r="BG3868">
        <v>0</v>
      </c>
      <c r="BH3868">
        <v>0</v>
      </c>
      <c r="BI3868">
        <v>0</v>
      </c>
      <c r="BJ3868">
        <v>4350</v>
      </c>
      <c r="BK3868">
        <v>50</v>
      </c>
      <c r="BL3868" t="s">
        <v>188</v>
      </c>
      <c r="BM3868">
        <v>1</v>
      </c>
      <c r="BN3868">
        <v>1</v>
      </c>
      <c r="BO3868">
        <v>0</v>
      </c>
      <c r="BP3868">
        <v>0</v>
      </c>
      <c r="BS3868">
        <v>0</v>
      </c>
      <c r="BT3868">
        <v>0</v>
      </c>
      <c r="BU3868">
        <v>0</v>
      </c>
      <c r="CE3868" t="str">
        <f t="shared" si="1533"/>
        <v>15:15:16.806</v>
      </c>
      <c r="CF3868">
        <v>805823763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3</v>
      </c>
      <c r="CY3868">
        <v>7</v>
      </c>
      <c r="CZ3868" t="s">
        <v>133</v>
      </c>
      <c r="DA3868">
        <v>276</v>
      </c>
      <c r="DB3868">
        <v>0</v>
      </c>
      <c r="DC3868" t="s">
        <v>402</v>
      </c>
      <c r="DD3868" t="s">
        <v>403</v>
      </c>
      <c r="DG3868">
        <v>1628281</v>
      </c>
      <c r="DI3868">
        <v>1</v>
      </c>
      <c r="DJ3868">
        <v>0</v>
      </c>
      <c r="DK3868">
        <v>1</v>
      </c>
      <c r="DL3868">
        <v>0</v>
      </c>
      <c r="DM3868">
        <v>0</v>
      </c>
      <c r="DN3868">
        <v>0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3">
      <c r="A3869" t="str">
        <f>"05/01/2025 15:15:17.057"</f>
        <v>05/01/2025 15:15:17.057</v>
      </c>
      <c r="C3869" t="str">
        <f t="shared" si="1520"/>
        <v>FFDFD3C0</v>
      </c>
      <c r="D3869" t="s">
        <v>124</v>
      </c>
      <c r="E3869" t="str">
        <f>"06"</f>
        <v>06</v>
      </c>
      <c r="F3869">
        <v>2006</v>
      </c>
      <c r="G3869" t="s">
        <v>125</v>
      </c>
      <c r="J3869" t="s">
        <v>126</v>
      </c>
      <c r="K3869">
        <v>0</v>
      </c>
      <c r="L3869">
        <v>3</v>
      </c>
      <c r="M3869">
        <v>0</v>
      </c>
      <c r="N3869">
        <v>2</v>
      </c>
      <c r="O3869">
        <v>0</v>
      </c>
      <c r="P3869">
        <v>1</v>
      </c>
      <c r="Q3869">
        <v>0</v>
      </c>
      <c r="R3869" t="s">
        <v>127</v>
      </c>
      <c r="S3869" t="str">
        <f t="shared" si="1532"/>
        <v>15:15:16.000</v>
      </c>
      <c r="T3869" t="str">
        <f t="shared" si="1532"/>
        <v>15:15:16.000</v>
      </c>
      <c r="U3869" t="str">
        <f t="shared" si="1522"/>
        <v>A68FCB</v>
      </c>
      <c r="V3869">
        <v>0</v>
      </c>
      <c r="W3869">
        <v>0</v>
      </c>
      <c r="X3869">
        <v>2</v>
      </c>
      <c r="Y3869">
        <v>0</v>
      </c>
      <c r="AA3869">
        <v>1</v>
      </c>
      <c r="AB3869">
        <v>8</v>
      </c>
      <c r="AC3869">
        <v>3</v>
      </c>
      <c r="AD3869">
        <v>0</v>
      </c>
      <c r="AE3869">
        <v>9</v>
      </c>
      <c r="AF3869" t="s">
        <v>138</v>
      </c>
      <c r="AG3869">
        <v>0</v>
      </c>
      <c r="AH3869">
        <v>3</v>
      </c>
      <c r="AI3869">
        <v>2</v>
      </c>
      <c r="AJ3869">
        <v>0</v>
      </c>
      <c r="AK3869" t="s">
        <v>1222</v>
      </c>
      <c r="AL3869">
        <v>39.173684000000002</v>
      </c>
      <c r="AM3869" t="s">
        <v>1223</v>
      </c>
      <c r="AN3869">
        <v>-121.02989700000001</v>
      </c>
      <c r="AO3869">
        <v>25</v>
      </c>
      <c r="AP3869">
        <v>4300</v>
      </c>
      <c r="AQ3869" t="s">
        <v>131</v>
      </c>
      <c r="AR3869">
        <v>16</v>
      </c>
      <c r="AS3869">
        <v>84</v>
      </c>
      <c r="AT3869">
        <v>384</v>
      </c>
      <c r="BB3869" t="str">
        <f t="shared" si="1523"/>
        <v>1200</v>
      </c>
      <c r="BC3869">
        <v>1</v>
      </c>
      <c r="BD3869" t="str">
        <f t="shared" si="1524"/>
        <v xml:space="preserve">N52156  </v>
      </c>
      <c r="BE3869">
        <v>1</v>
      </c>
      <c r="BG3869">
        <v>0</v>
      </c>
      <c r="BH3869">
        <v>0</v>
      </c>
      <c r="BI3869">
        <v>0</v>
      </c>
      <c r="BJ3869">
        <v>4350</v>
      </c>
      <c r="BK3869">
        <v>50</v>
      </c>
      <c r="BL3869" t="s">
        <v>188</v>
      </c>
      <c r="BM3869">
        <v>1</v>
      </c>
      <c r="BN3869">
        <v>1</v>
      </c>
      <c r="BO3869">
        <v>0</v>
      </c>
      <c r="BP3869">
        <v>0</v>
      </c>
      <c r="BS3869">
        <v>0</v>
      </c>
      <c r="BT3869">
        <v>0</v>
      </c>
      <c r="BU3869">
        <v>0</v>
      </c>
      <c r="CE3869" t="str">
        <f t="shared" si="1533"/>
        <v>15:15:16.806</v>
      </c>
      <c r="CF3869">
        <v>805823763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3</v>
      </c>
      <c r="CY3869">
        <v>7</v>
      </c>
      <c r="CZ3869" t="s">
        <v>133</v>
      </c>
      <c r="DA3869">
        <v>276</v>
      </c>
      <c r="DB3869">
        <v>0</v>
      </c>
      <c r="DC3869" t="s">
        <v>402</v>
      </c>
      <c r="DD3869" t="s">
        <v>403</v>
      </c>
      <c r="DG3869">
        <v>1628281</v>
      </c>
      <c r="DI3869">
        <v>1</v>
      </c>
      <c r="DJ3869">
        <v>0</v>
      </c>
      <c r="DK3869">
        <v>1</v>
      </c>
      <c r="DL3869">
        <v>0</v>
      </c>
      <c r="DM3869">
        <v>0</v>
      </c>
      <c r="DN3869">
        <v>0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3">
      <c r="A3870" t="str">
        <f>"05/01/2025 15:15:17.067"</f>
        <v>05/01/2025 15:15:17.067</v>
      </c>
      <c r="C3870" t="str">
        <f t="shared" si="1520"/>
        <v>FFDFD3C0</v>
      </c>
      <c r="D3870" t="s">
        <v>145</v>
      </c>
      <c r="E3870" t="str">
        <f>"09"</f>
        <v>09</v>
      </c>
      <c r="H3870">
        <v>51</v>
      </c>
      <c r="I3870" t="s">
        <v>147</v>
      </c>
      <c r="J3870" t="s">
        <v>138</v>
      </c>
      <c r="K3870">
        <v>0</v>
      </c>
      <c r="L3870">
        <v>3</v>
      </c>
      <c r="M3870">
        <v>0</v>
      </c>
      <c r="N3870">
        <v>2</v>
      </c>
      <c r="O3870">
        <v>0</v>
      </c>
      <c r="P3870">
        <v>1</v>
      </c>
      <c r="Q3870">
        <v>0</v>
      </c>
      <c r="R3870" t="s">
        <v>127</v>
      </c>
      <c r="S3870" t="str">
        <f t="shared" si="1532"/>
        <v>15:15:16.000</v>
      </c>
      <c r="T3870" t="str">
        <f t="shared" si="1532"/>
        <v>15:15:16.000</v>
      </c>
      <c r="U3870" t="str">
        <f t="shared" si="1522"/>
        <v>A68FCB</v>
      </c>
      <c r="V3870">
        <v>0</v>
      </c>
      <c r="W3870">
        <v>0</v>
      </c>
      <c r="X3870">
        <v>2</v>
      </c>
      <c r="Y3870">
        <v>0</v>
      </c>
      <c r="AA3870">
        <v>1</v>
      </c>
      <c r="AB3870">
        <v>8</v>
      </c>
      <c r="AC3870">
        <v>3</v>
      </c>
      <c r="AD3870">
        <v>0</v>
      </c>
      <c r="AE3870">
        <v>9</v>
      </c>
      <c r="AF3870" t="s">
        <v>138</v>
      </c>
      <c r="AG3870">
        <v>0</v>
      </c>
      <c r="AH3870">
        <v>3</v>
      </c>
      <c r="AI3870">
        <v>2</v>
      </c>
      <c r="AJ3870">
        <v>0</v>
      </c>
      <c r="AK3870" t="s">
        <v>1222</v>
      </c>
      <c r="AL3870">
        <v>39.173684000000002</v>
      </c>
      <c r="AM3870" t="s">
        <v>1223</v>
      </c>
      <c r="AN3870">
        <v>-121.02989700000001</v>
      </c>
      <c r="AO3870">
        <v>25</v>
      </c>
      <c r="AP3870">
        <v>4300</v>
      </c>
      <c r="AQ3870" t="s">
        <v>131</v>
      </c>
      <c r="AR3870">
        <v>16</v>
      </c>
      <c r="AS3870">
        <v>84</v>
      </c>
      <c r="AT3870">
        <v>384</v>
      </c>
      <c r="BB3870" t="str">
        <f t="shared" si="1523"/>
        <v>1200</v>
      </c>
      <c r="BC3870">
        <v>1</v>
      </c>
      <c r="BD3870" t="str">
        <f t="shared" si="1524"/>
        <v xml:space="preserve">N52156  </v>
      </c>
      <c r="BE3870">
        <v>1</v>
      </c>
      <c r="BG3870">
        <v>0</v>
      </c>
      <c r="BH3870">
        <v>0</v>
      </c>
      <c r="BI3870">
        <v>0</v>
      </c>
      <c r="BJ3870">
        <v>4350</v>
      </c>
      <c r="BK3870">
        <v>50</v>
      </c>
      <c r="BL3870" t="s">
        <v>188</v>
      </c>
      <c r="BM3870">
        <v>1</v>
      </c>
      <c r="BN3870">
        <v>1</v>
      </c>
      <c r="BO3870">
        <v>0</v>
      </c>
      <c r="BP3870">
        <v>0</v>
      </c>
      <c r="BS3870">
        <v>0</v>
      </c>
      <c r="BT3870">
        <v>0</v>
      </c>
      <c r="BU3870">
        <v>0</v>
      </c>
      <c r="CE3870" t="str">
        <f t="shared" si="1533"/>
        <v>15:15:16.806</v>
      </c>
      <c r="CF3870">
        <v>805823763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3</v>
      </c>
      <c r="CY3870">
        <v>7</v>
      </c>
      <c r="CZ3870" t="s">
        <v>133</v>
      </c>
      <c r="DA3870">
        <v>276</v>
      </c>
      <c r="DB3870">
        <v>0</v>
      </c>
      <c r="DC3870" t="s">
        <v>402</v>
      </c>
      <c r="DD3870" t="s">
        <v>403</v>
      </c>
      <c r="DG3870">
        <v>1628281</v>
      </c>
      <c r="DI3870">
        <v>1</v>
      </c>
      <c r="DJ3870">
        <v>0</v>
      </c>
      <c r="DK3870">
        <v>1</v>
      </c>
      <c r="DL3870">
        <v>0</v>
      </c>
      <c r="DM3870">
        <v>0</v>
      </c>
      <c r="DN3870">
        <v>0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3">
      <c r="A3871" t="str">
        <f>"05/01/2025 15:15:17.069"</f>
        <v>05/01/2025 15:15:17.069</v>
      </c>
      <c r="C3871" t="str">
        <f t="shared" si="1520"/>
        <v>FFDFD3C0</v>
      </c>
      <c r="D3871" t="s">
        <v>145</v>
      </c>
      <c r="E3871" t="str">
        <f>"05"</f>
        <v>05</v>
      </c>
      <c r="H3871">
        <v>47</v>
      </c>
      <c r="I3871" t="s">
        <v>146</v>
      </c>
      <c r="J3871" t="s">
        <v>138</v>
      </c>
      <c r="K3871">
        <v>0</v>
      </c>
      <c r="L3871">
        <v>3</v>
      </c>
      <c r="M3871">
        <v>0</v>
      </c>
      <c r="N3871">
        <v>2</v>
      </c>
      <c r="O3871">
        <v>0</v>
      </c>
      <c r="P3871">
        <v>1</v>
      </c>
      <c r="Q3871">
        <v>0</v>
      </c>
      <c r="R3871" t="s">
        <v>127</v>
      </c>
      <c r="S3871" t="str">
        <f t="shared" si="1532"/>
        <v>15:15:16.000</v>
      </c>
      <c r="T3871" t="str">
        <f t="shared" si="1532"/>
        <v>15:15:16.000</v>
      </c>
      <c r="U3871" t="str">
        <f t="shared" si="1522"/>
        <v>A68FCB</v>
      </c>
      <c r="V3871">
        <v>0</v>
      </c>
      <c r="W3871">
        <v>0</v>
      </c>
      <c r="X3871">
        <v>2</v>
      </c>
      <c r="Y3871">
        <v>0</v>
      </c>
      <c r="AA3871">
        <v>1</v>
      </c>
      <c r="AB3871">
        <v>8</v>
      </c>
      <c r="AC3871">
        <v>3</v>
      </c>
      <c r="AD3871">
        <v>0</v>
      </c>
      <c r="AE3871">
        <v>9</v>
      </c>
      <c r="AF3871" t="s">
        <v>138</v>
      </c>
      <c r="AG3871">
        <v>0</v>
      </c>
      <c r="AH3871">
        <v>3</v>
      </c>
      <c r="AI3871">
        <v>2</v>
      </c>
      <c r="AJ3871">
        <v>0</v>
      </c>
      <c r="AK3871" t="s">
        <v>1222</v>
      </c>
      <c r="AL3871">
        <v>39.173684000000002</v>
      </c>
      <c r="AM3871" t="s">
        <v>1223</v>
      </c>
      <c r="AN3871">
        <v>-121.02989700000001</v>
      </c>
      <c r="AO3871">
        <v>25</v>
      </c>
      <c r="AP3871">
        <v>4300</v>
      </c>
      <c r="AQ3871" t="s">
        <v>131</v>
      </c>
      <c r="AR3871">
        <v>16</v>
      </c>
      <c r="AS3871">
        <v>84</v>
      </c>
      <c r="AT3871">
        <v>384</v>
      </c>
      <c r="BB3871" t="str">
        <f t="shared" si="1523"/>
        <v>1200</v>
      </c>
      <c r="BC3871">
        <v>1</v>
      </c>
      <c r="BD3871" t="str">
        <f t="shared" si="1524"/>
        <v xml:space="preserve">N52156  </v>
      </c>
      <c r="BE3871">
        <v>1</v>
      </c>
      <c r="BG3871">
        <v>0</v>
      </c>
      <c r="BH3871">
        <v>0</v>
      </c>
      <c r="BI3871">
        <v>0</v>
      </c>
      <c r="BJ3871">
        <v>4350</v>
      </c>
      <c r="BK3871">
        <v>50</v>
      </c>
      <c r="BL3871" t="s">
        <v>188</v>
      </c>
      <c r="BM3871">
        <v>1</v>
      </c>
      <c r="BN3871">
        <v>1</v>
      </c>
      <c r="BO3871">
        <v>0</v>
      </c>
      <c r="BP3871">
        <v>0</v>
      </c>
      <c r="BS3871">
        <v>0</v>
      </c>
      <c r="BT3871">
        <v>0</v>
      </c>
      <c r="BU3871">
        <v>0</v>
      </c>
      <c r="CE3871" t="str">
        <f t="shared" si="1533"/>
        <v>15:15:16.806</v>
      </c>
      <c r="CF3871">
        <v>805823763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3</v>
      </c>
      <c r="CY3871">
        <v>7</v>
      </c>
      <c r="CZ3871" t="s">
        <v>133</v>
      </c>
      <c r="DA3871">
        <v>276</v>
      </c>
      <c r="DB3871">
        <v>0</v>
      </c>
      <c r="DC3871" t="s">
        <v>402</v>
      </c>
      <c r="DD3871" t="s">
        <v>403</v>
      </c>
      <c r="DG3871">
        <v>1628281</v>
      </c>
      <c r="DI3871">
        <v>1</v>
      </c>
      <c r="DJ3871">
        <v>0</v>
      </c>
      <c r="DK3871">
        <v>1</v>
      </c>
      <c r="DL3871">
        <v>0</v>
      </c>
      <c r="DM3871">
        <v>0</v>
      </c>
      <c r="DN3871">
        <v>0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3">
      <c r="A3872" t="str">
        <f>"05/01/2025 15:15:17.781"</f>
        <v>05/01/2025 15:15:17.781</v>
      </c>
      <c r="C3872" t="str">
        <f t="shared" si="1520"/>
        <v>FFDFD3C0</v>
      </c>
      <c r="D3872" t="s">
        <v>136</v>
      </c>
      <c r="E3872" t="str">
        <f>"20"</f>
        <v>20</v>
      </c>
      <c r="H3872">
        <v>400</v>
      </c>
      <c r="I3872" t="s">
        <v>137</v>
      </c>
      <c r="J3872" t="s">
        <v>138</v>
      </c>
      <c r="K3872">
        <v>0</v>
      </c>
      <c r="L3872">
        <v>3</v>
      </c>
      <c r="M3872">
        <v>0</v>
      </c>
      <c r="N3872">
        <v>2</v>
      </c>
      <c r="O3872">
        <v>0</v>
      </c>
      <c r="P3872">
        <v>1</v>
      </c>
      <c r="Q3872">
        <v>0</v>
      </c>
      <c r="R3872" t="s">
        <v>127</v>
      </c>
      <c r="S3872" t="str">
        <f t="shared" ref="S3872:T3877" si="1534">"15:15:17.000"</f>
        <v>15:15:17.000</v>
      </c>
      <c r="T3872" t="str">
        <f t="shared" si="1534"/>
        <v>15:15:17.000</v>
      </c>
      <c r="U3872" t="str">
        <f t="shared" si="1522"/>
        <v>A68FCB</v>
      </c>
      <c r="V3872">
        <v>0</v>
      </c>
      <c r="W3872">
        <v>0</v>
      </c>
      <c r="X3872">
        <v>2</v>
      </c>
      <c r="Y3872">
        <v>0</v>
      </c>
      <c r="AA3872">
        <v>1</v>
      </c>
      <c r="AB3872">
        <v>8</v>
      </c>
      <c r="AC3872">
        <v>3</v>
      </c>
      <c r="AD3872">
        <v>0</v>
      </c>
      <c r="AE3872">
        <v>9</v>
      </c>
      <c r="AF3872" t="s">
        <v>138</v>
      </c>
      <c r="AG3872">
        <v>0</v>
      </c>
      <c r="AH3872">
        <v>3</v>
      </c>
      <c r="AI3872">
        <v>2</v>
      </c>
      <c r="AJ3872">
        <v>0</v>
      </c>
      <c r="AK3872" t="s">
        <v>1224</v>
      </c>
      <c r="AL3872">
        <v>39.17407</v>
      </c>
      <c r="AM3872" t="s">
        <v>1225</v>
      </c>
      <c r="AN3872">
        <v>-121.029811</v>
      </c>
      <c r="AO3872">
        <v>25</v>
      </c>
      <c r="AP3872">
        <v>4300</v>
      </c>
      <c r="AQ3872" t="s">
        <v>131</v>
      </c>
      <c r="AR3872">
        <v>17</v>
      </c>
      <c r="AS3872">
        <v>83</v>
      </c>
      <c r="AT3872">
        <v>384</v>
      </c>
      <c r="BB3872" t="str">
        <f t="shared" si="1523"/>
        <v>1200</v>
      </c>
      <c r="BC3872">
        <v>1</v>
      </c>
      <c r="BD3872" t="str">
        <f t="shared" si="1524"/>
        <v xml:space="preserve">N52156  </v>
      </c>
      <c r="BE3872">
        <v>1</v>
      </c>
      <c r="BG3872">
        <v>0</v>
      </c>
      <c r="BH3872">
        <v>0</v>
      </c>
      <c r="BI3872">
        <v>0</v>
      </c>
      <c r="BJ3872">
        <v>4350</v>
      </c>
      <c r="BK3872">
        <v>50</v>
      </c>
      <c r="BL3872" t="s">
        <v>188</v>
      </c>
      <c r="BM3872">
        <v>1</v>
      </c>
      <c r="BN3872">
        <v>1</v>
      </c>
      <c r="BO3872">
        <v>0</v>
      </c>
      <c r="BP3872">
        <v>0</v>
      </c>
      <c r="BS3872">
        <v>0</v>
      </c>
      <c r="BT3872">
        <v>0</v>
      </c>
      <c r="BU3872">
        <v>0</v>
      </c>
      <c r="CE3872" t="str">
        <f t="shared" ref="CE3872:CE3877" si="1535">"15:15:17.578"</f>
        <v>15:15:17.578</v>
      </c>
      <c r="CF3872">
        <v>578242115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3</v>
      </c>
      <c r="CY3872">
        <v>7</v>
      </c>
      <c r="CZ3872" t="s">
        <v>133</v>
      </c>
      <c r="DA3872">
        <v>275</v>
      </c>
      <c r="DB3872">
        <v>0</v>
      </c>
      <c r="DC3872" t="s">
        <v>134</v>
      </c>
      <c r="DD3872" t="s">
        <v>135</v>
      </c>
      <c r="DG3872">
        <v>3323071</v>
      </c>
      <c r="DI3872">
        <v>1</v>
      </c>
      <c r="DJ3872">
        <v>0</v>
      </c>
      <c r="DK3872">
        <v>0</v>
      </c>
      <c r="DL3872">
        <v>0</v>
      </c>
      <c r="DM3872">
        <v>0</v>
      </c>
      <c r="DN3872">
        <v>0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3">
      <c r="A3873" t="str">
        <f>"05/01/2025 15:15:17.802"</f>
        <v>05/01/2025 15:15:17.802</v>
      </c>
      <c r="C3873" t="str">
        <f t="shared" si="1520"/>
        <v>FFDFD3C0</v>
      </c>
      <c r="D3873" t="s">
        <v>143</v>
      </c>
      <c r="E3873" t="str">
        <f>"05"</f>
        <v>05</v>
      </c>
      <c r="H3873">
        <v>172</v>
      </c>
      <c r="I3873" t="s">
        <v>141</v>
      </c>
      <c r="J3873" t="s">
        <v>144</v>
      </c>
      <c r="K3873">
        <v>0</v>
      </c>
      <c r="L3873">
        <v>3</v>
      </c>
      <c r="M3873">
        <v>0</v>
      </c>
      <c r="N3873">
        <v>2</v>
      </c>
      <c r="O3873">
        <v>0</v>
      </c>
      <c r="P3873">
        <v>1</v>
      </c>
      <c r="Q3873">
        <v>0</v>
      </c>
      <c r="R3873" t="s">
        <v>127</v>
      </c>
      <c r="S3873" t="str">
        <f t="shared" si="1534"/>
        <v>15:15:17.000</v>
      </c>
      <c r="T3873" t="str">
        <f t="shared" si="1534"/>
        <v>15:15:17.000</v>
      </c>
      <c r="U3873" t="str">
        <f t="shared" si="1522"/>
        <v>A68FCB</v>
      </c>
      <c r="V3873">
        <v>0</v>
      </c>
      <c r="W3873">
        <v>0</v>
      </c>
      <c r="X3873">
        <v>2</v>
      </c>
      <c r="Y3873">
        <v>0</v>
      </c>
      <c r="AA3873">
        <v>1</v>
      </c>
      <c r="AB3873">
        <v>8</v>
      </c>
      <c r="AC3873">
        <v>3</v>
      </c>
      <c r="AD3873">
        <v>0</v>
      </c>
      <c r="AE3873">
        <v>9</v>
      </c>
      <c r="AF3873" t="s">
        <v>138</v>
      </c>
      <c r="AG3873">
        <v>0</v>
      </c>
      <c r="AH3873">
        <v>3</v>
      </c>
      <c r="AI3873">
        <v>2</v>
      </c>
      <c r="AJ3873">
        <v>0</v>
      </c>
      <c r="AK3873" t="s">
        <v>1224</v>
      </c>
      <c r="AL3873">
        <v>39.17407</v>
      </c>
      <c r="AM3873" t="s">
        <v>1225</v>
      </c>
      <c r="AN3873">
        <v>-121.029811</v>
      </c>
      <c r="AO3873">
        <v>25</v>
      </c>
      <c r="AP3873">
        <v>4300</v>
      </c>
      <c r="AQ3873" t="s">
        <v>131</v>
      </c>
      <c r="AR3873">
        <v>17</v>
      </c>
      <c r="AS3873">
        <v>83</v>
      </c>
      <c r="AT3873">
        <v>384</v>
      </c>
      <c r="BB3873" t="str">
        <f t="shared" si="1523"/>
        <v>1200</v>
      </c>
      <c r="BC3873">
        <v>1</v>
      </c>
      <c r="BD3873" t="str">
        <f t="shared" si="1524"/>
        <v xml:space="preserve">N52156  </v>
      </c>
      <c r="BE3873">
        <v>1</v>
      </c>
      <c r="BG3873">
        <v>0</v>
      </c>
      <c r="BH3873">
        <v>0</v>
      </c>
      <c r="BI3873">
        <v>0</v>
      </c>
      <c r="BJ3873">
        <v>4350</v>
      </c>
      <c r="BK3873">
        <v>50</v>
      </c>
      <c r="BL3873" t="s">
        <v>188</v>
      </c>
      <c r="BM3873">
        <v>1</v>
      </c>
      <c r="BN3873">
        <v>1</v>
      </c>
      <c r="BO3873">
        <v>0</v>
      </c>
      <c r="BP3873">
        <v>0</v>
      </c>
      <c r="BS3873">
        <v>0</v>
      </c>
      <c r="BT3873">
        <v>0</v>
      </c>
      <c r="BU3873">
        <v>0</v>
      </c>
      <c r="CE3873" t="str">
        <f t="shared" si="1535"/>
        <v>15:15:17.578</v>
      </c>
      <c r="CF3873">
        <v>578242115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3</v>
      </c>
      <c r="CY3873">
        <v>7</v>
      </c>
      <c r="CZ3873" t="s">
        <v>133</v>
      </c>
      <c r="DA3873">
        <v>275</v>
      </c>
      <c r="DB3873">
        <v>0</v>
      </c>
      <c r="DC3873" t="s">
        <v>134</v>
      </c>
      <c r="DD3873" t="s">
        <v>135</v>
      </c>
      <c r="DG3873">
        <v>3323071</v>
      </c>
      <c r="DI3873">
        <v>1</v>
      </c>
      <c r="DJ3873">
        <v>0</v>
      </c>
      <c r="DK3873">
        <v>1</v>
      </c>
      <c r="DL3873">
        <v>0</v>
      </c>
      <c r="DM3873">
        <v>0</v>
      </c>
      <c r="DN3873">
        <v>0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3">
      <c r="A3874" t="str">
        <f>"05/01/2025 15:15:17.803"</f>
        <v>05/01/2025 15:15:17.803</v>
      </c>
      <c r="C3874" t="str">
        <f t="shared" si="1520"/>
        <v>FFDFD3C0</v>
      </c>
      <c r="D3874" t="s">
        <v>140</v>
      </c>
      <c r="E3874" t="str">
        <f>"13"</f>
        <v>13</v>
      </c>
      <c r="F3874">
        <v>1019</v>
      </c>
      <c r="G3874" t="s">
        <v>141</v>
      </c>
      <c r="J3874" t="s">
        <v>142</v>
      </c>
      <c r="K3874">
        <v>0</v>
      </c>
      <c r="L3874">
        <v>3</v>
      </c>
      <c r="M3874">
        <v>0</v>
      </c>
      <c r="N3874">
        <v>2</v>
      </c>
      <c r="O3874">
        <v>0</v>
      </c>
      <c r="P3874">
        <v>1</v>
      </c>
      <c r="Q3874">
        <v>0</v>
      </c>
      <c r="R3874" t="s">
        <v>127</v>
      </c>
      <c r="S3874" t="str">
        <f t="shared" si="1534"/>
        <v>15:15:17.000</v>
      </c>
      <c r="T3874" t="str">
        <f t="shared" si="1534"/>
        <v>15:15:17.000</v>
      </c>
      <c r="U3874" t="str">
        <f t="shared" si="1522"/>
        <v>A68FCB</v>
      </c>
      <c r="V3874">
        <v>0</v>
      </c>
      <c r="W3874">
        <v>0</v>
      </c>
      <c r="X3874">
        <v>2</v>
      </c>
      <c r="Y3874">
        <v>0</v>
      </c>
      <c r="AA3874">
        <v>1</v>
      </c>
      <c r="AB3874">
        <v>8</v>
      </c>
      <c r="AC3874">
        <v>3</v>
      </c>
      <c r="AD3874">
        <v>0</v>
      </c>
      <c r="AE3874">
        <v>9</v>
      </c>
      <c r="AF3874" t="s">
        <v>138</v>
      </c>
      <c r="AG3874">
        <v>0</v>
      </c>
      <c r="AH3874">
        <v>3</v>
      </c>
      <c r="AI3874">
        <v>2</v>
      </c>
      <c r="AJ3874">
        <v>0</v>
      </c>
      <c r="AK3874" t="s">
        <v>1224</v>
      </c>
      <c r="AL3874">
        <v>39.17407</v>
      </c>
      <c r="AM3874" t="s">
        <v>1225</v>
      </c>
      <c r="AN3874">
        <v>-121.029811</v>
      </c>
      <c r="AO3874">
        <v>25</v>
      </c>
      <c r="AP3874">
        <v>4300</v>
      </c>
      <c r="AQ3874" t="s">
        <v>131</v>
      </c>
      <c r="AR3874">
        <v>17</v>
      </c>
      <c r="AS3874">
        <v>83</v>
      </c>
      <c r="AT3874">
        <v>384</v>
      </c>
      <c r="BB3874" t="str">
        <f t="shared" si="1523"/>
        <v>1200</v>
      </c>
      <c r="BC3874">
        <v>1</v>
      </c>
      <c r="BD3874" t="str">
        <f t="shared" si="1524"/>
        <v xml:space="preserve">N52156  </v>
      </c>
      <c r="BE3874">
        <v>1</v>
      </c>
      <c r="BG3874">
        <v>0</v>
      </c>
      <c r="BH3874">
        <v>0</v>
      </c>
      <c r="BI3874">
        <v>0</v>
      </c>
      <c r="BJ3874">
        <v>4350</v>
      </c>
      <c r="BK3874">
        <v>50</v>
      </c>
      <c r="BL3874" t="s">
        <v>188</v>
      </c>
      <c r="BM3874">
        <v>1</v>
      </c>
      <c r="BN3874">
        <v>1</v>
      </c>
      <c r="BO3874">
        <v>0</v>
      </c>
      <c r="BP3874">
        <v>0</v>
      </c>
      <c r="BS3874">
        <v>0</v>
      </c>
      <c r="BT3874">
        <v>0</v>
      </c>
      <c r="BU3874">
        <v>0</v>
      </c>
      <c r="CE3874" t="str">
        <f t="shared" si="1535"/>
        <v>15:15:17.578</v>
      </c>
      <c r="CF3874">
        <v>578242115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3</v>
      </c>
      <c r="CY3874">
        <v>7</v>
      </c>
      <c r="CZ3874" t="s">
        <v>133</v>
      </c>
      <c r="DA3874">
        <v>275</v>
      </c>
      <c r="DB3874">
        <v>0</v>
      </c>
      <c r="DC3874" t="s">
        <v>134</v>
      </c>
      <c r="DD3874" t="s">
        <v>135</v>
      </c>
      <c r="DG3874">
        <v>3323071</v>
      </c>
      <c r="DI3874">
        <v>1</v>
      </c>
      <c r="DJ3874">
        <v>0</v>
      </c>
      <c r="DK3874">
        <v>1</v>
      </c>
      <c r="DL3874">
        <v>0</v>
      </c>
      <c r="DM3874">
        <v>0</v>
      </c>
      <c r="DN3874">
        <v>0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3">
      <c r="A3875" t="str">
        <f>"05/01/2025 15:15:17.808"</f>
        <v>05/01/2025 15:15:17.808</v>
      </c>
      <c r="C3875" t="str">
        <f t="shared" si="1520"/>
        <v>FFDFD3C0</v>
      </c>
      <c r="D3875" t="s">
        <v>124</v>
      </c>
      <c r="E3875" t="str">
        <f>"06"</f>
        <v>06</v>
      </c>
      <c r="F3875">
        <v>2006</v>
      </c>
      <c r="G3875" t="s">
        <v>125</v>
      </c>
      <c r="J3875" t="s">
        <v>126</v>
      </c>
      <c r="K3875">
        <v>0</v>
      </c>
      <c r="L3875">
        <v>3</v>
      </c>
      <c r="M3875">
        <v>0</v>
      </c>
      <c r="N3875">
        <v>2</v>
      </c>
      <c r="O3875">
        <v>0</v>
      </c>
      <c r="P3875">
        <v>1</v>
      </c>
      <c r="Q3875">
        <v>0</v>
      </c>
      <c r="R3875" t="s">
        <v>127</v>
      </c>
      <c r="S3875" t="str">
        <f t="shared" si="1534"/>
        <v>15:15:17.000</v>
      </c>
      <c r="T3875" t="str">
        <f t="shared" si="1534"/>
        <v>15:15:17.000</v>
      </c>
      <c r="U3875" t="str">
        <f t="shared" si="1522"/>
        <v>A68FCB</v>
      </c>
      <c r="V3875">
        <v>0</v>
      </c>
      <c r="W3875">
        <v>0</v>
      </c>
      <c r="X3875">
        <v>2</v>
      </c>
      <c r="Y3875">
        <v>0</v>
      </c>
      <c r="AA3875">
        <v>1</v>
      </c>
      <c r="AB3875">
        <v>8</v>
      </c>
      <c r="AC3875">
        <v>3</v>
      </c>
      <c r="AD3875">
        <v>0</v>
      </c>
      <c r="AE3875">
        <v>9</v>
      </c>
      <c r="AF3875" t="s">
        <v>138</v>
      </c>
      <c r="AG3875">
        <v>0</v>
      </c>
      <c r="AH3875">
        <v>3</v>
      </c>
      <c r="AI3875">
        <v>2</v>
      </c>
      <c r="AJ3875">
        <v>0</v>
      </c>
      <c r="AK3875" t="s">
        <v>1224</v>
      </c>
      <c r="AL3875">
        <v>39.17407</v>
      </c>
      <c r="AM3875" t="s">
        <v>1225</v>
      </c>
      <c r="AN3875">
        <v>-121.029811</v>
      </c>
      <c r="AO3875">
        <v>25</v>
      </c>
      <c r="AP3875">
        <v>4300</v>
      </c>
      <c r="AQ3875" t="s">
        <v>131</v>
      </c>
      <c r="AR3875">
        <v>17</v>
      </c>
      <c r="AS3875">
        <v>83</v>
      </c>
      <c r="AT3875">
        <v>384</v>
      </c>
      <c r="BB3875" t="str">
        <f t="shared" si="1523"/>
        <v>1200</v>
      </c>
      <c r="BC3875">
        <v>1</v>
      </c>
      <c r="BD3875" t="str">
        <f t="shared" si="1524"/>
        <v xml:space="preserve">N52156  </v>
      </c>
      <c r="BE3875">
        <v>1</v>
      </c>
      <c r="BG3875">
        <v>0</v>
      </c>
      <c r="BH3875">
        <v>0</v>
      </c>
      <c r="BI3875">
        <v>0</v>
      </c>
      <c r="BJ3875">
        <v>4350</v>
      </c>
      <c r="BK3875">
        <v>50</v>
      </c>
      <c r="BL3875" t="s">
        <v>188</v>
      </c>
      <c r="BM3875">
        <v>1</v>
      </c>
      <c r="BN3875">
        <v>1</v>
      </c>
      <c r="BO3875">
        <v>0</v>
      </c>
      <c r="BP3875">
        <v>0</v>
      </c>
      <c r="BS3875">
        <v>0</v>
      </c>
      <c r="BT3875">
        <v>0</v>
      </c>
      <c r="BU3875">
        <v>0</v>
      </c>
      <c r="CE3875" t="str">
        <f t="shared" si="1535"/>
        <v>15:15:17.578</v>
      </c>
      <c r="CF3875">
        <v>578242115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3</v>
      </c>
      <c r="CY3875">
        <v>7</v>
      </c>
      <c r="CZ3875" t="s">
        <v>133</v>
      </c>
      <c r="DA3875">
        <v>275</v>
      </c>
      <c r="DB3875">
        <v>0</v>
      </c>
      <c r="DC3875" t="s">
        <v>134</v>
      </c>
      <c r="DD3875" t="s">
        <v>135</v>
      </c>
      <c r="DG3875">
        <v>3323071</v>
      </c>
      <c r="DI3875">
        <v>1</v>
      </c>
      <c r="DJ3875">
        <v>0</v>
      </c>
      <c r="DK3875">
        <v>1</v>
      </c>
      <c r="DL3875">
        <v>0</v>
      </c>
      <c r="DM3875">
        <v>0</v>
      </c>
      <c r="DN3875">
        <v>0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3">
      <c r="A3876" t="str">
        <f>"05/01/2025 15:15:17.818"</f>
        <v>05/01/2025 15:15:17.818</v>
      </c>
      <c r="C3876" t="str">
        <f t="shared" si="1520"/>
        <v>FFDFD3C0</v>
      </c>
      <c r="D3876" t="s">
        <v>145</v>
      </c>
      <c r="E3876" t="str">
        <f>"09"</f>
        <v>09</v>
      </c>
      <c r="H3876">
        <v>51</v>
      </c>
      <c r="I3876" t="s">
        <v>147</v>
      </c>
      <c r="J3876" t="s">
        <v>138</v>
      </c>
      <c r="K3876">
        <v>0</v>
      </c>
      <c r="L3876">
        <v>3</v>
      </c>
      <c r="M3876">
        <v>0</v>
      </c>
      <c r="N3876">
        <v>2</v>
      </c>
      <c r="O3876">
        <v>0</v>
      </c>
      <c r="P3876">
        <v>1</v>
      </c>
      <c r="Q3876">
        <v>0</v>
      </c>
      <c r="R3876" t="s">
        <v>127</v>
      </c>
      <c r="S3876" t="str">
        <f t="shared" si="1534"/>
        <v>15:15:17.000</v>
      </c>
      <c r="T3876" t="str">
        <f t="shared" si="1534"/>
        <v>15:15:17.000</v>
      </c>
      <c r="U3876" t="str">
        <f t="shared" si="1522"/>
        <v>A68FCB</v>
      </c>
      <c r="V3876">
        <v>0</v>
      </c>
      <c r="W3876">
        <v>0</v>
      </c>
      <c r="X3876">
        <v>2</v>
      </c>
      <c r="Y3876">
        <v>0</v>
      </c>
      <c r="AA3876">
        <v>1</v>
      </c>
      <c r="AB3876">
        <v>8</v>
      </c>
      <c r="AC3876">
        <v>3</v>
      </c>
      <c r="AD3876">
        <v>0</v>
      </c>
      <c r="AE3876">
        <v>9</v>
      </c>
      <c r="AF3876" t="s">
        <v>138</v>
      </c>
      <c r="AG3876">
        <v>0</v>
      </c>
      <c r="AH3876">
        <v>3</v>
      </c>
      <c r="AI3876">
        <v>2</v>
      </c>
      <c r="AJ3876">
        <v>0</v>
      </c>
      <c r="AK3876" t="s">
        <v>1224</v>
      </c>
      <c r="AL3876">
        <v>39.17407</v>
      </c>
      <c r="AM3876" t="s">
        <v>1225</v>
      </c>
      <c r="AN3876">
        <v>-121.029811</v>
      </c>
      <c r="AO3876">
        <v>25</v>
      </c>
      <c r="AP3876">
        <v>4300</v>
      </c>
      <c r="AQ3876" t="s">
        <v>131</v>
      </c>
      <c r="AR3876">
        <v>17</v>
      </c>
      <c r="AS3876">
        <v>83</v>
      </c>
      <c r="AT3876">
        <v>384</v>
      </c>
      <c r="BB3876" t="str">
        <f t="shared" si="1523"/>
        <v>1200</v>
      </c>
      <c r="BC3876">
        <v>1</v>
      </c>
      <c r="BD3876" t="str">
        <f t="shared" si="1524"/>
        <v xml:space="preserve">N52156  </v>
      </c>
      <c r="BE3876">
        <v>1</v>
      </c>
      <c r="BG3876">
        <v>0</v>
      </c>
      <c r="BH3876">
        <v>0</v>
      </c>
      <c r="BI3876">
        <v>0</v>
      </c>
      <c r="BJ3876">
        <v>4350</v>
      </c>
      <c r="BK3876">
        <v>50</v>
      </c>
      <c r="BL3876" t="s">
        <v>188</v>
      </c>
      <c r="BM3876">
        <v>1</v>
      </c>
      <c r="BN3876">
        <v>1</v>
      </c>
      <c r="BO3876">
        <v>0</v>
      </c>
      <c r="BP3876">
        <v>0</v>
      </c>
      <c r="BS3876">
        <v>0</v>
      </c>
      <c r="BT3876">
        <v>0</v>
      </c>
      <c r="BU3876">
        <v>0</v>
      </c>
      <c r="CE3876" t="str">
        <f t="shared" si="1535"/>
        <v>15:15:17.578</v>
      </c>
      <c r="CF3876">
        <v>578242115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3</v>
      </c>
      <c r="CY3876">
        <v>7</v>
      </c>
      <c r="CZ3876" t="s">
        <v>133</v>
      </c>
      <c r="DA3876">
        <v>275</v>
      </c>
      <c r="DB3876">
        <v>0</v>
      </c>
      <c r="DC3876" t="s">
        <v>134</v>
      </c>
      <c r="DD3876" t="s">
        <v>135</v>
      </c>
      <c r="DG3876">
        <v>3323071</v>
      </c>
      <c r="DI3876">
        <v>1</v>
      </c>
      <c r="DJ3876">
        <v>0</v>
      </c>
      <c r="DK3876">
        <v>1</v>
      </c>
      <c r="DL3876">
        <v>0</v>
      </c>
      <c r="DM3876">
        <v>0</v>
      </c>
      <c r="DN3876">
        <v>0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3">
      <c r="A3877" t="str">
        <f>"05/01/2025 15:15:17.820"</f>
        <v>05/01/2025 15:15:17.820</v>
      </c>
      <c r="C3877" t="str">
        <f t="shared" si="1520"/>
        <v>FFDFD3C0</v>
      </c>
      <c r="D3877" t="s">
        <v>145</v>
      </c>
      <c r="E3877" t="str">
        <f>"05"</f>
        <v>05</v>
      </c>
      <c r="H3877">
        <v>47</v>
      </c>
      <c r="I3877" t="s">
        <v>146</v>
      </c>
      <c r="J3877" t="s">
        <v>138</v>
      </c>
      <c r="K3877">
        <v>0</v>
      </c>
      <c r="L3877">
        <v>3</v>
      </c>
      <c r="M3877">
        <v>0</v>
      </c>
      <c r="N3877">
        <v>2</v>
      </c>
      <c r="O3877">
        <v>0</v>
      </c>
      <c r="P3877">
        <v>1</v>
      </c>
      <c r="Q3877">
        <v>0</v>
      </c>
      <c r="R3877" t="s">
        <v>127</v>
      </c>
      <c r="S3877" t="str">
        <f t="shared" si="1534"/>
        <v>15:15:17.000</v>
      </c>
      <c r="T3877" t="str">
        <f t="shared" si="1534"/>
        <v>15:15:17.000</v>
      </c>
      <c r="U3877" t="str">
        <f t="shared" si="1522"/>
        <v>A68FCB</v>
      </c>
      <c r="V3877">
        <v>0</v>
      </c>
      <c r="W3877">
        <v>0</v>
      </c>
      <c r="X3877">
        <v>2</v>
      </c>
      <c r="Y3877">
        <v>0</v>
      </c>
      <c r="AA3877">
        <v>1</v>
      </c>
      <c r="AB3877">
        <v>8</v>
      </c>
      <c r="AC3877">
        <v>3</v>
      </c>
      <c r="AD3877">
        <v>0</v>
      </c>
      <c r="AE3877">
        <v>9</v>
      </c>
      <c r="AF3877" t="s">
        <v>138</v>
      </c>
      <c r="AG3877">
        <v>0</v>
      </c>
      <c r="AH3877">
        <v>3</v>
      </c>
      <c r="AI3877">
        <v>2</v>
      </c>
      <c r="AJ3877">
        <v>0</v>
      </c>
      <c r="AK3877" t="s">
        <v>1224</v>
      </c>
      <c r="AL3877">
        <v>39.17407</v>
      </c>
      <c r="AM3877" t="s">
        <v>1225</v>
      </c>
      <c r="AN3877">
        <v>-121.029811</v>
      </c>
      <c r="AO3877">
        <v>25</v>
      </c>
      <c r="AP3877">
        <v>4300</v>
      </c>
      <c r="AQ3877" t="s">
        <v>131</v>
      </c>
      <c r="AR3877">
        <v>17</v>
      </c>
      <c r="AS3877">
        <v>83</v>
      </c>
      <c r="AT3877">
        <v>384</v>
      </c>
      <c r="BB3877" t="str">
        <f t="shared" si="1523"/>
        <v>1200</v>
      </c>
      <c r="BC3877">
        <v>1</v>
      </c>
      <c r="BD3877" t="str">
        <f t="shared" si="1524"/>
        <v xml:space="preserve">N52156  </v>
      </c>
      <c r="BE3877">
        <v>1</v>
      </c>
      <c r="BG3877">
        <v>0</v>
      </c>
      <c r="BH3877">
        <v>0</v>
      </c>
      <c r="BI3877">
        <v>0</v>
      </c>
      <c r="BJ3877">
        <v>4350</v>
      </c>
      <c r="BK3877">
        <v>50</v>
      </c>
      <c r="BL3877" t="s">
        <v>188</v>
      </c>
      <c r="BM3877">
        <v>1</v>
      </c>
      <c r="BN3877">
        <v>1</v>
      </c>
      <c r="BO3877">
        <v>0</v>
      </c>
      <c r="BP3877">
        <v>0</v>
      </c>
      <c r="BS3877">
        <v>0</v>
      </c>
      <c r="BT3877">
        <v>0</v>
      </c>
      <c r="BU3877">
        <v>0</v>
      </c>
      <c r="CE3877" t="str">
        <f t="shared" si="1535"/>
        <v>15:15:17.578</v>
      </c>
      <c r="CF3877">
        <v>578242115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3</v>
      </c>
      <c r="CY3877">
        <v>7</v>
      </c>
      <c r="CZ3877" t="s">
        <v>133</v>
      </c>
      <c r="DA3877">
        <v>275</v>
      </c>
      <c r="DB3877">
        <v>0</v>
      </c>
      <c r="DC3877" t="s">
        <v>134</v>
      </c>
      <c r="DD3877" t="s">
        <v>135</v>
      </c>
      <c r="DG3877">
        <v>3323071</v>
      </c>
      <c r="DI3877">
        <v>1</v>
      </c>
      <c r="DJ3877">
        <v>0</v>
      </c>
      <c r="DK3877">
        <v>1</v>
      </c>
      <c r="DL3877">
        <v>0</v>
      </c>
      <c r="DM3877">
        <v>0</v>
      </c>
      <c r="DN3877">
        <v>0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3">
      <c r="A3878" t="str">
        <f>"05/01/2025 15:15:18.754"</f>
        <v>05/01/2025 15:15:18.754</v>
      </c>
      <c r="C3878" t="str">
        <f t="shared" si="1520"/>
        <v>FFDFD3C0</v>
      </c>
      <c r="D3878" t="s">
        <v>143</v>
      </c>
      <c r="E3878" t="str">
        <f>"05"</f>
        <v>05</v>
      </c>
      <c r="H3878">
        <v>172</v>
      </c>
      <c r="I3878" t="s">
        <v>141</v>
      </c>
      <c r="J3878" t="s">
        <v>144</v>
      </c>
      <c r="K3878">
        <v>0</v>
      </c>
      <c r="L3878">
        <v>3</v>
      </c>
      <c r="M3878">
        <v>0</v>
      </c>
      <c r="N3878">
        <v>2</v>
      </c>
      <c r="O3878">
        <v>0</v>
      </c>
      <c r="P3878">
        <v>1</v>
      </c>
      <c r="Q3878">
        <v>0</v>
      </c>
      <c r="R3878" t="s">
        <v>127</v>
      </c>
      <c r="S3878" t="str">
        <f t="shared" ref="S3878:T3883" si="1536">"15:15:18.000"</f>
        <v>15:15:18.000</v>
      </c>
      <c r="T3878" t="str">
        <f t="shared" si="1536"/>
        <v>15:15:18.000</v>
      </c>
      <c r="U3878" t="str">
        <f t="shared" si="1522"/>
        <v>A68FCB</v>
      </c>
      <c r="V3878">
        <v>0</v>
      </c>
      <c r="W3878">
        <v>0</v>
      </c>
      <c r="X3878">
        <v>2</v>
      </c>
      <c r="Y3878">
        <v>0</v>
      </c>
      <c r="AA3878">
        <v>1</v>
      </c>
      <c r="AB3878">
        <v>8</v>
      </c>
      <c r="AC3878">
        <v>3</v>
      </c>
      <c r="AD3878">
        <v>0</v>
      </c>
      <c r="AE3878">
        <v>9</v>
      </c>
      <c r="AF3878" t="s">
        <v>138</v>
      </c>
      <c r="AG3878">
        <v>0</v>
      </c>
      <c r="AH3878">
        <v>3</v>
      </c>
      <c r="AI3878">
        <v>2</v>
      </c>
      <c r="AJ3878">
        <v>0</v>
      </c>
      <c r="AK3878" t="s">
        <v>1226</v>
      </c>
      <c r="AL3878">
        <v>39.174456999999997</v>
      </c>
      <c r="AM3878" t="s">
        <v>1227</v>
      </c>
      <c r="AN3878">
        <v>-121.029704</v>
      </c>
      <c r="AO3878">
        <v>25</v>
      </c>
      <c r="AP3878">
        <v>4300</v>
      </c>
      <c r="AQ3878" t="s">
        <v>131</v>
      </c>
      <c r="AR3878">
        <v>18</v>
      </c>
      <c r="AS3878">
        <v>82</v>
      </c>
      <c r="AT3878">
        <v>384</v>
      </c>
      <c r="BB3878" t="str">
        <f t="shared" si="1523"/>
        <v>1200</v>
      </c>
      <c r="BC3878">
        <v>1</v>
      </c>
      <c r="BD3878" t="str">
        <f t="shared" si="1524"/>
        <v xml:space="preserve">N52156  </v>
      </c>
      <c r="BE3878">
        <v>1</v>
      </c>
      <c r="BG3878">
        <v>0</v>
      </c>
      <c r="BH3878">
        <v>0</v>
      </c>
      <c r="BI3878">
        <v>0</v>
      </c>
      <c r="BJ3878">
        <v>4350</v>
      </c>
      <c r="BK3878">
        <v>50</v>
      </c>
      <c r="BL3878" t="s">
        <v>188</v>
      </c>
      <c r="BM3878">
        <v>1</v>
      </c>
      <c r="BN3878">
        <v>1</v>
      </c>
      <c r="BO3878">
        <v>0</v>
      </c>
      <c r="BP3878">
        <v>0</v>
      </c>
      <c r="BS3878">
        <v>0</v>
      </c>
      <c r="BT3878">
        <v>0</v>
      </c>
      <c r="BU3878">
        <v>0</v>
      </c>
      <c r="CE3878" t="str">
        <f t="shared" ref="CE3878:CE3883" si="1537">"15:15:18.514"</f>
        <v>15:15:18.514</v>
      </c>
      <c r="CF3878">
        <v>513823215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3</v>
      </c>
      <c r="CY3878">
        <v>7</v>
      </c>
      <c r="CZ3878" t="s">
        <v>133</v>
      </c>
      <c r="DA3878">
        <v>276</v>
      </c>
      <c r="DB3878">
        <v>0</v>
      </c>
      <c r="DC3878" t="s">
        <v>402</v>
      </c>
      <c r="DD3878" t="s">
        <v>403</v>
      </c>
      <c r="DG3878">
        <v>1628286</v>
      </c>
      <c r="DI3878">
        <v>1</v>
      </c>
      <c r="DJ3878">
        <v>0</v>
      </c>
      <c r="DK3878">
        <v>0</v>
      </c>
      <c r="DL3878">
        <v>0</v>
      </c>
      <c r="DM3878">
        <v>0</v>
      </c>
      <c r="DN3878">
        <v>0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3">
      <c r="A3879" t="str">
        <f>"05/01/2025 15:15:18.755"</f>
        <v>05/01/2025 15:15:18.755</v>
      </c>
      <c r="C3879" t="str">
        <f t="shared" si="1520"/>
        <v>FFDFD3C0</v>
      </c>
      <c r="D3879" t="s">
        <v>140</v>
      </c>
      <c r="E3879" t="str">
        <f>"13"</f>
        <v>13</v>
      </c>
      <c r="F3879">
        <v>1019</v>
      </c>
      <c r="G3879" t="s">
        <v>141</v>
      </c>
      <c r="J3879" t="s">
        <v>142</v>
      </c>
      <c r="K3879">
        <v>0</v>
      </c>
      <c r="L3879">
        <v>3</v>
      </c>
      <c r="M3879">
        <v>0</v>
      </c>
      <c r="N3879">
        <v>2</v>
      </c>
      <c r="O3879">
        <v>0</v>
      </c>
      <c r="P3879">
        <v>1</v>
      </c>
      <c r="Q3879">
        <v>0</v>
      </c>
      <c r="R3879" t="s">
        <v>127</v>
      </c>
      <c r="S3879" t="str">
        <f t="shared" si="1536"/>
        <v>15:15:18.000</v>
      </c>
      <c r="T3879" t="str">
        <f t="shared" si="1536"/>
        <v>15:15:18.000</v>
      </c>
      <c r="U3879" t="str">
        <f t="shared" si="1522"/>
        <v>A68FCB</v>
      </c>
      <c r="V3879">
        <v>0</v>
      </c>
      <c r="W3879">
        <v>0</v>
      </c>
      <c r="X3879">
        <v>2</v>
      </c>
      <c r="Y3879">
        <v>0</v>
      </c>
      <c r="AA3879">
        <v>1</v>
      </c>
      <c r="AB3879">
        <v>8</v>
      </c>
      <c r="AC3879">
        <v>3</v>
      </c>
      <c r="AD3879">
        <v>0</v>
      </c>
      <c r="AE3879">
        <v>9</v>
      </c>
      <c r="AF3879" t="s">
        <v>138</v>
      </c>
      <c r="AG3879">
        <v>0</v>
      </c>
      <c r="AH3879">
        <v>3</v>
      </c>
      <c r="AI3879">
        <v>2</v>
      </c>
      <c r="AJ3879">
        <v>0</v>
      </c>
      <c r="AK3879" t="s">
        <v>1226</v>
      </c>
      <c r="AL3879">
        <v>39.174456999999997</v>
      </c>
      <c r="AM3879" t="s">
        <v>1227</v>
      </c>
      <c r="AN3879">
        <v>-121.029704</v>
      </c>
      <c r="AO3879">
        <v>25</v>
      </c>
      <c r="AP3879">
        <v>4300</v>
      </c>
      <c r="AQ3879" t="s">
        <v>131</v>
      </c>
      <c r="AR3879">
        <v>18</v>
      </c>
      <c r="AS3879">
        <v>82</v>
      </c>
      <c r="AT3879">
        <v>384</v>
      </c>
      <c r="BB3879" t="str">
        <f t="shared" si="1523"/>
        <v>1200</v>
      </c>
      <c r="BC3879">
        <v>1</v>
      </c>
      <c r="BD3879" t="str">
        <f t="shared" si="1524"/>
        <v xml:space="preserve">N52156  </v>
      </c>
      <c r="BE3879">
        <v>1</v>
      </c>
      <c r="BG3879">
        <v>0</v>
      </c>
      <c r="BH3879">
        <v>0</v>
      </c>
      <c r="BI3879">
        <v>0</v>
      </c>
      <c r="BJ3879">
        <v>4350</v>
      </c>
      <c r="BK3879">
        <v>50</v>
      </c>
      <c r="BL3879" t="s">
        <v>188</v>
      </c>
      <c r="BM3879">
        <v>1</v>
      </c>
      <c r="BN3879">
        <v>1</v>
      </c>
      <c r="BO3879">
        <v>0</v>
      </c>
      <c r="BP3879">
        <v>0</v>
      </c>
      <c r="BS3879">
        <v>0</v>
      </c>
      <c r="BT3879">
        <v>0</v>
      </c>
      <c r="BU3879">
        <v>0</v>
      </c>
      <c r="CE3879" t="str">
        <f t="shared" si="1537"/>
        <v>15:15:18.514</v>
      </c>
      <c r="CF3879">
        <v>513823215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3</v>
      </c>
      <c r="CY3879">
        <v>7</v>
      </c>
      <c r="CZ3879" t="s">
        <v>133</v>
      </c>
      <c r="DA3879">
        <v>276</v>
      </c>
      <c r="DB3879">
        <v>0</v>
      </c>
      <c r="DC3879" t="s">
        <v>402</v>
      </c>
      <c r="DD3879" t="s">
        <v>403</v>
      </c>
      <c r="DG3879">
        <v>1628286</v>
      </c>
      <c r="DI3879">
        <v>1</v>
      </c>
      <c r="DJ3879">
        <v>0</v>
      </c>
      <c r="DK3879">
        <v>1</v>
      </c>
      <c r="DL3879">
        <v>0</v>
      </c>
      <c r="DM3879">
        <v>0</v>
      </c>
      <c r="DN3879">
        <v>0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3">
      <c r="A3880" t="str">
        <f>"05/01/2025 15:15:18.760"</f>
        <v>05/01/2025 15:15:18.760</v>
      </c>
      <c r="C3880" t="str">
        <f t="shared" si="1520"/>
        <v>FFDFD3C0</v>
      </c>
      <c r="D3880" t="s">
        <v>124</v>
      </c>
      <c r="E3880" t="str">
        <f>"06"</f>
        <v>06</v>
      </c>
      <c r="F3880">
        <v>2006</v>
      </c>
      <c r="G3880" t="s">
        <v>125</v>
      </c>
      <c r="J3880" t="s">
        <v>126</v>
      </c>
      <c r="K3880">
        <v>0</v>
      </c>
      <c r="L3880">
        <v>3</v>
      </c>
      <c r="M3880">
        <v>0</v>
      </c>
      <c r="N3880">
        <v>2</v>
      </c>
      <c r="O3880">
        <v>0</v>
      </c>
      <c r="P3880">
        <v>1</v>
      </c>
      <c r="Q3880">
        <v>0</v>
      </c>
      <c r="R3880" t="s">
        <v>127</v>
      </c>
      <c r="S3880" t="str">
        <f t="shared" si="1536"/>
        <v>15:15:18.000</v>
      </c>
      <c r="T3880" t="str">
        <f t="shared" si="1536"/>
        <v>15:15:18.000</v>
      </c>
      <c r="U3880" t="str">
        <f t="shared" si="1522"/>
        <v>A68FCB</v>
      </c>
      <c r="V3880">
        <v>0</v>
      </c>
      <c r="W3880">
        <v>0</v>
      </c>
      <c r="X3880">
        <v>2</v>
      </c>
      <c r="Y3880">
        <v>0</v>
      </c>
      <c r="AA3880">
        <v>1</v>
      </c>
      <c r="AB3880">
        <v>8</v>
      </c>
      <c r="AC3880">
        <v>3</v>
      </c>
      <c r="AD3880">
        <v>0</v>
      </c>
      <c r="AE3880">
        <v>9</v>
      </c>
      <c r="AF3880" t="s">
        <v>138</v>
      </c>
      <c r="AG3880">
        <v>0</v>
      </c>
      <c r="AH3880">
        <v>3</v>
      </c>
      <c r="AI3880">
        <v>2</v>
      </c>
      <c r="AJ3880">
        <v>0</v>
      </c>
      <c r="AK3880" t="s">
        <v>1226</v>
      </c>
      <c r="AL3880">
        <v>39.174456999999997</v>
      </c>
      <c r="AM3880" t="s">
        <v>1227</v>
      </c>
      <c r="AN3880">
        <v>-121.029704</v>
      </c>
      <c r="AO3880">
        <v>25</v>
      </c>
      <c r="AP3880">
        <v>4300</v>
      </c>
      <c r="AQ3880" t="s">
        <v>131</v>
      </c>
      <c r="AR3880">
        <v>18</v>
      </c>
      <c r="AS3880">
        <v>82</v>
      </c>
      <c r="AT3880">
        <v>384</v>
      </c>
      <c r="BB3880" t="str">
        <f t="shared" si="1523"/>
        <v>1200</v>
      </c>
      <c r="BC3880">
        <v>1</v>
      </c>
      <c r="BD3880" t="str">
        <f t="shared" si="1524"/>
        <v xml:space="preserve">N52156  </v>
      </c>
      <c r="BE3880">
        <v>1</v>
      </c>
      <c r="BG3880">
        <v>0</v>
      </c>
      <c r="BH3880">
        <v>0</v>
      </c>
      <c r="BI3880">
        <v>0</v>
      </c>
      <c r="BJ3880">
        <v>4350</v>
      </c>
      <c r="BK3880">
        <v>50</v>
      </c>
      <c r="BL3880" t="s">
        <v>188</v>
      </c>
      <c r="BM3880">
        <v>1</v>
      </c>
      <c r="BN3880">
        <v>1</v>
      </c>
      <c r="BO3880">
        <v>0</v>
      </c>
      <c r="BP3880">
        <v>0</v>
      </c>
      <c r="BS3880">
        <v>0</v>
      </c>
      <c r="BT3880">
        <v>0</v>
      </c>
      <c r="BU3880">
        <v>0</v>
      </c>
      <c r="CE3880" t="str">
        <f t="shared" si="1537"/>
        <v>15:15:18.514</v>
      </c>
      <c r="CF3880">
        <v>513823215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3</v>
      </c>
      <c r="CY3880">
        <v>7</v>
      </c>
      <c r="CZ3880" t="s">
        <v>133</v>
      </c>
      <c r="DA3880">
        <v>276</v>
      </c>
      <c r="DB3880">
        <v>0</v>
      </c>
      <c r="DC3880" t="s">
        <v>402</v>
      </c>
      <c r="DD3880" t="s">
        <v>403</v>
      </c>
      <c r="DG3880">
        <v>1628286</v>
      </c>
      <c r="DI3880">
        <v>1</v>
      </c>
      <c r="DJ3880">
        <v>0</v>
      </c>
      <c r="DK3880">
        <v>1</v>
      </c>
      <c r="DL3880">
        <v>0</v>
      </c>
      <c r="DM3880">
        <v>0</v>
      </c>
      <c r="DN3880">
        <v>0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3">
      <c r="A3881" t="str">
        <f>"05/01/2025 15:15:18.769"</f>
        <v>05/01/2025 15:15:18.769</v>
      </c>
      <c r="C3881" t="str">
        <f t="shared" si="1520"/>
        <v>FFDFD3C0</v>
      </c>
      <c r="D3881" t="s">
        <v>145</v>
      </c>
      <c r="E3881" t="str">
        <f>"09"</f>
        <v>09</v>
      </c>
      <c r="H3881">
        <v>51</v>
      </c>
      <c r="I3881" t="s">
        <v>147</v>
      </c>
      <c r="J3881" t="s">
        <v>138</v>
      </c>
      <c r="K3881">
        <v>0</v>
      </c>
      <c r="L3881">
        <v>3</v>
      </c>
      <c r="M3881">
        <v>0</v>
      </c>
      <c r="N3881">
        <v>2</v>
      </c>
      <c r="O3881">
        <v>0</v>
      </c>
      <c r="P3881">
        <v>1</v>
      </c>
      <c r="Q3881">
        <v>0</v>
      </c>
      <c r="R3881" t="s">
        <v>127</v>
      </c>
      <c r="S3881" t="str">
        <f t="shared" si="1536"/>
        <v>15:15:18.000</v>
      </c>
      <c r="T3881" t="str">
        <f t="shared" si="1536"/>
        <v>15:15:18.000</v>
      </c>
      <c r="U3881" t="str">
        <f t="shared" si="1522"/>
        <v>A68FCB</v>
      </c>
      <c r="V3881">
        <v>0</v>
      </c>
      <c r="W3881">
        <v>0</v>
      </c>
      <c r="X3881">
        <v>2</v>
      </c>
      <c r="Y3881">
        <v>0</v>
      </c>
      <c r="AA3881">
        <v>1</v>
      </c>
      <c r="AB3881">
        <v>8</v>
      </c>
      <c r="AC3881">
        <v>3</v>
      </c>
      <c r="AD3881">
        <v>0</v>
      </c>
      <c r="AE3881">
        <v>9</v>
      </c>
      <c r="AF3881" t="s">
        <v>138</v>
      </c>
      <c r="AG3881">
        <v>0</v>
      </c>
      <c r="AH3881">
        <v>3</v>
      </c>
      <c r="AI3881">
        <v>2</v>
      </c>
      <c r="AJ3881">
        <v>0</v>
      </c>
      <c r="AK3881" t="s">
        <v>1226</v>
      </c>
      <c r="AL3881">
        <v>39.174456999999997</v>
      </c>
      <c r="AM3881" t="s">
        <v>1227</v>
      </c>
      <c r="AN3881">
        <v>-121.029704</v>
      </c>
      <c r="AO3881">
        <v>25</v>
      </c>
      <c r="AP3881">
        <v>4300</v>
      </c>
      <c r="AQ3881" t="s">
        <v>131</v>
      </c>
      <c r="AR3881">
        <v>18</v>
      </c>
      <c r="AS3881">
        <v>82</v>
      </c>
      <c r="AT3881">
        <v>384</v>
      </c>
      <c r="BB3881" t="str">
        <f t="shared" si="1523"/>
        <v>1200</v>
      </c>
      <c r="BC3881">
        <v>1</v>
      </c>
      <c r="BD3881" t="str">
        <f t="shared" si="1524"/>
        <v xml:space="preserve">N52156  </v>
      </c>
      <c r="BE3881">
        <v>1</v>
      </c>
      <c r="BG3881">
        <v>0</v>
      </c>
      <c r="BH3881">
        <v>0</v>
      </c>
      <c r="BI3881">
        <v>0</v>
      </c>
      <c r="BJ3881">
        <v>4350</v>
      </c>
      <c r="BK3881">
        <v>50</v>
      </c>
      <c r="BL3881" t="s">
        <v>188</v>
      </c>
      <c r="BM3881">
        <v>1</v>
      </c>
      <c r="BN3881">
        <v>1</v>
      </c>
      <c r="BO3881">
        <v>0</v>
      </c>
      <c r="BP3881">
        <v>0</v>
      </c>
      <c r="BS3881">
        <v>0</v>
      </c>
      <c r="BT3881">
        <v>0</v>
      </c>
      <c r="BU3881">
        <v>0</v>
      </c>
      <c r="CE3881" t="str">
        <f t="shared" si="1537"/>
        <v>15:15:18.514</v>
      </c>
      <c r="CF3881">
        <v>513823215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3</v>
      </c>
      <c r="CY3881">
        <v>7</v>
      </c>
      <c r="CZ3881" t="s">
        <v>133</v>
      </c>
      <c r="DA3881">
        <v>276</v>
      </c>
      <c r="DB3881">
        <v>0</v>
      </c>
      <c r="DC3881" t="s">
        <v>402</v>
      </c>
      <c r="DD3881" t="s">
        <v>403</v>
      </c>
      <c r="DG3881">
        <v>1628286</v>
      </c>
      <c r="DI3881">
        <v>1</v>
      </c>
      <c r="DJ3881">
        <v>0</v>
      </c>
      <c r="DK3881">
        <v>1</v>
      </c>
      <c r="DL3881">
        <v>0</v>
      </c>
      <c r="DM3881">
        <v>0</v>
      </c>
      <c r="DN3881">
        <v>0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3">
      <c r="A3882" t="str">
        <f>"05/01/2025 15:15:18.772"</f>
        <v>05/01/2025 15:15:18.772</v>
      </c>
      <c r="C3882" t="str">
        <f t="shared" si="1520"/>
        <v>FFDFD3C0</v>
      </c>
      <c r="D3882" t="s">
        <v>145</v>
      </c>
      <c r="E3882" t="str">
        <f>"05"</f>
        <v>05</v>
      </c>
      <c r="H3882">
        <v>47</v>
      </c>
      <c r="I3882" t="s">
        <v>146</v>
      </c>
      <c r="J3882" t="s">
        <v>138</v>
      </c>
      <c r="K3882">
        <v>0</v>
      </c>
      <c r="L3882">
        <v>3</v>
      </c>
      <c r="M3882">
        <v>0</v>
      </c>
      <c r="N3882">
        <v>2</v>
      </c>
      <c r="O3882">
        <v>0</v>
      </c>
      <c r="P3882">
        <v>1</v>
      </c>
      <c r="Q3882">
        <v>0</v>
      </c>
      <c r="R3882" t="s">
        <v>127</v>
      </c>
      <c r="S3882" t="str">
        <f t="shared" si="1536"/>
        <v>15:15:18.000</v>
      </c>
      <c r="T3882" t="str">
        <f t="shared" si="1536"/>
        <v>15:15:18.000</v>
      </c>
      <c r="U3882" t="str">
        <f t="shared" si="1522"/>
        <v>A68FCB</v>
      </c>
      <c r="V3882">
        <v>0</v>
      </c>
      <c r="W3882">
        <v>0</v>
      </c>
      <c r="X3882">
        <v>2</v>
      </c>
      <c r="Y3882">
        <v>0</v>
      </c>
      <c r="AA3882">
        <v>1</v>
      </c>
      <c r="AB3882">
        <v>8</v>
      </c>
      <c r="AC3882">
        <v>3</v>
      </c>
      <c r="AD3882">
        <v>0</v>
      </c>
      <c r="AE3882">
        <v>9</v>
      </c>
      <c r="AF3882" t="s">
        <v>138</v>
      </c>
      <c r="AG3882">
        <v>0</v>
      </c>
      <c r="AH3882">
        <v>3</v>
      </c>
      <c r="AI3882">
        <v>2</v>
      </c>
      <c r="AJ3882">
        <v>0</v>
      </c>
      <c r="AK3882" t="s">
        <v>1226</v>
      </c>
      <c r="AL3882">
        <v>39.174456999999997</v>
      </c>
      <c r="AM3882" t="s">
        <v>1227</v>
      </c>
      <c r="AN3882">
        <v>-121.029704</v>
      </c>
      <c r="AO3882">
        <v>25</v>
      </c>
      <c r="AP3882">
        <v>4300</v>
      </c>
      <c r="AQ3882" t="s">
        <v>131</v>
      </c>
      <c r="AR3882">
        <v>18</v>
      </c>
      <c r="AS3882">
        <v>82</v>
      </c>
      <c r="AT3882">
        <v>384</v>
      </c>
      <c r="BB3882" t="str">
        <f t="shared" si="1523"/>
        <v>1200</v>
      </c>
      <c r="BC3882">
        <v>1</v>
      </c>
      <c r="BD3882" t="str">
        <f t="shared" si="1524"/>
        <v xml:space="preserve">N52156  </v>
      </c>
      <c r="BE3882">
        <v>1</v>
      </c>
      <c r="BG3882">
        <v>0</v>
      </c>
      <c r="BH3882">
        <v>0</v>
      </c>
      <c r="BI3882">
        <v>0</v>
      </c>
      <c r="BJ3882">
        <v>4350</v>
      </c>
      <c r="BK3882">
        <v>50</v>
      </c>
      <c r="BL3882" t="s">
        <v>188</v>
      </c>
      <c r="BM3882">
        <v>1</v>
      </c>
      <c r="BN3882">
        <v>1</v>
      </c>
      <c r="BO3882">
        <v>0</v>
      </c>
      <c r="BP3882">
        <v>0</v>
      </c>
      <c r="BS3882">
        <v>0</v>
      </c>
      <c r="BT3882">
        <v>0</v>
      </c>
      <c r="BU3882">
        <v>0</v>
      </c>
      <c r="CE3882" t="str">
        <f t="shared" si="1537"/>
        <v>15:15:18.514</v>
      </c>
      <c r="CF3882">
        <v>513823215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3</v>
      </c>
      <c r="CY3882">
        <v>7</v>
      </c>
      <c r="CZ3882" t="s">
        <v>133</v>
      </c>
      <c r="DA3882">
        <v>276</v>
      </c>
      <c r="DB3882">
        <v>0</v>
      </c>
      <c r="DC3882" t="s">
        <v>402</v>
      </c>
      <c r="DD3882" t="s">
        <v>403</v>
      </c>
      <c r="DG3882">
        <v>1628286</v>
      </c>
      <c r="DI3882">
        <v>1</v>
      </c>
      <c r="DJ3882">
        <v>0</v>
      </c>
      <c r="DK3882">
        <v>1</v>
      </c>
      <c r="DL3882">
        <v>0</v>
      </c>
      <c r="DM3882">
        <v>0</v>
      </c>
      <c r="DN3882">
        <v>0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3">
      <c r="A3883" t="str">
        <f>"05/01/2025 15:15:18.783"</f>
        <v>05/01/2025 15:15:18.783</v>
      </c>
      <c r="C3883" t="str">
        <f t="shared" si="1520"/>
        <v>FFDFD3C0</v>
      </c>
      <c r="D3883" t="s">
        <v>136</v>
      </c>
      <c r="E3883" t="str">
        <f>"20"</f>
        <v>20</v>
      </c>
      <c r="H3883">
        <v>400</v>
      </c>
      <c r="I3883" t="s">
        <v>137</v>
      </c>
      <c r="J3883" t="s">
        <v>138</v>
      </c>
      <c r="K3883">
        <v>0</v>
      </c>
      <c r="L3883">
        <v>3</v>
      </c>
      <c r="M3883">
        <v>0</v>
      </c>
      <c r="N3883">
        <v>2</v>
      </c>
      <c r="O3883">
        <v>0</v>
      </c>
      <c r="P3883">
        <v>1</v>
      </c>
      <c r="Q3883">
        <v>0</v>
      </c>
      <c r="R3883" t="s">
        <v>127</v>
      </c>
      <c r="S3883" t="str">
        <f t="shared" si="1536"/>
        <v>15:15:18.000</v>
      </c>
      <c r="T3883" t="str">
        <f t="shared" si="1536"/>
        <v>15:15:18.000</v>
      </c>
      <c r="U3883" t="str">
        <f t="shared" si="1522"/>
        <v>A68FCB</v>
      </c>
      <c r="V3883">
        <v>0</v>
      </c>
      <c r="W3883">
        <v>0</v>
      </c>
      <c r="X3883">
        <v>2</v>
      </c>
      <c r="Y3883">
        <v>0</v>
      </c>
      <c r="AA3883">
        <v>1</v>
      </c>
      <c r="AB3883">
        <v>8</v>
      </c>
      <c r="AC3883">
        <v>3</v>
      </c>
      <c r="AD3883">
        <v>0</v>
      </c>
      <c r="AE3883">
        <v>9</v>
      </c>
      <c r="AF3883" t="s">
        <v>138</v>
      </c>
      <c r="AG3883">
        <v>0</v>
      </c>
      <c r="AH3883">
        <v>3</v>
      </c>
      <c r="AI3883">
        <v>2</v>
      </c>
      <c r="AJ3883">
        <v>0</v>
      </c>
      <c r="AK3883" t="s">
        <v>1226</v>
      </c>
      <c r="AL3883">
        <v>39.174456999999997</v>
      </c>
      <c r="AM3883" t="s">
        <v>1227</v>
      </c>
      <c r="AN3883">
        <v>-121.029704</v>
      </c>
      <c r="AO3883">
        <v>25</v>
      </c>
      <c r="AP3883">
        <v>4300</v>
      </c>
      <c r="AQ3883" t="s">
        <v>131</v>
      </c>
      <c r="AR3883">
        <v>18</v>
      </c>
      <c r="AS3883">
        <v>82</v>
      </c>
      <c r="AT3883">
        <v>384</v>
      </c>
      <c r="BB3883" t="str">
        <f t="shared" si="1523"/>
        <v>1200</v>
      </c>
      <c r="BC3883">
        <v>1</v>
      </c>
      <c r="BD3883" t="str">
        <f t="shared" si="1524"/>
        <v xml:space="preserve">N52156  </v>
      </c>
      <c r="BE3883">
        <v>1</v>
      </c>
      <c r="BG3883">
        <v>0</v>
      </c>
      <c r="BH3883">
        <v>0</v>
      </c>
      <c r="BI3883">
        <v>0</v>
      </c>
      <c r="BJ3883">
        <v>4350</v>
      </c>
      <c r="BK3883">
        <v>50</v>
      </c>
      <c r="BL3883" t="s">
        <v>188</v>
      </c>
      <c r="BM3883">
        <v>1</v>
      </c>
      <c r="BN3883">
        <v>1</v>
      </c>
      <c r="BO3883">
        <v>0</v>
      </c>
      <c r="BP3883">
        <v>0</v>
      </c>
      <c r="BS3883">
        <v>0</v>
      </c>
      <c r="BT3883">
        <v>0</v>
      </c>
      <c r="BU3883">
        <v>0</v>
      </c>
      <c r="CE3883" t="str">
        <f t="shared" si="1537"/>
        <v>15:15:18.514</v>
      </c>
      <c r="CF3883">
        <v>513823215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3</v>
      </c>
      <c r="CY3883">
        <v>7</v>
      </c>
      <c r="CZ3883" t="s">
        <v>133</v>
      </c>
      <c r="DA3883">
        <v>276</v>
      </c>
      <c r="DB3883">
        <v>0</v>
      </c>
      <c r="DC3883" t="s">
        <v>402</v>
      </c>
      <c r="DD3883" t="s">
        <v>403</v>
      </c>
      <c r="DG3883">
        <v>1628286</v>
      </c>
      <c r="DI3883">
        <v>1</v>
      </c>
      <c r="DJ3883">
        <v>0</v>
      </c>
      <c r="DK3883">
        <v>1</v>
      </c>
      <c r="DL3883">
        <v>0</v>
      </c>
      <c r="DM3883">
        <v>0</v>
      </c>
      <c r="DN3883">
        <v>0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3">
      <c r="A3884" t="str">
        <f>"05/01/2025 15:15:19.505"</f>
        <v>05/01/2025 15:15:19.505</v>
      </c>
      <c r="C3884" t="str">
        <f t="shared" si="1520"/>
        <v>FFDFD3C0</v>
      </c>
      <c r="D3884" t="s">
        <v>143</v>
      </c>
      <c r="E3884" t="str">
        <f>"05"</f>
        <v>05</v>
      </c>
      <c r="H3884">
        <v>172</v>
      </c>
      <c r="I3884" t="s">
        <v>141</v>
      </c>
      <c r="J3884" t="s">
        <v>144</v>
      </c>
      <c r="K3884">
        <v>0</v>
      </c>
      <c r="L3884">
        <v>3</v>
      </c>
      <c r="M3884">
        <v>0</v>
      </c>
      <c r="N3884">
        <v>2</v>
      </c>
      <c r="O3884">
        <v>0</v>
      </c>
      <c r="P3884">
        <v>1</v>
      </c>
      <c r="Q3884">
        <v>0</v>
      </c>
      <c r="R3884" t="s">
        <v>127</v>
      </c>
      <c r="S3884" t="str">
        <f t="shared" ref="S3884:T3889" si="1538">"15:15:19.000"</f>
        <v>15:15:19.000</v>
      </c>
      <c r="T3884" t="str">
        <f t="shared" si="1538"/>
        <v>15:15:19.000</v>
      </c>
      <c r="U3884" t="str">
        <f t="shared" si="1522"/>
        <v>A68FCB</v>
      </c>
      <c r="V3884">
        <v>0</v>
      </c>
      <c r="W3884">
        <v>0</v>
      </c>
      <c r="X3884">
        <v>2</v>
      </c>
      <c r="Y3884">
        <v>0</v>
      </c>
      <c r="AA3884">
        <v>1</v>
      </c>
      <c r="AB3884">
        <v>8</v>
      </c>
      <c r="AC3884">
        <v>3</v>
      </c>
      <c r="AD3884">
        <v>0</v>
      </c>
      <c r="AE3884">
        <v>9</v>
      </c>
      <c r="AF3884" t="s">
        <v>138</v>
      </c>
      <c r="AG3884">
        <v>0</v>
      </c>
      <c r="AH3884">
        <v>3</v>
      </c>
      <c r="AI3884">
        <v>2</v>
      </c>
      <c r="AJ3884">
        <v>0</v>
      </c>
      <c r="AK3884" t="s">
        <v>1228</v>
      </c>
      <c r="AL3884">
        <v>39.174843000000003</v>
      </c>
      <c r="AM3884" t="s">
        <v>1229</v>
      </c>
      <c r="AN3884">
        <v>-121.02957499999999</v>
      </c>
      <c r="AO3884">
        <v>25</v>
      </c>
      <c r="AP3884">
        <v>4300</v>
      </c>
      <c r="AQ3884" t="s">
        <v>131</v>
      </c>
      <c r="AR3884">
        <v>20</v>
      </c>
      <c r="AS3884">
        <v>82</v>
      </c>
      <c r="AT3884">
        <v>320</v>
      </c>
      <c r="BB3884" t="str">
        <f t="shared" si="1523"/>
        <v>1200</v>
      </c>
      <c r="BC3884">
        <v>1</v>
      </c>
      <c r="BD3884" t="str">
        <f t="shared" si="1524"/>
        <v xml:space="preserve">N52156  </v>
      </c>
      <c r="BE3884">
        <v>1</v>
      </c>
      <c r="BG3884">
        <v>0</v>
      </c>
      <c r="BH3884">
        <v>0</v>
      </c>
      <c r="BI3884">
        <v>0</v>
      </c>
      <c r="BJ3884">
        <v>4350</v>
      </c>
      <c r="BK3884">
        <v>50</v>
      </c>
      <c r="BL3884" t="s">
        <v>188</v>
      </c>
      <c r="BM3884">
        <v>1</v>
      </c>
      <c r="BN3884">
        <v>1</v>
      </c>
      <c r="BO3884">
        <v>0</v>
      </c>
      <c r="BP3884">
        <v>0</v>
      </c>
      <c r="BS3884">
        <v>0</v>
      </c>
      <c r="BT3884">
        <v>0</v>
      </c>
      <c r="BU3884">
        <v>0</v>
      </c>
      <c r="CE3884" t="str">
        <f t="shared" ref="CE3884:CE3889" si="1539">"15:15:19.289"</f>
        <v>15:15:19.289</v>
      </c>
      <c r="CF3884">
        <v>288991533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3</v>
      </c>
      <c r="CY3884">
        <v>7</v>
      </c>
      <c r="CZ3884" t="s">
        <v>133</v>
      </c>
      <c r="DA3884">
        <v>275</v>
      </c>
      <c r="DB3884">
        <v>0</v>
      </c>
      <c r="DC3884" t="s">
        <v>134</v>
      </c>
      <c r="DD3884" t="s">
        <v>135</v>
      </c>
      <c r="DG3884">
        <v>3323082</v>
      </c>
      <c r="DI3884">
        <v>1</v>
      </c>
      <c r="DJ3884">
        <v>0</v>
      </c>
      <c r="DK3884">
        <v>0</v>
      </c>
      <c r="DL3884">
        <v>0</v>
      </c>
      <c r="DM3884">
        <v>0</v>
      </c>
      <c r="DN3884">
        <v>0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3">
      <c r="A3885" t="str">
        <f>"05/01/2025 15:15:19.507"</f>
        <v>05/01/2025 15:15:19.507</v>
      </c>
      <c r="C3885" t="str">
        <f t="shared" si="1520"/>
        <v>FFDFD3C0</v>
      </c>
      <c r="D3885" t="s">
        <v>140</v>
      </c>
      <c r="E3885" t="str">
        <f>"13"</f>
        <v>13</v>
      </c>
      <c r="F3885">
        <v>1019</v>
      </c>
      <c r="G3885" t="s">
        <v>141</v>
      </c>
      <c r="J3885" t="s">
        <v>142</v>
      </c>
      <c r="K3885">
        <v>0</v>
      </c>
      <c r="L3885">
        <v>3</v>
      </c>
      <c r="M3885">
        <v>0</v>
      </c>
      <c r="N3885">
        <v>2</v>
      </c>
      <c r="O3885">
        <v>0</v>
      </c>
      <c r="P3885">
        <v>1</v>
      </c>
      <c r="Q3885">
        <v>0</v>
      </c>
      <c r="R3885" t="s">
        <v>127</v>
      </c>
      <c r="S3885" t="str">
        <f t="shared" si="1538"/>
        <v>15:15:19.000</v>
      </c>
      <c r="T3885" t="str">
        <f t="shared" si="1538"/>
        <v>15:15:19.000</v>
      </c>
      <c r="U3885" t="str">
        <f t="shared" si="1522"/>
        <v>A68FCB</v>
      </c>
      <c r="V3885">
        <v>0</v>
      </c>
      <c r="W3885">
        <v>0</v>
      </c>
      <c r="X3885">
        <v>2</v>
      </c>
      <c r="Y3885">
        <v>0</v>
      </c>
      <c r="AA3885">
        <v>1</v>
      </c>
      <c r="AB3885">
        <v>8</v>
      </c>
      <c r="AC3885">
        <v>3</v>
      </c>
      <c r="AD3885">
        <v>0</v>
      </c>
      <c r="AE3885">
        <v>9</v>
      </c>
      <c r="AF3885" t="s">
        <v>138</v>
      </c>
      <c r="AG3885">
        <v>0</v>
      </c>
      <c r="AH3885">
        <v>3</v>
      </c>
      <c r="AI3885">
        <v>2</v>
      </c>
      <c r="AJ3885">
        <v>0</v>
      </c>
      <c r="AK3885" t="s">
        <v>1228</v>
      </c>
      <c r="AL3885">
        <v>39.174843000000003</v>
      </c>
      <c r="AM3885" t="s">
        <v>1229</v>
      </c>
      <c r="AN3885">
        <v>-121.02957499999999</v>
      </c>
      <c r="AO3885">
        <v>25</v>
      </c>
      <c r="AP3885">
        <v>4300</v>
      </c>
      <c r="AQ3885" t="s">
        <v>131</v>
      </c>
      <c r="AR3885">
        <v>20</v>
      </c>
      <c r="AS3885">
        <v>82</v>
      </c>
      <c r="AT3885">
        <v>320</v>
      </c>
      <c r="BB3885" t="str">
        <f t="shared" si="1523"/>
        <v>1200</v>
      </c>
      <c r="BC3885">
        <v>1</v>
      </c>
      <c r="BD3885" t="str">
        <f t="shared" si="1524"/>
        <v xml:space="preserve">N52156  </v>
      </c>
      <c r="BE3885">
        <v>1</v>
      </c>
      <c r="BG3885">
        <v>0</v>
      </c>
      <c r="BH3885">
        <v>0</v>
      </c>
      <c r="BI3885">
        <v>0</v>
      </c>
      <c r="BJ3885">
        <v>4350</v>
      </c>
      <c r="BK3885">
        <v>50</v>
      </c>
      <c r="BL3885" t="s">
        <v>188</v>
      </c>
      <c r="BM3885">
        <v>1</v>
      </c>
      <c r="BN3885">
        <v>1</v>
      </c>
      <c r="BO3885">
        <v>0</v>
      </c>
      <c r="BP3885">
        <v>0</v>
      </c>
      <c r="BS3885">
        <v>0</v>
      </c>
      <c r="BT3885">
        <v>0</v>
      </c>
      <c r="BU3885">
        <v>0</v>
      </c>
      <c r="CE3885" t="str">
        <f t="shared" si="1539"/>
        <v>15:15:19.289</v>
      </c>
      <c r="CF3885">
        <v>288991533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3</v>
      </c>
      <c r="CY3885">
        <v>7</v>
      </c>
      <c r="CZ3885" t="s">
        <v>133</v>
      </c>
      <c r="DA3885">
        <v>275</v>
      </c>
      <c r="DB3885">
        <v>0</v>
      </c>
      <c r="DC3885" t="s">
        <v>134</v>
      </c>
      <c r="DD3885" t="s">
        <v>135</v>
      </c>
      <c r="DG3885">
        <v>3323082</v>
      </c>
      <c r="DI3885">
        <v>1</v>
      </c>
      <c r="DJ3885">
        <v>0</v>
      </c>
      <c r="DK3885">
        <v>1</v>
      </c>
      <c r="DL3885">
        <v>0</v>
      </c>
      <c r="DM3885">
        <v>0</v>
      </c>
      <c r="DN3885">
        <v>0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3">
      <c r="A3886" t="str">
        <f>"05/01/2025 15:15:19.512"</f>
        <v>05/01/2025 15:15:19.512</v>
      </c>
      <c r="C3886" t="str">
        <f t="shared" si="1520"/>
        <v>FFDFD3C0</v>
      </c>
      <c r="D3886" t="s">
        <v>124</v>
      </c>
      <c r="E3886" t="str">
        <f>"06"</f>
        <v>06</v>
      </c>
      <c r="F3886">
        <v>2006</v>
      </c>
      <c r="G3886" t="s">
        <v>125</v>
      </c>
      <c r="J3886" t="s">
        <v>126</v>
      </c>
      <c r="K3886">
        <v>0</v>
      </c>
      <c r="L3886">
        <v>3</v>
      </c>
      <c r="M3886">
        <v>0</v>
      </c>
      <c r="N3886">
        <v>2</v>
      </c>
      <c r="O3886">
        <v>0</v>
      </c>
      <c r="P3886">
        <v>1</v>
      </c>
      <c r="Q3886">
        <v>0</v>
      </c>
      <c r="R3886" t="s">
        <v>127</v>
      </c>
      <c r="S3886" t="str">
        <f t="shared" si="1538"/>
        <v>15:15:19.000</v>
      </c>
      <c r="T3886" t="str">
        <f t="shared" si="1538"/>
        <v>15:15:19.000</v>
      </c>
      <c r="U3886" t="str">
        <f t="shared" si="1522"/>
        <v>A68FCB</v>
      </c>
      <c r="V3886">
        <v>0</v>
      </c>
      <c r="W3886">
        <v>0</v>
      </c>
      <c r="X3886">
        <v>2</v>
      </c>
      <c r="Y3886">
        <v>0</v>
      </c>
      <c r="AA3886">
        <v>1</v>
      </c>
      <c r="AB3886">
        <v>8</v>
      </c>
      <c r="AC3886">
        <v>3</v>
      </c>
      <c r="AD3886">
        <v>0</v>
      </c>
      <c r="AE3886">
        <v>9</v>
      </c>
      <c r="AF3886" t="s">
        <v>138</v>
      </c>
      <c r="AG3886">
        <v>0</v>
      </c>
      <c r="AH3886">
        <v>3</v>
      </c>
      <c r="AI3886">
        <v>2</v>
      </c>
      <c r="AJ3886">
        <v>0</v>
      </c>
      <c r="AK3886" t="s">
        <v>1228</v>
      </c>
      <c r="AL3886">
        <v>39.174843000000003</v>
      </c>
      <c r="AM3886" t="s">
        <v>1229</v>
      </c>
      <c r="AN3886">
        <v>-121.02957499999999</v>
      </c>
      <c r="AO3886">
        <v>25</v>
      </c>
      <c r="AP3886">
        <v>4300</v>
      </c>
      <c r="AQ3886" t="s">
        <v>131</v>
      </c>
      <c r="AR3886">
        <v>20</v>
      </c>
      <c r="AS3886">
        <v>82</v>
      </c>
      <c r="AT3886">
        <v>320</v>
      </c>
      <c r="BB3886" t="str">
        <f t="shared" si="1523"/>
        <v>1200</v>
      </c>
      <c r="BC3886">
        <v>1</v>
      </c>
      <c r="BD3886" t="str">
        <f t="shared" si="1524"/>
        <v xml:space="preserve">N52156  </v>
      </c>
      <c r="BE3886">
        <v>1</v>
      </c>
      <c r="BG3886">
        <v>0</v>
      </c>
      <c r="BH3886">
        <v>0</v>
      </c>
      <c r="BI3886">
        <v>0</v>
      </c>
      <c r="BJ3886">
        <v>4350</v>
      </c>
      <c r="BK3886">
        <v>50</v>
      </c>
      <c r="BL3886" t="s">
        <v>188</v>
      </c>
      <c r="BM3886">
        <v>1</v>
      </c>
      <c r="BN3886">
        <v>1</v>
      </c>
      <c r="BO3886">
        <v>0</v>
      </c>
      <c r="BP3886">
        <v>0</v>
      </c>
      <c r="BS3886">
        <v>0</v>
      </c>
      <c r="BT3886">
        <v>0</v>
      </c>
      <c r="BU3886">
        <v>0</v>
      </c>
      <c r="CE3886" t="str">
        <f t="shared" si="1539"/>
        <v>15:15:19.289</v>
      </c>
      <c r="CF3886">
        <v>288991533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3</v>
      </c>
      <c r="CY3886">
        <v>7</v>
      </c>
      <c r="CZ3886" t="s">
        <v>133</v>
      </c>
      <c r="DA3886">
        <v>275</v>
      </c>
      <c r="DB3886">
        <v>0</v>
      </c>
      <c r="DC3886" t="s">
        <v>134</v>
      </c>
      <c r="DD3886" t="s">
        <v>135</v>
      </c>
      <c r="DG3886">
        <v>3323082</v>
      </c>
      <c r="DI3886">
        <v>1</v>
      </c>
      <c r="DJ3886">
        <v>0</v>
      </c>
      <c r="DK3886">
        <v>1</v>
      </c>
      <c r="DL3886">
        <v>0</v>
      </c>
      <c r="DM3886">
        <v>0</v>
      </c>
      <c r="DN3886">
        <v>0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3">
      <c r="A3887" t="str">
        <f>"05/01/2025 15:15:19.520"</f>
        <v>05/01/2025 15:15:19.520</v>
      </c>
      <c r="C3887" t="str">
        <f t="shared" si="1520"/>
        <v>FFDFD3C0</v>
      </c>
      <c r="D3887" t="s">
        <v>145</v>
      </c>
      <c r="E3887" t="str">
        <f>"09"</f>
        <v>09</v>
      </c>
      <c r="H3887">
        <v>51</v>
      </c>
      <c r="I3887" t="s">
        <v>147</v>
      </c>
      <c r="J3887" t="s">
        <v>138</v>
      </c>
      <c r="K3887">
        <v>0</v>
      </c>
      <c r="L3887">
        <v>3</v>
      </c>
      <c r="M3887">
        <v>0</v>
      </c>
      <c r="N3887">
        <v>2</v>
      </c>
      <c r="O3887">
        <v>0</v>
      </c>
      <c r="P3887">
        <v>1</v>
      </c>
      <c r="Q3887">
        <v>0</v>
      </c>
      <c r="R3887" t="s">
        <v>127</v>
      </c>
      <c r="S3887" t="str">
        <f t="shared" si="1538"/>
        <v>15:15:19.000</v>
      </c>
      <c r="T3887" t="str">
        <f t="shared" si="1538"/>
        <v>15:15:19.000</v>
      </c>
      <c r="U3887" t="str">
        <f t="shared" si="1522"/>
        <v>A68FCB</v>
      </c>
      <c r="V3887">
        <v>0</v>
      </c>
      <c r="W3887">
        <v>0</v>
      </c>
      <c r="X3887">
        <v>2</v>
      </c>
      <c r="Y3887">
        <v>0</v>
      </c>
      <c r="AA3887">
        <v>1</v>
      </c>
      <c r="AB3887">
        <v>8</v>
      </c>
      <c r="AC3887">
        <v>3</v>
      </c>
      <c r="AD3887">
        <v>0</v>
      </c>
      <c r="AE3887">
        <v>9</v>
      </c>
      <c r="AF3887" t="s">
        <v>138</v>
      </c>
      <c r="AG3887">
        <v>0</v>
      </c>
      <c r="AH3887">
        <v>3</v>
      </c>
      <c r="AI3887">
        <v>2</v>
      </c>
      <c r="AJ3887">
        <v>0</v>
      </c>
      <c r="AK3887" t="s">
        <v>1228</v>
      </c>
      <c r="AL3887">
        <v>39.174843000000003</v>
      </c>
      <c r="AM3887" t="s">
        <v>1229</v>
      </c>
      <c r="AN3887">
        <v>-121.02957499999999</v>
      </c>
      <c r="AO3887">
        <v>25</v>
      </c>
      <c r="AP3887">
        <v>4300</v>
      </c>
      <c r="AQ3887" t="s">
        <v>131</v>
      </c>
      <c r="AR3887">
        <v>20</v>
      </c>
      <c r="AS3887">
        <v>82</v>
      </c>
      <c r="AT3887">
        <v>320</v>
      </c>
      <c r="BB3887" t="str">
        <f t="shared" si="1523"/>
        <v>1200</v>
      </c>
      <c r="BC3887">
        <v>1</v>
      </c>
      <c r="BD3887" t="str">
        <f t="shared" si="1524"/>
        <v xml:space="preserve">N52156  </v>
      </c>
      <c r="BE3887">
        <v>1</v>
      </c>
      <c r="BG3887">
        <v>0</v>
      </c>
      <c r="BH3887">
        <v>0</v>
      </c>
      <c r="BI3887">
        <v>0</v>
      </c>
      <c r="BJ3887">
        <v>4350</v>
      </c>
      <c r="BK3887">
        <v>50</v>
      </c>
      <c r="BL3887" t="s">
        <v>188</v>
      </c>
      <c r="BM3887">
        <v>1</v>
      </c>
      <c r="BN3887">
        <v>1</v>
      </c>
      <c r="BO3887">
        <v>0</v>
      </c>
      <c r="BP3887">
        <v>0</v>
      </c>
      <c r="BS3887">
        <v>0</v>
      </c>
      <c r="BT3887">
        <v>0</v>
      </c>
      <c r="BU3887">
        <v>0</v>
      </c>
      <c r="CE3887" t="str">
        <f t="shared" si="1539"/>
        <v>15:15:19.289</v>
      </c>
      <c r="CF3887">
        <v>288991533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3</v>
      </c>
      <c r="CY3887">
        <v>7</v>
      </c>
      <c r="CZ3887" t="s">
        <v>133</v>
      </c>
      <c r="DA3887">
        <v>275</v>
      </c>
      <c r="DB3887">
        <v>0</v>
      </c>
      <c r="DC3887" t="s">
        <v>134</v>
      </c>
      <c r="DD3887" t="s">
        <v>135</v>
      </c>
      <c r="DG3887">
        <v>3323082</v>
      </c>
      <c r="DI3887">
        <v>1</v>
      </c>
      <c r="DJ3887">
        <v>0</v>
      </c>
      <c r="DK3887">
        <v>1</v>
      </c>
      <c r="DL3887">
        <v>0</v>
      </c>
      <c r="DM3887">
        <v>0</v>
      </c>
      <c r="DN3887">
        <v>0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3">
      <c r="A3888" t="str">
        <f>"05/01/2025 15:15:19.523"</f>
        <v>05/01/2025 15:15:19.523</v>
      </c>
      <c r="C3888" t="str">
        <f t="shared" si="1520"/>
        <v>FFDFD3C0</v>
      </c>
      <c r="D3888" t="s">
        <v>145</v>
      </c>
      <c r="E3888" t="str">
        <f>"05"</f>
        <v>05</v>
      </c>
      <c r="H3888">
        <v>47</v>
      </c>
      <c r="I3888" t="s">
        <v>146</v>
      </c>
      <c r="J3888" t="s">
        <v>138</v>
      </c>
      <c r="K3888">
        <v>0</v>
      </c>
      <c r="L3888">
        <v>3</v>
      </c>
      <c r="M3888">
        <v>0</v>
      </c>
      <c r="N3888">
        <v>2</v>
      </c>
      <c r="O3888">
        <v>0</v>
      </c>
      <c r="P3888">
        <v>1</v>
      </c>
      <c r="Q3888">
        <v>0</v>
      </c>
      <c r="R3888" t="s">
        <v>127</v>
      </c>
      <c r="S3888" t="str">
        <f t="shared" si="1538"/>
        <v>15:15:19.000</v>
      </c>
      <c r="T3888" t="str">
        <f t="shared" si="1538"/>
        <v>15:15:19.000</v>
      </c>
      <c r="U3888" t="str">
        <f t="shared" si="1522"/>
        <v>A68FCB</v>
      </c>
      <c r="V3888">
        <v>0</v>
      </c>
      <c r="W3888">
        <v>0</v>
      </c>
      <c r="X3888">
        <v>2</v>
      </c>
      <c r="Y3888">
        <v>0</v>
      </c>
      <c r="AA3888">
        <v>1</v>
      </c>
      <c r="AB3888">
        <v>8</v>
      </c>
      <c r="AC3888">
        <v>3</v>
      </c>
      <c r="AD3888">
        <v>0</v>
      </c>
      <c r="AE3888">
        <v>9</v>
      </c>
      <c r="AF3888" t="s">
        <v>138</v>
      </c>
      <c r="AG3888">
        <v>0</v>
      </c>
      <c r="AH3888">
        <v>3</v>
      </c>
      <c r="AI3888">
        <v>2</v>
      </c>
      <c r="AJ3888">
        <v>0</v>
      </c>
      <c r="AK3888" t="s">
        <v>1228</v>
      </c>
      <c r="AL3888">
        <v>39.174843000000003</v>
      </c>
      <c r="AM3888" t="s">
        <v>1229</v>
      </c>
      <c r="AN3888">
        <v>-121.02957499999999</v>
      </c>
      <c r="AO3888">
        <v>25</v>
      </c>
      <c r="AP3888">
        <v>4300</v>
      </c>
      <c r="AQ3888" t="s">
        <v>131</v>
      </c>
      <c r="AR3888">
        <v>20</v>
      </c>
      <c r="AS3888">
        <v>82</v>
      </c>
      <c r="AT3888">
        <v>320</v>
      </c>
      <c r="BB3888" t="str">
        <f t="shared" si="1523"/>
        <v>1200</v>
      </c>
      <c r="BC3888">
        <v>1</v>
      </c>
      <c r="BD3888" t="str">
        <f t="shared" si="1524"/>
        <v xml:space="preserve">N52156  </v>
      </c>
      <c r="BE3888">
        <v>1</v>
      </c>
      <c r="BG3888">
        <v>0</v>
      </c>
      <c r="BH3888">
        <v>0</v>
      </c>
      <c r="BI3888">
        <v>0</v>
      </c>
      <c r="BJ3888">
        <v>4350</v>
      </c>
      <c r="BK3888">
        <v>50</v>
      </c>
      <c r="BL3888" t="s">
        <v>188</v>
      </c>
      <c r="BM3888">
        <v>1</v>
      </c>
      <c r="BN3888">
        <v>1</v>
      </c>
      <c r="BO3888">
        <v>0</v>
      </c>
      <c r="BP3888">
        <v>0</v>
      </c>
      <c r="BS3888">
        <v>0</v>
      </c>
      <c r="BT3888">
        <v>0</v>
      </c>
      <c r="BU3888">
        <v>0</v>
      </c>
      <c r="CE3888" t="str">
        <f t="shared" si="1539"/>
        <v>15:15:19.289</v>
      </c>
      <c r="CF3888">
        <v>288991533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3</v>
      </c>
      <c r="CY3888">
        <v>7</v>
      </c>
      <c r="CZ3888" t="s">
        <v>133</v>
      </c>
      <c r="DA3888">
        <v>275</v>
      </c>
      <c r="DB3888">
        <v>0</v>
      </c>
      <c r="DC3888" t="s">
        <v>134</v>
      </c>
      <c r="DD3888" t="s">
        <v>135</v>
      </c>
      <c r="DG3888">
        <v>3323082</v>
      </c>
      <c r="DI3888">
        <v>1</v>
      </c>
      <c r="DJ3888">
        <v>0</v>
      </c>
      <c r="DK3888">
        <v>1</v>
      </c>
      <c r="DL3888">
        <v>0</v>
      </c>
      <c r="DM3888">
        <v>0</v>
      </c>
      <c r="DN3888">
        <v>0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3">
      <c r="A3889" t="str">
        <f>"05/01/2025 15:15:19.534"</f>
        <v>05/01/2025 15:15:19.534</v>
      </c>
      <c r="C3889" t="str">
        <f t="shared" si="1520"/>
        <v>FFDFD3C0</v>
      </c>
      <c r="D3889" t="s">
        <v>136</v>
      </c>
      <c r="E3889" t="str">
        <f>"20"</f>
        <v>20</v>
      </c>
      <c r="H3889">
        <v>400</v>
      </c>
      <c r="I3889" t="s">
        <v>137</v>
      </c>
      <c r="J3889" t="s">
        <v>138</v>
      </c>
      <c r="K3889">
        <v>0</v>
      </c>
      <c r="L3889">
        <v>3</v>
      </c>
      <c r="M3889">
        <v>0</v>
      </c>
      <c r="N3889">
        <v>2</v>
      </c>
      <c r="O3889">
        <v>0</v>
      </c>
      <c r="P3889">
        <v>1</v>
      </c>
      <c r="Q3889">
        <v>0</v>
      </c>
      <c r="R3889" t="s">
        <v>127</v>
      </c>
      <c r="S3889" t="str">
        <f t="shared" si="1538"/>
        <v>15:15:19.000</v>
      </c>
      <c r="T3889" t="str">
        <f t="shared" si="1538"/>
        <v>15:15:19.000</v>
      </c>
      <c r="U3889" t="str">
        <f t="shared" si="1522"/>
        <v>A68FCB</v>
      </c>
      <c r="V3889">
        <v>0</v>
      </c>
      <c r="W3889">
        <v>0</v>
      </c>
      <c r="X3889">
        <v>2</v>
      </c>
      <c r="Y3889">
        <v>0</v>
      </c>
      <c r="AA3889">
        <v>1</v>
      </c>
      <c r="AB3889">
        <v>8</v>
      </c>
      <c r="AC3889">
        <v>3</v>
      </c>
      <c r="AD3889">
        <v>0</v>
      </c>
      <c r="AE3889">
        <v>9</v>
      </c>
      <c r="AF3889" t="s">
        <v>138</v>
      </c>
      <c r="AG3889">
        <v>0</v>
      </c>
      <c r="AH3889">
        <v>3</v>
      </c>
      <c r="AI3889">
        <v>2</v>
      </c>
      <c r="AJ3889">
        <v>0</v>
      </c>
      <c r="AK3889" t="s">
        <v>1228</v>
      </c>
      <c r="AL3889">
        <v>39.174843000000003</v>
      </c>
      <c r="AM3889" t="s">
        <v>1229</v>
      </c>
      <c r="AN3889">
        <v>-121.02957499999999</v>
      </c>
      <c r="AO3889">
        <v>25</v>
      </c>
      <c r="AP3889">
        <v>4300</v>
      </c>
      <c r="AQ3889" t="s">
        <v>131</v>
      </c>
      <c r="AR3889">
        <v>20</v>
      </c>
      <c r="AS3889">
        <v>82</v>
      </c>
      <c r="AT3889">
        <v>320</v>
      </c>
      <c r="BB3889" t="str">
        <f t="shared" si="1523"/>
        <v>1200</v>
      </c>
      <c r="BC3889">
        <v>1</v>
      </c>
      <c r="BD3889" t="str">
        <f t="shared" si="1524"/>
        <v xml:space="preserve">N52156  </v>
      </c>
      <c r="BE3889">
        <v>1</v>
      </c>
      <c r="BG3889">
        <v>0</v>
      </c>
      <c r="BH3889">
        <v>0</v>
      </c>
      <c r="BI3889">
        <v>0</v>
      </c>
      <c r="BJ3889">
        <v>4350</v>
      </c>
      <c r="BK3889">
        <v>50</v>
      </c>
      <c r="BL3889" t="s">
        <v>188</v>
      </c>
      <c r="BM3889">
        <v>1</v>
      </c>
      <c r="BN3889">
        <v>1</v>
      </c>
      <c r="BO3889">
        <v>0</v>
      </c>
      <c r="BP3889">
        <v>0</v>
      </c>
      <c r="BS3889">
        <v>0</v>
      </c>
      <c r="BT3889">
        <v>0</v>
      </c>
      <c r="BU3889">
        <v>0</v>
      </c>
      <c r="CE3889" t="str">
        <f t="shared" si="1539"/>
        <v>15:15:19.289</v>
      </c>
      <c r="CF3889">
        <v>288991533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3</v>
      </c>
      <c r="CY3889">
        <v>7</v>
      </c>
      <c r="CZ3889" t="s">
        <v>133</v>
      </c>
      <c r="DA3889">
        <v>275</v>
      </c>
      <c r="DB3889">
        <v>0</v>
      </c>
      <c r="DC3889" t="s">
        <v>134</v>
      </c>
      <c r="DD3889" t="s">
        <v>135</v>
      </c>
      <c r="DG3889">
        <v>3323082</v>
      </c>
      <c r="DI3889">
        <v>1</v>
      </c>
      <c r="DJ3889">
        <v>0</v>
      </c>
      <c r="DK3889">
        <v>1</v>
      </c>
      <c r="DL3889">
        <v>0</v>
      </c>
      <c r="DM3889">
        <v>0</v>
      </c>
      <c r="DN3889">
        <v>0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3">
      <c r="A3890" t="str">
        <f>"05/01/2025 15:15:21.057"</f>
        <v>05/01/2025 15:15:21.057</v>
      </c>
      <c r="C3890" t="str">
        <f t="shared" si="1520"/>
        <v>FFDFD3C0</v>
      </c>
      <c r="D3890" t="s">
        <v>143</v>
      </c>
      <c r="E3890" t="str">
        <f>"05"</f>
        <v>05</v>
      </c>
      <c r="H3890">
        <v>172</v>
      </c>
      <c r="I3890" t="s">
        <v>141</v>
      </c>
      <c r="J3890" t="s">
        <v>144</v>
      </c>
      <c r="K3890">
        <v>0</v>
      </c>
      <c r="L3890">
        <v>3</v>
      </c>
      <c r="M3890">
        <v>0</v>
      </c>
      <c r="N3890">
        <v>2</v>
      </c>
      <c r="O3890">
        <v>0</v>
      </c>
      <c r="P3890">
        <v>1</v>
      </c>
      <c r="Q3890">
        <v>0</v>
      </c>
      <c r="R3890" t="s">
        <v>127</v>
      </c>
      <c r="S3890" t="str">
        <f t="shared" ref="S3890:T3895" si="1540">"15:15:20.000"</f>
        <v>15:15:20.000</v>
      </c>
      <c r="T3890" t="str">
        <f t="shared" si="1540"/>
        <v>15:15:20.000</v>
      </c>
      <c r="U3890" t="str">
        <f t="shared" si="1522"/>
        <v>A68FCB</v>
      </c>
      <c r="V3890">
        <v>0</v>
      </c>
      <c r="W3890">
        <v>0</v>
      </c>
      <c r="X3890">
        <v>2</v>
      </c>
      <c r="Y3890">
        <v>0</v>
      </c>
      <c r="AA3890">
        <v>1</v>
      </c>
      <c r="AB3890">
        <v>8</v>
      </c>
      <c r="AC3890">
        <v>3</v>
      </c>
      <c r="AD3890">
        <v>0</v>
      </c>
      <c r="AE3890">
        <v>9</v>
      </c>
      <c r="AF3890" t="s">
        <v>138</v>
      </c>
      <c r="AG3890">
        <v>0</v>
      </c>
      <c r="AH3890">
        <v>3</v>
      </c>
      <c r="AI3890">
        <v>2</v>
      </c>
      <c r="AJ3890">
        <v>0</v>
      </c>
      <c r="AK3890" t="s">
        <v>1230</v>
      </c>
      <c r="AL3890">
        <v>39.175229000000002</v>
      </c>
      <c r="AM3890" t="s">
        <v>1231</v>
      </c>
      <c r="AN3890">
        <v>-121.02946799999999</v>
      </c>
      <c r="AO3890">
        <v>25</v>
      </c>
      <c r="AP3890">
        <v>4300</v>
      </c>
      <c r="AQ3890" t="s">
        <v>131</v>
      </c>
      <c r="AR3890">
        <v>21</v>
      </c>
      <c r="AS3890">
        <v>81</v>
      </c>
      <c r="AT3890">
        <v>320</v>
      </c>
      <c r="BB3890" t="str">
        <f t="shared" si="1523"/>
        <v>1200</v>
      </c>
      <c r="BC3890">
        <v>1</v>
      </c>
      <c r="BD3890" t="str">
        <f t="shared" si="1524"/>
        <v xml:space="preserve">N52156  </v>
      </c>
      <c r="BE3890">
        <v>1</v>
      </c>
      <c r="BG3890">
        <v>0</v>
      </c>
      <c r="BH3890">
        <v>0</v>
      </c>
      <c r="BI3890">
        <v>0</v>
      </c>
      <c r="BJ3890">
        <v>4350</v>
      </c>
      <c r="BK3890">
        <v>50</v>
      </c>
      <c r="BL3890" t="s">
        <v>188</v>
      </c>
      <c r="BM3890">
        <v>1</v>
      </c>
      <c r="BN3890">
        <v>1</v>
      </c>
      <c r="BO3890">
        <v>0</v>
      </c>
      <c r="BP3890">
        <v>0</v>
      </c>
      <c r="BS3890">
        <v>0</v>
      </c>
      <c r="BT3890">
        <v>0</v>
      </c>
      <c r="BU3890">
        <v>0</v>
      </c>
      <c r="CE3890" t="str">
        <f t="shared" ref="CE3890:CE3895" si="1541">"15:15:20.834"</f>
        <v>15:15:20.834</v>
      </c>
      <c r="CF3890">
        <v>833574236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3</v>
      </c>
      <c r="CY3890">
        <v>7</v>
      </c>
      <c r="CZ3890" t="s">
        <v>133</v>
      </c>
      <c r="DA3890">
        <v>276</v>
      </c>
      <c r="DB3890">
        <v>0</v>
      </c>
      <c r="DC3890" t="s">
        <v>402</v>
      </c>
      <c r="DD3890" t="s">
        <v>403</v>
      </c>
      <c r="DG3890">
        <v>1628295</v>
      </c>
      <c r="DI3890">
        <v>1</v>
      </c>
      <c r="DJ3890">
        <v>0</v>
      </c>
      <c r="DK3890">
        <v>0</v>
      </c>
      <c r="DL3890">
        <v>0</v>
      </c>
      <c r="DM3890">
        <v>0</v>
      </c>
      <c r="DN3890">
        <v>0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3">
      <c r="A3891" t="str">
        <f>"05/01/2025 15:15:21.059"</f>
        <v>05/01/2025 15:15:21.059</v>
      </c>
      <c r="C3891" t="str">
        <f t="shared" si="1520"/>
        <v>FFDFD3C0</v>
      </c>
      <c r="D3891" t="s">
        <v>140</v>
      </c>
      <c r="E3891" t="str">
        <f>"13"</f>
        <v>13</v>
      </c>
      <c r="F3891">
        <v>1019</v>
      </c>
      <c r="G3891" t="s">
        <v>141</v>
      </c>
      <c r="J3891" t="s">
        <v>142</v>
      </c>
      <c r="K3891">
        <v>0</v>
      </c>
      <c r="L3891">
        <v>3</v>
      </c>
      <c r="M3891">
        <v>0</v>
      </c>
      <c r="N3891">
        <v>2</v>
      </c>
      <c r="O3891">
        <v>0</v>
      </c>
      <c r="P3891">
        <v>1</v>
      </c>
      <c r="Q3891">
        <v>0</v>
      </c>
      <c r="R3891" t="s">
        <v>127</v>
      </c>
      <c r="S3891" t="str">
        <f t="shared" si="1540"/>
        <v>15:15:20.000</v>
      </c>
      <c r="T3891" t="str">
        <f t="shared" si="1540"/>
        <v>15:15:20.000</v>
      </c>
      <c r="U3891" t="str">
        <f t="shared" si="1522"/>
        <v>A68FCB</v>
      </c>
      <c r="V3891">
        <v>0</v>
      </c>
      <c r="W3891">
        <v>0</v>
      </c>
      <c r="X3891">
        <v>2</v>
      </c>
      <c r="Y3891">
        <v>0</v>
      </c>
      <c r="AA3891">
        <v>1</v>
      </c>
      <c r="AB3891">
        <v>8</v>
      </c>
      <c r="AC3891">
        <v>3</v>
      </c>
      <c r="AD3891">
        <v>0</v>
      </c>
      <c r="AE3891">
        <v>9</v>
      </c>
      <c r="AF3891" t="s">
        <v>138</v>
      </c>
      <c r="AG3891">
        <v>0</v>
      </c>
      <c r="AH3891">
        <v>3</v>
      </c>
      <c r="AI3891">
        <v>2</v>
      </c>
      <c r="AJ3891">
        <v>0</v>
      </c>
      <c r="AK3891" t="s">
        <v>1230</v>
      </c>
      <c r="AL3891">
        <v>39.175229000000002</v>
      </c>
      <c r="AM3891" t="s">
        <v>1231</v>
      </c>
      <c r="AN3891">
        <v>-121.02946799999999</v>
      </c>
      <c r="AO3891">
        <v>25</v>
      </c>
      <c r="AP3891">
        <v>4300</v>
      </c>
      <c r="AQ3891" t="s">
        <v>131</v>
      </c>
      <c r="AR3891">
        <v>21</v>
      </c>
      <c r="AS3891">
        <v>81</v>
      </c>
      <c r="AT3891">
        <v>320</v>
      </c>
      <c r="BB3891" t="str">
        <f t="shared" si="1523"/>
        <v>1200</v>
      </c>
      <c r="BC3891">
        <v>1</v>
      </c>
      <c r="BD3891" t="str">
        <f t="shared" si="1524"/>
        <v xml:space="preserve">N52156  </v>
      </c>
      <c r="BE3891">
        <v>1</v>
      </c>
      <c r="BG3891">
        <v>0</v>
      </c>
      <c r="BH3891">
        <v>0</v>
      </c>
      <c r="BI3891">
        <v>0</v>
      </c>
      <c r="BJ3891">
        <v>4350</v>
      </c>
      <c r="BK3891">
        <v>50</v>
      </c>
      <c r="BL3891" t="s">
        <v>188</v>
      </c>
      <c r="BM3891">
        <v>1</v>
      </c>
      <c r="BN3891">
        <v>1</v>
      </c>
      <c r="BO3891">
        <v>0</v>
      </c>
      <c r="BP3891">
        <v>0</v>
      </c>
      <c r="BS3891">
        <v>0</v>
      </c>
      <c r="BT3891">
        <v>0</v>
      </c>
      <c r="BU3891">
        <v>0</v>
      </c>
      <c r="CE3891" t="str">
        <f t="shared" si="1541"/>
        <v>15:15:20.834</v>
      </c>
      <c r="CF3891">
        <v>833574236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3</v>
      </c>
      <c r="CY3891">
        <v>7</v>
      </c>
      <c r="CZ3891" t="s">
        <v>133</v>
      </c>
      <c r="DA3891">
        <v>276</v>
      </c>
      <c r="DB3891">
        <v>0</v>
      </c>
      <c r="DC3891" t="s">
        <v>402</v>
      </c>
      <c r="DD3891" t="s">
        <v>403</v>
      </c>
      <c r="DG3891">
        <v>1628295</v>
      </c>
      <c r="DI3891">
        <v>1</v>
      </c>
      <c r="DJ3891">
        <v>0</v>
      </c>
      <c r="DK3891">
        <v>1</v>
      </c>
      <c r="DL3891">
        <v>0</v>
      </c>
      <c r="DM3891">
        <v>0</v>
      </c>
      <c r="DN3891">
        <v>0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3">
      <c r="A3892" t="str">
        <f>"05/01/2025 15:15:21.064"</f>
        <v>05/01/2025 15:15:21.064</v>
      </c>
      <c r="C3892" t="str">
        <f t="shared" si="1520"/>
        <v>FFDFD3C0</v>
      </c>
      <c r="D3892" t="s">
        <v>124</v>
      </c>
      <c r="E3892" t="str">
        <f>"06"</f>
        <v>06</v>
      </c>
      <c r="F3892">
        <v>2006</v>
      </c>
      <c r="G3892" t="s">
        <v>125</v>
      </c>
      <c r="J3892" t="s">
        <v>126</v>
      </c>
      <c r="K3892">
        <v>0</v>
      </c>
      <c r="L3892">
        <v>3</v>
      </c>
      <c r="M3892">
        <v>0</v>
      </c>
      <c r="N3892">
        <v>2</v>
      </c>
      <c r="O3892">
        <v>0</v>
      </c>
      <c r="P3892">
        <v>1</v>
      </c>
      <c r="Q3892">
        <v>0</v>
      </c>
      <c r="R3892" t="s">
        <v>127</v>
      </c>
      <c r="S3892" t="str">
        <f t="shared" si="1540"/>
        <v>15:15:20.000</v>
      </c>
      <c r="T3892" t="str">
        <f t="shared" si="1540"/>
        <v>15:15:20.000</v>
      </c>
      <c r="U3892" t="str">
        <f t="shared" si="1522"/>
        <v>A68FCB</v>
      </c>
      <c r="V3892">
        <v>0</v>
      </c>
      <c r="W3892">
        <v>0</v>
      </c>
      <c r="X3892">
        <v>2</v>
      </c>
      <c r="Y3892">
        <v>0</v>
      </c>
      <c r="AA3892">
        <v>1</v>
      </c>
      <c r="AB3892">
        <v>8</v>
      </c>
      <c r="AC3892">
        <v>3</v>
      </c>
      <c r="AD3892">
        <v>0</v>
      </c>
      <c r="AE3892">
        <v>9</v>
      </c>
      <c r="AF3892" t="s">
        <v>138</v>
      </c>
      <c r="AG3892">
        <v>0</v>
      </c>
      <c r="AH3892">
        <v>3</v>
      </c>
      <c r="AI3892">
        <v>2</v>
      </c>
      <c r="AJ3892">
        <v>0</v>
      </c>
      <c r="AK3892" t="s">
        <v>1230</v>
      </c>
      <c r="AL3892">
        <v>39.175229000000002</v>
      </c>
      <c r="AM3892" t="s">
        <v>1231</v>
      </c>
      <c r="AN3892">
        <v>-121.02946799999999</v>
      </c>
      <c r="AO3892">
        <v>25</v>
      </c>
      <c r="AP3892">
        <v>4300</v>
      </c>
      <c r="AQ3892" t="s">
        <v>131</v>
      </c>
      <c r="AR3892">
        <v>21</v>
      </c>
      <c r="AS3892">
        <v>81</v>
      </c>
      <c r="AT3892">
        <v>320</v>
      </c>
      <c r="BB3892" t="str">
        <f t="shared" si="1523"/>
        <v>1200</v>
      </c>
      <c r="BC3892">
        <v>1</v>
      </c>
      <c r="BD3892" t="str">
        <f t="shared" si="1524"/>
        <v xml:space="preserve">N52156  </v>
      </c>
      <c r="BE3892">
        <v>1</v>
      </c>
      <c r="BG3892">
        <v>0</v>
      </c>
      <c r="BH3892">
        <v>0</v>
      </c>
      <c r="BI3892">
        <v>0</v>
      </c>
      <c r="BJ3892">
        <v>4350</v>
      </c>
      <c r="BK3892">
        <v>50</v>
      </c>
      <c r="BL3892" t="s">
        <v>188</v>
      </c>
      <c r="BM3892">
        <v>1</v>
      </c>
      <c r="BN3892">
        <v>1</v>
      </c>
      <c r="BO3892">
        <v>0</v>
      </c>
      <c r="BP3892">
        <v>0</v>
      </c>
      <c r="BS3892">
        <v>0</v>
      </c>
      <c r="BT3892">
        <v>0</v>
      </c>
      <c r="BU3892">
        <v>0</v>
      </c>
      <c r="CE3892" t="str">
        <f t="shared" si="1541"/>
        <v>15:15:20.834</v>
      </c>
      <c r="CF3892">
        <v>833574236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3</v>
      </c>
      <c r="CY3892">
        <v>7</v>
      </c>
      <c r="CZ3892" t="s">
        <v>133</v>
      </c>
      <c r="DA3892">
        <v>276</v>
      </c>
      <c r="DB3892">
        <v>0</v>
      </c>
      <c r="DC3892" t="s">
        <v>402</v>
      </c>
      <c r="DD3892" t="s">
        <v>403</v>
      </c>
      <c r="DG3892">
        <v>1628295</v>
      </c>
      <c r="DI3892">
        <v>1</v>
      </c>
      <c r="DJ3892">
        <v>0</v>
      </c>
      <c r="DK3892">
        <v>1</v>
      </c>
      <c r="DL3892">
        <v>0</v>
      </c>
      <c r="DM3892">
        <v>0</v>
      </c>
      <c r="DN3892">
        <v>0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3">
      <c r="A3893" t="str">
        <f>"05/01/2025 15:15:21.072"</f>
        <v>05/01/2025 15:15:21.072</v>
      </c>
      <c r="C3893" t="str">
        <f t="shared" si="1520"/>
        <v>FFDFD3C0</v>
      </c>
      <c r="D3893" t="s">
        <v>145</v>
      </c>
      <c r="E3893" t="str">
        <f>"09"</f>
        <v>09</v>
      </c>
      <c r="H3893">
        <v>51</v>
      </c>
      <c r="I3893" t="s">
        <v>147</v>
      </c>
      <c r="J3893" t="s">
        <v>138</v>
      </c>
      <c r="K3893">
        <v>0</v>
      </c>
      <c r="L3893">
        <v>3</v>
      </c>
      <c r="M3893">
        <v>0</v>
      </c>
      <c r="N3893">
        <v>2</v>
      </c>
      <c r="O3893">
        <v>0</v>
      </c>
      <c r="P3893">
        <v>1</v>
      </c>
      <c r="Q3893">
        <v>0</v>
      </c>
      <c r="R3893" t="s">
        <v>127</v>
      </c>
      <c r="S3893" t="str">
        <f t="shared" si="1540"/>
        <v>15:15:20.000</v>
      </c>
      <c r="T3893" t="str">
        <f t="shared" si="1540"/>
        <v>15:15:20.000</v>
      </c>
      <c r="U3893" t="str">
        <f t="shared" si="1522"/>
        <v>A68FCB</v>
      </c>
      <c r="V3893">
        <v>0</v>
      </c>
      <c r="W3893">
        <v>0</v>
      </c>
      <c r="X3893">
        <v>2</v>
      </c>
      <c r="Y3893">
        <v>0</v>
      </c>
      <c r="AA3893">
        <v>1</v>
      </c>
      <c r="AB3893">
        <v>8</v>
      </c>
      <c r="AC3893">
        <v>3</v>
      </c>
      <c r="AD3893">
        <v>0</v>
      </c>
      <c r="AE3893">
        <v>9</v>
      </c>
      <c r="AF3893" t="s">
        <v>138</v>
      </c>
      <c r="AG3893">
        <v>0</v>
      </c>
      <c r="AH3893">
        <v>3</v>
      </c>
      <c r="AI3893">
        <v>2</v>
      </c>
      <c r="AJ3893">
        <v>0</v>
      </c>
      <c r="AK3893" t="s">
        <v>1230</v>
      </c>
      <c r="AL3893">
        <v>39.175229000000002</v>
      </c>
      <c r="AM3893" t="s">
        <v>1231</v>
      </c>
      <c r="AN3893">
        <v>-121.02946799999999</v>
      </c>
      <c r="AO3893">
        <v>25</v>
      </c>
      <c r="AP3893">
        <v>4300</v>
      </c>
      <c r="AQ3893" t="s">
        <v>131</v>
      </c>
      <c r="AR3893">
        <v>21</v>
      </c>
      <c r="AS3893">
        <v>81</v>
      </c>
      <c r="AT3893">
        <v>320</v>
      </c>
      <c r="BB3893" t="str">
        <f t="shared" si="1523"/>
        <v>1200</v>
      </c>
      <c r="BC3893">
        <v>1</v>
      </c>
      <c r="BD3893" t="str">
        <f t="shared" si="1524"/>
        <v xml:space="preserve">N52156  </v>
      </c>
      <c r="BE3893">
        <v>1</v>
      </c>
      <c r="BG3893">
        <v>0</v>
      </c>
      <c r="BH3893">
        <v>0</v>
      </c>
      <c r="BI3893">
        <v>0</v>
      </c>
      <c r="BJ3893">
        <v>4350</v>
      </c>
      <c r="BK3893">
        <v>50</v>
      </c>
      <c r="BL3893" t="s">
        <v>188</v>
      </c>
      <c r="BM3893">
        <v>1</v>
      </c>
      <c r="BN3893">
        <v>1</v>
      </c>
      <c r="BO3893">
        <v>0</v>
      </c>
      <c r="BP3893">
        <v>0</v>
      </c>
      <c r="BS3893">
        <v>0</v>
      </c>
      <c r="BT3893">
        <v>0</v>
      </c>
      <c r="BU3893">
        <v>0</v>
      </c>
      <c r="CE3893" t="str">
        <f t="shared" si="1541"/>
        <v>15:15:20.834</v>
      </c>
      <c r="CF3893">
        <v>833574236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3</v>
      </c>
      <c r="CY3893">
        <v>7</v>
      </c>
      <c r="CZ3893" t="s">
        <v>133</v>
      </c>
      <c r="DA3893">
        <v>276</v>
      </c>
      <c r="DB3893">
        <v>0</v>
      </c>
      <c r="DC3893" t="s">
        <v>402</v>
      </c>
      <c r="DD3893" t="s">
        <v>403</v>
      </c>
      <c r="DG3893">
        <v>1628295</v>
      </c>
      <c r="DI3893">
        <v>1</v>
      </c>
      <c r="DJ3893">
        <v>0</v>
      </c>
      <c r="DK3893">
        <v>1</v>
      </c>
      <c r="DL3893">
        <v>0</v>
      </c>
      <c r="DM3893">
        <v>0</v>
      </c>
      <c r="DN3893">
        <v>0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3">
      <c r="A3894" t="str">
        <f>"05/01/2025 15:15:21.075"</f>
        <v>05/01/2025 15:15:21.075</v>
      </c>
      <c r="C3894" t="str">
        <f t="shared" si="1520"/>
        <v>FFDFD3C0</v>
      </c>
      <c r="D3894" t="s">
        <v>145</v>
      </c>
      <c r="E3894" t="str">
        <f>"05"</f>
        <v>05</v>
      </c>
      <c r="H3894">
        <v>47</v>
      </c>
      <c r="I3894" t="s">
        <v>146</v>
      </c>
      <c r="J3894" t="s">
        <v>138</v>
      </c>
      <c r="K3894">
        <v>0</v>
      </c>
      <c r="L3894">
        <v>3</v>
      </c>
      <c r="M3894">
        <v>0</v>
      </c>
      <c r="N3894">
        <v>2</v>
      </c>
      <c r="O3894">
        <v>0</v>
      </c>
      <c r="P3894">
        <v>1</v>
      </c>
      <c r="Q3894">
        <v>0</v>
      </c>
      <c r="R3894" t="s">
        <v>127</v>
      </c>
      <c r="S3894" t="str">
        <f t="shared" si="1540"/>
        <v>15:15:20.000</v>
      </c>
      <c r="T3894" t="str">
        <f t="shared" si="1540"/>
        <v>15:15:20.000</v>
      </c>
      <c r="U3894" t="str">
        <f t="shared" si="1522"/>
        <v>A68FCB</v>
      </c>
      <c r="V3894">
        <v>0</v>
      </c>
      <c r="W3894">
        <v>0</v>
      </c>
      <c r="X3894">
        <v>2</v>
      </c>
      <c r="Y3894">
        <v>0</v>
      </c>
      <c r="AA3894">
        <v>1</v>
      </c>
      <c r="AB3894">
        <v>8</v>
      </c>
      <c r="AC3894">
        <v>3</v>
      </c>
      <c r="AD3894">
        <v>0</v>
      </c>
      <c r="AE3894">
        <v>9</v>
      </c>
      <c r="AF3894" t="s">
        <v>138</v>
      </c>
      <c r="AG3894">
        <v>0</v>
      </c>
      <c r="AH3894">
        <v>3</v>
      </c>
      <c r="AI3894">
        <v>2</v>
      </c>
      <c r="AJ3894">
        <v>0</v>
      </c>
      <c r="AK3894" t="s">
        <v>1230</v>
      </c>
      <c r="AL3894">
        <v>39.175229000000002</v>
      </c>
      <c r="AM3894" t="s">
        <v>1231</v>
      </c>
      <c r="AN3894">
        <v>-121.02946799999999</v>
      </c>
      <c r="AO3894">
        <v>25</v>
      </c>
      <c r="AP3894">
        <v>4300</v>
      </c>
      <c r="AQ3894" t="s">
        <v>131</v>
      </c>
      <c r="AR3894">
        <v>21</v>
      </c>
      <c r="AS3894">
        <v>81</v>
      </c>
      <c r="AT3894">
        <v>320</v>
      </c>
      <c r="BB3894" t="str">
        <f t="shared" si="1523"/>
        <v>1200</v>
      </c>
      <c r="BC3894">
        <v>1</v>
      </c>
      <c r="BD3894" t="str">
        <f t="shared" si="1524"/>
        <v xml:space="preserve">N52156  </v>
      </c>
      <c r="BE3894">
        <v>1</v>
      </c>
      <c r="BG3894">
        <v>0</v>
      </c>
      <c r="BH3894">
        <v>0</v>
      </c>
      <c r="BI3894">
        <v>0</v>
      </c>
      <c r="BJ3894">
        <v>4350</v>
      </c>
      <c r="BK3894">
        <v>50</v>
      </c>
      <c r="BL3894" t="s">
        <v>188</v>
      </c>
      <c r="BM3894">
        <v>1</v>
      </c>
      <c r="BN3894">
        <v>1</v>
      </c>
      <c r="BO3894">
        <v>0</v>
      </c>
      <c r="BP3894">
        <v>0</v>
      </c>
      <c r="BS3894">
        <v>0</v>
      </c>
      <c r="BT3894">
        <v>0</v>
      </c>
      <c r="BU3894">
        <v>0</v>
      </c>
      <c r="CE3894" t="str">
        <f t="shared" si="1541"/>
        <v>15:15:20.834</v>
      </c>
      <c r="CF3894">
        <v>833574236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3</v>
      </c>
      <c r="CY3894">
        <v>7</v>
      </c>
      <c r="CZ3894" t="s">
        <v>133</v>
      </c>
      <c r="DA3894">
        <v>276</v>
      </c>
      <c r="DB3894">
        <v>0</v>
      </c>
      <c r="DC3894" t="s">
        <v>402</v>
      </c>
      <c r="DD3894" t="s">
        <v>403</v>
      </c>
      <c r="DG3894">
        <v>1628295</v>
      </c>
      <c r="DI3894">
        <v>1</v>
      </c>
      <c r="DJ3894">
        <v>0</v>
      </c>
      <c r="DK3894">
        <v>1</v>
      </c>
      <c r="DL3894">
        <v>0</v>
      </c>
      <c r="DM3894">
        <v>0</v>
      </c>
      <c r="DN3894">
        <v>0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3">
      <c r="A3895" t="str">
        <f>"05/01/2025 15:15:21.087"</f>
        <v>05/01/2025 15:15:21.087</v>
      </c>
      <c r="C3895" t="str">
        <f t="shared" si="1520"/>
        <v>FFDFD3C0</v>
      </c>
      <c r="D3895" t="s">
        <v>136</v>
      </c>
      <c r="E3895" t="str">
        <f>"20"</f>
        <v>20</v>
      </c>
      <c r="H3895">
        <v>400</v>
      </c>
      <c r="I3895" t="s">
        <v>137</v>
      </c>
      <c r="J3895" t="s">
        <v>138</v>
      </c>
      <c r="K3895">
        <v>0</v>
      </c>
      <c r="L3895">
        <v>3</v>
      </c>
      <c r="M3895">
        <v>0</v>
      </c>
      <c r="N3895">
        <v>2</v>
      </c>
      <c r="O3895">
        <v>0</v>
      </c>
      <c r="P3895">
        <v>1</v>
      </c>
      <c r="Q3895">
        <v>0</v>
      </c>
      <c r="R3895" t="s">
        <v>127</v>
      </c>
      <c r="S3895" t="str">
        <f t="shared" si="1540"/>
        <v>15:15:20.000</v>
      </c>
      <c r="T3895" t="str">
        <f t="shared" si="1540"/>
        <v>15:15:20.000</v>
      </c>
      <c r="U3895" t="str">
        <f t="shared" si="1522"/>
        <v>A68FCB</v>
      </c>
      <c r="V3895">
        <v>0</v>
      </c>
      <c r="W3895">
        <v>0</v>
      </c>
      <c r="X3895">
        <v>2</v>
      </c>
      <c r="Y3895">
        <v>0</v>
      </c>
      <c r="AA3895">
        <v>1</v>
      </c>
      <c r="AB3895">
        <v>8</v>
      </c>
      <c r="AC3895">
        <v>3</v>
      </c>
      <c r="AD3895">
        <v>0</v>
      </c>
      <c r="AE3895">
        <v>9</v>
      </c>
      <c r="AF3895" t="s">
        <v>138</v>
      </c>
      <c r="AG3895">
        <v>0</v>
      </c>
      <c r="AH3895">
        <v>3</v>
      </c>
      <c r="AI3895">
        <v>2</v>
      </c>
      <c r="AJ3895">
        <v>0</v>
      </c>
      <c r="AK3895" t="s">
        <v>1230</v>
      </c>
      <c r="AL3895">
        <v>39.175229000000002</v>
      </c>
      <c r="AM3895" t="s">
        <v>1231</v>
      </c>
      <c r="AN3895">
        <v>-121.02946799999999</v>
      </c>
      <c r="AO3895">
        <v>25</v>
      </c>
      <c r="AP3895">
        <v>4300</v>
      </c>
      <c r="AQ3895" t="s">
        <v>131</v>
      </c>
      <c r="AR3895">
        <v>21</v>
      </c>
      <c r="AS3895">
        <v>81</v>
      </c>
      <c r="AT3895">
        <v>320</v>
      </c>
      <c r="BB3895" t="str">
        <f t="shared" si="1523"/>
        <v>1200</v>
      </c>
      <c r="BC3895">
        <v>1</v>
      </c>
      <c r="BD3895" t="str">
        <f t="shared" si="1524"/>
        <v xml:space="preserve">N52156  </v>
      </c>
      <c r="BE3895">
        <v>1</v>
      </c>
      <c r="BG3895">
        <v>0</v>
      </c>
      <c r="BH3895">
        <v>0</v>
      </c>
      <c r="BI3895">
        <v>0</v>
      </c>
      <c r="BJ3895">
        <v>4350</v>
      </c>
      <c r="BK3895">
        <v>50</v>
      </c>
      <c r="BL3895" t="s">
        <v>188</v>
      </c>
      <c r="BM3895">
        <v>1</v>
      </c>
      <c r="BN3895">
        <v>1</v>
      </c>
      <c r="BO3895">
        <v>0</v>
      </c>
      <c r="BP3895">
        <v>0</v>
      </c>
      <c r="BS3895">
        <v>0</v>
      </c>
      <c r="BT3895">
        <v>0</v>
      </c>
      <c r="BU3895">
        <v>0</v>
      </c>
      <c r="CE3895" t="str">
        <f t="shared" si="1541"/>
        <v>15:15:20.834</v>
      </c>
      <c r="CF3895">
        <v>833574236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3</v>
      </c>
      <c r="CY3895">
        <v>7</v>
      </c>
      <c r="CZ3895" t="s">
        <v>133</v>
      </c>
      <c r="DA3895">
        <v>276</v>
      </c>
      <c r="DB3895">
        <v>0</v>
      </c>
      <c r="DC3895" t="s">
        <v>402</v>
      </c>
      <c r="DD3895" t="s">
        <v>403</v>
      </c>
      <c r="DG3895">
        <v>1628295</v>
      </c>
      <c r="DI3895">
        <v>1</v>
      </c>
      <c r="DJ3895">
        <v>0</v>
      </c>
      <c r="DK3895">
        <v>1</v>
      </c>
      <c r="DL3895">
        <v>0</v>
      </c>
      <c r="DM3895">
        <v>0</v>
      </c>
      <c r="DN3895">
        <v>0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3">
      <c r="A3896" t="str">
        <f>"05/01/2025 15:15:21.615"</f>
        <v>05/01/2025 15:15:21.615</v>
      </c>
      <c r="C3896" t="str">
        <f t="shared" si="1520"/>
        <v>FFDFD3C0</v>
      </c>
      <c r="D3896" t="s">
        <v>124</v>
      </c>
      <c r="E3896" t="str">
        <f>"06"</f>
        <v>06</v>
      </c>
      <c r="F3896">
        <v>2006</v>
      </c>
      <c r="G3896" t="s">
        <v>125</v>
      </c>
      <c r="J3896" t="s">
        <v>126</v>
      </c>
      <c r="K3896">
        <v>0</v>
      </c>
      <c r="L3896">
        <v>3</v>
      </c>
      <c r="M3896">
        <v>0</v>
      </c>
      <c r="N3896">
        <v>2</v>
      </c>
      <c r="O3896">
        <v>0</v>
      </c>
      <c r="P3896">
        <v>1</v>
      </c>
      <c r="Q3896">
        <v>0</v>
      </c>
      <c r="R3896" t="s">
        <v>127</v>
      </c>
      <c r="S3896" t="str">
        <f t="shared" ref="S3896:T3901" si="1542">"15:15:21.000"</f>
        <v>15:15:21.000</v>
      </c>
      <c r="T3896" t="str">
        <f t="shared" si="1542"/>
        <v>15:15:21.000</v>
      </c>
      <c r="U3896" t="str">
        <f t="shared" si="1522"/>
        <v>A68FCB</v>
      </c>
      <c r="V3896">
        <v>0</v>
      </c>
      <c r="W3896">
        <v>0</v>
      </c>
      <c r="X3896">
        <v>2</v>
      </c>
      <c r="Y3896">
        <v>0</v>
      </c>
      <c r="AA3896">
        <v>1</v>
      </c>
      <c r="AB3896">
        <v>8</v>
      </c>
      <c r="AC3896">
        <v>3</v>
      </c>
      <c r="AD3896">
        <v>0</v>
      </c>
      <c r="AE3896">
        <v>9</v>
      </c>
      <c r="AF3896" t="s">
        <v>138</v>
      </c>
      <c r="AG3896">
        <v>0</v>
      </c>
      <c r="AH3896">
        <v>3</v>
      </c>
      <c r="AI3896">
        <v>2</v>
      </c>
      <c r="AJ3896">
        <v>0</v>
      </c>
      <c r="AK3896" t="s">
        <v>1232</v>
      </c>
      <c r="AL3896">
        <v>39.175593999999997</v>
      </c>
      <c r="AM3896" t="s">
        <v>1233</v>
      </c>
      <c r="AN3896">
        <v>-121.02936</v>
      </c>
      <c r="AO3896">
        <v>25</v>
      </c>
      <c r="AP3896">
        <v>4300</v>
      </c>
      <c r="AQ3896" t="s">
        <v>131</v>
      </c>
      <c r="AR3896">
        <v>22</v>
      </c>
      <c r="AS3896">
        <v>80</v>
      </c>
      <c r="AT3896">
        <v>320</v>
      </c>
      <c r="BB3896" t="str">
        <f t="shared" si="1523"/>
        <v>1200</v>
      </c>
      <c r="BC3896">
        <v>1</v>
      </c>
      <c r="BD3896" t="str">
        <f t="shared" si="1524"/>
        <v xml:space="preserve">N52156  </v>
      </c>
      <c r="BE3896">
        <v>1</v>
      </c>
      <c r="BG3896">
        <v>0</v>
      </c>
      <c r="BH3896">
        <v>0</v>
      </c>
      <c r="BI3896">
        <v>0</v>
      </c>
      <c r="BJ3896">
        <v>4375</v>
      </c>
      <c r="BK3896">
        <v>75</v>
      </c>
      <c r="BL3896" t="s">
        <v>188</v>
      </c>
      <c r="BM3896">
        <v>1</v>
      </c>
      <c r="BN3896">
        <v>1</v>
      </c>
      <c r="BO3896">
        <v>0</v>
      </c>
      <c r="BP3896">
        <v>0</v>
      </c>
      <c r="BS3896">
        <v>0</v>
      </c>
      <c r="BT3896">
        <v>0</v>
      </c>
      <c r="BU3896">
        <v>0</v>
      </c>
      <c r="CE3896" t="str">
        <f t="shared" ref="CE3896:CE3901" si="1543">"15:15:21.411"</f>
        <v>15:15:21.411</v>
      </c>
      <c r="CF3896">
        <v>411323229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3</v>
      </c>
      <c r="CY3896">
        <v>7</v>
      </c>
      <c r="CZ3896" t="s">
        <v>133</v>
      </c>
      <c r="DA3896">
        <v>276</v>
      </c>
      <c r="DB3896">
        <v>0</v>
      </c>
      <c r="DC3896" t="s">
        <v>402</v>
      </c>
      <c r="DD3896" t="s">
        <v>403</v>
      </c>
      <c r="DG3896">
        <v>1628296</v>
      </c>
      <c r="DI3896">
        <v>1</v>
      </c>
      <c r="DJ3896">
        <v>0</v>
      </c>
      <c r="DK3896">
        <v>0</v>
      </c>
      <c r="DL3896">
        <v>0</v>
      </c>
      <c r="DM3896">
        <v>0</v>
      </c>
      <c r="DN3896">
        <v>0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3">
      <c r="A3897" t="str">
        <f>"05/01/2025 15:15:21.623"</f>
        <v>05/01/2025 15:15:21.623</v>
      </c>
      <c r="C3897" t="str">
        <f t="shared" si="1520"/>
        <v>FFDFD3C0</v>
      </c>
      <c r="D3897" t="s">
        <v>145</v>
      </c>
      <c r="E3897" t="str">
        <f>"09"</f>
        <v>09</v>
      </c>
      <c r="H3897">
        <v>51</v>
      </c>
      <c r="I3897" t="s">
        <v>147</v>
      </c>
      <c r="J3897" t="s">
        <v>138</v>
      </c>
      <c r="K3897">
        <v>0</v>
      </c>
      <c r="L3897">
        <v>3</v>
      </c>
      <c r="M3897">
        <v>0</v>
      </c>
      <c r="N3897">
        <v>2</v>
      </c>
      <c r="O3897">
        <v>0</v>
      </c>
      <c r="P3897">
        <v>1</v>
      </c>
      <c r="Q3897">
        <v>0</v>
      </c>
      <c r="R3897" t="s">
        <v>127</v>
      </c>
      <c r="S3897" t="str">
        <f t="shared" si="1542"/>
        <v>15:15:21.000</v>
      </c>
      <c r="T3897" t="str">
        <f t="shared" si="1542"/>
        <v>15:15:21.000</v>
      </c>
      <c r="U3897" t="str">
        <f t="shared" si="1522"/>
        <v>A68FCB</v>
      </c>
      <c r="V3897">
        <v>0</v>
      </c>
      <c r="W3897">
        <v>0</v>
      </c>
      <c r="X3897">
        <v>2</v>
      </c>
      <c r="Y3897">
        <v>0</v>
      </c>
      <c r="AA3897">
        <v>1</v>
      </c>
      <c r="AB3897">
        <v>8</v>
      </c>
      <c r="AC3897">
        <v>3</v>
      </c>
      <c r="AD3897">
        <v>0</v>
      </c>
      <c r="AE3897">
        <v>9</v>
      </c>
      <c r="AF3897" t="s">
        <v>138</v>
      </c>
      <c r="AG3897">
        <v>0</v>
      </c>
      <c r="AH3897">
        <v>3</v>
      </c>
      <c r="AI3897">
        <v>2</v>
      </c>
      <c r="AJ3897">
        <v>0</v>
      </c>
      <c r="AK3897" t="s">
        <v>1232</v>
      </c>
      <c r="AL3897">
        <v>39.175593999999997</v>
      </c>
      <c r="AM3897" t="s">
        <v>1233</v>
      </c>
      <c r="AN3897">
        <v>-121.02936</v>
      </c>
      <c r="AO3897">
        <v>25</v>
      </c>
      <c r="AP3897">
        <v>4300</v>
      </c>
      <c r="AQ3897" t="s">
        <v>131</v>
      </c>
      <c r="AR3897">
        <v>22</v>
      </c>
      <c r="AS3897">
        <v>80</v>
      </c>
      <c r="AT3897">
        <v>320</v>
      </c>
      <c r="BB3897" t="str">
        <f t="shared" si="1523"/>
        <v>1200</v>
      </c>
      <c r="BC3897">
        <v>1</v>
      </c>
      <c r="BD3897" t="str">
        <f t="shared" si="1524"/>
        <v xml:space="preserve">N52156  </v>
      </c>
      <c r="BE3897">
        <v>1</v>
      </c>
      <c r="BG3897">
        <v>0</v>
      </c>
      <c r="BH3897">
        <v>0</v>
      </c>
      <c r="BI3897">
        <v>0</v>
      </c>
      <c r="BJ3897">
        <v>4375</v>
      </c>
      <c r="BK3897">
        <v>75</v>
      </c>
      <c r="BL3897" t="s">
        <v>188</v>
      </c>
      <c r="BM3897">
        <v>1</v>
      </c>
      <c r="BN3897">
        <v>1</v>
      </c>
      <c r="BO3897">
        <v>0</v>
      </c>
      <c r="BP3897">
        <v>0</v>
      </c>
      <c r="BS3897">
        <v>0</v>
      </c>
      <c r="BT3897">
        <v>0</v>
      </c>
      <c r="BU3897">
        <v>0</v>
      </c>
      <c r="CE3897" t="str">
        <f t="shared" si="1543"/>
        <v>15:15:21.411</v>
      </c>
      <c r="CF3897">
        <v>411323229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3</v>
      </c>
      <c r="CY3897">
        <v>7</v>
      </c>
      <c r="CZ3897" t="s">
        <v>133</v>
      </c>
      <c r="DA3897">
        <v>276</v>
      </c>
      <c r="DB3897">
        <v>0</v>
      </c>
      <c r="DC3897" t="s">
        <v>402</v>
      </c>
      <c r="DD3897" t="s">
        <v>403</v>
      </c>
      <c r="DG3897">
        <v>1628296</v>
      </c>
      <c r="DI3897">
        <v>1</v>
      </c>
      <c r="DJ3897">
        <v>0</v>
      </c>
      <c r="DK3897">
        <v>1</v>
      </c>
      <c r="DL3897">
        <v>0</v>
      </c>
      <c r="DM3897">
        <v>0</v>
      </c>
      <c r="DN3897">
        <v>0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3">
      <c r="A3898" t="str">
        <f>"05/01/2025 15:15:21.626"</f>
        <v>05/01/2025 15:15:21.626</v>
      </c>
      <c r="C3898" t="str">
        <f t="shared" si="1520"/>
        <v>FFDFD3C0</v>
      </c>
      <c r="D3898" t="s">
        <v>145</v>
      </c>
      <c r="E3898" t="str">
        <f>"05"</f>
        <v>05</v>
      </c>
      <c r="H3898">
        <v>47</v>
      </c>
      <c r="I3898" t="s">
        <v>146</v>
      </c>
      <c r="J3898" t="s">
        <v>138</v>
      </c>
      <c r="K3898">
        <v>0</v>
      </c>
      <c r="L3898">
        <v>3</v>
      </c>
      <c r="M3898">
        <v>0</v>
      </c>
      <c r="N3898">
        <v>2</v>
      </c>
      <c r="O3898">
        <v>0</v>
      </c>
      <c r="P3898">
        <v>1</v>
      </c>
      <c r="Q3898">
        <v>0</v>
      </c>
      <c r="R3898" t="s">
        <v>127</v>
      </c>
      <c r="S3898" t="str">
        <f t="shared" si="1542"/>
        <v>15:15:21.000</v>
      </c>
      <c r="T3898" t="str">
        <f t="shared" si="1542"/>
        <v>15:15:21.000</v>
      </c>
      <c r="U3898" t="str">
        <f t="shared" si="1522"/>
        <v>A68FCB</v>
      </c>
      <c r="V3898">
        <v>0</v>
      </c>
      <c r="W3898">
        <v>0</v>
      </c>
      <c r="X3898">
        <v>2</v>
      </c>
      <c r="Y3898">
        <v>0</v>
      </c>
      <c r="AA3898">
        <v>1</v>
      </c>
      <c r="AB3898">
        <v>8</v>
      </c>
      <c r="AC3898">
        <v>3</v>
      </c>
      <c r="AD3898">
        <v>0</v>
      </c>
      <c r="AE3898">
        <v>9</v>
      </c>
      <c r="AF3898" t="s">
        <v>138</v>
      </c>
      <c r="AG3898">
        <v>0</v>
      </c>
      <c r="AH3898">
        <v>3</v>
      </c>
      <c r="AI3898">
        <v>2</v>
      </c>
      <c r="AJ3898">
        <v>0</v>
      </c>
      <c r="AK3898" t="s">
        <v>1232</v>
      </c>
      <c r="AL3898">
        <v>39.175593999999997</v>
      </c>
      <c r="AM3898" t="s">
        <v>1233</v>
      </c>
      <c r="AN3898">
        <v>-121.02936</v>
      </c>
      <c r="AO3898">
        <v>25</v>
      </c>
      <c r="AP3898">
        <v>4300</v>
      </c>
      <c r="AQ3898" t="s">
        <v>131</v>
      </c>
      <c r="AR3898">
        <v>22</v>
      </c>
      <c r="AS3898">
        <v>80</v>
      </c>
      <c r="AT3898">
        <v>320</v>
      </c>
      <c r="BB3898" t="str">
        <f t="shared" si="1523"/>
        <v>1200</v>
      </c>
      <c r="BC3898">
        <v>1</v>
      </c>
      <c r="BD3898" t="str">
        <f t="shared" si="1524"/>
        <v xml:space="preserve">N52156  </v>
      </c>
      <c r="BE3898">
        <v>1</v>
      </c>
      <c r="BG3898">
        <v>0</v>
      </c>
      <c r="BH3898">
        <v>0</v>
      </c>
      <c r="BI3898">
        <v>0</v>
      </c>
      <c r="BJ3898">
        <v>4375</v>
      </c>
      <c r="BK3898">
        <v>75</v>
      </c>
      <c r="BL3898" t="s">
        <v>188</v>
      </c>
      <c r="BM3898">
        <v>1</v>
      </c>
      <c r="BN3898">
        <v>1</v>
      </c>
      <c r="BO3898">
        <v>0</v>
      </c>
      <c r="BP3898">
        <v>0</v>
      </c>
      <c r="BS3898">
        <v>0</v>
      </c>
      <c r="BT3898">
        <v>0</v>
      </c>
      <c r="BU3898">
        <v>0</v>
      </c>
      <c r="CE3898" t="str">
        <f t="shared" si="1543"/>
        <v>15:15:21.411</v>
      </c>
      <c r="CF3898">
        <v>411323229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3</v>
      </c>
      <c r="CY3898">
        <v>7</v>
      </c>
      <c r="CZ3898" t="s">
        <v>133</v>
      </c>
      <c r="DA3898">
        <v>276</v>
      </c>
      <c r="DB3898">
        <v>0</v>
      </c>
      <c r="DC3898" t="s">
        <v>402</v>
      </c>
      <c r="DD3898" t="s">
        <v>403</v>
      </c>
      <c r="DG3898">
        <v>1628296</v>
      </c>
      <c r="DI3898">
        <v>1</v>
      </c>
      <c r="DJ3898">
        <v>0</v>
      </c>
      <c r="DK3898">
        <v>1</v>
      </c>
      <c r="DL3898">
        <v>0</v>
      </c>
      <c r="DM3898">
        <v>0</v>
      </c>
      <c r="DN3898">
        <v>0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3">
      <c r="A3899" t="str">
        <f>"05/01/2025 15:15:21.638"</f>
        <v>05/01/2025 15:15:21.638</v>
      </c>
      <c r="C3899" t="str">
        <f t="shared" si="1520"/>
        <v>FFDFD3C0</v>
      </c>
      <c r="D3899" t="s">
        <v>136</v>
      </c>
      <c r="E3899" t="str">
        <f>"20"</f>
        <v>20</v>
      </c>
      <c r="H3899">
        <v>400</v>
      </c>
      <c r="I3899" t="s">
        <v>137</v>
      </c>
      <c r="J3899" t="s">
        <v>138</v>
      </c>
      <c r="K3899">
        <v>0</v>
      </c>
      <c r="L3899">
        <v>3</v>
      </c>
      <c r="M3899">
        <v>0</v>
      </c>
      <c r="N3899">
        <v>2</v>
      </c>
      <c r="O3899">
        <v>0</v>
      </c>
      <c r="P3899">
        <v>1</v>
      </c>
      <c r="Q3899">
        <v>0</v>
      </c>
      <c r="R3899" t="s">
        <v>127</v>
      </c>
      <c r="S3899" t="str">
        <f t="shared" si="1542"/>
        <v>15:15:21.000</v>
      </c>
      <c r="T3899" t="str">
        <f t="shared" si="1542"/>
        <v>15:15:21.000</v>
      </c>
      <c r="U3899" t="str">
        <f t="shared" si="1522"/>
        <v>A68FCB</v>
      </c>
      <c r="V3899">
        <v>0</v>
      </c>
      <c r="W3899">
        <v>0</v>
      </c>
      <c r="X3899">
        <v>2</v>
      </c>
      <c r="Y3899">
        <v>0</v>
      </c>
      <c r="AA3899">
        <v>1</v>
      </c>
      <c r="AB3899">
        <v>8</v>
      </c>
      <c r="AC3899">
        <v>3</v>
      </c>
      <c r="AD3899">
        <v>0</v>
      </c>
      <c r="AE3899">
        <v>9</v>
      </c>
      <c r="AF3899" t="s">
        <v>138</v>
      </c>
      <c r="AG3899">
        <v>0</v>
      </c>
      <c r="AH3899">
        <v>3</v>
      </c>
      <c r="AI3899">
        <v>2</v>
      </c>
      <c r="AJ3899">
        <v>0</v>
      </c>
      <c r="AK3899" t="s">
        <v>1232</v>
      </c>
      <c r="AL3899">
        <v>39.175593999999997</v>
      </c>
      <c r="AM3899" t="s">
        <v>1233</v>
      </c>
      <c r="AN3899">
        <v>-121.02936</v>
      </c>
      <c r="AO3899">
        <v>25</v>
      </c>
      <c r="AP3899">
        <v>4300</v>
      </c>
      <c r="AQ3899" t="s">
        <v>131</v>
      </c>
      <c r="AR3899">
        <v>22</v>
      </c>
      <c r="AS3899">
        <v>80</v>
      </c>
      <c r="AT3899">
        <v>320</v>
      </c>
      <c r="BB3899" t="str">
        <f t="shared" si="1523"/>
        <v>1200</v>
      </c>
      <c r="BC3899">
        <v>1</v>
      </c>
      <c r="BD3899" t="str">
        <f t="shared" si="1524"/>
        <v xml:space="preserve">N52156  </v>
      </c>
      <c r="BE3899">
        <v>1</v>
      </c>
      <c r="BG3899">
        <v>0</v>
      </c>
      <c r="BH3899">
        <v>0</v>
      </c>
      <c r="BI3899">
        <v>0</v>
      </c>
      <c r="BJ3899">
        <v>4375</v>
      </c>
      <c r="BK3899">
        <v>75</v>
      </c>
      <c r="BL3899" t="s">
        <v>188</v>
      </c>
      <c r="BM3899">
        <v>1</v>
      </c>
      <c r="BN3899">
        <v>1</v>
      </c>
      <c r="BO3899">
        <v>0</v>
      </c>
      <c r="BP3899">
        <v>0</v>
      </c>
      <c r="BS3899">
        <v>0</v>
      </c>
      <c r="BT3899">
        <v>0</v>
      </c>
      <c r="BU3899">
        <v>0</v>
      </c>
      <c r="CE3899" t="str">
        <f t="shared" si="1543"/>
        <v>15:15:21.411</v>
      </c>
      <c r="CF3899">
        <v>411323229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3</v>
      </c>
      <c r="CY3899">
        <v>7</v>
      </c>
      <c r="CZ3899" t="s">
        <v>133</v>
      </c>
      <c r="DA3899">
        <v>276</v>
      </c>
      <c r="DB3899">
        <v>0</v>
      </c>
      <c r="DC3899" t="s">
        <v>402</v>
      </c>
      <c r="DD3899" t="s">
        <v>403</v>
      </c>
      <c r="DG3899">
        <v>1628296</v>
      </c>
      <c r="DI3899">
        <v>1</v>
      </c>
      <c r="DJ3899">
        <v>0</v>
      </c>
      <c r="DK3899">
        <v>1</v>
      </c>
      <c r="DL3899">
        <v>0</v>
      </c>
      <c r="DM3899">
        <v>0</v>
      </c>
      <c r="DN3899">
        <v>0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3">
      <c r="A3900" t="str">
        <f>"05/01/2025 15:15:21.660"</f>
        <v>05/01/2025 15:15:21.660</v>
      </c>
      <c r="C3900" t="str">
        <f t="shared" si="1520"/>
        <v>FFDFD3C0</v>
      </c>
      <c r="D3900" t="s">
        <v>140</v>
      </c>
      <c r="E3900" t="str">
        <f>"13"</f>
        <v>13</v>
      </c>
      <c r="F3900">
        <v>1019</v>
      </c>
      <c r="G3900" t="s">
        <v>141</v>
      </c>
      <c r="J3900" t="s">
        <v>142</v>
      </c>
      <c r="K3900">
        <v>0</v>
      </c>
      <c r="L3900">
        <v>3</v>
      </c>
      <c r="M3900">
        <v>0</v>
      </c>
      <c r="N3900">
        <v>2</v>
      </c>
      <c r="O3900">
        <v>0</v>
      </c>
      <c r="P3900">
        <v>1</v>
      </c>
      <c r="Q3900">
        <v>0</v>
      </c>
      <c r="R3900" t="s">
        <v>127</v>
      </c>
      <c r="S3900" t="str">
        <f t="shared" si="1542"/>
        <v>15:15:21.000</v>
      </c>
      <c r="T3900" t="str">
        <f t="shared" si="1542"/>
        <v>15:15:21.000</v>
      </c>
      <c r="U3900" t="str">
        <f t="shared" si="1522"/>
        <v>A68FCB</v>
      </c>
      <c r="V3900">
        <v>0</v>
      </c>
      <c r="W3900">
        <v>0</v>
      </c>
      <c r="X3900">
        <v>2</v>
      </c>
      <c r="Y3900">
        <v>0</v>
      </c>
      <c r="AA3900">
        <v>1</v>
      </c>
      <c r="AB3900">
        <v>8</v>
      </c>
      <c r="AC3900">
        <v>3</v>
      </c>
      <c r="AD3900">
        <v>0</v>
      </c>
      <c r="AE3900">
        <v>9</v>
      </c>
      <c r="AF3900" t="s">
        <v>138</v>
      </c>
      <c r="AG3900">
        <v>0</v>
      </c>
      <c r="AH3900">
        <v>3</v>
      </c>
      <c r="AI3900">
        <v>2</v>
      </c>
      <c r="AJ3900">
        <v>0</v>
      </c>
      <c r="AK3900" t="s">
        <v>1232</v>
      </c>
      <c r="AL3900">
        <v>39.175593999999997</v>
      </c>
      <c r="AM3900" t="s">
        <v>1233</v>
      </c>
      <c r="AN3900">
        <v>-121.02936</v>
      </c>
      <c r="AO3900">
        <v>25</v>
      </c>
      <c r="AP3900">
        <v>4300</v>
      </c>
      <c r="AQ3900" t="s">
        <v>131</v>
      </c>
      <c r="AR3900">
        <v>22</v>
      </c>
      <c r="AS3900">
        <v>80</v>
      </c>
      <c r="AT3900">
        <v>320</v>
      </c>
      <c r="BB3900" t="str">
        <f t="shared" si="1523"/>
        <v>1200</v>
      </c>
      <c r="BC3900">
        <v>1</v>
      </c>
      <c r="BD3900" t="str">
        <f t="shared" si="1524"/>
        <v xml:space="preserve">N52156  </v>
      </c>
      <c r="BE3900">
        <v>1</v>
      </c>
      <c r="BG3900">
        <v>0</v>
      </c>
      <c r="BH3900">
        <v>0</v>
      </c>
      <c r="BI3900">
        <v>0</v>
      </c>
      <c r="BJ3900">
        <v>4375</v>
      </c>
      <c r="BK3900">
        <v>75</v>
      </c>
      <c r="BL3900" t="s">
        <v>188</v>
      </c>
      <c r="BM3900">
        <v>1</v>
      </c>
      <c r="BN3900">
        <v>1</v>
      </c>
      <c r="BO3900">
        <v>0</v>
      </c>
      <c r="BP3900">
        <v>0</v>
      </c>
      <c r="BS3900">
        <v>0</v>
      </c>
      <c r="BT3900">
        <v>0</v>
      </c>
      <c r="BU3900">
        <v>0</v>
      </c>
      <c r="CE3900" t="str">
        <f t="shared" si="1543"/>
        <v>15:15:21.411</v>
      </c>
      <c r="CF3900">
        <v>411323229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3</v>
      </c>
      <c r="CY3900">
        <v>7</v>
      </c>
      <c r="CZ3900" t="s">
        <v>133</v>
      </c>
      <c r="DA3900">
        <v>276</v>
      </c>
      <c r="DB3900">
        <v>0</v>
      </c>
      <c r="DC3900" t="s">
        <v>402</v>
      </c>
      <c r="DD3900" t="s">
        <v>403</v>
      </c>
      <c r="DG3900">
        <v>1628296</v>
      </c>
      <c r="DI3900">
        <v>1</v>
      </c>
      <c r="DJ3900">
        <v>0</v>
      </c>
      <c r="DK3900">
        <v>1</v>
      </c>
      <c r="DL3900">
        <v>0</v>
      </c>
      <c r="DM3900">
        <v>0</v>
      </c>
      <c r="DN3900">
        <v>0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3">
      <c r="A3901" t="str">
        <f>"05/01/2025 15:15:21.658"</f>
        <v>05/01/2025 15:15:21.658</v>
      </c>
      <c r="C3901" t="str">
        <f t="shared" si="1520"/>
        <v>FFDFD3C0</v>
      </c>
      <c r="D3901" t="s">
        <v>143</v>
      </c>
      <c r="E3901" t="str">
        <f>"05"</f>
        <v>05</v>
      </c>
      <c r="H3901">
        <v>172</v>
      </c>
      <c r="I3901" t="s">
        <v>141</v>
      </c>
      <c r="J3901" t="s">
        <v>144</v>
      </c>
      <c r="K3901">
        <v>0</v>
      </c>
      <c r="L3901">
        <v>3</v>
      </c>
      <c r="M3901">
        <v>0</v>
      </c>
      <c r="N3901">
        <v>2</v>
      </c>
      <c r="O3901">
        <v>0</v>
      </c>
      <c r="P3901">
        <v>1</v>
      </c>
      <c r="Q3901">
        <v>0</v>
      </c>
      <c r="R3901" t="s">
        <v>127</v>
      </c>
      <c r="S3901" t="str">
        <f t="shared" si="1542"/>
        <v>15:15:21.000</v>
      </c>
      <c r="T3901" t="str">
        <f t="shared" si="1542"/>
        <v>15:15:21.000</v>
      </c>
      <c r="U3901" t="str">
        <f t="shared" si="1522"/>
        <v>A68FCB</v>
      </c>
      <c r="V3901">
        <v>0</v>
      </c>
      <c r="W3901">
        <v>0</v>
      </c>
      <c r="X3901">
        <v>2</v>
      </c>
      <c r="Y3901">
        <v>0</v>
      </c>
      <c r="AA3901">
        <v>1</v>
      </c>
      <c r="AB3901">
        <v>8</v>
      </c>
      <c r="AC3901">
        <v>3</v>
      </c>
      <c r="AD3901">
        <v>0</v>
      </c>
      <c r="AE3901">
        <v>9</v>
      </c>
      <c r="AF3901" t="s">
        <v>138</v>
      </c>
      <c r="AG3901">
        <v>0</v>
      </c>
      <c r="AH3901">
        <v>3</v>
      </c>
      <c r="AI3901">
        <v>2</v>
      </c>
      <c r="AJ3901">
        <v>0</v>
      </c>
      <c r="AK3901" t="s">
        <v>1232</v>
      </c>
      <c r="AL3901">
        <v>39.175593999999997</v>
      </c>
      <c r="AM3901" t="s">
        <v>1233</v>
      </c>
      <c r="AN3901">
        <v>-121.02936</v>
      </c>
      <c r="AO3901">
        <v>25</v>
      </c>
      <c r="AP3901">
        <v>4300</v>
      </c>
      <c r="AQ3901" t="s">
        <v>131</v>
      </c>
      <c r="AR3901">
        <v>22</v>
      </c>
      <c r="AS3901">
        <v>80</v>
      </c>
      <c r="AT3901">
        <v>320</v>
      </c>
      <c r="BB3901" t="str">
        <f t="shared" si="1523"/>
        <v>1200</v>
      </c>
      <c r="BC3901">
        <v>1</v>
      </c>
      <c r="BD3901" t="str">
        <f t="shared" si="1524"/>
        <v xml:space="preserve">N52156  </v>
      </c>
      <c r="BE3901">
        <v>1</v>
      </c>
      <c r="BG3901">
        <v>0</v>
      </c>
      <c r="BH3901">
        <v>0</v>
      </c>
      <c r="BI3901">
        <v>0</v>
      </c>
      <c r="BJ3901">
        <v>4375</v>
      </c>
      <c r="BK3901">
        <v>75</v>
      </c>
      <c r="BL3901" t="s">
        <v>188</v>
      </c>
      <c r="BM3901">
        <v>1</v>
      </c>
      <c r="BN3901">
        <v>1</v>
      </c>
      <c r="BO3901">
        <v>0</v>
      </c>
      <c r="BP3901">
        <v>0</v>
      </c>
      <c r="BS3901">
        <v>0</v>
      </c>
      <c r="BT3901">
        <v>0</v>
      </c>
      <c r="BU3901">
        <v>0</v>
      </c>
      <c r="CE3901" t="str">
        <f t="shared" si="1543"/>
        <v>15:15:21.411</v>
      </c>
      <c r="CF3901">
        <v>411323229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3</v>
      </c>
      <c r="CY3901">
        <v>7</v>
      </c>
      <c r="CZ3901" t="s">
        <v>133</v>
      </c>
      <c r="DA3901">
        <v>276</v>
      </c>
      <c r="DB3901">
        <v>0</v>
      </c>
      <c r="DC3901" t="s">
        <v>402</v>
      </c>
      <c r="DD3901" t="s">
        <v>403</v>
      </c>
      <c r="DG3901">
        <v>1628296</v>
      </c>
      <c r="DI3901">
        <v>1</v>
      </c>
      <c r="DJ3901">
        <v>0</v>
      </c>
      <c r="DK3901">
        <v>1</v>
      </c>
      <c r="DL3901">
        <v>0</v>
      </c>
      <c r="DM3901">
        <v>0</v>
      </c>
      <c r="DN3901">
        <v>0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3">
      <c r="A3902" t="str">
        <f>"05/01/2025 15:15:22.589"</f>
        <v>05/01/2025 15:15:22.589</v>
      </c>
      <c r="C3902" t="str">
        <f t="shared" si="1520"/>
        <v>FFDFD3C0</v>
      </c>
      <c r="D3902" t="s">
        <v>136</v>
      </c>
      <c r="E3902" t="str">
        <f>"20"</f>
        <v>20</v>
      </c>
      <c r="H3902">
        <v>400</v>
      </c>
      <c r="I3902" t="s">
        <v>137</v>
      </c>
      <c r="J3902" t="s">
        <v>138</v>
      </c>
      <c r="K3902">
        <v>0</v>
      </c>
      <c r="L3902">
        <v>3</v>
      </c>
      <c r="M3902">
        <v>0</v>
      </c>
      <c r="N3902">
        <v>2</v>
      </c>
      <c r="O3902">
        <v>0</v>
      </c>
      <c r="P3902">
        <v>1</v>
      </c>
      <c r="Q3902">
        <v>0</v>
      </c>
      <c r="R3902" t="s">
        <v>127</v>
      </c>
      <c r="S3902" t="str">
        <f t="shared" ref="S3902:T3907" si="1544">"15:15:22.000"</f>
        <v>15:15:22.000</v>
      </c>
      <c r="T3902" t="str">
        <f t="shared" si="1544"/>
        <v>15:15:22.000</v>
      </c>
      <c r="U3902" t="str">
        <f t="shared" si="1522"/>
        <v>A68FCB</v>
      </c>
      <c r="V3902">
        <v>0</v>
      </c>
      <c r="W3902">
        <v>0</v>
      </c>
      <c r="X3902">
        <v>2</v>
      </c>
      <c r="Y3902">
        <v>0</v>
      </c>
      <c r="AA3902">
        <v>1</v>
      </c>
      <c r="AB3902">
        <v>8</v>
      </c>
      <c r="AC3902">
        <v>3</v>
      </c>
      <c r="AD3902">
        <v>0</v>
      </c>
      <c r="AE3902">
        <v>9</v>
      </c>
      <c r="AF3902" t="s">
        <v>138</v>
      </c>
      <c r="AG3902">
        <v>0</v>
      </c>
      <c r="AH3902">
        <v>3</v>
      </c>
      <c r="AI3902">
        <v>2</v>
      </c>
      <c r="AJ3902">
        <v>0</v>
      </c>
      <c r="AK3902" t="s">
        <v>1234</v>
      </c>
      <c r="AL3902">
        <v>39.175980000000003</v>
      </c>
      <c r="AM3902" t="s">
        <v>1235</v>
      </c>
      <c r="AN3902">
        <v>-121.02921000000001</v>
      </c>
      <c r="AO3902">
        <v>25</v>
      </c>
      <c r="AP3902">
        <v>4300</v>
      </c>
      <c r="AQ3902" t="s">
        <v>131</v>
      </c>
      <c r="AR3902">
        <v>23</v>
      </c>
      <c r="AS3902">
        <v>79</v>
      </c>
      <c r="AT3902">
        <v>320</v>
      </c>
      <c r="BB3902" t="str">
        <f t="shared" si="1523"/>
        <v>1200</v>
      </c>
      <c r="BC3902">
        <v>1</v>
      </c>
      <c r="BD3902" t="str">
        <f t="shared" si="1524"/>
        <v xml:space="preserve">N52156  </v>
      </c>
      <c r="BE3902">
        <v>1</v>
      </c>
      <c r="BG3902">
        <v>0</v>
      </c>
      <c r="BH3902">
        <v>0</v>
      </c>
      <c r="BI3902">
        <v>0</v>
      </c>
      <c r="BJ3902">
        <v>4375</v>
      </c>
      <c r="BK3902">
        <v>75</v>
      </c>
      <c r="BL3902" t="s">
        <v>188</v>
      </c>
      <c r="BM3902">
        <v>1</v>
      </c>
      <c r="BN3902">
        <v>1</v>
      </c>
      <c r="BO3902">
        <v>0</v>
      </c>
      <c r="BP3902">
        <v>0</v>
      </c>
      <c r="BS3902">
        <v>0</v>
      </c>
      <c r="BT3902">
        <v>0</v>
      </c>
      <c r="BU3902">
        <v>0</v>
      </c>
      <c r="CE3902" t="str">
        <f t="shared" ref="CE3902:CE3907" si="1545">"15:15:22.365"</f>
        <v>15:15:22.365</v>
      </c>
      <c r="CF3902">
        <v>364573195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3</v>
      </c>
      <c r="CY3902">
        <v>7</v>
      </c>
      <c r="CZ3902" t="s">
        <v>133</v>
      </c>
      <c r="DA3902">
        <v>276</v>
      </c>
      <c r="DB3902">
        <v>0</v>
      </c>
      <c r="DC3902" t="s">
        <v>402</v>
      </c>
      <c r="DD3902" t="s">
        <v>403</v>
      </c>
      <c r="DG3902">
        <v>1628300</v>
      </c>
      <c r="DI3902">
        <v>1</v>
      </c>
      <c r="DJ3902">
        <v>0</v>
      </c>
      <c r="DK3902">
        <v>0</v>
      </c>
      <c r="DL3902">
        <v>0</v>
      </c>
      <c r="DM3902">
        <v>0</v>
      </c>
      <c r="DN3902">
        <v>0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3">
      <c r="A3903" t="str">
        <f>"05/01/2025 15:15:22.610"</f>
        <v>05/01/2025 15:15:22.610</v>
      </c>
      <c r="C3903" t="str">
        <f t="shared" si="1520"/>
        <v>FFDFD3C0</v>
      </c>
      <c r="D3903" t="s">
        <v>143</v>
      </c>
      <c r="E3903" t="str">
        <f>"05"</f>
        <v>05</v>
      </c>
      <c r="H3903">
        <v>172</v>
      </c>
      <c r="I3903" t="s">
        <v>141</v>
      </c>
      <c r="J3903" t="s">
        <v>144</v>
      </c>
      <c r="K3903">
        <v>0</v>
      </c>
      <c r="L3903">
        <v>3</v>
      </c>
      <c r="M3903">
        <v>0</v>
      </c>
      <c r="N3903">
        <v>2</v>
      </c>
      <c r="O3903">
        <v>0</v>
      </c>
      <c r="P3903">
        <v>1</v>
      </c>
      <c r="Q3903">
        <v>0</v>
      </c>
      <c r="R3903" t="s">
        <v>127</v>
      </c>
      <c r="S3903" t="str">
        <f t="shared" si="1544"/>
        <v>15:15:22.000</v>
      </c>
      <c r="T3903" t="str">
        <f t="shared" si="1544"/>
        <v>15:15:22.000</v>
      </c>
      <c r="U3903" t="str">
        <f t="shared" si="1522"/>
        <v>A68FCB</v>
      </c>
      <c r="V3903">
        <v>0</v>
      </c>
      <c r="W3903">
        <v>0</v>
      </c>
      <c r="X3903">
        <v>2</v>
      </c>
      <c r="Y3903">
        <v>0</v>
      </c>
      <c r="AA3903">
        <v>1</v>
      </c>
      <c r="AB3903">
        <v>8</v>
      </c>
      <c r="AC3903">
        <v>3</v>
      </c>
      <c r="AD3903">
        <v>0</v>
      </c>
      <c r="AE3903">
        <v>9</v>
      </c>
      <c r="AF3903" t="s">
        <v>138</v>
      </c>
      <c r="AG3903">
        <v>0</v>
      </c>
      <c r="AH3903">
        <v>3</v>
      </c>
      <c r="AI3903">
        <v>2</v>
      </c>
      <c r="AJ3903">
        <v>0</v>
      </c>
      <c r="AK3903" t="s">
        <v>1234</v>
      </c>
      <c r="AL3903">
        <v>39.175980000000003</v>
      </c>
      <c r="AM3903" t="s">
        <v>1235</v>
      </c>
      <c r="AN3903">
        <v>-121.02921000000001</v>
      </c>
      <c r="AO3903">
        <v>25</v>
      </c>
      <c r="AP3903">
        <v>4300</v>
      </c>
      <c r="AQ3903" t="s">
        <v>131</v>
      </c>
      <c r="AR3903">
        <v>23</v>
      </c>
      <c r="AS3903">
        <v>79</v>
      </c>
      <c r="AT3903">
        <v>320</v>
      </c>
      <c r="BB3903" t="str">
        <f t="shared" si="1523"/>
        <v>1200</v>
      </c>
      <c r="BC3903">
        <v>1</v>
      </c>
      <c r="BD3903" t="str">
        <f t="shared" si="1524"/>
        <v xml:space="preserve">N52156  </v>
      </c>
      <c r="BE3903">
        <v>1</v>
      </c>
      <c r="BG3903">
        <v>0</v>
      </c>
      <c r="BH3903">
        <v>0</v>
      </c>
      <c r="BI3903">
        <v>0</v>
      </c>
      <c r="BJ3903">
        <v>4375</v>
      </c>
      <c r="BK3903">
        <v>75</v>
      </c>
      <c r="BL3903" t="s">
        <v>188</v>
      </c>
      <c r="BM3903">
        <v>1</v>
      </c>
      <c r="BN3903">
        <v>1</v>
      </c>
      <c r="BO3903">
        <v>0</v>
      </c>
      <c r="BP3903">
        <v>0</v>
      </c>
      <c r="BS3903">
        <v>0</v>
      </c>
      <c r="BT3903">
        <v>0</v>
      </c>
      <c r="BU3903">
        <v>0</v>
      </c>
      <c r="CE3903" t="str">
        <f t="shared" si="1545"/>
        <v>15:15:22.365</v>
      </c>
      <c r="CF3903">
        <v>364573195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3</v>
      </c>
      <c r="CY3903">
        <v>7</v>
      </c>
      <c r="CZ3903" t="s">
        <v>133</v>
      </c>
      <c r="DA3903">
        <v>276</v>
      </c>
      <c r="DB3903">
        <v>0</v>
      </c>
      <c r="DC3903" t="s">
        <v>402</v>
      </c>
      <c r="DD3903" t="s">
        <v>403</v>
      </c>
      <c r="DG3903">
        <v>1628300</v>
      </c>
      <c r="DI3903">
        <v>1</v>
      </c>
      <c r="DJ3903">
        <v>0</v>
      </c>
      <c r="DK3903">
        <v>1</v>
      </c>
      <c r="DL3903">
        <v>0</v>
      </c>
      <c r="DM3903">
        <v>0</v>
      </c>
      <c r="DN3903">
        <v>0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3">
      <c r="A3904" t="str">
        <f>"05/01/2025 15:15:22.612"</f>
        <v>05/01/2025 15:15:22.612</v>
      </c>
      <c r="C3904" t="str">
        <f t="shared" si="1520"/>
        <v>FFDFD3C0</v>
      </c>
      <c r="D3904" t="s">
        <v>140</v>
      </c>
      <c r="E3904" t="str">
        <f>"13"</f>
        <v>13</v>
      </c>
      <c r="F3904">
        <v>1019</v>
      </c>
      <c r="G3904" t="s">
        <v>141</v>
      </c>
      <c r="J3904" t="s">
        <v>142</v>
      </c>
      <c r="K3904">
        <v>0</v>
      </c>
      <c r="L3904">
        <v>3</v>
      </c>
      <c r="M3904">
        <v>0</v>
      </c>
      <c r="N3904">
        <v>2</v>
      </c>
      <c r="O3904">
        <v>0</v>
      </c>
      <c r="P3904">
        <v>1</v>
      </c>
      <c r="Q3904">
        <v>0</v>
      </c>
      <c r="R3904" t="s">
        <v>127</v>
      </c>
      <c r="S3904" t="str">
        <f t="shared" si="1544"/>
        <v>15:15:22.000</v>
      </c>
      <c r="T3904" t="str">
        <f t="shared" si="1544"/>
        <v>15:15:22.000</v>
      </c>
      <c r="U3904" t="str">
        <f t="shared" si="1522"/>
        <v>A68FCB</v>
      </c>
      <c r="V3904">
        <v>0</v>
      </c>
      <c r="W3904">
        <v>0</v>
      </c>
      <c r="X3904">
        <v>2</v>
      </c>
      <c r="Y3904">
        <v>0</v>
      </c>
      <c r="AA3904">
        <v>1</v>
      </c>
      <c r="AB3904">
        <v>8</v>
      </c>
      <c r="AC3904">
        <v>3</v>
      </c>
      <c r="AD3904">
        <v>0</v>
      </c>
      <c r="AE3904">
        <v>9</v>
      </c>
      <c r="AF3904" t="s">
        <v>138</v>
      </c>
      <c r="AG3904">
        <v>0</v>
      </c>
      <c r="AH3904">
        <v>3</v>
      </c>
      <c r="AI3904">
        <v>2</v>
      </c>
      <c r="AJ3904">
        <v>0</v>
      </c>
      <c r="AK3904" t="s">
        <v>1234</v>
      </c>
      <c r="AL3904">
        <v>39.175980000000003</v>
      </c>
      <c r="AM3904" t="s">
        <v>1235</v>
      </c>
      <c r="AN3904">
        <v>-121.02921000000001</v>
      </c>
      <c r="AO3904">
        <v>25</v>
      </c>
      <c r="AP3904">
        <v>4300</v>
      </c>
      <c r="AQ3904" t="s">
        <v>131</v>
      </c>
      <c r="AR3904">
        <v>23</v>
      </c>
      <c r="AS3904">
        <v>79</v>
      </c>
      <c r="AT3904">
        <v>320</v>
      </c>
      <c r="BB3904" t="str">
        <f t="shared" si="1523"/>
        <v>1200</v>
      </c>
      <c r="BC3904">
        <v>1</v>
      </c>
      <c r="BD3904" t="str">
        <f t="shared" si="1524"/>
        <v xml:space="preserve">N52156  </v>
      </c>
      <c r="BE3904">
        <v>1</v>
      </c>
      <c r="BG3904">
        <v>0</v>
      </c>
      <c r="BH3904">
        <v>0</v>
      </c>
      <c r="BI3904">
        <v>0</v>
      </c>
      <c r="BJ3904">
        <v>4375</v>
      </c>
      <c r="BK3904">
        <v>75</v>
      </c>
      <c r="BL3904" t="s">
        <v>188</v>
      </c>
      <c r="BM3904">
        <v>1</v>
      </c>
      <c r="BN3904">
        <v>1</v>
      </c>
      <c r="BO3904">
        <v>0</v>
      </c>
      <c r="BP3904">
        <v>0</v>
      </c>
      <c r="BS3904">
        <v>0</v>
      </c>
      <c r="BT3904">
        <v>0</v>
      </c>
      <c r="BU3904">
        <v>0</v>
      </c>
      <c r="CE3904" t="str">
        <f t="shared" si="1545"/>
        <v>15:15:22.365</v>
      </c>
      <c r="CF3904">
        <v>364573195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3</v>
      </c>
      <c r="CY3904">
        <v>7</v>
      </c>
      <c r="CZ3904" t="s">
        <v>133</v>
      </c>
      <c r="DA3904">
        <v>276</v>
      </c>
      <c r="DB3904">
        <v>0</v>
      </c>
      <c r="DC3904" t="s">
        <v>402</v>
      </c>
      <c r="DD3904" t="s">
        <v>403</v>
      </c>
      <c r="DG3904">
        <v>1628300</v>
      </c>
      <c r="DI3904">
        <v>1</v>
      </c>
      <c r="DJ3904">
        <v>0</v>
      </c>
      <c r="DK3904">
        <v>1</v>
      </c>
      <c r="DL3904">
        <v>0</v>
      </c>
      <c r="DM3904">
        <v>0</v>
      </c>
      <c r="DN3904">
        <v>0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3">
      <c r="A3905" t="str">
        <f>"05/01/2025 15:15:22.617"</f>
        <v>05/01/2025 15:15:22.617</v>
      </c>
      <c r="C3905" t="str">
        <f t="shared" si="1520"/>
        <v>FFDFD3C0</v>
      </c>
      <c r="D3905" t="s">
        <v>124</v>
      </c>
      <c r="E3905" t="str">
        <f>"06"</f>
        <v>06</v>
      </c>
      <c r="F3905">
        <v>2006</v>
      </c>
      <c r="G3905" t="s">
        <v>125</v>
      </c>
      <c r="J3905" t="s">
        <v>126</v>
      </c>
      <c r="K3905">
        <v>0</v>
      </c>
      <c r="L3905">
        <v>3</v>
      </c>
      <c r="M3905">
        <v>0</v>
      </c>
      <c r="N3905">
        <v>2</v>
      </c>
      <c r="O3905">
        <v>0</v>
      </c>
      <c r="P3905">
        <v>1</v>
      </c>
      <c r="Q3905">
        <v>0</v>
      </c>
      <c r="R3905" t="s">
        <v>127</v>
      </c>
      <c r="S3905" t="str">
        <f t="shared" si="1544"/>
        <v>15:15:22.000</v>
      </c>
      <c r="T3905" t="str">
        <f t="shared" si="1544"/>
        <v>15:15:22.000</v>
      </c>
      <c r="U3905" t="str">
        <f t="shared" si="1522"/>
        <v>A68FCB</v>
      </c>
      <c r="V3905">
        <v>0</v>
      </c>
      <c r="W3905">
        <v>0</v>
      </c>
      <c r="X3905">
        <v>2</v>
      </c>
      <c r="Y3905">
        <v>0</v>
      </c>
      <c r="AA3905">
        <v>1</v>
      </c>
      <c r="AB3905">
        <v>8</v>
      </c>
      <c r="AC3905">
        <v>3</v>
      </c>
      <c r="AD3905">
        <v>0</v>
      </c>
      <c r="AE3905">
        <v>9</v>
      </c>
      <c r="AF3905" t="s">
        <v>138</v>
      </c>
      <c r="AG3905">
        <v>0</v>
      </c>
      <c r="AH3905">
        <v>3</v>
      </c>
      <c r="AI3905">
        <v>2</v>
      </c>
      <c r="AJ3905">
        <v>0</v>
      </c>
      <c r="AK3905" t="s">
        <v>1234</v>
      </c>
      <c r="AL3905">
        <v>39.175980000000003</v>
      </c>
      <c r="AM3905" t="s">
        <v>1235</v>
      </c>
      <c r="AN3905">
        <v>-121.02921000000001</v>
      </c>
      <c r="AO3905">
        <v>25</v>
      </c>
      <c r="AP3905">
        <v>4300</v>
      </c>
      <c r="AQ3905" t="s">
        <v>131</v>
      </c>
      <c r="AR3905">
        <v>23</v>
      </c>
      <c r="AS3905">
        <v>79</v>
      </c>
      <c r="AT3905">
        <v>320</v>
      </c>
      <c r="BB3905" t="str">
        <f t="shared" si="1523"/>
        <v>1200</v>
      </c>
      <c r="BC3905">
        <v>1</v>
      </c>
      <c r="BD3905" t="str">
        <f t="shared" si="1524"/>
        <v xml:space="preserve">N52156  </v>
      </c>
      <c r="BE3905">
        <v>1</v>
      </c>
      <c r="BG3905">
        <v>0</v>
      </c>
      <c r="BH3905">
        <v>0</v>
      </c>
      <c r="BI3905">
        <v>0</v>
      </c>
      <c r="BJ3905">
        <v>4375</v>
      </c>
      <c r="BK3905">
        <v>75</v>
      </c>
      <c r="BL3905" t="s">
        <v>188</v>
      </c>
      <c r="BM3905">
        <v>1</v>
      </c>
      <c r="BN3905">
        <v>1</v>
      </c>
      <c r="BO3905">
        <v>0</v>
      </c>
      <c r="BP3905">
        <v>0</v>
      </c>
      <c r="BS3905">
        <v>0</v>
      </c>
      <c r="BT3905">
        <v>0</v>
      </c>
      <c r="BU3905">
        <v>0</v>
      </c>
      <c r="CE3905" t="str">
        <f t="shared" si="1545"/>
        <v>15:15:22.365</v>
      </c>
      <c r="CF3905">
        <v>364573195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3</v>
      </c>
      <c r="CY3905">
        <v>7</v>
      </c>
      <c r="CZ3905" t="s">
        <v>133</v>
      </c>
      <c r="DA3905">
        <v>276</v>
      </c>
      <c r="DB3905">
        <v>0</v>
      </c>
      <c r="DC3905" t="s">
        <v>402</v>
      </c>
      <c r="DD3905" t="s">
        <v>403</v>
      </c>
      <c r="DG3905">
        <v>1628300</v>
      </c>
      <c r="DI3905">
        <v>1</v>
      </c>
      <c r="DJ3905">
        <v>0</v>
      </c>
      <c r="DK3905">
        <v>1</v>
      </c>
      <c r="DL3905">
        <v>0</v>
      </c>
      <c r="DM3905">
        <v>0</v>
      </c>
      <c r="DN3905">
        <v>0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3">
      <c r="A3906" t="str">
        <f>"05/01/2025 15:15:22.625"</f>
        <v>05/01/2025 15:15:22.625</v>
      </c>
      <c r="C3906" t="str">
        <f t="shared" ref="C3906:C3969" si="1546">"FFDFD3C0"</f>
        <v>FFDFD3C0</v>
      </c>
      <c r="D3906" t="s">
        <v>145</v>
      </c>
      <c r="E3906" t="str">
        <f>"09"</f>
        <v>09</v>
      </c>
      <c r="H3906">
        <v>51</v>
      </c>
      <c r="I3906" t="s">
        <v>147</v>
      </c>
      <c r="J3906" t="s">
        <v>138</v>
      </c>
      <c r="K3906">
        <v>0</v>
      </c>
      <c r="L3906">
        <v>3</v>
      </c>
      <c r="M3906">
        <v>0</v>
      </c>
      <c r="N3906">
        <v>2</v>
      </c>
      <c r="O3906">
        <v>0</v>
      </c>
      <c r="P3906">
        <v>1</v>
      </c>
      <c r="Q3906">
        <v>0</v>
      </c>
      <c r="R3906" t="s">
        <v>127</v>
      </c>
      <c r="S3906" t="str">
        <f t="shared" si="1544"/>
        <v>15:15:22.000</v>
      </c>
      <c r="T3906" t="str">
        <f t="shared" si="1544"/>
        <v>15:15:22.000</v>
      </c>
      <c r="U3906" t="str">
        <f t="shared" ref="U3906:U3969" si="1547">"A68FCB"</f>
        <v>A68FCB</v>
      </c>
      <c r="V3906">
        <v>0</v>
      </c>
      <c r="W3906">
        <v>0</v>
      </c>
      <c r="X3906">
        <v>2</v>
      </c>
      <c r="Y3906">
        <v>0</v>
      </c>
      <c r="AA3906">
        <v>1</v>
      </c>
      <c r="AB3906">
        <v>8</v>
      </c>
      <c r="AC3906">
        <v>3</v>
      </c>
      <c r="AD3906">
        <v>0</v>
      </c>
      <c r="AE3906">
        <v>9</v>
      </c>
      <c r="AF3906" t="s">
        <v>138</v>
      </c>
      <c r="AG3906">
        <v>0</v>
      </c>
      <c r="AH3906">
        <v>3</v>
      </c>
      <c r="AI3906">
        <v>2</v>
      </c>
      <c r="AJ3906">
        <v>0</v>
      </c>
      <c r="AK3906" t="s">
        <v>1234</v>
      </c>
      <c r="AL3906">
        <v>39.175980000000003</v>
      </c>
      <c r="AM3906" t="s">
        <v>1235</v>
      </c>
      <c r="AN3906">
        <v>-121.02921000000001</v>
      </c>
      <c r="AO3906">
        <v>25</v>
      </c>
      <c r="AP3906">
        <v>4300</v>
      </c>
      <c r="AQ3906" t="s">
        <v>131</v>
      </c>
      <c r="AR3906">
        <v>23</v>
      </c>
      <c r="AS3906">
        <v>79</v>
      </c>
      <c r="AT3906">
        <v>320</v>
      </c>
      <c r="BB3906" t="str">
        <f t="shared" ref="BB3906:BB3969" si="1548">"1200"</f>
        <v>1200</v>
      </c>
      <c r="BC3906">
        <v>1</v>
      </c>
      <c r="BD3906" t="str">
        <f t="shared" ref="BD3906:BD3969" si="1549">"N52156  "</f>
        <v xml:space="preserve">N52156  </v>
      </c>
      <c r="BE3906">
        <v>1</v>
      </c>
      <c r="BG3906">
        <v>0</v>
      </c>
      <c r="BH3906">
        <v>0</v>
      </c>
      <c r="BI3906">
        <v>0</v>
      </c>
      <c r="BJ3906">
        <v>4375</v>
      </c>
      <c r="BK3906">
        <v>75</v>
      </c>
      <c r="BL3906" t="s">
        <v>188</v>
      </c>
      <c r="BM3906">
        <v>1</v>
      </c>
      <c r="BN3906">
        <v>1</v>
      </c>
      <c r="BO3906">
        <v>0</v>
      </c>
      <c r="BP3906">
        <v>0</v>
      </c>
      <c r="BS3906">
        <v>0</v>
      </c>
      <c r="BT3906">
        <v>0</v>
      </c>
      <c r="BU3906">
        <v>0</v>
      </c>
      <c r="CE3906" t="str">
        <f t="shared" si="1545"/>
        <v>15:15:22.365</v>
      </c>
      <c r="CF3906">
        <v>364573195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3</v>
      </c>
      <c r="CY3906">
        <v>7</v>
      </c>
      <c r="CZ3906" t="s">
        <v>133</v>
      </c>
      <c r="DA3906">
        <v>276</v>
      </c>
      <c r="DB3906">
        <v>0</v>
      </c>
      <c r="DC3906" t="s">
        <v>402</v>
      </c>
      <c r="DD3906" t="s">
        <v>403</v>
      </c>
      <c r="DG3906">
        <v>1628300</v>
      </c>
      <c r="DI3906">
        <v>1</v>
      </c>
      <c r="DJ3906">
        <v>0</v>
      </c>
      <c r="DK3906">
        <v>1</v>
      </c>
      <c r="DL3906">
        <v>0</v>
      </c>
      <c r="DM3906">
        <v>0</v>
      </c>
      <c r="DN3906">
        <v>0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3">
      <c r="A3907" t="str">
        <f>"05/01/2025 15:15:22.628"</f>
        <v>05/01/2025 15:15:22.628</v>
      </c>
      <c r="C3907" t="str">
        <f t="shared" si="1546"/>
        <v>FFDFD3C0</v>
      </c>
      <c r="D3907" t="s">
        <v>145</v>
      </c>
      <c r="E3907" t="str">
        <f>"05"</f>
        <v>05</v>
      </c>
      <c r="H3907">
        <v>47</v>
      </c>
      <c r="I3907" t="s">
        <v>146</v>
      </c>
      <c r="J3907" t="s">
        <v>138</v>
      </c>
      <c r="K3907">
        <v>0</v>
      </c>
      <c r="L3907">
        <v>3</v>
      </c>
      <c r="M3907">
        <v>0</v>
      </c>
      <c r="N3907">
        <v>2</v>
      </c>
      <c r="O3907">
        <v>0</v>
      </c>
      <c r="P3907">
        <v>1</v>
      </c>
      <c r="Q3907">
        <v>0</v>
      </c>
      <c r="R3907" t="s">
        <v>127</v>
      </c>
      <c r="S3907" t="str">
        <f t="shared" si="1544"/>
        <v>15:15:22.000</v>
      </c>
      <c r="T3907" t="str">
        <f t="shared" si="1544"/>
        <v>15:15:22.000</v>
      </c>
      <c r="U3907" t="str">
        <f t="shared" si="1547"/>
        <v>A68FCB</v>
      </c>
      <c r="V3907">
        <v>0</v>
      </c>
      <c r="W3907">
        <v>0</v>
      </c>
      <c r="X3907">
        <v>2</v>
      </c>
      <c r="Y3907">
        <v>0</v>
      </c>
      <c r="AA3907">
        <v>1</v>
      </c>
      <c r="AB3907">
        <v>8</v>
      </c>
      <c r="AC3907">
        <v>3</v>
      </c>
      <c r="AD3907">
        <v>0</v>
      </c>
      <c r="AE3907">
        <v>9</v>
      </c>
      <c r="AF3907" t="s">
        <v>138</v>
      </c>
      <c r="AG3907">
        <v>0</v>
      </c>
      <c r="AH3907">
        <v>3</v>
      </c>
      <c r="AI3907">
        <v>2</v>
      </c>
      <c r="AJ3907">
        <v>0</v>
      </c>
      <c r="AK3907" t="s">
        <v>1234</v>
      </c>
      <c r="AL3907">
        <v>39.175980000000003</v>
      </c>
      <c r="AM3907" t="s">
        <v>1235</v>
      </c>
      <c r="AN3907">
        <v>-121.02921000000001</v>
      </c>
      <c r="AO3907">
        <v>25</v>
      </c>
      <c r="AP3907">
        <v>4300</v>
      </c>
      <c r="AQ3907" t="s">
        <v>131</v>
      </c>
      <c r="AR3907">
        <v>23</v>
      </c>
      <c r="AS3907">
        <v>79</v>
      </c>
      <c r="AT3907">
        <v>320</v>
      </c>
      <c r="BB3907" t="str">
        <f t="shared" si="1548"/>
        <v>1200</v>
      </c>
      <c r="BC3907">
        <v>1</v>
      </c>
      <c r="BD3907" t="str">
        <f t="shared" si="1549"/>
        <v xml:space="preserve">N52156  </v>
      </c>
      <c r="BE3907">
        <v>1</v>
      </c>
      <c r="BG3907">
        <v>0</v>
      </c>
      <c r="BH3907">
        <v>0</v>
      </c>
      <c r="BI3907">
        <v>0</v>
      </c>
      <c r="BJ3907">
        <v>4375</v>
      </c>
      <c r="BK3907">
        <v>75</v>
      </c>
      <c r="BL3907" t="s">
        <v>188</v>
      </c>
      <c r="BM3907">
        <v>1</v>
      </c>
      <c r="BN3907">
        <v>1</v>
      </c>
      <c r="BO3907">
        <v>0</v>
      </c>
      <c r="BP3907">
        <v>0</v>
      </c>
      <c r="BS3907">
        <v>0</v>
      </c>
      <c r="BT3907">
        <v>0</v>
      </c>
      <c r="BU3907">
        <v>0</v>
      </c>
      <c r="CE3907" t="str">
        <f t="shared" si="1545"/>
        <v>15:15:22.365</v>
      </c>
      <c r="CF3907">
        <v>364573195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3</v>
      </c>
      <c r="CY3907">
        <v>7</v>
      </c>
      <c r="CZ3907" t="s">
        <v>133</v>
      </c>
      <c r="DA3907">
        <v>276</v>
      </c>
      <c r="DB3907">
        <v>0</v>
      </c>
      <c r="DC3907" t="s">
        <v>402</v>
      </c>
      <c r="DD3907" t="s">
        <v>403</v>
      </c>
      <c r="DG3907">
        <v>1628300</v>
      </c>
      <c r="DI3907">
        <v>1</v>
      </c>
      <c r="DJ3907">
        <v>0</v>
      </c>
      <c r="DK3907">
        <v>1</v>
      </c>
      <c r="DL3907">
        <v>0</v>
      </c>
      <c r="DM3907">
        <v>0</v>
      </c>
      <c r="DN3907">
        <v>0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3">
      <c r="A3908" t="str">
        <f>"05/01/2025 15:15:23.963"</f>
        <v>05/01/2025 15:15:23.963</v>
      </c>
      <c r="C3908" t="str">
        <f t="shared" si="1546"/>
        <v>FFDFD3C0</v>
      </c>
      <c r="D3908" t="s">
        <v>143</v>
      </c>
      <c r="E3908" t="str">
        <f>"05"</f>
        <v>05</v>
      </c>
      <c r="H3908">
        <v>172</v>
      </c>
      <c r="I3908" t="s">
        <v>141</v>
      </c>
      <c r="J3908" t="s">
        <v>144</v>
      </c>
      <c r="K3908">
        <v>0</v>
      </c>
      <c r="L3908">
        <v>3</v>
      </c>
      <c r="M3908">
        <v>0</v>
      </c>
      <c r="N3908">
        <v>2</v>
      </c>
      <c r="O3908">
        <v>0</v>
      </c>
      <c r="P3908">
        <v>1</v>
      </c>
      <c r="Q3908">
        <v>0</v>
      </c>
      <c r="R3908" t="s">
        <v>127</v>
      </c>
      <c r="S3908" t="str">
        <f t="shared" ref="S3908:T3913" si="1550">"15:15:23.000"</f>
        <v>15:15:23.000</v>
      </c>
      <c r="T3908" t="str">
        <f t="shared" si="1550"/>
        <v>15:15:23.000</v>
      </c>
      <c r="U3908" t="str">
        <f t="shared" si="1547"/>
        <v>A68FCB</v>
      </c>
      <c r="V3908">
        <v>0</v>
      </c>
      <c r="W3908">
        <v>0</v>
      </c>
      <c r="X3908">
        <v>2</v>
      </c>
      <c r="Y3908">
        <v>0</v>
      </c>
      <c r="AA3908">
        <v>1</v>
      </c>
      <c r="AB3908">
        <v>8</v>
      </c>
      <c r="AC3908">
        <v>3</v>
      </c>
      <c r="AD3908">
        <v>0</v>
      </c>
      <c r="AE3908">
        <v>9</v>
      </c>
      <c r="AF3908" t="s">
        <v>138</v>
      </c>
      <c r="AG3908">
        <v>0</v>
      </c>
      <c r="AH3908">
        <v>3</v>
      </c>
      <c r="AI3908">
        <v>2</v>
      </c>
      <c r="AJ3908">
        <v>0</v>
      </c>
      <c r="AK3908" t="s">
        <v>1236</v>
      </c>
      <c r="AL3908">
        <v>39.176344999999998</v>
      </c>
      <c r="AM3908" t="s">
        <v>1237</v>
      </c>
      <c r="AN3908">
        <v>-121.02906</v>
      </c>
      <c r="AO3908">
        <v>25</v>
      </c>
      <c r="AP3908">
        <v>4300</v>
      </c>
      <c r="AQ3908" t="s">
        <v>131</v>
      </c>
      <c r="AR3908">
        <v>24</v>
      </c>
      <c r="AS3908">
        <v>79</v>
      </c>
      <c r="AT3908">
        <v>320</v>
      </c>
      <c r="BB3908" t="str">
        <f t="shared" si="1548"/>
        <v>1200</v>
      </c>
      <c r="BC3908">
        <v>1</v>
      </c>
      <c r="BD3908" t="str">
        <f t="shared" si="1549"/>
        <v xml:space="preserve">N52156  </v>
      </c>
      <c r="BE3908">
        <v>1</v>
      </c>
      <c r="BG3908">
        <v>0</v>
      </c>
      <c r="BH3908">
        <v>0</v>
      </c>
      <c r="BI3908">
        <v>0</v>
      </c>
      <c r="BJ3908">
        <v>4375</v>
      </c>
      <c r="BK3908">
        <v>75</v>
      </c>
      <c r="BL3908" t="s">
        <v>188</v>
      </c>
      <c r="BM3908">
        <v>1</v>
      </c>
      <c r="BN3908">
        <v>1</v>
      </c>
      <c r="BO3908">
        <v>0</v>
      </c>
      <c r="BP3908">
        <v>0</v>
      </c>
      <c r="BS3908">
        <v>0</v>
      </c>
      <c r="BT3908">
        <v>0</v>
      </c>
      <c r="BU3908">
        <v>0</v>
      </c>
      <c r="CE3908" t="str">
        <f t="shared" ref="CE3908:CE3913" si="1551">"15:15:23.746"</f>
        <v>15:15:23.746</v>
      </c>
      <c r="CF3908">
        <v>745824293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3</v>
      </c>
      <c r="CY3908">
        <v>7</v>
      </c>
      <c r="CZ3908" t="s">
        <v>133</v>
      </c>
      <c r="DA3908">
        <v>276</v>
      </c>
      <c r="DB3908">
        <v>0</v>
      </c>
      <c r="DC3908" t="s">
        <v>402</v>
      </c>
      <c r="DD3908" t="s">
        <v>403</v>
      </c>
      <c r="DG3908">
        <v>1628305</v>
      </c>
      <c r="DI3908">
        <v>1</v>
      </c>
      <c r="DJ3908">
        <v>0</v>
      </c>
      <c r="DK3908">
        <v>0</v>
      </c>
      <c r="DL3908">
        <v>0</v>
      </c>
      <c r="DM3908">
        <v>0</v>
      </c>
      <c r="DN3908">
        <v>0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3">
      <c r="A3909" t="str">
        <f>"05/01/2025 15:15:23.964"</f>
        <v>05/01/2025 15:15:23.964</v>
      </c>
      <c r="C3909" t="str">
        <f t="shared" si="1546"/>
        <v>FFDFD3C0</v>
      </c>
      <c r="D3909" t="s">
        <v>140</v>
      </c>
      <c r="E3909" t="str">
        <f>"13"</f>
        <v>13</v>
      </c>
      <c r="F3909">
        <v>1019</v>
      </c>
      <c r="G3909" t="s">
        <v>141</v>
      </c>
      <c r="J3909" t="s">
        <v>142</v>
      </c>
      <c r="K3909">
        <v>0</v>
      </c>
      <c r="L3909">
        <v>3</v>
      </c>
      <c r="M3909">
        <v>0</v>
      </c>
      <c r="N3909">
        <v>2</v>
      </c>
      <c r="O3909">
        <v>0</v>
      </c>
      <c r="P3909">
        <v>1</v>
      </c>
      <c r="Q3909">
        <v>0</v>
      </c>
      <c r="R3909" t="s">
        <v>127</v>
      </c>
      <c r="S3909" t="str">
        <f t="shared" si="1550"/>
        <v>15:15:23.000</v>
      </c>
      <c r="T3909" t="str">
        <f t="shared" si="1550"/>
        <v>15:15:23.000</v>
      </c>
      <c r="U3909" t="str">
        <f t="shared" si="1547"/>
        <v>A68FCB</v>
      </c>
      <c r="V3909">
        <v>0</v>
      </c>
      <c r="W3909">
        <v>0</v>
      </c>
      <c r="X3909">
        <v>2</v>
      </c>
      <c r="Y3909">
        <v>0</v>
      </c>
      <c r="AA3909">
        <v>1</v>
      </c>
      <c r="AB3909">
        <v>8</v>
      </c>
      <c r="AC3909">
        <v>3</v>
      </c>
      <c r="AD3909">
        <v>0</v>
      </c>
      <c r="AE3909">
        <v>9</v>
      </c>
      <c r="AF3909" t="s">
        <v>138</v>
      </c>
      <c r="AG3909">
        <v>0</v>
      </c>
      <c r="AH3909">
        <v>3</v>
      </c>
      <c r="AI3909">
        <v>2</v>
      </c>
      <c r="AJ3909">
        <v>0</v>
      </c>
      <c r="AK3909" t="s">
        <v>1236</v>
      </c>
      <c r="AL3909">
        <v>39.176344999999998</v>
      </c>
      <c r="AM3909" t="s">
        <v>1237</v>
      </c>
      <c r="AN3909">
        <v>-121.02906</v>
      </c>
      <c r="AO3909">
        <v>25</v>
      </c>
      <c r="AP3909">
        <v>4300</v>
      </c>
      <c r="AQ3909" t="s">
        <v>131</v>
      </c>
      <c r="AR3909">
        <v>24</v>
      </c>
      <c r="AS3909">
        <v>79</v>
      </c>
      <c r="AT3909">
        <v>320</v>
      </c>
      <c r="BB3909" t="str">
        <f t="shared" si="1548"/>
        <v>1200</v>
      </c>
      <c r="BC3909">
        <v>1</v>
      </c>
      <c r="BD3909" t="str">
        <f t="shared" si="1549"/>
        <v xml:space="preserve">N52156  </v>
      </c>
      <c r="BE3909">
        <v>1</v>
      </c>
      <c r="BG3909">
        <v>0</v>
      </c>
      <c r="BH3909">
        <v>0</v>
      </c>
      <c r="BI3909">
        <v>0</v>
      </c>
      <c r="BJ3909">
        <v>4375</v>
      </c>
      <c r="BK3909">
        <v>75</v>
      </c>
      <c r="BL3909" t="s">
        <v>188</v>
      </c>
      <c r="BM3909">
        <v>1</v>
      </c>
      <c r="BN3909">
        <v>1</v>
      </c>
      <c r="BO3909">
        <v>0</v>
      </c>
      <c r="BP3909">
        <v>0</v>
      </c>
      <c r="BS3909">
        <v>0</v>
      </c>
      <c r="BT3909">
        <v>0</v>
      </c>
      <c r="BU3909">
        <v>0</v>
      </c>
      <c r="CE3909" t="str">
        <f t="shared" si="1551"/>
        <v>15:15:23.746</v>
      </c>
      <c r="CF3909">
        <v>745824293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3</v>
      </c>
      <c r="CY3909">
        <v>7</v>
      </c>
      <c r="CZ3909" t="s">
        <v>133</v>
      </c>
      <c r="DA3909">
        <v>276</v>
      </c>
      <c r="DB3909">
        <v>0</v>
      </c>
      <c r="DC3909" t="s">
        <v>402</v>
      </c>
      <c r="DD3909" t="s">
        <v>403</v>
      </c>
      <c r="DG3909">
        <v>1628305</v>
      </c>
      <c r="DI3909">
        <v>1</v>
      </c>
      <c r="DJ3909">
        <v>0</v>
      </c>
      <c r="DK3909">
        <v>1</v>
      </c>
      <c r="DL3909">
        <v>0</v>
      </c>
      <c r="DM3909">
        <v>0</v>
      </c>
      <c r="DN3909">
        <v>0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3">
      <c r="A3910" t="str">
        <f>"05/01/2025 15:15:23.969"</f>
        <v>05/01/2025 15:15:23.969</v>
      </c>
      <c r="C3910" t="str">
        <f t="shared" si="1546"/>
        <v>FFDFD3C0</v>
      </c>
      <c r="D3910" t="s">
        <v>124</v>
      </c>
      <c r="E3910" t="str">
        <f>"06"</f>
        <v>06</v>
      </c>
      <c r="F3910">
        <v>2006</v>
      </c>
      <c r="G3910" t="s">
        <v>125</v>
      </c>
      <c r="J3910" t="s">
        <v>126</v>
      </c>
      <c r="K3910">
        <v>0</v>
      </c>
      <c r="L3910">
        <v>3</v>
      </c>
      <c r="M3910">
        <v>0</v>
      </c>
      <c r="N3910">
        <v>2</v>
      </c>
      <c r="O3910">
        <v>0</v>
      </c>
      <c r="P3910">
        <v>1</v>
      </c>
      <c r="Q3910">
        <v>0</v>
      </c>
      <c r="R3910" t="s">
        <v>127</v>
      </c>
      <c r="S3910" t="str">
        <f t="shared" si="1550"/>
        <v>15:15:23.000</v>
      </c>
      <c r="T3910" t="str">
        <f t="shared" si="1550"/>
        <v>15:15:23.000</v>
      </c>
      <c r="U3910" t="str">
        <f t="shared" si="1547"/>
        <v>A68FCB</v>
      </c>
      <c r="V3910">
        <v>0</v>
      </c>
      <c r="W3910">
        <v>0</v>
      </c>
      <c r="X3910">
        <v>2</v>
      </c>
      <c r="Y3910">
        <v>0</v>
      </c>
      <c r="AA3910">
        <v>1</v>
      </c>
      <c r="AB3910">
        <v>8</v>
      </c>
      <c r="AC3910">
        <v>3</v>
      </c>
      <c r="AD3910">
        <v>0</v>
      </c>
      <c r="AE3910">
        <v>9</v>
      </c>
      <c r="AF3910" t="s">
        <v>138</v>
      </c>
      <c r="AG3910">
        <v>0</v>
      </c>
      <c r="AH3910">
        <v>3</v>
      </c>
      <c r="AI3910">
        <v>2</v>
      </c>
      <c r="AJ3910">
        <v>0</v>
      </c>
      <c r="AK3910" t="s">
        <v>1236</v>
      </c>
      <c r="AL3910">
        <v>39.176344999999998</v>
      </c>
      <c r="AM3910" t="s">
        <v>1237</v>
      </c>
      <c r="AN3910">
        <v>-121.02906</v>
      </c>
      <c r="AO3910">
        <v>25</v>
      </c>
      <c r="AP3910">
        <v>4300</v>
      </c>
      <c r="AQ3910" t="s">
        <v>131</v>
      </c>
      <c r="AR3910">
        <v>24</v>
      </c>
      <c r="AS3910">
        <v>79</v>
      </c>
      <c r="AT3910">
        <v>320</v>
      </c>
      <c r="BB3910" t="str">
        <f t="shared" si="1548"/>
        <v>1200</v>
      </c>
      <c r="BC3910">
        <v>1</v>
      </c>
      <c r="BD3910" t="str">
        <f t="shared" si="1549"/>
        <v xml:space="preserve">N52156  </v>
      </c>
      <c r="BE3910">
        <v>1</v>
      </c>
      <c r="BG3910">
        <v>0</v>
      </c>
      <c r="BH3910">
        <v>0</v>
      </c>
      <c r="BI3910">
        <v>0</v>
      </c>
      <c r="BJ3910">
        <v>4375</v>
      </c>
      <c r="BK3910">
        <v>75</v>
      </c>
      <c r="BL3910" t="s">
        <v>188</v>
      </c>
      <c r="BM3910">
        <v>1</v>
      </c>
      <c r="BN3910">
        <v>1</v>
      </c>
      <c r="BO3910">
        <v>0</v>
      </c>
      <c r="BP3910">
        <v>0</v>
      </c>
      <c r="BS3910">
        <v>0</v>
      </c>
      <c r="BT3910">
        <v>0</v>
      </c>
      <c r="BU3910">
        <v>0</v>
      </c>
      <c r="CE3910" t="str">
        <f t="shared" si="1551"/>
        <v>15:15:23.746</v>
      </c>
      <c r="CF3910">
        <v>745824293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3</v>
      </c>
      <c r="CY3910">
        <v>7</v>
      </c>
      <c r="CZ3910" t="s">
        <v>133</v>
      </c>
      <c r="DA3910">
        <v>276</v>
      </c>
      <c r="DB3910">
        <v>0</v>
      </c>
      <c r="DC3910" t="s">
        <v>402</v>
      </c>
      <c r="DD3910" t="s">
        <v>403</v>
      </c>
      <c r="DG3910">
        <v>1628305</v>
      </c>
      <c r="DI3910">
        <v>1</v>
      </c>
      <c r="DJ3910">
        <v>0</v>
      </c>
      <c r="DK3910">
        <v>1</v>
      </c>
      <c r="DL3910">
        <v>0</v>
      </c>
      <c r="DM3910">
        <v>0</v>
      </c>
      <c r="DN3910">
        <v>0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3">
      <c r="A3911" t="str">
        <f>"05/01/2025 15:15:23.978"</f>
        <v>05/01/2025 15:15:23.978</v>
      </c>
      <c r="C3911" t="str">
        <f t="shared" si="1546"/>
        <v>FFDFD3C0</v>
      </c>
      <c r="D3911" t="s">
        <v>145</v>
      </c>
      <c r="E3911" t="str">
        <f>"09"</f>
        <v>09</v>
      </c>
      <c r="H3911">
        <v>51</v>
      </c>
      <c r="I3911" t="s">
        <v>147</v>
      </c>
      <c r="J3911" t="s">
        <v>138</v>
      </c>
      <c r="K3911">
        <v>0</v>
      </c>
      <c r="L3911">
        <v>3</v>
      </c>
      <c r="M3911">
        <v>0</v>
      </c>
      <c r="N3911">
        <v>2</v>
      </c>
      <c r="O3911">
        <v>0</v>
      </c>
      <c r="P3911">
        <v>1</v>
      </c>
      <c r="Q3911">
        <v>0</v>
      </c>
      <c r="R3911" t="s">
        <v>127</v>
      </c>
      <c r="S3911" t="str">
        <f t="shared" si="1550"/>
        <v>15:15:23.000</v>
      </c>
      <c r="T3911" t="str">
        <f t="shared" si="1550"/>
        <v>15:15:23.000</v>
      </c>
      <c r="U3911" t="str">
        <f t="shared" si="1547"/>
        <v>A68FCB</v>
      </c>
      <c r="V3911">
        <v>0</v>
      </c>
      <c r="W3911">
        <v>0</v>
      </c>
      <c r="X3911">
        <v>2</v>
      </c>
      <c r="Y3911">
        <v>0</v>
      </c>
      <c r="AA3911">
        <v>1</v>
      </c>
      <c r="AB3911">
        <v>8</v>
      </c>
      <c r="AC3911">
        <v>3</v>
      </c>
      <c r="AD3911">
        <v>0</v>
      </c>
      <c r="AE3911">
        <v>9</v>
      </c>
      <c r="AF3911" t="s">
        <v>138</v>
      </c>
      <c r="AG3911">
        <v>0</v>
      </c>
      <c r="AH3911">
        <v>3</v>
      </c>
      <c r="AI3911">
        <v>2</v>
      </c>
      <c r="AJ3911">
        <v>0</v>
      </c>
      <c r="AK3911" t="s">
        <v>1236</v>
      </c>
      <c r="AL3911">
        <v>39.176344999999998</v>
      </c>
      <c r="AM3911" t="s">
        <v>1237</v>
      </c>
      <c r="AN3911">
        <v>-121.02906</v>
      </c>
      <c r="AO3911">
        <v>25</v>
      </c>
      <c r="AP3911">
        <v>4300</v>
      </c>
      <c r="AQ3911" t="s">
        <v>131</v>
      </c>
      <c r="AR3911">
        <v>24</v>
      </c>
      <c r="AS3911">
        <v>79</v>
      </c>
      <c r="AT3911">
        <v>320</v>
      </c>
      <c r="BB3911" t="str">
        <f t="shared" si="1548"/>
        <v>1200</v>
      </c>
      <c r="BC3911">
        <v>1</v>
      </c>
      <c r="BD3911" t="str">
        <f t="shared" si="1549"/>
        <v xml:space="preserve">N52156  </v>
      </c>
      <c r="BE3911">
        <v>1</v>
      </c>
      <c r="BG3911">
        <v>0</v>
      </c>
      <c r="BH3911">
        <v>0</v>
      </c>
      <c r="BI3911">
        <v>0</v>
      </c>
      <c r="BJ3911">
        <v>4375</v>
      </c>
      <c r="BK3911">
        <v>75</v>
      </c>
      <c r="BL3911" t="s">
        <v>188</v>
      </c>
      <c r="BM3911">
        <v>1</v>
      </c>
      <c r="BN3911">
        <v>1</v>
      </c>
      <c r="BO3911">
        <v>0</v>
      </c>
      <c r="BP3911">
        <v>0</v>
      </c>
      <c r="BS3911">
        <v>0</v>
      </c>
      <c r="BT3911">
        <v>0</v>
      </c>
      <c r="BU3911">
        <v>0</v>
      </c>
      <c r="CE3911" t="str">
        <f t="shared" si="1551"/>
        <v>15:15:23.746</v>
      </c>
      <c r="CF3911">
        <v>745824293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3</v>
      </c>
      <c r="CY3911">
        <v>7</v>
      </c>
      <c r="CZ3911" t="s">
        <v>133</v>
      </c>
      <c r="DA3911">
        <v>276</v>
      </c>
      <c r="DB3911">
        <v>0</v>
      </c>
      <c r="DC3911" t="s">
        <v>402</v>
      </c>
      <c r="DD3911" t="s">
        <v>403</v>
      </c>
      <c r="DG3911">
        <v>1628305</v>
      </c>
      <c r="DI3911">
        <v>1</v>
      </c>
      <c r="DJ3911">
        <v>0</v>
      </c>
      <c r="DK3911">
        <v>1</v>
      </c>
      <c r="DL3911">
        <v>0</v>
      </c>
      <c r="DM3911">
        <v>0</v>
      </c>
      <c r="DN3911">
        <v>0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3">
      <c r="A3912" t="str">
        <f>"05/01/2025 15:15:23.981"</f>
        <v>05/01/2025 15:15:23.981</v>
      </c>
      <c r="C3912" t="str">
        <f t="shared" si="1546"/>
        <v>FFDFD3C0</v>
      </c>
      <c r="D3912" t="s">
        <v>145</v>
      </c>
      <c r="E3912" t="str">
        <f>"05"</f>
        <v>05</v>
      </c>
      <c r="H3912">
        <v>47</v>
      </c>
      <c r="I3912" t="s">
        <v>146</v>
      </c>
      <c r="J3912" t="s">
        <v>138</v>
      </c>
      <c r="K3912">
        <v>0</v>
      </c>
      <c r="L3912">
        <v>3</v>
      </c>
      <c r="M3912">
        <v>0</v>
      </c>
      <c r="N3912">
        <v>2</v>
      </c>
      <c r="O3912">
        <v>0</v>
      </c>
      <c r="P3912">
        <v>1</v>
      </c>
      <c r="Q3912">
        <v>0</v>
      </c>
      <c r="R3912" t="s">
        <v>127</v>
      </c>
      <c r="S3912" t="str">
        <f t="shared" si="1550"/>
        <v>15:15:23.000</v>
      </c>
      <c r="T3912" t="str">
        <f t="shared" si="1550"/>
        <v>15:15:23.000</v>
      </c>
      <c r="U3912" t="str">
        <f t="shared" si="1547"/>
        <v>A68FCB</v>
      </c>
      <c r="V3912">
        <v>0</v>
      </c>
      <c r="W3912">
        <v>0</v>
      </c>
      <c r="X3912">
        <v>2</v>
      </c>
      <c r="Y3912">
        <v>0</v>
      </c>
      <c r="AA3912">
        <v>1</v>
      </c>
      <c r="AB3912">
        <v>8</v>
      </c>
      <c r="AC3912">
        <v>3</v>
      </c>
      <c r="AD3912">
        <v>0</v>
      </c>
      <c r="AE3912">
        <v>9</v>
      </c>
      <c r="AF3912" t="s">
        <v>138</v>
      </c>
      <c r="AG3912">
        <v>0</v>
      </c>
      <c r="AH3912">
        <v>3</v>
      </c>
      <c r="AI3912">
        <v>2</v>
      </c>
      <c r="AJ3912">
        <v>0</v>
      </c>
      <c r="AK3912" t="s">
        <v>1236</v>
      </c>
      <c r="AL3912">
        <v>39.176344999999998</v>
      </c>
      <c r="AM3912" t="s">
        <v>1237</v>
      </c>
      <c r="AN3912">
        <v>-121.02906</v>
      </c>
      <c r="AO3912">
        <v>25</v>
      </c>
      <c r="AP3912">
        <v>4300</v>
      </c>
      <c r="AQ3912" t="s">
        <v>131</v>
      </c>
      <c r="AR3912">
        <v>24</v>
      </c>
      <c r="AS3912">
        <v>79</v>
      </c>
      <c r="AT3912">
        <v>320</v>
      </c>
      <c r="BB3912" t="str">
        <f t="shared" si="1548"/>
        <v>1200</v>
      </c>
      <c r="BC3912">
        <v>1</v>
      </c>
      <c r="BD3912" t="str">
        <f t="shared" si="1549"/>
        <v xml:space="preserve">N52156  </v>
      </c>
      <c r="BE3912">
        <v>1</v>
      </c>
      <c r="BG3912">
        <v>0</v>
      </c>
      <c r="BH3912">
        <v>0</v>
      </c>
      <c r="BI3912">
        <v>0</v>
      </c>
      <c r="BJ3912">
        <v>4375</v>
      </c>
      <c r="BK3912">
        <v>75</v>
      </c>
      <c r="BL3912" t="s">
        <v>188</v>
      </c>
      <c r="BM3912">
        <v>1</v>
      </c>
      <c r="BN3912">
        <v>1</v>
      </c>
      <c r="BO3912">
        <v>0</v>
      </c>
      <c r="BP3912">
        <v>0</v>
      </c>
      <c r="BS3912">
        <v>0</v>
      </c>
      <c r="BT3912">
        <v>0</v>
      </c>
      <c r="BU3912">
        <v>0</v>
      </c>
      <c r="CE3912" t="str">
        <f t="shared" si="1551"/>
        <v>15:15:23.746</v>
      </c>
      <c r="CF3912">
        <v>745824293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3</v>
      </c>
      <c r="CY3912">
        <v>7</v>
      </c>
      <c r="CZ3912" t="s">
        <v>133</v>
      </c>
      <c r="DA3912">
        <v>276</v>
      </c>
      <c r="DB3912">
        <v>0</v>
      </c>
      <c r="DC3912" t="s">
        <v>402</v>
      </c>
      <c r="DD3912" t="s">
        <v>403</v>
      </c>
      <c r="DG3912">
        <v>1628305</v>
      </c>
      <c r="DI3912">
        <v>1</v>
      </c>
      <c r="DJ3912">
        <v>0</v>
      </c>
      <c r="DK3912">
        <v>1</v>
      </c>
      <c r="DL3912">
        <v>0</v>
      </c>
      <c r="DM3912">
        <v>0</v>
      </c>
      <c r="DN3912">
        <v>0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3">
      <c r="A3913" t="str">
        <f>"05/01/2025 15:15:23.991"</f>
        <v>05/01/2025 15:15:23.991</v>
      </c>
      <c r="C3913" t="str">
        <f t="shared" si="1546"/>
        <v>FFDFD3C0</v>
      </c>
      <c r="D3913" t="s">
        <v>136</v>
      </c>
      <c r="E3913" t="str">
        <f>"20"</f>
        <v>20</v>
      </c>
      <c r="H3913">
        <v>400</v>
      </c>
      <c r="I3913" t="s">
        <v>137</v>
      </c>
      <c r="J3913" t="s">
        <v>138</v>
      </c>
      <c r="K3913">
        <v>0</v>
      </c>
      <c r="L3913">
        <v>3</v>
      </c>
      <c r="M3913">
        <v>0</v>
      </c>
      <c r="N3913">
        <v>2</v>
      </c>
      <c r="O3913">
        <v>0</v>
      </c>
      <c r="P3913">
        <v>1</v>
      </c>
      <c r="Q3913">
        <v>0</v>
      </c>
      <c r="R3913" t="s">
        <v>127</v>
      </c>
      <c r="S3913" t="str">
        <f t="shared" si="1550"/>
        <v>15:15:23.000</v>
      </c>
      <c r="T3913" t="str">
        <f t="shared" si="1550"/>
        <v>15:15:23.000</v>
      </c>
      <c r="U3913" t="str">
        <f t="shared" si="1547"/>
        <v>A68FCB</v>
      </c>
      <c r="V3913">
        <v>0</v>
      </c>
      <c r="W3913">
        <v>0</v>
      </c>
      <c r="X3913">
        <v>2</v>
      </c>
      <c r="Y3913">
        <v>0</v>
      </c>
      <c r="AA3913">
        <v>1</v>
      </c>
      <c r="AB3913">
        <v>8</v>
      </c>
      <c r="AC3913">
        <v>3</v>
      </c>
      <c r="AD3913">
        <v>0</v>
      </c>
      <c r="AE3913">
        <v>9</v>
      </c>
      <c r="AF3913" t="s">
        <v>138</v>
      </c>
      <c r="AG3913">
        <v>0</v>
      </c>
      <c r="AH3913">
        <v>3</v>
      </c>
      <c r="AI3913">
        <v>2</v>
      </c>
      <c r="AJ3913">
        <v>0</v>
      </c>
      <c r="AK3913" t="s">
        <v>1236</v>
      </c>
      <c r="AL3913">
        <v>39.176344999999998</v>
      </c>
      <c r="AM3913" t="s">
        <v>1237</v>
      </c>
      <c r="AN3913">
        <v>-121.02906</v>
      </c>
      <c r="AO3913">
        <v>25</v>
      </c>
      <c r="AP3913">
        <v>4300</v>
      </c>
      <c r="AQ3913" t="s">
        <v>131</v>
      </c>
      <c r="AR3913">
        <v>24</v>
      </c>
      <c r="AS3913">
        <v>79</v>
      </c>
      <c r="AT3913">
        <v>320</v>
      </c>
      <c r="BB3913" t="str">
        <f t="shared" si="1548"/>
        <v>1200</v>
      </c>
      <c r="BC3913">
        <v>1</v>
      </c>
      <c r="BD3913" t="str">
        <f t="shared" si="1549"/>
        <v xml:space="preserve">N52156  </v>
      </c>
      <c r="BE3913">
        <v>1</v>
      </c>
      <c r="BG3913">
        <v>0</v>
      </c>
      <c r="BH3913">
        <v>0</v>
      </c>
      <c r="BI3913">
        <v>0</v>
      </c>
      <c r="BJ3913">
        <v>4375</v>
      </c>
      <c r="BK3913">
        <v>75</v>
      </c>
      <c r="BL3913" t="s">
        <v>188</v>
      </c>
      <c r="BM3913">
        <v>1</v>
      </c>
      <c r="BN3913">
        <v>1</v>
      </c>
      <c r="BO3913">
        <v>0</v>
      </c>
      <c r="BP3913">
        <v>0</v>
      </c>
      <c r="BS3913">
        <v>0</v>
      </c>
      <c r="BT3913">
        <v>0</v>
      </c>
      <c r="BU3913">
        <v>0</v>
      </c>
      <c r="CE3913" t="str">
        <f t="shared" si="1551"/>
        <v>15:15:23.746</v>
      </c>
      <c r="CF3913">
        <v>745824293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3</v>
      </c>
      <c r="CY3913">
        <v>7</v>
      </c>
      <c r="CZ3913" t="s">
        <v>133</v>
      </c>
      <c r="DA3913">
        <v>276</v>
      </c>
      <c r="DB3913">
        <v>0</v>
      </c>
      <c r="DC3913" t="s">
        <v>402</v>
      </c>
      <c r="DD3913" t="s">
        <v>403</v>
      </c>
      <c r="DG3913">
        <v>1628305</v>
      </c>
      <c r="DI3913">
        <v>1</v>
      </c>
      <c r="DJ3913">
        <v>0</v>
      </c>
      <c r="DK3913">
        <v>1</v>
      </c>
      <c r="DL3913">
        <v>0</v>
      </c>
      <c r="DM3913">
        <v>0</v>
      </c>
      <c r="DN3913">
        <v>0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3">
      <c r="A3914" t="str">
        <f>"05/01/2025 15:15:24.529"</f>
        <v>05/01/2025 15:15:24.529</v>
      </c>
      <c r="C3914" t="str">
        <f t="shared" si="1546"/>
        <v>FFDFD3C0</v>
      </c>
      <c r="D3914" t="s">
        <v>145</v>
      </c>
      <c r="E3914" t="str">
        <f>"09"</f>
        <v>09</v>
      </c>
      <c r="H3914">
        <v>51</v>
      </c>
      <c r="I3914" t="s">
        <v>147</v>
      </c>
      <c r="J3914" t="s">
        <v>138</v>
      </c>
      <c r="K3914">
        <v>0</v>
      </c>
      <c r="L3914">
        <v>3</v>
      </c>
      <c r="M3914">
        <v>0</v>
      </c>
      <c r="N3914">
        <v>2</v>
      </c>
      <c r="O3914">
        <v>0</v>
      </c>
      <c r="P3914">
        <v>1</v>
      </c>
      <c r="Q3914">
        <v>0</v>
      </c>
      <c r="R3914" t="s">
        <v>127</v>
      </c>
      <c r="S3914" t="str">
        <f t="shared" ref="S3914:T3919" si="1552">"15:15:24.000"</f>
        <v>15:15:24.000</v>
      </c>
      <c r="T3914" t="str">
        <f t="shared" si="1552"/>
        <v>15:15:24.000</v>
      </c>
      <c r="U3914" t="str">
        <f t="shared" si="1547"/>
        <v>A68FCB</v>
      </c>
      <c r="V3914">
        <v>0</v>
      </c>
      <c r="W3914">
        <v>0</v>
      </c>
      <c r="X3914">
        <v>2</v>
      </c>
      <c r="Y3914">
        <v>0</v>
      </c>
      <c r="AA3914">
        <v>1</v>
      </c>
      <c r="AB3914">
        <v>8</v>
      </c>
      <c r="AC3914">
        <v>3</v>
      </c>
      <c r="AD3914">
        <v>0</v>
      </c>
      <c r="AE3914">
        <v>9</v>
      </c>
      <c r="AF3914" t="s">
        <v>138</v>
      </c>
      <c r="AG3914">
        <v>0</v>
      </c>
      <c r="AH3914">
        <v>3</v>
      </c>
      <c r="AI3914">
        <v>2</v>
      </c>
      <c r="AJ3914">
        <v>0</v>
      </c>
      <c r="AK3914" t="s">
        <v>1238</v>
      </c>
      <c r="AL3914">
        <v>39.176730999999997</v>
      </c>
      <c r="AM3914" t="s">
        <v>1239</v>
      </c>
      <c r="AN3914">
        <v>-121.028931</v>
      </c>
      <c r="AO3914">
        <v>25</v>
      </c>
      <c r="AP3914">
        <v>4400</v>
      </c>
      <c r="AQ3914" t="s">
        <v>131</v>
      </c>
      <c r="AR3914">
        <v>25</v>
      </c>
      <c r="AS3914">
        <v>79</v>
      </c>
      <c r="AT3914">
        <v>320</v>
      </c>
      <c r="BB3914" t="str">
        <f t="shared" si="1548"/>
        <v>1200</v>
      </c>
      <c r="BC3914">
        <v>1</v>
      </c>
      <c r="BD3914" t="str">
        <f t="shared" si="1549"/>
        <v xml:space="preserve">N52156  </v>
      </c>
      <c r="BE3914">
        <v>1</v>
      </c>
      <c r="BG3914">
        <v>0</v>
      </c>
      <c r="BH3914">
        <v>0</v>
      </c>
      <c r="BI3914">
        <v>0</v>
      </c>
      <c r="BJ3914">
        <v>4400</v>
      </c>
      <c r="BK3914">
        <v>0</v>
      </c>
      <c r="BL3914" t="s">
        <v>188</v>
      </c>
      <c r="BM3914">
        <v>1</v>
      </c>
      <c r="BN3914">
        <v>1</v>
      </c>
      <c r="BO3914">
        <v>0</v>
      </c>
      <c r="BP3914">
        <v>0</v>
      </c>
      <c r="BS3914">
        <v>0</v>
      </c>
      <c r="BT3914">
        <v>0</v>
      </c>
      <c r="BU3914">
        <v>0</v>
      </c>
      <c r="CE3914" t="str">
        <f t="shared" ref="CE3914:CE3919" si="1553">"15:15:24.308"</f>
        <v>15:15:24.308</v>
      </c>
      <c r="CF3914">
        <v>307573270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3</v>
      </c>
      <c r="CY3914">
        <v>7</v>
      </c>
      <c r="CZ3914" t="s">
        <v>133</v>
      </c>
      <c r="DA3914">
        <v>276</v>
      </c>
      <c r="DB3914">
        <v>0</v>
      </c>
      <c r="DC3914" t="s">
        <v>402</v>
      </c>
      <c r="DD3914" t="s">
        <v>403</v>
      </c>
      <c r="DG3914">
        <v>1628309</v>
      </c>
      <c r="DI3914">
        <v>1</v>
      </c>
      <c r="DJ3914">
        <v>0</v>
      </c>
      <c r="DK3914">
        <v>0</v>
      </c>
      <c r="DL3914">
        <v>0</v>
      </c>
      <c r="DM3914">
        <v>0</v>
      </c>
      <c r="DN3914">
        <v>0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3">
      <c r="A3915" t="str">
        <f>"05/01/2025 15:15:24.532"</f>
        <v>05/01/2025 15:15:24.532</v>
      </c>
      <c r="C3915" t="str">
        <f t="shared" si="1546"/>
        <v>FFDFD3C0</v>
      </c>
      <c r="D3915" t="s">
        <v>145</v>
      </c>
      <c r="E3915" t="str">
        <f>"05"</f>
        <v>05</v>
      </c>
      <c r="H3915">
        <v>47</v>
      </c>
      <c r="I3915" t="s">
        <v>146</v>
      </c>
      <c r="J3915" t="s">
        <v>138</v>
      </c>
      <c r="K3915">
        <v>0</v>
      </c>
      <c r="L3915">
        <v>3</v>
      </c>
      <c r="M3915">
        <v>0</v>
      </c>
      <c r="N3915">
        <v>2</v>
      </c>
      <c r="O3915">
        <v>0</v>
      </c>
      <c r="P3915">
        <v>1</v>
      </c>
      <c r="Q3915">
        <v>0</v>
      </c>
      <c r="R3915" t="s">
        <v>127</v>
      </c>
      <c r="S3915" t="str">
        <f t="shared" si="1552"/>
        <v>15:15:24.000</v>
      </c>
      <c r="T3915" t="str">
        <f t="shared" si="1552"/>
        <v>15:15:24.000</v>
      </c>
      <c r="U3915" t="str">
        <f t="shared" si="1547"/>
        <v>A68FCB</v>
      </c>
      <c r="V3915">
        <v>0</v>
      </c>
      <c r="W3915">
        <v>0</v>
      </c>
      <c r="X3915">
        <v>2</v>
      </c>
      <c r="Y3915">
        <v>0</v>
      </c>
      <c r="AA3915">
        <v>1</v>
      </c>
      <c r="AB3915">
        <v>8</v>
      </c>
      <c r="AC3915">
        <v>3</v>
      </c>
      <c r="AD3915">
        <v>0</v>
      </c>
      <c r="AE3915">
        <v>9</v>
      </c>
      <c r="AF3915" t="s">
        <v>138</v>
      </c>
      <c r="AG3915">
        <v>0</v>
      </c>
      <c r="AH3915">
        <v>3</v>
      </c>
      <c r="AI3915">
        <v>2</v>
      </c>
      <c r="AJ3915">
        <v>0</v>
      </c>
      <c r="AK3915" t="s">
        <v>1238</v>
      </c>
      <c r="AL3915">
        <v>39.176730999999997</v>
      </c>
      <c r="AM3915" t="s">
        <v>1239</v>
      </c>
      <c r="AN3915">
        <v>-121.028931</v>
      </c>
      <c r="AO3915">
        <v>25</v>
      </c>
      <c r="AP3915">
        <v>4400</v>
      </c>
      <c r="AQ3915" t="s">
        <v>131</v>
      </c>
      <c r="AR3915">
        <v>25</v>
      </c>
      <c r="AS3915">
        <v>79</v>
      </c>
      <c r="AT3915">
        <v>320</v>
      </c>
      <c r="BB3915" t="str">
        <f t="shared" si="1548"/>
        <v>1200</v>
      </c>
      <c r="BC3915">
        <v>1</v>
      </c>
      <c r="BD3915" t="str">
        <f t="shared" si="1549"/>
        <v xml:space="preserve">N52156  </v>
      </c>
      <c r="BE3915">
        <v>1</v>
      </c>
      <c r="BG3915">
        <v>0</v>
      </c>
      <c r="BH3915">
        <v>0</v>
      </c>
      <c r="BI3915">
        <v>0</v>
      </c>
      <c r="BJ3915">
        <v>4400</v>
      </c>
      <c r="BK3915">
        <v>0</v>
      </c>
      <c r="BL3915" t="s">
        <v>188</v>
      </c>
      <c r="BM3915">
        <v>1</v>
      </c>
      <c r="BN3915">
        <v>1</v>
      </c>
      <c r="BO3915">
        <v>0</v>
      </c>
      <c r="BP3915">
        <v>0</v>
      </c>
      <c r="BS3915">
        <v>0</v>
      </c>
      <c r="BT3915">
        <v>0</v>
      </c>
      <c r="BU3915">
        <v>0</v>
      </c>
      <c r="CE3915" t="str">
        <f t="shared" si="1553"/>
        <v>15:15:24.308</v>
      </c>
      <c r="CF3915">
        <v>307573270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3</v>
      </c>
      <c r="CY3915">
        <v>7</v>
      </c>
      <c r="CZ3915" t="s">
        <v>133</v>
      </c>
      <c r="DA3915">
        <v>276</v>
      </c>
      <c r="DB3915">
        <v>0</v>
      </c>
      <c r="DC3915" t="s">
        <v>402</v>
      </c>
      <c r="DD3915" t="s">
        <v>403</v>
      </c>
      <c r="DG3915">
        <v>1628309</v>
      </c>
      <c r="DI3915">
        <v>1</v>
      </c>
      <c r="DJ3915">
        <v>0</v>
      </c>
      <c r="DK3915">
        <v>1</v>
      </c>
      <c r="DL3915">
        <v>0</v>
      </c>
      <c r="DM3915">
        <v>0</v>
      </c>
      <c r="DN3915">
        <v>0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3">
      <c r="A3916" t="str">
        <f>"05/01/2025 15:15:24.542"</f>
        <v>05/01/2025 15:15:24.542</v>
      </c>
      <c r="C3916" t="str">
        <f t="shared" si="1546"/>
        <v>FFDFD3C0</v>
      </c>
      <c r="D3916" t="s">
        <v>136</v>
      </c>
      <c r="E3916" t="str">
        <f>"20"</f>
        <v>20</v>
      </c>
      <c r="H3916">
        <v>400</v>
      </c>
      <c r="I3916" t="s">
        <v>137</v>
      </c>
      <c r="J3916" t="s">
        <v>138</v>
      </c>
      <c r="K3916">
        <v>0</v>
      </c>
      <c r="L3916">
        <v>3</v>
      </c>
      <c r="M3916">
        <v>0</v>
      </c>
      <c r="N3916">
        <v>2</v>
      </c>
      <c r="O3916">
        <v>0</v>
      </c>
      <c r="P3916">
        <v>1</v>
      </c>
      <c r="Q3916">
        <v>0</v>
      </c>
      <c r="R3916" t="s">
        <v>127</v>
      </c>
      <c r="S3916" t="str">
        <f t="shared" si="1552"/>
        <v>15:15:24.000</v>
      </c>
      <c r="T3916" t="str">
        <f t="shared" si="1552"/>
        <v>15:15:24.000</v>
      </c>
      <c r="U3916" t="str">
        <f t="shared" si="1547"/>
        <v>A68FCB</v>
      </c>
      <c r="V3916">
        <v>0</v>
      </c>
      <c r="W3916">
        <v>0</v>
      </c>
      <c r="X3916">
        <v>2</v>
      </c>
      <c r="Y3916">
        <v>0</v>
      </c>
      <c r="AA3916">
        <v>1</v>
      </c>
      <c r="AB3916">
        <v>8</v>
      </c>
      <c r="AC3916">
        <v>3</v>
      </c>
      <c r="AD3916">
        <v>0</v>
      </c>
      <c r="AE3916">
        <v>9</v>
      </c>
      <c r="AF3916" t="s">
        <v>138</v>
      </c>
      <c r="AG3916">
        <v>0</v>
      </c>
      <c r="AH3916">
        <v>3</v>
      </c>
      <c r="AI3916">
        <v>2</v>
      </c>
      <c r="AJ3916">
        <v>0</v>
      </c>
      <c r="AK3916" t="s">
        <v>1238</v>
      </c>
      <c r="AL3916">
        <v>39.176730999999997</v>
      </c>
      <c r="AM3916" t="s">
        <v>1239</v>
      </c>
      <c r="AN3916">
        <v>-121.028931</v>
      </c>
      <c r="AO3916">
        <v>25</v>
      </c>
      <c r="AP3916">
        <v>4400</v>
      </c>
      <c r="AQ3916" t="s">
        <v>131</v>
      </c>
      <c r="AR3916">
        <v>25</v>
      </c>
      <c r="AS3916">
        <v>79</v>
      </c>
      <c r="AT3916">
        <v>320</v>
      </c>
      <c r="BB3916" t="str">
        <f t="shared" si="1548"/>
        <v>1200</v>
      </c>
      <c r="BC3916">
        <v>1</v>
      </c>
      <c r="BD3916" t="str">
        <f t="shared" si="1549"/>
        <v xml:space="preserve">N52156  </v>
      </c>
      <c r="BE3916">
        <v>1</v>
      </c>
      <c r="BG3916">
        <v>0</v>
      </c>
      <c r="BH3916">
        <v>0</v>
      </c>
      <c r="BI3916">
        <v>0</v>
      </c>
      <c r="BJ3916">
        <v>4400</v>
      </c>
      <c r="BK3916">
        <v>0</v>
      </c>
      <c r="BL3916" t="s">
        <v>188</v>
      </c>
      <c r="BM3916">
        <v>1</v>
      </c>
      <c r="BN3916">
        <v>1</v>
      </c>
      <c r="BO3916">
        <v>0</v>
      </c>
      <c r="BP3916">
        <v>0</v>
      </c>
      <c r="BS3916">
        <v>0</v>
      </c>
      <c r="BT3916">
        <v>0</v>
      </c>
      <c r="BU3916">
        <v>0</v>
      </c>
      <c r="CE3916" t="str">
        <f t="shared" si="1553"/>
        <v>15:15:24.308</v>
      </c>
      <c r="CF3916">
        <v>307573270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3</v>
      </c>
      <c r="CY3916">
        <v>7</v>
      </c>
      <c r="CZ3916" t="s">
        <v>133</v>
      </c>
      <c r="DA3916">
        <v>276</v>
      </c>
      <c r="DB3916">
        <v>0</v>
      </c>
      <c r="DC3916" t="s">
        <v>402</v>
      </c>
      <c r="DD3916" t="s">
        <v>403</v>
      </c>
      <c r="DG3916">
        <v>1628309</v>
      </c>
      <c r="DI3916">
        <v>1</v>
      </c>
      <c r="DJ3916">
        <v>0</v>
      </c>
      <c r="DK3916">
        <v>1</v>
      </c>
      <c r="DL3916">
        <v>0</v>
      </c>
      <c r="DM3916">
        <v>0</v>
      </c>
      <c r="DN3916">
        <v>0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3">
      <c r="A3917" t="str">
        <f>"05/01/2025 15:15:24.563"</f>
        <v>05/01/2025 15:15:24.563</v>
      </c>
      <c r="C3917" t="str">
        <f t="shared" si="1546"/>
        <v>FFDFD3C0</v>
      </c>
      <c r="D3917" t="s">
        <v>143</v>
      </c>
      <c r="E3917" t="str">
        <f>"05"</f>
        <v>05</v>
      </c>
      <c r="H3917">
        <v>172</v>
      </c>
      <c r="I3917" t="s">
        <v>141</v>
      </c>
      <c r="J3917" t="s">
        <v>144</v>
      </c>
      <c r="K3917">
        <v>0</v>
      </c>
      <c r="L3917">
        <v>3</v>
      </c>
      <c r="M3917">
        <v>0</v>
      </c>
      <c r="N3917">
        <v>2</v>
      </c>
      <c r="O3917">
        <v>0</v>
      </c>
      <c r="P3917">
        <v>1</v>
      </c>
      <c r="Q3917">
        <v>0</v>
      </c>
      <c r="R3917" t="s">
        <v>127</v>
      </c>
      <c r="S3917" t="str">
        <f t="shared" si="1552"/>
        <v>15:15:24.000</v>
      </c>
      <c r="T3917" t="str">
        <f t="shared" si="1552"/>
        <v>15:15:24.000</v>
      </c>
      <c r="U3917" t="str">
        <f t="shared" si="1547"/>
        <v>A68FCB</v>
      </c>
      <c r="V3917">
        <v>0</v>
      </c>
      <c r="W3917">
        <v>0</v>
      </c>
      <c r="X3917">
        <v>2</v>
      </c>
      <c r="Y3917">
        <v>0</v>
      </c>
      <c r="AA3917">
        <v>1</v>
      </c>
      <c r="AB3917">
        <v>8</v>
      </c>
      <c r="AC3917">
        <v>3</v>
      </c>
      <c r="AD3917">
        <v>0</v>
      </c>
      <c r="AE3917">
        <v>9</v>
      </c>
      <c r="AF3917" t="s">
        <v>138</v>
      </c>
      <c r="AG3917">
        <v>0</v>
      </c>
      <c r="AH3917">
        <v>3</v>
      </c>
      <c r="AI3917">
        <v>2</v>
      </c>
      <c r="AJ3917">
        <v>0</v>
      </c>
      <c r="AK3917" t="s">
        <v>1238</v>
      </c>
      <c r="AL3917">
        <v>39.176730999999997</v>
      </c>
      <c r="AM3917" t="s">
        <v>1239</v>
      </c>
      <c r="AN3917">
        <v>-121.028931</v>
      </c>
      <c r="AO3917">
        <v>25</v>
      </c>
      <c r="AP3917">
        <v>4400</v>
      </c>
      <c r="AQ3917" t="s">
        <v>131</v>
      </c>
      <c r="AR3917">
        <v>25</v>
      </c>
      <c r="AS3917">
        <v>79</v>
      </c>
      <c r="AT3917">
        <v>320</v>
      </c>
      <c r="BB3917" t="str">
        <f t="shared" si="1548"/>
        <v>1200</v>
      </c>
      <c r="BC3917">
        <v>1</v>
      </c>
      <c r="BD3917" t="str">
        <f t="shared" si="1549"/>
        <v xml:space="preserve">N52156  </v>
      </c>
      <c r="BE3917">
        <v>1</v>
      </c>
      <c r="BG3917">
        <v>0</v>
      </c>
      <c r="BH3917">
        <v>0</v>
      </c>
      <c r="BI3917">
        <v>0</v>
      </c>
      <c r="BJ3917">
        <v>4400</v>
      </c>
      <c r="BK3917">
        <v>0</v>
      </c>
      <c r="BL3917" t="s">
        <v>188</v>
      </c>
      <c r="BM3917">
        <v>1</v>
      </c>
      <c r="BN3917">
        <v>1</v>
      </c>
      <c r="BO3917">
        <v>0</v>
      </c>
      <c r="BP3917">
        <v>0</v>
      </c>
      <c r="BS3917">
        <v>0</v>
      </c>
      <c r="BT3917">
        <v>0</v>
      </c>
      <c r="BU3917">
        <v>0</v>
      </c>
      <c r="CE3917" t="str">
        <f t="shared" si="1553"/>
        <v>15:15:24.308</v>
      </c>
      <c r="CF3917">
        <v>307573270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3</v>
      </c>
      <c r="CY3917">
        <v>7</v>
      </c>
      <c r="CZ3917" t="s">
        <v>133</v>
      </c>
      <c r="DA3917">
        <v>276</v>
      </c>
      <c r="DB3917">
        <v>0</v>
      </c>
      <c r="DC3917" t="s">
        <v>402</v>
      </c>
      <c r="DD3917" t="s">
        <v>403</v>
      </c>
      <c r="DG3917">
        <v>1628309</v>
      </c>
      <c r="DI3917">
        <v>1</v>
      </c>
      <c r="DJ3917">
        <v>0</v>
      </c>
      <c r="DK3917">
        <v>1</v>
      </c>
      <c r="DL3917">
        <v>0</v>
      </c>
      <c r="DM3917">
        <v>0</v>
      </c>
      <c r="DN3917">
        <v>0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3">
      <c r="A3918" t="str">
        <f>"05/01/2025 15:15:24.565"</f>
        <v>05/01/2025 15:15:24.565</v>
      </c>
      <c r="C3918" t="str">
        <f t="shared" si="1546"/>
        <v>FFDFD3C0</v>
      </c>
      <c r="D3918" t="s">
        <v>140</v>
      </c>
      <c r="E3918" t="str">
        <f>"13"</f>
        <v>13</v>
      </c>
      <c r="F3918">
        <v>1019</v>
      </c>
      <c r="G3918" t="s">
        <v>141</v>
      </c>
      <c r="J3918" t="s">
        <v>142</v>
      </c>
      <c r="K3918">
        <v>0</v>
      </c>
      <c r="L3918">
        <v>3</v>
      </c>
      <c r="M3918">
        <v>0</v>
      </c>
      <c r="N3918">
        <v>2</v>
      </c>
      <c r="O3918">
        <v>0</v>
      </c>
      <c r="P3918">
        <v>1</v>
      </c>
      <c r="Q3918">
        <v>0</v>
      </c>
      <c r="R3918" t="s">
        <v>127</v>
      </c>
      <c r="S3918" t="str">
        <f t="shared" si="1552"/>
        <v>15:15:24.000</v>
      </c>
      <c r="T3918" t="str">
        <f t="shared" si="1552"/>
        <v>15:15:24.000</v>
      </c>
      <c r="U3918" t="str">
        <f t="shared" si="1547"/>
        <v>A68FCB</v>
      </c>
      <c r="V3918">
        <v>0</v>
      </c>
      <c r="W3918">
        <v>0</v>
      </c>
      <c r="X3918">
        <v>2</v>
      </c>
      <c r="Y3918">
        <v>0</v>
      </c>
      <c r="AA3918">
        <v>1</v>
      </c>
      <c r="AB3918">
        <v>8</v>
      </c>
      <c r="AC3918">
        <v>3</v>
      </c>
      <c r="AD3918">
        <v>0</v>
      </c>
      <c r="AE3918">
        <v>9</v>
      </c>
      <c r="AF3918" t="s">
        <v>138</v>
      </c>
      <c r="AG3918">
        <v>0</v>
      </c>
      <c r="AH3918">
        <v>3</v>
      </c>
      <c r="AI3918">
        <v>2</v>
      </c>
      <c r="AJ3918">
        <v>0</v>
      </c>
      <c r="AK3918" t="s">
        <v>1238</v>
      </c>
      <c r="AL3918">
        <v>39.176730999999997</v>
      </c>
      <c r="AM3918" t="s">
        <v>1239</v>
      </c>
      <c r="AN3918">
        <v>-121.028931</v>
      </c>
      <c r="AO3918">
        <v>25</v>
      </c>
      <c r="AP3918">
        <v>4400</v>
      </c>
      <c r="AQ3918" t="s">
        <v>131</v>
      </c>
      <c r="AR3918">
        <v>25</v>
      </c>
      <c r="AS3918">
        <v>79</v>
      </c>
      <c r="AT3918">
        <v>320</v>
      </c>
      <c r="BB3918" t="str">
        <f t="shared" si="1548"/>
        <v>1200</v>
      </c>
      <c r="BC3918">
        <v>1</v>
      </c>
      <c r="BD3918" t="str">
        <f t="shared" si="1549"/>
        <v xml:space="preserve">N52156  </v>
      </c>
      <c r="BE3918">
        <v>1</v>
      </c>
      <c r="BG3918">
        <v>0</v>
      </c>
      <c r="BH3918">
        <v>0</v>
      </c>
      <c r="BI3918">
        <v>0</v>
      </c>
      <c r="BJ3918">
        <v>4400</v>
      </c>
      <c r="BK3918">
        <v>0</v>
      </c>
      <c r="BL3918" t="s">
        <v>188</v>
      </c>
      <c r="BM3918">
        <v>1</v>
      </c>
      <c r="BN3918">
        <v>1</v>
      </c>
      <c r="BO3918">
        <v>0</v>
      </c>
      <c r="BP3918">
        <v>0</v>
      </c>
      <c r="BS3918">
        <v>0</v>
      </c>
      <c r="BT3918">
        <v>0</v>
      </c>
      <c r="BU3918">
        <v>0</v>
      </c>
      <c r="CE3918" t="str">
        <f t="shared" si="1553"/>
        <v>15:15:24.308</v>
      </c>
      <c r="CF3918">
        <v>307573270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3</v>
      </c>
      <c r="CY3918">
        <v>7</v>
      </c>
      <c r="CZ3918" t="s">
        <v>133</v>
      </c>
      <c r="DA3918">
        <v>276</v>
      </c>
      <c r="DB3918">
        <v>0</v>
      </c>
      <c r="DC3918" t="s">
        <v>402</v>
      </c>
      <c r="DD3918" t="s">
        <v>403</v>
      </c>
      <c r="DG3918">
        <v>1628309</v>
      </c>
      <c r="DI3918">
        <v>1</v>
      </c>
      <c r="DJ3918">
        <v>0</v>
      </c>
      <c r="DK3918">
        <v>1</v>
      </c>
      <c r="DL3918">
        <v>0</v>
      </c>
      <c r="DM3918">
        <v>0</v>
      </c>
      <c r="DN3918">
        <v>0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3">
      <c r="A3919" t="str">
        <f>"05/01/2025 15:15:24.570"</f>
        <v>05/01/2025 15:15:24.570</v>
      </c>
      <c r="C3919" t="str">
        <f t="shared" si="1546"/>
        <v>FFDFD3C0</v>
      </c>
      <c r="D3919" t="s">
        <v>124</v>
      </c>
      <c r="E3919" t="str">
        <f>"06"</f>
        <v>06</v>
      </c>
      <c r="F3919">
        <v>2006</v>
      </c>
      <c r="G3919" t="s">
        <v>125</v>
      </c>
      <c r="J3919" t="s">
        <v>126</v>
      </c>
      <c r="K3919">
        <v>0</v>
      </c>
      <c r="L3919">
        <v>3</v>
      </c>
      <c r="M3919">
        <v>0</v>
      </c>
      <c r="N3919">
        <v>2</v>
      </c>
      <c r="O3919">
        <v>0</v>
      </c>
      <c r="P3919">
        <v>1</v>
      </c>
      <c r="Q3919">
        <v>0</v>
      </c>
      <c r="R3919" t="s">
        <v>127</v>
      </c>
      <c r="S3919" t="str">
        <f t="shared" si="1552"/>
        <v>15:15:24.000</v>
      </c>
      <c r="T3919" t="str">
        <f t="shared" si="1552"/>
        <v>15:15:24.000</v>
      </c>
      <c r="U3919" t="str">
        <f t="shared" si="1547"/>
        <v>A68FCB</v>
      </c>
      <c r="V3919">
        <v>0</v>
      </c>
      <c r="W3919">
        <v>0</v>
      </c>
      <c r="X3919">
        <v>2</v>
      </c>
      <c r="Y3919">
        <v>0</v>
      </c>
      <c r="AA3919">
        <v>1</v>
      </c>
      <c r="AB3919">
        <v>8</v>
      </c>
      <c r="AC3919">
        <v>3</v>
      </c>
      <c r="AD3919">
        <v>0</v>
      </c>
      <c r="AE3919">
        <v>9</v>
      </c>
      <c r="AF3919" t="s">
        <v>138</v>
      </c>
      <c r="AG3919">
        <v>0</v>
      </c>
      <c r="AH3919">
        <v>3</v>
      </c>
      <c r="AI3919">
        <v>2</v>
      </c>
      <c r="AJ3919">
        <v>0</v>
      </c>
      <c r="AK3919" t="s">
        <v>1238</v>
      </c>
      <c r="AL3919">
        <v>39.176730999999997</v>
      </c>
      <c r="AM3919" t="s">
        <v>1239</v>
      </c>
      <c r="AN3919">
        <v>-121.028931</v>
      </c>
      <c r="AO3919">
        <v>25</v>
      </c>
      <c r="AP3919">
        <v>4400</v>
      </c>
      <c r="AQ3919" t="s">
        <v>131</v>
      </c>
      <c r="AR3919">
        <v>25</v>
      </c>
      <c r="AS3919">
        <v>79</v>
      </c>
      <c r="AT3919">
        <v>320</v>
      </c>
      <c r="BB3919" t="str">
        <f t="shared" si="1548"/>
        <v>1200</v>
      </c>
      <c r="BC3919">
        <v>1</v>
      </c>
      <c r="BD3919" t="str">
        <f t="shared" si="1549"/>
        <v xml:space="preserve">N52156  </v>
      </c>
      <c r="BE3919">
        <v>1</v>
      </c>
      <c r="BG3919">
        <v>0</v>
      </c>
      <c r="BH3919">
        <v>0</v>
      </c>
      <c r="BI3919">
        <v>0</v>
      </c>
      <c r="BJ3919">
        <v>4400</v>
      </c>
      <c r="BK3919">
        <v>0</v>
      </c>
      <c r="BL3919" t="s">
        <v>188</v>
      </c>
      <c r="BM3919">
        <v>1</v>
      </c>
      <c r="BN3919">
        <v>1</v>
      </c>
      <c r="BO3919">
        <v>0</v>
      </c>
      <c r="BP3919">
        <v>0</v>
      </c>
      <c r="BS3919">
        <v>0</v>
      </c>
      <c r="BT3919">
        <v>0</v>
      </c>
      <c r="BU3919">
        <v>0</v>
      </c>
      <c r="CE3919" t="str">
        <f t="shared" si="1553"/>
        <v>15:15:24.308</v>
      </c>
      <c r="CF3919">
        <v>307573270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3</v>
      </c>
      <c r="CY3919">
        <v>7</v>
      </c>
      <c r="CZ3919" t="s">
        <v>133</v>
      </c>
      <c r="DA3919">
        <v>276</v>
      </c>
      <c r="DB3919">
        <v>0</v>
      </c>
      <c r="DC3919" t="s">
        <v>402</v>
      </c>
      <c r="DD3919" t="s">
        <v>403</v>
      </c>
      <c r="DG3919">
        <v>1628309</v>
      </c>
      <c r="DI3919">
        <v>1</v>
      </c>
      <c r="DJ3919">
        <v>0</v>
      </c>
      <c r="DK3919">
        <v>1</v>
      </c>
      <c r="DL3919">
        <v>0</v>
      </c>
      <c r="DM3919">
        <v>0</v>
      </c>
      <c r="DN3919">
        <v>0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3">
      <c r="A3920" t="str">
        <f>"05/01/2025 15:15:25.916"</f>
        <v>05/01/2025 15:15:25.916</v>
      </c>
      <c r="C3920" t="str">
        <f t="shared" si="1546"/>
        <v>FFDFD3C0</v>
      </c>
      <c r="D3920" t="s">
        <v>143</v>
      </c>
      <c r="E3920" t="str">
        <f>"05"</f>
        <v>05</v>
      </c>
      <c r="H3920">
        <v>172</v>
      </c>
      <c r="I3920" t="s">
        <v>141</v>
      </c>
      <c r="J3920" t="s">
        <v>144</v>
      </c>
      <c r="K3920">
        <v>0</v>
      </c>
      <c r="L3920">
        <v>3</v>
      </c>
      <c r="M3920">
        <v>0</v>
      </c>
      <c r="N3920">
        <v>2</v>
      </c>
      <c r="O3920">
        <v>0</v>
      </c>
      <c r="P3920">
        <v>1</v>
      </c>
      <c r="Q3920">
        <v>0</v>
      </c>
      <c r="R3920" t="s">
        <v>127</v>
      </c>
      <c r="S3920" t="str">
        <f t="shared" ref="S3920:T3925" si="1554">"15:15:25.000"</f>
        <v>15:15:25.000</v>
      </c>
      <c r="T3920" t="str">
        <f t="shared" si="1554"/>
        <v>15:15:25.000</v>
      </c>
      <c r="U3920" t="str">
        <f t="shared" si="1547"/>
        <v>A68FCB</v>
      </c>
      <c r="V3920">
        <v>0</v>
      </c>
      <c r="W3920">
        <v>0</v>
      </c>
      <c r="X3920">
        <v>2</v>
      </c>
      <c r="Y3920">
        <v>0</v>
      </c>
      <c r="AA3920">
        <v>1</v>
      </c>
      <c r="AB3920">
        <v>8</v>
      </c>
      <c r="AC3920">
        <v>3</v>
      </c>
      <c r="AD3920">
        <v>0</v>
      </c>
      <c r="AE3920">
        <v>9</v>
      </c>
      <c r="AF3920" t="s">
        <v>138</v>
      </c>
      <c r="AG3920">
        <v>0</v>
      </c>
      <c r="AH3920">
        <v>3</v>
      </c>
      <c r="AI3920">
        <v>2</v>
      </c>
      <c r="AJ3920">
        <v>0</v>
      </c>
      <c r="AK3920" t="s">
        <v>1240</v>
      </c>
      <c r="AL3920">
        <v>39.177095999999999</v>
      </c>
      <c r="AM3920" t="s">
        <v>1241</v>
      </c>
      <c r="AN3920">
        <v>-121.028781</v>
      </c>
      <c r="AO3920">
        <v>25</v>
      </c>
      <c r="AP3920">
        <v>4400</v>
      </c>
      <c r="AQ3920" t="s">
        <v>131</v>
      </c>
      <c r="AR3920">
        <v>25</v>
      </c>
      <c r="AS3920">
        <v>78</v>
      </c>
      <c r="AT3920">
        <v>320</v>
      </c>
      <c r="BB3920" t="str">
        <f t="shared" si="1548"/>
        <v>1200</v>
      </c>
      <c r="BC3920">
        <v>1</v>
      </c>
      <c r="BD3920" t="str">
        <f t="shared" si="1549"/>
        <v xml:space="preserve">N52156  </v>
      </c>
      <c r="BE3920">
        <v>1</v>
      </c>
      <c r="BG3920">
        <v>0</v>
      </c>
      <c r="BH3920">
        <v>0</v>
      </c>
      <c r="BI3920">
        <v>0</v>
      </c>
      <c r="BJ3920">
        <v>4400</v>
      </c>
      <c r="BK3920">
        <v>0</v>
      </c>
      <c r="BL3920" t="s">
        <v>188</v>
      </c>
      <c r="BM3920">
        <v>1</v>
      </c>
      <c r="BN3920">
        <v>1</v>
      </c>
      <c r="BO3920">
        <v>0</v>
      </c>
      <c r="BP3920">
        <v>0</v>
      </c>
      <c r="BS3920">
        <v>0</v>
      </c>
      <c r="BT3920">
        <v>0</v>
      </c>
      <c r="BU3920">
        <v>0</v>
      </c>
      <c r="CE3920" t="str">
        <f t="shared" ref="CE3920:CE3925" si="1555">"15:15:25.692"</f>
        <v>15:15:25.692</v>
      </c>
      <c r="CF3920">
        <v>692074608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3</v>
      </c>
      <c r="CY3920">
        <v>7</v>
      </c>
      <c r="CZ3920" t="s">
        <v>133</v>
      </c>
      <c r="DA3920">
        <v>276</v>
      </c>
      <c r="DB3920">
        <v>0</v>
      </c>
      <c r="DC3920" t="s">
        <v>402</v>
      </c>
      <c r="DD3920" t="s">
        <v>403</v>
      </c>
      <c r="DG3920">
        <v>1628312</v>
      </c>
      <c r="DI3920">
        <v>1</v>
      </c>
      <c r="DJ3920">
        <v>0</v>
      </c>
      <c r="DK3920">
        <v>0</v>
      </c>
      <c r="DL3920">
        <v>0</v>
      </c>
      <c r="DM3920">
        <v>0</v>
      </c>
      <c r="DN3920">
        <v>0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3">
      <c r="A3921" t="str">
        <f>"05/01/2025 15:15:25.918"</f>
        <v>05/01/2025 15:15:25.918</v>
      </c>
      <c r="C3921" t="str">
        <f t="shared" si="1546"/>
        <v>FFDFD3C0</v>
      </c>
      <c r="D3921" t="s">
        <v>140</v>
      </c>
      <c r="E3921" t="str">
        <f>"13"</f>
        <v>13</v>
      </c>
      <c r="F3921">
        <v>1019</v>
      </c>
      <c r="G3921" t="s">
        <v>141</v>
      </c>
      <c r="J3921" t="s">
        <v>142</v>
      </c>
      <c r="K3921">
        <v>0</v>
      </c>
      <c r="L3921">
        <v>3</v>
      </c>
      <c r="M3921">
        <v>0</v>
      </c>
      <c r="N3921">
        <v>2</v>
      </c>
      <c r="O3921">
        <v>0</v>
      </c>
      <c r="P3921">
        <v>1</v>
      </c>
      <c r="Q3921">
        <v>0</v>
      </c>
      <c r="R3921" t="s">
        <v>127</v>
      </c>
      <c r="S3921" t="str">
        <f t="shared" si="1554"/>
        <v>15:15:25.000</v>
      </c>
      <c r="T3921" t="str">
        <f t="shared" si="1554"/>
        <v>15:15:25.000</v>
      </c>
      <c r="U3921" t="str">
        <f t="shared" si="1547"/>
        <v>A68FCB</v>
      </c>
      <c r="V3921">
        <v>0</v>
      </c>
      <c r="W3921">
        <v>0</v>
      </c>
      <c r="X3921">
        <v>2</v>
      </c>
      <c r="Y3921">
        <v>0</v>
      </c>
      <c r="AA3921">
        <v>1</v>
      </c>
      <c r="AB3921">
        <v>8</v>
      </c>
      <c r="AC3921">
        <v>3</v>
      </c>
      <c r="AD3921">
        <v>0</v>
      </c>
      <c r="AE3921">
        <v>9</v>
      </c>
      <c r="AF3921" t="s">
        <v>138</v>
      </c>
      <c r="AG3921">
        <v>0</v>
      </c>
      <c r="AH3921">
        <v>3</v>
      </c>
      <c r="AI3921">
        <v>2</v>
      </c>
      <c r="AJ3921">
        <v>0</v>
      </c>
      <c r="AK3921" t="s">
        <v>1240</v>
      </c>
      <c r="AL3921">
        <v>39.177095999999999</v>
      </c>
      <c r="AM3921" t="s">
        <v>1241</v>
      </c>
      <c r="AN3921">
        <v>-121.028781</v>
      </c>
      <c r="AO3921">
        <v>25</v>
      </c>
      <c r="AP3921">
        <v>4400</v>
      </c>
      <c r="AQ3921" t="s">
        <v>131</v>
      </c>
      <c r="AR3921">
        <v>25</v>
      </c>
      <c r="AS3921">
        <v>78</v>
      </c>
      <c r="AT3921">
        <v>320</v>
      </c>
      <c r="BB3921" t="str">
        <f t="shared" si="1548"/>
        <v>1200</v>
      </c>
      <c r="BC3921">
        <v>1</v>
      </c>
      <c r="BD3921" t="str">
        <f t="shared" si="1549"/>
        <v xml:space="preserve">N52156  </v>
      </c>
      <c r="BE3921">
        <v>1</v>
      </c>
      <c r="BG3921">
        <v>0</v>
      </c>
      <c r="BH3921">
        <v>0</v>
      </c>
      <c r="BI3921">
        <v>0</v>
      </c>
      <c r="BJ3921">
        <v>4400</v>
      </c>
      <c r="BK3921">
        <v>0</v>
      </c>
      <c r="BL3921" t="s">
        <v>188</v>
      </c>
      <c r="BM3921">
        <v>1</v>
      </c>
      <c r="BN3921">
        <v>1</v>
      </c>
      <c r="BO3921">
        <v>0</v>
      </c>
      <c r="BP3921">
        <v>0</v>
      </c>
      <c r="BS3921">
        <v>0</v>
      </c>
      <c r="BT3921">
        <v>0</v>
      </c>
      <c r="BU3921">
        <v>0</v>
      </c>
      <c r="CE3921" t="str">
        <f t="shared" si="1555"/>
        <v>15:15:25.692</v>
      </c>
      <c r="CF3921">
        <v>692074608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3</v>
      </c>
      <c r="CY3921">
        <v>7</v>
      </c>
      <c r="CZ3921" t="s">
        <v>133</v>
      </c>
      <c r="DA3921">
        <v>276</v>
      </c>
      <c r="DB3921">
        <v>0</v>
      </c>
      <c r="DC3921" t="s">
        <v>402</v>
      </c>
      <c r="DD3921" t="s">
        <v>403</v>
      </c>
      <c r="DG3921">
        <v>1628312</v>
      </c>
      <c r="DI3921">
        <v>1</v>
      </c>
      <c r="DJ3921">
        <v>0</v>
      </c>
      <c r="DK3921">
        <v>1</v>
      </c>
      <c r="DL3921">
        <v>0</v>
      </c>
      <c r="DM3921">
        <v>0</v>
      </c>
      <c r="DN3921">
        <v>0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3">
      <c r="A3922" t="str">
        <f>"05/01/2025 15:15:25.922"</f>
        <v>05/01/2025 15:15:25.922</v>
      </c>
      <c r="C3922" t="str">
        <f t="shared" si="1546"/>
        <v>FFDFD3C0</v>
      </c>
      <c r="D3922" t="s">
        <v>124</v>
      </c>
      <c r="E3922" t="str">
        <f>"06"</f>
        <v>06</v>
      </c>
      <c r="F3922">
        <v>2006</v>
      </c>
      <c r="G3922" t="s">
        <v>125</v>
      </c>
      <c r="J3922" t="s">
        <v>126</v>
      </c>
      <c r="K3922">
        <v>0</v>
      </c>
      <c r="L3922">
        <v>3</v>
      </c>
      <c r="M3922">
        <v>0</v>
      </c>
      <c r="N3922">
        <v>2</v>
      </c>
      <c r="O3922">
        <v>0</v>
      </c>
      <c r="P3922">
        <v>1</v>
      </c>
      <c r="Q3922">
        <v>0</v>
      </c>
      <c r="R3922" t="s">
        <v>127</v>
      </c>
      <c r="S3922" t="str">
        <f t="shared" si="1554"/>
        <v>15:15:25.000</v>
      </c>
      <c r="T3922" t="str">
        <f t="shared" si="1554"/>
        <v>15:15:25.000</v>
      </c>
      <c r="U3922" t="str">
        <f t="shared" si="1547"/>
        <v>A68FCB</v>
      </c>
      <c r="V3922">
        <v>0</v>
      </c>
      <c r="W3922">
        <v>0</v>
      </c>
      <c r="X3922">
        <v>2</v>
      </c>
      <c r="Y3922">
        <v>0</v>
      </c>
      <c r="AA3922">
        <v>1</v>
      </c>
      <c r="AB3922">
        <v>8</v>
      </c>
      <c r="AC3922">
        <v>3</v>
      </c>
      <c r="AD3922">
        <v>0</v>
      </c>
      <c r="AE3922">
        <v>9</v>
      </c>
      <c r="AF3922" t="s">
        <v>138</v>
      </c>
      <c r="AG3922">
        <v>0</v>
      </c>
      <c r="AH3922">
        <v>3</v>
      </c>
      <c r="AI3922">
        <v>2</v>
      </c>
      <c r="AJ3922">
        <v>0</v>
      </c>
      <c r="AK3922" t="s">
        <v>1240</v>
      </c>
      <c r="AL3922">
        <v>39.177095999999999</v>
      </c>
      <c r="AM3922" t="s">
        <v>1241</v>
      </c>
      <c r="AN3922">
        <v>-121.028781</v>
      </c>
      <c r="AO3922">
        <v>25</v>
      </c>
      <c r="AP3922">
        <v>4400</v>
      </c>
      <c r="AQ3922" t="s">
        <v>131</v>
      </c>
      <c r="AR3922">
        <v>25</v>
      </c>
      <c r="AS3922">
        <v>78</v>
      </c>
      <c r="AT3922">
        <v>320</v>
      </c>
      <c r="BB3922" t="str">
        <f t="shared" si="1548"/>
        <v>1200</v>
      </c>
      <c r="BC3922">
        <v>1</v>
      </c>
      <c r="BD3922" t="str">
        <f t="shared" si="1549"/>
        <v xml:space="preserve">N52156  </v>
      </c>
      <c r="BE3922">
        <v>1</v>
      </c>
      <c r="BG3922">
        <v>0</v>
      </c>
      <c r="BH3922">
        <v>0</v>
      </c>
      <c r="BI3922">
        <v>0</v>
      </c>
      <c r="BJ3922">
        <v>4400</v>
      </c>
      <c r="BK3922">
        <v>0</v>
      </c>
      <c r="BL3922" t="s">
        <v>188</v>
      </c>
      <c r="BM3922">
        <v>1</v>
      </c>
      <c r="BN3922">
        <v>1</v>
      </c>
      <c r="BO3922">
        <v>0</v>
      </c>
      <c r="BP3922">
        <v>0</v>
      </c>
      <c r="BS3922">
        <v>0</v>
      </c>
      <c r="BT3922">
        <v>0</v>
      </c>
      <c r="BU3922">
        <v>0</v>
      </c>
      <c r="CE3922" t="str">
        <f t="shared" si="1555"/>
        <v>15:15:25.692</v>
      </c>
      <c r="CF3922">
        <v>692074608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3</v>
      </c>
      <c r="CY3922">
        <v>7</v>
      </c>
      <c r="CZ3922" t="s">
        <v>133</v>
      </c>
      <c r="DA3922">
        <v>276</v>
      </c>
      <c r="DB3922">
        <v>0</v>
      </c>
      <c r="DC3922" t="s">
        <v>402</v>
      </c>
      <c r="DD3922" t="s">
        <v>403</v>
      </c>
      <c r="DG3922">
        <v>1628312</v>
      </c>
      <c r="DI3922">
        <v>1</v>
      </c>
      <c r="DJ3922">
        <v>0</v>
      </c>
      <c r="DK3922">
        <v>1</v>
      </c>
      <c r="DL3922">
        <v>0</v>
      </c>
      <c r="DM3922">
        <v>0</v>
      </c>
      <c r="DN3922">
        <v>0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3">
      <c r="A3923" t="str">
        <f>"05/01/2025 15:15:25.931"</f>
        <v>05/01/2025 15:15:25.931</v>
      </c>
      <c r="C3923" t="str">
        <f t="shared" si="1546"/>
        <v>FFDFD3C0</v>
      </c>
      <c r="D3923" t="s">
        <v>145</v>
      </c>
      <c r="E3923" t="str">
        <f>"09"</f>
        <v>09</v>
      </c>
      <c r="H3923">
        <v>51</v>
      </c>
      <c r="I3923" t="s">
        <v>147</v>
      </c>
      <c r="J3923" t="s">
        <v>138</v>
      </c>
      <c r="K3923">
        <v>0</v>
      </c>
      <c r="L3923">
        <v>3</v>
      </c>
      <c r="M3923">
        <v>0</v>
      </c>
      <c r="N3923">
        <v>2</v>
      </c>
      <c r="O3923">
        <v>0</v>
      </c>
      <c r="P3923">
        <v>1</v>
      </c>
      <c r="Q3923">
        <v>0</v>
      </c>
      <c r="R3923" t="s">
        <v>127</v>
      </c>
      <c r="S3923" t="str">
        <f t="shared" si="1554"/>
        <v>15:15:25.000</v>
      </c>
      <c r="T3923" t="str">
        <f t="shared" si="1554"/>
        <v>15:15:25.000</v>
      </c>
      <c r="U3923" t="str">
        <f t="shared" si="1547"/>
        <v>A68FCB</v>
      </c>
      <c r="V3923">
        <v>0</v>
      </c>
      <c r="W3923">
        <v>0</v>
      </c>
      <c r="X3923">
        <v>2</v>
      </c>
      <c r="Y3923">
        <v>0</v>
      </c>
      <c r="AA3923">
        <v>1</v>
      </c>
      <c r="AB3923">
        <v>8</v>
      </c>
      <c r="AC3923">
        <v>3</v>
      </c>
      <c r="AD3923">
        <v>0</v>
      </c>
      <c r="AE3923">
        <v>9</v>
      </c>
      <c r="AF3923" t="s">
        <v>138</v>
      </c>
      <c r="AG3923">
        <v>0</v>
      </c>
      <c r="AH3923">
        <v>3</v>
      </c>
      <c r="AI3923">
        <v>2</v>
      </c>
      <c r="AJ3923">
        <v>0</v>
      </c>
      <c r="AK3923" t="s">
        <v>1240</v>
      </c>
      <c r="AL3923">
        <v>39.177095999999999</v>
      </c>
      <c r="AM3923" t="s">
        <v>1241</v>
      </c>
      <c r="AN3923">
        <v>-121.028781</v>
      </c>
      <c r="AO3923">
        <v>25</v>
      </c>
      <c r="AP3923">
        <v>4400</v>
      </c>
      <c r="AQ3923" t="s">
        <v>131</v>
      </c>
      <c r="AR3923">
        <v>25</v>
      </c>
      <c r="AS3923">
        <v>78</v>
      </c>
      <c r="AT3923">
        <v>320</v>
      </c>
      <c r="BB3923" t="str">
        <f t="shared" si="1548"/>
        <v>1200</v>
      </c>
      <c r="BC3923">
        <v>1</v>
      </c>
      <c r="BD3923" t="str">
        <f t="shared" si="1549"/>
        <v xml:space="preserve">N52156  </v>
      </c>
      <c r="BE3923">
        <v>1</v>
      </c>
      <c r="BG3923">
        <v>0</v>
      </c>
      <c r="BH3923">
        <v>0</v>
      </c>
      <c r="BI3923">
        <v>0</v>
      </c>
      <c r="BJ3923">
        <v>4400</v>
      </c>
      <c r="BK3923">
        <v>0</v>
      </c>
      <c r="BL3923" t="s">
        <v>188</v>
      </c>
      <c r="BM3923">
        <v>1</v>
      </c>
      <c r="BN3923">
        <v>1</v>
      </c>
      <c r="BO3923">
        <v>0</v>
      </c>
      <c r="BP3923">
        <v>0</v>
      </c>
      <c r="BS3923">
        <v>0</v>
      </c>
      <c r="BT3923">
        <v>0</v>
      </c>
      <c r="BU3923">
        <v>0</v>
      </c>
      <c r="CE3923" t="str">
        <f t="shared" si="1555"/>
        <v>15:15:25.692</v>
      </c>
      <c r="CF3923">
        <v>692074608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3</v>
      </c>
      <c r="CY3923">
        <v>7</v>
      </c>
      <c r="CZ3923" t="s">
        <v>133</v>
      </c>
      <c r="DA3923">
        <v>276</v>
      </c>
      <c r="DB3923">
        <v>0</v>
      </c>
      <c r="DC3923" t="s">
        <v>402</v>
      </c>
      <c r="DD3923" t="s">
        <v>403</v>
      </c>
      <c r="DG3923">
        <v>1628312</v>
      </c>
      <c r="DI3923">
        <v>1</v>
      </c>
      <c r="DJ3923">
        <v>0</v>
      </c>
      <c r="DK3923">
        <v>1</v>
      </c>
      <c r="DL3923">
        <v>0</v>
      </c>
      <c r="DM3923">
        <v>0</v>
      </c>
      <c r="DN3923">
        <v>0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3">
      <c r="A3924" t="str">
        <f>"05/01/2025 15:15:25.934"</f>
        <v>05/01/2025 15:15:25.934</v>
      </c>
      <c r="C3924" t="str">
        <f t="shared" si="1546"/>
        <v>FFDFD3C0</v>
      </c>
      <c r="D3924" t="s">
        <v>145</v>
      </c>
      <c r="E3924" t="str">
        <f>"05"</f>
        <v>05</v>
      </c>
      <c r="H3924">
        <v>47</v>
      </c>
      <c r="I3924" t="s">
        <v>146</v>
      </c>
      <c r="J3924" t="s">
        <v>138</v>
      </c>
      <c r="K3924">
        <v>0</v>
      </c>
      <c r="L3924">
        <v>3</v>
      </c>
      <c r="M3924">
        <v>0</v>
      </c>
      <c r="N3924">
        <v>2</v>
      </c>
      <c r="O3924">
        <v>0</v>
      </c>
      <c r="P3924">
        <v>1</v>
      </c>
      <c r="Q3924">
        <v>0</v>
      </c>
      <c r="R3924" t="s">
        <v>127</v>
      </c>
      <c r="S3924" t="str">
        <f t="shared" si="1554"/>
        <v>15:15:25.000</v>
      </c>
      <c r="T3924" t="str">
        <f t="shared" si="1554"/>
        <v>15:15:25.000</v>
      </c>
      <c r="U3924" t="str">
        <f t="shared" si="1547"/>
        <v>A68FCB</v>
      </c>
      <c r="V3924">
        <v>0</v>
      </c>
      <c r="W3924">
        <v>0</v>
      </c>
      <c r="X3924">
        <v>2</v>
      </c>
      <c r="Y3924">
        <v>0</v>
      </c>
      <c r="AA3924">
        <v>1</v>
      </c>
      <c r="AB3924">
        <v>8</v>
      </c>
      <c r="AC3924">
        <v>3</v>
      </c>
      <c r="AD3924">
        <v>0</v>
      </c>
      <c r="AE3924">
        <v>9</v>
      </c>
      <c r="AF3924" t="s">
        <v>138</v>
      </c>
      <c r="AG3924">
        <v>0</v>
      </c>
      <c r="AH3924">
        <v>3</v>
      </c>
      <c r="AI3924">
        <v>2</v>
      </c>
      <c r="AJ3924">
        <v>0</v>
      </c>
      <c r="AK3924" t="s">
        <v>1240</v>
      </c>
      <c r="AL3924">
        <v>39.177095999999999</v>
      </c>
      <c r="AM3924" t="s">
        <v>1241</v>
      </c>
      <c r="AN3924">
        <v>-121.028781</v>
      </c>
      <c r="AO3924">
        <v>25</v>
      </c>
      <c r="AP3924">
        <v>4400</v>
      </c>
      <c r="AQ3924" t="s">
        <v>131</v>
      </c>
      <c r="AR3924">
        <v>25</v>
      </c>
      <c r="AS3924">
        <v>78</v>
      </c>
      <c r="AT3924">
        <v>320</v>
      </c>
      <c r="BB3924" t="str">
        <f t="shared" si="1548"/>
        <v>1200</v>
      </c>
      <c r="BC3924">
        <v>1</v>
      </c>
      <c r="BD3924" t="str">
        <f t="shared" si="1549"/>
        <v xml:space="preserve">N52156  </v>
      </c>
      <c r="BE3924">
        <v>1</v>
      </c>
      <c r="BG3924">
        <v>0</v>
      </c>
      <c r="BH3924">
        <v>0</v>
      </c>
      <c r="BI3924">
        <v>0</v>
      </c>
      <c r="BJ3924">
        <v>4400</v>
      </c>
      <c r="BK3924">
        <v>0</v>
      </c>
      <c r="BL3924" t="s">
        <v>188</v>
      </c>
      <c r="BM3924">
        <v>1</v>
      </c>
      <c r="BN3924">
        <v>1</v>
      </c>
      <c r="BO3924">
        <v>0</v>
      </c>
      <c r="BP3924">
        <v>0</v>
      </c>
      <c r="BS3924">
        <v>0</v>
      </c>
      <c r="BT3924">
        <v>0</v>
      </c>
      <c r="BU3924">
        <v>0</v>
      </c>
      <c r="CE3924" t="str">
        <f t="shared" si="1555"/>
        <v>15:15:25.692</v>
      </c>
      <c r="CF3924">
        <v>692074608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3</v>
      </c>
      <c r="CY3924">
        <v>7</v>
      </c>
      <c r="CZ3924" t="s">
        <v>133</v>
      </c>
      <c r="DA3924">
        <v>276</v>
      </c>
      <c r="DB3924">
        <v>0</v>
      </c>
      <c r="DC3924" t="s">
        <v>402</v>
      </c>
      <c r="DD3924" t="s">
        <v>403</v>
      </c>
      <c r="DG3924">
        <v>1628312</v>
      </c>
      <c r="DI3924">
        <v>1</v>
      </c>
      <c r="DJ3924">
        <v>0</v>
      </c>
      <c r="DK3924">
        <v>1</v>
      </c>
      <c r="DL3924">
        <v>0</v>
      </c>
      <c r="DM3924">
        <v>0</v>
      </c>
      <c r="DN3924">
        <v>0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3">
      <c r="A3925" t="str">
        <f>"05/01/2025 15:15:25.945"</f>
        <v>05/01/2025 15:15:25.945</v>
      </c>
      <c r="C3925" t="str">
        <f t="shared" si="1546"/>
        <v>FFDFD3C0</v>
      </c>
      <c r="D3925" t="s">
        <v>136</v>
      </c>
      <c r="E3925" t="str">
        <f>"20"</f>
        <v>20</v>
      </c>
      <c r="H3925">
        <v>400</v>
      </c>
      <c r="I3925" t="s">
        <v>137</v>
      </c>
      <c r="J3925" t="s">
        <v>138</v>
      </c>
      <c r="K3925">
        <v>0</v>
      </c>
      <c r="L3925">
        <v>3</v>
      </c>
      <c r="M3925">
        <v>0</v>
      </c>
      <c r="N3925">
        <v>2</v>
      </c>
      <c r="O3925">
        <v>0</v>
      </c>
      <c r="P3925">
        <v>1</v>
      </c>
      <c r="Q3925">
        <v>0</v>
      </c>
      <c r="R3925" t="s">
        <v>127</v>
      </c>
      <c r="S3925" t="str">
        <f t="shared" si="1554"/>
        <v>15:15:25.000</v>
      </c>
      <c r="T3925" t="str">
        <f t="shared" si="1554"/>
        <v>15:15:25.000</v>
      </c>
      <c r="U3925" t="str">
        <f t="shared" si="1547"/>
        <v>A68FCB</v>
      </c>
      <c r="V3925">
        <v>0</v>
      </c>
      <c r="W3925">
        <v>0</v>
      </c>
      <c r="X3925">
        <v>2</v>
      </c>
      <c r="Y3925">
        <v>0</v>
      </c>
      <c r="AA3925">
        <v>1</v>
      </c>
      <c r="AB3925">
        <v>8</v>
      </c>
      <c r="AC3925">
        <v>3</v>
      </c>
      <c r="AD3925">
        <v>0</v>
      </c>
      <c r="AE3925">
        <v>9</v>
      </c>
      <c r="AF3925" t="s">
        <v>138</v>
      </c>
      <c r="AG3925">
        <v>0</v>
      </c>
      <c r="AH3925">
        <v>3</v>
      </c>
      <c r="AI3925">
        <v>2</v>
      </c>
      <c r="AJ3925">
        <v>0</v>
      </c>
      <c r="AK3925" t="s">
        <v>1240</v>
      </c>
      <c r="AL3925">
        <v>39.177095999999999</v>
      </c>
      <c r="AM3925" t="s">
        <v>1241</v>
      </c>
      <c r="AN3925">
        <v>-121.028781</v>
      </c>
      <c r="AO3925">
        <v>25</v>
      </c>
      <c r="AP3925">
        <v>4400</v>
      </c>
      <c r="AQ3925" t="s">
        <v>131</v>
      </c>
      <c r="AR3925">
        <v>25</v>
      </c>
      <c r="AS3925">
        <v>78</v>
      </c>
      <c r="AT3925">
        <v>320</v>
      </c>
      <c r="BB3925" t="str">
        <f t="shared" si="1548"/>
        <v>1200</v>
      </c>
      <c r="BC3925">
        <v>1</v>
      </c>
      <c r="BD3925" t="str">
        <f t="shared" si="1549"/>
        <v xml:space="preserve">N52156  </v>
      </c>
      <c r="BE3925">
        <v>1</v>
      </c>
      <c r="BG3925">
        <v>0</v>
      </c>
      <c r="BH3925">
        <v>0</v>
      </c>
      <c r="BI3925">
        <v>0</v>
      </c>
      <c r="BJ3925">
        <v>4400</v>
      </c>
      <c r="BK3925">
        <v>0</v>
      </c>
      <c r="BL3925" t="s">
        <v>188</v>
      </c>
      <c r="BM3925">
        <v>1</v>
      </c>
      <c r="BN3925">
        <v>1</v>
      </c>
      <c r="BO3925">
        <v>0</v>
      </c>
      <c r="BP3925">
        <v>0</v>
      </c>
      <c r="BS3925">
        <v>0</v>
      </c>
      <c r="BT3925">
        <v>0</v>
      </c>
      <c r="BU3925">
        <v>0</v>
      </c>
      <c r="CE3925" t="str">
        <f t="shared" si="1555"/>
        <v>15:15:25.692</v>
      </c>
      <c r="CF3925">
        <v>692074608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3</v>
      </c>
      <c r="CY3925">
        <v>7</v>
      </c>
      <c r="CZ3925" t="s">
        <v>133</v>
      </c>
      <c r="DA3925">
        <v>276</v>
      </c>
      <c r="DB3925">
        <v>0</v>
      </c>
      <c r="DC3925" t="s">
        <v>402</v>
      </c>
      <c r="DD3925" t="s">
        <v>403</v>
      </c>
      <c r="DG3925">
        <v>1628312</v>
      </c>
      <c r="DI3925">
        <v>1</v>
      </c>
      <c r="DJ3925">
        <v>0</v>
      </c>
      <c r="DK3925">
        <v>1</v>
      </c>
      <c r="DL3925">
        <v>0</v>
      </c>
      <c r="DM3925">
        <v>0</v>
      </c>
      <c r="DN3925">
        <v>0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3">
      <c r="A3926" t="str">
        <f>"05/01/2025 15:15:26.717"</f>
        <v>05/01/2025 15:15:26.717</v>
      </c>
      <c r="C3926" t="str">
        <f t="shared" si="1546"/>
        <v>FFDFD3C0</v>
      </c>
      <c r="D3926" t="s">
        <v>143</v>
      </c>
      <c r="E3926" t="str">
        <f>"05"</f>
        <v>05</v>
      </c>
      <c r="H3926">
        <v>172</v>
      </c>
      <c r="I3926" t="s">
        <v>141</v>
      </c>
      <c r="J3926" t="s">
        <v>144</v>
      </c>
      <c r="K3926">
        <v>0</v>
      </c>
      <c r="L3926">
        <v>3</v>
      </c>
      <c r="M3926">
        <v>0</v>
      </c>
      <c r="N3926">
        <v>2</v>
      </c>
      <c r="O3926">
        <v>0</v>
      </c>
      <c r="P3926">
        <v>1</v>
      </c>
      <c r="Q3926">
        <v>0</v>
      </c>
      <c r="R3926" t="s">
        <v>127</v>
      </c>
      <c r="S3926" t="str">
        <f t="shared" ref="S3926:T3931" si="1556">"15:15:26.000"</f>
        <v>15:15:26.000</v>
      </c>
      <c r="T3926" t="str">
        <f t="shared" si="1556"/>
        <v>15:15:26.000</v>
      </c>
      <c r="U3926" t="str">
        <f t="shared" si="1547"/>
        <v>A68FCB</v>
      </c>
      <c r="V3926">
        <v>0</v>
      </c>
      <c r="W3926">
        <v>0</v>
      </c>
      <c r="X3926">
        <v>2</v>
      </c>
      <c r="Y3926">
        <v>0</v>
      </c>
      <c r="AA3926">
        <v>1</v>
      </c>
      <c r="AB3926">
        <v>8</v>
      </c>
      <c r="AC3926">
        <v>3</v>
      </c>
      <c r="AD3926">
        <v>0</v>
      </c>
      <c r="AE3926">
        <v>9</v>
      </c>
      <c r="AF3926" t="s">
        <v>138</v>
      </c>
      <c r="AG3926">
        <v>0</v>
      </c>
      <c r="AH3926">
        <v>3</v>
      </c>
      <c r="AI3926">
        <v>2</v>
      </c>
      <c r="AJ3926">
        <v>0</v>
      </c>
      <c r="AK3926" t="s">
        <v>1242</v>
      </c>
      <c r="AL3926">
        <v>39.177439</v>
      </c>
      <c r="AM3926" t="s">
        <v>1243</v>
      </c>
      <c r="AN3926">
        <v>-121.028609</v>
      </c>
      <c r="AO3926">
        <v>25</v>
      </c>
      <c r="AP3926">
        <v>4400</v>
      </c>
      <c r="AQ3926" t="s">
        <v>131</v>
      </c>
      <c r="AR3926">
        <v>26</v>
      </c>
      <c r="AS3926">
        <v>78</v>
      </c>
      <c r="AT3926">
        <v>320</v>
      </c>
      <c r="BB3926" t="str">
        <f t="shared" si="1548"/>
        <v>1200</v>
      </c>
      <c r="BC3926">
        <v>1</v>
      </c>
      <c r="BD3926" t="str">
        <f t="shared" si="1549"/>
        <v xml:space="preserve">N52156  </v>
      </c>
      <c r="BE3926">
        <v>1</v>
      </c>
      <c r="BG3926">
        <v>0</v>
      </c>
      <c r="BH3926">
        <v>0</v>
      </c>
      <c r="BI3926">
        <v>0</v>
      </c>
      <c r="BJ3926">
        <v>4400</v>
      </c>
      <c r="BK3926">
        <v>0</v>
      </c>
      <c r="BL3926" t="s">
        <v>188</v>
      </c>
      <c r="BM3926">
        <v>1</v>
      </c>
      <c r="BN3926">
        <v>1</v>
      </c>
      <c r="BO3926">
        <v>0</v>
      </c>
      <c r="BP3926">
        <v>0</v>
      </c>
      <c r="BS3926">
        <v>0</v>
      </c>
      <c r="BT3926">
        <v>0</v>
      </c>
      <c r="BU3926">
        <v>0</v>
      </c>
      <c r="CE3926" t="str">
        <f t="shared" ref="CE3926:CE3931" si="1557">"15:15:26.462"</f>
        <v>15:15:26.462</v>
      </c>
      <c r="CF3926">
        <v>462324078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3</v>
      </c>
      <c r="CY3926">
        <v>7</v>
      </c>
      <c r="CZ3926" t="s">
        <v>133</v>
      </c>
      <c r="DA3926">
        <v>276</v>
      </c>
      <c r="DB3926">
        <v>0</v>
      </c>
      <c r="DC3926" t="s">
        <v>402</v>
      </c>
      <c r="DD3926" t="s">
        <v>403</v>
      </c>
      <c r="DG3926">
        <v>1628314</v>
      </c>
      <c r="DI3926">
        <v>1</v>
      </c>
      <c r="DJ3926">
        <v>0</v>
      </c>
      <c r="DK3926">
        <v>0</v>
      </c>
      <c r="DL3926">
        <v>0</v>
      </c>
      <c r="DM3926">
        <v>0</v>
      </c>
      <c r="DN3926">
        <v>0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3">
      <c r="A3927" t="str">
        <f>"05/01/2025 15:15:26.719"</f>
        <v>05/01/2025 15:15:26.719</v>
      </c>
      <c r="C3927" t="str">
        <f t="shared" si="1546"/>
        <v>FFDFD3C0</v>
      </c>
      <c r="D3927" t="s">
        <v>140</v>
      </c>
      <c r="E3927" t="str">
        <f>"13"</f>
        <v>13</v>
      </c>
      <c r="F3927">
        <v>1019</v>
      </c>
      <c r="G3927" t="s">
        <v>141</v>
      </c>
      <c r="J3927" t="s">
        <v>142</v>
      </c>
      <c r="K3927">
        <v>0</v>
      </c>
      <c r="L3927">
        <v>3</v>
      </c>
      <c r="M3927">
        <v>0</v>
      </c>
      <c r="N3927">
        <v>2</v>
      </c>
      <c r="O3927">
        <v>0</v>
      </c>
      <c r="P3927">
        <v>1</v>
      </c>
      <c r="Q3927">
        <v>0</v>
      </c>
      <c r="R3927" t="s">
        <v>127</v>
      </c>
      <c r="S3927" t="str">
        <f t="shared" si="1556"/>
        <v>15:15:26.000</v>
      </c>
      <c r="T3927" t="str">
        <f t="shared" si="1556"/>
        <v>15:15:26.000</v>
      </c>
      <c r="U3927" t="str">
        <f t="shared" si="1547"/>
        <v>A68FCB</v>
      </c>
      <c r="V3927">
        <v>0</v>
      </c>
      <c r="W3927">
        <v>0</v>
      </c>
      <c r="X3927">
        <v>2</v>
      </c>
      <c r="Y3927">
        <v>0</v>
      </c>
      <c r="AA3927">
        <v>1</v>
      </c>
      <c r="AB3927">
        <v>8</v>
      </c>
      <c r="AC3927">
        <v>3</v>
      </c>
      <c r="AD3927">
        <v>0</v>
      </c>
      <c r="AE3927">
        <v>9</v>
      </c>
      <c r="AF3927" t="s">
        <v>138</v>
      </c>
      <c r="AG3927">
        <v>0</v>
      </c>
      <c r="AH3927">
        <v>3</v>
      </c>
      <c r="AI3927">
        <v>2</v>
      </c>
      <c r="AJ3927">
        <v>0</v>
      </c>
      <c r="AK3927" t="s">
        <v>1242</v>
      </c>
      <c r="AL3927">
        <v>39.177439</v>
      </c>
      <c r="AM3927" t="s">
        <v>1243</v>
      </c>
      <c r="AN3927">
        <v>-121.028609</v>
      </c>
      <c r="AO3927">
        <v>25</v>
      </c>
      <c r="AP3927">
        <v>4400</v>
      </c>
      <c r="AQ3927" t="s">
        <v>131</v>
      </c>
      <c r="AR3927">
        <v>26</v>
      </c>
      <c r="AS3927">
        <v>78</v>
      </c>
      <c r="AT3927">
        <v>320</v>
      </c>
      <c r="BB3927" t="str">
        <f t="shared" si="1548"/>
        <v>1200</v>
      </c>
      <c r="BC3927">
        <v>1</v>
      </c>
      <c r="BD3927" t="str">
        <f t="shared" si="1549"/>
        <v xml:space="preserve">N52156  </v>
      </c>
      <c r="BE3927">
        <v>1</v>
      </c>
      <c r="BG3927">
        <v>0</v>
      </c>
      <c r="BH3927">
        <v>0</v>
      </c>
      <c r="BI3927">
        <v>0</v>
      </c>
      <c r="BJ3927">
        <v>4400</v>
      </c>
      <c r="BK3927">
        <v>0</v>
      </c>
      <c r="BL3927" t="s">
        <v>188</v>
      </c>
      <c r="BM3927">
        <v>1</v>
      </c>
      <c r="BN3927">
        <v>1</v>
      </c>
      <c r="BO3927">
        <v>0</v>
      </c>
      <c r="BP3927">
        <v>0</v>
      </c>
      <c r="BS3927">
        <v>0</v>
      </c>
      <c r="BT3927">
        <v>0</v>
      </c>
      <c r="BU3927">
        <v>0</v>
      </c>
      <c r="CE3927" t="str">
        <f t="shared" si="1557"/>
        <v>15:15:26.462</v>
      </c>
      <c r="CF3927">
        <v>462324078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3</v>
      </c>
      <c r="CY3927">
        <v>7</v>
      </c>
      <c r="CZ3927" t="s">
        <v>133</v>
      </c>
      <c r="DA3927">
        <v>276</v>
      </c>
      <c r="DB3927">
        <v>0</v>
      </c>
      <c r="DC3927" t="s">
        <v>402</v>
      </c>
      <c r="DD3927" t="s">
        <v>403</v>
      </c>
      <c r="DG3927">
        <v>1628314</v>
      </c>
      <c r="DI3927">
        <v>1</v>
      </c>
      <c r="DJ3927">
        <v>0</v>
      </c>
      <c r="DK3927">
        <v>1</v>
      </c>
      <c r="DL3927">
        <v>0</v>
      </c>
      <c r="DM3927">
        <v>0</v>
      </c>
      <c r="DN3927">
        <v>0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3">
      <c r="A3928" t="str">
        <f>"05/01/2025 15:15:26.724"</f>
        <v>05/01/2025 15:15:26.724</v>
      </c>
      <c r="C3928" t="str">
        <f t="shared" si="1546"/>
        <v>FFDFD3C0</v>
      </c>
      <c r="D3928" t="s">
        <v>124</v>
      </c>
      <c r="E3928" t="str">
        <f>"06"</f>
        <v>06</v>
      </c>
      <c r="F3928">
        <v>2006</v>
      </c>
      <c r="G3928" t="s">
        <v>125</v>
      </c>
      <c r="J3928" t="s">
        <v>126</v>
      </c>
      <c r="K3928">
        <v>0</v>
      </c>
      <c r="L3928">
        <v>3</v>
      </c>
      <c r="M3928">
        <v>0</v>
      </c>
      <c r="N3928">
        <v>2</v>
      </c>
      <c r="O3928">
        <v>0</v>
      </c>
      <c r="P3928">
        <v>1</v>
      </c>
      <c r="Q3928">
        <v>0</v>
      </c>
      <c r="R3928" t="s">
        <v>127</v>
      </c>
      <c r="S3928" t="str">
        <f t="shared" si="1556"/>
        <v>15:15:26.000</v>
      </c>
      <c r="T3928" t="str">
        <f t="shared" si="1556"/>
        <v>15:15:26.000</v>
      </c>
      <c r="U3928" t="str">
        <f t="shared" si="1547"/>
        <v>A68FCB</v>
      </c>
      <c r="V3928">
        <v>0</v>
      </c>
      <c r="W3928">
        <v>0</v>
      </c>
      <c r="X3928">
        <v>2</v>
      </c>
      <c r="Y3928">
        <v>0</v>
      </c>
      <c r="AA3928">
        <v>1</v>
      </c>
      <c r="AB3928">
        <v>8</v>
      </c>
      <c r="AC3928">
        <v>3</v>
      </c>
      <c r="AD3928">
        <v>0</v>
      </c>
      <c r="AE3928">
        <v>9</v>
      </c>
      <c r="AF3928" t="s">
        <v>138</v>
      </c>
      <c r="AG3928">
        <v>0</v>
      </c>
      <c r="AH3928">
        <v>3</v>
      </c>
      <c r="AI3928">
        <v>2</v>
      </c>
      <c r="AJ3928">
        <v>0</v>
      </c>
      <c r="AK3928" t="s">
        <v>1242</v>
      </c>
      <c r="AL3928">
        <v>39.177439</v>
      </c>
      <c r="AM3928" t="s">
        <v>1243</v>
      </c>
      <c r="AN3928">
        <v>-121.028609</v>
      </c>
      <c r="AO3928">
        <v>25</v>
      </c>
      <c r="AP3928">
        <v>4400</v>
      </c>
      <c r="AQ3928" t="s">
        <v>131</v>
      </c>
      <c r="AR3928">
        <v>26</v>
      </c>
      <c r="AS3928">
        <v>78</v>
      </c>
      <c r="AT3928">
        <v>320</v>
      </c>
      <c r="BB3928" t="str">
        <f t="shared" si="1548"/>
        <v>1200</v>
      </c>
      <c r="BC3928">
        <v>1</v>
      </c>
      <c r="BD3928" t="str">
        <f t="shared" si="1549"/>
        <v xml:space="preserve">N52156  </v>
      </c>
      <c r="BE3928">
        <v>1</v>
      </c>
      <c r="BG3928">
        <v>0</v>
      </c>
      <c r="BH3928">
        <v>0</v>
      </c>
      <c r="BI3928">
        <v>0</v>
      </c>
      <c r="BJ3928">
        <v>4400</v>
      </c>
      <c r="BK3928">
        <v>0</v>
      </c>
      <c r="BL3928" t="s">
        <v>188</v>
      </c>
      <c r="BM3928">
        <v>1</v>
      </c>
      <c r="BN3928">
        <v>1</v>
      </c>
      <c r="BO3928">
        <v>0</v>
      </c>
      <c r="BP3928">
        <v>0</v>
      </c>
      <c r="BS3928">
        <v>0</v>
      </c>
      <c r="BT3928">
        <v>0</v>
      </c>
      <c r="BU3928">
        <v>0</v>
      </c>
      <c r="CE3928" t="str">
        <f t="shared" si="1557"/>
        <v>15:15:26.462</v>
      </c>
      <c r="CF3928">
        <v>462324078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3</v>
      </c>
      <c r="CY3928">
        <v>7</v>
      </c>
      <c r="CZ3928" t="s">
        <v>133</v>
      </c>
      <c r="DA3928">
        <v>276</v>
      </c>
      <c r="DB3928">
        <v>0</v>
      </c>
      <c r="DC3928" t="s">
        <v>402</v>
      </c>
      <c r="DD3928" t="s">
        <v>403</v>
      </c>
      <c r="DG3928">
        <v>1628314</v>
      </c>
      <c r="DI3928">
        <v>1</v>
      </c>
      <c r="DJ3928">
        <v>0</v>
      </c>
      <c r="DK3928">
        <v>1</v>
      </c>
      <c r="DL3928">
        <v>0</v>
      </c>
      <c r="DM3928">
        <v>0</v>
      </c>
      <c r="DN3928">
        <v>0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3">
      <c r="A3929" t="str">
        <f>"05/01/2025 15:15:26.735"</f>
        <v>05/01/2025 15:15:26.735</v>
      </c>
      <c r="C3929" t="str">
        <f t="shared" si="1546"/>
        <v>FFDFD3C0</v>
      </c>
      <c r="D3929" t="s">
        <v>145</v>
      </c>
      <c r="E3929" t="str">
        <f>"05"</f>
        <v>05</v>
      </c>
      <c r="H3929">
        <v>47</v>
      </c>
      <c r="I3929" t="s">
        <v>146</v>
      </c>
      <c r="J3929" t="s">
        <v>138</v>
      </c>
      <c r="K3929">
        <v>0</v>
      </c>
      <c r="L3929">
        <v>3</v>
      </c>
      <c r="M3929">
        <v>0</v>
      </c>
      <c r="N3929">
        <v>2</v>
      </c>
      <c r="O3929">
        <v>0</v>
      </c>
      <c r="P3929">
        <v>1</v>
      </c>
      <c r="Q3929">
        <v>0</v>
      </c>
      <c r="R3929" t="s">
        <v>127</v>
      </c>
      <c r="S3929" t="str">
        <f t="shared" si="1556"/>
        <v>15:15:26.000</v>
      </c>
      <c r="T3929" t="str">
        <f t="shared" si="1556"/>
        <v>15:15:26.000</v>
      </c>
      <c r="U3929" t="str">
        <f t="shared" si="1547"/>
        <v>A68FCB</v>
      </c>
      <c r="V3929">
        <v>0</v>
      </c>
      <c r="W3929">
        <v>0</v>
      </c>
      <c r="X3929">
        <v>2</v>
      </c>
      <c r="Y3929">
        <v>0</v>
      </c>
      <c r="AA3929">
        <v>1</v>
      </c>
      <c r="AB3929">
        <v>8</v>
      </c>
      <c r="AC3929">
        <v>3</v>
      </c>
      <c r="AD3929">
        <v>0</v>
      </c>
      <c r="AE3929">
        <v>9</v>
      </c>
      <c r="AF3929" t="s">
        <v>138</v>
      </c>
      <c r="AG3929">
        <v>0</v>
      </c>
      <c r="AH3929">
        <v>3</v>
      </c>
      <c r="AI3929">
        <v>2</v>
      </c>
      <c r="AJ3929">
        <v>0</v>
      </c>
      <c r="AK3929" t="s">
        <v>1242</v>
      </c>
      <c r="AL3929">
        <v>39.177439</v>
      </c>
      <c r="AM3929" t="s">
        <v>1243</v>
      </c>
      <c r="AN3929">
        <v>-121.028609</v>
      </c>
      <c r="AO3929">
        <v>25</v>
      </c>
      <c r="AP3929">
        <v>4400</v>
      </c>
      <c r="AQ3929" t="s">
        <v>131</v>
      </c>
      <c r="AR3929">
        <v>26</v>
      </c>
      <c r="AS3929">
        <v>78</v>
      </c>
      <c r="AT3929">
        <v>320</v>
      </c>
      <c r="BB3929" t="str">
        <f t="shared" si="1548"/>
        <v>1200</v>
      </c>
      <c r="BC3929">
        <v>1</v>
      </c>
      <c r="BD3929" t="str">
        <f t="shared" si="1549"/>
        <v xml:space="preserve">N52156  </v>
      </c>
      <c r="BE3929">
        <v>1</v>
      </c>
      <c r="BG3929">
        <v>0</v>
      </c>
      <c r="BH3929">
        <v>0</v>
      </c>
      <c r="BI3929">
        <v>0</v>
      </c>
      <c r="BJ3929">
        <v>4400</v>
      </c>
      <c r="BK3929">
        <v>0</v>
      </c>
      <c r="BL3929" t="s">
        <v>188</v>
      </c>
      <c r="BM3929">
        <v>1</v>
      </c>
      <c r="BN3929">
        <v>1</v>
      </c>
      <c r="BO3929">
        <v>0</v>
      </c>
      <c r="BP3929">
        <v>0</v>
      </c>
      <c r="BS3929">
        <v>0</v>
      </c>
      <c r="BT3929">
        <v>0</v>
      </c>
      <c r="BU3929">
        <v>0</v>
      </c>
      <c r="CE3929" t="str">
        <f t="shared" si="1557"/>
        <v>15:15:26.462</v>
      </c>
      <c r="CF3929">
        <v>462324078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3</v>
      </c>
      <c r="CY3929">
        <v>7</v>
      </c>
      <c r="CZ3929" t="s">
        <v>133</v>
      </c>
      <c r="DA3929">
        <v>276</v>
      </c>
      <c r="DB3929">
        <v>0</v>
      </c>
      <c r="DC3929" t="s">
        <v>402</v>
      </c>
      <c r="DD3929" t="s">
        <v>403</v>
      </c>
      <c r="DG3929">
        <v>1628314</v>
      </c>
      <c r="DI3929">
        <v>1</v>
      </c>
      <c r="DJ3929">
        <v>0</v>
      </c>
      <c r="DK3929">
        <v>1</v>
      </c>
      <c r="DL3929">
        <v>0</v>
      </c>
      <c r="DM3929">
        <v>0</v>
      </c>
      <c r="DN3929">
        <v>0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3">
      <c r="A3930" t="str">
        <f>"05/01/2025 15:15:26.732"</f>
        <v>05/01/2025 15:15:26.732</v>
      </c>
      <c r="C3930" t="str">
        <f t="shared" si="1546"/>
        <v>FFDFD3C0</v>
      </c>
      <c r="D3930" t="s">
        <v>145</v>
      </c>
      <c r="E3930" t="str">
        <f>"09"</f>
        <v>09</v>
      </c>
      <c r="H3930">
        <v>51</v>
      </c>
      <c r="I3930" t="s">
        <v>147</v>
      </c>
      <c r="J3930" t="s">
        <v>138</v>
      </c>
      <c r="K3930">
        <v>0</v>
      </c>
      <c r="L3930">
        <v>3</v>
      </c>
      <c r="M3930">
        <v>0</v>
      </c>
      <c r="N3930">
        <v>2</v>
      </c>
      <c r="O3930">
        <v>0</v>
      </c>
      <c r="P3930">
        <v>1</v>
      </c>
      <c r="Q3930">
        <v>0</v>
      </c>
      <c r="R3930" t="s">
        <v>127</v>
      </c>
      <c r="S3930" t="str">
        <f t="shared" si="1556"/>
        <v>15:15:26.000</v>
      </c>
      <c r="T3930" t="str">
        <f t="shared" si="1556"/>
        <v>15:15:26.000</v>
      </c>
      <c r="U3930" t="str">
        <f t="shared" si="1547"/>
        <v>A68FCB</v>
      </c>
      <c r="V3930">
        <v>0</v>
      </c>
      <c r="W3930">
        <v>0</v>
      </c>
      <c r="X3930">
        <v>2</v>
      </c>
      <c r="Y3930">
        <v>0</v>
      </c>
      <c r="AA3930">
        <v>1</v>
      </c>
      <c r="AB3930">
        <v>8</v>
      </c>
      <c r="AC3930">
        <v>3</v>
      </c>
      <c r="AD3930">
        <v>0</v>
      </c>
      <c r="AE3930">
        <v>9</v>
      </c>
      <c r="AF3930" t="s">
        <v>138</v>
      </c>
      <c r="AG3930">
        <v>0</v>
      </c>
      <c r="AH3930">
        <v>3</v>
      </c>
      <c r="AI3930">
        <v>2</v>
      </c>
      <c r="AJ3930">
        <v>0</v>
      </c>
      <c r="AK3930" t="s">
        <v>1242</v>
      </c>
      <c r="AL3930">
        <v>39.177439</v>
      </c>
      <c r="AM3930" t="s">
        <v>1243</v>
      </c>
      <c r="AN3930">
        <v>-121.028609</v>
      </c>
      <c r="AO3930">
        <v>25</v>
      </c>
      <c r="AP3930">
        <v>4400</v>
      </c>
      <c r="AQ3930" t="s">
        <v>131</v>
      </c>
      <c r="AR3930">
        <v>26</v>
      </c>
      <c r="AS3930">
        <v>78</v>
      </c>
      <c r="AT3930">
        <v>320</v>
      </c>
      <c r="BB3930" t="str">
        <f t="shared" si="1548"/>
        <v>1200</v>
      </c>
      <c r="BC3930">
        <v>1</v>
      </c>
      <c r="BD3930" t="str">
        <f t="shared" si="1549"/>
        <v xml:space="preserve">N52156  </v>
      </c>
      <c r="BE3930">
        <v>1</v>
      </c>
      <c r="BG3930">
        <v>0</v>
      </c>
      <c r="BH3930">
        <v>0</v>
      </c>
      <c r="BI3930">
        <v>0</v>
      </c>
      <c r="BJ3930">
        <v>4400</v>
      </c>
      <c r="BK3930">
        <v>0</v>
      </c>
      <c r="BL3930" t="s">
        <v>188</v>
      </c>
      <c r="BM3930">
        <v>1</v>
      </c>
      <c r="BN3930">
        <v>1</v>
      </c>
      <c r="BO3930">
        <v>0</v>
      </c>
      <c r="BP3930">
        <v>0</v>
      </c>
      <c r="BS3930">
        <v>0</v>
      </c>
      <c r="BT3930">
        <v>0</v>
      </c>
      <c r="BU3930">
        <v>0</v>
      </c>
      <c r="CE3930" t="str">
        <f t="shared" si="1557"/>
        <v>15:15:26.462</v>
      </c>
      <c r="CF3930">
        <v>462324078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3</v>
      </c>
      <c r="CY3930">
        <v>7</v>
      </c>
      <c r="CZ3930" t="s">
        <v>133</v>
      </c>
      <c r="DA3930">
        <v>276</v>
      </c>
      <c r="DB3930">
        <v>0</v>
      </c>
      <c r="DC3930" t="s">
        <v>402</v>
      </c>
      <c r="DD3930" t="s">
        <v>403</v>
      </c>
      <c r="DG3930">
        <v>1628314</v>
      </c>
      <c r="DI3930">
        <v>1</v>
      </c>
      <c r="DJ3930">
        <v>0</v>
      </c>
      <c r="DK3930">
        <v>1</v>
      </c>
      <c r="DL3930">
        <v>0</v>
      </c>
      <c r="DM3930">
        <v>0</v>
      </c>
      <c r="DN3930">
        <v>0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3">
      <c r="A3931" t="str">
        <f>"05/01/2025 15:15:26.746"</f>
        <v>05/01/2025 15:15:26.746</v>
      </c>
      <c r="C3931" t="str">
        <f t="shared" si="1546"/>
        <v>FFDFD3C0</v>
      </c>
      <c r="D3931" t="s">
        <v>136</v>
      </c>
      <c r="E3931" t="str">
        <f>"20"</f>
        <v>20</v>
      </c>
      <c r="H3931">
        <v>400</v>
      </c>
      <c r="I3931" t="s">
        <v>137</v>
      </c>
      <c r="J3931" t="s">
        <v>138</v>
      </c>
      <c r="K3931">
        <v>0</v>
      </c>
      <c r="L3931">
        <v>3</v>
      </c>
      <c r="M3931">
        <v>0</v>
      </c>
      <c r="N3931">
        <v>2</v>
      </c>
      <c r="O3931">
        <v>0</v>
      </c>
      <c r="P3931">
        <v>1</v>
      </c>
      <c r="Q3931">
        <v>0</v>
      </c>
      <c r="R3931" t="s">
        <v>127</v>
      </c>
      <c r="S3931" t="str">
        <f t="shared" si="1556"/>
        <v>15:15:26.000</v>
      </c>
      <c r="T3931" t="str">
        <f t="shared" si="1556"/>
        <v>15:15:26.000</v>
      </c>
      <c r="U3931" t="str">
        <f t="shared" si="1547"/>
        <v>A68FCB</v>
      </c>
      <c r="V3931">
        <v>0</v>
      </c>
      <c r="W3931">
        <v>0</v>
      </c>
      <c r="X3931">
        <v>2</v>
      </c>
      <c r="Y3931">
        <v>0</v>
      </c>
      <c r="AA3931">
        <v>1</v>
      </c>
      <c r="AB3931">
        <v>8</v>
      </c>
      <c r="AC3931">
        <v>3</v>
      </c>
      <c r="AD3931">
        <v>0</v>
      </c>
      <c r="AE3931">
        <v>9</v>
      </c>
      <c r="AF3931" t="s">
        <v>138</v>
      </c>
      <c r="AG3931">
        <v>0</v>
      </c>
      <c r="AH3931">
        <v>3</v>
      </c>
      <c r="AI3931">
        <v>2</v>
      </c>
      <c r="AJ3931">
        <v>0</v>
      </c>
      <c r="AK3931" t="s">
        <v>1242</v>
      </c>
      <c r="AL3931">
        <v>39.177439</v>
      </c>
      <c r="AM3931" t="s">
        <v>1243</v>
      </c>
      <c r="AN3931">
        <v>-121.028609</v>
      </c>
      <c r="AO3931">
        <v>25</v>
      </c>
      <c r="AP3931">
        <v>4400</v>
      </c>
      <c r="AQ3931" t="s">
        <v>131</v>
      </c>
      <c r="AR3931">
        <v>26</v>
      </c>
      <c r="AS3931">
        <v>78</v>
      </c>
      <c r="AT3931">
        <v>320</v>
      </c>
      <c r="BB3931" t="str">
        <f t="shared" si="1548"/>
        <v>1200</v>
      </c>
      <c r="BC3931">
        <v>1</v>
      </c>
      <c r="BD3931" t="str">
        <f t="shared" si="1549"/>
        <v xml:space="preserve">N52156  </v>
      </c>
      <c r="BE3931">
        <v>1</v>
      </c>
      <c r="BG3931">
        <v>0</v>
      </c>
      <c r="BH3931">
        <v>0</v>
      </c>
      <c r="BI3931">
        <v>0</v>
      </c>
      <c r="BJ3931">
        <v>4400</v>
      </c>
      <c r="BK3931">
        <v>0</v>
      </c>
      <c r="BL3931" t="s">
        <v>188</v>
      </c>
      <c r="BM3931">
        <v>1</v>
      </c>
      <c r="BN3931">
        <v>1</v>
      </c>
      <c r="BO3931">
        <v>0</v>
      </c>
      <c r="BP3931">
        <v>0</v>
      </c>
      <c r="BS3931">
        <v>0</v>
      </c>
      <c r="BT3931">
        <v>0</v>
      </c>
      <c r="BU3931">
        <v>0</v>
      </c>
      <c r="CE3931" t="str">
        <f t="shared" si="1557"/>
        <v>15:15:26.462</v>
      </c>
      <c r="CF3931">
        <v>462324078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3</v>
      </c>
      <c r="CY3931">
        <v>7</v>
      </c>
      <c r="CZ3931" t="s">
        <v>133</v>
      </c>
      <c r="DA3931">
        <v>276</v>
      </c>
      <c r="DB3931">
        <v>0</v>
      </c>
      <c r="DC3931" t="s">
        <v>402</v>
      </c>
      <c r="DD3931" t="s">
        <v>403</v>
      </c>
      <c r="DG3931">
        <v>1628314</v>
      </c>
      <c r="DI3931">
        <v>1</v>
      </c>
      <c r="DJ3931">
        <v>0</v>
      </c>
      <c r="DK3931">
        <v>1</v>
      </c>
      <c r="DL3931">
        <v>0</v>
      </c>
      <c r="DM3931">
        <v>0</v>
      </c>
      <c r="DN3931">
        <v>0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3">
      <c r="A3932" t="str">
        <f>"05/01/2025 15:15:27.870"</f>
        <v>05/01/2025 15:15:27.870</v>
      </c>
      <c r="C3932" t="str">
        <f t="shared" si="1546"/>
        <v>FFDFD3C0</v>
      </c>
      <c r="D3932" t="s">
        <v>143</v>
      </c>
      <c r="E3932" t="str">
        <f>"05"</f>
        <v>05</v>
      </c>
      <c r="H3932">
        <v>172</v>
      </c>
      <c r="I3932" t="s">
        <v>141</v>
      </c>
      <c r="J3932" t="s">
        <v>144</v>
      </c>
      <c r="K3932">
        <v>0</v>
      </c>
      <c r="L3932">
        <v>3</v>
      </c>
      <c r="M3932">
        <v>0</v>
      </c>
      <c r="N3932">
        <v>2</v>
      </c>
      <c r="O3932">
        <v>0</v>
      </c>
      <c r="P3932">
        <v>1</v>
      </c>
      <c r="Q3932">
        <v>0</v>
      </c>
      <c r="R3932" t="s">
        <v>127</v>
      </c>
      <c r="S3932" t="str">
        <f t="shared" ref="S3932:T3937" si="1558">"15:15:27.000"</f>
        <v>15:15:27.000</v>
      </c>
      <c r="T3932" t="str">
        <f t="shared" si="1558"/>
        <v>15:15:27.000</v>
      </c>
      <c r="U3932" t="str">
        <f t="shared" si="1547"/>
        <v>A68FCB</v>
      </c>
      <c r="V3932">
        <v>0</v>
      </c>
      <c r="W3932">
        <v>0</v>
      </c>
      <c r="X3932">
        <v>2</v>
      </c>
      <c r="Y3932">
        <v>0</v>
      </c>
      <c r="AA3932">
        <v>1</v>
      </c>
      <c r="AB3932">
        <v>8</v>
      </c>
      <c r="AC3932">
        <v>3</v>
      </c>
      <c r="AD3932">
        <v>0</v>
      </c>
      <c r="AE3932">
        <v>9</v>
      </c>
      <c r="AF3932" t="s">
        <v>138</v>
      </c>
      <c r="AG3932">
        <v>0</v>
      </c>
      <c r="AH3932">
        <v>3</v>
      </c>
      <c r="AI3932">
        <v>2</v>
      </c>
      <c r="AJ3932">
        <v>0</v>
      </c>
      <c r="AK3932" t="s">
        <v>1244</v>
      </c>
      <c r="AL3932">
        <v>39.177824999999999</v>
      </c>
      <c r="AM3932" t="s">
        <v>1245</v>
      </c>
      <c r="AN3932">
        <v>-121.02843799999999</v>
      </c>
      <c r="AO3932">
        <v>25</v>
      </c>
      <c r="AP3932">
        <v>4400</v>
      </c>
      <c r="AQ3932" t="s">
        <v>131</v>
      </c>
      <c r="AR3932">
        <v>27</v>
      </c>
      <c r="AS3932">
        <v>77</v>
      </c>
      <c r="AT3932">
        <v>256</v>
      </c>
      <c r="BB3932" t="str">
        <f t="shared" si="1548"/>
        <v>1200</v>
      </c>
      <c r="BC3932">
        <v>1</v>
      </c>
      <c r="BD3932" t="str">
        <f t="shared" si="1549"/>
        <v xml:space="preserve">N52156  </v>
      </c>
      <c r="BE3932">
        <v>1</v>
      </c>
      <c r="BG3932">
        <v>0</v>
      </c>
      <c r="BH3932">
        <v>0</v>
      </c>
      <c r="BI3932">
        <v>0</v>
      </c>
      <c r="BJ3932">
        <v>4425</v>
      </c>
      <c r="BK3932">
        <v>25</v>
      </c>
      <c r="BL3932" t="s">
        <v>188</v>
      </c>
      <c r="BM3932">
        <v>1</v>
      </c>
      <c r="BN3932">
        <v>1</v>
      </c>
      <c r="BO3932">
        <v>0</v>
      </c>
      <c r="BP3932">
        <v>0</v>
      </c>
      <c r="BS3932">
        <v>0</v>
      </c>
      <c r="BT3932">
        <v>0</v>
      </c>
      <c r="BU3932">
        <v>0</v>
      </c>
      <c r="CE3932" t="str">
        <f t="shared" ref="CE3932:CE3937" si="1559">"15:15:27.651"</f>
        <v>15:15:27.651</v>
      </c>
      <c r="CF3932">
        <v>650824703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3</v>
      </c>
      <c r="CY3932">
        <v>7</v>
      </c>
      <c r="CZ3932" t="s">
        <v>133</v>
      </c>
      <c r="DA3932">
        <v>276</v>
      </c>
      <c r="DB3932">
        <v>0</v>
      </c>
      <c r="DC3932" t="s">
        <v>402</v>
      </c>
      <c r="DD3932" t="s">
        <v>403</v>
      </c>
      <c r="DG3932">
        <v>1628316</v>
      </c>
      <c r="DI3932">
        <v>1</v>
      </c>
      <c r="DJ3932">
        <v>0</v>
      </c>
      <c r="DK3932">
        <v>0</v>
      </c>
      <c r="DL3932">
        <v>0</v>
      </c>
      <c r="DM3932">
        <v>0</v>
      </c>
      <c r="DN3932">
        <v>0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3">
      <c r="A3933" t="str">
        <f>"05/01/2025 15:15:27.871"</f>
        <v>05/01/2025 15:15:27.871</v>
      </c>
      <c r="C3933" t="str">
        <f t="shared" si="1546"/>
        <v>FFDFD3C0</v>
      </c>
      <c r="D3933" t="s">
        <v>140</v>
      </c>
      <c r="E3933" t="str">
        <f>"13"</f>
        <v>13</v>
      </c>
      <c r="F3933">
        <v>1019</v>
      </c>
      <c r="G3933" t="s">
        <v>141</v>
      </c>
      <c r="J3933" t="s">
        <v>142</v>
      </c>
      <c r="K3933">
        <v>0</v>
      </c>
      <c r="L3933">
        <v>3</v>
      </c>
      <c r="M3933">
        <v>0</v>
      </c>
      <c r="N3933">
        <v>2</v>
      </c>
      <c r="O3933">
        <v>0</v>
      </c>
      <c r="P3933">
        <v>1</v>
      </c>
      <c r="Q3933">
        <v>0</v>
      </c>
      <c r="R3933" t="s">
        <v>127</v>
      </c>
      <c r="S3933" t="str">
        <f t="shared" si="1558"/>
        <v>15:15:27.000</v>
      </c>
      <c r="T3933" t="str">
        <f t="shared" si="1558"/>
        <v>15:15:27.000</v>
      </c>
      <c r="U3933" t="str">
        <f t="shared" si="1547"/>
        <v>A68FCB</v>
      </c>
      <c r="V3933">
        <v>0</v>
      </c>
      <c r="W3933">
        <v>0</v>
      </c>
      <c r="X3933">
        <v>2</v>
      </c>
      <c r="Y3933">
        <v>0</v>
      </c>
      <c r="AA3933">
        <v>1</v>
      </c>
      <c r="AB3933">
        <v>8</v>
      </c>
      <c r="AC3933">
        <v>3</v>
      </c>
      <c r="AD3933">
        <v>0</v>
      </c>
      <c r="AE3933">
        <v>9</v>
      </c>
      <c r="AF3933" t="s">
        <v>138</v>
      </c>
      <c r="AG3933">
        <v>0</v>
      </c>
      <c r="AH3933">
        <v>3</v>
      </c>
      <c r="AI3933">
        <v>2</v>
      </c>
      <c r="AJ3933">
        <v>0</v>
      </c>
      <c r="AK3933" t="s">
        <v>1244</v>
      </c>
      <c r="AL3933">
        <v>39.177824999999999</v>
      </c>
      <c r="AM3933" t="s">
        <v>1245</v>
      </c>
      <c r="AN3933">
        <v>-121.02843799999999</v>
      </c>
      <c r="AO3933">
        <v>25</v>
      </c>
      <c r="AP3933">
        <v>4400</v>
      </c>
      <c r="AQ3933" t="s">
        <v>131</v>
      </c>
      <c r="AR3933">
        <v>27</v>
      </c>
      <c r="AS3933">
        <v>77</v>
      </c>
      <c r="AT3933">
        <v>256</v>
      </c>
      <c r="BB3933" t="str">
        <f t="shared" si="1548"/>
        <v>1200</v>
      </c>
      <c r="BC3933">
        <v>1</v>
      </c>
      <c r="BD3933" t="str">
        <f t="shared" si="1549"/>
        <v xml:space="preserve">N52156  </v>
      </c>
      <c r="BE3933">
        <v>1</v>
      </c>
      <c r="BG3933">
        <v>0</v>
      </c>
      <c r="BH3933">
        <v>0</v>
      </c>
      <c r="BI3933">
        <v>0</v>
      </c>
      <c r="BJ3933">
        <v>4425</v>
      </c>
      <c r="BK3933">
        <v>25</v>
      </c>
      <c r="BL3933" t="s">
        <v>188</v>
      </c>
      <c r="BM3933">
        <v>1</v>
      </c>
      <c r="BN3933">
        <v>1</v>
      </c>
      <c r="BO3933">
        <v>0</v>
      </c>
      <c r="BP3933">
        <v>0</v>
      </c>
      <c r="BS3933">
        <v>0</v>
      </c>
      <c r="BT3933">
        <v>0</v>
      </c>
      <c r="BU3933">
        <v>0</v>
      </c>
      <c r="CE3933" t="str">
        <f t="shared" si="1559"/>
        <v>15:15:27.651</v>
      </c>
      <c r="CF3933">
        <v>650824703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3</v>
      </c>
      <c r="CY3933">
        <v>7</v>
      </c>
      <c r="CZ3933" t="s">
        <v>133</v>
      </c>
      <c r="DA3933">
        <v>276</v>
      </c>
      <c r="DB3933">
        <v>0</v>
      </c>
      <c r="DC3933" t="s">
        <v>402</v>
      </c>
      <c r="DD3933" t="s">
        <v>403</v>
      </c>
      <c r="DG3933">
        <v>1628316</v>
      </c>
      <c r="DI3933">
        <v>1</v>
      </c>
      <c r="DJ3933">
        <v>0</v>
      </c>
      <c r="DK3933">
        <v>1</v>
      </c>
      <c r="DL3933">
        <v>0</v>
      </c>
      <c r="DM3933">
        <v>0</v>
      </c>
      <c r="DN3933">
        <v>0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3">
      <c r="A3934" t="str">
        <f>"05/01/2025 15:15:27.876"</f>
        <v>05/01/2025 15:15:27.876</v>
      </c>
      <c r="C3934" t="str">
        <f t="shared" si="1546"/>
        <v>FFDFD3C0</v>
      </c>
      <c r="D3934" t="s">
        <v>124</v>
      </c>
      <c r="E3934" t="str">
        <f>"06"</f>
        <v>06</v>
      </c>
      <c r="F3934">
        <v>2006</v>
      </c>
      <c r="G3934" t="s">
        <v>125</v>
      </c>
      <c r="J3934" t="s">
        <v>126</v>
      </c>
      <c r="K3934">
        <v>0</v>
      </c>
      <c r="L3934">
        <v>3</v>
      </c>
      <c r="M3934">
        <v>0</v>
      </c>
      <c r="N3934">
        <v>2</v>
      </c>
      <c r="O3934">
        <v>0</v>
      </c>
      <c r="P3934">
        <v>1</v>
      </c>
      <c r="Q3934">
        <v>0</v>
      </c>
      <c r="R3934" t="s">
        <v>127</v>
      </c>
      <c r="S3934" t="str">
        <f t="shared" si="1558"/>
        <v>15:15:27.000</v>
      </c>
      <c r="T3934" t="str">
        <f t="shared" si="1558"/>
        <v>15:15:27.000</v>
      </c>
      <c r="U3934" t="str">
        <f t="shared" si="1547"/>
        <v>A68FCB</v>
      </c>
      <c r="V3934">
        <v>0</v>
      </c>
      <c r="W3934">
        <v>0</v>
      </c>
      <c r="X3934">
        <v>2</v>
      </c>
      <c r="Y3934">
        <v>0</v>
      </c>
      <c r="AA3934">
        <v>1</v>
      </c>
      <c r="AB3934">
        <v>8</v>
      </c>
      <c r="AC3934">
        <v>3</v>
      </c>
      <c r="AD3934">
        <v>0</v>
      </c>
      <c r="AE3934">
        <v>9</v>
      </c>
      <c r="AF3934" t="s">
        <v>138</v>
      </c>
      <c r="AG3934">
        <v>0</v>
      </c>
      <c r="AH3934">
        <v>3</v>
      </c>
      <c r="AI3934">
        <v>2</v>
      </c>
      <c r="AJ3934">
        <v>0</v>
      </c>
      <c r="AK3934" t="s">
        <v>1244</v>
      </c>
      <c r="AL3934">
        <v>39.177824999999999</v>
      </c>
      <c r="AM3934" t="s">
        <v>1245</v>
      </c>
      <c r="AN3934">
        <v>-121.02843799999999</v>
      </c>
      <c r="AO3934">
        <v>25</v>
      </c>
      <c r="AP3934">
        <v>4400</v>
      </c>
      <c r="AQ3934" t="s">
        <v>131</v>
      </c>
      <c r="AR3934">
        <v>27</v>
      </c>
      <c r="AS3934">
        <v>77</v>
      </c>
      <c r="AT3934">
        <v>256</v>
      </c>
      <c r="BB3934" t="str">
        <f t="shared" si="1548"/>
        <v>1200</v>
      </c>
      <c r="BC3934">
        <v>1</v>
      </c>
      <c r="BD3934" t="str">
        <f t="shared" si="1549"/>
        <v xml:space="preserve">N52156  </v>
      </c>
      <c r="BE3934">
        <v>1</v>
      </c>
      <c r="BG3934">
        <v>0</v>
      </c>
      <c r="BH3934">
        <v>0</v>
      </c>
      <c r="BI3934">
        <v>0</v>
      </c>
      <c r="BJ3934">
        <v>4425</v>
      </c>
      <c r="BK3934">
        <v>25</v>
      </c>
      <c r="BL3934" t="s">
        <v>188</v>
      </c>
      <c r="BM3934">
        <v>1</v>
      </c>
      <c r="BN3934">
        <v>1</v>
      </c>
      <c r="BO3934">
        <v>0</v>
      </c>
      <c r="BP3934">
        <v>0</v>
      </c>
      <c r="BS3934">
        <v>0</v>
      </c>
      <c r="BT3934">
        <v>0</v>
      </c>
      <c r="BU3934">
        <v>0</v>
      </c>
      <c r="CE3934" t="str">
        <f t="shared" si="1559"/>
        <v>15:15:27.651</v>
      </c>
      <c r="CF3934">
        <v>650824703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3</v>
      </c>
      <c r="CY3934">
        <v>7</v>
      </c>
      <c r="CZ3934" t="s">
        <v>133</v>
      </c>
      <c r="DA3934">
        <v>276</v>
      </c>
      <c r="DB3934">
        <v>0</v>
      </c>
      <c r="DC3934" t="s">
        <v>402</v>
      </c>
      <c r="DD3934" t="s">
        <v>403</v>
      </c>
      <c r="DG3934">
        <v>1628316</v>
      </c>
      <c r="DI3934">
        <v>1</v>
      </c>
      <c r="DJ3934">
        <v>0</v>
      </c>
      <c r="DK3934">
        <v>1</v>
      </c>
      <c r="DL3934">
        <v>0</v>
      </c>
      <c r="DM3934">
        <v>0</v>
      </c>
      <c r="DN3934">
        <v>0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 x14ac:dyDescent="0.3">
      <c r="A3935" t="str">
        <f>"05/01/2025 15:15:27.884"</f>
        <v>05/01/2025 15:15:27.884</v>
      </c>
      <c r="C3935" t="str">
        <f t="shared" si="1546"/>
        <v>FFDFD3C0</v>
      </c>
      <c r="D3935" t="s">
        <v>145</v>
      </c>
      <c r="E3935" t="str">
        <f>"09"</f>
        <v>09</v>
      </c>
      <c r="H3935">
        <v>51</v>
      </c>
      <c r="I3935" t="s">
        <v>147</v>
      </c>
      <c r="J3935" t="s">
        <v>138</v>
      </c>
      <c r="K3935">
        <v>0</v>
      </c>
      <c r="L3935">
        <v>3</v>
      </c>
      <c r="M3935">
        <v>0</v>
      </c>
      <c r="N3935">
        <v>2</v>
      </c>
      <c r="O3935">
        <v>0</v>
      </c>
      <c r="P3935">
        <v>1</v>
      </c>
      <c r="Q3935">
        <v>0</v>
      </c>
      <c r="R3935" t="s">
        <v>127</v>
      </c>
      <c r="S3935" t="str">
        <f t="shared" si="1558"/>
        <v>15:15:27.000</v>
      </c>
      <c r="T3935" t="str">
        <f t="shared" si="1558"/>
        <v>15:15:27.000</v>
      </c>
      <c r="U3935" t="str">
        <f t="shared" si="1547"/>
        <v>A68FCB</v>
      </c>
      <c r="V3935">
        <v>0</v>
      </c>
      <c r="W3935">
        <v>0</v>
      </c>
      <c r="X3935">
        <v>2</v>
      </c>
      <c r="Y3935">
        <v>0</v>
      </c>
      <c r="AA3935">
        <v>1</v>
      </c>
      <c r="AB3935">
        <v>8</v>
      </c>
      <c r="AC3935">
        <v>3</v>
      </c>
      <c r="AD3935">
        <v>0</v>
      </c>
      <c r="AE3935">
        <v>9</v>
      </c>
      <c r="AF3935" t="s">
        <v>138</v>
      </c>
      <c r="AG3935">
        <v>0</v>
      </c>
      <c r="AH3935">
        <v>3</v>
      </c>
      <c r="AI3935">
        <v>2</v>
      </c>
      <c r="AJ3935">
        <v>0</v>
      </c>
      <c r="AK3935" t="s">
        <v>1244</v>
      </c>
      <c r="AL3935">
        <v>39.177824999999999</v>
      </c>
      <c r="AM3935" t="s">
        <v>1245</v>
      </c>
      <c r="AN3935">
        <v>-121.02843799999999</v>
      </c>
      <c r="AO3935">
        <v>25</v>
      </c>
      <c r="AP3935">
        <v>4400</v>
      </c>
      <c r="AQ3935" t="s">
        <v>131</v>
      </c>
      <c r="AR3935">
        <v>27</v>
      </c>
      <c r="AS3935">
        <v>77</v>
      </c>
      <c r="AT3935">
        <v>256</v>
      </c>
      <c r="BB3935" t="str">
        <f t="shared" si="1548"/>
        <v>1200</v>
      </c>
      <c r="BC3935">
        <v>1</v>
      </c>
      <c r="BD3935" t="str">
        <f t="shared" si="1549"/>
        <v xml:space="preserve">N52156  </v>
      </c>
      <c r="BE3935">
        <v>1</v>
      </c>
      <c r="BG3935">
        <v>0</v>
      </c>
      <c r="BH3935">
        <v>0</v>
      </c>
      <c r="BI3935">
        <v>0</v>
      </c>
      <c r="BJ3935">
        <v>4425</v>
      </c>
      <c r="BK3935">
        <v>25</v>
      </c>
      <c r="BL3935" t="s">
        <v>188</v>
      </c>
      <c r="BM3935">
        <v>1</v>
      </c>
      <c r="BN3935">
        <v>1</v>
      </c>
      <c r="BO3935">
        <v>0</v>
      </c>
      <c r="BP3935">
        <v>0</v>
      </c>
      <c r="BS3935">
        <v>0</v>
      </c>
      <c r="BT3935">
        <v>0</v>
      </c>
      <c r="BU3935">
        <v>0</v>
      </c>
      <c r="CE3935" t="str">
        <f t="shared" si="1559"/>
        <v>15:15:27.651</v>
      </c>
      <c r="CF3935">
        <v>650824703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3</v>
      </c>
      <c r="CY3935">
        <v>7</v>
      </c>
      <c r="CZ3935" t="s">
        <v>133</v>
      </c>
      <c r="DA3935">
        <v>276</v>
      </c>
      <c r="DB3935">
        <v>0</v>
      </c>
      <c r="DC3935" t="s">
        <v>402</v>
      </c>
      <c r="DD3935" t="s">
        <v>403</v>
      </c>
      <c r="DG3935">
        <v>1628316</v>
      </c>
      <c r="DI3935">
        <v>1</v>
      </c>
      <c r="DJ3935">
        <v>0</v>
      </c>
      <c r="DK3935">
        <v>1</v>
      </c>
      <c r="DL3935">
        <v>0</v>
      </c>
      <c r="DM3935">
        <v>0</v>
      </c>
      <c r="DN3935">
        <v>0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 x14ac:dyDescent="0.3">
      <c r="A3936" t="str">
        <f>"05/01/2025 15:15:27.887"</f>
        <v>05/01/2025 15:15:27.887</v>
      </c>
      <c r="C3936" t="str">
        <f t="shared" si="1546"/>
        <v>FFDFD3C0</v>
      </c>
      <c r="D3936" t="s">
        <v>145</v>
      </c>
      <c r="E3936" t="str">
        <f>"05"</f>
        <v>05</v>
      </c>
      <c r="H3936">
        <v>47</v>
      </c>
      <c r="I3936" t="s">
        <v>146</v>
      </c>
      <c r="J3936" t="s">
        <v>138</v>
      </c>
      <c r="K3936">
        <v>0</v>
      </c>
      <c r="L3936">
        <v>3</v>
      </c>
      <c r="M3936">
        <v>0</v>
      </c>
      <c r="N3936">
        <v>2</v>
      </c>
      <c r="O3936">
        <v>0</v>
      </c>
      <c r="P3936">
        <v>1</v>
      </c>
      <c r="Q3936">
        <v>0</v>
      </c>
      <c r="R3936" t="s">
        <v>127</v>
      </c>
      <c r="S3936" t="str">
        <f t="shared" si="1558"/>
        <v>15:15:27.000</v>
      </c>
      <c r="T3936" t="str">
        <f t="shared" si="1558"/>
        <v>15:15:27.000</v>
      </c>
      <c r="U3936" t="str">
        <f t="shared" si="1547"/>
        <v>A68FCB</v>
      </c>
      <c r="V3936">
        <v>0</v>
      </c>
      <c r="W3936">
        <v>0</v>
      </c>
      <c r="X3936">
        <v>2</v>
      </c>
      <c r="Y3936">
        <v>0</v>
      </c>
      <c r="AA3936">
        <v>1</v>
      </c>
      <c r="AB3936">
        <v>8</v>
      </c>
      <c r="AC3936">
        <v>3</v>
      </c>
      <c r="AD3936">
        <v>0</v>
      </c>
      <c r="AE3936">
        <v>9</v>
      </c>
      <c r="AF3936" t="s">
        <v>138</v>
      </c>
      <c r="AG3936">
        <v>0</v>
      </c>
      <c r="AH3936">
        <v>3</v>
      </c>
      <c r="AI3936">
        <v>2</v>
      </c>
      <c r="AJ3936">
        <v>0</v>
      </c>
      <c r="AK3936" t="s">
        <v>1244</v>
      </c>
      <c r="AL3936">
        <v>39.177824999999999</v>
      </c>
      <c r="AM3936" t="s">
        <v>1245</v>
      </c>
      <c r="AN3936">
        <v>-121.02843799999999</v>
      </c>
      <c r="AO3936">
        <v>25</v>
      </c>
      <c r="AP3936">
        <v>4400</v>
      </c>
      <c r="AQ3936" t="s">
        <v>131</v>
      </c>
      <c r="AR3936">
        <v>27</v>
      </c>
      <c r="AS3936">
        <v>77</v>
      </c>
      <c r="AT3936">
        <v>256</v>
      </c>
      <c r="BB3936" t="str">
        <f t="shared" si="1548"/>
        <v>1200</v>
      </c>
      <c r="BC3936">
        <v>1</v>
      </c>
      <c r="BD3936" t="str">
        <f t="shared" si="1549"/>
        <v xml:space="preserve">N52156  </v>
      </c>
      <c r="BE3936">
        <v>1</v>
      </c>
      <c r="BG3936">
        <v>0</v>
      </c>
      <c r="BH3936">
        <v>0</v>
      </c>
      <c r="BI3936">
        <v>0</v>
      </c>
      <c r="BJ3936">
        <v>4425</v>
      </c>
      <c r="BK3936">
        <v>25</v>
      </c>
      <c r="BL3936" t="s">
        <v>188</v>
      </c>
      <c r="BM3936">
        <v>1</v>
      </c>
      <c r="BN3936">
        <v>1</v>
      </c>
      <c r="BO3936">
        <v>0</v>
      </c>
      <c r="BP3936">
        <v>0</v>
      </c>
      <c r="BS3936">
        <v>0</v>
      </c>
      <c r="BT3936">
        <v>0</v>
      </c>
      <c r="BU3936">
        <v>0</v>
      </c>
      <c r="CE3936" t="str">
        <f t="shared" si="1559"/>
        <v>15:15:27.651</v>
      </c>
      <c r="CF3936">
        <v>650824703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3</v>
      </c>
      <c r="CY3936">
        <v>7</v>
      </c>
      <c r="CZ3936" t="s">
        <v>133</v>
      </c>
      <c r="DA3936">
        <v>276</v>
      </c>
      <c r="DB3936">
        <v>0</v>
      </c>
      <c r="DC3936" t="s">
        <v>402</v>
      </c>
      <c r="DD3936" t="s">
        <v>403</v>
      </c>
      <c r="DG3936">
        <v>1628316</v>
      </c>
      <c r="DI3936">
        <v>1</v>
      </c>
      <c r="DJ3936">
        <v>0</v>
      </c>
      <c r="DK3936">
        <v>1</v>
      </c>
      <c r="DL3936">
        <v>0</v>
      </c>
      <c r="DM3936">
        <v>0</v>
      </c>
      <c r="DN3936">
        <v>0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 x14ac:dyDescent="0.3">
      <c r="A3937" t="str">
        <f>"05/01/2025 15:15:27.899"</f>
        <v>05/01/2025 15:15:27.899</v>
      </c>
      <c r="C3937" t="str">
        <f t="shared" si="1546"/>
        <v>FFDFD3C0</v>
      </c>
      <c r="D3937" t="s">
        <v>136</v>
      </c>
      <c r="E3937" t="str">
        <f>"20"</f>
        <v>20</v>
      </c>
      <c r="H3937">
        <v>400</v>
      </c>
      <c r="I3937" t="s">
        <v>137</v>
      </c>
      <c r="J3937" t="s">
        <v>138</v>
      </c>
      <c r="K3937">
        <v>0</v>
      </c>
      <c r="L3937">
        <v>3</v>
      </c>
      <c r="M3937">
        <v>0</v>
      </c>
      <c r="N3937">
        <v>2</v>
      </c>
      <c r="O3937">
        <v>0</v>
      </c>
      <c r="P3937">
        <v>1</v>
      </c>
      <c r="Q3937">
        <v>0</v>
      </c>
      <c r="R3937" t="s">
        <v>127</v>
      </c>
      <c r="S3937" t="str">
        <f t="shared" si="1558"/>
        <v>15:15:27.000</v>
      </c>
      <c r="T3937" t="str">
        <f t="shared" si="1558"/>
        <v>15:15:27.000</v>
      </c>
      <c r="U3937" t="str">
        <f t="shared" si="1547"/>
        <v>A68FCB</v>
      </c>
      <c r="V3937">
        <v>0</v>
      </c>
      <c r="W3937">
        <v>0</v>
      </c>
      <c r="X3937">
        <v>2</v>
      </c>
      <c r="Y3937">
        <v>0</v>
      </c>
      <c r="AA3937">
        <v>1</v>
      </c>
      <c r="AB3937">
        <v>8</v>
      </c>
      <c r="AC3937">
        <v>3</v>
      </c>
      <c r="AD3937">
        <v>0</v>
      </c>
      <c r="AE3937">
        <v>9</v>
      </c>
      <c r="AF3937" t="s">
        <v>138</v>
      </c>
      <c r="AG3937">
        <v>0</v>
      </c>
      <c r="AH3937">
        <v>3</v>
      </c>
      <c r="AI3937">
        <v>2</v>
      </c>
      <c r="AJ3937">
        <v>0</v>
      </c>
      <c r="AK3937" t="s">
        <v>1244</v>
      </c>
      <c r="AL3937">
        <v>39.177824999999999</v>
      </c>
      <c r="AM3937" t="s">
        <v>1245</v>
      </c>
      <c r="AN3937">
        <v>-121.02843799999999</v>
      </c>
      <c r="AO3937">
        <v>25</v>
      </c>
      <c r="AP3937">
        <v>4400</v>
      </c>
      <c r="AQ3937" t="s">
        <v>131</v>
      </c>
      <c r="AR3937">
        <v>27</v>
      </c>
      <c r="AS3937">
        <v>77</v>
      </c>
      <c r="AT3937">
        <v>256</v>
      </c>
      <c r="BB3937" t="str">
        <f t="shared" si="1548"/>
        <v>1200</v>
      </c>
      <c r="BC3937">
        <v>1</v>
      </c>
      <c r="BD3937" t="str">
        <f t="shared" si="1549"/>
        <v xml:space="preserve">N52156  </v>
      </c>
      <c r="BE3937">
        <v>1</v>
      </c>
      <c r="BG3937">
        <v>0</v>
      </c>
      <c r="BH3937">
        <v>0</v>
      </c>
      <c r="BI3937">
        <v>0</v>
      </c>
      <c r="BJ3937">
        <v>4425</v>
      </c>
      <c r="BK3937">
        <v>25</v>
      </c>
      <c r="BL3937" t="s">
        <v>188</v>
      </c>
      <c r="BM3937">
        <v>1</v>
      </c>
      <c r="BN3937">
        <v>1</v>
      </c>
      <c r="BO3937">
        <v>0</v>
      </c>
      <c r="BP3937">
        <v>0</v>
      </c>
      <c r="BS3937">
        <v>0</v>
      </c>
      <c r="BT3937">
        <v>0</v>
      </c>
      <c r="BU3937">
        <v>0</v>
      </c>
      <c r="CE3937" t="str">
        <f t="shared" si="1559"/>
        <v>15:15:27.651</v>
      </c>
      <c r="CF3937">
        <v>650824703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3</v>
      </c>
      <c r="CY3937">
        <v>7</v>
      </c>
      <c r="CZ3937" t="s">
        <v>133</v>
      </c>
      <c r="DA3937">
        <v>276</v>
      </c>
      <c r="DB3937">
        <v>0</v>
      </c>
      <c r="DC3937" t="s">
        <v>402</v>
      </c>
      <c r="DD3937" t="s">
        <v>403</v>
      </c>
      <c r="DG3937">
        <v>1628316</v>
      </c>
      <c r="DI3937">
        <v>1</v>
      </c>
      <c r="DJ3937">
        <v>0</v>
      </c>
      <c r="DK3937">
        <v>1</v>
      </c>
      <c r="DL3937">
        <v>0</v>
      </c>
      <c r="DM3937">
        <v>0</v>
      </c>
      <c r="DN3937">
        <v>0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 x14ac:dyDescent="0.3">
      <c r="A3938" t="str">
        <f>"05/01/2025 15:15:28.450"</f>
        <v>05/01/2025 15:15:28.450</v>
      </c>
      <c r="C3938" t="str">
        <f t="shared" si="1546"/>
        <v>FFDFD3C0</v>
      </c>
      <c r="D3938" t="s">
        <v>136</v>
      </c>
      <c r="E3938" t="str">
        <f>"20"</f>
        <v>20</v>
      </c>
      <c r="H3938">
        <v>400</v>
      </c>
      <c r="I3938" t="s">
        <v>137</v>
      </c>
      <c r="J3938" t="s">
        <v>138</v>
      </c>
      <c r="K3938">
        <v>0</v>
      </c>
      <c r="L3938">
        <v>3</v>
      </c>
      <c r="M3938">
        <v>0</v>
      </c>
      <c r="N3938">
        <v>2</v>
      </c>
      <c r="O3938">
        <v>0</v>
      </c>
      <c r="P3938">
        <v>1</v>
      </c>
      <c r="Q3938">
        <v>0</v>
      </c>
      <c r="R3938" t="s">
        <v>127</v>
      </c>
      <c r="S3938" t="str">
        <f t="shared" ref="S3938:T3943" si="1560">"15:15:28.000"</f>
        <v>15:15:28.000</v>
      </c>
      <c r="T3938" t="str">
        <f t="shared" si="1560"/>
        <v>15:15:28.000</v>
      </c>
      <c r="U3938" t="str">
        <f t="shared" si="1547"/>
        <v>A68FCB</v>
      </c>
      <c r="V3938">
        <v>0</v>
      </c>
      <c r="W3938">
        <v>0</v>
      </c>
      <c r="X3938">
        <v>2</v>
      </c>
      <c r="Y3938">
        <v>0</v>
      </c>
      <c r="AA3938">
        <v>1</v>
      </c>
      <c r="AB3938">
        <v>8</v>
      </c>
      <c r="AC3938">
        <v>3</v>
      </c>
      <c r="AD3938">
        <v>0</v>
      </c>
      <c r="AE3938">
        <v>9</v>
      </c>
      <c r="AF3938" t="s">
        <v>138</v>
      </c>
      <c r="AG3938">
        <v>0</v>
      </c>
      <c r="AH3938">
        <v>3</v>
      </c>
      <c r="AI3938">
        <v>2</v>
      </c>
      <c r="AJ3938">
        <v>0</v>
      </c>
      <c r="AK3938" t="s">
        <v>1246</v>
      </c>
      <c r="AL3938">
        <v>39.178190000000001</v>
      </c>
      <c r="AM3938" t="s">
        <v>1247</v>
      </c>
      <c r="AN3938">
        <v>-121.02828700000001</v>
      </c>
      <c r="AO3938">
        <v>25</v>
      </c>
      <c r="AP3938">
        <v>4400</v>
      </c>
      <c r="AQ3938" t="s">
        <v>131</v>
      </c>
      <c r="AR3938">
        <v>27</v>
      </c>
      <c r="AS3938">
        <v>77</v>
      </c>
      <c r="AT3938">
        <v>256</v>
      </c>
      <c r="BB3938" t="str">
        <f t="shared" si="1548"/>
        <v>1200</v>
      </c>
      <c r="BC3938">
        <v>1</v>
      </c>
      <c r="BD3938" t="str">
        <f t="shared" si="1549"/>
        <v xml:space="preserve">N52156  </v>
      </c>
      <c r="BE3938">
        <v>1</v>
      </c>
      <c r="BG3938">
        <v>0</v>
      </c>
      <c r="BH3938">
        <v>0</v>
      </c>
      <c r="BI3938">
        <v>0</v>
      </c>
      <c r="BJ3938">
        <v>4425</v>
      </c>
      <c r="BK3938">
        <v>25</v>
      </c>
      <c r="BL3938" t="s">
        <v>188</v>
      </c>
      <c r="BM3938">
        <v>1</v>
      </c>
      <c r="BN3938">
        <v>1</v>
      </c>
      <c r="BO3938">
        <v>0</v>
      </c>
      <c r="BP3938">
        <v>0</v>
      </c>
      <c r="BS3938">
        <v>0</v>
      </c>
      <c r="BT3938">
        <v>0</v>
      </c>
      <c r="BU3938">
        <v>0</v>
      </c>
      <c r="CE3938" t="str">
        <f t="shared" ref="CE3938:CE3943" si="1561">"15:15:28.230"</f>
        <v>15:15:28.230</v>
      </c>
      <c r="CF3938">
        <v>229823654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3</v>
      </c>
      <c r="CY3938">
        <v>7</v>
      </c>
      <c r="CZ3938" t="s">
        <v>133</v>
      </c>
      <c r="DA3938">
        <v>276</v>
      </c>
      <c r="DB3938">
        <v>0</v>
      </c>
      <c r="DC3938" t="s">
        <v>402</v>
      </c>
      <c r="DD3938" t="s">
        <v>403</v>
      </c>
      <c r="DG3938">
        <v>1628320</v>
      </c>
      <c r="DI3938">
        <v>1</v>
      </c>
      <c r="DJ3938">
        <v>0</v>
      </c>
      <c r="DK3938">
        <v>0</v>
      </c>
      <c r="DL3938">
        <v>0</v>
      </c>
      <c r="DM3938">
        <v>0</v>
      </c>
      <c r="DN3938">
        <v>0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 x14ac:dyDescent="0.3">
      <c r="A3939" t="str">
        <f>"05/01/2025 15:15:28.470"</f>
        <v>05/01/2025 15:15:28.470</v>
      </c>
      <c r="C3939" t="str">
        <f t="shared" si="1546"/>
        <v>FFDFD3C0</v>
      </c>
      <c r="D3939" t="s">
        <v>143</v>
      </c>
      <c r="E3939" t="str">
        <f>"05"</f>
        <v>05</v>
      </c>
      <c r="H3939">
        <v>172</v>
      </c>
      <c r="I3939" t="s">
        <v>141</v>
      </c>
      <c r="J3939" t="s">
        <v>144</v>
      </c>
      <c r="K3939">
        <v>0</v>
      </c>
      <c r="L3939">
        <v>3</v>
      </c>
      <c r="M3939">
        <v>0</v>
      </c>
      <c r="N3939">
        <v>2</v>
      </c>
      <c r="O3939">
        <v>0</v>
      </c>
      <c r="P3939">
        <v>1</v>
      </c>
      <c r="Q3939">
        <v>0</v>
      </c>
      <c r="R3939" t="s">
        <v>127</v>
      </c>
      <c r="S3939" t="str">
        <f t="shared" si="1560"/>
        <v>15:15:28.000</v>
      </c>
      <c r="T3939" t="str">
        <f t="shared" si="1560"/>
        <v>15:15:28.000</v>
      </c>
      <c r="U3939" t="str">
        <f t="shared" si="1547"/>
        <v>A68FCB</v>
      </c>
      <c r="V3939">
        <v>0</v>
      </c>
      <c r="W3939">
        <v>0</v>
      </c>
      <c r="X3939">
        <v>2</v>
      </c>
      <c r="Y3939">
        <v>0</v>
      </c>
      <c r="AA3939">
        <v>1</v>
      </c>
      <c r="AB3939">
        <v>8</v>
      </c>
      <c r="AC3939">
        <v>3</v>
      </c>
      <c r="AD3939">
        <v>0</v>
      </c>
      <c r="AE3939">
        <v>9</v>
      </c>
      <c r="AF3939" t="s">
        <v>138</v>
      </c>
      <c r="AG3939">
        <v>0</v>
      </c>
      <c r="AH3939">
        <v>3</v>
      </c>
      <c r="AI3939">
        <v>2</v>
      </c>
      <c r="AJ3939">
        <v>0</v>
      </c>
      <c r="AK3939" t="s">
        <v>1246</v>
      </c>
      <c r="AL3939">
        <v>39.178190000000001</v>
      </c>
      <c r="AM3939" t="s">
        <v>1247</v>
      </c>
      <c r="AN3939">
        <v>-121.02828700000001</v>
      </c>
      <c r="AO3939">
        <v>25</v>
      </c>
      <c r="AP3939">
        <v>4400</v>
      </c>
      <c r="AQ3939" t="s">
        <v>131</v>
      </c>
      <c r="AR3939">
        <v>27</v>
      </c>
      <c r="AS3939">
        <v>77</v>
      </c>
      <c r="AT3939">
        <v>256</v>
      </c>
      <c r="BB3939" t="str">
        <f t="shared" si="1548"/>
        <v>1200</v>
      </c>
      <c r="BC3939">
        <v>1</v>
      </c>
      <c r="BD3939" t="str">
        <f t="shared" si="1549"/>
        <v xml:space="preserve">N52156  </v>
      </c>
      <c r="BE3939">
        <v>1</v>
      </c>
      <c r="BG3939">
        <v>0</v>
      </c>
      <c r="BH3939">
        <v>0</v>
      </c>
      <c r="BI3939">
        <v>0</v>
      </c>
      <c r="BJ3939">
        <v>4425</v>
      </c>
      <c r="BK3939">
        <v>25</v>
      </c>
      <c r="BL3939" t="s">
        <v>188</v>
      </c>
      <c r="BM3939">
        <v>1</v>
      </c>
      <c r="BN3939">
        <v>1</v>
      </c>
      <c r="BO3939">
        <v>0</v>
      </c>
      <c r="BP3939">
        <v>0</v>
      </c>
      <c r="BS3939">
        <v>0</v>
      </c>
      <c r="BT3939">
        <v>0</v>
      </c>
      <c r="BU3939">
        <v>0</v>
      </c>
      <c r="CE3939" t="str">
        <f t="shared" si="1561"/>
        <v>15:15:28.230</v>
      </c>
      <c r="CF3939">
        <v>229823654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3</v>
      </c>
      <c r="CY3939">
        <v>7</v>
      </c>
      <c r="CZ3939" t="s">
        <v>133</v>
      </c>
      <c r="DA3939">
        <v>276</v>
      </c>
      <c r="DB3939">
        <v>0</v>
      </c>
      <c r="DC3939" t="s">
        <v>402</v>
      </c>
      <c r="DD3939" t="s">
        <v>403</v>
      </c>
      <c r="DG3939">
        <v>1628320</v>
      </c>
      <c r="DI3939">
        <v>1</v>
      </c>
      <c r="DJ3939">
        <v>0</v>
      </c>
      <c r="DK3939">
        <v>1</v>
      </c>
      <c r="DL3939">
        <v>0</v>
      </c>
      <c r="DM3939">
        <v>0</v>
      </c>
      <c r="DN3939">
        <v>0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 x14ac:dyDescent="0.3">
      <c r="A3940" t="str">
        <f>"05/01/2025 15:15:28.472"</f>
        <v>05/01/2025 15:15:28.472</v>
      </c>
      <c r="C3940" t="str">
        <f t="shared" si="1546"/>
        <v>FFDFD3C0</v>
      </c>
      <c r="D3940" t="s">
        <v>140</v>
      </c>
      <c r="E3940" t="str">
        <f>"13"</f>
        <v>13</v>
      </c>
      <c r="F3940">
        <v>1019</v>
      </c>
      <c r="G3940" t="s">
        <v>141</v>
      </c>
      <c r="J3940" t="s">
        <v>142</v>
      </c>
      <c r="K3940">
        <v>0</v>
      </c>
      <c r="L3940">
        <v>3</v>
      </c>
      <c r="M3940">
        <v>0</v>
      </c>
      <c r="N3940">
        <v>2</v>
      </c>
      <c r="O3940">
        <v>0</v>
      </c>
      <c r="P3940">
        <v>1</v>
      </c>
      <c r="Q3940">
        <v>0</v>
      </c>
      <c r="R3940" t="s">
        <v>127</v>
      </c>
      <c r="S3940" t="str">
        <f t="shared" si="1560"/>
        <v>15:15:28.000</v>
      </c>
      <c r="T3940" t="str">
        <f t="shared" si="1560"/>
        <v>15:15:28.000</v>
      </c>
      <c r="U3940" t="str">
        <f t="shared" si="1547"/>
        <v>A68FCB</v>
      </c>
      <c r="V3940">
        <v>0</v>
      </c>
      <c r="W3940">
        <v>0</v>
      </c>
      <c r="X3940">
        <v>2</v>
      </c>
      <c r="Y3940">
        <v>0</v>
      </c>
      <c r="AA3940">
        <v>1</v>
      </c>
      <c r="AB3940">
        <v>8</v>
      </c>
      <c r="AC3940">
        <v>3</v>
      </c>
      <c r="AD3940">
        <v>0</v>
      </c>
      <c r="AE3940">
        <v>9</v>
      </c>
      <c r="AF3940" t="s">
        <v>138</v>
      </c>
      <c r="AG3940">
        <v>0</v>
      </c>
      <c r="AH3940">
        <v>3</v>
      </c>
      <c r="AI3940">
        <v>2</v>
      </c>
      <c r="AJ3940">
        <v>0</v>
      </c>
      <c r="AK3940" t="s">
        <v>1246</v>
      </c>
      <c r="AL3940">
        <v>39.178190000000001</v>
      </c>
      <c r="AM3940" t="s">
        <v>1247</v>
      </c>
      <c r="AN3940">
        <v>-121.02828700000001</v>
      </c>
      <c r="AO3940">
        <v>25</v>
      </c>
      <c r="AP3940">
        <v>4400</v>
      </c>
      <c r="AQ3940" t="s">
        <v>131</v>
      </c>
      <c r="AR3940">
        <v>27</v>
      </c>
      <c r="AS3940">
        <v>77</v>
      </c>
      <c r="AT3940">
        <v>256</v>
      </c>
      <c r="BB3940" t="str">
        <f t="shared" si="1548"/>
        <v>1200</v>
      </c>
      <c r="BC3940">
        <v>1</v>
      </c>
      <c r="BD3940" t="str">
        <f t="shared" si="1549"/>
        <v xml:space="preserve">N52156  </v>
      </c>
      <c r="BE3940">
        <v>1</v>
      </c>
      <c r="BG3940">
        <v>0</v>
      </c>
      <c r="BH3940">
        <v>0</v>
      </c>
      <c r="BI3940">
        <v>0</v>
      </c>
      <c r="BJ3940">
        <v>4425</v>
      </c>
      <c r="BK3940">
        <v>25</v>
      </c>
      <c r="BL3940" t="s">
        <v>188</v>
      </c>
      <c r="BM3940">
        <v>1</v>
      </c>
      <c r="BN3940">
        <v>1</v>
      </c>
      <c r="BO3940">
        <v>0</v>
      </c>
      <c r="BP3940">
        <v>0</v>
      </c>
      <c r="BS3940">
        <v>0</v>
      </c>
      <c r="BT3940">
        <v>0</v>
      </c>
      <c r="BU3940">
        <v>0</v>
      </c>
      <c r="CE3940" t="str">
        <f t="shared" si="1561"/>
        <v>15:15:28.230</v>
      </c>
      <c r="CF3940">
        <v>229823654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3</v>
      </c>
      <c r="CY3940">
        <v>7</v>
      </c>
      <c r="CZ3940" t="s">
        <v>133</v>
      </c>
      <c r="DA3940">
        <v>276</v>
      </c>
      <c r="DB3940">
        <v>0</v>
      </c>
      <c r="DC3940" t="s">
        <v>402</v>
      </c>
      <c r="DD3940" t="s">
        <v>403</v>
      </c>
      <c r="DG3940">
        <v>1628320</v>
      </c>
      <c r="DI3940">
        <v>1</v>
      </c>
      <c r="DJ3940">
        <v>0</v>
      </c>
      <c r="DK3940">
        <v>1</v>
      </c>
      <c r="DL3940">
        <v>0</v>
      </c>
      <c r="DM3940">
        <v>0</v>
      </c>
      <c r="DN3940">
        <v>0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 x14ac:dyDescent="0.3">
      <c r="A3941" t="str">
        <f>"05/01/2025 15:15:28.477"</f>
        <v>05/01/2025 15:15:28.477</v>
      </c>
      <c r="C3941" t="str">
        <f t="shared" si="1546"/>
        <v>FFDFD3C0</v>
      </c>
      <c r="D3941" t="s">
        <v>124</v>
      </c>
      <c r="E3941" t="str">
        <f>"06"</f>
        <v>06</v>
      </c>
      <c r="F3941">
        <v>2006</v>
      </c>
      <c r="G3941" t="s">
        <v>125</v>
      </c>
      <c r="J3941" t="s">
        <v>126</v>
      </c>
      <c r="K3941">
        <v>0</v>
      </c>
      <c r="L3941">
        <v>3</v>
      </c>
      <c r="M3941">
        <v>0</v>
      </c>
      <c r="N3941">
        <v>2</v>
      </c>
      <c r="O3941">
        <v>0</v>
      </c>
      <c r="P3941">
        <v>1</v>
      </c>
      <c r="Q3941">
        <v>0</v>
      </c>
      <c r="R3941" t="s">
        <v>127</v>
      </c>
      <c r="S3941" t="str">
        <f t="shared" si="1560"/>
        <v>15:15:28.000</v>
      </c>
      <c r="T3941" t="str">
        <f t="shared" si="1560"/>
        <v>15:15:28.000</v>
      </c>
      <c r="U3941" t="str">
        <f t="shared" si="1547"/>
        <v>A68FCB</v>
      </c>
      <c r="V3941">
        <v>0</v>
      </c>
      <c r="W3941">
        <v>0</v>
      </c>
      <c r="X3941">
        <v>2</v>
      </c>
      <c r="Y3941">
        <v>0</v>
      </c>
      <c r="AA3941">
        <v>1</v>
      </c>
      <c r="AB3941">
        <v>8</v>
      </c>
      <c r="AC3941">
        <v>3</v>
      </c>
      <c r="AD3941">
        <v>0</v>
      </c>
      <c r="AE3941">
        <v>9</v>
      </c>
      <c r="AF3941" t="s">
        <v>138</v>
      </c>
      <c r="AG3941">
        <v>0</v>
      </c>
      <c r="AH3941">
        <v>3</v>
      </c>
      <c r="AI3941">
        <v>2</v>
      </c>
      <c r="AJ3941">
        <v>0</v>
      </c>
      <c r="AK3941" t="s">
        <v>1246</v>
      </c>
      <c r="AL3941">
        <v>39.178190000000001</v>
      </c>
      <c r="AM3941" t="s">
        <v>1247</v>
      </c>
      <c r="AN3941">
        <v>-121.02828700000001</v>
      </c>
      <c r="AO3941">
        <v>25</v>
      </c>
      <c r="AP3941">
        <v>4400</v>
      </c>
      <c r="AQ3941" t="s">
        <v>131</v>
      </c>
      <c r="AR3941">
        <v>27</v>
      </c>
      <c r="AS3941">
        <v>77</v>
      </c>
      <c r="AT3941">
        <v>256</v>
      </c>
      <c r="BB3941" t="str">
        <f t="shared" si="1548"/>
        <v>1200</v>
      </c>
      <c r="BC3941">
        <v>1</v>
      </c>
      <c r="BD3941" t="str">
        <f t="shared" si="1549"/>
        <v xml:space="preserve">N52156  </v>
      </c>
      <c r="BE3941">
        <v>1</v>
      </c>
      <c r="BG3941">
        <v>0</v>
      </c>
      <c r="BH3941">
        <v>0</v>
      </c>
      <c r="BI3941">
        <v>0</v>
      </c>
      <c r="BJ3941">
        <v>4425</v>
      </c>
      <c r="BK3941">
        <v>25</v>
      </c>
      <c r="BL3941" t="s">
        <v>188</v>
      </c>
      <c r="BM3941">
        <v>1</v>
      </c>
      <c r="BN3941">
        <v>1</v>
      </c>
      <c r="BO3941">
        <v>0</v>
      </c>
      <c r="BP3941">
        <v>0</v>
      </c>
      <c r="BS3941">
        <v>0</v>
      </c>
      <c r="BT3941">
        <v>0</v>
      </c>
      <c r="BU3941">
        <v>0</v>
      </c>
      <c r="CE3941" t="str">
        <f t="shared" si="1561"/>
        <v>15:15:28.230</v>
      </c>
      <c r="CF3941">
        <v>229823654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3</v>
      </c>
      <c r="CY3941">
        <v>7</v>
      </c>
      <c r="CZ3941" t="s">
        <v>133</v>
      </c>
      <c r="DA3941">
        <v>276</v>
      </c>
      <c r="DB3941">
        <v>0</v>
      </c>
      <c r="DC3941" t="s">
        <v>402</v>
      </c>
      <c r="DD3941" t="s">
        <v>403</v>
      </c>
      <c r="DG3941">
        <v>1628320</v>
      </c>
      <c r="DI3941">
        <v>1</v>
      </c>
      <c r="DJ3941">
        <v>0</v>
      </c>
      <c r="DK3941">
        <v>1</v>
      </c>
      <c r="DL3941">
        <v>0</v>
      </c>
      <c r="DM3941">
        <v>0</v>
      </c>
      <c r="DN3941">
        <v>0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 x14ac:dyDescent="0.3">
      <c r="A3942" t="str">
        <f>"05/01/2025 15:15:28.485"</f>
        <v>05/01/2025 15:15:28.485</v>
      </c>
      <c r="C3942" t="str">
        <f t="shared" si="1546"/>
        <v>FFDFD3C0</v>
      </c>
      <c r="D3942" t="s">
        <v>145</v>
      </c>
      <c r="E3942" t="str">
        <f>"09"</f>
        <v>09</v>
      </c>
      <c r="H3942">
        <v>51</v>
      </c>
      <c r="I3942" t="s">
        <v>147</v>
      </c>
      <c r="J3942" t="s">
        <v>138</v>
      </c>
      <c r="K3942">
        <v>0</v>
      </c>
      <c r="L3942">
        <v>3</v>
      </c>
      <c r="M3942">
        <v>0</v>
      </c>
      <c r="N3942">
        <v>2</v>
      </c>
      <c r="O3942">
        <v>0</v>
      </c>
      <c r="P3942">
        <v>1</v>
      </c>
      <c r="Q3942">
        <v>0</v>
      </c>
      <c r="R3942" t="s">
        <v>127</v>
      </c>
      <c r="S3942" t="str">
        <f t="shared" si="1560"/>
        <v>15:15:28.000</v>
      </c>
      <c r="T3942" t="str">
        <f t="shared" si="1560"/>
        <v>15:15:28.000</v>
      </c>
      <c r="U3942" t="str">
        <f t="shared" si="1547"/>
        <v>A68FCB</v>
      </c>
      <c r="V3942">
        <v>0</v>
      </c>
      <c r="W3942">
        <v>0</v>
      </c>
      <c r="X3942">
        <v>2</v>
      </c>
      <c r="Y3942">
        <v>0</v>
      </c>
      <c r="AA3942">
        <v>1</v>
      </c>
      <c r="AB3942">
        <v>8</v>
      </c>
      <c r="AC3942">
        <v>3</v>
      </c>
      <c r="AD3942">
        <v>0</v>
      </c>
      <c r="AE3942">
        <v>9</v>
      </c>
      <c r="AF3942" t="s">
        <v>138</v>
      </c>
      <c r="AG3942">
        <v>0</v>
      </c>
      <c r="AH3942">
        <v>3</v>
      </c>
      <c r="AI3942">
        <v>2</v>
      </c>
      <c r="AJ3942">
        <v>0</v>
      </c>
      <c r="AK3942" t="s">
        <v>1246</v>
      </c>
      <c r="AL3942">
        <v>39.178190000000001</v>
      </c>
      <c r="AM3942" t="s">
        <v>1247</v>
      </c>
      <c r="AN3942">
        <v>-121.02828700000001</v>
      </c>
      <c r="AO3942">
        <v>25</v>
      </c>
      <c r="AP3942">
        <v>4400</v>
      </c>
      <c r="AQ3942" t="s">
        <v>131</v>
      </c>
      <c r="AR3942">
        <v>27</v>
      </c>
      <c r="AS3942">
        <v>77</v>
      </c>
      <c r="AT3942">
        <v>256</v>
      </c>
      <c r="BB3942" t="str">
        <f t="shared" si="1548"/>
        <v>1200</v>
      </c>
      <c r="BC3942">
        <v>1</v>
      </c>
      <c r="BD3942" t="str">
        <f t="shared" si="1549"/>
        <v xml:space="preserve">N52156  </v>
      </c>
      <c r="BE3942">
        <v>1</v>
      </c>
      <c r="BG3942">
        <v>0</v>
      </c>
      <c r="BH3942">
        <v>0</v>
      </c>
      <c r="BI3942">
        <v>0</v>
      </c>
      <c r="BJ3942">
        <v>4425</v>
      </c>
      <c r="BK3942">
        <v>25</v>
      </c>
      <c r="BL3942" t="s">
        <v>188</v>
      </c>
      <c r="BM3942">
        <v>1</v>
      </c>
      <c r="BN3942">
        <v>1</v>
      </c>
      <c r="BO3942">
        <v>0</v>
      </c>
      <c r="BP3942">
        <v>0</v>
      </c>
      <c r="BS3942">
        <v>0</v>
      </c>
      <c r="BT3942">
        <v>0</v>
      </c>
      <c r="BU3942">
        <v>0</v>
      </c>
      <c r="CE3942" t="str">
        <f t="shared" si="1561"/>
        <v>15:15:28.230</v>
      </c>
      <c r="CF3942">
        <v>229823654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3</v>
      </c>
      <c r="CY3942">
        <v>7</v>
      </c>
      <c r="CZ3942" t="s">
        <v>133</v>
      </c>
      <c r="DA3942">
        <v>276</v>
      </c>
      <c r="DB3942">
        <v>0</v>
      </c>
      <c r="DC3942" t="s">
        <v>402</v>
      </c>
      <c r="DD3942" t="s">
        <v>403</v>
      </c>
      <c r="DG3942">
        <v>1628320</v>
      </c>
      <c r="DI3942">
        <v>1</v>
      </c>
      <c r="DJ3942">
        <v>0</v>
      </c>
      <c r="DK3942">
        <v>1</v>
      </c>
      <c r="DL3942">
        <v>0</v>
      </c>
      <c r="DM3942">
        <v>0</v>
      </c>
      <c r="DN3942">
        <v>0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 x14ac:dyDescent="0.3">
      <c r="A3943" t="str">
        <f>"05/01/2025 15:15:28.488"</f>
        <v>05/01/2025 15:15:28.488</v>
      </c>
      <c r="C3943" t="str">
        <f t="shared" si="1546"/>
        <v>FFDFD3C0</v>
      </c>
      <c r="D3943" t="s">
        <v>145</v>
      </c>
      <c r="E3943" t="str">
        <f>"05"</f>
        <v>05</v>
      </c>
      <c r="H3943">
        <v>47</v>
      </c>
      <c r="I3943" t="s">
        <v>146</v>
      </c>
      <c r="J3943" t="s">
        <v>138</v>
      </c>
      <c r="K3943">
        <v>0</v>
      </c>
      <c r="L3943">
        <v>3</v>
      </c>
      <c r="M3943">
        <v>0</v>
      </c>
      <c r="N3943">
        <v>2</v>
      </c>
      <c r="O3943">
        <v>0</v>
      </c>
      <c r="P3943">
        <v>1</v>
      </c>
      <c r="Q3943">
        <v>0</v>
      </c>
      <c r="R3943" t="s">
        <v>127</v>
      </c>
      <c r="S3943" t="str">
        <f t="shared" si="1560"/>
        <v>15:15:28.000</v>
      </c>
      <c r="T3943" t="str">
        <f t="shared" si="1560"/>
        <v>15:15:28.000</v>
      </c>
      <c r="U3943" t="str">
        <f t="shared" si="1547"/>
        <v>A68FCB</v>
      </c>
      <c r="V3943">
        <v>0</v>
      </c>
      <c r="W3943">
        <v>0</v>
      </c>
      <c r="X3943">
        <v>2</v>
      </c>
      <c r="Y3943">
        <v>0</v>
      </c>
      <c r="AA3943">
        <v>1</v>
      </c>
      <c r="AB3943">
        <v>8</v>
      </c>
      <c r="AC3943">
        <v>3</v>
      </c>
      <c r="AD3943">
        <v>0</v>
      </c>
      <c r="AE3943">
        <v>9</v>
      </c>
      <c r="AF3943" t="s">
        <v>138</v>
      </c>
      <c r="AG3943">
        <v>0</v>
      </c>
      <c r="AH3943">
        <v>3</v>
      </c>
      <c r="AI3943">
        <v>2</v>
      </c>
      <c r="AJ3943">
        <v>0</v>
      </c>
      <c r="AK3943" t="s">
        <v>1246</v>
      </c>
      <c r="AL3943">
        <v>39.178190000000001</v>
      </c>
      <c r="AM3943" t="s">
        <v>1247</v>
      </c>
      <c r="AN3943">
        <v>-121.02828700000001</v>
      </c>
      <c r="AO3943">
        <v>25</v>
      </c>
      <c r="AP3943">
        <v>4400</v>
      </c>
      <c r="AQ3943" t="s">
        <v>131</v>
      </c>
      <c r="AR3943">
        <v>27</v>
      </c>
      <c r="AS3943">
        <v>77</v>
      </c>
      <c r="AT3943">
        <v>256</v>
      </c>
      <c r="BB3943" t="str">
        <f t="shared" si="1548"/>
        <v>1200</v>
      </c>
      <c r="BC3943">
        <v>1</v>
      </c>
      <c r="BD3943" t="str">
        <f t="shared" si="1549"/>
        <v xml:space="preserve">N52156  </v>
      </c>
      <c r="BE3943">
        <v>1</v>
      </c>
      <c r="BG3943">
        <v>0</v>
      </c>
      <c r="BH3943">
        <v>0</v>
      </c>
      <c r="BI3943">
        <v>0</v>
      </c>
      <c r="BJ3943">
        <v>4425</v>
      </c>
      <c r="BK3943">
        <v>25</v>
      </c>
      <c r="BL3943" t="s">
        <v>188</v>
      </c>
      <c r="BM3943">
        <v>1</v>
      </c>
      <c r="BN3943">
        <v>1</v>
      </c>
      <c r="BO3943">
        <v>0</v>
      </c>
      <c r="BP3943">
        <v>0</v>
      </c>
      <c r="BS3943">
        <v>0</v>
      </c>
      <c r="BT3943">
        <v>0</v>
      </c>
      <c r="BU3943">
        <v>0</v>
      </c>
      <c r="CE3943" t="str">
        <f t="shared" si="1561"/>
        <v>15:15:28.230</v>
      </c>
      <c r="CF3943">
        <v>229823654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3</v>
      </c>
      <c r="CY3943">
        <v>7</v>
      </c>
      <c r="CZ3943" t="s">
        <v>133</v>
      </c>
      <c r="DA3943">
        <v>276</v>
      </c>
      <c r="DB3943">
        <v>0</v>
      </c>
      <c r="DC3943" t="s">
        <v>402</v>
      </c>
      <c r="DD3943" t="s">
        <v>403</v>
      </c>
      <c r="DG3943">
        <v>1628320</v>
      </c>
      <c r="DI3943">
        <v>1</v>
      </c>
      <c r="DJ3943">
        <v>0</v>
      </c>
      <c r="DK3943">
        <v>1</v>
      </c>
      <c r="DL3943">
        <v>0</v>
      </c>
      <c r="DM3943">
        <v>0</v>
      </c>
      <c r="DN3943">
        <v>0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 x14ac:dyDescent="0.3">
      <c r="A3944" t="str">
        <f>"05/01/2025 15:15:30.073"</f>
        <v>05/01/2025 15:15:30.073</v>
      </c>
      <c r="C3944" t="str">
        <f t="shared" si="1546"/>
        <v>FFDFD3C0</v>
      </c>
      <c r="D3944" t="s">
        <v>143</v>
      </c>
      <c r="E3944" t="str">
        <f>"05"</f>
        <v>05</v>
      </c>
      <c r="H3944">
        <v>172</v>
      </c>
      <c r="I3944" t="s">
        <v>141</v>
      </c>
      <c r="J3944" t="s">
        <v>144</v>
      </c>
      <c r="K3944">
        <v>0</v>
      </c>
      <c r="L3944">
        <v>3</v>
      </c>
      <c r="M3944">
        <v>0</v>
      </c>
      <c r="N3944">
        <v>2</v>
      </c>
      <c r="O3944">
        <v>0</v>
      </c>
      <c r="P3944">
        <v>1</v>
      </c>
      <c r="Q3944">
        <v>0</v>
      </c>
      <c r="R3944" t="s">
        <v>127</v>
      </c>
      <c r="S3944" t="str">
        <f t="shared" ref="S3944:T3949" si="1562">"15:15:29.000"</f>
        <v>15:15:29.000</v>
      </c>
      <c r="T3944" t="str">
        <f t="shared" si="1562"/>
        <v>15:15:29.000</v>
      </c>
      <c r="U3944" t="str">
        <f t="shared" si="1547"/>
        <v>A68FCB</v>
      </c>
      <c r="V3944">
        <v>0</v>
      </c>
      <c r="W3944">
        <v>0</v>
      </c>
      <c r="X3944">
        <v>2</v>
      </c>
      <c r="Y3944">
        <v>0</v>
      </c>
      <c r="AA3944">
        <v>1</v>
      </c>
      <c r="AB3944">
        <v>8</v>
      </c>
      <c r="AC3944">
        <v>3</v>
      </c>
      <c r="AD3944">
        <v>0</v>
      </c>
      <c r="AE3944">
        <v>9</v>
      </c>
      <c r="AF3944" t="s">
        <v>138</v>
      </c>
      <c r="AG3944">
        <v>0</v>
      </c>
      <c r="AH3944">
        <v>3</v>
      </c>
      <c r="AI3944">
        <v>2</v>
      </c>
      <c r="AJ3944">
        <v>0</v>
      </c>
      <c r="AK3944" t="s">
        <v>1248</v>
      </c>
      <c r="AL3944">
        <v>39.178533999999999</v>
      </c>
      <c r="AM3944" t="s">
        <v>1249</v>
      </c>
      <c r="AN3944">
        <v>-121.028137</v>
      </c>
      <c r="AO3944">
        <v>25</v>
      </c>
      <c r="AP3944">
        <v>4400</v>
      </c>
      <c r="AQ3944" t="s">
        <v>131</v>
      </c>
      <c r="AR3944">
        <v>27</v>
      </c>
      <c r="AS3944">
        <v>76</v>
      </c>
      <c r="AT3944">
        <v>320</v>
      </c>
      <c r="BB3944" t="str">
        <f t="shared" si="1548"/>
        <v>1200</v>
      </c>
      <c r="BC3944">
        <v>1</v>
      </c>
      <c r="BD3944" t="str">
        <f t="shared" si="1549"/>
        <v xml:space="preserve">N52156  </v>
      </c>
      <c r="BE3944">
        <v>1</v>
      </c>
      <c r="BG3944">
        <v>0</v>
      </c>
      <c r="BH3944">
        <v>0</v>
      </c>
      <c r="BI3944">
        <v>0</v>
      </c>
      <c r="BJ3944">
        <v>4425</v>
      </c>
      <c r="BK3944">
        <v>25</v>
      </c>
      <c r="BL3944" t="s">
        <v>188</v>
      </c>
      <c r="BM3944">
        <v>1</v>
      </c>
      <c r="BN3944">
        <v>1</v>
      </c>
      <c r="BO3944">
        <v>0</v>
      </c>
      <c r="BP3944">
        <v>0</v>
      </c>
      <c r="BS3944">
        <v>0</v>
      </c>
      <c r="BT3944">
        <v>0</v>
      </c>
      <c r="BU3944">
        <v>0</v>
      </c>
      <c r="CE3944" t="str">
        <f t="shared" ref="CE3944:CE3949" si="1563">"15:15:29.822"</f>
        <v>15:15:29.822</v>
      </c>
      <c r="CF3944">
        <v>821825252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3</v>
      </c>
      <c r="CY3944">
        <v>7</v>
      </c>
      <c r="CZ3944" t="s">
        <v>133</v>
      </c>
      <c r="DA3944">
        <v>276</v>
      </c>
      <c r="DB3944">
        <v>0</v>
      </c>
      <c r="DC3944" t="s">
        <v>402</v>
      </c>
      <c r="DD3944" t="s">
        <v>403</v>
      </c>
      <c r="DG3944">
        <v>1628322</v>
      </c>
      <c r="DI3944">
        <v>1</v>
      </c>
      <c r="DJ3944">
        <v>0</v>
      </c>
      <c r="DK3944">
        <v>0</v>
      </c>
      <c r="DL3944">
        <v>0</v>
      </c>
      <c r="DM3944">
        <v>0</v>
      </c>
      <c r="DN3944">
        <v>0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 x14ac:dyDescent="0.3">
      <c r="A3945" t="str">
        <f>"05/01/2025 15:15:30.075"</f>
        <v>05/01/2025 15:15:30.075</v>
      </c>
      <c r="C3945" t="str">
        <f t="shared" si="1546"/>
        <v>FFDFD3C0</v>
      </c>
      <c r="D3945" t="s">
        <v>140</v>
      </c>
      <c r="E3945" t="str">
        <f>"13"</f>
        <v>13</v>
      </c>
      <c r="F3945">
        <v>1019</v>
      </c>
      <c r="G3945" t="s">
        <v>141</v>
      </c>
      <c r="J3945" t="s">
        <v>142</v>
      </c>
      <c r="K3945">
        <v>0</v>
      </c>
      <c r="L3945">
        <v>3</v>
      </c>
      <c r="M3945">
        <v>0</v>
      </c>
      <c r="N3945">
        <v>2</v>
      </c>
      <c r="O3945">
        <v>0</v>
      </c>
      <c r="P3945">
        <v>1</v>
      </c>
      <c r="Q3945">
        <v>0</v>
      </c>
      <c r="R3945" t="s">
        <v>127</v>
      </c>
      <c r="S3945" t="str">
        <f t="shared" si="1562"/>
        <v>15:15:29.000</v>
      </c>
      <c r="T3945" t="str">
        <f t="shared" si="1562"/>
        <v>15:15:29.000</v>
      </c>
      <c r="U3945" t="str">
        <f t="shared" si="1547"/>
        <v>A68FCB</v>
      </c>
      <c r="V3945">
        <v>0</v>
      </c>
      <c r="W3945">
        <v>0</v>
      </c>
      <c r="X3945">
        <v>2</v>
      </c>
      <c r="Y3945">
        <v>0</v>
      </c>
      <c r="AA3945">
        <v>1</v>
      </c>
      <c r="AB3945">
        <v>8</v>
      </c>
      <c r="AC3945">
        <v>3</v>
      </c>
      <c r="AD3945">
        <v>0</v>
      </c>
      <c r="AE3945">
        <v>9</v>
      </c>
      <c r="AF3945" t="s">
        <v>138</v>
      </c>
      <c r="AG3945">
        <v>0</v>
      </c>
      <c r="AH3945">
        <v>3</v>
      </c>
      <c r="AI3945">
        <v>2</v>
      </c>
      <c r="AJ3945">
        <v>0</v>
      </c>
      <c r="AK3945" t="s">
        <v>1248</v>
      </c>
      <c r="AL3945">
        <v>39.178533999999999</v>
      </c>
      <c r="AM3945" t="s">
        <v>1249</v>
      </c>
      <c r="AN3945">
        <v>-121.028137</v>
      </c>
      <c r="AO3945">
        <v>25</v>
      </c>
      <c r="AP3945">
        <v>4400</v>
      </c>
      <c r="AQ3945" t="s">
        <v>131</v>
      </c>
      <c r="AR3945">
        <v>27</v>
      </c>
      <c r="AS3945">
        <v>76</v>
      </c>
      <c r="AT3945">
        <v>320</v>
      </c>
      <c r="BB3945" t="str">
        <f t="shared" si="1548"/>
        <v>1200</v>
      </c>
      <c r="BC3945">
        <v>1</v>
      </c>
      <c r="BD3945" t="str">
        <f t="shared" si="1549"/>
        <v xml:space="preserve">N52156  </v>
      </c>
      <c r="BE3945">
        <v>1</v>
      </c>
      <c r="BG3945">
        <v>0</v>
      </c>
      <c r="BH3945">
        <v>0</v>
      </c>
      <c r="BI3945">
        <v>0</v>
      </c>
      <c r="BJ3945">
        <v>4425</v>
      </c>
      <c r="BK3945">
        <v>25</v>
      </c>
      <c r="BL3945" t="s">
        <v>188</v>
      </c>
      <c r="BM3945">
        <v>1</v>
      </c>
      <c r="BN3945">
        <v>1</v>
      </c>
      <c r="BO3945">
        <v>0</v>
      </c>
      <c r="BP3945">
        <v>0</v>
      </c>
      <c r="BS3945">
        <v>0</v>
      </c>
      <c r="BT3945">
        <v>0</v>
      </c>
      <c r="BU3945">
        <v>0</v>
      </c>
      <c r="CE3945" t="str">
        <f t="shared" si="1563"/>
        <v>15:15:29.822</v>
      </c>
      <c r="CF3945">
        <v>821825252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3</v>
      </c>
      <c r="CY3945">
        <v>7</v>
      </c>
      <c r="CZ3945" t="s">
        <v>133</v>
      </c>
      <c r="DA3945">
        <v>276</v>
      </c>
      <c r="DB3945">
        <v>0</v>
      </c>
      <c r="DC3945" t="s">
        <v>402</v>
      </c>
      <c r="DD3945" t="s">
        <v>403</v>
      </c>
      <c r="DG3945">
        <v>1628322</v>
      </c>
      <c r="DI3945">
        <v>1</v>
      </c>
      <c r="DJ3945">
        <v>0</v>
      </c>
      <c r="DK3945">
        <v>1</v>
      </c>
      <c r="DL3945">
        <v>0</v>
      </c>
      <c r="DM3945">
        <v>0</v>
      </c>
      <c r="DN3945">
        <v>0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 x14ac:dyDescent="0.3">
      <c r="A3946" t="str">
        <f>"05/01/2025 15:15:30.080"</f>
        <v>05/01/2025 15:15:30.080</v>
      </c>
      <c r="C3946" t="str">
        <f t="shared" si="1546"/>
        <v>FFDFD3C0</v>
      </c>
      <c r="D3946" t="s">
        <v>124</v>
      </c>
      <c r="E3946" t="str">
        <f>"06"</f>
        <v>06</v>
      </c>
      <c r="F3946">
        <v>2006</v>
      </c>
      <c r="G3946" t="s">
        <v>125</v>
      </c>
      <c r="J3946" t="s">
        <v>126</v>
      </c>
      <c r="K3946">
        <v>0</v>
      </c>
      <c r="L3946">
        <v>3</v>
      </c>
      <c r="M3946">
        <v>0</v>
      </c>
      <c r="N3946">
        <v>2</v>
      </c>
      <c r="O3946">
        <v>0</v>
      </c>
      <c r="P3946">
        <v>1</v>
      </c>
      <c r="Q3946">
        <v>0</v>
      </c>
      <c r="R3946" t="s">
        <v>127</v>
      </c>
      <c r="S3946" t="str">
        <f t="shared" si="1562"/>
        <v>15:15:29.000</v>
      </c>
      <c r="T3946" t="str">
        <f t="shared" si="1562"/>
        <v>15:15:29.000</v>
      </c>
      <c r="U3946" t="str">
        <f t="shared" si="1547"/>
        <v>A68FCB</v>
      </c>
      <c r="V3946">
        <v>0</v>
      </c>
      <c r="W3946">
        <v>0</v>
      </c>
      <c r="X3946">
        <v>2</v>
      </c>
      <c r="Y3946">
        <v>0</v>
      </c>
      <c r="AA3946">
        <v>1</v>
      </c>
      <c r="AB3946">
        <v>8</v>
      </c>
      <c r="AC3946">
        <v>3</v>
      </c>
      <c r="AD3946">
        <v>0</v>
      </c>
      <c r="AE3946">
        <v>9</v>
      </c>
      <c r="AF3946" t="s">
        <v>138</v>
      </c>
      <c r="AG3946">
        <v>0</v>
      </c>
      <c r="AH3946">
        <v>3</v>
      </c>
      <c r="AI3946">
        <v>2</v>
      </c>
      <c r="AJ3946">
        <v>0</v>
      </c>
      <c r="AK3946" t="s">
        <v>1248</v>
      </c>
      <c r="AL3946">
        <v>39.178533999999999</v>
      </c>
      <c r="AM3946" t="s">
        <v>1249</v>
      </c>
      <c r="AN3946">
        <v>-121.028137</v>
      </c>
      <c r="AO3946">
        <v>25</v>
      </c>
      <c r="AP3946">
        <v>4400</v>
      </c>
      <c r="AQ3946" t="s">
        <v>131</v>
      </c>
      <c r="AR3946">
        <v>27</v>
      </c>
      <c r="AS3946">
        <v>76</v>
      </c>
      <c r="AT3946">
        <v>320</v>
      </c>
      <c r="BB3946" t="str">
        <f t="shared" si="1548"/>
        <v>1200</v>
      </c>
      <c r="BC3946">
        <v>1</v>
      </c>
      <c r="BD3946" t="str">
        <f t="shared" si="1549"/>
        <v xml:space="preserve">N52156  </v>
      </c>
      <c r="BE3946">
        <v>1</v>
      </c>
      <c r="BG3946">
        <v>0</v>
      </c>
      <c r="BH3946">
        <v>0</v>
      </c>
      <c r="BI3946">
        <v>0</v>
      </c>
      <c r="BJ3946">
        <v>4425</v>
      </c>
      <c r="BK3946">
        <v>25</v>
      </c>
      <c r="BL3946" t="s">
        <v>188</v>
      </c>
      <c r="BM3946">
        <v>1</v>
      </c>
      <c r="BN3946">
        <v>1</v>
      </c>
      <c r="BO3946">
        <v>0</v>
      </c>
      <c r="BP3946">
        <v>0</v>
      </c>
      <c r="BS3946">
        <v>0</v>
      </c>
      <c r="BT3946">
        <v>0</v>
      </c>
      <c r="BU3946">
        <v>0</v>
      </c>
      <c r="CE3946" t="str">
        <f t="shared" si="1563"/>
        <v>15:15:29.822</v>
      </c>
      <c r="CF3946">
        <v>821825252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3</v>
      </c>
      <c r="CY3946">
        <v>7</v>
      </c>
      <c r="CZ3946" t="s">
        <v>133</v>
      </c>
      <c r="DA3946">
        <v>276</v>
      </c>
      <c r="DB3946">
        <v>0</v>
      </c>
      <c r="DC3946" t="s">
        <v>402</v>
      </c>
      <c r="DD3946" t="s">
        <v>403</v>
      </c>
      <c r="DG3946">
        <v>1628322</v>
      </c>
      <c r="DI3946">
        <v>1</v>
      </c>
      <c r="DJ3946">
        <v>0</v>
      </c>
      <c r="DK3946">
        <v>1</v>
      </c>
      <c r="DL3946">
        <v>0</v>
      </c>
      <c r="DM3946">
        <v>0</v>
      </c>
      <c r="DN3946">
        <v>0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 x14ac:dyDescent="0.3">
      <c r="A3947" t="str">
        <f>"05/01/2025 15:15:30.088"</f>
        <v>05/01/2025 15:15:30.088</v>
      </c>
      <c r="C3947" t="str">
        <f t="shared" si="1546"/>
        <v>FFDFD3C0</v>
      </c>
      <c r="D3947" t="s">
        <v>145</v>
      </c>
      <c r="E3947" t="str">
        <f>"09"</f>
        <v>09</v>
      </c>
      <c r="H3947">
        <v>51</v>
      </c>
      <c r="I3947" t="s">
        <v>147</v>
      </c>
      <c r="J3947" t="s">
        <v>138</v>
      </c>
      <c r="K3947">
        <v>0</v>
      </c>
      <c r="L3947">
        <v>3</v>
      </c>
      <c r="M3947">
        <v>0</v>
      </c>
      <c r="N3947">
        <v>2</v>
      </c>
      <c r="O3947">
        <v>0</v>
      </c>
      <c r="P3947">
        <v>1</v>
      </c>
      <c r="Q3947">
        <v>0</v>
      </c>
      <c r="R3947" t="s">
        <v>127</v>
      </c>
      <c r="S3947" t="str">
        <f t="shared" si="1562"/>
        <v>15:15:29.000</v>
      </c>
      <c r="T3947" t="str">
        <f t="shared" si="1562"/>
        <v>15:15:29.000</v>
      </c>
      <c r="U3947" t="str">
        <f t="shared" si="1547"/>
        <v>A68FCB</v>
      </c>
      <c r="V3947">
        <v>0</v>
      </c>
      <c r="W3947">
        <v>0</v>
      </c>
      <c r="X3947">
        <v>2</v>
      </c>
      <c r="Y3947">
        <v>0</v>
      </c>
      <c r="AA3947">
        <v>1</v>
      </c>
      <c r="AB3947">
        <v>8</v>
      </c>
      <c r="AC3947">
        <v>3</v>
      </c>
      <c r="AD3947">
        <v>0</v>
      </c>
      <c r="AE3947">
        <v>9</v>
      </c>
      <c r="AF3947" t="s">
        <v>138</v>
      </c>
      <c r="AG3947">
        <v>0</v>
      </c>
      <c r="AH3947">
        <v>3</v>
      </c>
      <c r="AI3947">
        <v>2</v>
      </c>
      <c r="AJ3947">
        <v>0</v>
      </c>
      <c r="AK3947" t="s">
        <v>1248</v>
      </c>
      <c r="AL3947">
        <v>39.178533999999999</v>
      </c>
      <c r="AM3947" t="s">
        <v>1249</v>
      </c>
      <c r="AN3947">
        <v>-121.028137</v>
      </c>
      <c r="AO3947">
        <v>25</v>
      </c>
      <c r="AP3947">
        <v>4400</v>
      </c>
      <c r="AQ3947" t="s">
        <v>131</v>
      </c>
      <c r="AR3947">
        <v>27</v>
      </c>
      <c r="AS3947">
        <v>76</v>
      </c>
      <c r="AT3947">
        <v>320</v>
      </c>
      <c r="BB3947" t="str">
        <f t="shared" si="1548"/>
        <v>1200</v>
      </c>
      <c r="BC3947">
        <v>1</v>
      </c>
      <c r="BD3947" t="str">
        <f t="shared" si="1549"/>
        <v xml:space="preserve">N52156  </v>
      </c>
      <c r="BE3947">
        <v>1</v>
      </c>
      <c r="BG3947">
        <v>0</v>
      </c>
      <c r="BH3947">
        <v>0</v>
      </c>
      <c r="BI3947">
        <v>0</v>
      </c>
      <c r="BJ3947">
        <v>4425</v>
      </c>
      <c r="BK3947">
        <v>25</v>
      </c>
      <c r="BL3947" t="s">
        <v>188</v>
      </c>
      <c r="BM3947">
        <v>1</v>
      </c>
      <c r="BN3947">
        <v>1</v>
      </c>
      <c r="BO3947">
        <v>0</v>
      </c>
      <c r="BP3947">
        <v>0</v>
      </c>
      <c r="BS3947">
        <v>0</v>
      </c>
      <c r="BT3947">
        <v>0</v>
      </c>
      <c r="BU3947">
        <v>0</v>
      </c>
      <c r="CE3947" t="str">
        <f t="shared" si="1563"/>
        <v>15:15:29.822</v>
      </c>
      <c r="CF3947">
        <v>821825252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3</v>
      </c>
      <c r="CY3947">
        <v>7</v>
      </c>
      <c r="CZ3947" t="s">
        <v>133</v>
      </c>
      <c r="DA3947">
        <v>276</v>
      </c>
      <c r="DB3947">
        <v>0</v>
      </c>
      <c r="DC3947" t="s">
        <v>402</v>
      </c>
      <c r="DD3947" t="s">
        <v>403</v>
      </c>
      <c r="DG3947">
        <v>1628322</v>
      </c>
      <c r="DI3947">
        <v>1</v>
      </c>
      <c r="DJ3947">
        <v>0</v>
      </c>
      <c r="DK3947">
        <v>1</v>
      </c>
      <c r="DL3947">
        <v>0</v>
      </c>
      <c r="DM3947">
        <v>0</v>
      </c>
      <c r="DN3947">
        <v>0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 x14ac:dyDescent="0.3">
      <c r="A3948" t="str">
        <f>"05/01/2025 15:15:30.092"</f>
        <v>05/01/2025 15:15:30.092</v>
      </c>
      <c r="C3948" t="str">
        <f t="shared" si="1546"/>
        <v>FFDFD3C0</v>
      </c>
      <c r="D3948" t="s">
        <v>145</v>
      </c>
      <c r="E3948" t="str">
        <f>"05"</f>
        <v>05</v>
      </c>
      <c r="H3948">
        <v>47</v>
      </c>
      <c r="I3948" t="s">
        <v>146</v>
      </c>
      <c r="J3948" t="s">
        <v>138</v>
      </c>
      <c r="K3948">
        <v>0</v>
      </c>
      <c r="L3948">
        <v>3</v>
      </c>
      <c r="M3948">
        <v>0</v>
      </c>
      <c r="N3948">
        <v>2</v>
      </c>
      <c r="O3948">
        <v>0</v>
      </c>
      <c r="P3948">
        <v>1</v>
      </c>
      <c r="Q3948">
        <v>0</v>
      </c>
      <c r="R3948" t="s">
        <v>127</v>
      </c>
      <c r="S3948" t="str">
        <f t="shared" si="1562"/>
        <v>15:15:29.000</v>
      </c>
      <c r="T3948" t="str">
        <f t="shared" si="1562"/>
        <v>15:15:29.000</v>
      </c>
      <c r="U3948" t="str">
        <f t="shared" si="1547"/>
        <v>A68FCB</v>
      </c>
      <c r="V3948">
        <v>0</v>
      </c>
      <c r="W3948">
        <v>0</v>
      </c>
      <c r="X3948">
        <v>2</v>
      </c>
      <c r="Y3948">
        <v>0</v>
      </c>
      <c r="AA3948">
        <v>1</v>
      </c>
      <c r="AB3948">
        <v>8</v>
      </c>
      <c r="AC3948">
        <v>3</v>
      </c>
      <c r="AD3948">
        <v>0</v>
      </c>
      <c r="AE3948">
        <v>9</v>
      </c>
      <c r="AF3948" t="s">
        <v>138</v>
      </c>
      <c r="AG3948">
        <v>0</v>
      </c>
      <c r="AH3948">
        <v>3</v>
      </c>
      <c r="AI3948">
        <v>2</v>
      </c>
      <c r="AJ3948">
        <v>0</v>
      </c>
      <c r="AK3948" t="s">
        <v>1248</v>
      </c>
      <c r="AL3948">
        <v>39.178533999999999</v>
      </c>
      <c r="AM3948" t="s">
        <v>1249</v>
      </c>
      <c r="AN3948">
        <v>-121.028137</v>
      </c>
      <c r="AO3948">
        <v>25</v>
      </c>
      <c r="AP3948">
        <v>4400</v>
      </c>
      <c r="AQ3948" t="s">
        <v>131</v>
      </c>
      <c r="AR3948">
        <v>27</v>
      </c>
      <c r="AS3948">
        <v>76</v>
      </c>
      <c r="AT3948">
        <v>320</v>
      </c>
      <c r="BB3948" t="str">
        <f t="shared" si="1548"/>
        <v>1200</v>
      </c>
      <c r="BC3948">
        <v>1</v>
      </c>
      <c r="BD3948" t="str">
        <f t="shared" si="1549"/>
        <v xml:space="preserve">N52156  </v>
      </c>
      <c r="BE3948">
        <v>1</v>
      </c>
      <c r="BG3948">
        <v>0</v>
      </c>
      <c r="BH3948">
        <v>0</v>
      </c>
      <c r="BI3948">
        <v>0</v>
      </c>
      <c r="BJ3948">
        <v>4425</v>
      </c>
      <c r="BK3948">
        <v>25</v>
      </c>
      <c r="BL3948" t="s">
        <v>188</v>
      </c>
      <c r="BM3948">
        <v>1</v>
      </c>
      <c r="BN3948">
        <v>1</v>
      </c>
      <c r="BO3948">
        <v>0</v>
      </c>
      <c r="BP3948">
        <v>0</v>
      </c>
      <c r="BS3948">
        <v>0</v>
      </c>
      <c r="BT3948">
        <v>0</v>
      </c>
      <c r="BU3948">
        <v>0</v>
      </c>
      <c r="CE3948" t="str">
        <f t="shared" si="1563"/>
        <v>15:15:29.822</v>
      </c>
      <c r="CF3948">
        <v>821825252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3</v>
      </c>
      <c r="CY3948">
        <v>7</v>
      </c>
      <c r="CZ3948" t="s">
        <v>133</v>
      </c>
      <c r="DA3948">
        <v>276</v>
      </c>
      <c r="DB3948">
        <v>0</v>
      </c>
      <c r="DC3948" t="s">
        <v>402</v>
      </c>
      <c r="DD3948" t="s">
        <v>403</v>
      </c>
      <c r="DG3948">
        <v>1628322</v>
      </c>
      <c r="DI3948">
        <v>1</v>
      </c>
      <c r="DJ3948">
        <v>0</v>
      </c>
      <c r="DK3948">
        <v>1</v>
      </c>
      <c r="DL3948">
        <v>0</v>
      </c>
      <c r="DM3948">
        <v>0</v>
      </c>
      <c r="DN3948">
        <v>0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 x14ac:dyDescent="0.3">
      <c r="A3949" t="str">
        <f>"05/01/2025 15:15:30.103"</f>
        <v>05/01/2025 15:15:30.103</v>
      </c>
      <c r="C3949" t="str">
        <f t="shared" si="1546"/>
        <v>FFDFD3C0</v>
      </c>
      <c r="D3949" t="s">
        <v>136</v>
      </c>
      <c r="E3949" t="str">
        <f>"20"</f>
        <v>20</v>
      </c>
      <c r="H3949">
        <v>400</v>
      </c>
      <c r="I3949" t="s">
        <v>137</v>
      </c>
      <c r="J3949" t="s">
        <v>138</v>
      </c>
      <c r="K3949">
        <v>0</v>
      </c>
      <c r="L3949">
        <v>3</v>
      </c>
      <c r="M3949">
        <v>0</v>
      </c>
      <c r="N3949">
        <v>2</v>
      </c>
      <c r="O3949">
        <v>0</v>
      </c>
      <c r="P3949">
        <v>1</v>
      </c>
      <c r="Q3949">
        <v>0</v>
      </c>
      <c r="R3949" t="s">
        <v>127</v>
      </c>
      <c r="S3949" t="str">
        <f t="shared" si="1562"/>
        <v>15:15:29.000</v>
      </c>
      <c r="T3949" t="str">
        <f t="shared" si="1562"/>
        <v>15:15:29.000</v>
      </c>
      <c r="U3949" t="str">
        <f t="shared" si="1547"/>
        <v>A68FCB</v>
      </c>
      <c r="V3949">
        <v>0</v>
      </c>
      <c r="W3949">
        <v>0</v>
      </c>
      <c r="X3949">
        <v>2</v>
      </c>
      <c r="Y3949">
        <v>0</v>
      </c>
      <c r="AA3949">
        <v>1</v>
      </c>
      <c r="AB3949">
        <v>8</v>
      </c>
      <c r="AC3949">
        <v>3</v>
      </c>
      <c r="AD3949">
        <v>0</v>
      </c>
      <c r="AE3949">
        <v>9</v>
      </c>
      <c r="AF3949" t="s">
        <v>138</v>
      </c>
      <c r="AG3949">
        <v>0</v>
      </c>
      <c r="AH3949">
        <v>3</v>
      </c>
      <c r="AI3949">
        <v>2</v>
      </c>
      <c r="AJ3949">
        <v>0</v>
      </c>
      <c r="AK3949" t="s">
        <v>1248</v>
      </c>
      <c r="AL3949">
        <v>39.178533999999999</v>
      </c>
      <c r="AM3949" t="s">
        <v>1249</v>
      </c>
      <c r="AN3949">
        <v>-121.028137</v>
      </c>
      <c r="AO3949">
        <v>25</v>
      </c>
      <c r="AP3949">
        <v>4400</v>
      </c>
      <c r="AQ3949" t="s">
        <v>131</v>
      </c>
      <c r="AR3949">
        <v>27</v>
      </c>
      <c r="AS3949">
        <v>76</v>
      </c>
      <c r="AT3949">
        <v>320</v>
      </c>
      <c r="BB3949" t="str">
        <f t="shared" si="1548"/>
        <v>1200</v>
      </c>
      <c r="BC3949">
        <v>1</v>
      </c>
      <c r="BD3949" t="str">
        <f t="shared" si="1549"/>
        <v xml:space="preserve">N52156  </v>
      </c>
      <c r="BE3949">
        <v>1</v>
      </c>
      <c r="BG3949">
        <v>0</v>
      </c>
      <c r="BH3949">
        <v>0</v>
      </c>
      <c r="BI3949">
        <v>0</v>
      </c>
      <c r="BJ3949">
        <v>4425</v>
      </c>
      <c r="BK3949">
        <v>25</v>
      </c>
      <c r="BL3949" t="s">
        <v>188</v>
      </c>
      <c r="BM3949">
        <v>1</v>
      </c>
      <c r="BN3949">
        <v>1</v>
      </c>
      <c r="BO3949">
        <v>0</v>
      </c>
      <c r="BP3949">
        <v>0</v>
      </c>
      <c r="BS3949">
        <v>0</v>
      </c>
      <c r="BT3949">
        <v>0</v>
      </c>
      <c r="BU3949">
        <v>0</v>
      </c>
      <c r="CE3949" t="str">
        <f t="shared" si="1563"/>
        <v>15:15:29.822</v>
      </c>
      <c r="CF3949">
        <v>821825252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3</v>
      </c>
      <c r="CY3949">
        <v>7</v>
      </c>
      <c r="CZ3949" t="s">
        <v>133</v>
      </c>
      <c r="DA3949">
        <v>276</v>
      </c>
      <c r="DB3949">
        <v>0</v>
      </c>
      <c r="DC3949" t="s">
        <v>402</v>
      </c>
      <c r="DD3949" t="s">
        <v>403</v>
      </c>
      <c r="DG3949">
        <v>1628322</v>
      </c>
      <c r="DI3949">
        <v>1</v>
      </c>
      <c r="DJ3949">
        <v>0</v>
      </c>
      <c r="DK3949">
        <v>1</v>
      </c>
      <c r="DL3949">
        <v>0</v>
      </c>
      <c r="DM3949">
        <v>0</v>
      </c>
      <c r="DN3949">
        <v>0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 x14ac:dyDescent="0.3">
      <c r="A3950" t="str">
        <f>"05/01/2025 15:15:30.626"</f>
        <v>05/01/2025 15:15:30.626</v>
      </c>
      <c r="C3950" t="str">
        <f t="shared" si="1546"/>
        <v>FFDFD3C0</v>
      </c>
      <c r="D3950" t="s">
        <v>140</v>
      </c>
      <c r="E3950" t="str">
        <f>"13"</f>
        <v>13</v>
      </c>
      <c r="F3950">
        <v>1019</v>
      </c>
      <c r="G3950" t="s">
        <v>141</v>
      </c>
      <c r="J3950" t="s">
        <v>142</v>
      </c>
      <c r="K3950">
        <v>0</v>
      </c>
      <c r="L3950">
        <v>3</v>
      </c>
      <c r="M3950">
        <v>0</v>
      </c>
      <c r="N3950">
        <v>2</v>
      </c>
      <c r="O3950">
        <v>0</v>
      </c>
      <c r="P3950">
        <v>1</v>
      </c>
      <c r="Q3950">
        <v>0</v>
      </c>
      <c r="R3950" t="s">
        <v>127</v>
      </c>
      <c r="S3950" t="str">
        <f t="shared" ref="S3950:T3955" si="1564">"15:15:30.000"</f>
        <v>15:15:30.000</v>
      </c>
      <c r="T3950" t="str">
        <f t="shared" si="1564"/>
        <v>15:15:30.000</v>
      </c>
      <c r="U3950" t="str">
        <f t="shared" si="1547"/>
        <v>A68FCB</v>
      </c>
      <c r="V3950">
        <v>0</v>
      </c>
      <c r="W3950">
        <v>0</v>
      </c>
      <c r="X3950">
        <v>2</v>
      </c>
      <c r="Y3950">
        <v>0</v>
      </c>
      <c r="AA3950">
        <v>1</v>
      </c>
      <c r="AB3950">
        <v>8</v>
      </c>
      <c r="AC3950">
        <v>3</v>
      </c>
      <c r="AD3950">
        <v>0</v>
      </c>
      <c r="AE3950">
        <v>9</v>
      </c>
      <c r="AF3950" t="s">
        <v>138</v>
      </c>
      <c r="AG3950">
        <v>0</v>
      </c>
      <c r="AH3950">
        <v>3</v>
      </c>
      <c r="AI3950">
        <v>2</v>
      </c>
      <c r="AJ3950">
        <v>0</v>
      </c>
      <c r="AK3950" t="s">
        <v>1250</v>
      </c>
      <c r="AL3950">
        <v>39.178897999999997</v>
      </c>
      <c r="AM3950" t="s">
        <v>1251</v>
      </c>
      <c r="AN3950">
        <v>-121.02796600000001</v>
      </c>
      <c r="AO3950">
        <v>25</v>
      </c>
      <c r="AP3950">
        <v>4400</v>
      </c>
      <c r="AQ3950" t="s">
        <v>131</v>
      </c>
      <c r="AR3950">
        <v>28</v>
      </c>
      <c r="AS3950">
        <v>76</v>
      </c>
      <c r="AT3950">
        <v>320</v>
      </c>
      <c r="BB3950" t="str">
        <f t="shared" si="1548"/>
        <v>1200</v>
      </c>
      <c r="BC3950">
        <v>1</v>
      </c>
      <c r="BD3950" t="str">
        <f t="shared" si="1549"/>
        <v xml:space="preserve">N52156  </v>
      </c>
      <c r="BE3950">
        <v>1</v>
      </c>
      <c r="BG3950">
        <v>0</v>
      </c>
      <c r="BH3950">
        <v>0</v>
      </c>
      <c r="BI3950">
        <v>0</v>
      </c>
      <c r="BJ3950">
        <v>4425</v>
      </c>
      <c r="BK3950">
        <v>25</v>
      </c>
      <c r="BL3950" t="s">
        <v>188</v>
      </c>
      <c r="BM3950">
        <v>1</v>
      </c>
      <c r="BN3950">
        <v>1</v>
      </c>
      <c r="BO3950">
        <v>0</v>
      </c>
      <c r="BP3950">
        <v>0</v>
      </c>
      <c r="BS3950">
        <v>0</v>
      </c>
      <c r="BT3950">
        <v>0</v>
      </c>
      <c r="BU3950">
        <v>0</v>
      </c>
      <c r="CE3950" t="str">
        <f t="shared" ref="CE3950:CE3955" si="1565">"15:15:30.409"</f>
        <v>15:15:30.409</v>
      </c>
      <c r="CF3950">
        <v>408824299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3</v>
      </c>
      <c r="CY3950">
        <v>7</v>
      </c>
      <c r="CZ3950" t="s">
        <v>133</v>
      </c>
      <c r="DA3950">
        <v>276</v>
      </c>
      <c r="DB3950">
        <v>0</v>
      </c>
      <c r="DC3950" t="s">
        <v>402</v>
      </c>
      <c r="DD3950" t="s">
        <v>403</v>
      </c>
      <c r="DG3950">
        <v>1628324</v>
      </c>
      <c r="DI3950">
        <v>1</v>
      </c>
      <c r="DJ3950">
        <v>0</v>
      </c>
      <c r="DK3950">
        <v>0</v>
      </c>
      <c r="DL3950">
        <v>0</v>
      </c>
      <c r="DM3950">
        <v>0</v>
      </c>
      <c r="DN3950">
        <v>0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 x14ac:dyDescent="0.3">
      <c r="A3951" t="str">
        <f>"05/01/2025 15:15:30.631"</f>
        <v>05/01/2025 15:15:30.631</v>
      </c>
      <c r="C3951" t="str">
        <f t="shared" si="1546"/>
        <v>FFDFD3C0</v>
      </c>
      <c r="D3951" t="s">
        <v>124</v>
      </c>
      <c r="E3951" t="str">
        <f>"06"</f>
        <v>06</v>
      </c>
      <c r="F3951">
        <v>2006</v>
      </c>
      <c r="G3951" t="s">
        <v>125</v>
      </c>
      <c r="J3951" t="s">
        <v>126</v>
      </c>
      <c r="K3951">
        <v>0</v>
      </c>
      <c r="L3951">
        <v>3</v>
      </c>
      <c r="M3951">
        <v>0</v>
      </c>
      <c r="N3951">
        <v>2</v>
      </c>
      <c r="O3951">
        <v>0</v>
      </c>
      <c r="P3951">
        <v>1</v>
      </c>
      <c r="Q3951">
        <v>0</v>
      </c>
      <c r="R3951" t="s">
        <v>127</v>
      </c>
      <c r="S3951" t="str">
        <f t="shared" si="1564"/>
        <v>15:15:30.000</v>
      </c>
      <c r="T3951" t="str">
        <f t="shared" si="1564"/>
        <v>15:15:30.000</v>
      </c>
      <c r="U3951" t="str">
        <f t="shared" si="1547"/>
        <v>A68FCB</v>
      </c>
      <c r="V3951">
        <v>0</v>
      </c>
      <c r="W3951">
        <v>0</v>
      </c>
      <c r="X3951">
        <v>2</v>
      </c>
      <c r="Y3951">
        <v>0</v>
      </c>
      <c r="AA3951">
        <v>1</v>
      </c>
      <c r="AB3951">
        <v>8</v>
      </c>
      <c r="AC3951">
        <v>3</v>
      </c>
      <c r="AD3951">
        <v>0</v>
      </c>
      <c r="AE3951">
        <v>9</v>
      </c>
      <c r="AF3951" t="s">
        <v>138</v>
      </c>
      <c r="AG3951">
        <v>0</v>
      </c>
      <c r="AH3951">
        <v>3</v>
      </c>
      <c r="AI3951">
        <v>2</v>
      </c>
      <c r="AJ3951">
        <v>0</v>
      </c>
      <c r="AK3951" t="s">
        <v>1250</v>
      </c>
      <c r="AL3951">
        <v>39.178897999999997</v>
      </c>
      <c r="AM3951" t="s">
        <v>1251</v>
      </c>
      <c r="AN3951">
        <v>-121.02796600000001</v>
      </c>
      <c r="AO3951">
        <v>25</v>
      </c>
      <c r="AP3951">
        <v>4400</v>
      </c>
      <c r="AQ3951" t="s">
        <v>131</v>
      </c>
      <c r="AR3951">
        <v>28</v>
      </c>
      <c r="AS3951">
        <v>76</v>
      </c>
      <c r="AT3951">
        <v>320</v>
      </c>
      <c r="BB3951" t="str">
        <f t="shared" si="1548"/>
        <v>1200</v>
      </c>
      <c r="BC3951">
        <v>1</v>
      </c>
      <c r="BD3951" t="str">
        <f t="shared" si="1549"/>
        <v xml:space="preserve">N52156  </v>
      </c>
      <c r="BE3951">
        <v>1</v>
      </c>
      <c r="BG3951">
        <v>0</v>
      </c>
      <c r="BH3951">
        <v>0</v>
      </c>
      <c r="BI3951">
        <v>0</v>
      </c>
      <c r="BJ3951">
        <v>4425</v>
      </c>
      <c r="BK3951">
        <v>25</v>
      </c>
      <c r="BL3951" t="s">
        <v>188</v>
      </c>
      <c r="BM3951">
        <v>1</v>
      </c>
      <c r="BN3951">
        <v>1</v>
      </c>
      <c r="BO3951">
        <v>0</v>
      </c>
      <c r="BP3951">
        <v>0</v>
      </c>
      <c r="BS3951">
        <v>0</v>
      </c>
      <c r="BT3951">
        <v>0</v>
      </c>
      <c r="BU3951">
        <v>0</v>
      </c>
      <c r="CE3951" t="str">
        <f t="shared" si="1565"/>
        <v>15:15:30.409</v>
      </c>
      <c r="CF3951">
        <v>408824299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3</v>
      </c>
      <c r="CY3951">
        <v>7</v>
      </c>
      <c r="CZ3951" t="s">
        <v>133</v>
      </c>
      <c r="DA3951">
        <v>276</v>
      </c>
      <c r="DB3951">
        <v>0</v>
      </c>
      <c r="DC3951" t="s">
        <v>402</v>
      </c>
      <c r="DD3951" t="s">
        <v>403</v>
      </c>
      <c r="DG3951">
        <v>1628324</v>
      </c>
      <c r="DI3951">
        <v>1</v>
      </c>
      <c r="DJ3951">
        <v>0</v>
      </c>
      <c r="DK3951">
        <v>1</v>
      </c>
      <c r="DL3951">
        <v>0</v>
      </c>
      <c r="DM3951">
        <v>0</v>
      </c>
      <c r="DN3951">
        <v>0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 x14ac:dyDescent="0.3">
      <c r="A3952" t="str">
        <f>"05/01/2025 15:15:30.642"</f>
        <v>05/01/2025 15:15:30.642</v>
      </c>
      <c r="C3952" t="str">
        <f t="shared" si="1546"/>
        <v>FFDFD3C0</v>
      </c>
      <c r="D3952" t="s">
        <v>145</v>
      </c>
      <c r="E3952" t="str">
        <f>"05"</f>
        <v>05</v>
      </c>
      <c r="H3952">
        <v>47</v>
      </c>
      <c r="I3952" t="s">
        <v>146</v>
      </c>
      <c r="J3952" t="s">
        <v>138</v>
      </c>
      <c r="K3952">
        <v>0</v>
      </c>
      <c r="L3952">
        <v>3</v>
      </c>
      <c r="M3952">
        <v>0</v>
      </c>
      <c r="N3952">
        <v>2</v>
      </c>
      <c r="O3952">
        <v>0</v>
      </c>
      <c r="P3952">
        <v>1</v>
      </c>
      <c r="Q3952">
        <v>0</v>
      </c>
      <c r="R3952" t="s">
        <v>127</v>
      </c>
      <c r="S3952" t="str">
        <f t="shared" si="1564"/>
        <v>15:15:30.000</v>
      </c>
      <c r="T3952" t="str">
        <f t="shared" si="1564"/>
        <v>15:15:30.000</v>
      </c>
      <c r="U3952" t="str">
        <f t="shared" si="1547"/>
        <v>A68FCB</v>
      </c>
      <c r="V3952">
        <v>0</v>
      </c>
      <c r="W3952">
        <v>0</v>
      </c>
      <c r="X3952">
        <v>2</v>
      </c>
      <c r="Y3952">
        <v>0</v>
      </c>
      <c r="AA3952">
        <v>1</v>
      </c>
      <c r="AB3952">
        <v>8</v>
      </c>
      <c r="AC3952">
        <v>3</v>
      </c>
      <c r="AD3952">
        <v>0</v>
      </c>
      <c r="AE3952">
        <v>9</v>
      </c>
      <c r="AF3952" t="s">
        <v>138</v>
      </c>
      <c r="AG3952">
        <v>0</v>
      </c>
      <c r="AH3952">
        <v>3</v>
      </c>
      <c r="AI3952">
        <v>2</v>
      </c>
      <c r="AJ3952">
        <v>0</v>
      </c>
      <c r="AK3952" t="s">
        <v>1250</v>
      </c>
      <c r="AL3952">
        <v>39.178897999999997</v>
      </c>
      <c r="AM3952" t="s">
        <v>1251</v>
      </c>
      <c r="AN3952">
        <v>-121.02796600000001</v>
      </c>
      <c r="AO3952">
        <v>25</v>
      </c>
      <c r="AP3952">
        <v>4400</v>
      </c>
      <c r="AQ3952" t="s">
        <v>131</v>
      </c>
      <c r="AR3952">
        <v>28</v>
      </c>
      <c r="AS3952">
        <v>76</v>
      </c>
      <c r="AT3952">
        <v>320</v>
      </c>
      <c r="BB3952" t="str">
        <f t="shared" si="1548"/>
        <v>1200</v>
      </c>
      <c r="BC3952">
        <v>1</v>
      </c>
      <c r="BD3952" t="str">
        <f t="shared" si="1549"/>
        <v xml:space="preserve">N52156  </v>
      </c>
      <c r="BE3952">
        <v>1</v>
      </c>
      <c r="BG3952">
        <v>0</v>
      </c>
      <c r="BH3952">
        <v>0</v>
      </c>
      <c r="BI3952">
        <v>0</v>
      </c>
      <c r="BJ3952">
        <v>4425</v>
      </c>
      <c r="BK3952">
        <v>25</v>
      </c>
      <c r="BL3952" t="s">
        <v>188</v>
      </c>
      <c r="BM3952">
        <v>1</v>
      </c>
      <c r="BN3952">
        <v>1</v>
      </c>
      <c r="BO3952">
        <v>0</v>
      </c>
      <c r="BP3952">
        <v>0</v>
      </c>
      <c r="BS3952">
        <v>0</v>
      </c>
      <c r="BT3952">
        <v>0</v>
      </c>
      <c r="BU3952">
        <v>0</v>
      </c>
      <c r="CE3952" t="str">
        <f t="shared" si="1565"/>
        <v>15:15:30.409</v>
      </c>
      <c r="CF3952">
        <v>408824299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3</v>
      </c>
      <c r="CY3952">
        <v>7</v>
      </c>
      <c r="CZ3952" t="s">
        <v>133</v>
      </c>
      <c r="DA3952">
        <v>276</v>
      </c>
      <c r="DB3952">
        <v>0</v>
      </c>
      <c r="DC3952" t="s">
        <v>402</v>
      </c>
      <c r="DD3952" t="s">
        <v>403</v>
      </c>
      <c r="DG3952">
        <v>1628324</v>
      </c>
      <c r="DI3952">
        <v>1</v>
      </c>
      <c r="DJ3952">
        <v>0</v>
      </c>
      <c r="DK3952">
        <v>1</v>
      </c>
      <c r="DL3952">
        <v>0</v>
      </c>
      <c r="DM3952">
        <v>0</v>
      </c>
      <c r="DN3952">
        <v>0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 x14ac:dyDescent="0.3">
      <c r="A3953" t="str">
        <f>"05/01/2025 15:15:30.638"</f>
        <v>05/01/2025 15:15:30.638</v>
      </c>
      <c r="C3953" t="str">
        <f t="shared" si="1546"/>
        <v>FFDFD3C0</v>
      </c>
      <c r="D3953" t="s">
        <v>145</v>
      </c>
      <c r="E3953" t="str">
        <f>"09"</f>
        <v>09</v>
      </c>
      <c r="H3953">
        <v>51</v>
      </c>
      <c r="I3953" t="s">
        <v>147</v>
      </c>
      <c r="J3953" t="s">
        <v>138</v>
      </c>
      <c r="K3953">
        <v>0</v>
      </c>
      <c r="L3953">
        <v>3</v>
      </c>
      <c r="M3953">
        <v>0</v>
      </c>
      <c r="N3953">
        <v>2</v>
      </c>
      <c r="O3953">
        <v>0</v>
      </c>
      <c r="P3953">
        <v>1</v>
      </c>
      <c r="Q3953">
        <v>0</v>
      </c>
      <c r="R3953" t="s">
        <v>127</v>
      </c>
      <c r="S3953" t="str">
        <f t="shared" si="1564"/>
        <v>15:15:30.000</v>
      </c>
      <c r="T3953" t="str">
        <f t="shared" si="1564"/>
        <v>15:15:30.000</v>
      </c>
      <c r="U3953" t="str">
        <f t="shared" si="1547"/>
        <v>A68FCB</v>
      </c>
      <c r="V3953">
        <v>0</v>
      </c>
      <c r="W3953">
        <v>0</v>
      </c>
      <c r="X3953">
        <v>2</v>
      </c>
      <c r="Y3953">
        <v>0</v>
      </c>
      <c r="AA3953">
        <v>1</v>
      </c>
      <c r="AB3953">
        <v>8</v>
      </c>
      <c r="AC3953">
        <v>3</v>
      </c>
      <c r="AD3953">
        <v>0</v>
      </c>
      <c r="AE3953">
        <v>9</v>
      </c>
      <c r="AF3953" t="s">
        <v>138</v>
      </c>
      <c r="AG3953">
        <v>0</v>
      </c>
      <c r="AH3953">
        <v>3</v>
      </c>
      <c r="AI3953">
        <v>2</v>
      </c>
      <c r="AJ3953">
        <v>0</v>
      </c>
      <c r="AK3953" t="s">
        <v>1250</v>
      </c>
      <c r="AL3953">
        <v>39.178897999999997</v>
      </c>
      <c r="AM3953" t="s">
        <v>1251</v>
      </c>
      <c r="AN3953">
        <v>-121.02796600000001</v>
      </c>
      <c r="AO3953">
        <v>25</v>
      </c>
      <c r="AP3953">
        <v>4400</v>
      </c>
      <c r="AQ3953" t="s">
        <v>131</v>
      </c>
      <c r="AR3953">
        <v>28</v>
      </c>
      <c r="AS3953">
        <v>76</v>
      </c>
      <c r="AT3953">
        <v>320</v>
      </c>
      <c r="BB3953" t="str">
        <f t="shared" si="1548"/>
        <v>1200</v>
      </c>
      <c r="BC3953">
        <v>1</v>
      </c>
      <c r="BD3953" t="str">
        <f t="shared" si="1549"/>
        <v xml:space="preserve">N52156  </v>
      </c>
      <c r="BE3953">
        <v>1</v>
      </c>
      <c r="BG3953">
        <v>0</v>
      </c>
      <c r="BH3953">
        <v>0</v>
      </c>
      <c r="BI3953">
        <v>0</v>
      </c>
      <c r="BJ3953">
        <v>4425</v>
      </c>
      <c r="BK3953">
        <v>25</v>
      </c>
      <c r="BL3953" t="s">
        <v>188</v>
      </c>
      <c r="BM3953">
        <v>1</v>
      </c>
      <c r="BN3953">
        <v>1</v>
      </c>
      <c r="BO3953">
        <v>0</v>
      </c>
      <c r="BP3953">
        <v>0</v>
      </c>
      <c r="BS3953">
        <v>0</v>
      </c>
      <c r="BT3953">
        <v>0</v>
      </c>
      <c r="BU3953">
        <v>0</v>
      </c>
      <c r="CE3953" t="str">
        <f t="shared" si="1565"/>
        <v>15:15:30.409</v>
      </c>
      <c r="CF3953">
        <v>408824299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3</v>
      </c>
      <c r="CY3953">
        <v>7</v>
      </c>
      <c r="CZ3953" t="s">
        <v>133</v>
      </c>
      <c r="DA3953">
        <v>276</v>
      </c>
      <c r="DB3953">
        <v>0</v>
      </c>
      <c r="DC3953" t="s">
        <v>402</v>
      </c>
      <c r="DD3953" t="s">
        <v>403</v>
      </c>
      <c r="DG3953">
        <v>1628324</v>
      </c>
      <c r="DI3953">
        <v>1</v>
      </c>
      <c r="DJ3953">
        <v>0</v>
      </c>
      <c r="DK3953">
        <v>1</v>
      </c>
      <c r="DL3953">
        <v>0</v>
      </c>
      <c r="DM3953">
        <v>0</v>
      </c>
      <c r="DN3953">
        <v>0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 x14ac:dyDescent="0.3">
      <c r="A3954" t="str">
        <f>"05/01/2025 15:15:30.653"</f>
        <v>05/01/2025 15:15:30.653</v>
      </c>
      <c r="C3954" t="str">
        <f t="shared" si="1546"/>
        <v>FFDFD3C0</v>
      </c>
      <c r="D3954" t="s">
        <v>136</v>
      </c>
      <c r="E3954" t="str">
        <f>"20"</f>
        <v>20</v>
      </c>
      <c r="H3954">
        <v>400</v>
      </c>
      <c r="I3954" t="s">
        <v>137</v>
      </c>
      <c r="J3954" t="s">
        <v>138</v>
      </c>
      <c r="K3954">
        <v>0</v>
      </c>
      <c r="L3954">
        <v>3</v>
      </c>
      <c r="M3954">
        <v>0</v>
      </c>
      <c r="N3954">
        <v>2</v>
      </c>
      <c r="O3954">
        <v>0</v>
      </c>
      <c r="P3954">
        <v>1</v>
      </c>
      <c r="Q3954">
        <v>0</v>
      </c>
      <c r="R3954" t="s">
        <v>127</v>
      </c>
      <c r="S3954" t="str">
        <f t="shared" si="1564"/>
        <v>15:15:30.000</v>
      </c>
      <c r="T3954" t="str">
        <f t="shared" si="1564"/>
        <v>15:15:30.000</v>
      </c>
      <c r="U3954" t="str">
        <f t="shared" si="1547"/>
        <v>A68FCB</v>
      </c>
      <c r="V3954">
        <v>0</v>
      </c>
      <c r="W3954">
        <v>0</v>
      </c>
      <c r="X3954">
        <v>2</v>
      </c>
      <c r="Y3954">
        <v>0</v>
      </c>
      <c r="AA3954">
        <v>1</v>
      </c>
      <c r="AB3954">
        <v>8</v>
      </c>
      <c r="AC3954">
        <v>3</v>
      </c>
      <c r="AD3954">
        <v>0</v>
      </c>
      <c r="AE3954">
        <v>9</v>
      </c>
      <c r="AF3954" t="s">
        <v>138</v>
      </c>
      <c r="AG3954">
        <v>0</v>
      </c>
      <c r="AH3954">
        <v>3</v>
      </c>
      <c r="AI3954">
        <v>2</v>
      </c>
      <c r="AJ3954">
        <v>0</v>
      </c>
      <c r="AK3954" t="s">
        <v>1250</v>
      </c>
      <c r="AL3954">
        <v>39.178897999999997</v>
      </c>
      <c r="AM3954" t="s">
        <v>1251</v>
      </c>
      <c r="AN3954">
        <v>-121.02796600000001</v>
      </c>
      <c r="AO3954">
        <v>25</v>
      </c>
      <c r="AP3954">
        <v>4400</v>
      </c>
      <c r="AQ3954" t="s">
        <v>131</v>
      </c>
      <c r="AR3954">
        <v>28</v>
      </c>
      <c r="AS3954">
        <v>76</v>
      </c>
      <c r="AT3954">
        <v>320</v>
      </c>
      <c r="BB3954" t="str">
        <f t="shared" si="1548"/>
        <v>1200</v>
      </c>
      <c r="BC3954">
        <v>1</v>
      </c>
      <c r="BD3954" t="str">
        <f t="shared" si="1549"/>
        <v xml:space="preserve">N52156  </v>
      </c>
      <c r="BE3954">
        <v>1</v>
      </c>
      <c r="BG3954">
        <v>0</v>
      </c>
      <c r="BH3954">
        <v>0</v>
      </c>
      <c r="BI3954">
        <v>0</v>
      </c>
      <c r="BJ3954">
        <v>4425</v>
      </c>
      <c r="BK3954">
        <v>25</v>
      </c>
      <c r="BL3954" t="s">
        <v>188</v>
      </c>
      <c r="BM3954">
        <v>1</v>
      </c>
      <c r="BN3954">
        <v>1</v>
      </c>
      <c r="BO3954">
        <v>0</v>
      </c>
      <c r="BP3954">
        <v>0</v>
      </c>
      <c r="BS3954">
        <v>0</v>
      </c>
      <c r="BT3954">
        <v>0</v>
      </c>
      <c r="BU3954">
        <v>0</v>
      </c>
      <c r="CE3954" t="str">
        <f t="shared" si="1565"/>
        <v>15:15:30.409</v>
      </c>
      <c r="CF3954">
        <v>408824299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3</v>
      </c>
      <c r="CY3954">
        <v>7</v>
      </c>
      <c r="CZ3954" t="s">
        <v>133</v>
      </c>
      <c r="DA3954">
        <v>276</v>
      </c>
      <c r="DB3954">
        <v>0</v>
      </c>
      <c r="DC3954" t="s">
        <v>402</v>
      </c>
      <c r="DD3954" t="s">
        <v>403</v>
      </c>
      <c r="DG3954">
        <v>1628324</v>
      </c>
      <c r="DI3954">
        <v>1</v>
      </c>
      <c r="DJ3954">
        <v>0</v>
      </c>
      <c r="DK3954">
        <v>1</v>
      </c>
      <c r="DL3954">
        <v>0</v>
      </c>
      <c r="DM3954">
        <v>0</v>
      </c>
      <c r="DN3954">
        <v>0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 x14ac:dyDescent="0.3">
      <c r="A3955" t="str">
        <f>"05/01/2025 15:15:30.674"</f>
        <v>05/01/2025 15:15:30.674</v>
      </c>
      <c r="C3955" t="str">
        <f t="shared" si="1546"/>
        <v>FFDFD3C0</v>
      </c>
      <c r="D3955" t="s">
        <v>143</v>
      </c>
      <c r="E3955" t="str">
        <f>"05"</f>
        <v>05</v>
      </c>
      <c r="H3955">
        <v>172</v>
      </c>
      <c r="I3955" t="s">
        <v>141</v>
      </c>
      <c r="J3955" t="s">
        <v>144</v>
      </c>
      <c r="K3955">
        <v>0</v>
      </c>
      <c r="L3955">
        <v>3</v>
      </c>
      <c r="M3955">
        <v>0</v>
      </c>
      <c r="N3955">
        <v>2</v>
      </c>
      <c r="O3955">
        <v>0</v>
      </c>
      <c r="P3955">
        <v>1</v>
      </c>
      <c r="Q3955">
        <v>0</v>
      </c>
      <c r="R3955" t="s">
        <v>127</v>
      </c>
      <c r="S3955" t="str">
        <f t="shared" si="1564"/>
        <v>15:15:30.000</v>
      </c>
      <c r="T3955" t="str">
        <f t="shared" si="1564"/>
        <v>15:15:30.000</v>
      </c>
      <c r="U3955" t="str">
        <f t="shared" si="1547"/>
        <v>A68FCB</v>
      </c>
      <c r="V3955">
        <v>0</v>
      </c>
      <c r="W3955">
        <v>0</v>
      </c>
      <c r="X3955">
        <v>2</v>
      </c>
      <c r="Y3955">
        <v>0</v>
      </c>
      <c r="AA3955">
        <v>1</v>
      </c>
      <c r="AB3955">
        <v>8</v>
      </c>
      <c r="AC3955">
        <v>3</v>
      </c>
      <c r="AD3955">
        <v>0</v>
      </c>
      <c r="AE3955">
        <v>9</v>
      </c>
      <c r="AF3955" t="s">
        <v>138</v>
      </c>
      <c r="AG3955">
        <v>0</v>
      </c>
      <c r="AH3955">
        <v>3</v>
      </c>
      <c r="AI3955">
        <v>2</v>
      </c>
      <c r="AJ3955">
        <v>0</v>
      </c>
      <c r="AK3955" t="s">
        <v>1250</v>
      </c>
      <c r="AL3955">
        <v>39.178897999999997</v>
      </c>
      <c r="AM3955" t="s">
        <v>1251</v>
      </c>
      <c r="AN3955">
        <v>-121.02796600000001</v>
      </c>
      <c r="AO3955">
        <v>25</v>
      </c>
      <c r="AP3955">
        <v>4400</v>
      </c>
      <c r="AQ3955" t="s">
        <v>131</v>
      </c>
      <c r="AR3955">
        <v>28</v>
      </c>
      <c r="AS3955">
        <v>76</v>
      </c>
      <c r="AT3955">
        <v>320</v>
      </c>
      <c r="BB3955" t="str">
        <f t="shared" si="1548"/>
        <v>1200</v>
      </c>
      <c r="BC3955">
        <v>1</v>
      </c>
      <c r="BD3955" t="str">
        <f t="shared" si="1549"/>
        <v xml:space="preserve">N52156  </v>
      </c>
      <c r="BE3955">
        <v>1</v>
      </c>
      <c r="BG3955">
        <v>0</v>
      </c>
      <c r="BH3955">
        <v>0</v>
      </c>
      <c r="BI3955">
        <v>0</v>
      </c>
      <c r="BJ3955">
        <v>4425</v>
      </c>
      <c r="BK3955">
        <v>25</v>
      </c>
      <c r="BL3955" t="s">
        <v>188</v>
      </c>
      <c r="BM3955">
        <v>1</v>
      </c>
      <c r="BN3955">
        <v>1</v>
      </c>
      <c r="BO3955">
        <v>0</v>
      </c>
      <c r="BP3955">
        <v>0</v>
      </c>
      <c r="BS3955">
        <v>0</v>
      </c>
      <c r="BT3955">
        <v>0</v>
      </c>
      <c r="BU3955">
        <v>0</v>
      </c>
      <c r="CE3955" t="str">
        <f t="shared" si="1565"/>
        <v>15:15:30.409</v>
      </c>
      <c r="CF3955">
        <v>408824299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3</v>
      </c>
      <c r="CY3955">
        <v>7</v>
      </c>
      <c r="CZ3955" t="s">
        <v>133</v>
      </c>
      <c r="DA3955">
        <v>276</v>
      </c>
      <c r="DB3955">
        <v>0</v>
      </c>
      <c r="DC3955" t="s">
        <v>402</v>
      </c>
      <c r="DD3955" t="s">
        <v>403</v>
      </c>
      <c r="DG3955">
        <v>1628324</v>
      </c>
      <c r="DI3955">
        <v>1</v>
      </c>
      <c r="DJ3955">
        <v>0</v>
      </c>
      <c r="DK3955">
        <v>1</v>
      </c>
      <c r="DL3955">
        <v>0</v>
      </c>
      <c r="DM3955">
        <v>0</v>
      </c>
      <c r="DN3955">
        <v>0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 x14ac:dyDescent="0.3">
      <c r="A3956" t="str">
        <f>"05/01/2025 15:15:31.427"</f>
        <v>05/01/2025 15:15:31.427</v>
      </c>
      <c r="C3956" t="str">
        <f t="shared" si="1546"/>
        <v>FFDFD3C0</v>
      </c>
      <c r="D3956" t="s">
        <v>140</v>
      </c>
      <c r="E3956" t="str">
        <f>"13"</f>
        <v>13</v>
      </c>
      <c r="F3956">
        <v>1019</v>
      </c>
      <c r="G3956" t="s">
        <v>141</v>
      </c>
      <c r="J3956" t="s">
        <v>142</v>
      </c>
      <c r="K3956">
        <v>0</v>
      </c>
      <c r="L3956">
        <v>3</v>
      </c>
      <c r="M3956">
        <v>0</v>
      </c>
      <c r="N3956">
        <v>2</v>
      </c>
      <c r="O3956">
        <v>0</v>
      </c>
      <c r="P3956">
        <v>1</v>
      </c>
      <c r="Q3956">
        <v>0</v>
      </c>
      <c r="R3956" t="s">
        <v>127</v>
      </c>
      <c r="S3956" t="str">
        <f t="shared" ref="S3956:T3961" si="1566">"15:15:31.000"</f>
        <v>15:15:31.000</v>
      </c>
      <c r="T3956" t="str">
        <f t="shared" si="1566"/>
        <v>15:15:31.000</v>
      </c>
      <c r="U3956" t="str">
        <f t="shared" si="1547"/>
        <v>A68FCB</v>
      </c>
      <c r="V3956">
        <v>0</v>
      </c>
      <c r="W3956">
        <v>0</v>
      </c>
      <c r="X3956">
        <v>2</v>
      </c>
      <c r="Y3956">
        <v>0</v>
      </c>
      <c r="AA3956">
        <v>1</v>
      </c>
      <c r="AB3956">
        <v>8</v>
      </c>
      <c r="AC3956">
        <v>3</v>
      </c>
      <c r="AD3956">
        <v>0</v>
      </c>
      <c r="AE3956">
        <v>9</v>
      </c>
      <c r="AF3956" t="s">
        <v>138</v>
      </c>
      <c r="AG3956">
        <v>0</v>
      </c>
      <c r="AH3956">
        <v>3</v>
      </c>
      <c r="AI3956">
        <v>2</v>
      </c>
      <c r="AJ3956">
        <v>0</v>
      </c>
      <c r="AK3956" t="s">
        <v>1252</v>
      </c>
      <c r="AL3956">
        <v>39.179242000000002</v>
      </c>
      <c r="AM3956" t="s">
        <v>1253</v>
      </c>
      <c r="AN3956">
        <v>-121.027815</v>
      </c>
      <c r="AO3956">
        <v>25</v>
      </c>
      <c r="AP3956">
        <v>4400</v>
      </c>
      <c r="AQ3956" t="s">
        <v>131</v>
      </c>
      <c r="AR3956">
        <v>29</v>
      </c>
      <c r="AS3956">
        <v>75</v>
      </c>
      <c r="AT3956">
        <v>384</v>
      </c>
      <c r="BB3956" t="str">
        <f t="shared" si="1548"/>
        <v>1200</v>
      </c>
      <c r="BC3956">
        <v>1</v>
      </c>
      <c r="BD3956" t="str">
        <f t="shared" si="1549"/>
        <v xml:space="preserve">N52156  </v>
      </c>
      <c r="BE3956">
        <v>1</v>
      </c>
      <c r="BG3956">
        <v>0</v>
      </c>
      <c r="BH3956">
        <v>0</v>
      </c>
      <c r="BI3956">
        <v>0</v>
      </c>
      <c r="BJ3956">
        <v>4425</v>
      </c>
      <c r="BK3956">
        <v>25</v>
      </c>
      <c r="BL3956" t="s">
        <v>188</v>
      </c>
      <c r="BM3956">
        <v>1</v>
      </c>
      <c r="BN3956">
        <v>1</v>
      </c>
      <c r="BO3956">
        <v>0</v>
      </c>
      <c r="BP3956">
        <v>0</v>
      </c>
      <c r="BS3956">
        <v>0</v>
      </c>
      <c r="BT3956">
        <v>0</v>
      </c>
      <c r="BU3956">
        <v>0</v>
      </c>
      <c r="CE3956" t="str">
        <f t="shared" ref="CE3956:CE3961" si="1567">"15:15:31.205"</f>
        <v>15:15:31.205</v>
      </c>
      <c r="CF3956">
        <v>204573844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3</v>
      </c>
      <c r="CY3956">
        <v>7</v>
      </c>
      <c r="CZ3956" t="s">
        <v>133</v>
      </c>
      <c r="DA3956">
        <v>276</v>
      </c>
      <c r="DB3956">
        <v>0</v>
      </c>
      <c r="DC3956" t="s">
        <v>402</v>
      </c>
      <c r="DD3956" t="s">
        <v>403</v>
      </c>
      <c r="DG3956">
        <v>1628326</v>
      </c>
      <c r="DI3956">
        <v>1</v>
      </c>
      <c r="DJ3956">
        <v>0</v>
      </c>
      <c r="DK3956">
        <v>0</v>
      </c>
      <c r="DL3956">
        <v>0</v>
      </c>
      <c r="DM3956">
        <v>0</v>
      </c>
      <c r="DN3956">
        <v>0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 x14ac:dyDescent="0.3">
      <c r="A3957" t="str">
        <f>"05/01/2025 15:15:31.425"</f>
        <v>05/01/2025 15:15:31.425</v>
      </c>
      <c r="C3957" t="str">
        <f t="shared" si="1546"/>
        <v>FFDFD3C0</v>
      </c>
      <c r="D3957" t="s">
        <v>143</v>
      </c>
      <c r="E3957" t="str">
        <f>"05"</f>
        <v>05</v>
      </c>
      <c r="H3957">
        <v>172</v>
      </c>
      <c r="I3957" t="s">
        <v>141</v>
      </c>
      <c r="J3957" t="s">
        <v>144</v>
      </c>
      <c r="K3957">
        <v>0</v>
      </c>
      <c r="L3957">
        <v>3</v>
      </c>
      <c r="M3957">
        <v>0</v>
      </c>
      <c r="N3957">
        <v>2</v>
      </c>
      <c r="O3957">
        <v>0</v>
      </c>
      <c r="P3957">
        <v>1</v>
      </c>
      <c r="Q3957">
        <v>0</v>
      </c>
      <c r="R3957" t="s">
        <v>127</v>
      </c>
      <c r="S3957" t="str">
        <f t="shared" si="1566"/>
        <v>15:15:31.000</v>
      </c>
      <c r="T3957" t="str">
        <f t="shared" si="1566"/>
        <v>15:15:31.000</v>
      </c>
      <c r="U3957" t="str">
        <f t="shared" si="1547"/>
        <v>A68FCB</v>
      </c>
      <c r="V3957">
        <v>0</v>
      </c>
      <c r="W3957">
        <v>0</v>
      </c>
      <c r="X3957">
        <v>2</v>
      </c>
      <c r="Y3957">
        <v>0</v>
      </c>
      <c r="AA3957">
        <v>1</v>
      </c>
      <c r="AB3957">
        <v>8</v>
      </c>
      <c r="AC3957">
        <v>3</v>
      </c>
      <c r="AD3957">
        <v>0</v>
      </c>
      <c r="AE3957">
        <v>9</v>
      </c>
      <c r="AF3957" t="s">
        <v>138</v>
      </c>
      <c r="AG3957">
        <v>0</v>
      </c>
      <c r="AH3957">
        <v>3</v>
      </c>
      <c r="AI3957">
        <v>2</v>
      </c>
      <c r="AJ3957">
        <v>0</v>
      </c>
      <c r="AK3957" t="s">
        <v>1252</v>
      </c>
      <c r="AL3957">
        <v>39.179242000000002</v>
      </c>
      <c r="AM3957" t="s">
        <v>1253</v>
      </c>
      <c r="AN3957">
        <v>-121.027815</v>
      </c>
      <c r="AO3957">
        <v>25</v>
      </c>
      <c r="AP3957">
        <v>4400</v>
      </c>
      <c r="AQ3957" t="s">
        <v>131</v>
      </c>
      <c r="AR3957">
        <v>29</v>
      </c>
      <c r="AS3957">
        <v>75</v>
      </c>
      <c r="AT3957">
        <v>384</v>
      </c>
      <c r="BB3957" t="str">
        <f t="shared" si="1548"/>
        <v>1200</v>
      </c>
      <c r="BC3957">
        <v>1</v>
      </c>
      <c r="BD3957" t="str">
        <f t="shared" si="1549"/>
        <v xml:space="preserve">N52156  </v>
      </c>
      <c r="BE3957">
        <v>1</v>
      </c>
      <c r="BG3957">
        <v>0</v>
      </c>
      <c r="BH3957">
        <v>0</v>
      </c>
      <c r="BI3957">
        <v>0</v>
      </c>
      <c r="BJ3957">
        <v>4425</v>
      </c>
      <c r="BK3957">
        <v>25</v>
      </c>
      <c r="BL3957" t="s">
        <v>188</v>
      </c>
      <c r="BM3957">
        <v>1</v>
      </c>
      <c r="BN3957">
        <v>1</v>
      </c>
      <c r="BO3957">
        <v>0</v>
      </c>
      <c r="BP3957">
        <v>0</v>
      </c>
      <c r="BS3957">
        <v>0</v>
      </c>
      <c r="BT3957">
        <v>0</v>
      </c>
      <c r="BU3957">
        <v>0</v>
      </c>
      <c r="CE3957" t="str">
        <f t="shared" si="1567"/>
        <v>15:15:31.205</v>
      </c>
      <c r="CF3957">
        <v>204573844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3</v>
      </c>
      <c r="CY3957">
        <v>7</v>
      </c>
      <c r="CZ3957" t="s">
        <v>133</v>
      </c>
      <c r="DA3957">
        <v>276</v>
      </c>
      <c r="DB3957">
        <v>0</v>
      </c>
      <c r="DC3957" t="s">
        <v>402</v>
      </c>
      <c r="DD3957" t="s">
        <v>403</v>
      </c>
      <c r="DG3957">
        <v>1628326</v>
      </c>
      <c r="DI3957">
        <v>1</v>
      </c>
      <c r="DJ3957">
        <v>0</v>
      </c>
      <c r="DK3957">
        <v>1</v>
      </c>
      <c r="DL3957">
        <v>0</v>
      </c>
      <c r="DM3957">
        <v>0</v>
      </c>
      <c r="DN3957">
        <v>0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 x14ac:dyDescent="0.3">
      <c r="A3958" t="str">
        <f>"05/01/2025 15:15:31.433"</f>
        <v>05/01/2025 15:15:31.433</v>
      </c>
      <c r="C3958" t="str">
        <f t="shared" si="1546"/>
        <v>FFDFD3C0</v>
      </c>
      <c r="D3958" t="s">
        <v>124</v>
      </c>
      <c r="E3958" t="str">
        <f>"06"</f>
        <v>06</v>
      </c>
      <c r="F3958">
        <v>2006</v>
      </c>
      <c r="G3958" t="s">
        <v>125</v>
      </c>
      <c r="J3958" t="s">
        <v>126</v>
      </c>
      <c r="K3958">
        <v>0</v>
      </c>
      <c r="L3958">
        <v>3</v>
      </c>
      <c r="M3958">
        <v>0</v>
      </c>
      <c r="N3958">
        <v>2</v>
      </c>
      <c r="O3958">
        <v>0</v>
      </c>
      <c r="P3958">
        <v>1</v>
      </c>
      <c r="Q3958">
        <v>0</v>
      </c>
      <c r="R3958" t="s">
        <v>127</v>
      </c>
      <c r="S3958" t="str">
        <f t="shared" si="1566"/>
        <v>15:15:31.000</v>
      </c>
      <c r="T3958" t="str">
        <f t="shared" si="1566"/>
        <v>15:15:31.000</v>
      </c>
      <c r="U3958" t="str">
        <f t="shared" si="1547"/>
        <v>A68FCB</v>
      </c>
      <c r="V3958">
        <v>0</v>
      </c>
      <c r="W3958">
        <v>0</v>
      </c>
      <c r="X3958">
        <v>2</v>
      </c>
      <c r="Y3958">
        <v>0</v>
      </c>
      <c r="AA3958">
        <v>1</v>
      </c>
      <c r="AB3958">
        <v>8</v>
      </c>
      <c r="AC3958">
        <v>3</v>
      </c>
      <c r="AD3958">
        <v>0</v>
      </c>
      <c r="AE3958">
        <v>9</v>
      </c>
      <c r="AF3958" t="s">
        <v>138</v>
      </c>
      <c r="AG3958">
        <v>0</v>
      </c>
      <c r="AH3958">
        <v>3</v>
      </c>
      <c r="AI3958">
        <v>2</v>
      </c>
      <c r="AJ3958">
        <v>0</v>
      </c>
      <c r="AK3958" t="s">
        <v>1252</v>
      </c>
      <c r="AL3958">
        <v>39.179242000000002</v>
      </c>
      <c r="AM3958" t="s">
        <v>1253</v>
      </c>
      <c r="AN3958">
        <v>-121.027815</v>
      </c>
      <c r="AO3958">
        <v>25</v>
      </c>
      <c r="AP3958">
        <v>4400</v>
      </c>
      <c r="AQ3958" t="s">
        <v>131</v>
      </c>
      <c r="AR3958">
        <v>29</v>
      </c>
      <c r="AS3958">
        <v>75</v>
      </c>
      <c r="AT3958">
        <v>384</v>
      </c>
      <c r="BB3958" t="str">
        <f t="shared" si="1548"/>
        <v>1200</v>
      </c>
      <c r="BC3958">
        <v>1</v>
      </c>
      <c r="BD3958" t="str">
        <f t="shared" si="1549"/>
        <v xml:space="preserve">N52156  </v>
      </c>
      <c r="BE3958">
        <v>1</v>
      </c>
      <c r="BG3958">
        <v>0</v>
      </c>
      <c r="BH3958">
        <v>0</v>
      </c>
      <c r="BI3958">
        <v>0</v>
      </c>
      <c r="BJ3958">
        <v>4425</v>
      </c>
      <c r="BK3958">
        <v>25</v>
      </c>
      <c r="BL3958" t="s">
        <v>188</v>
      </c>
      <c r="BM3958">
        <v>1</v>
      </c>
      <c r="BN3958">
        <v>1</v>
      </c>
      <c r="BO3958">
        <v>0</v>
      </c>
      <c r="BP3958">
        <v>0</v>
      </c>
      <c r="BS3958">
        <v>0</v>
      </c>
      <c r="BT3958">
        <v>0</v>
      </c>
      <c r="BU3958">
        <v>0</v>
      </c>
      <c r="CE3958" t="str">
        <f t="shared" si="1567"/>
        <v>15:15:31.205</v>
      </c>
      <c r="CF3958">
        <v>204573844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3</v>
      </c>
      <c r="CY3958">
        <v>7</v>
      </c>
      <c r="CZ3958" t="s">
        <v>133</v>
      </c>
      <c r="DA3958">
        <v>276</v>
      </c>
      <c r="DB3958">
        <v>0</v>
      </c>
      <c r="DC3958" t="s">
        <v>402</v>
      </c>
      <c r="DD3958" t="s">
        <v>403</v>
      </c>
      <c r="DG3958">
        <v>1628326</v>
      </c>
      <c r="DI3958">
        <v>1</v>
      </c>
      <c r="DJ3958">
        <v>0</v>
      </c>
      <c r="DK3958">
        <v>1</v>
      </c>
      <c r="DL3958">
        <v>0</v>
      </c>
      <c r="DM3958">
        <v>0</v>
      </c>
      <c r="DN3958">
        <v>0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 x14ac:dyDescent="0.3">
      <c r="A3959" t="str">
        <f>"05/01/2025 15:15:31.439"</f>
        <v>05/01/2025 15:15:31.439</v>
      </c>
      <c r="C3959" t="str">
        <f t="shared" si="1546"/>
        <v>FFDFD3C0</v>
      </c>
      <c r="D3959" t="s">
        <v>145</v>
      </c>
      <c r="E3959" t="str">
        <f>"09"</f>
        <v>09</v>
      </c>
      <c r="H3959">
        <v>51</v>
      </c>
      <c r="I3959" t="s">
        <v>147</v>
      </c>
      <c r="J3959" t="s">
        <v>138</v>
      </c>
      <c r="K3959">
        <v>0</v>
      </c>
      <c r="L3959">
        <v>3</v>
      </c>
      <c r="M3959">
        <v>0</v>
      </c>
      <c r="N3959">
        <v>2</v>
      </c>
      <c r="O3959">
        <v>0</v>
      </c>
      <c r="P3959">
        <v>1</v>
      </c>
      <c r="Q3959">
        <v>0</v>
      </c>
      <c r="R3959" t="s">
        <v>127</v>
      </c>
      <c r="S3959" t="str">
        <f t="shared" si="1566"/>
        <v>15:15:31.000</v>
      </c>
      <c r="T3959" t="str">
        <f t="shared" si="1566"/>
        <v>15:15:31.000</v>
      </c>
      <c r="U3959" t="str">
        <f t="shared" si="1547"/>
        <v>A68FCB</v>
      </c>
      <c r="V3959">
        <v>0</v>
      </c>
      <c r="W3959">
        <v>0</v>
      </c>
      <c r="X3959">
        <v>2</v>
      </c>
      <c r="Y3959">
        <v>0</v>
      </c>
      <c r="AA3959">
        <v>1</v>
      </c>
      <c r="AB3959">
        <v>8</v>
      </c>
      <c r="AC3959">
        <v>3</v>
      </c>
      <c r="AD3959">
        <v>0</v>
      </c>
      <c r="AE3959">
        <v>9</v>
      </c>
      <c r="AF3959" t="s">
        <v>138</v>
      </c>
      <c r="AG3959">
        <v>0</v>
      </c>
      <c r="AH3959">
        <v>3</v>
      </c>
      <c r="AI3959">
        <v>2</v>
      </c>
      <c r="AJ3959">
        <v>0</v>
      </c>
      <c r="AK3959" t="s">
        <v>1252</v>
      </c>
      <c r="AL3959">
        <v>39.179242000000002</v>
      </c>
      <c r="AM3959" t="s">
        <v>1253</v>
      </c>
      <c r="AN3959">
        <v>-121.027815</v>
      </c>
      <c r="AO3959">
        <v>25</v>
      </c>
      <c r="AP3959">
        <v>4400</v>
      </c>
      <c r="AQ3959" t="s">
        <v>131</v>
      </c>
      <c r="AR3959">
        <v>29</v>
      </c>
      <c r="AS3959">
        <v>75</v>
      </c>
      <c r="AT3959">
        <v>384</v>
      </c>
      <c r="BB3959" t="str">
        <f t="shared" si="1548"/>
        <v>1200</v>
      </c>
      <c r="BC3959">
        <v>1</v>
      </c>
      <c r="BD3959" t="str">
        <f t="shared" si="1549"/>
        <v xml:space="preserve">N52156  </v>
      </c>
      <c r="BE3959">
        <v>1</v>
      </c>
      <c r="BG3959">
        <v>0</v>
      </c>
      <c r="BH3959">
        <v>0</v>
      </c>
      <c r="BI3959">
        <v>0</v>
      </c>
      <c r="BJ3959">
        <v>4425</v>
      </c>
      <c r="BK3959">
        <v>25</v>
      </c>
      <c r="BL3959" t="s">
        <v>188</v>
      </c>
      <c r="BM3959">
        <v>1</v>
      </c>
      <c r="BN3959">
        <v>1</v>
      </c>
      <c r="BO3959">
        <v>0</v>
      </c>
      <c r="BP3959">
        <v>0</v>
      </c>
      <c r="BS3959">
        <v>0</v>
      </c>
      <c r="BT3959">
        <v>0</v>
      </c>
      <c r="BU3959">
        <v>0</v>
      </c>
      <c r="CE3959" t="str">
        <f t="shared" si="1567"/>
        <v>15:15:31.205</v>
      </c>
      <c r="CF3959">
        <v>204573844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3</v>
      </c>
      <c r="CY3959">
        <v>7</v>
      </c>
      <c r="CZ3959" t="s">
        <v>133</v>
      </c>
      <c r="DA3959">
        <v>276</v>
      </c>
      <c r="DB3959">
        <v>0</v>
      </c>
      <c r="DC3959" t="s">
        <v>402</v>
      </c>
      <c r="DD3959" t="s">
        <v>403</v>
      </c>
      <c r="DG3959">
        <v>1628326</v>
      </c>
      <c r="DI3959">
        <v>1</v>
      </c>
      <c r="DJ3959">
        <v>0</v>
      </c>
      <c r="DK3959">
        <v>1</v>
      </c>
      <c r="DL3959">
        <v>0</v>
      </c>
      <c r="DM3959">
        <v>0</v>
      </c>
      <c r="DN3959">
        <v>0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 x14ac:dyDescent="0.3">
      <c r="A3960" t="str">
        <f>"05/01/2025 15:15:31.444"</f>
        <v>05/01/2025 15:15:31.444</v>
      </c>
      <c r="C3960" t="str">
        <f t="shared" si="1546"/>
        <v>FFDFD3C0</v>
      </c>
      <c r="D3960" t="s">
        <v>145</v>
      </c>
      <c r="E3960" t="str">
        <f>"05"</f>
        <v>05</v>
      </c>
      <c r="H3960">
        <v>47</v>
      </c>
      <c r="I3960" t="s">
        <v>146</v>
      </c>
      <c r="J3960" t="s">
        <v>138</v>
      </c>
      <c r="K3960">
        <v>0</v>
      </c>
      <c r="L3960">
        <v>3</v>
      </c>
      <c r="M3960">
        <v>0</v>
      </c>
      <c r="N3960">
        <v>2</v>
      </c>
      <c r="O3960">
        <v>0</v>
      </c>
      <c r="P3960">
        <v>1</v>
      </c>
      <c r="Q3960">
        <v>0</v>
      </c>
      <c r="R3960" t="s">
        <v>127</v>
      </c>
      <c r="S3960" t="str">
        <f t="shared" si="1566"/>
        <v>15:15:31.000</v>
      </c>
      <c r="T3960" t="str">
        <f t="shared" si="1566"/>
        <v>15:15:31.000</v>
      </c>
      <c r="U3960" t="str">
        <f t="shared" si="1547"/>
        <v>A68FCB</v>
      </c>
      <c r="V3960">
        <v>0</v>
      </c>
      <c r="W3960">
        <v>0</v>
      </c>
      <c r="X3960">
        <v>2</v>
      </c>
      <c r="Y3960">
        <v>0</v>
      </c>
      <c r="AA3960">
        <v>1</v>
      </c>
      <c r="AB3960">
        <v>8</v>
      </c>
      <c r="AC3960">
        <v>3</v>
      </c>
      <c r="AD3960">
        <v>0</v>
      </c>
      <c r="AE3960">
        <v>9</v>
      </c>
      <c r="AF3960" t="s">
        <v>138</v>
      </c>
      <c r="AG3960">
        <v>0</v>
      </c>
      <c r="AH3960">
        <v>3</v>
      </c>
      <c r="AI3960">
        <v>2</v>
      </c>
      <c r="AJ3960">
        <v>0</v>
      </c>
      <c r="AK3960" t="s">
        <v>1252</v>
      </c>
      <c r="AL3960">
        <v>39.179242000000002</v>
      </c>
      <c r="AM3960" t="s">
        <v>1253</v>
      </c>
      <c r="AN3960">
        <v>-121.027815</v>
      </c>
      <c r="AO3960">
        <v>25</v>
      </c>
      <c r="AP3960">
        <v>4400</v>
      </c>
      <c r="AQ3960" t="s">
        <v>131</v>
      </c>
      <c r="AR3960">
        <v>29</v>
      </c>
      <c r="AS3960">
        <v>75</v>
      </c>
      <c r="AT3960">
        <v>384</v>
      </c>
      <c r="BB3960" t="str">
        <f t="shared" si="1548"/>
        <v>1200</v>
      </c>
      <c r="BC3960">
        <v>1</v>
      </c>
      <c r="BD3960" t="str">
        <f t="shared" si="1549"/>
        <v xml:space="preserve">N52156  </v>
      </c>
      <c r="BE3960">
        <v>1</v>
      </c>
      <c r="BG3960">
        <v>0</v>
      </c>
      <c r="BH3960">
        <v>0</v>
      </c>
      <c r="BI3960">
        <v>0</v>
      </c>
      <c r="BJ3960">
        <v>4425</v>
      </c>
      <c r="BK3960">
        <v>25</v>
      </c>
      <c r="BL3960" t="s">
        <v>188</v>
      </c>
      <c r="BM3960">
        <v>1</v>
      </c>
      <c r="BN3960">
        <v>1</v>
      </c>
      <c r="BO3960">
        <v>0</v>
      </c>
      <c r="BP3960">
        <v>0</v>
      </c>
      <c r="BS3960">
        <v>0</v>
      </c>
      <c r="BT3960">
        <v>0</v>
      </c>
      <c r="BU3960">
        <v>0</v>
      </c>
      <c r="CE3960" t="str">
        <f t="shared" si="1567"/>
        <v>15:15:31.205</v>
      </c>
      <c r="CF3960">
        <v>204573844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3</v>
      </c>
      <c r="CY3960">
        <v>7</v>
      </c>
      <c r="CZ3960" t="s">
        <v>133</v>
      </c>
      <c r="DA3960">
        <v>276</v>
      </c>
      <c r="DB3960">
        <v>0</v>
      </c>
      <c r="DC3960" t="s">
        <v>402</v>
      </c>
      <c r="DD3960" t="s">
        <v>403</v>
      </c>
      <c r="DG3960">
        <v>1628326</v>
      </c>
      <c r="DI3960">
        <v>1</v>
      </c>
      <c r="DJ3960">
        <v>0</v>
      </c>
      <c r="DK3960">
        <v>1</v>
      </c>
      <c r="DL3960">
        <v>0</v>
      </c>
      <c r="DM3960">
        <v>0</v>
      </c>
      <c r="DN3960">
        <v>0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 x14ac:dyDescent="0.3">
      <c r="A3961" t="str">
        <f>"05/01/2025 15:15:31.455"</f>
        <v>05/01/2025 15:15:31.455</v>
      </c>
      <c r="C3961" t="str">
        <f t="shared" si="1546"/>
        <v>FFDFD3C0</v>
      </c>
      <c r="D3961" t="s">
        <v>136</v>
      </c>
      <c r="E3961" t="str">
        <f>"20"</f>
        <v>20</v>
      </c>
      <c r="H3961">
        <v>400</v>
      </c>
      <c r="I3961" t="s">
        <v>137</v>
      </c>
      <c r="J3961" t="s">
        <v>138</v>
      </c>
      <c r="K3961">
        <v>0</v>
      </c>
      <c r="L3961">
        <v>3</v>
      </c>
      <c r="M3961">
        <v>0</v>
      </c>
      <c r="N3961">
        <v>2</v>
      </c>
      <c r="O3961">
        <v>0</v>
      </c>
      <c r="P3961">
        <v>1</v>
      </c>
      <c r="Q3961">
        <v>0</v>
      </c>
      <c r="R3961" t="s">
        <v>127</v>
      </c>
      <c r="S3961" t="str">
        <f t="shared" si="1566"/>
        <v>15:15:31.000</v>
      </c>
      <c r="T3961" t="str">
        <f t="shared" si="1566"/>
        <v>15:15:31.000</v>
      </c>
      <c r="U3961" t="str">
        <f t="shared" si="1547"/>
        <v>A68FCB</v>
      </c>
      <c r="V3961">
        <v>0</v>
      </c>
      <c r="W3961">
        <v>0</v>
      </c>
      <c r="X3961">
        <v>2</v>
      </c>
      <c r="Y3961">
        <v>0</v>
      </c>
      <c r="AA3961">
        <v>1</v>
      </c>
      <c r="AB3961">
        <v>8</v>
      </c>
      <c r="AC3961">
        <v>3</v>
      </c>
      <c r="AD3961">
        <v>0</v>
      </c>
      <c r="AE3961">
        <v>9</v>
      </c>
      <c r="AF3961" t="s">
        <v>138</v>
      </c>
      <c r="AG3961">
        <v>0</v>
      </c>
      <c r="AH3961">
        <v>3</v>
      </c>
      <c r="AI3961">
        <v>2</v>
      </c>
      <c r="AJ3961">
        <v>0</v>
      </c>
      <c r="AK3961" t="s">
        <v>1252</v>
      </c>
      <c r="AL3961">
        <v>39.179242000000002</v>
      </c>
      <c r="AM3961" t="s">
        <v>1253</v>
      </c>
      <c r="AN3961">
        <v>-121.027815</v>
      </c>
      <c r="AO3961">
        <v>25</v>
      </c>
      <c r="AP3961">
        <v>4400</v>
      </c>
      <c r="AQ3961" t="s">
        <v>131</v>
      </c>
      <c r="AR3961">
        <v>29</v>
      </c>
      <c r="AS3961">
        <v>75</v>
      </c>
      <c r="AT3961">
        <v>384</v>
      </c>
      <c r="BB3961" t="str">
        <f t="shared" si="1548"/>
        <v>1200</v>
      </c>
      <c r="BC3961">
        <v>1</v>
      </c>
      <c r="BD3961" t="str">
        <f t="shared" si="1549"/>
        <v xml:space="preserve">N52156  </v>
      </c>
      <c r="BE3961">
        <v>1</v>
      </c>
      <c r="BG3961">
        <v>0</v>
      </c>
      <c r="BH3961">
        <v>0</v>
      </c>
      <c r="BI3961">
        <v>0</v>
      </c>
      <c r="BJ3961">
        <v>4425</v>
      </c>
      <c r="BK3961">
        <v>25</v>
      </c>
      <c r="BL3961" t="s">
        <v>188</v>
      </c>
      <c r="BM3961">
        <v>1</v>
      </c>
      <c r="BN3961">
        <v>1</v>
      </c>
      <c r="BO3961">
        <v>0</v>
      </c>
      <c r="BP3961">
        <v>0</v>
      </c>
      <c r="BS3961">
        <v>0</v>
      </c>
      <c r="BT3961">
        <v>0</v>
      </c>
      <c r="BU3961">
        <v>0</v>
      </c>
      <c r="CE3961" t="str">
        <f t="shared" si="1567"/>
        <v>15:15:31.205</v>
      </c>
      <c r="CF3961">
        <v>204573844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3</v>
      </c>
      <c r="CY3961">
        <v>7</v>
      </c>
      <c r="CZ3961" t="s">
        <v>133</v>
      </c>
      <c r="DA3961">
        <v>276</v>
      </c>
      <c r="DB3961">
        <v>0</v>
      </c>
      <c r="DC3961" t="s">
        <v>402</v>
      </c>
      <c r="DD3961" t="s">
        <v>403</v>
      </c>
      <c r="DG3961">
        <v>1628326</v>
      </c>
      <c r="DI3961">
        <v>1</v>
      </c>
      <c r="DJ3961">
        <v>0</v>
      </c>
      <c r="DK3961">
        <v>1</v>
      </c>
      <c r="DL3961">
        <v>0</v>
      </c>
      <c r="DM3961">
        <v>0</v>
      </c>
      <c r="DN3961">
        <v>0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 x14ac:dyDescent="0.3">
      <c r="A3962" t="str">
        <f>"05/01/2025 15:15:32.607"</f>
        <v>05/01/2025 15:15:32.607</v>
      </c>
      <c r="C3962" t="str">
        <f t="shared" si="1546"/>
        <v>FFDFD3C0</v>
      </c>
      <c r="D3962" t="s">
        <v>136</v>
      </c>
      <c r="E3962" t="str">
        <f>"20"</f>
        <v>20</v>
      </c>
      <c r="H3962">
        <v>400</v>
      </c>
      <c r="I3962" t="s">
        <v>137</v>
      </c>
      <c r="J3962" t="s">
        <v>138</v>
      </c>
      <c r="K3962">
        <v>0</v>
      </c>
      <c r="L3962">
        <v>3</v>
      </c>
      <c r="M3962">
        <v>0</v>
      </c>
      <c r="N3962">
        <v>2</v>
      </c>
      <c r="O3962">
        <v>0</v>
      </c>
      <c r="P3962">
        <v>1</v>
      </c>
      <c r="Q3962">
        <v>0</v>
      </c>
      <c r="R3962" t="s">
        <v>127</v>
      </c>
      <c r="S3962" t="str">
        <f t="shared" ref="S3962:T3967" si="1568">"15:15:32.000"</f>
        <v>15:15:32.000</v>
      </c>
      <c r="T3962" t="str">
        <f t="shared" si="1568"/>
        <v>15:15:32.000</v>
      </c>
      <c r="U3962" t="str">
        <f t="shared" si="1547"/>
        <v>A68FCB</v>
      </c>
      <c r="V3962">
        <v>0</v>
      </c>
      <c r="W3962">
        <v>0</v>
      </c>
      <c r="X3962">
        <v>2</v>
      </c>
      <c r="Y3962">
        <v>0</v>
      </c>
      <c r="AA3962">
        <v>1</v>
      </c>
      <c r="AB3962">
        <v>8</v>
      </c>
      <c r="AC3962">
        <v>3</v>
      </c>
      <c r="AD3962">
        <v>0</v>
      </c>
      <c r="AE3962">
        <v>9</v>
      </c>
      <c r="AF3962" t="s">
        <v>138</v>
      </c>
      <c r="AG3962">
        <v>0</v>
      </c>
      <c r="AH3962">
        <v>3</v>
      </c>
      <c r="AI3962">
        <v>2</v>
      </c>
      <c r="AJ3962">
        <v>0</v>
      </c>
      <c r="AK3962" t="s">
        <v>1254</v>
      </c>
      <c r="AL3962">
        <v>39.179585000000003</v>
      </c>
      <c r="AM3962" t="s">
        <v>1255</v>
      </c>
      <c r="AN3962">
        <v>-121.027601</v>
      </c>
      <c r="AO3962">
        <v>25</v>
      </c>
      <c r="AP3962">
        <v>4400</v>
      </c>
      <c r="AQ3962" t="s">
        <v>131</v>
      </c>
      <c r="AR3962">
        <v>30</v>
      </c>
      <c r="AS3962">
        <v>74</v>
      </c>
      <c r="AT3962">
        <v>384</v>
      </c>
      <c r="BB3962" t="str">
        <f t="shared" si="1548"/>
        <v>1200</v>
      </c>
      <c r="BC3962">
        <v>1</v>
      </c>
      <c r="BD3962" t="str">
        <f t="shared" si="1549"/>
        <v xml:space="preserve">N52156  </v>
      </c>
      <c r="BE3962">
        <v>1</v>
      </c>
      <c r="BG3962">
        <v>0</v>
      </c>
      <c r="BH3962">
        <v>0</v>
      </c>
      <c r="BI3962">
        <v>0</v>
      </c>
      <c r="BJ3962">
        <v>4450</v>
      </c>
      <c r="BK3962">
        <v>50</v>
      </c>
      <c r="BL3962" t="s">
        <v>188</v>
      </c>
      <c r="BM3962">
        <v>1</v>
      </c>
      <c r="BN3962">
        <v>1</v>
      </c>
      <c r="BO3962">
        <v>0</v>
      </c>
      <c r="BP3962">
        <v>0</v>
      </c>
      <c r="BS3962">
        <v>0</v>
      </c>
      <c r="BT3962">
        <v>0</v>
      </c>
      <c r="BU3962">
        <v>0</v>
      </c>
      <c r="CE3962" t="str">
        <f t="shared" ref="CE3962:CE3967" si="1569">"15:15:32.400"</f>
        <v>15:15:32.400</v>
      </c>
      <c r="CF3962">
        <v>399824439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3</v>
      </c>
      <c r="CY3962">
        <v>7</v>
      </c>
      <c r="CZ3962" t="s">
        <v>133</v>
      </c>
      <c r="DA3962">
        <v>276</v>
      </c>
      <c r="DB3962">
        <v>0</v>
      </c>
      <c r="DC3962" t="s">
        <v>402</v>
      </c>
      <c r="DD3962" t="s">
        <v>403</v>
      </c>
      <c r="DG3962">
        <v>1628330</v>
      </c>
      <c r="DI3962">
        <v>1</v>
      </c>
      <c r="DJ3962">
        <v>0</v>
      </c>
      <c r="DK3962">
        <v>0</v>
      </c>
      <c r="DL3962">
        <v>0</v>
      </c>
      <c r="DM3962">
        <v>0</v>
      </c>
      <c r="DN3962">
        <v>0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 x14ac:dyDescent="0.3">
      <c r="A3963" t="str">
        <f>"05/01/2025 15:15:32.628"</f>
        <v>05/01/2025 15:15:32.628</v>
      </c>
      <c r="C3963" t="str">
        <f t="shared" si="1546"/>
        <v>FFDFD3C0</v>
      </c>
      <c r="D3963" t="s">
        <v>143</v>
      </c>
      <c r="E3963" t="str">
        <f>"05"</f>
        <v>05</v>
      </c>
      <c r="H3963">
        <v>172</v>
      </c>
      <c r="I3963" t="s">
        <v>141</v>
      </c>
      <c r="J3963" t="s">
        <v>144</v>
      </c>
      <c r="K3963">
        <v>0</v>
      </c>
      <c r="L3963">
        <v>3</v>
      </c>
      <c r="M3963">
        <v>0</v>
      </c>
      <c r="N3963">
        <v>2</v>
      </c>
      <c r="O3963">
        <v>0</v>
      </c>
      <c r="P3963">
        <v>1</v>
      </c>
      <c r="Q3963">
        <v>0</v>
      </c>
      <c r="R3963" t="s">
        <v>127</v>
      </c>
      <c r="S3963" t="str">
        <f t="shared" si="1568"/>
        <v>15:15:32.000</v>
      </c>
      <c r="T3963" t="str">
        <f t="shared" si="1568"/>
        <v>15:15:32.000</v>
      </c>
      <c r="U3963" t="str">
        <f t="shared" si="1547"/>
        <v>A68FCB</v>
      </c>
      <c r="V3963">
        <v>0</v>
      </c>
      <c r="W3963">
        <v>0</v>
      </c>
      <c r="X3963">
        <v>2</v>
      </c>
      <c r="Y3963">
        <v>0</v>
      </c>
      <c r="AA3963">
        <v>1</v>
      </c>
      <c r="AB3963">
        <v>8</v>
      </c>
      <c r="AC3963">
        <v>3</v>
      </c>
      <c r="AD3963">
        <v>0</v>
      </c>
      <c r="AE3963">
        <v>9</v>
      </c>
      <c r="AF3963" t="s">
        <v>138</v>
      </c>
      <c r="AG3963">
        <v>0</v>
      </c>
      <c r="AH3963">
        <v>3</v>
      </c>
      <c r="AI3963">
        <v>2</v>
      </c>
      <c r="AJ3963">
        <v>0</v>
      </c>
      <c r="AK3963" t="s">
        <v>1254</v>
      </c>
      <c r="AL3963">
        <v>39.179585000000003</v>
      </c>
      <c r="AM3963" t="s">
        <v>1255</v>
      </c>
      <c r="AN3963">
        <v>-121.027601</v>
      </c>
      <c r="AO3963">
        <v>25</v>
      </c>
      <c r="AP3963">
        <v>4400</v>
      </c>
      <c r="AQ3963" t="s">
        <v>131</v>
      </c>
      <c r="AR3963">
        <v>30</v>
      </c>
      <c r="AS3963">
        <v>74</v>
      </c>
      <c r="AT3963">
        <v>384</v>
      </c>
      <c r="BB3963" t="str">
        <f t="shared" si="1548"/>
        <v>1200</v>
      </c>
      <c r="BC3963">
        <v>1</v>
      </c>
      <c r="BD3963" t="str">
        <f t="shared" si="1549"/>
        <v xml:space="preserve">N52156  </v>
      </c>
      <c r="BE3963">
        <v>1</v>
      </c>
      <c r="BG3963">
        <v>0</v>
      </c>
      <c r="BH3963">
        <v>0</v>
      </c>
      <c r="BI3963">
        <v>0</v>
      </c>
      <c r="BJ3963">
        <v>4450</v>
      </c>
      <c r="BK3963">
        <v>50</v>
      </c>
      <c r="BL3963" t="s">
        <v>188</v>
      </c>
      <c r="BM3963">
        <v>1</v>
      </c>
      <c r="BN3963">
        <v>1</v>
      </c>
      <c r="BO3963">
        <v>0</v>
      </c>
      <c r="BP3963">
        <v>0</v>
      </c>
      <c r="BS3963">
        <v>0</v>
      </c>
      <c r="BT3963">
        <v>0</v>
      </c>
      <c r="BU3963">
        <v>0</v>
      </c>
      <c r="CE3963" t="str">
        <f t="shared" si="1569"/>
        <v>15:15:32.400</v>
      </c>
      <c r="CF3963">
        <v>399824439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3</v>
      </c>
      <c r="CY3963">
        <v>7</v>
      </c>
      <c r="CZ3963" t="s">
        <v>133</v>
      </c>
      <c r="DA3963">
        <v>276</v>
      </c>
      <c r="DB3963">
        <v>0</v>
      </c>
      <c r="DC3963" t="s">
        <v>402</v>
      </c>
      <c r="DD3963" t="s">
        <v>403</v>
      </c>
      <c r="DG3963">
        <v>1628330</v>
      </c>
      <c r="DI3963">
        <v>1</v>
      </c>
      <c r="DJ3963">
        <v>0</v>
      </c>
      <c r="DK3963">
        <v>1</v>
      </c>
      <c r="DL3963">
        <v>0</v>
      </c>
      <c r="DM3963">
        <v>0</v>
      </c>
      <c r="DN3963">
        <v>0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 x14ac:dyDescent="0.3">
      <c r="A3964" t="str">
        <f>"05/01/2025 15:15:32.629"</f>
        <v>05/01/2025 15:15:32.629</v>
      </c>
      <c r="C3964" t="str">
        <f t="shared" si="1546"/>
        <v>FFDFD3C0</v>
      </c>
      <c r="D3964" t="s">
        <v>140</v>
      </c>
      <c r="E3964" t="str">
        <f>"13"</f>
        <v>13</v>
      </c>
      <c r="F3964">
        <v>1019</v>
      </c>
      <c r="G3964" t="s">
        <v>141</v>
      </c>
      <c r="J3964" t="s">
        <v>142</v>
      </c>
      <c r="K3964">
        <v>0</v>
      </c>
      <c r="L3964">
        <v>3</v>
      </c>
      <c r="M3964">
        <v>0</v>
      </c>
      <c r="N3964">
        <v>2</v>
      </c>
      <c r="O3964">
        <v>0</v>
      </c>
      <c r="P3964">
        <v>1</v>
      </c>
      <c r="Q3964">
        <v>0</v>
      </c>
      <c r="R3964" t="s">
        <v>127</v>
      </c>
      <c r="S3964" t="str">
        <f t="shared" si="1568"/>
        <v>15:15:32.000</v>
      </c>
      <c r="T3964" t="str">
        <f t="shared" si="1568"/>
        <v>15:15:32.000</v>
      </c>
      <c r="U3964" t="str">
        <f t="shared" si="1547"/>
        <v>A68FCB</v>
      </c>
      <c r="V3964">
        <v>0</v>
      </c>
      <c r="W3964">
        <v>0</v>
      </c>
      <c r="X3964">
        <v>2</v>
      </c>
      <c r="Y3964">
        <v>0</v>
      </c>
      <c r="AA3964">
        <v>1</v>
      </c>
      <c r="AB3964">
        <v>8</v>
      </c>
      <c r="AC3964">
        <v>3</v>
      </c>
      <c r="AD3964">
        <v>0</v>
      </c>
      <c r="AE3964">
        <v>9</v>
      </c>
      <c r="AF3964" t="s">
        <v>138</v>
      </c>
      <c r="AG3964">
        <v>0</v>
      </c>
      <c r="AH3964">
        <v>3</v>
      </c>
      <c r="AI3964">
        <v>2</v>
      </c>
      <c r="AJ3964">
        <v>0</v>
      </c>
      <c r="AK3964" t="s">
        <v>1254</v>
      </c>
      <c r="AL3964">
        <v>39.179585000000003</v>
      </c>
      <c r="AM3964" t="s">
        <v>1255</v>
      </c>
      <c r="AN3964">
        <v>-121.027601</v>
      </c>
      <c r="AO3964">
        <v>25</v>
      </c>
      <c r="AP3964">
        <v>4400</v>
      </c>
      <c r="AQ3964" t="s">
        <v>131</v>
      </c>
      <c r="AR3964">
        <v>30</v>
      </c>
      <c r="AS3964">
        <v>74</v>
      </c>
      <c r="AT3964">
        <v>384</v>
      </c>
      <c r="BB3964" t="str">
        <f t="shared" si="1548"/>
        <v>1200</v>
      </c>
      <c r="BC3964">
        <v>1</v>
      </c>
      <c r="BD3964" t="str">
        <f t="shared" si="1549"/>
        <v xml:space="preserve">N52156  </v>
      </c>
      <c r="BE3964">
        <v>1</v>
      </c>
      <c r="BG3964">
        <v>0</v>
      </c>
      <c r="BH3964">
        <v>0</v>
      </c>
      <c r="BI3964">
        <v>0</v>
      </c>
      <c r="BJ3964">
        <v>4450</v>
      </c>
      <c r="BK3964">
        <v>50</v>
      </c>
      <c r="BL3964" t="s">
        <v>188</v>
      </c>
      <c r="BM3964">
        <v>1</v>
      </c>
      <c r="BN3964">
        <v>1</v>
      </c>
      <c r="BO3964">
        <v>0</v>
      </c>
      <c r="BP3964">
        <v>0</v>
      </c>
      <c r="BS3964">
        <v>0</v>
      </c>
      <c r="BT3964">
        <v>0</v>
      </c>
      <c r="BU3964">
        <v>0</v>
      </c>
      <c r="CE3964" t="str">
        <f t="shared" si="1569"/>
        <v>15:15:32.400</v>
      </c>
      <c r="CF3964">
        <v>399824439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3</v>
      </c>
      <c r="CY3964">
        <v>7</v>
      </c>
      <c r="CZ3964" t="s">
        <v>133</v>
      </c>
      <c r="DA3964">
        <v>276</v>
      </c>
      <c r="DB3964">
        <v>0</v>
      </c>
      <c r="DC3964" t="s">
        <v>402</v>
      </c>
      <c r="DD3964" t="s">
        <v>403</v>
      </c>
      <c r="DG3964">
        <v>1628330</v>
      </c>
      <c r="DI3964">
        <v>1</v>
      </c>
      <c r="DJ3964">
        <v>0</v>
      </c>
      <c r="DK3964">
        <v>1</v>
      </c>
      <c r="DL3964">
        <v>0</v>
      </c>
      <c r="DM3964">
        <v>0</v>
      </c>
      <c r="DN3964">
        <v>0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 x14ac:dyDescent="0.3">
      <c r="A3965" t="str">
        <f>"05/01/2025 15:15:32.635"</f>
        <v>05/01/2025 15:15:32.635</v>
      </c>
      <c r="C3965" t="str">
        <f t="shared" si="1546"/>
        <v>FFDFD3C0</v>
      </c>
      <c r="D3965" t="s">
        <v>124</v>
      </c>
      <c r="E3965" t="str">
        <f>"06"</f>
        <v>06</v>
      </c>
      <c r="F3965">
        <v>2006</v>
      </c>
      <c r="G3965" t="s">
        <v>125</v>
      </c>
      <c r="J3965" t="s">
        <v>126</v>
      </c>
      <c r="K3965">
        <v>0</v>
      </c>
      <c r="L3965">
        <v>3</v>
      </c>
      <c r="M3965">
        <v>0</v>
      </c>
      <c r="N3965">
        <v>2</v>
      </c>
      <c r="O3965">
        <v>0</v>
      </c>
      <c r="P3965">
        <v>1</v>
      </c>
      <c r="Q3965">
        <v>0</v>
      </c>
      <c r="R3965" t="s">
        <v>127</v>
      </c>
      <c r="S3965" t="str">
        <f t="shared" si="1568"/>
        <v>15:15:32.000</v>
      </c>
      <c r="T3965" t="str">
        <f t="shared" si="1568"/>
        <v>15:15:32.000</v>
      </c>
      <c r="U3965" t="str">
        <f t="shared" si="1547"/>
        <v>A68FCB</v>
      </c>
      <c r="V3965">
        <v>0</v>
      </c>
      <c r="W3965">
        <v>0</v>
      </c>
      <c r="X3965">
        <v>2</v>
      </c>
      <c r="Y3965">
        <v>0</v>
      </c>
      <c r="AA3965">
        <v>1</v>
      </c>
      <c r="AB3965">
        <v>8</v>
      </c>
      <c r="AC3965">
        <v>3</v>
      </c>
      <c r="AD3965">
        <v>0</v>
      </c>
      <c r="AE3965">
        <v>9</v>
      </c>
      <c r="AF3965" t="s">
        <v>138</v>
      </c>
      <c r="AG3965">
        <v>0</v>
      </c>
      <c r="AH3965">
        <v>3</v>
      </c>
      <c r="AI3965">
        <v>2</v>
      </c>
      <c r="AJ3965">
        <v>0</v>
      </c>
      <c r="AK3965" t="s">
        <v>1254</v>
      </c>
      <c r="AL3965">
        <v>39.179585000000003</v>
      </c>
      <c r="AM3965" t="s">
        <v>1255</v>
      </c>
      <c r="AN3965">
        <v>-121.027601</v>
      </c>
      <c r="AO3965">
        <v>25</v>
      </c>
      <c r="AP3965">
        <v>4400</v>
      </c>
      <c r="AQ3965" t="s">
        <v>131</v>
      </c>
      <c r="AR3965">
        <v>30</v>
      </c>
      <c r="AS3965">
        <v>74</v>
      </c>
      <c r="AT3965">
        <v>384</v>
      </c>
      <c r="BB3965" t="str">
        <f t="shared" si="1548"/>
        <v>1200</v>
      </c>
      <c r="BC3965">
        <v>1</v>
      </c>
      <c r="BD3965" t="str">
        <f t="shared" si="1549"/>
        <v xml:space="preserve">N52156  </v>
      </c>
      <c r="BE3965">
        <v>1</v>
      </c>
      <c r="BG3965">
        <v>0</v>
      </c>
      <c r="BH3965">
        <v>0</v>
      </c>
      <c r="BI3965">
        <v>0</v>
      </c>
      <c r="BJ3965">
        <v>4450</v>
      </c>
      <c r="BK3965">
        <v>50</v>
      </c>
      <c r="BL3965" t="s">
        <v>188</v>
      </c>
      <c r="BM3965">
        <v>1</v>
      </c>
      <c r="BN3965">
        <v>1</v>
      </c>
      <c r="BO3965">
        <v>0</v>
      </c>
      <c r="BP3965">
        <v>0</v>
      </c>
      <c r="BS3965">
        <v>0</v>
      </c>
      <c r="BT3965">
        <v>0</v>
      </c>
      <c r="BU3965">
        <v>0</v>
      </c>
      <c r="CE3965" t="str">
        <f t="shared" si="1569"/>
        <v>15:15:32.400</v>
      </c>
      <c r="CF3965">
        <v>399824439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3</v>
      </c>
      <c r="CY3965">
        <v>7</v>
      </c>
      <c r="CZ3965" t="s">
        <v>133</v>
      </c>
      <c r="DA3965">
        <v>276</v>
      </c>
      <c r="DB3965">
        <v>0</v>
      </c>
      <c r="DC3965" t="s">
        <v>402</v>
      </c>
      <c r="DD3965" t="s">
        <v>403</v>
      </c>
      <c r="DG3965">
        <v>1628330</v>
      </c>
      <c r="DI3965">
        <v>1</v>
      </c>
      <c r="DJ3965">
        <v>0</v>
      </c>
      <c r="DK3965">
        <v>1</v>
      </c>
      <c r="DL3965">
        <v>0</v>
      </c>
      <c r="DM3965">
        <v>0</v>
      </c>
      <c r="DN3965">
        <v>0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 x14ac:dyDescent="0.3">
      <c r="A3966" t="str">
        <f>"05/01/2025 15:15:32.641"</f>
        <v>05/01/2025 15:15:32.641</v>
      </c>
      <c r="C3966" t="str">
        <f t="shared" si="1546"/>
        <v>FFDFD3C0</v>
      </c>
      <c r="D3966" t="s">
        <v>145</v>
      </c>
      <c r="E3966" t="str">
        <f>"09"</f>
        <v>09</v>
      </c>
      <c r="H3966">
        <v>51</v>
      </c>
      <c r="I3966" t="s">
        <v>147</v>
      </c>
      <c r="J3966" t="s">
        <v>138</v>
      </c>
      <c r="K3966">
        <v>0</v>
      </c>
      <c r="L3966">
        <v>3</v>
      </c>
      <c r="M3966">
        <v>0</v>
      </c>
      <c r="N3966">
        <v>2</v>
      </c>
      <c r="O3966">
        <v>0</v>
      </c>
      <c r="P3966">
        <v>1</v>
      </c>
      <c r="Q3966">
        <v>0</v>
      </c>
      <c r="R3966" t="s">
        <v>127</v>
      </c>
      <c r="S3966" t="str">
        <f t="shared" si="1568"/>
        <v>15:15:32.000</v>
      </c>
      <c r="T3966" t="str">
        <f t="shared" si="1568"/>
        <v>15:15:32.000</v>
      </c>
      <c r="U3966" t="str">
        <f t="shared" si="1547"/>
        <v>A68FCB</v>
      </c>
      <c r="V3966">
        <v>0</v>
      </c>
      <c r="W3966">
        <v>0</v>
      </c>
      <c r="X3966">
        <v>2</v>
      </c>
      <c r="Y3966">
        <v>0</v>
      </c>
      <c r="AA3966">
        <v>1</v>
      </c>
      <c r="AB3966">
        <v>8</v>
      </c>
      <c r="AC3966">
        <v>3</v>
      </c>
      <c r="AD3966">
        <v>0</v>
      </c>
      <c r="AE3966">
        <v>9</v>
      </c>
      <c r="AF3966" t="s">
        <v>138</v>
      </c>
      <c r="AG3966">
        <v>0</v>
      </c>
      <c r="AH3966">
        <v>3</v>
      </c>
      <c r="AI3966">
        <v>2</v>
      </c>
      <c r="AJ3966">
        <v>0</v>
      </c>
      <c r="AK3966" t="s">
        <v>1254</v>
      </c>
      <c r="AL3966">
        <v>39.179585000000003</v>
      </c>
      <c r="AM3966" t="s">
        <v>1255</v>
      </c>
      <c r="AN3966">
        <v>-121.027601</v>
      </c>
      <c r="AO3966">
        <v>25</v>
      </c>
      <c r="AP3966">
        <v>4400</v>
      </c>
      <c r="AQ3966" t="s">
        <v>131</v>
      </c>
      <c r="AR3966">
        <v>30</v>
      </c>
      <c r="AS3966">
        <v>74</v>
      </c>
      <c r="AT3966">
        <v>384</v>
      </c>
      <c r="BB3966" t="str">
        <f t="shared" si="1548"/>
        <v>1200</v>
      </c>
      <c r="BC3966">
        <v>1</v>
      </c>
      <c r="BD3966" t="str">
        <f t="shared" si="1549"/>
        <v xml:space="preserve">N52156  </v>
      </c>
      <c r="BE3966">
        <v>1</v>
      </c>
      <c r="BG3966">
        <v>0</v>
      </c>
      <c r="BH3966">
        <v>0</v>
      </c>
      <c r="BI3966">
        <v>0</v>
      </c>
      <c r="BJ3966">
        <v>4450</v>
      </c>
      <c r="BK3966">
        <v>50</v>
      </c>
      <c r="BL3966" t="s">
        <v>188</v>
      </c>
      <c r="BM3966">
        <v>1</v>
      </c>
      <c r="BN3966">
        <v>1</v>
      </c>
      <c r="BO3966">
        <v>0</v>
      </c>
      <c r="BP3966">
        <v>0</v>
      </c>
      <c r="BS3966">
        <v>0</v>
      </c>
      <c r="BT3966">
        <v>0</v>
      </c>
      <c r="BU3966">
        <v>0</v>
      </c>
      <c r="CE3966" t="str">
        <f t="shared" si="1569"/>
        <v>15:15:32.400</v>
      </c>
      <c r="CF3966">
        <v>399824439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3</v>
      </c>
      <c r="CY3966">
        <v>7</v>
      </c>
      <c r="CZ3966" t="s">
        <v>133</v>
      </c>
      <c r="DA3966">
        <v>276</v>
      </c>
      <c r="DB3966">
        <v>0</v>
      </c>
      <c r="DC3966" t="s">
        <v>402</v>
      </c>
      <c r="DD3966" t="s">
        <v>403</v>
      </c>
      <c r="DG3966">
        <v>1628330</v>
      </c>
      <c r="DI3966">
        <v>1</v>
      </c>
      <c r="DJ3966">
        <v>0</v>
      </c>
      <c r="DK3966">
        <v>1</v>
      </c>
      <c r="DL3966">
        <v>0</v>
      </c>
      <c r="DM3966">
        <v>0</v>
      </c>
      <c r="DN3966">
        <v>0</v>
      </c>
      <c r="DO3966">
        <v>0</v>
      </c>
      <c r="DP3966">
        <v>0</v>
      </c>
      <c r="DQ3966">
        <v>0</v>
      </c>
      <c r="DR3966">
        <v>0</v>
      </c>
      <c r="DS3966">
        <v>0</v>
      </c>
    </row>
    <row r="3967" spans="1:123" x14ac:dyDescent="0.3">
      <c r="A3967" t="str">
        <f>"05/01/2025 15:15:32.646"</f>
        <v>05/01/2025 15:15:32.646</v>
      </c>
      <c r="C3967" t="str">
        <f t="shared" si="1546"/>
        <v>FFDFD3C0</v>
      </c>
      <c r="D3967" t="s">
        <v>145</v>
      </c>
      <c r="E3967" t="str">
        <f>"05"</f>
        <v>05</v>
      </c>
      <c r="H3967">
        <v>47</v>
      </c>
      <c r="I3967" t="s">
        <v>146</v>
      </c>
      <c r="J3967" t="s">
        <v>138</v>
      </c>
      <c r="K3967">
        <v>0</v>
      </c>
      <c r="L3967">
        <v>3</v>
      </c>
      <c r="M3967">
        <v>0</v>
      </c>
      <c r="N3967">
        <v>2</v>
      </c>
      <c r="O3967">
        <v>0</v>
      </c>
      <c r="P3967">
        <v>1</v>
      </c>
      <c r="Q3967">
        <v>0</v>
      </c>
      <c r="R3967" t="s">
        <v>127</v>
      </c>
      <c r="S3967" t="str">
        <f t="shared" si="1568"/>
        <v>15:15:32.000</v>
      </c>
      <c r="T3967" t="str">
        <f t="shared" si="1568"/>
        <v>15:15:32.000</v>
      </c>
      <c r="U3967" t="str">
        <f t="shared" si="1547"/>
        <v>A68FCB</v>
      </c>
      <c r="V3967">
        <v>0</v>
      </c>
      <c r="W3967">
        <v>0</v>
      </c>
      <c r="X3967">
        <v>2</v>
      </c>
      <c r="Y3967">
        <v>0</v>
      </c>
      <c r="AA3967">
        <v>1</v>
      </c>
      <c r="AB3967">
        <v>8</v>
      </c>
      <c r="AC3967">
        <v>3</v>
      </c>
      <c r="AD3967">
        <v>0</v>
      </c>
      <c r="AE3967">
        <v>9</v>
      </c>
      <c r="AF3967" t="s">
        <v>138</v>
      </c>
      <c r="AG3967">
        <v>0</v>
      </c>
      <c r="AH3967">
        <v>3</v>
      </c>
      <c r="AI3967">
        <v>2</v>
      </c>
      <c r="AJ3967">
        <v>0</v>
      </c>
      <c r="AK3967" t="s">
        <v>1254</v>
      </c>
      <c r="AL3967">
        <v>39.179585000000003</v>
      </c>
      <c r="AM3967" t="s">
        <v>1255</v>
      </c>
      <c r="AN3967">
        <v>-121.027601</v>
      </c>
      <c r="AO3967">
        <v>25</v>
      </c>
      <c r="AP3967">
        <v>4400</v>
      </c>
      <c r="AQ3967" t="s">
        <v>131</v>
      </c>
      <c r="AR3967">
        <v>30</v>
      </c>
      <c r="AS3967">
        <v>74</v>
      </c>
      <c r="AT3967">
        <v>384</v>
      </c>
      <c r="BB3967" t="str">
        <f t="shared" si="1548"/>
        <v>1200</v>
      </c>
      <c r="BC3967">
        <v>1</v>
      </c>
      <c r="BD3967" t="str">
        <f t="shared" si="1549"/>
        <v xml:space="preserve">N52156  </v>
      </c>
      <c r="BE3967">
        <v>1</v>
      </c>
      <c r="BG3967">
        <v>0</v>
      </c>
      <c r="BH3967">
        <v>0</v>
      </c>
      <c r="BI3967">
        <v>0</v>
      </c>
      <c r="BJ3967">
        <v>4450</v>
      </c>
      <c r="BK3967">
        <v>50</v>
      </c>
      <c r="BL3967" t="s">
        <v>188</v>
      </c>
      <c r="BM3967">
        <v>1</v>
      </c>
      <c r="BN3967">
        <v>1</v>
      </c>
      <c r="BO3967">
        <v>0</v>
      </c>
      <c r="BP3967">
        <v>0</v>
      </c>
      <c r="BS3967">
        <v>0</v>
      </c>
      <c r="BT3967">
        <v>0</v>
      </c>
      <c r="BU3967">
        <v>0</v>
      </c>
      <c r="CE3967" t="str">
        <f t="shared" si="1569"/>
        <v>15:15:32.400</v>
      </c>
      <c r="CF3967">
        <v>399824439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3</v>
      </c>
      <c r="CY3967">
        <v>7</v>
      </c>
      <c r="CZ3967" t="s">
        <v>133</v>
      </c>
      <c r="DA3967">
        <v>276</v>
      </c>
      <c r="DB3967">
        <v>0</v>
      </c>
      <c r="DC3967" t="s">
        <v>402</v>
      </c>
      <c r="DD3967" t="s">
        <v>403</v>
      </c>
      <c r="DG3967">
        <v>1628330</v>
      </c>
      <c r="DI3967">
        <v>1</v>
      </c>
      <c r="DJ3967">
        <v>0</v>
      </c>
      <c r="DK3967">
        <v>1</v>
      </c>
      <c r="DL3967">
        <v>0</v>
      </c>
      <c r="DM3967">
        <v>0</v>
      </c>
      <c r="DN3967">
        <v>0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 x14ac:dyDescent="0.3">
      <c r="A3968" t="str">
        <f>"05/01/2025 15:15:33.428"</f>
        <v>05/01/2025 15:15:33.428</v>
      </c>
      <c r="C3968" t="str">
        <f t="shared" si="1546"/>
        <v>FFDFD3C0</v>
      </c>
      <c r="D3968" t="s">
        <v>143</v>
      </c>
      <c r="E3968" t="str">
        <f>"05"</f>
        <v>05</v>
      </c>
      <c r="H3968">
        <v>172</v>
      </c>
      <c r="I3968" t="s">
        <v>141</v>
      </c>
      <c r="J3968" t="s">
        <v>144</v>
      </c>
      <c r="K3968">
        <v>0</v>
      </c>
      <c r="L3968">
        <v>3</v>
      </c>
      <c r="M3968">
        <v>0</v>
      </c>
      <c r="N3968">
        <v>2</v>
      </c>
      <c r="O3968">
        <v>0</v>
      </c>
      <c r="P3968">
        <v>1</v>
      </c>
      <c r="Q3968">
        <v>0</v>
      </c>
      <c r="R3968" t="s">
        <v>127</v>
      </c>
      <c r="S3968" t="str">
        <f t="shared" ref="S3968:T3973" si="1570">"15:15:33.000"</f>
        <v>15:15:33.000</v>
      </c>
      <c r="T3968" t="str">
        <f t="shared" si="1570"/>
        <v>15:15:33.000</v>
      </c>
      <c r="U3968" t="str">
        <f t="shared" si="1547"/>
        <v>A68FCB</v>
      </c>
      <c r="V3968">
        <v>0</v>
      </c>
      <c r="W3968">
        <v>0</v>
      </c>
      <c r="X3968">
        <v>2</v>
      </c>
      <c r="Y3968">
        <v>0</v>
      </c>
      <c r="AA3968">
        <v>1</v>
      </c>
      <c r="AB3968">
        <v>8</v>
      </c>
      <c r="AC3968">
        <v>3</v>
      </c>
      <c r="AD3968">
        <v>0</v>
      </c>
      <c r="AE3968">
        <v>9</v>
      </c>
      <c r="AF3968" t="s">
        <v>138</v>
      </c>
      <c r="AG3968">
        <v>0</v>
      </c>
      <c r="AH3968">
        <v>3</v>
      </c>
      <c r="AI3968">
        <v>2</v>
      </c>
      <c r="AJ3968">
        <v>0</v>
      </c>
      <c r="AK3968" t="s">
        <v>1256</v>
      </c>
      <c r="AL3968">
        <v>39.179927999999997</v>
      </c>
      <c r="AM3968" t="s">
        <v>1257</v>
      </c>
      <c r="AN3968">
        <v>-121.027429</v>
      </c>
      <c r="AO3968">
        <v>25</v>
      </c>
      <c r="AP3968">
        <v>4400</v>
      </c>
      <c r="AQ3968" t="s">
        <v>131</v>
      </c>
      <c r="AR3968">
        <v>29</v>
      </c>
      <c r="AS3968">
        <v>74</v>
      </c>
      <c r="AT3968">
        <v>384</v>
      </c>
      <c r="BB3968" t="str">
        <f t="shared" si="1548"/>
        <v>1200</v>
      </c>
      <c r="BC3968">
        <v>1</v>
      </c>
      <c r="BD3968" t="str">
        <f t="shared" si="1549"/>
        <v xml:space="preserve">N52156  </v>
      </c>
      <c r="BE3968">
        <v>1</v>
      </c>
      <c r="BG3968">
        <v>0</v>
      </c>
      <c r="BH3968">
        <v>0</v>
      </c>
      <c r="BI3968">
        <v>0</v>
      </c>
      <c r="BJ3968">
        <v>4450</v>
      </c>
      <c r="BK3968">
        <v>50</v>
      </c>
      <c r="BL3968" t="s">
        <v>188</v>
      </c>
      <c r="BM3968">
        <v>1</v>
      </c>
      <c r="BN3968">
        <v>1</v>
      </c>
      <c r="BO3968">
        <v>0</v>
      </c>
      <c r="BP3968">
        <v>0</v>
      </c>
      <c r="BS3968">
        <v>0</v>
      </c>
      <c r="BT3968">
        <v>0</v>
      </c>
      <c r="BU3968">
        <v>0</v>
      </c>
      <c r="CE3968" t="str">
        <f t="shared" ref="CE3968:CE3973" si="1571">"15:15:33.200"</f>
        <v>15:15:33.200</v>
      </c>
      <c r="CF3968">
        <v>200073997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3</v>
      </c>
      <c r="CY3968">
        <v>7</v>
      </c>
      <c r="CZ3968" t="s">
        <v>133</v>
      </c>
      <c r="DA3968">
        <v>276</v>
      </c>
      <c r="DB3968">
        <v>0</v>
      </c>
      <c r="DC3968" t="s">
        <v>402</v>
      </c>
      <c r="DD3968" t="s">
        <v>403</v>
      </c>
      <c r="DG3968">
        <v>1628331</v>
      </c>
      <c r="DI3968">
        <v>1</v>
      </c>
      <c r="DJ3968">
        <v>0</v>
      </c>
      <c r="DK3968">
        <v>0</v>
      </c>
      <c r="DL3968">
        <v>0</v>
      </c>
      <c r="DM3968">
        <v>0</v>
      </c>
      <c r="DN3968">
        <v>0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 x14ac:dyDescent="0.3">
      <c r="A3969" t="str">
        <f>"05/01/2025 15:15:33.430"</f>
        <v>05/01/2025 15:15:33.430</v>
      </c>
      <c r="C3969" t="str">
        <f t="shared" si="1546"/>
        <v>FFDFD3C0</v>
      </c>
      <c r="D3969" t="s">
        <v>140</v>
      </c>
      <c r="E3969" t="str">
        <f>"13"</f>
        <v>13</v>
      </c>
      <c r="F3969">
        <v>1019</v>
      </c>
      <c r="G3969" t="s">
        <v>141</v>
      </c>
      <c r="J3969" t="s">
        <v>142</v>
      </c>
      <c r="K3969">
        <v>0</v>
      </c>
      <c r="L3969">
        <v>3</v>
      </c>
      <c r="M3969">
        <v>0</v>
      </c>
      <c r="N3969">
        <v>2</v>
      </c>
      <c r="O3969">
        <v>0</v>
      </c>
      <c r="P3969">
        <v>1</v>
      </c>
      <c r="Q3969">
        <v>0</v>
      </c>
      <c r="R3969" t="s">
        <v>127</v>
      </c>
      <c r="S3969" t="str">
        <f t="shared" si="1570"/>
        <v>15:15:33.000</v>
      </c>
      <c r="T3969" t="str">
        <f t="shared" si="1570"/>
        <v>15:15:33.000</v>
      </c>
      <c r="U3969" t="str">
        <f t="shared" si="1547"/>
        <v>A68FCB</v>
      </c>
      <c r="V3969">
        <v>0</v>
      </c>
      <c r="W3969">
        <v>0</v>
      </c>
      <c r="X3969">
        <v>2</v>
      </c>
      <c r="Y3969">
        <v>0</v>
      </c>
      <c r="AA3969">
        <v>1</v>
      </c>
      <c r="AB3969">
        <v>8</v>
      </c>
      <c r="AC3969">
        <v>3</v>
      </c>
      <c r="AD3969">
        <v>0</v>
      </c>
      <c r="AE3969">
        <v>9</v>
      </c>
      <c r="AF3969" t="s">
        <v>138</v>
      </c>
      <c r="AG3969">
        <v>0</v>
      </c>
      <c r="AH3969">
        <v>3</v>
      </c>
      <c r="AI3969">
        <v>2</v>
      </c>
      <c r="AJ3969">
        <v>0</v>
      </c>
      <c r="AK3969" t="s">
        <v>1256</v>
      </c>
      <c r="AL3969">
        <v>39.179927999999997</v>
      </c>
      <c r="AM3969" t="s">
        <v>1257</v>
      </c>
      <c r="AN3969">
        <v>-121.027429</v>
      </c>
      <c r="AO3969">
        <v>25</v>
      </c>
      <c r="AP3969">
        <v>4400</v>
      </c>
      <c r="AQ3969" t="s">
        <v>131</v>
      </c>
      <c r="AR3969">
        <v>29</v>
      </c>
      <c r="AS3969">
        <v>74</v>
      </c>
      <c r="AT3969">
        <v>384</v>
      </c>
      <c r="BB3969" t="str">
        <f t="shared" si="1548"/>
        <v>1200</v>
      </c>
      <c r="BC3969">
        <v>1</v>
      </c>
      <c r="BD3969" t="str">
        <f t="shared" si="1549"/>
        <v xml:space="preserve">N52156  </v>
      </c>
      <c r="BE3969">
        <v>1</v>
      </c>
      <c r="BG3969">
        <v>0</v>
      </c>
      <c r="BH3969">
        <v>0</v>
      </c>
      <c r="BI3969">
        <v>0</v>
      </c>
      <c r="BJ3969">
        <v>4450</v>
      </c>
      <c r="BK3969">
        <v>50</v>
      </c>
      <c r="BL3969" t="s">
        <v>188</v>
      </c>
      <c r="BM3969">
        <v>1</v>
      </c>
      <c r="BN3969">
        <v>1</v>
      </c>
      <c r="BO3969">
        <v>0</v>
      </c>
      <c r="BP3969">
        <v>0</v>
      </c>
      <c r="BS3969">
        <v>0</v>
      </c>
      <c r="BT3969">
        <v>0</v>
      </c>
      <c r="BU3969">
        <v>0</v>
      </c>
      <c r="CE3969" t="str">
        <f t="shared" si="1571"/>
        <v>15:15:33.200</v>
      </c>
      <c r="CF3969">
        <v>200073997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3</v>
      </c>
      <c r="CY3969">
        <v>7</v>
      </c>
      <c r="CZ3969" t="s">
        <v>133</v>
      </c>
      <c r="DA3969">
        <v>276</v>
      </c>
      <c r="DB3969">
        <v>0</v>
      </c>
      <c r="DC3969" t="s">
        <v>402</v>
      </c>
      <c r="DD3969" t="s">
        <v>403</v>
      </c>
      <c r="DG3969">
        <v>1628331</v>
      </c>
      <c r="DI3969">
        <v>1</v>
      </c>
      <c r="DJ3969">
        <v>0</v>
      </c>
      <c r="DK3969">
        <v>1</v>
      </c>
      <c r="DL3969">
        <v>0</v>
      </c>
      <c r="DM3969">
        <v>0</v>
      </c>
      <c r="DN3969">
        <v>0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 x14ac:dyDescent="0.3">
      <c r="A3970" t="str">
        <f>"05/01/2025 15:15:33.436"</f>
        <v>05/01/2025 15:15:33.436</v>
      </c>
      <c r="C3970" t="str">
        <f t="shared" ref="C3970:C4033" si="1572">"FFDFD3C0"</f>
        <v>FFDFD3C0</v>
      </c>
      <c r="D3970" t="s">
        <v>124</v>
      </c>
      <c r="E3970" t="str">
        <f>"06"</f>
        <v>06</v>
      </c>
      <c r="F3970">
        <v>2006</v>
      </c>
      <c r="G3970" t="s">
        <v>125</v>
      </c>
      <c r="J3970" t="s">
        <v>126</v>
      </c>
      <c r="K3970">
        <v>0</v>
      </c>
      <c r="L3970">
        <v>3</v>
      </c>
      <c r="M3970">
        <v>0</v>
      </c>
      <c r="N3970">
        <v>2</v>
      </c>
      <c r="O3970">
        <v>0</v>
      </c>
      <c r="P3970">
        <v>1</v>
      </c>
      <c r="Q3970">
        <v>0</v>
      </c>
      <c r="R3970" t="s">
        <v>127</v>
      </c>
      <c r="S3970" t="str">
        <f t="shared" si="1570"/>
        <v>15:15:33.000</v>
      </c>
      <c r="T3970" t="str">
        <f t="shared" si="1570"/>
        <v>15:15:33.000</v>
      </c>
      <c r="U3970" t="str">
        <f t="shared" ref="U3970:U4033" si="1573">"A68FCB"</f>
        <v>A68FCB</v>
      </c>
      <c r="V3970">
        <v>0</v>
      </c>
      <c r="W3970">
        <v>0</v>
      </c>
      <c r="X3970">
        <v>2</v>
      </c>
      <c r="Y3970">
        <v>0</v>
      </c>
      <c r="AA3970">
        <v>1</v>
      </c>
      <c r="AB3970">
        <v>8</v>
      </c>
      <c r="AC3970">
        <v>3</v>
      </c>
      <c r="AD3970">
        <v>0</v>
      </c>
      <c r="AE3970">
        <v>9</v>
      </c>
      <c r="AF3970" t="s">
        <v>138</v>
      </c>
      <c r="AG3970">
        <v>0</v>
      </c>
      <c r="AH3970">
        <v>3</v>
      </c>
      <c r="AI3970">
        <v>2</v>
      </c>
      <c r="AJ3970">
        <v>0</v>
      </c>
      <c r="AK3970" t="s">
        <v>1256</v>
      </c>
      <c r="AL3970">
        <v>39.179927999999997</v>
      </c>
      <c r="AM3970" t="s">
        <v>1257</v>
      </c>
      <c r="AN3970">
        <v>-121.027429</v>
      </c>
      <c r="AO3970">
        <v>25</v>
      </c>
      <c r="AP3970">
        <v>4400</v>
      </c>
      <c r="AQ3970" t="s">
        <v>131</v>
      </c>
      <c r="AR3970">
        <v>29</v>
      </c>
      <c r="AS3970">
        <v>74</v>
      </c>
      <c r="AT3970">
        <v>384</v>
      </c>
      <c r="BB3970" t="str">
        <f t="shared" ref="BB3970:BB4033" si="1574">"1200"</f>
        <v>1200</v>
      </c>
      <c r="BC3970">
        <v>1</v>
      </c>
      <c r="BD3970" t="str">
        <f t="shared" ref="BD3970:BD4033" si="1575">"N52156  "</f>
        <v xml:space="preserve">N52156  </v>
      </c>
      <c r="BE3970">
        <v>1</v>
      </c>
      <c r="BG3970">
        <v>0</v>
      </c>
      <c r="BH3970">
        <v>0</v>
      </c>
      <c r="BI3970">
        <v>0</v>
      </c>
      <c r="BJ3970">
        <v>4450</v>
      </c>
      <c r="BK3970">
        <v>50</v>
      </c>
      <c r="BL3970" t="s">
        <v>188</v>
      </c>
      <c r="BM3970">
        <v>1</v>
      </c>
      <c r="BN3970">
        <v>1</v>
      </c>
      <c r="BO3970">
        <v>0</v>
      </c>
      <c r="BP3970">
        <v>0</v>
      </c>
      <c r="BS3970">
        <v>0</v>
      </c>
      <c r="BT3970">
        <v>0</v>
      </c>
      <c r="BU3970">
        <v>0</v>
      </c>
      <c r="CE3970" t="str">
        <f t="shared" si="1571"/>
        <v>15:15:33.200</v>
      </c>
      <c r="CF3970">
        <v>200073997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3</v>
      </c>
      <c r="CY3970">
        <v>7</v>
      </c>
      <c r="CZ3970" t="s">
        <v>133</v>
      </c>
      <c r="DA3970">
        <v>276</v>
      </c>
      <c r="DB3970">
        <v>0</v>
      </c>
      <c r="DC3970" t="s">
        <v>402</v>
      </c>
      <c r="DD3970" t="s">
        <v>403</v>
      </c>
      <c r="DG3970">
        <v>1628331</v>
      </c>
      <c r="DI3970">
        <v>1</v>
      </c>
      <c r="DJ3970">
        <v>0</v>
      </c>
      <c r="DK3970">
        <v>1</v>
      </c>
      <c r="DL3970">
        <v>0</v>
      </c>
      <c r="DM3970">
        <v>0</v>
      </c>
      <c r="DN3970">
        <v>0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 x14ac:dyDescent="0.3">
      <c r="A3971" t="str">
        <f>"05/01/2025 15:15:33.442"</f>
        <v>05/01/2025 15:15:33.442</v>
      </c>
      <c r="C3971" t="str">
        <f t="shared" si="1572"/>
        <v>FFDFD3C0</v>
      </c>
      <c r="D3971" t="s">
        <v>145</v>
      </c>
      <c r="E3971" t="str">
        <f>"09"</f>
        <v>09</v>
      </c>
      <c r="H3971">
        <v>51</v>
      </c>
      <c r="I3971" t="s">
        <v>147</v>
      </c>
      <c r="J3971" t="s">
        <v>138</v>
      </c>
      <c r="K3971">
        <v>0</v>
      </c>
      <c r="L3971">
        <v>3</v>
      </c>
      <c r="M3971">
        <v>0</v>
      </c>
      <c r="N3971">
        <v>2</v>
      </c>
      <c r="O3971">
        <v>0</v>
      </c>
      <c r="P3971">
        <v>1</v>
      </c>
      <c r="Q3971">
        <v>0</v>
      </c>
      <c r="R3971" t="s">
        <v>127</v>
      </c>
      <c r="S3971" t="str">
        <f t="shared" si="1570"/>
        <v>15:15:33.000</v>
      </c>
      <c r="T3971" t="str">
        <f t="shared" si="1570"/>
        <v>15:15:33.000</v>
      </c>
      <c r="U3971" t="str">
        <f t="shared" si="1573"/>
        <v>A68FCB</v>
      </c>
      <c r="V3971">
        <v>0</v>
      </c>
      <c r="W3971">
        <v>0</v>
      </c>
      <c r="X3971">
        <v>2</v>
      </c>
      <c r="Y3971">
        <v>0</v>
      </c>
      <c r="AA3971">
        <v>1</v>
      </c>
      <c r="AB3971">
        <v>8</v>
      </c>
      <c r="AC3971">
        <v>3</v>
      </c>
      <c r="AD3971">
        <v>0</v>
      </c>
      <c r="AE3971">
        <v>9</v>
      </c>
      <c r="AF3971" t="s">
        <v>138</v>
      </c>
      <c r="AG3971">
        <v>0</v>
      </c>
      <c r="AH3971">
        <v>3</v>
      </c>
      <c r="AI3971">
        <v>2</v>
      </c>
      <c r="AJ3971">
        <v>0</v>
      </c>
      <c r="AK3971" t="s">
        <v>1256</v>
      </c>
      <c r="AL3971">
        <v>39.179927999999997</v>
      </c>
      <c r="AM3971" t="s">
        <v>1257</v>
      </c>
      <c r="AN3971">
        <v>-121.027429</v>
      </c>
      <c r="AO3971">
        <v>25</v>
      </c>
      <c r="AP3971">
        <v>4400</v>
      </c>
      <c r="AQ3971" t="s">
        <v>131</v>
      </c>
      <c r="AR3971">
        <v>29</v>
      </c>
      <c r="AS3971">
        <v>74</v>
      </c>
      <c r="AT3971">
        <v>384</v>
      </c>
      <c r="BB3971" t="str">
        <f t="shared" si="1574"/>
        <v>1200</v>
      </c>
      <c r="BC3971">
        <v>1</v>
      </c>
      <c r="BD3971" t="str">
        <f t="shared" si="1575"/>
        <v xml:space="preserve">N52156  </v>
      </c>
      <c r="BE3971">
        <v>1</v>
      </c>
      <c r="BG3971">
        <v>0</v>
      </c>
      <c r="BH3971">
        <v>0</v>
      </c>
      <c r="BI3971">
        <v>0</v>
      </c>
      <c r="BJ3971">
        <v>4450</v>
      </c>
      <c r="BK3971">
        <v>50</v>
      </c>
      <c r="BL3971" t="s">
        <v>188</v>
      </c>
      <c r="BM3971">
        <v>1</v>
      </c>
      <c r="BN3971">
        <v>1</v>
      </c>
      <c r="BO3971">
        <v>0</v>
      </c>
      <c r="BP3971">
        <v>0</v>
      </c>
      <c r="BS3971">
        <v>0</v>
      </c>
      <c r="BT3971">
        <v>0</v>
      </c>
      <c r="BU3971">
        <v>0</v>
      </c>
      <c r="CE3971" t="str">
        <f t="shared" si="1571"/>
        <v>15:15:33.200</v>
      </c>
      <c r="CF3971">
        <v>200073997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3</v>
      </c>
      <c r="CY3971">
        <v>7</v>
      </c>
      <c r="CZ3971" t="s">
        <v>133</v>
      </c>
      <c r="DA3971">
        <v>276</v>
      </c>
      <c r="DB3971">
        <v>0</v>
      </c>
      <c r="DC3971" t="s">
        <v>402</v>
      </c>
      <c r="DD3971" t="s">
        <v>403</v>
      </c>
      <c r="DG3971">
        <v>1628331</v>
      </c>
      <c r="DI3971">
        <v>1</v>
      </c>
      <c r="DJ3971">
        <v>0</v>
      </c>
      <c r="DK3971">
        <v>1</v>
      </c>
      <c r="DL3971">
        <v>0</v>
      </c>
      <c r="DM3971">
        <v>0</v>
      </c>
      <c r="DN3971">
        <v>0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 x14ac:dyDescent="0.3">
      <c r="A3972" t="str">
        <f>"05/01/2025 15:15:33.448"</f>
        <v>05/01/2025 15:15:33.448</v>
      </c>
      <c r="C3972" t="str">
        <f t="shared" si="1572"/>
        <v>FFDFD3C0</v>
      </c>
      <c r="D3972" t="s">
        <v>145</v>
      </c>
      <c r="E3972" t="str">
        <f>"05"</f>
        <v>05</v>
      </c>
      <c r="H3972">
        <v>47</v>
      </c>
      <c r="I3972" t="s">
        <v>146</v>
      </c>
      <c r="J3972" t="s">
        <v>138</v>
      </c>
      <c r="K3972">
        <v>0</v>
      </c>
      <c r="L3972">
        <v>3</v>
      </c>
      <c r="M3972">
        <v>0</v>
      </c>
      <c r="N3972">
        <v>2</v>
      </c>
      <c r="O3972">
        <v>0</v>
      </c>
      <c r="P3972">
        <v>1</v>
      </c>
      <c r="Q3972">
        <v>0</v>
      </c>
      <c r="R3972" t="s">
        <v>127</v>
      </c>
      <c r="S3972" t="str">
        <f t="shared" si="1570"/>
        <v>15:15:33.000</v>
      </c>
      <c r="T3972" t="str">
        <f t="shared" si="1570"/>
        <v>15:15:33.000</v>
      </c>
      <c r="U3972" t="str">
        <f t="shared" si="1573"/>
        <v>A68FCB</v>
      </c>
      <c r="V3972">
        <v>0</v>
      </c>
      <c r="W3972">
        <v>0</v>
      </c>
      <c r="X3972">
        <v>2</v>
      </c>
      <c r="Y3972">
        <v>0</v>
      </c>
      <c r="AA3972">
        <v>1</v>
      </c>
      <c r="AB3972">
        <v>8</v>
      </c>
      <c r="AC3972">
        <v>3</v>
      </c>
      <c r="AD3972">
        <v>0</v>
      </c>
      <c r="AE3972">
        <v>9</v>
      </c>
      <c r="AF3972" t="s">
        <v>138</v>
      </c>
      <c r="AG3972">
        <v>0</v>
      </c>
      <c r="AH3972">
        <v>3</v>
      </c>
      <c r="AI3972">
        <v>2</v>
      </c>
      <c r="AJ3972">
        <v>0</v>
      </c>
      <c r="AK3972" t="s">
        <v>1256</v>
      </c>
      <c r="AL3972">
        <v>39.179927999999997</v>
      </c>
      <c r="AM3972" t="s">
        <v>1257</v>
      </c>
      <c r="AN3972">
        <v>-121.027429</v>
      </c>
      <c r="AO3972">
        <v>25</v>
      </c>
      <c r="AP3972">
        <v>4400</v>
      </c>
      <c r="AQ3972" t="s">
        <v>131</v>
      </c>
      <c r="AR3972">
        <v>29</v>
      </c>
      <c r="AS3972">
        <v>74</v>
      </c>
      <c r="AT3972">
        <v>384</v>
      </c>
      <c r="BB3972" t="str">
        <f t="shared" si="1574"/>
        <v>1200</v>
      </c>
      <c r="BC3972">
        <v>1</v>
      </c>
      <c r="BD3972" t="str">
        <f t="shared" si="1575"/>
        <v xml:space="preserve">N52156  </v>
      </c>
      <c r="BE3972">
        <v>1</v>
      </c>
      <c r="BG3972">
        <v>0</v>
      </c>
      <c r="BH3972">
        <v>0</v>
      </c>
      <c r="BI3972">
        <v>0</v>
      </c>
      <c r="BJ3972">
        <v>4450</v>
      </c>
      <c r="BK3972">
        <v>50</v>
      </c>
      <c r="BL3972" t="s">
        <v>188</v>
      </c>
      <c r="BM3972">
        <v>1</v>
      </c>
      <c r="BN3972">
        <v>1</v>
      </c>
      <c r="BO3972">
        <v>0</v>
      </c>
      <c r="BP3972">
        <v>0</v>
      </c>
      <c r="BS3972">
        <v>0</v>
      </c>
      <c r="BT3972">
        <v>0</v>
      </c>
      <c r="BU3972">
        <v>0</v>
      </c>
      <c r="CE3972" t="str">
        <f t="shared" si="1571"/>
        <v>15:15:33.200</v>
      </c>
      <c r="CF3972">
        <v>200073997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3</v>
      </c>
      <c r="CY3972">
        <v>7</v>
      </c>
      <c r="CZ3972" t="s">
        <v>133</v>
      </c>
      <c r="DA3972">
        <v>276</v>
      </c>
      <c r="DB3972">
        <v>0</v>
      </c>
      <c r="DC3972" t="s">
        <v>402</v>
      </c>
      <c r="DD3972" t="s">
        <v>403</v>
      </c>
      <c r="DG3972">
        <v>1628331</v>
      </c>
      <c r="DI3972">
        <v>1</v>
      </c>
      <c r="DJ3972">
        <v>0</v>
      </c>
      <c r="DK3972">
        <v>1</v>
      </c>
      <c r="DL3972">
        <v>0</v>
      </c>
      <c r="DM3972">
        <v>0</v>
      </c>
      <c r="DN3972">
        <v>0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 x14ac:dyDescent="0.3">
      <c r="A3973" t="str">
        <f>"05/01/2025 15:15:33.458"</f>
        <v>05/01/2025 15:15:33.458</v>
      </c>
      <c r="C3973" t="str">
        <f t="shared" si="1572"/>
        <v>FFDFD3C0</v>
      </c>
      <c r="D3973" t="s">
        <v>136</v>
      </c>
      <c r="E3973" t="str">
        <f>"20"</f>
        <v>20</v>
      </c>
      <c r="H3973">
        <v>400</v>
      </c>
      <c r="I3973" t="s">
        <v>137</v>
      </c>
      <c r="J3973" t="s">
        <v>138</v>
      </c>
      <c r="K3973">
        <v>0</v>
      </c>
      <c r="L3973">
        <v>3</v>
      </c>
      <c r="M3973">
        <v>0</v>
      </c>
      <c r="N3973">
        <v>2</v>
      </c>
      <c r="O3973">
        <v>0</v>
      </c>
      <c r="P3973">
        <v>1</v>
      </c>
      <c r="Q3973">
        <v>0</v>
      </c>
      <c r="R3973" t="s">
        <v>127</v>
      </c>
      <c r="S3973" t="str">
        <f t="shared" si="1570"/>
        <v>15:15:33.000</v>
      </c>
      <c r="T3973" t="str">
        <f t="shared" si="1570"/>
        <v>15:15:33.000</v>
      </c>
      <c r="U3973" t="str">
        <f t="shared" si="1573"/>
        <v>A68FCB</v>
      </c>
      <c r="V3973">
        <v>0</v>
      </c>
      <c r="W3973">
        <v>0</v>
      </c>
      <c r="X3973">
        <v>2</v>
      </c>
      <c r="Y3973">
        <v>0</v>
      </c>
      <c r="AA3973">
        <v>1</v>
      </c>
      <c r="AB3973">
        <v>8</v>
      </c>
      <c r="AC3973">
        <v>3</v>
      </c>
      <c r="AD3973">
        <v>0</v>
      </c>
      <c r="AE3973">
        <v>9</v>
      </c>
      <c r="AF3973" t="s">
        <v>138</v>
      </c>
      <c r="AG3973">
        <v>0</v>
      </c>
      <c r="AH3973">
        <v>3</v>
      </c>
      <c r="AI3973">
        <v>2</v>
      </c>
      <c r="AJ3973">
        <v>0</v>
      </c>
      <c r="AK3973" t="s">
        <v>1256</v>
      </c>
      <c r="AL3973">
        <v>39.179927999999997</v>
      </c>
      <c r="AM3973" t="s">
        <v>1257</v>
      </c>
      <c r="AN3973">
        <v>-121.027429</v>
      </c>
      <c r="AO3973">
        <v>25</v>
      </c>
      <c r="AP3973">
        <v>4400</v>
      </c>
      <c r="AQ3973" t="s">
        <v>131</v>
      </c>
      <c r="AR3973">
        <v>29</v>
      </c>
      <c r="AS3973">
        <v>74</v>
      </c>
      <c r="AT3973">
        <v>384</v>
      </c>
      <c r="BB3973" t="str">
        <f t="shared" si="1574"/>
        <v>1200</v>
      </c>
      <c r="BC3973">
        <v>1</v>
      </c>
      <c r="BD3973" t="str">
        <f t="shared" si="1575"/>
        <v xml:space="preserve">N52156  </v>
      </c>
      <c r="BE3973">
        <v>1</v>
      </c>
      <c r="BG3973">
        <v>0</v>
      </c>
      <c r="BH3973">
        <v>0</v>
      </c>
      <c r="BI3973">
        <v>0</v>
      </c>
      <c r="BJ3973">
        <v>4450</v>
      </c>
      <c r="BK3973">
        <v>50</v>
      </c>
      <c r="BL3973" t="s">
        <v>188</v>
      </c>
      <c r="BM3973">
        <v>1</v>
      </c>
      <c r="BN3973">
        <v>1</v>
      </c>
      <c r="BO3973">
        <v>0</v>
      </c>
      <c r="BP3973">
        <v>0</v>
      </c>
      <c r="BS3973">
        <v>0</v>
      </c>
      <c r="BT3973">
        <v>0</v>
      </c>
      <c r="BU3973">
        <v>0</v>
      </c>
      <c r="CE3973" t="str">
        <f t="shared" si="1571"/>
        <v>15:15:33.200</v>
      </c>
      <c r="CF3973">
        <v>200073997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3</v>
      </c>
      <c r="CY3973">
        <v>7</v>
      </c>
      <c r="CZ3973" t="s">
        <v>133</v>
      </c>
      <c r="DA3973">
        <v>276</v>
      </c>
      <c r="DB3973">
        <v>0</v>
      </c>
      <c r="DC3973" t="s">
        <v>402</v>
      </c>
      <c r="DD3973" t="s">
        <v>403</v>
      </c>
      <c r="DG3973">
        <v>1628331</v>
      </c>
      <c r="DI3973">
        <v>1</v>
      </c>
      <c r="DJ3973">
        <v>0</v>
      </c>
      <c r="DK3973">
        <v>1</v>
      </c>
      <c r="DL3973">
        <v>0</v>
      </c>
      <c r="DM3973">
        <v>0</v>
      </c>
      <c r="DN3973">
        <v>0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 x14ac:dyDescent="0.3">
      <c r="A3974" t="str">
        <f>"05/01/2025 15:15:35.011"</f>
        <v>05/01/2025 15:15:35.011</v>
      </c>
      <c r="C3974" t="str">
        <f t="shared" si="1572"/>
        <v>FFDFD3C0</v>
      </c>
      <c r="D3974" t="s">
        <v>136</v>
      </c>
      <c r="E3974" t="str">
        <f>"20"</f>
        <v>20</v>
      </c>
      <c r="H3974">
        <v>400</v>
      </c>
      <c r="I3974" t="s">
        <v>137</v>
      </c>
      <c r="J3974" t="s">
        <v>138</v>
      </c>
      <c r="K3974">
        <v>0</v>
      </c>
      <c r="L3974">
        <v>3</v>
      </c>
      <c r="M3974">
        <v>0</v>
      </c>
      <c r="N3974">
        <v>2</v>
      </c>
      <c r="O3974">
        <v>0</v>
      </c>
      <c r="P3974">
        <v>1</v>
      </c>
      <c r="Q3974">
        <v>0</v>
      </c>
      <c r="R3974" t="s">
        <v>127</v>
      </c>
      <c r="S3974" t="str">
        <f t="shared" ref="S3974:T3979" si="1576">"15:15:34.000"</f>
        <v>15:15:34.000</v>
      </c>
      <c r="T3974" t="str">
        <f t="shared" si="1576"/>
        <v>15:15:34.000</v>
      </c>
      <c r="U3974" t="str">
        <f t="shared" si="1573"/>
        <v>A68FCB</v>
      </c>
      <c r="V3974">
        <v>0</v>
      </c>
      <c r="W3974">
        <v>0</v>
      </c>
      <c r="X3974">
        <v>2</v>
      </c>
      <c r="Y3974">
        <v>0</v>
      </c>
      <c r="AA3974">
        <v>1</v>
      </c>
      <c r="AB3974">
        <v>8</v>
      </c>
      <c r="AC3974">
        <v>3</v>
      </c>
      <c r="AD3974">
        <v>0</v>
      </c>
      <c r="AE3974">
        <v>9</v>
      </c>
      <c r="AF3974" t="s">
        <v>138</v>
      </c>
      <c r="AG3974">
        <v>0</v>
      </c>
      <c r="AH3974">
        <v>3</v>
      </c>
      <c r="AI3974">
        <v>2</v>
      </c>
      <c r="AJ3974">
        <v>0</v>
      </c>
      <c r="AK3974" t="s">
        <v>1258</v>
      </c>
      <c r="AL3974">
        <v>39.180272000000002</v>
      </c>
      <c r="AM3974" t="s">
        <v>1259</v>
      </c>
      <c r="AN3974">
        <v>-121.027236</v>
      </c>
      <c r="AO3974">
        <v>25</v>
      </c>
      <c r="AP3974">
        <v>4400</v>
      </c>
      <c r="AQ3974" t="s">
        <v>131</v>
      </c>
      <c r="AR3974">
        <v>30</v>
      </c>
      <c r="AS3974">
        <v>73</v>
      </c>
      <c r="AT3974">
        <v>320</v>
      </c>
      <c r="BB3974" t="str">
        <f t="shared" si="1574"/>
        <v>1200</v>
      </c>
      <c r="BC3974">
        <v>1</v>
      </c>
      <c r="BD3974" t="str">
        <f t="shared" si="1575"/>
        <v xml:space="preserve">N52156  </v>
      </c>
      <c r="BE3974">
        <v>1</v>
      </c>
      <c r="BG3974">
        <v>0</v>
      </c>
      <c r="BH3974">
        <v>0</v>
      </c>
      <c r="BI3974">
        <v>0</v>
      </c>
      <c r="BJ3974">
        <v>4450</v>
      </c>
      <c r="BK3974">
        <v>50</v>
      </c>
      <c r="BL3974" t="s">
        <v>188</v>
      </c>
      <c r="BM3974">
        <v>1</v>
      </c>
      <c r="BN3974">
        <v>1</v>
      </c>
      <c r="BO3974">
        <v>0</v>
      </c>
      <c r="BP3974">
        <v>0</v>
      </c>
      <c r="BS3974">
        <v>0</v>
      </c>
      <c r="BT3974">
        <v>0</v>
      </c>
      <c r="BU3974">
        <v>0</v>
      </c>
      <c r="CE3974" t="str">
        <f t="shared" ref="CE3974:CE3979" si="1577">"15:15:34.803"</f>
        <v>15:15:34.803</v>
      </c>
      <c r="CF3974">
        <v>803325669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3</v>
      </c>
      <c r="CY3974">
        <v>7</v>
      </c>
      <c r="CZ3974" t="s">
        <v>133</v>
      </c>
      <c r="DA3974">
        <v>276</v>
      </c>
      <c r="DB3974">
        <v>0</v>
      </c>
      <c r="DC3974" t="s">
        <v>402</v>
      </c>
      <c r="DD3974" t="s">
        <v>403</v>
      </c>
      <c r="DG3974">
        <v>1628335</v>
      </c>
      <c r="DI3974">
        <v>1</v>
      </c>
      <c r="DJ3974">
        <v>0</v>
      </c>
      <c r="DK3974">
        <v>0</v>
      </c>
      <c r="DL3974">
        <v>0</v>
      </c>
      <c r="DM3974">
        <v>0</v>
      </c>
      <c r="DN3974">
        <v>0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 x14ac:dyDescent="0.3">
      <c r="A3975" t="str">
        <f>"05/01/2025 15:15:35.031"</f>
        <v>05/01/2025 15:15:35.031</v>
      </c>
      <c r="C3975" t="str">
        <f t="shared" si="1572"/>
        <v>FFDFD3C0</v>
      </c>
      <c r="D3975" t="s">
        <v>143</v>
      </c>
      <c r="E3975" t="str">
        <f>"05"</f>
        <v>05</v>
      </c>
      <c r="H3975">
        <v>172</v>
      </c>
      <c r="I3975" t="s">
        <v>141</v>
      </c>
      <c r="J3975" t="s">
        <v>144</v>
      </c>
      <c r="K3975">
        <v>0</v>
      </c>
      <c r="L3975">
        <v>3</v>
      </c>
      <c r="M3975">
        <v>0</v>
      </c>
      <c r="N3975">
        <v>2</v>
      </c>
      <c r="O3975">
        <v>0</v>
      </c>
      <c r="P3975">
        <v>1</v>
      </c>
      <c r="Q3975">
        <v>0</v>
      </c>
      <c r="R3975" t="s">
        <v>127</v>
      </c>
      <c r="S3975" t="str">
        <f t="shared" si="1576"/>
        <v>15:15:34.000</v>
      </c>
      <c r="T3975" t="str">
        <f t="shared" si="1576"/>
        <v>15:15:34.000</v>
      </c>
      <c r="U3975" t="str">
        <f t="shared" si="1573"/>
        <v>A68FCB</v>
      </c>
      <c r="V3975">
        <v>0</v>
      </c>
      <c r="W3975">
        <v>0</v>
      </c>
      <c r="X3975">
        <v>2</v>
      </c>
      <c r="Y3975">
        <v>0</v>
      </c>
      <c r="AA3975">
        <v>1</v>
      </c>
      <c r="AB3975">
        <v>8</v>
      </c>
      <c r="AC3975">
        <v>3</v>
      </c>
      <c r="AD3975">
        <v>0</v>
      </c>
      <c r="AE3975">
        <v>9</v>
      </c>
      <c r="AF3975" t="s">
        <v>138</v>
      </c>
      <c r="AG3975">
        <v>0</v>
      </c>
      <c r="AH3975">
        <v>3</v>
      </c>
      <c r="AI3975">
        <v>2</v>
      </c>
      <c r="AJ3975">
        <v>0</v>
      </c>
      <c r="AK3975" t="s">
        <v>1258</v>
      </c>
      <c r="AL3975">
        <v>39.180272000000002</v>
      </c>
      <c r="AM3975" t="s">
        <v>1259</v>
      </c>
      <c r="AN3975">
        <v>-121.027236</v>
      </c>
      <c r="AO3975">
        <v>25</v>
      </c>
      <c r="AP3975">
        <v>4400</v>
      </c>
      <c r="AQ3975" t="s">
        <v>131</v>
      </c>
      <c r="AR3975">
        <v>30</v>
      </c>
      <c r="AS3975">
        <v>73</v>
      </c>
      <c r="AT3975">
        <v>320</v>
      </c>
      <c r="BB3975" t="str">
        <f t="shared" si="1574"/>
        <v>1200</v>
      </c>
      <c r="BC3975">
        <v>1</v>
      </c>
      <c r="BD3975" t="str">
        <f t="shared" si="1575"/>
        <v xml:space="preserve">N52156  </v>
      </c>
      <c r="BE3975">
        <v>1</v>
      </c>
      <c r="BG3975">
        <v>0</v>
      </c>
      <c r="BH3975">
        <v>0</v>
      </c>
      <c r="BI3975">
        <v>0</v>
      </c>
      <c r="BJ3975">
        <v>4450</v>
      </c>
      <c r="BK3975">
        <v>50</v>
      </c>
      <c r="BL3975" t="s">
        <v>188</v>
      </c>
      <c r="BM3975">
        <v>1</v>
      </c>
      <c r="BN3975">
        <v>1</v>
      </c>
      <c r="BO3975">
        <v>0</v>
      </c>
      <c r="BP3975">
        <v>0</v>
      </c>
      <c r="BS3975">
        <v>0</v>
      </c>
      <c r="BT3975">
        <v>0</v>
      </c>
      <c r="BU3975">
        <v>0</v>
      </c>
      <c r="CE3975" t="str">
        <f t="shared" si="1577"/>
        <v>15:15:34.803</v>
      </c>
      <c r="CF3975">
        <v>803325669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3</v>
      </c>
      <c r="CY3975">
        <v>7</v>
      </c>
      <c r="CZ3975" t="s">
        <v>133</v>
      </c>
      <c r="DA3975">
        <v>276</v>
      </c>
      <c r="DB3975">
        <v>0</v>
      </c>
      <c r="DC3975" t="s">
        <v>402</v>
      </c>
      <c r="DD3975" t="s">
        <v>403</v>
      </c>
      <c r="DG3975">
        <v>1628335</v>
      </c>
      <c r="DI3975">
        <v>1</v>
      </c>
      <c r="DJ3975">
        <v>0</v>
      </c>
      <c r="DK3975">
        <v>1</v>
      </c>
      <c r="DL3975">
        <v>0</v>
      </c>
      <c r="DM3975">
        <v>0</v>
      </c>
      <c r="DN3975">
        <v>0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 x14ac:dyDescent="0.3">
      <c r="A3976" t="str">
        <f>"05/01/2025 15:15:35.033"</f>
        <v>05/01/2025 15:15:35.033</v>
      </c>
      <c r="C3976" t="str">
        <f t="shared" si="1572"/>
        <v>FFDFD3C0</v>
      </c>
      <c r="D3976" t="s">
        <v>140</v>
      </c>
      <c r="E3976" t="str">
        <f>"13"</f>
        <v>13</v>
      </c>
      <c r="F3976">
        <v>1019</v>
      </c>
      <c r="G3976" t="s">
        <v>141</v>
      </c>
      <c r="J3976" t="s">
        <v>142</v>
      </c>
      <c r="K3976">
        <v>0</v>
      </c>
      <c r="L3976">
        <v>3</v>
      </c>
      <c r="M3976">
        <v>0</v>
      </c>
      <c r="N3976">
        <v>2</v>
      </c>
      <c r="O3976">
        <v>0</v>
      </c>
      <c r="P3976">
        <v>1</v>
      </c>
      <c r="Q3976">
        <v>0</v>
      </c>
      <c r="R3976" t="s">
        <v>127</v>
      </c>
      <c r="S3976" t="str">
        <f t="shared" si="1576"/>
        <v>15:15:34.000</v>
      </c>
      <c r="T3976" t="str">
        <f t="shared" si="1576"/>
        <v>15:15:34.000</v>
      </c>
      <c r="U3976" t="str">
        <f t="shared" si="1573"/>
        <v>A68FCB</v>
      </c>
      <c r="V3976">
        <v>0</v>
      </c>
      <c r="W3976">
        <v>0</v>
      </c>
      <c r="X3976">
        <v>2</v>
      </c>
      <c r="Y3976">
        <v>0</v>
      </c>
      <c r="AA3976">
        <v>1</v>
      </c>
      <c r="AB3976">
        <v>8</v>
      </c>
      <c r="AC3976">
        <v>3</v>
      </c>
      <c r="AD3976">
        <v>0</v>
      </c>
      <c r="AE3976">
        <v>9</v>
      </c>
      <c r="AF3976" t="s">
        <v>138</v>
      </c>
      <c r="AG3976">
        <v>0</v>
      </c>
      <c r="AH3976">
        <v>3</v>
      </c>
      <c r="AI3976">
        <v>2</v>
      </c>
      <c r="AJ3976">
        <v>0</v>
      </c>
      <c r="AK3976" t="s">
        <v>1258</v>
      </c>
      <c r="AL3976">
        <v>39.180272000000002</v>
      </c>
      <c r="AM3976" t="s">
        <v>1259</v>
      </c>
      <c r="AN3976">
        <v>-121.027236</v>
      </c>
      <c r="AO3976">
        <v>25</v>
      </c>
      <c r="AP3976">
        <v>4400</v>
      </c>
      <c r="AQ3976" t="s">
        <v>131</v>
      </c>
      <c r="AR3976">
        <v>30</v>
      </c>
      <c r="AS3976">
        <v>73</v>
      </c>
      <c r="AT3976">
        <v>320</v>
      </c>
      <c r="BB3976" t="str">
        <f t="shared" si="1574"/>
        <v>1200</v>
      </c>
      <c r="BC3976">
        <v>1</v>
      </c>
      <c r="BD3976" t="str">
        <f t="shared" si="1575"/>
        <v xml:space="preserve">N52156  </v>
      </c>
      <c r="BE3976">
        <v>1</v>
      </c>
      <c r="BG3976">
        <v>0</v>
      </c>
      <c r="BH3976">
        <v>0</v>
      </c>
      <c r="BI3976">
        <v>0</v>
      </c>
      <c r="BJ3976">
        <v>4450</v>
      </c>
      <c r="BK3976">
        <v>50</v>
      </c>
      <c r="BL3976" t="s">
        <v>188</v>
      </c>
      <c r="BM3976">
        <v>1</v>
      </c>
      <c r="BN3976">
        <v>1</v>
      </c>
      <c r="BO3976">
        <v>0</v>
      </c>
      <c r="BP3976">
        <v>0</v>
      </c>
      <c r="BS3976">
        <v>0</v>
      </c>
      <c r="BT3976">
        <v>0</v>
      </c>
      <c r="BU3976">
        <v>0</v>
      </c>
      <c r="CE3976" t="str">
        <f t="shared" si="1577"/>
        <v>15:15:34.803</v>
      </c>
      <c r="CF3976">
        <v>803325669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3</v>
      </c>
      <c r="CY3976">
        <v>7</v>
      </c>
      <c r="CZ3976" t="s">
        <v>133</v>
      </c>
      <c r="DA3976">
        <v>276</v>
      </c>
      <c r="DB3976">
        <v>0</v>
      </c>
      <c r="DC3976" t="s">
        <v>402</v>
      </c>
      <c r="DD3976" t="s">
        <v>403</v>
      </c>
      <c r="DG3976">
        <v>1628335</v>
      </c>
      <c r="DI3976">
        <v>1</v>
      </c>
      <c r="DJ3976">
        <v>0</v>
      </c>
      <c r="DK3976">
        <v>1</v>
      </c>
      <c r="DL3976">
        <v>0</v>
      </c>
      <c r="DM3976">
        <v>0</v>
      </c>
      <c r="DN3976">
        <v>0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 x14ac:dyDescent="0.3">
      <c r="A3977" t="str">
        <f>"05/01/2025 15:15:35.039"</f>
        <v>05/01/2025 15:15:35.039</v>
      </c>
      <c r="C3977" t="str">
        <f t="shared" si="1572"/>
        <v>FFDFD3C0</v>
      </c>
      <c r="D3977" t="s">
        <v>124</v>
      </c>
      <c r="E3977" t="str">
        <f>"06"</f>
        <v>06</v>
      </c>
      <c r="F3977">
        <v>2006</v>
      </c>
      <c r="G3977" t="s">
        <v>125</v>
      </c>
      <c r="J3977" t="s">
        <v>126</v>
      </c>
      <c r="K3977">
        <v>0</v>
      </c>
      <c r="L3977">
        <v>3</v>
      </c>
      <c r="M3977">
        <v>0</v>
      </c>
      <c r="N3977">
        <v>2</v>
      </c>
      <c r="O3977">
        <v>0</v>
      </c>
      <c r="P3977">
        <v>1</v>
      </c>
      <c r="Q3977">
        <v>0</v>
      </c>
      <c r="R3977" t="s">
        <v>127</v>
      </c>
      <c r="S3977" t="str">
        <f t="shared" si="1576"/>
        <v>15:15:34.000</v>
      </c>
      <c r="T3977" t="str">
        <f t="shared" si="1576"/>
        <v>15:15:34.000</v>
      </c>
      <c r="U3977" t="str">
        <f t="shared" si="1573"/>
        <v>A68FCB</v>
      </c>
      <c r="V3977">
        <v>0</v>
      </c>
      <c r="W3977">
        <v>0</v>
      </c>
      <c r="X3977">
        <v>2</v>
      </c>
      <c r="Y3977">
        <v>0</v>
      </c>
      <c r="AA3977">
        <v>1</v>
      </c>
      <c r="AB3977">
        <v>8</v>
      </c>
      <c r="AC3977">
        <v>3</v>
      </c>
      <c r="AD3977">
        <v>0</v>
      </c>
      <c r="AE3977">
        <v>9</v>
      </c>
      <c r="AF3977" t="s">
        <v>138</v>
      </c>
      <c r="AG3977">
        <v>0</v>
      </c>
      <c r="AH3977">
        <v>3</v>
      </c>
      <c r="AI3977">
        <v>2</v>
      </c>
      <c r="AJ3977">
        <v>0</v>
      </c>
      <c r="AK3977" t="s">
        <v>1258</v>
      </c>
      <c r="AL3977">
        <v>39.180272000000002</v>
      </c>
      <c r="AM3977" t="s">
        <v>1259</v>
      </c>
      <c r="AN3977">
        <v>-121.027236</v>
      </c>
      <c r="AO3977">
        <v>25</v>
      </c>
      <c r="AP3977">
        <v>4400</v>
      </c>
      <c r="AQ3977" t="s">
        <v>131</v>
      </c>
      <c r="AR3977">
        <v>30</v>
      </c>
      <c r="AS3977">
        <v>73</v>
      </c>
      <c r="AT3977">
        <v>320</v>
      </c>
      <c r="BB3977" t="str">
        <f t="shared" si="1574"/>
        <v>1200</v>
      </c>
      <c r="BC3977">
        <v>1</v>
      </c>
      <c r="BD3977" t="str">
        <f t="shared" si="1575"/>
        <v xml:space="preserve">N52156  </v>
      </c>
      <c r="BE3977">
        <v>1</v>
      </c>
      <c r="BG3977">
        <v>0</v>
      </c>
      <c r="BH3977">
        <v>0</v>
      </c>
      <c r="BI3977">
        <v>0</v>
      </c>
      <c r="BJ3977">
        <v>4450</v>
      </c>
      <c r="BK3977">
        <v>50</v>
      </c>
      <c r="BL3977" t="s">
        <v>188</v>
      </c>
      <c r="BM3977">
        <v>1</v>
      </c>
      <c r="BN3977">
        <v>1</v>
      </c>
      <c r="BO3977">
        <v>0</v>
      </c>
      <c r="BP3977">
        <v>0</v>
      </c>
      <c r="BS3977">
        <v>0</v>
      </c>
      <c r="BT3977">
        <v>0</v>
      </c>
      <c r="BU3977">
        <v>0</v>
      </c>
      <c r="CE3977" t="str">
        <f t="shared" si="1577"/>
        <v>15:15:34.803</v>
      </c>
      <c r="CF3977">
        <v>803325669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3</v>
      </c>
      <c r="CY3977">
        <v>7</v>
      </c>
      <c r="CZ3977" t="s">
        <v>133</v>
      </c>
      <c r="DA3977">
        <v>276</v>
      </c>
      <c r="DB3977">
        <v>0</v>
      </c>
      <c r="DC3977" t="s">
        <v>402</v>
      </c>
      <c r="DD3977" t="s">
        <v>403</v>
      </c>
      <c r="DG3977">
        <v>1628335</v>
      </c>
      <c r="DI3977">
        <v>1</v>
      </c>
      <c r="DJ3977">
        <v>0</v>
      </c>
      <c r="DK3977">
        <v>1</v>
      </c>
      <c r="DL3977">
        <v>0</v>
      </c>
      <c r="DM3977">
        <v>0</v>
      </c>
      <c r="DN3977">
        <v>0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 x14ac:dyDescent="0.3">
      <c r="A3978" t="str">
        <f>"05/01/2025 15:15:35.045"</f>
        <v>05/01/2025 15:15:35.045</v>
      </c>
      <c r="C3978" t="str">
        <f t="shared" si="1572"/>
        <v>FFDFD3C0</v>
      </c>
      <c r="D3978" t="s">
        <v>145</v>
      </c>
      <c r="E3978" t="str">
        <f>"09"</f>
        <v>09</v>
      </c>
      <c r="H3978">
        <v>51</v>
      </c>
      <c r="I3978" t="s">
        <v>147</v>
      </c>
      <c r="J3978" t="s">
        <v>138</v>
      </c>
      <c r="K3978">
        <v>0</v>
      </c>
      <c r="L3978">
        <v>3</v>
      </c>
      <c r="M3978">
        <v>0</v>
      </c>
      <c r="N3978">
        <v>2</v>
      </c>
      <c r="O3978">
        <v>0</v>
      </c>
      <c r="P3978">
        <v>1</v>
      </c>
      <c r="Q3978">
        <v>0</v>
      </c>
      <c r="R3978" t="s">
        <v>127</v>
      </c>
      <c r="S3978" t="str">
        <f t="shared" si="1576"/>
        <v>15:15:34.000</v>
      </c>
      <c r="T3978" t="str">
        <f t="shared" si="1576"/>
        <v>15:15:34.000</v>
      </c>
      <c r="U3978" t="str">
        <f t="shared" si="1573"/>
        <v>A68FCB</v>
      </c>
      <c r="V3978">
        <v>0</v>
      </c>
      <c r="W3978">
        <v>0</v>
      </c>
      <c r="X3978">
        <v>2</v>
      </c>
      <c r="Y3978">
        <v>0</v>
      </c>
      <c r="AA3978">
        <v>1</v>
      </c>
      <c r="AB3978">
        <v>8</v>
      </c>
      <c r="AC3978">
        <v>3</v>
      </c>
      <c r="AD3978">
        <v>0</v>
      </c>
      <c r="AE3978">
        <v>9</v>
      </c>
      <c r="AF3978" t="s">
        <v>138</v>
      </c>
      <c r="AG3978">
        <v>0</v>
      </c>
      <c r="AH3978">
        <v>3</v>
      </c>
      <c r="AI3978">
        <v>2</v>
      </c>
      <c r="AJ3978">
        <v>0</v>
      </c>
      <c r="AK3978" t="s">
        <v>1258</v>
      </c>
      <c r="AL3978">
        <v>39.180272000000002</v>
      </c>
      <c r="AM3978" t="s">
        <v>1259</v>
      </c>
      <c r="AN3978">
        <v>-121.027236</v>
      </c>
      <c r="AO3978">
        <v>25</v>
      </c>
      <c r="AP3978">
        <v>4400</v>
      </c>
      <c r="AQ3978" t="s">
        <v>131</v>
      </c>
      <c r="AR3978">
        <v>30</v>
      </c>
      <c r="AS3978">
        <v>73</v>
      </c>
      <c r="AT3978">
        <v>320</v>
      </c>
      <c r="BB3978" t="str">
        <f t="shared" si="1574"/>
        <v>1200</v>
      </c>
      <c r="BC3978">
        <v>1</v>
      </c>
      <c r="BD3978" t="str">
        <f t="shared" si="1575"/>
        <v xml:space="preserve">N52156  </v>
      </c>
      <c r="BE3978">
        <v>1</v>
      </c>
      <c r="BG3978">
        <v>0</v>
      </c>
      <c r="BH3978">
        <v>0</v>
      </c>
      <c r="BI3978">
        <v>0</v>
      </c>
      <c r="BJ3978">
        <v>4450</v>
      </c>
      <c r="BK3978">
        <v>50</v>
      </c>
      <c r="BL3978" t="s">
        <v>188</v>
      </c>
      <c r="BM3978">
        <v>1</v>
      </c>
      <c r="BN3978">
        <v>1</v>
      </c>
      <c r="BO3978">
        <v>0</v>
      </c>
      <c r="BP3978">
        <v>0</v>
      </c>
      <c r="BS3978">
        <v>0</v>
      </c>
      <c r="BT3978">
        <v>0</v>
      </c>
      <c r="BU3978">
        <v>0</v>
      </c>
      <c r="CE3978" t="str">
        <f t="shared" si="1577"/>
        <v>15:15:34.803</v>
      </c>
      <c r="CF3978">
        <v>803325669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3</v>
      </c>
      <c r="CY3978">
        <v>7</v>
      </c>
      <c r="CZ3978" t="s">
        <v>133</v>
      </c>
      <c r="DA3978">
        <v>276</v>
      </c>
      <c r="DB3978">
        <v>0</v>
      </c>
      <c r="DC3978" t="s">
        <v>402</v>
      </c>
      <c r="DD3978" t="s">
        <v>403</v>
      </c>
      <c r="DG3978">
        <v>1628335</v>
      </c>
      <c r="DI3978">
        <v>1</v>
      </c>
      <c r="DJ3978">
        <v>0</v>
      </c>
      <c r="DK3978">
        <v>1</v>
      </c>
      <c r="DL3978">
        <v>0</v>
      </c>
      <c r="DM3978">
        <v>0</v>
      </c>
      <c r="DN3978">
        <v>0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 x14ac:dyDescent="0.3">
      <c r="A3979" t="str">
        <f>"05/01/2025 15:15:35.051"</f>
        <v>05/01/2025 15:15:35.051</v>
      </c>
      <c r="C3979" t="str">
        <f t="shared" si="1572"/>
        <v>FFDFD3C0</v>
      </c>
      <c r="D3979" t="s">
        <v>145</v>
      </c>
      <c r="E3979" t="str">
        <f>"05"</f>
        <v>05</v>
      </c>
      <c r="H3979">
        <v>47</v>
      </c>
      <c r="I3979" t="s">
        <v>146</v>
      </c>
      <c r="J3979" t="s">
        <v>138</v>
      </c>
      <c r="K3979">
        <v>0</v>
      </c>
      <c r="L3979">
        <v>3</v>
      </c>
      <c r="M3979">
        <v>0</v>
      </c>
      <c r="N3979">
        <v>2</v>
      </c>
      <c r="O3979">
        <v>0</v>
      </c>
      <c r="P3979">
        <v>1</v>
      </c>
      <c r="Q3979">
        <v>0</v>
      </c>
      <c r="R3979" t="s">
        <v>127</v>
      </c>
      <c r="S3979" t="str">
        <f t="shared" si="1576"/>
        <v>15:15:34.000</v>
      </c>
      <c r="T3979" t="str">
        <f t="shared" si="1576"/>
        <v>15:15:34.000</v>
      </c>
      <c r="U3979" t="str">
        <f t="shared" si="1573"/>
        <v>A68FCB</v>
      </c>
      <c r="V3979">
        <v>0</v>
      </c>
      <c r="W3979">
        <v>0</v>
      </c>
      <c r="X3979">
        <v>2</v>
      </c>
      <c r="Y3979">
        <v>0</v>
      </c>
      <c r="AA3979">
        <v>1</v>
      </c>
      <c r="AB3979">
        <v>8</v>
      </c>
      <c r="AC3979">
        <v>3</v>
      </c>
      <c r="AD3979">
        <v>0</v>
      </c>
      <c r="AE3979">
        <v>9</v>
      </c>
      <c r="AF3979" t="s">
        <v>138</v>
      </c>
      <c r="AG3979">
        <v>0</v>
      </c>
      <c r="AH3979">
        <v>3</v>
      </c>
      <c r="AI3979">
        <v>2</v>
      </c>
      <c r="AJ3979">
        <v>0</v>
      </c>
      <c r="AK3979" t="s">
        <v>1258</v>
      </c>
      <c r="AL3979">
        <v>39.180272000000002</v>
      </c>
      <c r="AM3979" t="s">
        <v>1259</v>
      </c>
      <c r="AN3979">
        <v>-121.027236</v>
      </c>
      <c r="AO3979">
        <v>25</v>
      </c>
      <c r="AP3979">
        <v>4400</v>
      </c>
      <c r="AQ3979" t="s">
        <v>131</v>
      </c>
      <c r="AR3979">
        <v>30</v>
      </c>
      <c r="AS3979">
        <v>73</v>
      </c>
      <c r="AT3979">
        <v>320</v>
      </c>
      <c r="BB3979" t="str">
        <f t="shared" si="1574"/>
        <v>1200</v>
      </c>
      <c r="BC3979">
        <v>1</v>
      </c>
      <c r="BD3979" t="str">
        <f t="shared" si="1575"/>
        <v xml:space="preserve">N52156  </v>
      </c>
      <c r="BE3979">
        <v>1</v>
      </c>
      <c r="BG3979">
        <v>0</v>
      </c>
      <c r="BH3979">
        <v>0</v>
      </c>
      <c r="BI3979">
        <v>0</v>
      </c>
      <c r="BJ3979">
        <v>4450</v>
      </c>
      <c r="BK3979">
        <v>50</v>
      </c>
      <c r="BL3979" t="s">
        <v>188</v>
      </c>
      <c r="BM3979">
        <v>1</v>
      </c>
      <c r="BN3979">
        <v>1</v>
      </c>
      <c r="BO3979">
        <v>0</v>
      </c>
      <c r="BP3979">
        <v>0</v>
      </c>
      <c r="BS3979">
        <v>0</v>
      </c>
      <c r="BT3979">
        <v>0</v>
      </c>
      <c r="BU3979">
        <v>0</v>
      </c>
      <c r="CE3979" t="str">
        <f t="shared" si="1577"/>
        <v>15:15:34.803</v>
      </c>
      <c r="CF3979">
        <v>803325669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3</v>
      </c>
      <c r="CY3979">
        <v>7</v>
      </c>
      <c r="CZ3979" t="s">
        <v>133</v>
      </c>
      <c r="DA3979">
        <v>276</v>
      </c>
      <c r="DB3979">
        <v>0</v>
      </c>
      <c r="DC3979" t="s">
        <v>402</v>
      </c>
      <c r="DD3979" t="s">
        <v>403</v>
      </c>
      <c r="DG3979">
        <v>1628335</v>
      </c>
      <c r="DI3979">
        <v>1</v>
      </c>
      <c r="DJ3979">
        <v>0</v>
      </c>
      <c r="DK3979">
        <v>1</v>
      </c>
      <c r="DL3979">
        <v>0</v>
      </c>
      <c r="DM3979">
        <v>0</v>
      </c>
      <c r="DN3979">
        <v>0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 x14ac:dyDescent="0.3">
      <c r="A3980" t="str">
        <f>"05/01/2025 15:15:35.412"</f>
        <v>05/01/2025 15:15:35.412</v>
      </c>
      <c r="C3980" t="str">
        <f t="shared" si="1572"/>
        <v>FFDFD3C0</v>
      </c>
      <c r="D3980" t="s">
        <v>136</v>
      </c>
      <c r="E3980" t="str">
        <f>"20"</f>
        <v>20</v>
      </c>
      <c r="H3980">
        <v>400</v>
      </c>
      <c r="I3980" t="s">
        <v>137</v>
      </c>
      <c r="J3980" t="s">
        <v>138</v>
      </c>
      <c r="K3980">
        <v>0</v>
      </c>
      <c r="L3980">
        <v>3</v>
      </c>
      <c r="M3980">
        <v>0</v>
      </c>
      <c r="N3980">
        <v>2</v>
      </c>
      <c r="O3980">
        <v>0</v>
      </c>
      <c r="P3980">
        <v>1</v>
      </c>
      <c r="Q3980">
        <v>0</v>
      </c>
      <c r="R3980" t="s">
        <v>127</v>
      </c>
      <c r="S3980" t="str">
        <f t="shared" ref="S3980:T3985" si="1578">"15:15:35.000"</f>
        <v>15:15:35.000</v>
      </c>
      <c r="T3980" t="str">
        <f t="shared" si="1578"/>
        <v>15:15:35.000</v>
      </c>
      <c r="U3980" t="str">
        <f t="shared" si="1573"/>
        <v>A68FCB</v>
      </c>
      <c r="V3980">
        <v>0</v>
      </c>
      <c r="W3980">
        <v>0</v>
      </c>
      <c r="X3980">
        <v>2</v>
      </c>
      <c r="Y3980">
        <v>0</v>
      </c>
      <c r="AA3980">
        <v>1</v>
      </c>
      <c r="AB3980">
        <v>8</v>
      </c>
      <c r="AC3980">
        <v>3</v>
      </c>
      <c r="AD3980">
        <v>0</v>
      </c>
      <c r="AE3980">
        <v>9</v>
      </c>
      <c r="AF3980" t="s">
        <v>138</v>
      </c>
      <c r="AG3980">
        <v>0</v>
      </c>
      <c r="AH3980">
        <v>3</v>
      </c>
      <c r="AI3980">
        <v>2</v>
      </c>
      <c r="AJ3980">
        <v>0</v>
      </c>
      <c r="AK3980" t="s">
        <v>1260</v>
      </c>
      <c r="AL3980">
        <v>39.180615000000003</v>
      </c>
      <c r="AM3980" t="s">
        <v>1261</v>
      </c>
      <c r="AN3980">
        <v>-121.027064</v>
      </c>
      <c r="AO3980">
        <v>25</v>
      </c>
      <c r="AP3980">
        <v>4400</v>
      </c>
      <c r="AQ3980" t="s">
        <v>131</v>
      </c>
      <c r="AR3980">
        <v>31</v>
      </c>
      <c r="AS3980">
        <v>73</v>
      </c>
      <c r="AT3980">
        <v>320</v>
      </c>
      <c r="BB3980" t="str">
        <f t="shared" si="1574"/>
        <v>1200</v>
      </c>
      <c r="BC3980">
        <v>1</v>
      </c>
      <c r="BD3980" t="str">
        <f t="shared" si="1575"/>
        <v xml:space="preserve">N52156  </v>
      </c>
      <c r="BE3980">
        <v>1</v>
      </c>
      <c r="BG3980">
        <v>0</v>
      </c>
      <c r="BH3980">
        <v>0</v>
      </c>
      <c r="BI3980">
        <v>0</v>
      </c>
      <c r="BJ3980">
        <v>4475</v>
      </c>
      <c r="BK3980">
        <v>75</v>
      </c>
      <c r="BL3980" t="s">
        <v>188</v>
      </c>
      <c r="BM3980">
        <v>1</v>
      </c>
      <c r="BN3980">
        <v>1</v>
      </c>
      <c r="BO3980">
        <v>0</v>
      </c>
      <c r="BP3980">
        <v>0</v>
      </c>
      <c r="BS3980">
        <v>0</v>
      </c>
      <c r="BT3980">
        <v>0</v>
      </c>
      <c r="BU3980">
        <v>0</v>
      </c>
      <c r="CE3980" t="str">
        <f t="shared" ref="CE3980:CE3985" si="1579">"15:15:35.208"</f>
        <v>15:15:35.208</v>
      </c>
      <c r="CF3980">
        <v>207824206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3</v>
      </c>
      <c r="CY3980">
        <v>7</v>
      </c>
      <c r="CZ3980" t="s">
        <v>133</v>
      </c>
      <c r="DA3980">
        <v>276</v>
      </c>
      <c r="DB3980">
        <v>0</v>
      </c>
      <c r="DC3980" t="s">
        <v>402</v>
      </c>
      <c r="DD3980" t="s">
        <v>403</v>
      </c>
      <c r="DG3980">
        <v>1628336</v>
      </c>
      <c r="DI3980">
        <v>1</v>
      </c>
      <c r="DJ3980">
        <v>0</v>
      </c>
      <c r="DK3980">
        <v>0</v>
      </c>
      <c r="DL3980">
        <v>0</v>
      </c>
      <c r="DM3980">
        <v>0</v>
      </c>
      <c r="DN3980">
        <v>0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 x14ac:dyDescent="0.3">
      <c r="A3981" t="str">
        <f>"05/01/2025 15:15:35.432"</f>
        <v>05/01/2025 15:15:35.432</v>
      </c>
      <c r="C3981" t="str">
        <f t="shared" si="1572"/>
        <v>FFDFD3C0</v>
      </c>
      <c r="D3981" t="s">
        <v>143</v>
      </c>
      <c r="E3981" t="str">
        <f>"05"</f>
        <v>05</v>
      </c>
      <c r="H3981">
        <v>172</v>
      </c>
      <c r="I3981" t="s">
        <v>141</v>
      </c>
      <c r="J3981" t="s">
        <v>144</v>
      </c>
      <c r="K3981">
        <v>0</v>
      </c>
      <c r="L3981">
        <v>3</v>
      </c>
      <c r="M3981">
        <v>0</v>
      </c>
      <c r="N3981">
        <v>2</v>
      </c>
      <c r="O3981">
        <v>0</v>
      </c>
      <c r="P3981">
        <v>1</v>
      </c>
      <c r="Q3981">
        <v>0</v>
      </c>
      <c r="R3981" t="s">
        <v>127</v>
      </c>
      <c r="S3981" t="str">
        <f t="shared" si="1578"/>
        <v>15:15:35.000</v>
      </c>
      <c r="T3981" t="str">
        <f t="shared" si="1578"/>
        <v>15:15:35.000</v>
      </c>
      <c r="U3981" t="str">
        <f t="shared" si="1573"/>
        <v>A68FCB</v>
      </c>
      <c r="V3981">
        <v>0</v>
      </c>
      <c r="W3981">
        <v>0</v>
      </c>
      <c r="X3981">
        <v>2</v>
      </c>
      <c r="Y3981">
        <v>0</v>
      </c>
      <c r="AA3981">
        <v>1</v>
      </c>
      <c r="AB3981">
        <v>8</v>
      </c>
      <c r="AC3981">
        <v>3</v>
      </c>
      <c r="AD3981">
        <v>0</v>
      </c>
      <c r="AE3981">
        <v>9</v>
      </c>
      <c r="AF3981" t="s">
        <v>138</v>
      </c>
      <c r="AG3981">
        <v>0</v>
      </c>
      <c r="AH3981">
        <v>3</v>
      </c>
      <c r="AI3981">
        <v>2</v>
      </c>
      <c r="AJ3981">
        <v>0</v>
      </c>
      <c r="AK3981" t="s">
        <v>1260</v>
      </c>
      <c r="AL3981">
        <v>39.180615000000003</v>
      </c>
      <c r="AM3981" t="s">
        <v>1261</v>
      </c>
      <c r="AN3981">
        <v>-121.027064</v>
      </c>
      <c r="AO3981">
        <v>25</v>
      </c>
      <c r="AP3981">
        <v>4400</v>
      </c>
      <c r="AQ3981" t="s">
        <v>131</v>
      </c>
      <c r="AR3981">
        <v>31</v>
      </c>
      <c r="AS3981">
        <v>73</v>
      </c>
      <c r="AT3981">
        <v>320</v>
      </c>
      <c r="BB3981" t="str">
        <f t="shared" si="1574"/>
        <v>1200</v>
      </c>
      <c r="BC3981">
        <v>1</v>
      </c>
      <c r="BD3981" t="str">
        <f t="shared" si="1575"/>
        <v xml:space="preserve">N52156  </v>
      </c>
      <c r="BE3981">
        <v>1</v>
      </c>
      <c r="BG3981">
        <v>0</v>
      </c>
      <c r="BH3981">
        <v>0</v>
      </c>
      <c r="BI3981">
        <v>0</v>
      </c>
      <c r="BJ3981">
        <v>4475</v>
      </c>
      <c r="BK3981">
        <v>75</v>
      </c>
      <c r="BL3981" t="s">
        <v>188</v>
      </c>
      <c r="BM3981">
        <v>1</v>
      </c>
      <c r="BN3981">
        <v>1</v>
      </c>
      <c r="BO3981">
        <v>0</v>
      </c>
      <c r="BP3981">
        <v>0</v>
      </c>
      <c r="BS3981">
        <v>0</v>
      </c>
      <c r="BT3981">
        <v>0</v>
      </c>
      <c r="BU3981">
        <v>0</v>
      </c>
      <c r="CE3981" t="str">
        <f t="shared" si="1579"/>
        <v>15:15:35.208</v>
      </c>
      <c r="CF3981">
        <v>207824206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3</v>
      </c>
      <c r="CY3981">
        <v>7</v>
      </c>
      <c r="CZ3981" t="s">
        <v>133</v>
      </c>
      <c r="DA3981">
        <v>276</v>
      </c>
      <c r="DB3981">
        <v>0</v>
      </c>
      <c r="DC3981" t="s">
        <v>402</v>
      </c>
      <c r="DD3981" t="s">
        <v>403</v>
      </c>
      <c r="DG3981">
        <v>1628336</v>
      </c>
      <c r="DI3981">
        <v>1</v>
      </c>
      <c r="DJ3981">
        <v>0</v>
      </c>
      <c r="DK3981">
        <v>1</v>
      </c>
      <c r="DL3981">
        <v>0</v>
      </c>
      <c r="DM3981">
        <v>0</v>
      </c>
      <c r="DN3981">
        <v>0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 x14ac:dyDescent="0.3">
      <c r="A3982" t="str">
        <f>"05/01/2025 15:15:35.434"</f>
        <v>05/01/2025 15:15:35.434</v>
      </c>
      <c r="C3982" t="str">
        <f t="shared" si="1572"/>
        <v>FFDFD3C0</v>
      </c>
      <c r="D3982" t="s">
        <v>140</v>
      </c>
      <c r="E3982" t="str">
        <f>"13"</f>
        <v>13</v>
      </c>
      <c r="F3982">
        <v>1019</v>
      </c>
      <c r="G3982" t="s">
        <v>141</v>
      </c>
      <c r="J3982" t="s">
        <v>142</v>
      </c>
      <c r="K3982">
        <v>0</v>
      </c>
      <c r="L3982">
        <v>3</v>
      </c>
      <c r="M3982">
        <v>0</v>
      </c>
      <c r="N3982">
        <v>2</v>
      </c>
      <c r="O3982">
        <v>0</v>
      </c>
      <c r="P3982">
        <v>1</v>
      </c>
      <c r="Q3982">
        <v>0</v>
      </c>
      <c r="R3982" t="s">
        <v>127</v>
      </c>
      <c r="S3982" t="str">
        <f t="shared" si="1578"/>
        <v>15:15:35.000</v>
      </c>
      <c r="T3982" t="str">
        <f t="shared" si="1578"/>
        <v>15:15:35.000</v>
      </c>
      <c r="U3982" t="str">
        <f t="shared" si="1573"/>
        <v>A68FCB</v>
      </c>
      <c r="V3982">
        <v>0</v>
      </c>
      <c r="W3982">
        <v>0</v>
      </c>
      <c r="X3982">
        <v>2</v>
      </c>
      <c r="Y3982">
        <v>0</v>
      </c>
      <c r="AA3982">
        <v>1</v>
      </c>
      <c r="AB3982">
        <v>8</v>
      </c>
      <c r="AC3982">
        <v>3</v>
      </c>
      <c r="AD3982">
        <v>0</v>
      </c>
      <c r="AE3982">
        <v>9</v>
      </c>
      <c r="AF3982" t="s">
        <v>138</v>
      </c>
      <c r="AG3982">
        <v>0</v>
      </c>
      <c r="AH3982">
        <v>3</v>
      </c>
      <c r="AI3982">
        <v>2</v>
      </c>
      <c r="AJ3982">
        <v>0</v>
      </c>
      <c r="AK3982" t="s">
        <v>1260</v>
      </c>
      <c r="AL3982">
        <v>39.180615000000003</v>
      </c>
      <c r="AM3982" t="s">
        <v>1261</v>
      </c>
      <c r="AN3982">
        <v>-121.027064</v>
      </c>
      <c r="AO3982">
        <v>25</v>
      </c>
      <c r="AP3982">
        <v>4400</v>
      </c>
      <c r="AQ3982" t="s">
        <v>131</v>
      </c>
      <c r="AR3982">
        <v>31</v>
      </c>
      <c r="AS3982">
        <v>73</v>
      </c>
      <c r="AT3982">
        <v>320</v>
      </c>
      <c r="BB3982" t="str">
        <f t="shared" si="1574"/>
        <v>1200</v>
      </c>
      <c r="BC3982">
        <v>1</v>
      </c>
      <c r="BD3982" t="str">
        <f t="shared" si="1575"/>
        <v xml:space="preserve">N52156  </v>
      </c>
      <c r="BE3982">
        <v>1</v>
      </c>
      <c r="BG3982">
        <v>0</v>
      </c>
      <c r="BH3982">
        <v>0</v>
      </c>
      <c r="BI3982">
        <v>0</v>
      </c>
      <c r="BJ3982">
        <v>4475</v>
      </c>
      <c r="BK3982">
        <v>75</v>
      </c>
      <c r="BL3982" t="s">
        <v>188</v>
      </c>
      <c r="BM3982">
        <v>1</v>
      </c>
      <c r="BN3982">
        <v>1</v>
      </c>
      <c r="BO3982">
        <v>0</v>
      </c>
      <c r="BP3982">
        <v>0</v>
      </c>
      <c r="BS3982">
        <v>0</v>
      </c>
      <c r="BT3982">
        <v>0</v>
      </c>
      <c r="BU3982">
        <v>0</v>
      </c>
      <c r="CE3982" t="str">
        <f t="shared" si="1579"/>
        <v>15:15:35.208</v>
      </c>
      <c r="CF3982">
        <v>207824206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3</v>
      </c>
      <c r="CY3982">
        <v>7</v>
      </c>
      <c r="CZ3982" t="s">
        <v>133</v>
      </c>
      <c r="DA3982">
        <v>276</v>
      </c>
      <c r="DB3982">
        <v>0</v>
      </c>
      <c r="DC3982" t="s">
        <v>402</v>
      </c>
      <c r="DD3982" t="s">
        <v>403</v>
      </c>
      <c r="DG3982">
        <v>1628336</v>
      </c>
      <c r="DI3982">
        <v>1</v>
      </c>
      <c r="DJ3982">
        <v>0</v>
      </c>
      <c r="DK3982">
        <v>1</v>
      </c>
      <c r="DL3982">
        <v>0</v>
      </c>
      <c r="DM3982">
        <v>0</v>
      </c>
      <c r="DN3982">
        <v>0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 x14ac:dyDescent="0.3">
      <c r="A3983" t="str">
        <f>"05/01/2025 15:15:35.440"</f>
        <v>05/01/2025 15:15:35.440</v>
      </c>
      <c r="C3983" t="str">
        <f t="shared" si="1572"/>
        <v>FFDFD3C0</v>
      </c>
      <c r="D3983" t="s">
        <v>124</v>
      </c>
      <c r="E3983" t="str">
        <f>"06"</f>
        <v>06</v>
      </c>
      <c r="F3983">
        <v>2006</v>
      </c>
      <c r="G3983" t="s">
        <v>125</v>
      </c>
      <c r="J3983" t="s">
        <v>126</v>
      </c>
      <c r="K3983">
        <v>0</v>
      </c>
      <c r="L3983">
        <v>3</v>
      </c>
      <c r="M3983">
        <v>0</v>
      </c>
      <c r="N3983">
        <v>2</v>
      </c>
      <c r="O3983">
        <v>0</v>
      </c>
      <c r="P3983">
        <v>1</v>
      </c>
      <c r="Q3983">
        <v>0</v>
      </c>
      <c r="R3983" t="s">
        <v>127</v>
      </c>
      <c r="S3983" t="str">
        <f t="shared" si="1578"/>
        <v>15:15:35.000</v>
      </c>
      <c r="T3983" t="str">
        <f t="shared" si="1578"/>
        <v>15:15:35.000</v>
      </c>
      <c r="U3983" t="str">
        <f t="shared" si="1573"/>
        <v>A68FCB</v>
      </c>
      <c r="V3983">
        <v>0</v>
      </c>
      <c r="W3983">
        <v>0</v>
      </c>
      <c r="X3983">
        <v>2</v>
      </c>
      <c r="Y3983">
        <v>0</v>
      </c>
      <c r="AA3983">
        <v>1</v>
      </c>
      <c r="AB3983">
        <v>8</v>
      </c>
      <c r="AC3983">
        <v>3</v>
      </c>
      <c r="AD3983">
        <v>0</v>
      </c>
      <c r="AE3983">
        <v>9</v>
      </c>
      <c r="AF3983" t="s">
        <v>138</v>
      </c>
      <c r="AG3983">
        <v>0</v>
      </c>
      <c r="AH3983">
        <v>3</v>
      </c>
      <c r="AI3983">
        <v>2</v>
      </c>
      <c r="AJ3983">
        <v>0</v>
      </c>
      <c r="AK3983" t="s">
        <v>1260</v>
      </c>
      <c r="AL3983">
        <v>39.180615000000003</v>
      </c>
      <c r="AM3983" t="s">
        <v>1261</v>
      </c>
      <c r="AN3983">
        <v>-121.027064</v>
      </c>
      <c r="AO3983">
        <v>25</v>
      </c>
      <c r="AP3983">
        <v>4400</v>
      </c>
      <c r="AQ3983" t="s">
        <v>131</v>
      </c>
      <c r="AR3983">
        <v>31</v>
      </c>
      <c r="AS3983">
        <v>73</v>
      </c>
      <c r="AT3983">
        <v>320</v>
      </c>
      <c r="BB3983" t="str">
        <f t="shared" si="1574"/>
        <v>1200</v>
      </c>
      <c r="BC3983">
        <v>1</v>
      </c>
      <c r="BD3983" t="str">
        <f t="shared" si="1575"/>
        <v xml:space="preserve">N52156  </v>
      </c>
      <c r="BE3983">
        <v>1</v>
      </c>
      <c r="BG3983">
        <v>0</v>
      </c>
      <c r="BH3983">
        <v>0</v>
      </c>
      <c r="BI3983">
        <v>0</v>
      </c>
      <c r="BJ3983">
        <v>4475</v>
      </c>
      <c r="BK3983">
        <v>75</v>
      </c>
      <c r="BL3983" t="s">
        <v>188</v>
      </c>
      <c r="BM3983">
        <v>1</v>
      </c>
      <c r="BN3983">
        <v>1</v>
      </c>
      <c r="BO3983">
        <v>0</v>
      </c>
      <c r="BP3983">
        <v>0</v>
      </c>
      <c r="BS3983">
        <v>0</v>
      </c>
      <c r="BT3983">
        <v>0</v>
      </c>
      <c r="BU3983">
        <v>0</v>
      </c>
      <c r="CE3983" t="str">
        <f t="shared" si="1579"/>
        <v>15:15:35.208</v>
      </c>
      <c r="CF3983">
        <v>207824206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3</v>
      </c>
      <c r="CY3983">
        <v>7</v>
      </c>
      <c r="CZ3983" t="s">
        <v>133</v>
      </c>
      <c r="DA3983">
        <v>276</v>
      </c>
      <c r="DB3983">
        <v>0</v>
      </c>
      <c r="DC3983" t="s">
        <v>402</v>
      </c>
      <c r="DD3983" t="s">
        <v>403</v>
      </c>
      <c r="DG3983">
        <v>1628336</v>
      </c>
      <c r="DI3983">
        <v>1</v>
      </c>
      <c r="DJ3983">
        <v>0</v>
      </c>
      <c r="DK3983">
        <v>1</v>
      </c>
      <c r="DL3983">
        <v>0</v>
      </c>
      <c r="DM3983">
        <v>0</v>
      </c>
      <c r="DN3983">
        <v>0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 x14ac:dyDescent="0.3">
      <c r="A3984" t="str">
        <f>"05/01/2025 15:15:35.446"</f>
        <v>05/01/2025 15:15:35.446</v>
      </c>
      <c r="C3984" t="str">
        <f t="shared" si="1572"/>
        <v>FFDFD3C0</v>
      </c>
      <c r="D3984" t="s">
        <v>145</v>
      </c>
      <c r="E3984" t="str">
        <f>"09"</f>
        <v>09</v>
      </c>
      <c r="H3984">
        <v>51</v>
      </c>
      <c r="I3984" t="s">
        <v>147</v>
      </c>
      <c r="J3984" t="s">
        <v>138</v>
      </c>
      <c r="K3984">
        <v>0</v>
      </c>
      <c r="L3984">
        <v>3</v>
      </c>
      <c r="M3984">
        <v>0</v>
      </c>
      <c r="N3984">
        <v>2</v>
      </c>
      <c r="O3984">
        <v>0</v>
      </c>
      <c r="P3984">
        <v>1</v>
      </c>
      <c r="Q3984">
        <v>0</v>
      </c>
      <c r="R3984" t="s">
        <v>127</v>
      </c>
      <c r="S3984" t="str">
        <f t="shared" si="1578"/>
        <v>15:15:35.000</v>
      </c>
      <c r="T3984" t="str">
        <f t="shared" si="1578"/>
        <v>15:15:35.000</v>
      </c>
      <c r="U3984" t="str">
        <f t="shared" si="1573"/>
        <v>A68FCB</v>
      </c>
      <c r="V3984">
        <v>0</v>
      </c>
      <c r="W3984">
        <v>0</v>
      </c>
      <c r="X3984">
        <v>2</v>
      </c>
      <c r="Y3984">
        <v>0</v>
      </c>
      <c r="AA3984">
        <v>1</v>
      </c>
      <c r="AB3984">
        <v>8</v>
      </c>
      <c r="AC3984">
        <v>3</v>
      </c>
      <c r="AD3984">
        <v>0</v>
      </c>
      <c r="AE3984">
        <v>9</v>
      </c>
      <c r="AF3984" t="s">
        <v>138</v>
      </c>
      <c r="AG3984">
        <v>0</v>
      </c>
      <c r="AH3984">
        <v>3</v>
      </c>
      <c r="AI3984">
        <v>2</v>
      </c>
      <c r="AJ3984">
        <v>0</v>
      </c>
      <c r="AK3984" t="s">
        <v>1260</v>
      </c>
      <c r="AL3984">
        <v>39.180615000000003</v>
      </c>
      <c r="AM3984" t="s">
        <v>1261</v>
      </c>
      <c r="AN3984">
        <v>-121.027064</v>
      </c>
      <c r="AO3984">
        <v>25</v>
      </c>
      <c r="AP3984">
        <v>4400</v>
      </c>
      <c r="AQ3984" t="s">
        <v>131</v>
      </c>
      <c r="AR3984">
        <v>31</v>
      </c>
      <c r="AS3984">
        <v>73</v>
      </c>
      <c r="AT3984">
        <v>320</v>
      </c>
      <c r="BB3984" t="str">
        <f t="shared" si="1574"/>
        <v>1200</v>
      </c>
      <c r="BC3984">
        <v>1</v>
      </c>
      <c r="BD3984" t="str">
        <f t="shared" si="1575"/>
        <v xml:space="preserve">N52156  </v>
      </c>
      <c r="BE3984">
        <v>1</v>
      </c>
      <c r="BG3984">
        <v>0</v>
      </c>
      <c r="BH3984">
        <v>0</v>
      </c>
      <c r="BI3984">
        <v>0</v>
      </c>
      <c r="BJ3984">
        <v>4475</v>
      </c>
      <c r="BK3984">
        <v>75</v>
      </c>
      <c r="BL3984" t="s">
        <v>188</v>
      </c>
      <c r="BM3984">
        <v>1</v>
      </c>
      <c r="BN3984">
        <v>1</v>
      </c>
      <c r="BO3984">
        <v>0</v>
      </c>
      <c r="BP3984">
        <v>0</v>
      </c>
      <c r="BS3984">
        <v>0</v>
      </c>
      <c r="BT3984">
        <v>0</v>
      </c>
      <c r="BU3984">
        <v>0</v>
      </c>
      <c r="CE3984" t="str">
        <f t="shared" si="1579"/>
        <v>15:15:35.208</v>
      </c>
      <c r="CF3984">
        <v>207824206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3</v>
      </c>
      <c r="CY3984">
        <v>7</v>
      </c>
      <c r="CZ3984" t="s">
        <v>133</v>
      </c>
      <c r="DA3984">
        <v>276</v>
      </c>
      <c r="DB3984">
        <v>0</v>
      </c>
      <c r="DC3984" t="s">
        <v>402</v>
      </c>
      <c r="DD3984" t="s">
        <v>403</v>
      </c>
      <c r="DG3984">
        <v>1628336</v>
      </c>
      <c r="DI3984">
        <v>1</v>
      </c>
      <c r="DJ3984">
        <v>0</v>
      </c>
      <c r="DK3984">
        <v>1</v>
      </c>
      <c r="DL3984">
        <v>0</v>
      </c>
      <c r="DM3984">
        <v>0</v>
      </c>
      <c r="DN3984">
        <v>0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 x14ac:dyDescent="0.3">
      <c r="A3985" t="str">
        <f>"05/01/2025 15:15:35.451"</f>
        <v>05/01/2025 15:15:35.451</v>
      </c>
      <c r="C3985" t="str">
        <f t="shared" si="1572"/>
        <v>FFDFD3C0</v>
      </c>
      <c r="D3985" t="s">
        <v>145</v>
      </c>
      <c r="E3985" t="str">
        <f>"05"</f>
        <v>05</v>
      </c>
      <c r="H3985">
        <v>47</v>
      </c>
      <c r="I3985" t="s">
        <v>146</v>
      </c>
      <c r="J3985" t="s">
        <v>138</v>
      </c>
      <c r="K3985">
        <v>0</v>
      </c>
      <c r="L3985">
        <v>3</v>
      </c>
      <c r="M3985">
        <v>0</v>
      </c>
      <c r="N3985">
        <v>2</v>
      </c>
      <c r="O3985">
        <v>0</v>
      </c>
      <c r="P3985">
        <v>1</v>
      </c>
      <c r="Q3985">
        <v>0</v>
      </c>
      <c r="R3985" t="s">
        <v>127</v>
      </c>
      <c r="S3985" t="str">
        <f t="shared" si="1578"/>
        <v>15:15:35.000</v>
      </c>
      <c r="T3985" t="str">
        <f t="shared" si="1578"/>
        <v>15:15:35.000</v>
      </c>
      <c r="U3985" t="str">
        <f t="shared" si="1573"/>
        <v>A68FCB</v>
      </c>
      <c r="V3985">
        <v>0</v>
      </c>
      <c r="W3985">
        <v>0</v>
      </c>
      <c r="X3985">
        <v>2</v>
      </c>
      <c r="Y3985">
        <v>0</v>
      </c>
      <c r="AA3985">
        <v>1</v>
      </c>
      <c r="AB3985">
        <v>8</v>
      </c>
      <c r="AC3985">
        <v>3</v>
      </c>
      <c r="AD3985">
        <v>0</v>
      </c>
      <c r="AE3985">
        <v>9</v>
      </c>
      <c r="AF3985" t="s">
        <v>138</v>
      </c>
      <c r="AG3985">
        <v>0</v>
      </c>
      <c r="AH3985">
        <v>3</v>
      </c>
      <c r="AI3985">
        <v>2</v>
      </c>
      <c r="AJ3985">
        <v>0</v>
      </c>
      <c r="AK3985" t="s">
        <v>1260</v>
      </c>
      <c r="AL3985">
        <v>39.180615000000003</v>
      </c>
      <c r="AM3985" t="s">
        <v>1261</v>
      </c>
      <c r="AN3985">
        <v>-121.027064</v>
      </c>
      <c r="AO3985">
        <v>25</v>
      </c>
      <c r="AP3985">
        <v>4400</v>
      </c>
      <c r="AQ3985" t="s">
        <v>131</v>
      </c>
      <c r="AR3985">
        <v>31</v>
      </c>
      <c r="AS3985">
        <v>73</v>
      </c>
      <c r="AT3985">
        <v>320</v>
      </c>
      <c r="BB3985" t="str">
        <f t="shared" si="1574"/>
        <v>1200</v>
      </c>
      <c r="BC3985">
        <v>1</v>
      </c>
      <c r="BD3985" t="str">
        <f t="shared" si="1575"/>
        <v xml:space="preserve">N52156  </v>
      </c>
      <c r="BE3985">
        <v>1</v>
      </c>
      <c r="BG3985">
        <v>0</v>
      </c>
      <c r="BH3985">
        <v>0</v>
      </c>
      <c r="BI3985">
        <v>0</v>
      </c>
      <c r="BJ3985">
        <v>4475</v>
      </c>
      <c r="BK3985">
        <v>75</v>
      </c>
      <c r="BL3985" t="s">
        <v>188</v>
      </c>
      <c r="BM3985">
        <v>1</v>
      </c>
      <c r="BN3985">
        <v>1</v>
      </c>
      <c r="BO3985">
        <v>0</v>
      </c>
      <c r="BP3985">
        <v>0</v>
      </c>
      <c r="BS3985">
        <v>0</v>
      </c>
      <c r="BT3985">
        <v>0</v>
      </c>
      <c r="BU3985">
        <v>0</v>
      </c>
      <c r="CE3985" t="str">
        <f t="shared" si="1579"/>
        <v>15:15:35.208</v>
      </c>
      <c r="CF3985">
        <v>207824206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3</v>
      </c>
      <c r="CY3985">
        <v>7</v>
      </c>
      <c r="CZ3985" t="s">
        <v>133</v>
      </c>
      <c r="DA3985">
        <v>276</v>
      </c>
      <c r="DB3985">
        <v>0</v>
      </c>
      <c r="DC3985" t="s">
        <v>402</v>
      </c>
      <c r="DD3985" t="s">
        <v>403</v>
      </c>
      <c r="DG3985">
        <v>1628336</v>
      </c>
      <c r="DI3985">
        <v>1</v>
      </c>
      <c r="DJ3985">
        <v>0</v>
      </c>
      <c r="DK3985">
        <v>1</v>
      </c>
      <c r="DL3985">
        <v>0</v>
      </c>
      <c r="DM3985">
        <v>0</v>
      </c>
      <c r="DN3985">
        <v>0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 x14ac:dyDescent="0.3">
      <c r="A3986" t="str">
        <f>"05/01/2025 15:15:36.842"</f>
        <v>05/01/2025 15:15:36.842</v>
      </c>
      <c r="C3986" t="str">
        <f t="shared" si="1572"/>
        <v>FFDFD3C0</v>
      </c>
      <c r="D3986" t="s">
        <v>124</v>
      </c>
      <c r="E3986" t="str">
        <f>"06"</f>
        <v>06</v>
      </c>
      <c r="F3986">
        <v>2006</v>
      </c>
      <c r="G3986" t="s">
        <v>125</v>
      </c>
      <c r="J3986" t="s">
        <v>126</v>
      </c>
      <c r="K3986">
        <v>0</v>
      </c>
      <c r="L3986">
        <v>3</v>
      </c>
      <c r="M3986">
        <v>0</v>
      </c>
      <c r="N3986">
        <v>2</v>
      </c>
      <c r="O3986">
        <v>0</v>
      </c>
      <c r="P3986">
        <v>1</v>
      </c>
      <c r="Q3986">
        <v>0</v>
      </c>
      <c r="R3986" t="s">
        <v>127</v>
      </c>
      <c r="S3986" t="str">
        <f t="shared" ref="S3986:T3991" si="1580">"15:15:36.000"</f>
        <v>15:15:36.000</v>
      </c>
      <c r="T3986" t="str">
        <f t="shared" si="1580"/>
        <v>15:15:36.000</v>
      </c>
      <c r="U3986" t="str">
        <f t="shared" si="1573"/>
        <v>A68FCB</v>
      </c>
      <c r="V3986">
        <v>0</v>
      </c>
      <c r="W3986">
        <v>0</v>
      </c>
      <c r="X3986">
        <v>2</v>
      </c>
      <c r="Y3986">
        <v>0</v>
      </c>
      <c r="AA3986">
        <v>1</v>
      </c>
      <c r="AB3986">
        <v>8</v>
      </c>
      <c r="AC3986">
        <v>3</v>
      </c>
      <c r="AD3986">
        <v>0</v>
      </c>
      <c r="AE3986">
        <v>9</v>
      </c>
      <c r="AF3986" t="s">
        <v>138</v>
      </c>
      <c r="AG3986">
        <v>0</v>
      </c>
      <c r="AH3986">
        <v>3</v>
      </c>
      <c r="AI3986">
        <v>2</v>
      </c>
      <c r="AJ3986">
        <v>0</v>
      </c>
      <c r="AK3986" t="s">
        <v>1262</v>
      </c>
      <c r="AL3986">
        <v>39.180957999999997</v>
      </c>
      <c r="AM3986" t="s">
        <v>1263</v>
      </c>
      <c r="AN3986">
        <v>-121.026893</v>
      </c>
      <c r="AO3986">
        <v>25</v>
      </c>
      <c r="AP3986">
        <v>4400</v>
      </c>
      <c r="AQ3986" t="s">
        <v>131</v>
      </c>
      <c r="AR3986">
        <v>31</v>
      </c>
      <c r="AS3986">
        <v>73</v>
      </c>
      <c r="AT3986">
        <v>320</v>
      </c>
      <c r="BB3986" t="str">
        <f t="shared" si="1574"/>
        <v>1200</v>
      </c>
      <c r="BC3986">
        <v>1</v>
      </c>
      <c r="BD3986" t="str">
        <f t="shared" si="1575"/>
        <v xml:space="preserve">N52156  </v>
      </c>
      <c r="BE3986">
        <v>1</v>
      </c>
      <c r="BG3986">
        <v>0</v>
      </c>
      <c r="BH3986">
        <v>0</v>
      </c>
      <c r="BI3986">
        <v>0</v>
      </c>
      <c r="BJ3986">
        <v>4475</v>
      </c>
      <c r="BK3986">
        <v>75</v>
      </c>
      <c r="BL3986" t="s">
        <v>188</v>
      </c>
      <c r="BM3986">
        <v>1</v>
      </c>
      <c r="BN3986">
        <v>1</v>
      </c>
      <c r="BO3986">
        <v>0</v>
      </c>
      <c r="BP3986">
        <v>0</v>
      </c>
      <c r="BS3986">
        <v>0</v>
      </c>
      <c r="BT3986">
        <v>0</v>
      </c>
      <c r="BU3986">
        <v>0</v>
      </c>
      <c r="CE3986" t="str">
        <f t="shared" ref="CE3986:CE3991" si="1581">"15:15:36.619"</f>
        <v>15:15:36.619</v>
      </c>
      <c r="CF3986">
        <v>619075611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3</v>
      </c>
      <c r="CY3986">
        <v>7</v>
      </c>
      <c r="CZ3986" t="s">
        <v>133</v>
      </c>
      <c r="DA3986">
        <v>276</v>
      </c>
      <c r="DB3986">
        <v>0</v>
      </c>
      <c r="DC3986" t="s">
        <v>402</v>
      </c>
      <c r="DD3986" t="s">
        <v>403</v>
      </c>
      <c r="DG3986">
        <v>1628339</v>
      </c>
      <c r="DI3986">
        <v>1</v>
      </c>
      <c r="DJ3986">
        <v>0</v>
      </c>
      <c r="DK3986">
        <v>0</v>
      </c>
      <c r="DL3986">
        <v>0</v>
      </c>
      <c r="DM3986">
        <v>0</v>
      </c>
      <c r="DN3986">
        <v>0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 x14ac:dyDescent="0.3">
      <c r="A3987" t="str">
        <f>"05/01/2025 15:15:36.849"</f>
        <v>05/01/2025 15:15:36.849</v>
      </c>
      <c r="C3987" t="str">
        <f t="shared" si="1572"/>
        <v>FFDFD3C0</v>
      </c>
      <c r="D3987" t="s">
        <v>145</v>
      </c>
      <c r="E3987" t="str">
        <f>"09"</f>
        <v>09</v>
      </c>
      <c r="H3987">
        <v>51</v>
      </c>
      <c r="I3987" t="s">
        <v>147</v>
      </c>
      <c r="J3987" t="s">
        <v>138</v>
      </c>
      <c r="K3987">
        <v>0</v>
      </c>
      <c r="L3987">
        <v>3</v>
      </c>
      <c r="M3987">
        <v>0</v>
      </c>
      <c r="N3987">
        <v>2</v>
      </c>
      <c r="O3987">
        <v>0</v>
      </c>
      <c r="P3987">
        <v>1</v>
      </c>
      <c r="Q3987">
        <v>0</v>
      </c>
      <c r="R3987" t="s">
        <v>127</v>
      </c>
      <c r="S3987" t="str">
        <f t="shared" si="1580"/>
        <v>15:15:36.000</v>
      </c>
      <c r="T3987" t="str">
        <f t="shared" si="1580"/>
        <v>15:15:36.000</v>
      </c>
      <c r="U3987" t="str">
        <f t="shared" si="1573"/>
        <v>A68FCB</v>
      </c>
      <c r="V3987">
        <v>0</v>
      </c>
      <c r="W3987">
        <v>0</v>
      </c>
      <c r="X3987">
        <v>2</v>
      </c>
      <c r="Y3987">
        <v>0</v>
      </c>
      <c r="AA3987">
        <v>1</v>
      </c>
      <c r="AB3987">
        <v>8</v>
      </c>
      <c r="AC3987">
        <v>3</v>
      </c>
      <c r="AD3987">
        <v>0</v>
      </c>
      <c r="AE3987">
        <v>9</v>
      </c>
      <c r="AF3987" t="s">
        <v>138</v>
      </c>
      <c r="AG3987">
        <v>0</v>
      </c>
      <c r="AH3987">
        <v>3</v>
      </c>
      <c r="AI3987">
        <v>2</v>
      </c>
      <c r="AJ3987">
        <v>0</v>
      </c>
      <c r="AK3987" t="s">
        <v>1262</v>
      </c>
      <c r="AL3987">
        <v>39.180957999999997</v>
      </c>
      <c r="AM3987" t="s">
        <v>1263</v>
      </c>
      <c r="AN3987">
        <v>-121.026893</v>
      </c>
      <c r="AO3987">
        <v>25</v>
      </c>
      <c r="AP3987">
        <v>4400</v>
      </c>
      <c r="AQ3987" t="s">
        <v>131</v>
      </c>
      <c r="AR3987">
        <v>31</v>
      </c>
      <c r="AS3987">
        <v>73</v>
      </c>
      <c r="AT3987">
        <v>320</v>
      </c>
      <c r="BB3987" t="str">
        <f t="shared" si="1574"/>
        <v>1200</v>
      </c>
      <c r="BC3987">
        <v>1</v>
      </c>
      <c r="BD3987" t="str">
        <f t="shared" si="1575"/>
        <v xml:space="preserve">N52156  </v>
      </c>
      <c r="BE3987">
        <v>1</v>
      </c>
      <c r="BG3987">
        <v>0</v>
      </c>
      <c r="BH3987">
        <v>0</v>
      </c>
      <c r="BI3987">
        <v>0</v>
      </c>
      <c r="BJ3987">
        <v>4475</v>
      </c>
      <c r="BK3987">
        <v>75</v>
      </c>
      <c r="BL3987" t="s">
        <v>188</v>
      </c>
      <c r="BM3987">
        <v>1</v>
      </c>
      <c r="BN3987">
        <v>1</v>
      </c>
      <c r="BO3987">
        <v>0</v>
      </c>
      <c r="BP3987">
        <v>0</v>
      </c>
      <c r="BS3987">
        <v>0</v>
      </c>
      <c r="BT3987">
        <v>0</v>
      </c>
      <c r="BU3987">
        <v>0</v>
      </c>
      <c r="CE3987" t="str">
        <f t="shared" si="1581"/>
        <v>15:15:36.619</v>
      </c>
      <c r="CF3987">
        <v>619075611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3</v>
      </c>
      <c r="CY3987">
        <v>7</v>
      </c>
      <c r="CZ3987" t="s">
        <v>133</v>
      </c>
      <c r="DA3987">
        <v>276</v>
      </c>
      <c r="DB3987">
        <v>0</v>
      </c>
      <c r="DC3987" t="s">
        <v>402</v>
      </c>
      <c r="DD3987" t="s">
        <v>403</v>
      </c>
      <c r="DG3987">
        <v>1628339</v>
      </c>
      <c r="DI3987">
        <v>1</v>
      </c>
      <c r="DJ3987">
        <v>0</v>
      </c>
      <c r="DK3987">
        <v>1</v>
      </c>
      <c r="DL3987">
        <v>0</v>
      </c>
      <c r="DM3987">
        <v>0</v>
      </c>
      <c r="DN3987">
        <v>0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 x14ac:dyDescent="0.3">
      <c r="A3988" t="str">
        <f>"05/01/2025 15:15:36.854"</f>
        <v>05/01/2025 15:15:36.854</v>
      </c>
      <c r="C3988" t="str">
        <f t="shared" si="1572"/>
        <v>FFDFD3C0</v>
      </c>
      <c r="D3988" t="s">
        <v>145</v>
      </c>
      <c r="E3988" t="str">
        <f>"05"</f>
        <v>05</v>
      </c>
      <c r="H3988">
        <v>47</v>
      </c>
      <c r="I3988" t="s">
        <v>146</v>
      </c>
      <c r="J3988" t="s">
        <v>138</v>
      </c>
      <c r="K3988">
        <v>0</v>
      </c>
      <c r="L3988">
        <v>3</v>
      </c>
      <c r="M3988">
        <v>0</v>
      </c>
      <c r="N3988">
        <v>2</v>
      </c>
      <c r="O3988">
        <v>0</v>
      </c>
      <c r="P3988">
        <v>1</v>
      </c>
      <c r="Q3988">
        <v>0</v>
      </c>
      <c r="R3988" t="s">
        <v>127</v>
      </c>
      <c r="S3988" t="str">
        <f t="shared" si="1580"/>
        <v>15:15:36.000</v>
      </c>
      <c r="T3988" t="str">
        <f t="shared" si="1580"/>
        <v>15:15:36.000</v>
      </c>
      <c r="U3988" t="str">
        <f t="shared" si="1573"/>
        <v>A68FCB</v>
      </c>
      <c r="V3988">
        <v>0</v>
      </c>
      <c r="W3988">
        <v>0</v>
      </c>
      <c r="X3988">
        <v>2</v>
      </c>
      <c r="Y3988">
        <v>0</v>
      </c>
      <c r="AA3988">
        <v>1</v>
      </c>
      <c r="AB3988">
        <v>8</v>
      </c>
      <c r="AC3988">
        <v>3</v>
      </c>
      <c r="AD3988">
        <v>0</v>
      </c>
      <c r="AE3988">
        <v>9</v>
      </c>
      <c r="AF3988" t="s">
        <v>138</v>
      </c>
      <c r="AG3988">
        <v>0</v>
      </c>
      <c r="AH3988">
        <v>3</v>
      </c>
      <c r="AI3988">
        <v>2</v>
      </c>
      <c r="AJ3988">
        <v>0</v>
      </c>
      <c r="AK3988" t="s">
        <v>1262</v>
      </c>
      <c r="AL3988">
        <v>39.180957999999997</v>
      </c>
      <c r="AM3988" t="s">
        <v>1263</v>
      </c>
      <c r="AN3988">
        <v>-121.026893</v>
      </c>
      <c r="AO3988">
        <v>25</v>
      </c>
      <c r="AP3988">
        <v>4400</v>
      </c>
      <c r="AQ3988" t="s">
        <v>131</v>
      </c>
      <c r="AR3988">
        <v>31</v>
      </c>
      <c r="AS3988">
        <v>73</v>
      </c>
      <c r="AT3988">
        <v>320</v>
      </c>
      <c r="BB3988" t="str">
        <f t="shared" si="1574"/>
        <v>1200</v>
      </c>
      <c r="BC3988">
        <v>1</v>
      </c>
      <c r="BD3988" t="str">
        <f t="shared" si="1575"/>
        <v xml:space="preserve">N52156  </v>
      </c>
      <c r="BE3988">
        <v>1</v>
      </c>
      <c r="BG3988">
        <v>0</v>
      </c>
      <c r="BH3988">
        <v>0</v>
      </c>
      <c r="BI3988">
        <v>0</v>
      </c>
      <c r="BJ3988">
        <v>4475</v>
      </c>
      <c r="BK3988">
        <v>75</v>
      </c>
      <c r="BL3988" t="s">
        <v>188</v>
      </c>
      <c r="BM3988">
        <v>1</v>
      </c>
      <c r="BN3988">
        <v>1</v>
      </c>
      <c r="BO3988">
        <v>0</v>
      </c>
      <c r="BP3988">
        <v>0</v>
      </c>
      <c r="BS3988">
        <v>0</v>
      </c>
      <c r="BT3988">
        <v>0</v>
      </c>
      <c r="BU3988">
        <v>0</v>
      </c>
      <c r="CE3988" t="str">
        <f t="shared" si="1581"/>
        <v>15:15:36.619</v>
      </c>
      <c r="CF3988">
        <v>619075611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3</v>
      </c>
      <c r="CY3988">
        <v>7</v>
      </c>
      <c r="CZ3988" t="s">
        <v>133</v>
      </c>
      <c r="DA3988">
        <v>276</v>
      </c>
      <c r="DB3988">
        <v>0</v>
      </c>
      <c r="DC3988" t="s">
        <v>402</v>
      </c>
      <c r="DD3988" t="s">
        <v>403</v>
      </c>
      <c r="DG3988">
        <v>1628339</v>
      </c>
      <c r="DI3988">
        <v>1</v>
      </c>
      <c r="DJ3988">
        <v>0</v>
      </c>
      <c r="DK3988">
        <v>1</v>
      </c>
      <c r="DL3988">
        <v>0</v>
      </c>
      <c r="DM3988">
        <v>0</v>
      </c>
      <c r="DN3988">
        <v>0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 x14ac:dyDescent="0.3">
      <c r="A3989" t="str">
        <f>"05/01/2025 15:15:36.864"</f>
        <v>05/01/2025 15:15:36.864</v>
      </c>
      <c r="C3989" t="str">
        <f t="shared" si="1572"/>
        <v>FFDFD3C0</v>
      </c>
      <c r="D3989" t="s">
        <v>136</v>
      </c>
      <c r="E3989" t="str">
        <f>"20"</f>
        <v>20</v>
      </c>
      <c r="H3989">
        <v>400</v>
      </c>
      <c r="I3989" t="s">
        <v>137</v>
      </c>
      <c r="J3989" t="s">
        <v>138</v>
      </c>
      <c r="K3989">
        <v>0</v>
      </c>
      <c r="L3989">
        <v>3</v>
      </c>
      <c r="M3989">
        <v>0</v>
      </c>
      <c r="N3989">
        <v>2</v>
      </c>
      <c r="O3989">
        <v>0</v>
      </c>
      <c r="P3989">
        <v>1</v>
      </c>
      <c r="Q3989">
        <v>0</v>
      </c>
      <c r="R3989" t="s">
        <v>127</v>
      </c>
      <c r="S3989" t="str">
        <f t="shared" si="1580"/>
        <v>15:15:36.000</v>
      </c>
      <c r="T3989" t="str">
        <f t="shared" si="1580"/>
        <v>15:15:36.000</v>
      </c>
      <c r="U3989" t="str">
        <f t="shared" si="1573"/>
        <v>A68FCB</v>
      </c>
      <c r="V3989">
        <v>0</v>
      </c>
      <c r="W3989">
        <v>0</v>
      </c>
      <c r="X3989">
        <v>2</v>
      </c>
      <c r="Y3989">
        <v>0</v>
      </c>
      <c r="AA3989">
        <v>1</v>
      </c>
      <c r="AB3989">
        <v>8</v>
      </c>
      <c r="AC3989">
        <v>3</v>
      </c>
      <c r="AD3989">
        <v>0</v>
      </c>
      <c r="AE3989">
        <v>9</v>
      </c>
      <c r="AF3989" t="s">
        <v>138</v>
      </c>
      <c r="AG3989">
        <v>0</v>
      </c>
      <c r="AH3989">
        <v>3</v>
      </c>
      <c r="AI3989">
        <v>2</v>
      </c>
      <c r="AJ3989">
        <v>0</v>
      </c>
      <c r="AK3989" t="s">
        <v>1262</v>
      </c>
      <c r="AL3989">
        <v>39.180957999999997</v>
      </c>
      <c r="AM3989" t="s">
        <v>1263</v>
      </c>
      <c r="AN3989">
        <v>-121.026893</v>
      </c>
      <c r="AO3989">
        <v>25</v>
      </c>
      <c r="AP3989">
        <v>4400</v>
      </c>
      <c r="AQ3989" t="s">
        <v>131</v>
      </c>
      <c r="AR3989">
        <v>31</v>
      </c>
      <c r="AS3989">
        <v>73</v>
      </c>
      <c r="AT3989">
        <v>320</v>
      </c>
      <c r="BB3989" t="str">
        <f t="shared" si="1574"/>
        <v>1200</v>
      </c>
      <c r="BC3989">
        <v>1</v>
      </c>
      <c r="BD3989" t="str">
        <f t="shared" si="1575"/>
        <v xml:space="preserve">N52156  </v>
      </c>
      <c r="BE3989">
        <v>1</v>
      </c>
      <c r="BG3989">
        <v>0</v>
      </c>
      <c r="BH3989">
        <v>0</v>
      </c>
      <c r="BI3989">
        <v>0</v>
      </c>
      <c r="BJ3989">
        <v>4475</v>
      </c>
      <c r="BK3989">
        <v>75</v>
      </c>
      <c r="BL3989" t="s">
        <v>188</v>
      </c>
      <c r="BM3989">
        <v>1</v>
      </c>
      <c r="BN3989">
        <v>1</v>
      </c>
      <c r="BO3989">
        <v>0</v>
      </c>
      <c r="BP3989">
        <v>0</v>
      </c>
      <c r="BS3989">
        <v>0</v>
      </c>
      <c r="BT3989">
        <v>0</v>
      </c>
      <c r="BU3989">
        <v>0</v>
      </c>
      <c r="CE3989" t="str">
        <f t="shared" si="1581"/>
        <v>15:15:36.619</v>
      </c>
      <c r="CF3989">
        <v>619075611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3</v>
      </c>
      <c r="CY3989">
        <v>7</v>
      </c>
      <c r="CZ3989" t="s">
        <v>133</v>
      </c>
      <c r="DA3989">
        <v>276</v>
      </c>
      <c r="DB3989">
        <v>0</v>
      </c>
      <c r="DC3989" t="s">
        <v>402</v>
      </c>
      <c r="DD3989" t="s">
        <v>403</v>
      </c>
      <c r="DG3989">
        <v>1628339</v>
      </c>
      <c r="DI3989">
        <v>1</v>
      </c>
      <c r="DJ3989">
        <v>0</v>
      </c>
      <c r="DK3989">
        <v>1</v>
      </c>
      <c r="DL3989">
        <v>0</v>
      </c>
      <c r="DM3989">
        <v>0</v>
      </c>
      <c r="DN3989">
        <v>0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 x14ac:dyDescent="0.3">
      <c r="A3990" t="str">
        <f>"05/01/2025 15:15:36.885"</f>
        <v>05/01/2025 15:15:36.885</v>
      </c>
      <c r="C3990" t="str">
        <f t="shared" si="1572"/>
        <v>FFDFD3C0</v>
      </c>
      <c r="D3990" t="s">
        <v>143</v>
      </c>
      <c r="E3990" t="str">
        <f>"05"</f>
        <v>05</v>
      </c>
      <c r="H3990">
        <v>172</v>
      </c>
      <c r="I3990" t="s">
        <v>141</v>
      </c>
      <c r="J3990" t="s">
        <v>144</v>
      </c>
      <c r="K3990">
        <v>0</v>
      </c>
      <c r="L3990">
        <v>3</v>
      </c>
      <c r="M3990">
        <v>0</v>
      </c>
      <c r="N3990">
        <v>2</v>
      </c>
      <c r="O3990">
        <v>0</v>
      </c>
      <c r="P3990">
        <v>1</v>
      </c>
      <c r="Q3990">
        <v>0</v>
      </c>
      <c r="R3990" t="s">
        <v>127</v>
      </c>
      <c r="S3990" t="str">
        <f t="shared" si="1580"/>
        <v>15:15:36.000</v>
      </c>
      <c r="T3990" t="str">
        <f t="shared" si="1580"/>
        <v>15:15:36.000</v>
      </c>
      <c r="U3990" t="str">
        <f t="shared" si="1573"/>
        <v>A68FCB</v>
      </c>
      <c r="V3990">
        <v>0</v>
      </c>
      <c r="W3990">
        <v>0</v>
      </c>
      <c r="X3990">
        <v>2</v>
      </c>
      <c r="Y3990">
        <v>0</v>
      </c>
      <c r="AA3990">
        <v>1</v>
      </c>
      <c r="AB3990">
        <v>8</v>
      </c>
      <c r="AC3990">
        <v>3</v>
      </c>
      <c r="AD3990">
        <v>0</v>
      </c>
      <c r="AE3990">
        <v>9</v>
      </c>
      <c r="AF3990" t="s">
        <v>138</v>
      </c>
      <c r="AG3990">
        <v>0</v>
      </c>
      <c r="AH3990">
        <v>3</v>
      </c>
      <c r="AI3990">
        <v>2</v>
      </c>
      <c r="AJ3990">
        <v>0</v>
      </c>
      <c r="AK3990" t="s">
        <v>1262</v>
      </c>
      <c r="AL3990">
        <v>39.180957999999997</v>
      </c>
      <c r="AM3990" t="s">
        <v>1263</v>
      </c>
      <c r="AN3990">
        <v>-121.026893</v>
      </c>
      <c r="AO3990">
        <v>25</v>
      </c>
      <c r="AP3990">
        <v>4400</v>
      </c>
      <c r="AQ3990" t="s">
        <v>131</v>
      </c>
      <c r="AR3990">
        <v>31</v>
      </c>
      <c r="AS3990">
        <v>73</v>
      </c>
      <c r="AT3990">
        <v>320</v>
      </c>
      <c r="BB3990" t="str">
        <f t="shared" si="1574"/>
        <v>1200</v>
      </c>
      <c r="BC3990">
        <v>1</v>
      </c>
      <c r="BD3990" t="str">
        <f t="shared" si="1575"/>
        <v xml:space="preserve">N52156  </v>
      </c>
      <c r="BE3990">
        <v>1</v>
      </c>
      <c r="BG3990">
        <v>0</v>
      </c>
      <c r="BH3990">
        <v>0</v>
      </c>
      <c r="BI3990">
        <v>0</v>
      </c>
      <c r="BJ3990">
        <v>4475</v>
      </c>
      <c r="BK3990">
        <v>75</v>
      </c>
      <c r="BL3990" t="s">
        <v>188</v>
      </c>
      <c r="BM3990">
        <v>1</v>
      </c>
      <c r="BN3990">
        <v>1</v>
      </c>
      <c r="BO3990">
        <v>0</v>
      </c>
      <c r="BP3990">
        <v>0</v>
      </c>
      <c r="BS3990">
        <v>0</v>
      </c>
      <c r="BT3990">
        <v>0</v>
      </c>
      <c r="BU3990">
        <v>0</v>
      </c>
      <c r="CE3990" t="str">
        <f t="shared" si="1581"/>
        <v>15:15:36.619</v>
      </c>
      <c r="CF3990">
        <v>619075611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3</v>
      </c>
      <c r="CY3990">
        <v>7</v>
      </c>
      <c r="CZ3990" t="s">
        <v>133</v>
      </c>
      <c r="DA3990">
        <v>276</v>
      </c>
      <c r="DB3990">
        <v>0</v>
      </c>
      <c r="DC3990" t="s">
        <v>402</v>
      </c>
      <c r="DD3990" t="s">
        <v>403</v>
      </c>
      <c r="DG3990">
        <v>1628339</v>
      </c>
      <c r="DI3990">
        <v>1</v>
      </c>
      <c r="DJ3990">
        <v>0</v>
      </c>
      <c r="DK3990">
        <v>1</v>
      </c>
      <c r="DL3990">
        <v>0</v>
      </c>
      <c r="DM3990">
        <v>0</v>
      </c>
      <c r="DN3990">
        <v>0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 x14ac:dyDescent="0.3">
      <c r="A3991" t="str">
        <f>"05/01/2025 15:15:36.886"</f>
        <v>05/01/2025 15:15:36.886</v>
      </c>
      <c r="C3991" t="str">
        <f t="shared" si="1572"/>
        <v>FFDFD3C0</v>
      </c>
      <c r="D3991" t="s">
        <v>140</v>
      </c>
      <c r="E3991" t="str">
        <f>"13"</f>
        <v>13</v>
      </c>
      <c r="F3991">
        <v>1019</v>
      </c>
      <c r="G3991" t="s">
        <v>141</v>
      </c>
      <c r="J3991" t="s">
        <v>142</v>
      </c>
      <c r="K3991">
        <v>0</v>
      </c>
      <c r="L3991">
        <v>3</v>
      </c>
      <c r="M3991">
        <v>0</v>
      </c>
      <c r="N3991">
        <v>2</v>
      </c>
      <c r="O3991">
        <v>0</v>
      </c>
      <c r="P3991">
        <v>1</v>
      </c>
      <c r="Q3991">
        <v>0</v>
      </c>
      <c r="R3991" t="s">
        <v>127</v>
      </c>
      <c r="S3991" t="str">
        <f t="shared" si="1580"/>
        <v>15:15:36.000</v>
      </c>
      <c r="T3991" t="str">
        <f t="shared" si="1580"/>
        <v>15:15:36.000</v>
      </c>
      <c r="U3991" t="str">
        <f t="shared" si="1573"/>
        <v>A68FCB</v>
      </c>
      <c r="V3991">
        <v>0</v>
      </c>
      <c r="W3991">
        <v>0</v>
      </c>
      <c r="X3991">
        <v>2</v>
      </c>
      <c r="Y3991">
        <v>0</v>
      </c>
      <c r="AA3991">
        <v>1</v>
      </c>
      <c r="AB3991">
        <v>8</v>
      </c>
      <c r="AC3991">
        <v>3</v>
      </c>
      <c r="AD3991">
        <v>0</v>
      </c>
      <c r="AE3991">
        <v>9</v>
      </c>
      <c r="AF3991" t="s">
        <v>138</v>
      </c>
      <c r="AG3991">
        <v>0</v>
      </c>
      <c r="AH3991">
        <v>3</v>
      </c>
      <c r="AI3991">
        <v>2</v>
      </c>
      <c r="AJ3991">
        <v>0</v>
      </c>
      <c r="AK3991" t="s">
        <v>1262</v>
      </c>
      <c r="AL3991">
        <v>39.180957999999997</v>
      </c>
      <c r="AM3991" t="s">
        <v>1263</v>
      </c>
      <c r="AN3991">
        <v>-121.026893</v>
      </c>
      <c r="AO3991">
        <v>25</v>
      </c>
      <c r="AP3991">
        <v>4400</v>
      </c>
      <c r="AQ3991" t="s">
        <v>131</v>
      </c>
      <c r="AR3991">
        <v>31</v>
      </c>
      <c r="AS3991">
        <v>73</v>
      </c>
      <c r="AT3991">
        <v>320</v>
      </c>
      <c r="BB3991" t="str">
        <f t="shared" si="1574"/>
        <v>1200</v>
      </c>
      <c r="BC3991">
        <v>1</v>
      </c>
      <c r="BD3991" t="str">
        <f t="shared" si="1575"/>
        <v xml:space="preserve">N52156  </v>
      </c>
      <c r="BE3991">
        <v>1</v>
      </c>
      <c r="BG3991">
        <v>0</v>
      </c>
      <c r="BH3991">
        <v>0</v>
      </c>
      <c r="BI3991">
        <v>0</v>
      </c>
      <c r="BJ3991">
        <v>4475</v>
      </c>
      <c r="BK3991">
        <v>75</v>
      </c>
      <c r="BL3991" t="s">
        <v>188</v>
      </c>
      <c r="BM3991">
        <v>1</v>
      </c>
      <c r="BN3991">
        <v>1</v>
      </c>
      <c r="BO3991">
        <v>0</v>
      </c>
      <c r="BP3991">
        <v>0</v>
      </c>
      <c r="BS3991">
        <v>0</v>
      </c>
      <c r="BT3991">
        <v>0</v>
      </c>
      <c r="BU3991">
        <v>0</v>
      </c>
      <c r="CE3991" t="str">
        <f t="shared" si="1581"/>
        <v>15:15:36.619</v>
      </c>
      <c r="CF3991">
        <v>619075611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3</v>
      </c>
      <c r="CY3991">
        <v>7</v>
      </c>
      <c r="CZ3991" t="s">
        <v>133</v>
      </c>
      <c r="DA3991">
        <v>276</v>
      </c>
      <c r="DB3991">
        <v>0</v>
      </c>
      <c r="DC3991" t="s">
        <v>402</v>
      </c>
      <c r="DD3991" t="s">
        <v>403</v>
      </c>
      <c r="DG3991">
        <v>1628339</v>
      </c>
      <c r="DI3991">
        <v>1</v>
      </c>
      <c r="DJ3991">
        <v>0</v>
      </c>
      <c r="DK3991">
        <v>1</v>
      </c>
      <c r="DL3991">
        <v>0</v>
      </c>
      <c r="DM3991">
        <v>0</v>
      </c>
      <c r="DN3991">
        <v>0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 x14ac:dyDescent="0.3">
      <c r="A3992" t="str">
        <f>"05/01/2025 15:15:37.836"</f>
        <v>05/01/2025 15:15:37.836</v>
      </c>
      <c r="C3992" t="str">
        <f t="shared" si="1572"/>
        <v>FFDFD3C0</v>
      </c>
      <c r="D3992" t="s">
        <v>143</v>
      </c>
      <c r="E3992" t="str">
        <f>"05"</f>
        <v>05</v>
      </c>
      <c r="H3992">
        <v>172</v>
      </c>
      <c r="I3992" t="s">
        <v>141</v>
      </c>
      <c r="J3992" t="s">
        <v>144</v>
      </c>
      <c r="K3992">
        <v>0</v>
      </c>
      <c r="L3992">
        <v>3</v>
      </c>
      <c r="M3992">
        <v>0</v>
      </c>
      <c r="N3992">
        <v>2</v>
      </c>
      <c r="O3992">
        <v>0</v>
      </c>
      <c r="P3992">
        <v>1</v>
      </c>
      <c r="Q3992">
        <v>0</v>
      </c>
      <c r="R3992" t="s">
        <v>127</v>
      </c>
      <c r="S3992" t="str">
        <f t="shared" ref="S3992:T3997" si="1582">"15:15:37.000"</f>
        <v>15:15:37.000</v>
      </c>
      <c r="T3992" t="str">
        <f t="shared" si="1582"/>
        <v>15:15:37.000</v>
      </c>
      <c r="U3992" t="str">
        <f t="shared" si="1573"/>
        <v>A68FCB</v>
      </c>
      <c r="V3992">
        <v>0</v>
      </c>
      <c r="W3992">
        <v>0</v>
      </c>
      <c r="X3992">
        <v>2</v>
      </c>
      <c r="Y3992">
        <v>0</v>
      </c>
      <c r="AA3992">
        <v>1</v>
      </c>
      <c r="AB3992">
        <v>8</v>
      </c>
      <c r="AC3992">
        <v>3</v>
      </c>
      <c r="AD3992">
        <v>0</v>
      </c>
      <c r="AE3992">
        <v>9</v>
      </c>
      <c r="AF3992" t="s">
        <v>138</v>
      </c>
      <c r="AG3992">
        <v>0</v>
      </c>
      <c r="AH3992">
        <v>3</v>
      </c>
      <c r="AI3992">
        <v>2</v>
      </c>
      <c r="AJ3992">
        <v>0</v>
      </c>
      <c r="AK3992" t="s">
        <v>1264</v>
      </c>
      <c r="AL3992">
        <v>39.181302000000002</v>
      </c>
      <c r="AM3992" t="s">
        <v>1265</v>
      </c>
      <c r="AN3992">
        <v>-121.02670000000001</v>
      </c>
      <c r="AO3992">
        <v>25</v>
      </c>
      <c r="AP3992">
        <v>4400</v>
      </c>
      <c r="AQ3992" t="s">
        <v>131</v>
      </c>
      <c r="AR3992">
        <v>32</v>
      </c>
      <c r="AS3992">
        <v>72</v>
      </c>
      <c r="AT3992">
        <v>256</v>
      </c>
      <c r="BB3992" t="str">
        <f t="shared" si="1574"/>
        <v>1200</v>
      </c>
      <c r="BC3992">
        <v>1</v>
      </c>
      <c r="BD3992" t="str">
        <f t="shared" si="1575"/>
        <v xml:space="preserve">N52156  </v>
      </c>
      <c r="BE3992">
        <v>1</v>
      </c>
      <c r="BG3992">
        <v>0</v>
      </c>
      <c r="BH3992">
        <v>0</v>
      </c>
      <c r="BI3992">
        <v>0</v>
      </c>
      <c r="BJ3992">
        <v>4475</v>
      </c>
      <c r="BK3992">
        <v>75</v>
      </c>
      <c r="BL3992" t="s">
        <v>188</v>
      </c>
      <c r="BM3992">
        <v>1</v>
      </c>
      <c r="BN3992">
        <v>1</v>
      </c>
      <c r="BO3992">
        <v>0</v>
      </c>
      <c r="BP3992">
        <v>0</v>
      </c>
      <c r="BS3992">
        <v>0</v>
      </c>
      <c r="BT3992">
        <v>0</v>
      </c>
      <c r="BU3992">
        <v>0</v>
      </c>
      <c r="CE3992" t="str">
        <f t="shared" ref="CE3992:CE3997" si="1583">"15:15:37.628"</f>
        <v>15:15:37.628</v>
      </c>
      <c r="CF3992">
        <v>627825697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3</v>
      </c>
      <c r="CY3992">
        <v>7</v>
      </c>
      <c r="CZ3992" t="s">
        <v>133</v>
      </c>
      <c r="DA3992">
        <v>276</v>
      </c>
      <c r="DB3992">
        <v>0</v>
      </c>
      <c r="DC3992" t="s">
        <v>402</v>
      </c>
      <c r="DD3992" t="s">
        <v>403</v>
      </c>
      <c r="DG3992">
        <v>1628341</v>
      </c>
      <c r="DI3992">
        <v>1</v>
      </c>
      <c r="DJ3992">
        <v>0</v>
      </c>
      <c r="DK3992">
        <v>0</v>
      </c>
      <c r="DL3992">
        <v>0</v>
      </c>
      <c r="DM3992">
        <v>0</v>
      </c>
      <c r="DN3992">
        <v>0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 x14ac:dyDescent="0.3">
      <c r="A3993" t="str">
        <f>"05/01/2025 15:15:37.838"</f>
        <v>05/01/2025 15:15:37.838</v>
      </c>
      <c r="C3993" t="str">
        <f t="shared" si="1572"/>
        <v>FFDFD3C0</v>
      </c>
      <c r="D3993" t="s">
        <v>140</v>
      </c>
      <c r="E3993" t="str">
        <f>"13"</f>
        <v>13</v>
      </c>
      <c r="F3993">
        <v>1019</v>
      </c>
      <c r="G3993" t="s">
        <v>141</v>
      </c>
      <c r="J3993" t="s">
        <v>142</v>
      </c>
      <c r="K3993">
        <v>0</v>
      </c>
      <c r="L3993">
        <v>3</v>
      </c>
      <c r="M3993">
        <v>0</v>
      </c>
      <c r="N3993">
        <v>2</v>
      </c>
      <c r="O3993">
        <v>0</v>
      </c>
      <c r="P3993">
        <v>1</v>
      </c>
      <c r="Q3993">
        <v>0</v>
      </c>
      <c r="R3993" t="s">
        <v>127</v>
      </c>
      <c r="S3993" t="str">
        <f t="shared" si="1582"/>
        <v>15:15:37.000</v>
      </c>
      <c r="T3993" t="str">
        <f t="shared" si="1582"/>
        <v>15:15:37.000</v>
      </c>
      <c r="U3993" t="str">
        <f t="shared" si="1573"/>
        <v>A68FCB</v>
      </c>
      <c r="V3993">
        <v>0</v>
      </c>
      <c r="W3993">
        <v>0</v>
      </c>
      <c r="X3993">
        <v>2</v>
      </c>
      <c r="Y3993">
        <v>0</v>
      </c>
      <c r="AA3993">
        <v>1</v>
      </c>
      <c r="AB3993">
        <v>8</v>
      </c>
      <c r="AC3993">
        <v>3</v>
      </c>
      <c r="AD3993">
        <v>0</v>
      </c>
      <c r="AE3993">
        <v>9</v>
      </c>
      <c r="AF3993" t="s">
        <v>138</v>
      </c>
      <c r="AG3993">
        <v>0</v>
      </c>
      <c r="AH3993">
        <v>3</v>
      </c>
      <c r="AI3993">
        <v>2</v>
      </c>
      <c r="AJ3993">
        <v>0</v>
      </c>
      <c r="AK3993" t="s">
        <v>1264</v>
      </c>
      <c r="AL3993">
        <v>39.181302000000002</v>
      </c>
      <c r="AM3993" t="s">
        <v>1265</v>
      </c>
      <c r="AN3993">
        <v>-121.02670000000001</v>
      </c>
      <c r="AO3993">
        <v>25</v>
      </c>
      <c r="AP3993">
        <v>4400</v>
      </c>
      <c r="AQ3993" t="s">
        <v>131</v>
      </c>
      <c r="AR3993">
        <v>32</v>
      </c>
      <c r="AS3993">
        <v>72</v>
      </c>
      <c r="AT3993">
        <v>256</v>
      </c>
      <c r="BB3993" t="str">
        <f t="shared" si="1574"/>
        <v>1200</v>
      </c>
      <c r="BC3993">
        <v>1</v>
      </c>
      <c r="BD3993" t="str">
        <f t="shared" si="1575"/>
        <v xml:space="preserve">N52156  </v>
      </c>
      <c r="BE3993">
        <v>1</v>
      </c>
      <c r="BG3993">
        <v>0</v>
      </c>
      <c r="BH3993">
        <v>0</v>
      </c>
      <c r="BI3993">
        <v>0</v>
      </c>
      <c r="BJ3993">
        <v>4475</v>
      </c>
      <c r="BK3993">
        <v>75</v>
      </c>
      <c r="BL3993" t="s">
        <v>188</v>
      </c>
      <c r="BM3993">
        <v>1</v>
      </c>
      <c r="BN3993">
        <v>1</v>
      </c>
      <c r="BO3993">
        <v>0</v>
      </c>
      <c r="BP3993">
        <v>0</v>
      </c>
      <c r="BS3993">
        <v>0</v>
      </c>
      <c r="BT3993">
        <v>0</v>
      </c>
      <c r="BU3993">
        <v>0</v>
      </c>
      <c r="CE3993" t="str">
        <f t="shared" si="1583"/>
        <v>15:15:37.628</v>
      </c>
      <c r="CF3993">
        <v>627825697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3</v>
      </c>
      <c r="CY3993">
        <v>7</v>
      </c>
      <c r="CZ3993" t="s">
        <v>133</v>
      </c>
      <c r="DA3993">
        <v>276</v>
      </c>
      <c r="DB3993">
        <v>0</v>
      </c>
      <c r="DC3993" t="s">
        <v>402</v>
      </c>
      <c r="DD3993" t="s">
        <v>403</v>
      </c>
      <c r="DG3993">
        <v>1628341</v>
      </c>
      <c r="DI3993">
        <v>1</v>
      </c>
      <c r="DJ3993">
        <v>0</v>
      </c>
      <c r="DK3993">
        <v>1</v>
      </c>
      <c r="DL3993">
        <v>0</v>
      </c>
      <c r="DM3993">
        <v>0</v>
      </c>
      <c r="DN3993">
        <v>0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 x14ac:dyDescent="0.3">
      <c r="A3994" t="str">
        <f>"05/01/2025 15:15:37.844"</f>
        <v>05/01/2025 15:15:37.844</v>
      </c>
      <c r="C3994" t="str">
        <f t="shared" si="1572"/>
        <v>FFDFD3C0</v>
      </c>
      <c r="D3994" t="s">
        <v>124</v>
      </c>
      <c r="E3994" t="str">
        <f>"06"</f>
        <v>06</v>
      </c>
      <c r="F3994">
        <v>2006</v>
      </c>
      <c r="G3994" t="s">
        <v>125</v>
      </c>
      <c r="J3994" t="s">
        <v>126</v>
      </c>
      <c r="K3994">
        <v>0</v>
      </c>
      <c r="L3994">
        <v>3</v>
      </c>
      <c r="M3994">
        <v>0</v>
      </c>
      <c r="N3994">
        <v>2</v>
      </c>
      <c r="O3994">
        <v>0</v>
      </c>
      <c r="P3994">
        <v>1</v>
      </c>
      <c r="Q3994">
        <v>0</v>
      </c>
      <c r="R3994" t="s">
        <v>127</v>
      </c>
      <c r="S3994" t="str">
        <f t="shared" si="1582"/>
        <v>15:15:37.000</v>
      </c>
      <c r="T3994" t="str">
        <f t="shared" si="1582"/>
        <v>15:15:37.000</v>
      </c>
      <c r="U3994" t="str">
        <f t="shared" si="1573"/>
        <v>A68FCB</v>
      </c>
      <c r="V3994">
        <v>0</v>
      </c>
      <c r="W3994">
        <v>0</v>
      </c>
      <c r="X3994">
        <v>2</v>
      </c>
      <c r="Y3994">
        <v>0</v>
      </c>
      <c r="AA3994">
        <v>1</v>
      </c>
      <c r="AB3994">
        <v>8</v>
      </c>
      <c r="AC3994">
        <v>3</v>
      </c>
      <c r="AD3994">
        <v>0</v>
      </c>
      <c r="AE3994">
        <v>9</v>
      </c>
      <c r="AF3994" t="s">
        <v>138</v>
      </c>
      <c r="AG3994">
        <v>0</v>
      </c>
      <c r="AH3994">
        <v>3</v>
      </c>
      <c r="AI3994">
        <v>2</v>
      </c>
      <c r="AJ3994">
        <v>0</v>
      </c>
      <c r="AK3994" t="s">
        <v>1264</v>
      </c>
      <c r="AL3994">
        <v>39.181302000000002</v>
      </c>
      <c r="AM3994" t="s">
        <v>1265</v>
      </c>
      <c r="AN3994">
        <v>-121.02670000000001</v>
      </c>
      <c r="AO3994">
        <v>25</v>
      </c>
      <c r="AP3994">
        <v>4400</v>
      </c>
      <c r="AQ3994" t="s">
        <v>131</v>
      </c>
      <c r="AR3994">
        <v>32</v>
      </c>
      <c r="AS3994">
        <v>72</v>
      </c>
      <c r="AT3994">
        <v>256</v>
      </c>
      <c r="BB3994" t="str">
        <f t="shared" si="1574"/>
        <v>1200</v>
      </c>
      <c r="BC3994">
        <v>1</v>
      </c>
      <c r="BD3994" t="str">
        <f t="shared" si="1575"/>
        <v xml:space="preserve">N52156  </v>
      </c>
      <c r="BE3994">
        <v>1</v>
      </c>
      <c r="BG3994">
        <v>0</v>
      </c>
      <c r="BH3994">
        <v>0</v>
      </c>
      <c r="BI3994">
        <v>0</v>
      </c>
      <c r="BJ3994">
        <v>4475</v>
      </c>
      <c r="BK3994">
        <v>75</v>
      </c>
      <c r="BL3994" t="s">
        <v>188</v>
      </c>
      <c r="BM3994">
        <v>1</v>
      </c>
      <c r="BN3994">
        <v>1</v>
      </c>
      <c r="BO3994">
        <v>0</v>
      </c>
      <c r="BP3994">
        <v>0</v>
      </c>
      <c r="BS3994">
        <v>0</v>
      </c>
      <c r="BT3994">
        <v>0</v>
      </c>
      <c r="BU3994">
        <v>0</v>
      </c>
      <c r="CE3994" t="str">
        <f t="shared" si="1583"/>
        <v>15:15:37.628</v>
      </c>
      <c r="CF3994">
        <v>627825697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3</v>
      </c>
      <c r="CY3994">
        <v>7</v>
      </c>
      <c r="CZ3994" t="s">
        <v>133</v>
      </c>
      <c r="DA3994">
        <v>276</v>
      </c>
      <c r="DB3994">
        <v>0</v>
      </c>
      <c r="DC3994" t="s">
        <v>402</v>
      </c>
      <c r="DD3994" t="s">
        <v>403</v>
      </c>
      <c r="DG3994">
        <v>1628341</v>
      </c>
      <c r="DI3994">
        <v>1</v>
      </c>
      <c r="DJ3994">
        <v>0</v>
      </c>
      <c r="DK3994">
        <v>1</v>
      </c>
      <c r="DL3994">
        <v>0</v>
      </c>
      <c r="DM3994">
        <v>0</v>
      </c>
      <c r="DN3994">
        <v>0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 x14ac:dyDescent="0.3">
      <c r="A3995" t="str">
        <f>"05/01/2025 15:15:37.851"</f>
        <v>05/01/2025 15:15:37.851</v>
      </c>
      <c r="C3995" t="str">
        <f t="shared" si="1572"/>
        <v>FFDFD3C0</v>
      </c>
      <c r="D3995" t="s">
        <v>145</v>
      </c>
      <c r="E3995" t="str">
        <f>"09"</f>
        <v>09</v>
      </c>
      <c r="H3995">
        <v>51</v>
      </c>
      <c r="I3995" t="s">
        <v>147</v>
      </c>
      <c r="J3995" t="s">
        <v>138</v>
      </c>
      <c r="K3995">
        <v>0</v>
      </c>
      <c r="L3995">
        <v>3</v>
      </c>
      <c r="M3995">
        <v>0</v>
      </c>
      <c r="N3995">
        <v>2</v>
      </c>
      <c r="O3995">
        <v>0</v>
      </c>
      <c r="P3995">
        <v>1</v>
      </c>
      <c r="Q3995">
        <v>0</v>
      </c>
      <c r="R3995" t="s">
        <v>127</v>
      </c>
      <c r="S3995" t="str">
        <f t="shared" si="1582"/>
        <v>15:15:37.000</v>
      </c>
      <c r="T3995" t="str">
        <f t="shared" si="1582"/>
        <v>15:15:37.000</v>
      </c>
      <c r="U3995" t="str">
        <f t="shared" si="1573"/>
        <v>A68FCB</v>
      </c>
      <c r="V3995">
        <v>0</v>
      </c>
      <c r="W3995">
        <v>0</v>
      </c>
      <c r="X3995">
        <v>2</v>
      </c>
      <c r="Y3995">
        <v>0</v>
      </c>
      <c r="AA3995">
        <v>1</v>
      </c>
      <c r="AB3995">
        <v>8</v>
      </c>
      <c r="AC3995">
        <v>3</v>
      </c>
      <c r="AD3995">
        <v>0</v>
      </c>
      <c r="AE3995">
        <v>9</v>
      </c>
      <c r="AF3995" t="s">
        <v>138</v>
      </c>
      <c r="AG3995">
        <v>0</v>
      </c>
      <c r="AH3995">
        <v>3</v>
      </c>
      <c r="AI3995">
        <v>2</v>
      </c>
      <c r="AJ3995">
        <v>0</v>
      </c>
      <c r="AK3995" t="s">
        <v>1264</v>
      </c>
      <c r="AL3995">
        <v>39.181302000000002</v>
      </c>
      <c r="AM3995" t="s">
        <v>1265</v>
      </c>
      <c r="AN3995">
        <v>-121.02670000000001</v>
      </c>
      <c r="AO3995">
        <v>25</v>
      </c>
      <c r="AP3995">
        <v>4400</v>
      </c>
      <c r="AQ3995" t="s">
        <v>131</v>
      </c>
      <c r="AR3995">
        <v>32</v>
      </c>
      <c r="AS3995">
        <v>72</v>
      </c>
      <c r="AT3995">
        <v>256</v>
      </c>
      <c r="BB3995" t="str">
        <f t="shared" si="1574"/>
        <v>1200</v>
      </c>
      <c r="BC3995">
        <v>1</v>
      </c>
      <c r="BD3995" t="str">
        <f t="shared" si="1575"/>
        <v xml:space="preserve">N52156  </v>
      </c>
      <c r="BE3995">
        <v>1</v>
      </c>
      <c r="BG3995">
        <v>0</v>
      </c>
      <c r="BH3995">
        <v>0</v>
      </c>
      <c r="BI3995">
        <v>0</v>
      </c>
      <c r="BJ3995">
        <v>4475</v>
      </c>
      <c r="BK3995">
        <v>75</v>
      </c>
      <c r="BL3995" t="s">
        <v>188</v>
      </c>
      <c r="BM3995">
        <v>1</v>
      </c>
      <c r="BN3995">
        <v>1</v>
      </c>
      <c r="BO3995">
        <v>0</v>
      </c>
      <c r="BP3995">
        <v>0</v>
      </c>
      <c r="BS3995">
        <v>0</v>
      </c>
      <c r="BT3995">
        <v>0</v>
      </c>
      <c r="BU3995">
        <v>0</v>
      </c>
      <c r="CE3995" t="str">
        <f t="shared" si="1583"/>
        <v>15:15:37.628</v>
      </c>
      <c r="CF3995">
        <v>627825697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3</v>
      </c>
      <c r="CY3995">
        <v>7</v>
      </c>
      <c r="CZ3995" t="s">
        <v>133</v>
      </c>
      <c r="DA3995">
        <v>276</v>
      </c>
      <c r="DB3995">
        <v>0</v>
      </c>
      <c r="DC3995" t="s">
        <v>402</v>
      </c>
      <c r="DD3995" t="s">
        <v>403</v>
      </c>
      <c r="DG3995">
        <v>1628341</v>
      </c>
      <c r="DI3995">
        <v>1</v>
      </c>
      <c r="DJ3995">
        <v>0</v>
      </c>
      <c r="DK3995">
        <v>1</v>
      </c>
      <c r="DL3995">
        <v>0</v>
      </c>
      <c r="DM3995">
        <v>0</v>
      </c>
      <c r="DN3995">
        <v>0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 x14ac:dyDescent="0.3">
      <c r="A3996" t="str">
        <f>"05/01/2025 15:15:37.856"</f>
        <v>05/01/2025 15:15:37.856</v>
      </c>
      <c r="C3996" t="str">
        <f t="shared" si="1572"/>
        <v>FFDFD3C0</v>
      </c>
      <c r="D3996" t="s">
        <v>145</v>
      </c>
      <c r="E3996" t="str">
        <f>"05"</f>
        <v>05</v>
      </c>
      <c r="H3996">
        <v>47</v>
      </c>
      <c r="I3996" t="s">
        <v>146</v>
      </c>
      <c r="J3996" t="s">
        <v>138</v>
      </c>
      <c r="K3996">
        <v>0</v>
      </c>
      <c r="L3996">
        <v>3</v>
      </c>
      <c r="M3996">
        <v>0</v>
      </c>
      <c r="N3996">
        <v>2</v>
      </c>
      <c r="O3996">
        <v>0</v>
      </c>
      <c r="P3996">
        <v>1</v>
      </c>
      <c r="Q3996">
        <v>0</v>
      </c>
      <c r="R3996" t="s">
        <v>127</v>
      </c>
      <c r="S3996" t="str">
        <f t="shared" si="1582"/>
        <v>15:15:37.000</v>
      </c>
      <c r="T3996" t="str">
        <f t="shared" si="1582"/>
        <v>15:15:37.000</v>
      </c>
      <c r="U3996" t="str">
        <f t="shared" si="1573"/>
        <v>A68FCB</v>
      </c>
      <c r="V3996">
        <v>0</v>
      </c>
      <c r="W3996">
        <v>0</v>
      </c>
      <c r="X3996">
        <v>2</v>
      </c>
      <c r="Y3996">
        <v>0</v>
      </c>
      <c r="AA3996">
        <v>1</v>
      </c>
      <c r="AB3996">
        <v>8</v>
      </c>
      <c r="AC3996">
        <v>3</v>
      </c>
      <c r="AD3996">
        <v>0</v>
      </c>
      <c r="AE3996">
        <v>9</v>
      </c>
      <c r="AF3996" t="s">
        <v>138</v>
      </c>
      <c r="AG3996">
        <v>0</v>
      </c>
      <c r="AH3996">
        <v>3</v>
      </c>
      <c r="AI3996">
        <v>2</v>
      </c>
      <c r="AJ3996">
        <v>0</v>
      </c>
      <c r="AK3996" t="s">
        <v>1264</v>
      </c>
      <c r="AL3996">
        <v>39.181302000000002</v>
      </c>
      <c r="AM3996" t="s">
        <v>1265</v>
      </c>
      <c r="AN3996">
        <v>-121.02670000000001</v>
      </c>
      <c r="AO3996">
        <v>25</v>
      </c>
      <c r="AP3996">
        <v>4400</v>
      </c>
      <c r="AQ3996" t="s">
        <v>131</v>
      </c>
      <c r="AR3996">
        <v>32</v>
      </c>
      <c r="AS3996">
        <v>72</v>
      </c>
      <c r="AT3996">
        <v>256</v>
      </c>
      <c r="BB3996" t="str">
        <f t="shared" si="1574"/>
        <v>1200</v>
      </c>
      <c r="BC3996">
        <v>1</v>
      </c>
      <c r="BD3996" t="str">
        <f t="shared" si="1575"/>
        <v xml:space="preserve">N52156  </v>
      </c>
      <c r="BE3996">
        <v>1</v>
      </c>
      <c r="BG3996">
        <v>0</v>
      </c>
      <c r="BH3996">
        <v>0</v>
      </c>
      <c r="BI3996">
        <v>0</v>
      </c>
      <c r="BJ3996">
        <v>4475</v>
      </c>
      <c r="BK3996">
        <v>75</v>
      </c>
      <c r="BL3996" t="s">
        <v>188</v>
      </c>
      <c r="BM3996">
        <v>1</v>
      </c>
      <c r="BN3996">
        <v>1</v>
      </c>
      <c r="BO3996">
        <v>0</v>
      </c>
      <c r="BP3996">
        <v>0</v>
      </c>
      <c r="BS3996">
        <v>0</v>
      </c>
      <c r="BT3996">
        <v>0</v>
      </c>
      <c r="BU3996">
        <v>0</v>
      </c>
      <c r="CE3996" t="str">
        <f t="shared" si="1583"/>
        <v>15:15:37.628</v>
      </c>
      <c r="CF3996">
        <v>627825697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3</v>
      </c>
      <c r="CY3996">
        <v>7</v>
      </c>
      <c r="CZ3996" t="s">
        <v>133</v>
      </c>
      <c r="DA3996">
        <v>276</v>
      </c>
      <c r="DB3996">
        <v>0</v>
      </c>
      <c r="DC3996" t="s">
        <v>402</v>
      </c>
      <c r="DD3996" t="s">
        <v>403</v>
      </c>
      <c r="DG3996">
        <v>1628341</v>
      </c>
      <c r="DI3996">
        <v>1</v>
      </c>
      <c r="DJ3996">
        <v>0</v>
      </c>
      <c r="DK3996">
        <v>1</v>
      </c>
      <c r="DL3996">
        <v>0</v>
      </c>
      <c r="DM3996">
        <v>0</v>
      </c>
      <c r="DN3996">
        <v>0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 x14ac:dyDescent="0.3">
      <c r="A3997" t="str">
        <f>"05/01/2025 15:15:37.866"</f>
        <v>05/01/2025 15:15:37.866</v>
      </c>
      <c r="C3997" t="str">
        <f t="shared" si="1572"/>
        <v>FFDFD3C0</v>
      </c>
      <c r="D3997" t="s">
        <v>136</v>
      </c>
      <c r="E3997" t="str">
        <f>"20"</f>
        <v>20</v>
      </c>
      <c r="H3997">
        <v>400</v>
      </c>
      <c r="I3997" t="s">
        <v>137</v>
      </c>
      <c r="J3997" t="s">
        <v>138</v>
      </c>
      <c r="K3997">
        <v>0</v>
      </c>
      <c r="L3997">
        <v>3</v>
      </c>
      <c r="M3997">
        <v>0</v>
      </c>
      <c r="N3997">
        <v>2</v>
      </c>
      <c r="O3997">
        <v>0</v>
      </c>
      <c r="P3997">
        <v>1</v>
      </c>
      <c r="Q3997">
        <v>0</v>
      </c>
      <c r="R3997" t="s">
        <v>127</v>
      </c>
      <c r="S3997" t="str">
        <f t="shared" si="1582"/>
        <v>15:15:37.000</v>
      </c>
      <c r="T3997" t="str">
        <f t="shared" si="1582"/>
        <v>15:15:37.000</v>
      </c>
      <c r="U3997" t="str">
        <f t="shared" si="1573"/>
        <v>A68FCB</v>
      </c>
      <c r="V3997">
        <v>0</v>
      </c>
      <c r="W3997">
        <v>0</v>
      </c>
      <c r="X3997">
        <v>2</v>
      </c>
      <c r="Y3997">
        <v>0</v>
      </c>
      <c r="AA3997">
        <v>1</v>
      </c>
      <c r="AB3997">
        <v>8</v>
      </c>
      <c r="AC3997">
        <v>3</v>
      </c>
      <c r="AD3997">
        <v>0</v>
      </c>
      <c r="AE3997">
        <v>9</v>
      </c>
      <c r="AF3997" t="s">
        <v>138</v>
      </c>
      <c r="AG3997">
        <v>0</v>
      </c>
      <c r="AH3997">
        <v>3</v>
      </c>
      <c r="AI3997">
        <v>2</v>
      </c>
      <c r="AJ3997">
        <v>0</v>
      </c>
      <c r="AK3997" t="s">
        <v>1264</v>
      </c>
      <c r="AL3997">
        <v>39.181302000000002</v>
      </c>
      <c r="AM3997" t="s">
        <v>1265</v>
      </c>
      <c r="AN3997">
        <v>-121.02670000000001</v>
      </c>
      <c r="AO3997">
        <v>25</v>
      </c>
      <c r="AP3997">
        <v>4400</v>
      </c>
      <c r="AQ3997" t="s">
        <v>131</v>
      </c>
      <c r="AR3997">
        <v>32</v>
      </c>
      <c r="AS3997">
        <v>72</v>
      </c>
      <c r="AT3997">
        <v>256</v>
      </c>
      <c r="BB3997" t="str">
        <f t="shared" si="1574"/>
        <v>1200</v>
      </c>
      <c r="BC3997">
        <v>1</v>
      </c>
      <c r="BD3997" t="str">
        <f t="shared" si="1575"/>
        <v xml:space="preserve">N52156  </v>
      </c>
      <c r="BE3997">
        <v>1</v>
      </c>
      <c r="BG3997">
        <v>0</v>
      </c>
      <c r="BH3997">
        <v>0</v>
      </c>
      <c r="BI3997">
        <v>0</v>
      </c>
      <c r="BJ3997">
        <v>4475</v>
      </c>
      <c r="BK3997">
        <v>75</v>
      </c>
      <c r="BL3997" t="s">
        <v>188</v>
      </c>
      <c r="BM3997">
        <v>1</v>
      </c>
      <c r="BN3997">
        <v>1</v>
      </c>
      <c r="BO3997">
        <v>0</v>
      </c>
      <c r="BP3997">
        <v>0</v>
      </c>
      <c r="BS3997">
        <v>0</v>
      </c>
      <c r="BT3997">
        <v>0</v>
      </c>
      <c r="BU3997">
        <v>0</v>
      </c>
      <c r="CE3997" t="str">
        <f t="shared" si="1583"/>
        <v>15:15:37.628</v>
      </c>
      <c r="CF3997">
        <v>627825697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3</v>
      </c>
      <c r="CY3997">
        <v>7</v>
      </c>
      <c r="CZ3997" t="s">
        <v>133</v>
      </c>
      <c r="DA3997">
        <v>276</v>
      </c>
      <c r="DB3997">
        <v>0</v>
      </c>
      <c r="DC3997" t="s">
        <v>402</v>
      </c>
      <c r="DD3997" t="s">
        <v>403</v>
      </c>
      <c r="DG3997">
        <v>1628341</v>
      </c>
      <c r="DI3997">
        <v>1</v>
      </c>
      <c r="DJ3997">
        <v>0</v>
      </c>
      <c r="DK3997">
        <v>1</v>
      </c>
      <c r="DL3997">
        <v>0</v>
      </c>
      <c r="DM3997">
        <v>0</v>
      </c>
      <c r="DN3997">
        <v>0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 x14ac:dyDescent="0.3">
      <c r="A3998" t="str">
        <f>"05/01/2025 15:15:38.457"</f>
        <v>05/01/2025 15:15:38.457</v>
      </c>
      <c r="C3998" t="str">
        <f t="shared" si="1572"/>
        <v>FFDFD3C0</v>
      </c>
      <c r="D3998" t="s">
        <v>145</v>
      </c>
      <c r="E3998" t="str">
        <f>"05"</f>
        <v>05</v>
      </c>
      <c r="H3998">
        <v>47</v>
      </c>
      <c r="I3998" t="s">
        <v>146</v>
      </c>
      <c r="J3998" t="s">
        <v>138</v>
      </c>
      <c r="K3998">
        <v>0</v>
      </c>
      <c r="L3998">
        <v>3</v>
      </c>
      <c r="M3998">
        <v>0</v>
      </c>
      <c r="N3998">
        <v>2</v>
      </c>
      <c r="O3998">
        <v>0</v>
      </c>
      <c r="P3998">
        <v>1</v>
      </c>
      <c r="Q3998">
        <v>0</v>
      </c>
      <c r="R3998" t="s">
        <v>127</v>
      </c>
      <c r="S3998" t="str">
        <f t="shared" ref="S3998:T4003" si="1584">"15:15:38.000"</f>
        <v>15:15:38.000</v>
      </c>
      <c r="T3998" t="str">
        <f t="shared" si="1584"/>
        <v>15:15:38.000</v>
      </c>
      <c r="U3998" t="str">
        <f t="shared" si="1573"/>
        <v>A68FCB</v>
      </c>
      <c r="V3998">
        <v>0</v>
      </c>
      <c r="W3998">
        <v>0</v>
      </c>
      <c r="X3998">
        <v>2</v>
      </c>
      <c r="Y3998">
        <v>0</v>
      </c>
      <c r="AA3998">
        <v>1</v>
      </c>
      <c r="AB3998">
        <v>8</v>
      </c>
      <c r="AC3998">
        <v>3</v>
      </c>
      <c r="AD3998">
        <v>0</v>
      </c>
      <c r="AE3998">
        <v>9</v>
      </c>
      <c r="AF3998" t="s">
        <v>138</v>
      </c>
      <c r="AG3998">
        <v>0</v>
      </c>
      <c r="AH3998">
        <v>3</v>
      </c>
      <c r="AI3998">
        <v>2</v>
      </c>
      <c r="AJ3998">
        <v>0</v>
      </c>
      <c r="AK3998" t="s">
        <v>1266</v>
      </c>
      <c r="AL3998">
        <v>39.181645000000003</v>
      </c>
      <c r="AM3998" t="s">
        <v>1267</v>
      </c>
      <c r="AN3998">
        <v>-121.026506</v>
      </c>
      <c r="AO3998">
        <v>25</v>
      </c>
      <c r="AP3998">
        <v>4400</v>
      </c>
      <c r="AQ3998" t="s">
        <v>131</v>
      </c>
      <c r="AR3998">
        <v>33</v>
      </c>
      <c r="AS3998">
        <v>72</v>
      </c>
      <c r="AT3998">
        <v>192</v>
      </c>
      <c r="BB3998" t="str">
        <f t="shared" si="1574"/>
        <v>1200</v>
      </c>
      <c r="BC3998">
        <v>1</v>
      </c>
      <c r="BD3998" t="str">
        <f t="shared" si="1575"/>
        <v xml:space="preserve">N52156  </v>
      </c>
      <c r="BE3998">
        <v>1</v>
      </c>
      <c r="BG3998">
        <v>0</v>
      </c>
      <c r="BH3998">
        <v>0</v>
      </c>
      <c r="BI3998">
        <v>0</v>
      </c>
      <c r="BJ3998">
        <v>4475</v>
      </c>
      <c r="BK3998">
        <v>75</v>
      </c>
      <c r="BL3998" t="s">
        <v>188</v>
      </c>
      <c r="BM3998">
        <v>1</v>
      </c>
      <c r="BN3998">
        <v>1</v>
      </c>
      <c r="BO3998">
        <v>0</v>
      </c>
      <c r="BP3998">
        <v>0</v>
      </c>
      <c r="BS3998">
        <v>0</v>
      </c>
      <c r="BT3998">
        <v>0</v>
      </c>
      <c r="BU3998">
        <v>0</v>
      </c>
      <c r="CE3998" t="str">
        <f t="shared" ref="CE3998:CE4003" si="1585">"15:15:38.247"</f>
        <v>15:15:38.247</v>
      </c>
      <c r="CF3998">
        <v>247074801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3</v>
      </c>
      <c r="CY3998">
        <v>7</v>
      </c>
      <c r="CZ3998" t="s">
        <v>133</v>
      </c>
      <c r="DA3998">
        <v>276</v>
      </c>
      <c r="DB3998">
        <v>0</v>
      </c>
      <c r="DC3998" t="s">
        <v>402</v>
      </c>
      <c r="DD3998" t="s">
        <v>403</v>
      </c>
      <c r="DG3998">
        <v>1628345</v>
      </c>
      <c r="DI3998">
        <v>1</v>
      </c>
      <c r="DJ3998">
        <v>0</v>
      </c>
      <c r="DK3998">
        <v>0</v>
      </c>
      <c r="DL3998">
        <v>0</v>
      </c>
      <c r="DM3998">
        <v>0</v>
      </c>
      <c r="DN3998">
        <v>0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 x14ac:dyDescent="0.3">
      <c r="A3999" t="str">
        <f>"05/01/2025 15:15:38.467"</f>
        <v>05/01/2025 15:15:38.467</v>
      </c>
      <c r="C3999" t="str">
        <f t="shared" si="1572"/>
        <v>FFDFD3C0</v>
      </c>
      <c r="D3999" t="s">
        <v>136</v>
      </c>
      <c r="E3999" t="str">
        <f>"20"</f>
        <v>20</v>
      </c>
      <c r="H3999">
        <v>400</v>
      </c>
      <c r="I3999" t="s">
        <v>137</v>
      </c>
      <c r="J3999" t="s">
        <v>138</v>
      </c>
      <c r="K3999">
        <v>0</v>
      </c>
      <c r="L3999">
        <v>3</v>
      </c>
      <c r="M3999">
        <v>0</v>
      </c>
      <c r="N3999">
        <v>2</v>
      </c>
      <c r="O3999">
        <v>0</v>
      </c>
      <c r="P3999">
        <v>1</v>
      </c>
      <c r="Q3999">
        <v>0</v>
      </c>
      <c r="R3999" t="s">
        <v>127</v>
      </c>
      <c r="S3999" t="str">
        <f t="shared" si="1584"/>
        <v>15:15:38.000</v>
      </c>
      <c r="T3999" t="str">
        <f t="shared" si="1584"/>
        <v>15:15:38.000</v>
      </c>
      <c r="U3999" t="str">
        <f t="shared" si="1573"/>
        <v>A68FCB</v>
      </c>
      <c r="V3999">
        <v>0</v>
      </c>
      <c r="W3999">
        <v>0</v>
      </c>
      <c r="X3999">
        <v>2</v>
      </c>
      <c r="Y3999">
        <v>0</v>
      </c>
      <c r="AA3999">
        <v>1</v>
      </c>
      <c r="AB3999">
        <v>8</v>
      </c>
      <c r="AC3999">
        <v>3</v>
      </c>
      <c r="AD3999">
        <v>0</v>
      </c>
      <c r="AE3999">
        <v>9</v>
      </c>
      <c r="AF3999" t="s">
        <v>138</v>
      </c>
      <c r="AG3999">
        <v>0</v>
      </c>
      <c r="AH3999">
        <v>3</v>
      </c>
      <c r="AI3999">
        <v>2</v>
      </c>
      <c r="AJ3999">
        <v>0</v>
      </c>
      <c r="AK3999" t="s">
        <v>1266</v>
      </c>
      <c r="AL3999">
        <v>39.181645000000003</v>
      </c>
      <c r="AM3999" t="s">
        <v>1267</v>
      </c>
      <c r="AN3999">
        <v>-121.026506</v>
      </c>
      <c r="AO3999">
        <v>25</v>
      </c>
      <c r="AP3999">
        <v>4400</v>
      </c>
      <c r="AQ3999" t="s">
        <v>131</v>
      </c>
      <c r="AR3999">
        <v>33</v>
      </c>
      <c r="AS3999">
        <v>72</v>
      </c>
      <c r="AT3999">
        <v>192</v>
      </c>
      <c r="BB3999" t="str">
        <f t="shared" si="1574"/>
        <v>1200</v>
      </c>
      <c r="BC3999">
        <v>1</v>
      </c>
      <c r="BD3999" t="str">
        <f t="shared" si="1575"/>
        <v xml:space="preserve">N52156  </v>
      </c>
      <c r="BE3999">
        <v>1</v>
      </c>
      <c r="BG3999">
        <v>0</v>
      </c>
      <c r="BH3999">
        <v>0</v>
      </c>
      <c r="BI3999">
        <v>0</v>
      </c>
      <c r="BJ3999">
        <v>4475</v>
      </c>
      <c r="BK3999">
        <v>75</v>
      </c>
      <c r="BL3999" t="s">
        <v>188</v>
      </c>
      <c r="BM3999">
        <v>1</v>
      </c>
      <c r="BN3999">
        <v>1</v>
      </c>
      <c r="BO3999">
        <v>0</v>
      </c>
      <c r="BP3999">
        <v>0</v>
      </c>
      <c r="BS3999">
        <v>0</v>
      </c>
      <c r="BT3999">
        <v>0</v>
      </c>
      <c r="BU3999">
        <v>0</v>
      </c>
      <c r="CE3999" t="str">
        <f t="shared" si="1585"/>
        <v>15:15:38.247</v>
      </c>
      <c r="CF3999">
        <v>247074801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3</v>
      </c>
      <c r="CY3999">
        <v>7</v>
      </c>
      <c r="CZ3999" t="s">
        <v>133</v>
      </c>
      <c r="DA3999">
        <v>276</v>
      </c>
      <c r="DB3999">
        <v>0</v>
      </c>
      <c r="DC3999" t="s">
        <v>402</v>
      </c>
      <c r="DD3999" t="s">
        <v>403</v>
      </c>
      <c r="DG3999">
        <v>1628345</v>
      </c>
      <c r="DI3999">
        <v>1</v>
      </c>
      <c r="DJ3999">
        <v>0</v>
      </c>
      <c r="DK3999">
        <v>1</v>
      </c>
      <c r="DL3999">
        <v>0</v>
      </c>
      <c r="DM3999">
        <v>0</v>
      </c>
      <c r="DN3999">
        <v>0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 x14ac:dyDescent="0.3">
      <c r="A4000" t="str">
        <f>"05/01/2025 15:15:38.487"</f>
        <v>05/01/2025 15:15:38.487</v>
      </c>
      <c r="C4000" t="str">
        <f t="shared" si="1572"/>
        <v>FFDFD3C0</v>
      </c>
      <c r="D4000" t="s">
        <v>143</v>
      </c>
      <c r="E4000" t="str">
        <f>"05"</f>
        <v>05</v>
      </c>
      <c r="H4000">
        <v>172</v>
      </c>
      <c r="I4000" t="s">
        <v>141</v>
      </c>
      <c r="J4000" t="s">
        <v>144</v>
      </c>
      <c r="K4000">
        <v>0</v>
      </c>
      <c r="L4000">
        <v>3</v>
      </c>
      <c r="M4000">
        <v>0</v>
      </c>
      <c r="N4000">
        <v>2</v>
      </c>
      <c r="O4000">
        <v>0</v>
      </c>
      <c r="P4000">
        <v>1</v>
      </c>
      <c r="Q4000">
        <v>0</v>
      </c>
      <c r="R4000" t="s">
        <v>127</v>
      </c>
      <c r="S4000" t="str">
        <f t="shared" si="1584"/>
        <v>15:15:38.000</v>
      </c>
      <c r="T4000" t="str">
        <f t="shared" si="1584"/>
        <v>15:15:38.000</v>
      </c>
      <c r="U4000" t="str">
        <f t="shared" si="1573"/>
        <v>A68FCB</v>
      </c>
      <c r="V4000">
        <v>0</v>
      </c>
      <c r="W4000">
        <v>0</v>
      </c>
      <c r="X4000">
        <v>2</v>
      </c>
      <c r="Y4000">
        <v>0</v>
      </c>
      <c r="AA4000">
        <v>1</v>
      </c>
      <c r="AB4000">
        <v>8</v>
      </c>
      <c r="AC4000">
        <v>3</v>
      </c>
      <c r="AD4000">
        <v>0</v>
      </c>
      <c r="AE4000">
        <v>9</v>
      </c>
      <c r="AF4000" t="s">
        <v>138</v>
      </c>
      <c r="AG4000">
        <v>0</v>
      </c>
      <c r="AH4000">
        <v>3</v>
      </c>
      <c r="AI4000">
        <v>2</v>
      </c>
      <c r="AJ4000">
        <v>0</v>
      </c>
      <c r="AK4000" t="s">
        <v>1266</v>
      </c>
      <c r="AL4000">
        <v>39.181645000000003</v>
      </c>
      <c r="AM4000" t="s">
        <v>1267</v>
      </c>
      <c r="AN4000">
        <v>-121.026506</v>
      </c>
      <c r="AO4000">
        <v>25</v>
      </c>
      <c r="AP4000">
        <v>4400</v>
      </c>
      <c r="AQ4000" t="s">
        <v>131</v>
      </c>
      <c r="AR4000">
        <v>33</v>
      </c>
      <c r="AS4000">
        <v>72</v>
      </c>
      <c r="AT4000">
        <v>192</v>
      </c>
      <c r="BB4000" t="str">
        <f t="shared" si="1574"/>
        <v>1200</v>
      </c>
      <c r="BC4000">
        <v>1</v>
      </c>
      <c r="BD4000" t="str">
        <f t="shared" si="1575"/>
        <v xml:space="preserve">N52156  </v>
      </c>
      <c r="BE4000">
        <v>1</v>
      </c>
      <c r="BG4000">
        <v>0</v>
      </c>
      <c r="BH4000">
        <v>0</v>
      </c>
      <c r="BI4000">
        <v>0</v>
      </c>
      <c r="BJ4000">
        <v>4475</v>
      </c>
      <c r="BK4000">
        <v>75</v>
      </c>
      <c r="BL4000" t="s">
        <v>188</v>
      </c>
      <c r="BM4000">
        <v>1</v>
      </c>
      <c r="BN4000">
        <v>1</v>
      </c>
      <c r="BO4000">
        <v>0</v>
      </c>
      <c r="BP4000">
        <v>0</v>
      </c>
      <c r="BS4000">
        <v>0</v>
      </c>
      <c r="BT4000">
        <v>0</v>
      </c>
      <c r="BU4000">
        <v>0</v>
      </c>
      <c r="CE4000" t="str">
        <f t="shared" si="1585"/>
        <v>15:15:38.247</v>
      </c>
      <c r="CF4000">
        <v>247074801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3</v>
      </c>
      <c r="CY4000">
        <v>7</v>
      </c>
      <c r="CZ4000" t="s">
        <v>133</v>
      </c>
      <c r="DA4000">
        <v>276</v>
      </c>
      <c r="DB4000">
        <v>0</v>
      </c>
      <c r="DC4000" t="s">
        <v>402</v>
      </c>
      <c r="DD4000" t="s">
        <v>403</v>
      </c>
      <c r="DG4000">
        <v>1628345</v>
      </c>
      <c r="DI4000">
        <v>1</v>
      </c>
      <c r="DJ4000">
        <v>0</v>
      </c>
      <c r="DK4000">
        <v>1</v>
      </c>
      <c r="DL4000">
        <v>0</v>
      </c>
      <c r="DM4000">
        <v>0</v>
      </c>
      <c r="DN4000">
        <v>0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 x14ac:dyDescent="0.3">
      <c r="A4001" t="str">
        <f>"05/01/2025 15:15:38.489"</f>
        <v>05/01/2025 15:15:38.489</v>
      </c>
      <c r="C4001" t="str">
        <f t="shared" si="1572"/>
        <v>FFDFD3C0</v>
      </c>
      <c r="D4001" t="s">
        <v>140</v>
      </c>
      <c r="E4001" t="str">
        <f>"13"</f>
        <v>13</v>
      </c>
      <c r="F4001">
        <v>1019</v>
      </c>
      <c r="G4001" t="s">
        <v>141</v>
      </c>
      <c r="J4001" t="s">
        <v>142</v>
      </c>
      <c r="K4001">
        <v>0</v>
      </c>
      <c r="L4001">
        <v>3</v>
      </c>
      <c r="M4001">
        <v>0</v>
      </c>
      <c r="N4001">
        <v>2</v>
      </c>
      <c r="O4001">
        <v>0</v>
      </c>
      <c r="P4001">
        <v>1</v>
      </c>
      <c r="Q4001">
        <v>0</v>
      </c>
      <c r="R4001" t="s">
        <v>127</v>
      </c>
      <c r="S4001" t="str">
        <f t="shared" si="1584"/>
        <v>15:15:38.000</v>
      </c>
      <c r="T4001" t="str">
        <f t="shared" si="1584"/>
        <v>15:15:38.000</v>
      </c>
      <c r="U4001" t="str">
        <f t="shared" si="1573"/>
        <v>A68FCB</v>
      </c>
      <c r="V4001">
        <v>0</v>
      </c>
      <c r="W4001">
        <v>0</v>
      </c>
      <c r="X4001">
        <v>2</v>
      </c>
      <c r="Y4001">
        <v>0</v>
      </c>
      <c r="AA4001">
        <v>1</v>
      </c>
      <c r="AB4001">
        <v>8</v>
      </c>
      <c r="AC4001">
        <v>3</v>
      </c>
      <c r="AD4001">
        <v>0</v>
      </c>
      <c r="AE4001">
        <v>9</v>
      </c>
      <c r="AF4001" t="s">
        <v>138</v>
      </c>
      <c r="AG4001">
        <v>0</v>
      </c>
      <c r="AH4001">
        <v>3</v>
      </c>
      <c r="AI4001">
        <v>2</v>
      </c>
      <c r="AJ4001">
        <v>0</v>
      </c>
      <c r="AK4001" t="s">
        <v>1266</v>
      </c>
      <c r="AL4001">
        <v>39.181645000000003</v>
      </c>
      <c r="AM4001" t="s">
        <v>1267</v>
      </c>
      <c r="AN4001">
        <v>-121.026506</v>
      </c>
      <c r="AO4001">
        <v>25</v>
      </c>
      <c r="AP4001">
        <v>4400</v>
      </c>
      <c r="AQ4001" t="s">
        <v>131</v>
      </c>
      <c r="AR4001">
        <v>33</v>
      </c>
      <c r="AS4001">
        <v>72</v>
      </c>
      <c r="AT4001">
        <v>192</v>
      </c>
      <c r="BB4001" t="str">
        <f t="shared" si="1574"/>
        <v>1200</v>
      </c>
      <c r="BC4001">
        <v>1</v>
      </c>
      <c r="BD4001" t="str">
        <f t="shared" si="1575"/>
        <v xml:space="preserve">N52156  </v>
      </c>
      <c r="BE4001">
        <v>1</v>
      </c>
      <c r="BG4001">
        <v>0</v>
      </c>
      <c r="BH4001">
        <v>0</v>
      </c>
      <c r="BI4001">
        <v>0</v>
      </c>
      <c r="BJ4001">
        <v>4475</v>
      </c>
      <c r="BK4001">
        <v>75</v>
      </c>
      <c r="BL4001" t="s">
        <v>188</v>
      </c>
      <c r="BM4001">
        <v>1</v>
      </c>
      <c r="BN4001">
        <v>1</v>
      </c>
      <c r="BO4001">
        <v>0</v>
      </c>
      <c r="BP4001">
        <v>0</v>
      </c>
      <c r="BS4001">
        <v>0</v>
      </c>
      <c r="BT4001">
        <v>0</v>
      </c>
      <c r="BU4001">
        <v>0</v>
      </c>
      <c r="CE4001" t="str">
        <f t="shared" si="1585"/>
        <v>15:15:38.247</v>
      </c>
      <c r="CF4001">
        <v>247074801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3</v>
      </c>
      <c r="CY4001">
        <v>7</v>
      </c>
      <c r="CZ4001" t="s">
        <v>133</v>
      </c>
      <c r="DA4001">
        <v>276</v>
      </c>
      <c r="DB4001">
        <v>0</v>
      </c>
      <c r="DC4001" t="s">
        <v>402</v>
      </c>
      <c r="DD4001" t="s">
        <v>403</v>
      </c>
      <c r="DG4001">
        <v>1628345</v>
      </c>
      <c r="DI4001">
        <v>1</v>
      </c>
      <c r="DJ4001">
        <v>0</v>
      </c>
      <c r="DK4001">
        <v>1</v>
      </c>
      <c r="DL4001">
        <v>0</v>
      </c>
      <c r="DM4001">
        <v>0</v>
      </c>
      <c r="DN4001">
        <v>0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 x14ac:dyDescent="0.3">
      <c r="A4002" t="str">
        <f>"05/01/2025 15:15:38.495"</f>
        <v>05/01/2025 15:15:38.495</v>
      </c>
      <c r="C4002" t="str">
        <f t="shared" si="1572"/>
        <v>FFDFD3C0</v>
      </c>
      <c r="D4002" t="s">
        <v>124</v>
      </c>
      <c r="E4002" t="str">
        <f>"06"</f>
        <v>06</v>
      </c>
      <c r="F4002">
        <v>2006</v>
      </c>
      <c r="G4002" t="s">
        <v>125</v>
      </c>
      <c r="J4002" t="s">
        <v>126</v>
      </c>
      <c r="K4002">
        <v>0</v>
      </c>
      <c r="L4002">
        <v>3</v>
      </c>
      <c r="M4002">
        <v>0</v>
      </c>
      <c r="N4002">
        <v>2</v>
      </c>
      <c r="O4002">
        <v>0</v>
      </c>
      <c r="P4002">
        <v>1</v>
      </c>
      <c r="Q4002">
        <v>0</v>
      </c>
      <c r="R4002" t="s">
        <v>127</v>
      </c>
      <c r="S4002" t="str">
        <f t="shared" si="1584"/>
        <v>15:15:38.000</v>
      </c>
      <c r="T4002" t="str">
        <f t="shared" si="1584"/>
        <v>15:15:38.000</v>
      </c>
      <c r="U4002" t="str">
        <f t="shared" si="1573"/>
        <v>A68FCB</v>
      </c>
      <c r="V4002">
        <v>0</v>
      </c>
      <c r="W4002">
        <v>0</v>
      </c>
      <c r="X4002">
        <v>2</v>
      </c>
      <c r="Y4002">
        <v>0</v>
      </c>
      <c r="AA4002">
        <v>1</v>
      </c>
      <c r="AB4002">
        <v>8</v>
      </c>
      <c r="AC4002">
        <v>3</v>
      </c>
      <c r="AD4002">
        <v>0</v>
      </c>
      <c r="AE4002">
        <v>9</v>
      </c>
      <c r="AF4002" t="s">
        <v>138</v>
      </c>
      <c r="AG4002">
        <v>0</v>
      </c>
      <c r="AH4002">
        <v>3</v>
      </c>
      <c r="AI4002">
        <v>2</v>
      </c>
      <c r="AJ4002">
        <v>0</v>
      </c>
      <c r="AK4002" t="s">
        <v>1266</v>
      </c>
      <c r="AL4002">
        <v>39.181645000000003</v>
      </c>
      <c r="AM4002" t="s">
        <v>1267</v>
      </c>
      <c r="AN4002">
        <v>-121.026506</v>
      </c>
      <c r="AO4002">
        <v>25</v>
      </c>
      <c r="AP4002">
        <v>4400</v>
      </c>
      <c r="AQ4002" t="s">
        <v>131</v>
      </c>
      <c r="AR4002">
        <v>33</v>
      </c>
      <c r="AS4002">
        <v>72</v>
      </c>
      <c r="AT4002">
        <v>192</v>
      </c>
      <c r="BB4002" t="str">
        <f t="shared" si="1574"/>
        <v>1200</v>
      </c>
      <c r="BC4002">
        <v>1</v>
      </c>
      <c r="BD4002" t="str">
        <f t="shared" si="1575"/>
        <v xml:space="preserve">N52156  </v>
      </c>
      <c r="BE4002">
        <v>1</v>
      </c>
      <c r="BG4002">
        <v>0</v>
      </c>
      <c r="BH4002">
        <v>0</v>
      </c>
      <c r="BI4002">
        <v>0</v>
      </c>
      <c r="BJ4002">
        <v>4475</v>
      </c>
      <c r="BK4002">
        <v>75</v>
      </c>
      <c r="BL4002" t="s">
        <v>188</v>
      </c>
      <c r="BM4002">
        <v>1</v>
      </c>
      <c r="BN4002">
        <v>1</v>
      </c>
      <c r="BO4002">
        <v>0</v>
      </c>
      <c r="BP4002">
        <v>0</v>
      </c>
      <c r="BS4002">
        <v>0</v>
      </c>
      <c r="BT4002">
        <v>0</v>
      </c>
      <c r="BU4002">
        <v>0</v>
      </c>
      <c r="CE4002" t="str">
        <f t="shared" si="1585"/>
        <v>15:15:38.247</v>
      </c>
      <c r="CF4002">
        <v>247074801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3</v>
      </c>
      <c r="CY4002">
        <v>7</v>
      </c>
      <c r="CZ4002" t="s">
        <v>133</v>
      </c>
      <c r="DA4002">
        <v>276</v>
      </c>
      <c r="DB4002">
        <v>0</v>
      </c>
      <c r="DC4002" t="s">
        <v>402</v>
      </c>
      <c r="DD4002" t="s">
        <v>403</v>
      </c>
      <c r="DG4002">
        <v>1628345</v>
      </c>
      <c r="DI4002">
        <v>1</v>
      </c>
      <c r="DJ4002">
        <v>0</v>
      </c>
      <c r="DK4002">
        <v>1</v>
      </c>
      <c r="DL4002">
        <v>0</v>
      </c>
      <c r="DM4002">
        <v>0</v>
      </c>
      <c r="DN4002">
        <v>0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 x14ac:dyDescent="0.3">
      <c r="A4003" t="str">
        <f>"05/01/2025 15:15:38.501"</f>
        <v>05/01/2025 15:15:38.501</v>
      </c>
      <c r="C4003" t="str">
        <f t="shared" si="1572"/>
        <v>FFDFD3C0</v>
      </c>
      <c r="D4003" t="s">
        <v>145</v>
      </c>
      <c r="E4003" t="str">
        <f>"09"</f>
        <v>09</v>
      </c>
      <c r="H4003">
        <v>51</v>
      </c>
      <c r="I4003" t="s">
        <v>147</v>
      </c>
      <c r="J4003" t="s">
        <v>138</v>
      </c>
      <c r="K4003">
        <v>0</v>
      </c>
      <c r="L4003">
        <v>3</v>
      </c>
      <c r="M4003">
        <v>0</v>
      </c>
      <c r="N4003">
        <v>2</v>
      </c>
      <c r="O4003">
        <v>0</v>
      </c>
      <c r="P4003">
        <v>1</v>
      </c>
      <c r="Q4003">
        <v>0</v>
      </c>
      <c r="R4003" t="s">
        <v>127</v>
      </c>
      <c r="S4003" t="str">
        <f t="shared" si="1584"/>
        <v>15:15:38.000</v>
      </c>
      <c r="T4003" t="str">
        <f t="shared" si="1584"/>
        <v>15:15:38.000</v>
      </c>
      <c r="U4003" t="str">
        <f t="shared" si="1573"/>
        <v>A68FCB</v>
      </c>
      <c r="V4003">
        <v>0</v>
      </c>
      <c r="W4003">
        <v>0</v>
      </c>
      <c r="X4003">
        <v>2</v>
      </c>
      <c r="Y4003">
        <v>0</v>
      </c>
      <c r="AA4003">
        <v>1</v>
      </c>
      <c r="AB4003">
        <v>8</v>
      </c>
      <c r="AC4003">
        <v>3</v>
      </c>
      <c r="AD4003">
        <v>0</v>
      </c>
      <c r="AE4003">
        <v>9</v>
      </c>
      <c r="AF4003" t="s">
        <v>138</v>
      </c>
      <c r="AG4003">
        <v>0</v>
      </c>
      <c r="AH4003">
        <v>3</v>
      </c>
      <c r="AI4003">
        <v>2</v>
      </c>
      <c r="AJ4003">
        <v>0</v>
      </c>
      <c r="AK4003" t="s">
        <v>1266</v>
      </c>
      <c r="AL4003">
        <v>39.181645000000003</v>
      </c>
      <c r="AM4003" t="s">
        <v>1267</v>
      </c>
      <c r="AN4003">
        <v>-121.026506</v>
      </c>
      <c r="AO4003">
        <v>25</v>
      </c>
      <c r="AP4003">
        <v>4400</v>
      </c>
      <c r="AQ4003" t="s">
        <v>131</v>
      </c>
      <c r="AR4003">
        <v>33</v>
      </c>
      <c r="AS4003">
        <v>72</v>
      </c>
      <c r="AT4003">
        <v>192</v>
      </c>
      <c r="BB4003" t="str">
        <f t="shared" si="1574"/>
        <v>1200</v>
      </c>
      <c r="BC4003">
        <v>1</v>
      </c>
      <c r="BD4003" t="str">
        <f t="shared" si="1575"/>
        <v xml:space="preserve">N52156  </v>
      </c>
      <c r="BE4003">
        <v>1</v>
      </c>
      <c r="BG4003">
        <v>0</v>
      </c>
      <c r="BH4003">
        <v>0</v>
      </c>
      <c r="BI4003">
        <v>0</v>
      </c>
      <c r="BJ4003">
        <v>4475</v>
      </c>
      <c r="BK4003">
        <v>75</v>
      </c>
      <c r="BL4003" t="s">
        <v>188</v>
      </c>
      <c r="BM4003">
        <v>1</v>
      </c>
      <c r="BN4003">
        <v>1</v>
      </c>
      <c r="BO4003">
        <v>0</v>
      </c>
      <c r="BP4003">
        <v>0</v>
      </c>
      <c r="BS4003">
        <v>0</v>
      </c>
      <c r="BT4003">
        <v>0</v>
      </c>
      <c r="BU4003">
        <v>0</v>
      </c>
      <c r="CE4003" t="str">
        <f t="shared" si="1585"/>
        <v>15:15:38.247</v>
      </c>
      <c r="CF4003">
        <v>247074801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3</v>
      </c>
      <c r="CY4003">
        <v>7</v>
      </c>
      <c r="CZ4003" t="s">
        <v>133</v>
      </c>
      <c r="DA4003">
        <v>276</v>
      </c>
      <c r="DB4003">
        <v>0</v>
      </c>
      <c r="DC4003" t="s">
        <v>402</v>
      </c>
      <c r="DD4003" t="s">
        <v>403</v>
      </c>
      <c r="DG4003">
        <v>1628345</v>
      </c>
      <c r="DI4003">
        <v>1</v>
      </c>
      <c r="DJ4003">
        <v>0</v>
      </c>
      <c r="DK4003">
        <v>1</v>
      </c>
      <c r="DL4003">
        <v>0</v>
      </c>
      <c r="DM4003">
        <v>0</v>
      </c>
      <c r="DN4003">
        <v>0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 x14ac:dyDescent="0.3">
      <c r="A4004" t="str">
        <f>"05/01/2025 15:15:39.468"</f>
        <v>05/01/2025 15:15:39.468</v>
      </c>
      <c r="C4004" t="str">
        <f t="shared" si="1572"/>
        <v>FFDFD3C0</v>
      </c>
      <c r="D4004" t="s">
        <v>136</v>
      </c>
      <c r="E4004" t="str">
        <f>"20"</f>
        <v>20</v>
      </c>
      <c r="H4004">
        <v>400</v>
      </c>
      <c r="I4004" t="s">
        <v>137</v>
      </c>
      <c r="J4004" t="s">
        <v>138</v>
      </c>
      <c r="K4004">
        <v>0</v>
      </c>
      <c r="L4004">
        <v>3</v>
      </c>
      <c r="M4004">
        <v>0</v>
      </c>
      <c r="N4004">
        <v>2</v>
      </c>
      <c r="O4004">
        <v>0</v>
      </c>
      <c r="P4004">
        <v>1</v>
      </c>
      <c r="Q4004">
        <v>0</v>
      </c>
      <c r="R4004" t="s">
        <v>127</v>
      </c>
      <c r="S4004" t="str">
        <f t="shared" ref="S4004:T4009" si="1586">"15:15:39.000"</f>
        <v>15:15:39.000</v>
      </c>
      <c r="T4004" t="str">
        <f t="shared" si="1586"/>
        <v>15:15:39.000</v>
      </c>
      <c r="U4004" t="str">
        <f t="shared" si="1573"/>
        <v>A68FCB</v>
      </c>
      <c r="V4004">
        <v>0</v>
      </c>
      <c r="W4004">
        <v>0</v>
      </c>
      <c r="X4004">
        <v>2</v>
      </c>
      <c r="Y4004">
        <v>0</v>
      </c>
      <c r="AA4004">
        <v>1</v>
      </c>
      <c r="AB4004">
        <v>8</v>
      </c>
      <c r="AC4004">
        <v>3</v>
      </c>
      <c r="AD4004">
        <v>0</v>
      </c>
      <c r="AE4004">
        <v>9</v>
      </c>
      <c r="AF4004" t="s">
        <v>138</v>
      </c>
      <c r="AG4004">
        <v>0</v>
      </c>
      <c r="AH4004">
        <v>3</v>
      </c>
      <c r="AI4004">
        <v>2</v>
      </c>
      <c r="AJ4004">
        <v>0</v>
      </c>
      <c r="AK4004" t="s">
        <v>1268</v>
      </c>
      <c r="AL4004">
        <v>39.181987999999997</v>
      </c>
      <c r="AM4004" t="s">
        <v>1269</v>
      </c>
      <c r="AN4004">
        <v>-121.026313</v>
      </c>
      <c r="AO4004">
        <v>25</v>
      </c>
      <c r="AP4004">
        <v>4400</v>
      </c>
      <c r="AQ4004" t="s">
        <v>131</v>
      </c>
      <c r="AR4004">
        <v>33</v>
      </c>
      <c r="AS4004">
        <v>72</v>
      </c>
      <c r="AT4004">
        <v>192</v>
      </c>
      <c r="BB4004" t="str">
        <f t="shared" si="1574"/>
        <v>1200</v>
      </c>
      <c r="BC4004">
        <v>1</v>
      </c>
      <c r="BD4004" t="str">
        <f t="shared" si="1575"/>
        <v xml:space="preserve">N52156  </v>
      </c>
      <c r="BE4004">
        <v>1</v>
      </c>
      <c r="BG4004">
        <v>0</v>
      </c>
      <c r="BH4004">
        <v>0</v>
      </c>
      <c r="BI4004">
        <v>0</v>
      </c>
      <c r="BJ4004">
        <v>4475</v>
      </c>
      <c r="BK4004">
        <v>75</v>
      </c>
      <c r="BL4004" t="s">
        <v>188</v>
      </c>
      <c r="BM4004">
        <v>1</v>
      </c>
      <c r="BN4004">
        <v>1</v>
      </c>
      <c r="BO4004">
        <v>0</v>
      </c>
      <c r="BP4004">
        <v>0</v>
      </c>
      <c r="BS4004">
        <v>0</v>
      </c>
      <c r="BT4004">
        <v>0</v>
      </c>
      <c r="BU4004">
        <v>0</v>
      </c>
      <c r="CE4004" t="str">
        <f t="shared" ref="CE4004:CE4009" si="1587">"15:15:39.260"</f>
        <v>15:15:39.260</v>
      </c>
      <c r="CF4004">
        <v>260324922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3</v>
      </c>
      <c r="CY4004">
        <v>7</v>
      </c>
      <c r="CZ4004" t="s">
        <v>133</v>
      </c>
      <c r="DA4004">
        <v>276</v>
      </c>
      <c r="DB4004">
        <v>0</v>
      </c>
      <c r="DC4004" t="s">
        <v>402</v>
      </c>
      <c r="DD4004" t="s">
        <v>403</v>
      </c>
      <c r="DG4004">
        <v>1628346</v>
      </c>
      <c r="DI4004">
        <v>1</v>
      </c>
      <c r="DJ4004">
        <v>0</v>
      </c>
      <c r="DK4004">
        <v>0</v>
      </c>
      <c r="DL4004">
        <v>0</v>
      </c>
      <c r="DM4004">
        <v>0</v>
      </c>
      <c r="DN4004">
        <v>0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 x14ac:dyDescent="0.3">
      <c r="A4005" t="str">
        <f>"05/01/2025 15:15:39.489"</f>
        <v>05/01/2025 15:15:39.489</v>
      </c>
      <c r="C4005" t="str">
        <f t="shared" si="1572"/>
        <v>FFDFD3C0</v>
      </c>
      <c r="D4005" t="s">
        <v>143</v>
      </c>
      <c r="E4005" t="str">
        <f>"05"</f>
        <v>05</v>
      </c>
      <c r="H4005">
        <v>172</v>
      </c>
      <c r="I4005" t="s">
        <v>141</v>
      </c>
      <c r="J4005" t="s">
        <v>144</v>
      </c>
      <c r="K4005">
        <v>0</v>
      </c>
      <c r="L4005">
        <v>3</v>
      </c>
      <c r="M4005">
        <v>0</v>
      </c>
      <c r="N4005">
        <v>2</v>
      </c>
      <c r="O4005">
        <v>0</v>
      </c>
      <c r="P4005">
        <v>1</v>
      </c>
      <c r="Q4005">
        <v>0</v>
      </c>
      <c r="R4005" t="s">
        <v>127</v>
      </c>
      <c r="S4005" t="str">
        <f t="shared" si="1586"/>
        <v>15:15:39.000</v>
      </c>
      <c r="T4005" t="str">
        <f t="shared" si="1586"/>
        <v>15:15:39.000</v>
      </c>
      <c r="U4005" t="str">
        <f t="shared" si="1573"/>
        <v>A68FCB</v>
      </c>
      <c r="V4005">
        <v>0</v>
      </c>
      <c r="W4005">
        <v>0</v>
      </c>
      <c r="X4005">
        <v>2</v>
      </c>
      <c r="Y4005">
        <v>0</v>
      </c>
      <c r="AA4005">
        <v>1</v>
      </c>
      <c r="AB4005">
        <v>8</v>
      </c>
      <c r="AC4005">
        <v>3</v>
      </c>
      <c r="AD4005">
        <v>0</v>
      </c>
      <c r="AE4005">
        <v>9</v>
      </c>
      <c r="AF4005" t="s">
        <v>138</v>
      </c>
      <c r="AG4005">
        <v>0</v>
      </c>
      <c r="AH4005">
        <v>3</v>
      </c>
      <c r="AI4005">
        <v>2</v>
      </c>
      <c r="AJ4005">
        <v>0</v>
      </c>
      <c r="AK4005" t="s">
        <v>1268</v>
      </c>
      <c r="AL4005">
        <v>39.181987999999997</v>
      </c>
      <c r="AM4005" t="s">
        <v>1269</v>
      </c>
      <c r="AN4005">
        <v>-121.026313</v>
      </c>
      <c r="AO4005">
        <v>25</v>
      </c>
      <c r="AP4005">
        <v>4400</v>
      </c>
      <c r="AQ4005" t="s">
        <v>131</v>
      </c>
      <c r="AR4005">
        <v>33</v>
      </c>
      <c r="AS4005">
        <v>72</v>
      </c>
      <c r="AT4005">
        <v>192</v>
      </c>
      <c r="BB4005" t="str">
        <f t="shared" si="1574"/>
        <v>1200</v>
      </c>
      <c r="BC4005">
        <v>1</v>
      </c>
      <c r="BD4005" t="str">
        <f t="shared" si="1575"/>
        <v xml:space="preserve">N52156  </v>
      </c>
      <c r="BE4005">
        <v>1</v>
      </c>
      <c r="BG4005">
        <v>0</v>
      </c>
      <c r="BH4005">
        <v>0</v>
      </c>
      <c r="BI4005">
        <v>0</v>
      </c>
      <c r="BJ4005">
        <v>4475</v>
      </c>
      <c r="BK4005">
        <v>75</v>
      </c>
      <c r="BL4005" t="s">
        <v>188</v>
      </c>
      <c r="BM4005">
        <v>1</v>
      </c>
      <c r="BN4005">
        <v>1</v>
      </c>
      <c r="BO4005">
        <v>0</v>
      </c>
      <c r="BP4005">
        <v>0</v>
      </c>
      <c r="BS4005">
        <v>0</v>
      </c>
      <c r="BT4005">
        <v>0</v>
      </c>
      <c r="BU4005">
        <v>0</v>
      </c>
      <c r="CE4005" t="str">
        <f t="shared" si="1587"/>
        <v>15:15:39.260</v>
      </c>
      <c r="CF4005">
        <v>260324922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3</v>
      </c>
      <c r="CY4005">
        <v>7</v>
      </c>
      <c r="CZ4005" t="s">
        <v>133</v>
      </c>
      <c r="DA4005">
        <v>276</v>
      </c>
      <c r="DB4005">
        <v>0</v>
      </c>
      <c r="DC4005" t="s">
        <v>402</v>
      </c>
      <c r="DD4005" t="s">
        <v>403</v>
      </c>
      <c r="DG4005">
        <v>1628346</v>
      </c>
      <c r="DI4005">
        <v>1</v>
      </c>
      <c r="DJ4005">
        <v>0</v>
      </c>
      <c r="DK4005">
        <v>1</v>
      </c>
      <c r="DL4005">
        <v>0</v>
      </c>
      <c r="DM4005">
        <v>0</v>
      </c>
      <c r="DN4005">
        <v>0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 x14ac:dyDescent="0.3">
      <c r="A4006" t="str">
        <f>"05/01/2025 15:15:39.491"</f>
        <v>05/01/2025 15:15:39.491</v>
      </c>
      <c r="C4006" t="str">
        <f t="shared" si="1572"/>
        <v>FFDFD3C0</v>
      </c>
      <c r="D4006" t="s">
        <v>140</v>
      </c>
      <c r="E4006" t="str">
        <f>"13"</f>
        <v>13</v>
      </c>
      <c r="F4006">
        <v>1019</v>
      </c>
      <c r="G4006" t="s">
        <v>141</v>
      </c>
      <c r="J4006" t="s">
        <v>142</v>
      </c>
      <c r="K4006">
        <v>0</v>
      </c>
      <c r="L4006">
        <v>3</v>
      </c>
      <c r="M4006">
        <v>0</v>
      </c>
      <c r="N4006">
        <v>2</v>
      </c>
      <c r="O4006">
        <v>0</v>
      </c>
      <c r="P4006">
        <v>1</v>
      </c>
      <c r="Q4006">
        <v>0</v>
      </c>
      <c r="R4006" t="s">
        <v>127</v>
      </c>
      <c r="S4006" t="str">
        <f t="shared" si="1586"/>
        <v>15:15:39.000</v>
      </c>
      <c r="T4006" t="str">
        <f t="shared" si="1586"/>
        <v>15:15:39.000</v>
      </c>
      <c r="U4006" t="str">
        <f t="shared" si="1573"/>
        <v>A68FCB</v>
      </c>
      <c r="V4006">
        <v>0</v>
      </c>
      <c r="W4006">
        <v>0</v>
      </c>
      <c r="X4006">
        <v>2</v>
      </c>
      <c r="Y4006">
        <v>0</v>
      </c>
      <c r="AA4006">
        <v>1</v>
      </c>
      <c r="AB4006">
        <v>8</v>
      </c>
      <c r="AC4006">
        <v>3</v>
      </c>
      <c r="AD4006">
        <v>0</v>
      </c>
      <c r="AE4006">
        <v>9</v>
      </c>
      <c r="AF4006" t="s">
        <v>138</v>
      </c>
      <c r="AG4006">
        <v>0</v>
      </c>
      <c r="AH4006">
        <v>3</v>
      </c>
      <c r="AI4006">
        <v>2</v>
      </c>
      <c r="AJ4006">
        <v>0</v>
      </c>
      <c r="AK4006" t="s">
        <v>1268</v>
      </c>
      <c r="AL4006">
        <v>39.181987999999997</v>
      </c>
      <c r="AM4006" t="s">
        <v>1269</v>
      </c>
      <c r="AN4006">
        <v>-121.026313</v>
      </c>
      <c r="AO4006">
        <v>25</v>
      </c>
      <c r="AP4006">
        <v>4400</v>
      </c>
      <c r="AQ4006" t="s">
        <v>131</v>
      </c>
      <c r="AR4006">
        <v>33</v>
      </c>
      <c r="AS4006">
        <v>72</v>
      </c>
      <c r="AT4006">
        <v>192</v>
      </c>
      <c r="BB4006" t="str">
        <f t="shared" si="1574"/>
        <v>1200</v>
      </c>
      <c r="BC4006">
        <v>1</v>
      </c>
      <c r="BD4006" t="str">
        <f t="shared" si="1575"/>
        <v xml:space="preserve">N52156  </v>
      </c>
      <c r="BE4006">
        <v>1</v>
      </c>
      <c r="BG4006">
        <v>0</v>
      </c>
      <c r="BH4006">
        <v>0</v>
      </c>
      <c r="BI4006">
        <v>0</v>
      </c>
      <c r="BJ4006">
        <v>4475</v>
      </c>
      <c r="BK4006">
        <v>75</v>
      </c>
      <c r="BL4006" t="s">
        <v>188</v>
      </c>
      <c r="BM4006">
        <v>1</v>
      </c>
      <c r="BN4006">
        <v>1</v>
      </c>
      <c r="BO4006">
        <v>0</v>
      </c>
      <c r="BP4006">
        <v>0</v>
      </c>
      <c r="BS4006">
        <v>0</v>
      </c>
      <c r="BT4006">
        <v>0</v>
      </c>
      <c r="BU4006">
        <v>0</v>
      </c>
      <c r="CE4006" t="str">
        <f t="shared" si="1587"/>
        <v>15:15:39.260</v>
      </c>
      <c r="CF4006">
        <v>260324922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3</v>
      </c>
      <c r="CY4006">
        <v>7</v>
      </c>
      <c r="CZ4006" t="s">
        <v>133</v>
      </c>
      <c r="DA4006">
        <v>276</v>
      </c>
      <c r="DB4006">
        <v>0</v>
      </c>
      <c r="DC4006" t="s">
        <v>402</v>
      </c>
      <c r="DD4006" t="s">
        <v>403</v>
      </c>
      <c r="DG4006">
        <v>1628346</v>
      </c>
      <c r="DI4006">
        <v>1</v>
      </c>
      <c r="DJ4006">
        <v>0</v>
      </c>
      <c r="DK4006">
        <v>1</v>
      </c>
      <c r="DL4006">
        <v>0</v>
      </c>
      <c r="DM4006">
        <v>0</v>
      </c>
      <c r="DN4006">
        <v>0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 x14ac:dyDescent="0.3">
      <c r="A4007" t="str">
        <f>"05/01/2025 15:15:39.496"</f>
        <v>05/01/2025 15:15:39.496</v>
      </c>
      <c r="C4007" t="str">
        <f t="shared" si="1572"/>
        <v>FFDFD3C0</v>
      </c>
      <c r="D4007" t="s">
        <v>124</v>
      </c>
      <c r="E4007" t="str">
        <f>"06"</f>
        <v>06</v>
      </c>
      <c r="F4007">
        <v>2006</v>
      </c>
      <c r="G4007" t="s">
        <v>125</v>
      </c>
      <c r="J4007" t="s">
        <v>126</v>
      </c>
      <c r="K4007">
        <v>0</v>
      </c>
      <c r="L4007">
        <v>3</v>
      </c>
      <c r="M4007">
        <v>0</v>
      </c>
      <c r="N4007">
        <v>2</v>
      </c>
      <c r="O4007">
        <v>0</v>
      </c>
      <c r="P4007">
        <v>1</v>
      </c>
      <c r="Q4007">
        <v>0</v>
      </c>
      <c r="R4007" t="s">
        <v>127</v>
      </c>
      <c r="S4007" t="str">
        <f t="shared" si="1586"/>
        <v>15:15:39.000</v>
      </c>
      <c r="T4007" t="str">
        <f t="shared" si="1586"/>
        <v>15:15:39.000</v>
      </c>
      <c r="U4007" t="str">
        <f t="shared" si="1573"/>
        <v>A68FCB</v>
      </c>
      <c r="V4007">
        <v>0</v>
      </c>
      <c r="W4007">
        <v>0</v>
      </c>
      <c r="X4007">
        <v>2</v>
      </c>
      <c r="Y4007">
        <v>0</v>
      </c>
      <c r="AA4007">
        <v>1</v>
      </c>
      <c r="AB4007">
        <v>8</v>
      </c>
      <c r="AC4007">
        <v>3</v>
      </c>
      <c r="AD4007">
        <v>0</v>
      </c>
      <c r="AE4007">
        <v>9</v>
      </c>
      <c r="AF4007" t="s">
        <v>138</v>
      </c>
      <c r="AG4007">
        <v>0</v>
      </c>
      <c r="AH4007">
        <v>3</v>
      </c>
      <c r="AI4007">
        <v>2</v>
      </c>
      <c r="AJ4007">
        <v>0</v>
      </c>
      <c r="AK4007" t="s">
        <v>1268</v>
      </c>
      <c r="AL4007">
        <v>39.181987999999997</v>
      </c>
      <c r="AM4007" t="s">
        <v>1269</v>
      </c>
      <c r="AN4007">
        <v>-121.026313</v>
      </c>
      <c r="AO4007">
        <v>25</v>
      </c>
      <c r="AP4007">
        <v>4400</v>
      </c>
      <c r="AQ4007" t="s">
        <v>131</v>
      </c>
      <c r="AR4007">
        <v>33</v>
      </c>
      <c r="AS4007">
        <v>72</v>
      </c>
      <c r="AT4007">
        <v>192</v>
      </c>
      <c r="BB4007" t="str">
        <f t="shared" si="1574"/>
        <v>1200</v>
      </c>
      <c r="BC4007">
        <v>1</v>
      </c>
      <c r="BD4007" t="str">
        <f t="shared" si="1575"/>
        <v xml:space="preserve">N52156  </v>
      </c>
      <c r="BE4007">
        <v>1</v>
      </c>
      <c r="BG4007">
        <v>0</v>
      </c>
      <c r="BH4007">
        <v>0</v>
      </c>
      <c r="BI4007">
        <v>0</v>
      </c>
      <c r="BJ4007">
        <v>4475</v>
      </c>
      <c r="BK4007">
        <v>75</v>
      </c>
      <c r="BL4007" t="s">
        <v>188</v>
      </c>
      <c r="BM4007">
        <v>1</v>
      </c>
      <c r="BN4007">
        <v>1</v>
      </c>
      <c r="BO4007">
        <v>0</v>
      </c>
      <c r="BP4007">
        <v>0</v>
      </c>
      <c r="BS4007">
        <v>0</v>
      </c>
      <c r="BT4007">
        <v>0</v>
      </c>
      <c r="BU4007">
        <v>0</v>
      </c>
      <c r="CE4007" t="str">
        <f t="shared" si="1587"/>
        <v>15:15:39.260</v>
      </c>
      <c r="CF4007">
        <v>260324922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3</v>
      </c>
      <c r="CY4007">
        <v>7</v>
      </c>
      <c r="CZ4007" t="s">
        <v>133</v>
      </c>
      <c r="DA4007">
        <v>276</v>
      </c>
      <c r="DB4007">
        <v>0</v>
      </c>
      <c r="DC4007" t="s">
        <v>402</v>
      </c>
      <c r="DD4007" t="s">
        <v>403</v>
      </c>
      <c r="DG4007">
        <v>1628346</v>
      </c>
      <c r="DI4007">
        <v>1</v>
      </c>
      <c r="DJ4007">
        <v>0</v>
      </c>
      <c r="DK4007">
        <v>1</v>
      </c>
      <c r="DL4007">
        <v>0</v>
      </c>
      <c r="DM4007">
        <v>0</v>
      </c>
      <c r="DN4007">
        <v>0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 x14ac:dyDescent="0.3">
      <c r="A4008" t="str">
        <f>"05/01/2025 15:15:39.503"</f>
        <v>05/01/2025 15:15:39.503</v>
      </c>
      <c r="C4008" t="str">
        <f t="shared" si="1572"/>
        <v>FFDFD3C0</v>
      </c>
      <c r="D4008" t="s">
        <v>145</v>
      </c>
      <c r="E4008" t="str">
        <f>"09"</f>
        <v>09</v>
      </c>
      <c r="H4008">
        <v>51</v>
      </c>
      <c r="I4008" t="s">
        <v>147</v>
      </c>
      <c r="J4008" t="s">
        <v>138</v>
      </c>
      <c r="K4008">
        <v>0</v>
      </c>
      <c r="L4008">
        <v>3</v>
      </c>
      <c r="M4008">
        <v>0</v>
      </c>
      <c r="N4008">
        <v>2</v>
      </c>
      <c r="O4008">
        <v>0</v>
      </c>
      <c r="P4008">
        <v>1</v>
      </c>
      <c r="Q4008">
        <v>0</v>
      </c>
      <c r="R4008" t="s">
        <v>127</v>
      </c>
      <c r="S4008" t="str">
        <f t="shared" si="1586"/>
        <v>15:15:39.000</v>
      </c>
      <c r="T4008" t="str">
        <f t="shared" si="1586"/>
        <v>15:15:39.000</v>
      </c>
      <c r="U4008" t="str">
        <f t="shared" si="1573"/>
        <v>A68FCB</v>
      </c>
      <c r="V4008">
        <v>0</v>
      </c>
      <c r="W4008">
        <v>0</v>
      </c>
      <c r="X4008">
        <v>2</v>
      </c>
      <c r="Y4008">
        <v>0</v>
      </c>
      <c r="AA4008">
        <v>1</v>
      </c>
      <c r="AB4008">
        <v>8</v>
      </c>
      <c r="AC4008">
        <v>3</v>
      </c>
      <c r="AD4008">
        <v>0</v>
      </c>
      <c r="AE4008">
        <v>9</v>
      </c>
      <c r="AF4008" t="s">
        <v>138</v>
      </c>
      <c r="AG4008">
        <v>0</v>
      </c>
      <c r="AH4008">
        <v>3</v>
      </c>
      <c r="AI4008">
        <v>2</v>
      </c>
      <c r="AJ4008">
        <v>0</v>
      </c>
      <c r="AK4008" t="s">
        <v>1268</v>
      </c>
      <c r="AL4008">
        <v>39.181987999999997</v>
      </c>
      <c r="AM4008" t="s">
        <v>1269</v>
      </c>
      <c r="AN4008">
        <v>-121.026313</v>
      </c>
      <c r="AO4008">
        <v>25</v>
      </c>
      <c r="AP4008">
        <v>4400</v>
      </c>
      <c r="AQ4008" t="s">
        <v>131</v>
      </c>
      <c r="AR4008">
        <v>33</v>
      </c>
      <c r="AS4008">
        <v>72</v>
      </c>
      <c r="AT4008">
        <v>192</v>
      </c>
      <c r="BB4008" t="str">
        <f t="shared" si="1574"/>
        <v>1200</v>
      </c>
      <c r="BC4008">
        <v>1</v>
      </c>
      <c r="BD4008" t="str">
        <f t="shared" si="1575"/>
        <v xml:space="preserve">N52156  </v>
      </c>
      <c r="BE4008">
        <v>1</v>
      </c>
      <c r="BG4008">
        <v>0</v>
      </c>
      <c r="BH4008">
        <v>0</v>
      </c>
      <c r="BI4008">
        <v>0</v>
      </c>
      <c r="BJ4008">
        <v>4475</v>
      </c>
      <c r="BK4008">
        <v>75</v>
      </c>
      <c r="BL4008" t="s">
        <v>188</v>
      </c>
      <c r="BM4008">
        <v>1</v>
      </c>
      <c r="BN4008">
        <v>1</v>
      </c>
      <c r="BO4008">
        <v>0</v>
      </c>
      <c r="BP4008">
        <v>0</v>
      </c>
      <c r="BS4008">
        <v>0</v>
      </c>
      <c r="BT4008">
        <v>0</v>
      </c>
      <c r="BU4008">
        <v>0</v>
      </c>
      <c r="CE4008" t="str">
        <f t="shared" si="1587"/>
        <v>15:15:39.260</v>
      </c>
      <c r="CF4008">
        <v>260324922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3</v>
      </c>
      <c r="CY4008">
        <v>7</v>
      </c>
      <c r="CZ4008" t="s">
        <v>133</v>
      </c>
      <c r="DA4008">
        <v>276</v>
      </c>
      <c r="DB4008">
        <v>0</v>
      </c>
      <c r="DC4008" t="s">
        <v>402</v>
      </c>
      <c r="DD4008" t="s">
        <v>403</v>
      </c>
      <c r="DG4008">
        <v>1628346</v>
      </c>
      <c r="DI4008">
        <v>1</v>
      </c>
      <c r="DJ4008">
        <v>0</v>
      </c>
      <c r="DK4008">
        <v>1</v>
      </c>
      <c r="DL4008">
        <v>0</v>
      </c>
      <c r="DM4008">
        <v>0</v>
      </c>
      <c r="DN4008">
        <v>0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 x14ac:dyDescent="0.3">
      <c r="A4009" t="str">
        <f>"05/01/2025 15:15:39.509"</f>
        <v>05/01/2025 15:15:39.509</v>
      </c>
      <c r="C4009" t="str">
        <f t="shared" si="1572"/>
        <v>FFDFD3C0</v>
      </c>
      <c r="D4009" t="s">
        <v>145</v>
      </c>
      <c r="E4009" t="str">
        <f>"05"</f>
        <v>05</v>
      </c>
      <c r="H4009">
        <v>47</v>
      </c>
      <c r="I4009" t="s">
        <v>146</v>
      </c>
      <c r="J4009" t="s">
        <v>138</v>
      </c>
      <c r="K4009">
        <v>0</v>
      </c>
      <c r="L4009">
        <v>3</v>
      </c>
      <c r="M4009">
        <v>0</v>
      </c>
      <c r="N4009">
        <v>2</v>
      </c>
      <c r="O4009">
        <v>0</v>
      </c>
      <c r="P4009">
        <v>1</v>
      </c>
      <c r="Q4009">
        <v>0</v>
      </c>
      <c r="R4009" t="s">
        <v>127</v>
      </c>
      <c r="S4009" t="str">
        <f t="shared" si="1586"/>
        <v>15:15:39.000</v>
      </c>
      <c r="T4009" t="str">
        <f t="shared" si="1586"/>
        <v>15:15:39.000</v>
      </c>
      <c r="U4009" t="str">
        <f t="shared" si="1573"/>
        <v>A68FCB</v>
      </c>
      <c r="V4009">
        <v>0</v>
      </c>
      <c r="W4009">
        <v>0</v>
      </c>
      <c r="X4009">
        <v>2</v>
      </c>
      <c r="Y4009">
        <v>0</v>
      </c>
      <c r="AA4009">
        <v>1</v>
      </c>
      <c r="AB4009">
        <v>8</v>
      </c>
      <c r="AC4009">
        <v>3</v>
      </c>
      <c r="AD4009">
        <v>0</v>
      </c>
      <c r="AE4009">
        <v>9</v>
      </c>
      <c r="AF4009" t="s">
        <v>138</v>
      </c>
      <c r="AG4009">
        <v>0</v>
      </c>
      <c r="AH4009">
        <v>3</v>
      </c>
      <c r="AI4009">
        <v>2</v>
      </c>
      <c r="AJ4009">
        <v>0</v>
      </c>
      <c r="AK4009" t="s">
        <v>1268</v>
      </c>
      <c r="AL4009">
        <v>39.181987999999997</v>
      </c>
      <c r="AM4009" t="s">
        <v>1269</v>
      </c>
      <c r="AN4009">
        <v>-121.026313</v>
      </c>
      <c r="AO4009">
        <v>25</v>
      </c>
      <c r="AP4009">
        <v>4400</v>
      </c>
      <c r="AQ4009" t="s">
        <v>131</v>
      </c>
      <c r="AR4009">
        <v>33</v>
      </c>
      <c r="AS4009">
        <v>72</v>
      </c>
      <c r="AT4009">
        <v>192</v>
      </c>
      <c r="BB4009" t="str">
        <f t="shared" si="1574"/>
        <v>1200</v>
      </c>
      <c r="BC4009">
        <v>1</v>
      </c>
      <c r="BD4009" t="str">
        <f t="shared" si="1575"/>
        <v xml:space="preserve">N52156  </v>
      </c>
      <c r="BE4009">
        <v>1</v>
      </c>
      <c r="BG4009">
        <v>0</v>
      </c>
      <c r="BH4009">
        <v>0</v>
      </c>
      <c r="BI4009">
        <v>0</v>
      </c>
      <c r="BJ4009">
        <v>4475</v>
      </c>
      <c r="BK4009">
        <v>75</v>
      </c>
      <c r="BL4009" t="s">
        <v>188</v>
      </c>
      <c r="BM4009">
        <v>1</v>
      </c>
      <c r="BN4009">
        <v>1</v>
      </c>
      <c r="BO4009">
        <v>0</v>
      </c>
      <c r="BP4009">
        <v>0</v>
      </c>
      <c r="BS4009">
        <v>0</v>
      </c>
      <c r="BT4009">
        <v>0</v>
      </c>
      <c r="BU4009">
        <v>0</v>
      </c>
      <c r="CE4009" t="str">
        <f t="shared" si="1587"/>
        <v>15:15:39.260</v>
      </c>
      <c r="CF4009">
        <v>260324922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3</v>
      </c>
      <c r="CY4009">
        <v>7</v>
      </c>
      <c r="CZ4009" t="s">
        <v>133</v>
      </c>
      <c r="DA4009">
        <v>276</v>
      </c>
      <c r="DB4009">
        <v>0</v>
      </c>
      <c r="DC4009" t="s">
        <v>402</v>
      </c>
      <c r="DD4009" t="s">
        <v>403</v>
      </c>
      <c r="DG4009">
        <v>1628346</v>
      </c>
      <c r="DI4009">
        <v>1</v>
      </c>
      <c r="DJ4009">
        <v>0</v>
      </c>
      <c r="DK4009">
        <v>1</v>
      </c>
      <c r="DL4009">
        <v>0</v>
      </c>
      <c r="DM4009">
        <v>0</v>
      </c>
      <c r="DN4009">
        <v>0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 x14ac:dyDescent="0.3">
      <c r="A4010" t="str">
        <f>"05/01/2025 15:15:40.491"</f>
        <v>05/01/2025 15:15:40.491</v>
      </c>
      <c r="C4010" t="str">
        <f t="shared" si="1572"/>
        <v>FFDFD3C0</v>
      </c>
      <c r="D4010" t="s">
        <v>143</v>
      </c>
      <c r="E4010" t="str">
        <f>"05"</f>
        <v>05</v>
      </c>
      <c r="H4010">
        <v>172</v>
      </c>
      <c r="I4010" t="s">
        <v>141</v>
      </c>
      <c r="J4010" t="s">
        <v>144</v>
      </c>
      <c r="K4010">
        <v>0</v>
      </c>
      <c r="L4010">
        <v>3</v>
      </c>
      <c r="M4010">
        <v>0</v>
      </c>
      <c r="N4010">
        <v>2</v>
      </c>
      <c r="O4010">
        <v>0</v>
      </c>
      <c r="P4010">
        <v>1</v>
      </c>
      <c r="Q4010">
        <v>0</v>
      </c>
      <c r="R4010" t="s">
        <v>127</v>
      </c>
      <c r="S4010" t="str">
        <f t="shared" ref="S4010:T4015" si="1588">"15:15:40.000"</f>
        <v>15:15:40.000</v>
      </c>
      <c r="T4010" t="str">
        <f t="shared" si="1588"/>
        <v>15:15:40.000</v>
      </c>
      <c r="U4010" t="str">
        <f t="shared" si="1573"/>
        <v>A68FCB</v>
      </c>
      <c r="V4010">
        <v>0</v>
      </c>
      <c r="W4010">
        <v>0</v>
      </c>
      <c r="X4010">
        <v>2</v>
      </c>
      <c r="Y4010">
        <v>0</v>
      </c>
      <c r="AA4010">
        <v>1</v>
      </c>
      <c r="AB4010">
        <v>8</v>
      </c>
      <c r="AC4010">
        <v>3</v>
      </c>
      <c r="AD4010">
        <v>0</v>
      </c>
      <c r="AE4010">
        <v>9</v>
      </c>
      <c r="AF4010" t="s">
        <v>138</v>
      </c>
      <c r="AG4010">
        <v>0</v>
      </c>
      <c r="AH4010">
        <v>3</v>
      </c>
      <c r="AI4010">
        <v>2</v>
      </c>
      <c r="AJ4010">
        <v>0</v>
      </c>
      <c r="AK4010" t="s">
        <v>1270</v>
      </c>
      <c r="AL4010">
        <v>39.182310000000001</v>
      </c>
      <c r="AM4010" t="s">
        <v>1271</v>
      </c>
      <c r="AN4010">
        <v>-121.026099</v>
      </c>
      <c r="AO4010">
        <v>25</v>
      </c>
      <c r="AP4010">
        <v>4400</v>
      </c>
      <c r="AQ4010" t="s">
        <v>131</v>
      </c>
      <c r="AR4010">
        <v>34</v>
      </c>
      <c r="AS4010">
        <v>71</v>
      </c>
      <c r="AT4010">
        <v>128</v>
      </c>
      <c r="BB4010" t="str">
        <f t="shared" si="1574"/>
        <v>1200</v>
      </c>
      <c r="BC4010">
        <v>1</v>
      </c>
      <c r="BD4010" t="str">
        <f t="shared" si="1575"/>
        <v xml:space="preserve">N52156  </v>
      </c>
      <c r="BE4010">
        <v>1</v>
      </c>
      <c r="BG4010">
        <v>0</v>
      </c>
      <c r="BH4010">
        <v>0</v>
      </c>
      <c r="BI4010">
        <v>0</v>
      </c>
      <c r="BJ4010">
        <v>4500</v>
      </c>
      <c r="BK4010">
        <v>100</v>
      </c>
      <c r="BL4010" t="s">
        <v>188</v>
      </c>
      <c r="BM4010">
        <v>1</v>
      </c>
      <c r="BN4010">
        <v>1</v>
      </c>
      <c r="BO4010">
        <v>0</v>
      </c>
      <c r="BP4010">
        <v>0</v>
      </c>
      <c r="BS4010">
        <v>0</v>
      </c>
      <c r="BT4010">
        <v>0</v>
      </c>
      <c r="BU4010">
        <v>0</v>
      </c>
      <c r="CE4010" t="str">
        <f t="shared" ref="CE4010:CE4015" si="1589">"15:15:40.287"</f>
        <v>15:15:40.287</v>
      </c>
      <c r="CF4010">
        <v>287325033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3</v>
      </c>
      <c r="CY4010">
        <v>7</v>
      </c>
      <c r="CZ4010" t="s">
        <v>133</v>
      </c>
      <c r="DA4010">
        <v>276</v>
      </c>
      <c r="DB4010">
        <v>0</v>
      </c>
      <c r="DC4010" t="s">
        <v>402</v>
      </c>
      <c r="DD4010" t="s">
        <v>403</v>
      </c>
      <c r="DG4010">
        <v>1628351</v>
      </c>
      <c r="DI4010">
        <v>1</v>
      </c>
      <c r="DJ4010">
        <v>0</v>
      </c>
      <c r="DK4010">
        <v>0</v>
      </c>
      <c r="DL4010">
        <v>0</v>
      </c>
      <c r="DM4010">
        <v>0</v>
      </c>
      <c r="DN4010">
        <v>0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 x14ac:dyDescent="0.3">
      <c r="A4011" t="str">
        <f>"05/01/2025 15:15:40.492"</f>
        <v>05/01/2025 15:15:40.492</v>
      </c>
      <c r="C4011" t="str">
        <f t="shared" si="1572"/>
        <v>FFDFD3C0</v>
      </c>
      <c r="D4011" t="s">
        <v>140</v>
      </c>
      <c r="E4011" t="str">
        <f>"13"</f>
        <v>13</v>
      </c>
      <c r="F4011">
        <v>1019</v>
      </c>
      <c r="G4011" t="s">
        <v>141</v>
      </c>
      <c r="J4011" t="s">
        <v>142</v>
      </c>
      <c r="K4011">
        <v>0</v>
      </c>
      <c r="L4011">
        <v>3</v>
      </c>
      <c r="M4011">
        <v>0</v>
      </c>
      <c r="N4011">
        <v>2</v>
      </c>
      <c r="O4011">
        <v>0</v>
      </c>
      <c r="P4011">
        <v>1</v>
      </c>
      <c r="Q4011">
        <v>0</v>
      </c>
      <c r="R4011" t="s">
        <v>127</v>
      </c>
      <c r="S4011" t="str">
        <f t="shared" si="1588"/>
        <v>15:15:40.000</v>
      </c>
      <c r="T4011" t="str">
        <f t="shared" si="1588"/>
        <v>15:15:40.000</v>
      </c>
      <c r="U4011" t="str">
        <f t="shared" si="1573"/>
        <v>A68FCB</v>
      </c>
      <c r="V4011">
        <v>0</v>
      </c>
      <c r="W4011">
        <v>0</v>
      </c>
      <c r="X4011">
        <v>2</v>
      </c>
      <c r="Y4011">
        <v>0</v>
      </c>
      <c r="AA4011">
        <v>1</v>
      </c>
      <c r="AB4011">
        <v>8</v>
      </c>
      <c r="AC4011">
        <v>3</v>
      </c>
      <c r="AD4011">
        <v>0</v>
      </c>
      <c r="AE4011">
        <v>9</v>
      </c>
      <c r="AF4011" t="s">
        <v>138</v>
      </c>
      <c r="AG4011">
        <v>0</v>
      </c>
      <c r="AH4011">
        <v>3</v>
      </c>
      <c r="AI4011">
        <v>2</v>
      </c>
      <c r="AJ4011">
        <v>0</v>
      </c>
      <c r="AK4011" t="s">
        <v>1270</v>
      </c>
      <c r="AL4011">
        <v>39.182310000000001</v>
      </c>
      <c r="AM4011" t="s">
        <v>1271</v>
      </c>
      <c r="AN4011">
        <v>-121.026099</v>
      </c>
      <c r="AO4011">
        <v>25</v>
      </c>
      <c r="AP4011">
        <v>4400</v>
      </c>
      <c r="AQ4011" t="s">
        <v>131</v>
      </c>
      <c r="AR4011">
        <v>34</v>
      </c>
      <c r="AS4011">
        <v>71</v>
      </c>
      <c r="AT4011">
        <v>128</v>
      </c>
      <c r="BB4011" t="str">
        <f t="shared" si="1574"/>
        <v>1200</v>
      </c>
      <c r="BC4011">
        <v>1</v>
      </c>
      <c r="BD4011" t="str">
        <f t="shared" si="1575"/>
        <v xml:space="preserve">N52156  </v>
      </c>
      <c r="BE4011">
        <v>1</v>
      </c>
      <c r="BG4011">
        <v>0</v>
      </c>
      <c r="BH4011">
        <v>0</v>
      </c>
      <c r="BI4011">
        <v>0</v>
      </c>
      <c r="BJ4011">
        <v>4500</v>
      </c>
      <c r="BK4011">
        <v>100</v>
      </c>
      <c r="BL4011" t="s">
        <v>188</v>
      </c>
      <c r="BM4011">
        <v>1</v>
      </c>
      <c r="BN4011">
        <v>1</v>
      </c>
      <c r="BO4011">
        <v>0</v>
      </c>
      <c r="BP4011">
        <v>0</v>
      </c>
      <c r="BS4011">
        <v>0</v>
      </c>
      <c r="BT4011">
        <v>0</v>
      </c>
      <c r="BU4011">
        <v>0</v>
      </c>
      <c r="CE4011" t="str">
        <f t="shared" si="1589"/>
        <v>15:15:40.287</v>
      </c>
      <c r="CF4011">
        <v>287325033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3</v>
      </c>
      <c r="CY4011">
        <v>7</v>
      </c>
      <c r="CZ4011" t="s">
        <v>133</v>
      </c>
      <c r="DA4011">
        <v>276</v>
      </c>
      <c r="DB4011">
        <v>0</v>
      </c>
      <c r="DC4011" t="s">
        <v>402</v>
      </c>
      <c r="DD4011" t="s">
        <v>403</v>
      </c>
      <c r="DG4011">
        <v>1628351</v>
      </c>
      <c r="DI4011">
        <v>1</v>
      </c>
      <c r="DJ4011">
        <v>0</v>
      </c>
      <c r="DK4011">
        <v>1</v>
      </c>
      <c r="DL4011">
        <v>0</v>
      </c>
      <c r="DM4011">
        <v>0</v>
      </c>
      <c r="DN4011">
        <v>0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 x14ac:dyDescent="0.3">
      <c r="A4012" t="str">
        <f>"05/01/2025 15:15:40.498"</f>
        <v>05/01/2025 15:15:40.498</v>
      </c>
      <c r="C4012" t="str">
        <f t="shared" si="1572"/>
        <v>FFDFD3C0</v>
      </c>
      <c r="D4012" t="s">
        <v>124</v>
      </c>
      <c r="E4012" t="str">
        <f>"06"</f>
        <v>06</v>
      </c>
      <c r="F4012">
        <v>2006</v>
      </c>
      <c r="G4012" t="s">
        <v>125</v>
      </c>
      <c r="J4012" t="s">
        <v>126</v>
      </c>
      <c r="K4012">
        <v>0</v>
      </c>
      <c r="L4012">
        <v>3</v>
      </c>
      <c r="M4012">
        <v>0</v>
      </c>
      <c r="N4012">
        <v>2</v>
      </c>
      <c r="O4012">
        <v>0</v>
      </c>
      <c r="P4012">
        <v>1</v>
      </c>
      <c r="Q4012">
        <v>0</v>
      </c>
      <c r="R4012" t="s">
        <v>127</v>
      </c>
      <c r="S4012" t="str">
        <f t="shared" si="1588"/>
        <v>15:15:40.000</v>
      </c>
      <c r="T4012" t="str">
        <f t="shared" si="1588"/>
        <v>15:15:40.000</v>
      </c>
      <c r="U4012" t="str">
        <f t="shared" si="1573"/>
        <v>A68FCB</v>
      </c>
      <c r="V4012">
        <v>0</v>
      </c>
      <c r="W4012">
        <v>0</v>
      </c>
      <c r="X4012">
        <v>2</v>
      </c>
      <c r="Y4012">
        <v>0</v>
      </c>
      <c r="AA4012">
        <v>1</v>
      </c>
      <c r="AB4012">
        <v>8</v>
      </c>
      <c r="AC4012">
        <v>3</v>
      </c>
      <c r="AD4012">
        <v>0</v>
      </c>
      <c r="AE4012">
        <v>9</v>
      </c>
      <c r="AF4012" t="s">
        <v>138</v>
      </c>
      <c r="AG4012">
        <v>0</v>
      </c>
      <c r="AH4012">
        <v>3</v>
      </c>
      <c r="AI4012">
        <v>2</v>
      </c>
      <c r="AJ4012">
        <v>0</v>
      </c>
      <c r="AK4012" t="s">
        <v>1270</v>
      </c>
      <c r="AL4012">
        <v>39.182310000000001</v>
      </c>
      <c r="AM4012" t="s">
        <v>1271</v>
      </c>
      <c r="AN4012">
        <v>-121.026099</v>
      </c>
      <c r="AO4012">
        <v>25</v>
      </c>
      <c r="AP4012">
        <v>4400</v>
      </c>
      <c r="AQ4012" t="s">
        <v>131</v>
      </c>
      <c r="AR4012">
        <v>34</v>
      </c>
      <c r="AS4012">
        <v>71</v>
      </c>
      <c r="AT4012">
        <v>128</v>
      </c>
      <c r="BB4012" t="str">
        <f t="shared" si="1574"/>
        <v>1200</v>
      </c>
      <c r="BC4012">
        <v>1</v>
      </c>
      <c r="BD4012" t="str">
        <f t="shared" si="1575"/>
        <v xml:space="preserve">N52156  </v>
      </c>
      <c r="BE4012">
        <v>1</v>
      </c>
      <c r="BG4012">
        <v>0</v>
      </c>
      <c r="BH4012">
        <v>0</v>
      </c>
      <c r="BI4012">
        <v>0</v>
      </c>
      <c r="BJ4012">
        <v>4500</v>
      </c>
      <c r="BK4012">
        <v>100</v>
      </c>
      <c r="BL4012" t="s">
        <v>188</v>
      </c>
      <c r="BM4012">
        <v>1</v>
      </c>
      <c r="BN4012">
        <v>1</v>
      </c>
      <c r="BO4012">
        <v>0</v>
      </c>
      <c r="BP4012">
        <v>0</v>
      </c>
      <c r="BS4012">
        <v>0</v>
      </c>
      <c r="BT4012">
        <v>0</v>
      </c>
      <c r="BU4012">
        <v>0</v>
      </c>
      <c r="CE4012" t="str">
        <f t="shared" si="1589"/>
        <v>15:15:40.287</v>
      </c>
      <c r="CF4012">
        <v>287325033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3</v>
      </c>
      <c r="CY4012">
        <v>7</v>
      </c>
      <c r="CZ4012" t="s">
        <v>133</v>
      </c>
      <c r="DA4012">
        <v>276</v>
      </c>
      <c r="DB4012">
        <v>0</v>
      </c>
      <c r="DC4012" t="s">
        <v>402</v>
      </c>
      <c r="DD4012" t="s">
        <v>403</v>
      </c>
      <c r="DG4012">
        <v>1628351</v>
      </c>
      <c r="DI4012">
        <v>1</v>
      </c>
      <c r="DJ4012">
        <v>0</v>
      </c>
      <c r="DK4012">
        <v>1</v>
      </c>
      <c r="DL4012">
        <v>0</v>
      </c>
      <c r="DM4012">
        <v>0</v>
      </c>
      <c r="DN4012">
        <v>0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 x14ac:dyDescent="0.3">
      <c r="A4013" t="str">
        <f>"05/01/2025 15:15:40.504"</f>
        <v>05/01/2025 15:15:40.504</v>
      </c>
      <c r="C4013" t="str">
        <f t="shared" si="1572"/>
        <v>FFDFD3C0</v>
      </c>
      <c r="D4013" t="s">
        <v>145</v>
      </c>
      <c r="E4013" t="str">
        <f>"09"</f>
        <v>09</v>
      </c>
      <c r="H4013">
        <v>51</v>
      </c>
      <c r="I4013" t="s">
        <v>147</v>
      </c>
      <c r="J4013" t="s">
        <v>138</v>
      </c>
      <c r="K4013">
        <v>0</v>
      </c>
      <c r="L4013">
        <v>3</v>
      </c>
      <c r="M4013">
        <v>0</v>
      </c>
      <c r="N4013">
        <v>2</v>
      </c>
      <c r="O4013">
        <v>0</v>
      </c>
      <c r="P4013">
        <v>1</v>
      </c>
      <c r="Q4013">
        <v>0</v>
      </c>
      <c r="R4013" t="s">
        <v>127</v>
      </c>
      <c r="S4013" t="str">
        <f t="shared" si="1588"/>
        <v>15:15:40.000</v>
      </c>
      <c r="T4013" t="str">
        <f t="shared" si="1588"/>
        <v>15:15:40.000</v>
      </c>
      <c r="U4013" t="str">
        <f t="shared" si="1573"/>
        <v>A68FCB</v>
      </c>
      <c r="V4013">
        <v>0</v>
      </c>
      <c r="W4013">
        <v>0</v>
      </c>
      <c r="X4013">
        <v>2</v>
      </c>
      <c r="Y4013">
        <v>0</v>
      </c>
      <c r="AA4013">
        <v>1</v>
      </c>
      <c r="AB4013">
        <v>8</v>
      </c>
      <c r="AC4013">
        <v>3</v>
      </c>
      <c r="AD4013">
        <v>0</v>
      </c>
      <c r="AE4013">
        <v>9</v>
      </c>
      <c r="AF4013" t="s">
        <v>138</v>
      </c>
      <c r="AG4013">
        <v>0</v>
      </c>
      <c r="AH4013">
        <v>3</v>
      </c>
      <c r="AI4013">
        <v>2</v>
      </c>
      <c r="AJ4013">
        <v>0</v>
      </c>
      <c r="AK4013" t="s">
        <v>1270</v>
      </c>
      <c r="AL4013">
        <v>39.182310000000001</v>
      </c>
      <c r="AM4013" t="s">
        <v>1271</v>
      </c>
      <c r="AN4013">
        <v>-121.026099</v>
      </c>
      <c r="AO4013">
        <v>25</v>
      </c>
      <c r="AP4013">
        <v>4400</v>
      </c>
      <c r="AQ4013" t="s">
        <v>131</v>
      </c>
      <c r="AR4013">
        <v>34</v>
      </c>
      <c r="AS4013">
        <v>71</v>
      </c>
      <c r="AT4013">
        <v>128</v>
      </c>
      <c r="BB4013" t="str">
        <f t="shared" si="1574"/>
        <v>1200</v>
      </c>
      <c r="BC4013">
        <v>1</v>
      </c>
      <c r="BD4013" t="str">
        <f t="shared" si="1575"/>
        <v xml:space="preserve">N52156  </v>
      </c>
      <c r="BE4013">
        <v>1</v>
      </c>
      <c r="BG4013">
        <v>0</v>
      </c>
      <c r="BH4013">
        <v>0</v>
      </c>
      <c r="BI4013">
        <v>0</v>
      </c>
      <c r="BJ4013">
        <v>4500</v>
      </c>
      <c r="BK4013">
        <v>100</v>
      </c>
      <c r="BL4013" t="s">
        <v>188</v>
      </c>
      <c r="BM4013">
        <v>1</v>
      </c>
      <c r="BN4013">
        <v>1</v>
      </c>
      <c r="BO4013">
        <v>0</v>
      </c>
      <c r="BP4013">
        <v>0</v>
      </c>
      <c r="BS4013">
        <v>0</v>
      </c>
      <c r="BT4013">
        <v>0</v>
      </c>
      <c r="BU4013">
        <v>0</v>
      </c>
      <c r="CE4013" t="str">
        <f t="shared" si="1589"/>
        <v>15:15:40.287</v>
      </c>
      <c r="CF4013">
        <v>287325033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3</v>
      </c>
      <c r="CY4013">
        <v>7</v>
      </c>
      <c r="CZ4013" t="s">
        <v>133</v>
      </c>
      <c r="DA4013">
        <v>276</v>
      </c>
      <c r="DB4013">
        <v>0</v>
      </c>
      <c r="DC4013" t="s">
        <v>402</v>
      </c>
      <c r="DD4013" t="s">
        <v>403</v>
      </c>
      <c r="DG4013">
        <v>1628351</v>
      </c>
      <c r="DI4013">
        <v>1</v>
      </c>
      <c r="DJ4013">
        <v>0</v>
      </c>
      <c r="DK4013">
        <v>1</v>
      </c>
      <c r="DL4013">
        <v>0</v>
      </c>
      <c r="DM4013">
        <v>0</v>
      </c>
      <c r="DN4013">
        <v>0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 x14ac:dyDescent="0.3">
      <c r="A4014" t="str">
        <f>"05/01/2025 15:15:40.511"</f>
        <v>05/01/2025 15:15:40.511</v>
      </c>
      <c r="C4014" t="str">
        <f t="shared" si="1572"/>
        <v>FFDFD3C0</v>
      </c>
      <c r="D4014" t="s">
        <v>145</v>
      </c>
      <c r="E4014" t="str">
        <f>"05"</f>
        <v>05</v>
      </c>
      <c r="H4014">
        <v>47</v>
      </c>
      <c r="I4014" t="s">
        <v>146</v>
      </c>
      <c r="J4014" t="s">
        <v>138</v>
      </c>
      <c r="K4014">
        <v>0</v>
      </c>
      <c r="L4014">
        <v>3</v>
      </c>
      <c r="M4014">
        <v>0</v>
      </c>
      <c r="N4014">
        <v>2</v>
      </c>
      <c r="O4014">
        <v>0</v>
      </c>
      <c r="P4014">
        <v>1</v>
      </c>
      <c r="Q4014">
        <v>0</v>
      </c>
      <c r="R4014" t="s">
        <v>127</v>
      </c>
      <c r="S4014" t="str">
        <f t="shared" si="1588"/>
        <v>15:15:40.000</v>
      </c>
      <c r="T4014" t="str">
        <f t="shared" si="1588"/>
        <v>15:15:40.000</v>
      </c>
      <c r="U4014" t="str">
        <f t="shared" si="1573"/>
        <v>A68FCB</v>
      </c>
      <c r="V4014">
        <v>0</v>
      </c>
      <c r="W4014">
        <v>0</v>
      </c>
      <c r="X4014">
        <v>2</v>
      </c>
      <c r="Y4014">
        <v>0</v>
      </c>
      <c r="AA4014">
        <v>1</v>
      </c>
      <c r="AB4014">
        <v>8</v>
      </c>
      <c r="AC4014">
        <v>3</v>
      </c>
      <c r="AD4014">
        <v>0</v>
      </c>
      <c r="AE4014">
        <v>9</v>
      </c>
      <c r="AF4014" t="s">
        <v>138</v>
      </c>
      <c r="AG4014">
        <v>0</v>
      </c>
      <c r="AH4014">
        <v>3</v>
      </c>
      <c r="AI4014">
        <v>2</v>
      </c>
      <c r="AJ4014">
        <v>0</v>
      </c>
      <c r="AK4014" t="s">
        <v>1270</v>
      </c>
      <c r="AL4014">
        <v>39.182310000000001</v>
      </c>
      <c r="AM4014" t="s">
        <v>1271</v>
      </c>
      <c r="AN4014">
        <v>-121.026099</v>
      </c>
      <c r="AO4014">
        <v>25</v>
      </c>
      <c r="AP4014">
        <v>4400</v>
      </c>
      <c r="AQ4014" t="s">
        <v>131</v>
      </c>
      <c r="AR4014">
        <v>34</v>
      </c>
      <c r="AS4014">
        <v>71</v>
      </c>
      <c r="AT4014">
        <v>128</v>
      </c>
      <c r="BB4014" t="str">
        <f t="shared" si="1574"/>
        <v>1200</v>
      </c>
      <c r="BC4014">
        <v>1</v>
      </c>
      <c r="BD4014" t="str">
        <f t="shared" si="1575"/>
        <v xml:space="preserve">N52156  </v>
      </c>
      <c r="BE4014">
        <v>1</v>
      </c>
      <c r="BG4014">
        <v>0</v>
      </c>
      <c r="BH4014">
        <v>0</v>
      </c>
      <c r="BI4014">
        <v>0</v>
      </c>
      <c r="BJ4014">
        <v>4500</v>
      </c>
      <c r="BK4014">
        <v>100</v>
      </c>
      <c r="BL4014" t="s">
        <v>188</v>
      </c>
      <c r="BM4014">
        <v>1</v>
      </c>
      <c r="BN4014">
        <v>1</v>
      </c>
      <c r="BO4014">
        <v>0</v>
      </c>
      <c r="BP4014">
        <v>0</v>
      </c>
      <c r="BS4014">
        <v>0</v>
      </c>
      <c r="BT4014">
        <v>0</v>
      </c>
      <c r="BU4014">
        <v>0</v>
      </c>
      <c r="CE4014" t="str">
        <f t="shared" si="1589"/>
        <v>15:15:40.287</v>
      </c>
      <c r="CF4014">
        <v>287325033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3</v>
      </c>
      <c r="CY4014">
        <v>7</v>
      </c>
      <c r="CZ4014" t="s">
        <v>133</v>
      </c>
      <c r="DA4014">
        <v>276</v>
      </c>
      <c r="DB4014">
        <v>0</v>
      </c>
      <c r="DC4014" t="s">
        <v>402</v>
      </c>
      <c r="DD4014" t="s">
        <v>403</v>
      </c>
      <c r="DG4014">
        <v>1628351</v>
      </c>
      <c r="DI4014">
        <v>1</v>
      </c>
      <c r="DJ4014">
        <v>0</v>
      </c>
      <c r="DK4014">
        <v>1</v>
      </c>
      <c r="DL4014">
        <v>0</v>
      </c>
      <c r="DM4014">
        <v>0</v>
      </c>
      <c r="DN4014">
        <v>0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 x14ac:dyDescent="0.3">
      <c r="A4015" t="str">
        <f>"05/01/2025 15:15:40.520"</f>
        <v>05/01/2025 15:15:40.520</v>
      </c>
      <c r="C4015" t="str">
        <f t="shared" si="1572"/>
        <v>FFDFD3C0</v>
      </c>
      <c r="D4015" t="s">
        <v>136</v>
      </c>
      <c r="E4015" t="str">
        <f>"20"</f>
        <v>20</v>
      </c>
      <c r="H4015">
        <v>400</v>
      </c>
      <c r="I4015" t="s">
        <v>137</v>
      </c>
      <c r="J4015" t="s">
        <v>138</v>
      </c>
      <c r="K4015">
        <v>0</v>
      </c>
      <c r="L4015">
        <v>3</v>
      </c>
      <c r="M4015">
        <v>0</v>
      </c>
      <c r="N4015">
        <v>2</v>
      </c>
      <c r="O4015">
        <v>0</v>
      </c>
      <c r="P4015">
        <v>1</v>
      </c>
      <c r="Q4015">
        <v>0</v>
      </c>
      <c r="R4015" t="s">
        <v>127</v>
      </c>
      <c r="S4015" t="str">
        <f t="shared" si="1588"/>
        <v>15:15:40.000</v>
      </c>
      <c r="T4015" t="str">
        <f t="shared" si="1588"/>
        <v>15:15:40.000</v>
      </c>
      <c r="U4015" t="str">
        <f t="shared" si="1573"/>
        <v>A68FCB</v>
      </c>
      <c r="V4015">
        <v>0</v>
      </c>
      <c r="W4015">
        <v>0</v>
      </c>
      <c r="X4015">
        <v>2</v>
      </c>
      <c r="Y4015">
        <v>0</v>
      </c>
      <c r="AA4015">
        <v>1</v>
      </c>
      <c r="AB4015">
        <v>8</v>
      </c>
      <c r="AC4015">
        <v>3</v>
      </c>
      <c r="AD4015">
        <v>0</v>
      </c>
      <c r="AE4015">
        <v>9</v>
      </c>
      <c r="AF4015" t="s">
        <v>138</v>
      </c>
      <c r="AG4015">
        <v>0</v>
      </c>
      <c r="AH4015">
        <v>3</v>
      </c>
      <c r="AI4015">
        <v>2</v>
      </c>
      <c r="AJ4015">
        <v>0</v>
      </c>
      <c r="AK4015" t="s">
        <v>1270</v>
      </c>
      <c r="AL4015">
        <v>39.182310000000001</v>
      </c>
      <c r="AM4015" t="s">
        <v>1271</v>
      </c>
      <c r="AN4015">
        <v>-121.026099</v>
      </c>
      <c r="AO4015">
        <v>25</v>
      </c>
      <c r="AP4015">
        <v>4400</v>
      </c>
      <c r="AQ4015" t="s">
        <v>131</v>
      </c>
      <c r="AR4015">
        <v>34</v>
      </c>
      <c r="AS4015">
        <v>71</v>
      </c>
      <c r="AT4015">
        <v>128</v>
      </c>
      <c r="BB4015" t="str">
        <f t="shared" si="1574"/>
        <v>1200</v>
      </c>
      <c r="BC4015">
        <v>1</v>
      </c>
      <c r="BD4015" t="str">
        <f t="shared" si="1575"/>
        <v xml:space="preserve">N52156  </v>
      </c>
      <c r="BE4015">
        <v>1</v>
      </c>
      <c r="BG4015">
        <v>0</v>
      </c>
      <c r="BH4015">
        <v>0</v>
      </c>
      <c r="BI4015">
        <v>0</v>
      </c>
      <c r="BJ4015">
        <v>4500</v>
      </c>
      <c r="BK4015">
        <v>100</v>
      </c>
      <c r="BL4015" t="s">
        <v>188</v>
      </c>
      <c r="BM4015">
        <v>1</v>
      </c>
      <c r="BN4015">
        <v>1</v>
      </c>
      <c r="BO4015">
        <v>0</v>
      </c>
      <c r="BP4015">
        <v>0</v>
      </c>
      <c r="BS4015">
        <v>0</v>
      </c>
      <c r="BT4015">
        <v>0</v>
      </c>
      <c r="BU4015">
        <v>0</v>
      </c>
      <c r="CE4015" t="str">
        <f t="shared" si="1589"/>
        <v>15:15:40.287</v>
      </c>
      <c r="CF4015">
        <v>287325033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3</v>
      </c>
      <c r="CY4015">
        <v>7</v>
      </c>
      <c r="CZ4015" t="s">
        <v>133</v>
      </c>
      <c r="DA4015">
        <v>276</v>
      </c>
      <c r="DB4015">
        <v>0</v>
      </c>
      <c r="DC4015" t="s">
        <v>402</v>
      </c>
      <c r="DD4015" t="s">
        <v>403</v>
      </c>
      <c r="DG4015">
        <v>1628351</v>
      </c>
      <c r="DI4015">
        <v>1</v>
      </c>
      <c r="DJ4015">
        <v>0</v>
      </c>
      <c r="DK4015">
        <v>1</v>
      </c>
      <c r="DL4015">
        <v>0</v>
      </c>
      <c r="DM4015">
        <v>0</v>
      </c>
      <c r="DN4015">
        <v>0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 x14ac:dyDescent="0.3">
      <c r="A4016" t="str">
        <f>"05/01/2025 15:15:41.706"</f>
        <v>05/01/2025 15:15:41.706</v>
      </c>
      <c r="C4016" t="str">
        <f t="shared" si="1572"/>
        <v>FFDFD3C0</v>
      </c>
      <c r="D4016" t="s">
        <v>145</v>
      </c>
      <c r="E4016" t="str">
        <f>"09"</f>
        <v>09</v>
      </c>
      <c r="H4016">
        <v>51</v>
      </c>
      <c r="I4016" t="s">
        <v>147</v>
      </c>
      <c r="J4016" t="s">
        <v>138</v>
      </c>
      <c r="K4016">
        <v>0</v>
      </c>
      <c r="L4016">
        <v>3</v>
      </c>
      <c r="M4016">
        <v>0</v>
      </c>
      <c r="N4016">
        <v>2</v>
      </c>
      <c r="O4016">
        <v>0</v>
      </c>
      <c r="P4016">
        <v>1</v>
      </c>
      <c r="Q4016">
        <v>0</v>
      </c>
      <c r="R4016" t="s">
        <v>127</v>
      </c>
      <c r="S4016" t="str">
        <f t="shared" ref="S4016:T4021" si="1590">"15:15:41.000"</f>
        <v>15:15:41.000</v>
      </c>
      <c r="T4016" t="str">
        <f t="shared" si="1590"/>
        <v>15:15:41.000</v>
      </c>
      <c r="U4016" t="str">
        <f t="shared" si="1573"/>
        <v>A68FCB</v>
      </c>
      <c r="V4016">
        <v>0</v>
      </c>
      <c r="W4016">
        <v>0</v>
      </c>
      <c r="X4016">
        <v>2</v>
      </c>
      <c r="Y4016">
        <v>0</v>
      </c>
      <c r="AA4016">
        <v>1</v>
      </c>
      <c r="AB4016">
        <v>8</v>
      </c>
      <c r="AC4016">
        <v>3</v>
      </c>
      <c r="AD4016">
        <v>0</v>
      </c>
      <c r="AE4016">
        <v>9</v>
      </c>
      <c r="AF4016" t="s">
        <v>138</v>
      </c>
      <c r="AG4016">
        <v>0</v>
      </c>
      <c r="AH4016">
        <v>3</v>
      </c>
      <c r="AI4016">
        <v>2</v>
      </c>
      <c r="AJ4016">
        <v>0</v>
      </c>
      <c r="AK4016" t="s">
        <v>1272</v>
      </c>
      <c r="AL4016">
        <v>39.182653000000002</v>
      </c>
      <c r="AM4016" t="s">
        <v>1273</v>
      </c>
      <c r="AN4016">
        <v>-121.025884</v>
      </c>
      <c r="AO4016">
        <v>25</v>
      </c>
      <c r="AP4016">
        <v>4400</v>
      </c>
      <c r="AQ4016" t="s">
        <v>131</v>
      </c>
      <c r="AR4016">
        <v>35</v>
      </c>
      <c r="AS4016">
        <v>71</v>
      </c>
      <c r="AT4016">
        <v>128</v>
      </c>
      <c r="BB4016" t="str">
        <f t="shared" si="1574"/>
        <v>1200</v>
      </c>
      <c r="BC4016">
        <v>1</v>
      </c>
      <c r="BD4016" t="str">
        <f t="shared" si="1575"/>
        <v xml:space="preserve">N52156  </v>
      </c>
      <c r="BE4016">
        <v>1</v>
      </c>
      <c r="BG4016">
        <v>0</v>
      </c>
      <c r="BH4016">
        <v>0</v>
      </c>
      <c r="BI4016">
        <v>0</v>
      </c>
      <c r="BJ4016">
        <v>4500</v>
      </c>
      <c r="BK4016">
        <v>100</v>
      </c>
      <c r="BL4016" t="s">
        <v>188</v>
      </c>
      <c r="BM4016">
        <v>1</v>
      </c>
      <c r="BN4016">
        <v>1</v>
      </c>
      <c r="BO4016">
        <v>0</v>
      </c>
      <c r="BP4016">
        <v>0</v>
      </c>
      <c r="BS4016">
        <v>0</v>
      </c>
      <c r="BT4016">
        <v>0</v>
      </c>
      <c r="BU4016">
        <v>0</v>
      </c>
      <c r="CE4016" t="str">
        <f t="shared" ref="CE4016:CE4021" si="1591">"15:15:41.506"</f>
        <v>15:15:41.506</v>
      </c>
      <c r="CF4016">
        <v>505575697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3</v>
      </c>
      <c r="CY4016">
        <v>7</v>
      </c>
      <c r="CZ4016" t="s">
        <v>133</v>
      </c>
      <c r="DA4016">
        <v>276</v>
      </c>
      <c r="DB4016">
        <v>0</v>
      </c>
      <c r="DC4016" t="s">
        <v>402</v>
      </c>
      <c r="DD4016" t="s">
        <v>403</v>
      </c>
      <c r="DG4016">
        <v>1628354</v>
      </c>
      <c r="DI4016">
        <v>1</v>
      </c>
      <c r="DJ4016">
        <v>0</v>
      </c>
      <c r="DK4016">
        <v>0</v>
      </c>
      <c r="DL4016">
        <v>0</v>
      </c>
      <c r="DM4016">
        <v>0</v>
      </c>
      <c r="DN4016">
        <v>0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 x14ac:dyDescent="0.3">
      <c r="A4017" t="str">
        <f>"05/01/2025 15:15:41.713"</f>
        <v>05/01/2025 15:15:41.713</v>
      </c>
      <c r="C4017" t="str">
        <f t="shared" si="1572"/>
        <v>FFDFD3C0</v>
      </c>
      <c r="D4017" t="s">
        <v>145</v>
      </c>
      <c r="E4017" t="str">
        <f>"05"</f>
        <v>05</v>
      </c>
      <c r="H4017">
        <v>47</v>
      </c>
      <c r="I4017" t="s">
        <v>146</v>
      </c>
      <c r="J4017" t="s">
        <v>138</v>
      </c>
      <c r="K4017">
        <v>0</v>
      </c>
      <c r="L4017">
        <v>3</v>
      </c>
      <c r="M4017">
        <v>0</v>
      </c>
      <c r="N4017">
        <v>2</v>
      </c>
      <c r="O4017">
        <v>0</v>
      </c>
      <c r="P4017">
        <v>1</v>
      </c>
      <c r="Q4017">
        <v>0</v>
      </c>
      <c r="R4017" t="s">
        <v>127</v>
      </c>
      <c r="S4017" t="str">
        <f t="shared" si="1590"/>
        <v>15:15:41.000</v>
      </c>
      <c r="T4017" t="str">
        <f t="shared" si="1590"/>
        <v>15:15:41.000</v>
      </c>
      <c r="U4017" t="str">
        <f t="shared" si="1573"/>
        <v>A68FCB</v>
      </c>
      <c r="V4017">
        <v>0</v>
      </c>
      <c r="W4017">
        <v>0</v>
      </c>
      <c r="X4017">
        <v>2</v>
      </c>
      <c r="Y4017">
        <v>0</v>
      </c>
      <c r="AA4017">
        <v>1</v>
      </c>
      <c r="AB4017">
        <v>8</v>
      </c>
      <c r="AC4017">
        <v>3</v>
      </c>
      <c r="AD4017">
        <v>0</v>
      </c>
      <c r="AE4017">
        <v>9</v>
      </c>
      <c r="AF4017" t="s">
        <v>138</v>
      </c>
      <c r="AG4017">
        <v>0</v>
      </c>
      <c r="AH4017">
        <v>3</v>
      </c>
      <c r="AI4017">
        <v>2</v>
      </c>
      <c r="AJ4017">
        <v>0</v>
      </c>
      <c r="AK4017" t="s">
        <v>1272</v>
      </c>
      <c r="AL4017">
        <v>39.182653000000002</v>
      </c>
      <c r="AM4017" t="s">
        <v>1273</v>
      </c>
      <c r="AN4017">
        <v>-121.025884</v>
      </c>
      <c r="AO4017">
        <v>25</v>
      </c>
      <c r="AP4017">
        <v>4400</v>
      </c>
      <c r="AQ4017" t="s">
        <v>131</v>
      </c>
      <c r="AR4017">
        <v>35</v>
      </c>
      <c r="AS4017">
        <v>71</v>
      </c>
      <c r="AT4017">
        <v>128</v>
      </c>
      <c r="BB4017" t="str">
        <f t="shared" si="1574"/>
        <v>1200</v>
      </c>
      <c r="BC4017">
        <v>1</v>
      </c>
      <c r="BD4017" t="str">
        <f t="shared" si="1575"/>
        <v xml:space="preserve">N52156  </v>
      </c>
      <c r="BE4017">
        <v>1</v>
      </c>
      <c r="BG4017">
        <v>0</v>
      </c>
      <c r="BH4017">
        <v>0</v>
      </c>
      <c r="BI4017">
        <v>0</v>
      </c>
      <c r="BJ4017">
        <v>4500</v>
      </c>
      <c r="BK4017">
        <v>100</v>
      </c>
      <c r="BL4017" t="s">
        <v>188</v>
      </c>
      <c r="BM4017">
        <v>1</v>
      </c>
      <c r="BN4017">
        <v>1</v>
      </c>
      <c r="BO4017">
        <v>0</v>
      </c>
      <c r="BP4017">
        <v>0</v>
      </c>
      <c r="BS4017">
        <v>0</v>
      </c>
      <c r="BT4017">
        <v>0</v>
      </c>
      <c r="BU4017">
        <v>0</v>
      </c>
      <c r="CE4017" t="str">
        <f t="shared" si="1591"/>
        <v>15:15:41.506</v>
      </c>
      <c r="CF4017">
        <v>505575697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3</v>
      </c>
      <c r="CY4017">
        <v>7</v>
      </c>
      <c r="CZ4017" t="s">
        <v>133</v>
      </c>
      <c r="DA4017">
        <v>276</v>
      </c>
      <c r="DB4017">
        <v>0</v>
      </c>
      <c r="DC4017" t="s">
        <v>402</v>
      </c>
      <c r="DD4017" t="s">
        <v>403</v>
      </c>
      <c r="DG4017">
        <v>1628354</v>
      </c>
      <c r="DI4017">
        <v>1</v>
      </c>
      <c r="DJ4017">
        <v>0</v>
      </c>
      <c r="DK4017">
        <v>1</v>
      </c>
      <c r="DL4017">
        <v>0</v>
      </c>
      <c r="DM4017">
        <v>0</v>
      </c>
      <c r="DN4017">
        <v>0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 x14ac:dyDescent="0.3">
      <c r="A4018" t="str">
        <f>"05/01/2025 15:15:41.722"</f>
        <v>05/01/2025 15:15:41.722</v>
      </c>
      <c r="C4018" t="str">
        <f t="shared" si="1572"/>
        <v>FFDFD3C0</v>
      </c>
      <c r="D4018" t="s">
        <v>136</v>
      </c>
      <c r="E4018" t="str">
        <f>"20"</f>
        <v>20</v>
      </c>
      <c r="H4018">
        <v>400</v>
      </c>
      <c r="I4018" t="s">
        <v>137</v>
      </c>
      <c r="J4018" t="s">
        <v>138</v>
      </c>
      <c r="K4018">
        <v>0</v>
      </c>
      <c r="L4018">
        <v>3</v>
      </c>
      <c r="M4018">
        <v>0</v>
      </c>
      <c r="N4018">
        <v>2</v>
      </c>
      <c r="O4018">
        <v>0</v>
      </c>
      <c r="P4018">
        <v>1</v>
      </c>
      <c r="Q4018">
        <v>0</v>
      </c>
      <c r="R4018" t="s">
        <v>127</v>
      </c>
      <c r="S4018" t="str">
        <f t="shared" si="1590"/>
        <v>15:15:41.000</v>
      </c>
      <c r="T4018" t="str">
        <f t="shared" si="1590"/>
        <v>15:15:41.000</v>
      </c>
      <c r="U4018" t="str">
        <f t="shared" si="1573"/>
        <v>A68FCB</v>
      </c>
      <c r="V4018">
        <v>0</v>
      </c>
      <c r="W4018">
        <v>0</v>
      </c>
      <c r="X4018">
        <v>2</v>
      </c>
      <c r="Y4018">
        <v>0</v>
      </c>
      <c r="AA4018">
        <v>1</v>
      </c>
      <c r="AB4018">
        <v>8</v>
      </c>
      <c r="AC4018">
        <v>3</v>
      </c>
      <c r="AD4018">
        <v>0</v>
      </c>
      <c r="AE4018">
        <v>9</v>
      </c>
      <c r="AF4018" t="s">
        <v>138</v>
      </c>
      <c r="AG4018">
        <v>0</v>
      </c>
      <c r="AH4018">
        <v>3</v>
      </c>
      <c r="AI4018">
        <v>2</v>
      </c>
      <c r="AJ4018">
        <v>0</v>
      </c>
      <c r="AK4018" t="s">
        <v>1272</v>
      </c>
      <c r="AL4018">
        <v>39.182653000000002</v>
      </c>
      <c r="AM4018" t="s">
        <v>1273</v>
      </c>
      <c r="AN4018">
        <v>-121.025884</v>
      </c>
      <c r="AO4018">
        <v>25</v>
      </c>
      <c r="AP4018">
        <v>4400</v>
      </c>
      <c r="AQ4018" t="s">
        <v>131</v>
      </c>
      <c r="AR4018">
        <v>35</v>
      </c>
      <c r="AS4018">
        <v>71</v>
      </c>
      <c r="AT4018">
        <v>128</v>
      </c>
      <c r="BB4018" t="str">
        <f t="shared" si="1574"/>
        <v>1200</v>
      </c>
      <c r="BC4018">
        <v>1</v>
      </c>
      <c r="BD4018" t="str">
        <f t="shared" si="1575"/>
        <v xml:space="preserve">N52156  </v>
      </c>
      <c r="BE4018">
        <v>1</v>
      </c>
      <c r="BG4018">
        <v>0</v>
      </c>
      <c r="BH4018">
        <v>0</v>
      </c>
      <c r="BI4018">
        <v>0</v>
      </c>
      <c r="BJ4018">
        <v>4500</v>
      </c>
      <c r="BK4018">
        <v>100</v>
      </c>
      <c r="BL4018" t="s">
        <v>188</v>
      </c>
      <c r="BM4018">
        <v>1</v>
      </c>
      <c r="BN4018">
        <v>1</v>
      </c>
      <c r="BO4018">
        <v>0</v>
      </c>
      <c r="BP4018">
        <v>0</v>
      </c>
      <c r="BS4018">
        <v>0</v>
      </c>
      <c r="BT4018">
        <v>0</v>
      </c>
      <c r="BU4018">
        <v>0</v>
      </c>
      <c r="CE4018" t="str">
        <f t="shared" si="1591"/>
        <v>15:15:41.506</v>
      </c>
      <c r="CF4018">
        <v>505575697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3</v>
      </c>
      <c r="CY4018">
        <v>7</v>
      </c>
      <c r="CZ4018" t="s">
        <v>133</v>
      </c>
      <c r="DA4018">
        <v>276</v>
      </c>
      <c r="DB4018">
        <v>0</v>
      </c>
      <c r="DC4018" t="s">
        <v>402</v>
      </c>
      <c r="DD4018" t="s">
        <v>403</v>
      </c>
      <c r="DG4018">
        <v>1628354</v>
      </c>
      <c r="DI4018">
        <v>1</v>
      </c>
      <c r="DJ4018">
        <v>0</v>
      </c>
      <c r="DK4018">
        <v>1</v>
      </c>
      <c r="DL4018">
        <v>0</v>
      </c>
      <c r="DM4018">
        <v>0</v>
      </c>
      <c r="DN4018">
        <v>0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 x14ac:dyDescent="0.3">
      <c r="A4019" t="str">
        <f>"05/01/2025 15:15:41.743"</f>
        <v>05/01/2025 15:15:41.743</v>
      </c>
      <c r="C4019" t="str">
        <f t="shared" si="1572"/>
        <v>FFDFD3C0</v>
      </c>
      <c r="D4019" t="s">
        <v>143</v>
      </c>
      <c r="E4019" t="str">
        <f>"05"</f>
        <v>05</v>
      </c>
      <c r="H4019">
        <v>172</v>
      </c>
      <c r="I4019" t="s">
        <v>141</v>
      </c>
      <c r="J4019" t="s">
        <v>144</v>
      </c>
      <c r="K4019">
        <v>0</v>
      </c>
      <c r="L4019">
        <v>3</v>
      </c>
      <c r="M4019">
        <v>0</v>
      </c>
      <c r="N4019">
        <v>2</v>
      </c>
      <c r="O4019">
        <v>0</v>
      </c>
      <c r="P4019">
        <v>1</v>
      </c>
      <c r="Q4019">
        <v>0</v>
      </c>
      <c r="R4019" t="s">
        <v>127</v>
      </c>
      <c r="S4019" t="str">
        <f t="shared" si="1590"/>
        <v>15:15:41.000</v>
      </c>
      <c r="T4019" t="str">
        <f t="shared" si="1590"/>
        <v>15:15:41.000</v>
      </c>
      <c r="U4019" t="str">
        <f t="shared" si="1573"/>
        <v>A68FCB</v>
      </c>
      <c r="V4019">
        <v>0</v>
      </c>
      <c r="W4019">
        <v>0</v>
      </c>
      <c r="X4019">
        <v>2</v>
      </c>
      <c r="Y4019">
        <v>0</v>
      </c>
      <c r="AA4019">
        <v>1</v>
      </c>
      <c r="AB4019">
        <v>8</v>
      </c>
      <c r="AC4019">
        <v>3</v>
      </c>
      <c r="AD4019">
        <v>0</v>
      </c>
      <c r="AE4019">
        <v>9</v>
      </c>
      <c r="AF4019" t="s">
        <v>138</v>
      </c>
      <c r="AG4019">
        <v>0</v>
      </c>
      <c r="AH4019">
        <v>3</v>
      </c>
      <c r="AI4019">
        <v>2</v>
      </c>
      <c r="AJ4019">
        <v>0</v>
      </c>
      <c r="AK4019" t="s">
        <v>1272</v>
      </c>
      <c r="AL4019">
        <v>39.182653000000002</v>
      </c>
      <c r="AM4019" t="s">
        <v>1273</v>
      </c>
      <c r="AN4019">
        <v>-121.025884</v>
      </c>
      <c r="AO4019">
        <v>25</v>
      </c>
      <c r="AP4019">
        <v>4400</v>
      </c>
      <c r="AQ4019" t="s">
        <v>131</v>
      </c>
      <c r="AR4019">
        <v>35</v>
      </c>
      <c r="AS4019">
        <v>71</v>
      </c>
      <c r="AT4019">
        <v>128</v>
      </c>
      <c r="BB4019" t="str">
        <f t="shared" si="1574"/>
        <v>1200</v>
      </c>
      <c r="BC4019">
        <v>1</v>
      </c>
      <c r="BD4019" t="str">
        <f t="shared" si="1575"/>
        <v xml:space="preserve">N52156  </v>
      </c>
      <c r="BE4019">
        <v>1</v>
      </c>
      <c r="BG4019">
        <v>0</v>
      </c>
      <c r="BH4019">
        <v>0</v>
      </c>
      <c r="BI4019">
        <v>0</v>
      </c>
      <c r="BJ4019">
        <v>4500</v>
      </c>
      <c r="BK4019">
        <v>100</v>
      </c>
      <c r="BL4019" t="s">
        <v>188</v>
      </c>
      <c r="BM4019">
        <v>1</v>
      </c>
      <c r="BN4019">
        <v>1</v>
      </c>
      <c r="BO4019">
        <v>0</v>
      </c>
      <c r="BP4019">
        <v>0</v>
      </c>
      <c r="BS4019">
        <v>0</v>
      </c>
      <c r="BT4019">
        <v>0</v>
      </c>
      <c r="BU4019">
        <v>0</v>
      </c>
      <c r="CE4019" t="str">
        <f t="shared" si="1591"/>
        <v>15:15:41.506</v>
      </c>
      <c r="CF4019">
        <v>505575697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3</v>
      </c>
      <c r="CY4019">
        <v>7</v>
      </c>
      <c r="CZ4019" t="s">
        <v>133</v>
      </c>
      <c r="DA4019">
        <v>276</v>
      </c>
      <c r="DB4019">
        <v>0</v>
      </c>
      <c r="DC4019" t="s">
        <v>402</v>
      </c>
      <c r="DD4019" t="s">
        <v>403</v>
      </c>
      <c r="DG4019">
        <v>1628354</v>
      </c>
      <c r="DI4019">
        <v>1</v>
      </c>
      <c r="DJ4019">
        <v>0</v>
      </c>
      <c r="DK4019">
        <v>1</v>
      </c>
      <c r="DL4019">
        <v>0</v>
      </c>
      <c r="DM4019">
        <v>0</v>
      </c>
      <c r="DN4019">
        <v>0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 x14ac:dyDescent="0.3">
      <c r="A4020" t="str">
        <f>"05/01/2025 15:15:41.744"</f>
        <v>05/01/2025 15:15:41.744</v>
      </c>
      <c r="C4020" t="str">
        <f t="shared" si="1572"/>
        <v>FFDFD3C0</v>
      </c>
      <c r="D4020" t="s">
        <v>140</v>
      </c>
      <c r="E4020" t="str">
        <f>"13"</f>
        <v>13</v>
      </c>
      <c r="F4020">
        <v>1019</v>
      </c>
      <c r="G4020" t="s">
        <v>141</v>
      </c>
      <c r="J4020" t="s">
        <v>142</v>
      </c>
      <c r="K4020">
        <v>0</v>
      </c>
      <c r="L4020">
        <v>3</v>
      </c>
      <c r="M4020">
        <v>0</v>
      </c>
      <c r="N4020">
        <v>2</v>
      </c>
      <c r="O4020">
        <v>0</v>
      </c>
      <c r="P4020">
        <v>1</v>
      </c>
      <c r="Q4020">
        <v>0</v>
      </c>
      <c r="R4020" t="s">
        <v>127</v>
      </c>
      <c r="S4020" t="str">
        <f t="shared" si="1590"/>
        <v>15:15:41.000</v>
      </c>
      <c r="T4020" t="str">
        <f t="shared" si="1590"/>
        <v>15:15:41.000</v>
      </c>
      <c r="U4020" t="str">
        <f t="shared" si="1573"/>
        <v>A68FCB</v>
      </c>
      <c r="V4020">
        <v>0</v>
      </c>
      <c r="W4020">
        <v>0</v>
      </c>
      <c r="X4020">
        <v>2</v>
      </c>
      <c r="Y4020">
        <v>0</v>
      </c>
      <c r="AA4020">
        <v>1</v>
      </c>
      <c r="AB4020">
        <v>8</v>
      </c>
      <c r="AC4020">
        <v>3</v>
      </c>
      <c r="AD4020">
        <v>0</v>
      </c>
      <c r="AE4020">
        <v>9</v>
      </c>
      <c r="AF4020" t="s">
        <v>138</v>
      </c>
      <c r="AG4020">
        <v>0</v>
      </c>
      <c r="AH4020">
        <v>3</v>
      </c>
      <c r="AI4020">
        <v>2</v>
      </c>
      <c r="AJ4020">
        <v>0</v>
      </c>
      <c r="AK4020" t="s">
        <v>1272</v>
      </c>
      <c r="AL4020">
        <v>39.182653000000002</v>
      </c>
      <c r="AM4020" t="s">
        <v>1273</v>
      </c>
      <c r="AN4020">
        <v>-121.025884</v>
      </c>
      <c r="AO4020">
        <v>25</v>
      </c>
      <c r="AP4020">
        <v>4400</v>
      </c>
      <c r="AQ4020" t="s">
        <v>131</v>
      </c>
      <c r="AR4020">
        <v>35</v>
      </c>
      <c r="AS4020">
        <v>71</v>
      </c>
      <c r="AT4020">
        <v>128</v>
      </c>
      <c r="BB4020" t="str">
        <f t="shared" si="1574"/>
        <v>1200</v>
      </c>
      <c r="BC4020">
        <v>1</v>
      </c>
      <c r="BD4020" t="str">
        <f t="shared" si="1575"/>
        <v xml:space="preserve">N52156  </v>
      </c>
      <c r="BE4020">
        <v>1</v>
      </c>
      <c r="BG4020">
        <v>0</v>
      </c>
      <c r="BH4020">
        <v>0</v>
      </c>
      <c r="BI4020">
        <v>0</v>
      </c>
      <c r="BJ4020">
        <v>4500</v>
      </c>
      <c r="BK4020">
        <v>100</v>
      </c>
      <c r="BL4020" t="s">
        <v>188</v>
      </c>
      <c r="BM4020">
        <v>1</v>
      </c>
      <c r="BN4020">
        <v>1</v>
      </c>
      <c r="BO4020">
        <v>0</v>
      </c>
      <c r="BP4020">
        <v>0</v>
      </c>
      <c r="BS4020">
        <v>0</v>
      </c>
      <c r="BT4020">
        <v>0</v>
      </c>
      <c r="BU4020">
        <v>0</v>
      </c>
      <c r="CE4020" t="str">
        <f t="shared" si="1591"/>
        <v>15:15:41.506</v>
      </c>
      <c r="CF4020">
        <v>505575697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3</v>
      </c>
      <c r="CY4020">
        <v>7</v>
      </c>
      <c r="CZ4020" t="s">
        <v>133</v>
      </c>
      <c r="DA4020">
        <v>276</v>
      </c>
      <c r="DB4020">
        <v>0</v>
      </c>
      <c r="DC4020" t="s">
        <v>402</v>
      </c>
      <c r="DD4020" t="s">
        <v>403</v>
      </c>
      <c r="DG4020">
        <v>1628354</v>
      </c>
      <c r="DI4020">
        <v>1</v>
      </c>
      <c r="DJ4020">
        <v>0</v>
      </c>
      <c r="DK4020">
        <v>1</v>
      </c>
      <c r="DL4020">
        <v>0</v>
      </c>
      <c r="DM4020">
        <v>0</v>
      </c>
      <c r="DN4020">
        <v>0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 x14ac:dyDescent="0.3">
      <c r="A4021" t="str">
        <f>"05/01/2025 15:15:41.749"</f>
        <v>05/01/2025 15:15:41.749</v>
      </c>
      <c r="C4021" t="str">
        <f t="shared" si="1572"/>
        <v>FFDFD3C0</v>
      </c>
      <c r="D4021" t="s">
        <v>124</v>
      </c>
      <c r="E4021" t="str">
        <f>"06"</f>
        <v>06</v>
      </c>
      <c r="F4021">
        <v>2006</v>
      </c>
      <c r="G4021" t="s">
        <v>125</v>
      </c>
      <c r="J4021" t="s">
        <v>126</v>
      </c>
      <c r="K4021">
        <v>0</v>
      </c>
      <c r="L4021">
        <v>3</v>
      </c>
      <c r="M4021">
        <v>0</v>
      </c>
      <c r="N4021">
        <v>2</v>
      </c>
      <c r="O4021">
        <v>0</v>
      </c>
      <c r="P4021">
        <v>1</v>
      </c>
      <c r="Q4021">
        <v>0</v>
      </c>
      <c r="R4021" t="s">
        <v>127</v>
      </c>
      <c r="S4021" t="str">
        <f t="shared" si="1590"/>
        <v>15:15:41.000</v>
      </c>
      <c r="T4021" t="str">
        <f t="shared" si="1590"/>
        <v>15:15:41.000</v>
      </c>
      <c r="U4021" t="str">
        <f t="shared" si="1573"/>
        <v>A68FCB</v>
      </c>
      <c r="V4021">
        <v>0</v>
      </c>
      <c r="W4021">
        <v>0</v>
      </c>
      <c r="X4021">
        <v>2</v>
      </c>
      <c r="Y4021">
        <v>0</v>
      </c>
      <c r="AA4021">
        <v>1</v>
      </c>
      <c r="AB4021">
        <v>8</v>
      </c>
      <c r="AC4021">
        <v>3</v>
      </c>
      <c r="AD4021">
        <v>0</v>
      </c>
      <c r="AE4021">
        <v>9</v>
      </c>
      <c r="AF4021" t="s">
        <v>138</v>
      </c>
      <c r="AG4021">
        <v>0</v>
      </c>
      <c r="AH4021">
        <v>3</v>
      </c>
      <c r="AI4021">
        <v>2</v>
      </c>
      <c r="AJ4021">
        <v>0</v>
      </c>
      <c r="AK4021" t="s">
        <v>1272</v>
      </c>
      <c r="AL4021">
        <v>39.182653000000002</v>
      </c>
      <c r="AM4021" t="s">
        <v>1273</v>
      </c>
      <c r="AN4021">
        <v>-121.025884</v>
      </c>
      <c r="AO4021">
        <v>25</v>
      </c>
      <c r="AP4021">
        <v>4400</v>
      </c>
      <c r="AQ4021" t="s">
        <v>131</v>
      </c>
      <c r="AR4021">
        <v>35</v>
      </c>
      <c r="AS4021">
        <v>71</v>
      </c>
      <c r="AT4021">
        <v>128</v>
      </c>
      <c r="BB4021" t="str">
        <f t="shared" si="1574"/>
        <v>1200</v>
      </c>
      <c r="BC4021">
        <v>1</v>
      </c>
      <c r="BD4021" t="str">
        <f t="shared" si="1575"/>
        <v xml:space="preserve">N52156  </v>
      </c>
      <c r="BE4021">
        <v>1</v>
      </c>
      <c r="BG4021">
        <v>0</v>
      </c>
      <c r="BH4021">
        <v>0</v>
      </c>
      <c r="BI4021">
        <v>0</v>
      </c>
      <c r="BJ4021">
        <v>4500</v>
      </c>
      <c r="BK4021">
        <v>100</v>
      </c>
      <c r="BL4021" t="s">
        <v>188</v>
      </c>
      <c r="BM4021">
        <v>1</v>
      </c>
      <c r="BN4021">
        <v>1</v>
      </c>
      <c r="BO4021">
        <v>0</v>
      </c>
      <c r="BP4021">
        <v>0</v>
      </c>
      <c r="BS4021">
        <v>0</v>
      </c>
      <c r="BT4021">
        <v>0</v>
      </c>
      <c r="BU4021">
        <v>0</v>
      </c>
      <c r="CE4021" t="str">
        <f t="shared" si="1591"/>
        <v>15:15:41.506</v>
      </c>
      <c r="CF4021">
        <v>505575697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3</v>
      </c>
      <c r="CY4021">
        <v>7</v>
      </c>
      <c r="CZ4021" t="s">
        <v>133</v>
      </c>
      <c r="DA4021">
        <v>276</v>
      </c>
      <c r="DB4021">
        <v>0</v>
      </c>
      <c r="DC4021" t="s">
        <v>402</v>
      </c>
      <c r="DD4021" t="s">
        <v>403</v>
      </c>
      <c r="DG4021">
        <v>1628354</v>
      </c>
      <c r="DI4021">
        <v>1</v>
      </c>
      <c r="DJ4021">
        <v>0</v>
      </c>
      <c r="DK4021">
        <v>1</v>
      </c>
      <c r="DL4021">
        <v>0</v>
      </c>
      <c r="DM4021">
        <v>0</v>
      </c>
      <c r="DN4021">
        <v>0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 x14ac:dyDescent="0.3">
      <c r="A4022" t="str">
        <f>"05/01/2025 15:15:42.944"</f>
        <v>05/01/2025 15:15:42.944</v>
      </c>
      <c r="C4022" t="str">
        <f t="shared" si="1572"/>
        <v>FFDFD3C0</v>
      </c>
      <c r="D4022" t="s">
        <v>143</v>
      </c>
      <c r="E4022" t="str">
        <f>"05"</f>
        <v>05</v>
      </c>
      <c r="H4022">
        <v>172</v>
      </c>
      <c r="I4022" t="s">
        <v>141</v>
      </c>
      <c r="J4022" t="s">
        <v>144</v>
      </c>
      <c r="K4022">
        <v>0</v>
      </c>
      <c r="L4022">
        <v>3</v>
      </c>
      <c r="M4022">
        <v>0</v>
      </c>
      <c r="N4022">
        <v>2</v>
      </c>
      <c r="O4022">
        <v>0</v>
      </c>
      <c r="P4022">
        <v>1</v>
      </c>
      <c r="Q4022">
        <v>0</v>
      </c>
      <c r="R4022" t="s">
        <v>127</v>
      </c>
      <c r="S4022" t="str">
        <f t="shared" ref="S4022:T4027" si="1592">"15:15:42.000"</f>
        <v>15:15:42.000</v>
      </c>
      <c r="T4022" t="str">
        <f t="shared" si="1592"/>
        <v>15:15:42.000</v>
      </c>
      <c r="U4022" t="str">
        <f t="shared" si="1573"/>
        <v>A68FCB</v>
      </c>
      <c r="V4022">
        <v>0</v>
      </c>
      <c r="W4022">
        <v>0</v>
      </c>
      <c r="X4022">
        <v>2</v>
      </c>
      <c r="Y4022">
        <v>0</v>
      </c>
      <c r="AA4022">
        <v>1</v>
      </c>
      <c r="AB4022">
        <v>8</v>
      </c>
      <c r="AC4022">
        <v>3</v>
      </c>
      <c r="AD4022">
        <v>0</v>
      </c>
      <c r="AE4022">
        <v>9</v>
      </c>
      <c r="AF4022" t="s">
        <v>138</v>
      </c>
      <c r="AG4022">
        <v>0</v>
      </c>
      <c r="AH4022">
        <v>3</v>
      </c>
      <c r="AI4022">
        <v>2</v>
      </c>
      <c r="AJ4022">
        <v>0</v>
      </c>
      <c r="AK4022" t="s">
        <v>1274</v>
      </c>
      <c r="AL4022">
        <v>39.182997</v>
      </c>
      <c r="AM4022" t="s">
        <v>1275</v>
      </c>
      <c r="AN4022">
        <v>-121.02569099999999</v>
      </c>
      <c r="AO4022">
        <v>25</v>
      </c>
      <c r="AP4022">
        <v>4400</v>
      </c>
      <c r="AQ4022" t="s">
        <v>131</v>
      </c>
      <c r="AR4022">
        <v>36</v>
      </c>
      <c r="AS4022">
        <v>70</v>
      </c>
      <c r="AT4022">
        <v>128</v>
      </c>
      <c r="BB4022" t="str">
        <f t="shared" si="1574"/>
        <v>1200</v>
      </c>
      <c r="BC4022">
        <v>1</v>
      </c>
      <c r="BD4022" t="str">
        <f t="shared" si="1575"/>
        <v xml:space="preserve">N52156  </v>
      </c>
      <c r="BE4022">
        <v>1</v>
      </c>
      <c r="BG4022">
        <v>0</v>
      </c>
      <c r="BH4022">
        <v>0</v>
      </c>
      <c r="BI4022">
        <v>0</v>
      </c>
      <c r="BJ4022">
        <v>4500</v>
      </c>
      <c r="BK4022">
        <v>100</v>
      </c>
      <c r="BL4022" t="s">
        <v>188</v>
      </c>
      <c r="BM4022">
        <v>1</v>
      </c>
      <c r="BN4022">
        <v>1</v>
      </c>
      <c r="BO4022">
        <v>0</v>
      </c>
      <c r="BP4022">
        <v>0</v>
      </c>
      <c r="BS4022">
        <v>0</v>
      </c>
      <c r="BT4022">
        <v>0</v>
      </c>
      <c r="BU4022">
        <v>0</v>
      </c>
      <c r="CE4022" t="str">
        <f t="shared" ref="CE4022:CE4027" si="1593">"15:15:42.740"</f>
        <v>15:15:42.740</v>
      </c>
      <c r="CF4022">
        <v>740326349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3</v>
      </c>
      <c r="CY4022">
        <v>7</v>
      </c>
      <c r="CZ4022" t="s">
        <v>133</v>
      </c>
      <c r="DA4022">
        <v>276</v>
      </c>
      <c r="DB4022">
        <v>0</v>
      </c>
      <c r="DC4022" t="s">
        <v>402</v>
      </c>
      <c r="DD4022" t="s">
        <v>403</v>
      </c>
      <c r="DG4022">
        <v>1628358</v>
      </c>
      <c r="DI4022">
        <v>1</v>
      </c>
      <c r="DJ4022">
        <v>0</v>
      </c>
      <c r="DK4022">
        <v>0</v>
      </c>
      <c r="DL4022">
        <v>0</v>
      </c>
      <c r="DM4022">
        <v>0</v>
      </c>
      <c r="DN4022">
        <v>0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 x14ac:dyDescent="0.3">
      <c r="A4023" t="str">
        <f>"05/01/2025 15:15:42.946"</f>
        <v>05/01/2025 15:15:42.946</v>
      </c>
      <c r="C4023" t="str">
        <f t="shared" si="1572"/>
        <v>FFDFD3C0</v>
      </c>
      <c r="D4023" t="s">
        <v>140</v>
      </c>
      <c r="E4023" t="str">
        <f>"13"</f>
        <v>13</v>
      </c>
      <c r="F4023">
        <v>1019</v>
      </c>
      <c r="G4023" t="s">
        <v>141</v>
      </c>
      <c r="J4023" t="s">
        <v>142</v>
      </c>
      <c r="K4023">
        <v>0</v>
      </c>
      <c r="L4023">
        <v>3</v>
      </c>
      <c r="M4023">
        <v>0</v>
      </c>
      <c r="N4023">
        <v>2</v>
      </c>
      <c r="O4023">
        <v>0</v>
      </c>
      <c r="P4023">
        <v>1</v>
      </c>
      <c r="Q4023">
        <v>0</v>
      </c>
      <c r="R4023" t="s">
        <v>127</v>
      </c>
      <c r="S4023" t="str">
        <f t="shared" si="1592"/>
        <v>15:15:42.000</v>
      </c>
      <c r="T4023" t="str">
        <f t="shared" si="1592"/>
        <v>15:15:42.000</v>
      </c>
      <c r="U4023" t="str">
        <f t="shared" si="1573"/>
        <v>A68FCB</v>
      </c>
      <c r="V4023">
        <v>0</v>
      </c>
      <c r="W4023">
        <v>0</v>
      </c>
      <c r="X4023">
        <v>2</v>
      </c>
      <c r="Y4023">
        <v>0</v>
      </c>
      <c r="AA4023">
        <v>1</v>
      </c>
      <c r="AB4023">
        <v>8</v>
      </c>
      <c r="AC4023">
        <v>3</v>
      </c>
      <c r="AD4023">
        <v>0</v>
      </c>
      <c r="AE4023">
        <v>9</v>
      </c>
      <c r="AF4023" t="s">
        <v>138</v>
      </c>
      <c r="AG4023">
        <v>0</v>
      </c>
      <c r="AH4023">
        <v>3</v>
      </c>
      <c r="AI4023">
        <v>2</v>
      </c>
      <c r="AJ4023">
        <v>0</v>
      </c>
      <c r="AK4023" t="s">
        <v>1274</v>
      </c>
      <c r="AL4023">
        <v>39.182997</v>
      </c>
      <c r="AM4023" t="s">
        <v>1275</v>
      </c>
      <c r="AN4023">
        <v>-121.02569099999999</v>
      </c>
      <c r="AO4023">
        <v>25</v>
      </c>
      <c r="AP4023">
        <v>4400</v>
      </c>
      <c r="AQ4023" t="s">
        <v>131</v>
      </c>
      <c r="AR4023">
        <v>36</v>
      </c>
      <c r="AS4023">
        <v>70</v>
      </c>
      <c r="AT4023">
        <v>128</v>
      </c>
      <c r="BB4023" t="str">
        <f t="shared" si="1574"/>
        <v>1200</v>
      </c>
      <c r="BC4023">
        <v>1</v>
      </c>
      <c r="BD4023" t="str">
        <f t="shared" si="1575"/>
        <v xml:space="preserve">N52156  </v>
      </c>
      <c r="BE4023">
        <v>1</v>
      </c>
      <c r="BG4023">
        <v>0</v>
      </c>
      <c r="BH4023">
        <v>0</v>
      </c>
      <c r="BI4023">
        <v>0</v>
      </c>
      <c r="BJ4023">
        <v>4500</v>
      </c>
      <c r="BK4023">
        <v>100</v>
      </c>
      <c r="BL4023" t="s">
        <v>188</v>
      </c>
      <c r="BM4023">
        <v>1</v>
      </c>
      <c r="BN4023">
        <v>1</v>
      </c>
      <c r="BO4023">
        <v>0</v>
      </c>
      <c r="BP4023">
        <v>0</v>
      </c>
      <c r="BS4023">
        <v>0</v>
      </c>
      <c r="BT4023">
        <v>0</v>
      </c>
      <c r="BU4023">
        <v>0</v>
      </c>
      <c r="CE4023" t="str">
        <f t="shared" si="1593"/>
        <v>15:15:42.740</v>
      </c>
      <c r="CF4023">
        <v>740326349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3</v>
      </c>
      <c r="CY4023">
        <v>7</v>
      </c>
      <c r="CZ4023" t="s">
        <v>133</v>
      </c>
      <c r="DA4023">
        <v>276</v>
      </c>
      <c r="DB4023">
        <v>0</v>
      </c>
      <c r="DC4023" t="s">
        <v>402</v>
      </c>
      <c r="DD4023" t="s">
        <v>403</v>
      </c>
      <c r="DG4023">
        <v>1628358</v>
      </c>
      <c r="DI4023">
        <v>1</v>
      </c>
      <c r="DJ4023">
        <v>0</v>
      </c>
      <c r="DK4023">
        <v>1</v>
      </c>
      <c r="DL4023">
        <v>0</v>
      </c>
      <c r="DM4023">
        <v>0</v>
      </c>
      <c r="DN4023">
        <v>0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 x14ac:dyDescent="0.3">
      <c r="A4024" t="str">
        <f>"05/01/2025 15:15:42.951"</f>
        <v>05/01/2025 15:15:42.951</v>
      </c>
      <c r="C4024" t="str">
        <f t="shared" si="1572"/>
        <v>FFDFD3C0</v>
      </c>
      <c r="D4024" t="s">
        <v>124</v>
      </c>
      <c r="E4024" t="str">
        <f>"06"</f>
        <v>06</v>
      </c>
      <c r="F4024">
        <v>2006</v>
      </c>
      <c r="G4024" t="s">
        <v>125</v>
      </c>
      <c r="J4024" t="s">
        <v>126</v>
      </c>
      <c r="K4024">
        <v>0</v>
      </c>
      <c r="L4024">
        <v>3</v>
      </c>
      <c r="M4024">
        <v>0</v>
      </c>
      <c r="N4024">
        <v>2</v>
      </c>
      <c r="O4024">
        <v>0</v>
      </c>
      <c r="P4024">
        <v>1</v>
      </c>
      <c r="Q4024">
        <v>0</v>
      </c>
      <c r="R4024" t="s">
        <v>127</v>
      </c>
      <c r="S4024" t="str">
        <f t="shared" si="1592"/>
        <v>15:15:42.000</v>
      </c>
      <c r="T4024" t="str">
        <f t="shared" si="1592"/>
        <v>15:15:42.000</v>
      </c>
      <c r="U4024" t="str">
        <f t="shared" si="1573"/>
        <v>A68FCB</v>
      </c>
      <c r="V4024">
        <v>0</v>
      </c>
      <c r="W4024">
        <v>0</v>
      </c>
      <c r="X4024">
        <v>2</v>
      </c>
      <c r="Y4024">
        <v>0</v>
      </c>
      <c r="AA4024">
        <v>1</v>
      </c>
      <c r="AB4024">
        <v>8</v>
      </c>
      <c r="AC4024">
        <v>3</v>
      </c>
      <c r="AD4024">
        <v>0</v>
      </c>
      <c r="AE4024">
        <v>9</v>
      </c>
      <c r="AF4024" t="s">
        <v>138</v>
      </c>
      <c r="AG4024">
        <v>0</v>
      </c>
      <c r="AH4024">
        <v>3</v>
      </c>
      <c r="AI4024">
        <v>2</v>
      </c>
      <c r="AJ4024">
        <v>0</v>
      </c>
      <c r="AK4024" t="s">
        <v>1274</v>
      </c>
      <c r="AL4024">
        <v>39.182997</v>
      </c>
      <c r="AM4024" t="s">
        <v>1275</v>
      </c>
      <c r="AN4024">
        <v>-121.02569099999999</v>
      </c>
      <c r="AO4024">
        <v>25</v>
      </c>
      <c r="AP4024">
        <v>4400</v>
      </c>
      <c r="AQ4024" t="s">
        <v>131</v>
      </c>
      <c r="AR4024">
        <v>36</v>
      </c>
      <c r="AS4024">
        <v>70</v>
      </c>
      <c r="AT4024">
        <v>128</v>
      </c>
      <c r="BB4024" t="str">
        <f t="shared" si="1574"/>
        <v>1200</v>
      </c>
      <c r="BC4024">
        <v>1</v>
      </c>
      <c r="BD4024" t="str">
        <f t="shared" si="1575"/>
        <v xml:space="preserve">N52156  </v>
      </c>
      <c r="BE4024">
        <v>1</v>
      </c>
      <c r="BG4024">
        <v>0</v>
      </c>
      <c r="BH4024">
        <v>0</v>
      </c>
      <c r="BI4024">
        <v>0</v>
      </c>
      <c r="BJ4024">
        <v>4500</v>
      </c>
      <c r="BK4024">
        <v>100</v>
      </c>
      <c r="BL4024" t="s">
        <v>188</v>
      </c>
      <c r="BM4024">
        <v>1</v>
      </c>
      <c r="BN4024">
        <v>1</v>
      </c>
      <c r="BO4024">
        <v>0</v>
      </c>
      <c r="BP4024">
        <v>0</v>
      </c>
      <c r="BS4024">
        <v>0</v>
      </c>
      <c r="BT4024">
        <v>0</v>
      </c>
      <c r="BU4024">
        <v>0</v>
      </c>
      <c r="CE4024" t="str">
        <f t="shared" si="1593"/>
        <v>15:15:42.740</v>
      </c>
      <c r="CF4024">
        <v>740326349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3</v>
      </c>
      <c r="CY4024">
        <v>7</v>
      </c>
      <c r="CZ4024" t="s">
        <v>133</v>
      </c>
      <c r="DA4024">
        <v>276</v>
      </c>
      <c r="DB4024">
        <v>0</v>
      </c>
      <c r="DC4024" t="s">
        <v>402</v>
      </c>
      <c r="DD4024" t="s">
        <v>403</v>
      </c>
      <c r="DG4024">
        <v>1628358</v>
      </c>
      <c r="DI4024">
        <v>1</v>
      </c>
      <c r="DJ4024">
        <v>0</v>
      </c>
      <c r="DK4024">
        <v>1</v>
      </c>
      <c r="DL4024">
        <v>0</v>
      </c>
      <c r="DM4024">
        <v>0</v>
      </c>
      <c r="DN4024">
        <v>0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 x14ac:dyDescent="0.3">
      <c r="A4025" t="str">
        <f>"05/01/2025 15:15:42.958"</f>
        <v>05/01/2025 15:15:42.958</v>
      </c>
      <c r="C4025" t="str">
        <f t="shared" si="1572"/>
        <v>FFDFD3C0</v>
      </c>
      <c r="D4025" t="s">
        <v>145</v>
      </c>
      <c r="E4025" t="str">
        <f>"09"</f>
        <v>09</v>
      </c>
      <c r="H4025">
        <v>51</v>
      </c>
      <c r="I4025" t="s">
        <v>147</v>
      </c>
      <c r="J4025" t="s">
        <v>138</v>
      </c>
      <c r="K4025">
        <v>0</v>
      </c>
      <c r="L4025">
        <v>3</v>
      </c>
      <c r="M4025">
        <v>0</v>
      </c>
      <c r="N4025">
        <v>2</v>
      </c>
      <c r="O4025">
        <v>0</v>
      </c>
      <c r="P4025">
        <v>1</v>
      </c>
      <c r="Q4025">
        <v>0</v>
      </c>
      <c r="R4025" t="s">
        <v>127</v>
      </c>
      <c r="S4025" t="str">
        <f t="shared" si="1592"/>
        <v>15:15:42.000</v>
      </c>
      <c r="T4025" t="str">
        <f t="shared" si="1592"/>
        <v>15:15:42.000</v>
      </c>
      <c r="U4025" t="str">
        <f t="shared" si="1573"/>
        <v>A68FCB</v>
      </c>
      <c r="V4025">
        <v>0</v>
      </c>
      <c r="W4025">
        <v>0</v>
      </c>
      <c r="X4025">
        <v>2</v>
      </c>
      <c r="Y4025">
        <v>0</v>
      </c>
      <c r="AA4025">
        <v>1</v>
      </c>
      <c r="AB4025">
        <v>8</v>
      </c>
      <c r="AC4025">
        <v>3</v>
      </c>
      <c r="AD4025">
        <v>0</v>
      </c>
      <c r="AE4025">
        <v>9</v>
      </c>
      <c r="AF4025" t="s">
        <v>138</v>
      </c>
      <c r="AG4025">
        <v>0</v>
      </c>
      <c r="AH4025">
        <v>3</v>
      </c>
      <c r="AI4025">
        <v>2</v>
      </c>
      <c r="AJ4025">
        <v>0</v>
      </c>
      <c r="AK4025" t="s">
        <v>1274</v>
      </c>
      <c r="AL4025">
        <v>39.182997</v>
      </c>
      <c r="AM4025" t="s">
        <v>1275</v>
      </c>
      <c r="AN4025">
        <v>-121.02569099999999</v>
      </c>
      <c r="AO4025">
        <v>25</v>
      </c>
      <c r="AP4025">
        <v>4400</v>
      </c>
      <c r="AQ4025" t="s">
        <v>131</v>
      </c>
      <c r="AR4025">
        <v>36</v>
      </c>
      <c r="AS4025">
        <v>70</v>
      </c>
      <c r="AT4025">
        <v>128</v>
      </c>
      <c r="BB4025" t="str">
        <f t="shared" si="1574"/>
        <v>1200</v>
      </c>
      <c r="BC4025">
        <v>1</v>
      </c>
      <c r="BD4025" t="str">
        <f t="shared" si="1575"/>
        <v xml:space="preserve">N52156  </v>
      </c>
      <c r="BE4025">
        <v>1</v>
      </c>
      <c r="BG4025">
        <v>0</v>
      </c>
      <c r="BH4025">
        <v>0</v>
      </c>
      <c r="BI4025">
        <v>0</v>
      </c>
      <c r="BJ4025">
        <v>4500</v>
      </c>
      <c r="BK4025">
        <v>100</v>
      </c>
      <c r="BL4025" t="s">
        <v>188</v>
      </c>
      <c r="BM4025">
        <v>1</v>
      </c>
      <c r="BN4025">
        <v>1</v>
      </c>
      <c r="BO4025">
        <v>0</v>
      </c>
      <c r="BP4025">
        <v>0</v>
      </c>
      <c r="BS4025">
        <v>0</v>
      </c>
      <c r="BT4025">
        <v>0</v>
      </c>
      <c r="BU4025">
        <v>0</v>
      </c>
      <c r="CE4025" t="str">
        <f t="shared" si="1593"/>
        <v>15:15:42.740</v>
      </c>
      <c r="CF4025">
        <v>740326349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3</v>
      </c>
      <c r="CY4025">
        <v>7</v>
      </c>
      <c r="CZ4025" t="s">
        <v>133</v>
      </c>
      <c r="DA4025">
        <v>276</v>
      </c>
      <c r="DB4025">
        <v>0</v>
      </c>
      <c r="DC4025" t="s">
        <v>402</v>
      </c>
      <c r="DD4025" t="s">
        <v>403</v>
      </c>
      <c r="DG4025">
        <v>1628358</v>
      </c>
      <c r="DI4025">
        <v>1</v>
      </c>
      <c r="DJ4025">
        <v>0</v>
      </c>
      <c r="DK4025">
        <v>1</v>
      </c>
      <c r="DL4025">
        <v>0</v>
      </c>
      <c r="DM4025">
        <v>0</v>
      </c>
      <c r="DN4025">
        <v>0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3">
      <c r="A4026" t="str">
        <f>"05/01/2025 15:15:42.965"</f>
        <v>05/01/2025 15:15:42.965</v>
      </c>
      <c r="C4026" t="str">
        <f t="shared" si="1572"/>
        <v>FFDFD3C0</v>
      </c>
      <c r="D4026" t="s">
        <v>145</v>
      </c>
      <c r="E4026" t="str">
        <f>"05"</f>
        <v>05</v>
      </c>
      <c r="H4026">
        <v>47</v>
      </c>
      <c r="I4026" t="s">
        <v>146</v>
      </c>
      <c r="J4026" t="s">
        <v>138</v>
      </c>
      <c r="K4026">
        <v>0</v>
      </c>
      <c r="L4026">
        <v>3</v>
      </c>
      <c r="M4026">
        <v>0</v>
      </c>
      <c r="N4026">
        <v>2</v>
      </c>
      <c r="O4026">
        <v>0</v>
      </c>
      <c r="P4026">
        <v>1</v>
      </c>
      <c r="Q4026">
        <v>0</v>
      </c>
      <c r="R4026" t="s">
        <v>127</v>
      </c>
      <c r="S4026" t="str">
        <f t="shared" si="1592"/>
        <v>15:15:42.000</v>
      </c>
      <c r="T4026" t="str">
        <f t="shared" si="1592"/>
        <v>15:15:42.000</v>
      </c>
      <c r="U4026" t="str">
        <f t="shared" si="1573"/>
        <v>A68FCB</v>
      </c>
      <c r="V4026">
        <v>0</v>
      </c>
      <c r="W4026">
        <v>0</v>
      </c>
      <c r="X4026">
        <v>2</v>
      </c>
      <c r="Y4026">
        <v>0</v>
      </c>
      <c r="AA4026">
        <v>1</v>
      </c>
      <c r="AB4026">
        <v>8</v>
      </c>
      <c r="AC4026">
        <v>3</v>
      </c>
      <c r="AD4026">
        <v>0</v>
      </c>
      <c r="AE4026">
        <v>9</v>
      </c>
      <c r="AF4026" t="s">
        <v>138</v>
      </c>
      <c r="AG4026">
        <v>0</v>
      </c>
      <c r="AH4026">
        <v>3</v>
      </c>
      <c r="AI4026">
        <v>2</v>
      </c>
      <c r="AJ4026">
        <v>0</v>
      </c>
      <c r="AK4026" t="s">
        <v>1274</v>
      </c>
      <c r="AL4026">
        <v>39.182997</v>
      </c>
      <c r="AM4026" t="s">
        <v>1275</v>
      </c>
      <c r="AN4026">
        <v>-121.02569099999999</v>
      </c>
      <c r="AO4026">
        <v>25</v>
      </c>
      <c r="AP4026">
        <v>4400</v>
      </c>
      <c r="AQ4026" t="s">
        <v>131</v>
      </c>
      <c r="AR4026">
        <v>36</v>
      </c>
      <c r="AS4026">
        <v>70</v>
      </c>
      <c r="AT4026">
        <v>128</v>
      </c>
      <c r="BB4026" t="str">
        <f t="shared" si="1574"/>
        <v>1200</v>
      </c>
      <c r="BC4026">
        <v>1</v>
      </c>
      <c r="BD4026" t="str">
        <f t="shared" si="1575"/>
        <v xml:space="preserve">N52156  </v>
      </c>
      <c r="BE4026">
        <v>1</v>
      </c>
      <c r="BG4026">
        <v>0</v>
      </c>
      <c r="BH4026">
        <v>0</v>
      </c>
      <c r="BI4026">
        <v>0</v>
      </c>
      <c r="BJ4026">
        <v>4500</v>
      </c>
      <c r="BK4026">
        <v>100</v>
      </c>
      <c r="BL4026" t="s">
        <v>188</v>
      </c>
      <c r="BM4026">
        <v>1</v>
      </c>
      <c r="BN4026">
        <v>1</v>
      </c>
      <c r="BO4026">
        <v>0</v>
      </c>
      <c r="BP4026">
        <v>0</v>
      </c>
      <c r="BS4026">
        <v>0</v>
      </c>
      <c r="BT4026">
        <v>0</v>
      </c>
      <c r="BU4026">
        <v>0</v>
      </c>
      <c r="CE4026" t="str">
        <f t="shared" si="1593"/>
        <v>15:15:42.740</v>
      </c>
      <c r="CF4026">
        <v>740326349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3</v>
      </c>
      <c r="CY4026">
        <v>7</v>
      </c>
      <c r="CZ4026" t="s">
        <v>133</v>
      </c>
      <c r="DA4026">
        <v>276</v>
      </c>
      <c r="DB4026">
        <v>0</v>
      </c>
      <c r="DC4026" t="s">
        <v>402</v>
      </c>
      <c r="DD4026" t="s">
        <v>403</v>
      </c>
      <c r="DG4026">
        <v>1628358</v>
      </c>
      <c r="DI4026">
        <v>1</v>
      </c>
      <c r="DJ4026">
        <v>0</v>
      </c>
      <c r="DK4026">
        <v>1</v>
      </c>
      <c r="DL4026">
        <v>0</v>
      </c>
      <c r="DM4026">
        <v>0</v>
      </c>
      <c r="DN4026">
        <v>0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3">
      <c r="A4027" t="str">
        <f>"05/01/2025 15:15:42.974"</f>
        <v>05/01/2025 15:15:42.974</v>
      </c>
      <c r="C4027" t="str">
        <f t="shared" si="1572"/>
        <v>FFDFD3C0</v>
      </c>
      <c r="D4027" t="s">
        <v>136</v>
      </c>
      <c r="E4027" t="str">
        <f>"20"</f>
        <v>20</v>
      </c>
      <c r="H4027">
        <v>400</v>
      </c>
      <c r="I4027" t="s">
        <v>137</v>
      </c>
      <c r="J4027" t="s">
        <v>138</v>
      </c>
      <c r="K4027">
        <v>0</v>
      </c>
      <c r="L4027">
        <v>3</v>
      </c>
      <c r="M4027">
        <v>0</v>
      </c>
      <c r="N4027">
        <v>2</v>
      </c>
      <c r="O4027">
        <v>0</v>
      </c>
      <c r="P4027">
        <v>1</v>
      </c>
      <c r="Q4027">
        <v>0</v>
      </c>
      <c r="R4027" t="s">
        <v>127</v>
      </c>
      <c r="S4027" t="str">
        <f t="shared" si="1592"/>
        <v>15:15:42.000</v>
      </c>
      <c r="T4027" t="str">
        <f t="shared" si="1592"/>
        <v>15:15:42.000</v>
      </c>
      <c r="U4027" t="str">
        <f t="shared" si="1573"/>
        <v>A68FCB</v>
      </c>
      <c r="V4027">
        <v>0</v>
      </c>
      <c r="W4027">
        <v>0</v>
      </c>
      <c r="X4027">
        <v>2</v>
      </c>
      <c r="Y4027">
        <v>0</v>
      </c>
      <c r="AA4027">
        <v>1</v>
      </c>
      <c r="AB4027">
        <v>8</v>
      </c>
      <c r="AC4027">
        <v>3</v>
      </c>
      <c r="AD4027">
        <v>0</v>
      </c>
      <c r="AE4027">
        <v>9</v>
      </c>
      <c r="AF4027" t="s">
        <v>138</v>
      </c>
      <c r="AG4027">
        <v>0</v>
      </c>
      <c r="AH4027">
        <v>3</v>
      </c>
      <c r="AI4027">
        <v>2</v>
      </c>
      <c r="AJ4027">
        <v>0</v>
      </c>
      <c r="AK4027" t="s">
        <v>1274</v>
      </c>
      <c r="AL4027">
        <v>39.182997</v>
      </c>
      <c r="AM4027" t="s">
        <v>1275</v>
      </c>
      <c r="AN4027">
        <v>-121.02569099999999</v>
      </c>
      <c r="AO4027">
        <v>25</v>
      </c>
      <c r="AP4027">
        <v>4400</v>
      </c>
      <c r="AQ4027" t="s">
        <v>131</v>
      </c>
      <c r="AR4027">
        <v>36</v>
      </c>
      <c r="AS4027">
        <v>70</v>
      </c>
      <c r="AT4027">
        <v>128</v>
      </c>
      <c r="BB4027" t="str">
        <f t="shared" si="1574"/>
        <v>1200</v>
      </c>
      <c r="BC4027">
        <v>1</v>
      </c>
      <c r="BD4027" t="str">
        <f t="shared" si="1575"/>
        <v xml:space="preserve">N52156  </v>
      </c>
      <c r="BE4027">
        <v>1</v>
      </c>
      <c r="BG4027">
        <v>0</v>
      </c>
      <c r="BH4027">
        <v>0</v>
      </c>
      <c r="BI4027">
        <v>0</v>
      </c>
      <c r="BJ4027">
        <v>4500</v>
      </c>
      <c r="BK4027">
        <v>100</v>
      </c>
      <c r="BL4027" t="s">
        <v>188</v>
      </c>
      <c r="BM4027">
        <v>1</v>
      </c>
      <c r="BN4027">
        <v>1</v>
      </c>
      <c r="BO4027">
        <v>0</v>
      </c>
      <c r="BP4027">
        <v>0</v>
      </c>
      <c r="BS4027">
        <v>0</v>
      </c>
      <c r="BT4027">
        <v>0</v>
      </c>
      <c r="BU4027">
        <v>0</v>
      </c>
      <c r="CE4027" t="str">
        <f t="shared" si="1593"/>
        <v>15:15:42.740</v>
      </c>
      <c r="CF4027">
        <v>740326349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3</v>
      </c>
      <c r="CY4027">
        <v>7</v>
      </c>
      <c r="CZ4027" t="s">
        <v>133</v>
      </c>
      <c r="DA4027">
        <v>276</v>
      </c>
      <c r="DB4027">
        <v>0</v>
      </c>
      <c r="DC4027" t="s">
        <v>402</v>
      </c>
      <c r="DD4027" t="s">
        <v>403</v>
      </c>
      <c r="DG4027">
        <v>1628358</v>
      </c>
      <c r="DI4027">
        <v>1</v>
      </c>
      <c r="DJ4027">
        <v>0</v>
      </c>
      <c r="DK4027">
        <v>1</v>
      </c>
      <c r="DL4027">
        <v>0</v>
      </c>
      <c r="DM4027">
        <v>0</v>
      </c>
      <c r="DN4027">
        <v>0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 x14ac:dyDescent="0.3">
      <c r="A4028" t="str">
        <f>"05/01/2025 15:15:44.197"</f>
        <v>05/01/2025 15:15:44.197</v>
      </c>
      <c r="C4028" t="str">
        <f t="shared" si="1572"/>
        <v>FFDFD3C0</v>
      </c>
      <c r="D4028" t="s">
        <v>143</v>
      </c>
      <c r="E4028" t="str">
        <f>"05"</f>
        <v>05</v>
      </c>
      <c r="H4028">
        <v>172</v>
      </c>
      <c r="I4028" t="s">
        <v>141</v>
      </c>
      <c r="J4028" t="s">
        <v>144</v>
      </c>
      <c r="K4028">
        <v>0</v>
      </c>
      <c r="L4028">
        <v>3</v>
      </c>
      <c r="M4028">
        <v>0</v>
      </c>
      <c r="N4028">
        <v>2</v>
      </c>
      <c r="O4028">
        <v>0</v>
      </c>
      <c r="P4028">
        <v>1</v>
      </c>
      <c r="Q4028">
        <v>0</v>
      </c>
      <c r="R4028" t="s">
        <v>127</v>
      </c>
      <c r="S4028" t="str">
        <f t="shared" ref="S4028:T4033" si="1594">"15:15:43.000"</f>
        <v>15:15:43.000</v>
      </c>
      <c r="T4028" t="str">
        <f t="shared" si="1594"/>
        <v>15:15:43.000</v>
      </c>
      <c r="U4028" t="str">
        <f t="shared" si="1573"/>
        <v>A68FCB</v>
      </c>
      <c r="V4028">
        <v>0</v>
      </c>
      <c r="W4028">
        <v>0</v>
      </c>
      <c r="X4028">
        <v>2</v>
      </c>
      <c r="Y4028">
        <v>0</v>
      </c>
      <c r="AA4028">
        <v>1</v>
      </c>
      <c r="AB4028">
        <v>8</v>
      </c>
      <c r="AC4028">
        <v>3</v>
      </c>
      <c r="AD4028">
        <v>0</v>
      </c>
      <c r="AE4028">
        <v>9</v>
      </c>
      <c r="AF4028" t="s">
        <v>138</v>
      </c>
      <c r="AG4028">
        <v>0</v>
      </c>
      <c r="AH4028">
        <v>3</v>
      </c>
      <c r="AI4028">
        <v>2</v>
      </c>
      <c r="AJ4028">
        <v>0</v>
      </c>
      <c r="AK4028" t="s">
        <v>1276</v>
      </c>
      <c r="AL4028">
        <v>39.183318999999997</v>
      </c>
      <c r="AM4028" t="s">
        <v>1277</v>
      </c>
      <c r="AN4028">
        <v>-121.02545499999999</v>
      </c>
      <c r="AO4028">
        <v>25</v>
      </c>
      <c r="AP4028">
        <v>4400</v>
      </c>
      <c r="AQ4028" t="s">
        <v>131</v>
      </c>
      <c r="AR4028">
        <v>36</v>
      </c>
      <c r="AS4028">
        <v>70</v>
      </c>
      <c r="AT4028">
        <v>192</v>
      </c>
      <c r="BB4028" t="str">
        <f t="shared" si="1574"/>
        <v>1200</v>
      </c>
      <c r="BC4028">
        <v>1</v>
      </c>
      <c r="BD4028" t="str">
        <f t="shared" si="1575"/>
        <v xml:space="preserve">N52156  </v>
      </c>
      <c r="BE4028">
        <v>1</v>
      </c>
      <c r="BG4028">
        <v>0</v>
      </c>
      <c r="BH4028">
        <v>0</v>
      </c>
      <c r="BI4028">
        <v>0</v>
      </c>
      <c r="BJ4028">
        <v>4500</v>
      </c>
      <c r="BK4028">
        <v>100</v>
      </c>
      <c r="BL4028" t="s">
        <v>188</v>
      </c>
      <c r="BM4028">
        <v>1</v>
      </c>
      <c r="BN4028">
        <v>1</v>
      </c>
      <c r="BO4028">
        <v>0</v>
      </c>
      <c r="BP4028">
        <v>0</v>
      </c>
      <c r="BS4028">
        <v>0</v>
      </c>
      <c r="BT4028">
        <v>0</v>
      </c>
      <c r="BU4028">
        <v>0</v>
      </c>
      <c r="CE4028" t="str">
        <f t="shared" ref="CE4028:CE4033" si="1595">"15:15:43.963"</f>
        <v>15:15:43.963</v>
      </c>
      <c r="CF4028">
        <v>963327002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3</v>
      </c>
      <c r="CY4028">
        <v>7</v>
      </c>
      <c r="CZ4028" t="s">
        <v>133</v>
      </c>
      <c r="DA4028">
        <v>276</v>
      </c>
      <c r="DB4028">
        <v>0</v>
      </c>
      <c r="DC4028" t="s">
        <v>402</v>
      </c>
      <c r="DD4028" t="s">
        <v>403</v>
      </c>
      <c r="DG4028">
        <v>1628361</v>
      </c>
      <c r="DI4028">
        <v>1</v>
      </c>
      <c r="DJ4028">
        <v>0</v>
      </c>
      <c r="DK4028">
        <v>0</v>
      </c>
      <c r="DL4028">
        <v>0</v>
      </c>
      <c r="DM4028">
        <v>0</v>
      </c>
      <c r="DN4028">
        <v>0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3">
      <c r="A4029" t="str">
        <f>"05/01/2025 15:15:44.198"</f>
        <v>05/01/2025 15:15:44.198</v>
      </c>
      <c r="C4029" t="str">
        <f t="shared" si="1572"/>
        <v>FFDFD3C0</v>
      </c>
      <c r="D4029" t="s">
        <v>140</v>
      </c>
      <c r="E4029" t="str">
        <f>"13"</f>
        <v>13</v>
      </c>
      <c r="F4029">
        <v>1019</v>
      </c>
      <c r="G4029" t="s">
        <v>141</v>
      </c>
      <c r="J4029" t="s">
        <v>142</v>
      </c>
      <c r="K4029">
        <v>0</v>
      </c>
      <c r="L4029">
        <v>3</v>
      </c>
      <c r="M4029">
        <v>0</v>
      </c>
      <c r="N4029">
        <v>2</v>
      </c>
      <c r="O4029">
        <v>0</v>
      </c>
      <c r="P4029">
        <v>1</v>
      </c>
      <c r="Q4029">
        <v>0</v>
      </c>
      <c r="R4029" t="s">
        <v>127</v>
      </c>
      <c r="S4029" t="str">
        <f t="shared" si="1594"/>
        <v>15:15:43.000</v>
      </c>
      <c r="T4029" t="str">
        <f t="shared" si="1594"/>
        <v>15:15:43.000</v>
      </c>
      <c r="U4029" t="str">
        <f t="shared" si="1573"/>
        <v>A68FCB</v>
      </c>
      <c r="V4029">
        <v>0</v>
      </c>
      <c r="W4029">
        <v>0</v>
      </c>
      <c r="X4029">
        <v>2</v>
      </c>
      <c r="Y4029">
        <v>0</v>
      </c>
      <c r="AA4029">
        <v>1</v>
      </c>
      <c r="AB4029">
        <v>8</v>
      </c>
      <c r="AC4029">
        <v>3</v>
      </c>
      <c r="AD4029">
        <v>0</v>
      </c>
      <c r="AE4029">
        <v>9</v>
      </c>
      <c r="AF4029" t="s">
        <v>138</v>
      </c>
      <c r="AG4029">
        <v>0</v>
      </c>
      <c r="AH4029">
        <v>3</v>
      </c>
      <c r="AI4029">
        <v>2</v>
      </c>
      <c r="AJ4029">
        <v>0</v>
      </c>
      <c r="AK4029" t="s">
        <v>1276</v>
      </c>
      <c r="AL4029">
        <v>39.183318999999997</v>
      </c>
      <c r="AM4029" t="s">
        <v>1277</v>
      </c>
      <c r="AN4029">
        <v>-121.02545499999999</v>
      </c>
      <c r="AO4029">
        <v>25</v>
      </c>
      <c r="AP4029">
        <v>4400</v>
      </c>
      <c r="AQ4029" t="s">
        <v>131</v>
      </c>
      <c r="AR4029">
        <v>36</v>
      </c>
      <c r="AS4029">
        <v>70</v>
      </c>
      <c r="AT4029">
        <v>192</v>
      </c>
      <c r="BB4029" t="str">
        <f t="shared" si="1574"/>
        <v>1200</v>
      </c>
      <c r="BC4029">
        <v>1</v>
      </c>
      <c r="BD4029" t="str">
        <f t="shared" si="1575"/>
        <v xml:space="preserve">N52156  </v>
      </c>
      <c r="BE4029">
        <v>1</v>
      </c>
      <c r="BG4029">
        <v>0</v>
      </c>
      <c r="BH4029">
        <v>0</v>
      </c>
      <c r="BI4029">
        <v>0</v>
      </c>
      <c r="BJ4029">
        <v>4500</v>
      </c>
      <c r="BK4029">
        <v>100</v>
      </c>
      <c r="BL4029" t="s">
        <v>188</v>
      </c>
      <c r="BM4029">
        <v>1</v>
      </c>
      <c r="BN4029">
        <v>1</v>
      </c>
      <c r="BO4029">
        <v>0</v>
      </c>
      <c r="BP4029">
        <v>0</v>
      </c>
      <c r="BS4029">
        <v>0</v>
      </c>
      <c r="BT4029">
        <v>0</v>
      </c>
      <c r="BU4029">
        <v>0</v>
      </c>
      <c r="CE4029" t="str">
        <f t="shared" si="1595"/>
        <v>15:15:43.963</v>
      </c>
      <c r="CF4029">
        <v>963327002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3</v>
      </c>
      <c r="CY4029">
        <v>7</v>
      </c>
      <c r="CZ4029" t="s">
        <v>133</v>
      </c>
      <c r="DA4029">
        <v>276</v>
      </c>
      <c r="DB4029">
        <v>0</v>
      </c>
      <c r="DC4029" t="s">
        <v>402</v>
      </c>
      <c r="DD4029" t="s">
        <v>403</v>
      </c>
      <c r="DG4029">
        <v>1628361</v>
      </c>
      <c r="DI4029">
        <v>1</v>
      </c>
      <c r="DJ4029">
        <v>0</v>
      </c>
      <c r="DK4029">
        <v>1</v>
      </c>
      <c r="DL4029">
        <v>0</v>
      </c>
      <c r="DM4029">
        <v>0</v>
      </c>
      <c r="DN4029">
        <v>0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3">
      <c r="A4030" t="str">
        <f>"05/01/2025 15:15:44.203"</f>
        <v>05/01/2025 15:15:44.203</v>
      </c>
      <c r="C4030" t="str">
        <f t="shared" si="1572"/>
        <v>FFDFD3C0</v>
      </c>
      <c r="D4030" t="s">
        <v>124</v>
      </c>
      <c r="E4030" t="str">
        <f>"06"</f>
        <v>06</v>
      </c>
      <c r="F4030">
        <v>2006</v>
      </c>
      <c r="G4030" t="s">
        <v>125</v>
      </c>
      <c r="J4030" t="s">
        <v>126</v>
      </c>
      <c r="K4030">
        <v>0</v>
      </c>
      <c r="L4030">
        <v>3</v>
      </c>
      <c r="M4030">
        <v>0</v>
      </c>
      <c r="N4030">
        <v>2</v>
      </c>
      <c r="O4030">
        <v>0</v>
      </c>
      <c r="P4030">
        <v>1</v>
      </c>
      <c r="Q4030">
        <v>0</v>
      </c>
      <c r="R4030" t="s">
        <v>127</v>
      </c>
      <c r="S4030" t="str">
        <f t="shared" si="1594"/>
        <v>15:15:43.000</v>
      </c>
      <c r="T4030" t="str">
        <f t="shared" si="1594"/>
        <v>15:15:43.000</v>
      </c>
      <c r="U4030" t="str">
        <f t="shared" si="1573"/>
        <v>A68FCB</v>
      </c>
      <c r="V4030">
        <v>0</v>
      </c>
      <c r="W4030">
        <v>0</v>
      </c>
      <c r="X4030">
        <v>2</v>
      </c>
      <c r="Y4030">
        <v>0</v>
      </c>
      <c r="AA4030">
        <v>1</v>
      </c>
      <c r="AB4030">
        <v>8</v>
      </c>
      <c r="AC4030">
        <v>3</v>
      </c>
      <c r="AD4030">
        <v>0</v>
      </c>
      <c r="AE4030">
        <v>9</v>
      </c>
      <c r="AF4030" t="s">
        <v>138</v>
      </c>
      <c r="AG4030">
        <v>0</v>
      </c>
      <c r="AH4030">
        <v>3</v>
      </c>
      <c r="AI4030">
        <v>2</v>
      </c>
      <c r="AJ4030">
        <v>0</v>
      </c>
      <c r="AK4030" t="s">
        <v>1276</v>
      </c>
      <c r="AL4030">
        <v>39.183318999999997</v>
      </c>
      <c r="AM4030" t="s">
        <v>1277</v>
      </c>
      <c r="AN4030">
        <v>-121.02545499999999</v>
      </c>
      <c r="AO4030">
        <v>25</v>
      </c>
      <c r="AP4030">
        <v>4400</v>
      </c>
      <c r="AQ4030" t="s">
        <v>131</v>
      </c>
      <c r="AR4030">
        <v>36</v>
      </c>
      <c r="AS4030">
        <v>70</v>
      </c>
      <c r="AT4030">
        <v>192</v>
      </c>
      <c r="BB4030" t="str">
        <f t="shared" si="1574"/>
        <v>1200</v>
      </c>
      <c r="BC4030">
        <v>1</v>
      </c>
      <c r="BD4030" t="str">
        <f t="shared" si="1575"/>
        <v xml:space="preserve">N52156  </v>
      </c>
      <c r="BE4030">
        <v>1</v>
      </c>
      <c r="BG4030">
        <v>0</v>
      </c>
      <c r="BH4030">
        <v>0</v>
      </c>
      <c r="BI4030">
        <v>0</v>
      </c>
      <c r="BJ4030">
        <v>4500</v>
      </c>
      <c r="BK4030">
        <v>100</v>
      </c>
      <c r="BL4030" t="s">
        <v>188</v>
      </c>
      <c r="BM4030">
        <v>1</v>
      </c>
      <c r="BN4030">
        <v>1</v>
      </c>
      <c r="BO4030">
        <v>0</v>
      </c>
      <c r="BP4030">
        <v>0</v>
      </c>
      <c r="BS4030">
        <v>0</v>
      </c>
      <c r="BT4030">
        <v>0</v>
      </c>
      <c r="BU4030">
        <v>0</v>
      </c>
      <c r="CE4030" t="str">
        <f t="shared" si="1595"/>
        <v>15:15:43.963</v>
      </c>
      <c r="CF4030">
        <v>963327002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3</v>
      </c>
      <c r="CY4030">
        <v>7</v>
      </c>
      <c r="CZ4030" t="s">
        <v>133</v>
      </c>
      <c r="DA4030">
        <v>276</v>
      </c>
      <c r="DB4030">
        <v>0</v>
      </c>
      <c r="DC4030" t="s">
        <v>402</v>
      </c>
      <c r="DD4030" t="s">
        <v>403</v>
      </c>
      <c r="DG4030">
        <v>1628361</v>
      </c>
      <c r="DI4030">
        <v>1</v>
      </c>
      <c r="DJ4030">
        <v>0</v>
      </c>
      <c r="DK4030">
        <v>1</v>
      </c>
      <c r="DL4030">
        <v>0</v>
      </c>
      <c r="DM4030">
        <v>0</v>
      </c>
      <c r="DN4030">
        <v>0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 x14ac:dyDescent="0.3">
      <c r="A4031" t="str">
        <f>"05/01/2025 15:15:44.210"</f>
        <v>05/01/2025 15:15:44.210</v>
      </c>
      <c r="C4031" t="str">
        <f t="shared" si="1572"/>
        <v>FFDFD3C0</v>
      </c>
      <c r="D4031" t="s">
        <v>145</v>
      </c>
      <c r="E4031" t="str">
        <f>"09"</f>
        <v>09</v>
      </c>
      <c r="H4031">
        <v>51</v>
      </c>
      <c r="I4031" t="s">
        <v>147</v>
      </c>
      <c r="J4031" t="s">
        <v>138</v>
      </c>
      <c r="K4031">
        <v>0</v>
      </c>
      <c r="L4031">
        <v>3</v>
      </c>
      <c r="M4031">
        <v>0</v>
      </c>
      <c r="N4031">
        <v>2</v>
      </c>
      <c r="O4031">
        <v>0</v>
      </c>
      <c r="P4031">
        <v>1</v>
      </c>
      <c r="Q4031">
        <v>0</v>
      </c>
      <c r="R4031" t="s">
        <v>127</v>
      </c>
      <c r="S4031" t="str">
        <f t="shared" si="1594"/>
        <v>15:15:43.000</v>
      </c>
      <c r="T4031" t="str">
        <f t="shared" si="1594"/>
        <v>15:15:43.000</v>
      </c>
      <c r="U4031" t="str">
        <f t="shared" si="1573"/>
        <v>A68FCB</v>
      </c>
      <c r="V4031">
        <v>0</v>
      </c>
      <c r="W4031">
        <v>0</v>
      </c>
      <c r="X4031">
        <v>2</v>
      </c>
      <c r="Y4031">
        <v>0</v>
      </c>
      <c r="AA4031">
        <v>1</v>
      </c>
      <c r="AB4031">
        <v>8</v>
      </c>
      <c r="AC4031">
        <v>3</v>
      </c>
      <c r="AD4031">
        <v>0</v>
      </c>
      <c r="AE4031">
        <v>9</v>
      </c>
      <c r="AF4031" t="s">
        <v>138</v>
      </c>
      <c r="AG4031">
        <v>0</v>
      </c>
      <c r="AH4031">
        <v>3</v>
      </c>
      <c r="AI4031">
        <v>2</v>
      </c>
      <c r="AJ4031">
        <v>0</v>
      </c>
      <c r="AK4031" t="s">
        <v>1276</v>
      </c>
      <c r="AL4031">
        <v>39.183318999999997</v>
      </c>
      <c r="AM4031" t="s">
        <v>1277</v>
      </c>
      <c r="AN4031">
        <v>-121.02545499999999</v>
      </c>
      <c r="AO4031">
        <v>25</v>
      </c>
      <c r="AP4031">
        <v>4400</v>
      </c>
      <c r="AQ4031" t="s">
        <v>131</v>
      </c>
      <c r="AR4031">
        <v>36</v>
      </c>
      <c r="AS4031">
        <v>70</v>
      </c>
      <c r="AT4031">
        <v>192</v>
      </c>
      <c r="BB4031" t="str">
        <f t="shared" si="1574"/>
        <v>1200</v>
      </c>
      <c r="BC4031">
        <v>1</v>
      </c>
      <c r="BD4031" t="str">
        <f t="shared" si="1575"/>
        <v xml:space="preserve">N52156  </v>
      </c>
      <c r="BE4031">
        <v>1</v>
      </c>
      <c r="BG4031">
        <v>0</v>
      </c>
      <c r="BH4031">
        <v>0</v>
      </c>
      <c r="BI4031">
        <v>0</v>
      </c>
      <c r="BJ4031">
        <v>4500</v>
      </c>
      <c r="BK4031">
        <v>100</v>
      </c>
      <c r="BL4031" t="s">
        <v>188</v>
      </c>
      <c r="BM4031">
        <v>1</v>
      </c>
      <c r="BN4031">
        <v>1</v>
      </c>
      <c r="BO4031">
        <v>0</v>
      </c>
      <c r="BP4031">
        <v>0</v>
      </c>
      <c r="BS4031">
        <v>0</v>
      </c>
      <c r="BT4031">
        <v>0</v>
      </c>
      <c r="BU4031">
        <v>0</v>
      </c>
      <c r="CE4031" t="str">
        <f t="shared" si="1595"/>
        <v>15:15:43.963</v>
      </c>
      <c r="CF4031">
        <v>963327002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3</v>
      </c>
      <c r="CY4031">
        <v>7</v>
      </c>
      <c r="CZ4031" t="s">
        <v>133</v>
      </c>
      <c r="DA4031">
        <v>276</v>
      </c>
      <c r="DB4031">
        <v>0</v>
      </c>
      <c r="DC4031" t="s">
        <v>402</v>
      </c>
      <c r="DD4031" t="s">
        <v>403</v>
      </c>
      <c r="DG4031">
        <v>1628361</v>
      </c>
      <c r="DI4031">
        <v>1</v>
      </c>
      <c r="DJ4031">
        <v>0</v>
      </c>
      <c r="DK4031">
        <v>1</v>
      </c>
      <c r="DL4031">
        <v>0</v>
      </c>
      <c r="DM4031">
        <v>0</v>
      </c>
      <c r="DN4031">
        <v>0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 x14ac:dyDescent="0.3">
      <c r="A4032" t="str">
        <f>"05/01/2025 15:15:44.217"</f>
        <v>05/01/2025 15:15:44.217</v>
      </c>
      <c r="C4032" t="str">
        <f t="shared" si="1572"/>
        <v>FFDFD3C0</v>
      </c>
      <c r="D4032" t="s">
        <v>145</v>
      </c>
      <c r="E4032" t="str">
        <f>"05"</f>
        <v>05</v>
      </c>
      <c r="H4032">
        <v>47</v>
      </c>
      <c r="I4032" t="s">
        <v>146</v>
      </c>
      <c r="J4032" t="s">
        <v>138</v>
      </c>
      <c r="K4032">
        <v>0</v>
      </c>
      <c r="L4032">
        <v>3</v>
      </c>
      <c r="M4032">
        <v>0</v>
      </c>
      <c r="N4032">
        <v>2</v>
      </c>
      <c r="O4032">
        <v>0</v>
      </c>
      <c r="P4032">
        <v>1</v>
      </c>
      <c r="Q4032">
        <v>0</v>
      </c>
      <c r="R4032" t="s">
        <v>127</v>
      </c>
      <c r="S4032" t="str">
        <f t="shared" si="1594"/>
        <v>15:15:43.000</v>
      </c>
      <c r="T4032" t="str">
        <f t="shared" si="1594"/>
        <v>15:15:43.000</v>
      </c>
      <c r="U4032" t="str">
        <f t="shared" si="1573"/>
        <v>A68FCB</v>
      </c>
      <c r="V4032">
        <v>0</v>
      </c>
      <c r="W4032">
        <v>0</v>
      </c>
      <c r="X4032">
        <v>2</v>
      </c>
      <c r="Y4032">
        <v>0</v>
      </c>
      <c r="AA4032">
        <v>1</v>
      </c>
      <c r="AB4032">
        <v>8</v>
      </c>
      <c r="AC4032">
        <v>3</v>
      </c>
      <c r="AD4032">
        <v>0</v>
      </c>
      <c r="AE4032">
        <v>9</v>
      </c>
      <c r="AF4032" t="s">
        <v>138</v>
      </c>
      <c r="AG4032">
        <v>0</v>
      </c>
      <c r="AH4032">
        <v>3</v>
      </c>
      <c r="AI4032">
        <v>2</v>
      </c>
      <c r="AJ4032">
        <v>0</v>
      </c>
      <c r="AK4032" t="s">
        <v>1276</v>
      </c>
      <c r="AL4032">
        <v>39.183318999999997</v>
      </c>
      <c r="AM4032" t="s">
        <v>1277</v>
      </c>
      <c r="AN4032">
        <v>-121.02545499999999</v>
      </c>
      <c r="AO4032">
        <v>25</v>
      </c>
      <c r="AP4032">
        <v>4400</v>
      </c>
      <c r="AQ4032" t="s">
        <v>131</v>
      </c>
      <c r="AR4032">
        <v>36</v>
      </c>
      <c r="AS4032">
        <v>70</v>
      </c>
      <c r="AT4032">
        <v>192</v>
      </c>
      <c r="BB4032" t="str">
        <f t="shared" si="1574"/>
        <v>1200</v>
      </c>
      <c r="BC4032">
        <v>1</v>
      </c>
      <c r="BD4032" t="str">
        <f t="shared" si="1575"/>
        <v xml:space="preserve">N52156  </v>
      </c>
      <c r="BE4032">
        <v>1</v>
      </c>
      <c r="BG4032">
        <v>0</v>
      </c>
      <c r="BH4032">
        <v>0</v>
      </c>
      <c r="BI4032">
        <v>0</v>
      </c>
      <c r="BJ4032">
        <v>4500</v>
      </c>
      <c r="BK4032">
        <v>100</v>
      </c>
      <c r="BL4032" t="s">
        <v>188</v>
      </c>
      <c r="BM4032">
        <v>1</v>
      </c>
      <c r="BN4032">
        <v>1</v>
      </c>
      <c r="BO4032">
        <v>0</v>
      </c>
      <c r="BP4032">
        <v>0</v>
      </c>
      <c r="BS4032">
        <v>0</v>
      </c>
      <c r="BT4032">
        <v>0</v>
      </c>
      <c r="BU4032">
        <v>0</v>
      </c>
      <c r="CE4032" t="str">
        <f t="shared" si="1595"/>
        <v>15:15:43.963</v>
      </c>
      <c r="CF4032">
        <v>963327002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3</v>
      </c>
      <c r="CY4032">
        <v>7</v>
      </c>
      <c r="CZ4032" t="s">
        <v>133</v>
      </c>
      <c r="DA4032">
        <v>276</v>
      </c>
      <c r="DB4032">
        <v>0</v>
      </c>
      <c r="DC4032" t="s">
        <v>402</v>
      </c>
      <c r="DD4032" t="s">
        <v>403</v>
      </c>
      <c r="DG4032">
        <v>1628361</v>
      </c>
      <c r="DI4032">
        <v>1</v>
      </c>
      <c r="DJ4032">
        <v>0</v>
      </c>
      <c r="DK4032">
        <v>1</v>
      </c>
      <c r="DL4032">
        <v>0</v>
      </c>
      <c r="DM4032">
        <v>0</v>
      </c>
      <c r="DN4032">
        <v>0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 x14ac:dyDescent="0.3">
      <c r="A4033" t="str">
        <f>"05/01/2025 15:15:44.226"</f>
        <v>05/01/2025 15:15:44.226</v>
      </c>
      <c r="C4033" t="str">
        <f t="shared" si="1572"/>
        <v>FFDFD3C0</v>
      </c>
      <c r="D4033" t="s">
        <v>136</v>
      </c>
      <c r="E4033" t="str">
        <f>"20"</f>
        <v>20</v>
      </c>
      <c r="H4033">
        <v>400</v>
      </c>
      <c r="I4033" t="s">
        <v>137</v>
      </c>
      <c r="J4033" t="s">
        <v>138</v>
      </c>
      <c r="K4033">
        <v>0</v>
      </c>
      <c r="L4033">
        <v>3</v>
      </c>
      <c r="M4033">
        <v>0</v>
      </c>
      <c r="N4033">
        <v>2</v>
      </c>
      <c r="O4033">
        <v>0</v>
      </c>
      <c r="P4033">
        <v>1</v>
      </c>
      <c r="Q4033">
        <v>0</v>
      </c>
      <c r="R4033" t="s">
        <v>127</v>
      </c>
      <c r="S4033" t="str">
        <f t="shared" si="1594"/>
        <v>15:15:43.000</v>
      </c>
      <c r="T4033" t="str">
        <f t="shared" si="1594"/>
        <v>15:15:43.000</v>
      </c>
      <c r="U4033" t="str">
        <f t="shared" si="1573"/>
        <v>A68FCB</v>
      </c>
      <c r="V4033">
        <v>0</v>
      </c>
      <c r="W4033">
        <v>0</v>
      </c>
      <c r="X4033">
        <v>2</v>
      </c>
      <c r="Y4033">
        <v>0</v>
      </c>
      <c r="AA4033">
        <v>1</v>
      </c>
      <c r="AB4033">
        <v>8</v>
      </c>
      <c r="AC4033">
        <v>3</v>
      </c>
      <c r="AD4033">
        <v>0</v>
      </c>
      <c r="AE4033">
        <v>9</v>
      </c>
      <c r="AF4033" t="s">
        <v>138</v>
      </c>
      <c r="AG4033">
        <v>0</v>
      </c>
      <c r="AH4033">
        <v>3</v>
      </c>
      <c r="AI4033">
        <v>2</v>
      </c>
      <c r="AJ4033">
        <v>0</v>
      </c>
      <c r="AK4033" t="s">
        <v>1276</v>
      </c>
      <c r="AL4033">
        <v>39.183318999999997</v>
      </c>
      <c r="AM4033" t="s">
        <v>1277</v>
      </c>
      <c r="AN4033">
        <v>-121.02545499999999</v>
      </c>
      <c r="AO4033">
        <v>25</v>
      </c>
      <c r="AP4033">
        <v>4400</v>
      </c>
      <c r="AQ4033" t="s">
        <v>131</v>
      </c>
      <c r="AR4033">
        <v>36</v>
      </c>
      <c r="AS4033">
        <v>70</v>
      </c>
      <c r="AT4033">
        <v>192</v>
      </c>
      <c r="BB4033" t="str">
        <f t="shared" si="1574"/>
        <v>1200</v>
      </c>
      <c r="BC4033">
        <v>1</v>
      </c>
      <c r="BD4033" t="str">
        <f t="shared" si="1575"/>
        <v xml:space="preserve">N52156  </v>
      </c>
      <c r="BE4033">
        <v>1</v>
      </c>
      <c r="BG4033">
        <v>0</v>
      </c>
      <c r="BH4033">
        <v>0</v>
      </c>
      <c r="BI4033">
        <v>0</v>
      </c>
      <c r="BJ4033">
        <v>4500</v>
      </c>
      <c r="BK4033">
        <v>100</v>
      </c>
      <c r="BL4033" t="s">
        <v>188</v>
      </c>
      <c r="BM4033">
        <v>1</v>
      </c>
      <c r="BN4033">
        <v>1</v>
      </c>
      <c r="BO4033">
        <v>0</v>
      </c>
      <c r="BP4033">
        <v>0</v>
      </c>
      <c r="BS4033">
        <v>0</v>
      </c>
      <c r="BT4033">
        <v>0</v>
      </c>
      <c r="BU4033">
        <v>0</v>
      </c>
      <c r="CE4033" t="str">
        <f t="shared" si="1595"/>
        <v>15:15:43.963</v>
      </c>
      <c r="CF4033">
        <v>963327002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3</v>
      </c>
      <c r="CY4033">
        <v>7</v>
      </c>
      <c r="CZ4033" t="s">
        <v>133</v>
      </c>
      <c r="DA4033">
        <v>276</v>
      </c>
      <c r="DB4033">
        <v>0</v>
      </c>
      <c r="DC4033" t="s">
        <v>402</v>
      </c>
      <c r="DD4033" t="s">
        <v>403</v>
      </c>
      <c r="DG4033">
        <v>1628361</v>
      </c>
      <c r="DI4033">
        <v>1</v>
      </c>
      <c r="DJ4033">
        <v>0</v>
      </c>
      <c r="DK4033">
        <v>1</v>
      </c>
      <c r="DL4033">
        <v>0</v>
      </c>
      <c r="DM4033">
        <v>0</v>
      </c>
      <c r="DN4033">
        <v>0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3">
      <c r="A4034" t="str">
        <f>"05/01/2025 15:15:44.447"</f>
        <v>05/01/2025 15:15:44.447</v>
      </c>
      <c r="C4034" t="str">
        <f t="shared" ref="C4034:C4097" si="1596">"FFDFD3C0"</f>
        <v>FFDFD3C0</v>
      </c>
      <c r="D4034" t="s">
        <v>143</v>
      </c>
      <c r="E4034" t="str">
        <f>"05"</f>
        <v>05</v>
      </c>
      <c r="H4034">
        <v>172</v>
      </c>
      <c r="I4034" t="s">
        <v>141</v>
      </c>
      <c r="J4034" t="s">
        <v>144</v>
      </c>
      <c r="K4034">
        <v>0</v>
      </c>
      <c r="L4034">
        <v>3</v>
      </c>
      <c r="M4034">
        <v>0</v>
      </c>
      <c r="N4034">
        <v>2</v>
      </c>
      <c r="O4034">
        <v>0</v>
      </c>
      <c r="P4034">
        <v>1</v>
      </c>
      <c r="Q4034">
        <v>0</v>
      </c>
      <c r="R4034" t="s">
        <v>127</v>
      </c>
      <c r="S4034" t="str">
        <f t="shared" ref="S4034:T4039" si="1597">"15:15:44.000"</f>
        <v>15:15:44.000</v>
      </c>
      <c r="T4034" t="str">
        <f t="shared" si="1597"/>
        <v>15:15:44.000</v>
      </c>
      <c r="U4034" t="str">
        <f t="shared" ref="U4034:U4097" si="1598">"A68FCB"</f>
        <v>A68FCB</v>
      </c>
      <c r="V4034">
        <v>0</v>
      </c>
      <c r="W4034">
        <v>0</v>
      </c>
      <c r="X4034">
        <v>2</v>
      </c>
      <c r="Y4034">
        <v>0</v>
      </c>
      <c r="AA4034">
        <v>1</v>
      </c>
      <c r="AB4034">
        <v>8</v>
      </c>
      <c r="AC4034">
        <v>3</v>
      </c>
      <c r="AD4034">
        <v>0</v>
      </c>
      <c r="AE4034">
        <v>9</v>
      </c>
      <c r="AF4034" t="s">
        <v>138</v>
      </c>
      <c r="AG4034">
        <v>0</v>
      </c>
      <c r="AH4034">
        <v>3</v>
      </c>
      <c r="AI4034">
        <v>2</v>
      </c>
      <c r="AJ4034">
        <v>0</v>
      </c>
      <c r="AK4034" t="s">
        <v>1278</v>
      </c>
      <c r="AL4034">
        <v>39.183639999999997</v>
      </c>
      <c r="AM4034" t="s">
        <v>1279</v>
      </c>
      <c r="AN4034">
        <v>-121.02524</v>
      </c>
      <c r="AO4034">
        <v>25</v>
      </c>
      <c r="AP4034">
        <v>4400</v>
      </c>
      <c r="AQ4034" t="s">
        <v>131</v>
      </c>
      <c r="AR4034">
        <v>36</v>
      </c>
      <c r="AS4034">
        <v>70</v>
      </c>
      <c r="AT4034">
        <v>192</v>
      </c>
      <c r="BB4034" t="str">
        <f t="shared" ref="BB4034:BB4097" si="1599">"1200"</f>
        <v>1200</v>
      </c>
      <c r="BC4034">
        <v>1</v>
      </c>
      <c r="BD4034" t="str">
        <f t="shared" ref="BD4034:BD4097" si="1600">"N52156  "</f>
        <v xml:space="preserve">N52156  </v>
      </c>
      <c r="BE4034">
        <v>1</v>
      </c>
      <c r="BG4034">
        <v>0</v>
      </c>
      <c r="BH4034">
        <v>0</v>
      </c>
      <c r="BI4034">
        <v>0</v>
      </c>
      <c r="BJ4034">
        <v>4500</v>
      </c>
      <c r="BK4034">
        <v>100</v>
      </c>
      <c r="BL4034" t="s">
        <v>188</v>
      </c>
      <c r="BM4034">
        <v>1</v>
      </c>
      <c r="BN4034">
        <v>1</v>
      </c>
      <c r="BO4034">
        <v>0</v>
      </c>
      <c r="BP4034">
        <v>0</v>
      </c>
      <c r="BS4034">
        <v>0</v>
      </c>
      <c r="BT4034">
        <v>0</v>
      </c>
      <c r="BU4034">
        <v>0</v>
      </c>
      <c r="CE4034" t="str">
        <f t="shared" ref="CE4034:CE4039" si="1601">"15:15:44.206"</f>
        <v>15:15:44.206</v>
      </c>
      <c r="CF4034">
        <v>205825135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3</v>
      </c>
      <c r="CY4034">
        <v>7</v>
      </c>
      <c r="CZ4034" t="s">
        <v>133</v>
      </c>
      <c r="DA4034">
        <v>276</v>
      </c>
      <c r="DB4034">
        <v>0</v>
      </c>
      <c r="DC4034" t="s">
        <v>402</v>
      </c>
      <c r="DD4034" t="s">
        <v>403</v>
      </c>
      <c r="DG4034">
        <v>1628363</v>
      </c>
      <c r="DI4034">
        <v>1</v>
      </c>
      <c r="DJ4034">
        <v>0</v>
      </c>
      <c r="DK4034">
        <v>1</v>
      </c>
      <c r="DL4034">
        <v>0</v>
      </c>
      <c r="DM4034">
        <v>0</v>
      </c>
      <c r="DN4034">
        <v>0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3">
      <c r="A4035" t="str">
        <f>"05/01/2025 15:15:44.449"</f>
        <v>05/01/2025 15:15:44.449</v>
      </c>
      <c r="C4035" t="str">
        <f t="shared" si="1596"/>
        <v>FFDFD3C0</v>
      </c>
      <c r="D4035" t="s">
        <v>140</v>
      </c>
      <c r="E4035" t="str">
        <f>"13"</f>
        <v>13</v>
      </c>
      <c r="F4035">
        <v>1019</v>
      </c>
      <c r="G4035" t="s">
        <v>141</v>
      </c>
      <c r="J4035" t="s">
        <v>142</v>
      </c>
      <c r="K4035">
        <v>0</v>
      </c>
      <c r="L4035">
        <v>3</v>
      </c>
      <c r="M4035">
        <v>0</v>
      </c>
      <c r="N4035">
        <v>2</v>
      </c>
      <c r="O4035">
        <v>0</v>
      </c>
      <c r="P4035">
        <v>1</v>
      </c>
      <c r="Q4035">
        <v>0</v>
      </c>
      <c r="R4035" t="s">
        <v>127</v>
      </c>
      <c r="S4035" t="str">
        <f t="shared" si="1597"/>
        <v>15:15:44.000</v>
      </c>
      <c r="T4035" t="str">
        <f t="shared" si="1597"/>
        <v>15:15:44.000</v>
      </c>
      <c r="U4035" t="str">
        <f t="shared" si="1598"/>
        <v>A68FCB</v>
      </c>
      <c r="V4035">
        <v>0</v>
      </c>
      <c r="W4035">
        <v>0</v>
      </c>
      <c r="X4035">
        <v>2</v>
      </c>
      <c r="Y4035">
        <v>0</v>
      </c>
      <c r="AA4035">
        <v>1</v>
      </c>
      <c r="AB4035">
        <v>8</v>
      </c>
      <c r="AC4035">
        <v>3</v>
      </c>
      <c r="AD4035">
        <v>0</v>
      </c>
      <c r="AE4035">
        <v>9</v>
      </c>
      <c r="AF4035" t="s">
        <v>138</v>
      </c>
      <c r="AG4035">
        <v>0</v>
      </c>
      <c r="AH4035">
        <v>3</v>
      </c>
      <c r="AI4035">
        <v>2</v>
      </c>
      <c r="AJ4035">
        <v>0</v>
      </c>
      <c r="AK4035" t="s">
        <v>1278</v>
      </c>
      <c r="AL4035">
        <v>39.183639999999997</v>
      </c>
      <c r="AM4035" t="s">
        <v>1279</v>
      </c>
      <c r="AN4035">
        <v>-121.02524</v>
      </c>
      <c r="AO4035">
        <v>25</v>
      </c>
      <c r="AP4035">
        <v>4400</v>
      </c>
      <c r="AQ4035" t="s">
        <v>131</v>
      </c>
      <c r="AR4035">
        <v>36</v>
      </c>
      <c r="AS4035">
        <v>70</v>
      </c>
      <c r="AT4035">
        <v>192</v>
      </c>
      <c r="BB4035" t="str">
        <f t="shared" si="1599"/>
        <v>1200</v>
      </c>
      <c r="BC4035">
        <v>1</v>
      </c>
      <c r="BD4035" t="str">
        <f t="shared" si="1600"/>
        <v xml:space="preserve">N52156  </v>
      </c>
      <c r="BE4035">
        <v>1</v>
      </c>
      <c r="BG4035">
        <v>0</v>
      </c>
      <c r="BH4035">
        <v>0</v>
      </c>
      <c r="BI4035">
        <v>0</v>
      </c>
      <c r="BJ4035">
        <v>4500</v>
      </c>
      <c r="BK4035">
        <v>100</v>
      </c>
      <c r="BL4035" t="s">
        <v>188</v>
      </c>
      <c r="BM4035">
        <v>1</v>
      </c>
      <c r="BN4035">
        <v>1</v>
      </c>
      <c r="BO4035">
        <v>0</v>
      </c>
      <c r="BP4035">
        <v>0</v>
      </c>
      <c r="BS4035">
        <v>0</v>
      </c>
      <c r="BT4035">
        <v>0</v>
      </c>
      <c r="BU4035">
        <v>0</v>
      </c>
      <c r="CE4035" t="str">
        <f t="shared" si="1601"/>
        <v>15:15:44.206</v>
      </c>
      <c r="CF4035">
        <v>205825135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3</v>
      </c>
      <c r="CY4035">
        <v>7</v>
      </c>
      <c r="CZ4035" t="s">
        <v>133</v>
      </c>
      <c r="DA4035">
        <v>276</v>
      </c>
      <c r="DB4035">
        <v>0</v>
      </c>
      <c r="DC4035" t="s">
        <v>402</v>
      </c>
      <c r="DD4035" t="s">
        <v>403</v>
      </c>
      <c r="DG4035">
        <v>1628363</v>
      </c>
      <c r="DI4035">
        <v>1</v>
      </c>
      <c r="DJ4035">
        <v>0</v>
      </c>
      <c r="DK4035">
        <v>1</v>
      </c>
      <c r="DL4035">
        <v>0</v>
      </c>
      <c r="DM4035">
        <v>0</v>
      </c>
      <c r="DN4035">
        <v>0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3">
      <c r="A4036" t="str">
        <f>"05/01/2025 15:15:44.454"</f>
        <v>05/01/2025 15:15:44.454</v>
      </c>
      <c r="C4036" t="str">
        <f t="shared" si="1596"/>
        <v>FFDFD3C0</v>
      </c>
      <c r="D4036" t="s">
        <v>124</v>
      </c>
      <c r="E4036" t="str">
        <f>"06"</f>
        <v>06</v>
      </c>
      <c r="F4036">
        <v>2006</v>
      </c>
      <c r="G4036" t="s">
        <v>125</v>
      </c>
      <c r="J4036" t="s">
        <v>126</v>
      </c>
      <c r="K4036">
        <v>0</v>
      </c>
      <c r="L4036">
        <v>3</v>
      </c>
      <c r="M4036">
        <v>0</v>
      </c>
      <c r="N4036">
        <v>2</v>
      </c>
      <c r="O4036">
        <v>0</v>
      </c>
      <c r="P4036">
        <v>1</v>
      </c>
      <c r="Q4036">
        <v>0</v>
      </c>
      <c r="R4036" t="s">
        <v>127</v>
      </c>
      <c r="S4036" t="str">
        <f t="shared" si="1597"/>
        <v>15:15:44.000</v>
      </c>
      <c r="T4036" t="str">
        <f t="shared" si="1597"/>
        <v>15:15:44.000</v>
      </c>
      <c r="U4036" t="str">
        <f t="shared" si="1598"/>
        <v>A68FCB</v>
      </c>
      <c r="V4036">
        <v>0</v>
      </c>
      <c r="W4036">
        <v>0</v>
      </c>
      <c r="X4036">
        <v>2</v>
      </c>
      <c r="Y4036">
        <v>0</v>
      </c>
      <c r="AA4036">
        <v>1</v>
      </c>
      <c r="AB4036">
        <v>8</v>
      </c>
      <c r="AC4036">
        <v>3</v>
      </c>
      <c r="AD4036">
        <v>0</v>
      </c>
      <c r="AE4036">
        <v>9</v>
      </c>
      <c r="AF4036" t="s">
        <v>138</v>
      </c>
      <c r="AG4036">
        <v>0</v>
      </c>
      <c r="AH4036">
        <v>3</v>
      </c>
      <c r="AI4036">
        <v>2</v>
      </c>
      <c r="AJ4036">
        <v>0</v>
      </c>
      <c r="AK4036" t="s">
        <v>1278</v>
      </c>
      <c r="AL4036">
        <v>39.183639999999997</v>
      </c>
      <c r="AM4036" t="s">
        <v>1279</v>
      </c>
      <c r="AN4036">
        <v>-121.02524</v>
      </c>
      <c r="AO4036">
        <v>25</v>
      </c>
      <c r="AP4036">
        <v>4400</v>
      </c>
      <c r="AQ4036" t="s">
        <v>131</v>
      </c>
      <c r="AR4036">
        <v>36</v>
      </c>
      <c r="AS4036">
        <v>70</v>
      </c>
      <c r="AT4036">
        <v>192</v>
      </c>
      <c r="BB4036" t="str">
        <f t="shared" si="1599"/>
        <v>1200</v>
      </c>
      <c r="BC4036">
        <v>1</v>
      </c>
      <c r="BD4036" t="str">
        <f t="shared" si="1600"/>
        <v xml:space="preserve">N52156  </v>
      </c>
      <c r="BE4036">
        <v>1</v>
      </c>
      <c r="BG4036">
        <v>0</v>
      </c>
      <c r="BH4036">
        <v>0</v>
      </c>
      <c r="BI4036">
        <v>0</v>
      </c>
      <c r="BJ4036">
        <v>4500</v>
      </c>
      <c r="BK4036">
        <v>100</v>
      </c>
      <c r="BL4036" t="s">
        <v>188</v>
      </c>
      <c r="BM4036">
        <v>1</v>
      </c>
      <c r="BN4036">
        <v>1</v>
      </c>
      <c r="BO4036">
        <v>0</v>
      </c>
      <c r="BP4036">
        <v>0</v>
      </c>
      <c r="BS4036">
        <v>0</v>
      </c>
      <c r="BT4036">
        <v>0</v>
      </c>
      <c r="BU4036">
        <v>0</v>
      </c>
      <c r="CE4036" t="str">
        <f t="shared" si="1601"/>
        <v>15:15:44.206</v>
      </c>
      <c r="CF4036">
        <v>205825135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3</v>
      </c>
      <c r="CY4036">
        <v>7</v>
      </c>
      <c r="CZ4036" t="s">
        <v>133</v>
      </c>
      <c r="DA4036">
        <v>276</v>
      </c>
      <c r="DB4036">
        <v>0</v>
      </c>
      <c r="DC4036" t="s">
        <v>402</v>
      </c>
      <c r="DD4036" t="s">
        <v>403</v>
      </c>
      <c r="DG4036">
        <v>1628363</v>
      </c>
      <c r="DI4036">
        <v>1</v>
      </c>
      <c r="DJ4036">
        <v>0</v>
      </c>
      <c r="DK4036">
        <v>1</v>
      </c>
      <c r="DL4036">
        <v>0</v>
      </c>
      <c r="DM4036">
        <v>0</v>
      </c>
      <c r="DN4036">
        <v>0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3">
      <c r="A4037" t="str">
        <f>"05/01/2025 15:15:44.461"</f>
        <v>05/01/2025 15:15:44.461</v>
      </c>
      <c r="C4037" t="str">
        <f t="shared" si="1596"/>
        <v>FFDFD3C0</v>
      </c>
      <c r="D4037" t="s">
        <v>145</v>
      </c>
      <c r="E4037" t="str">
        <f>"09"</f>
        <v>09</v>
      </c>
      <c r="H4037">
        <v>51</v>
      </c>
      <c r="I4037" t="s">
        <v>147</v>
      </c>
      <c r="J4037" t="s">
        <v>138</v>
      </c>
      <c r="K4037">
        <v>0</v>
      </c>
      <c r="L4037">
        <v>3</v>
      </c>
      <c r="M4037">
        <v>0</v>
      </c>
      <c r="N4037">
        <v>2</v>
      </c>
      <c r="O4037">
        <v>0</v>
      </c>
      <c r="P4037">
        <v>1</v>
      </c>
      <c r="Q4037">
        <v>0</v>
      </c>
      <c r="R4037" t="s">
        <v>127</v>
      </c>
      <c r="S4037" t="str">
        <f t="shared" si="1597"/>
        <v>15:15:44.000</v>
      </c>
      <c r="T4037" t="str">
        <f t="shared" si="1597"/>
        <v>15:15:44.000</v>
      </c>
      <c r="U4037" t="str">
        <f t="shared" si="1598"/>
        <v>A68FCB</v>
      </c>
      <c r="V4037">
        <v>0</v>
      </c>
      <c r="W4037">
        <v>0</v>
      </c>
      <c r="X4037">
        <v>2</v>
      </c>
      <c r="Y4037">
        <v>0</v>
      </c>
      <c r="AA4037">
        <v>1</v>
      </c>
      <c r="AB4037">
        <v>8</v>
      </c>
      <c r="AC4037">
        <v>3</v>
      </c>
      <c r="AD4037">
        <v>0</v>
      </c>
      <c r="AE4037">
        <v>9</v>
      </c>
      <c r="AF4037" t="s">
        <v>138</v>
      </c>
      <c r="AG4037">
        <v>0</v>
      </c>
      <c r="AH4037">
        <v>3</v>
      </c>
      <c r="AI4037">
        <v>2</v>
      </c>
      <c r="AJ4037">
        <v>0</v>
      </c>
      <c r="AK4037" t="s">
        <v>1278</v>
      </c>
      <c r="AL4037">
        <v>39.183639999999997</v>
      </c>
      <c r="AM4037" t="s">
        <v>1279</v>
      </c>
      <c r="AN4037">
        <v>-121.02524</v>
      </c>
      <c r="AO4037">
        <v>25</v>
      </c>
      <c r="AP4037">
        <v>4400</v>
      </c>
      <c r="AQ4037" t="s">
        <v>131</v>
      </c>
      <c r="AR4037">
        <v>36</v>
      </c>
      <c r="AS4037">
        <v>70</v>
      </c>
      <c r="AT4037">
        <v>192</v>
      </c>
      <c r="BB4037" t="str">
        <f t="shared" si="1599"/>
        <v>1200</v>
      </c>
      <c r="BC4037">
        <v>1</v>
      </c>
      <c r="BD4037" t="str">
        <f t="shared" si="1600"/>
        <v xml:space="preserve">N52156  </v>
      </c>
      <c r="BE4037">
        <v>1</v>
      </c>
      <c r="BG4037">
        <v>0</v>
      </c>
      <c r="BH4037">
        <v>0</v>
      </c>
      <c r="BI4037">
        <v>0</v>
      </c>
      <c r="BJ4037">
        <v>4500</v>
      </c>
      <c r="BK4037">
        <v>100</v>
      </c>
      <c r="BL4037" t="s">
        <v>188</v>
      </c>
      <c r="BM4037">
        <v>1</v>
      </c>
      <c r="BN4037">
        <v>1</v>
      </c>
      <c r="BO4037">
        <v>0</v>
      </c>
      <c r="BP4037">
        <v>0</v>
      </c>
      <c r="BS4037">
        <v>0</v>
      </c>
      <c r="BT4037">
        <v>0</v>
      </c>
      <c r="BU4037">
        <v>0</v>
      </c>
      <c r="CE4037" t="str">
        <f t="shared" si="1601"/>
        <v>15:15:44.206</v>
      </c>
      <c r="CF4037">
        <v>205825135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3</v>
      </c>
      <c r="CY4037">
        <v>7</v>
      </c>
      <c r="CZ4037" t="s">
        <v>133</v>
      </c>
      <c r="DA4037">
        <v>276</v>
      </c>
      <c r="DB4037">
        <v>0</v>
      </c>
      <c r="DC4037" t="s">
        <v>402</v>
      </c>
      <c r="DD4037" t="s">
        <v>403</v>
      </c>
      <c r="DG4037">
        <v>1628363</v>
      </c>
      <c r="DI4037">
        <v>1</v>
      </c>
      <c r="DJ4037">
        <v>0</v>
      </c>
      <c r="DK4037">
        <v>1</v>
      </c>
      <c r="DL4037">
        <v>0</v>
      </c>
      <c r="DM4037">
        <v>0</v>
      </c>
      <c r="DN4037">
        <v>0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3">
      <c r="A4038" t="str">
        <f>"05/01/2025 15:15:44.467"</f>
        <v>05/01/2025 15:15:44.467</v>
      </c>
      <c r="C4038" t="str">
        <f t="shared" si="1596"/>
        <v>FFDFD3C0</v>
      </c>
      <c r="D4038" t="s">
        <v>145</v>
      </c>
      <c r="E4038" t="str">
        <f>"05"</f>
        <v>05</v>
      </c>
      <c r="H4038">
        <v>47</v>
      </c>
      <c r="I4038" t="s">
        <v>146</v>
      </c>
      <c r="J4038" t="s">
        <v>138</v>
      </c>
      <c r="K4038">
        <v>0</v>
      </c>
      <c r="L4038">
        <v>3</v>
      </c>
      <c r="M4038">
        <v>0</v>
      </c>
      <c r="N4038">
        <v>2</v>
      </c>
      <c r="O4038">
        <v>0</v>
      </c>
      <c r="P4038">
        <v>1</v>
      </c>
      <c r="Q4038">
        <v>0</v>
      </c>
      <c r="R4038" t="s">
        <v>127</v>
      </c>
      <c r="S4038" t="str">
        <f t="shared" si="1597"/>
        <v>15:15:44.000</v>
      </c>
      <c r="T4038" t="str">
        <f t="shared" si="1597"/>
        <v>15:15:44.000</v>
      </c>
      <c r="U4038" t="str">
        <f t="shared" si="1598"/>
        <v>A68FCB</v>
      </c>
      <c r="V4038">
        <v>0</v>
      </c>
      <c r="W4038">
        <v>0</v>
      </c>
      <c r="X4038">
        <v>2</v>
      </c>
      <c r="Y4038">
        <v>0</v>
      </c>
      <c r="AA4038">
        <v>1</v>
      </c>
      <c r="AB4038">
        <v>8</v>
      </c>
      <c r="AC4038">
        <v>3</v>
      </c>
      <c r="AD4038">
        <v>0</v>
      </c>
      <c r="AE4038">
        <v>9</v>
      </c>
      <c r="AF4038" t="s">
        <v>138</v>
      </c>
      <c r="AG4038">
        <v>0</v>
      </c>
      <c r="AH4038">
        <v>3</v>
      </c>
      <c r="AI4038">
        <v>2</v>
      </c>
      <c r="AJ4038">
        <v>0</v>
      </c>
      <c r="AK4038" t="s">
        <v>1278</v>
      </c>
      <c r="AL4038">
        <v>39.183639999999997</v>
      </c>
      <c r="AM4038" t="s">
        <v>1279</v>
      </c>
      <c r="AN4038">
        <v>-121.02524</v>
      </c>
      <c r="AO4038">
        <v>25</v>
      </c>
      <c r="AP4038">
        <v>4400</v>
      </c>
      <c r="AQ4038" t="s">
        <v>131</v>
      </c>
      <c r="AR4038">
        <v>36</v>
      </c>
      <c r="AS4038">
        <v>70</v>
      </c>
      <c r="AT4038">
        <v>192</v>
      </c>
      <c r="BB4038" t="str">
        <f t="shared" si="1599"/>
        <v>1200</v>
      </c>
      <c r="BC4038">
        <v>1</v>
      </c>
      <c r="BD4038" t="str">
        <f t="shared" si="1600"/>
        <v xml:space="preserve">N52156  </v>
      </c>
      <c r="BE4038">
        <v>1</v>
      </c>
      <c r="BG4038">
        <v>0</v>
      </c>
      <c r="BH4038">
        <v>0</v>
      </c>
      <c r="BI4038">
        <v>0</v>
      </c>
      <c r="BJ4038">
        <v>4500</v>
      </c>
      <c r="BK4038">
        <v>100</v>
      </c>
      <c r="BL4038" t="s">
        <v>188</v>
      </c>
      <c r="BM4038">
        <v>1</v>
      </c>
      <c r="BN4038">
        <v>1</v>
      </c>
      <c r="BO4038">
        <v>0</v>
      </c>
      <c r="BP4038">
        <v>0</v>
      </c>
      <c r="BS4038">
        <v>0</v>
      </c>
      <c r="BT4038">
        <v>0</v>
      </c>
      <c r="BU4038">
        <v>0</v>
      </c>
      <c r="CE4038" t="str">
        <f t="shared" si="1601"/>
        <v>15:15:44.206</v>
      </c>
      <c r="CF4038">
        <v>205825135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3</v>
      </c>
      <c r="CY4038">
        <v>7</v>
      </c>
      <c r="CZ4038" t="s">
        <v>133</v>
      </c>
      <c r="DA4038">
        <v>276</v>
      </c>
      <c r="DB4038">
        <v>0</v>
      </c>
      <c r="DC4038" t="s">
        <v>402</v>
      </c>
      <c r="DD4038" t="s">
        <v>403</v>
      </c>
      <c r="DG4038">
        <v>1628363</v>
      </c>
      <c r="DI4038">
        <v>1</v>
      </c>
      <c r="DJ4038">
        <v>0</v>
      </c>
      <c r="DK4038">
        <v>1</v>
      </c>
      <c r="DL4038">
        <v>0</v>
      </c>
      <c r="DM4038">
        <v>0</v>
      </c>
      <c r="DN4038">
        <v>0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3">
      <c r="A4039" t="str">
        <f>"05/01/2025 15:15:44.477"</f>
        <v>05/01/2025 15:15:44.477</v>
      </c>
      <c r="C4039" t="str">
        <f t="shared" si="1596"/>
        <v>FFDFD3C0</v>
      </c>
      <c r="D4039" t="s">
        <v>136</v>
      </c>
      <c r="E4039" t="str">
        <f>"20"</f>
        <v>20</v>
      </c>
      <c r="H4039">
        <v>400</v>
      </c>
      <c r="I4039" t="s">
        <v>137</v>
      </c>
      <c r="J4039" t="s">
        <v>138</v>
      </c>
      <c r="K4039">
        <v>0</v>
      </c>
      <c r="L4039">
        <v>3</v>
      </c>
      <c r="M4039">
        <v>0</v>
      </c>
      <c r="N4039">
        <v>2</v>
      </c>
      <c r="O4039">
        <v>0</v>
      </c>
      <c r="P4039">
        <v>1</v>
      </c>
      <c r="Q4039">
        <v>0</v>
      </c>
      <c r="R4039" t="s">
        <v>127</v>
      </c>
      <c r="S4039" t="str">
        <f t="shared" si="1597"/>
        <v>15:15:44.000</v>
      </c>
      <c r="T4039" t="str">
        <f t="shared" si="1597"/>
        <v>15:15:44.000</v>
      </c>
      <c r="U4039" t="str">
        <f t="shared" si="1598"/>
        <v>A68FCB</v>
      </c>
      <c r="V4039">
        <v>0</v>
      </c>
      <c r="W4039">
        <v>0</v>
      </c>
      <c r="X4039">
        <v>2</v>
      </c>
      <c r="Y4039">
        <v>0</v>
      </c>
      <c r="AA4039">
        <v>1</v>
      </c>
      <c r="AB4039">
        <v>8</v>
      </c>
      <c r="AC4039">
        <v>3</v>
      </c>
      <c r="AD4039">
        <v>0</v>
      </c>
      <c r="AE4039">
        <v>9</v>
      </c>
      <c r="AF4039" t="s">
        <v>138</v>
      </c>
      <c r="AG4039">
        <v>0</v>
      </c>
      <c r="AH4039">
        <v>3</v>
      </c>
      <c r="AI4039">
        <v>2</v>
      </c>
      <c r="AJ4039">
        <v>0</v>
      </c>
      <c r="AK4039" t="s">
        <v>1278</v>
      </c>
      <c r="AL4039">
        <v>39.183639999999997</v>
      </c>
      <c r="AM4039" t="s">
        <v>1279</v>
      </c>
      <c r="AN4039">
        <v>-121.02524</v>
      </c>
      <c r="AO4039">
        <v>25</v>
      </c>
      <c r="AP4039">
        <v>4400</v>
      </c>
      <c r="AQ4039" t="s">
        <v>131</v>
      </c>
      <c r="AR4039">
        <v>36</v>
      </c>
      <c r="AS4039">
        <v>70</v>
      </c>
      <c r="AT4039">
        <v>192</v>
      </c>
      <c r="BB4039" t="str">
        <f t="shared" si="1599"/>
        <v>1200</v>
      </c>
      <c r="BC4039">
        <v>1</v>
      </c>
      <c r="BD4039" t="str">
        <f t="shared" si="1600"/>
        <v xml:space="preserve">N52156  </v>
      </c>
      <c r="BE4039">
        <v>1</v>
      </c>
      <c r="BG4039">
        <v>0</v>
      </c>
      <c r="BH4039">
        <v>0</v>
      </c>
      <c r="BI4039">
        <v>0</v>
      </c>
      <c r="BJ4039">
        <v>4500</v>
      </c>
      <c r="BK4039">
        <v>100</v>
      </c>
      <c r="BL4039" t="s">
        <v>188</v>
      </c>
      <c r="BM4039">
        <v>1</v>
      </c>
      <c r="BN4039">
        <v>1</v>
      </c>
      <c r="BO4039">
        <v>0</v>
      </c>
      <c r="BP4039">
        <v>0</v>
      </c>
      <c r="BS4039">
        <v>0</v>
      </c>
      <c r="BT4039">
        <v>0</v>
      </c>
      <c r="BU4039">
        <v>0</v>
      </c>
      <c r="CE4039" t="str">
        <f t="shared" si="1601"/>
        <v>15:15:44.206</v>
      </c>
      <c r="CF4039">
        <v>205825135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3</v>
      </c>
      <c r="CY4039">
        <v>7</v>
      </c>
      <c r="CZ4039" t="s">
        <v>133</v>
      </c>
      <c r="DA4039">
        <v>276</v>
      </c>
      <c r="DB4039">
        <v>0</v>
      </c>
      <c r="DC4039" t="s">
        <v>402</v>
      </c>
      <c r="DD4039" t="s">
        <v>403</v>
      </c>
      <c r="DG4039">
        <v>1628363</v>
      </c>
      <c r="DI4039">
        <v>1</v>
      </c>
      <c r="DJ4039">
        <v>0</v>
      </c>
      <c r="DK4039">
        <v>0</v>
      </c>
      <c r="DL4039">
        <v>0</v>
      </c>
      <c r="DM4039">
        <v>0</v>
      </c>
      <c r="DN4039">
        <v>0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3">
      <c r="A4040" t="str">
        <f>"05/01/2025 15:15:45.849"</f>
        <v>05/01/2025 15:15:45.849</v>
      </c>
      <c r="C4040" t="str">
        <f t="shared" si="1596"/>
        <v>FFDFD3C0</v>
      </c>
      <c r="D4040" t="s">
        <v>143</v>
      </c>
      <c r="E4040" t="str">
        <f>"05"</f>
        <v>05</v>
      </c>
      <c r="H4040">
        <v>172</v>
      </c>
      <c r="I4040" t="s">
        <v>141</v>
      </c>
      <c r="J4040" t="s">
        <v>144</v>
      </c>
      <c r="K4040">
        <v>0</v>
      </c>
      <c r="L4040">
        <v>3</v>
      </c>
      <c r="M4040">
        <v>0</v>
      </c>
      <c r="N4040">
        <v>2</v>
      </c>
      <c r="O4040">
        <v>0</v>
      </c>
      <c r="P4040">
        <v>1</v>
      </c>
      <c r="Q4040">
        <v>0</v>
      </c>
      <c r="R4040" t="s">
        <v>127</v>
      </c>
      <c r="S4040" t="str">
        <f t="shared" ref="S4040:T4045" si="1602">"15:15:45.000"</f>
        <v>15:15:45.000</v>
      </c>
      <c r="T4040" t="str">
        <f t="shared" si="1602"/>
        <v>15:15:45.000</v>
      </c>
      <c r="U4040" t="str">
        <f t="shared" si="1598"/>
        <v>A68FCB</v>
      </c>
      <c r="V4040">
        <v>0</v>
      </c>
      <c r="W4040">
        <v>0</v>
      </c>
      <c r="X4040">
        <v>2</v>
      </c>
      <c r="Y4040">
        <v>0</v>
      </c>
      <c r="AA4040">
        <v>1</v>
      </c>
      <c r="AB4040">
        <v>8</v>
      </c>
      <c r="AC4040">
        <v>3</v>
      </c>
      <c r="AD4040">
        <v>0</v>
      </c>
      <c r="AE4040">
        <v>9</v>
      </c>
      <c r="AF4040" t="s">
        <v>138</v>
      </c>
      <c r="AG4040">
        <v>0</v>
      </c>
      <c r="AH4040">
        <v>3</v>
      </c>
      <c r="AI4040">
        <v>2</v>
      </c>
      <c r="AJ4040">
        <v>0</v>
      </c>
      <c r="AK4040" t="s">
        <v>1280</v>
      </c>
      <c r="AL4040">
        <v>39.183962000000001</v>
      </c>
      <c r="AM4040" t="s">
        <v>1281</v>
      </c>
      <c r="AN4040">
        <v>-121.025026</v>
      </c>
      <c r="AO4040">
        <v>25</v>
      </c>
      <c r="AP4040">
        <v>4400</v>
      </c>
      <c r="AQ4040" t="s">
        <v>131</v>
      </c>
      <c r="AR4040">
        <v>37</v>
      </c>
      <c r="AS4040">
        <v>69</v>
      </c>
      <c r="AT4040">
        <v>192</v>
      </c>
      <c r="BB4040" t="str">
        <f t="shared" si="1599"/>
        <v>1200</v>
      </c>
      <c r="BC4040">
        <v>1</v>
      </c>
      <c r="BD4040" t="str">
        <f t="shared" si="1600"/>
        <v xml:space="preserve">N52156  </v>
      </c>
      <c r="BE4040">
        <v>1</v>
      </c>
      <c r="BG4040">
        <v>0</v>
      </c>
      <c r="BH4040">
        <v>0</v>
      </c>
      <c r="BI4040">
        <v>0</v>
      </c>
      <c r="BJ4040">
        <v>4500</v>
      </c>
      <c r="BK4040">
        <v>100</v>
      </c>
      <c r="BL4040" t="s">
        <v>188</v>
      </c>
      <c r="BM4040">
        <v>1</v>
      </c>
      <c r="BN4040">
        <v>1</v>
      </c>
      <c r="BO4040">
        <v>0</v>
      </c>
      <c r="BP4040">
        <v>0</v>
      </c>
      <c r="BS4040">
        <v>0</v>
      </c>
      <c r="BT4040">
        <v>0</v>
      </c>
      <c r="BU4040">
        <v>0</v>
      </c>
      <c r="CE4040" t="str">
        <f t="shared" ref="CE4040:CE4045" si="1603">"15:15:45.610"</f>
        <v>15:15:45.610</v>
      </c>
      <c r="CF4040">
        <v>610076512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3</v>
      </c>
      <c r="CY4040">
        <v>7</v>
      </c>
      <c r="CZ4040" t="s">
        <v>133</v>
      </c>
      <c r="DA4040">
        <v>276</v>
      </c>
      <c r="DB4040">
        <v>0</v>
      </c>
      <c r="DC4040" t="s">
        <v>402</v>
      </c>
      <c r="DD4040" t="s">
        <v>403</v>
      </c>
      <c r="DG4040">
        <v>1628368</v>
      </c>
      <c r="DI4040">
        <v>1</v>
      </c>
      <c r="DJ4040">
        <v>0</v>
      </c>
      <c r="DK4040">
        <v>0</v>
      </c>
      <c r="DL4040">
        <v>0</v>
      </c>
      <c r="DM4040">
        <v>0</v>
      </c>
      <c r="DN4040">
        <v>0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3">
      <c r="A4041" t="str">
        <f>"05/01/2025 15:15:45.851"</f>
        <v>05/01/2025 15:15:45.851</v>
      </c>
      <c r="C4041" t="str">
        <f t="shared" si="1596"/>
        <v>FFDFD3C0</v>
      </c>
      <c r="D4041" t="s">
        <v>140</v>
      </c>
      <c r="E4041" t="str">
        <f>"13"</f>
        <v>13</v>
      </c>
      <c r="F4041">
        <v>1019</v>
      </c>
      <c r="G4041" t="s">
        <v>141</v>
      </c>
      <c r="J4041" t="s">
        <v>142</v>
      </c>
      <c r="K4041">
        <v>0</v>
      </c>
      <c r="L4041">
        <v>3</v>
      </c>
      <c r="M4041">
        <v>0</v>
      </c>
      <c r="N4041">
        <v>2</v>
      </c>
      <c r="O4041">
        <v>0</v>
      </c>
      <c r="P4041">
        <v>1</v>
      </c>
      <c r="Q4041">
        <v>0</v>
      </c>
      <c r="R4041" t="s">
        <v>127</v>
      </c>
      <c r="S4041" t="str">
        <f t="shared" si="1602"/>
        <v>15:15:45.000</v>
      </c>
      <c r="T4041" t="str">
        <f t="shared" si="1602"/>
        <v>15:15:45.000</v>
      </c>
      <c r="U4041" t="str">
        <f t="shared" si="1598"/>
        <v>A68FCB</v>
      </c>
      <c r="V4041">
        <v>0</v>
      </c>
      <c r="W4041">
        <v>0</v>
      </c>
      <c r="X4041">
        <v>2</v>
      </c>
      <c r="Y4041">
        <v>0</v>
      </c>
      <c r="AA4041">
        <v>1</v>
      </c>
      <c r="AB4041">
        <v>8</v>
      </c>
      <c r="AC4041">
        <v>3</v>
      </c>
      <c r="AD4041">
        <v>0</v>
      </c>
      <c r="AE4041">
        <v>9</v>
      </c>
      <c r="AF4041" t="s">
        <v>138</v>
      </c>
      <c r="AG4041">
        <v>0</v>
      </c>
      <c r="AH4041">
        <v>3</v>
      </c>
      <c r="AI4041">
        <v>2</v>
      </c>
      <c r="AJ4041">
        <v>0</v>
      </c>
      <c r="AK4041" t="s">
        <v>1280</v>
      </c>
      <c r="AL4041">
        <v>39.183962000000001</v>
      </c>
      <c r="AM4041" t="s">
        <v>1281</v>
      </c>
      <c r="AN4041">
        <v>-121.025026</v>
      </c>
      <c r="AO4041">
        <v>25</v>
      </c>
      <c r="AP4041">
        <v>4400</v>
      </c>
      <c r="AQ4041" t="s">
        <v>131</v>
      </c>
      <c r="AR4041">
        <v>37</v>
      </c>
      <c r="AS4041">
        <v>69</v>
      </c>
      <c r="AT4041">
        <v>192</v>
      </c>
      <c r="BB4041" t="str">
        <f t="shared" si="1599"/>
        <v>1200</v>
      </c>
      <c r="BC4041">
        <v>1</v>
      </c>
      <c r="BD4041" t="str">
        <f t="shared" si="1600"/>
        <v xml:space="preserve">N52156  </v>
      </c>
      <c r="BE4041">
        <v>1</v>
      </c>
      <c r="BG4041">
        <v>0</v>
      </c>
      <c r="BH4041">
        <v>0</v>
      </c>
      <c r="BI4041">
        <v>0</v>
      </c>
      <c r="BJ4041">
        <v>4500</v>
      </c>
      <c r="BK4041">
        <v>100</v>
      </c>
      <c r="BL4041" t="s">
        <v>188</v>
      </c>
      <c r="BM4041">
        <v>1</v>
      </c>
      <c r="BN4041">
        <v>1</v>
      </c>
      <c r="BO4041">
        <v>0</v>
      </c>
      <c r="BP4041">
        <v>0</v>
      </c>
      <c r="BS4041">
        <v>0</v>
      </c>
      <c r="BT4041">
        <v>0</v>
      </c>
      <c r="BU4041">
        <v>0</v>
      </c>
      <c r="CE4041" t="str">
        <f t="shared" si="1603"/>
        <v>15:15:45.610</v>
      </c>
      <c r="CF4041">
        <v>610076512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3</v>
      </c>
      <c r="CY4041">
        <v>7</v>
      </c>
      <c r="CZ4041" t="s">
        <v>133</v>
      </c>
      <c r="DA4041">
        <v>276</v>
      </c>
      <c r="DB4041">
        <v>0</v>
      </c>
      <c r="DC4041" t="s">
        <v>402</v>
      </c>
      <c r="DD4041" t="s">
        <v>403</v>
      </c>
      <c r="DG4041">
        <v>1628368</v>
      </c>
      <c r="DI4041">
        <v>1</v>
      </c>
      <c r="DJ4041">
        <v>0</v>
      </c>
      <c r="DK4041">
        <v>1</v>
      </c>
      <c r="DL4041">
        <v>0</v>
      </c>
      <c r="DM4041">
        <v>0</v>
      </c>
      <c r="DN4041">
        <v>0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3">
      <c r="A4042" t="str">
        <f>"05/01/2025 15:15:45.856"</f>
        <v>05/01/2025 15:15:45.856</v>
      </c>
      <c r="C4042" t="str">
        <f t="shared" si="1596"/>
        <v>FFDFD3C0</v>
      </c>
      <c r="D4042" t="s">
        <v>124</v>
      </c>
      <c r="E4042" t="str">
        <f>"06"</f>
        <v>06</v>
      </c>
      <c r="F4042">
        <v>2006</v>
      </c>
      <c r="G4042" t="s">
        <v>125</v>
      </c>
      <c r="J4042" t="s">
        <v>126</v>
      </c>
      <c r="K4042">
        <v>0</v>
      </c>
      <c r="L4042">
        <v>3</v>
      </c>
      <c r="M4042">
        <v>0</v>
      </c>
      <c r="N4042">
        <v>2</v>
      </c>
      <c r="O4042">
        <v>0</v>
      </c>
      <c r="P4042">
        <v>1</v>
      </c>
      <c r="Q4042">
        <v>0</v>
      </c>
      <c r="R4042" t="s">
        <v>127</v>
      </c>
      <c r="S4042" t="str">
        <f t="shared" si="1602"/>
        <v>15:15:45.000</v>
      </c>
      <c r="T4042" t="str">
        <f t="shared" si="1602"/>
        <v>15:15:45.000</v>
      </c>
      <c r="U4042" t="str">
        <f t="shared" si="1598"/>
        <v>A68FCB</v>
      </c>
      <c r="V4042">
        <v>0</v>
      </c>
      <c r="W4042">
        <v>0</v>
      </c>
      <c r="X4042">
        <v>2</v>
      </c>
      <c r="Y4042">
        <v>0</v>
      </c>
      <c r="AA4042">
        <v>1</v>
      </c>
      <c r="AB4042">
        <v>8</v>
      </c>
      <c r="AC4042">
        <v>3</v>
      </c>
      <c r="AD4042">
        <v>0</v>
      </c>
      <c r="AE4042">
        <v>9</v>
      </c>
      <c r="AF4042" t="s">
        <v>138</v>
      </c>
      <c r="AG4042">
        <v>0</v>
      </c>
      <c r="AH4042">
        <v>3</v>
      </c>
      <c r="AI4042">
        <v>2</v>
      </c>
      <c r="AJ4042">
        <v>0</v>
      </c>
      <c r="AK4042" t="s">
        <v>1280</v>
      </c>
      <c r="AL4042">
        <v>39.183962000000001</v>
      </c>
      <c r="AM4042" t="s">
        <v>1281</v>
      </c>
      <c r="AN4042">
        <v>-121.025026</v>
      </c>
      <c r="AO4042">
        <v>25</v>
      </c>
      <c r="AP4042">
        <v>4400</v>
      </c>
      <c r="AQ4042" t="s">
        <v>131</v>
      </c>
      <c r="AR4042">
        <v>37</v>
      </c>
      <c r="AS4042">
        <v>69</v>
      </c>
      <c r="AT4042">
        <v>192</v>
      </c>
      <c r="BB4042" t="str">
        <f t="shared" si="1599"/>
        <v>1200</v>
      </c>
      <c r="BC4042">
        <v>1</v>
      </c>
      <c r="BD4042" t="str">
        <f t="shared" si="1600"/>
        <v xml:space="preserve">N52156  </v>
      </c>
      <c r="BE4042">
        <v>1</v>
      </c>
      <c r="BG4042">
        <v>0</v>
      </c>
      <c r="BH4042">
        <v>0</v>
      </c>
      <c r="BI4042">
        <v>0</v>
      </c>
      <c r="BJ4042">
        <v>4500</v>
      </c>
      <c r="BK4042">
        <v>100</v>
      </c>
      <c r="BL4042" t="s">
        <v>188</v>
      </c>
      <c r="BM4042">
        <v>1</v>
      </c>
      <c r="BN4042">
        <v>1</v>
      </c>
      <c r="BO4042">
        <v>0</v>
      </c>
      <c r="BP4042">
        <v>0</v>
      </c>
      <c r="BS4042">
        <v>0</v>
      </c>
      <c r="BT4042">
        <v>0</v>
      </c>
      <c r="BU4042">
        <v>0</v>
      </c>
      <c r="CE4042" t="str">
        <f t="shared" si="1603"/>
        <v>15:15:45.610</v>
      </c>
      <c r="CF4042">
        <v>610076512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3</v>
      </c>
      <c r="CY4042">
        <v>7</v>
      </c>
      <c r="CZ4042" t="s">
        <v>133</v>
      </c>
      <c r="DA4042">
        <v>276</v>
      </c>
      <c r="DB4042">
        <v>0</v>
      </c>
      <c r="DC4042" t="s">
        <v>402</v>
      </c>
      <c r="DD4042" t="s">
        <v>403</v>
      </c>
      <c r="DG4042">
        <v>1628368</v>
      </c>
      <c r="DI4042">
        <v>1</v>
      </c>
      <c r="DJ4042">
        <v>0</v>
      </c>
      <c r="DK4042">
        <v>1</v>
      </c>
      <c r="DL4042">
        <v>0</v>
      </c>
      <c r="DM4042">
        <v>0</v>
      </c>
      <c r="DN4042">
        <v>0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3">
      <c r="A4043" t="str">
        <f>"05/01/2025 15:15:45.863"</f>
        <v>05/01/2025 15:15:45.863</v>
      </c>
      <c r="C4043" t="str">
        <f t="shared" si="1596"/>
        <v>FFDFD3C0</v>
      </c>
      <c r="D4043" t="s">
        <v>145</v>
      </c>
      <c r="E4043" t="str">
        <f>"09"</f>
        <v>09</v>
      </c>
      <c r="H4043">
        <v>51</v>
      </c>
      <c r="I4043" t="s">
        <v>147</v>
      </c>
      <c r="J4043" t="s">
        <v>138</v>
      </c>
      <c r="K4043">
        <v>0</v>
      </c>
      <c r="L4043">
        <v>3</v>
      </c>
      <c r="M4043">
        <v>0</v>
      </c>
      <c r="N4043">
        <v>2</v>
      </c>
      <c r="O4043">
        <v>0</v>
      </c>
      <c r="P4043">
        <v>1</v>
      </c>
      <c r="Q4043">
        <v>0</v>
      </c>
      <c r="R4043" t="s">
        <v>127</v>
      </c>
      <c r="S4043" t="str">
        <f t="shared" si="1602"/>
        <v>15:15:45.000</v>
      </c>
      <c r="T4043" t="str">
        <f t="shared" si="1602"/>
        <v>15:15:45.000</v>
      </c>
      <c r="U4043" t="str">
        <f t="shared" si="1598"/>
        <v>A68FCB</v>
      </c>
      <c r="V4043">
        <v>0</v>
      </c>
      <c r="W4043">
        <v>0</v>
      </c>
      <c r="X4043">
        <v>2</v>
      </c>
      <c r="Y4043">
        <v>0</v>
      </c>
      <c r="AA4043">
        <v>1</v>
      </c>
      <c r="AB4043">
        <v>8</v>
      </c>
      <c r="AC4043">
        <v>3</v>
      </c>
      <c r="AD4043">
        <v>0</v>
      </c>
      <c r="AE4043">
        <v>9</v>
      </c>
      <c r="AF4043" t="s">
        <v>138</v>
      </c>
      <c r="AG4043">
        <v>0</v>
      </c>
      <c r="AH4043">
        <v>3</v>
      </c>
      <c r="AI4043">
        <v>2</v>
      </c>
      <c r="AJ4043">
        <v>0</v>
      </c>
      <c r="AK4043" t="s">
        <v>1280</v>
      </c>
      <c r="AL4043">
        <v>39.183962000000001</v>
      </c>
      <c r="AM4043" t="s">
        <v>1281</v>
      </c>
      <c r="AN4043">
        <v>-121.025026</v>
      </c>
      <c r="AO4043">
        <v>25</v>
      </c>
      <c r="AP4043">
        <v>4400</v>
      </c>
      <c r="AQ4043" t="s">
        <v>131</v>
      </c>
      <c r="AR4043">
        <v>37</v>
      </c>
      <c r="AS4043">
        <v>69</v>
      </c>
      <c r="AT4043">
        <v>192</v>
      </c>
      <c r="BB4043" t="str">
        <f t="shared" si="1599"/>
        <v>1200</v>
      </c>
      <c r="BC4043">
        <v>1</v>
      </c>
      <c r="BD4043" t="str">
        <f t="shared" si="1600"/>
        <v xml:space="preserve">N52156  </v>
      </c>
      <c r="BE4043">
        <v>1</v>
      </c>
      <c r="BG4043">
        <v>0</v>
      </c>
      <c r="BH4043">
        <v>0</v>
      </c>
      <c r="BI4043">
        <v>0</v>
      </c>
      <c r="BJ4043">
        <v>4500</v>
      </c>
      <c r="BK4043">
        <v>100</v>
      </c>
      <c r="BL4043" t="s">
        <v>188</v>
      </c>
      <c r="BM4043">
        <v>1</v>
      </c>
      <c r="BN4043">
        <v>1</v>
      </c>
      <c r="BO4043">
        <v>0</v>
      </c>
      <c r="BP4043">
        <v>0</v>
      </c>
      <c r="BS4043">
        <v>0</v>
      </c>
      <c r="BT4043">
        <v>0</v>
      </c>
      <c r="BU4043">
        <v>0</v>
      </c>
      <c r="CE4043" t="str">
        <f t="shared" si="1603"/>
        <v>15:15:45.610</v>
      </c>
      <c r="CF4043">
        <v>610076512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3</v>
      </c>
      <c r="CY4043">
        <v>7</v>
      </c>
      <c r="CZ4043" t="s">
        <v>133</v>
      </c>
      <c r="DA4043">
        <v>276</v>
      </c>
      <c r="DB4043">
        <v>0</v>
      </c>
      <c r="DC4043" t="s">
        <v>402</v>
      </c>
      <c r="DD4043" t="s">
        <v>403</v>
      </c>
      <c r="DG4043">
        <v>1628368</v>
      </c>
      <c r="DI4043">
        <v>1</v>
      </c>
      <c r="DJ4043">
        <v>0</v>
      </c>
      <c r="DK4043">
        <v>1</v>
      </c>
      <c r="DL4043">
        <v>0</v>
      </c>
      <c r="DM4043">
        <v>0</v>
      </c>
      <c r="DN4043">
        <v>0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 x14ac:dyDescent="0.3">
      <c r="A4044" t="str">
        <f>"05/01/2025 15:15:45.870"</f>
        <v>05/01/2025 15:15:45.870</v>
      </c>
      <c r="C4044" t="str">
        <f t="shared" si="1596"/>
        <v>FFDFD3C0</v>
      </c>
      <c r="D4044" t="s">
        <v>145</v>
      </c>
      <c r="E4044" t="str">
        <f>"05"</f>
        <v>05</v>
      </c>
      <c r="H4044">
        <v>47</v>
      </c>
      <c r="I4044" t="s">
        <v>146</v>
      </c>
      <c r="J4044" t="s">
        <v>138</v>
      </c>
      <c r="K4044">
        <v>0</v>
      </c>
      <c r="L4044">
        <v>3</v>
      </c>
      <c r="M4044">
        <v>0</v>
      </c>
      <c r="N4044">
        <v>2</v>
      </c>
      <c r="O4044">
        <v>0</v>
      </c>
      <c r="P4044">
        <v>1</v>
      </c>
      <c r="Q4044">
        <v>0</v>
      </c>
      <c r="R4044" t="s">
        <v>127</v>
      </c>
      <c r="S4044" t="str">
        <f t="shared" si="1602"/>
        <v>15:15:45.000</v>
      </c>
      <c r="T4044" t="str">
        <f t="shared" si="1602"/>
        <v>15:15:45.000</v>
      </c>
      <c r="U4044" t="str">
        <f t="shared" si="1598"/>
        <v>A68FCB</v>
      </c>
      <c r="V4044">
        <v>0</v>
      </c>
      <c r="W4044">
        <v>0</v>
      </c>
      <c r="X4044">
        <v>2</v>
      </c>
      <c r="Y4044">
        <v>0</v>
      </c>
      <c r="AA4044">
        <v>1</v>
      </c>
      <c r="AB4044">
        <v>8</v>
      </c>
      <c r="AC4044">
        <v>3</v>
      </c>
      <c r="AD4044">
        <v>0</v>
      </c>
      <c r="AE4044">
        <v>9</v>
      </c>
      <c r="AF4044" t="s">
        <v>138</v>
      </c>
      <c r="AG4044">
        <v>0</v>
      </c>
      <c r="AH4044">
        <v>3</v>
      </c>
      <c r="AI4044">
        <v>2</v>
      </c>
      <c r="AJ4044">
        <v>0</v>
      </c>
      <c r="AK4044" t="s">
        <v>1280</v>
      </c>
      <c r="AL4044">
        <v>39.183962000000001</v>
      </c>
      <c r="AM4044" t="s">
        <v>1281</v>
      </c>
      <c r="AN4044">
        <v>-121.025026</v>
      </c>
      <c r="AO4044">
        <v>25</v>
      </c>
      <c r="AP4044">
        <v>4400</v>
      </c>
      <c r="AQ4044" t="s">
        <v>131</v>
      </c>
      <c r="AR4044">
        <v>37</v>
      </c>
      <c r="AS4044">
        <v>69</v>
      </c>
      <c r="AT4044">
        <v>192</v>
      </c>
      <c r="BB4044" t="str">
        <f t="shared" si="1599"/>
        <v>1200</v>
      </c>
      <c r="BC4044">
        <v>1</v>
      </c>
      <c r="BD4044" t="str">
        <f t="shared" si="1600"/>
        <v xml:space="preserve">N52156  </v>
      </c>
      <c r="BE4044">
        <v>1</v>
      </c>
      <c r="BG4044">
        <v>0</v>
      </c>
      <c r="BH4044">
        <v>0</v>
      </c>
      <c r="BI4044">
        <v>0</v>
      </c>
      <c r="BJ4044">
        <v>4500</v>
      </c>
      <c r="BK4044">
        <v>100</v>
      </c>
      <c r="BL4044" t="s">
        <v>188</v>
      </c>
      <c r="BM4044">
        <v>1</v>
      </c>
      <c r="BN4044">
        <v>1</v>
      </c>
      <c r="BO4044">
        <v>0</v>
      </c>
      <c r="BP4044">
        <v>0</v>
      </c>
      <c r="BS4044">
        <v>0</v>
      </c>
      <c r="BT4044">
        <v>0</v>
      </c>
      <c r="BU4044">
        <v>0</v>
      </c>
      <c r="CE4044" t="str">
        <f t="shared" si="1603"/>
        <v>15:15:45.610</v>
      </c>
      <c r="CF4044">
        <v>610076512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3</v>
      </c>
      <c r="CY4044">
        <v>7</v>
      </c>
      <c r="CZ4044" t="s">
        <v>133</v>
      </c>
      <c r="DA4044">
        <v>276</v>
      </c>
      <c r="DB4044">
        <v>0</v>
      </c>
      <c r="DC4044" t="s">
        <v>402</v>
      </c>
      <c r="DD4044" t="s">
        <v>403</v>
      </c>
      <c r="DG4044">
        <v>1628368</v>
      </c>
      <c r="DI4044">
        <v>1</v>
      </c>
      <c r="DJ4044">
        <v>0</v>
      </c>
      <c r="DK4044">
        <v>1</v>
      </c>
      <c r="DL4044">
        <v>0</v>
      </c>
      <c r="DM4044">
        <v>0</v>
      </c>
      <c r="DN4044">
        <v>0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3">
      <c r="A4045" t="str">
        <f>"05/01/2025 15:15:45.880"</f>
        <v>05/01/2025 15:15:45.880</v>
      </c>
      <c r="C4045" t="str">
        <f t="shared" si="1596"/>
        <v>FFDFD3C0</v>
      </c>
      <c r="D4045" t="s">
        <v>136</v>
      </c>
      <c r="E4045" t="str">
        <f>"20"</f>
        <v>20</v>
      </c>
      <c r="H4045">
        <v>400</v>
      </c>
      <c r="I4045" t="s">
        <v>137</v>
      </c>
      <c r="J4045" t="s">
        <v>138</v>
      </c>
      <c r="K4045">
        <v>0</v>
      </c>
      <c r="L4045">
        <v>3</v>
      </c>
      <c r="M4045">
        <v>0</v>
      </c>
      <c r="N4045">
        <v>2</v>
      </c>
      <c r="O4045">
        <v>0</v>
      </c>
      <c r="P4045">
        <v>1</v>
      </c>
      <c r="Q4045">
        <v>0</v>
      </c>
      <c r="R4045" t="s">
        <v>127</v>
      </c>
      <c r="S4045" t="str">
        <f t="shared" si="1602"/>
        <v>15:15:45.000</v>
      </c>
      <c r="T4045" t="str">
        <f t="shared" si="1602"/>
        <v>15:15:45.000</v>
      </c>
      <c r="U4045" t="str">
        <f t="shared" si="1598"/>
        <v>A68FCB</v>
      </c>
      <c r="V4045">
        <v>0</v>
      </c>
      <c r="W4045">
        <v>0</v>
      </c>
      <c r="X4045">
        <v>2</v>
      </c>
      <c r="Y4045">
        <v>0</v>
      </c>
      <c r="AA4045">
        <v>1</v>
      </c>
      <c r="AB4045">
        <v>8</v>
      </c>
      <c r="AC4045">
        <v>3</v>
      </c>
      <c r="AD4045">
        <v>0</v>
      </c>
      <c r="AE4045">
        <v>9</v>
      </c>
      <c r="AF4045" t="s">
        <v>138</v>
      </c>
      <c r="AG4045">
        <v>0</v>
      </c>
      <c r="AH4045">
        <v>3</v>
      </c>
      <c r="AI4045">
        <v>2</v>
      </c>
      <c r="AJ4045">
        <v>0</v>
      </c>
      <c r="AK4045" t="s">
        <v>1280</v>
      </c>
      <c r="AL4045">
        <v>39.183962000000001</v>
      </c>
      <c r="AM4045" t="s">
        <v>1281</v>
      </c>
      <c r="AN4045">
        <v>-121.025026</v>
      </c>
      <c r="AO4045">
        <v>25</v>
      </c>
      <c r="AP4045">
        <v>4400</v>
      </c>
      <c r="AQ4045" t="s">
        <v>131</v>
      </c>
      <c r="AR4045">
        <v>37</v>
      </c>
      <c r="AS4045">
        <v>69</v>
      </c>
      <c r="AT4045">
        <v>192</v>
      </c>
      <c r="BB4045" t="str">
        <f t="shared" si="1599"/>
        <v>1200</v>
      </c>
      <c r="BC4045">
        <v>1</v>
      </c>
      <c r="BD4045" t="str">
        <f t="shared" si="1600"/>
        <v xml:space="preserve">N52156  </v>
      </c>
      <c r="BE4045">
        <v>1</v>
      </c>
      <c r="BG4045">
        <v>0</v>
      </c>
      <c r="BH4045">
        <v>0</v>
      </c>
      <c r="BI4045">
        <v>0</v>
      </c>
      <c r="BJ4045">
        <v>4500</v>
      </c>
      <c r="BK4045">
        <v>100</v>
      </c>
      <c r="BL4045" t="s">
        <v>188</v>
      </c>
      <c r="BM4045">
        <v>1</v>
      </c>
      <c r="BN4045">
        <v>1</v>
      </c>
      <c r="BO4045">
        <v>0</v>
      </c>
      <c r="BP4045">
        <v>0</v>
      </c>
      <c r="BS4045">
        <v>0</v>
      </c>
      <c r="BT4045">
        <v>0</v>
      </c>
      <c r="BU4045">
        <v>0</v>
      </c>
      <c r="CE4045" t="str">
        <f t="shared" si="1603"/>
        <v>15:15:45.610</v>
      </c>
      <c r="CF4045">
        <v>610076512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3</v>
      </c>
      <c r="CY4045">
        <v>7</v>
      </c>
      <c r="CZ4045" t="s">
        <v>133</v>
      </c>
      <c r="DA4045">
        <v>276</v>
      </c>
      <c r="DB4045">
        <v>0</v>
      </c>
      <c r="DC4045" t="s">
        <v>402</v>
      </c>
      <c r="DD4045" t="s">
        <v>403</v>
      </c>
      <c r="DG4045">
        <v>1628368</v>
      </c>
      <c r="DI4045">
        <v>1</v>
      </c>
      <c r="DJ4045">
        <v>0</v>
      </c>
      <c r="DK4045">
        <v>1</v>
      </c>
      <c r="DL4045">
        <v>0</v>
      </c>
      <c r="DM4045">
        <v>0</v>
      </c>
      <c r="DN4045">
        <v>0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3">
      <c r="A4046" t="str">
        <f>"05/01/2025 15:15:46.665"</f>
        <v>05/01/2025 15:15:46.665</v>
      </c>
      <c r="C4046" t="str">
        <f t="shared" si="1596"/>
        <v>FFDFD3C0</v>
      </c>
      <c r="D4046" t="s">
        <v>145</v>
      </c>
      <c r="E4046" t="str">
        <f>"09"</f>
        <v>09</v>
      </c>
      <c r="H4046">
        <v>51</v>
      </c>
      <c r="I4046" t="s">
        <v>147</v>
      </c>
      <c r="J4046" t="s">
        <v>138</v>
      </c>
      <c r="K4046">
        <v>0</v>
      </c>
      <c r="L4046">
        <v>3</v>
      </c>
      <c r="M4046">
        <v>0</v>
      </c>
      <c r="N4046">
        <v>2</v>
      </c>
      <c r="O4046">
        <v>0</v>
      </c>
      <c r="P4046">
        <v>1</v>
      </c>
      <c r="Q4046">
        <v>0</v>
      </c>
      <c r="R4046" t="s">
        <v>127</v>
      </c>
      <c r="S4046" t="str">
        <f t="shared" ref="S4046:T4051" si="1604">"15:15:46.000"</f>
        <v>15:15:46.000</v>
      </c>
      <c r="T4046" t="str">
        <f t="shared" si="1604"/>
        <v>15:15:46.000</v>
      </c>
      <c r="U4046" t="str">
        <f t="shared" si="1598"/>
        <v>A68FCB</v>
      </c>
      <c r="V4046">
        <v>0</v>
      </c>
      <c r="W4046">
        <v>0</v>
      </c>
      <c r="X4046">
        <v>2</v>
      </c>
      <c r="Y4046">
        <v>0</v>
      </c>
      <c r="AA4046">
        <v>1</v>
      </c>
      <c r="AB4046">
        <v>8</v>
      </c>
      <c r="AC4046">
        <v>3</v>
      </c>
      <c r="AD4046">
        <v>0</v>
      </c>
      <c r="AE4046">
        <v>9</v>
      </c>
      <c r="AF4046" t="s">
        <v>138</v>
      </c>
      <c r="AG4046">
        <v>0</v>
      </c>
      <c r="AH4046">
        <v>3</v>
      </c>
      <c r="AI4046">
        <v>2</v>
      </c>
      <c r="AJ4046">
        <v>0</v>
      </c>
      <c r="AK4046" t="s">
        <v>1282</v>
      </c>
      <c r="AL4046">
        <v>39.184283999999998</v>
      </c>
      <c r="AM4046" t="s">
        <v>1283</v>
      </c>
      <c r="AN4046">
        <v>-121.02479</v>
      </c>
      <c r="AO4046">
        <v>25</v>
      </c>
      <c r="AP4046">
        <v>4400</v>
      </c>
      <c r="AQ4046" t="s">
        <v>131</v>
      </c>
      <c r="AR4046">
        <v>37</v>
      </c>
      <c r="AS4046">
        <v>69</v>
      </c>
      <c r="AT4046">
        <v>192</v>
      </c>
      <c r="BB4046" t="str">
        <f t="shared" si="1599"/>
        <v>1200</v>
      </c>
      <c r="BC4046">
        <v>1</v>
      </c>
      <c r="BD4046" t="str">
        <f t="shared" si="1600"/>
        <v xml:space="preserve">N52156  </v>
      </c>
      <c r="BE4046">
        <v>1</v>
      </c>
      <c r="BG4046">
        <v>0</v>
      </c>
      <c r="BH4046">
        <v>0</v>
      </c>
      <c r="BI4046">
        <v>0</v>
      </c>
      <c r="BJ4046">
        <v>4500</v>
      </c>
      <c r="BK4046">
        <v>100</v>
      </c>
      <c r="BL4046" t="s">
        <v>188</v>
      </c>
      <c r="BM4046">
        <v>1</v>
      </c>
      <c r="BN4046">
        <v>1</v>
      </c>
      <c r="BO4046">
        <v>0</v>
      </c>
      <c r="BP4046">
        <v>0</v>
      </c>
      <c r="BS4046">
        <v>0</v>
      </c>
      <c r="BT4046">
        <v>0</v>
      </c>
      <c r="BU4046">
        <v>0</v>
      </c>
      <c r="CE4046" t="str">
        <f t="shared" ref="CE4046:CE4051" si="1605">"15:15:46.460"</f>
        <v>15:15:46.460</v>
      </c>
      <c r="CF4046">
        <v>460076164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3</v>
      </c>
      <c r="CY4046">
        <v>7</v>
      </c>
      <c r="CZ4046" t="s">
        <v>133</v>
      </c>
      <c r="DA4046">
        <v>276</v>
      </c>
      <c r="DB4046">
        <v>0</v>
      </c>
      <c r="DC4046" t="s">
        <v>402</v>
      </c>
      <c r="DD4046" t="s">
        <v>403</v>
      </c>
      <c r="DG4046">
        <v>1628372</v>
      </c>
      <c r="DI4046">
        <v>1</v>
      </c>
      <c r="DJ4046">
        <v>0</v>
      </c>
      <c r="DK4046">
        <v>0</v>
      </c>
      <c r="DL4046">
        <v>0</v>
      </c>
      <c r="DM4046">
        <v>0</v>
      </c>
      <c r="DN4046">
        <v>0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 x14ac:dyDescent="0.3">
      <c r="A4047" t="str">
        <f>"05/01/2025 15:15:46.671"</f>
        <v>05/01/2025 15:15:46.671</v>
      </c>
      <c r="C4047" t="str">
        <f t="shared" si="1596"/>
        <v>FFDFD3C0</v>
      </c>
      <c r="D4047" t="s">
        <v>145</v>
      </c>
      <c r="E4047" t="str">
        <f>"05"</f>
        <v>05</v>
      </c>
      <c r="H4047">
        <v>47</v>
      </c>
      <c r="I4047" t="s">
        <v>146</v>
      </c>
      <c r="J4047" t="s">
        <v>138</v>
      </c>
      <c r="K4047">
        <v>0</v>
      </c>
      <c r="L4047">
        <v>3</v>
      </c>
      <c r="M4047">
        <v>0</v>
      </c>
      <c r="N4047">
        <v>2</v>
      </c>
      <c r="O4047">
        <v>0</v>
      </c>
      <c r="P4047">
        <v>1</v>
      </c>
      <c r="Q4047">
        <v>0</v>
      </c>
      <c r="R4047" t="s">
        <v>127</v>
      </c>
      <c r="S4047" t="str">
        <f t="shared" si="1604"/>
        <v>15:15:46.000</v>
      </c>
      <c r="T4047" t="str">
        <f t="shared" si="1604"/>
        <v>15:15:46.000</v>
      </c>
      <c r="U4047" t="str">
        <f t="shared" si="1598"/>
        <v>A68FCB</v>
      </c>
      <c r="V4047">
        <v>0</v>
      </c>
      <c r="W4047">
        <v>0</v>
      </c>
      <c r="X4047">
        <v>2</v>
      </c>
      <c r="Y4047">
        <v>0</v>
      </c>
      <c r="AA4047">
        <v>1</v>
      </c>
      <c r="AB4047">
        <v>8</v>
      </c>
      <c r="AC4047">
        <v>3</v>
      </c>
      <c r="AD4047">
        <v>0</v>
      </c>
      <c r="AE4047">
        <v>9</v>
      </c>
      <c r="AF4047" t="s">
        <v>138</v>
      </c>
      <c r="AG4047">
        <v>0</v>
      </c>
      <c r="AH4047">
        <v>3</v>
      </c>
      <c r="AI4047">
        <v>2</v>
      </c>
      <c r="AJ4047">
        <v>0</v>
      </c>
      <c r="AK4047" t="s">
        <v>1282</v>
      </c>
      <c r="AL4047">
        <v>39.184283999999998</v>
      </c>
      <c r="AM4047" t="s">
        <v>1283</v>
      </c>
      <c r="AN4047">
        <v>-121.02479</v>
      </c>
      <c r="AO4047">
        <v>25</v>
      </c>
      <c r="AP4047">
        <v>4400</v>
      </c>
      <c r="AQ4047" t="s">
        <v>131</v>
      </c>
      <c r="AR4047">
        <v>37</v>
      </c>
      <c r="AS4047">
        <v>69</v>
      </c>
      <c r="AT4047">
        <v>192</v>
      </c>
      <c r="BB4047" t="str">
        <f t="shared" si="1599"/>
        <v>1200</v>
      </c>
      <c r="BC4047">
        <v>1</v>
      </c>
      <c r="BD4047" t="str">
        <f t="shared" si="1600"/>
        <v xml:space="preserve">N52156  </v>
      </c>
      <c r="BE4047">
        <v>1</v>
      </c>
      <c r="BG4047">
        <v>0</v>
      </c>
      <c r="BH4047">
        <v>0</v>
      </c>
      <c r="BI4047">
        <v>0</v>
      </c>
      <c r="BJ4047">
        <v>4500</v>
      </c>
      <c r="BK4047">
        <v>100</v>
      </c>
      <c r="BL4047" t="s">
        <v>188</v>
      </c>
      <c r="BM4047">
        <v>1</v>
      </c>
      <c r="BN4047">
        <v>1</v>
      </c>
      <c r="BO4047">
        <v>0</v>
      </c>
      <c r="BP4047">
        <v>0</v>
      </c>
      <c r="BS4047">
        <v>0</v>
      </c>
      <c r="BT4047">
        <v>0</v>
      </c>
      <c r="BU4047">
        <v>0</v>
      </c>
      <c r="CE4047" t="str">
        <f t="shared" si="1605"/>
        <v>15:15:46.460</v>
      </c>
      <c r="CF4047">
        <v>460076164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3</v>
      </c>
      <c r="CY4047">
        <v>7</v>
      </c>
      <c r="CZ4047" t="s">
        <v>133</v>
      </c>
      <c r="DA4047">
        <v>276</v>
      </c>
      <c r="DB4047">
        <v>0</v>
      </c>
      <c r="DC4047" t="s">
        <v>402</v>
      </c>
      <c r="DD4047" t="s">
        <v>403</v>
      </c>
      <c r="DG4047">
        <v>1628372</v>
      </c>
      <c r="DI4047">
        <v>1</v>
      </c>
      <c r="DJ4047">
        <v>0</v>
      </c>
      <c r="DK4047">
        <v>1</v>
      </c>
      <c r="DL4047">
        <v>0</v>
      </c>
      <c r="DM4047">
        <v>0</v>
      </c>
      <c r="DN4047">
        <v>0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 x14ac:dyDescent="0.3">
      <c r="A4048" t="str">
        <f>"05/01/2025 15:15:46.682"</f>
        <v>05/01/2025 15:15:46.682</v>
      </c>
      <c r="C4048" t="str">
        <f t="shared" si="1596"/>
        <v>FFDFD3C0</v>
      </c>
      <c r="D4048" t="s">
        <v>136</v>
      </c>
      <c r="E4048" t="str">
        <f>"20"</f>
        <v>20</v>
      </c>
      <c r="H4048">
        <v>400</v>
      </c>
      <c r="I4048" t="s">
        <v>137</v>
      </c>
      <c r="J4048" t="s">
        <v>138</v>
      </c>
      <c r="K4048">
        <v>0</v>
      </c>
      <c r="L4048">
        <v>3</v>
      </c>
      <c r="M4048">
        <v>0</v>
      </c>
      <c r="N4048">
        <v>2</v>
      </c>
      <c r="O4048">
        <v>0</v>
      </c>
      <c r="P4048">
        <v>1</v>
      </c>
      <c r="Q4048">
        <v>0</v>
      </c>
      <c r="R4048" t="s">
        <v>127</v>
      </c>
      <c r="S4048" t="str">
        <f t="shared" si="1604"/>
        <v>15:15:46.000</v>
      </c>
      <c r="T4048" t="str">
        <f t="shared" si="1604"/>
        <v>15:15:46.000</v>
      </c>
      <c r="U4048" t="str">
        <f t="shared" si="1598"/>
        <v>A68FCB</v>
      </c>
      <c r="V4048">
        <v>0</v>
      </c>
      <c r="W4048">
        <v>0</v>
      </c>
      <c r="X4048">
        <v>2</v>
      </c>
      <c r="Y4048">
        <v>0</v>
      </c>
      <c r="AA4048">
        <v>1</v>
      </c>
      <c r="AB4048">
        <v>8</v>
      </c>
      <c r="AC4048">
        <v>3</v>
      </c>
      <c r="AD4048">
        <v>0</v>
      </c>
      <c r="AE4048">
        <v>9</v>
      </c>
      <c r="AF4048" t="s">
        <v>138</v>
      </c>
      <c r="AG4048">
        <v>0</v>
      </c>
      <c r="AH4048">
        <v>3</v>
      </c>
      <c r="AI4048">
        <v>2</v>
      </c>
      <c r="AJ4048">
        <v>0</v>
      </c>
      <c r="AK4048" t="s">
        <v>1282</v>
      </c>
      <c r="AL4048">
        <v>39.184283999999998</v>
      </c>
      <c r="AM4048" t="s">
        <v>1283</v>
      </c>
      <c r="AN4048">
        <v>-121.02479</v>
      </c>
      <c r="AO4048">
        <v>25</v>
      </c>
      <c r="AP4048">
        <v>4400</v>
      </c>
      <c r="AQ4048" t="s">
        <v>131</v>
      </c>
      <c r="AR4048">
        <v>37</v>
      </c>
      <c r="AS4048">
        <v>69</v>
      </c>
      <c r="AT4048">
        <v>192</v>
      </c>
      <c r="BB4048" t="str">
        <f t="shared" si="1599"/>
        <v>1200</v>
      </c>
      <c r="BC4048">
        <v>1</v>
      </c>
      <c r="BD4048" t="str">
        <f t="shared" si="1600"/>
        <v xml:space="preserve">N52156  </v>
      </c>
      <c r="BE4048">
        <v>1</v>
      </c>
      <c r="BG4048">
        <v>0</v>
      </c>
      <c r="BH4048">
        <v>0</v>
      </c>
      <c r="BI4048">
        <v>0</v>
      </c>
      <c r="BJ4048">
        <v>4500</v>
      </c>
      <c r="BK4048">
        <v>100</v>
      </c>
      <c r="BL4048" t="s">
        <v>188</v>
      </c>
      <c r="BM4048">
        <v>1</v>
      </c>
      <c r="BN4048">
        <v>1</v>
      </c>
      <c r="BO4048">
        <v>0</v>
      </c>
      <c r="BP4048">
        <v>0</v>
      </c>
      <c r="BS4048">
        <v>0</v>
      </c>
      <c r="BT4048">
        <v>0</v>
      </c>
      <c r="BU4048">
        <v>0</v>
      </c>
      <c r="CE4048" t="str">
        <f t="shared" si="1605"/>
        <v>15:15:46.460</v>
      </c>
      <c r="CF4048">
        <v>460076164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3</v>
      </c>
      <c r="CY4048">
        <v>7</v>
      </c>
      <c r="CZ4048" t="s">
        <v>133</v>
      </c>
      <c r="DA4048">
        <v>276</v>
      </c>
      <c r="DB4048">
        <v>0</v>
      </c>
      <c r="DC4048" t="s">
        <v>402</v>
      </c>
      <c r="DD4048" t="s">
        <v>403</v>
      </c>
      <c r="DG4048">
        <v>1628372</v>
      </c>
      <c r="DI4048">
        <v>1</v>
      </c>
      <c r="DJ4048">
        <v>0</v>
      </c>
      <c r="DK4048">
        <v>1</v>
      </c>
      <c r="DL4048">
        <v>0</v>
      </c>
      <c r="DM4048">
        <v>0</v>
      </c>
      <c r="DN4048">
        <v>0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 x14ac:dyDescent="0.3">
      <c r="A4049" t="str">
        <f>"05/01/2025 15:15:46.701"</f>
        <v>05/01/2025 15:15:46.701</v>
      </c>
      <c r="C4049" t="str">
        <f t="shared" si="1596"/>
        <v>FFDFD3C0</v>
      </c>
      <c r="D4049" t="s">
        <v>143</v>
      </c>
      <c r="E4049" t="str">
        <f>"05"</f>
        <v>05</v>
      </c>
      <c r="H4049">
        <v>172</v>
      </c>
      <c r="I4049" t="s">
        <v>141</v>
      </c>
      <c r="J4049" t="s">
        <v>144</v>
      </c>
      <c r="K4049">
        <v>0</v>
      </c>
      <c r="L4049">
        <v>3</v>
      </c>
      <c r="M4049">
        <v>0</v>
      </c>
      <c r="N4049">
        <v>2</v>
      </c>
      <c r="O4049">
        <v>0</v>
      </c>
      <c r="P4049">
        <v>1</v>
      </c>
      <c r="Q4049">
        <v>0</v>
      </c>
      <c r="R4049" t="s">
        <v>127</v>
      </c>
      <c r="S4049" t="str">
        <f t="shared" si="1604"/>
        <v>15:15:46.000</v>
      </c>
      <c r="T4049" t="str">
        <f t="shared" si="1604"/>
        <v>15:15:46.000</v>
      </c>
      <c r="U4049" t="str">
        <f t="shared" si="1598"/>
        <v>A68FCB</v>
      </c>
      <c r="V4049">
        <v>0</v>
      </c>
      <c r="W4049">
        <v>0</v>
      </c>
      <c r="X4049">
        <v>2</v>
      </c>
      <c r="Y4049">
        <v>0</v>
      </c>
      <c r="AA4049">
        <v>1</v>
      </c>
      <c r="AB4049">
        <v>8</v>
      </c>
      <c r="AC4049">
        <v>3</v>
      </c>
      <c r="AD4049">
        <v>0</v>
      </c>
      <c r="AE4049">
        <v>9</v>
      </c>
      <c r="AF4049" t="s">
        <v>138</v>
      </c>
      <c r="AG4049">
        <v>0</v>
      </c>
      <c r="AH4049">
        <v>3</v>
      </c>
      <c r="AI4049">
        <v>2</v>
      </c>
      <c r="AJ4049">
        <v>0</v>
      </c>
      <c r="AK4049" t="s">
        <v>1282</v>
      </c>
      <c r="AL4049">
        <v>39.184283999999998</v>
      </c>
      <c r="AM4049" t="s">
        <v>1283</v>
      </c>
      <c r="AN4049">
        <v>-121.02479</v>
      </c>
      <c r="AO4049">
        <v>25</v>
      </c>
      <c r="AP4049">
        <v>4400</v>
      </c>
      <c r="AQ4049" t="s">
        <v>131</v>
      </c>
      <c r="AR4049">
        <v>37</v>
      </c>
      <c r="AS4049">
        <v>69</v>
      </c>
      <c r="AT4049">
        <v>192</v>
      </c>
      <c r="BB4049" t="str">
        <f t="shared" si="1599"/>
        <v>1200</v>
      </c>
      <c r="BC4049">
        <v>1</v>
      </c>
      <c r="BD4049" t="str">
        <f t="shared" si="1600"/>
        <v xml:space="preserve">N52156  </v>
      </c>
      <c r="BE4049">
        <v>1</v>
      </c>
      <c r="BG4049">
        <v>0</v>
      </c>
      <c r="BH4049">
        <v>0</v>
      </c>
      <c r="BI4049">
        <v>0</v>
      </c>
      <c r="BJ4049">
        <v>4500</v>
      </c>
      <c r="BK4049">
        <v>100</v>
      </c>
      <c r="BL4049" t="s">
        <v>188</v>
      </c>
      <c r="BM4049">
        <v>1</v>
      </c>
      <c r="BN4049">
        <v>1</v>
      </c>
      <c r="BO4049">
        <v>0</v>
      </c>
      <c r="BP4049">
        <v>0</v>
      </c>
      <c r="BS4049">
        <v>0</v>
      </c>
      <c r="BT4049">
        <v>0</v>
      </c>
      <c r="BU4049">
        <v>0</v>
      </c>
      <c r="CE4049" t="str">
        <f t="shared" si="1605"/>
        <v>15:15:46.460</v>
      </c>
      <c r="CF4049">
        <v>460076164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3</v>
      </c>
      <c r="CY4049">
        <v>7</v>
      </c>
      <c r="CZ4049" t="s">
        <v>133</v>
      </c>
      <c r="DA4049">
        <v>276</v>
      </c>
      <c r="DB4049">
        <v>0</v>
      </c>
      <c r="DC4049" t="s">
        <v>402</v>
      </c>
      <c r="DD4049" t="s">
        <v>403</v>
      </c>
      <c r="DG4049">
        <v>1628372</v>
      </c>
      <c r="DI4049">
        <v>1</v>
      </c>
      <c r="DJ4049">
        <v>0</v>
      </c>
      <c r="DK4049">
        <v>1</v>
      </c>
      <c r="DL4049">
        <v>0</v>
      </c>
      <c r="DM4049">
        <v>0</v>
      </c>
      <c r="DN4049">
        <v>0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 x14ac:dyDescent="0.3">
      <c r="A4050" t="str">
        <f>"05/01/2025 15:15:46.703"</f>
        <v>05/01/2025 15:15:46.703</v>
      </c>
      <c r="C4050" t="str">
        <f t="shared" si="1596"/>
        <v>FFDFD3C0</v>
      </c>
      <c r="D4050" t="s">
        <v>140</v>
      </c>
      <c r="E4050" t="str">
        <f>"13"</f>
        <v>13</v>
      </c>
      <c r="F4050">
        <v>1019</v>
      </c>
      <c r="G4050" t="s">
        <v>141</v>
      </c>
      <c r="J4050" t="s">
        <v>142</v>
      </c>
      <c r="K4050">
        <v>0</v>
      </c>
      <c r="L4050">
        <v>3</v>
      </c>
      <c r="M4050">
        <v>0</v>
      </c>
      <c r="N4050">
        <v>2</v>
      </c>
      <c r="O4050">
        <v>0</v>
      </c>
      <c r="P4050">
        <v>1</v>
      </c>
      <c r="Q4050">
        <v>0</v>
      </c>
      <c r="R4050" t="s">
        <v>127</v>
      </c>
      <c r="S4050" t="str">
        <f t="shared" si="1604"/>
        <v>15:15:46.000</v>
      </c>
      <c r="T4050" t="str">
        <f t="shared" si="1604"/>
        <v>15:15:46.000</v>
      </c>
      <c r="U4050" t="str">
        <f t="shared" si="1598"/>
        <v>A68FCB</v>
      </c>
      <c r="V4050">
        <v>0</v>
      </c>
      <c r="W4050">
        <v>0</v>
      </c>
      <c r="X4050">
        <v>2</v>
      </c>
      <c r="Y4050">
        <v>0</v>
      </c>
      <c r="AA4050">
        <v>1</v>
      </c>
      <c r="AB4050">
        <v>8</v>
      </c>
      <c r="AC4050">
        <v>3</v>
      </c>
      <c r="AD4050">
        <v>0</v>
      </c>
      <c r="AE4050">
        <v>9</v>
      </c>
      <c r="AF4050" t="s">
        <v>138</v>
      </c>
      <c r="AG4050">
        <v>0</v>
      </c>
      <c r="AH4050">
        <v>3</v>
      </c>
      <c r="AI4050">
        <v>2</v>
      </c>
      <c r="AJ4050">
        <v>0</v>
      </c>
      <c r="AK4050" t="s">
        <v>1282</v>
      </c>
      <c r="AL4050">
        <v>39.184283999999998</v>
      </c>
      <c r="AM4050" t="s">
        <v>1283</v>
      </c>
      <c r="AN4050">
        <v>-121.02479</v>
      </c>
      <c r="AO4050">
        <v>25</v>
      </c>
      <c r="AP4050">
        <v>4400</v>
      </c>
      <c r="AQ4050" t="s">
        <v>131</v>
      </c>
      <c r="AR4050">
        <v>37</v>
      </c>
      <c r="AS4050">
        <v>69</v>
      </c>
      <c r="AT4050">
        <v>192</v>
      </c>
      <c r="BB4050" t="str">
        <f t="shared" si="1599"/>
        <v>1200</v>
      </c>
      <c r="BC4050">
        <v>1</v>
      </c>
      <c r="BD4050" t="str">
        <f t="shared" si="1600"/>
        <v xml:space="preserve">N52156  </v>
      </c>
      <c r="BE4050">
        <v>1</v>
      </c>
      <c r="BG4050">
        <v>0</v>
      </c>
      <c r="BH4050">
        <v>0</v>
      </c>
      <c r="BI4050">
        <v>0</v>
      </c>
      <c r="BJ4050">
        <v>4500</v>
      </c>
      <c r="BK4050">
        <v>100</v>
      </c>
      <c r="BL4050" t="s">
        <v>188</v>
      </c>
      <c r="BM4050">
        <v>1</v>
      </c>
      <c r="BN4050">
        <v>1</v>
      </c>
      <c r="BO4050">
        <v>0</v>
      </c>
      <c r="BP4050">
        <v>0</v>
      </c>
      <c r="BS4050">
        <v>0</v>
      </c>
      <c r="BT4050">
        <v>0</v>
      </c>
      <c r="BU4050">
        <v>0</v>
      </c>
      <c r="CE4050" t="str">
        <f t="shared" si="1605"/>
        <v>15:15:46.460</v>
      </c>
      <c r="CF4050">
        <v>460076164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3</v>
      </c>
      <c r="CY4050">
        <v>7</v>
      </c>
      <c r="CZ4050" t="s">
        <v>133</v>
      </c>
      <c r="DA4050">
        <v>276</v>
      </c>
      <c r="DB4050">
        <v>0</v>
      </c>
      <c r="DC4050" t="s">
        <v>402</v>
      </c>
      <c r="DD4050" t="s">
        <v>403</v>
      </c>
      <c r="DG4050">
        <v>1628372</v>
      </c>
      <c r="DI4050">
        <v>1</v>
      </c>
      <c r="DJ4050">
        <v>0</v>
      </c>
      <c r="DK4050">
        <v>1</v>
      </c>
      <c r="DL4050">
        <v>0</v>
      </c>
      <c r="DM4050">
        <v>0</v>
      </c>
      <c r="DN4050">
        <v>0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 x14ac:dyDescent="0.3">
      <c r="A4051" t="str">
        <f>"05/01/2025 15:15:46.707"</f>
        <v>05/01/2025 15:15:46.707</v>
      </c>
      <c r="C4051" t="str">
        <f t="shared" si="1596"/>
        <v>FFDFD3C0</v>
      </c>
      <c r="D4051" t="s">
        <v>124</v>
      </c>
      <c r="E4051" t="str">
        <f>"06"</f>
        <v>06</v>
      </c>
      <c r="F4051">
        <v>2006</v>
      </c>
      <c r="G4051" t="s">
        <v>125</v>
      </c>
      <c r="J4051" t="s">
        <v>126</v>
      </c>
      <c r="K4051">
        <v>0</v>
      </c>
      <c r="L4051">
        <v>3</v>
      </c>
      <c r="M4051">
        <v>0</v>
      </c>
      <c r="N4051">
        <v>2</v>
      </c>
      <c r="O4051">
        <v>0</v>
      </c>
      <c r="P4051">
        <v>1</v>
      </c>
      <c r="Q4051">
        <v>0</v>
      </c>
      <c r="R4051" t="s">
        <v>127</v>
      </c>
      <c r="S4051" t="str">
        <f t="shared" si="1604"/>
        <v>15:15:46.000</v>
      </c>
      <c r="T4051" t="str">
        <f t="shared" si="1604"/>
        <v>15:15:46.000</v>
      </c>
      <c r="U4051" t="str">
        <f t="shared" si="1598"/>
        <v>A68FCB</v>
      </c>
      <c r="V4051">
        <v>0</v>
      </c>
      <c r="W4051">
        <v>0</v>
      </c>
      <c r="X4051">
        <v>2</v>
      </c>
      <c r="Y4051">
        <v>0</v>
      </c>
      <c r="AA4051">
        <v>1</v>
      </c>
      <c r="AB4051">
        <v>8</v>
      </c>
      <c r="AC4051">
        <v>3</v>
      </c>
      <c r="AD4051">
        <v>0</v>
      </c>
      <c r="AE4051">
        <v>9</v>
      </c>
      <c r="AF4051" t="s">
        <v>138</v>
      </c>
      <c r="AG4051">
        <v>0</v>
      </c>
      <c r="AH4051">
        <v>3</v>
      </c>
      <c r="AI4051">
        <v>2</v>
      </c>
      <c r="AJ4051">
        <v>0</v>
      </c>
      <c r="AK4051" t="s">
        <v>1282</v>
      </c>
      <c r="AL4051">
        <v>39.184283999999998</v>
      </c>
      <c r="AM4051" t="s">
        <v>1283</v>
      </c>
      <c r="AN4051">
        <v>-121.02479</v>
      </c>
      <c r="AO4051">
        <v>25</v>
      </c>
      <c r="AP4051">
        <v>4400</v>
      </c>
      <c r="AQ4051" t="s">
        <v>131</v>
      </c>
      <c r="AR4051">
        <v>37</v>
      </c>
      <c r="AS4051">
        <v>69</v>
      </c>
      <c r="AT4051">
        <v>192</v>
      </c>
      <c r="BB4051" t="str">
        <f t="shared" si="1599"/>
        <v>1200</v>
      </c>
      <c r="BC4051">
        <v>1</v>
      </c>
      <c r="BD4051" t="str">
        <f t="shared" si="1600"/>
        <v xml:space="preserve">N52156  </v>
      </c>
      <c r="BE4051">
        <v>1</v>
      </c>
      <c r="BG4051">
        <v>0</v>
      </c>
      <c r="BH4051">
        <v>0</v>
      </c>
      <c r="BI4051">
        <v>0</v>
      </c>
      <c r="BJ4051">
        <v>4500</v>
      </c>
      <c r="BK4051">
        <v>100</v>
      </c>
      <c r="BL4051" t="s">
        <v>188</v>
      </c>
      <c r="BM4051">
        <v>1</v>
      </c>
      <c r="BN4051">
        <v>1</v>
      </c>
      <c r="BO4051">
        <v>0</v>
      </c>
      <c r="BP4051">
        <v>0</v>
      </c>
      <c r="BS4051">
        <v>0</v>
      </c>
      <c r="BT4051">
        <v>0</v>
      </c>
      <c r="BU4051">
        <v>0</v>
      </c>
      <c r="CE4051" t="str">
        <f t="shared" si="1605"/>
        <v>15:15:46.460</v>
      </c>
      <c r="CF4051">
        <v>460076164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3</v>
      </c>
      <c r="CY4051">
        <v>7</v>
      </c>
      <c r="CZ4051" t="s">
        <v>133</v>
      </c>
      <c r="DA4051">
        <v>276</v>
      </c>
      <c r="DB4051">
        <v>0</v>
      </c>
      <c r="DC4051" t="s">
        <v>402</v>
      </c>
      <c r="DD4051" t="s">
        <v>403</v>
      </c>
      <c r="DG4051">
        <v>1628372</v>
      </c>
      <c r="DI4051">
        <v>1</v>
      </c>
      <c r="DJ4051">
        <v>0</v>
      </c>
      <c r="DK4051">
        <v>1</v>
      </c>
      <c r="DL4051">
        <v>0</v>
      </c>
      <c r="DM4051">
        <v>0</v>
      </c>
      <c r="DN4051">
        <v>0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 x14ac:dyDescent="0.3">
      <c r="A4052" t="str">
        <f>"05/01/2025 15:15:47.502"</f>
        <v>05/01/2025 15:15:47.502</v>
      </c>
      <c r="C4052" t="str">
        <f t="shared" si="1596"/>
        <v>FFDFD3C0</v>
      </c>
      <c r="D4052" t="s">
        <v>143</v>
      </c>
      <c r="E4052" t="str">
        <f>"05"</f>
        <v>05</v>
      </c>
      <c r="H4052">
        <v>172</v>
      </c>
      <c r="I4052" t="s">
        <v>141</v>
      </c>
      <c r="J4052" t="s">
        <v>144</v>
      </c>
      <c r="K4052">
        <v>0</v>
      </c>
      <c r="L4052">
        <v>3</v>
      </c>
      <c r="M4052">
        <v>0</v>
      </c>
      <c r="N4052">
        <v>2</v>
      </c>
      <c r="O4052">
        <v>0</v>
      </c>
      <c r="P4052">
        <v>1</v>
      </c>
      <c r="Q4052">
        <v>0</v>
      </c>
      <c r="R4052" t="s">
        <v>127</v>
      </c>
      <c r="S4052" t="str">
        <f t="shared" ref="S4052:T4057" si="1606">"15:15:47.000"</f>
        <v>15:15:47.000</v>
      </c>
      <c r="T4052" t="str">
        <f t="shared" si="1606"/>
        <v>15:15:47.000</v>
      </c>
      <c r="U4052" t="str">
        <f t="shared" si="1598"/>
        <v>A68FCB</v>
      </c>
      <c r="V4052">
        <v>0</v>
      </c>
      <c r="W4052">
        <v>0</v>
      </c>
      <c r="X4052">
        <v>2</v>
      </c>
      <c r="Y4052">
        <v>0</v>
      </c>
      <c r="AA4052">
        <v>1</v>
      </c>
      <c r="AB4052">
        <v>8</v>
      </c>
      <c r="AC4052">
        <v>3</v>
      </c>
      <c r="AD4052">
        <v>0</v>
      </c>
      <c r="AE4052">
        <v>9</v>
      </c>
      <c r="AF4052" t="s">
        <v>138</v>
      </c>
      <c r="AG4052">
        <v>0</v>
      </c>
      <c r="AH4052">
        <v>3</v>
      </c>
      <c r="AI4052">
        <v>2</v>
      </c>
      <c r="AJ4052">
        <v>0</v>
      </c>
      <c r="AK4052" t="s">
        <v>1284</v>
      </c>
      <c r="AL4052">
        <v>39.184606000000002</v>
      </c>
      <c r="AM4052" t="s">
        <v>1285</v>
      </c>
      <c r="AN4052">
        <v>-121.024575</v>
      </c>
      <c r="AO4052">
        <v>25</v>
      </c>
      <c r="AP4052">
        <v>4500</v>
      </c>
      <c r="AQ4052" t="s">
        <v>131</v>
      </c>
      <c r="AR4052">
        <v>37</v>
      </c>
      <c r="AS4052">
        <v>69</v>
      </c>
      <c r="AT4052">
        <v>128</v>
      </c>
      <c r="BB4052" t="str">
        <f t="shared" si="1599"/>
        <v>1200</v>
      </c>
      <c r="BC4052">
        <v>1</v>
      </c>
      <c r="BD4052" t="str">
        <f t="shared" si="1600"/>
        <v xml:space="preserve">N52156  </v>
      </c>
      <c r="BE4052">
        <v>1</v>
      </c>
      <c r="BG4052">
        <v>0</v>
      </c>
      <c r="BH4052">
        <v>0</v>
      </c>
      <c r="BI4052">
        <v>0</v>
      </c>
      <c r="BJ4052">
        <v>4500</v>
      </c>
      <c r="BK4052">
        <v>0</v>
      </c>
      <c r="BL4052" t="s">
        <v>188</v>
      </c>
      <c r="BM4052">
        <v>1</v>
      </c>
      <c r="BN4052">
        <v>1</v>
      </c>
      <c r="BO4052">
        <v>0</v>
      </c>
      <c r="BP4052">
        <v>0</v>
      </c>
      <c r="BS4052">
        <v>0</v>
      </c>
      <c r="BT4052">
        <v>0</v>
      </c>
      <c r="BU4052">
        <v>0</v>
      </c>
      <c r="CE4052" t="str">
        <f t="shared" ref="CE4052:CE4057" si="1607">"15:15:47.270"</f>
        <v>15:15:47.270</v>
      </c>
      <c r="CF4052">
        <v>269575763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3</v>
      </c>
      <c r="CY4052">
        <v>7</v>
      </c>
      <c r="CZ4052" t="s">
        <v>133</v>
      </c>
      <c r="DA4052">
        <v>276</v>
      </c>
      <c r="DB4052">
        <v>0</v>
      </c>
      <c r="DC4052" t="s">
        <v>402</v>
      </c>
      <c r="DD4052" t="s">
        <v>403</v>
      </c>
      <c r="DG4052">
        <v>1628375</v>
      </c>
      <c r="DI4052">
        <v>1</v>
      </c>
      <c r="DJ4052">
        <v>0</v>
      </c>
      <c r="DK4052">
        <v>0</v>
      </c>
      <c r="DL4052">
        <v>0</v>
      </c>
      <c r="DM4052">
        <v>0</v>
      </c>
      <c r="DN4052">
        <v>0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 x14ac:dyDescent="0.3">
      <c r="A4053" t="str">
        <f>"05/01/2025 15:15:47.505"</f>
        <v>05/01/2025 15:15:47.505</v>
      </c>
      <c r="C4053" t="str">
        <f t="shared" si="1596"/>
        <v>FFDFD3C0</v>
      </c>
      <c r="D4053" t="s">
        <v>140</v>
      </c>
      <c r="E4053" t="str">
        <f>"13"</f>
        <v>13</v>
      </c>
      <c r="F4053">
        <v>1019</v>
      </c>
      <c r="G4053" t="s">
        <v>141</v>
      </c>
      <c r="J4053" t="s">
        <v>142</v>
      </c>
      <c r="K4053">
        <v>0</v>
      </c>
      <c r="L4053">
        <v>3</v>
      </c>
      <c r="M4053">
        <v>0</v>
      </c>
      <c r="N4053">
        <v>2</v>
      </c>
      <c r="O4053">
        <v>0</v>
      </c>
      <c r="P4053">
        <v>1</v>
      </c>
      <c r="Q4053">
        <v>0</v>
      </c>
      <c r="R4053" t="s">
        <v>127</v>
      </c>
      <c r="S4053" t="str">
        <f t="shared" si="1606"/>
        <v>15:15:47.000</v>
      </c>
      <c r="T4053" t="str">
        <f t="shared" si="1606"/>
        <v>15:15:47.000</v>
      </c>
      <c r="U4053" t="str">
        <f t="shared" si="1598"/>
        <v>A68FCB</v>
      </c>
      <c r="V4053">
        <v>0</v>
      </c>
      <c r="W4053">
        <v>0</v>
      </c>
      <c r="X4053">
        <v>2</v>
      </c>
      <c r="Y4053">
        <v>0</v>
      </c>
      <c r="AA4053">
        <v>1</v>
      </c>
      <c r="AB4053">
        <v>8</v>
      </c>
      <c r="AC4053">
        <v>3</v>
      </c>
      <c r="AD4053">
        <v>0</v>
      </c>
      <c r="AE4053">
        <v>9</v>
      </c>
      <c r="AF4053" t="s">
        <v>138</v>
      </c>
      <c r="AG4053">
        <v>0</v>
      </c>
      <c r="AH4053">
        <v>3</v>
      </c>
      <c r="AI4053">
        <v>2</v>
      </c>
      <c r="AJ4053">
        <v>0</v>
      </c>
      <c r="AK4053" t="s">
        <v>1284</v>
      </c>
      <c r="AL4053">
        <v>39.184606000000002</v>
      </c>
      <c r="AM4053" t="s">
        <v>1285</v>
      </c>
      <c r="AN4053">
        <v>-121.024575</v>
      </c>
      <c r="AO4053">
        <v>25</v>
      </c>
      <c r="AP4053">
        <v>4500</v>
      </c>
      <c r="AQ4053" t="s">
        <v>131</v>
      </c>
      <c r="AR4053">
        <v>37</v>
      </c>
      <c r="AS4053">
        <v>69</v>
      </c>
      <c r="AT4053">
        <v>128</v>
      </c>
      <c r="BB4053" t="str">
        <f t="shared" si="1599"/>
        <v>1200</v>
      </c>
      <c r="BC4053">
        <v>1</v>
      </c>
      <c r="BD4053" t="str">
        <f t="shared" si="1600"/>
        <v xml:space="preserve">N52156  </v>
      </c>
      <c r="BE4053">
        <v>1</v>
      </c>
      <c r="BG4053">
        <v>0</v>
      </c>
      <c r="BH4053">
        <v>0</v>
      </c>
      <c r="BI4053">
        <v>0</v>
      </c>
      <c r="BJ4053">
        <v>4500</v>
      </c>
      <c r="BK4053">
        <v>0</v>
      </c>
      <c r="BL4053" t="s">
        <v>188</v>
      </c>
      <c r="BM4053">
        <v>1</v>
      </c>
      <c r="BN4053">
        <v>1</v>
      </c>
      <c r="BO4053">
        <v>0</v>
      </c>
      <c r="BP4053">
        <v>0</v>
      </c>
      <c r="BS4053">
        <v>0</v>
      </c>
      <c r="BT4053">
        <v>0</v>
      </c>
      <c r="BU4053">
        <v>0</v>
      </c>
      <c r="CE4053" t="str">
        <f t="shared" si="1607"/>
        <v>15:15:47.270</v>
      </c>
      <c r="CF4053">
        <v>269575763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3</v>
      </c>
      <c r="CY4053">
        <v>7</v>
      </c>
      <c r="CZ4053" t="s">
        <v>133</v>
      </c>
      <c r="DA4053">
        <v>276</v>
      </c>
      <c r="DB4053">
        <v>0</v>
      </c>
      <c r="DC4053" t="s">
        <v>402</v>
      </c>
      <c r="DD4053" t="s">
        <v>403</v>
      </c>
      <c r="DG4053">
        <v>1628375</v>
      </c>
      <c r="DI4053">
        <v>1</v>
      </c>
      <c r="DJ4053">
        <v>0</v>
      </c>
      <c r="DK4053">
        <v>1</v>
      </c>
      <c r="DL4053">
        <v>0</v>
      </c>
      <c r="DM4053">
        <v>0</v>
      </c>
      <c r="DN4053">
        <v>0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 x14ac:dyDescent="0.3">
      <c r="A4054" t="str">
        <f>"05/01/2025 15:15:47.509"</f>
        <v>05/01/2025 15:15:47.509</v>
      </c>
      <c r="C4054" t="str">
        <f t="shared" si="1596"/>
        <v>FFDFD3C0</v>
      </c>
      <c r="D4054" t="s">
        <v>124</v>
      </c>
      <c r="E4054" t="str">
        <f>"06"</f>
        <v>06</v>
      </c>
      <c r="F4054">
        <v>2006</v>
      </c>
      <c r="G4054" t="s">
        <v>125</v>
      </c>
      <c r="J4054" t="s">
        <v>126</v>
      </c>
      <c r="K4054">
        <v>0</v>
      </c>
      <c r="L4054">
        <v>3</v>
      </c>
      <c r="M4054">
        <v>0</v>
      </c>
      <c r="N4054">
        <v>2</v>
      </c>
      <c r="O4054">
        <v>0</v>
      </c>
      <c r="P4054">
        <v>1</v>
      </c>
      <c r="Q4054">
        <v>0</v>
      </c>
      <c r="R4054" t="s">
        <v>127</v>
      </c>
      <c r="S4054" t="str">
        <f t="shared" si="1606"/>
        <v>15:15:47.000</v>
      </c>
      <c r="T4054" t="str">
        <f t="shared" si="1606"/>
        <v>15:15:47.000</v>
      </c>
      <c r="U4054" t="str">
        <f t="shared" si="1598"/>
        <v>A68FCB</v>
      </c>
      <c r="V4054">
        <v>0</v>
      </c>
      <c r="W4054">
        <v>0</v>
      </c>
      <c r="X4054">
        <v>2</v>
      </c>
      <c r="Y4054">
        <v>0</v>
      </c>
      <c r="AA4054">
        <v>1</v>
      </c>
      <c r="AB4054">
        <v>8</v>
      </c>
      <c r="AC4054">
        <v>3</v>
      </c>
      <c r="AD4054">
        <v>0</v>
      </c>
      <c r="AE4054">
        <v>9</v>
      </c>
      <c r="AF4054" t="s">
        <v>138</v>
      </c>
      <c r="AG4054">
        <v>0</v>
      </c>
      <c r="AH4054">
        <v>3</v>
      </c>
      <c r="AI4054">
        <v>2</v>
      </c>
      <c r="AJ4054">
        <v>0</v>
      </c>
      <c r="AK4054" t="s">
        <v>1284</v>
      </c>
      <c r="AL4054">
        <v>39.184606000000002</v>
      </c>
      <c r="AM4054" t="s">
        <v>1285</v>
      </c>
      <c r="AN4054">
        <v>-121.024575</v>
      </c>
      <c r="AO4054">
        <v>25</v>
      </c>
      <c r="AP4054">
        <v>4500</v>
      </c>
      <c r="AQ4054" t="s">
        <v>131</v>
      </c>
      <c r="AR4054">
        <v>37</v>
      </c>
      <c r="AS4054">
        <v>69</v>
      </c>
      <c r="AT4054">
        <v>128</v>
      </c>
      <c r="BB4054" t="str">
        <f t="shared" si="1599"/>
        <v>1200</v>
      </c>
      <c r="BC4054">
        <v>1</v>
      </c>
      <c r="BD4054" t="str">
        <f t="shared" si="1600"/>
        <v xml:space="preserve">N52156  </v>
      </c>
      <c r="BE4054">
        <v>1</v>
      </c>
      <c r="BG4054">
        <v>0</v>
      </c>
      <c r="BH4054">
        <v>0</v>
      </c>
      <c r="BI4054">
        <v>0</v>
      </c>
      <c r="BJ4054">
        <v>4500</v>
      </c>
      <c r="BK4054">
        <v>0</v>
      </c>
      <c r="BL4054" t="s">
        <v>188</v>
      </c>
      <c r="BM4054">
        <v>1</v>
      </c>
      <c r="BN4054">
        <v>1</v>
      </c>
      <c r="BO4054">
        <v>0</v>
      </c>
      <c r="BP4054">
        <v>0</v>
      </c>
      <c r="BS4054">
        <v>0</v>
      </c>
      <c r="BT4054">
        <v>0</v>
      </c>
      <c r="BU4054">
        <v>0</v>
      </c>
      <c r="CE4054" t="str">
        <f t="shared" si="1607"/>
        <v>15:15:47.270</v>
      </c>
      <c r="CF4054">
        <v>269575763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3</v>
      </c>
      <c r="CY4054">
        <v>7</v>
      </c>
      <c r="CZ4054" t="s">
        <v>133</v>
      </c>
      <c r="DA4054">
        <v>276</v>
      </c>
      <c r="DB4054">
        <v>0</v>
      </c>
      <c r="DC4054" t="s">
        <v>402</v>
      </c>
      <c r="DD4054" t="s">
        <v>403</v>
      </c>
      <c r="DG4054">
        <v>1628375</v>
      </c>
      <c r="DI4054">
        <v>1</v>
      </c>
      <c r="DJ4054">
        <v>0</v>
      </c>
      <c r="DK4054">
        <v>1</v>
      </c>
      <c r="DL4054">
        <v>0</v>
      </c>
      <c r="DM4054">
        <v>0</v>
      </c>
      <c r="DN4054">
        <v>0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 x14ac:dyDescent="0.3">
      <c r="A4055" t="str">
        <f>"05/01/2025 15:15:47.516"</f>
        <v>05/01/2025 15:15:47.516</v>
      </c>
      <c r="C4055" t="str">
        <f t="shared" si="1596"/>
        <v>FFDFD3C0</v>
      </c>
      <c r="D4055" t="s">
        <v>145</v>
      </c>
      <c r="E4055" t="str">
        <f>"09"</f>
        <v>09</v>
      </c>
      <c r="H4055">
        <v>51</v>
      </c>
      <c r="I4055" t="s">
        <v>147</v>
      </c>
      <c r="J4055" t="s">
        <v>138</v>
      </c>
      <c r="K4055">
        <v>0</v>
      </c>
      <c r="L4055">
        <v>3</v>
      </c>
      <c r="M4055">
        <v>0</v>
      </c>
      <c r="N4055">
        <v>2</v>
      </c>
      <c r="O4055">
        <v>0</v>
      </c>
      <c r="P4055">
        <v>1</v>
      </c>
      <c r="Q4055">
        <v>0</v>
      </c>
      <c r="R4055" t="s">
        <v>127</v>
      </c>
      <c r="S4055" t="str">
        <f t="shared" si="1606"/>
        <v>15:15:47.000</v>
      </c>
      <c r="T4055" t="str">
        <f t="shared" si="1606"/>
        <v>15:15:47.000</v>
      </c>
      <c r="U4055" t="str">
        <f t="shared" si="1598"/>
        <v>A68FCB</v>
      </c>
      <c r="V4055">
        <v>0</v>
      </c>
      <c r="W4055">
        <v>0</v>
      </c>
      <c r="X4055">
        <v>2</v>
      </c>
      <c r="Y4055">
        <v>0</v>
      </c>
      <c r="AA4055">
        <v>1</v>
      </c>
      <c r="AB4055">
        <v>8</v>
      </c>
      <c r="AC4055">
        <v>3</v>
      </c>
      <c r="AD4055">
        <v>0</v>
      </c>
      <c r="AE4055">
        <v>9</v>
      </c>
      <c r="AF4055" t="s">
        <v>138</v>
      </c>
      <c r="AG4055">
        <v>0</v>
      </c>
      <c r="AH4055">
        <v>3</v>
      </c>
      <c r="AI4055">
        <v>2</v>
      </c>
      <c r="AJ4055">
        <v>0</v>
      </c>
      <c r="AK4055" t="s">
        <v>1284</v>
      </c>
      <c r="AL4055">
        <v>39.184606000000002</v>
      </c>
      <c r="AM4055" t="s">
        <v>1285</v>
      </c>
      <c r="AN4055">
        <v>-121.024575</v>
      </c>
      <c r="AO4055">
        <v>25</v>
      </c>
      <c r="AP4055">
        <v>4500</v>
      </c>
      <c r="AQ4055" t="s">
        <v>131</v>
      </c>
      <c r="AR4055">
        <v>37</v>
      </c>
      <c r="AS4055">
        <v>69</v>
      </c>
      <c r="AT4055">
        <v>128</v>
      </c>
      <c r="BB4055" t="str">
        <f t="shared" si="1599"/>
        <v>1200</v>
      </c>
      <c r="BC4055">
        <v>1</v>
      </c>
      <c r="BD4055" t="str">
        <f t="shared" si="1600"/>
        <v xml:space="preserve">N52156  </v>
      </c>
      <c r="BE4055">
        <v>1</v>
      </c>
      <c r="BG4055">
        <v>0</v>
      </c>
      <c r="BH4055">
        <v>0</v>
      </c>
      <c r="BI4055">
        <v>0</v>
      </c>
      <c r="BJ4055">
        <v>4500</v>
      </c>
      <c r="BK4055">
        <v>0</v>
      </c>
      <c r="BL4055" t="s">
        <v>188</v>
      </c>
      <c r="BM4055">
        <v>1</v>
      </c>
      <c r="BN4055">
        <v>1</v>
      </c>
      <c r="BO4055">
        <v>0</v>
      </c>
      <c r="BP4055">
        <v>0</v>
      </c>
      <c r="BS4055">
        <v>0</v>
      </c>
      <c r="BT4055">
        <v>0</v>
      </c>
      <c r="BU4055">
        <v>0</v>
      </c>
      <c r="CE4055" t="str">
        <f t="shared" si="1607"/>
        <v>15:15:47.270</v>
      </c>
      <c r="CF4055">
        <v>269575763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3</v>
      </c>
      <c r="CY4055">
        <v>7</v>
      </c>
      <c r="CZ4055" t="s">
        <v>133</v>
      </c>
      <c r="DA4055">
        <v>276</v>
      </c>
      <c r="DB4055">
        <v>0</v>
      </c>
      <c r="DC4055" t="s">
        <v>402</v>
      </c>
      <c r="DD4055" t="s">
        <v>403</v>
      </c>
      <c r="DG4055">
        <v>1628375</v>
      </c>
      <c r="DI4055">
        <v>1</v>
      </c>
      <c r="DJ4055">
        <v>0</v>
      </c>
      <c r="DK4055">
        <v>1</v>
      </c>
      <c r="DL4055">
        <v>0</v>
      </c>
      <c r="DM4055">
        <v>0</v>
      </c>
      <c r="DN4055">
        <v>0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 x14ac:dyDescent="0.3">
      <c r="A4056" t="str">
        <f>"05/01/2025 15:15:47.522"</f>
        <v>05/01/2025 15:15:47.522</v>
      </c>
      <c r="C4056" t="str">
        <f t="shared" si="1596"/>
        <v>FFDFD3C0</v>
      </c>
      <c r="D4056" t="s">
        <v>145</v>
      </c>
      <c r="E4056" t="str">
        <f>"05"</f>
        <v>05</v>
      </c>
      <c r="H4056">
        <v>47</v>
      </c>
      <c r="I4056" t="s">
        <v>146</v>
      </c>
      <c r="J4056" t="s">
        <v>138</v>
      </c>
      <c r="K4056">
        <v>0</v>
      </c>
      <c r="L4056">
        <v>3</v>
      </c>
      <c r="M4056">
        <v>0</v>
      </c>
      <c r="N4056">
        <v>2</v>
      </c>
      <c r="O4056">
        <v>0</v>
      </c>
      <c r="P4056">
        <v>1</v>
      </c>
      <c r="Q4056">
        <v>0</v>
      </c>
      <c r="R4056" t="s">
        <v>127</v>
      </c>
      <c r="S4056" t="str">
        <f t="shared" si="1606"/>
        <v>15:15:47.000</v>
      </c>
      <c r="T4056" t="str">
        <f t="shared" si="1606"/>
        <v>15:15:47.000</v>
      </c>
      <c r="U4056" t="str">
        <f t="shared" si="1598"/>
        <v>A68FCB</v>
      </c>
      <c r="V4056">
        <v>0</v>
      </c>
      <c r="W4056">
        <v>0</v>
      </c>
      <c r="X4056">
        <v>2</v>
      </c>
      <c r="Y4056">
        <v>0</v>
      </c>
      <c r="AA4056">
        <v>1</v>
      </c>
      <c r="AB4056">
        <v>8</v>
      </c>
      <c r="AC4056">
        <v>3</v>
      </c>
      <c r="AD4056">
        <v>0</v>
      </c>
      <c r="AE4056">
        <v>9</v>
      </c>
      <c r="AF4056" t="s">
        <v>138</v>
      </c>
      <c r="AG4056">
        <v>0</v>
      </c>
      <c r="AH4056">
        <v>3</v>
      </c>
      <c r="AI4056">
        <v>2</v>
      </c>
      <c r="AJ4056">
        <v>0</v>
      </c>
      <c r="AK4056" t="s">
        <v>1284</v>
      </c>
      <c r="AL4056">
        <v>39.184606000000002</v>
      </c>
      <c r="AM4056" t="s">
        <v>1285</v>
      </c>
      <c r="AN4056">
        <v>-121.024575</v>
      </c>
      <c r="AO4056">
        <v>25</v>
      </c>
      <c r="AP4056">
        <v>4500</v>
      </c>
      <c r="AQ4056" t="s">
        <v>131</v>
      </c>
      <c r="AR4056">
        <v>37</v>
      </c>
      <c r="AS4056">
        <v>69</v>
      </c>
      <c r="AT4056">
        <v>128</v>
      </c>
      <c r="BB4056" t="str">
        <f t="shared" si="1599"/>
        <v>1200</v>
      </c>
      <c r="BC4056">
        <v>1</v>
      </c>
      <c r="BD4056" t="str">
        <f t="shared" si="1600"/>
        <v xml:space="preserve">N52156  </v>
      </c>
      <c r="BE4056">
        <v>1</v>
      </c>
      <c r="BG4056">
        <v>0</v>
      </c>
      <c r="BH4056">
        <v>0</v>
      </c>
      <c r="BI4056">
        <v>0</v>
      </c>
      <c r="BJ4056">
        <v>4500</v>
      </c>
      <c r="BK4056">
        <v>0</v>
      </c>
      <c r="BL4056" t="s">
        <v>188</v>
      </c>
      <c r="BM4056">
        <v>1</v>
      </c>
      <c r="BN4056">
        <v>1</v>
      </c>
      <c r="BO4056">
        <v>0</v>
      </c>
      <c r="BP4056">
        <v>0</v>
      </c>
      <c r="BS4056">
        <v>0</v>
      </c>
      <c r="BT4056">
        <v>0</v>
      </c>
      <c r="BU4056">
        <v>0</v>
      </c>
      <c r="CE4056" t="str">
        <f t="shared" si="1607"/>
        <v>15:15:47.270</v>
      </c>
      <c r="CF4056">
        <v>269575763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3</v>
      </c>
      <c r="CY4056">
        <v>7</v>
      </c>
      <c r="CZ4056" t="s">
        <v>133</v>
      </c>
      <c r="DA4056">
        <v>276</v>
      </c>
      <c r="DB4056">
        <v>0</v>
      </c>
      <c r="DC4056" t="s">
        <v>402</v>
      </c>
      <c r="DD4056" t="s">
        <v>403</v>
      </c>
      <c r="DG4056">
        <v>1628375</v>
      </c>
      <c r="DI4056">
        <v>1</v>
      </c>
      <c r="DJ4056">
        <v>0</v>
      </c>
      <c r="DK4056">
        <v>1</v>
      </c>
      <c r="DL4056">
        <v>0</v>
      </c>
      <c r="DM4056">
        <v>0</v>
      </c>
      <c r="DN4056">
        <v>0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 x14ac:dyDescent="0.3">
      <c r="A4057" t="str">
        <f>"05/01/2025 15:15:47.533"</f>
        <v>05/01/2025 15:15:47.533</v>
      </c>
      <c r="C4057" t="str">
        <f t="shared" si="1596"/>
        <v>FFDFD3C0</v>
      </c>
      <c r="D4057" t="s">
        <v>136</v>
      </c>
      <c r="E4057" t="str">
        <f>"20"</f>
        <v>20</v>
      </c>
      <c r="H4057">
        <v>400</v>
      </c>
      <c r="I4057" t="s">
        <v>137</v>
      </c>
      <c r="J4057" t="s">
        <v>138</v>
      </c>
      <c r="K4057">
        <v>0</v>
      </c>
      <c r="L4057">
        <v>3</v>
      </c>
      <c r="M4057">
        <v>0</v>
      </c>
      <c r="N4057">
        <v>2</v>
      </c>
      <c r="O4057">
        <v>0</v>
      </c>
      <c r="P4057">
        <v>1</v>
      </c>
      <c r="Q4057">
        <v>0</v>
      </c>
      <c r="R4057" t="s">
        <v>127</v>
      </c>
      <c r="S4057" t="str">
        <f t="shared" si="1606"/>
        <v>15:15:47.000</v>
      </c>
      <c r="T4057" t="str">
        <f t="shared" si="1606"/>
        <v>15:15:47.000</v>
      </c>
      <c r="U4057" t="str">
        <f t="shared" si="1598"/>
        <v>A68FCB</v>
      </c>
      <c r="V4057">
        <v>0</v>
      </c>
      <c r="W4057">
        <v>0</v>
      </c>
      <c r="X4057">
        <v>2</v>
      </c>
      <c r="Y4057">
        <v>0</v>
      </c>
      <c r="AA4057">
        <v>1</v>
      </c>
      <c r="AB4057">
        <v>8</v>
      </c>
      <c r="AC4057">
        <v>3</v>
      </c>
      <c r="AD4057">
        <v>0</v>
      </c>
      <c r="AE4057">
        <v>9</v>
      </c>
      <c r="AF4057" t="s">
        <v>138</v>
      </c>
      <c r="AG4057">
        <v>0</v>
      </c>
      <c r="AH4057">
        <v>3</v>
      </c>
      <c r="AI4057">
        <v>2</v>
      </c>
      <c r="AJ4057">
        <v>0</v>
      </c>
      <c r="AK4057" t="s">
        <v>1284</v>
      </c>
      <c r="AL4057">
        <v>39.184606000000002</v>
      </c>
      <c r="AM4057" t="s">
        <v>1285</v>
      </c>
      <c r="AN4057">
        <v>-121.024575</v>
      </c>
      <c r="AO4057">
        <v>25</v>
      </c>
      <c r="AP4057">
        <v>4500</v>
      </c>
      <c r="AQ4057" t="s">
        <v>131</v>
      </c>
      <c r="AR4057">
        <v>37</v>
      </c>
      <c r="AS4057">
        <v>69</v>
      </c>
      <c r="AT4057">
        <v>128</v>
      </c>
      <c r="BB4057" t="str">
        <f t="shared" si="1599"/>
        <v>1200</v>
      </c>
      <c r="BC4057">
        <v>1</v>
      </c>
      <c r="BD4057" t="str">
        <f t="shared" si="1600"/>
        <v xml:space="preserve">N52156  </v>
      </c>
      <c r="BE4057">
        <v>1</v>
      </c>
      <c r="BG4057">
        <v>0</v>
      </c>
      <c r="BH4057">
        <v>0</v>
      </c>
      <c r="BI4057">
        <v>0</v>
      </c>
      <c r="BJ4057">
        <v>4500</v>
      </c>
      <c r="BK4057">
        <v>0</v>
      </c>
      <c r="BL4057" t="s">
        <v>188</v>
      </c>
      <c r="BM4057">
        <v>1</v>
      </c>
      <c r="BN4057">
        <v>1</v>
      </c>
      <c r="BO4057">
        <v>0</v>
      </c>
      <c r="BP4057">
        <v>0</v>
      </c>
      <c r="BS4057">
        <v>0</v>
      </c>
      <c r="BT4057">
        <v>0</v>
      </c>
      <c r="BU4057">
        <v>0</v>
      </c>
      <c r="CE4057" t="str">
        <f t="shared" si="1607"/>
        <v>15:15:47.270</v>
      </c>
      <c r="CF4057">
        <v>269575763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3</v>
      </c>
      <c r="CY4057">
        <v>7</v>
      </c>
      <c r="CZ4057" t="s">
        <v>133</v>
      </c>
      <c r="DA4057">
        <v>276</v>
      </c>
      <c r="DB4057">
        <v>0</v>
      </c>
      <c r="DC4057" t="s">
        <v>402</v>
      </c>
      <c r="DD4057" t="s">
        <v>403</v>
      </c>
      <c r="DG4057">
        <v>1628375</v>
      </c>
      <c r="DI4057">
        <v>1</v>
      </c>
      <c r="DJ4057">
        <v>0</v>
      </c>
      <c r="DK4057">
        <v>1</v>
      </c>
      <c r="DL4057">
        <v>0</v>
      </c>
      <c r="DM4057">
        <v>0</v>
      </c>
      <c r="DN4057">
        <v>0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 x14ac:dyDescent="0.3">
      <c r="A4058" t="str">
        <f>"05/01/2025 15:15:48.754"</f>
        <v>05/01/2025 15:15:48.754</v>
      </c>
      <c r="C4058" t="str">
        <f t="shared" si="1596"/>
        <v>FFDFD3C0</v>
      </c>
      <c r="D4058" t="s">
        <v>143</v>
      </c>
      <c r="E4058" t="str">
        <f>"05"</f>
        <v>05</v>
      </c>
      <c r="H4058">
        <v>172</v>
      </c>
      <c r="I4058" t="s">
        <v>141</v>
      </c>
      <c r="J4058" t="s">
        <v>144</v>
      </c>
      <c r="K4058">
        <v>0</v>
      </c>
      <c r="L4058">
        <v>3</v>
      </c>
      <c r="M4058">
        <v>0</v>
      </c>
      <c r="N4058">
        <v>2</v>
      </c>
      <c r="O4058">
        <v>0</v>
      </c>
      <c r="P4058">
        <v>1</v>
      </c>
      <c r="Q4058">
        <v>0</v>
      </c>
      <c r="R4058" t="s">
        <v>127</v>
      </c>
      <c r="S4058" t="str">
        <f t="shared" ref="S4058:T4063" si="1608">"15:15:48.000"</f>
        <v>15:15:48.000</v>
      </c>
      <c r="T4058" t="str">
        <f t="shared" si="1608"/>
        <v>15:15:48.000</v>
      </c>
      <c r="U4058" t="str">
        <f t="shared" si="1598"/>
        <v>A68FCB</v>
      </c>
      <c r="V4058">
        <v>0</v>
      </c>
      <c r="W4058">
        <v>0</v>
      </c>
      <c r="X4058">
        <v>2</v>
      </c>
      <c r="Y4058">
        <v>0</v>
      </c>
      <c r="AA4058">
        <v>1</v>
      </c>
      <c r="AB4058">
        <v>8</v>
      </c>
      <c r="AC4058">
        <v>3</v>
      </c>
      <c r="AD4058">
        <v>0</v>
      </c>
      <c r="AE4058">
        <v>9</v>
      </c>
      <c r="AF4058" t="s">
        <v>138</v>
      </c>
      <c r="AG4058">
        <v>0</v>
      </c>
      <c r="AH4058">
        <v>3</v>
      </c>
      <c r="AI4058">
        <v>2</v>
      </c>
      <c r="AJ4058">
        <v>0</v>
      </c>
      <c r="AK4058" t="s">
        <v>1286</v>
      </c>
      <c r="AL4058">
        <v>39.184927999999999</v>
      </c>
      <c r="AM4058" t="s">
        <v>1287</v>
      </c>
      <c r="AN4058">
        <v>-121.024361</v>
      </c>
      <c r="AO4058">
        <v>25</v>
      </c>
      <c r="AP4058">
        <v>4500</v>
      </c>
      <c r="AQ4058" t="s">
        <v>131</v>
      </c>
      <c r="AR4058">
        <v>37</v>
      </c>
      <c r="AS4058">
        <v>69</v>
      </c>
      <c r="AT4058">
        <v>64</v>
      </c>
      <c r="BB4058" t="str">
        <f t="shared" si="1599"/>
        <v>1200</v>
      </c>
      <c r="BC4058">
        <v>1</v>
      </c>
      <c r="BD4058" t="str">
        <f t="shared" si="1600"/>
        <v xml:space="preserve">N52156  </v>
      </c>
      <c r="BE4058">
        <v>1</v>
      </c>
      <c r="BG4058">
        <v>0</v>
      </c>
      <c r="BH4058">
        <v>0</v>
      </c>
      <c r="BI4058">
        <v>0</v>
      </c>
      <c r="BJ4058">
        <v>4525</v>
      </c>
      <c r="BK4058">
        <v>25</v>
      </c>
      <c r="BL4058" t="s">
        <v>188</v>
      </c>
      <c r="BM4058">
        <v>1</v>
      </c>
      <c r="BN4058">
        <v>1</v>
      </c>
      <c r="BO4058">
        <v>0</v>
      </c>
      <c r="BP4058">
        <v>0</v>
      </c>
      <c r="BS4058">
        <v>0</v>
      </c>
      <c r="BT4058">
        <v>0</v>
      </c>
      <c r="BU4058">
        <v>0</v>
      </c>
      <c r="CE4058" t="str">
        <f t="shared" ref="CE4058:CE4063" si="1609">"15:15:48.527"</f>
        <v>15:15:48.527</v>
      </c>
      <c r="CF4058">
        <v>527076513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3</v>
      </c>
      <c r="CY4058">
        <v>7</v>
      </c>
      <c r="CZ4058" t="s">
        <v>133</v>
      </c>
      <c r="DA4058">
        <v>276</v>
      </c>
      <c r="DB4058">
        <v>0</v>
      </c>
      <c r="DC4058" t="s">
        <v>402</v>
      </c>
      <c r="DD4058" t="s">
        <v>403</v>
      </c>
      <c r="DG4058">
        <v>1628379</v>
      </c>
      <c r="DI4058">
        <v>1</v>
      </c>
      <c r="DJ4058">
        <v>0</v>
      </c>
      <c r="DK4058">
        <v>0</v>
      </c>
      <c r="DL4058">
        <v>0</v>
      </c>
      <c r="DM4058">
        <v>0</v>
      </c>
      <c r="DN4058">
        <v>0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 x14ac:dyDescent="0.3">
      <c r="A4059" t="str">
        <f>"05/01/2025 15:15:48.756"</f>
        <v>05/01/2025 15:15:48.756</v>
      </c>
      <c r="C4059" t="str">
        <f t="shared" si="1596"/>
        <v>FFDFD3C0</v>
      </c>
      <c r="D4059" t="s">
        <v>140</v>
      </c>
      <c r="E4059" t="str">
        <f>"13"</f>
        <v>13</v>
      </c>
      <c r="F4059">
        <v>1019</v>
      </c>
      <c r="G4059" t="s">
        <v>141</v>
      </c>
      <c r="J4059" t="s">
        <v>142</v>
      </c>
      <c r="K4059">
        <v>0</v>
      </c>
      <c r="L4059">
        <v>3</v>
      </c>
      <c r="M4059">
        <v>0</v>
      </c>
      <c r="N4059">
        <v>2</v>
      </c>
      <c r="O4059">
        <v>0</v>
      </c>
      <c r="P4059">
        <v>1</v>
      </c>
      <c r="Q4059">
        <v>0</v>
      </c>
      <c r="R4059" t="s">
        <v>127</v>
      </c>
      <c r="S4059" t="str">
        <f t="shared" si="1608"/>
        <v>15:15:48.000</v>
      </c>
      <c r="T4059" t="str">
        <f t="shared" si="1608"/>
        <v>15:15:48.000</v>
      </c>
      <c r="U4059" t="str">
        <f t="shared" si="1598"/>
        <v>A68FCB</v>
      </c>
      <c r="V4059">
        <v>0</v>
      </c>
      <c r="W4059">
        <v>0</v>
      </c>
      <c r="X4059">
        <v>2</v>
      </c>
      <c r="Y4059">
        <v>0</v>
      </c>
      <c r="AA4059">
        <v>1</v>
      </c>
      <c r="AB4059">
        <v>8</v>
      </c>
      <c r="AC4059">
        <v>3</v>
      </c>
      <c r="AD4059">
        <v>0</v>
      </c>
      <c r="AE4059">
        <v>9</v>
      </c>
      <c r="AF4059" t="s">
        <v>138</v>
      </c>
      <c r="AG4059">
        <v>0</v>
      </c>
      <c r="AH4059">
        <v>3</v>
      </c>
      <c r="AI4059">
        <v>2</v>
      </c>
      <c r="AJ4059">
        <v>0</v>
      </c>
      <c r="AK4059" t="s">
        <v>1286</v>
      </c>
      <c r="AL4059">
        <v>39.184927999999999</v>
      </c>
      <c r="AM4059" t="s">
        <v>1287</v>
      </c>
      <c r="AN4059">
        <v>-121.024361</v>
      </c>
      <c r="AO4059">
        <v>25</v>
      </c>
      <c r="AP4059">
        <v>4500</v>
      </c>
      <c r="AQ4059" t="s">
        <v>131</v>
      </c>
      <c r="AR4059">
        <v>37</v>
      </c>
      <c r="AS4059">
        <v>69</v>
      </c>
      <c r="AT4059">
        <v>64</v>
      </c>
      <c r="BB4059" t="str">
        <f t="shared" si="1599"/>
        <v>1200</v>
      </c>
      <c r="BC4059">
        <v>1</v>
      </c>
      <c r="BD4059" t="str">
        <f t="shared" si="1600"/>
        <v xml:space="preserve">N52156  </v>
      </c>
      <c r="BE4059">
        <v>1</v>
      </c>
      <c r="BG4059">
        <v>0</v>
      </c>
      <c r="BH4059">
        <v>0</v>
      </c>
      <c r="BI4059">
        <v>0</v>
      </c>
      <c r="BJ4059">
        <v>4525</v>
      </c>
      <c r="BK4059">
        <v>25</v>
      </c>
      <c r="BL4059" t="s">
        <v>188</v>
      </c>
      <c r="BM4059">
        <v>1</v>
      </c>
      <c r="BN4059">
        <v>1</v>
      </c>
      <c r="BO4059">
        <v>0</v>
      </c>
      <c r="BP4059">
        <v>0</v>
      </c>
      <c r="BS4059">
        <v>0</v>
      </c>
      <c r="BT4059">
        <v>0</v>
      </c>
      <c r="BU4059">
        <v>0</v>
      </c>
      <c r="CE4059" t="str">
        <f t="shared" si="1609"/>
        <v>15:15:48.527</v>
      </c>
      <c r="CF4059">
        <v>527076513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3</v>
      </c>
      <c r="CY4059">
        <v>7</v>
      </c>
      <c r="CZ4059" t="s">
        <v>133</v>
      </c>
      <c r="DA4059">
        <v>276</v>
      </c>
      <c r="DB4059">
        <v>0</v>
      </c>
      <c r="DC4059" t="s">
        <v>402</v>
      </c>
      <c r="DD4059" t="s">
        <v>403</v>
      </c>
      <c r="DG4059">
        <v>1628379</v>
      </c>
      <c r="DI4059">
        <v>1</v>
      </c>
      <c r="DJ4059">
        <v>0</v>
      </c>
      <c r="DK4059">
        <v>1</v>
      </c>
      <c r="DL4059">
        <v>0</v>
      </c>
      <c r="DM4059">
        <v>0</v>
      </c>
      <c r="DN4059">
        <v>0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 x14ac:dyDescent="0.3">
      <c r="A4060" t="str">
        <f>"05/01/2025 15:15:48.761"</f>
        <v>05/01/2025 15:15:48.761</v>
      </c>
      <c r="C4060" t="str">
        <f t="shared" si="1596"/>
        <v>FFDFD3C0</v>
      </c>
      <c r="D4060" t="s">
        <v>124</v>
      </c>
      <c r="E4060" t="str">
        <f>"06"</f>
        <v>06</v>
      </c>
      <c r="F4060">
        <v>2006</v>
      </c>
      <c r="G4060" t="s">
        <v>125</v>
      </c>
      <c r="J4060" t="s">
        <v>126</v>
      </c>
      <c r="K4060">
        <v>0</v>
      </c>
      <c r="L4060">
        <v>3</v>
      </c>
      <c r="M4060">
        <v>0</v>
      </c>
      <c r="N4060">
        <v>2</v>
      </c>
      <c r="O4060">
        <v>0</v>
      </c>
      <c r="P4060">
        <v>1</v>
      </c>
      <c r="Q4060">
        <v>0</v>
      </c>
      <c r="R4060" t="s">
        <v>127</v>
      </c>
      <c r="S4060" t="str">
        <f t="shared" si="1608"/>
        <v>15:15:48.000</v>
      </c>
      <c r="T4060" t="str">
        <f t="shared" si="1608"/>
        <v>15:15:48.000</v>
      </c>
      <c r="U4060" t="str">
        <f t="shared" si="1598"/>
        <v>A68FCB</v>
      </c>
      <c r="V4060">
        <v>0</v>
      </c>
      <c r="W4060">
        <v>0</v>
      </c>
      <c r="X4060">
        <v>2</v>
      </c>
      <c r="Y4060">
        <v>0</v>
      </c>
      <c r="AA4060">
        <v>1</v>
      </c>
      <c r="AB4060">
        <v>8</v>
      </c>
      <c r="AC4060">
        <v>3</v>
      </c>
      <c r="AD4060">
        <v>0</v>
      </c>
      <c r="AE4060">
        <v>9</v>
      </c>
      <c r="AF4060" t="s">
        <v>138</v>
      </c>
      <c r="AG4060">
        <v>0</v>
      </c>
      <c r="AH4060">
        <v>3</v>
      </c>
      <c r="AI4060">
        <v>2</v>
      </c>
      <c r="AJ4060">
        <v>0</v>
      </c>
      <c r="AK4060" t="s">
        <v>1286</v>
      </c>
      <c r="AL4060">
        <v>39.184927999999999</v>
      </c>
      <c r="AM4060" t="s">
        <v>1287</v>
      </c>
      <c r="AN4060">
        <v>-121.024361</v>
      </c>
      <c r="AO4060">
        <v>25</v>
      </c>
      <c r="AP4060">
        <v>4500</v>
      </c>
      <c r="AQ4060" t="s">
        <v>131</v>
      </c>
      <c r="AR4060">
        <v>37</v>
      </c>
      <c r="AS4060">
        <v>69</v>
      </c>
      <c r="AT4060">
        <v>64</v>
      </c>
      <c r="BB4060" t="str">
        <f t="shared" si="1599"/>
        <v>1200</v>
      </c>
      <c r="BC4060">
        <v>1</v>
      </c>
      <c r="BD4060" t="str">
        <f t="shared" si="1600"/>
        <v xml:space="preserve">N52156  </v>
      </c>
      <c r="BE4060">
        <v>1</v>
      </c>
      <c r="BG4060">
        <v>0</v>
      </c>
      <c r="BH4060">
        <v>0</v>
      </c>
      <c r="BI4060">
        <v>0</v>
      </c>
      <c r="BJ4060">
        <v>4525</v>
      </c>
      <c r="BK4060">
        <v>25</v>
      </c>
      <c r="BL4060" t="s">
        <v>188</v>
      </c>
      <c r="BM4060">
        <v>1</v>
      </c>
      <c r="BN4060">
        <v>1</v>
      </c>
      <c r="BO4060">
        <v>0</v>
      </c>
      <c r="BP4060">
        <v>0</v>
      </c>
      <c r="BS4060">
        <v>0</v>
      </c>
      <c r="BT4060">
        <v>0</v>
      </c>
      <c r="BU4060">
        <v>0</v>
      </c>
      <c r="CE4060" t="str">
        <f t="shared" si="1609"/>
        <v>15:15:48.527</v>
      </c>
      <c r="CF4060">
        <v>527076513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3</v>
      </c>
      <c r="CY4060">
        <v>7</v>
      </c>
      <c r="CZ4060" t="s">
        <v>133</v>
      </c>
      <c r="DA4060">
        <v>276</v>
      </c>
      <c r="DB4060">
        <v>0</v>
      </c>
      <c r="DC4060" t="s">
        <v>402</v>
      </c>
      <c r="DD4060" t="s">
        <v>403</v>
      </c>
      <c r="DG4060">
        <v>1628379</v>
      </c>
      <c r="DI4060">
        <v>1</v>
      </c>
      <c r="DJ4060">
        <v>0</v>
      </c>
      <c r="DK4060">
        <v>1</v>
      </c>
      <c r="DL4060">
        <v>0</v>
      </c>
      <c r="DM4060">
        <v>0</v>
      </c>
      <c r="DN4060">
        <v>0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 x14ac:dyDescent="0.3">
      <c r="A4061" t="str">
        <f>"05/01/2025 15:15:48.768"</f>
        <v>05/01/2025 15:15:48.768</v>
      </c>
      <c r="C4061" t="str">
        <f t="shared" si="1596"/>
        <v>FFDFD3C0</v>
      </c>
      <c r="D4061" t="s">
        <v>145</v>
      </c>
      <c r="E4061" t="str">
        <f>"09"</f>
        <v>09</v>
      </c>
      <c r="H4061">
        <v>51</v>
      </c>
      <c r="I4061" t="s">
        <v>147</v>
      </c>
      <c r="J4061" t="s">
        <v>138</v>
      </c>
      <c r="K4061">
        <v>0</v>
      </c>
      <c r="L4061">
        <v>3</v>
      </c>
      <c r="M4061">
        <v>0</v>
      </c>
      <c r="N4061">
        <v>2</v>
      </c>
      <c r="O4061">
        <v>0</v>
      </c>
      <c r="P4061">
        <v>1</v>
      </c>
      <c r="Q4061">
        <v>0</v>
      </c>
      <c r="R4061" t="s">
        <v>127</v>
      </c>
      <c r="S4061" t="str">
        <f t="shared" si="1608"/>
        <v>15:15:48.000</v>
      </c>
      <c r="T4061" t="str">
        <f t="shared" si="1608"/>
        <v>15:15:48.000</v>
      </c>
      <c r="U4061" t="str">
        <f t="shared" si="1598"/>
        <v>A68FCB</v>
      </c>
      <c r="V4061">
        <v>0</v>
      </c>
      <c r="W4061">
        <v>0</v>
      </c>
      <c r="X4061">
        <v>2</v>
      </c>
      <c r="Y4061">
        <v>0</v>
      </c>
      <c r="AA4061">
        <v>1</v>
      </c>
      <c r="AB4061">
        <v>8</v>
      </c>
      <c r="AC4061">
        <v>3</v>
      </c>
      <c r="AD4061">
        <v>0</v>
      </c>
      <c r="AE4061">
        <v>9</v>
      </c>
      <c r="AF4061" t="s">
        <v>138</v>
      </c>
      <c r="AG4061">
        <v>0</v>
      </c>
      <c r="AH4061">
        <v>3</v>
      </c>
      <c r="AI4061">
        <v>2</v>
      </c>
      <c r="AJ4061">
        <v>0</v>
      </c>
      <c r="AK4061" t="s">
        <v>1286</v>
      </c>
      <c r="AL4061">
        <v>39.184927999999999</v>
      </c>
      <c r="AM4061" t="s">
        <v>1287</v>
      </c>
      <c r="AN4061">
        <v>-121.024361</v>
      </c>
      <c r="AO4061">
        <v>25</v>
      </c>
      <c r="AP4061">
        <v>4500</v>
      </c>
      <c r="AQ4061" t="s">
        <v>131</v>
      </c>
      <c r="AR4061">
        <v>37</v>
      </c>
      <c r="AS4061">
        <v>69</v>
      </c>
      <c r="AT4061">
        <v>64</v>
      </c>
      <c r="BB4061" t="str">
        <f t="shared" si="1599"/>
        <v>1200</v>
      </c>
      <c r="BC4061">
        <v>1</v>
      </c>
      <c r="BD4061" t="str">
        <f t="shared" si="1600"/>
        <v xml:space="preserve">N52156  </v>
      </c>
      <c r="BE4061">
        <v>1</v>
      </c>
      <c r="BG4061">
        <v>0</v>
      </c>
      <c r="BH4061">
        <v>0</v>
      </c>
      <c r="BI4061">
        <v>0</v>
      </c>
      <c r="BJ4061">
        <v>4525</v>
      </c>
      <c r="BK4061">
        <v>25</v>
      </c>
      <c r="BL4061" t="s">
        <v>188</v>
      </c>
      <c r="BM4061">
        <v>1</v>
      </c>
      <c r="BN4061">
        <v>1</v>
      </c>
      <c r="BO4061">
        <v>0</v>
      </c>
      <c r="BP4061">
        <v>0</v>
      </c>
      <c r="BS4061">
        <v>0</v>
      </c>
      <c r="BT4061">
        <v>0</v>
      </c>
      <c r="BU4061">
        <v>0</v>
      </c>
      <c r="CE4061" t="str">
        <f t="shared" si="1609"/>
        <v>15:15:48.527</v>
      </c>
      <c r="CF4061">
        <v>527076513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3</v>
      </c>
      <c r="CY4061">
        <v>7</v>
      </c>
      <c r="CZ4061" t="s">
        <v>133</v>
      </c>
      <c r="DA4061">
        <v>276</v>
      </c>
      <c r="DB4061">
        <v>0</v>
      </c>
      <c r="DC4061" t="s">
        <v>402</v>
      </c>
      <c r="DD4061" t="s">
        <v>403</v>
      </c>
      <c r="DG4061">
        <v>1628379</v>
      </c>
      <c r="DI4061">
        <v>1</v>
      </c>
      <c r="DJ4061">
        <v>0</v>
      </c>
      <c r="DK4061">
        <v>1</v>
      </c>
      <c r="DL4061">
        <v>0</v>
      </c>
      <c r="DM4061">
        <v>0</v>
      </c>
      <c r="DN4061">
        <v>0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 x14ac:dyDescent="0.3">
      <c r="A4062" t="str">
        <f>"05/01/2025 15:15:48.774"</f>
        <v>05/01/2025 15:15:48.774</v>
      </c>
      <c r="C4062" t="str">
        <f t="shared" si="1596"/>
        <v>FFDFD3C0</v>
      </c>
      <c r="D4062" t="s">
        <v>145</v>
      </c>
      <c r="E4062" t="str">
        <f>"05"</f>
        <v>05</v>
      </c>
      <c r="H4062">
        <v>47</v>
      </c>
      <c r="I4062" t="s">
        <v>146</v>
      </c>
      <c r="J4062" t="s">
        <v>138</v>
      </c>
      <c r="K4062">
        <v>0</v>
      </c>
      <c r="L4062">
        <v>3</v>
      </c>
      <c r="M4062">
        <v>0</v>
      </c>
      <c r="N4062">
        <v>2</v>
      </c>
      <c r="O4062">
        <v>0</v>
      </c>
      <c r="P4062">
        <v>1</v>
      </c>
      <c r="Q4062">
        <v>0</v>
      </c>
      <c r="R4062" t="s">
        <v>127</v>
      </c>
      <c r="S4062" t="str">
        <f t="shared" si="1608"/>
        <v>15:15:48.000</v>
      </c>
      <c r="T4062" t="str">
        <f t="shared" si="1608"/>
        <v>15:15:48.000</v>
      </c>
      <c r="U4062" t="str">
        <f t="shared" si="1598"/>
        <v>A68FCB</v>
      </c>
      <c r="V4062">
        <v>0</v>
      </c>
      <c r="W4062">
        <v>0</v>
      </c>
      <c r="X4062">
        <v>2</v>
      </c>
      <c r="Y4062">
        <v>0</v>
      </c>
      <c r="AA4062">
        <v>1</v>
      </c>
      <c r="AB4062">
        <v>8</v>
      </c>
      <c r="AC4062">
        <v>3</v>
      </c>
      <c r="AD4062">
        <v>0</v>
      </c>
      <c r="AE4062">
        <v>9</v>
      </c>
      <c r="AF4062" t="s">
        <v>138</v>
      </c>
      <c r="AG4062">
        <v>0</v>
      </c>
      <c r="AH4062">
        <v>3</v>
      </c>
      <c r="AI4062">
        <v>2</v>
      </c>
      <c r="AJ4062">
        <v>0</v>
      </c>
      <c r="AK4062" t="s">
        <v>1286</v>
      </c>
      <c r="AL4062">
        <v>39.184927999999999</v>
      </c>
      <c r="AM4062" t="s">
        <v>1287</v>
      </c>
      <c r="AN4062">
        <v>-121.024361</v>
      </c>
      <c r="AO4062">
        <v>25</v>
      </c>
      <c r="AP4062">
        <v>4500</v>
      </c>
      <c r="AQ4062" t="s">
        <v>131</v>
      </c>
      <c r="AR4062">
        <v>37</v>
      </c>
      <c r="AS4062">
        <v>69</v>
      </c>
      <c r="AT4062">
        <v>64</v>
      </c>
      <c r="BB4062" t="str">
        <f t="shared" si="1599"/>
        <v>1200</v>
      </c>
      <c r="BC4062">
        <v>1</v>
      </c>
      <c r="BD4062" t="str">
        <f t="shared" si="1600"/>
        <v xml:space="preserve">N52156  </v>
      </c>
      <c r="BE4062">
        <v>1</v>
      </c>
      <c r="BG4062">
        <v>0</v>
      </c>
      <c r="BH4062">
        <v>0</v>
      </c>
      <c r="BI4062">
        <v>0</v>
      </c>
      <c r="BJ4062">
        <v>4525</v>
      </c>
      <c r="BK4062">
        <v>25</v>
      </c>
      <c r="BL4062" t="s">
        <v>188</v>
      </c>
      <c r="BM4062">
        <v>1</v>
      </c>
      <c r="BN4062">
        <v>1</v>
      </c>
      <c r="BO4062">
        <v>0</v>
      </c>
      <c r="BP4062">
        <v>0</v>
      </c>
      <c r="BS4062">
        <v>0</v>
      </c>
      <c r="BT4062">
        <v>0</v>
      </c>
      <c r="BU4062">
        <v>0</v>
      </c>
      <c r="CE4062" t="str">
        <f t="shared" si="1609"/>
        <v>15:15:48.527</v>
      </c>
      <c r="CF4062">
        <v>527076513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3</v>
      </c>
      <c r="CY4062">
        <v>7</v>
      </c>
      <c r="CZ4062" t="s">
        <v>133</v>
      </c>
      <c r="DA4062">
        <v>276</v>
      </c>
      <c r="DB4062">
        <v>0</v>
      </c>
      <c r="DC4062" t="s">
        <v>402</v>
      </c>
      <c r="DD4062" t="s">
        <v>403</v>
      </c>
      <c r="DG4062">
        <v>1628379</v>
      </c>
      <c r="DI4062">
        <v>1</v>
      </c>
      <c r="DJ4062">
        <v>0</v>
      </c>
      <c r="DK4062">
        <v>1</v>
      </c>
      <c r="DL4062">
        <v>0</v>
      </c>
      <c r="DM4062">
        <v>0</v>
      </c>
      <c r="DN4062">
        <v>0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 x14ac:dyDescent="0.3">
      <c r="A4063" t="str">
        <f>"05/01/2025 15:15:48.785"</f>
        <v>05/01/2025 15:15:48.785</v>
      </c>
      <c r="C4063" t="str">
        <f t="shared" si="1596"/>
        <v>FFDFD3C0</v>
      </c>
      <c r="D4063" t="s">
        <v>136</v>
      </c>
      <c r="E4063" t="str">
        <f>"20"</f>
        <v>20</v>
      </c>
      <c r="H4063">
        <v>400</v>
      </c>
      <c r="I4063" t="s">
        <v>137</v>
      </c>
      <c r="J4063" t="s">
        <v>138</v>
      </c>
      <c r="K4063">
        <v>0</v>
      </c>
      <c r="L4063">
        <v>3</v>
      </c>
      <c r="M4063">
        <v>0</v>
      </c>
      <c r="N4063">
        <v>2</v>
      </c>
      <c r="O4063">
        <v>0</v>
      </c>
      <c r="P4063">
        <v>1</v>
      </c>
      <c r="Q4063">
        <v>0</v>
      </c>
      <c r="R4063" t="s">
        <v>127</v>
      </c>
      <c r="S4063" t="str">
        <f t="shared" si="1608"/>
        <v>15:15:48.000</v>
      </c>
      <c r="T4063" t="str">
        <f t="shared" si="1608"/>
        <v>15:15:48.000</v>
      </c>
      <c r="U4063" t="str">
        <f t="shared" si="1598"/>
        <v>A68FCB</v>
      </c>
      <c r="V4063">
        <v>0</v>
      </c>
      <c r="W4063">
        <v>0</v>
      </c>
      <c r="X4063">
        <v>2</v>
      </c>
      <c r="Y4063">
        <v>0</v>
      </c>
      <c r="AA4063">
        <v>1</v>
      </c>
      <c r="AB4063">
        <v>8</v>
      </c>
      <c r="AC4063">
        <v>3</v>
      </c>
      <c r="AD4063">
        <v>0</v>
      </c>
      <c r="AE4063">
        <v>9</v>
      </c>
      <c r="AF4063" t="s">
        <v>138</v>
      </c>
      <c r="AG4063">
        <v>0</v>
      </c>
      <c r="AH4063">
        <v>3</v>
      </c>
      <c r="AI4063">
        <v>2</v>
      </c>
      <c r="AJ4063">
        <v>0</v>
      </c>
      <c r="AK4063" t="s">
        <v>1286</v>
      </c>
      <c r="AL4063">
        <v>39.184927999999999</v>
      </c>
      <c r="AM4063" t="s">
        <v>1287</v>
      </c>
      <c r="AN4063">
        <v>-121.024361</v>
      </c>
      <c r="AO4063">
        <v>25</v>
      </c>
      <c r="AP4063">
        <v>4500</v>
      </c>
      <c r="AQ4063" t="s">
        <v>131</v>
      </c>
      <c r="AR4063">
        <v>37</v>
      </c>
      <c r="AS4063">
        <v>69</v>
      </c>
      <c r="AT4063">
        <v>64</v>
      </c>
      <c r="BB4063" t="str">
        <f t="shared" si="1599"/>
        <v>1200</v>
      </c>
      <c r="BC4063">
        <v>1</v>
      </c>
      <c r="BD4063" t="str">
        <f t="shared" si="1600"/>
        <v xml:space="preserve">N52156  </v>
      </c>
      <c r="BE4063">
        <v>1</v>
      </c>
      <c r="BG4063">
        <v>0</v>
      </c>
      <c r="BH4063">
        <v>0</v>
      </c>
      <c r="BI4063">
        <v>0</v>
      </c>
      <c r="BJ4063">
        <v>4525</v>
      </c>
      <c r="BK4063">
        <v>25</v>
      </c>
      <c r="BL4063" t="s">
        <v>188</v>
      </c>
      <c r="BM4063">
        <v>1</v>
      </c>
      <c r="BN4063">
        <v>1</v>
      </c>
      <c r="BO4063">
        <v>0</v>
      </c>
      <c r="BP4063">
        <v>0</v>
      </c>
      <c r="BS4063">
        <v>0</v>
      </c>
      <c r="BT4063">
        <v>0</v>
      </c>
      <c r="BU4063">
        <v>0</v>
      </c>
      <c r="CE4063" t="str">
        <f t="shared" si="1609"/>
        <v>15:15:48.527</v>
      </c>
      <c r="CF4063">
        <v>527076513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3</v>
      </c>
      <c r="CY4063">
        <v>7</v>
      </c>
      <c r="CZ4063" t="s">
        <v>133</v>
      </c>
      <c r="DA4063">
        <v>276</v>
      </c>
      <c r="DB4063">
        <v>0</v>
      </c>
      <c r="DC4063" t="s">
        <v>402</v>
      </c>
      <c r="DD4063" t="s">
        <v>403</v>
      </c>
      <c r="DG4063">
        <v>1628379</v>
      </c>
      <c r="DI4063">
        <v>1</v>
      </c>
      <c r="DJ4063">
        <v>0</v>
      </c>
      <c r="DK4063">
        <v>1</v>
      </c>
      <c r="DL4063">
        <v>0</v>
      </c>
      <c r="DM4063">
        <v>0</v>
      </c>
      <c r="DN4063">
        <v>0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 x14ac:dyDescent="0.3">
      <c r="A4064" t="str">
        <f>"05/01/2025 15:15:49.556"</f>
        <v>05/01/2025 15:15:49.556</v>
      </c>
      <c r="C4064" t="str">
        <f t="shared" si="1596"/>
        <v>FFDFD3C0</v>
      </c>
      <c r="D4064" t="s">
        <v>143</v>
      </c>
      <c r="E4064" t="str">
        <f>"05"</f>
        <v>05</v>
      </c>
      <c r="H4064">
        <v>172</v>
      </c>
      <c r="I4064" t="s">
        <v>141</v>
      </c>
      <c r="J4064" t="s">
        <v>144</v>
      </c>
      <c r="K4064">
        <v>0</v>
      </c>
      <c r="L4064">
        <v>3</v>
      </c>
      <c r="M4064">
        <v>0</v>
      </c>
      <c r="N4064">
        <v>2</v>
      </c>
      <c r="O4064">
        <v>0</v>
      </c>
      <c r="P4064">
        <v>1</v>
      </c>
      <c r="Q4064">
        <v>0</v>
      </c>
      <c r="R4064" t="s">
        <v>127</v>
      </c>
      <c r="S4064" t="str">
        <f t="shared" ref="S4064:T4069" si="1610">"15:15:49.000"</f>
        <v>15:15:49.000</v>
      </c>
      <c r="T4064" t="str">
        <f t="shared" si="1610"/>
        <v>15:15:49.000</v>
      </c>
      <c r="U4064" t="str">
        <f t="shared" si="1598"/>
        <v>A68FCB</v>
      </c>
      <c r="V4064">
        <v>0</v>
      </c>
      <c r="W4064">
        <v>0</v>
      </c>
      <c r="X4064">
        <v>2</v>
      </c>
      <c r="Y4064">
        <v>0</v>
      </c>
      <c r="AA4064">
        <v>1</v>
      </c>
      <c r="AB4064">
        <v>8</v>
      </c>
      <c r="AC4064">
        <v>3</v>
      </c>
      <c r="AD4064">
        <v>0</v>
      </c>
      <c r="AE4064">
        <v>9</v>
      </c>
      <c r="AF4064" t="s">
        <v>138</v>
      </c>
      <c r="AG4064">
        <v>0</v>
      </c>
      <c r="AH4064">
        <v>3</v>
      </c>
      <c r="AI4064">
        <v>2</v>
      </c>
      <c r="AJ4064">
        <v>0</v>
      </c>
      <c r="AK4064" t="s">
        <v>1288</v>
      </c>
      <c r="AL4064">
        <v>39.185250000000003</v>
      </c>
      <c r="AM4064" t="s">
        <v>1289</v>
      </c>
      <c r="AN4064">
        <v>-121.024125</v>
      </c>
      <c r="AO4064">
        <v>25</v>
      </c>
      <c r="AP4064">
        <v>4500</v>
      </c>
      <c r="AQ4064" t="s">
        <v>131</v>
      </c>
      <c r="AR4064">
        <v>37</v>
      </c>
      <c r="AS4064">
        <v>69</v>
      </c>
      <c r="AT4064">
        <v>0</v>
      </c>
      <c r="BB4064" t="str">
        <f t="shared" si="1599"/>
        <v>1200</v>
      </c>
      <c r="BC4064">
        <v>1</v>
      </c>
      <c r="BD4064" t="str">
        <f t="shared" si="1600"/>
        <v xml:space="preserve">N52156  </v>
      </c>
      <c r="BE4064">
        <v>1</v>
      </c>
      <c r="BG4064">
        <v>0</v>
      </c>
      <c r="BH4064">
        <v>0</v>
      </c>
      <c r="BI4064">
        <v>0</v>
      </c>
      <c r="BJ4064">
        <v>4525</v>
      </c>
      <c r="BK4064">
        <v>25</v>
      </c>
      <c r="BL4064" t="s">
        <v>188</v>
      </c>
      <c r="BM4064">
        <v>1</v>
      </c>
      <c r="BN4064">
        <v>1</v>
      </c>
      <c r="BO4064">
        <v>0</v>
      </c>
      <c r="BP4064">
        <v>0</v>
      </c>
      <c r="BS4064">
        <v>0</v>
      </c>
      <c r="BT4064">
        <v>0</v>
      </c>
      <c r="BU4064">
        <v>0</v>
      </c>
      <c r="CE4064" t="str">
        <f t="shared" ref="CE4064:CE4069" si="1611">"15:15:49.342"</f>
        <v>15:15:49.342</v>
      </c>
      <c r="CF4064">
        <v>341826122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3</v>
      </c>
      <c r="CY4064">
        <v>7</v>
      </c>
      <c r="CZ4064" t="s">
        <v>133</v>
      </c>
      <c r="DA4064">
        <v>276</v>
      </c>
      <c r="DB4064">
        <v>0</v>
      </c>
      <c r="DC4064" t="s">
        <v>402</v>
      </c>
      <c r="DD4064" t="s">
        <v>403</v>
      </c>
      <c r="DG4064">
        <v>1628380</v>
      </c>
      <c r="DI4064">
        <v>1</v>
      </c>
      <c r="DJ4064">
        <v>0</v>
      </c>
      <c r="DK4064">
        <v>0</v>
      </c>
      <c r="DL4064">
        <v>0</v>
      </c>
      <c r="DM4064">
        <v>0</v>
      </c>
      <c r="DN4064">
        <v>0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 x14ac:dyDescent="0.3">
      <c r="A4065" t="str">
        <f>"05/01/2025 15:15:49.558"</f>
        <v>05/01/2025 15:15:49.558</v>
      </c>
      <c r="C4065" t="str">
        <f t="shared" si="1596"/>
        <v>FFDFD3C0</v>
      </c>
      <c r="D4065" t="s">
        <v>140</v>
      </c>
      <c r="E4065" t="str">
        <f>"13"</f>
        <v>13</v>
      </c>
      <c r="F4065">
        <v>1019</v>
      </c>
      <c r="G4065" t="s">
        <v>141</v>
      </c>
      <c r="J4065" t="s">
        <v>142</v>
      </c>
      <c r="K4065">
        <v>0</v>
      </c>
      <c r="L4065">
        <v>3</v>
      </c>
      <c r="M4065">
        <v>0</v>
      </c>
      <c r="N4065">
        <v>2</v>
      </c>
      <c r="O4065">
        <v>0</v>
      </c>
      <c r="P4065">
        <v>1</v>
      </c>
      <c r="Q4065">
        <v>0</v>
      </c>
      <c r="R4065" t="s">
        <v>127</v>
      </c>
      <c r="S4065" t="str">
        <f t="shared" si="1610"/>
        <v>15:15:49.000</v>
      </c>
      <c r="T4065" t="str">
        <f t="shared" si="1610"/>
        <v>15:15:49.000</v>
      </c>
      <c r="U4065" t="str">
        <f t="shared" si="1598"/>
        <v>A68FCB</v>
      </c>
      <c r="V4065">
        <v>0</v>
      </c>
      <c r="W4065">
        <v>0</v>
      </c>
      <c r="X4065">
        <v>2</v>
      </c>
      <c r="Y4065">
        <v>0</v>
      </c>
      <c r="AA4065">
        <v>1</v>
      </c>
      <c r="AB4065">
        <v>8</v>
      </c>
      <c r="AC4065">
        <v>3</v>
      </c>
      <c r="AD4065">
        <v>0</v>
      </c>
      <c r="AE4065">
        <v>9</v>
      </c>
      <c r="AF4065" t="s">
        <v>138</v>
      </c>
      <c r="AG4065">
        <v>0</v>
      </c>
      <c r="AH4065">
        <v>3</v>
      </c>
      <c r="AI4065">
        <v>2</v>
      </c>
      <c r="AJ4065">
        <v>0</v>
      </c>
      <c r="AK4065" t="s">
        <v>1288</v>
      </c>
      <c r="AL4065">
        <v>39.185250000000003</v>
      </c>
      <c r="AM4065" t="s">
        <v>1289</v>
      </c>
      <c r="AN4065">
        <v>-121.024125</v>
      </c>
      <c r="AO4065">
        <v>25</v>
      </c>
      <c r="AP4065">
        <v>4500</v>
      </c>
      <c r="AQ4065" t="s">
        <v>131</v>
      </c>
      <c r="AR4065">
        <v>37</v>
      </c>
      <c r="AS4065">
        <v>69</v>
      </c>
      <c r="AT4065">
        <v>0</v>
      </c>
      <c r="BB4065" t="str">
        <f t="shared" si="1599"/>
        <v>1200</v>
      </c>
      <c r="BC4065">
        <v>1</v>
      </c>
      <c r="BD4065" t="str">
        <f t="shared" si="1600"/>
        <v xml:space="preserve">N52156  </v>
      </c>
      <c r="BE4065">
        <v>1</v>
      </c>
      <c r="BG4065">
        <v>0</v>
      </c>
      <c r="BH4065">
        <v>0</v>
      </c>
      <c r="BI4065">
        <v>0</v>
      </c>
      <c r="BJ4065">
        <v>4525</v>
      </c>
      <c r="BK4065">
        <v>25</v>
      </c>
      <c r="BL4065" t="s">
        <v>188</v>
      </c>
      <c r="BM4065">
        <v>1</v>
      </c>
      <c r="BN4065">
        <v>1</v>
      </c>
      <c r="BO4065">
        <v>0</v>
      </c>
      <c r="BP4065">
        <v>0</v>
      </c>
      <c r="BS4065">
        <v>0</v>
      </c>
      <c r="BT4065">
        <v>0</v>
      </c>
      <c r="BU4065">
        <v>0</v>
      </c>
      <c r="CE4065" t="str">
        <f t="shared" si="1611"/>
        <v>15:15:49.342</v>
      </c>
      <c r="CF4065">
        <v>341826122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3</v>
      </c>
      <c r="CY4065">
        <v>7</v>
      </c>
      <c r="CZ4065" t="s">
        <v>133</v>
      </c>
      <c r="DA4065">
        <v>276</v>
      </c>
      <c r="DB4065">
        <v>0</v>
      </c>
      <c r="DC4065" t="s">
        <v>402</v>
      </c>
      <c r="DD4065" t="s">
        <v>403</v>
      </c>
      <c r="DG4065">
        <v>1628380</v>
      </c>
      <c r="DI4065">
        <v>1</v>
      </c>
      <c r="DJ4065">
        <v>0</v>
      </c>
      <c r="DK4065">
        <v>1</v>
      </c>
      <c r="DL4065">
        <v>0</v>
      </c>
      <c r="DM4065">
        <v>0</v>
      </c>
      <c r="DN4065">
        <v>0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3">
      <c r="A4066" t="str">
        <f>"05/01/2025 15:15:49.562"</f>
        <v>05/01/2025 15:15:49.562</v>
      </c>
      <c r="C4066" t="str">
        <f t="shared" si="1596"/>
        <v>FFDFD3C0</v>
      </c>
      <c r="D4066" t="s">
        <v>124</v>
      </c>
      <c r="E4066" t="str">
        <f>"06"</f>
        <v>06</v>
      </c>
      <c r="F4066">
        <v>2006</v>
      </c>
      <c r="G4066" t="s">
        <v>125</v>
      </c>
      <c r="J4066" t="s">
        <v>126</v>
      </c>
      <c r="K4066">
        <v>0</v>
      </c>
      <c r="L4066">
        <v>3</v>
      </c>
      <c r="M4066">
        <v>0</v>
      </c>
      <c r="N4066">
        <v>2</v>
      </c>
      <c r="O4066">
        <v>0</v>
      </c>
      <c r="P4066">
        <v>1</v>
      </c>
      <c r="Q4066">
        <v>0</v>
      </c>
      <c r="R4066" t="s">
        <v>127</v>
      </c>
      <c r="S4066" t="str">
        <f t="shared" si="1610"/>
        <v>15:15:49.000</v>
      </c>
      <c r="T4066" t="str">
        <f t="shared" si="1610"/>
        <v>15:15:49.000</v>
      </c>
      <c r="U4066" t="str">
        <f t="shared" si="1598"/>
        <v>A68FCB</v>
      </c>
      <c r="V4066">
        <v>0</v>
      </c>
      <c r="W4066">
        <v>0</v>
      </c>
      <c r="X4066">
        <v>2</v>
      </c>
      <c r="Y4066">
        <v>0</v>
      </c>
      <c r="AA4066">
        <v>1</v>
      </c>
      <c r="AB4066">
        <v>8</v>
      </c>
      <c r="AC4066">
        <v>3</v>
      </c>
      <c r="AD4066">
        <v>0</v>
      </c>
      <c r="AE4066">
        <v>9</v>
      </c>
      <c r="AF4066" t="s">
        <v>138</v>
      </c>
      <c r="AG4066">
        <v>0</v>
      </c>
      <c r="AH4066">
        <v>3</v>
      </c>
      <c r="AI4066">
        <v>2</v>
      </c>
      <c r="AJ4066">
        <v>0</v>
      </c>
      <c r="AK4066" t="s">
        <v>1288</v>
      </c>
      <c r="AL4066">
        <v>39.185250000000003</v>
      </c>
      <c r="AM4066" t="s">
        <v>1289</v>
      </c>
      <c r="AN4066">
        <v>-121.024125</v>
      </c>
      <c r="AO4066">
        <v>25</v>
      </c>
      <c r="AP4066">
        <v>4500</v>
      </c>
      <c r="AQ4066" t="s">
        <v>131</v>
      </c>
      <c r="AR4066">
        <v>37</v>
      </c>
      <c r="AS4066">
        <v>69</v>
      </c>
      <c r="AT4066">
        <v>0</v>
      </c>
      <c r="BB4066" t="str">
        <f t="shared" si="1599"/>
        <v>1200</v>
      </c>
      <c r="BC4066">
        <v>1</v>
      </c>
      <c r="BD4066" t="str">
        <f t="shared" si="1600"/>
        <v xml:space="preserve">N52156  </v>
      </c>
      <c r="BE4066">
        <v>1</v>
      </c>
      <c r="BG4066">
        <v>0</v>
      </c>
      <c r="BH4066">
        <v>0</v>
      </c>
      <c r="BI4066">
        <v>0</v>
      </c>
      <c r="BJ4066">
        <v>4525</v>
      </c>
      <c r="BK4066">
        <v>25</v>
      </c>
      <c r="BL4066" t="s">
        <v>188</v>
      </c>
      <c r="BM4066">
        <v>1</v>
      </c>
      <c r="BN4066">
        <v>1</v>
      </c>
      <c r="BO4066">
        <v>0</v>
      </c>
      <c r="BP4066">
        <v>0</v>
      </c>
      <c r="BS4066">
        <v>0</v>
      </c>
      <c r="BT4066">
        <v>0</v>
      </c>
      <c r="BU4066">
        <v>0</v>
      </c>
      <c r="CE4066" t="str">
        <f t="shared" si="1611"/>
        <v>15:15:49.342</v>
      </c>
      <c r="CF4066">
        <v>341826122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3</v>
      </c>
      <c r="CY4066">
        <v>7</v>
      </c>
      <c r="CZ4066" t="s">
        <v>133</v>
      </c>
      <c r="DA4066">
        <v>276</v>
      </c>
      <c r="DB4066">
        <v>0</v>
      </c>
      <c r="DC4066" t="s">
        <v>402</v>
      </c>
      <c r="DD4066" t="s">
        <v>403</v>
      </c>
      <c r="DG4066">
        <v>1628380</v>
      </c>
      <c r="DI4066">
        <v>1</v>
      </c>
      <c r="DJ4066">
        <v>0</v>
      </c>
      <c r="DK4066">
        <v>1</v>
      </c>
      <c r="DL4066">
        <v>0</v>
      </c>
      <c r="DM4066">
        <v>0</v>
      </c>
      <c r="DN4066">
        <v>0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3">
      <c r="A4067" t="str">
        <f>"05/01/2025 15:15:49.569"</f>
        <v>05/01/2025 15:15:49.569</v>
      </c>
      <c r="C4067" t="str">
        <f t="shared" si="1596"/>
        <v>FFDFD3C0</v>
      </c>
      <c r="D4067" t="s">
        <v>145</v>
      </c>
      <c r="E4067" t="str">
        <f>"09"</f>
        <v>09</v>
      </c>
      <c r="H4067">
        <v>51</v>
      </c>
      <c r="I4067" t="s">
        <v>147</v>
      </c>
      <c r="J4067" t="s">
        <v>138</v>
      </c>
      <c r="K4067">
        <v>0</v>
      </c>
      <c r="L4067">
        <v>3</v>
      </c>
      <c r="M4067">
        <v>0</v>
      </c>
      <c r="N4067">
        <v>2</v>
      </c>
      <c r="O4067">
        <v>0</v>
      </c>
      <c r="P4067">
        <v>1</v>
      </c>
      <c r="Q4067">
        <v>0</v>
      </c>
      <c r="R4067" t="s">
        <v>127</v>
      </c>
      <c r="S4067" t="str">
        <f t="shared" si="1610"/>
        <v>15:15:49.000</v>
      </c>
      <c r="T4067" t="str">
        <f t="shared" si="1610"/>
        <v>15:15:49.000</v>
      </c>
      <c r="U4067" t="str">
        <f t="shared" si="1598"/>
        <v>A68FCB</v>
      </c>
      <c r="V4067">
        <v>0</v>
      </c>
      <c r="W4067">
        <v>0</v>
      </c>
      <c r="X4067">
        <v>2</v>
      </c>
      <c r="Y4067">
        <v>0</v>
      </c>
      <c r="AA4067">
        <v>1</v>
      </c>
      <c r="AB4067">
        <v>8</v>
      </c>
      <c r="AC4067">
        <v>3</v>
      </c>
      <c r="AD4067">
        <v>0</v>
      </c>
      <c r="AE4067">
        <v>9</v>
      </c>
      <c r="AF4067" t="s">
        <v>138</v>
      </c>
      <c r="AG4067">
        <v>0</v>
      </c>
      <c r="AH4067">
        <v>3</v>
      </c>
      <c r="AI4067">
        <v>2</v>
      </c>
      <c r="AJ4067">
        <v>0</v>
      </c>
      <c r="AK4067" t="s">
        <v>1288</v>
      </c>
      <c r="AL4067">
        <v>39.185250000000003</v>
      </c>
      <c r="AM4067" t="s">
        <v>1289</v>
      </c>
      <c r="AN4067">
        <v>-121.024125</v>
      </c>
      <c r="AO4067">
        <v>25</v>
      </c>
      <c r="AP4067">
        <v>4500</v>
      </c>
      <c r="AQ4067" t="s">
        <v>131</v>
      </c>
      <c r="AR4067">
        <v>37</v>
      </c>
      <c r="AS4067">
        <v>69</v>
      </c>
      <c r="AT4067">
        <v>0</v>
      </c>
      <c r="BB4067" t="str">
        <f t="shared" si="1599"/>
        <v>1200</v>
      </c>
      <c r="BC4067">
        <v>1</v>
      </c>
      <c r="BD4067" t="str">
        <f t="shared" si="1600"/>
        <v xml:space="preserve">N52156  </v>
      </c>
      <c r="BE4067">
        <v>1</v>
      </c>
      <c r="BG4067">
        <v>0</v>
      </c>
      <c r="BH4067">
        <v>0</v>
      </c>
      <c r="BI4067">
        <v>0</v>
      </c>
      <c r="BJ4067">
        <v>4525</v>
      </c>
      <c r="BK4067">
        <v>25</v>
      </c>
      <c r="BL4067" t="s">
        <v>188</v>
      </c>
      <c r="BM4067">
        <v>1</v>
      </c>
      <c r="BN4067">
        <v>1</v>
      </c>
      <c r="BO4067">
        <v>0</v>
      </c>
      <c r="BP4067">
        <v>0</v>
      </c>
      <c r="BS4067">
        <v>0</v>
      </c>
      <c r="BT4067">
        <v>0</v>
      </c>
      <c r="BU4067">
        <v>0</v>
      </c>
      <c r="CE4067" t="str">
        <f t="shared" si="1611"/>
        <v>15:15:49.342</v>
      </c>
      <c r="CF4067">
        <v>341826122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3</v>
      </c>
      <c r="CY4067">
        <v>7</v>
      </c>
      <c r="CZ4067" t="s">
        <v>133</v>
      </c>
      <c r="DA4067">
        <v>276</v>
      </c>
      <c r="DB4067">
        <v>0</v>
      </c>
      <c r="DC4067" t="s">
        <v>402</v>
      </c>
      <c r="DD4067" t="s">
        <v>403</v>
      </c>
      <c r="DG4067">
        <v>1628380</v>
      </c>
      <c r="DI4067">
        <v>1</v>
      </c>
      <c r="DJ4067">
        <v>0</v>
      </c>
      <c r="DK4067">
        <v>1</v>
      </c>
      <c r="DL4067">
        <v>0</v>
      </c>
      <c r="DM4067">
        <v>0</v>
      </c>
      <c r="DN4067">
        <v>0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3">
      <c r="A4068" t="str">
        <f>"05/01/2025 15:15:49.576"</f>
        <v>05/01/2025 15:15:49.576</v>
      </c>
      <c r="C4068" t="str">
        <f t="shared" si="1596"/>
        <v>FFDFD3C0</v>
      </c>
      <c r="D4068" t="s">
        <v>145</v>
      </c>
      <c r="E4068" t="str">
        <f>"05"</f>
        <v>05</v>
      </c>
      <c r="H4068">
        <v>47</v>
      </c>
      <c r="I4068" t="s">
        <v>146</v>
      </c>
      <c r="J4068" t="s">
        <v>138</v>
      </c>
      <c r="K4068">
        <v>0</v>
      </c>
      <c r="L4068">
        <v>3</v>
      </c>
      <c r="M4068">
        <v>0</v>
      </c>
      <c r="N4068">
        <v>2</v>
      </c>
      <c r="O4068">
        <v>0</v>
      </c>
      <c r="P4068">
        <v>1</v>
      </c>
      <c r="Q4068">
        <v>0</v>
      </c>
      <c r="R4068" t="s">
        <v>127</v>
      </c>
      <c r="S4068" t="str">
        <f t="shared" si="1610"/>
        <v>15:15:49.000</v>
      </c>
      <c r="T4068" t="str">
        <f t="shared" si="1610"/>
        <v>15:15:49.000</v>
      </c>
      <c r="U4068" t="str">
        <f t="shared" si="1598"/>
        <v>A68FCB</v>
      </c>
      <c r="V4068">
        <v>0</v>
      </c>
      <c r="W4068">
        <v>0</v>
      </c>
      <c r="X4068">
        <v>2</v>
      </c>
      <c r="Y4068">
        <v>0</v>
      </c>
      <c r="AA4068">
        <v>1</v>
      </c>
      <c r="AB4068">
        <v>8</v>
      </c>
      <c r="AC4068">
        <v>3</v>
      </c>
      <c r="AD4068">
        <v>0</v>
      </c>
      <c r="AE4068">
        <v>9</v>
      </c>
      <c r="AF4068" t="s">
        <v>138</v>
      </c>
      <c r="AG4068">
        <v>0</v>
      </c>
      <c r="AH4068">
        <v>3</v>
      </c>
      <c r="AI4068">
        <v>2</v>
      </c>
      <c r="AJ4068">
        <v>0</v>
      </c>
      <c r="AK4068" t="s">
        <v>1288</v>
      </c>
      <c r="AL4068">
        <v>39.185250000000003</v>
      </c>
      <c r="AM4068" t="s">
        <v>1289</v>
      </c>
      <c r="AN4068">
        <v>-121.024125</v>
      </c>
      <c r="AO4068">
        <v>25</v>
      </c>
      <c r="AP4068">
        <v>4500</v>
      </c>
      <c r="AQ4068" t="s">
        <v>131</v>
      </c>
      <c r="AR4068">
        <v>37</v>
      </c>
      <c r="AS4068">
        <v>69</v>
      </c>
      <c r="AT4068">
        <v>0</v>
      </c>
      <c r="BB4068" t="str">
        <f t="shared" si="1599"/>
        <v>1200</v>
      </c>
      <c r="BC4068">
        <v>1</v>
      </c>
      <c r="BD4068" t="str">
        <f t="shared" si="1600"/>
        <v xml:space="preserve">N52156  </v>
      </c>
      <c r="BE4068">
        <v>1</v>
      </c>
      <c r="BG4068">
        <v>0</v>
      </c>
      <c r="BH4068">
        <v>0</v>
      </c>
      <c r="BI4068">
        <v>0</v>
      </c>
      <c r="BJ4068">
        <v>4525</v>
      </c>
      <c r="BK4068">
        <v>25</v>
      </c>
      <c r="BL4068" t="s">
        <v>188</v>
      </c>
      <c r="BM4068">
        <v>1</v>
      </c>
      <c r="BN4068">
        <v>1</v>
      </c>
      <c r="BO4068">
        <v>0</v>
      </c>
      <c r="BP4068">
        <v>0</v>
      </c>
      <c r="BS4068">
        <v>0</v>
      </c>
      <c r="BT4068">
        <v>0</v>
      </c>
      <c r="BU4068">
        <v>0</v>
      </c>
      <c r="CE4068" t="str">
        <f t="shared" si="1611"/>
        <v>15:15:49.342</v>
      </c>
      <c r="CF4068">
        <v>341826122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3</v>
      </c>
      <c r="CY4068">
        <v>7</v>
      </c>
      <c r="CZ4068" t="s">
        <v>133</v>
      </c>
      <c r="DA4068">
        <v>276</v>
      </c>
      <c r="DB4068">
        <v>0</v>
      </c>
      <c r="DC4068" t="s">
        <v>402</v>
      </c>
      <c r="DD4068" t="s">
        <v>403</v>
      </c>
      <c r="DG4068">
        <v>1628380</v>
      </c>
      <c r="DI4068">
        <v>1</v>
      </c>
      <c r="DJ4068">
        <v>0</v>
      </c>
      <c r="DK4068">
        <v>1</v>
      </c>
      <c r="DL4068">
        <v>0</v>
      </c>
      <c r="DM4068">
        <v>0</v>
      </c>
      <c r="DN4068">
        <v>0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3">
      <c r="A4069" t="str">
        <f>"05/01/2025 15:15:49.587"</f>
        <v>05/01/2025 15:15:49.587</v>
      </c>
      <c r="C4069" t="str">
        <f t="shared" si="1596"/>
        <v>FFDFD3C0</v>
      </c>
      <c r="D4069" t="s">
        <v>136</v>
      </c>
      <c r="E4069" t="str">
        <f>"20"</f>
        <v>20</v>
      </c>
      <c r="H4069">
        <v>400</v>
      </c>
      <c r="I4069" t="s">
        <v>137</v>
      </c>
      <c r="J4069" t="s">
        <v>138</v>
      </c>
      <c r="K4069">
        <v>0</v>
      </c>
      <c r="L4069">
        <v>3</v>
      </c>
      <c r="M4069">
        <v>0</v>
      </c>
      <c r="N4069">
        <v>2</v>
      </c>
      <c r="O4069">
        <v>0</v>
      </c>
      <c r="P4069">
        <v>1</v>
      </c>
      <c r="Q4069">
        <v>0</v>
      </c>
      <c r="R4069" t="s">
        <v>127</v>
      </c>
      <c r="S4069" t="str">
        <f t="shared" si="1610"/>
        <v>15:15:49.000</v>
      </c>
      <c r="T4069" t="str">
        <f t="shared" si="1610"/>
        <v>15:15:49.000</v>
      </c>
      <c r="U4069" t="str">
        <f t="shared" si="1598"/>
        <v>A68FCB</v>
      </c>
      <c r="V4069">
        <v>0</v>
      </c>
      <c r="W4069">
        <v>0</v>
      </c>
      <c r="X4069">
        <v>2</v>
      </c>
      <c r="Y4069">
        <v>0</v>
      </c>
      <c r="AA4069">
        <v>1</v>
      </c>
      <c r="AB4069">
        <v>8</v>
      </c>
      <c r="AC4069">
        <v>3</v>
      </c>
      <c r="AD4069">
        <v>0</v>
      </c>
      <c r="AE4069">
        <v>9</v>
      </c>
      <c r="AF4069" t="s">
        <v>138</v>
      </c>
      <c r="AG4069">
        <v>0</v>
      </c>
      <c r="AH4069">
        <v>3</v>
      </c>
      <c r="AI4069">
        <v>2</v>
      </c>
      <c r="AJ4069">
        <v>0</v>
      </c>
      <c r="AK4069" t="s">
        <v>1288</v>
      </c>
      <c r="AL4069">
        <v>39.185250000000003</v>
      </c>
      <c r="AM4069" t="s">
        <v>1289</v>
      </c>
      <c r="AN4069">
        <v>-121.024125</v>
      </c>
      <c r="AO4069">
        <v>25</v>
      </c>
      <c r="AP4069">
        <v>4500</v>
      </c>
      <c r="AQ4069" t="s">
        <v>131</v>
      </c>
      <c r="AR4069">
        <v>37</v>
      </c>
      <c r="AS4069">
        <v>69</v>
      </c>
      <c r="AT4069">
        <v>0</v>
      </c>
      <c r="BB4069" t="str">
        <f t="shared" si="1599"/>
        <v>1200</v>
      </c>
      <c r="BC4069">
        <v>1</v>
      </c>
      <c r="BD4069" t="str">
        <f t="shared" si="1600"/>
        <v xml:space="preserve">N52156  </v>
      </c>
      <c r="BE4069">
        <v>1</v>
      </c>
      <c r="BG4069">
        <v>0</v>
      </c>
      <c r="BH4069">
        <v>0</v>
      </c>
      <c r="BI4069">
        <v>0</v>
      </c>
      <c r="BJ4069">
        <v>4525</v>
      </c>
      <c r="BK4069">
        <v>25</v>
      </c>
      <c r="BL4069" t="s">
        <v>188</v>
      </c>
      <c r="BM4069">
        <v>1</v>
      </c>
      <c r="BN4069">
        <v>1</v>
      </c>
      <c r="BO4069">
        <v>0</v>
      </c>
      <c r="BP4069">
        <v>0</v>
      </c>
      <c r="BS4069">
        <v>0</v>
      </c>
      <c r="BT4069">
        <v>0</v>
      </c>
      <c r="BU4069">
        <v>0</v>
      </c>
      <c r="CE4069" t="str">
        <f t="shared" si="1611"/>
        <v>15:15:49.342</v>
      </c>
      <c r="CF4069">
        <v>341826122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3</v>
      </c>
      <c r="CY4069">
        <v>7</v>
      </c>
      <c r="CZ4069" t="s">
        <v>133</v>
      </c>
      <c r="DA4069">
        <v>276</v>
      </c>
      <c r="DB4069">
        <v>0</v>
      </c>
      <c r="DC4069" t="s">
        <v>402</v>
      </c>
      <c r="DD4069" t="s">
        <v>403</v>
      </c>
      <c r="DG4069">
        <v>1628380</v>
      </c>
      <c r="DI4069">
        <v>1</v>
      </c>
      <c r="DJ4069">
        <v>0</v>
      </c>
      <c r="DK4069">
        <v>1</v>
      </c>
      <c r="DL4069">
        <v>0</v>
      </c>
      <c r="DM4069">
        <v>0</v>
      </c>
      <c r="DN4069">
        <v>0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3">
      <c r="A4070" t="str">
        <f>"05/01/2025 15:15:51.022"</f>
        <v>05/01/2025 15:15:51.022</v>
      </c>
      <c r="C4070" t="str">
        <f t="shared" si="1596"/>
        <v>FFDFD3C0</v>
      </c>
      <c r="D4070" t="s">
        <v>145</v>
      </c>
      <c r="E4070" t="str">
        <f>"09"</f>
        <v>09</v>
      </c>
      <c r="H4070">
        <v>51</v>
      </c>
      <c r="I4070" t="s">
        <v>147</v>
      </c>
      <c r="J4070" t="s">
        <v>138</v>
      </c>
      <c r="K4070">
        <v>0</v>
      </c>
      <c r="L4070">
        <v>3</v>
      </c>
      <c r="M4070">
        <v>0</v>
      </c>
      <c r="N4070">
        <v>2</v>
      </c>
      <c r="O4070">
        <v>0</v>
      </c>
      <c r="P4070">
        <v>1</v>
      </c>
      <c r="Q4070">
        <v>0</v>
      </c>
      <c r="R4070" t="s">
        <v>127</v>
      </c>
      <c r="S4070" t="str">
        <f t="shared" ref="S4070:T4075" si="1612">"15:15:50.000"</f>
        <v>15:15:50.000</v>
      </c>
      <c r="T4070" t="str">
        <f t="shared" si="1612"/>
        <v>15:15:50.000</v>
      </c>
      <c r="U4070" t="str">
        <f t="shared" si="1598"/>
        <v>A68FCB</v>
      </c>
      <c r="V4070">
        <v>0</v>
      </c>
      <c r="W4070">
        <v>0</v>
      </c>
      <c r="X4070">
        <v>2</v>
      </c>
      <c r="Y4070">
        <v>0</v>
      </c>
      <c r="AA4070">
        <v>1</v>
      </c>
      <c r="AB4070">
        <v>8</v>
      </c>
      <c r="AC4070">
        <v>3</v>
      </c>
      <c r="AD4070">
        <v>0</v>
      </c>
      <c r="AE4070">
        <v>9</v>
      </c>
      <c r="AF4070" t="s">
        <v>138</v>
      </c>
      <c r="AG4070">
        <v>0</v>
      </c>
      <c r="AH4070">
        <v>3</v>
      </c>
      <c r="AI4070">
        <v>2</v>
      </c>
      <c r="AJ4070">
        <v>0</v>
      </c>
      <c r="AK4070" t="s">
        <v>1290</v>
      </c>
      <c r="AL4070">
        <v>39.185572000000001</v>
      </c>
      <c r="AM4070" t="s">
        <v>1291</v>
      </c>
      <c r="AN4070">
        <v>-121.02391</v>
      </c>
      <c r="AO4070">
        <v>25</v>
      </c>
      <c r="AP4070">
        <v>4400</v>
      </c>
      <c r="AQ4070" t="s">
        <v>131</v>
      </c>
      <c r="AR4070">
        <v>36</v>
      </c>
      <c r="AS4070">
        <v>69</v>
      </c>
      <c r="AT4070">
        <v>-64</v>
      </c>
      <c r="BB4070" t="str">
        <f t="shared" si="1599"/>
        <v>1200</v>
      </c>
      <c r="BC4070">
        <v>1</v>
      </c>
      <c r="BD4070" t="str">
        <f t="shared" si="1600"/>
        <v xml:space="preserve">N52156  </v>
      </c>
      <c r="BE4070">
        <v>1</v>
      </c>
      <c r="BG4070">
        <v>0</v>
      </c>
      <c r="BH4070">
        <v>0</v>
      </c>
      <c r="BI4070">
        <v>0</v>
      </c>
      <c r="BJ4070">
        <v>4525</v>
      </c>
      <c r="BK4070">
        <v>125</v>
      </c>
      <c r="BL4070" t="s">
        <v>188</v>
      </c>
      <c r="BM4070">
        <v>1</v>
      </c>
      <c r="BN4070">
        <v>1</v>
      </c>
      <c r="BO4070">
        <v>0</v>
      </c>
      <c r="BP4070">
        <v>0</v>
      </c>
      <c r="BS4070">
        <v>0</v>
      </c>
      <c r="BT4070">
        <v>0</v>
      </c>
      <c r="BU4070">
        <v>0</v>
      </c>
      <c r="CE4070" t="str">
        <f t="shared" ref="CE4070:CE4075" si="1613">"15:15:50.807"</f>
        <v>15:15:50.807</v>
      </c>
      <c r="CF4070">
        <v>806827368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3</v>
      </c>
      <c r="CY4070">
        <v>7</v>
      </c>
      <c r="CZ4070" t="s">
        <v>133</v>
      </c>
      <c r="DA4070">
        <v>276</v>
      </c>
      <c r="DB4070">
        <v>0</v>
      </c>
      <c r="DC4070" t="s">
        <v>402</v>
      </c>
      <c r="DD4070" t="s">
        <v>403</v>
      </c>
      <c r="DG4070">
        <v>1628384</v>
      </c>
      <c r="DI4070">
        <v>1</v>
      </c>
      <c r="DJ4070">
        <v>0</v>
      </c>
      <c r="DK4070">
        <v>0</v>
      </c>
      <c r="DL4070">
        <v>0</v>
      </c>
      <c r="DM4070">
        <v>0</v>
      </c>
      <c r="DN4070">
        <v>0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3">
      <c r="A4071" t="str">
        <f>"05/01/2025 15:15:51.028"</f>
        <v>05/01/2025 15:15:51.028</v>
      </c>
      <c r="C4071" t="str">
        <f t="shared" si="1596"/>
        <v>FFDFD3C0</v>
      </c>
      <c r="D4071" t="s">
        <v>145</v>
      </c>
      <c r="E4071" t="str">
        <f>"05"</f>
        <v>05</v>
      </c>
      <c r="H4071">
        <v>47</v>
      </c>
      <c r="I4071" t="s">
        <v>146</v>
      </c>
      <c r="J4071" t="s">
        <v>138</v>
      </c>
      <c r="K4071">
        <v>0</v>
      </c>
      <c r="L4071">
        <v>3</v>
      </c>
      <c r="M4071">
        <v>0</v>
      </c>
      <c r="N4071">
        <v>2</v>
      </c>
      <c r="O4071">
        <v>0</v>
      </c>
      <c r="P4071">
        <v>1</v>
      </c>
      <c r="Q4071">
        <v>0</v>
      </c>
      <c r="R4071" t="s">
        <v>127</v>
      </c>
      <c r="S4071" t="str">
        <f t="shared" si="1612"/>
        <v>15:15:50.000</v>
      </c>
      <c r="T4071" t="str">
        <f t="shared" si="1612"/>
        <v>15:15:50.000</v>
      </c>
      <c r="U4071" t="str">
        <f t="shared" si="1598"/>
        <v>A68FCB</v>
      </c>
      <c r="V4071">
        <v>0</v>
      </c>
      <c r="W4071">
        <v>0</v>
      </c>
      <c r="X4071">
        <v>2</v>
      </c>
      <c r="Y4071">
        <v>0</v>
      </c>
      <c r="AA4071">
        <v>1</v>
      </c>
      <c r="AB4071">
        <v>8</v>
      </c>
      <c r="AC4071">
        <v>3</v>
      </c>
      <c r="AD4071">
        <v>0</v>
      </c>
      <c r="AE4071">
        <v>9</v>
      </c>
      <c r="AF4071" t="s">
        <v>138</v>
      </c>
      <c r="AG4071">
        <v>0</v>
      </c>
      <c r="AH4071">
        <v>3</v>
      </c>
      <c r="AI4071">
        <v>2</v>
      </c>
      <c r="AJ4071">
        <v>0</v>
      </c>
      <c r="AK4071" t="s">
        <v>1290</v>
      </c>
      <c r="AL4071">
        <v>39.185572000000001</v>
      </c>
      <c r="AM4071" t="s">
        <v>1291</v>
      </c>
      <c r="AN4071">
        <v>-121.02391</v>
      </c>
      <c r="AO4071">
        <v>25</v>
      </c>
      <c r="AP4071">
        <v>4400</v>
      </c>
      <c r="AQ4071" t="s">
        <v>131</v>
      </c>
      <c r="AR4071">
        <v>36</v>
      </c>
      <c r="AS4071">
        <v>69</v>
      </c>
      <c r="AT4071">
        <v>-64</v>
      </c>
      <c r="BB4071" t="str">
        <f t="shared" si="1599"/>
        <v>1200</v>
      </c>
      <c r="BC4071">
        <v>1</v>
      </c>
      <c r="BD4071" t="str">
        <f t="shared" si="1600"/>
        <v xml:space="preserve">N52156  </v>
      </c>
      <c r="BE4071">
        <v>1</v>
      </c>
      <c r="BG4071">
        <v>0</v>
      </c>
      <c r="BH4071">
        <v>0</v>
      </c>
      <c r="BI4071">
        <v>0</v>
      </c>
      <c r="BJ4071">
        <v>4525</v>
      </c>
      <c r="BK4071">
        <v>125</v>
      </c>
      <c r="BL4071" t="s">
        <v>188</v>
      </c>
      <c r="BM4071">
        <v>1</v>
      </c>
      <c r="BN4071">
        <v>1</v>
      </c>
      <c r="BO4071">
        <v>0</v>
      </c>
      <c r="BP4071">
        <v>0</v>
      </c>
      <c r="BS4071">
        <v>0</v>
      </c>
      <c r="BT4071">
        <v>0</v>
      </c>
      <c r="BU4071">
        <v>0</v>
      </c>
      <c r="CE4071" t="str">
        <f t="shared" si="1613"/>
        <v>15:15:50.807</v>
      </c>
      <c r="CF4071">
        <v>806827368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3</v>
      </c>
      <c r="CY4071">
        <v>7</v>
      </c>
      <c r="CZ4071" t="s">
        <v>133</v>
      </c>
      <c r="DA4071">
        <v>276</v>
      </c>
      <c r="DB4071">
        <v>0</v>
      </c>
      <c r="DC4071" t="s">
        <v>402</v>
      </c>
      <c r="DD4071" t="s">
        <v>403</v>
      </c>
      <c r="DG4071">
        <v>1628384</v>
      </c>
      <c r="DI4071">
        <v>1</v>
      </c>
      <c r="DJ4071">
        <v>0</v>
      </c>
      <c r="DK4071">
        <v>1</v>
      </c>
      <c r="DL4071">
        <v>0</v>
      </c>
      <c r="DM4071">
        <v>0</v>
      </c>
      <c r="DN4071">
        <v>0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 x14ac:dyDescent="0.3">
      <c r="A4072" t="str">
        <f>"05/01/2025 15:15:51.039"</f>
        <v>05/01/2025 15:15:51.039</v>
      </c>
      <c r="C4072" t="str">
        <f t="shared" si="1596"/>
        <v>FFDFD3C0</v>
      </c>
      <c r="D4072" t="s">
        <v>136</v>
      </c>
      <c r="E4072" t="str">
        <f>"20"</f>
        <v>20</v>
      </c>
      <c r="H4072">
        <v>400</v>
      </c>
      <c r="I4072" t="s">
        <v>137</v>
      </c>
      <c r="J4072" t="s">
        <v>138</v>
      </c>
      <c r="K4072">
        <v>0</v>
      </c>
      <c r="L4072">
        <v>3</v>
      </c>
      <c r="M4072">
        <v>0</v>
      </c>
      <c r="N4072">
        <v>2</v>
      </c>
      <c r="O4072">
        <v>0</v>
      </c>
      <c r="P4072">
        <v>1</v>
      </c>
      <c r="Q4072">
        <v>0</v>
      </c>
      <c r="R4072" t="s">
        <v>127</v>
      </c>
      <c r="S4072" t="str">
        <f t="shared" si="1612"/>
        <v>15:15:50.000</v>
      </c>
      <c r="T4072" t="str">
        <f t="shared" si="1612"/>
        <v>15:15:50.000</v>
      </c>
      <c r="U4072" t="str">
        <f t="shared" si="1598"/>
        <v>A68FCB</v>
      </c>
      <c r="V4072">
        <v>0</v>
      </c>
      <c r="W4072">
        <v>0</v>
      </c>
      <c r="X4072">
        <v>2</v>
      </c>
      <c r="Y4072">
        <v>0</v>
      </c>
      <c r="AA4072">
        <v>1</v>
      </c>
      <c r="AB4072">
        <v>8</v>
      </c>
      <c r="AC4072">
        <v>3</v>
      </c>
      <c r="AD4072">
        <v>0</v>
      </c>
      <c r="AE4072">
        <v>9</v>
      </c>
      <c r="AF4072" t="s">
        <v>138</v>
      </c>
      <c r="AG4072">
        <v>0</v>
      </c>
      <c r="AH4072">
        <v>3</v>
      </c>
      <c r="AI4072">
        <v>2</v>
      </c>
      <c r="AJ4072">
        <v>0</v>
      </c>
      <c r="AK4072" t="s">
        <v>1290</v>
      </c>
      <c r="AL4072">
        <v>39.185572000000001</v>
      </c>
      <c r="AM4072" t="s">
        <v>1291</v>
      </c>
      <c r="AN4072">
        <v>-121.02391</v>
      </c>
      <c r="AO4072">
        <v>25</v>
      </c>
      <c r="AP4072">
        <v>4400</v>
      </c>
      <c r="AQ4072" t="s">
        <v>131</v>
      </c>
      <c r="AR4072">
        <v>36</v>
      </c>
      <c r="AS4072">
        <v>69</v>
      </c>
      <c r="AT4072">
        <v>-64</v>
      </c>
      <c r="BB4072" t="str">
        <f t="shared" si="1599"/>
        <v>1200</v>
      </c>
      <c r="BC4072">
        <v>1</v>
      </c>
      <c r="BD4072" t="str">
        <f t="shared" si="1600"/>
        <v xml:space="preserve">N52156  </v>
      </c>
      <c r="BE4072">
        <v>1</v>
      </c>
      <c r="BG4072">
        <v>0</v>
      </c>
      <c r="BH4072">
        <v>0</v>
      </c>
      <c r="BI4072">
        <v>0</v>
      </c>
      <c r="BJ4072">
        <v>4525</v>
      </c>
      <c r="BK4072">
        <v>125</v>
      </c>
      <c r="BL4072" t="s">
        <v>188</v>
      </c>
      <c r="BM4072">
        <v>1</v>
      </c>
      <c r="BN4072">
        <v>1</v>
      </c>
      <c r="BO4072">
        <v>0</v>
      </c>
      <c r="BP4072">
        <v>0</v>
      </c>
      <c r="BS4072">
        <v>0</v>
      </c>
      <c r="BT4072">
        <v>0</v>
      </c>
      <c r="BU4072">
        <v>0</v>
      </c>
      <c r="CE4072" t="str">
        <f t="shared" si="1613"/>
        <v>15:15:50.807</v>
      </c>
      <c r="CF4072">
        <v>806827368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3</v>
      </c>
      <c r="CY4072">
        <v>7</v>
      </c>
      <c r="CZ4072" t="s">
        <v>133</v>
      </c>
      <c r="DA4072">
        <v>276</v>
      </c>
      <c r="DB4072">
        <v>0</v>
      </c>
      <c r="DC4072" t="s">
        <v>402</v>
      </c>
      <c r="DD4072" t="s">
        <v>403</v>
      </c>
      <c r="DG4072">
        <v>1628384</v>
      </c>
      <c r="DI4072">
        <v>1</v>
      </c>
      <c r="DJ4072">
        <v>0</v>
      </c>
      <c r="DK4072">
        <v>1</v>
      </c>
      <c r="DL4072">
        <v>0</v>
      </c>
      <c r="DM4072">
        <v>0</v>
      </c>
      <c r="DN4072">
        <v>0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 x14ac:dyDescent="0.3">
      <c r="A4073" t="str">
        <f>"05/01/2025 15:15:51.058"</f>
        <v>05/01/2025 15:15:51.058</v>
      </c>
      <c r="C4073" t="str">
        <f t="shared" si="1596"/>
        <v>FFDFD3C0</v>
      </c>
      <c r="D4073" t="s">
        <v>143</v>
      </c>
      <c r="E4073" t="str">
        <f>"05"</f>
        <v>05</v>
      </c>
      <c r="H4073">
        <v>172</v>
      </c>
      <c r="I4073" t="s">
        <v>141</v>
      </c>
      <c r="J4073" t="s">
        <v>144</v>
      </c>
      <c r="K4073">
        <v>0</v>
      </c>
      <c r="L4073">
        <v>3</v>
      </c>
      <c r="M4073">
        <v>0</v>
      </c>
      <c r="N4073">
        <v>2</v>
      </c>
      <c r="O4073">
        <v>0</v>
      </c>
      <c r="P4073">
        <v>1</v>
      </c>
      <c r="Q4073">
        <v>0</v>
      </c>
      <c r="R4073" t="s">
        <v>127</v>
      </c>
      <c r="S4073" t="str">
        <f t="shared" si="1612"/>
        <v>15:15:50.000</v>
      </c>
      <c r="T4073" t="str">
        <f t="shared" si="1612"/>
        <v>15:15:50.000</v>
      </c>
      <c r="U4073" t="str">
        <f t="shared" si="1598"/>
        <v>A68FCB</v>
      </c>
      <c r="V4073">
        <v>0</v>
      </c>
      <c r="W4073">
        <v>0</v>
      </c>
      <c r="X4073">
        <v>2</v>
      </c>
      <c r="Y4073">
        <v>0</v>
      </c>
      <c r="AA4073">
        <v>1</v>
      </c>
      <c r="AB4073">
        <v>8</v>
      </c>
      <c r="AC4073">
        <v>3</v>
      </c>
      <c r="AD4073">
        <v>0</v>
      </c>
      <c r="AE4073">
        <v>9</v>
      </c>
      <c r="AF4073" t="s">
        <v>138</v>
      </c>
      <c r="AG4073">
        <v>0</v>
      </c>
      <c r="AH4073">
        <v>3</v>
      </c>
      <c r="AI4073">
        <v>2</v>
      </c>
      <c r="AJ4073">
        <v>0</v>
      </c>
      <c r="AK4073" t="s">
        <v>1290</v>
      </c>
      <c r="AL4073">
        <v>39.185572000000001</v>
      </c>
      <c r="AM4073" t="s">
        <v>1291</v>
      </c>
      <c r="AN4073">
        <v>-121.02391</v>
      </c>
      <c r="AO4073">
        <v>25</v>
      </c>
      <c r="AP4073">
        <v>4400</v>
      </c>
      <c r="AQ4073" t="s">
        <v>131</v>
      </c>
      <c r="AR4073">
        <v>36</v>
      </c>
      <c r="AS4073">
        <v>69</v>
      </c>
      <c r="AT4073">
        <v>-64</v>
      </c>
      <c r="BB4073" t="str">
        <f t="shared" si="1599"/>
        <v>1200</v>
      </c>
      <c r="BC4073">
        <v>1</v>
      </c>
      <c r="BD4073" t="str">
        <f t="shared" si="1600"/>
        <v xml:space="preserve">N52156  </v>
      </c>
      <c r="BE4073">
        <v>1</v>
      </c>
      <c r="BG4073">
        <v>0</v>
      </c>
      <c r="BH4073">
        <v>0</v>
      </c>
      <c r="BI4073">
        <v>0</v>
      </c>
      <c r="BJ4073">
        <v>4525</v>
      </c>
      <c r="BK4073">
        <v>125</v>
      </c>
      <c r="BL4073" t="s">
        <v>188</v>
      </c>
      <c r="BM4073">
        <v>1</v>
      </c>
      <c r="BN4073">
        <v>1</v>
      </c>
      <c r="BO4073">
        <v>0</v>
      </c>
      <c r="BP4073">
        <v>0</v>
      </c>
      <c r="BS4073">
        <v>0</v>
      </c>
      <c r="BT4073">
        <v>0</v>
      </c>
      <c r="BU4073">
        <v>0</v>
      </c>
      <c r="CE4073" t="str">
        <f t="shared" si="1613"/>
        <v>15:15:50.807</v>
      </c>
      <c r="CF4073">
        <v>806827368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3</v>
      </c>
      <c r="CY4073">
        <v>7</v>
      </c>
      <c r="CZ4073" t="s">
        <v>133</v>
      </c>
      <c r="DA4073">
        <v>276</v>
      </c>
      <c r="DB4073">
        <v>0</v>
      </c>
      <c r="DC4073" t="s">
        <v>402</v>
      </c>
      <c r="DD4073" t="s">
        <v>403</v>
      </c>
      <c r="DG4073">
        <v>1628384</v>
      </c>
      <c r="DI4073">
        <v>1</v>
      </c>
      <c r="DJ4073">
        <v>0</v>
      </c>
      <c r="DK4073">
        <v>1</v>
      </c>
      <c r="DL4073">
        <v>0</v>
      </c>
      <c r="DM4073">
        <v>0</v>
      </c>
      <c r="DN4073">
        <v>0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3">
      <c r="A4074" t="str">
        <f>"05/01/2025 15:15:51.061"</f>
        <v>05/01/2025 15:15:51.061</v>
      </c>
      <c r="C4074" t="str">
        <f t="shared" si="1596"/>
        <v>FFDFD3C0</v>
      </c>
      <c r="D4074" t="s">
        <v>140</v>
      </c>
      <c r="E4074" t="str">
        <f>"13"</f>
        <v>13</v>
      </c>
      <c r="F4074">
        <v>1019</v>
      </c>
      <c r="G4074" t="s">
        <v>141</v>
      </c>
      <c r="J4074" t="s">
        <v>142</v>
      </c>
      <c r="K4074">
        <v>0</v>
      </c>
      <c r="L4074">
        <v>3</v>
      </c>
      <c r="M4074">
        <v>0</v>
      </c>
      <c r="N4074">
        <v>2</v>
      </c>
      <c r="O4074">
        <v>0</v>
      </c>
      <c r="P4074">
        <v>1</v>
      </c>
      <c r="Q4074">
        <v>0</v>
      </c>
      <c r="R4074" t="s">
        <v>127</v>
      </c>
      <c r="S4074" t="str">
        <f t="shared" si="1612"/>
        <v>15:15:50.000</v>
      </c>
      <c r="T4074" t="str">
        <f t="shared" si="1612"/>
        <v>15:15:50.000</v>
      </c>
      <c r="U4074" t="str">
        <f t="shared" si="1598"/>
        <v>A68FCB</v>
      </c>
      <c r="V4074">
        <v>0</v>
      </c>
      <c r="W4074">
        <v>0</v>
      </c>
      <c r="X4074">
        <v>2</v>
      </c>
      <c r="Y4074">
        <v>0</v>
      </c>
      <c r="AA4074">
        <v>1</v>
      </c>
      <c r="AB4074">
        <v>8</v>
      </c>
      <c r="AC4074">
        <v>3</v>
      </c>
      <c r="AD4074">
        <v>0</v>
      </c>
      <c r="AE4074">
        <v>9</v>
      </c>
      <c r="AF4074" t="s">
        <v>138</v>
      </c>
      <c r="AG4074">
        <v>0</v>
      </c>
      <c r="AH4074">
        <v>3</v>
      </c>
      <c r="AI4074">
        <v>2</v>
      </c>
      <c r="AJ4074">
        <v>0</v>
      </c>
      <c r="AK4074" t="s">
        <v>1290</v>
      </c>
      <c r="AL4074">
        <v>39.185572000000001</v>
      </c>
      <c r="AM4074" t="s">
        <v>1291</v>
      </c>
      <c r="AN4074">
        <v>-121.02391</v>
      </c>
      <c r="AO4074">
        <v>25</v>
      </c>
      <c r="AP4074">
        <v>4400</v>
      </c>
      <c r="AQ4074" t="s">
        <v>131</v>
      </c>
      <c r="AR4074">
        <v>36</v>
      </c>
      <c r="AS4074">
        <v>69</v>
      </c>
      <c r="AT4074">
        <v>-64</v>
      </c>
      <c r="BB4074" t="str">
        <f t="shared" si="1599"/>
        <v>1200</v>
      </c>
      <c r="BC4074">
        <v>1</v>
      </c>
      <c r="BD4074" t="str">
        <f t="shared" si="1600"/>
        <v xml:space="preserve">N52156  </v>
      </c>
      <c r="BE4074">
        <v>1</v>
      </c>
      <c r="BG4074">
        <v>0</v>
      </c>
      <c r="BH4074">
        <v>0</v>
      </c>
      <c r="BI4074">
        <v>0</v>
      </c>
      <c r="BJ4074">
        <v>4525</v>
      </c>
      <c r="BK4074">
        <v>125</v>
      </c>
      <c r="BL4074" t="s">
        <v>188</v>
      </c>
      <c r="BM4074">
        <v>1</v>
      </c>
      <c r="BN4074">
        <v>1</v>
      </c>
      <c r="BO4074">
        <v>0</v>
      </c>
      <c r="BP4074">
        <v>0</v>
      </c>
      <c r="BS4074">
        <v>0</v>
      </c>
      <c r="BT4074">
        <v>0</v>
      </c>
      <c r="BU4074">
        <v>0</v>
      </c>
      <c r="CE4074" t="str">
        <f t="shared" si="1613"/>
        <v>15:15:50.807</v>
      </c>
      <c r="CF4074">
        <v>806827368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3</v>
      </c>
      <c r="CY4074">
        <v>7</v>
      </c>
      <c r="CZ4074" t="s">
        <v>133</v>
      </c>
      <c r="DA4074">
        <v>276</v>
      </c>
      <c r="DB4074">
        <v>0</v>
      </c>
      <c r="DC4074" t="s">
        <v>402</v>
      </c>
      <c r="DD4074" t="s">
        <v>403</v>
      </c>
      <c r="DG4074">
        <v>1628384</v>
      </c>
      <c r="DI4074">
        <v>1</v>
      </c>
      <c r="DJ4074">
        <v>0</v>
      </c>
      <c r="DK4074">
        <v>1</v>
      </c>
      <c r="DL4074">
        <v>0</v>
      </c>
      <c r="DM4074">
        <v>0</v>
      </c>
      <c r="DN4074">
        <v>0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3">
      <c r="A4075" t="str">
        <f>"05/01/2025 15:15:51.064"</f>
        <v>05/01/2025 15:15:51.064</v>
      </c>
      <c r="C4075" t="str">
        <f t="shared" si="1596"/>
        <v>FFDFD3C0</v>
      </c>
      <c r="D4075" t="s">
        <v>124</v>
      </c>
      <c r="E4075" t="str">
        <f>"06"</f>
        <v>06</v>
      </c>
      <c r="F4075">
        <v>2006</v>
      </c>
      <c r="G4075" t="s">
        <v>125</v>
      </c>
      <c r="J4075" t="s">
        <v>126</v>
      </c>
      <c r="K4075">
        <v>0</v>
      </c>
      <c r="L4075">
        <v>3</v>
      </c>
      <c r="M4075">
        <v>0</v>
      </c>
      <c r="N4075">
        <v>2</v>
      </c>
      <c r="O4075">
        <v>0</v>
      </c>
      <c r="P4075">
        <v>1</v>
      </c>
      <c r="Q4075">
        <v>0</v>
      </c>
      <c r="R4075" t="s">
        <v>127</v>
      </c>
      <c r="S4075" t="str">
        <f t="shared" si="1612"/>
        <v>15:15:50.000</v>
      </c>
      <c r="T4075" t="str">
        <f t="shared" si="1612"/>
        <v>15:15:50.000</v>
      </c>
      <c r="U4075" t="str">
        <f t="shared" si="1598"/>
        <v>A68FCB</v>
      </c>
      <c r="V4075">
        <v>0</v>
      </c>
      <c r="W4075">
        <v>0</v>
      </c>
      <c r="X4075">
        <v>2</v>
      </c>
      <c r="Y4075">
        <v>0</v>
      </c>
      <c r="AA4075">
        <v>1</v>
      </c>
      <c r="AB4075">
        <v>8</v>
      </c>
      <c r="AC4075">
        <v>3</v>
      </c>
      <c r="AD4075">
        <v>0</v>
      </c>
      <c r="AE4075">
        <v>9</v>
      </c>
      <c r="AF4075" t="s">
        <v>138</v>
      </c>
      <c r="AG4075">
        <v>0</v>
      </c>
      <c r="AH4075">
        <v>3</v>
      </c>
      <c r="AI4075">
        <v>2</v>
      </c>
      <c r="AJ4075">
        <v>0</v>
      </c>
      <c r="AK4075" t="s">
        <v>1290</v>
      </c>
      <c r="AL4075">
        <v>39.185572000000001</v>
      </c>
      <c r="AM4075" t="s">
        <v>1291</v>
      </c>
      <c r="AN4075">
        <v>-121.02391</v>
      </c>
      <c r="AO4075">
        <v>25</v>
      </c>
      <c r="AP4075">
        <v>4400</v>
      </c>
      <c r="AQ4075" t="s">
        <v>131</v>
      </c>
      <c r="AR4075">
        <v>36</v>
      </c>
      <c r="AS4075">
        <v>69</v>
      </c>
      <c r="AT4075">
        <v>-64</v>
      </c>
      <c r="BB4075" t="str">
        <f t="shared" si="1599"/>
        <v>1200</v>
      </c>
      <c r="BC4075">
        <v>1</v>
      </c>
      <c r="BD4075" t="str">
        <f t="shared" si="1600"/>
        <v xml:space="preserve">N52156  </v>
      </c>
      <c r="BE4075">
        <v>1</v>
      </c>
      <c r="BG4075">
        <v>0</v>
      </c>
      <c r="BH4075">
        <v>0</v>
      </c>
      <c r="BI4075">
        <v>0</v>
      </c>
      <c r="BJ4075">
        <v>4525</v>
      </c>
      <c r="BK4075">
        <v>125</v>
      </c>
      <c r="BL4075" t="s">
        <v>188</v>
      </c>
      <c r="BM4075">
        <v>1</v>
      </c>
      <c r="BN4075">
        <v>1</v>
      </c>
      <c r="BO4075">
        <v>0</v>
      </c>
      <c r="BP4075">
        <v>0</v>
      </c>
      <c r="BS4075">
        <v>0</v>
      </c>
      <c r="BT4075">
        <v>0</v>
      </c>
      <c r="BU4075">
        <v>0</v>
      </c>
      <c r="CE4075" t="str">
        <f t="shared" si="1613"/>
        <v>15:15:50.807</v>
      </c>
      <c r="CF4075">
        <v>806827368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3</v>
      </c>
      <c r="CY4075">
        <v>7</v>
      </c>
      <c r="CZ4075" t="s">
        <v>133</v>
      </c>
      <c r="DA4075">
        <v>276</v>
      </c>
      <c r="DB4075">
        <v>0</v>
      </c>
      <c r="DC4075" t="s">
        <v>402</v>
      </c>
      <c r="DD4075" t="s">
        <v>403</v>
      </c>
      <c r="DG4075">
        <v>1628384</v>
      </c>
      <c r="DI4075">
        <v>1</v>
      </c>
      <c r="DJ4075">
        <v>0</v>
      </c>
      <c r="DK4075">
        <v>1</v>
      </c>
      <c r="DL4075">
        <v>0</v>
      </c>
      <c r="DM4075">
        <v>0</v>
      </c>
      <c r="DN4075">
        <v>0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3">
      <c r="A4076" t="str">
        <f>"05/01/2025 15:15:51.624"</f>
        <v>05/01/2025 15:15:51.624</v>
      </c>
      <c r="C4076" t="str">
        <f t="shared" si="1596"/>
        <v>FFDFD3C0</v>
      </c>
      <c r="D4076" t="s">
        <v>145</v>
      </c>
      <c r="E4076" t="str">
        <f>"09"</f>
        <v>09</v>
      </c>
      <c r="H4076">
        <v>51</v>
      </c>
      <c r="I4076" t="s">
        <v>147</v>
      </c>
      <c r="J4076" t="s">
        <v>138</v>
      </c>
      <c r="K4076">
        <v>0</v>
      </c>
      <c r="L4076">
        <v>3</v>
      </c>
      <c r="M4076">
        <v>0</v>
      </c>
      <c r="N4076">
        <v>2</v>
      </c>
      <c r="O4076">
        <v>0</v>
      </c>
      <c r="P4076">
        <v>1</v>
      </c>
      <c r="Q4076">
        <v>0</v>
      </c>
      <c r="R4076" t="s">
        <v>127</v>
      </c>
      <c r="S4076" t="str">
        <f t="shared" ref="S4076:T4081" si="1614">"15:15:51.000"</f>
        <v>15:15:51.000</v>
      </c>
      <c r="T4076" t="str">
        <f t="shared" si="1614"/>
        <v>15:15:51.000</v>
      </c>
      <c r="U4076" t="str">
        <f t="shared" si="1598"/>
        <v>A68FCB</v>
      </c>
      <c r="V4076">
        <v>0</v>
      </c>
      <c r="W4076">
        <v>0</v>
      </c>
      <c r="X4076">
        <v>2</v>
      </c>
      <c r="Y4076">
        <v>0</v>
      </c>
      <c r="AA4076">
        <v>1</v>
      </c>
      <c r="AB4076">
        <v>8</v>
      </c>
      <c r="AC4076">
        <v>3</v>
      </c>
      <c r="AD4076">
        <v>0</v>
      </c>
      <c r="AE4076">
        <v>9</v>
      </c>
      <c r="AF4076" t="s">
        <v>138</v>
      </c>
      <c r="AG4076">
        <v>0</v>
      </c>
      <c r="AH4076">
        <v>3</v>
      </c>
      <c r="AI4076">
        <v>2</v>
      </c>
      <c r="AJ4076">
        <v>0</v>
      </c>
      <c r="AK4076" t="s">
        <v>1292</v>
      </c>
      <c r="AL4076">
        <v>39.185893999999998</v>
      </c>
      <c r="AM4076" t="s">
        <v>1293</v>
      </c>
      <c r="AN4076">
        <v>-121.023674</v>
      </c>
      <c r="AO4076">
        <v>25</v>
      </c>
      <c r="AP4076">
        <v>4400</v>
      </c>
      <c r="AQ4076" t="s">
        <v>131</v>
      </c>
      <c r="AR4076">
        <v>36</v>
      </c>
      <c r="AS4076">
        <v>69</v>
      </c>
      <c r="AT4076">
        <v>-64</v>
      </c>
      <c r="BB4076" t="str">
        <f t="shared" si="1599"/>
        <v>1200</v>
      </c>
      <c r="BC4076">
        <v>1</v>
      </c>
      <c r="BD4076" t="str">
        <f t="shared" si="1600"/>
        <v xml:space="preserve">N52156  </v>
      </c>
      <c r="BE4076">
        <v>1</v>
      </c>
      <c r="BG4076">
        <v>0</v>
      </c>
      <c r="BH4076">
        <v>0</v>
      </c>
      <c r="BI4076">
        <v>0</v>
      </c>
      <c r="BJ4076">
        <v>4525</v>
      </c>
      <c r="BK4076">
        <v>125</v>
      </c>
      <c r="BL4076" t="s">
        <v>188</v>
      </c>
      <c r="BM4076">
        <v>1</v>
      </c>
      <c r="BN4076">
        <v>1</v>
      </c>
      <c r="BO4076">
        <v>0</v>
      </c>
      <c r="BP4076">
        <v>0</v>
      </c>
      <c r="BS4076">
        <v>0</v>
      </c>
      <c r="BT4076">
        <v>0</v>
      </c>
      <c r="BU4076">
        <v>0</v>
      </c>
      <c r="CE4076" t="str">
        <f t="shared" ref="CE4076:CE4081" si="1615">"15:15:51.427"</f>
        <v>15:15:51.427</v>
      </c>
      <c r="CF4076">
        <v>426576469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3</v>
      </c>
      <c r="CY4076">
        <v>7</v>
      </c>
      <c r="CZ4076" t="s">
        <v>133</v>
      </c>
      <c r="DA4076">
        <v>276</v>
      </c>
      <c r="DB4076">
        <v>0</v>
      </c>
      <c r="DC4076" t="s">
        <v>402</v>
      </c>
      <c r="DD4076" t="s">
        <v>403</v>
      </c>
      <c r="DG4076">
        <v>1628387</v>
      </c>
      <c r="DI4076">
        <v>1</v>
      </c>
      <c r="DJ4076">
        <v>0</v>
      </c>
      <c r="DK4076">
        <v>0</v>
      </c>
      <c r="DL4076">
        <v>0</v>
      </c>
      <c r="DM4076">
        <v>0</v>
      </c>
      <c r="DN4076">
        <v>0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3">
      <c r="A4077" t="str">
        <f>"05/01/2025 15:15:51.629"</f>
        <v>05/01/2025 15:15:51.629</v>
      </c>
      <c r="C4077" t="str">
        <f t="shared" si="1596"/>
        <v>FFDFD3C0</v>
      </c>
      <c r="D4077" t="s">
        <v>145</v>
      </c>
      <c r="E4077" t="str">
        <f>"05"</f>
        <v>05</v>
      </c>
      <c r="H4077">
        <v>47</v>
      </c>
      <c r="I4077" t="s">
        <v>146</v>
      </c>
      <c r="J4077" t="s">
        <v>138</v>
      </c>
      <c r="K4077">
        <v>0</v>
      </c>
      <c r="L4077">
        <v>3</v>
      </c>
      <c r="M4077">
        <v>0</v>
      </c>
      <c r="N4077">
        <v>2</v>
      </c>
      <c r="O4077">
        <v>0</v>
      </c>
      <c r="P4077">
        <v>1</v>
      </c>
      <c r="Q4077">
        <v>0</v>
      </c>
      <c r="R4077" t="s">
        <v>127</v>
      </c>
      <c r="S4077" t="str">
        <f t="shared" si="1614"/>
        <v>15:15:51.000</v>
      </c>
      <c r="T4077" t="str">
        <f t="shared" si="1614"/>
        <v>15:15:51.000</v>
      </c>
      <c r="U4077" t="str">
        <f t="shared" si="1598"/>
        <v>A68FCB</v>
      </c>
      <c r="V4077">
        <v>0</v>
      </c>
      <c r="W4077">
        <v>0</v>
      </c>
      <c r="X4077">
        <v>2</v>
      </c>
      <c r="Y4077">
        <v>0</v>
      </c>
      <c r="AA4077">
        <v>1</v>
      </c>
      <c r="AB4077">
        <v>8</v>
      </c>
      <c r="AC4077">
        <v>3</v>
      </c>
      <c r="AD4077">
        <v>0</v>
      </c>
      <c r="AE4077">
        <v>9</v>
      </c>
      <c r="AF4077" t="s">
        <v>138</v>
      </c>
      <c r="AG4077">
        <v>0</v>
      </c>
      <c r="AH4077">
        <v>3</v>
      </c>
      <c r="AI4077">
        <v>2</v>
      </c>
      <c r="AJ4077">
        <v>0</v>
      </c>
      <c r="AK4077" t="s">
        <v>1292</v>
      </c>
      <c r="AL4077">
        <v>39.185893999999998</v>
      </c>
      <c r="AM4077" t="s">
        <v>1293</v>
      </c>
      <c r="AN4077">
        <v>-121.023674</v>
      </c>
      <c r="AO4077">
        <v>25</v>
      </c>
      <c r="AP4077">
        <v>4400</v>
      </c>
      <c r="AQ4077" t="s">
        <v>131</v>
      </c>
      <c r="AR4077">
        <v>36</v>
      </c>
      <c r="AS4077">
        <v>69</v>
      </c>
      <c r="AT4077">
        <v>-64</v>
      </c>
      <c r="BB4077" t="str">
        <f t="shared" si="1599"/>
        <v>1200</v>
      </c>
      <c r="BC4077">
        <v>1</v>
      </c>
      <c r="BD4077" t="str">
        <f t="shared" si="1600"/>
        <v xml:space="preserve">N52156  </v>
      </c>
      <c r="BE4077">
        <v>1</v>
      </c>
      <c r="BG4077">
        <v>0</v>
      </c>
      <c r="BH4077">
        <v>0</v>
      </c>
      <c r="BI4077">
        <v>0</v>
      </c>
      <c r="BJ4077">
        <v>4525</v>
      </c>
      <c r="BK4077">
        <v>125</v>
      </c>
      <c r="BL4077" t="s">
        <v>188</v>
      </c>
      <c r="BM4077">
        <v>1</v>
      </c>
      <c r="BN4077">
        <v>1</v>
      </c>
      <c r="BO4077">
        <v>0</v>
      </c>
      <c r="BP4077">
        <v>0</v>
      </c>
      <c r="BS4077">
        <v>0</v>
      </c>
      <c r="BT4077">
        <v>0</v>
      </c>
      <c r="BU4077">
        <v>0</v>
      </c>
      <c r="CE4077" t="str">
        <f t="shared" si="1615"/>
        <v>15:15:51.427</v>
      </c>
      <c r="CF4077">
        <v>426576469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3</v>
      </c>
      <c r="CY4077">
        <v>7</v>
      </c>
      <c r="CZ4077" t="s">
        <v>133</v>
      </c>
      <c r="DA4077">
        <v>276</v>
      </c>
      <c r="DB4077">
        <v>0</v>
      </c>
      <c r="DC4077" t="s">
        <v>402</v>
      </c>
      <c r="DD4077" t="s">
        <v>403</v>
      </c>
      <c r="DG4077">
        <v>1628387</v>
      </c>
      <c r="DI4077">
        <v>1</v>
      </c>
      <c r="DJ4077">
        <v>0</v>
      </c>
      <c r="DK4077">
        <v>1</v>
      </c>
      <c r="DL4077">
        <v>0</v>
      </c>
      <c r="DM4077">
        <v>0</v>
      </c>
      <c r="DN4077">
        <v>0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 x14ac:dyDescent="0.3">
      <c r="A4078" t="str">
        <f>"05/01/2025 15:15:51.640"</f>
        <v>05/01/2025 15:15:51.640</v>
      </c>
      <c r="C4078" t="str">
        <f t="shared" si="1596"/>
        <v>FFDFD3C0</v>
      </c>
      <c r="D4078" t="s">
        <v>136</v>
      </c>
      <c r="E4078" t="str">
        <f>"20"</f>
        <v>20</v>
      </c>
      <c r="H4078">
        <v>400</v>
      </c>
      <c r="I4078" t="s">
        <v>137</v>
      </c>
      <c r="J4078" t="s">
        <v>138</v>
      </c>
      <c r="K4078">
        <v>0</v>
      </c>
      <c r="L4078">
        <v>3</v>
      </c>
      <c r="M4078">
        <v>0</v>
      </c>
      <c r="N4078">
        <v>2</v>
      </c>
      <c r="O4078">
        <v>0</v>
      </c>
      <c r="P4078">
        <v>1</v>
      </c>
      <c r="Q4078">
        <v>0</v>
      </c>
      <c r="R4078" t="s">
        <v>127</v>
      </c>
      <c r="S4078" t="str">
        <f t="shared" si="1614"/>
        <v>15:15:51.000</v>
      </c>
      <c r="T4078" t="str">
        <f t="shared" si="1614"/>
        <v>15:15:51.000</v>
      </c>
      <c r="U4078" t="str">
        <f t="shared" si="1598"/>
        <v>A68FCB</v>
      </c>
      <c r="V4078">
        <v>0</v>
      </c>
      <c r="W4078">
        <v>0</v>
      </c>
      <c r="X4078">
        <v>2</v>
      </c>
      <c r="Y4078">
        <v>0</v>
      </c>
      <c r="AA4078">
        <v>1</v>
      </c>
      <c r="AB4078">
        <v>8</v>
      </c>
      <c r="AC4078">
        <v>3</v>
      </c>
      <c r="AD4078">
        <v>0</v>
      </c>
      <c r="AE4078">
        <v>9</v>
      </c>
      <c r="AF4078" t="s">
        <v>138</v>
      </c>
      <c r="AG4078">
        <v>0</v>
      </c>
      <c r="AH4078">
        <v>3</v>
      </c>
      <c r="AI4078">
        <v>2</v>
      </c>
      <c r="AJ4078">
        <v>0</v>
      </c>
      <c r="AK4078" t="s">
        <v>1292</v>
      </c>
      <c r="AL4078">
        <v>39.185893999999998</v>
      </c>
      <c r="AM4078" t="s">
        <v>1293</v>
      </c>
      <c r="AN4078">
        <v>-121.023674</v>
      </c>
      <c r="AO4078">
        <v>25</v>
      </c>
      <c r="AP4078">
        <v>4400</v>
      </c>
      <c r="AQ4078" t="s">
        <v>131</v>
      </c>
      <c r="AR4078">
        <v>36</v>
      </c>
      <c r="AS4078">
        <v>69</v>
      </c>
      <c r="AT4078">
        <v>-64</v>
      </c>
      <c r="BB4078" t="str">
        <f t="shared" si="1599"/>
        <v>1200</v>
      </c>
      <c r="BC4078">
        <v>1</v>
      </c>
      <c r="BD4078" t="str">
        <f t="shared" si="1600"/>
        <v xml:space="preserve">N52156  </v>
      </c>
      <c r="BE4078">
        <v>1</v>
      </c>
      <c r="BG4078">
        <v>0</v>
      </c>
      <c r="BH4078">
        <v>0</v>
      </c>
      <c r="BI4078">
        <v>0</v>
      </c>
      <c r="BJ4078">
        <v>4525</v>
      </c>
      <c r="BK4078">
        <v>125</v>
      </c>
      <c r="BL4078" t="s">
        <v>188</v>
      </c>
      <c r="BM4078">
        <v>1</v>
      </c>
      <c r="BN4078">
        <v>1</v>
      </c>
      <c r="BO4078">
        <v>0</v>
      </c>
      <c r="BP4078">
        <v>0</v>
      </c>
      <c r="BS4078">
        <v>0</v>
      </c>
      <c r="BT4078">
        <v>0</v>
      </c>
      <c r="BU4078">
        <v>0</v>
      </c>
      <c r="CE4078" t="str">
        <f t="shared" si="1615"/>
        <v>15:15:51.427</v>
      </c>
      <c r="CF4078">
        <v>426576469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3</v>
      </c>
      <c r="CY4078">
        <v>7</v>
      </c>
      <c r="CZ4078" t="s">
        <v>133</v>
      </c>
      <c r="DA4078">
        <v>276</v>
      </c>
      <c r="DB4078">
        <v>0</v>
      </c>
      <c r="DC4078" t="s">
        <v>402</v>
      </c>
      <c r="DD4078" t="s">
        <v>403</v>
      </c>
      <c r="DG4078">
        <v>1628387</v>
      </c>
      <c r="DI4078">
        <v>1</v>
      </c>
      <c r="DJ4078">
        <v>0</v>
      </c>
      <c r="DK4078">
        <v>1</v>
      </c>
      <c r="DL4078">
        <v>0</v>
      </c>
      <c r="DM4078">
        <v>0</v>
      </c>
      <c r="DN4078">
        <v>0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 x14ac:dyDescent="0.3">
      <c r="A4079" t="str">
        <f>"05/01/2025 15:15:51.659"</f>
        <v>05/01/2025 15:15:51.659</v>
      </c>
      <c r="C4079" t="str">
        <f t="shared" si="1596"/>
        <v>FFDFD3C0</v>
      </c>
      <c r="D4079" t="s">
        <v>143</v>
      </c>
      <c r="E4079" t="str">
        <f>"05"</f>
        <v>05</v>
      </c>
      <c r="H4079">
        <v>172</v>
      </c>
      <c r="I4079" t="s">
        <v>141</v>
      </c>
      <c r="J4079" t="s">
        <v>144</v>
      </c>
      <c r="K4079">
        <v>0</v>
      </c>
      <c r="L4079">
        <v>3</v>
      </c>
      <c r="M4079">
        <v>0</v>
      </c>
      <c r="N4079">
        <v>2</v>
      </c>
      <c r="O4079">
        <v>0</v>
      </c>
      <c r="P4079">
        <v>1</v>
      </c>
      <c r="Q4079">
        <v>0</v>
      </c>
      <c r="R4079" t="s">
        <v>127</v>
      </c>
      <c r="S4079" t="str">
        <f t="shared" si="1614"/>
        <v>15:15:51.000</v>
      </c>
      <c r="T4079" t="str">
        <f t="shared" si="1614"/>
        <v>15:15:51.000</v>
      </c>
      <c r="U4079" t="str">
        <f t="shared" si="1598"/>
        <v>A68FCB</v>
      </c>
      <c r="V4079">
        <v>0</v>
      </c>
      <c r="W4079">
        <v>0</v>
      </c>
      <c r="X4079">
        <v>2</v>
      </c>
      <c r="Y4079">
        <v>0</v>
      </c>
      <c r="AA4079">
        <v>1</v>
      </c>
      <c r="AB4079">
        <v>8</v>
      </c>
      <c r="AC4079">
        <v>3</v>
      </c>
      <c r="AD4079">
        <v>0</v>
      </c>
      <c r="AE4079">
        <v>9</v>
      </c>
      <c r="AF4079" t="s">
        <v>138</v>
      </c>
      <c r="AG4079">
        <v>0</v>
      </c>
      <c r="AH4079">
        <v>3</v>
      </c>
      <c r="AI4079">
        <v>2</v>
      </c>
      <c r="AJ4079">
        <v>0</v>
      </c>
      <c r="AK4079" t="s">
        <v>1292</v>
      </c>
      <c r="AL4079">
        <v>39.185893999999998</v>
      </c>
      <c r="AM4079" t="s">
        <v>1293</v>
      </c>
      <c r="AN4079">
        <v>-121.023674</v>
      </c>
      <c r="AO4079">
        <v>25</v>
      </c>
      <c r="AP4079">
        <v>4400</v>
      </c>
      <c r="AQ4079" t="s">
        <v>131</v>
      </c>
      <c r="AR4079">
        <v>36</v>
      </c>
      <c r="AS4079">
        <v>69</v>
      </c>
      <c r="AT4079">
        <v>-64</v>
      </c>
      <c r="BB4079" t="str">
        <f t="shared" si="1599"/>
        <v>1200</v>
      </c>
      <c r="BC4079">
        <v>1</v>
      </c>
      <c r="BD4079" t="str">
        <f t="shared" si="1600"/>
        <v xml:space="preserve">N52156  </v>
      </c>
      <c r="BE4079">
        <v>1</v>
      </c>
      <c r="BG4079">
        <v>0</v>
      </c>
      <c r="BH4079">
        <v>0</v>
      </c>
      <c r="BI4079">
        <v>0</v>
      </c>
      <c r="BJ4079">
        <v>4525</v>
      </c>
      <c r="BK4079">
        <v>125</v>
      </c>
      <c r="BL4079" t="s">
        <v>188</v>
      </c>
      <c r="BM4079">
        <v>1</v>
      </c>
      <c r="BN4079">
        <v>1</v>
      </c>
      <c r="BO4079">
        <v>0</v>
      </c>
      <c r="BP4079">
        <v>0</v>
      </c>
      <c r="BS4079">
        <v>0</v>
      </c>
      <c r="BT4079">
        <v>0</v>
      </c>
      <c r="BU4079">
        <v>0</v>
      </c>
      <c r="CE4079" t="str">
        <f t="shared" si="1615"/>
        <v>15:15:51.427</v>
      </c>
      <c r="CF4079">
        <v>426576469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3</v>
      </c>
      <c r="CY4079">
        <v>7</v>
      </c>
      <c r="CZ4079" t="s">
        <v>133</v>
      </c>
      <c r="DA4079">
        <v>276</v>
      </c>
      <c r="DB4079">
        <v>0</v>
      </c>
      <c r="DC4079" t="s">
        <v>402</v>
      </c>
      <c r="DD4079" t="s">
        <v>403</v>
      </c>
      <c r="DG4079">
        <v>1628387</v>
      </c>
      <c r="DI4079">
        <v>1</v>
      </c>
      <c r="DJ4079">
        <v>0</v>
      </c>
      <c r="DK4079">
        <v>1</v>
      </c>
      <c r="DL4079">
        <v>0</v>
      </c>
      <c r="DM4079">
        <v>0</v>
      </c>
      <c r="DN4079">
        <v>0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 x14ac:dyDescent="0.3">
      <c r="A4080" t="str">
        <f>"05/01/2025 15:15:51.661"</f>
        <v>05/01/2025 15:15:51.661</v>
      </c>
      <c r="C4080" t="str">
        <f t="shared" si="1596"/>
        <v>FFDFD3C0</v>
      </c>
      <c r="D4080" t="s">
        <v>140</v>
      </c>
      <c r="E4080" t="str">
        <f>"13"</f>
        <v>13</v>
      </c>
      <c r="F4080">
        <v>1019</v>
      </c>
      <c r="G4080" t="s">
        <v>141</v>
      </c>
      <c r="J4080" t="s">
        <v>142</v>
      </c>
      <c r="K4080">
        <v>0</v>
      </c>
      <c r="L4080">
        <v>3</v>
      </c>
      <c r="M4080">
        <v>0</v>
      </c>
      <c r="N4080">
        <v>2</v>
      </c>
      <c r="O4080">
        <v>0</v>
      </c>
      <c r="P4080">
        <v>1</v>
      </c>
      <c r="Q4080">
        <v>0</v>
      </c>
      <c r="R4080" t="s">
        <v>127</v>
      </c>
      <c r="S4080" t="str">
        <f t="shared" si="1614"/>
        <v>15:15:51.000</v>
      </c>
      <c r="T4080" t="str">
        <f t="shared" si="1614"/>
        <v>15:15:51.000</v>
      </c>
      <c r="U4080" t="str">
        <f t="shared" si="1598"/>
        <v>A68FCB</v>
      </c>
      <c r="V4080">
        <v>0</v>
      </c>
      <c r="W4080">
        <v>0</v>
      </c>
      <c r="X4080">
        <v>2</v>
      </c>
      <c r="Y4080">
        <v>0</v>
      </c>
      <c r="AA4080">
        <v>1</v>
      </c>
      <c r="AB4080">
        <v>8</v>
      </c>
      <c r="AC4080">
        <v>3</v>
      </c>
      <c r="AD4080">
        <v>0</v>
      </c>
      <c r="AE4080">
        <v>9</v>
      </c>
      <c r="AF4080" t="s">
        <v>138</v>
      </c>
      <c r="AG4080">
        <v>0</v>
      </c>
      <c r="AH4080">
        <v>3</v>
      </c>
      <c r="AI4080">
        <v>2</v>
      </c>
      <c r="AJ4080">
        <v>0</v>
      </c>
      <c r="AK4080" t="s">
        <v>1292</v>
      </c>
      <c r="AL4080">
        <v>39.185893999999998</v>
      </c>
      <c r="AM4080" t="s">
        <v>1293</v>
      </c>
      <c r="AN4080">
        <v>-121.023674</v>
      </c>
      <c r="AO4080">
        <v>25</v>
      </c>
      <c r="AP4080">
        <v>4400</v>
      </c>
      <c r="AQ4080" t="s">
        <v>131</v>
      </c>
      <c r="AR4080">
        <v>36</v>
      </c>
      <c r="AS4080">
        <v>69</v>
      </c>
      <c r="AT4080">
        <v>-64</v>
      </c>
      <c r="BB4080" t="str">
        <f t="shared" si="1599"/>
        <v>1200</v>
      </c>
      <c r="BC4080">
        <v>1</v>
      </c>
      <c r="BD4080" t="str">
        <f t="shared" si="1600"/>
        <v xml:space="preserve">N52156  </v>
      </c>
      <c r="BE4080">
        <v>1</v>
      </c>
      <c r="BG4080">
        <v>0</v>
      </c>
      <c r="BH4080">
        <v>0</v>
      </c>
      <c r="BI4080">
        <v>0</v>
      </c>
      <c r="BJ4080">
        <v>4525</v>
      </c>
      <c r="BK4080">
        <v>125</v>
      </c>
      <c r="BL4080" t="s">
        <v>188</v>
      </c>
      <c r="BM4080">
        <v>1</v>
      </c>
      <c r="BN4080">
        <v>1</v>
      </c>
      <c r="BO4080">
        <v>0</v>
      </c>
      <c r="BP4080">
        <v>0</v>
      </c>
      <c r="BS4080">
        <v>0</v>
      </c>
      <c r="BT4080">
        <v>0</v>
      </c>
      <c r="BU4080">
        <v>0</v>
      </c>
      <c r="CE4080" t="str">
        <f t="shared" si="1615"/>
        <v>15:15:51.427</v>
      </c>
      <c r="CF4080">
        <v>426576469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3</v>
      </c>
      <c r="CY4080">
        <v>7</v>
      </c>
      <c r="CZ4080" t="s">
        <v>133</v>
      </c>
      <c r="DA4080">
        <v>276</v>
      </c>
      <c r="DB4080">
        <v>0</v>
      </c>
      <c r="DC4080" t="s">
        <v>402</v>
      </c>
      <c r="DD4080" t="s">
        <v>403</v>
      </c>
      <c r="DG4080">
        <v>1628387</v>
      </c>
      <c r="DI4080">
        <v>1</v>
      </c>
      <c r="DJ4080">
        <v>0</v>
      </c>
      <c r="DK4080">
        <v>1</v>
      </c>
      <c r="DL4080">
        <v>0</v>
      </c>
      <c r="DM4080">
        <v>0</v>
      </c>
      <c r="DN4080">
        <v>0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3">
      <c r="A4081" t="str">
        <f>"05/01/2025 15:15:51.665"</f>
        <v>05/01/2025 15:15:51.665</v>
      </c>
      <c r="C4081" t="str">
        <f t="shared" si="1596"/>
        <v>FFDFD3C0</v>
      </c>
      <c r="D4081" t="s">
        <v>124</v>
      </c>
      <c r="E4081" t="str">
        <f>"06"</f>
        <v>06</v>
      </c>
      <c r="F4081">
        <v>2006</v>
      </c>
      <c r="G4081" t="s">
        <v>125</v>
      </c>
      <c r="J4081" t="s">
        <v>126</v>
      </c>
      <c r="K4081">
        <v>0</v>
      </c>
      <c r="L4081">
        <v>3</v>
      </c>
      <c r="M4081">
        <v>0</v>
      </c>
      <c r="N4081">
        <v>2</v>
      </c>
      <c r="O4081">
        <v>0</v>
      </c>
      <c r="P4081">
        <v>1</v>
      </c>
      <c r="Q4081">
        <v>0</v>
      </c>
      <c r="R4081" t="s">
        <v>127</v>
      </c>
      <c r="S4081" t="str">
        <f t="shared" si="1614"/>
        <v>15:15:51.000</v>
      </c>
      <c r="T4081" t="str">
        <f t="shared" si="1614"/>
        <v>15:15:51.000</v>
      </c>
      <c r="U4081" t="str">
        <f t="shared" si="1598"/>
        <v>A68FCB</v>
      </c>
      <c r="V4081">
        <v>0</v>
      </c>
      <c r="W4081">
        <v>0</v>
      </c>
      <c r="X4081">
        <v>2</v>
      </c>
      <c r="Y4081">
        <v>0</v>
      </c>
      <c r="AA4081">
        <v>1</v>
      </c>
      <c r="AB4081">
        <v>8</v>
      </c>
      <c r="AC4081">
        <v>3</v>
      </c>
      <c r="AD4081">
        <v>0</v>
      </c>
      <c r="AE4081">
        <v>9</v>
      </c>
      <c r="AF4081" t="s">
        <v>138</v>
      </c>
      <c r="AG4081">
        <v>0</v>
      </c>
      <c r="AH4081">
        <v>3</v>
      </c>
      <c r="AI4081">
        <v>2</v>
      </c>
      <c r="AJ4081">
        <v>0</v>
      </c>
      <c r="AK4081" t="s">
        <v>1292</v>
      </c>
      <c r="AL4081">
        <v>39.185893999999998</v>
      </c>
      <c r="AM4081" t="s">
        <v>1293</v>
      </c>
      <c r="AN4081">
        <v>-121.023674</v>
      </c>
      <c r="AO4081">
        <v>25</v>
      </c>
      <c r="AP4081">
        <v>4400</v>
      </c>
      <c r="AQ4081" t="s">
        <v>131</v>
      </c>
      <c r="AR4081">
        <v>36</v>
      </c>
      <c r="AS4081">
        <v>69</v>
      </c>
      <c r="AT4081">
        <v>-64</v>
      </c>
      <c r="BB4081" t="str">
        <f t="shared" si="1599"/>
        <v>1200</v>
      </c>
      <c r="BC4081">
        <v>1</v>
      </c>
      <c r="BD4081" t="str">
        <f t="shared" si="1600"/>
        <v xml:space="preserve">N52156  </v>
      </c>
      <c r="BE4081">
        <v>1</v>
      </c>
      <c r="BG4081">
        <v>0</v>
      </c>
      <c r="BH4081">
        <v>0</v>
      </c>
      <c r="BI4081">
        <v>0</v>
      </c>
      <c r="BJ4081">
        <v>4525</v>
      </c>
      <c r="BK4081">
        <v>125</v>
      </c>
      <c r="BL4081" t="s">
        <v>188</v>
      </c>
      <c r="BM4081">
        <v>1</v>
      </c>
      <c r="BN4081">
        <v>1</v>
      </c>
      <c r="BO4081">
        <v>0</v>
      </c>
      <c r="BP4081">
        <v>0</v>
      </c>
      <c r="BS4081">
        <v>0</v>
      </c>
      <c r="BT4081">
        <v>0</v>
      </c>
      <c r="BU4081">
        <v>0</v>
      </c>
      <c r="CE4081" t="str">
        <f t="shared" si="1615"/>
        <v>15:15:51.427</v>
      </c>
      <c r="CF4081">
        <v>426576469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3</v>
      </c>
      <c r="CY4081">
        <v>7</v>
      </c>
      <c r="CZ4081" t="s">
        <v>133</v>
      </c>
      <c r="DA4081">
        <v>276</v>
      </c>
      <c r="DB4081">
        <v>0</v>
      </c>
      <c r="DC4081" t="s">
        <v>402</v>
      </c>
      <c r="DD4081" t="s">
        <v>403</v>
      </c>
      <c r="DG4081">
        <v>1628387</v>
      </c>
      <c r="DI4081">
        <v>1</v>
      </c>
      <c r="DJ4081">
        <v>0</v>
      </c>
      <c r="DK4081">
        <v>1</v>
      </c>
      <c r="DL4081">
        <v>0</v>
      </c>
      <c r="DM4081">
        <v>0</v>
      </c>
      <c r="DN4081">
        <v>0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3">
      <c r="A4082" t="str">
        <f>"05/01/2025 15:15:52.911"</f>
        <v>05/01/2025 15:15:52.911</v>
      </c>
      <c r="C4082" t="str">
        <f t="shared" si="1596"/>
        <v>FFDFD3C0</v>
      </c>
      <c r="D4082" t="s">
        <v>143</v>
      </c>
      <c r="E4082" t="str">
        <f>"05"</f>
        <v>05</v>
      </c>
      <c r="H4082">
        <v>172</v>
      </c>
      <c r="I4082" t="s">
        <v>141</v>
      </c>
      <c r="J4082" t="s">
        <v>144</v>
      </c>
      <c r="K4082">
        <v>0</v>
      </c>
      <c r="L4082">
        <v>3</v>
      </c>
      <c r="M4082">
        <v>0</v>
      </c>
      <c r="N4082">
        <v>2</v>
      </c>
      <c r="O4082">
        <v>0</v>
      </c>
      <c r="P4082">
        <v>1</v>
      </c>
      <c r="Q4082">
        <v>0</v>
      </c>
      <c r="R4082" t="s">
        <v>127</v>
      </c>
      <c r="S4082" t="str">
        <f t="shared" ref="S4082:T4087" si="1616">"15:15:52.000"</f>
        <v>15:15:52.000</v>
      </c>
      <c r="T4082" t="str">
        <f t="shared" si="1616"/>
        <v>15:15:52.000</v>
      </c>
      <c r="U4082" t="str">
        <f t="shared" si="1598"/>
        <v>A68FCB</v>
      </c>
      <c r="V4082">
        <v>0</v>
      </c>
      <c r="W4082">
        <v>0</v>
      </c>
      <c r="X4082">
        <v>2</v>
      </c>
      <c r="Y4082">
        <v>0</v>
      </c>
      <c r="AA4082">
        <v>1</v>
      </c>
      <c r="AB4082">
        <v>8</v>
      </c>
      <c r="AC4082">
        <v>3</v>
      </c>
      <c r="AD4082">
        <v>0</v>
      </c>
      <c r="AE4082">
        <v>9</v>
      </c>
      <c r="AF4082" t="s">
        <v>138</v>
      </c>
      <c r="AG4082">
        <v>0</v>
      </c>
      <c r="AH4082">
        <v>3</v>
      </c>
      <c r="AI4082">
        <v>2</v>
      </c>
      <c r="AJ4082">
        <v>0</v>
      </c>
      <c r="AK4082" t="s">
        <v>1294</v>
      </c>
      <c r="AL4082">
        <v>39.186214999999997</v>
      </c>
      <c r="AM4082" t="s">
        <v>1295</v>
      </c>
      <c r="AN4082">
        <v>-121.023459</v>
      </c>
      <c r="AO4082">
        <v>25</v>
      </c>
      <c r="AP4082">
        <v>4400</v>
      </c>
      <c r="AQ4082" t="s">
        <v>131</v>
      </c>
      <c r="AR4082">
        <v>37</v>
      </c>
      <c r="AS4082">
        <v>69</v>
      </c>
      <c r="AT4082">
        <v>-128</v>
      </c>
      <c r="BB4082" t="str">
        <f t="shared" si="1599"/>
        <v>1200</v>
      </c>
      <c r="BC4082">
        <v>1</v>
      </c>
      <c r="BD4082" t="str">
        <f t="shared" si="1600"/>
        <v xml:space="preserve">N52156  </v>
      </c>
      <c r="BE4082">
        <v>1</v>
      </c>
      <c r="BG4082">
        <v>0</v>
      </c>
      <c r="BH4082">
        <v>0</v>
      </c>
      <c r="BI4082">
        <v>0</v>
      </c>
      <c r="BJ4082">
        <v>4525</v>
      </c>
      <c r="BK4082">
        <v>125</v>
      </c>
      <c r="BL4082" t="s">
        <v>188</v>
      </c>
      <c r="BM4082">
        <v>1</v>
      </c>
      <c r="BN4082">
        <v>1</v>
      </c>
      <c r="BO4082">
        <v>0</v>
      </c>
      <c r="BP4082">
        <v>0</v>
      </c>
      <c r="BS4082">
        <v>0</v>
      </c>
      <c r="BT4082">
        <v>0</v>
      </c>
      <c r="BU4082">
        <v>0</v>
      </c>
      <c r="CE4082" t="str">
        <f t="shared" ref="CE4082:CE4087" si="1617">"15:15:52.699"</f>
        <v>15:15:52.699</v>
      </c>
      <c r="CF4082">
        <v>699077223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3</v>
      </c>
      <c r="CY4082">
        <v>7</v>
      </c>
      <c r="CZ4082" t="s">
        <v>133</v>
      </c>
      <c r="DA4082">
        <v>276</v>
      </c>
      <c r="DB4082">
        <v>0</v>
      </c>
      <c r="DC4082" t="s">
        <v>402</v>
      </c>
      <c r="DD4082" t="s">
        <v>403</v>
      </c>
      <c r="DG4082">
        <v>1628393</v>
      </c>
      <c r="DI4082">
        <v>1</v>
      </c>
      <c r="DJ4082">
        <v>0</v>
      </c>
      <c r="DK4082">
        <v>0</v>
      </c>
      <c r="DL4082">
        <v>0</v>
      </c>
      <c r="DM4082">
        <v>0</v>
      </c>
      <c r="DN4082">
        <v>0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 x14ac:dyDescent="0.3">
      <c r="A4083" t="str">
        <f>"05/01/2025 15:15:52.913"</f>
        <v>05/01/2025 15:15:52.913</v>
      </c>
      <c r="C4083" t="str">
        <f t="shared" si="1596"/>
        <v>FFDFD3C0</v>
      </c>
      <c r="D4083" t="s">
        <v>140</v>
      </c>
      <c r="E4083" t="str">
        <f>"13"</f>
        <v>13</v>
      </c>
      <c r="F4083">
        <v>1019</v>
      </c>
      <c r="G4083" t="s">
        <v>141</v>
      </c>
      <c r="J4083" t="s">
        <v>142</v>
      </c>
      <c r="K4083">
        <v>0</v>
      </c>
      <c r="L4083">
        <v>3</v>
      </c>
      <c r="M4083">
        <v>0</v>
      </c>
      <c r="N4083">
        <v>2</v>
      </c>
      <c r="O4083">
        <v>0</v>
      </c>
      <c r="P4083">
        <v>1</v>
      </c>
      <c r="Q4083">
        <v>0</v>
      </c>
      <c r="R4083" t="s">
        <v>127</v>
      </c>
      <c r="S4083" t="str">
        <f t="shared" si="1616"/>
        <v>15:15:52.000</v>
      </c>
      <c r="T4083" t="str">
        <f t="shared" si="1616"/>
        <v>15:15:52.000</v>
      </c>
      <c r="U4083" t="str">
        <f t="shared" si="1598"/>
        <v>A68FCB</v>
      </c>
      <c r="V4083">
        <v>0</v>
      </c>
      <c r="W4083">
        <v>0</v>
      </c>
      <c r="X4083">
        <v>2</v>
      </c>
      <c r="Y4083">
        <v>0</v>
      </c>
      <c r="AA4083">
        <v>1</v>
      </c>
      <c r="AB4083">
        <v>8</v>
      </c>
      <c r="AC4083">
        <v>3</v>
      </c>
      <c r="AD4083">
        <v>0</v>
      </c>
      <c r="AE4083">
        <v>9</v>
      </c>
      <c r="AF4083" t="s">
        <v>138</v>
      </c>
      <c r="AG4083">
        <v>0</v>
      </c>
      <c r="AH4083">
        <v>3</v>
      </c>
      <c r="AI4083">
        <v>2</v>
      </c>
      <c r="AJ4083">
        <v>0</v>
      </c>
      <c r="AK4083" t="s">
        <v>1294</v>
      </c>
      <c r="AL4083">
        <v>39.186214999999997</v>
      </c>
      <c r="AM4083" t="s">
        <v>1295</v>
      </c>
      <c r="AN4083">
        <v>-121.023459</v>
      </c>
      <c r="AO4083">
        <v>25</v>
      </c>
      <c r="AP4083">
        <v>4400</v>
      </c>
      <c r="AQ4083" t="s">
        <v>131</v>
      </c>
      <c r="AR4083">
        <v>37</v>
      </c>
      <c r="AS4083">
        <v>69</v>
      </c>
      <c r="AT4083">
        <v>-128</v>
      </c>
      <c r="BB4083" t="str">
        <f t="shared" si="1599"/>
        <v>1200</v>
      </c>
      <c r="BC4083">
        <v>1</v>
      </c>
      <c r="BD4083" t="str">
        <f t="shared" si="1600"/>
        <v xml:space="preserve">N52156  </v>
      </c>
      <c r="BE4083">
        <v>1</v>
      </c>
      <c r="BG4083">
        <v>0</v>
      </c>
      <c r="BH4083">
        <v>0</v>
      </c>
      <c r="BI4083">
        <v>0</v>
      </c>
      <c r="BJ4083">
        <v>4525</v>
      </c>
      <c r="BK4083">
        <v>125</v>
      </c>
      <c r="BL4083" t="s">
        <v>188</v>
      </c>
      <c r="BM4083">
        <v>1</v>
      </c>
      <c r="BN4083">
        <v>1</v>
      </c>
      <c r="BO4083">
        <v>0</v>
      </c>
      <c r="BP4083">
        <v>0</v>
      </c>
      <c r="BS4083">
        <v>0</v>
      </c>
      <c r="BT4083">
        <v>0</v>
      </c>
      <c r="BU4083">
        <v>0</v>
      </c>
      <c r="CE4083" t="str">
        <f t="shared" si="1617"/>
        <v>15:15:52.699</v>
      </c>
      <c r="CF4083">
        <v>699077223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3</v>
      </c>
      <c r="CY4083">
        <v>7</v>
      </c>
      <c r="CZ4083" t="s">
        <v>133</v>
      </c>
      <c r="DA4083">
        <v>276</v>
      </c>
      <c r="DB4083">
        <v>0</v>
      </c>
      <c r="DC4083" t="s">
        <v>402</v>
      </c>
      <c r="DD4083" t="s">
        <v>403</v>
      </c>
      <c r="DG4083">
        <v>1628393</v>
      </c>
      <c r="DI4083">
        <v>1</v>
      </c>
      <c r="DJ4083">
        <v>0</v>
      </c>
      <c r="DK4083">
        <v>1</v>
      </c>
      <c r="DL4083">
        <v>0</v>
      </c>
      <c r="DM4083">
        <v>0</v>
      </c>
      <c r="DN4083">
        <v>0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 x14ac:dyDescent="0.3">
      <c r="A4084" t="str">
        <f>"05/01/2025 15:15:52.917"</f>
        <v>05/01/2025 15:15:52.917</v>
      </c>
      <c r="C4084" t="str">
        <f t="shared" si="1596"/>
        <v>FFDFD3C0</v>
      </c>
      <c r="D4084" t="s">
        <v>124</v>
      </c>
      <c r="E4084" t="str">
        <f>"06"</f>
        <v>06</v>
      </c>
      <c r="F4084">
        <v>2006</v>
      </c>
      <c r="G4084" t="s">
        <v>125</v>
      </c>
      <c r="J4084" t="s">
        <v>126</v>
      </c>
      <c r="K4084">
        <v>0</v>
      </c>
      <c r="L4084">
        <v>3</v>
      </c>
      <c r="M4084">
        <v>0</v>
      </c>
      <c r="N4084">
        <v>2</v>
      </c>
      <c r="O4084">
        <v>0</v>
      </c>
      <c r="P4084">
        <v>1</v>
      </c>
      <c r="Q4084">
        <v>0</v>
      </c>
      <c r="R4084" t="s">
        <v>127</v>
      </c>
      <c r="S4084" t="str">
        <f t="shared" si="1616"/>
        <v>15:15:52.000</v>
      </c>
      <c r="T4084" t="str">
        <f t="shared" si="1616"/>
        <v>15:15:52.000</v>
      </c>
      <c r="U4084" t="str">
        <f t="shared" si="1598"/>
        <v>A68FCB</v>
      </c>
      <c r="V4084">
        <v>0</v>
      </c>
      <c r="W4084">
        <v>0</v>
      </c>
      <c r="X4084">
        <v>2</v>
      </c>
      <c r="Y4084">
        <v>0</v>
      </c>
      <c r="AA4084">
        <v>1</v>
      </c>
      <c r="AB4084">
        <v>8</v>
      </c>
      <c r="AC4084">
        <v>3</v>
      </c>
      <c r="AD4084">
        <v>0</v>
      </c>
      <c r="AE4084">
        <v>9</v>
      </c>
      <c r="AF4084" t="s">
        <v>138</v>
      </c>
      <c r="AG4084">
        <v>0</v>
      </c>
      <c r="AH4084">
        <v>3</v>
      </c>
      <c r="AI4084">
        <v>2</v>
      </c>
      <c r="AJ4084">
        <v>0</v>
      </c>
      <c r="AK4084" t="s">
        <v>1294</v>
      </c>
      <c r="AL4084">
        <v>39.186214999999997</v>
      </c>
      <c r="AM4084" t="s">
        <v>1295</v>
      </c>
      <c r="AN4084">
        <v>-121.023459</v>
      </c>
      <c r="AO4084">
        <v>25</v>
      </c>
      <c r="AP4084">
        <v>4400</v>
      </c>
      <c r="AQ4084" t="s">
        <v>131</v>
      </c>
      <c r="AR4084">
        <v>37</v>
      </c>
      <c r="AS4084">
        <v>69</v>
      </c>
      <c r="AT4084">
        <v>-128</v>
      </c>
      <c r="BB4084" t="str">
        <f t="shared" si="1599"/>
        <v>1200</v>
      </c>
      <c r="BC4084">
        <v>1</v>
      </c>
      <c r="BD4084" t="str">
        <f t="shared" si="1600"/>
        <v xml:space="preserve">N52156  </v>
      </c>
      <c r="BE4084">
        <v>1</v>
      </c>
      <c r="BG4084">
        <v>0</v>
      </c>
      <c r="BH4084">
        <v>0</v>
      </c>
      <c r="BI4084">
        <v>0</v>
      </c>
      <c r="BJ4084">
        <v>4525</v>
      </c>
      <c r="BK4084">
        <v>125</v>
      </c>
      <c r="BL4084" t="s">
        <v>188</v>
      </c>
      <c r="BM4084">
        <v>1</v>
      </c>
      <c r="BN4084">
        <v>1</v>
      </c>
      <c r="BO4084">
        <v>0</v>
      </c>
      <c r="BP4084">
        <v>0</v>
      </c>
      <c r="BS4084">
        <v>0</v>
      </c>
      <c r="BT4084">
        <v>0</v>
      </c>
      <c r="BU4084">
        <v>0</v>
      </c>
      <c r="CE4084" t="str">
        <f t="shared" si="1617"/>
        <v>15:15:52.699</v>
      </c>
      <c r="CF4084">
        <v>699077223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3</v>
      </c>
      <c r="CY4084">
        <v>7</v>
      </c>
      <c r="CZ4084" t="s">
        <v>133</v>
      </c>
      <c r="DA4084">
        <v>276</v>
      </c>
      <c r="DB4084">
        <v>0</v>
      </c>
      <c r="DC4084" t="s">
        <v>402</v>
      </c>
      <c r="DD4084" t="s">
        <v>403</v>
      </c>
      <c r="DG4084">
        <v>1628393</v>
      </c>
      <c r="DI4084">
        <v>1</v>
      </c>
      <c r="DJ4084">
        <v>0</v>
      </c>
      <c r="DK4084">
        <v>1</v>
      </c>
      <c r="DL4084">
        <v>0</v>
      </c>
      <c r="DM4084">
        <v>0</v>
      </c>
      <c r="DN4084">
        <v>0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 x14ac:dyDescent="0.3">
      <c r="A4085" t="str">
        <f>"05/01/2025 15:15:52.926"</f>
        <v>05/01/2025 15:15:52.926</v>
      </c>
      <c r="C4085" t="str">
        <f t="shared" si="1596"/>
        <v>FFDFD3C0</v>
      </c>
      <c r="D4085" t="s">
        <v>145</v>
      </c>
      <c r="E4085" t="str">
        <f>"09"</f>
        <v>09</v>
      </c>
      <c r="H4085">
        <v>51</v>
      </c>
      <c r="I4085" t="s">
        <v>147</v>
      </c>
      <c r="J4085" t="s">
        <v>138</v>
      </c>
      <c r="K4085">
        <v>0</v>
      </c>
      <c r="L4085">
        <v>3</v>
      </c>
      <c r="M4085">
        <v>0</v>
      </c>
      <c r="N4085">
        <v>2</v>
      </c>
      <c r="O4085">
        <v>0</v>
      </c>
      <c r="P4085">
        <v>1</v>
      </c>
      <c r="Q4085">
        <v>0</v>
      </c>
      <c r="R4085" t="s">
        <v>127</v>
      </c>
      <c r="S4085" t="str">
        <f t="shared" si="1616"/>
        <v>15:15:52.000</v>
      </c>
      <c r="T4085" t="str">
        <f t="shared" si="1616"/>
        <v>15:15:52.000</v>
      </c>
      <c r="U4085" t="str">
        <f t="shared" si="1598"/>
        <v>A68FCB</v>
      </c>
      <c r="V4085">
        <v>0</v>
      </c>
      <c r="W4085">
        <v>0</v>
      </c>
      <c r="X4085">
        <v>2</v>
      </c>
      <c r="Y4085">
        <v>0</v>
      </c>
      <c r="AA4085">
        <v>1</v>
      </c>
      <c r="AB4085">
        <v>8</v>
      </c>
      <c r="AC4085">
        <v>3</v>
      </c>
      <c r="AD4085">
        <v>0</v>
      </c>
      <c r="AE4085">
        <v>9</v>
      </c>
      <c r="AF4085" t="s">
        <v>138</v>
      </c>
      <c r="AG4085">
        <v>0</v>
      </c>
      <c r="AH4085">
        <v>3</v>
      </c>
      <c r="AI4085">
        <v>2</v>
      </c>
      <c r="AJ4085">
        <v>0</v>
      </c>
      <c r="AK4085" t="s">
        <v>1294</v>
      </c>
      <c r="AL4085">
        <v>39.186214999999997</v>
      </c>
      <c r="AM4085" t="s">
        <v>1295</v>
      </c>
      <c r="AN4085">
        <v>-121.023459</v>
      </c>
      <c r="AO4085">
        <v>25</v>
      </c>
      <c r="AP4085">
        <v>4400</v>
      </c>
      <c r="AQ4085" t="s">
        <v>131</v>
      </c>
      <c r="AR4085">
        <v>37</v>
      </c>
      <c r="AS4085">
        <v>69</v>
      </c>
      <c r="AT4085">
        <v>-128</v>
      </c>
      <c r="BB4085" t="str">
        <f t="shared" si="1599"/>
        <v>1200</v>
      </c>
      <c r="BC4085">
        <v>1</v>
      </c>
      <c r="BD4085" t="str">
        <f t="shared" si="1600"/>
        <v xml:space="preserve">N52156  </v>
      </c>
      <c r="BE4085">
        <v>1</v>
      </c>
      <c r="BG4085">
        <v>0</v>
      </c>
      <c r="BH4085">
        <v>0</v>
      </c>
      <c r="BI4085">
        <v>0</v>
      </c>
      <c r="BJ4085">
        <v>4525</v>
      </c>
      <c r="BK4085">
        <v>125</v>
      </c>
      <c r="BL4085" t="s">
        <v>188</v>
      </c>
      <c r="BM4085">
        <v>1</v>
      </c>
      <c r="BN4085">
        <v>1</v>
      </c>
      <c r="BO4085">
        <v>0</v>
      </c>
      <c r="BP4085">
        <v>0</v>
      </c>
      <c r="BS4085">
        <v>0</v>
      </c>
      <c r="BT4085">
        <v>0</v>
      </c>
      <c r="BU4085">
        <v>0</v>
      </c>
      <c r="CE4085" t="str">
        <f t="shared" si="1617"/>
        <v>15:15:52.699</v>
      </c>
      <c r="CF4085">
        <v>699077223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3</v>
      </c>
      <c r="CY4085">
        <v>7</v>
      </c>
      <c r="CZ4085" t="s">
        <v>133</v>
      </c>
      <c r="DA4085">
        <v>276</v>
      </c>
      <c r="DB4085">
        <v>0</v>
      </c>
      <c r="DC4085" t="s">
        <v>402</v>
      </c>
      <c r="DD4085" t="s">
        <v>403</v>
      </c>
      <c r="DG4085">
        <v>1628393</v>
      </c>
      <c r="DI4085">
        <v>1</v>
      </c>
      <c r="DJ4085">
        <v>0</v>
      </c>
      <c r="DK4085">
        <v>1</v>
      </c>
      <c r="DL4085">
        <v>0</v>
      </c>
      <c r="DM4085">
        <v>0</v>
      </c>
      <c r="DN4085">
        <v>0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3">
      <c r="A4086" t="str">
        <f>"05/01/2025 15:15:52.931"</f>
        <v>05/01/2025 15:15:52.931</v>
      </c>
      <c r="C4086" t="str">
        <f t="shared" si="1596"/>
        <v>FFDFD3C0</v>
      </c>
      <c r="D4086" t="s">
        <v>145</v>
      </c>
      <c r="E4086" t="str">
        <f>"05"</f>
        <v>05</v>
      </c>
      <c r="H4086">
        <v>47</v>
      </c>
      <c r="I4086" t="s">
        <v>146</v>
      </c>
      <c r="J4086" t="s">
        <v>138</v>
      </c>
      <c r="K4086">
        <v>0</v>
      </c>
      <c r="L4086">
        <v>3</v>
      </c>
      <c r="M4086">
        <v>0</v>
      </c>
      <c r="N4086">
        <v>2</v>
      </c>
      <c r="O4086">
        <v>0</v>
      </c>
      <c r="P4086">
        <v>1</v>
      </c>
      <c r="Q4086">
        <v>0</v>
      </c>
      <c r="R4086" t="s">
        <v>127</v>
      </c>
      <c r="S4086" t="str">
        <f t="shared" si="1616"/>
        <v>15:15:52.000</v>
      </c>
      <c r="T4086" t="str">
        <f t="shared" si="1616"/>
        <v>15:15:52.000</v>
      </c>
      <c r="U4086" t="str">
        <f t="shared" si="1598"/>
        <v>A68FCB</v>
      </c>
      <c r="V4086">
        <v>0</v>
      </c>
      <c r="W4086">
        <v>0</v>
      </c>
      <c r="X4086">
        <v>2</v>
      </c>
      <c r="Y4086">
        <v>0</v>
      </c>
      <c r="AA4086">
        <v>1</v>
      </c>
      <c r="AB4086">
        <v>8</v>
      </c>
      <c r="AC4086">
        <v>3</v>
      </c>
      <c r="AD4086">
        <v>0</v>
      </c>
      <c r="AE4086">
        <v>9</v>
      </c>
      <c r="AF4086" t="s">
        <v>138</v>
      </c>
      <c r="AG4086">
        <v>0</v>
      </c>
      <c r="AH4086">
        <v>3</v>
      </c>
      <c r="AI4086">
        <v>2</v>
      </c>
      <c r="AJ4086">
        <v>0</v>
      </c>
      <c r="AK4086" t="s">
        <v>1294</v>
      </c>
      <c r="AL4086">
        <v>39.186214999999997</v>
      </c>
      <c r="AM4086" t="s">
        <v>1295</v>
      </c>
      <c r="AN4086">
        <v>-121.023459</v>
      </c>
      <c r="AO4086">
        <v>25</v>
      </c>
      <c r="AP4086">
        <v>4400</v>
      </c>
      <c r="AQ4086" t="s">
        <v>131</v>
      </c>
      <c r="AR4086">
        <v>37</v>
      </c>
      <c r="AS4086">
        <v>69</v>
      </c>
      <c r="AT4086">
        <v>-128</v>
      </c>
      <c r="BB4086" t="str">
        <f t="shared" si="1599"/>
        <v>1200</v>
      </c>
      <c r="BC4086">
        <v>1</v>
      </c>
      <c r="BD4086" t="str">
        <f t="shared" si="1600"/>
        <v xml:space="preserve">N52156  </v>
      </c>
      <c r="BE4086">
        <v>1</v>
      </c>
      <c r="BG4086">
        <v>0</v>
      </c>
      <c r="BH4086">
        <v>0</v>
      </c>
      <c r="BI4086">
        <v>0</v>
      </c>
      <c r="BJ4086">
        <v>4525</v>
      </c>
      <c r="BK4086">
        <v>125</v>
      </c>
      <c r="BL4086" t="s">
        <v>188</v>
      </c>
      <c r="BM4086">
        <v>1</v>
      </c>
      <c r="BN4086">
        <v>1</v>
      </c>
      <c r="BO4086">
        <v>0</v>
      </c>
      <c r="BP4086">
        <v>0</v>
      </c>
      <c r="BS4086">
        <v>0</v>
      </c>
      <c r="BT4086">
        <v>0</v>
      </c>
      <c r="BU4086">
        <v>0</v>
      </c>
      <c r="CE4086" t="str">
        <f t="shared" si="1617"/>
        <v>15:15:52.699</v>
      </c>
      <c r="CF4086">
        <v>699077223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3</v>
      </c>
      <c r="CY4086">
        <v>7</v>
      </c>
      <c r="CZ4086" t="s">
        <v>133</v>
      </c>
      <c r="DA4086">
        <v>276</v>
      </c>
      <c r="DB4086">
        <v>0</v>
      </c>
      <c r="DC4086" t="s">
        <v>402</v>
      </c>
      <c r="DD4086" t="s">
        <v>403</v>
      </c>
      <c r="DG4086">
        <v>1628393</v>
      </c>
      <c r="DI4086">
        <v>1</v>
      </c>
      <c r="DJ4086">
        <v>0</v>
      </c>
      <c r="DK4086">
        <v>1</v>
      </c>
      <c r="DL4086">
        <v>0</v>
      </c>
      <c r="DM4086">
        <v>0</v>
      </c>
      <c r="DN4086">
        <v>0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3">
      <c r="A4087" t="str">
        <f>"05/01/2025 15:15:52.942"</f>
        <v>05/01/2025 15:15:52.942</v>
      </c>
      <c r="C4087" t="str">
        <f t="shared" si="1596"/>
        <v>FFDFD3C0</v>
      </c>
      <c r="D4087" t="s">
        <v>136</v>
      </c>
      <c r="E4087" t="str">
        <f>"20"</f>
        <v>20</v>
      </c>
      <c r="H4087">
        <v>400</v>
      </c>
      <c r="I4087" t="s">
        <v>137</v>
      </c>
      <c r="J4087" t="s">
        <v>138</v>
      </c>
      <c r="K4087">
        <v>0</v>
      </c>
      <c r="L4087">
        <v>3</v>
      </c>
      <c r="M4087">
        <v>0</v>
      </c>
      <c r="N4087">
        <v>2</v>
      </c>
      <c r="O4087">
        <v>0</v>
      </c>
      <c r="P4087">
        <v>1</v>
      </c>
      <c r="Q4087">
        <v>0</v>
      </c>
      <c r="R4087" t="s">
        <v>127</v>
      </c>
      <c r="S4087" t="str">
        <f t="shared" si="1616"/>
        <v>15:15:52.000</v>
      </c>
      <c r="T4087" t="str">
        <f t="shared" si="1616"/>
        <v>15:15:52.000</v>
      </c>
      <c r="U4087" t="str">
        <f t="shared" si="1598"/>
        <v>A68FCB</v>
      </c>
      <c r="V4087">
        <v>0</v>
      </c>
      <c r="W4087">
        <v>0</v>
      </c>
      <c r="X4087">
        <v>2</v>
      </c>
      <c r="Y4087">
        <v>0</v>
      </c>
      <c r="AA4087">
        <v>1</v>
      </c>
      <c r="AB4087">
        <v>8</v>
      </c>
      <c r="AC4087">
        <v>3</v>
      </c>
      <c r="AD4087">
        <v>0</v>
      </c>
      <c r="AE4087">
        <v>9</v>
      </c>
      <c r="AF4087" t="s">
        <v>138</v>
      </c>
      <c r="AG4087">
        <v>0</v>
      </c>
      <c r="AH4087">
        <v>3</v>
      </c>
      <c r="AI4087">
        <v>2</v>
      </c>
      <c r="AJ4087">
        <v>0</v>
      </c>
      <c r="AK4087" t="s">
        <v>1294</v>
      </c>
      <c r="AL4087">
        <v>39.186214999999997</v>
      </c>
      <c r="AM4087" t="s">
        <v>1295</v>
      </c>
      <c r="AN4087">
        <v>-121.023459</v>
      </c>
      <c r="AO4087">
        <v>25</v>
      </c>
      <c r="AP4087">
        <v>4400</v>
      </c>
      <c r="AQ4087" t="s">
        <v>131</v>
      </c>
      <c r="AR4087">
        <v>37</v>
      </c>
      <c r="AS4087">
        <v>69</v>
      </c>
      <c r="AT4087">
        <v>-128</v>
      </c>
      <c r="BB4087" t="str">
        <f t="shared" si="1599"/>
        <v>1200</v>
      </c>
      <c r="BC4087">
        <v>1</v>
      </c>
      <c r="BD4087" t="str">
        <f t="shared" si="1600"/>
        <v xml:space="preserve">N52156  </v>
      </c>
      <c r="BE4087">
        <v>1</v>
      </c>
      <c r="BG4087">
        <v>0</v>
      </c>
      <c r="BH4087">
        <v>0</v>
      </c>
      <c r="BI4087">
        <v>0</v>
      </c>
      <c r="BJ4087">
        <v>4525</v>
      </c>
      <c r="BK4087">
        <v>125</v>
      </c>
      <c r="BL4087" t="s">
        <v>188</v>
      </c>
      <c r="BM4087">
        <v>1</v>
      </c>
      <c r="BN4087">
        <v>1</v>
      </c>
      <c r="BO4087">
        <v>0</v>
      </c>
      <c r="BP4087">
        <v>0</v>
      </c>
      <c r="BS4087">
        <v>0</v>
      </c>
      <c r="BT4087">
        <v>0</v>
      </c>
      <c r="BU4087">
        <v>0</v>
      </c>
      <c r="CE4087" t="str">
        <f t="shared" si="1617"/>
        <v>15:15:52.699</v>
      </c>
      <c r="CF4087">
        <v>699077223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3</v>
      </c>
      <c r="CY4087">
        <v>7</v>
      </c>
      <c r="CZ4087" t="s">
        <v>133</v>
      </c>
      <c r="DA4087">
        <v>276</v>
      </c>
      <c r="DB4087">
        <v>0</v>
      </c>
      <c r="DC4087" t="s">
        <v>402</v>
      </c>
      <c r="DD4087" t="s">
        <v>403</v>
      </c>
      <c r="DG4087">
        <v>1628393</v>
      </c>
      <c r="DI4087">
        <v>1</v>
      </c>
      <c r="DJ4087">
        <v>0</v>
      </c>
      <c r="DK4087">
        <v>1</v>
      </c>
      <c r="DL4087">
        <v>0</v>
      </c>
      <c r="DM4087">
        <v>0</v>
      </c>
      <c r="DN4087">
        <v>0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3">
      <c r="A4088" t="str">
        <f>"05/01/2025 15:15:53.727"</f>
        <v>05/01/2025 15:15:53.727</v>
      </c>
      <c r="C4088" t="str">
        <f t="shared" si="1596"/>
        <v>FFDFD3C0</v>
      </c>
      <c r="D4088" t="s">
        <v>145</v>
      </c>
      <c r="E4088" t="str">
        <f>"09"</f>
        <v>09</v>
      </c>
      <c r="H4088">
        <v>51</v>
      </c>
      <c r="I4088" t="s">
        <v>147</v>
      </c>
      <c r="J4088" t="s">
        <v>138</v>
      </c>
      <c r="K4088">
        <v>0</v>
      </c>
      <c r="L4088">
        <v>3</v>
      </c>
      <c r="M4088">
        <v>0</v>
      </c>
      <c r="N4088">
        <v>2</v>
      </c>
      <c r="O4088">
        <v>0</v>
      </c>
      <c r="P4088">
        <v>1</v>
      </c>
      <c r="Q4088">
        <v>0</v>
      </c>
      <c r="R4088" t="s">
        <v>127</v>
      </c>
      <c r="S4088" t="str">
        <f t="shared" ref="S4088:T4093" si="1618">"15:15:53.000"</f>
        <v>15:15:53.000</v>
      </c>
      <c r="T4088" t="str">
        <f t="shared" si="1618"/>
        <v>15:15:53.000</v>
      </c>
      <c r="U4088" t="str">
        <f t="shared" si="1598"/>
        <v>A68FCB</v>
      </c>
      <c r="V4088">
        <v>0</v>
      </c>
      <c r="W4088">
        <v>0</v>
      </c>
      <c r="X4088">
        <v>2</v>
      </c>
      <c r="Y4088">
        <v>0</v>
      </c>
      <c r="AA4088">
        <v>1</v>
      </c>
      <c r="AB4088">
        <v>8</v>
      </c>
      <c r="AC4088">
        <v>3</v>
      </c>
      <c r="AD4088">
        <v>0</v>
      </c>
      <c r="AE4088">
        <v>9</v>
      </c>
      <c r="AF4088" t="s">
        <v>138</v>
      </c>
      <c r="AG4088">
        <v>0</v>
      </c>
      <c r="AH4088">
        <v>3</v>
      </c>
      <c r="AI4088">
        <v>2</v>
      </c>
      <c r="AJ4088">
        <v>0</v>
      </c>
      <c r="AK4088" t="s">
        <v>1296</v>
      </c>
      <c r="AL4088">
        <v>39.186537000000001</v>
      </c>
      <c r="AM4088" t="s">
        <v>1297</v>
      </c>
      <c r="AN4088">
        <v>-121.023245</v>
      </c>
      <c r="AO4088">
        <v>25</v>
      </c>
      <c r="AP4088">
        <v>4400</v>
      </c>
      <c r="AQ4088" t="s">
        <v>131</v>
      </c>
      <c r="AR4088">
        <v>37</v>
      </c>
      <c r="AS4088">
        <v>69</v>
      </c>
      <c r="AT4088">
        <v>-128</v>
      </c>
      <c r="BB4088" t="str">
        <f t="shared" si="1599"/>
        <v>1200</v>
      </c>
      <c r="BC4088">
        <v>1</v>
      </c>
      <c r="BD4088" t="str">
        <f t="shared" si="1600"/>
        <v xml:space="preserve">N52156  </v>
      </c>
      <c r="BE4088">
        <v>1</v>
      </c>
      <c r="BG4088">
        <v>0</v>
      </c>
      <c r="BH4088">
        <v>0</v>
      </c>
      <c r="BI4088">
        <v>0</v>
      </c>
      <c r="BJ4088">
        <v>4525</v>
      </c>
      <c r="BK4088">
        <v>125</v>
      </c>
      <c r="BL4088" t="s">
        <v>188</v>
      </c>
      <c r="BM4088">
        <v>1</v>
      </c>
      <c r="BN4088">
        <v>1</v>
      </c>
      <c r="BO4088">
        <v>0</v>
      </c>
      <c r="BP4088">
        <v>0</v>
      </c>
      <c r="BS4088">
        <v>0</v>
      </c>
      <c r="BT4088">
        <v>0</v>
      </c>
      <c r="BU4088">
        <v>0</v>
      </c>
      <c r="CE4088" t="str">
        <f t="shared" ref="CE4088:CE4093" si="1619">"15:15:53.524"</f>
        <v>15:15:53.524</v>
      </c>
      <c r="CF4088">
        <v>524076843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3</v>
      </c>
      <c r="CY4088">
        <v>7</v>
      </c>
      <c r="CZ4088" t="s">
        <v>133</v>
      </c>
      <c r="DA4088">
        <v>276</v>
      </c>
      <c r="DB4088">
        <v>0</v>
      </c>
      <c r="DC4088" t="s">
        <v>402</v>
      </c>
      <c r="DD4088" t="s">
        <v>403</v>
      </c>
      <c r="DG4088">
        <v>1628396</v>
      </c>
      <c r="DI4088">
        <v>1</v>
      </c>
      <c r="DJ4088">
        <v>0</v>
      </c>
      <c r="DK4088">
        <v>0</v>
      </c>
      <c r="DL4088">
        <v>0</v>
      </c>
      <c r="DM4088">
        <v>0</v>
      </c>
      <c r="DN4088">
        <v>0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3">
      <c r="A4089" t="str">
        <f>"05/01/2025 15:15:53.733"</f>
        <v>05/01/2025 15:15:53.733</v>
      </c>
      <c r="C4089" t="str">
        <f t="shared" si="1596"/>
        <v>FFDFD3C0</v>
      </c>
      <c r="D4089" t="s">
        <v>145</v>
      </c>
      <c r="E4089" t="str">
        <f>"05"</f>
        <v>05</v>
      </c>
      <c r="H4089">
        <v>47</v>
      </c>
      <c r="I4089" t="s">
        <v>146</v>
      </c>
      <c r="J4089" t="s">
        <v>138</v>
      </c>
      <c r="K4089">
        <v>0</v>
      </c>
      <c r="L4089">
        <v>3</v>
      </c>
      <c r="M4089">
        <v>0</v>
      </c>
      <c r="N4089">
        <v>2</v>
      </c>
      <c r="O4089">
        <v>0</v>
      </c>
      <c r="P4089">
        <v>1</v>
      </c>
      <c r="Q4089">
        <v>0</v>
      </c>
      <c r="R4089" t="s">
        <v>127</v>
      </c>
      <c r="S4089" t="str">
        <f t="shared" si="1618"/>
        <v>15:15:53.000</v>
      </c>
      <c r="T4089" t="str">
        <f t="shared" si="1618"/>
        <v>15:15:53.000</v>
      </c>
      <c r="U4089" t="str">
        <f t="shared" si="1598"/>
        <v>A68FCB</v>
      </c>
      <c r="V4089">
        <v>0</v>
      </c>
      <c r="W4089">
        <v>0</v>
      </c>
      <c r="X4089">
        <v>2</v>
      </c>
      <c r="Y4089">
        <v>0</v>
      </c>
      <c r="AA4089">
        <v>1</v>
      </c>
      <c r="AB4089">
        <v>8</v>
      </c>
      <c r="AC4089">
        <v>3</v>
      </c>
      <c r="AD4089">
        <v>0</v>
      </c>
      <c r="AE4089">
        <v>9</v>
      </c>
      <c r="AF4089" t="s">
        <v>138</v>
      </c>
      <c r="AG4089">
        <v>0</v>
      </c>
      <c r="AH4089">
        <v>3</v>
      </c>
      <c r="AI4089">
        <v>2</v>
      </c>
      <c r="AJ4089">
        <v>0</v>
      </c>
      <c r="AK4089" t="s">
        <v>1296</v>
      </c>
      <c r="AL4089">
        <v>39.186537000000001</v>
      </c>
      <c r="AM4089" t="s">
        <v>1297</v>
      </c>
      <c r="AN4089">
        <v>-121.023245</v>
      </c>
      <c r="AO4089">
        <v>25</v>
      </c>
      <c r="AP4089">
        <v>4400</v>
      </c>
      <c r="AQ4089" t="s">
        <v>131</v>
      </c>
      <c r="AR4089">
        <v>37</v>
      </c>
      <c r="AS4089">
        <v>69</v>
      </c>
      <c r="AT4089">
        <v>-128</v>
      </c>
      <c r="BB4089" t="str">
        <f t="shared" si="1599"/>
        <v>1200</v>
      </c>
      <c r="BC4089">
        <v>1</v>
      </c>
      <c r="BD4089" t="str">
        <f t="shared" si="1600"/>
        <v xml:space="preserve">N52156  </v>
      </c>
      <c r="BE4089">
        <v>1</v>
      </c>
      <c r="BG4089">
        <v>0</v>
      </c>
      <c r="BH4089">
        <v>0</v>
      </c>
      <c r="BI4089">
        <v>0</v>
      </c>
      <c r="BJ4089">
        <v>4525</v>
      </c>
      <c r="BK4089">
        <v>125</v>
      </c>
      <c r="BL4089" t="s">
        <v>188</v>
      </c>
      <c r="BM4089">
        <v>1</v>
      </c>
      <c r="BN4089">
        <v>1</v>
      </c>
      <c r="BO4089">
        <v>0</v>
      </c>
      <c r="BP4089">
        <v>0</v>
      </c>
      <c r="BS4089">
        <v>0</v>
      </c>
      <c r="BT4089">
        <v>0</v>
      </c>
      <c r="BU4089">
        <v>0</v>
      </c>
      <c r="CE4089" t="str">
        <f t="shared" si="1619"/>
        <v>15:15:53.524</v>
      </c>
      <c r="CF4089">
        <v>524076843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3</v>
      </c>
      <c r="CY4089">
        <v>7</v>
      </c>
      <c r="CZ4089" t="s">
        <v>133</v>
      </c>
      <c r="DA4089">
        <v>276</v>
      </c>
      <c r="DB4089">
        <v>0</v>
      </c>
      <c r="DC4089" t="s">
        <v>402</v>
      </c>
      <c r="DD4089" t="s">
        <v>403</v>
      </c>
      <c r="DG4089">
        <v>1628396</v>
      </c>
      <c r="DI4089">
        <v>1</v>
      </c>
      <c r="DJ4089">
        <v>0</v>
      </c>
      <c r="DK4089">
        <v>1</v>
      </c>
      <c r="DL4089">
        <v>0</v>
      </c>
      <c r="DM4089">
        <v>0</v>
      </c>
      <c r="DN4089">
        <v>0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3">
      <c r="A4090" t="str">
        <f>"05/01/2025 15:15:53.744"</f>
        <v>05/01/2025 15:15:53.744</v>
      </c>
      <c r="C4090" t="str">
        <f t="shared" si="1596"/>
        <v>FFDFD3C0</v>
      </c>
      <c r="D4090" t="s">
        <v>136</v>
      </c>
      <c r="E4090" t="str">
        <f>"20"</f>
        <v>20</v>
      </c>
      <c r="H4090">
        <v>400</v>
      </c>
      <c r="I4090" t="s">
        <v>137</v>
      </c>
      <c r="J4090" t="s">
        <v>138</v>
      </c>
      <c r="K4090">
        <v>0</v>
      </c>
      <c r="L4090">
        <v>3</v>
      </c>
      <c r="M4090">
        <v>0</v>
      </c>
      <c r="N4090">
        <v>2</v>
      </c>
      <c r="O4090">
        <v>0</v>
      </c>
      <c r="P4090">
        <v>1</v>
      </c>
      <c r="Q4090">
        <v>0</v>
      </c>
      <c r="R4090" t="s">
        <v>127</v>
      </c>
      <c r="S4090" t="str">
        <f t="shared" si="1618"/>
        <v>15:15:53.000</v>
      </c>
      <c r="T4090" t="str">
        <f t="shared" si="1618"/>
        <v>15:15:53.000</v>
      </c>
      <c r="U4090" t="str">
        <f t="shared" si="1598"/>
        <v>A68FCB</v>
      </c>
      <c r="V4090">
        <v>0</v>
      </c>
      <c r="W4090">
        <v>0</v>
      </c>
      <c r="X4090">
        <v>2</v>
      </c>
      <c r="Y4090">
        <v>0</v>
      </c>
      <c r="AA4090">
        <v>1</v>
      </c>
      <c r="AB4090">
        <v>8</v>
      </c>
      <c r="AC4090">
        <v>3</v>
      </c>
      <c r="AD4090">
        <v>0</v>
      </c>
      <c r="AE4090">
        <v>9</v>
      </c>
      <c r="AF4090" t="s">
        <v>138</v>
      </c>
      <c r="AG4090">
        <v>0</v>
      </c>
      <c r="AH4090">
        <v>3</v>
      </c>
      <c r="AI4090">
        <v>2</v>
      </c>
      <c r="AJ4090">
        <v>0</v>
      </c>
      <c r="AK4090" t="s">
        <v>1296</v>
      </c>
      <c r="AL4090">
        <v>39.186537000000001</v>
      </c>
      <c r="AM4090" t="s">
        <v>1297</v>
      </c>
      <c r="AN4090">
        <v>-121.023245</v>
      </c>
      <c r="AO4090">
        <v>25</v>
      </c>
      <c r="AP4090">
        <v>4400</v>
      </c>
      <c r="AQ4090" t="s">
        <v>131</v>
      </c>
      <c r="AR4090">
        <v>37</v>
      </c>
      <c r="AS4090">
        <v>69</v>
      </c>
      <c r="AT4090">
        <v>-128</v>
      </c>
      <c r="BB4090" t="str">
        <f t="shared" si="1599"/>
        <v>1200</v>
      </c>
      <c r="BC4090">
        <v>1</v>
      </c>
      <c r="BD4090" t="str">
        <f t="shared" si="1600"/>
        <v xml:space="preserve">N52156  </v>
      </c>
      <c r="BE4090">
        <v>1</v>
      </c>
      <c r="BG4090">
        <v>0</v>
      </c>
      <c r="BH4090">
        <v>0</v>
      </c>
      <c r="BI4090">
        <v>0</v>
      </c>
      <c r="BJ4090">
        <v>4525</v>
      </c>
      <c r="BK4090">
        <v>125</v>
      </c>
      <c r="BL4090" t="s">
        <v>188</v>
      </c>
      <c r="BM4090">
        <v>1</v>
      </c>
      <c r="BN4090">
        <v>1</v>
      </c>
      <c r="BO4090">
        <v>0</v>
      </c>
      <c r="BP4090">
        <v>0</v>
      </c>
      <c r="BS4090">
        <v>0</v>
      </c>
      <c r="BT4090">
        <v>0</v>
      </c>
      <c r="BU4090">
        <v>0</v>
      </c>
      <c r="CE4090" t="str">
        <f t="shared" si="1619"/>
        <v>15:15:53.524</v>
      </c>
      <c r="CF4090">
        <v>524076843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3</v>
      </c>
      <c r="CY4090">
        <v>7</v>
      </c>
      <c r="CZ4090" t="s">
        <v>133</v>
      </c>
      <c r="DA4090">
        <v>276</v>
      </c>
      <c r="DB4090">
        <v>0</v>
      </c>
      <c r="DC4090" t="s">
        <v>402</v>
      </c>
      <c r="DD4090" t="s">
        <v>403</v>
      </c>
      <c r="DG4090">
        <v>1628396</v>
      </c>
      <c r="DI4090">
        <v>1</v>
      </c>
      <c r="DJ4090">
        <v>0</v>
      </c>
      <c r="DK4090">
        <v>1</v>
      </c>
      <c r="DL4090">
        <v>0</v>
      </c>
      <c r="DM4090">
        <v>0</v>
      </c>
      <c r="DN4090">
        <v>0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3">
      <c r="A4091" t="str">
        <f>"05/01/2025 15:15:53.763"</f>
        <v>05/01/2025 15:15:53.763</v>
      </c>
      <c r="C4091" t="str">
        <f t="shared" si="1596"/>
        <v>FFDFD3C0</v>
      </c>
      <c r="D4091" t="s">
        <v>143</v>
      </c>
      <c r="E4091" t="str">
        <f>"05"</f>
        <v>05</v>
      </c>
      <c r="H4091">
        <v>172</v>
      </c>
      <c r="I4091" t="s">
        <v>141</v>
      </c>
      <c r="J4091" t="s">
        <v>144</v>
      </c>
      <c r="K4091">
        <v>0</v>
      </c>
      <c r="L4091">
        <v>3</v>
      </c>
      <c r="M4091">
        <v>0</v>
      </c>
      <c r="N4091">
        <v>2</v>
      </c>
      <c r="O4091">
        <v>0</v>
      </c>
      <c r="P4091">
        <v>1</v>
      </c>
      <c r="Q4091">
        <v>0</v>
      </c>
      <c r="R4091" t="s">
        <v>127</v>
      </c>
      <c r="S4091" t="str">
        <f t="shared" si="1618"/>
        <v>15:15:53.000</v>
      </c>
      <c r="T4091" t="str">
        <f t="shared" si="1618"/>
        <v>15:15:53.000</v>
      </c>
      <c r="U4091" t="str">
        <f t="shared" si="1598"/>
        <v>A68FCB</v>
      </c>
      <c r="V4091">
        <v>0</v>
      </c>
      <c r="W4091">
        <v>0</v>
      </c>
      <c r="X4091">
        <v>2</v>
      </c>
      <c r="Y4091">
        <v>0</v>
      </c>
      <c r="AA4091">
        <v>1</v>
      </c>
      <c r="AB4091">
        <v>8</v>
      </c>
      <c r="AC4091">
        <v>3</v>
      </c>
      <c r="AD4091">
        <v>0</v>
      </c>
      <c r="AE4091">
        <v>9</v>
      </c>
      <c r="AF4091" t="s">
        <v>138</v>
      </c>
      <c r="AG4091">
        <v>0</v>
      </c>
      <c r="AH4091">
        <v>3</v>
      </c>
      <c r="AI4091">
        <v>2</v>
      </c>
      <c r="AJ4091">
        <v>0</v>
      </c>
      <c r="AK4091" t="s">
        <v>1296</v>
      </c>
      <c r="AL4091">
        <v>39.186537000000001</v>
      </c>
      <c r="AM4091" t="s">
        <v>1297</v>
      </c>
      <c r="AN4091">
        <v>-121.023245</v>
      </c>
      <c r="AO4091">
        <v>25</v>
      </c>
      <c r="AP4091">
        <v>4400</v>
      </c>
      <c r="AQ4091" t="s">
        <v>131</v>
      </c>
      <c r="AR4091">
        <v>37</v>
      </c>
      <c r="AS4091">
        <v>69</v>
      </c>
      <c r="AT4091">
        <v>-128</v>
      </c>
      <c r="BB4091" t="str">
        <f t="shared" si="1599"/>
        <v>1200</v>
      </c>
      <c r="BC4091">
        <v>1</v>
      </c>
      <c r="BD4091" t="str">
        <f t="shared" si="1600"/>
        <v xml:space="preserve">N52156  </v>
      </c>
      <c r="BE4091">
        <v>1</v>
      </c>
      <c r="BG4091">
        <v>0</v>
      </c>
      <c r="BH4091">
        <v>0</v>
      </c>
      <c r="BI4091">
        <v>0</v>
      </c>
      <c r="BJ4091">
        <v>4525</v>
      </c>
      <c r="BK4091">
        <v>125</v>
      </c>
      <c r="BL4091" t="s">
        <v>188</v>
      </c>
      <c r="BM4091">
        <v>1</v>
      </c>
      <c r="BN4091">
        <v>1</v>
      </c>
      <c r="BO4091">
        <v>0</v>
      </c>
      <c r="BP4091">
        <v>0</v>
      </c>
      <c r="BS4091">
        <v>0</v>
      </c>
      <c r="BT4091">
        <v>0</v>
      </c>
      <c r="BU4091">
        <v>0</v>
      </c>
      <c r="CE4091" t="str">
        <f t="shared" si="1619"/>
        <v>15:15:53.524</v>
      </c>
      <c r="CF4091">
        <v>524076843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3</v>
      </c>
      <c r="CY4091">
        <v>7</v>
      </c>
      <c r="CZ4091" t="s">
        <v>133</v>
      </c>
      <c r="DA4091">
        <v>276</v>
      </c>
      <c r="DB4091">
        <v>0</v>
      </c>
      <c r="DC4091" t="s">
        <v>402</v>
      </c>
      <c r="DD4091" t="s">
        <v>403</v>
      </c>
      <c r="DG4091">
        <v>1628396</v>
      </c>
      <c r="DI4091">
        <v>1</v>
      </c>
      <c r="DJ4091">
        <v>0</v>
      </c>
      <c r="DK4091">
        <v>1</v>
      </c>
      <c r="DL4091">
        <v>0</v>
      </c>
      <c r="DM4091">
        <v>0</v>
      </c>
      <c r="DN4091">
        <v>0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3">
      <c r="A4092" t="str">
        <f>"05/01/2025 15:15:53.765"</f>
        <v>05/01/2025 15:15:53.765</v>
      </c>
      <c r="C4092" t="str">
        <f t="shared" si="1596"/>
        <v>FFDFD3C0</v>
      </c>
      <c r="D4092" t="s">
        <v>140</v>
      </c>
      <c r="E4092" t="str">
        <f>"13"</f>
        <v>13</v>
      </c>
      <c r="F4092">
        <v>1019</v>
      </c>
      <c r="G4092" t="s">
        <v>141</v>
      </c>
      <c r="J4092" t="s">
        <v>142</v>
      </c>
      <c r="K4092">
        <v>0</v>
      </c>
      <c r="L4092">
        <v>3</v>
      </c>
      <c r="M4092">
        <v>0</v>
      </c>
      <c r="N4092">
        <v>2</v>
      </c>
      <c r="O4092">
        <v>0</v>
      </c>
      <c r="P4092">
        <v>1</v>
      </c>
      <c r="Q4092">
        <v>0</v>
      </c>
      <c r="R4092" t="s">
        <v>127</v>
      </c>
      <c r="S4092" t="str">
        <f t="shared" si="1618"/>
        <v>15:15:53.000</v>
      </c>
      <c r="T4092" t="str">
        <f t="shared" si="1618"/>
        <v>15:15:53.000</v>
      </c>
      <c r="U4092" t="str">
        <f t="shared" si="1598"/>
        <v>A68FCB</v>
      </c>
      <c r="V4092">
        <v>0</v>
      </c>
      <c r="W4092">
        <v>0</v>
      </c>
      <c r="X4092">
        <v>2</v>
      </c>
      <c r="Y4092">
        <v>0</v>
      </c>
      <c r="AA4092">
        <v>1</v>
      </c>
      <c r="AB4092">
        <v>8</v>
      </c>
      <c r="AC4092">
        <v>3</v>
      </c>
      <c r="AD4092">
        <v>0</v>
      </c>
      <c r="AE4092">
        <v>9</v>
      </c>
      <c r="AF4092" t="s">
        <v>138</v>
      </c>
      <c r="AG4092">
        <v>0</v>
      </c>
      <c r="AH4092">
        <v>3</v>
      </c>
      <c r="AI4092">
        <v>2</v>
      </c>
      <c r="AJ4092">
        <v>0</v>
      </c>
      <c r="AK4092" t="s">
        <v>1296</v>
      </c>
      <c r="AL4092">
        <v>39.186537000000001</v>
      </c>
      <c r="AM4092" t="s">
        <v>1297</v>
      </c>
      <c r="AN4092">
        <v>-121.023245</v>
      </c>
      <c r="AO4092">
        <v>25</v>
      </c>
      <c r="AP4092">
        <v>4400</v>
      </c>
      <c r="AQ4092" t="s">
        <v>131</v>
      </c>
      <c r="AR4092">
        <v>37</v>
      </c>
      <c r="AS4092">
        <v>69</v>
      </c>
      <c r="AT4092">
        <v>-128</v>
      </c>
      <c r="BB4092" t="str">
        <f t="shared" si="1599"/>
        <v>1200</v>
      </c>
      <c r="BC4092">
        <v>1</v>
      </c>
      <c r="BD4092" t="str">
        <f t="shared" si="1600"/>
        <v xml:space="preserve">N52156  </v>
      </c>
      <c r="BE4092">
        <v>1</v>
      </c>
      <c r="BG4092">
        <v>0</v>
      </c>
      <c r="BH4092">
        <v>0</v>
      </c>
      <c r="BI4092">
        <v>0</v>
      </c>
      <c r="BJ4092">
        <v>4525</v>
      </c>
      <c r="BK4092">
        <v>125</v>
      </c>
      <c r="BL4092" t="s">
        <v>188</v>
      </c>
      <c r="BM4092">
        <v>1</v>
      </c>
      <c r="BN4092">
        <v>1</v>
      </c>
      <c r="BO4092">
        <v>0</v>
      </c>
      <c r="BP4092">
        <v>0</v>
      </c>
      <c r="BS4092">
        <v>0</v>
      </c>
      <c r="BT4092">
        <v>0</v>
      </c>
      <c r="BU4092">
        <v>0</v>
      </c>
      <c r="CE4092" t="str">
        <f t="shared" si="1619"/>
        <v>15:15:53.524</v>
      </c>
      <c r="CF4092">
        <v>524076843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3</v>
      </c>
      <c r="CY4092">
        <v>7</v>
      </c>
      <c r="CZ4092" t="s">
        <v>133</v>
      </c>
      <c r="DA4092">
        <v>276</v>
      </c>
      <c r="DB4092">
        <v>0</v>
      </c>
      <c r="DC4092" t="s">
        <v>402</v>
      </c>
      <c r="DD4092" t="s">
        <v>403</v>
      </c>
      <c r="DG4092">
        <v>1628396</v>
      </c>
      <c r="DI4092">
        <v>1</v>
      </c>
      <c r="DJ4092">
        <v>0</v>
      </c>
      <c r="DK4092">
        <v>1</v>
      </c>
      <c r="DL4092">
        <v>0</v>
      </c>
      <c r="DM4092">
        <v>0</v>
      </c>
      <c r="DN4092">
        <v>0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3">
      <c r="A4093" t="str">
        <f>"05/01/2025 15:15:53.768"</f>
        <v>05/01/2025 15:15:53.768</v>
      </c>
      <c r="C4093" t="str">
        <f t="shared" si="1596"/>
        <v>FFDFD3C0</v>
      </c>
      <c r="D4093" t="s">
        <v>124</v>
      </c>
      <c r="E4093" t="str">
        <f>"06"</f>
        <v>06</v>
      </c>
      <c r="F4093">
        <v>2006</v>
      </c>
      <c r="G4093" t="s">
        <v>125</v>
      </c>
      <c r="J4093" t="s">
        <v>126</v>
      </c>
      <c r="K4093">
        <v>0</v>
      </c>
      <c r="L4093">
        <v>3</v>
      </c>
      <c r="M4093">
        <v>0</v>
      </c>
      <c r="N4093">
        <v>2</v>
      </c>
      <c r="O4093">
        <v>0</v>
      </c>
      <c r="P4093">
        <v>1</v>
      </c>
      <c r="Q4093">
        <v>0</v>
      </c>
      <c r="R4093" t="s">
        <v>127</v>
      </c>
      <c r="S4093" t="str">
        <f t="shared" si="1618"/>
        <v>15:15:53.000</v>
      </c>
      <c r="T4093" t="str">
        <f t="shared" si="1618"/>
        <v>15:15:53.000</v>
      </c>
      <c r="U4093" t="str">
        <f t="shared" si="1598"/>
        <v>A68FCB</v>
      </c>
      <c r="V4093">
        <v>0</v>
      </c>
      <c r="W4093">
        <v>0</v>
      </c>
      <c r="X4093">
        <v>2</v>
      </c>
      <c r="Y4093">
        <v>0</v>
      </c>
      <c r="AA4093">
        <v>1</v>
      </c>
      <c r="AB4093">
        <v>8</v>
      </c>
      <c r="AC4093">
        <v>3</v>
      </c>
      <c r="AD4093">
        <v>0</v>
      </c>
      <c r="AE4093">
        <v>9</v>
      </c>
      <c r="AF4093" t="s">
        <v>138</v>
      </c>
      <c r="AG4093">
        <v>0</v>
      </c>
      <c r="AH4093">
        <v>3</v>
      </c>
      <c r="AI4093">
        <v>2</v>
      </c>
      <c r="AJ4093">
        <v>0</v>
      </c>
      <c r="AK4093" t="s">
        <v>1296</v>
      </c>
      <c r="AL4093">
        <v>39.186537000000001</v>
      </c>
      <c r="AM4093" t="s">
        <v>1297</v>
      </c>
      <c r="AN4093">
        <v>-121.023245</v>
      </c>
      <c r="AO4093">
        <v>25</v>
      </c>
      <c r="AP4093">
        <v>4400</v>
      </c>
      <c r="AQ4093" t="s">
        <v>131</v>
      </c>
      <c r="AR4093">
        <v>37</v>
      </c>
      <c r="AS4093">
        <v>69</v>
      </c>
      <c r="AT4093">
        <v>-128</v>
      </c>
      <c r="BB4093" t="str">
        <f t="shared" si="1599"/>
        <v>1200</v>
      </c>
      <c r="BC4093">
        <v>1</v>
      </c>
      <c r="BD4093" t="str">
        <f t="shared" si="1600"/>
        <v xml:space="preserve">N52156  </v>
      </c>
      <c r="BE4093">
        <v>1</v>
      </c>
      <c r="BG4093">
        <v>0</v>
      </c>
      <c r="BH4093">
        <v>0</v>
      </c>
      <c r="BI4093">
        <v>0</v>
      </c>
      <c r="BJ4093">
        <v>4525</v>
      </c>
      <c r="BK4093">
        <v>125</v>
      </c>
      <c r="BL4093" t="s">
        <v>188</v>
      </c>
      <c r="BM4093">
        <v>1</v>
      </c>
      <c r="BN4093">
        <v>1</v>
      </c>
      <c r="BO4093">
        <v>0</v>
      </c>
      <c r="BP4093">
        <v>0</v>
      </c>
      <c r="BS4093">
        <v>0</v>
      </c>
      <c r="BT4093">
        <v>0</v>
      </c>
      <c r="BU4093">
        <v>0</v>
      </c>
      <c r="CE4093" t="str">
        <f t="shared" si="1619"/>
        <v>15:15:53.524</v>
      </c>
      <c r="CF4093">
        <v>524076843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3</v>
      </c>
      <c r="CY4093">
        <v>7</v>
      </c>
      <c r="CZ4093" t="s">
        <v>133</v>
      </c>
      <c r="DA4093">
        <v>276</v>
      </c>
      <c r="DB4093">
        <v>0</v>
      </c>
      <c r="DC4093" t="s">
        <v>402</v>
      </c>
      <c r="DD4093" t="s">
        <v>403</v>
      </c>
      <c r="DG4093">
        <v>1628396</v>
      </c>
      <c r="DI4093">
        <v>1</v>
      </c>
      <c r="DJ4093">
        <v>0</v>
      </c>
      <c r="DK4093">
        <v>1</v>
      </c>
      <c r="DL4093">
        <v>0</v>
      </c>
      <c r="DM4093">
        <v>0</v>
      </c>
      <c r="DN4093">
        <v>0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 x14ac:dyDescent="0.3">
      <c r="A4094" t="str">
        <f>"05/01/2025 15:15:54.620"</f>
        <v>05/01/2025 15:15:54.620</v>
      </c>
      <c r="C4094" t="str">
        <f t="shared" si="1596"/>
        <v>FFDFD3C0</v>
      </c>
      <c r="D4094" t="s">
        <v>124</v>
      </c>
      <c r="E4094" t="str">
        <f>"06"</f>
        <v>06</v>
      </c>
      <c r="F4094">
        <v>2006</v>
      </c>
      <c r="G4094" t="s">
        <v>125</v>
      </c>
      <c r="J4094" t="s">
        <v>126</v>
      </c>
      <c r="K4094">
        <v>0</v>
      </c>
      <c r="L4094">
        <v>3</v>
      </c>
      <c r="M4094">
        <v>0</v>
      </c>
      <c r="N4094">
        <v>2</v>
      </c>
      <c r="O4094">
        <v>0</v>
      </c>
      <c r="P4094">
        <v>1</v>
      </c>
      <c r="Q4094">
        <v>0</v>
      </c>
      <c r="R4094" t="s">
        <v>127</v>
      </c>
      <c r="S4094" t="str">
        <f t="shared" ref="S4094:T4099" si="1620">"15:15:54.000"</f>
        <v>15:15:54.000</v>
      </c>
      <c r="T4094" t="str">
        <f t="shared" si="1620"/>
        <v>15:15:54.000</v>
      </c>
      <c r="U4094" t="str">
        <f t="shared" si="1598"/>
        <v>A68FCB</v>
      </c>
      <c r="V4094">
        <v>0</v>
      </c>
      <c r="W4094">
        <v>0</v>
      </c>
      <c r="X4094">
        <v>2</v>
      </c>
      <c r="Y4094">
        <v>0</v>
      </c>
      <c r="AA4094">
        <v>1</v>
      </c>
      <c r="AB4094">
        <v>8</v>
      </c>
      <c r="AC4094">
        <v>3</v>
      </c>
      <c r="AD4094">
        <v>0</v>
      </c>
      <c r="AE4094">
        <v>9</v>
      </c>
      <c r="AF4094" t="s">
        <v>138</v>
      </c>
      <c r="AG4094">
        <v>0</v>
      </c>
      <c r="AH4094">
        <v>3</v>
      </c>
      <c r="AI4094">
        <v>2</v>
      </c>
      <c r="AJ4094">
        <v>0</v>
      </c>
      <c r="AK4094" t="s">
        <v>1298</v>
      </c>
      <c r="AL4094">
        <v>39.186858999999998</v>
      </c>
      <c r="AM4094" t="s">
        <v>1299</v>
      </c>
      <c r="AN4094">
        <v>-121.02303000000001</v>
      </c>
      <c r="AO4094">
        <v>25</v>
      </c>
      <c r="AP4094">
        <v>4400</v>
      </c>
      <c r="AQ4094" t="s">
        <v>131</v>
      </c>
      <c r="AR4094">
        <v>37</v>
      </c>
      <c r="AS4094">
        <v>68</v>
      </c>
      <c r="AT4094">
        <v>-128</v>
      </c>
      <c r="BB4094" t="str">
        <f t="shared" si="1599"/>
        <v>1200</v>
      </c>
      <c r="BC4094">
        <v>1</v>
      </c>
      <c r="BD4094" t="str">
        <f t="shared" si="1600"/>
        <v xml:space="preserve">N52156  </v>
      </c>
      <c r="BE4094">
        <v>1</v>
      </c>
      <c r="BG4094">
        <v>0</v>
      </c>
      <c r="BH4094">
        <v>0</v>
      </c>
      <c r="BI4094">
        <v>0</v>
      </c>
      <c r="BJ4094">
        <v>4525</v>
      </c>
      <c r="BK4094">
        <v>125</v>
      </c>
      <c r="BL4094" t="s">
        <v>188</v>
      </c>
      <c r="BM4094">
        <v>1</v>
      </c>
      <c r="BN4094">
        <v>1</v>
      </c>
      <c r="BO4094">
        <v>0</v>
      </c>
      <c r="BP4094">
        <v>0</v>
      </c>
      <c r="BS4094">
        <v>0</v>
      </c>
      <c r="BT4094">
        <v>0</v>
      </c>
      <c r="BU4094">
        <v>0</v>
      </c>
      <c r="CE4094" t="str">
        <f t="shared" ref="CE4094:CE4099" si="1621">"15:15:54.404"</f>
        <v>15:15:54.404</v>
      </c>
      <c r="CF4094">
        <v>404076629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3</v>
      </c>
      <c r="CY4094">
        <v>7</v>
      </c>
      <c r="CZ4094" t="s">
        <v>133</v>
      </c>
      <c r="DA4094">
        <v>276</v>
      </c>
      <c r="DB4094">
        <v>0</v>
      </c>
      <c r="DC4094" t="s">
        <v>402</v>
      </c>
      <c r="DD4094" t="s">
        <v>403</v>
      </c>
      <c r="DG4094">
        <v>1628400</v>
      </c>
      <c r="DI4094">
        <v>1</v>
      </c>
      <c r="DJ4094">
        <v>0</v>
      </c>
      <c r="DK4094">
        <v>0</v>
      </c>
      <c r="DL4094">
        <v>0</v>
      </c>
      <c r="DM4094">
        <v>0</v>
      </c>
      <c r="DN4094">
        <v>0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3">
      <c r="A4095" t="str">
        <f>"05/01/2025 15:15:54.629"</f>
        <v>05/01/2025 15:15:54.629</v>
      </c>
      <c r="C4095" t="str">
        <f t="shared" si="1596"/>
        <v>FFDFD3C0</v>
      </c>
      <c r="D4095" t="s">
        <v>145</v>
      </c>
      <c r="E4095" t="str">
        <f>"09"</f>
        <v>09</v>
      </c>
      <c r="H4095">
        <v>51</v>
      </c>
      <c r="I4095" t="s">
        <v>147</v>
      </c>
      <c r="J4095" t="s">
        <v>138</v>
      </c>
      <c r="K4095">
        <v>0</v>
      </c>
      <c r="L4095">
        <v>3</v>
      </c>
      <c r="M4095">
        <v>0</v>
      </c>
      <c r="N4095">
        <v>2</v>
      </c>
      <c r="O4095">
        <v>0</v>
      </c>
      <c r="P4095">
        <v>1</v>
      </c>
      <c r="Q4095">
        <v>0</v>
      </c>
      <c r="R4095" t="s">
        <v>127</v>
      </c>
      <c r="S4095" t="str">
        <f t="shared" si="1620"/>
        <v>15:15:54.000</v>
      </c>
      <c r="T4095" t="str">
        <f t="shared" si="1620"/>
        <v>15:15:54.000</v>
      </c>
      <c r="U4095" t="str">
        <f t="shared" si="1598"/>
        <v>A68FCB</v>
      </c>
      <c r="V4095">
        <v>0</v>
      </c>
      <c r="W4095">
        <v>0</v>
      </c>
      <c r="X4095">
        <v>2</v>
      </c>
      <c r="Y4095">
        <v>0</v>
      </c>
      <c r="AA4095">
        <v>1</v>
      </c>
      <c r="AB4095">
        <v>8</v>
      </c>
      <c r="AC4095">
        <v>3</v>
      </c>
      <c r="AD4095">
        <v>0</v>
      </c>
      <c r="AE4095">
        <v>9</v>
      </c>
      <c r="AF4095" t="s">
        <v>138</v>
      </c>
      <c r="AG4095">
        <v>0</v>
      </c>
      <c r="AH4095">
        <v>3</v>
      </c>
      <c r="AI4095">
        <v>2</v>
      </c>
      <c r="AJ4095">
        <v>0</v>
      </c>
      <c r="AK4095" t="s">
        <v>1298</v>
      </c>
      <c r="AL4095">
        <v>39.186858999999998</v>
      </c>
      <c r="AM4095" t="s">
        <v>1299</v>
      </c>
      <c r="AN4095">
        <v>-121.02303000000001</v>
      </c>
      <c r="AO4095">
        <v>25</v>
      </c>
      <c r="AP4095">
        <v>4400</v>
      </c>
      <c r="AQ4095" t="s">
        <v>131</v>
      </c>
      <c r="AR4095">
        <v>37</v>
      </c>
      <c r="AS4095">
        <v>68</v>
      </c>
      <c r="AT4095">
        <v>-128</v>
      </c>
      <c r="BB4095" t="str">
        <f t="shared" si="1599"/>
        <v>1200</v>
      </c>
      <c r="BC4095">
        <v>1</v>
      </c>
      <c r="BD4095" t="str">
        <f t="shared" si="1600"/>
        <v xml:space="preserve">N52156  </v>
      </c>
      <c r="BE4095">
        <v>1</v>
      </c>
      <c r="BG4095">
        <v>0</v>
      </c>
      <c r="BH4095">
        <v>0</v>
      </c>
      <c r="BI4095">
        <v>0</v>
      </c>
      <c r="BJ4095">
        <v>4525</v>
      </c>
      <c r="BK4095">
        <v>125</v>
      </c>
      <c r="BL4095" t="s">
        <v>188</v>
      </c>
      <c r="BM4095">
        <v>1</v>
      </c>
      <c r="BN4095">
        <v>1</v>
      </c>
      <c r="BO4095">
        <v>0</v>
      </c>
      <c r="BP4095">
        <v>0</v>
      </c>
      <c r="BS4095">
        <v>0</v>
      </c>
      <c r="BT4095">
        <v>0</v>
      </c>
      <c r="BU4095">
        <v>0</v>
      </c>
      <c r="CE4095" t="str">
        <f t="shared" si="1621"/>
        <v>15:15:54.404</v>
      </c>
      <c r="CF4095">
        <v>404076629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3</v>
      </c>
      <c r="CY4095">
        <v>7</v>
      </c>
      <c r="CZ4095" t="s">
        <v>133</v>
      </c>
      <c r="DA4095">
        <v>276</v>
      </c>
      <c r="DB4095">
        <v>0</v>
      </c>
      <c r="DC4095" t="s">
        <v>402</v>
      </c>
      <c r="DD4095" t="s">
        <v>403</v>
      </c>
      <c r="DG4095">
        <v>1628400</v>
      </c>
      <c r="DI4095">
        <v>1</v>
      </c>
      <c r="DJ4095">
        <v>0</v>
      </c>
      <c r="DK4095">
        <v>1</v>
      </c>
      <c r="DL4095">
        <v>0</v>
      </c>
      <c r="DM4095">
        <v>0</v>
      </c>
      <c r="DN4095">
        <v>0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3">
      <c r="A4096" t="str">
        <f>"05/01/2025 15:15:54.634"</f>
        <v>05/01/2025 15:15:54.634</v>
      </c>
      <c r="C4096" t="str">
        <f t="shared" si="1596"/>
        <v>FFDFD3C0</v>
      </c>
      <c r="D4096" t="s">
        <v>145</v>
      </c>
      <c r="E4096" t="str">
        <f>"05"</f>
        <v>05</v>
      </c>
      <c r="H4096">
        <v>47</v>
      </c>
      <c r="I4096" t="s">
        <v>146</v>
      </c>
      <c r="J4096" t="s">
        <v>138</v>
      </c>
      <c r="K4096">
        <v>0</v>
      </c>
      <c r="L4096">
        <v>3</v>
      </c>
      <c r="M4096">
        <v>0</v>
      </c>
      <c r="N4096">
        <v>2</v>
      </c>
      <c r="O4096">
        <v>0</v>
      </c>
      <c r="P4096">
        <v>1</v>
      </c>
      <c r="Q4096">
        <v>0</v>
      </c>
      <c r="R4096" t="s">
        <v>127</v>
      </c>
      <c r="S4096" t="str">
        <f t="shared" si="1620"/>
        <v>15:15:54.000</v>
      </c>
      <c r="T4096" t="str">
        <f t="shared" si="1620"/>
        <v>15:15:54.000</v>
      </c>
      <c r="U4096" t="str">
        <f t="shared" si="1598"/>
        <v>A68FCB</v>
      </c>
      <c r="V4096">
        <v>0</v>
      </c>
      <c r="W4096">
        <v>0</v>
      </c>
      <c r="X4096">
        <v>2</v>
      </c>
      <c r="Y4096">
        <v>0</v>
      </c>
      <c r="AA4096">
        <v>1</v>
      </c>
      <c r="AB4096">
        <v>8</v>
      </c>
      <c r="AC4096">
        <v>3</v>
      </c>
      <c r="AD4096">
        <v>0</v>
      </c>
      <c r="AE4096">
        <v>9</v>
      </c>
      <c r="AF4096" t="s">
        <v>138</v>
      </c>
      <c r="AG4096">
        <v>0</v>
      </c>
      <c r="AH4096">
        <v>3</v>
      </c>
      <c r="AI4096">
        <v>2</v>
      </c>
      <c r="AJ4096">
        <v>0</v>
      </c>
      <c r="AK4096" t="s">
        <v>1298</v>
      </c>
      <c r="AL4096">
        <v>39.186858999999998</v>
      </c>
      <c r="AM4096" t="s">
        <v>1299</v>
      </c>
      <c r="AN4096">
        <v>-121.02303000000001</v>
      </c>
      <c r="AO4096">
        <v>25</v>
      </c>
      <c r="AP4096">
        <v>4400</v>
      </c>
      <c r="AQ4096" t="s">
        <v>131</v>
      </c>
      <c r="AR4096">
        <v>37</v>
      </c>
      <c r="AS4096">
        <v>68</v>
      </c>
      <c r="AT4096">
        <v>-128</v>
      </c>
      <c r="BB4096" t="str">
        <f t="shared" si="1599"/>
        <v>1200</v>
      </c>
      <c r="BC4096">
        <v>1</v>
      </c>
      <c r="BD4096" t="str">
        <f t="shared" si="1600"/>
        <v xml:space="preserve">N52156  </v>
      </c>
      <c r="BE4096">
        <v>1</v>
      </c>
      <c r="BG4096">
        <v>0</v>
      </c>
      <c r="BH4096">
        <v>0</v>
      </c>
      <c r="BI4096">
        <v>0</v>
      </c>
      <c r="BJ4096">
        <v>4525</v>
      </c>
      <c r="BK4096">
        <v>125</v>
      </c>
      <c r="BL4096" t="s">
        <v>188</v>
      </c>
      <c r="BM4096">
        <v>1</v>
      </c>
      <c r="BN4096">
        <v>1</v>
      </c>
      <c r="BO4096">
        <v>0</v>
      </c>
      <c r="BP4096">
        <v>0</v>
      </c>
      <c r="BS4096">
        <v>0</v>
      </c>
      <c r="BT4096">
        <v>0</v>
      </c>
      <c r="BU4096">
        <v>0</v>
      </c>
      <c r="CE4096" t="str">
        <f t="shared" si="1621"/>
        <v>15:15:54.404</v>
      </c>
      <c r="CF4096">
        <v>404076629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3</v>
      </c>
      <c r="CY4096">
        <v>7</v>
      </c>
      <c r="CZ4096" t="s">
        <v>133</v>
      </c>
      <c r="DA4096">
        <v>276</v>
      </c>
      <c r="DB4096">
        <v>0</v>
      </c>
      <c r="DC4096" t="s">
        <v>402</v>
      </c>
      <c r="DD4096" t="s">
        <v>403</v>
      </c>
      <c r="DG4096">
        <v>1628400</v>
      </c>
      <c r="DI4096">
        <v>1</v>
      </c>
      <c r="DJ4096">
        <v>0</v>
      </c>
      <c r="DK4096">
        <v>1</v>
      </c>
      <c r="DL4096">
        <v>0</v>
      </c>
      <c r="DM4096">
        <v>0</v>
      </c>
      <c r="DN4096">
        <v>0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 x14ac:dyDescent="0.3">
      <c r="A4097" t="str">
        <f>"05/01/2025 15:15:54.645"</f>
        <v>05/01/2025 15:15:54.645</v>
      </c>
      <c r="C4097" t="str">
        <f t="shared" si="1596"/>
        <v>FFDFD3C0</v>
      </c>
      <c r="D4097" t="s">
        <v>136</v>
      </c>
      <c r="E4097" t="str">
        <f>"20"</f>
        <v>20</v>
      </c>
      <c r="H4097">
        <v>400</v>
      </c>
      <c r="I4097" t="s">
        <v>137</v>
      </c>
      <c r="J4097" t="s">
        <v>138</v>
      </c>
      <c r="K4097">
        <v>0</v>
      </c>
      <c r="L4097">
        <v>3</v>
      </c>
      <c r="M4097">
        <v>0</v>
      </c>
      <c r="N4097">
        <v>2</v>
      </c>
      <c r="O4097">
        <v>0</v>
      </c>
      <c r="P4097">
        <v>1</v>
      </c>
      <c r="Q4097">
        <v>0</v>
      </c>
      <c r="R4097" t="s">
        <v>127</v>
      </c>
      <c r="S4097" t="str">
        <f t="shared" si="1620"/>
        <v>15:15:54.000</v>
      </c>
      <c r="T4097" t="str">
        <f t="shared" si="1620"/>
        <v>15:15:54.000</v>
      </c>
      <c r="U4097" t="str">
        <f t="shared" si="1598"/>
        <v>A68FCB</v>
      </c>
      <c r="V4097">
        <v>0</v>
      </c>
      <c r="W4097">
        <v>0</v>
      </c>
      <c r="X4097">
        <v>2</v>
      </c>
      <c r="Y4097">
        <v>0</v>
      </c>
      <c r="AA4097">
        <v>1</v>
      </c>
      <c r="AB4097">
        <v>8</v>
      </c>
      <c r="AC4097">
        <v>3</v>
      </c>
      <c r="AD4097">
        <v>0</v>
      </c>
      <c r="AE4097">
        <v>9</v>
      </c>
      <c r="AF4097" t="s">
        <v>138</v>
      </c>
      <c r="AG4097">
        <v>0</v>
      </c>
      <c r="AH4097">
        <v>3</v>
      </c>
      <c r="AI4097">
        <v>2</v>
      </c>
      <c r="AJ4097">
        <v>0</v>
      </c>
      <c r="AK4097" t="s">
        <v>1298</v>
      </c>
      <c r="AL4097">
        <v>39.186858999999998</v>
      </c>
      <c r="AM4097" t="s">
        <v>1299</v>
      </c>
      <c r="AN4097">
        <v>-121.02303000000001</v>
      </c>
      <c r="AO4097">
        <v>25</v>
      </c>
      <c r="AP4097">
        <v>4400</v>
      </c>
      <c r="AQ4097" t="s">
        <v>131</v>
      </c>
      <c r="AR4097">
        <v>37</v>
      </c>
      <c r="AS4097">
        <v>68</v>
      </c>
      <c r="AT4097">
        <v>-128</v>
      </c>
      <c r="BB4097" t="str">
        <f t="shared" si="1599"/>
        <v>1200</v>
      </c>
      <c r="BC4097">
        <v>1</v>
      </c>
      <c r="BD4097" t="str">
        <f t="shared" si="1600"/>
        <v xml:space="preserve">N52156  </v>
      </c>
      <c r="BE4097">
        <v>1</v>
      </c>
      <c r="BG4097">
        <v>0</v>
      </c>
      <c r="BH4097">
        <v>0</v>
      </c>
      <c r="BI4097">
        <v>0</v>
      </c>
      <c r="BJ4097">
        <v>4525</v>
      </c>
      <c r="BK4097">
        <v>125</v>
      </c>
      <c r="BL4097" t="s">
        <v>188</v>
      </c>
      <c r="BM4097">
        <v>1</v>
      </c>
      <c r="BN4097">
        <v>1</v>
      </c>
      <c r="BO4097">
        <v>0</v>
      </c>
      <c r="BP4097">
        <v>0</v>
      </c>
      <c r="BS4097">
        <v>0</v>
      </c>
      <c r="BT4097">
        <v>0</v>
      </c>
      <c r="BU4097">
        <v>0</v>
      </c>
      <c r="CE4097" t="str">
        <f t="shared" si="1621"/>
        <v>15:15:54.404</v>
      </c>
      <c r="CF4097">
        <v>404076629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3</v>
      </c>
      <c r="CY4097">
        <v>7</v>
      </c>
      <c r="CZ4097" t="s">
        <v>133</v>
      </c>
      <c r="DA4097">
        <v>276</v>
      </c>
      <c r="DB4097">
        <v>0</v>
      </c>
      <c r="DC4097" t="s">
        <v>402</v>
      </c>
      <c r="DD4097" t="s">
        <v>403</v>
      </c>
      <c r="DG4097">
        <v>1628400</v>
      </c>
      <c r="DI4097">
        <v>1</v>
      </c>
      <c r="DJ4097">
        <v>0</v>
      </c>
      <c r="DK4097">
        <v>1</v>
      </c>
      <c r="DL4097">
        <v>0</v>
      </c>
      <c r="DM4097">
        <v>0</v>
      </c>
      <c r="DN4097">
        <v>0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 x14ac:dyDescent="0.3">
      <c r="A4098" t="str">
        <f>"05/01/2025 15:15:54.664"</f>
        <v>05/01/2025 15:15:54.664</v>
      </c>
      <c r="C4098" t="str">
        <f t="shared" ref="C4098:C4161" si="1622">"FFDFD3C0"</f>
        <v>FFDFD3C0</v>
      </c>
      <c r="D4098" t="s">
        <v>143</v>
      </c>
      <c r="E4098" t="str">
        <f>"05"</f>
        <v>05</v>
      </c>
      <c r="H4098">
        <v>172</v>
      </c>
      <c r="I4098" t="s">
        <v>141</v>
      </c>
      <c r="J4098" t="s">
        <v>144</v>
      </c>
      <c r="K4098">
        <v>0</v>
      </c>
      <c r="L4098">
        <v>3</v>
      </c>
      <c r="M4098">
        <v>0</v>
      </c>
      <c r="N4098">
        <v>2</v>
      </c>
      <c r="O4098">
        <v>0</v>
      </c>
      <c r="P4098">
        <v>1</v>
      </c>
      <c r="Q4098">
        <v>0</v>
      </c>
      <c r="R4098" t="s">
        <v>127</v>
      </c>
      <c r="S4098" t="str">
        <f t="shared" si="1620"/>
        <v>15:15:54.000</v>
      </c>
      <c r="T4098" t="str">
        <f t="shared" si="1620"/>
        <v>15:15:54.000</v>
      </c>
      <c r="U4098" t="str">
        <f t="shared" ref="U4098:U4161" si="1623">"A68FCB"</f>
        <v>A68FCB</v>
      </c>
      <c r="V4098">
        <v>0</v>
      </c>
      <c r="W4098">
        <v>0</v>
      </c>
      <c r="X4098">
        <v>2</v>
      </c>
      <c r="Y4098">
        <v>0</v>
      </c>
      <c r="AA4098">
        <v>1</v>
      </c>
      <c r="AB4098">
        <v>8</v>
      </c>
      <c r="AC4098">
        <v>3</v>
      </c>
      <c r="AD4098">
        <v>0</v>
      </c>
      <c r="AE4098">
        <v>9</v>
      </c>
      <c r="AF4098" t="s">
        <v>138</v>
      </c>
      <c r="AG4098">
        <v>0</v>
      </c>
      <c r="AH4098">
        <v>3</v>
      </c>
      <c r="AI4098">
        <v>2</v>
      </c>
      <c r="AJ4098">
        <v>0</v>
      </c>
      <c r="AK4098" t="s">
        <v>1298</v>
      </c>
      <c r="AL4098">
        <v>39.186858999999998</v>
      </c>
      <c r="AM4098" t="s">
        <v>1299</v>
      </c>
      <c r="AN4098">
        <v>-121.02303000000001</v>
      </c>
      <c r="AO4098">
        <v>25</v>
      </c>
      <c r="AP4098">
        <v>4400</v>
      </c>
      <c r="AQ4098" t="s">
        <v>131</v>
      </c>
      <c r="AR4098">
        <v>37</v>
      </c>
      <c r="AS4098">
        <v>68</v>
      </c>
      <c r="AT4098">
        <v>-128</v>
      </c>
      <c r="BB4098" t="str">
        <f t="shared" ref="BB4098:BB4161" si="1624">"1200"</f>
        <v>1200</v>
      </c>
      <c r="BC4098">
        <v>1</v>
      </c>
      <c r="BD4098" t="str">
        <f t="shared" ref="BD4098:BD4161" si="1625">"N52156  "</f>
        <v xml:space="preserve">N52156  </v>
      </c>
      <c r="BE4098">
        <v>1</v>
      </c>
      <c r="BG4098">
        <v>0</v>
      </c>
      <c r="BH4098">
        <v>0</v>
      </c>
      <c r="BI4098">
        <v>0</v>
      </c>
      <c r="BJ4098">
        <v>4525</v>
      </c>
      <c r="BK4098">
        <v>125</v>
      </c>
      <c r="BL4098" t="s">
        <v>188</v>
      </c>
      <c r="BM4098">
        <v>1</v>
      </c>
      <c r="BN4098">
        <v>1</v>
      </c>
      <c r="BO4098">
        <v>0</v>
      </c>
      <c r="BP4098">
        <v>0</v>
      </c>
      <c r="BS4098">
        <v>0</v>
      </c>
      <c r="BT4098">
        <v>0</v>
      </c>
      <c r="BU4098">
        <v>0</v>
      </c>
      <c r="CE4098" t="str">
        <f t="shared" si="1621"/>
        <v>15:15:54.404</v>
      </c>
      <c r="CF4098">
        <v>404076629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3</v>
      </c>
      <c r="CY4098">
        <v>7</v>
      </c>
      <c r="CZ4098" t="s">
        <v>133</v>
      </c>
      <c r="DA4098">
        <v>276</v>
      </c>
      <c r="DB4098">
        <v>0</v>
      </c>
      <c r="DC4098" t="s">
        <v>402</v>
      </c>
      <c r="DD4098" t="s">
        <v>403</v>
      </c>
      <c r="DG4098">
        <v>1628400</v>
      </c>
      <c r="DI4098">
        <v>1</v>
      </c>
      <c r="DJ4098">
        <v>0</v>
      </c>
      <c r="DK4098">
        <v>1</v>
      </c>
      <c r="DL4098">
        <v>0</v>
      </c>
      <c r="DM4098">
        <v>0</v>
      </c>
      <c r="DN4098">
        <v>0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3">
      <c r="A4099" t="str">
        <f>"05/01/2025 15:15:54.666"</f>
        <v>05/01/2025 15:15:54.666</v>
      </c>
      <c r="C4099" t="str">
        <f t="shared" si="1622"/>
        <v>FFDFD3C0</v>
      </c>
      <c r="D4099" t="s">
        <v>140</v>
      </c>
      <c r="E4099" t="str">
        <f>"13"</f>
        <v>13</v>
      </c>
      <c r="F4099">
        <v>1019</v>
      </c>
      <c r="G4099" t="s">
        <v>141</v>
      </c>
      <c r="J4099" t="s">
        <v>142</v>
      </c>
      <c r="K4099">
        <v>0</v>
      </c>
      <c r="L4099">
        <v>3</v>
      </c>
      <c r="M4099">
        <v>0</v>
      </c>
      <c r="N4099">
        <v>2</v>
      </c>
      <c r="O4099">
        <v>0</v>
      </c>
      <c r="P4099">
        <v>1</v>
      </c>
      <c r="Q4099">
        <v>0</v>
      </c>
      <c r="R4099" t="s">
        <v>127</v>
      </c>
      <c r="S4099" t="str">
        <f t="shared" si="1620"/>
        <v>15:15:54.000</v>
      </c>
      <c r="T4099" t="str">
        <f t="shared" si="1620"/>
        <v>15:15:54.000</v>
      </c>
      <c r="U4099" t="str">
        <f t="shared" si="1623"/>
        <v>A68FCB</v>
      </c>
      <c r="V4099">
        <v>0</v>
      </c>
      <c r="W4099">
        <v>0</v>
      </c>
      <c r="X4099">
        <v>2</v>
      </c>
      <c r="Y4099">
        <v>0</v>
      </c>
      <c r="AA4099">
        <v>1</v>
      </c>
      <c r="AB4099">
        <v>8</v>
      </c>
      <c r="AC4099">
        <v>3</v>
      </c>
      <c r="AD4099">
        <v>0</v>
      </c>
      <c r="AE4099">
        <v>9</v>
      </c>
      <c r="AF4099" t="s">
        <v>138</v>
      </c>
      <c r="AG4099">
        <v>0</v>
      </c>
      <c r="AH4099">
        <v>3</v>
      </c>
      <c r="AI4099">
        <v>2</v>
      </c>
      <c r="AJ4099">
        <v>0</v>
      </c>
      <c r="AK4099" t="s">
        <v>1298</v>
      </c>
      <c r="AL4099">
        <v>39.186858999999998</v>
      </c>
      <c r="AM4099" t="s">
        <v>1299</v>
      </c>
      <c r="AN4099">
        <v>-121.02303000000001</v>
      </c>
      <c r="AO4099">
        <v>25</v>
      </c>
      <c r="AP4099">
        <v>4400</v>
      </c>
      <c r="AQ4099" t="s">
        <v>131</v>
      </c>
      <c r="AR4099">
        <v>37</v>
      </c>
      <c r="AS4099">
        <v>68</v>
      </c>
      <c r="AT4099">
        <v>-128</v>
      </c>
      <c r="BB4099" t="str">
        <f t="shared" si="1624"/>
        <v>1200</v>
      </c>
      <c r="BC4099">
        <v>1</v>
      </c>
      <c r="BD4099" t="str">
        <f t="shared" si="1625"/>
        <v xml:space="preserve">N52156  </v>
      </c>
      <c r="BE4099">
        <v>1</v>
      </c>
      <c r="BG4099">
        <v>0</v>
      </c>
      <c r="BH4099">
        <v>0</v>
      </c>
      <c r="BI4099">
        <v>0</v>
      </c>
      <c r="BJ4099">
        <v>4525</v>
      </c>
      <c r="BK4099">
        <v>125</v>
      </c>
      <c r="BL4099" t="s">
        <v>188</v>
      </c>
      <c r="BM4099">
        <v>1</v>
      </c>
      <c r="BN4099">
        <v>1</v>
      </c>
      <c r="BO4099">
        <v>0</v>
      </c>
      <c r="BP4099">
        <v>0</v>
      </c>
      <c r="BS4099">
        <v>0</v>
      </c>
      <c r="BT4099">
        <v>0</v>
      </c>
      <c r="BU4099">
        <v>0</v>
      </c>
      <c r="CE4099" t="str">
        <f t="shared" si="1621"/>
        <v>15:15:54.404</v>
      </c>
      <c r="CF4099">
        <v>404076629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3</v>
      </c>
      <c r="CY4099">
        <v>7</v>
      </c>
      <c r="CZ4099" t="s">
        <v>133</v>
      </c>
      <c r="DA4099">
        <v>276</v>
      </c>
      <c r="DB4099">
        <v>0</v>
      </c>
      <c r="DC4099" t="s">
        <v>402</v>
      </c>
      <c r="DD4099" t="s">
        <v>403</v>
      </c>
      <c r="DG4099">
        <v>1628400</v>
      </c>
      <c r="DI4099">
        <v>1</v>
      </c>
      <c r="DJ4099">
        <v>0</v>
      </c>
      <c r="DK4099">
        <v>1</v>
      </c>
      <c r="DL4099">
        <v>0</v>
      </c>
      <c r="DM4099">
        <v>0</v>
      </c>
      <c r="DN4099">
        <v>0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3">
      <c r="A4100" t="str">
        <f>"05/01/2025 15:15:55.467"</f>
        <v>05/01/2025 15:15:55.467</v>
      </c>
      <c r="C4100" t="str">
        <f t="shared" si="1622"/>
        <v>FFDFD3C0</v>
      </c>
      <c r="D4100" t="s">
        <v>140</v>
      </c>
      <c r="E4100" t="str">
        <f>"13"</f>
        <v>13</v>
      </c>
      <c r="F4100">
        <v>1019</v>
      </c>
      <c r="G4100" t="s">
        <v>141</v>
      </c>
      <c r="J4100" t="s">
        <v>142</v>
      </c>
      <c r="K4100">
        <v>0</v>
      </c>
      <c r="L4100">
        <v>3</v>
      </c>
      <c r="M4100">
        <v>0</v>
      </c>
      <c r="N4100">
        <v>2</v>
      </c>
      <c r="O4100">
        <v>0</v>
      </c>
      <c r="P4100">
        <v>1</v>
      </c>
      <c r="Q4100">
        <v>0</v>
      </c>
      <c r="R4100" t="s">
        <v>127</v>
      </c>
      <c r="S4100" t="str">
        <f t="shared" ref="S4100:T4105" si="1626">"15:15:55.000"</f>
        <v>15:15:55.000</v>
      </c>
      <c r="T4100" t="str">
        <f t="shared" si="1626"/>
        <v>15:15:55.000</v>
      </c>
      <c r="U4100" t="str">
        <f t="shared" si="1623"/>
        <v>A68FCB</v>
      </c>
      <c r="V4100">
        <v>0</v>
      </c>
      <c r="W4100">
        <v>0</v>
      </c>
      <c r="X4100">
        <v>2</v>
      </c>
      <c r="Y4100">
        <v>0</v>
      </c>
      <c r="AA4100">
        <v>1</v>
      </c>
      <c r="AB4100">
        <v>8</v>
      </c>
      <c r="AC4100">
        <v>3</v>
      </c>
      <c r="AD4100">
        <v>0</v>
      </c>
      <c r="AE4100">
        <v>9</v>
      </c>
      <c r="AF4100" t="s">
        <v>138</v>
      </c>
      <c r="AG4100">
        <v>0</v>
      </c>
      <c r="AH4100">
        <v>3</v>
      </c>
      <c r="AI4100">
        <v>2</v>
      </c>
      <c r="AJ4100">
        <v>0</v>
      </c>
      <c r="AK4100" t="s">
        <v>1300</v>
      </c>
      <c r="AL4100">
        <v>39.187181000000002</v>
      </c>
      <c r="AM4100" t="s">
        <v>1301</v>
      </c>
      <c r="AN4100">
        <v>-121.022794</v>
      </c>
      <c r="AO4100">
        <v>25</v>
      </c>
      <c r="AP4100">
        <v>4400</v>
      </c>
      <c r="AQ4100" t="s">
        <v>131</v>
      </c>
      <c r="AR4100">
        <v>37</v>
      </c>
      <c r="AS4100">
        <v>68</v>
      </c>
      <c r="AT4100">
        <v>-128</v>
      </c>
      <c r="BB4100" t="str">
        <f t="shared" si="1624"/>
        <v>1200</v>
      </c>
      <c r="BC4100">
        <v>1</v>
      </c>
      <c r="BD4100" t="str">
        <f t="shared" si="1625"/>
        <v xml:space="preserve">N52156  </v>
      </c>
      <c r="BE4100">
        <v>1</v>
      </c>
      <c r="BG4100">
        <v>0</v>
      </c>
      <c r="BH4100">
        <v>0</v>
      </c>
      <c r="BI4100">
        <v>0</v>
      </c>
      <c r="BJ4100">
        <v>4525</v>
      </c>
      <c r="BK4100">
        <v>125</v>
      </c>
      <c r="BL4100" t="s">
        <v>188</v>
      </c>
      <c r="BM4100">
        <v>1</v>
      </c>
      <c r="BN4100">
        <v>1</v>
      </c>
      <c r="BO4100">
        <v>0</v>
      </c>
      <c r="BP4100">
        <v>0</v>
      </c>
      <c r="BS4100">
        <v>0</v>
      </c>
      <c r="BT4100">
        <v>0</v>
      </c>
      <c r="BU4100">
        <v>0</v>
      </c>
      <c r="CE4100" t="str">
        <f t="shared" ref="CE4100:CE4105" si="1627">"15:15:55.234"</f>
        <v>15:15:55.234</v>
      </c>
      <c r="CF4100">
        <v>234076478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3</v>
      </c>
      <c r="CY4100">
        <v>7</v>
      </c>
      <c r="CZ4100" t="s">
        <v>133</v>
      </c>
      <c r="DA4100">
        <v>276</v>
      </c>
      <c r="DB4100">
        <v>0</v>
      </c>
      <c r="DC4100" t="s">
        <v>402</v>
      </c>
      <c r="DD4100" t="s">
        <v>403</v>
      </c>
      <c r="DG4100">
        <v>1628401</v>
      </c>
      <c r="DI4100">
        <v>1</v>
      </c>
      <c r="DJ4100">
        <v>0</v>
      </c>
      <c r="DK4100">
        <v>0</v>
      </c>
      <c r="DL4100">
        <v>0</v>
      </c>
      <c r="DM4100">
        <v>0</v>
      </c>
      <c r="DN4100">
        <v>0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3">
      <c r="A4101" t="str">
        <f>"05/01/2025 15:15:55.466"</f>
        <v>05/01/2025 15:15:55.466</v>
      </c>
      <c r="C4101" t="str">
        <f t="shared" si="1622"/>
        <v>FFDFD3C0</v>
      </c>
      <c r="D4101" t="s">
        <v>143</v>
      </c>
      <c r="E4101" t="str">
        <f>"05"</f>
        <v>05</v>
      </c>
      <c r="H4101">
        <v>172</v>
      </c>
      <c r="I4101" t="s">
        <v>141</v>
      </c>
      <c r="J4101" t="s">
        <v>144</v>
      </c>
      <c r="K4101">
        <v>0</v>
      </c>
      <c r="L4101">
        <v>3</v>
      </c>
      <c r="M4101">
        <v>0</v>
      </c>
      <c r="N4101">
        <v>2</v>
      </c>
      <c r="O4101">
        <v>0</v>
      </c>
      <c r="P4101">
        <v>1</v>
      </c>
      <c r="Q4101">
        <v>0</v>
      </c>
      <c r="R4101" t="s">
        <v>127</v>
      </c>
      <c r="S4101" t="str">
        <f t="shared" si="1626"/>
        <v>15:15:55.000</v>
      </c>
      <c r="T4101" t="str">
        <f t="shared" si="1626"/>
        <v>15:15:55.000</v>
      </c>
      <c r="U4101" t="str">
        <f t="shared" si="1623"/>
        <v>A68FCB</v>
      </c>
      <c r="V4101">
        <v>0</v>
      </c>
      <c r="W4101">
        <v>0</v>
      </c>
      <c r="X4101">
        <v>2</v>
      </c>
      <c r="Y4101">
        <v>0</v>
      </c>
      <c r="AA4101">
        <v>1</v>
      </c>
      <c r="AB4101">
        <v>8</v>
      </c>
      <c r="AC4101">
        <v>3</v>
      </c>
      <c r="AD4101">
        <v>0</v>
      </c>
      <c r="AE4101">
        <v>9</v>
      </c>
      <c r="AF4101" t="s">
        <v>138</v>
      </c>
      <c r="AG4101">
        <v>0</v>
      </c>
      <c r="AH4101">
        <v>3</v>
      </c>
      <c r="AI4101">
        <v>2</v>
      </c>
      <c r="AJ4101">
        <v>0</v>
      </c>
      <c r="AK4101" t="s">
        <v>1300</v>
      </c>
      <c r="AL4101">
        <v>39.187181000000002</v>
      </c>
      <c r="AM4101" t="s">
        <v>1301</v>
      </c>
      <c r="AN4101">
        <v>-121.022794</v>
      </c>
      <c r="AO4101">
        <v>25</v>
      </c>
      <c r="AP4101">
        <v>4400</v>
      </c>
      <c r="AQ4101" t="s">
        <v>131</v>
      </c>
      <c r="AR4101">
        <v>37</v>
      </c>
      <c r="AS4101">
        <v>68</v>
      </c>
      <c r="AT4101">
        <v>-128</v>
      </c>
      <c r="BB4101" t="str">
        <f t="shared" si="1624"/>
        <v>1200</v>
      </c>
      <c r="BC4101">
        <v>1</v>
      </c>
      <c r="BD4101" t="str">
        <f t="shared" si="1625"/>
        <v xml:space="preserve">N52156  </v>
      </c>
      <c r="BE4101">
        <v>1</v>
      </c>
      <c r="BG4101">
        <v>0</v>
      </c>
      <c r="BH4101">
        <v>0</v>
      </c>
      <c r="BI4101">
        <v>0</v>
      </c>
      <c r="BJ4101">
        <v>4525</v>
      </c>
      <c r="BK4101">
        <v>125</v>
      </c>
      <c r="BL4101" t="s">
        <v>188</v>
      </c>
      <c r="BM4101">
        <v>1</v>
      </c>
      <c r="BN4101">
        <v>1</v>
      </c>
      <c r="BO4101">
        <v>0</v>
      </c>
      <c r="BP4101">
        <v>0</v>
      </c>
      <c r="BS4101">
        <v>0</v>
      </c>
      <c r="BT4101">
        <v>0</v>
      </c>
      <c r="BU4101">
        <v>0</v>
      </c>
      <c r="CE4101" t="str">
        <f t="shared" si="1627"/>
        <v>15:15:55.234</v>
      </c>
      <c r="CF4101">
        <v>234076478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3</v>
      </c>
      <c r="CY4101">
        <v>7</v>
      </c>
      <c r="CZ4101" t="s">
        <v>133</v>
      </c>
      <c r="DA4101">
        <v>276</v>
      </c>
      <c r="DB4101">
        <v>0</v>
      </c>
      <c r="DC4101" t="s">
        <v>402</v>
      </c>
      <c r="DD4101" t="s">
        <v>403</v>
      </c>
      <c r="DG4101">
        <v>1628401</v>
      </c>
      <c r="DI4101">
        <v>1</v>
      </c>
      <c r="DJ4101">
        <v>0</v>
      </c>
      <c r="DK4101">
        <v>1</v>
      </c>
      <c r="DL4101">
        <v>0</v>
      </c>
      <c r="DM4101">
        <v>0</v>
      </c>
      <c r="DN4101">
        <v>0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3">
      <c r="A4102" t="str">
        <f>"05/01/2025 15:15:55.471"</f>
        <v>05/01/2025 15:15:55.471</v>
      </c>
      <c r="C4102" t="str">
        <f t="shared" si="1622"/>
        <v>FFDFD3C0</v>
      </c>
      <c r="D4102" t="s">
        <v>124</v>
      </c>
      <c r="E4102" t="str">
        <f>"06"</f>
        <v>06</v>
      </c>
      <c r="F4102">
        <v>2006</v>
      </c>
      <c r="G4102" t="s">
        <v>125</v>
      </c>
      <c r="J4102" t="s">
        <v>126</v>
      </c>
      <c r="K4102">
        <v>0</v>
      </c>
      <c r="L4102">
        <v>3</v>
      </c>
      <c r="M4102">
        <v>0</v>
      </c>
      <c r="N4102">
        <v>2</v>
      </c>
      <c r="O4102">
        <v>0</v>
      </c>
      <c r="P4102">
        <v>1</v>
      </c>
      <c r="Q4102">
        <v>0</v>
      </c>
      <c r="R4102" t="s">
        <v>127</v>
      </c>
      <c r="S4102" t="str">
        <f t="shared" si="1626"/>
        <v>15:15:55.000</v>
      </c>
      <c r="T4102" t="str">
        <f t="shared" si="1626"/>
        <v>15:15:55.000</v>
      </c>
      <c r="U4102" t="str">
        <f t="shared" si="1623"/>
        <v>A68FCB</v>
      </c>
      <c r="V4102">
        <v>0</v>
      </c>
      <c r="W4102">
        <v>0</v>
      </c>
      <c r="X4102">
        <v>2</v>
      </c>
      <c r="Y4102">
        <v>0</v>
      </c>
      <c r="AA4102">
        <v>1</v>
      </c>
      <c r="AB4102">
        <v>8</v>
      </c>
      <c r="AC4102">
        <v>3</v>
      </c>
      <c r="AD4102">
        <v>0</v>
      </c>
      <c r="AE4102">
        <v>9</v>
      </c>
      <c r="AF4102" t="s">
        <v>138</v>
      </c>
      <c r="AG4102">
        <v>0</v>
      </c>
      <c r="AH4102">
        <v>3</v>
      </c>
      <c r="AI4102">
        <v>2</v>
      </c>
      <c r="AJ4102">
        <v>0</v>
      </c>
      <c r="AK4102" t="s">
        <v>1300</v>
      </c>
      <c r="AL4102">
        <v>39.187181000000002</v>
      </c>
      <c r="AM4102" t="s">
        <v>1301</v>
      </c>
      <c r="AN4102">
        <v>-121.022794</v>
      </c>
      <c r="AO4102">
        <v>25</v>
      </c>
      <c r="AP4102">
        <v>4400</v>
      </c>
      <c r="AQ4102" t="s">
        <v>131</v>
      </c>
      <c r="AR4102">
        <v>37</v>
      </c>
      <c r="AS4102">
        <v>68</v>
      </c>
      <c r="AT4102">
        <v>-128</v>
      </c>
      <c r="BB4102" t="str">
        <f t="shared" si="1624"/>
        <v>1200</v>
      </c>
      <c r="BC4102">
        <v>1</v>
      </c>
      <c r="BD4102" t="str">
        <f t="shared" si="1625"/>
        <v xml:space="preserve">N52156  </v>
      </c>
      <c r="BE4102">
        <v>1</v>
      </c>
      <c r="BG4102">
        <v>0</v>
      </c>
      <c r="BH4102">
        <v>0</v>
      </c>
      <c r="BI4102">
        <v>0</v>
      </c>
      <c r="BJ4102">
        <v>4525</v>
      </c>
      <c r="BK4102">
        <v>125</v>
      </c>
      <c r="BL4102" t="s">
        <v>188</v>
      </c>
      <c r="BM4102">
        <v>1</v>
      </c>
      <c r="BN4102">
        <v>1</v>
      </c>
      <c r="BO4102">
        <v>0</v>
      </c>
      <c r="BP4102">
        <v>0</v>
      </c>
      <c r="BS4102">
        <v>0</v>
      </c>
      <c r="BT4102">
        <v>0</v>
      </c>
      <c r="BU4102">
        <v>0</v>
      </c>
      <c r="CE4102" t="str">
        <f t="shared" si="1627"/>
        <v>15:15:55.234</v>
      </c>
      <c r="CF4102">
        <v>234076478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3</v>
      </c>
      <c r="CY4102">
        <v>7</v>
      </c>
      <c r="CZ4102" t="s">
        <v>133</v>
      </c>
      <c r="DA4102">
        <v>276</v>
      </c>
      <c r="DB4102">
        <v>0</v>
      </c>
      <c r="DC4102" t="s">
        <v>402</v>
      </c>
      <c r="DD4102" t="s">
        <v>403</v>
      </c>
      <c r="DG4102">
        <v>1628401</v>
      </c>
      <c r="DI4102">
        <v>1</v>
      </c>
      <c r="DJ4102">
        <v>0</v>
      </c>
      <c r="DK4102">
        <v>1</v>
      </c>
      <c r="DL4102">
        <v>0</v>
      </c>
      <c r="DM4102">
        <v>0</v>
      </c>
      <c r="DN4102">
        <v>0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3">
      <c r="A4103" t="str">
        <f>"05/01/2025 15:15:55.480"</f>
        <v>05/01/2025 15:15:55.480</v>
      </c>
      <c r="C4103" t="str">
        <f t="shared" si="1622"/>
        <v>FFDFD3C0</v>
      </c>
      <c r="D4103" t="s">
        <v>145</v>
      </c>
      <c r="E4103" t="str">
        <f>"09"</f>
        <v>09</v>
      </c>
      <c r="H4103">
        <v>51</v>
      </c>
      <c r="I4103" t="s">
        <v>147</v>
      </c>
      <c r="J4103" t="s">
        <v>138</v>
      </c>
      <c r="K4103">
        <v>0</v>
      </c>
      <c r="L4103">
        <v>3</v>
      </c>
      <c r="M4103">
        <v>0</v>
      </c>
      <c r="N4103">
        <v>2</v>
      </c>
      <c r="O4103">
        <v>0</v>
      </c>
      <c r="P4103">
        <v>1</v>
      </c>
      <c r="Q4103">
        <v>0</v>
      </c>
      <c r="R4103" t="s">
        <v>127</v>
      </c>
      <c r="S4103" t="str">
        <f t="shared" si="1626"/>
        <v>15:15:55.000</v>
      </c>
      <c r="T4103" t="str">
        <f t="shared" si="1626"/>
        <v>15:15:55.000</v>
      </c>
      <c r="U4103" t="str">
        <f t="shared" si="1623"/>
        <v>A68FCB</v>
      </c>
      <c r="V4103">
        <v>0</v>
      </c>
      <c r="W4103">
        <v>0</v>
      </c>
      <c r="X4103">
        <v>2</v>
      </c>
      <c r="Y4103">
        <v>0</v>
      </c>
      <c r="AA4103">
        <v>1</v>
      </c>
      <c r="AB4103">
        <v>8</v>
      </c>
      <c r="AC4103">
        <v>3</v>
      </c>
      <c r="AD4103">
        <v>0</v>
      </c>
      <c r="AE4103">
        <v>9</v>
      </c>
      <c r="AF4103" t="s">
        <v>138</v>
      </c>
      <c r="AG4103">
        <v>0</v>
      </c>
      <c r="AH4103">
        <v>3</v>
      </c>
      <c r="AI4103">
        <v>2</v>
      </c>
      <c r="AJ4103">
        <v>0</v>
      </c>
      <c r="AK4103" t="s">
        <v>1300</v>
      </c>
      <c r="AL4103">
        <v>39.187181000000002</v>
      </c>
      <c r="AM4103" t="s">
        <v>1301</v>
      </c>
      <c r="AN4103">
        <v>-121.022794</v>
      </c>
      <c r="AO4103">
        <v>25</v>
      </c>
      <c r="AP4103">
        <v>4400</v>
      </c>
      <c r="AQ4103" t="s">
        <v>131</v>
      </c>
      <c r="AR4103">
        <v>37</v>
      </c>
      <c r="AS4103">
        <v>68</v>
      </c>
      <c r="AT4103">
        <v>-128</v>
      </c>
      <c r="BB4103" t="str">
        <f t="shared" si="1624"/>
        <v>1200</v>
      </c>
      <c r="BC4103">
        <v>1</v>
      </c>
      <c r="BD4103" t="str">
        <f t="shared" si="1625"/>
        <v xml:space="preserve">N52156  </v>
      </c>
      <c r="BE4103">
        <v>1</v>
      </c>
      <c r="BG4103">
        <v>0</v>
      </c>
      <c r="BH4103">
        <v>0</v>
      </c>
      <c r="BI4103">
        <v>0</v>
      </c>
      <c r="BJ4103">
        <v>4525</v>
      </c>
      <c r="BK4103">
        <v>125</v>
      </c>
      <c r="BL4103" t="s">
        <v>188</v>
      </c>
      <c r="BM4103">
        <v>1</v>
      </c>
      <c r="BN4103">
        <v>1</v>
      </c>
      <c r="BO4103">
        <v>0</v>
      </c>
      <c r="BP4103">
        <v>0</v>
      </c>
      <c r="BS4103">
        <v>0</v>
      </c>
      <c r="BT4103">
        <v>0</v>
      </c>
      <c r="BU4103">
        <v>0</v>
      </c>
      <c r="CE4103" t="str">
        <f t="shared" si="1627"/>
        <v>15:15:55.234</v>
      </c>
      <c r="CF4103">
        <v>234076478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3</v>
      </c>
      <c r="CY4103">
        <v>7</v>
      </c>
      <c r="CZ4103" t="s">
        <v>133</v>
      </c>
      <c r="DA4103">
        <v>276</v>
      </c>
      <c r="DB4103">
        <v>0</v>
      </c>
      <c r="DC4103" t="s">
        <v>402</v>
      </c>
      <c r="DD4103" t="s">
        <v>403</v>
      </c>
      <c r="DG4103">
        <v>1628401</v>
      </c>
      <c r="DI4103">
        <v>1</v>
      </c>
      <c r="DJ4103">
        <v>0</v>
      </c>
      <c r="DK4103">
        <v>1</v>
      </c>
      <c r="DL4103">
        <v>0</v>
      </c>
      <c r="DM4103">
        <v>0</v>
      </c>
      <c r="DN4103">
        <v>0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3">
      <c r="A4104" t="str">
        <f>"05/01/2025 15:15:55.485"</f>
        <v>05/01/2025 15:15:55.485</v>
      </c>
      <c r="C4104" t="str">
        <f t="shared" si="1622"/>
        <v>FFDFD3C0</v>
      </c>
      <c r="D4104" t="s">
        <v>145</v>
      </c>
      <c r="E4104" t="str">
        <f>"05"</f>
        <v>05</v>
      </c>
      <c r="H4104">
        <v>47</v>
      </c>
      <c r="I4104" t="s">
        <v>146</v>
      </c>
      <c r="J4104" t="s">
        <v>138</v>
      </c>
      <c r="K4104">
        <v>0</v>
      </c>
      <c r="L4104">
        <v>3</v>
      </c>
      <c r="M4104">
        <v>0</v>
      </c>
      <c r="N4104">
        <v>2</v>
      </c>
      <c r="O4104">
        <v>0</v>
      </c>
      <c r="P4104">
        <v>1</v>
      </c>
      <c r="Q4104">
        <v>0</v>
      </c>
      <c r="R4104" t="s">
        <v>127</v>
      </c>
      <c r="S4104" t="str">
        <f t="shared" si="1626"/>
        <v>15:15:55.000</v>
      </c>
      <c r="T4104" t="str">
        <f t="shared" si="1626"/>
        <v>15:15:55.000</v>
      </c>
      <c r="U4104" t="str">
        <f t="shared" si="1623"/>
        <v>A68FCB</v>
      </c>
      <c r="V4104">
        <v>0</v>
      </c>
      <c r="W4104">
        <v>0</v>
      </c>
      <c r="X4104">
        <v>2</v>
      </c>
      <c r="Y4104">
        <v>0</v>
      </c>
      <c r="AA4104">
        <v>1</v>
      </c>
      <c r="AB4104">
        <v>8</v>
      </c>
      <c r="AC4104">
        <v>3</v>
      </c>
      <c r="AD4104">
        <v>0</v>
      </c>
      <c r="AE4104">
        <v>9</v>
      </c>
      <c r="AF4104" t="s">
        <v>138</v>
      </c>
      <c r="AG4104">
        <v>0</v>
      </c>
      <c r="AH4104">
        <v>3</v>
      </c>
      <c r="AI4104">
        <v>2</v>
      </c>
      <c r="AJ4104">
        <v>0</v>
      </c>
      <c r="AK4104" t="s">
        <v>1300</v>
      </c>
      <c r="AL4104">
        <v>39.187181000000002</v>
      </c>
      <c r="AM4104" t="s">
        <v>1301</v>
      </c>
      <c r="AN4104">
        <v>-121.022794</v>
      </c>
      <c r="AO4104">
        <v>25</v>
      </c>
      <c r="AP4104">
        <v>4400</v>
      </c>
      <c r="AQ4104" t="s">
        <v>131</v>
      </c>
      <c r="AR4104">
        <v>37</v>
      </c>
      <c r="AS4104">
        <v>68</v>
      </c>
      <c r="AT4104">
        <v>-128</v>
      </c>
      <c r="BB4104" t="str">
        <f t="shared" si="1624"/>
        <v>1200</v>
      </c>
      <c r="BC4104">
        <v>1</v>
      </c>
      <c r="BD4104" t="str">
        <f t="shared" si="1625"/>
        <v xml:space="preserve">N52156  </v>
      </c>
      <c r="BE4104">
        <v>1</v>
      </c>
      <c r="BG4104">
        <v>0</v>
      </c>
      <c r="BH4104">
        <v>0</v>
      </c>
      <c r="BI4104">
        <v>0</v>
      </c>
      <c r="BJ4104">
        <v>4525</v>
      </c>
      <c r="BK4104">
        <v>125</v>
      </c>
      <c r="BL4104" t="s">
        <v>188</v>
      </c>
      <c r="BM4104">
        <v>1</v>
      </c>
      <c r="BN4104">
        <v>1</v>
      </c>
      <c r="BO4104">
        <v>0</v>
      </c>
      <c r="BP4104">
        <v>0</v>
      </c>
      <c r="BS4104">
        <v>0</v>
      </c>
      <c r="BT4104">
        <v>0</v>
      </c>
      <c r="BU4104">
        <v>0</v>
      </c>
      <c r="CE4104" t="str">
        <f t="shared" si="1627"/>
        <v>15:15:55.234</v>
      </c>
      <c r="CF4104">
        <v>234076478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3</v>
      </c>
      <c r="CY4104">
        <v>7</v>
      </c>
      <c r="CZ4104" t="s">
        <v>133</v>
      </c>
      <c r="DA4104">
        <v>276</v>
      </c>
      <c r="DB4104">
        <v>0</v>
      </c>
      <c r="DC4104" t="s">
        <v>402</v>
      </c>
      <c r="DD4104" t="s">
        <v>403</v>
      </c>
      <c r="DG4104">
        <v>1628401</v>
      </c>
      <c r="DI4104">
        <v>1</v>
      </c>
      <c r="DJ4104">
        <v>0</v>
      </c>
      <c r="DK4104">
        <v>1</v>
      </c>
      <c r="DL4104">
        <v>0</v>
      </c>
      <c r="DM4104">
        <v>0</v>
      </c>
      <c r="DN4104">
        <v>0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3">
      <c r="A4105" t="str">
        <f>"05/01/2025 15:15:55.497"</f>
        <v>05/01/2025 15:15:55.497</v>
      </c>
      <c r="C4105" t="str">
        <f t="shared" si="1622"/>
        <v>FFDFD3C0</v>
      </c>
      <c r="D4105" t="s">
        <v>136</v>
      </c>
      <c r="E4105" t="str">
        <f>"20"</f>
        <v>20</v>
      </c>
      <c r="H4105">
        <v>400</v>
      </c>
      <c r="I4105" t="s">
        <v>137</v>
      </c>
      <c r="J4105" t="s">
        <v>138</v>
      </c>
      <c r="K4105">
        <v>0</v>
      </c>
      <c r="L4105">
        <v>3</v>
      </c>
      <c r="M4105">
        <v>0</v>
      </c>
      <c r="N4105">
        <v>2</v>
      </c>
      <c r="O4105">
        <v>0</v>
      </c>
      <c r="P4105">
        <v>1</v>
      </c>
      <c r="Q4105">
        <v>0</v>
      </c>
      <c r="R4105" t="s">
        <v>127</v>
      </c>
      <c r="S4105" t="str">
        <f t="shared" si="1626"/>
        <v>15:15:55.000</v>
      </c>
      <c r="T4105" t="str">
        <f t="shared" si="1626"/>
        <v>15:15:55.000</v>
      </c>
      <c r="U4105" t="str">
        <f t="shared" si="1623"/>
        <v>A68FCB</v>
      </c>
      <c r="V4105">
        <v>0</v>
      </c>
      <c r="W4105">
        <v>0</v>
      </c>
      <c r="X4105">
        <v>2</v>
      </c>
      <c r="Y4105">
        <v>0</v>
      </c>
      <c r="AA4105">
        <v>1</v>
      </c>
      <c r="AB4105">
        <v>8</v>
      </c>
      <c r="AC4105">
        <v>3</v>
      </c>
      <c r="AD4105">
        <v>0</v>
      </c>
      <c r="AE4105">
        <v>9</v>
      </c>
      <c r="AF4105" t="s">
        <v>138</v>
      </c>
      <c r="AG4105">
        <v>0</v>
      </c>
      <c r="AH4105">
        <v>3</v>
      </c>
      <c r="AI4105">
        <v>2</v>
      </c>
      <c r="AJ4105">
        <v>0</v>
      </c>
      <c r="AK4105" t="s">
        <v>1300</v>
      </c>
      <c r="AL4105">
        <v>39.187181000000002</v>
      </c>
      <c r="AM4105" t="s">
        <v>1301</v>
      </c>
      <c r="AN4105">
        <v>-121.022794</v>
      </c>
      <c r="AO4105">
        <v>25</v>
      </c>
      <c r="AP4105">
        <v>4400</v>
      </c>
      <c r="AQ4105" t="s">
        <v>131</v>
      </c>
      <c r="AR4105">
        <v>37</v>
      </c>
      <c r="AS4105">
        <v>68</v>
      </c>
      <c r="AT4105">
        <v>-128</v>
      </c>
      <c r="BB4105" t="str">
        <f t="shared" si="1624"/>
        <v>1200</v>
      </c>
      <c r="BC4105">
        <v>1</v>
      </c>
      <c r="BD4105" t="str">
        <f t="shared" si="1625"/>
        <v xml:space="preserve">N52156  </v>
      </c>
      <c r="BE4105">
        <v>1</v>
      </c>
      <c r="BG4105">
        <v>0</v>
      </c>
      <c r="BH4105">
        <v>0</v>
      </c>
      <c r="BI4105">
        <v>0</v>
      </c>
      <c r="BJ4105">
        <v>4525</v>
      </c>
      <c r="BK4105">
        <v>125</v>
      </c>
      <c r="BL4105" t="s">
        <v>188</v>
      </c>
      <c r="BM4105">
        <v>1</v>
      </c>
      <c r="BN4105">
        <v>1</v>
      </c>
      <c r="BO4105">
        <v>0</v>
      </c>
      <c r="BP4105">
        <v>0</v>
      </c>
      <c r="BS4105">
        <v>0</v>
      </c>
      <c r="BT4105">
        <v>0</v>
      </c>
      <c r="BU4105">
        <v>0</v>
      </c>
      <c r="CE4105" t="str">
        <f t="shared" si="1627"/>
        <v>15:15:55.234</v>
      </c>
      <c r="CF4105">
        <v>234076478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3</v>
      </c>
      <c r="CY4105">
        <v>7</v>
      </c>
      <c r="CZ4105" t="s">
        <v>133</v>
      </c>
      <c r="DA4105">
        <v>276</v>
      </c>
      <c r="DB4105">
        <v>0</v>
      </c>
      <c r="DC4105" t="s">
        <v>402</v>
      </c>
      <c r="DD4105" t="s">
        <v>403</v>
      </c>
      <c r="DG4105">
        <v>1628401</v>
      </c>
      <c r="DI4105">
        <v>1</v>
      </c>
      <c r="DJ4105">
        <v>0</v>
      </c>
      <c r="DK4105">
        <v>1</v>
      </c>
      <c r="DL4105">
        <v>0</v>
      </c>
      <c r="DM4105">
        <v>0</v>
      </c>
      <c r="DN4105">
        <v>0</v>
      </c>
      <c r="DO4105">
        <v>0</v>
      </c>
      <c r="DP4105">
        <v>0</v>
      </c>
      <c r="DQ4105">
        <v>0</v>
      </c>
      <c r="DR4105">
        <v>0</v>
      </c>
      <c r="DS4105">
        <v>0</v>
      </c>
    </row>
    <row r="4106" spans="1:123" x14ac:dyDescent="0.3">
      <c r="A4106" t="str">
        <f>"05/01/2025 15:15:57.139"</f>
        <v>05/01/2025 15:15:57.139</v>
      </c>
      <c r="C4106" t="str">
        <f t="shared" si="1622"/>
        <v>FFDFD3C0</v>
      </c>
      <c r="D4106" t="s">
        <v>145</v>
      </c>
      <c r="E4106" t="str">
        <f>"05"</f>
        <v>05</v>
      </c>
      <c r="H4106">
        <v>47</v>
      </c>
      <c r="I4106" t="s">
        <v>146</v>
      </c>
      <c r="J4106" t="s">
        <v>138</v>
      </c>
      <c r="K4106">
        <v>0</v>
      </c>
      <c r="L4106">
        <v>3</v>
      </c>
      <c r="M4106">
        <v>0</v>
      </c>
      <c r="N4106">
        <v>2</v>
      </c>
      <c r="O4106">
        <v>0</v>
      </c>
      <c r="P4106">
        <v>1</v>
      </c>
      <c r="Q4106">
        <v>0</v>
      </c>
      <c r="R4106" t="s">
        <v>127</v>
      </c>
      <c r="S4106" t="str">
        <f t="shared" ref="S4106:T4111" si="1628">"15:15:56.000"</f>
        <v>15:15:56.000</v>
      </c>
      <c r="T4106" t="str">
        <f t="shared" si="1628"/>
        <v>15:15:56.000</v>
      </c>
      <c r="U4106" t="str">
        <f t="shared" si="1623"/>
        <v>A68FCB</v>
      </c>
      <c r="V4106">
        <v>0</v>
      </c>
      <c r="W4106">
        <v>0</v>
      </c>
      <c r="X4106">
        <v>2</v>
      </c>
      <c r="Y4106">
        <v>0</v>
      </c>
      <c r="AA4106">
        <v>1</v>
      </c>
      <c r="AB4106">
        <v>8</v>
      </c>
      <c r="AC4106">
        <v>3</v>
      </c>
      <c r="AD4106">
        <v>0</v>
      </c>
      <c r="AE4106">
        <v>9</v>
      </c>
      <c r="AF4106" t="s">
        <v>138</v>
      </c>
      <c r="AG4106">
        <v>0</v>
      </c>
      <c r="AH4106">
        <v>3</v>
      </c>
      <c r="AI4106">
        <v>2</v>
      </c>
      <c r="AJ4106">
        <v>0</v>
      </c>
      <c r="AK4106" t="s">
        <v>1302</v>
      </c>
      <c r="AL4106">
        <v>39.187503</v>
      </c>
      <c r="AM4106" t="s">
        <v>1303</v>
      </c>
      <c r="AN4106">
        <v>-121.02258</v>
      </c>
      <c r="AO4106">
        <v>25</v>
      </c>
      <c r="AP4106">
        <v>4400</v>
      </c>
      <c r="AQ4106" t="s">
        <v>131</v>
      </c>
      <c r="AR4106">
        <v>37</v>
      </c>
      <c r="AS4106">
        <v>68</v>
      </c>
      <c r="AT4106">
        <v>-128</v>
      </c>
      <c r="BB4106" t="str">
        <f t="shared" si="1624"/>
        <v>1200</v>
      </c>
      <c r="BC4106">
        <v>1</v>
      </c>
      <c r="BD4106" t="str">
        <f t="shared" si="1625"/>
        <v xml:space="preserve">N52156  </v>
      </c>
      <c r="BE4106">
        <v>1</v>
      </c>
      <c r="BG4106">
        <v>0</v>
      </c>
      <c r="BH4106">
        <v>0</v>
      </c>
      <c r="BI4106">
        <v>0</v>
      </c>
      <c r="BJ4106">
        <v>4500</v>
      </c>
      <c r="BK4106">
        <v>100</v>
      </c>
      <c r="BL4106" t="s">
        <v>188</v>
      </c>
      <c r="BM4106">
        <v>1</v>
      </c>
      <c r="BN4106">
        <v>1</v>
      </c>
      <c r="BO4106">
        <v>0</v>
      </c>
      <c r="BP4106">
        <v>0</v>
      </c>
      <c r="BS4106">
        <v>0</v>
      </c>
      <c r="BT4106">
        <v>0</v>
      </c>
      <c r="BU4106">
        <v>0</v>
      </c>
      <c r="CE4106" t="str">
        <f t="shared" ref="CE4106:CE4111" si="1629">"15:15:56.922"</f>
        <v>15:15:56.922</v>
      </c>
      <c r="CF4106">
        <v>921578336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3</v>
      </c>
      <c r="CY4106">
        <v>7</v>
      </c>
      <c r="CZ4106" t="s">
        <v>133</v>
      </c>
      <c r="DA4106">
        <v>276</v>
      </c>
      <c r="DB4106">
        <v>0</v>
      </c>
      <c r="DC4106" t="s">
        <v>402</v>
      </c>
      <c r="DD4106" t="s">
        <v>403</v>
      </c>
      <c r="DG4106">
        <v>1628407</v>
      </c>
      <c r="DI4106">
        <v>1</v>
      </c>
      <c r="DJ4106">
        <v>0</v>
      </c>
      <c r="DK4106">
        <v>0</v>
      </c>
      <c r="DL4106">
        <v>0</v>
      </c>
      <c r="DM4106">
        <v>0</v>
      </c>
      <c r="DN4106">
        <v>0</v>
      </c>
      <c r="DO4106">
        <v>0</v>
      </c>
      <c r="DP4106">
        <v>0</v>
      </c>
      <c r="DQ4106">
        <v>0</v>
      </c>
      <c r="DR4106">
        <v>0</v>
      </c>
      <c r="DS4106">
        <v>0</v>
      </c>
    </row>
    <row r="4107" spans="1:123" x14ac:dyDescent="0.3">
      <c r="A4107" t="str">
        <f>"05/01/2025 15:15:57.150"</f>
        <v>05/01/2025 15:15:57.150</v>
      </c>
      <c r="C4107" t="str">
        <f t="shared" si="1622"/>
        <v>FFDFD3C0</v>
      </c>
      <c r="D4107" t="s">
        <v>136</v>
      </c>
      <c r="E4107" t="str">
        <f>"20"</f>
        <v>20</v>
      </c>
      <c r="H4107">
        <v>400</v>
      </c>
      <c r="I4107" t="s">
        <v>137</v>
      </c>
      <c r="J4107" t="s">
        <v>138</v>
      </c>
      <c r="K4107">
        <v>0</v>
      </c>
      <c r="L4107">
        <v>3</v>
      </c>
      <c r="M4107">
        <v>0</v>
      </c>
      <c r="N4107">
        <v>2</v>
      </c>
      <c r="O4107">
        <v>0</v>
      </c>
      <c r="P4107">
        <v>1</v>
      </c>
      <c r="Q4107">
        <v>0</v>
      </c>
      <c r="R4107" t="s">
        <v>127</v>
      </c>
      <c r="S4107" t="str">
        <f t="shared" si="1628"/>
        <v>15:15:56.000</v>
      </c>
      <c r="T4107" t="str">
        <f t="shared" si="1628"/>
        <v>15:15:56.000</v>
      </c>
      <c r="U4107" t="str">
        <f t="shared" si="1623"/>
        <v>A68FCB</v>
      </c>
      <c r="V4107">
        <v>0</v>
      </c>
      <c r="W4107">
        <v>0</v>
      </c>
      <c r="X4107">
        <v>2</v>
      </c>
      <c r="Y4107">
        <v>0</v>
      </c>
      <c r="AA4107">
        <v>1</v>
      </c>
      <c r="AB4107">
        <v>8</v>
      </c>
      <c r="AC4107">
        <v>3</v>
      </c>
      <c r="AD4107">
        <v>0</v>
      </c>
      <c r="AE4107">
        <v>9</v>
      </c>
      <c r="AF4107" t="s">
        <v>138</v>
      </c>
      <c r="AG4107">
        <v>0</v>
      </c>
      <c r="AH4107">
        <v>3</v>
      </c>
      <c r="AI4107">
        <v>2</v>
      </c>
      <c r="AJ4107">
        <v>0</v>
      </c>
      <c r="AK4107" t="s">
        <v>1302</v>
      </c>
      <c r="AL4107">
        <v>39.187503</v>
      </c>
      <c r="AM4107" t="s">
        <v>1303</v>
      </c>
      <c r="AN4107">
        <v>-121.02258</v>
      </c>
      <c r="AO4107">
        <v>25</v>
      </c>
      <c r="AP4107">
        <v>4400</v>
      </c>
      <c r="AQ4107" t="s">
        <v>131</v>
      </c>
      <c r="AR4107">
        <v>37</v>
      </c>
      <c r="AS4107">
        <v>68</v>
      </c>
      <c r="AT4107">
        <v>-128</v>
      </c>
      <c r="BB4107" t="str">
        <f t="shared" si="1624"/>
        <v>1200</v>
      </c>
      <c r="BC4107">
        <v>1</v>
      </c>
      <c r="BD4107" t="str">
        <f t="shared" si="1625"/>
        <v xml:space="preserve">N52156  </v>
      </c>
      <c r="BE4107">
        <v>1</v>
      </c>
      <c r="BG4107">
        <v>0</v>
      </c>
      <c r="BH4107">
        <v>0</v>
      </c>
      <c r="BI4107">
        <v>0</v>
      </c>
      <c r="BJ4107">
        <v>4500</v>
      </c>
      <c r="BK4107">
        <v>100</v>
      </c>
      <c r="BL4107" t="s">
        <v>188</v>
      </c>
      <c r="BM4107">
        <v>1</v>
      </c>
      <c r="BN4107">
        <v>1</v>
      </c>
      <c r="BO4107">
        <v>0</v>
      </c>
      <c r="BP4107">
        <v>0</v>
      </c>
      <c r="BS4107">
        <v>0</v>
      </c>
      <c r="BT4107">
        <v>0</v>
      </c>
      <c r="BU4107">
        <v>0</v>
      </c>
      <c r="CE4107" t="str">
        <f t="shared" si="1629"/>
        <v>15:15:56.922</v>
      </c>
      <c r="CF4107">
        <v>921578336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3</v>
      </c>
      <c r="CY4107">
        <v>7</v>
      </c>
      <c r="CZ4107" t="s">
        <v>133</v>
      </c>
      <c r="DA4107">
        <v>276</v>
      </c>
      <c r="DB4107">
        <v>0</v>
      </c>
      <c r="DC4107" t="s">
        <v>402</v>
      </c>
      <c r="DD4107" t="s">
        <v>403</v>
      </c>
      <c r="DG4107">
        <v>1628407</v>
      </c>
      <c r="DI4107">
        <v>1</v>
      </c>
      <c r="DJ4107">
        <v>0</v>
      </c>
      <c r="DK4107">
        <v>1</v>
      </c>
      <c r="DL4107">
        <v>0</v>
      </c>
      <c r="DM4107">
        <v>0</v>
      </c>
      <c r="DN4107">
        <v>0</v>
      </c>
      <c r="DO4107">
        <v>0</v>
      </c>
      <c r="DP4107">
        <v>0</v>
      </c>
      <c r="DQ4107">
        <v>0</v>
      </c>
      <c r="DR4107">
        <v>0</v>
      </c>
      <c r="DS4107">
        <v>0</v>
      </c>
    </row>
    <row r="4108" spans="1:123" x14ac:dyDescent="0.3">
      <c r="A4108" t="str">
        <f>"05/01/2025 15:15:57.170"</f>
        <v>05/01/2025 15:15:57.170</v>
      </c>
      <c r="C4108" t="str">
        <f t="shared" si="1622"/>
        <v>FFDFD3C0</v>
      </c>
      <c r="D4108" t="s">
        <v>140</v>
      </c>
      <c r="E4108" t="str">
        <f>"13"</f>
        <v>13</v>
      </c>
      <c r="F4108">
        <v>1019</v>
      </c>
      <c r="G4108" t="s">
        <v>141</v>
      </c>
      <c r="J4108" t="s">
        <v>142</v>
      </c>
      <c r="K4108">
        <v>0</v>
      </c>
      <c r="L4108">
        <v>3</v>
      </c>
      <c r="M4108">
        <v>0</v>
      </c>
      <c r="N4108">
        <v>2</v>
      </c>
      <c r="O4108">
        <v>0</v>
      </c>
      <c r="P4108">
        <v>1</v>
      </c>
      <c r="Q4108">
        <v>0</v>
      </c>
      <c r="R4108" t="s">
        <v>127</v>
      </c>
      <c r="S4108" t="str">
        <f t="shared" si="1628"/>
        <v>15:15:56.000</v>
      </c>
      <c r="T4108" t="str">
        <f t="shared" si="1628"/>
        <v>15:15:56.000</v>
      </c>
      <c r="U4108" t="str">
        <f t="shared" si="1623"/>
        <v>A68FCB</v>
      </c>
      <c r="V4108">
        <v>0</v>
      </c>
      <c r="W4108">
        <v>0</v>
      </c>
      <c r="X4108">
        <v>2</v>
      </c>
      <c r="Y4108">
        <v>0</v>
      </c>
      <c r="AA4108">
        <v>1</v>
      </c>
      <c r="AB4108">
        <v>8</v>
      </c>
      <c r="AC4108">
        <v>3</v>
      </c>
      <c r="AD4108">
        <v>0</v>
      </c>
      <c r="AE4108">
        <v>9</v>
      </c>
      <c r="AF4108" t="s">
        <v>138</v>
      </c>
      <c r="AG4108">
        <v>0</v>
      </c>
      <c r="AH4108">
        <v>3</v>
      </c>
      <c r="AI4108">
        <v>2</v>
      </c>
      <c r="AJ4108">
        <v>0</v>
      </c>
      <c r="AK4108" t="s">
        <v>1302</v>
      </c>
      <c r="AL4108">
        <v>39.187503</v>
      </c>
      <c r="AM4108" t="s">
        <v>1303</v>
      </c>
      <c r="AN4108">
        <v>-121.02258</v>
      </c>
      <c r="AO4108">
        <v>25</v>
      </c>
      <c r="AP4108">
        <v>4400</v>
      </c>
      <c r="AQ4108" t="s">
        <v>131</v>
      </c>
      <c r="AR4108">
        <v>37</v>
      </c>
      <c r="AS4108">
        <v>68</v>
      </c>
      <c r="AT4108">
        <v>-128</v>
      </c>
      <c r="BB4108" t="str">
        <f t="shared" si="1624"/>
        <v>1200</v>
      </c>
      <c r="BC4108">
        <v>1</v>
      </c>
      <c r="BD4108" t="str">
        <f t="shared" si="1625"/>
        <v xml:space="preserve">N52156  </v>
      </c>
      <c r="BE4108">
        <v>1</v>
      </c>
      <c r="BG4108">
        <v>0</v>
      </c>
      <c r="BH4108">
        <v>0</v>
      </c>
      <c r="BI4108">
        <v>0</v>
      </c>
      <c r="BJ4108">
        <v>4500</v>
      </c>
      <c r="BK4108">
        <v>100</v>
      </c>
      <c r="BL4108" t="s">
        <v>188</v>
      </c>
      <c r="BM4108">
        <v>1</v>
      </c>
      <c r="BN4108">
        <v>1</v>
      </c>
      <c r="BO4108">
        <v>0</v>
      </c>
      <c r="BP4108">
        <v>0</v>
      </c>
      <c r="BS4108">
        <v>0</v>
      </c>
      <c r="BT4108">
        <v>0</v>
      </c>
      <c r="BU4108">
        <v>0</v>
      </c>
      <c r="CE4108" t="str">
        <f t="shared" si="1629"/>
        <v>15:15:56.922</v>
      </c>
      <c r="CF4108">
        <v>921578336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3</v>
      </c>
      <c r="CY4108">
        <v>7</v>
      </c>
      <c r="CZ4108" t="s">
        <v>133</v>
      </c>
      <c r="DA4108">
        <v>276</v>
      </c>
      <c r="DB4108">
        <v>0</v>
      </c>
      <c r="DC4108" t="s">
        <v>402</v>
      </c>
      <c r="DD4108" t="s">
        <v>403</v>
      </c>
      <c r="DG4108">
        <v>1628407</v>
      </c>
      <c r="DI4108">
        <v>1</v>
      </c>
      <c r="DJ4108">
        <v>0</v>
      </c>
      <c r="DK4108">
        <v>1</v>
      </c>
      <c r="DL4108">
        <v>0</v>
      </c>
      <c r="DM4108">
        <v>0</v>
      </c>
      <c r="DN4108">
        <v>0</v>
      </c>
      <c r="DO4108">
        <v>0</v>
      </c>
      <c r="DP4108">
        <v>0</v>
      </c>
      <c r="DQ4108">
        <v>0</v>
      </c>
      <c r="DR4108">
        <v>0</v>
      </c>
      <c r="DS4108">
        <v>0</v>
      </c>
    </row>
    <row r="4109" spans="1:123" x14ac:dyDescent="0.3">
      <c r="A4109" t="str">
        <f>"05/01/2025 15:15:57.169"</f>
        <v>05/01/2025 15:15:57.169</v>
      </c>
      <c r="C4109" t="str">
        <f t="shared" si="1622"/>
        <v>FFDFD3C0</v>
      </c>
      <c r="D4109" t="s">
        <v>143</v>
      </c>
      <c r="E4109" t="str">
        <f>"05"</f>
        <v>05</v>
      </c>
      <c r="H4109">
        <v>172</v>
      </c>
      <c r="I4109" t="s">
        <v>141</v>
      </c>
      <c r="J4109" t="s">
        <v>144</v>
      </c>
      <c r="K4109">
        <v>0</v>
      </c>
      <c r="L4109">
        <v>3</v>
      </c>
      <c r="M4109">
        <v>0</v>
      </c>
      <c r="N4109">
        <v>2</v>
      </c>
      <c r="O4109">
        <v>0</v>
      </c>
      <c r="P4109">
        <v>1</v>
      </c>
      <c r="Q4109">
        <v>0</v>
      </c>
      <c r="R4109" t="s">
        <v>127</v>
      </c>
      <c r="S4109" t="str">
        <f t="shared" si="1628"/>
        <v>15:15:56.000</v>
      </c>
      <c r="T4109" t="str">
        <f t="shared" si="1628"/>
        <v>15:15:56.000</v>
      </c>
      <c r="U4109" t="str">
        <f t="shared" si="1623"/>
        <v>A68FCB</v>
      </c>
      <c r="V4109">
        <v>0</v>
      </c>
      <c r="W4109">
        <v>0</v>
      </c>
      <c r="X4109">
        <v>2</v>
      </c>
      <c r="Y4109">
        <v>0</v>
      </c>
      <c r="AA4109">
        <v>1</v>
      </c>
      <c r="AB4109">
        <v>8</v>
      </c>
      <c r="AC4109">
        <v>3</v>
      </c>
      <c r="AD4109">
        <v>0</v>
      </c>
      <c r="AE4109">
        <v>9</v>
      </c>
      <c r="AF4109" t="s">
        <v>138</v>
      </c>
      <c r="AG4109">
        <v>0</v>
      </c>
      <c r="AH4109">
        <v>3</v>
      </c>
      <c r="AI4109">
        <v>2</v>
      </c>
      <c r="AJ4109">
        <v>0</v>
      </c>
      <c r="AK4109" t="s">
        <v>1302</v>
      </c>
      <c r="AL4109">
        <v>39.187503</v>
      </c>
      <c r="AM4109" t="s">
        <v>1303</v>
      </c>
      <c r="AN4109">
        <v>-121.02258</v>
      </c>
      <c r="AO4109">
        <v>25</v>
      </c>
      <c r="AP4109">
        <v>4400</v>
      </c>
      <c r="AQ4109" t="s">
        <v>131</v>
      </c>
      <c r="AR4109">
        <v>37</v>
      </c>
      <c r="AS4109">
        <v>68</v>
      </c>
      <c r="AT4109">
        <v>-128</v>
      </c>
      <c r="BB4109" t="str">
        <f t="shared" si="1624"/>
        <v>1200</v>
      </c>
      <c r="BC4109">
        <v>1</v>
      </c>
      <c r="BD4109" t="str">
        <f t="shared" si="1625"/>
        <v xml:space="preserve">N52156  </v>
      </c>
      <c r="BE4109">
        <v>1</v>
      </c>
      <c r="BG4109">
        <v>0</v>
      </c>
      <c r="BH4109">
        <v>0</v>
      </c>
      <c r="BI4109">
        <v>0</v>
      </c>
      <c r="BJ4109">
        <v>4500</v>
      </c>
      <c r="BK4109">
        <v>100</v>
      </c>
      <c r="BL4109" t="s">
        <v>188</v>
      </c>
      <c r="BM4109">
        <v>1</v>
      </c>
      <c r="BN4109">
        <v>1</v>
      </c>
      <c r="BO4109">
        <v>0</v>
      </c>
      <c r="BP4109">
        <v>0</v>
      </c>
      <c r="BS4109">
        <v>0</v>
      </c>
      <c r="BT4109">
        <v>0</v>
      </c>
      <c r="BU4109">
        <v>0</v>
      </c>
      <c r="CE4109" t="str">
        <f t="shared" si="1629"/>
        <v>15:15:56.922</v>
      </c>
      <c r="CF4109">
        <v>921578336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3</v>
      </c>
      <c r="CY4109">
        <v>7</v>
      </c>
      <c r="CZ4109" t="s">
        <v>133</v>
      </c>
      <c r="DA4109">
        <v>276</v>
      </c>
      <c r="DB4109">
        <v>0</v>
      </c>
      <c r="DC4109" t="s">
        <v>402</v>
      </c>
      <c r="DD4109" t="s">
        <v>403</v>
      </c>
      <c r="DG4109">
        <v>1628407</v>
      </c>
      <c r="DI4109">
        <v>1</v>
      </c>
      <c r="DJ4109">
        <v>0</v>
      </c>
      <c r="DK4109">
        <v>1</v>
      </c>
      <c r="DL4109">
        <v>0</v>
      </c>
      <c r="DM4109">
        <v>0</v>
      </c>
      <c r="DN4109">
        <v>0</v>
      </c>
      <c r="DO4109">
        <v>0</v>
      </c>
      <c r="DP4109">
        <v>0</v>
      </c>
      <c r="DQ4109">
        <v>0</v>
      </c>
      <c r="DR4109">
        <v>0</v>
      </c>
      <c r="DS4109">
        <v>0</v>
      </c>
    </row>
    <row r="4110" spans="1:123" x14ac:dyDescent="0.3">
      <c r="A4110" t="str">
        <f>"05/01/2025 15:15:57.173"</f>
        <v>05/01/2025 15:15:57.173</v>
      </c>
      <c r="C4110" t="str">
        <f t="shared" si="1622"/>
        <v>FFDFD3C0</v>
      </c>
      <c r="D4110" t="s">
        <v>124</v>
      </c>
      <c r="E4110" t="str">
        <f>"06"</f>
        <v>06</v>
      </c>
      <c r="F4110">
        <v>2006</v>
      </c>
      <c r="G4110" t="s">
        <v>125</v>
      </c>
      <c r="J4110" t="s">
        <v>126</v>
      </c>
      <c r="K4110">
        <v>0</v>
      </c>
      <c r="L4110">
        <v>3</v>
      </c>
      <c r="M4110">
        <v>0</v>
      </c>
      <c r="N4110">
        <v>2</v>
      </c>
      <c r="O4110">
        <v>0</v>
      </c>
      <c r="P4110">
        <v>1</v>
      </c>
      <c r="Q4110">
        <v>0</v>
      </c>
      <c r="R4110" t="s">
        <v>127</v>
      </c>
      <c r="S4110" t="str">
        <f t="shared" si="1628"/>
        <v>15:15:56.000</v>
      </c>
      <c r="T4110" t="str">
        <f t="shared" si="1628"/>
        <v>15:15:56.000</v>
      </c>
      <c r="U4110" t="str">
        <f t="shared" si="1623"/>
        <v>A68FCB</v>
      </c>
      <c r="V4110">
        <v>0</v>
      </c>
      <c r="W4110">
        <v>0</v>
      </c>
      <c r="X4110">
        <v>2</v>
      </c>
      <c r="Y4110">
        <v>0</v>
      </c>
      <c r="AA4110">
        <v>1</v>
      </c>
      <c r="AB4110">
        <v>8</v>
      </c>
      <c r="AC4110">
        <v>3</v>
      </c>
      <c r="AD4110">
        <v>0</v>
      </c>
      <c r="AE4110">
        <v>9</v>
      </c>
      <c r="AF4110" t="s">
        <v>138</v>
      </c>
      <c r="AG4110">
        <v>0</v>
      </c>
      <c r="AH4110">
        <v>3</v>
      </c>
      <c r="AI4110">
        <v>2</v>
      </c>
      <c r="AJ4110">
        <v>0</v>
      </c>
      <c r="AK4110" t="s">
        <v>1302</v>
      </c>
      <c r="AL4110">
        <v>39.187503</v>
      </c>
      <c r="AM4110" t="s">
        <v>1303</v>
      </c>
      <c r="AN4110">
        <v>-121.02258</v>
      </c>
      <c r="AO4110">
        <v>25</v>
      </c>
      <c r="AP4110">
        <v>4400</v>
      </c>
      <c r="AQ4110" t="s">
        <v>131</v>
      </c>
      <c r="AR4110">
        <v>37</v>
      </c>
      <c r="AS4110">
        <v>68</v>
      </c>
      <c r="AT4110">
        <v>-128</v>
      </c>
      <c r="BB4110" t="str">
        <f t="shared" si="1624"/>
        <v>1200</v>
      </c>
      <c r="BC4110">
        <v>1</v>
      </c>
      <c r="BD4110" t="str">
        <f t="shared" si="1625"/>
        <v xml:space="preserve">N52156  </v>
      </c>
      <c r="BE4110">
        <v>1</v>
      </c>
      <c r="BG4110">
        <v>0</v>
      </c>
      <c r="BH4110">
        <v>0</v>
      </c>
      <c r="BI4110">
        <v>0</v>
      </c>
      <c r="BJ4110">
        <v>4500</v>
      </c>
      <c r="BK4110">
        <v>100</v>
      </c>
      <c r="BL4110" t="s">
        <v>188</v>
      </c>
      <c r="BM4110">
        <v>1</v>
      </c>
      <c r="BN4110">
        <v>1</v>
      </c>
      <c r="BO4110">
        <v>0</v>
      </c>
      <c r="BP4110">
        <v>0</v>
      </c>
      <c r="BS4110">
        <v>0</v>
      </c>
      <c r="BT4110">
        <v>0</v>
      </c>
      <c r="BU4110">
        <v>0</v>
      </c>
      <c r="CE4110" t="str">
        <f t="shared" si="1629"/>
        <v>15:15:56.922</v>
      </c>
      <c r="CF4110">
        <v>921578336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3</v>
      </c>
      <c r="CY4110">
        <v>7</v>
      </c>
      <c r="CZ4110" t="s">
        <v>133</v>
      </c>
      <c r="DA4110">
        <v>276</v>
      </c>
      <c r="DB4110">
        <v>0</v>
      </c>
      <c r="DC4110" t="s">
        <v>402</v>
      </c>
      <c r="DD4110" t="s">
        <v>403</v>
      </c>
      <c r="DG4110">
        <v>1628407</v>
      </c>
      <c r="DI4110">
        <v>1</v>
      </c>
      <c r="DJ4110">
        <v>0</v>
      </c>
      <c r="DK4110">
        <v>1</v>
      </c>
      <c r="DL4110">
        <v>0</v>
      </c>
      <c r="DM4110">
        <v>0</v>
      </c>
      <c r="DN4110">
        <v>0</v>
      </c>
      <c r="DO4110">
        <v>0</v>
      </c>
      <c r="DP4110">
        <v>0</v>
      </c>
      <c r="DQ4110">
        <v>0</v>
      </c>
      <c r="DR4110">
        <v>0</v>
      </c>
      <c r="DS4110">
        <v>0</v>
      </c>
    </row>
    <row r="4111" spans="1:123" x14ac:dyDescent="0.3">
      <c r="A4111" t="str">
        <f>"05/01/2025 15:15:57.184"</f>
        <v>05/01/2025 15:15:57.184</v>
      </c>
      <c r="C4111" t="str">
        <f t="shared" si="1622"/>
        <v>FFDFD3C0</v>
      </c>
      <c r="D4111" t="s">
        <v>145</v>
      </c>
      <c r="E4111" t="str">
        <f>"09"</f>
        <v>09</v>
      </c>
      <c r="H4111">
        <v>51</v>
      </c>
      <c r="I4111" t="s">
        <v>147</v>
      </c>
      <c r="J4111" t="s">
        <v>138</v>
      </c>
      <c r="K4111">
        <v>0</v>
      </c>
      <c r="L4111">
        <v>3</v>
      </c>
      <c r="M4111">
        <v>0</v>
      </c>
      <c r="N4111">
        <v>2</v>
      </c>
      <c r="O4111">
        <v>0</v>
      </c>
      <c r="P4111">
        <v>1</v>
      </c>
      <c r="Q4111">
        <v>0</v>
      </c>
      <c r="R4111" t="s">
        <v>127</v>
      </c>
      <c r="S4111" t="str">
        <f t="shared" si="1628"/>
        <v>15:15:56.000</v>
      </c>
      <c r="T4111" t="str">
        <f t="shared" si="1628"/>
        <v>15:15:56.000</v>
      </c>
      <c r="U4111" t="str">
        <f t="shared" si="1623"/>
        <v>A68FCB</v>
      </c>
      <c r="V4111">
        <v>0</v>
      </c>
      <c r="W4111">
        <v>0</v>
      </c>
      <c r="X4111">
        <v>2</v>
      </c>
      <c r="Y4111">
        <v>0</v>
      </c>
      <c r="AA4111">
        <v>1</v>
      </c>
      <c r="AB4111">
        <v>8</v>
      </c>
      <c r="AC4111">
        <v>3</v>
      </c>
      <c r="AD4111">
        <v>0</v>
      </c>
      <c r="AE4111">
        <v>9</v>
      </c>
      <c r="AF4111" t="s">
        <v>138</v>
      </c>
      <c r="AG4111">
        <v>0</v>
      </c>
      <c r="AH4111">
        <v>3</v>
      </c>
      <c r="AI4111">
        <v>2</v>
      </c>
      <c r="AJ4111">
        <v>0</v>
      </c>
      <c r="AK4111" t="s">
        <v>1302</v>
      </c>
      <c r="AL4111">
        <v>39.187503</v>
      </c>
      <c r="AM4111" t="s">
        <v>1303</v>
      </c>
      <c r="AN4111">
        <v>-121.02258</v>
      </c>
      <c r="AO4111">
        <v>25</v>
      </c>
      <c r="AP4111">
        <v>4400</v>
      </c>
      <c r="AQ4111" t="s">
        <v>131</v>
      </c>
      <c r="AR4111">
        <v>37</v>
      </c>
      <c r="AS4111">
        <v>68</v>
      </c>
      <c r="AT4111">
        <v>-128</v>
      </c>
      <c r="BB4111" t="str">
        <f t="shared" si="1624"/>
        <v>1200</v>
      </c>
      <c r="BC4111">
        <v>1</v>
      </c>
      <c r="BD4111" t="str">
        <f t="shared" si="1625"/>
        <v xml:space="preserve">N52156  </v>
      </c>
      <c r="BE4111">
        <v>1</v>
      </c>
      <c r="BG4111">
        <v>0</v>
      </c>
      <c r="BH4111">
        <v>0</v>
      </c>
      <c r="BI4111">
        <v>0</v>
      </c>
      <c r="BJ4111">
        <v>4500</v>
      </c>
      <c r="BK4111">
        <v>100</v>
      </c>
      <c r="BL4111" t="s">
        <v>188</v>
      </c>
      <c r="BM4111">
        <v>1</v>
      </c>
      <c r="BN4111">
        <v>1</v>
      </c>
      <c r="BO4111">
        <v>0</v>
      </c>
      <c r="BP4111">
        <v>0</v>
      </c>
      <c r="BS4111">
        <v>0</v>
      </c>
      <c r="BT4111">
        <v>0</v>
      </c>
      <c r="BU4111">
        <v>0</v>
      </c>
      <c r="CE4111" t="str">
        <f t="shared" si="1629"/>
        <v>15:15:56.922</v>
      </c>
      <c r="CF4111">
        <v>921578336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3</v>
      </c>
      <c r="CY4111">
        <v>7</v>
      </c>
      <c r="CZ4111" t="s">
        <v>133</v>
      </c>
      <c r="DA4111">
        <v>276</v>
      </c>
      <c r="DB4111">
        <v>0</v>
      </c>
      <c r="DC4111" t="s">
        <v>402</v>
      </c>
      <c r="DD4111" t="s">
        <v>403</v>
      </c>
      <c r="DG4111">
        <v>1628407</v>
      </c>
      <c r="DI4111">
        <v>1</v>
      </c>
      <c r="DJ4111">
        <v>0</v>
      </c>
      <c r="DK4111">
        <v>1</v>
      </c>
      <c r="DL4111">
        <v>0</v>
      </c>
      <c r="DM4111">
        <v>0</v>
      </c>
      <c r="DN4111">
        <v>0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 x14ac:dyDescent="0.3">
      <c r="A4112" t="str">
        <f>"05/01/2025 15:15:57.550"</f>
        <v>05/01/2025 15:15:57.550</v>
      </c>
      <c r="C4112" t="str">
        <f t="shared" si="1622"/>
        <v>FFDFD3C0</v>
      </c>
      <c r="D4112" t="s">
        <v>136</v>
      </c>
      <c r="E4112" t="str">
        <f>"20"</f>
        <v>20</v>
      </c>
      <c r="H4112">
        <v>400</v>
      </c>
      <c r="I4112" t="s">
        <v>137</v>
      </c>
      <c r="J4112" t="s">
        <v>138</v>
      </c>
      <c r="K4112">
        <v>0</v>
      </c>
      <c r="L4112">
        <v>3</v>
      </c>
      <c r="M4112">
        <v>0</v>
      </c>
      <c r="N4112">
        <v>2</v>
      </c>
      <c r="O4112">
        <v>0</v>
      </c>
      <c r="P4112">
        <v>1</v>
      </c>
      <c r="Q4112">
        <v>0</v>
      </c>
      <c r="R4112" t="s">
        <v>127</v>
      </c>
      <c r="S4112" t="str">
        <f t="shared" ref="S4112:T4117" si="1630">"15:15:57.000"</f>
        <v>15:15:57.000</v>
      </c>
      <c r="T4112" t="str">
        <f t="shared" si="1630"/>
        <v>15:15:57.000</v>
      </c>
      <c r="U4112" t="str">
        <f t="shared" si="1623"/>
        <v>A68FCB</v>
      </c>
      <c r="V4112">
        <v>0</v>
      </c>
      <c r="W4112">
        <v>0</v>
      </c>
      <c r="X4112">
        <v>2</v>
      </c>
      <c r="Y4112">
        <v>0</v>
      </c>
      <c r="AA4112">
        <v>1</v>
      </c>
      <c r="AB4112">
        <v>8</v>
      </c>
      <c r="AC4112">
        <v>3</v>
      </c>
      <c r="AD4112">
        <v>0</v>
      </c>
      <c r="AE4112">
        <v>9</v>
      </c>
      <c r="AF4112" t="s">
        <v>138</v>
      </c>
      <c r="AG4112">
        <v>0</v>
      </c>
      <c r="AH4112">
        <v>3</v>
      </c>
      <c r="AI4112">
        <v>2</v>
      </c>
      <c r="AJ4112">
        <v>0</v>
      </c>
      <c r="AK4112" t="s">
        <v>1304</v>
      </c>
      <c r="AL4112">
        <v>39.187824999999997</v>
      </c>
      <c r="AM4112" t="s">
        <v>1305</v>
      </c>
      <c r="AN4112">
        <v>-121.02236499999999</v>
      </c>
      <c r="AO4112">
        <v>25</v>
      </c>
      <c r="AP4112">
        <v>4400</v>
      </c>
      <c r="AQ4112" t="s">
        <v>131</v>
      </c>
      <c r="AR4112">
        <v>37</v>
      </c>
      <c r="AS4112">
        <v>68</v>
      </c>
      <c r="AT4112">
        <v>-128</v>
      </c>
      <c r="BB4112" t="str">
        <f t="shared" si="1624"/>
        <v>1200</v>
      </c>
      <c r="BC4112">
        <v>1</v>
      </c>
      <c r="BD4112" t="str">
        <f t="shared" si="1625"/>
        <v xml:space="preserve">N52156  </v>
      </c>
      <c r="BE4112">
        <v>1</v>
      </c>
      <c r="BG4112">
        <v>0</v>
      </c>
      <c r="BH4112">
        <v>0</v>
      </c>
      <c r="BI4112">
        <v>0</v>
      </c>
      <c r="BJ4112">
        <v>4500</v>
      </c>
      <c r="BK4112">
        <v>100</v>
      </c>
      <c r="BL4112" t="s">
        <v>188</v>
      </c>
      <c r="BM4112">
        <v>1</v>
      </c>
      <c r="BN4112">
        <v>1</v>
      </c>
      <c r="BO4112">
        <v>0</v>
      </c>
      <c r="BP4112">
        <v>0</v>
      </c>
      <c r="BS4112">
        <v>0</v>
      </c>
      <c r="BT4112">
        <v>0</v>
      </c>
      <c r="BU4112">
        <v>0</v>
      </c>
      <c r="CE4112" t="str">
        <f t="shared" ref="CE4112:CE4117" si="1631">"15:15:57.357"</f>
        <v>15:15:57.357</v>
      </c>
      <c r="CF4112">
        <v>356826975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3</v>
      </c>
      <c r="CY4112">
        <v>7</v>
      </c>
      <c r="CZ4112" t="s">
        <v>133</v>
      </c>
      <c r="DA4112">
        <v>276</v>
      </c>
      <c r="DB4112">
        <v>0</v>
      </c>
      <c r="DC4112" t="s">
        <v>402</v>
      </c>
      <c r="DD4112" t="s">
        <v>403</v>
      </c>
      <c r="DG4112">
        <v>1628408</v>
      </c>
      <c r="DI4112">
        <v>1</v>
      </c>
      <c r="DJ4112">
        <v>0</v>
      </c>
      <c r="DK4112">
        <v>0</v>
      </c>
      <c r="DL4112">
        <v>0</v>
      </c>
      <c r="DM4112">
        <v>0</v>
      </c>
      <c r="DN4112">
        <v>0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 x14ac:dyDescent="0.3">
      <c r="A4113" t="str">
        <f>"05/01/2025 15:15:57.571"</f>
        <v>05/01/2025 15:15:57.571</v>
      </c>
      <c r="C4113" t="str">
        <f t="shared" si="1622"/>
        <v>FFDFD3C0</v>
      </c>
      <c r="D4113" t="s">
        <v>140</v>
      </c>
      <c r="E4113" t="str">
        <f>"13"</f>
        <v>13</v>
      </c>
      <c r="F4113">
        <v>1019</v>
      </c>
      <c r="G4113" t="s">
        <v>141</v>
      </c>
      <c r="J4113" t="s">
        <v>142</v>
      </c>
      <c r="K4113">
        <v>0</v>
      </c>
      <c r="L4113">
        <v>3</v>
      </c>
      <c r="M4113">
        <v>0</v>
      </c>
      <c r="N4113">
        <v>2</v>
      </c>
      <c r="O4113">
        <v>0</v>
      </c>
      <c r="P4113">
        <v>1</v>
      </c>
      <c r="Q4113">
        <v>0</v>
      </c>
      <c r="R4113" t="s">
        <v>127</v>
      </c>
      <c r="S4113" t="str">
        <f t="shared" si="1630"/>
        <v>15:15:57.000</v>
      </c>
      <c r="T4113" t="str">
        <f t="shared" si="1630"/>
        <v>15:15:57.000</v>
      </c>
      <c r="U4113" t="str">
        <f t="shared" si="1623"/>
        <v>A68FCB</v>
      </c>
      <c r="V4113">
        <v>0</v>
      </c>
      <c r="W4113">
        <v>0</v>
      </c>
      <c r="X4113">
        <v>2</v>
      </c>
      <c r="Y4113">
        <v>0</v>
      </c>
      <c r="AA4113">
        <v>1</v>
      </c>
      <c r="AB4113">
        <v>8</v>
      </c>
      <c r="AC4113">
        <v>3</v>
      </c>
      <c r="AD4113">
        <v>0</v>
      </c>
      <c r="AE4113">
        <v>9</v>
      </c>
      <c r="AF4113" t="s">
        <v>138</v>
      </c>
      <c r="AG4113">
        <v>0</v>
      </c>
      <c r="AH4113">
        <v>3</v>
      </c>
      <c r="AI4113">
        <v>2</v>
      </c>
      <c r="AJ4113">
        <v>0</v>
      </c>
      <c r="AK4113" t="s">
        <v>1304</v>
      </c>
      <c r="AL4113">
        <v>39.187824999999997</v>
      </c>
      <c r="AM4113" t="s">
        <v>1305</v>
      </c>
      <c r="AN4113">
        <v>-121.02236499999999</v>
      </c>
      <c r="AO4113">
        <v>25</v>
      </c>
      <c r="AP4113">
        <v>4400</v>
      </c>
      <c r="AQ4113" t="s">
        <v>131</v>
      </c>
      <c r="AR4113">
        <v>37</v>
      </c>
      <c r="AS4113">
        <v>68</v>
      </c>
      <c r="AT4113">
        <v>-128</v>
      </c>
      <c r="BB4113" t="str">
        <f t="shared" si="1624"/>
        <v>1200</v>
      </c>
      <c r="BC4113">
        <v>1</v>
      </c>
      <c r="BD4113" t="str">
        <f t="shared" si="1625"/>
        <v xml:space="preserve">N52156  </v>
      </c>
      <c r="BE4113">
        <v>1</v>
      </c>
      <c r="BG4113">
        <v>0</v>
      </c>
      <c r="BH4113">
        <v>0</v>
      </c>
      <c r="BI4113">
        <v>0</v>
      </c>
      <c r="BJ4113">
        <v>4500</v>
      </c>
      <c r="BK4113">
        <v>100</v>
      </c>
      <c r="BL4113" t="s">
        <v>188</v>
      </c>
      <c r="BM4113">
        <v>1</v>
      </c>
      <c r="BN4113">
        <v>1</v>
      </c>
      <c r="BO4113">
        <v>0</v>
      </c>
      <c r="BP4113">
        <v>0</v>
      </c>
      <c r="BS4113">
        <v>0</v>
      </c>
      <c r="BT4113">
        <v>0</v>
      </c>
      <c r="BU4113">
        <v>0</v>
      </c>
      <c r="CE4113" t="str">
        <f t="shared" si="1631"/>
        <v>15:15:57.357</v>
      </c>
      <c r="CF4113">
        <v>356826975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3</v>
      </c>
      <c r="CY4113">
        <v>7</v>
      </c>
      <c r="CZ4113" t="s">
        <v>133</v>
      </c>
      <c r="DA4113">
        <v>276</v>
      </c>
      <c r="DB4113">
        <v>0</v>
      </c>
      <c r="DC4113" t="s">
        <v>402</v>
      </c>
      <c r="DD4113" t="s">
        <v>403</v>
      </c>
      <c r="DG4113">
        <v>1628408</v>
      </c>
      <c r="DI4113">
        <v>1</v>
      </c>
      <c r="DJ4113">
        <v>0</v>
      </c>
      <c r="DK4113">
        <v>1</v>
      </c>
      <c r="DL4113">
        <v>0</v>
      </c>
      <c r="DM4113">
        <v>0</v>
      </c>
      <c r="DN4113">
        <v>0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 x14ac:dyDescent="0.3">
      <c r="A4114" t="str">
        <f>"05/01/2025 15:15:57.570"</f>
        <v>05/01/2025 15:15:57.570</v>
      </c>
      <c r="C4114" t="str">
        <f t="shared" si="1622"/>
        <v>FFDFD3C0</v>
      </c>
      <c r="D4114" t="s">
        <v>143</v>
      </c>
      <c r="E4114" t="str">
        <f>"05"</f>
        <v>05</v>
      </c>
      <c r="H4114">
        <v>172</v>
      </c>
      <c r="I4114" t="s">
        <v>141</v>
      </c>
      <c r="J4114" t="s">
        <v>144</v>
      </c>
      <c r="K4114">
        <v>0</v>
      </c>
      <c r="L4114">
        <v>3</v>
      </c>
      <c r="M4114">
        <v>0</v>
      </c>
      <c r="N4114">
        <v>2</v>
      </c>
      <c r="O4114">
        <v>0</v>
      </c>
      <c r="P4114">
        <v>1</v>
      </c>
      <c r="Q4114">
        <v>0</v>
      </c>
      <c r="R4114" t="s">
        <v>127</v>
      </c>
      <c r="S4114" t="str">
        <f t="shared" si="1630"/>
        <v>15:15:57.000</v>
      </c>
      <c r="T4114" t="str">
        <f t="shared" si="1630"/>
        <v>15:15:57.000</v>
      </c>
      <c r="U4114" t="str">
        <f t="shared" si="1623"/>
        <v>A68FCB</v>
      </c>
      <c r="V4114">
        <v>0</v>
      </c>
      <c r="W4114">
        <v>0</v>
      </c>
      <c r="X4114">
        <v>2</v>
      </c>
      <c r="Y4114">
        <v>0</v>
      </c>
      <c r="AA4114">
        <v>1</v>
      </c>
      <c r="AB4114">
        <v>8</v>
      </c>
      <c r="AC4114">
        <v>3</v>
      </c>
      <c r="AD4114">
        <v>0</v>
      </c>
      <c r="AE4114">
        <v>9</v>
      </c>
      <c r="AF4114" t="s">
        <v>138</v>
      </c>
      <c r="AG4114">
        <v>0</v>
      </c>
      <c r="AH4114">
        <v>3</v>
      </c>
      <c r="AI4114">
        <v>2</v>
      </c>
      <c r="AJ4114">
        <v>0</v>
      </c>
      <c r="AK4114" t="s">
        <v>1304</v>
      </c>
      <c r="AL4114">
        <v>39.187824999999997</v>
      </c>
      <c r="AM4114" t="s">
        <v>1305</v>
      </c>
      <c r="AN4114">
        <v>-121.02236499999999</v>
      </c>
      <c r="AO4114">
        <v>25</v>
      </c>
      <c r="AP4114">
        <v>4400</v>
      </c>
      <c r="AQ4114" t="s">
        <v>131</v>
      </c>
      <c r="AR4114">
        <v>37</v>
      </c>
      <c r="AS4114">
        <v>68</v>
      </c>
      <c r="AT4114">
        <v>-128</v>
      </c>
      <c r="BB4114" t="str">
        <f t="shared" si="1624"/>
        <v>1200</v>
      </c>
      <c r="BC4114">
        <v>1</v>
      </c>
      <c r="BD4114" t="str">
        <f t="shared" si="1625"/>
        <v xml:space="preserve">N52156  </v>
      </c>
      <c r="BE4114">
        <v>1</v>
      </c>
      <c r="BG4114">
        <v>0</v>
      </c>
      <c r="BH4114">
        <v>0</v>
      </c>
      <c r="BI4114">
        <v>0</v>
      </c>
      <c r="BJ4114">
        <v>4500</v>
      </c>
      <c r="BK4114">
        <v>100</v>
      </c>
      <c r="BL4114" t="s">
        <v>188</v>
      </c>
      <c r="BM4114">
        <v>1</v>
      </c>
      <c r="BN4114">
        <v>1</v>
      </c>
      <c r="BO4114">
        <v>0</v>
      </c>
      <c r="BP4114">
        <v>0</v>
      </c>
      <c r="BS4114">
        <v>0</v>
      </c>
      <c r="BT4114">
        <v>0</v>
      </c>
      <c r="BU4114">
        <v>0</v>
      </c>
      <c r="CE4114" t="str">
        <f t="shared" si="1631"/>
        <v>15:15:57.357</v>
      </c>
      <c r="CF4114">
        <v>356826975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3</v>
      </c>
      <c r="CY4114">
        <v>7</v>
      </c>
      <c r="CZ4114" t="s">
        <v>133</v>
      </c>
      <c r="DA4114">
        <v>276</v>
      </c>
      <c r="DB4114">
        <v>0</v>
      </c>
      <c r="DC4114" t="s">
        <v>402</v>
      </c>
      <c r="DD4114" t="s">
        <v>403</v>
      </c>
      <c r="DG4114">
        <v>1628408</v>
      </c>
      <c r="DI4114">
        <v>1</v>
      </c>
      <c r="DJ4114">
        <v>0</v>
      </c>
      <c r="DK4114">
        <v>1</v>
      </c>
      <c r="DL4114">
        <v>0</v>
      </c>
      <c r="DM4114">
        <v>0</v>
      </c>
      <c r="DN4114">
        <v>0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 x14ac:dyDescent="0.3">
      <c r="A4115" t="str">
        <f>"05/01/2025 15:15:57.574"</f>
        <v>05/01/2025 15:15:57.574</v>
      </c>
      <c r="C4115" t="str">
        <f t="shared" si="1622"/>
        <v>FFDFD3C0</v>
      </c>
      <c r="D4115" t="s">
        <v>124</v>
      </c>
      <c r="E4115" t="str">
        <f>"06"</f>
        <v>06</v>
      </c>
      <c r="F4115">
        <v>2006</v>
      </c>
      <c r="G4115" t="s">
        <v>125</v>
      </c>
      <c r="J4115" t="s">
        <v>126</v>
      </c>
      <c r="K4115">
        <v>0</v>
      </c>
      <c r="L4115">
        <v>3</v>
      </c>
      <c r="M4115">
        <v>0</v>
      </c>
      <c r="N4115">
        <v>2</v>
      </c>
      <c r="O4115">
        <v>0</v>
      </c>
      <c r="P4115">
        <v>1</v>
      </c>
      <c r="Q4115">
        <v>0</v>
      </c>
      <c r="R4115" t="s">
        <v>127</v>
      </c>
      <c r="S4115" t="str">
        <f t="shared" si="1630"/>
        <v>15:15:57.000</v>
      </c>
      <c r="T4115" t="str">
        <f t="shared" si="1630"/>
        <v>15:15:57.000</v>
      </c>
      <c r="U4115" t="str">
        <f t="shared" si="1623"/>
        <v>A68FCB</v>
      </c>
      <c r="V4115">
        <v>0</v>
      </c>
      <c r="W4115">
        <v>0</v>
      </c>
      <c r="X4115">
        <v>2</v>
      </c>
      <c r="Y4115">
        <v>0</v>
      </c>
      <c r="AA4115">
        <v>1</v>
      </c>
      <c r="AB4115">
        <v>8</v>
      </c>
      <c r="AC4115">
        <v>3</v>
      </c>
      <c r="AD4115">
        <v>0</v>
      </c>
      <c r="AE4115">
        <v>9</v>
      </c>
      <c r="AF4115" t="s">
        <v>138</v>
      </c>
      <c r="AG4115">
        <v>0</v>
      </c>
      <c r="AH4115">
        <v>3</v>
      </c>
      <c r="AI4115">
        <v>2</v>
      </c>
      <c r="AJ4115">
        <v>0</v>
      </c>
      <c r="AK4115" t="s">
        <v>1304</v>
      </c>
      <c r="AL4115">
        <v>39.187824999999997</v>
      </c>
      <c r="AM4115" t="s">
        <v>1305</v>
      </c>
      <c r="AN4115">
        <v>-121.02236499999999</v>
      </c>
      <c r="AO4115">
        <v>25</v>
      </c>
      <c r="AP4115">
        <v>4400</v>
      </c>
      <c r="AQ4115" t="s">
        <v>131</v>
      </c>
      <c r="AR4115">
        <v>37</v>
      </c>
      <c r="AS4115">
        <v>68</v>
      </c>
      <c r="AT4115">
        <v>-128</v>
      </c>
      <c r="BB4115" t="str">
        <f t="shared" si="1624"/>
        <v>1200</v>
      </c>
      <c r="BC4115">
        <v>1</v>
      </c>
      <c r="BD4115" t="str">
        <f t="shared" si="1625"/>
        <v xml:space="preserve">N52156  </v>
      </c>
      <c r="BE4115">
        <v>1</v>
      </c>
      <c r="BG4115">
        <v>0</v>
      </c>
      <c r="BH4115">
        <v>0</v>
      </c>
      <c r="BI4115">
        <v>0</v>
      </c>
      <c r="BJ4115">
        <v>4500</v>
      </c>
      <c r="BK4115">
        <v>100</v>
      </c>
      <c r="BL4115" t="s">
        <v>188</v>
      </c>
      <c r="BM4115">
        <v>1</v>
      </c>
      <c r="BN4115">
        <v>1</v>
      </c>
      <c r="BO4115">
        <v>0</v>
      </c>
      <c r="BP4115">
        <v>0</v>
      </c>
      <c r="BS4115">
        <v>0</v>
      </c>
      <c r="BT4115">
        <v>0</v>
      </c>
      <c r="BU4115">
        <v>0</v>
      </c>
      <c r="CE4115" t="str">
        <f t="shared" si="1631"/>
        <v>15:15:57.357</v>
      </c>
      <c r="CF4115">
        <v>356826975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3</v>
      </c>
      <c r="CY4115">
        <v>7</v>
      </c>
      <c r="CZ4115" t="s">
        <v>133</v>
      </c>
      <c r="DA4115">
        <v>276</v>
      </c>
      <c r="DB4115">
        <v>0</v>
      </c>
      <c r="DC4115" t="s">
        <v>402</v>
      </c>
      <c r="DD4115" t="s">
        <v>403</v>
      </c>
      <c r="DG4115">
        <v>1628408</v>
      </c>
      <c r="DI4115">
        <v>1</v>
      </c>
      <c r="DJ4115">
        <v>0</v>
      </c>
      <c r="DK4115">
        <v>1</v>
      </c>
      <c r="DL4115">
        <v>0</v>
      </c>
      <c r="DM4115">
        <v>0</v>
      </c>
      <c r="DN4115">
        <v>0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 x14ac:dyDescent="0.3">
      <c r="A4116" t="str">
        <f>"05/01/2025 15:15:57.584"</f>
        <v>05/01/2025 15:15:57.584</v>
      </c>
      <c r="C4116" t="str">
        <f t="shared" si="1622"/>
        <v>FFDFD3C0</v>
      </c>
      <c r="D4116" t="s">
        <v>145</v>
      </c>
      <c r="E4116" t="str">
        <f>"09"</f>
        <v>09</v>
      </c>
      <c r="H4116">
        <v>51</v>
      </c>
      <c r="I4116" t="s">
        <v>147</v>
      </c>
      <c r="J4116" t="s">
        <v>138</v>
      </c>
      <c r="K4116">
        <v>0</v>
      </c>
      <c r="L4116">
        <v>3</v>
      </c>
      <c r="M4116">
        <v>0</v>
      </c>
      <c r="N4116">
        <v>2</v>
      </c>
      <c r="O4116">
        <v>0</v>
      </c>
      <c r="P4116">
        <v>1</v>
      </c>
      <c r="Q4116">
        <v>0</v>
      </c>
      <c r="R4116" t="s">
        <v>127</v>
      </c>
      <c r="S4116" t="str">
        <f t="shared" si="1630"/>
        <v>15:15:57.000</v>
      </c>
      <c r="T4116" t="str">
        <f t="shared" si="1630"/>
        <v>15:15:57.000</v>
      </c>
      <c r="U4116" t="str">
        <f t="shared" si="1623"/>
        <v>A68FCB</v>
      </c>
      <c r="V4116">
        <v>0</v>
      </c>
      <c r="W4116">
        <v>0</v>
      </c>
      <c r="X4116">
        <v>2</v>
      </c>
      <c r="Y4116">
        <v>0</v>
      </c>
      <c r="AA4116">
        <v>1</v>
      </c>
      <c r="AB4116">
        <v>8</v>
      </c>
      <c r="AC4116">
        <v>3</v>
      </c>
      <c r="AD4116">
        <v>0</v>
      </c>
      <c r="AE4116">
        <v>9</v>
      </c>
      <c r="AF4116" t="s">
        <v>138</v>
      </c>
      <c r="AG4116">
        <v>0</v>
      </c>
      <c r="AH4116">
        <v>3</v>
      </c>
      <c r="AI4116">
        <v>2</v>
      </c>
      <c r="AJ4116">
        <v>0</v>
      </c>
      <c r="AK4116" t="s">
        <v>1304</v>
      </c>
      <c r="AL4116">
        <v>39.187824999999997</v>
      </c>
      <c r="AM4116" t="s">
        <v>1305</v>
      </c>
      <c r="AN4116">
        <v>-121.02236499999999</v>
      </c>
      <c r="AO4116">
        <v>25</v>
      </c>
      <c r="AP4116">
        <v>4400</v>
      </c>
      <c r="AQ4116" t="s">
        <v>131</v>
      </c>
      <c r="AR4116">
        <v>37</v>
      </c>
      <c r="AS4116">
        <v>68</v>
      </c>
      <c r="AT4116">
        <v>-128</v>
      </c>
      <c r="BB4116" t="str">
        <f t="shared" si="1624"/>
        <v>1200</v>
      </c>
      <c r="BC4116">
        <v>1</v>
      </c>
      <c r="BD4116" t="str">
        <f t="shared" si="1625"/>
        <v xml:space="preserve">N52156  </v>
      </c>
      <c r="BE4116">
        <v>1</v>
      </c>
      <c r="BG4116">
        <v>0</v>
      </c>
      <c r="BH4116">
        <v>0</v>
      </c>
      <c r="BI4116">
        <v>0</v>
      </c>
      <c r="BJ4116">
        <v>4500</v>
      </c>
      <c r="BK4116">
        <v>100</v>
      </c>
      <c r="BL4116" t="s">
        <v>188</v>
      </c>
      <c r="BM4116">
        <v>1</v>
      </c>
      <c r="BN4116">
        <v>1</v>
      </c>
      <c r="BO4116">
        <v>0</v>
      </c>
      <c r="BP4116">
        <v>0</v>
      </c>
      <c r="BS4116">
        <v>0</v>
      </c>
      <c r="BT4116">
        <v>0</v>
      </c>
      <c r="BU4116">
        <v>0</v>
      </c>
      <c r="CE4116" t="str">
        <f t="shared" si="1631"/>
        <v>15:15:57.357</v>
      </c>
      <c r="CF4116">
        <v>356826975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3</v>
      </c>
      <c r="CY4116">
        <v>7</v>
      </c>
      <c r="CZ4116" t="s">
        <v>133</v>
      </c>
      <c r="DA4116">
        <v>276</v>
      </c>
      <c r="DB4116">
        <v>0</v>
      </c>
      <c r="DC4116" t="s">
        <v>402</v>
      </c>
      <c r="DD4116" t="s">
        <v>403</v>
      </c>
      <c r="DG4116">
        <v>1628408</v>
      </c>
      <c r="DI4116">
        <v>1</v>
      </c>
      <c r="DJ4116">
        <v>0</v>
      </c>
      <c r="DK4116">
        <v>1</v>
      </c>
      <c r="DL4116">
        <v>0</v>
      </c>
      <c r="DM4116">
        <v>0</v>
      </c>
      <c r="DN4116">
        <v>0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 x14ac:dyDescent="0.3">
      <c r="A4117" t="str">
        <f>"05/01/2025 15:15:57.589"</f>
        <v>05/01/2025 15:15:57.589</v>
      </c>
      <c r="C4117" t="str">
        <f t="shared" si="1622"/>
        <v>FFDFD3C0</v>
      </c>
      <c r="D4117" t="s">
        <v>145</v>
      </c>
      <c r="E4117" t="str">
        <f>"05"</f>
        <v>05</v>
      </c>
      <c r="H4117">
        <v>47</v>
      </c>
      <c r="I4117" t="s">
        <v>146</v>
      </c>
      <c r="J4117" t="s">
        <v>138</v>
      </c>
      <c r="K4117">
        <v>0</v>
      </c>
      <c r="L4117">
        <v>3</v>
      </c>
      <c r="M4117">
        <v>0</v>
      </c>
      <c r="N4117">
        <v>2</v>
      </c>
      <c r="O4117">
        <v>0</v>
      </c>
      <c r="P4117">
        <v>1</v>
      </c>
      <c r="Q4117">
        <v>0</v>
      </c>
      <c r="R4117" t="s">
        <v>127</v>
      </c>
      <c r="S4117" t="str">
        <f t="shared" si="1630"/>
        <v>15:15:57.000</v>
      </c>
      <c r="T4117" t="str">
        <f t="shared" si="1630"/>
        <v>15:15:57.000</v>
      </c>
      <c r="U4117" t="str">
        <f t="shared" si="1623"/>
        <v>A68FCB</v>
      </c>
      <c r="V4117">
        <v>0</v>
      </c>
      <c r="W4117">
        <v>0</v>
      </c>
      <c r="X4117">
        <v>2</v>
      </c>
      <c r="Y4117">
        <v>0</v>
      </c>
      <c r="AA4117">
        <v>1</v>
      </c>
      <c r="AB4117">
        <v>8</v>
      </c>
      <c r="AC4117">
        <v>3</v>
      </c>
      <c r="AD4117">
        <v>0</v>
      </c>
      <c r="AE4117">
        <v>9</v>
      </c>
      <c r="AF4117" t="s">
        <v>138</v>
      </c>
      <c r="AG4117">
        <v>0</v>
      </c>
      <c r="AH4117">
        <v>3</v>
      </c>
      <c r="AI4117">
        <v>2</v>
      </c>
      <c r="AJ4117">
        <v>0</v>
      </c>
      <c r="AK4117" t="s">
        <v>1304</v>
      </c>
      <c r="AL4117">
        <v>39.187824999999997</v>
      </c>
      <c r="AM4117" t="s">
        <v>1305</v>
      </c>
      <c r="AN4117">
        <v>-121.02236499999999</v>
      </c>
      <c r="AO4117">
        <v>25</v>
      </c>
      <c r="AP4117">
        <v>4400</v>
      </c>
      <c r="AQ4117" t="s">
        <v>131</v>
      </c>
      <c r="AR4117">
        <v>37</v>
      </c>
      <c r="AS4117">
        <v>68</v>
      </c>
      <c r="AT4117">
        <v>-128</v>
      </c>
      <c r="BB4117" t="str">
        <f t="shared" si="1624"/>
        <v>1200</v>
      </c>
      <c r="BC4117">
        <v>1</v>
      </c>
      <c r="BD4117" t="str">
        <f t="shared" si="1625"/>
        <v xml:space="preserve">N52156  </v>
      </c>
      <c r="BE4117">
        <v>1</v>
      </c>
      <c r="BG4117">
        <v>0</v>
      </c>
      <c r="BH4117">
        <v>0</v>
      </c>
      <c r="BI4117">
        <v>0</v>
      </c>
      <c r="BJ4117">
        <v>4500</v>
      </c>
      <c r="BK4117">
        <v>100</v>
      </c>
      <c r="BL4117" t="s">
        <v>188</v>
      </c>
      <c r="BM4117">
        <v>1</v>
      </c>
      <c r="BN4117">
        <v>1</v>
      </c>
      <c r="BO4117">
        <v>0</v>
      </c>
      <c r="BP4117">
        <v>0</v>
      </c>
      <c r="BS4117">
        <v>0</v>
      </c>
      <c r="BT4117">
        <v>0</v>
      </c>
      <c r="BU4117">
        <v>0</v>
      </c>
      <c r="CE4117" t="str">
        <f t="shared" si="1631"/>
        <v>15:15:57.357</v>
      </c>
      <c r="CF4117">
        <v>356826975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3</v>
      </c>
      <c r="CY4117">
        <v>7</v>
      </c>
      <c r="CZ4117" t="s">
        <v>133</v>
      </c>
      <c r="DA4117">
        <v>276</v>
      </c>
      <c r="DB4117">
        <v>0</v>
      </c>
      <c r="DC4117" t="s">
        <v>402</v>
      </c>
      <c r="DD4117" t="s">
        <v>403</v>
      </c>
      <c r="DG4117">
        <v>1628408</v>
      </c>
      <c r="DI4117">
        <v>1</v>
      </c>
      <c r="DJ4117">
        <v>0</v>
      </c>
      <c r="DK4117">
        <v>1</v>
      </c>
      <c r="DL4117">
        <v>0</v>
      </c>
      <c r="DM4117">
        <v>0</v>
      </c>
      <c r="DN4117">
        <v>0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 x14ac:dyDescent="0.3">
      <c r="A4118" t="str">
        <f>"05/01/2025 15:15:59.074"</f>
        <v>05/01/2025 15:15:59.074</v>
      </c>
      <c r="C4118" t="str">
        <f t="shared" si="1622"/>
        <v>FFDFD3C0</v>
      </c>
      <c r="D4118" t="s">
        <v>140</v>
      </c>
      <c r="E4118" t="str">
        <f>"13"</f>
        <v>13</v>
      </c>
      <c r="F4118">
        <v>1019</v>
      </c>
      <c r="G4118" t="s">
        <v>141</v>
      </c>
      <c r="J4118" t="s">
        <v>142</v>
      </c>
      <c r="K4118">
        <v>0</v>
      </c>
      <c r="L4118">
        <v>3</v>
      </c>
      <c r="M4118">
        <v>0</v>
      </c>
      <c r="N4118">
        <v>2</v>
      </c>
      <c r="O4118">
        <v>0</v>
      </c>
      <c r="P4118">
        <v>1</v>
      </c>
      <c r="Q4118">
        <v>0</v>
      </c>
      <c r="R4118" t="s">
        <v>127</v>
      </c>
      <c r="S4118" t="str">
        <f t="shared" ref="S4118:T4123" si="1632">"15:15:58.000"</f>
        <v>15:15:58.000</v>
      </c>
      <c r="T4118" t="str">
        <f t="shared" si="1632"/>
        <v>15:15:58.000</v>
      </c>
      <c r="U4118" t="str">
        <f t="shared" si="1623"/>
        <v>A68FCB</v>
      </c>
      <c r="V4118">
        <v>0</v>
      </c>
      <c r="W4118">
        <v>0</v>
      </c>
      <c r="X4118">
        <v>2</v>
      </c>
      <c r="Y4118">
        <v>0</v>
      </c>
      <c r="AA4118">
        <v>1</v>
      </c>
      <c r="AB4118">
        <v>8</v>
      </c>
      <c r="AC4118">
        <v>3</v>
      </c>
      <c r="AD4118">
        <v>0</v>
      </c>
      <c r="AE4118">
        <v>9</v>
      </c>
      <c r="AF4118" t="s">
        <v>138</v>
      </c>
      <c r="AG4118">
        <v>0</v>
      </c>
      <c r="AH4118">
        <v>3</v>
      </c>
      <c r="AI4118">
        <v>2</v>
      </c>
      <c r="AJ4118">
        <v>0</v>
      </c>
      <c r="AK4118" t="s">
        <v>1306</v>
      </c>
      <c r="AL4118">
        <v>39.188147000000001</v>
      </c>
      <c r="AM4118" t="s">
        <v>1307</v>
      </c>
      <c r="AN4118">
        <v>-121.02212900000001</v>
      </c>
      <c r="AO4118">
        <v>25</v>
      </c>
      <c r="AP4118">
        <v>4400</v>
      </c>
      <c r="AQ4118" t="s">
        <v>131</v>
      </c>
      <c r="AR4118">
        <v>36</v>
      </c>
      <c r="AS4118">
        <v>68</v>
      </c>
      <c r="AT4118">
        <v>-256</v>
      </c>
      <c r="BB4118" t="str">
        <f t="shared" si="1624"/>
        <v>1200</v>
      </c>
      <c r="BC4118">
        <v>1</v>
      </c>
      <c r="BD4118" t="str">
        <f t="shared" si="1625"/>
        <v xml:space="preserve">N52156  </v>
      </c>
      <c r="BE4118">
        <v>1</v>
      </c>
      <c r="BG4118">
        <v>0</v>
      </c>
      <c r="BH4118">
        <v>0</v>
      </c>
      <c r="BI4118">
        <v>0</v>
      </c>
      <c r="BJ4118">
        <v>4500</v>
      </c>
      <c r="BK4118">
        <v>100</v>
      </c>
      <c r="BL4118" t="s">
        <v>188</v>
      </c>
      <c r="BM4118">
        <v>1</v>
      </c>
      <c r="BN4118">
        <v>1</v>
      </c>
      <c r="BO4118">
        <v>0</v>
      </c>
      <c r="BP4118">
        <v>0</v>
      </c>
      <c r="BS4118">
        <v>0</v>
      </c>
      <c r="BT4118">
        <v>0</v>
      </c>
      <c r="BU4118">
        <v>0</v>
      </c>
      <c r="CE4118" t="str">
        <f t="shared" ref="CE4118:CE4123" si="1633">"15:15:58.852"</f>
        <v>15:15:58.852</v>
      </c>
      <c r="CF4118">
        <v>851578310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3</v>
      </c>
      <c r="CY4118">
        <v>7</v>
      </c>
      <c r="CZ4118" t="s">
        <v>133</v>
      </c>
      <c r="DA4118">
        <v>276</v>
      </c>
      <c r="DB4118">
        <v>0</v>
      </c>
      <c r="DC4118" t="s">
        <v>402</v>
      </c>
      <c r="DD4118" t="s">
        <v>403</v>
      </c>
      <c r="DG4118">
        <v>1628414</v>
      </c>
      <c r="DI4118">
        <v>1</v>
      </c>
      <c r="DJ4118">
        <v>0</v>
      </c>
      <c r="DK4118">
        <v>0</v>
      </c>
      <c r="DL4118">
        <v>0</v>
      </c>
      <c r="DM4118">
        <v>0</v>
      </c>
      <c r="DN4118">
        <v>0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 x14ac:dyDescent="0.3">
      <c r="A4119" t="str">
        <f>"05/01/2025 15:15:59.076"</f>
        <v>05/01/2025 15:15:59.076</v>
      </c>
      <c r="C4119" t="str">
        <f t="shared" si="1622"/>
        <v>FFDFD3C0</v>
      </c>
      <c r="D4119" t="s">
        <v>124</v>
      </c>
      <c r="E4119" t="str">
        <f>"06"</f>
        <v>06</v>
      </c>
      <c r="F4119">
        <v>2006</v>
      </c>
      <c r="G4119" t="s">
        <v>125</v>
      </c>
      <c r="J4119" t="s">
        <v>126</v>
      </c>
      <c r="K4119">
        <v>0</v>
      </c>
      <c r="L4119">
        <v>3</v>
      </c>
      <c r="M4119">
        <v>0</v>
      </c>
      <c r="N4119">
        <v>2</v>
      </c>
      <c r="O4119">
        <v>0</v>
      </c>
      <c r="P4119">
        <v>1</v>
      </c>
      <c r="Q4119">
        <v>0</v>
      </c>
      <c r="R4119" t="s">
        <v>127</v>
      </c>
      <c r="S4119" t="str">
        <f t="shared" si="1632"/>
        <v>15:15:58.000</v>
      </c>
      <c r="T4119" t="str">
        <f t="shared" si="1632"/>
        <v>15:15:58.000</v>
      </c>
      <c r="U4119" t="str">
        <f t="shared" si="1623"/>
        <v>A68FCB</v>
      </c>
      <c r="V4119">
        <v>0</v>
      </c>
      <c r="W4119">
        <v>0</v>
      </c>
      <c r="X4119">
        <v>2</v>
      </c>
      <c r="Y4119">
        <v>0</v>
      </c>
      <c r="AA4119">
        <v>1</v>
      </c>
      <c r="AB4119">
        <v>8</v>
      </c>
      <c r="AC4119">
        <v>3</v>
      </c>
      <c r="AD4119">
        <v>0</v>
      </c>
      <c r="AE4119">
        <v>9</v>
      </c>
      <c r="AF4119" t="s">
        <v>138</v>
      </c>
      <c r="AG4119">
        <v>0</v>
      </c>
      <c r="AH4119">
        <v>3</v>
      </c>
      <c r="AI4119">
        <v>2</v>
      </c>
      <c r="AJ4119">
        <v>0</v>
      </c>
      <c r="AK4119" t="s">
        <v>1306</v>
      </c>
      <c r="AL4119">
        <v>39.188147000000001</v>
      </c>
      <c r="AM4119" t="s">
        <v>1307</v>
      </c>
      <c r="AN4119">
        <v>-121.02212900000001</v>
      </c>
      <c r="AO4119">
        <v>25</v>
      </c>
      <c r="AP4119">
        <v>4400</v>
      </c>
      <c r="AQ4119" t="s">
        <v>131</v>
      </c>
      <c r="AR4119">
        <v>36</v>
      </c>
      <c r="AS4119">
        <v>68</v>
      </c>
      <c r="AT4119">
        <v>-256</v>
      </c>
      <c r="BB4119" t="str">
        <f t="shared" si="1624"/>
        <v>1200</v>
      </c>
      <c r="BC4119">
        <v>1</v>
      </c>
      <c r="BD4119" t="str">
        <f t="shared" si="1625"/>
        <v xml:space="preserve">N52156  </v>
      </c>
      <c r="BE4119">
        <v>1</v>
      </c>
      <c r="BG4119">
        <v>0</v>
      </c>
      <c r="BH4119">
        <v>0</v>
      </c>
      <c r="BI4119">
        <v>0</v>
      </c>
      <c r="BJ4119">
        <v>4500</v>
      </c>
      <c r="BK4119">
        <v>100</v>
      </c>
      <c r="BL4119" t="s">
        <v>188</v>
      </c>
      <c r="BM4119">
        <v>1</v>
      </c>
      <c r="BN4119">
        <v>1</v>
      </c>
      <c r="BO4119">
        <v>0</v>
      </c>
      <c r="BP4119">
        <v>0</v>
      </c>
      <c r="BS4119">
        <v>0</v>
      </c>
      <c r="BT4119">
        <v>0</v>
      </c>
      <c r="BU4119">
        <v>0</v>
      </c>
      <c r="CE4119" t="str">
        <f t="shared" si="1633"/>
        <v>15:15:58.852</v>
      </c>
      <c r="CF4119">
        <v>851578310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3</v>
      </c>
      <c r="CY4119">
        <v>7</v>
      </c>
      <c r="CZ4119" t="s">
        <v>133</v>
      </c>
      <c r="DA4119">
        <v>276</v>
      </c>
      <c r="DB4119">
        <v>0</v>
      </c>
      <c r="DC4119" t="s">
        <v>402</v>
      </c>
      <c r="DD4119" t="s">
        <v>403</v>
      </c>
      <c r="DG4119">
        <v>1628414</v>
      </c>
      <c r="DI4119">
        <v>1</v>
      </c>
      <c r="DJ4119">
        <v>0</v>
      </c>
      <c r="DK4119">
        <v>1</v>
      </c>
      <c r="DL4119">
        <v>0</v>
      </c>
      <c r="DM4119">
        <v>0</v>
      </c>
      <c r="DN4119">
        <v>0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 x14ac:dyDescent="0.3">
      <c r="A4120" t="str">
        <f>"05/01/2025 15:15:59.073"</f>
        <v>05/01/2025 15:15:59.073</v>
      </c>
      <c r="C4120" t="str">
        <f t="shared" si="1622"/>
        <v>FFDFD3C0</v>
      </c>
      <c r="D4120" t="s">
        <v>143</v>
      </c>
      <c r="E4120" t="str">
        <f>"05"</f>
        <v>05</v>
      </c>
      <c r="H4120">
        <v>172</v>
      </c>
      <c r="I4120" t="s">
        <v>141</v>
      </c>
      <c r="J4120" t="s">
        <v>144</v>
      </c>
      <c r="K4120">
        <v>0</v>
      </c>
      <c r="L4120">
        <v>3</v>
      </c>
      <c r="M4120">
        <v>0</v>
      </c>
      <c r="N4120">
        <v>2</v>
      </c>
      <c r="O4120">
        <v>0</v>
      </c>
      <c r="P4120">
        <v>1</v>
      </c>
      <c r="Q4120">
        <v>0</v>
      </c>
      <c r="R4120" t="s">
        <v>127</v>
      </c>
      <c r="S4120" t="str">
        <f t="shared" si="1632"/>
        <v>15:15:58.000</v>
      </c>
      <c r="T4120" t="str">
        <f t="shared" si="1632"/>
        <v>15:15:58.000</v>
      </c>
      <c r="U4120" t="str">
        <f t="shared" si="1623"/>
        <v>A68FCB</v>
      </c>
      <c r="V4120">
        <v>0</v>
      </c>
      <c r="W4120">
        <v>0</v>
      </c>
      <c r="X4120">
        <v>2</v>
      </c>
      <c r="Y4120">
        <v>0</v>
      </c>
      <c r="AA4120">
        <v>1</v>
      </c>
      <c r="AB4120">
        <v>8</v>
      </c>
      <c r="AC4120">
        <v>3</v>
      </c>
      <c r="AD4120">
        <v>0</v>
      </c>
      <c r="AE4120">
        <v>9</v>
      </c>
      <c r="AF4120" t="s">
        <v>138</v>
      </c>
      <c r="AG4120">
        <v>0</v>
      </c>
      <c r="AH4120">
        <v>3</v>
      </c>
      <c r="AI4120">
        <v>2</v>
      </c>
      <c r="AJ4120">
        <v>0</v>
      </c>
      <c r="AK4120" t="s">
        <v>1306</v>
      </c>
      <c r="AL4120">
        <v>39.188147000000001</v>
      </c>
      <c r="AM4120" t="s">
        <v>1307</v>
      </c>
      <c r="AN4120">
        <v>-121.02212900000001</v>
      </c>
      <c r="AO4120">
        <v>25</v>
      </c>
      <c r="AP4120">
        <v>4400</v>
      </c>
      <c r="AQ4120" t="s">
        <v>131</v>
      </c>
      <c r="AR4120">
        <v>36</v>
      </c>
      <c r="AS4120">
        <v>68</v>
      </c>
      <c r="AT4120">
        <v>-256</v>
      </c>
      <c r="BB4120" t="str">
        <f t="shared" si="1624"/>
        <v>1200</v>
      </c>
      <c r="BC4120">
        <v>1</v>
      </c>
      <c r="BD4120" t="str">
        <f t="shared" si="1625"/>
        <v xml:space="preserve">N52156  </v>
      </c>
      <c r="BE4120">
        <v>1</v>
      </c>
      <c r="BG4120">
        <v>0</v>
      </c>
      <c r="BH4120">
        <v>0</v>
      </c>
      <c r="BI4120">
        <v>0</v>
      </c>
      <c r="BJ4120">
        <v>4500</v>
      </c>
      <c r="BK4120">
        <v>100</v>
      </c>
      <c r="BL4120" t="s">
        <v>188</v>
      </c>
      <c r="BM4120">
        <v>1</v>
      </c>
      <c r="BN4120">
        <v>1</v>
      </c>
      <c r="BO4120">
        <v>0</v>
      </c>
      <c r="BP4120">
        <v>0</v>
      </c>
      <c r="BS4120">
        <v>0</v>
      </c>
      <c r="BT4120">
        <v>0</v>
      </c>
      <c r="BU4120">
        <v>0</v>
      </c>
      <c r="CE4120" t="str">
        <f t="shared" si="1633"/>
        <v>15:15:58.852</v>
      </c>
      <c r="CF4120">
        <v>851578310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3</v>
      </c>
      <c r="CY4120">
        <v>7</v>
      </c>
      <c r="CZ4120" t="s">
        <v>133</v>
      </c>
      <c r="DA4120">
        <v>276</v>
      </c>
      <c r="DB4120">
        <v>0</v>
      </c>
      <c r="DC4120" t="s">
        <v>402</v>
      </c>
      <c r="DD4120" t="s">
        <v>403</v>
      </c>
      <c r="DG4120">
        <v>1628414</v>
      </c>
      <c r="DI4120">
        <v>1</v>
      </c>
      <c r="DJ4120">
        <v>0</v>
      </c>
      <c r="DK4120">
        <v>1</v>
      </c>
      <c r="DL4120">
        <v>0</v>
      </c>
      <c r="DM4120">
        <v>0</v>
      </c>
      <c r="DN4120">
        <v>0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 x14ac:dyDescent="0.3">
      <c r="A4121" t="str">
        <f>"05/01/2025 15:15:59.092"</f>
        <v>05/01/2025 15:15:59.092</v>
      </c>
      <c r="C4121" t="str">
        <f t="shared" si="1622"/>
        <v>FFDFD3C0</v>
      </c>
      <c r="D4121" t="s">
        <v>145</v>
      </c>
      <c r="E4121" t="str">
        <f>"05"</f>
        <v>05</v>
      </c>
      <c r="H4121">
        <v>47</v>
      </c>
      <c r="I4121" t="s">
        <v>146</v>
      </c>
      <c r="J4121" t="s">
        <v>138</v>
      </c>
      <c r="K4121">
        <v>0</v>
      </c>
      <c r="L4121">
        <v>3</v>
      </c>
      <c r="M4121">
        <v>0</v>
      </c>
      <c r="N4121">
        <v>2</v>
      </c>
      <c r="O4121">
        <v>0</v>
      </c>
      <c r="P4121">
        <v>1</v>
      </c>
      <c r="Q4121">
        <v>0</v>
      </c>
      <c r="R4121" t="s">
        <v>127</v>
      </c>
      <c r="S4121" t="str">
        <f t="shared" si="1632"/>
        <v>15:15:58.000</v>
      </c>
      <c r="T4121" t="str">
        <f t="shared" si="1632"/>
        <v>15:15:58.000</v>
      </c>
      <c r="U4121" t="str">
        <f t="shared" si="1623"/>
        <v>A68FCB</v>
      </c>
      <c r="V4121">
        <v>0</v>
      </c>
      <c r="W4121">
        <v>0</v>
      </c>
      <c r="X4121">
        <v>2</v>
      </c>
      <c r="Y4121">
        <v>0</v>
      </c>
      <c r="AA4121">
        <v>1</v>
      </c>
      <c r="AB4121">
        <v>8</v>
      </c>
      <c r="AC4121">
        <v>3</v>
      </c>
      <c r="AD4121">
        <v>0</v>
      </c>
      <c r="AE4121">
        <v>9</v>
      </c>
      <c r="AF4121" t="s">
        <v>138</v>
      </c>
      <c r="AG4121">
        <v>0</v>
      </c>
      <c r="AH4121">
        <v>3</v>
      </c>
      <c r="AI4121">
        <v>2</v>
      </c>
      <c r="AJ4121">
        <v>0</v>
      </c>
      <c r="AK4121" t="s">
        <v>1306</v>
      </c>
      <c r="AL4121">
        <v>39.188147000000001</v>
      </c>
      <c r="AM4121" t="s">
        <v>1307</v>
      </c>
      <c r="AN4121">
        <v>-121.02212900000001</v>
      </c>
      <c r="AO4121">
        <v>25</v>
      </c>
      <c r="AP4121">
        <v>4400</v>
      </c>
      <c r="AQ4121" t="s">
        <v>131</v>
      </c>
      <c r="AR4121">
        <v>36</v>
      </c>
      <c r="AS4121">
        <v>68</v>
      </c>
      <c r="AT4121">
        <v>-256</v>
      </c>
      <c r="BB4121" t="str">
        <f t="shared" si="1624"/>
        <v>1200</v>
      </c>
      <c r="BC4121">
        <v>1</v>
      </c>
      <c r="BD4121" t="str">
        <f t="shared" si="1625"/>
        <v xml:space="preserve">N52156  </v>
      </c>
      <c r="BE4121">
        <v>1</v>
      </c>
      <c r="BG4121">
        <v>0</v>
      </c>
      <c r="BH4121">
        <v>0</v>
      </c>
      <c r="BI4121">
        <v>0</v>
      </c>
      <c r="BJ4121">
        <v>4500</v>
      </c>
      <c r="BK4121">
        <v>100</v>
      </c>
      <c r="BL4121" t="s">
        <v>188</v>
      </c>
      <c r="BM4121">
        <v>1</v>
      </c>
      <c r="BN4121">
        <v>1</v>
      </c>
      <c r="BO4121">
        <v>0</v>
      </c>
      <c r="BP4121">
        <v>0</v>
      </c>
      <c r="BS4121">
        <v>0</v>
      </c>
      <c r="BT4121">
        <v>0</v>
      </c>
      <c r="BU4121">
        <v>0</v>
      </c>
      <c r="CE4121" t="str">
        <f t="shared" si="1633"/>
        <v>15:15:58.852</v>
      </c>
      <c r="CF4121">
        <v>851578310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3</v>
      </c>
      <c r="CY4121">
        <v>7</v>
      </c>
      <c r="CZ4121" t="s">
        <v>133</v>
      </c>
      <c r="DA4121">
        <v>276</v>
      </c>
      <c r="DB4121">
        <v>0</v>
      </c>
      <c r="DC4121" t="s">
        <v>402</v>
      </c>
      <c r="DD4121" t="s">
        <v>403</v>
      </c>
      <c r="DG4121">
        <v>1628414</v>
      </c>
      <c r="DI4121">
        <v>1</v>
      </c>
      <c r="DJ4121">
        <v>0</v>
      </c>
      <c r="DK4121">
        <v>1</v>
      </c>
      <c r="DL4121">
        <v>0</v>
      </c>
      <c r="DM4121">
        <v>0</v>
      </c>
      <c r="DN4121">
        <v>0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 x14ac:dyDescent="0.3">
      <c r="A4122" t="str">
        <f>"05/01/2025 15:15:59.087"</f>
        <v>05/01/2025 15:15:59.087</v>
      </c>
      <c r="C4122" t="str">
        <f t="shared" si="1622"/>
        <v>FFDFD3C0</v>
      </c>
      <c r="D4122" t="s">
        <v>145</v>
      </c>
      <c r="E4122" t="str">
        <f>"09"</f>
        <v>09</v>
      </c>
      <c r="H4122">
        <v>51</v>
      </c>
      <c r="I4122" t="s">
        <v>147</v>
      </c>
      <c r="J4122" t="s">
        <v>138</v>
      </c>
      <c r="K4122">
        <v>0</v>
      </c>
      <c r="L4122">
        <v>3</v>
      </c>
      <c r="M4122">
        <v>0</v>
      </c>
      <c r="N4122">
        <v>2</v>
      </c>
      <c r="O4122">
        <v>0</v>
      </c>
      <c r="P4122">
        <v>1</v>
      </c>
      <c r="Q4122">
        <v>0</v>
      </c>
      <c r="R4122" t="s">
        <v>127</v>
      </c>
      <c r="S4122" t="str">
        <f t="shared" si="1632"/>
        <v>15:15:58.000</v>
      </c>
      <c r="T4122" t="str">
        <f t="shared" si="1632"/>
        <v>15:15:58.000</v>
      </c>
      <c r="U4122" t="str">
        <f t="shared" si="1623"/>
        <v>A68FCB</v>
      </c>
      <c r="V4122">
        <v>0</v>
      </c>
      <c r="W4122">
        <v>0</v>
      </c>
      <c r="X4122">
        <v>2</v>
      </c>
      <c r="Y4122">
        <v>0</v>
      </c>
      <c r="AA4122">
        <v>1</v>
      </c>
      <c r="AB4122">
        <v>8</v>
      </c>
      <c r="AC4122">
        <v>3</v>
      </c>
      <c r="AD4122">
        <v>0</v>
      </c>
      <c r="AE4122">
        <v>9</v>
      </c>
      <c r="AF4122" t="s">
        <v>138</v>
      </c>
      <c r="AG4122">
        <v>0</v>
      </c>
      <c r="AH4122">
        <v>3</v>
      </c>
      <c r="AI4122">
        <v>2</v>
      </c>
      <c r="AJ4122">
        <v>0</v>
      </c>
      <c r="AK4122" t="s">
        <v>1306</v>
      </c>
      <c r="AL4122">
        <v>39.188147000000001</v>
      </c>
      <c r="AM4122" t="s">
        <v>1307</v>
      </c>
      <c r="AN4122">
        <v>-121.02212900000001</v>
      </c>
      <c r="AO4122">
        <v>25</v>
      </c>
      <c r="AP4122">
        <v>4400</v>
      </c>
      <c r="AQ4122" t="s">
        <v>131</v>
      </c>
      <c r="AR4122">
        <v>36</v>
      </c>
      <c r="AS4122">
        <v>68</v>
      </c>
      <c r="AT4122">
        <v>-256</v>
      </c>
      <c r="BB4122" t="str">
        <f t="shared" si="1624"/>
        <v>1200</v>
      </c>
      <c r="BC4122">
        <v>1</v>
      </c>
      <c r="BD4122" t="str">
        <f t="shared" si="1625"/>
        <v xml:space="preserve">N52156  </v>
      </c>
      <c r="BE4122">
        <v>1</v>
      </c>
      <c r="BG4122">
        <v>0</v>
      </c>
      <c r="BH4122">
        <v>0</v>
      </c>
      <c r="BI4122">
        <v>0</v>
      </c>
      <c r="BJ4122">
        <v>4500</v>
      </c>
      <c r="BK4122">
        <v>100</v>
      </c>
      <c r="BL4122" t="s">
        <v>188</v>
      </c>
      <c r="BM4122">
        <v>1</v>
      </c>
      <c r="BN4122">
        <v>1</v>
      </c>
      <c r="BO4122">
        <v>0</v>
      </c>
      <c r="BP4122">
        <v>0</v>
      </c>
      <c r="BS4122">
        <v>0</v>
      </c>
      <c r="BT4122">
        <v>0</v>
      </c>
      <c r="BU4122">
        <v>0</v>
      </c>
      <c r="CE4122" t="str">
        <f t="shared" si="1633"/>
        <v>15:15:58.852</v>
      </c>
      <c r="CF4122">
        <v>851578310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3</v>
      </c>
      <c r="CY4122">
        <v>7</v>
      </c>
      <c r="CZ4122" t="s">
        <v>133</v>
      </c>
      <c r="DA4122">
        <v>276</v>
      </c>
      <c r="DB4122">
        <v>0</v>
      </c>
      <c r="DC4122" t="s">
        <v>402</v>
      </c>
      <c r="DD4122" t="s">
        <v>403</v>
      </c>
      <c r="DG4122">
        <v>1628414</v>
      </c>
      <c r="DI4122">
        <v>1</v>
      </c>
      <c r="DJ4122">
        <v>0</v>
      </c>
      <c r="DK4122">
        <v>1</v>
      </c>
      <c r="DL4122">
        <v>0</v>
      </c>
      <c r="DM4122">
        <v>0</v>
      </c>
      <c r="DN4122">
        <v>0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 x14ac:dyDescent="0.3">
      <c r="A4123" t="str">
        <f>"05/01/2025 15:15:59.103"</f>
        <v>05/01/2025 15:15:59.103</v>
      </c>
      <c r="C4123" t="str">
        <f t="shared" si="1622"/>
        <v>FFDFD3C0</v>
      </c>
      <c r="D4123" t="s">
        <v>136</v>
      </c>
      <c r="E4123" t="str">
        <f>"20"</f>
        <v>20</v>
      </c>
      <c r="H4123">
        <v>400</v>
      </c>
      <c r="I4123" t="s">
        <v>137</v>
      </c>
      <c r="J4123" t="s">
        <v>138</v>
      </c>
      <c r="K4123">
        <v>0</v>
      </c>
      <c r="L4123">
        <v>3</v>
      </c>
      <c r="M4123">
        <v>0</v>
      </c>
      <c r="N4123">
        <v>2</v>
      </c>
      <c r="O4123">
        <v>0</v>
      </c>
      <c r="P4123">
        <v>1</v>
      </c>
      <c r="Q4123">
        <v>0</v>
      </c>
      <c r="R4123" t="s">
        <v>127</v>
      </c>
      <c r="S4123" t="str">
        <f t="shared" si="1632"/>
        <v>15:15:58.000</v>
      </c>
      <c r="T4123" t="str">
        <f t="shared" si="1632"/>
        <v>15:15:58.000</v>
      </c>
      <c r="U4123" t="str">
        <f t="shared" si="1623"/>
        <v>A68FCB</v>
      </c>
      <c r="V4123">
        <v>0</v>
      </c>
      <c r="W4123">
        <v>0</v>
      </c>
      <c r="X4123">
        <v>2</v>
      </c>
      <c r="Y4123">
        <v>0</v>
      </c>
      <c r="AA4123">
        <v>1</v>
      </c>
      <c r="AB4123">
        <v>8</v>
      </c>
      <c r="AC4123">
        <v>3</v>
      </c>
      <c r="AD4123">
        <v>0</v>
      </c>
      <c r="AE4123">
        <v>9</v>
      </c>
      <c r="AF4123" t="s">
        <v>138</v>
      </c>
      <c r="AG4123">
        <v>0</v>
      </c>
      <c r="AH4123">
        <v>3</v>
      </c>
      <c r="AI4123">
        <v>2</v>
      </c>
      <c r="AJ4123">
        <v>0</v>
      </c>
      <c r="AK4123" t="s">
        <v>1306</v>
      </c>
      <c r="AL4123">
        <v>39.188147000000001</v>
      </c>
      <c r="AM4123" t="s">
        <v>1307</v>
      </c>
      <c r="AN4123">
        <v>-121.02212900000001</v>
      </c>
      <c r="AO4123">
        <v>25</v>
      </c>
      <c r="AP4123">
        <v>4400</v>
      </c>
      <c r="AQ4123" t="s">
        <v>131</v>
      </c>
      <c r="AR4123">
        <v>36</v>
      </c>
      <c r="AS4123">
        <v>68</v>
      </c>
      <c r="AT4123">
        <v>-256</v>
      </c>
      <c r="BB4123" t="str">
        <f t="shared" si="1624"/>
        <v>1200</v>
      </c>
      <c r="BC4123">
        <v>1</v>
      </c>
      <c r="BD4123" t="str">
        <f t="shared" si="1625"/>
        <v xml:space="preserve">N52156  </v>
      </c>
      <c r="BE4123">
        <v>1</v>
      </c>
      <c r="BG4123">
        <v>0</v>
      </c>
      <c r="BH4123">
        <v>0</v>
      </c>
      <c r="BI4123">
        <v>0</v>
      </c>
      <c r="BJ4123">
        <v>4500</v>
      </c>
      <c r="BK4123">
        <v>100</v>
      </c>
      <c r="BL4123" t="s">
        <v>188</v>
      </c>
      <c r="BM4123">
        <v>1</v>
      </c>
      <c r="BN4123">
        <v>1</v>
      </c>
      <c r="BO4123">
        <v>0</v>
      </c>
      <c r="BP4123">
        <v>0</v>
      </c>
      <c r="BS4123">
        <v>0</v>
      </c>
      <c r="BT4123">
        <v>0</v>
      </c>
      <c r="BU4123">
        <v>0</v>
      </c>
      <c r="CE4123" t="str">
        <f t="shared" si="1633"/>
        <v>15:15:58.852</v>
      </c>
      <c r="CF4123">
        <v>851578310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3</v>
      </c>
      <c r="CY4123">
        <v>7</v>
      </c>
      <c r="CZ4123" t="s">
        <v>133</v>
      </c>
      <c r="DA4123">
        <v>276</v>
      </c>
      <c r="DB4123">
        <v>0</v>
      </c>
      <c r="DC4123" t="s">
        <v>402</v>
      </c>
      <c r="DD4123" t="s">
        <v>403</v>
      </c>
      <c r="DG4123">
        <v>1628414</v>
      </c>
      <c r="DI4123">
        <v>1</v>
      </c>
      <c r="DJ4123">
        <v>0</v>
      </c>
      <c r="DK4123">
        <v>1</v>
      </c>
      <c r="DL4123">
        <v>0</v>
      </c>
      <c r="DM4123">
        <v>0</v>
      </c>
      <c r="DN4123">
        <v>0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 x14ac:dyDescent="0.3">
      <c r="A4124" t="str">
        <f>"05/01/2025 15:15:59.504"</f>
        <v>05/01/2025 15:15:59.504</v>
      </c>
      <c r="C4124" t="str">
        <f t="shared" si="1622"/>
        <v>FFDFD3C0</v>
      </c>
      <c r="D4124" t="s">
        <v>136</v>
      </c>
      <c r="E4124" t="str">
        <f>"20"</f>
        <v>20</v>
      </c>
      <c r="H4124">
        <v>400</v>
      </c>
      <c r="I4124" t="s">
        <v>137</v>
      </c>
      <c r="J4124" t="s">
        <v>138</v>
      </c>
      <c r="K4124">
        <v>0</v>
      </c>
      <c r="L4124">
        <v>3</v>
      </c>
      <c r="M4124">
        <v>0</v>
      </c>
      <c r="N4124">
        <v>2</v>
      </c>
      <c r="O4124">
        <v>0</v>
      </c>
      <c r="P4124">
        <v>1</v>
      </c>
      <c r="Q4124">
        <v>0</v>
      </c>
      <c r="R4124" t="s">
        <v>127</v>
      </c>
      <c r="S4124" t="str">
        <f t="shared" ref="S4124:T4129" si="1634">"15:15:59.000"</f>
        <v>15:15:59.000</v>
      </c>
      <c r="T4124" t="str">
        <f t="shared" si="1634"/>
        <v>15:15:59.000</v>
      </c>
      <c r="U4124" t="str">
        <f t="shared" si="1623"/>
        <v>A68FCB</v>
      </c>
      <c r="V4124">
        <v>0</v>
      </c>
      <c r="W4124">
        <v>0</v>
      </c>
      <c r="X4124">
        <v>2</v>
      </c>
      <c r="Y4124">
        <v>0</v>
      </c>
      <c r="AA4124">
        <v>1</v>
      </c>
      <c r="AB4124">
        <v>8</v>
      </c>
      <c r="AC4124">
        <v>3</v>
      </c>
      <c r="AD4124">
        <v>0</v>
      </c>
      <c r="AE4124">
        <v>9</v>
      </c>
      <c r="AF4124" t="s">
        <v>138</v>
      </c>
      <c r="AG4124">
        <v>0</v>
      </c>
      <c r="AH4124">
        <v>3</v>
      </c>
      <c r="AI4124">
        <v>2</v>
      </c>
      <c r="AJ4124">
        <v>0</v>
      </c>
      <c r="AK4124" t="s">
        <v>1308</v>
      </c>
      <c r="AL4124">
        <v>39.188446999999996</v>
      </c>
      <c r="AM4124" t="s">
        <v>1309</v>
      </c>
      <c r="AN4124">
        <v>-121.021914</v>
      </c>
      <c r="AO4124">
        <v>25</v>
      </c>
      <c r="AP4124">
        <v>4400</v>
      </c>
      <c r="AQ4124" t="s">
        <v>131</v>
      </c>
      <c r="AR4124">
        <v>36</v>
      </c>
      <c r="AS4124">
        <v>68</v>
      </c>
      <c r="AT4124">
        <v>-256</v>
      </c>
      <c r="BB4124" t="str">
        <f t="shared" si="1624"/>
        <v>1200</v>
      </c>
      <c r="BC4124">
        <v>1</v>
      </c>
      <c r="BD4124" t="str">
        <f t="shared" si="1625"/>
        <v xml:space="preserve">N52156  </v>
      </c>
      <c r="BE4124">
        <v>1</v>
      </c>
      <c r="BG4124">
        <v>0</v>
      </c>
      <c r="BH4124">
        <v>0</v>
      </c>
      <c r="BI4124">
        <v>0</v>
      </c>
      <c r="BJ4124">
        <v>4500</v>
      </c>
      <c r="BK4124">
        <v>100</v>
      </c>
      <c r="BL4124" t="s">
        <v>188</v>
      </c>
      <c r="BM4124">
        <v>1</v>
      </c>
      <c r="BN4124">
        <v>1</v>
      </c>
      <c r="BO4124">
        <v>0</v>
      </c>
      <c r="BP4124">
        <v>0</v>
      </c>
      <c r="BS4124">
        <v>0</v>
      </c>
      <c r="BT4124">
        <v>0</v>
      </c>
      <c r="BU4124">
        <v>0</v>
      </c>
      <c r="CE4124" t="str">
        <f t="shared" ref="CE4124:CE4129" si="1635">"15:15:59.292"</f>
        <v>15:15:59.292</v>
      </c>
      <c r="CF4124">
        <v>292076979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3</v>
      </c>
      <c r="CY4124">
        <v>7</v>
      </c>
      <c r="CZ4124" t="s">
        <v>133</v>
      </c>
      <c r="DA4124">
        <v>276</v>
      </c>
      <c r="DB4124">
        <v>0</v>
      </c>
      <c r="DC4124" t="s">
        <v>402</v>
      </c>
      <c r="DD4124" t="s">
        <v>403</v>
      </c>
      <c r="DG4124">
        <v>1628415</v>
      </c>
      <c r="DI4124">
        <v>1</v>
      </c>
      <c r="DJ4124">
        <v>0</v>
      </c>
      <c r="DK4124">
        <v>0</v>
      </c>
      <c r="DL4124">
        <v>0</v>
      </c>
      <c r="DM4124">
        <v>0</v>
      </c>
      <c r="DN4124">
        <v>0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 x14ac:dyDescent="0.3">
      <c r="A4125" t="str">
        <f>"05/01/2025 15:15:59.524"</f>
        <v>05/01/2025 15:15:59.524</v>
      </c>
      <c r="C4125" t="str">
        <f t="shared" si="1622"/>
        <v>FFDFD3C0</v>
      </c>
      <c r="D4125" t="s">
        <v>143</v>
      </c>
      <c r="E4125" t="str">
        <f>"05"</f>
        <v>05</v>
      </c>
      <c r="H4125">
        <v>172</v>
      </c>
      <c r="I4125" t="s">
        <v>141</v>
      </c>
      <c r="J4125" t="s">
        <v>144</v>
      </c>
      <c r="K4125">
        <v>0</v>
      </c>
      <c r="L4125">
        <v>3</v>
      </c>
      <c r="M4125">
        <v>0</v>
      </c>
      <c r="N4125">
        <v>2</v>
      </c>
      <c r="O4125">
        <v>0</v>
      </c>
      <c r="P4125">
        <v>1</v>
      </c>
      <c r="Q4125">
        <v>0</v>
      </c>
      <c r="R4125" t="s">
        <v>127</v>
      </c>
      <c r="S4125" t="str">
        <f t="shared" si="1634"/>
        <v>15:15:59.000</v>
      </c>
      <c r="T4125" t="str">
        <f t="shared" si="1634"/>
        <v>15:15:59.000</v>
      </c>
      <c r="U4125" t="str">
        <f t="shared" si="1623"/>
        <v>A68FCB</v>
      </c>
      <c r="V4125">
        <v>0</v>
      </c>
      <c r="W4125">
        <v>0</v>
      </c>
      <c r="X4125">
        <v>2</v>
      </c>
      <c r="Y4125">
        <v>0</v>
      </c>
      <c r="AA4125">
        <v>1</v>
      </c>
      <c r="AB4125">
        <v>8</v>
      </c>
      <c r="AC4125">
        <v>3</v>
      </c>
      <c r="AD4125">
        <v>0</v>
      </c>
      <c r="AE4125">
        <v>9</v>
      </c>
      <c r="AF4125" t="s">
        <v>138</v>
      </c>
      <c r="AG4125">
        <v>0</v>
      </c>
      <c r="AH4125">
        <v>3</v>
      </c>
      <c r="AI4125">
        <v>2</v>
      </c>
      <c r="AJ4125">
        <v>0</v>
      </c>
      <c r="AK4125" t="s">
        <v>1308</v>
      </c>
      <c r="AL4125">
        <v>39.188446999999996</v>
      </c>
      <c r="AM4125" t="s">
        <v>1309</v>
      </c>
      <c r="AN4125">
        <v>-121.021914</v>
      </c>
      <c r="AO4125">
        <v>25</v>
      </c>
      <c r="AP4125">
        <v>4400</v>
      </c>
      <c r="AQ4125" t="s">
        <v>131</v>
      </c>
      <c r="AR4125">
        <v>36</v>
      </c>
      <c r="AS4125">
        <v>68</v>
      </c>
      <c r="AT4125">
        <v>-256</v>
      </c>
      <c r="BB4125" t="str">
        <f t="shared" si="1624"/>
        <v>1200</v>
      </c>
      <c r="BC4125">
        <v>1</v>
      </c>
      <c r="BD4125" t="str">
        <f t="shared" si="1625"/>
        <v xml:space="preserve">N52156  </v>
      </c>
      <c r="BE4125">
        <v>1</v>
      </c>
      <c r="BG4125">
        <v>0</v>
      </c>
      <c r="BH4125">
        <v>0</v>
      </c>
      <c r="BI4125">
        <v>0</v>
      </c>
      <c r="BJ4125">
        <v>4500</v>
      </c>
      <c r="BK4125">
        <v>100</v>
      </c>
      <c r="BL4125" t="s">
        <v>188</v>
      </c>
      <c r="BM4125">
        <v>1</v>
      </c>
      <c r="BN4125">
        <v>1</v>
      </c>
      <c r="BO4125">
        <v>0</v>
      </c>
      <c r="BP4125">
        <v>0</v>
      </c>
      <c r="BS4125">
        <v>0</v>
      </c>
      <c r="BT4125">
        <v>0</v>
      </c>
      <c r="BU4125">
        <v>0</v>
      </c>
      <c r="CE4125" t="str">
        <f t="shared" si="1635"/>
        <v>15:15:59.292</v>
      </c>
      <c r="CF4125">
        <v>292076979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3</v>
      </c>
      <c r="CY4125">
        <v>7</v>
      </c>
      <c r="CZ4125" t="s">
        <v>133</v>
      </c>
      <c r="DA4125">
        <v>276</v>
      </c>
      <c r="DB4125">
        <v>0</v>
      </c>
      <c r="DC4125" t="s">
        <v>402</v>
      </c>
      <c r="DD4125" t="s">
        <v>403</v>
      </c>
      <c r="DG4125">
        <v>1628415</v>
      </c>
      <c r="DI4125">
        <v>1</v>
      </c>
      <c r="DJ4125">
        <v>0</v>
      </c>
      <c r="DK4125">
        <v>1</v>
      </c>
      <c r="DL4125">
        <v>0</v>
      </c>
      <c r="DM4125">
        <v>0</v>
      </c>
      <c r="DN4125">
        <v>0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 x14ac:dyDescent="0.3">
      <c r="A4126" t="str">
        <f>"05/01/2025 15:15:59.524"</f>
        <v>05/01/2025 15:15:59.524</v>
      </c>
      <c r="C4126" t="str">
        <f t="shared" si="1622"/>
        <v>FFDFD3C0</v>
      </c>
      <c r="D4126" t="s">
        <v>140</v>
      </c>
      <c r="E4126" t="str">
        <f>"13"</f>
        <v>13</v>
      </c>
      <c r="F4126">
        <v>1019</v>
      </c>
      <c r="G4126" t="s">
        <v>141</v>
      </c>
      <c r="J4126" t="s">
        <v>142</v>
      </c>
      <c r="K4126">
        <v>0</v>
      </c>
      <c r="L4126">
        <v>3</v>
      </c>
      <c r="M4126">
        <v>0</v>
      </c>
      <c r="N4126">
        <v>2</v>
      </c>
      <c r="O4126">
        <v>0</v>
      </c>
      <c r="P4126">
        <v>1</v>
      </c>
      <c r="Q4126">
        <v>0</v>
      </c>
      <c r="R4126" t="s">
        <v>127</v>
      </c>
      <c r="S4126" t="str">
        <f t="shared" si="1634"/>
        <v>15:15:59.000</v>
      </c>
      <c r="T4126" t="str">
        <f t="shared" si="1634"/>
        <v>15:15:59.000</v>
      </c>
      <c r="U4126" t="str">
        <f t="shared" si="1623"/>
        <v>A68FCB</v>
      </c>
      <c r="V4126">
        <v>0</v>
      </c>
      <c r="W4126">
        <v>0</v>
      </c>
      <c r="X4126">
        <v>2</v>
      </c>
      <c r="Y4126">
        <v>0</v>
      </c>
      <c r="AA4126">
        <v>1</v>
      </c>
      <c r="AB4126">
        <v>8</v>
      </c>
      <c r="AC4126">
        <v>3</v>
      </c>
      <c r="AD4126">
        <v>0</v>
      </c>
      <c r="AE4126">
        <v>9</v>
      </c>
      <c r="AF4126" t="s">
        <v>138</v>
      </c>
      <c r="AG4126">
        <v>0</v>
      </c>
      <c r="AH4126">
        <v>3</v>
      </c>
      <c r="AI4126">
        <v>2</v>
      </c>
      <c r="AJ4126">
        <v>0</v>
      </c>
      <c r="AK4126" t="s">
        <v>1308</v>
      </c>
      <c r="AL4126">
        <v>39.188446999999996</v>
      </c>
      <c r="AM4126" t="s">
        <v>1309</v>
      </c>
      <c r="AN4126">
        <v>-121.021914</v>
      </c>
      <c r="AO4126">
        <v>25</v>
      </c>
      <c r="AP4126">
        <v>4400</v>
      </c>
      <c r="AQ4126" t="s">
        <v>131</v>
      </c>
      <c r="AR4126">
        <v>36</v>
      </c>
      <c r="AS4126">
        <v>68</v>
      </c>
      <c r="AT4126">
        <v>-256</v>
      </c>
      <c r="BB4126" t="str">
        <f t="shared" si="1624"/>
        <v>1200</v>
      </c>
      <c r="BC4126">
        <v>1</v>
      </c>
      <c r="BD4126" t="str">
        <f t="shared" si="1625"/>
        <v xml:space="preserve">N52156  </v>
      </c>
      <c r="BE4126">
        <v>1</v>
      </c>
      <c r="BG4126">
        <v>0</v>
      </c>
      <c r="BH4126">
        <v>0</v>
      </c>
      <c r="BI4126">
        <v>0</v>
      </c>
      <c r="BJ4126">
        <v>4500</v>
      </c>
      <c r="BK4126">
        <v>100</v>
      </c>
      <c r="BL4126" t="s">
        <v>188</v>
      </c>
      <c r="BM4126">
        <v>1</v>
      </c>
      <c r="BN4126">
        <v>1</v>
      </c>
      <c r="BO4126">
        <v>0</v>
      </c>
      <c r="BP4126">
        <v>0</v>
      </c>
      <c r="BS4126">
        <v>0</v>
      </c>
      <c r="BT4126">
        <v>0</v>
      </c>
      <c r="BU4126">
        <v>0</v>
      </c>
      <c r="CE4126" t="str">
        <f t="shared" si="1635"/>
        <v>15:15:59.292</v>
      </c>
      <c r="CF4126">
        <v>292076979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3</v>
      </c>
      <c r="CY4126">
        <v>7</v>
      </c>
      <c r="CZ4126" t="s">
        <v>133</v>
      </c>
      <c r="DA4126">
        <v>276</v>
      </c>
      <c r="DB4126">
        <v>0</v>
      </c>
      <c r="DC4126" t="s">
        <v>402</v>
      </c>
      <c r="DD4126" t="s">
        <v>403</v>
      </c>
      <c r="DG4126">
        <v>1628415</v>
      </c>
      <c r="DI4126">
        <v>1</v>
      </c>
      <c r="DJ4126">
        <v>0</v>
      </c>
      <c r="DK4126">
        <v>1</v>
      </c>
      <c r="DL4126">
        <v>0</v>
      </c>
      <c r="DM4126">
        <v>0</v>
      </c>
      <c r="DN4126">
        <v>0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 x14ac:dyDescent="0.3">
      <c r="A4127" t="str">
        <f>"05/01/2025 15:15:59.527"</f>
        <v>05/01/2025 15:15:59.527</v>
      </c>
      <c r="C4127" t="str">
        <f t="shared" si="1622"/>
        <v>FFDFD3C0</v>
      </c>
      <c r="D4127" t="s">
        <v>124</v>
      </c>
      <c r="E4127" t="str">
        <f>"06"</f>
        <v>06</v>
      </c>
      <c r="F4127">
        <v>2006</v>
      </c>
      <c r="G4127" t="s">
        <v>125</v>
      </c>
      <c r="J4127" t="s">
        <v>126</v>
      </c>
      <c r="K4127">
        <v>0</v>
      </c>
      <c r="L4127">
        <v>3</v>
      </c>
      <c r="M4127">
        <v>0</v>
      </c>
      <c r="N4127">
        <v>2</v>
      </c>
      <c r="O4127">
        <v>0</v>
      </c>
      <c r="P4127">
        <v>1</v>
      </c>
      <c r="Q4127">
        <v>0</v>
      </c>
      <c r="R4127" t="s">
        <v>127</v>
      </c>
      <c r="S4127" t="str">
        <f t="shared" si="1634"/>
        <v>15:15:59.000</v>
      </c>
      <c r="T4127" t="str">
        <f t="shared" si="1634"/>
        <v>15:15:59.000</v>
      </c>
      <c r="U4127" t="str">
        <f t="shared" si="1623"/>
        <v>A68FCB</v>
      </c>
      <c r="V4127">
        <v>0</v>
      </c>
      <c r="W4127">
        <v>0</v>
      </c>
      <c r="X4127">
        <v>2</v>
      </c>
      <c r="Y4127">
        <v>0</v>
      </c>
      <c r="AA4127">
        <v>1</v>
      </c>
      <c r="AB4127">
        <v>8</v>
      </c>
      <c r="AC4127">
        <v>3</v>
      </c>
      <c r="AD4127">
        <v>0</v>
      </c>
      <c r="AE4127">
        <v>9</v>
      </c>
      <c r="AF4127" t="s">
        <v>138</v>
      </c>
      <c r="AG4127">
        <v>0</v>
      </c>
      <c r="AH4127">
        <v>3</v>
      </c>
      <c r="AI4127">
        <v>2</v>
      </c>
      <c r="AJ4127">
        <v>0</v>
      </c>
      <c r="AK4127" t="s">
        <v>1308</v>
      </c>
      <c r="AL4127">
        <v>39.188446999999996</v>
      </c>
      <c r="AM4127" t="s">
        <v>1309</v>
      </c>
      <c r="AN4127">
        <v>-121.021914</v>
      </c>
      <c r="AO4127">
        <v>25</v>
      </c>
      <c r="AP4127">
        <v>4400</v>
      </c>
      <c r="AQ4127" t="s">
        <v>131</v>
      </c>
      <c r="AR4127">
        <v>36</v>
      </c>
      <c r="AS4127">
        <v>68</v>
      </c>
      <c r="AT4127">
        <v>-256</v>
      </c>
      <c r="BB4127" t="str">
        <f t="shared" si="1624"/>
        <v>1200</v>
      </c>
      <c r="BC4127">
        <v>1</v>
      </c>
      <c r="BD4127" t="str">
        <f t="shared" si="1625"/>
        <v xml:space="preserve">N52156  </v>
      </c>
      <c r="BE4127">
        <v>1</v>
      </c>
      <c r="BG4127">
        <v>0</v>
      </c>
      <c r="BH4127">
        <v>0</v>
      </c>
      <c r="BI4127">
        <v>0</v>
      </c>
      <c r="BJ4127">
        <v>4500</v>
      </c>
      <c r="BK4127">
        <v>100</v>
      </c>
      <c r="BL4127" t="s">
        <v>188</v>
      </c>
      <c r="BM4127">
        <v>1</v>
      </c>
      <c r="BN4127">
        <v>1</v>
      </c>
      <c r="BO4127">
        <v>0</v>
      </c>
      <c r="BP4127">
        <v>0</v>
      </c>
      <c r="BS4127">
        <v>0</v>
      </c>
      <c r="BT4127">
        <v>0</v>
      </c>
      <c r="BU4127">
        <v>0</v>
      </c>
      <c r="CE4127" t="str">
        <f t="shared" si="1635"/>
        <v>15:15:59.292</v>
      </c>
      <c r="CF4127">
        <v>292076979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3</v>
      </c>
      <c r="CY4127">
        <v>7</v>
      </c>
      <c r="CZ4127" t="s">
        <v>133</v>
      </c>
      <c r="DA4127">
        <v>276</v>
      </c>
      <c r="DB4127">
        <v>0</v>
      </c>
      <c r="DC4127" t="s">
        <v>402</v>
      </c>
      <c r="DD4127" t="s">
        <v>403</v>
      </c>
      <c r="DG4127">
        <v>1628415</v>
      </c>
      <c r="DI4127">
        <v>1</v>
      </c>
      <c r="DJ4127">
        <v>0</v>
      </c>
      <c r="DK4127">
        <v>1</v>
      </c>
      <c r="DL4127">
        <v>0</v>
      </c>
      <c r="DM4127">
        <v>0</v>
      </c>
      <c r="DN4127">
        <v>0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 x14ac:dyDescent="0.3">
      <c r="A4128" t="str">
        <f>"05/01/2025 15:15:59.537"</f>
        <v>05/01/2025 15:15:59.537</v>
      </c>
      <c r="C4128" t="str">
        <f t="shared" si="1622"/>
        <v>FFDFD3C0</v>
      </c>
      <c r="D4128" t="s">
        <v>145</v>
      </c>
      <c r="E4128" t="str">
        <f>"09"</f>
        <v>09</v>
      </c>
      <c r="H4128">
        <v>51</v>
      </c>
      <c r="I4128" t="s">
        <v>147</v>
      </c>
      <c r="J4128" t="s">
        <v>138</v>
      </c>
      <c r="K4128">
        <v>0</v>
      </c>
      <c r="L4128">
        <v>3</v>
      </c>
      <c r="M4128">
        <v>0</v>
      </c>
      <c r="N4128">
        <v>2</v>
      </c>
      <c r="O4128">
        <v>0</v>
      </c>
      <c r="P4128">
        <v>1</v>
      </c>
      <c r="Q4128">
        <v>0</v>
      </c>
      <c r="R4128" t="s">
        <v>127</v>
      </c>
      <c r="S4128" t="str">
        <f t="shared" si="1634"/>
        <v>15:15:59.000</v>
      </c>
      <c r="T4128" t="str">
        <f t="shared" si="1634"/>
        <v>15:15:59.000</v>
      </c>
      <c r="U4128" t="str">
        <f t="shared" si="1623"/>
        <v>A68FCB</v>
      </c>
      <c r="V4128">
        <v>0</v>
      </c>
      <c r="W4128">
        <v>0</v>
      </c>
      <c r="X4128">
        <v>2</v>
      </c>
      <c r="Y4128">
        <v>0</v>
      </c>
      <c r="AA4128">
        <v>1</v>
      </c>
      <c r="AB4128">
        <v>8</v>
      </c>
      <c r="AC4128">
        <v>3</v>
      </c>
      <c r="AD4128">
        <v>0</v>
      </c>
      <c r="AE4128">
        <v>9</v>
      </c>
      <c r="AF4128" t="s">
        <v>138</v>
      </c>
      <c r="AG4128">
        <v>0</v>
      </c>
      <c r="AH4128">
        <v>3</v>
      </c>
      <c r="AI4128">
        <v>2</v>
      </c>
      <c r="AJ4128">
        <v>0</v>
      </c>
      <c r="AK4128" t="s">
        <v>1308</v>
      </c>
      <c r="AL4128">
        <v>39.188446999999996</v>
      </c>
      <c r="AM4128" t="s">
        <v>1309</v>
      </c>
      <c r="AN4128">
        <v>-121.021914</v>
      </c>
      <c r="AO4128">
        <v>25</v>
      </c>
      <c r="AP4128">
        <v>4400</v>
      </c>
      <c r="AQ4128" t="s">
        <v>131</v>
      </c>
      <c r="AR4128">
        <v>36</v>
      </c>
      <c r="AS4128">
        <v>68</v>
      </c>
      <c r="AT4128">
        <v>-256</v>
      </c>
      <c r="BB4128" t="str">
        <f t="shared" si="1624"/>
        <v>1200</v>
      </c>
      <c r="BC4128">
        <v>1</v>
      </c>
      <c r="BD4128" t="str">
        <f t="shared" si="1625"/>
        <v xml:space="preserve">N52156  </v>
      </c>
      <c r="BE4128">
        <v>1</v>
      </c>
      <c r="BG4128">
        <v>0</v>
      </c>
      <c r="BH4128">
        <v>0</v>
      </c>
      <c r="BI4128">
        <v>0</v>
      </c>
      <c r="BJ4128">
        <v>4500</v>
      </c>
      <c r="BK4128">
        <v>100</v>
      </c>
      <c r="BL4128" t="s">
        <v>188</v>
      </c>
      <c r="BM4128">
        <v>1</v>
      </c>
      <c r="BN4128">
        <v>1</v>
      </c>
      <c r="BO4128">
        <v>0</v>
      </c>
      <c r="BP4128">
        <v>0</v>
      </c>
      <c r="BS4128">
        <v>0</v>
      </c>
      <c r="BT4128">
        <v>0</v>
      </c>
      <c r="BU4128">
        <v>0</v>
      </c>
      <c r="CE4128" t="str">
        <f t="shared" si="1635"/>
        <v>15:15:59.292</v>
      </c>
      <c r="CF4128">
        <v>292076979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3</v>
      </c>
      <c r="CY4128">
        <v>7</v>
      </c>
      <c r="CZ4128" t="s">
        <v>133</v>
      </c>
      <c r="DA4128">
        <v>276</v>
      </c>
      <c r="DB4128">
        <v>0</v>
      </c>
      <c r="DC4128" t="s">
        <v>402</v>
      </c>
      <c r="DD4128" t="s">
        <v>403</v>
      </c>
      <c r="DG4128">
        <v>1628415</v>
      </c>
      <c r="DI4128">
        <v>1</v>
      </c>
      <c r="DJ4128">
        <v>0</v>
      </c>
      <c r="DK4128">
        <v>1</v>
      </c>
      <c r="DL4128">
        <v>0</v>
      </c>
      <c r="DM4128">
        <v>0</v>
      </c>
      <c r="DN4128">
        <v>0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 x14ac:dyDescent="0.3">
      <c r="A4129" t="str">
        <f>"05/01/2025 15:15:59.543"</f>
        <v>05/01/2025 15:15:59.543</v>
      </c>
      <c r="C4129" t="str">
        <f t="shared" si="1622"/>
        <v>FFDFD3C0</v>
      </c>
      <c r="D4129" t="s">
        <v>145</v>
      </c>
      <c r="E4129" t="str">
        <f>"05"</f>
        <v>05</v>
      </c>
      <c r="H4129">
        <v>47</v>
      </c>
      <c r="I4129" t="s">
        <v>146</v>
      </c>
      <c r="J4129" t="s">
        <v>138</v>
      </c>
      <c r="K4129">
        <v>0</v>
      </c>
      <c r="L4129">
        <v>3</v>
      </c>
      <c r="M4129">
        <v>0</v>
      </c>
      <c r="N4129">
        <v>2</v>
      </c>
      <c r="O4129">
        <v>0</v>
      </c>
      <c r="P4129">
        <v>1</v>
      </c>
      <c r="Q4129">
        <v>0</v>
      </c>
      <c r="R4129" t="s">
        <v>127</v>
      </c>
      <c r="S4129" t="str">
        <f t="shared" si="1634"/>
        <v>15:15:59.000</v>
      </c>
      <c r="T4129" t="str">
        <f t="shared" si="1634"/>
        <v>15:15:59.000</v>
      </c>
      <c r="U4129" t="str">
        <f t="shared" si="1623"/>
        <v>A68FCB</v>
      </c>
      <c r="V4129">
        <v>0</v>
      </c>
      <c r="W4129">
        <v>0</v>
      </c>
      <c r="X4129">
        <v>2</v>
      </c>
      <c r="Y4129">
        <v>0</v>
      </c>
      <c r="AA4129">
        <v>1</v>
      </c>
      <c r="AB4129">
        <v>8</v>
      </c>
      <c r="AC4129">
        <v>3</v>
      </c>
      <c r="AD4129">
        <v>0</v>
      </c>
      <c r="AE4129">
        <v>9</v>
      </c>
      <c r="AF4129" t="s">
        <v>138</v>
      </c>
      <c r="AG4129">
        <v>0</v>
      </c>
      <c r="AH4129">
        <v>3</v>
      </c>
      <c r="AI4129">
        <v>2</v>
      </c>
      <c r="AJ4129">
        <v>0</v>
      </c>
      <c r="AK4129" t="s">
        <v>1308</v>
      </c>
      <c r="AL4129">
        <v>39.188446999999996</v>
      </c>
      <c r="AM4129" t="s">
        <v>1309</v>
      </c>
      <c r="AN4129">
        <v>-121.021914</v>
      </c>
      <c r="AO4129">
        <v>25</v>
      </c>
      <c r="AP4129">
        <v>4400</v>
      </c>
      <c r="AQ4129" t="s">
        <v>131</v>
      </c>
      <c r="AR4129">
        <v>36</v>
      </c>
      <c r="AS4129">
        <v>68</v>
      </c>
      <c r="AT4129">
        <v>-256</v>
      </c>
      <c r="BB4129" t="str">
        <f t="shared" si="1624"/>
        <v>1200</v>
      </c>
      <c r="BC4129">
        <v>1</v>
      </c>
      <c r="BD4129" t="str">
        <f t="shared" si="1625"/>
        <v xml:space="preserve">N52156  </v>
      </c>
      <c r="BE4129">
        <v>1</v>
      </c>
      <c r="BG4129">
        <v>0</v>
      </c>
      <c r="BH4129">
        <v>0</v>
      </c>
      <c r="BI4129">
        <v>0</v>
      </c>
      <c r="BJ4129">
        <v>4500</v>
      </c>
      <c r="BK4129">
        <v>100</v>
      </c>
      <c r="BL4129" t="s">
        <v>188</v>
      </c>
      <c r="BM4129">
        <v>1</v>
      </c>
      <c r="BN4129">
        <v>1</v>
      </c>
      <c r="BO4129">
        <v>0</v>
      </c>
      <c r="BP4129">
        <v>0</v>
      </c>
      <c r="BS4129">
        <v>0</v>
      </c>
      <c r="BT4129">
        <v>0</v>
      </c>
      <c r="BU4129">
        <v>0</v>
      </c>
      <c r="CE4129" t="str">
        <f t="shared" si="1635"/>
        <v>15:15:59.292</v>
      </c>
      <c r="CF4129">
        <v>292076979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3</v>
      </c>
      <c r="CY4129">
        <v>7</v>
      </c>
      <c r="CZ4129" t="s">
        <v>133</v>
      </c>
      <c r="DA4129">
        <v>276</v>
      </c>
      <c r="DB4129">
        <v>0</v>
      </c>
      <c r="DC4129" t="s">
        <v>402</v>
      </c>
      <c r="DD4129" t="s">
        <v>403</v>
      </c>
      <c r="DG4129">
        <v>1628415</v>
      </c>
      <c r="DI4129">
        <v>1</v>
      </c>
      <c r="DJ4129">
        <v>0</v>
      </c>
      <c r="DK4129">
        <v>1</v>
      </c>
      <c r="DL4129">
        <v>0</v>
      </c>
      <c r="DM4129">
        <v>0</v>
      </c>
      <c r="DN4129">
        <v>0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 x14ac:dyDescent="0.3">
      <c r="A4130" t="str">
        <f>"05/01/2025 15:16:00.439"</f>
        <v>05/01/2025 15:16:00.439</v>
      </c>
      <c r="C4130" t="str">
        <f t="shared" si="1622"/>
        <v>FFDFD3C0</v>
      </c>
      <c r="D4130" t="s">
        <v>145</v>
      </c>
      <c r="E4130" t="str">
        <f>"09"</f>
        <v>09</v>
      </c>
      <c r="H4130">
        <v>51</v>
      </c>
      <c r="I4130" t="s">
        <v>147</v>
      </c>
      <c r="J4130" t="s">
        <v>138</v>
      </c>
      <c r="K4130">
        <v>0</v>
      </c>
      <c r="L4130">
        <v>3</v>
      </c>
      <c r="M4130">
        <v>0</v>
      </c>
      <c r="N4130">
        <v>2</v>
      </c>
      <c r="O4130">
        <v>0</v>
      </c>
      <c r="P4130">
        <v>1</v>
      </c>
      <c r="Q4130">
        <v>0</v>
      </c>
      <c r="R4130" t="s">
        <v>127</v>
      </c>
      <c r="S4130" t="str">
        <f t="shared" ref="S4130:T4135" si="1636">"15:16:00.000"</f>
        <v>15:16:00.000</v>
      </c>
      <c r="T4130" t="str">
        <f t="shared" si="1636"/>
        <v>15:16:00.000</v>
      </c>
      <c r="U4130" t="str">
        <f t="shared" si="1623"/>
        <v>A68FCB</v>
      </c>
      <c r="V4130">
        <v>0</v>
      </c>
      <c r="W4130">
        <v>0</v>
      </c>
      <c r="X4130">
        <v>2</v>
      </c>
      <c r="Y4130">
        <v>0</v>
      </c>
      <c r="AA4130">
        <v>1</v>
      </c>
      <c r="AB4130">
        <v>8</v>
      </c>
      <c r="AC4130">
        <v>3</v>
      </c>
      <c r="AD4130">
        <v>0</v>
      </c>
      <c r="AE4130">
        <v>9</v>
      </c>
      <c r="AF4130" t="s">
        <v>138</v>
      </c>
      <c r="AG4130">
        <v>0</v>
      </c>
      <c r="AH4130">
        <v>3</v>
      </c>
      <c r="AI4130">
        <v>2</v>
      </c>
      <c r="AJ4130">
        <v>0</v>
      </c>
      <c r="AK4130" t="s">
        <v>1310</v>
      </c>
      <c r="AL4130">
        <v>39.188769000000001</v>
      </c>
      <c r="AM4130" t="s">
        <v>1311</v>
      </c>
      <c r="AN4130">
        <v>-121.0217</v>
      </c>
      <c r="AO4130">
        <v>25</v>
      </c>
      <c r="AP4130">
        <v>4400</v>
      </c>
      <c r="AQ4130" t="s">
        <v>131</v>
      </c>
      <c r="AR4130">
        <v>36</v>
      </c>
      <c r="AS4130">
        <v>68</v>
      </c>
      <c r="AT4130">
        <v>-320</v>
      </c>
      <c r="BB4130" t="str">
        <f t="shared" si="1624"/>
        <v>1200</v>
      </c>
      <c r="BC4130">
        <v>1</v>
      </c>
      <c r="BD4130" t="str">
        <f t="shared" si="1625"/>
        <v xml:space="preserve">N52156  </v>
      </c>
      <c r="BE4130">
        <v>1</v>
      </c>
      <c r="BG4130">
        <v>0</v>
      </c>
      <c r="BH4130">
        <v>0</v>
      </c>
      <c r="BI4130">
        <v>0</v>
      </c>
      <c r="BJ4130">
        <v>4500</v>
      </c>
      <c r="BK4130">
        <v>100</v>
      </c>
      <c r="BL4130" t="s">
        <v>188</v>
      </c>
      <c r="BM4130">
        <v>1</v>
      </c>
      <c r="BN4130">
        <v>1</v>
      </c>
      <c r="BO4130">
        <v>0</v>
      </c>
      <c r="BP4130">
        <v>0</v>
      </c>
      <c r="BS4130">
        <v>0</v>
      </c>
      <c r="BT4130">
        <v>0</v>
      </c>
      <c r="BU4130">
        <v>0</v>
      </c>
      <c r="CE4130" t="str">
        <f t="shared" ref="CE4130:CE4135" si="1637">"15:16:00.194"</f>
        <v>15:16:00.194</v>
      </c>
      <c r="CF4130">
        <v>194326778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3</v>
      </c>
      <c r="CY4130">
        <v>7</v>
      </c>
      <c r="CZ4130" t="s">
        <v>133</v>
      </c>
      <c r="DA4130">
        <v>276</v>
      </c>
      <c r="DB4130">
        <v>0</v>
      </c>
      <c r="DC4130" t="s">
        <v>402</v>
      </c>
      <c r="DD4130" t="s">
        <v>403</v>
      </c>
      <c r="DG4130">
        <v>1628419</v>
      </c>
      <c r="DI4130">
        <v>1</v>
      </c>
      <c r="DJ4130">
        <v>0</v>
      </c>
      <c r="DK4130">
        <v>0</v>
      </c>
      <c r="DL4130">
        <v>0</v>
      </c>
      <c r="DM4130">
        <v>0</v>
      </c>
      <c r="DN4130">
        <v>0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 x14ac:dyDescent="0.3">
      <c r="A4131" t="str">
        <f>"05/01/2025 15:16:00.444"</f>
        <v>05/01/2025 15:16:00.444</v>
      </c>
      <c r="C4131" t="str">
        <f t="shared" si="1622"/>
        <v>FFDFD3C0</v>
      </c>
      <c r="D4131" t="s">
        <v>145</v>
      </c>
      <c r="E4131" t="str">
        <f>"05"</f>
        <v>05</v>
      </c>
      <c r="H4131">
        <v>47</v>
      </c>
      <c r="I4131" t="s">
        <v>146</v>
      </c>
      <c r="J4131" t="s">
        <v>138</v>
      </c>
      <c r="K4131">
        <v>0</v>
      </c>
      <c r="L4131">
        <v>3</v>
      </c>
      <c r="M4131">
        <v>0</v>
      </c>
      <c r="N4131">
        <v>2</v>
      </c>
      <c r="O4131">
        <v>0</v>
      </c>
      <c r="P4131">
        <v>1</v>
      </c>
      <c r="Q4131">
        <v>0</v>
      </c>
      <c r="R4131" t="s">
        <v>127</v>
      </c>
      <c r="S4131" t="str">
        <f t="shared" si="1636"/>
        <v>15:16:00.000</v>
      </c>
      <c r="T4131" t="str">
        <f t="shared" si="1636"/>
        <v>15:16:00.000</v>
      </c>
      <c r="U4131" t="str">
        <f t="shared" si="1623"/>
        <v>A68FCB</v>
      </c>
      <c r="V4131">
        <v>0</v>
      </c>
      <c r="W4131">
        <v>0</v>
      </c>
      <c r="X4131">
        <v>2</v>
      </c>
      <c r="Y4131">
        <v>0</v>
      </c>
      <c r="AA4131">
        <v>1</v>
      </c>
      <c r="AB4131">
        <v>8</v>
      </c>
      <c r="AC4131">
        <v>3</v>
      </c>
      <c r="AD4131">
        <v>0</v>
      </c>
      <c r="AE4131">
        <v>9</v>
      </c>
      <c r="AF4131" t="s">
        <v>138</v>
      </c>
      <c r="AG4131">
        <v>0</v>
      </c>
      <c r="AH4131">
        <v>3</v>
      </c>
      <c r="AI4131">
        <v>2</v>
      </c>
      <c r="AJ4131">
        <v>0</v>
      </c>
      <c r="AK4131" t="s">
        <v>1310</v>
      </c>
      <c r="AL4131">
        <v>39.188769000000001</v>
      </c>
      <c r="AM4131" t="s">
        <v>1311</v>
      </c>
      <c r="AN4131">
        <v>-121.0217</v>
      </c>
      <c r="AO4131">
        <v>25</v>
      </c>
      <c r="AP4131">
        <v>4400</v>
      </c>
      <c r="AQ4131" t="s">
        <v>131</v>
      </c>
      <c r="AR4131">
        <v>36</v>
      </c>
      <c r="AS4131">
        <v>68</v>
      </c>
      <c r="AT4131">
        <v>-320</v>
      </c>
      <c r="BB4131" t="str">
        <f t="shared" si="1624"/>
        <v>1200</v>
      </c>
      <c r="BC4131">
        <v>1</v>
      </c>
      <c r="BD4131" t="str">
        <f t="shared" si="1625"/>
        <v xml:space="preserve">N52156  </v>
      </c>
      <c r="BE4131">
        <v>1</v>
      </c>
      <c r="BG4131">
        <v>0</v>
      </c>
      <c r="BH4131">
        <v>0</v>
      </c>
      <c r="BI4131">
        <v>0</v>
      </c>
      <c r="BJ4131">
        <v>4500</v>
      </c>
      <c r="BK4131">
        <v>100</v>
      </c>
      <c r="BL4131" t="s">
        <v>188</v>
      </c>
      <c r="BM4131">
        <v>1</v>
      </c>
      <c r="BN4131">
        <v>1</v>
      </c>
      <c r="BO4131">
        <v>0</v>
      </c>
      <c r="BP4131">
        <v>0</v>
      </c>
      <c r="BS4131">
        <v>0</v>
      </c>
      <c r="BT4131">
        <v>0</v>
      </c>
      <c r="BU4131">
        <v>0</v>
      </c>
      <c r="CE4131" t="str">
        <f t="shared" si="1637"/>
        <v>15:16:00.194</v>
      </c>
      <c r="CF4131">
        <v>194326778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3</v>
      </c>
      <c r="CY4131">
        <v>7</v>
      </c>
      <c r="CZ4131" t="s">
        <v>133</v>
      </c>
      <c r="DA4131">
        <v>276</v>
      </c>
      <c r="DB4131">
        <v>0</v>
      </c>
      <c r="DC4131" t="s">
        <v>402</v>
      </c>
      <c r="DD4131" t="s">
        <v>403</v>
      </c>
      <c r="DG4131">
        <v>1628419</v>
      </c>
      <c r="DI4131">
        <v>1</v>
      </c>
      <c r="DJ4131">
        <v>0</v>
      </c>
      <c r="DK4131">
        <v>1</v>
      </c>
      <c r="DL4131">
        <v>0</v>
      </c>
      <c r="DM4131">
        <v>0</v>
      </c>
      <c r="DN4131">
        <v>0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 x14ac:dyDescent="0.3">
      <c r="A4132" t="str">
        <f>"05/01/2025 15:16:00.455"</f>
        <v>05/01/2025 15:16:00.455</v>
      </c>
      <c r="C4132" t="str">
        <f t="shared" si="1622"/>
        <v>FFDFD3C0</v>
      </c>
      <c r="D4132" t="s">
        <v>136</v>
      </c>
      <c r="E4132" t="str">
        <f>"20"</f>
        <v>20</v>
      </c>
      <c r="H4132">
        <v>400</v>
      </c>
      <c r="I4132" t="s">
        <v>137</v>
      </c>
      <c r="J4132" t="s">
        <v>138</v>
      </c>
      <c r="K4132">
        <v>0</v>
      </c>
      <c r="L4132">
        <v>3</v>
      </c>
      <c r="M4132">
        <v>0</v>
      </c>
      <c r="N4132">
        <v>2</v>
      </c>
      <c r="O4132">
        <v>0</v>
      </c>
      <c r="P4132">
        <v>1</v>
      </c>
      <c r="Q4132">
        <v>0</v>
      </c>
      <c r="R4132" t="s">
        <v>127</v>
      </c>
      <c r="S4132" t="str">
        <f t="shared" si="1636"/>
        <v>15:16:00.000</v>
      </c>
      <c r="T4132" t="str">
        <f t="shared" si="1636"/>
        <v>15:16:00.000</v>
      </c>
      <c r="U4132" t="str">
        <f t="shared" si="1623"/>
        <v>A68FCB</v>
      </c>
      <c r="V4132">
        <v>0</v>
      </c>
      <c r="W4132">
        <v>0</v>
      </c>
      <c r="X4132">
        <v>2</v>
      </c>
      <c r="Y4132">
        <v>0</v>
      </c>
      <c r="AA4132">
        <v>1</v>
      </c>
      <c r="AB4132">
        <v>8</v>
      </c>
      <c r="AC4132">
        <v>3</v>
      </c>
      <c r="AD4132">
        <v>0</v>
      </c>
      <c r="AE4132">
        <v>9</v>
      </c>
      <c r="AF4132" t="s">
        <v>138</v>
      </c>
      <c r="AG4132">
        <v>0</v>
      </c>
      <c r="AH4132">
        <v>3</v>
      </c>
      <c r="AI4132">
        <v>2</v>
      </c>
      <c r="AJ4132">
        <v>0</v>
      </c>
      <c r="AK4132" t="s">
        <v>1310</v>
      </c>
      <c r="AL4132">
        <v>39.188769000000001</v>
      </c>
      <c r="AM4132" t="s">
        <v>1311</v>
      </c>
      <c r="AN4132">
        <v>-121.0217</v>
      </c>
      <c r="AO4132">
        <v>25</v>
      </c>
      <c r="AP4132">
        <v>4400</v>
      </c>
      <c r="AQ4132" t="s">
        <v>131</v>
      </c>
      <c r="AR4132">
        <v>36</v>
      </c>
      <c r="AS4132">
        <v>68</v>
      </c>
      <c r="AT4132">
        <v>-320</v>
      </c>
      <c r="BB4132" t="str">
        <f t="shared" si="1624"/>
        <v>1200</v>
      </c>
      <c r="BC4132">
        <v>1</v>
      </c>
      <c r="BD4132" t="str">
        <f t="shared" si="1625"/>
        <v xml:space="preserve">N52156  </v>
      </c>
      <c r="BE4132">
        <v>1</v>
      </c>
      <c r="BG4132">
        <v>0</v>
      </c>
      <c r="BH4132">
        <v>0</v>
      </c>
      <c r="BI4132">
        <v>0</v>
      </c>
      <c r="BJ4132">
        <v>4500</v>
      </c>
      <c r="BK4132">
        <v>100</v>
      </c>
      <c r="BL4132" t="s">
        <v>188</v>
      </c>
      <c r="BM4132">
        <v>1</v>
      </c>
      <c r="BN4132">
        <v>1</v>
      </c>
      <c r="BO4132">
        <v>0</v>
      </c>
      <c r="BP4132">
        <v>0</v>
      </c>
      <c r="BS4132">
        <v>0</v>
      </c>
      <c r="BT4132">
        <v>0</v>
      </c>
      <c r="BU4132">
        <v>0</v>
      </c>
      <c r="CE4132" t="str">
        <f t="shared" si="1637"/>
        <v>15:16:00.194</v>
      </c>
      <c r="CF4132">
        <v>194326778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3</v>
      </c>
      <c r="CY4132">
        <v>7</v>
      </c>
      <c r="CZ4132" t="s">
        <v>133</v>
      </c>
      <c r="DA4132">
        <v>276</v>
      </c>
      <c r="DB4132">
        <v>0</v>
      </c>
      <c r="DC4132" t="s">
        <v>402</v>
      </c>
      <c r="DD4132" t="s">
        <v>403</v>
      </c>
      <c r="DG4132">
        <v>1628419</v>
      </c>
      <c r="DI4132">
        <v>1</v>
      </c>
      <c r="DJ4132">
        <v>0</v>
      </c>
      <c r="DK4132">
        <v>1</v>
      </c>
      <c r="DL4132">
        <v>0</v>
      </c>
      <c r="DM4132">
        <v>0</v>
      </c>
      <c r="DN4132">
        <v>0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 x14ac:dyDescent="0.3">
      <c r="A4133" t="str">
        <f>"05/01/2025 15:16:00.476"</f>
        <v>05/01/2025 15:16:00.476</v>
      </c>
      <c r="C4133" t="str">
        <f t="shared" si="1622"/>
        <v>FFDFD3C0</v>
      </c>
      <c r="D4133" t="s">
        <v>143</v>
      </c>
      <c r="E4133" t="str">
        <f>"05"</f>
        <v>05</v>
      </c>
      <c r="H4133">
        <v>172</v>
      </c>
      <c r="I4133" t="s">
        <v>141</v>
      </c>
      <c r="J4133" t="s">
        <v>144</v>
      </c>
      <c r="K4133">
        <v>0</v>
      </c>
      <c r="L4133">
        <v>3</v>
      </c>
      <c r="M4133">
        <v>0</v>
      </c>
      <c r="N4133">
        <v>2</v>
      </c>
      <c r="O4133">
        <v>0</v>
      </c>
      <c r="P4133">
        <v>1</v>
      </c>
      <c r="Q4133">
        <v>0</v>
      </c>
      <c r="R4133" t="s">
        <v>127</v>
      </c>
      <c r="S4133" t="str">
        <f t="shared" si="1636"/>
        <v>15:16:00.000</v>
      </c>
      <c r="T4133" t="str">
        <f t="shared" si="1636"/>
        <v>15:16:00.000</v>
      </c>
      <c r="U4133" t="str">
        <f t="shared" si="1623"/>
        <v>A68FCB</v>
      </c>
      <c r="V4133">
        <v>0</v>
      </c>
      <c r="W4133">
        <v>0</v>
      </c>
      <c r="X4133">
        <v>2</v>
      </c>
      <c r="Y4133">
        <v>0</v>
      </c>
      <c r="AA4133">
        <v>1</v>
      </c>
      <c r="AB4133">
        <v>8</v>
      </c>
      <c r="AC4133">
        <v>3</v>
      </c>
      <c r="AD4133">
        <v>0</v>
      </c>
      <c r="AE4133">
        <v>9</v>
      </c>
      <c r="AF4133" t="s">
        <v>138</v>
      </c>
      <c r="AG4133">
        <v>0</v>
      </c>
      <c r="AH4133">
        <v>3</v>
      </c>
      <c r="AI4133">
        <v>2</v>
      </c>
      <c r="AJ4133">
        <v>0</v>
      </c>
      <c r="AK4133" t="s">
        <v>1310</v>
      </c>
      <c r="AL4133">
        <v>39.188769000000001</v>
      </c>
      <c r="AM4133" t="s">
        <v>1311</v>
      </c>
      <c r="AN4133">
        <v>-121.0217</v>
      </c>
      <c r="AO4133">
        <v>25</v>
      </c>
      <c r="AP4133">
        <v>4400</v>
      </c>
      <c r="AQ4133" t="s">
        <v>131</v>
      </c>
      <c r="AR4133">
        <v>36</v>
      </c>
      <c r="AS4133">
        <v>68</v>
      </c>
      <c r="AT4133">
        <v>-320</v>
      </c>
      <c r="BB4133" t="str">
        <f t="shared" si="1624"/>
        <v>1200</v>
      </c>
      <c r="BC4133">
        <v>1</v>
      </c>
      <c r="BD4133" t="str">
        <f t="shared" si="1625"/>
        <v xml:space="preserve">N52156  </v>
      </c>
      <c r="BE4133">
        <v>1</v>
      </c>
      <c r="BG4133">
        <v>0</v>
      </c>
      <c r="BH4133">
        <v>0</v>
      </c>
      <c r="BI4133">
        <v>0</v>
      </c>
      <c r="BJ4133">
        <v>4500</v>
      </c>
      <c r="BK4133">
        <v>100</v>
      </c>
      <c r="BL4133" t="s">
        <v>188</v>
      </c>
      <c r="BM4133">
        <v>1</v>
      </c>
      <c r="BN4133">
        <v>1</v>
      </c>
      <c r="BO4133">
        <v>0</v>
      </c>
      <c r="BP4133">
        <v>0</v>
      </c>
      <c r="BS4133">
        <v>0</v>
      </c>
      <c r="BT4133">
        <v>0</v>
      </c>
      <c r="BU4133">
        <v>0</v>
      </c>
      <c r="CE4133" t="str">
        <f t="shared" si="1637"/>
        <v>15:16:00.194</v>
      </c>
      <c r="CF4133">
        <v>194326778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3</v>
      </c>
      <c r="CY4133">
        <v>7</v>
      </c>
      <c r="CZ4133" t="s">
        <v>133</v>
      </c>
      <c r="DA4133">
        <v>276</v>
      </c>
      <c r="DB4133">
        <v>0</v>
      </c>
      <c r="DC4133" t="s">
        <v>402</v>
      </c>
      <c r="DD4133" t="s">
        <v>403</v>
      </c>
      <c r="DG4133">
        <v>1628419</v>
      </c>
      <c r="DI4133">
        <v>1</v>
      </c>
      <c r="DJ4133">
        <v>0</v>
      </c>
      <c r="DK4133">
        <v>1</v>
      </c>
      <c r="DL4133">
        <v>0</v>
      </c>
      <c r="DM4133">
        <v>0</v>
      </c>
      <c r="DN4133">
        <v>0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 x14ac:dyDescent="0.3">
      <c r="A4134" t="str">
        <f>"05/01/2025 15:16:00.476"</f>
        <v>05/01/2025 15:16:00.476</v>
      </c>
      <c r="C4134" t="str">
        <f t="shared" si="1622"/>
        <v>FFDFD3C0</v>
      </c>
      <c r="D4134" t="s">
        <v>140</v>
      </c>
      <c r="E4134" t="str">
        <f>"13"</f>
        <v>13</v>
      </c>
      <c r="F4134">
        <v>1019</v>
      </c>
      <c r="G4134" t="s">
        <v>141</v>
      </c>
      <c r="J4134" t="s">
        <v>142</v>
      </c>
      <c r="K4134">
        <v>0</v>
      </c>
      <c r="L4134">
        <v>3</v>
      </c>
      <c r="M4134">
        <v>0</v>
      </c>
      <c r="N4134">
        <v>2</v>
      </c>
      <c r="O4134">
        <v>0</v>
      </c>
      <c r="P4134">
        <v>1</v>
      </c>
      <c r="Q4134">
        <v>0</v>
      </c>
      <c r="R4134" t="s">
        <v>127</v>
      </c>
      <c r="S4134" t="str">
        <f t="shared" si="1636"/>
        <v>15:16:00.000</v>
      </c>
      <c r="T4134" t="str">
        <f t="shared" si="1636"/>
        <v>15:16:00.000</v>
      </c>
      <c r="U4134" t="str">
        <f t="shared" si="1623"/>
        <v>A68FCB</v>
      </c>
      <c r="V4134">
        <v>0</v>
      </c>
      <c r="W4134">
        <v>0</v>
      </c>
      <c r="X4134">
        <v>2</v>
      </c>
      <c r="Y4134">
        <v>0</v>
      </c>
      <c r="AA4134">
        <v>1</v>
      </c>
      <c r="AB4134">
        <v>8</v>
      </c>
      <c r="AC4134">
        <v>3</v>
      </c>
      <c r="AD4134">
        <v>0</v>
      </c>
      <c r="AE4134">
        <v>9</v>
      </c>
      <c r="AF4134" t="s">
        <v>138</v>
      </c>
      <c r="AG4134">
        <v>0</v>
      </c>
      <c r="AH4134">
        <v>3</v>
      </c>
      <c r="AI4134">
        <v>2</v>
      </c>
      <c r="AJ4134">
        <v>0</v>
      </c>
      <c r="AK4134" t="s">
        <v>1310</v>
      </c>
      <c r="AL4134">
        <v>39.188769000000001</v>
      </c>
      <c r="AM4134" t="s">
        <v>1311</v>
      </c>
      <c r="AN4134">
        <v>-121.0217</v>
      </c>
      <c r="AO4134">
        <v>25</v>
      </c>
      <c r="AP4134">
        <v>4400</v>
      </c>
      <c r="AQ4134" t="s">
        <v>131</v>
      </c>
      <c r="AR4134">
        <v>36</v>
      </c>
      <c r="AS4134">
        <v>68</v>
      </c>
      <c r="AT4134">
        <v>-320</v>
      </c>
      <c r="BB4134" t="str">
        <f t="shared" si="1624"/>
        <v>1200</v>
      </c>
      <c r="BC4134">
        <v>1</v>
      </c>
      <c r="BD4134" t="str">
        <f t="shared" si="1625"/>
        <v xml:space="preserve">N52156  </v>
      </c>
      <c r="BE4134">
        <v>1</v>
      </c>
      <c r="BG4134">
        <v>0</v>
      </c>
      <c r="BH4134">
        <v>0</v>
      </c>
      <c r="BI4134">
        <v>0</v>
      </c>
      <c r="BJ4134">
        <v>4500</v>
      </c>
      <c r="BK4134">
        <v>100</v>
      </c>
      <c r="BL4134" t="s">
        <v>188</v>
      </c>
      <c r="BM4134">
        <v>1</v>
      </c>
      <c r="BN4134">
        <v>1</v>
      </c>
      <c r="BO4134">
        <v>0</v>
      </c>
      <c r="BP4134">
        <v>0</v>
      </c>
      <c r="BS4134">
        <v>0</v>
      </c>
      <c r="BT4134">
        <v>0</v>
      </c>
      <c r="BU4134">
        <v>0</v>
      </c>
      <c r="CE4134" t="str">
        <f t="shared" si="1637"/>
        <v>15:16:00.194</v>
      </c>
      <c r="CF4134">
        <v>194326778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3</v>
      </c>
      <c r="CY4134">
        <v>7</v>
      </c>
      <c r="CZ4134" t="s">
        <v>133</v>
      </c>
      <c r="DA4134">
        <v>276</v>
      </c>
      <c r="DB4134">
        <v>0</v>
      </c>
      <c r="DC4134" t="s">
        <v>402</v>
      </c>
      <c r="DD4134" t="s">
        <v>403</v>
      </c>
      <c r="DG4134">
        <v>1628419</v>
      </c>
      <c r="DI4134">
        <v>1</v>
      </c>
      <c r="DJ4134">
        <v>0</v>
      </c>
      <c r="DK4134">
        <v>1</v>
      </c>
      <c r="DL4134">
        <v>0</v>
      </c>
      <c r="DM4134">
        <v>0</v>
      </c>
      <c r="DN4134">
        <v>0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 x14ac:dyDescent="0.3">
      <c r="A4135" t="str">
        <f>"05/01/2025 15:16:00.478"</f>
        <v>05/01/2025 15:16:00.478</v>
      </c>
      <c r="C4135" t="str">
        <f t="shared" si="1622"/>
        <v>FFDFD3C0</v>
      </c>
      <c r="D4135" t="s">
        <v>124</v>
      </c>
      <c r="E4135" t="str">
        <f>"06"</f>
        <v>06</v>
      </c>
      <c r="F4135">
        <v>2006</v>
      </c>
      <c r="G4135" t="s">
        <v>125</v>
      </c>
      <c r="J4135" t="s">
        <v>126</v>
      </c>
      <c r="K4135">
        <v>0</v>
      </c>
      <c r="L4135">
        <v>3</v>
      </c>
      <c r="M4135">
        <v>0</v>
      </c>
      <c r="N4135">
        <v>2</v>
      </c>
      <c r="O4135">
        <v>0</v>
      </c>
      <c r="P4135">
        <v>1</v>
      </c>
      <c r="Q4135">
        <v>0</v>
      </c>
      <c r="R4135" t="s">
        <v>127</v>
      </c>
      <c r="S4135" t="str">
        <f t="shared" si="1636"/>
        <v>15:16:00.000</v>
      </c>
      <c r="T4135" t="str">
        <f t="shared" si="1636"/>
        <v>15:16:00.000</v>
      </c>
      <c r="U4135" t="str">
        <f t="shared" si="1623"/>
        <v>A68FCB</v>
      </c>
      <c r="V4135">
        <v>0</v>
      </c>
      <c r="W4135">
        <v>0</v>
      </c>
      <c r="X4135">
        <v>2</v>
      </c>
      <c r="Y4135">
        <v>0</v>
      </c>
      <c r="AA4135">
        <v>1</v>
      </c>
      <c r="AB4135">
        <v>8</v>
      </c>
      <c r="AC4135">
        <v>3</v>
      </c>
      <c r="AD4135">
        <v>0</v>
      </c>
      <c r="AE4135">
        <v>9</v>
      </c>
      <c r="AF4135" t="s">
        <v>138</v>
      </c>
      <c r="AG4135">
        <v>0</v>
      </c>
      <c r="AH4135">
        <v>3</v>
      </c>
      <c r="AI4135">
        <v>2</v>
      </c>
      <c r="AJ4135">
        <v>0</v>
      </c>
      <c r="AK4135" t="s">
        <v>1310</v>
      </c>
      <c r="AL4135">
        <v>39.188769000000001</v>
      </c>
      <c r="AM4135" t="s">
        <v>1311</v>
      </c>
      <c r="AN4135">
        <v>-121.0217</v>
      </c>
      <c r="AO4135">
        <v>25</v>
      </c>
      <c r="AP4135">
        <v>4400</v>
      </c>
      <c r="AQ4135" t="s">
        <v>131</v>
      </c>
      <c r="AR4135">
        <v>36</v>
      </c>
      <c r="AS4135">
        <v>68</v>
      </c>
      <c r="AT4135">
        <v>-320</v>
      </c>
      <c r="BB4135" t="str">
        <f t="shared" si="1624"/>
        <v>1200</v>
      </c>
      <c r="BC4135">
        <v>1</v>
      </c>
      <c r="BD4135" t="str">
        <f t="shared" si="1625"/>
        <v xml:space="preserve">N52156  </v>
      </c>
      <c r="BE4135">
        <v>1</v>
      </c>
      <c r="BG4135">
        <v>0</v>
      </c>
      <c r="BH4135">
        <v>0</v>
      </c>
      <c r="BI4135">
        <v>0</v>
      </c>
      <c r="BJ4135">
        <v>4500</v>
      </c>
      <c r="BK4135">
        <v>100</v>
      </c>
      <c r="BL4135" t="s">
        <v>188</v>
      </c>
      <c r="BM4135">
        <v>1</v>
      </c>
      <c r="BN4135">
        <v>1</v>
      </c>
      <c r="BO4135">
        <v>0</v>
      </c>
      <c r="BP4135">
        <v>0</v>
      </c>
      <c r="BS4135">
        <v>0</v>
      </c>
      <c r="BT4135">
        <v>0</v>
      </c>
      <c r="BU4135">
        <v>0</v>
      </c>
      <c r="CE4135" t="str">
        <f t="shared" si="1637"/>
        <v>15:16:00.194</v>
      </c>
      <c r="CF4135">
        <v>194326778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3</v>
      </c>
      <c r="CY4135">
        <v>7</v>
      </c>
      <c r="CZ4135" t="s">
        <v>133</v>
      </c>
      <c r="DA4135">
        <v>276</v>
      </c>
      <c r="DB4135">
        <v>0</v>
      </c>
      <c r="DC4135" t="s">
        <v>402</v>
      </c>
      <c r="DD4135" t="s">
        <v>403</v>
      </c>
      <c r="DG4135">
        <v>1628419</v>
      </c>
      <c r="DI4135">
        <v>1</v>
      </c>
      <c r="DJ4135">
        <v>0</v>
      </c>
      <c r="DK4135">
        <v>1</v>
      </c>
      <c r="DL4135">
        <v>0</v>
      </c>
      <c r="DM4135">
        <v>0</v>
      </c>
      <c r="DN4135">
        <v>0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 x14ac:dyDescent="0.3">
      <c r="A4136" t="str">
        <f>"05/01/2025 15:16:01.446"</f>
        <v>05/01/2025 15:16:01.446</v>
      </c>
      <c r="C4136" t="str">
        <f t="shared" si="1622"/>
        <v>FFDFD3C0</v>
      </c>
      <c r="D4136" t="s">
        <v>145</v>
      </c>
      <c r="E4136" t="str">
        <f>"05"</f>
        <v>05</v>
      </c>
      <c r="H4136">
        <v>47</v>
      </c>
      <c r="I4136" t="s">
        <v>146</v>
      </c>
      <c r="J4136" t="s">
        <v>138</v>
      </c>
      <c r="K4136">
        <v>0</v>
      </c>
      <c r="L4136">
        <v>3</v>
      </c>
      <c r="M4136">
        <v>0</v>
      </c>
      <c r="N4136">
        <v>2</v>
      </c>
      <c r="O4136">
        <v>0</v>
      </c>
      <c r="P4136">
        <v>1</v>
      </c>
      <c r="Q4136">
        <v>0</v>
      </c>
      <c r="R4136" t="s">
        <v>127</v>
      </c>
      <c r="S4136" t="str">
        <f t="shared" ref="S4136:T4141" si="1638">"15:16:01.000"</f>
        <v>15:16:01.000</v>
      </c>
      <c r="T4136" t="str">
        <f t="shared" si="1638"/>
        <v>15:16:01.000</v>
      </c>
      <c r="U4136" t="str">
        <f t="shared" si="1623"/>
        <v>A68FCB</v>
      </c>
      <c r="V4136">
        <v>0</v>
      </c>
      <c r="W4136">
        <v>0</v>
      </c>
      <c r="X4136">
        <v>2</v>
      </c>
      <c r="Y4136">
        <v>0</v>
      </c>
      <c r="AA4136">
        <v>1</v>
      </c>
      <c r="AB4136">
        <v>8</v>
      </c>
      <c r="AC4136">
        <v>3</v>
      </c>
      <c r="AD4136">
        <v>0</v>
      </c>
      <c r="AE4136">
        <v>9</v>
      </c>
      <c r="AF4136" t="s">
        <v>138</v>
      </c>
      <c r="AG4136">
        <v>0</v>
      </c>
      <c r="AH4136">
        <v>3</v>
      </c>
      <c r="AI4136">
        <v>2</v>
      </c>
      <c r="AJ4136">
        <v>0</v>
      </c>
      <c r="AK4136" t="s">
        <v>1312</v>
      </c>
      <c r="AL4136">
        <v>39.189090999999998</v>
      </c>
      <c r="AM4136" t="s">
        <v>1313</v>
      </c>
      <c r="AN4136">
        <v>-121.02146399999999</v>
      </c>
      <c r="AO4136">
        <v>25</v>
      </c>
      <c r="AP4136">
        <v>4400</v>
      </c>
      <c r="AQ4136" t="s">
        <v>131</v>
      </c>
      <c r="AR4136">
        <v>35</v>
      </c>
      <c r="AS4136">
        <v>68</v>
      </c>
      <c r="AT4136">
        <v>-320</v>
      </c>
      <c r="BB4136" t="str">
        <f t="shared" si="1624"/>
        <v>1200</v>
      </c>
      <c r="BC4136">
        <v>1</v>
      </c>
      <c r="BD4136" t="str">
        <f t="shared" si="1625"/>
        <v xml:space="preserve">N52156  </v>
      </c>
      <c r="BE4136">
        <v>1</v>
      </c>
      <c r="BG4136">
        <v>0</v>
      </c>
      <c r="BH4136">
        <v>0</v>
      </c>
      <c r="BI4136">
        <v>0</v>
      </c>
      <c r="BJ4136">
        <v>4500</v>
      </c>
      <c r="BK4136">
        <v>100</v>
      </c>
      <c r="BL4136" t="s">
        <v>188</v>
      </c>
      <c r="BM4136">
        <v>1</v>
      </c>
      <c r="BN4136">
        <v>1</v>
      </c>
      <c r="BO4136">
        <v>0</v>
      </c>
      <c r="BP4136">
        <v>0</v>
      </c>
      <c r="BS4136">
        <v>0</v>
      </c>
      <c r="BT4136">
        <v>0</v>
      </c>
      <c r="BU4136">
        <v>0</v>
      </c>
      <c r="CE4136" t="str">
        <f t="shared" ref="CE4136:CE4141" si="1639">"15:16:01.240"</f>
        <v>15:16:01.240</v>
      </c>
      <c r="CF4136">
        <v>239826937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3</v>
      </c>
      <c r="CY4136">
        <v>7</v>
      </c>
      <c r="CZ4136" t="s">
        <v>133</v>
      </c>
      <c r="DA4136">
        <v>276</v>
      </c>
      <c r="DB4136">
        <v>0</v>
      </c>
      <c r="DC4136" t="s">
        <v>402</v>
      </c>
      <c r="DD4136" t="s">
        <v>403</v>
      </c>
      <c r="DG4136">
        <v>1628422</v>
      </c>
      <c r="DI4136">
        <v>1</v>
      </c>
      <c r="DJ4136">
        <v>0</v>
      </c>
      <c r="DK4136">
        <v>0</v>
      </c>
      <c r="DL4136">
        <v>0</v>
      </c>
      <c r="DM4136">
        <v>0</v>
      </c>
      <c r="DN4136">
        <v>0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 x14ac:dyDescent="0.3">
      <c r="A4137" t="str">
        <f>"05/01/2025 15:16:01.457"</f>
        <v>05/01/2025 15:16:01.457</v>
      </c>
      <c r="C4137" t="str">
        <f t="shared" si="1622"/>
        <v>FFDFD3C0</v>
      </c>
      <c r="D4137" t="s">
        <v>136</v>
      </c>
      <c r="E4137" t="str">
        <f>"20"</f>
        <v>20</v>
      </c>
      <c r="H4137">
        <v>400</v>
      </c>
      <c r="I4137" t="s">
        <v>137</v>
      </c>
      <c r="J4137" t="s">
        <v>138</v>
      </c>
      <c r="K4137">
        <v>0</v>
      </c>
      <c r="L4137">
        <v>3</v>
      </c>
      <c r="M4137">
        <v>0</v>
      </c>
      <c r="N4137">
        <v>2</v>
      </c>
      <c r="O4137">
        <v>0</v>
      </c>
      <c r="P4137">
        <v>1</v>
      </c>
      <c r="Q4137">
        <v>0</v>
      </c>
      <c r="R4137" t="s">
        <v>127</v>
      </c>
      <c r="S4137" t="str">
        <f t="shared" si="1638"/>
        <v>15:16:01.000</v>
      </c>
      <c r="T4137" t="str">
        <f t="shared" si="1638"/>
        <v>15:16:01.000</v>
      </c>
      <c r="U4137" t="str">
        <f t="shared" si="1623"/>
        <v>A68FCB</v>
      </c>
      <c r="V4137">
        <v>0</v>
      </c>
      <c r="W4137">
        <v>0</v>
      </c>
      <c r="X4137">
        <v>2</v>
      </c>
      <c r="Y4137">
        <v>0</v>
      </c>
      <c r="AA4137">
        <v>1</v>
      </c>
      <c r="AB4137">
        <v>8</v>
      </c>
      <c r="AC4137">
        <v>3</v>
      </c>
      <c r="AD4137">
        <v>0</v>
      </c>
      <c r="AE4137">
        <v>9</v>
      </c>
      <c r="AF4137" t="s">
        <v>138</v>
      </c>
      <c r="AG4137">
        <v>0</v>
      </c>
      <c r="AH4137">
        <v>3</v>
      </c>
      <c r="AI4137">
        <v>2</v>
      </c>
      <c r="AJ4137">
        <v>0</v>
      </c>
      <c r="AK4137" t="s">
        <v>1312</v>
      </c>
      <c r="AL4137">
        <v>39.189090999999998</v>
      </c>
      <c r="AM4137" t="s">
        <v>1313</v>
      </c>
      <c r="AN4137">
        <v>-121.02146399999999</v>
      </c>
      <c r="AO4137">
        <v>25</v>
      </c>
      <c r="AP4137">
        <v>4400</v>
      </c>
      <c r="AQ4137" t="s">
        <v>131</v>
      </c>
      <c r="AR4137">
        <v>35</v>
      </c>
      <c r="AS4137">
        <v>68</v>
      </c>
      <c r="AT4137">
        <v>-320</v>
      </c>
      <c r="BB4137" t="str">
        <f t="shared" si="1624"/>
        <v>1200</v>
      </c>
      <c r="BC4137">
        <v>1</v>
      </c>
      <c r="BD4137" t="str">
        <f t="shared" si="1625"/>
        <v xml:space="preserve">N52156  </v>
      </c>
      <c r="BE4137">
        <v>1</v>
      </c>
      <c r="BG4137">
        <v>0</v>
      </c>
      <c r="BH4137">
        <v>0</v>
      </c>
      <c r="BI4137">
        <v>0</v>
      </c>
      <c r="BJ4137">
        <v>4500</v>
      </c>
      <c r="BK4137">
        <v>100</v>
      </c>
      <c r="BL4137" t="s">
        <v>188</v>
      </c>
      <c r="BM4137">
        <v>1</v>
      </c>
      <c r="BN4137">
        <v>1</v>
      </c>
      <c r="BO4137">
        <v>0</v>
      </c>
      <c r="BP4137">
        <v>0</v>
      </c>
      <c r="BS4137">
        <v>0</v>
      </c>
      <c r="BT4137">
        <v>0</v>
      </c>
      <c r="BU4137">
        <v>0</v>
      </c>
      <c r="CE4137" t="str">
        <f t="shared" si="1639"/>
        <v>15:16:01.240</v>
      </c>
      <c r="CF4137">
        <v>239826937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3</v>
      </c>
      <c r="CY4137">
        <v>7</v>
      </c>
      <c r="CZ4137" t="s">
        <v>133</v>
      </c>
      <c r="DA4137">
        <v>276</v>
      </c>
      <c r="DB4137">
        <v>0</v>
      </c>
      <c r="DC4137" t="s">
        <v>402</v>
      </c>
      <c r="DD4137" t="s">
        <v>403</v>
      </c>
      <c r="DG4137">
        <v>1628422</v>
      </c>
      <c r="DI4137">
        <v>1</v>
      </c>
      <c r="DJ4137">
        <v>0</v>
      </c>
      <c r="DK4137">
        <v>1</v>
      </c>
      <c r="DL4137">
        <v>0</v>
      </c>
      <c r="DM4137">
        <v>0</v>
      </c>
      <c r="DN4137">
        <v>0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 x14ac:dyDescent="0.3">
      <c r="A4138" t="str">
        <f>"05/01/2025 15:16:01.477"</f>
        <v>05/01/2025 15:16:01.477</v>
      </c>
      <c r="C4138" t="str">
        <f t="shared" si="1622"/>
        <v>FFDFD3C0</v>
      </c>
      <c r="D4138" t="s">
        <v>143</v>
      </c>
      <c r="E4138" t="str">
        <f>"05"</f>
        <v>05</v>
      </c>
      <c r="H4138">
        <v>172</v>
      </c>
      <c r="I4138" t="s">
        <v>141</v>
      </c>
      <c r="J4138" t="s">
        <v>144</v>
      </c>
      <c r="K4138">
        <v>0</v>
      </c>
      <c r="L4138">
        <v>3</v>
      </c>
      <c r="M4138">
        <v>0</v>
      </c>
      <c r="N4138">
        <v>2</v>
      </c>
      <c r="O4138">
        <v>0</v>
      </c>
      <c r="P4138">
        <v>1</v>
      </c>
      <c r="Q4138">
        <v>0</v>
      </c>
      <c r="R4138" t="s">
        <v>127</v>
      </c>
      <c r="S4138" t="str">
        <f t="shared" si="1638"/>
        <v>15:16:01.000</v>
      </c>
      <c r="T4138" t="str">
        <f t="shared" si="1638"/>
        <v>15:16:01.000</v>
      </c>
      <c r="U4138" t="str">
        <f t="shared" si="1623"/>
        <v>A68FCB</v>
      </c>
      <c r="V4138">
        <v>0</v>
      </c>
      <c r="W4138">
        <v>0</v>
      </c>
      <c r="X4138">
        <v>2</v>
      </c>
      <c r="Y4138">
        <v>0</v>
      </c>
      <c r="AA4138">
        <v>1</v>
      </c>
      <c r="AB4138">
        <v>8</v>
      </c>
      <c r="AC4138">
        <v>3</v>
      </c>
      <c r="AD4138">
        <v>0</v>
      </c>
      <c r="AE4138">
        <v>9</v>
      </c>
      <c r="AF4138" t="s">
        <v>138</v>
      </c>
      <c r="AG4138">
        <v>0</v>
      </c>
      <c r="AH4138">
        <v>3</v>
      </c>
      <c r="AI4138">
        <v>2</v>
      </c>
      <c r="AJ4138">
        <v>0</v>
      </c>
      <c r="AK4138" t="s">
        <v>1312</v>
      </c>
      <c r="AL4138">
        <v>39.189090999999998</v>
      </c>
      <c r="AM4138" t="s">
        <v>1313</v>
      </c>
      <c r="AN4138">
        <v>-121.02146399999999</v>
      </c>
      <c r="AO4138">
        <v>25</v>
      </c>
      <c r="AP4138">
        <v>4400</v>
      </c>
      <c r="AQ4138" t="s">
        <v>131</v>
      </c>
      <c r="AR4138">
        <v>35</v>
      </c>
      <c r="AS4138">
        <v>68</v>
      </c>
      <c r="AT4138">
        <v>-320</v>
      </c>
      <c r="BB4138" t="str">
        <f t="shared" si="1624"/>
        <v>1200</v>
      </c>
      <c r="BC4138">
        <v>1</v>
      </c>
      <c r="BD4138" t="str">
        <f t="shared" si="1625"/>
        <v xml:space="preserve">N52156  </v>
      </c>
      <c r="BE4138">
        <v>1</v>
      </c>
      <c r="BG4138">
        <v>0</v>
      </c>
      <c r="BH4138">
        <v>0</v>
      </c>
      <c r="BI4138">
        <v>0</v>
      </c>
      <c r="BJ4138">
        <v>4500</v>
      </c>
      <c r="BK4138">
        <v>100</v>
      </c>
      <c r="BL4138" t="s">
        <v>188</v>
      </c>
      <c r="BM4138">
        <v>1</v>
      </c>
      <c r="BN4138">
        <v>1</v>
      </c>
      <c r="BO4138">
        <v>0</v>
      </c>
      <c r="BP4138">
        <v>0</v>
      </c>
      <c r="BS4138">
        <v>0</v>
      </c>
      <c r="BT4138">
        <v>0</v>
      </c>
      <c r="BU4138">
        <v>0</v>
      </c>
      <c r="CE4138" t="str">
        <f t="shared" si="1639"/>
        <v>15:16:01.240</v>
      </c>
      <c r="CF4138">
        <v>239826937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3</v>
      </c>
      <c r="CY4138">
        <v>7</v>
      </c>
      <c r="CZ4138" t="s">
        <v>133</v>
      </c>
      <c r="DA4138">
        <v>276</v>
      </c>
      <c r="DB4138">
        <v>0</v>
      </c>
      <c r="DC4138" t="s">
        <v>402</v>
      </c>
      <c r="DD4138" t="s">
        <v>403</v>
      </c>
      <c r="DG4138">
        <v>1628422</v>
      </c>
      <c r="DI4138">
        <v>1</v>
      </c>
      <c r="DJ4138">
        <v>0</v>
      </c>
      <c r="DK4138">
        <v>1</v>
      </c>
      <c r="DL4138">
        <v>0</v>
      </c>
      <c r="DM4138">
        <v>0</v>
      </c>
      <c r="DN4138">
        <v>0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 x14ac:dyDescent="0.3">
      <c r="A4139" t="str">
        <f>"05/01/2025 15:16:01.477"</f>
        <v>05/01/2025 15:16:01.477</v>
      </c>
      <c r="C4139" t="str">
        <f t="shared" si="1622"/>
        <v>FFDFD3C0</v>
      </c>
      <c r="D4139" t="s">
        <v>140</v>
      </c>
      <c r="E4139" t="str">
        <f>"13"</f>
        <v>13</v>
      </c>
      <c r="F4139">
        <v>1019</v>
      </c>
      <c r="G4139" t="s">
        <v>141</v>
      </c>
      <c r="J4139" t="s">
        <v>142</v>
      </c>
      <c r="K4139">
        <v>0</v>
      </c>
      <c r="L4139">
        <v>3</v>
      </c>
      <c r="M4139">
        <v>0</v>
      </c>
      <c r="N4139">
        <v>2</v>
      </c>
      <c r="O4139">
        <v>0</v>
      </c>
      <c r="P4139">
        <v>1</v>
      </c>
      <c r="Q4139">
        <v>0</v>
      </c>
      <c r="R4139" t="s">
        <v>127</v>
      </c>
      <c r="S4139" t="str">
        <f t="shared" si="1638"/>
        <v>15:16:01.000</v>
      </c>
      <c r="T4139" t="str">
        <f t="shared" si="1638"/>
        <v>15:16:01.000</v>
      </c>
      <c r="U4139" t="str">
        <f t="shared" si="1623"/>
        <v>A68FCB</v>
      </c>
      <c r="V4139">
        <v>0</v>
      </c>
      <c r="W4139">
        <v>0</v>
      </c>
      <c r="X4139">
        <v>2</v>
      </c>
      <c r="Y4139">
        <v>0</v>
      </c>
      <c r="AA4139">
        <v>1</v>
      </c>
      <c r="AB4139">
        <v>8</v>
      </c>
      <c r="AC4139">
        <v>3</v>
      </c>
      <c r="AD4139">
        <v>0</v>
      </c>
      <c r="AE4139">
        <v>9</v>
      </c>
      <c r="AF4139" t="s">
        <v>138</v>
      </c>
      <c r="AG4139">
        <v>0</v>
      </c>
      <c r="AH4139">
        <v>3</v>
      </c>
      <c r="AI4139">
        <v>2</v>
      </c>
      <c r="AJ4139">
        <v>0</v>
      </c>
      <c r="AK4139" t="s">
        <v>1312</v>
      </c>
      <c r="AL4139">
        <v>39.189090999999998</v>
      </c>
      <c r="AM4139" t="s">
        <v>1313</v>
      </c>
      <c r="AN4139">
        <v>-121.02146399999999</v>
      </c>
      <c r="AO4139">
        <v>25</v>
      </c>
      <c r="AP4139">
        <v>4400</v>
      </c>
      <c r="AQ4139" t="s">
        <v>131</v>
      </c>
      <c r="AR4139">
        <v>35</v>
      </c>
      <c r="AS4139">
        <v>68</v>
      </c>
      <c r="AT4139">
        <v>-320</v>
      </c>
      <c r="BB4139" t="str">
        <f t="shared" si="1624"/>
        <v>1200</v>
      </c>
      <c r="BC4139">
        <v>1</v>
      </c>
      <c r="BD4139" t="str">
        <f t="shared" si="1625"/>
        <v xml:space="preserve">N52156  </v>
      </c>
      <c r="BE4139">
        <v>1</v>
      </c>
      <c r="BG4139">
        <v>0</v>
      </c>
      <c r="BH4139">
        <v>0</v>
      </c>
      <c r="BI4139">
        <v>0</v>
      </c>
      <c r="BJ4139">
        <v>4500</v>
      </c>
      <c r="BK4139">
        <v>100</v>
      </c>
      <c r="BL4139" t="s">
        <v>188</v>
      </c>
      <c r="BM4139">
        <v>1</v>
      </c>
      <c r="BN4139">
        <v>1</v>
      </c>
      <c r="BO4139">
        <v>0</v>
      </c>
      <c r="BP4139">
        <v>0</v>
      </c>
      <c r="BS4139">
        <v>0</v>
      </c>
      <c r="BT4139">
        <v>0</v>
      </c>
      <c r="BU4139">
        <v>0</v>
      </c>
      <c r="CE4139" t="str">
        <f t="shared" si="1639"/>
        <v>15:16:01.240</v>
      </c>
      <c r="CF4139">
        <v>239826937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3</v>
      </c>
      <c r="CY4139">
        <v>7</v>
      </c>
      <c r="CZ4139" t="s">
        <v>133</v>
      </c>
      <c r="DA4139">
        <v>276</v>
      </c>
      <c r="DB4139">
        <v>0</v>
      </c>
      <c r="DC4139" t="s">
        <v>402</v>
      </c>
      <c r="DD4139" t="s">
        <v>403</v>
      </c>
      <c r="DG4139">
        <v>1628422</v>
      </c>
      <c r="DI4139">
        <v>1</v>
      </c>
      <c r="DJ4139">
        <v>0</v>
      </c>
      <c r="DK4139">
        <v>1</v>
      </c>
      <c r="DL4139">
        <v>0</v>
      </c>
      <c r="DM4139">
        <v>0</v>
      </c>
      <c r="DN4139">
        <v>0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 x14ac:dyDescent="0.3">
      <c r="A4140" t="str">
        <f>"05/01/2025 15:16:01.480"</f>
        <v>05/01/2025 15:16:01.480</v>
      </c>
      <c r="C4140" t="str">
        <f t="shared" si="1622"/>
        <v>FFDFD3C0</v>
      </c>
      <c r="D4140" t="s">
        <v>124</v>
      </c>
      <c r="E4140" t="str">
        <f>"06"</f>
        <v>06</v>
      </c>
      <c r="F4140">
        <v>2006</v>
      </c>
      <c r="G4140" t="s">
        <v>125</v>
      </c>
      <c r="J4140" t="s">
        <v>126</v>
      </c>
      <c r="K4140">
        <v>0</v>
      </c>
      <c r="L4140">
        <v>3</v>
      </c>
      <c r="M4140">
        <v>0</v>
      </c>
      <c r="N4140">
        <v>2</v>
      </c>
      <c r="O4140">
        <v>0</v>
      </c>
      <c r="P4140">
        <v>1</v>
      </c>
      <c r="Q4140">
        <v>0</v>
      </c>
      <c r="R4140" t="s">
        <v>127</v>
      </c>
      <c r="S4140" t="str">
        <f t="shared" si="1638"/>
        <v>15:16:01.000</v>
      </c>
      <c r="T4140" t="str">
        <f t="shared" si="1638"/>
        <v>15:16:01.000</v>
      </c>
      <c r="U4140" t="str">
        <f t="shared" si="1623"/>
        <v>A68FCB</v>
      </c>
      <c r="V4140">
        <v>0</v>
      </c>
      <c r="W4140">
        <v>0</v>
      </c>
      <c r="X4140">
        <v>2</v>
      </c>
      <c r="Y4140">
        <v>0</v>
      </c>
      <c r="AA4140">
        <v>1</v>
      </c>
      <c r="AB4140">
        <v>8</v>
      </c>
      <c r="AC4140">
        <v>3</v>
      </c>
      <c r="AD4140">
        <v>0</v>
      </c>
      <c r="AE4140">
        <v>9</v>
      </c>
      <c r="AF4140" t="s">
        <v>138</v>
      </c>
      <c r="AG4140">
        <v>0</v>
      </c>
      <c r="AH4140">
        <v>3</v>
      </c>
      <c r="AI4140">
        <v>2</v>
      </c>
      <c r="AJ4140">
        <v>0</v>
      </c>
      <c r="AK4140" t="s">
        <v>1312</v>
      </c>
      <c r="AL4140">
        <v>39.189090999999998</v>
      </c>
      <c r="AM4140" t="s">
        <v>1313</v>
      </c>
      <c r="AN4140">
        <v>-121.02146399999999</v>
      </c>
      <c r="AO4140">
        <v>25</v>
      </c>
      <c r="AP4140">
        <v>4400</v>
      </c>
      <c r="AQ4140" t="s">
        <v>131</v>
      </c>
      <c r="AR4140">
        <v>35</v>
      </c>
      <c r="AS4140">
        <v>68</v>
      </c>
      <c r="AT4140">
        <v>-320</v>
      </c>
      <c r="BB4140" t="str">
        <f t="shared" si="1624"/>
        <v>1200</v>
      </c>
      <c r="BC4140">
        <v>1</v>
      </c>
      <c r="BD4140" t="str">
        <f t="shared" si="1625"/>
        <v xml:space="preserve">N52156  </v>
      </c>
      <c r="BE4140">
        <v>1</v>
      </c>
      <c r="BG4140">
        <v>0</v>
      </c>
      <c r="BH4140">
        <v>0</v>
      </c>
      <c r="BI4140">
        <v>0</v>
      </c>
      <c r="BJ4140">
        <v>4500</v>
      </c>
      <c r="BK4140">
        <v>100</v>
      </c>
      <c r="BL4140" t="s">
        <v>188</v>
      </c>
      <c r="BM4140">
        <v>1</v>
      </c>
      <c r="BN4140">
        <v>1</v>
      </c>
      <c r="BO4140">
        <v>0</v>
      </c>
      <c r="BP4140">
        <v>0</v>
      </c>
      <c r="BS4140">
        <v>0</v>
      </c>
      <c r="BT4140">
        <v>0</v>
      </c>
      <c r="BU4140">
        <v>0</v>
      </c>
      <c r="CE4140" t="str">
        <f t="shared" si="1639"/>
        <v>15:16:01.240</v>
      </c>
      <c r="CF4140">
        <v>239826937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3</v>
      </c>
      <c r="CY4140">
        <v>7</v>
      </c>
      <c r="CZ4140" t="s">
        <v>133</v>
      </c>
      <c r="DA4140">
        <v>276</v>
      </c>
      <c r="DB4140">
        <v>0</v>
      </c>
      <c r="DC4140" t="s">
        <v>402</v>
      </c>
      <c r="DD4140" t="s">
        <v>403</v>
      </c>
      <c r="DG4140">
        <v>1628422</v>
      </c>
      <c r="DI4140">
        <v>1</v>
      </c>
      <c r="DJ4140">
        <v>0</v>
      </c>
      <c r="DK4140">
        <v>1</v>
      </c>
      <c r="DL4140">
        <v>0</v>
      </c>
      <c r="DM4140">
        <v>0</v>
      </c>
      <c r="DN4140">
        <v>0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 x14ac:dyDescent="0.3">
      <c r="A4141" t="str">
        <f>"05/01/2025 15:16:01.490"</f>
        <v>05/01/2025 15:16:01.490</v>
      </c>
      <c r="C4141" t="str">
        <f t="shared" si="1622"/>
        <v>FFDFD3C0</v>
      </c>
      <c r="D4141" t="s">
        <v>145</v>
      </c>
      <c r="E4141" t="str">
        <f>"09"</f>
        <v>09</v>
      </c>
      <c r="H4141">
        <v>51</v>
      </c>
      <c r="I4141" t="s">
        <v>147</v>
      </c>
      <c r="J4141" t="s">
        <v>138</v>
      </c>
      <c r="K4141">
        <v>0</v>
      </c>
      <c r="L4141">
        <v>3</v>
      </c>
      <c r="M4141">
        <v>0</v>
      </c>
      <c r="N4141">
        <v>2</v>
      </c>
      <c r="O4141">
        <v>0</v>
      </c>
      <c r="P4141">
        <v>1</v>
      </c>
      <c r="Q4141">
        <v>0</v>
      </c>
      <c r="R4141" t="s">
        <v>127</v>
      </c>
      <c r="S4141" t="str">
        <f t="shared" si="1638"/>
        <v>15:16:01.000</v>
      </c>
      <c r="T4141" t="str">
        <f t="shared" si="1638"/>
        <v>15:16:01.000</v>
      </c>
      <c r="U4141" t="str">
        <f t="shared" si="1623"/>
        <v>A68FCB</v>
      </c>
      <c r="V4141">
        <v>0</v>
      </c>
      <c r="W4141">
        <v>0</v>
      </c>
      <c r="X4141">
        <v>2</v>
      </c>
      <c r="Y4141">
        <v>0</v>
      </c>
      <c r="AA4141">
        <v>1</v>
      </c>
      <c r="AB4141">
        <v>8</v>
      </c>
      <c r="AC4141">
        <v>3</v>
      </c>
      <c r="AD4141">
        <v>0</v>
      </c>
      <c r="AE4141">
        <v>9</v>
      </c>
      <c r="AF4141" t="s">
        <v>138</v>
      </c>
      <c r="AG4141">
        <v>0</v>
      </c>
      <c r="AH4141">
        <v>3</v>
      </c>
      <c r="AI4141">
        <v>2</v>
      </c>
      <c r="AJ4141">
        <v>0</v>
      </c>
      <c r="AK4141" t="s">
        <v>1312</v>
      </c>
      <c r="AL4141">
        <v>39.189090999999998</v>
      </c>
      <c r="AM4141" t="s">
        <v>1313</v>
      </c>
      <c r="AN4141">
        <v>-121.02146399999999</v>
      </c>
      <c r="AO4141">
        <v>25</v>
      </c>
      <c r="AP4141">
        <v>4400</v>
      </c>
      <c r="AQ4141" t="s">
        <v>131</v>
      </c>
      <c r="AR4141">
        <v>35</v>
      </c>
      <c r="AS4141">
        <v>68</v>
      </c>
      <c r="AT4141">
        <v>-320</v>
      </c>
      <c r="BB4141" t="str">
        <f t="shared" si="1624"/>
        <v>1200</v>
      </c>
      <c r="BC4141">
        <v>1</v>
      </c>
      <c r="BD4141" t="str">
        <f t="shared" si="1625"/>
        <v xml:space="preserve">N52156  </v>
      </c>
      <c r="BE4141">
        <v>1</v>
      </c>
      <c r="BG4141">
        <v>0</v>
      </c>
      <c r="BH4141">
        <v>0</v>
      </c>
      <c r="BI4141">
        <v>0</v>
      </c>
      <c r="BJ4141">
        <v>4500</v>
      </c>
      <c r="BK4141">
        <v>100</v>
      </c>
      <c r="BL4141" t="s">
        <v>188</v>
      </c>
      <c r="BM4141">
        <v>1</v>
      </c>
      <c r="BN4141">
        <v>1</v>
      </c>
      <c r="BO4141">
        <v>0</v>
      </c>
      <c r="BP4141">
        <v>0</v>
      </c>
      <c r="BS4141">
        <v>0</v>
      </c>
      <c r="BT4141">
        <v>0</v>
      </c>
      <c r="BU4141">
        <v>0</v>
      </c>
      <c r="CE4141" t="str">
        <f t="shared" si="1639"/>
        <v>15:16:01.240</v>
      </c>
      <c r="CF4141">
        <v>239826937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3</v>
      </c>
      <c r="CY4141">
        <v>7</v>
      </c>
      <c r="CZ4141" t="s">
        <v>133</v>
      </c>
      <c r="DA4141">
        <v>276</v>
      </c>
      <c r="DB4141">
        <v>0</v>
      </c>
      <c r="DC4141" t="s">
        <v>402</v>
      </c>
      <c r="DD4141" t="s">
        <v>403</v>
      </c>
      <c r="DG4141">
        <v>1628422</v>
      </c>
      <c r="DI4141">
        <v>1</v>
      </c>
      <c r="DJ4141">
        <v>0</v>
      </c>
      <c r="DK4141">
        <v>1</v>
      </c>
      <c r="DL4141">
        <v>0</v>
      </c>
      <c r="DM4141">
        <v>0</v>
      </c>
      <c r="DN4141">
        <v>0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 x14ac:dyDescent="0.3">
      <c r="A4142" t="str">
        <f>"05/01/2025 15:16:02.948"</f>
        <v>05/01/2025 15:16:02.948</v>
      </c>
      <c r="C4142" t="str">
        <f t="shared" si="1622"/>
        <v>FFDFD3C0</v>
      </c>
      <c r="D4142" t="s">
        <v>145</v>
      </c>
      <c r="E4142" t="str">
        <f>"05"</f>
        <v>05</v>
      </c>
      <c r="H4142">
        <v>47</v>
      </c>
      <c r="I4142" t="s">
        <v>146</v>
      </c>
      <c r="J4142" t="s">
        <v>138</v>
      </c>
      <c r="K4142">
        <v>0</v>
      </c>
      <c r="L4142">
        <v>3</v>
      </c>
      <c r="M4142">
        <v>0</v>
      </c>
      <c r="N4142">
        <v>2</v>
      </c>
      <c r="O4142">
        <v>0</v>
      </c>
      <c r="P4142">
        <v>1</v>
      </c>
      <c r="Q4142">
        <v>0</v>
      </c>
      <c r="R4142" t="s">
        <v>127</v>
      </c>
      <c r="S4142" t="str">
        <f t="shared" ref="S4142:T4147" si="1640">"15:16:02.000"</f>
        <v>15:16:02.000</v>
      </c>
      <c r="T4142" t="str">
        <f t="shared" si="1640"/>
        <v>15:16:02.000</v>
      </c>
      <c r="U4142" t="str">
        <f t="shared" si="1623"/>
        <v>A68FCB</v>
      </c>
      <c r="V4142">
        <v>0</v>
      </c>
      <c r="W4142">
        <v>0</v>
      </c>
      <c r="X4142">
        <v>2</v>
      </c>
      <c r="Y4142">
        <v>0</v>
      </c>
      <c r="AA4142">
        <v>1</v>
      </c>
      <c r="AB4142">
        <v>8</v>
      </c>
      <c r="AC4142">
        <v>3</v>
      </c>
      <c r="AD4142">
        <v>0</v>
      </c>
      <c r="AE4142">
        <v>9</v>
      </c>
      <c r="AF4142" t="s">
        <v>138</v>
      </c>
      <c r="AG4142">
        <v>0</v>
      </c>
      <c r="AH4142">
        <v>3</v>
      </c>
      <c r="AI4142">
        <v>2</v>
      </c>
      <c r="AJ4142">
        <v>0</v>
      </c>
      <c r="AK4142" t="s">
        <v>1314</v>
      </c>
      <c r="AL4142">
        <v>39.189413000000002</v>
      </c>
      <c r="AM4142" t="s">
        <v>1315</v>
      </c>
      <c r="AN4142">
        <v>-121.021271</v>
      </c>
      <c r="AO4142">
        <v>25</v>
      </c>
      <c r="AP4142">
        <v>4400</v>
      </c>
      <c r="AQ4142" t="s">
        <v>131</v>
      </c>
      <c r="AR4142">
        <v>35</v>
      </c>
      <c r="AS4142">
        <v>67</v>
      </c>
      <c r="AT4142">
        <v>-320</v>
      </c>
      <c r="BB4142" t="str">
        <f t="shared" si="1624"/>
        <v>1200</v>
      </c>
      <c r="BC4142">
        <v>1</v>
      </c>
      <c r="BD4142" t="str">
        <f t="shared" si="1625"/>
        <v xml:space="preserve">N52156  </v>
      </c>
      <c r="BE4142">
        <v>1</v>
      </c>
      <c r="BG4142">
        <v>0</v>
      </c>
      <c r="BH4142">
        <v>0</v>
      </c>
      <c r="BI4142">
        <v>0</v>
      </c>
      <c r="BJ4142">
        <v>4475</v>
      </c>
      <c r="BK4142">
        <v>75</v>
      </c>
      <c r="BL4142" t="s">
        <v>188</v>
      </c>
      <c r="BM4142">
        <v>1</v>
      </c>
      <c r="BN4142">
        <v>1</v>
      </c>
      <c r="BO4142">
        <v>0</v>
      </c>
      <c r="BP4142">
        <v>0</v>
      </c>
      <c r="BS4142">
        <v>0</v>
      </c>
      <c r="BT4142">
        <v>0</v>
      </c>
      <c r="BU4142">
        <v>0</v>
      </c>
      <c r="CE4142" t="str">
        <f t="shared" ref="CE4142:CE4147" si="1641">"15:16:02.750"</f>
        <v>15:16:02.750</v>
      </c>
      <c r="CF4142">
        <v>749578339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3</v>
      </c>
      <c r="CY4142">
        <v>7</v>
      </c>
      <c r="CZ4142" t="s">
        <v>133</v>
      </c>
      <c r="DA4142">
        <v>276</v>
      </c>
      <c r="DB4142">
        <v>0</v>
      </c>
      <c r="DC4142" t="s">
        <v>402</v>
      </c>
      <c r="DD4142" t="s">
        <v>403</v>
      </c>
      <c r="DG4142">
        <v>1628427</v>
      </c>
      <c r="DI4142">
        <v>1</v>
      </c>
      <c r="DJ4142">
        <v>0</v>
      </c>
      <c r="DK4142">
        <v>0</v>
      </c>
      <c r="DL4142">
        <v>0</v>
      </c>
      <c r="DM4142">
        <v>0</v>
      </c>
      <c r="DN4142">
        <v>0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 x14ac:dyDescent="0.3">
      <c r="A4143" t="str">
        <f>"05/01/2025 15:16:02.959"</f>
        <v>05/01/2025 15:16:02.959</v>
      </c>
      <c r="C4143" t="str">
        <f t="shared" si="1622"/>
        <v>FFDFD3C0</v>
      </c>
      <c r="D4143" t="s">
        <v>136</v>
      </c>
      <c r="E4143" t="str">
        <f>"20"</f>
        <v>20</v>
      </c>
      <c r="H4143">
        <v>400</v>
      </c>
      <c r="I4143" t="s">
        <v>137</v>
      </c>
      <c r="J4143" t="s">
        <v>138</v>
      </c>
      <c r="K4143">
        <v>0</v>
      </c>
      <c r="L4143">
        <v>3</v>
      </c>
      <c r="M4143">
        <v>0</v>
      </c>
      <c r="N4143">
        <v>2</v>
      </c>
      <c r="O4143">
        <v>0</v>
      </c>
      <c r="P4143">
        <v>1</v>
      </c>
      <c r="Q4143">
        <v>0</v>
      </c>
      <c r="R4143" t="s">
        <v>127</v>
      </c>
      <c r="S4143" t="str">
        <f t="shared" si="1640"/>
        <v>15:16:02.000</v>
      </c>
      <c r="T4143" t="str">
        <f t="shared" si="1640"/>
        <v>15:16:02.000</v>
      </c>
      <c r="U4143" t="str">
        <f t="shared" si="1623"/>
        <v>A68FCB</v>
      </c>
      <c r="V4143">
        <v>0</v>
      </c>
      <c r="W4143">
        <v>0</v>
      </c>
      <c r="X4143">
        <v>2</v>
      </c>
      <c r="Y4143">
        <v>0</v>
      </c>
      <c r="AA4143">
        <v>1</v>
      </c>
      <c r="AB4143">
        <v>8</v>
      </c>
      <c r="AC4143">
        <v>3</v>
      </c>
      <c r="AD4143">
        <v>0</v>
      </c>
      <c r="AE4143">
        <v>9</v>
      </c>
      <c r="AF4143" t="s">
        <v>138</v>
      </c>
      <c r="AG4143">
        <v>0</v>
      </c>
      <c r="AH4143">
        <v>3</v>
      </c>
      <c r="AI4143">
        <v>2</v>
      </c>
      <c r="AJ4143">
        <v>0</v>
      </c>
      <c r="AK4143" t="s">
        <v>1314</v>
      </c>
      <c r="AL4143">
        <v>39.189413000000002</v>
      </c>
      <c r="AM4143" t="s">
        <v>1315</v>
      </c>
      <c r="AN4143">
        <v>-121.021271</v>
      </c>
      <c r="AO4143">
        <v>25</v>
      </c>
      <c r="AP4143">
        <v>4400</v>
      </c>
      <c r="AQ4143" t="s">
        <v>131</v>
      </c>
      <c r="AR4143">
        <v>35</v>
      </c>
      <c r="AS4143">
        <v>67</v>
      </c>
      <c r="AT4143">
        <v>-320</v>
      </c>
      <c r="BB4143" t="str">
        <f t="shared" si="1624"/>
        <v>1200</v>
      </c>
      <c r="BC4143">
        <v>1</v>
      </c>
      <c r="BD4143" t="str">
        <f t="shared" si="1625"/>
        <v xml:space="preserve">N52156  </v>
      </c>
      <c r="BE4143">
        <v>1</v>
      </c>
      <c r="BG4143">
        <v>0</v>
      </c>
      <c r="BH4143">
        <v>0</v>
      </c>
      <c r="BI4143">
        <v>0</v>
      </c>
      <c r="BJ4143">
        <v>4475</v>
      </c>
      <c r="BK4143">
        <v>75</v>
      </c>
      <c r="BL4143" t="s">
        <v>188</v>
      </c>
      <c r="BM4143">
        <v>1</v>
      </c>
      <c r="BN4143">
        <v>1</v>
      </c>
      <c r="BO4143">
        <v>0</v>
      </c>
      <c r="BP4143">
        <v>0</v>
      </c>
      <c r="BS4143">
        <v>0</v>
      </c>
      <c r="BT4143">
        <v>0</v>
      </c>
      <c r="BU4143">
        <v>0</v>
      </c>
      <c r="CE4143" t="str">
        <f t="shared" si="1641"/>
        <v>15:16:02.750</v>
      </c>
      <c r="CF4143">
        <v>749578339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3</v>
      </c>
      <c r="CY4143">
        <v>7</v>
      </c>
      <c r="CZ4143" t="s">
        <v>133</v>
      </c>
      <c r="DA4143">
        <v>276</v>
      </c>
      <c r="DB4143">
        <v>0</v>
      </c>
      <c r="DC4143" t="s">
        <v>402</v>
      </c>
      <c r="DD4143" t="s">
        <v>403</v>
      </c>
      <c r="DG4143">
        <v>1628427</v>
      </c>
      <c r="DI4143">
        <v>1</v>
      </c>
      <c r="DJ4143">
        <v>0</v>
      </c>
      <c r="DK4143">
        <v>1</v>
      </c>
      <c r="DL4143">
        <v>0</v>
      </c>
      <c r="DM4143">
        <v>0</v>
      </c>
      <c r="DN4143">
        <v>0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 x14ac:dyDescent="0.3">
      <c r="A4144" t="str">
        <f>"05/01/2025 15:16:02.980"</f>
        <v>05/01/2025 15:16:02.980</v>
      </c>
      <c r="C4144" t="str">
        <f t="shared" si="1622"/>
        <v>FFDFD3C0</v>
      </c>
      <c r="D4144" t="s">
        <v>140</v>
      </c>
      <c r="E4144" t="str">
        <f>"13"</f>
        <v>13</v>
      </c>
      <c r="F4144">
        <v>1019</v>
      </c>
      <c r="G4144" t="s">
        <v>141</v>
      </c>
      <c r="J4144" t="s">
        <v>142</v>
      </c>
      <c r="K4144">
        <v>0</v>
      </c>
      <c r="L4144">
        <v>3</v>
      </c>
      <c r="M4144">
        <v>0</v>
      </c>
      <c r="N4144">
        <v>2</v>
      </c>
      <c r="O4144">
        <v>0</v>
      </c>
      <c r="P4144">
        <v>1</v>
      </c>
      <c r="Q4144">
        <v>0</v>
      </c>
      <c r="R4144" t="s">
        <v>127</v>
      </c>
      <c r="S4144" t="str">
        <f t="shared" si="1640"/>
        <v>15:16:02.000</v>
      </c>
      <c r="T4144" t="str">
        <f t="shared" si="1640"/>
        <v>15:16:02.000</v>
      </c>
      <c r="U4144" t="str">
        <f t="shared" si="1623"/>
        <v>A68FCB</v>
      </c>
      <c r="V4144">
        <v>0</v>
      </c>
      <c r="W4144">
        <v>0</v>
      </c>
      <c r="X4144">
        <v>2</v>
      </c>
      <c r="Y4144">
        <v>0</v>
      </c>
      <c r="AA4144">
        <v>1</v>
      </c>
      <c r="AB4144">
        <v>8</v>
      </c>
      <c r="AC4144">
        <v>3</v>
      </c>
      <c r="AD4144">
        <v>0</v>
      </c>
      <c r="AE4144">
        <v>9</v>
      </c>
      <c r="AF4144" t="s">
        <v>138</v>
      </c>
      <c r="AG4144">
        <v>0</v>
      </c>
      <c r="AH4144">
        <v>3</v>
      </c>
      <c r="AI4144">
        <v>2</v>
      </c>
      <c r="AJ4144">
        <v>0</v>
      </c>
      <c r="AK4144" t="s">
        <v>1314</v>
      </c>
      <c r="AL4144">
        <v>39.189413000000002</v>
      </c>
      <c r="AM4144" t="s">
        <v>1315</v>
      </c>
      <c r="AN4144">
        <v>-121.021271</v>
      </c>
      <c r="AO4144">
        <v>25</v>
      </c>
      <c r="AP4144">
        <v>4400</v>
      </c>
      <c r="AQ4144" t="s">
        <v>131</v>
      </c>
      <c r="AR4144">
        <v>35</v>
      </c>
      <c r="AS4144">
        <v>67</v>
      </c>
      <c r="AT4144">
        <v>-320</v>
      </c>
      <c r="BB4144" t="str">
        <f t="shared" si="1624"/>
        <v>1200</v>
      </c>
      <c r="BC4144">
        <v>1</v>
      </c>
      <c r="BD4144" t="str">
        <f t="shared" si="1625"/>
        <v xml:space="preserve">N52156  </v>
      </c>
      <c r="BE4144">
        <v>1</v>
      </c>
      <c r="BG4144">
        <v>0</v>
      </c>
      <c r="BH4144">
        <v>0</v>
      </c>
      <c r="BI4144">
        <v>0</v>
      </c>
      <c r="BJ4144">
        <v>4475</v>
      </c>
      <c r="BK4144">
        <v>75</v>
      </c>
      <c r="BL4144" t="s">
        <v>188</v>
      </c>
      <c r="BM4144">
        <v>1</v>
      </c>
      <c r="BN4144">
        <v>1</v>
      </c>
      <c r="BO4144">
        <v>0</v>
      </c>
      <c r="BP4144">
        <v>0</v>
      </c>
      <c r="BS4144">
        <v>0</v>
      </c>
      <c r="BT4144">
        <v>0</v>
      </c>
      <c r="BU4144">
        <v>0</v>
      </c>
      <c r="CE4144" t="str">
        <f t="shared" si="1641"/>
        <v>15:16:02.750</v>
      </c>
      <c r="CF4144">
        <v>749578339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3</v>
      </c>
      <c r="CY4144">
        <v>7</v>
      </c>
      <c r="CZ4144" t="s">
        <v>133</v>
      </c>
      <c r="DA4144">
        <v>276</v>
      </c>
      <c r="DB4144">
        <v>0</v>
      </c>
      <c r="DC4144" t="s">
        <v>402</v>
      </c>
      <c r="DD4144" t="s">
        <v>403</v>
      </c>
      <c r="DG4144">
        <v>1628427</v>
      </c>
      <c r="DI4144">
        <v>1</v>
      </c>
      <c r="DJ4144">
        <v>0</v>
      </c>
      <c r="DK4144">
        <v>1</v>
      </c>
      <c r="DL4144">
        <v>0</v>
      </c>
      <c r="DM4144">
        <v>0</v>
      </c>
      <c r="DN4144">
        <v>0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 x14ac:dyDescent="0.3">
      <c r="A4145" t="str">
        <f>"05/01/2025 15:16:02.980"</f>
        <v>05/01/2025 15:16:02.980</v>
      </c>
      <c r="C4145" t="str">
        <f t="shared" si="1622"/>
        <v>FFDFD3C0</v>
      </c>
      <c r="D4145" t="s">
        <v>143</v>
      </c>
      <c r="E4145" t="str">
        <f>"05"</f>
        <v>05</v>
      </c>
      <c r="H4145">
        <v>172</v>
      </c>
      <c r="I4145" t="s">
        <v>141</v>
      </c>
      <c r="J4145" t="s">
        <v>144</v>
      </c>
      <c r="K4145">
        <v>0</v>
      </c>
      <c r="L4145">
        <v>3</v>
      </c>
      <c r="M4145">
        <v>0</v>
      </c>
      <c r="N4145">
        <v>2</v>
      </c>
      <c r="O4145">
        <v>0</v>
      </c>
      <c r="P4145">
        <v>1</v>
      </c>
      <c r="Q4145">
        <v>0</v>
      </c>
      <c r="R4145" t="s">
        <v>127</v>
      </c>
      <c r="S4145" t="str">
        <f t="shared" si="1640"/>
        <v>15:16:02.000</v>
      </c>
      <c r="T4145" t="str">
        <f t="shared" si="1640"/>
        <v>15:16:02.000</v>
      </c>
      <c r="U4145" t="str">
        <f t="shared" si="1623"/>
        <v>A68FCB</v>
      </c>
      <c r="V4145">
        <v>0</v>
      </c>
      <c r="W4145">
        <v>0</v>
      </c>
      <c r="X4145">
        <v>2</v>
      </c>
      <c r="Y4145">
        <v>0</v>
      </c>
      <c r="AA4145">
        <v>1</v>
      </c>
      <c r="AB4145">
        <v>8</v>
      </c>
      <c r="AC4145">
        <v>3</v>
      </c>
      <c r="AD4145">
        <v>0</v>
      </c>
      <c r="AE4145">
        <v>9</v>
      </c>
      <c r="AF4145" t="s">
        <v>138</v>
      </c>
      <c r="AG4145">
        <v>0</v>
      </c>
      <c r="AH4145">
        <v>3</v>
      </c>
      <c r="AI4145">
        <v>2</v>
      </c>
      <c r="AJ4145">
        <v>0</v>
      </c>
      <c r="AK4145" t="s">
        <v>1314</v>
      </c>
      <c r="AL4145">
        <v>39.189413000000002</v>
      </c>
      <c r="AM4145" t="s">
        <v>1315</v>
      </c>
      <c r="AN4145">
        <v>-121.021271</v>
      </c>
      <c r="AO4145">
        <v>25</v>
      </c>
      <c r="AP4145">
        <v>4400</v>
      </c>
      <c r="AQ4145" t="s">
        <v>131</v>
      </c>
      <c r="AR4145">
        <v>35</v>
      </c>
      <c r="AS4145">
        <v>67</v>
      </c>
      <c r="AT4145">
        <v>-320</v>
      </c>
      <c r="BB4145" t="str">
        <f t="shared" si="1624"/>
        <v>1200</v>
      </c>
      <c r="BC4145">
        <v>1</v>
      </c>
      <c r="BD4145" t="str">
        <f t="shared" si="1625"/>
        <v xml:space="preserve">N52156  </v>
      </c>
      <c r="BE4145">
        <v>1</v>
      </c>
      <c r="BG4145">
        <v>0</v>
      </c>
      <c r="BH4145">
        <v>0</v>
      </c>
      <c r="BI4145">
        <v>0</v>
      </c>
      <c r="BJ4145">
        <v>4475</v>
      </c>
      <c r="BK4145">
        <v>75</v>
      </c>
      <c r="BL4145" t="s">
        <v>188</v>
      </c>
      <c r="BM4145">
        <v>1</v>
      </c>
      <c r="BN4145">
        <v>1</v>
      </c>
      <c r="BO4145">
        <v>0</v>
      </c>
      <c r="BP4145">
        <v>0</v>
      </c>
      <c r="BS4145">
        <v>0</v>
      </c>
      <c r="BT4145">
        <v>0</v>
      </c>
      <c r="BU4145">
        <v>0</v>
      </c>
      <c r="CE4145" t="str">
        <f t="shared" si="1641"/>
        <v>15:16:02.750</v>
      </c>
      <c r="CF4145">
        <v>749578339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3</v>
      </c>
      <c r="CY4145">
        <v>7</v>
      </c>
      <c r="CZ4145" t="s">
        <v>133</v>
      </c>
      <c r="DA4145">
        <v>276</v>
      </c>
      <c r="DB4145">
        <v>0</v>
      </c>
      <c r="DC4145" t="s">
        <v>402</v>
      </c>
      <c r="DD4145" t="s">
        <v>403</v>
      </c>
      <c r="DG4145">
        <v>1628427</v>
      </c>
      <c r="DI4145">
        <v>1</v>
      </c>
      <c r="DJ4145">
        <v>0</v>
      </c>
      <c r="DK4145">
        <v>1</v>
      </c>
      <c r="DL4145">
        <v>0</v>
      </c>
      <c r="DM4145">
        <v>0</v>
      </c>
      <c r="DN4145">
        <v>0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 x14ac:dyDescent="0.3">
      <c r="A4146" t="str">
        <f>"05/01/2025 15:16:02.982"</f>
        <v>05/01/2025 15:16:02.982</v>
      </c>
      <c r="C4146" t="str">
        <f t="shared" si="1622"/>
        <v>FFDFD3C0</v>
      </c>
      <c r="D4146" t="s">
        <v>124</v>
      </c>
      <c r="E4146" t="str">
        <f>"06"</f>
        <v>06</v>
      </c>
      <c r="F4146">
        <v>2006</v>
      </c>
      <c r="G4146" t="s">
        <v>125</v>
      </c>
      <c r="J4146" t="s">
        <v>126</v>
      </c>
      <c r="K4146">
        <v>0</v>
      </c>
      <c r="L4146">
        <v>3</v>
      </c>
      <c r="M4146">
        <v>0</v>
      </c>
      <c r="N4146">
        <v>2</v>
      </c>
      <c r="O4146">
        <v>0</v>
      </c>
      <c r="P4146">
        <v>1</v>
      </c>
      <c r="Q4146">
        <v>0</v>
      </c>
      <c r="R4146" t="s">
        <v>127</v>
      </c>
      <c r="S4146" t="str">
        <f t="shared" si="1640"/>
        <v>15:16:02.000</v>
      </c>
      <c r="T4146" t="str">
        <f t="shared" si="1640"/>
        <v>15:16:02.000</v>
      </c>
      <c r="U4146" t="str">
        <f t="shared" si="1623"/>
        <v>A68FCB</v>
      </c>
      <c r="V4146">
        <v>0</v>
      </c>
      <c r="W4146">
        <v>0</v>
      </c>
      <c r="X4146">
        <v>2</v>
      </c>
      <c r="Y4146">
        <v>0</v>
      </c>
      <c r="AA4146">
        <v>1</v>
      </c>
      <c r="AB4146">
        <v>8</v>
      </c>
      <c r="AC4146">
        <v>3</v>
      </c>
      <c r="AD4146">
        <v>0</v>
      </c>
      <c r="AE4146">
        <v>9</v>
      </c>
      <c r="AF4146" t="s">
        <v>138</v>
      </c>
      <c r="AG4146">
        <v>0</v>
      </c>
      <c r="AH4146">
        <v>3</v>
      </c>
      <c r="AI4146">
        <v>2</v>
      </c>
      <c r="AJ4146">
        <v>0</v>
      </c>
      <c r="AK4146" t="s">
        <v>1314</v>
      </c>
      <c r="AL4146">
        <v>39.189413000000002</v>
      </c>
      <c r="AM4146" t="s">
        <v>1315</v>
      </c>
      <c r="AN4146">
        <v>-121.021271</v>
      </c>
      <c r="AO4146">
        <v>25</v>
      </c>
      <c r="AP4146">
        <v>4400</v>
      </c>
      <c r="AQ4146" t="s">
        <v>131</v>
      </c>
      <c r="AR4146">
        <v>35</v>
      </c>
      <c r="AS4146">
        <v>67</v>
      </c>
      <c r="AT4146">
        <v>-320</v>
      </c>
      <c r="BB4146" t="str">
        <f t="shared" si="1624"/>
        <v>1200</v>
      </c>
      <c r="BC4146">
        <v>1</v>
      </c>
      <c r="BD4146" t="str">
        <f t="shared" si="1625"/>
        <v xml:space="preserve">N52156  </v>
      </c>
      <c r="BE4146">
        <v>1</v>
      </c>
      <c r="BG4146">
        <v>0</v>
      </c>
      <c r="BH4146">
        <v>0</v>
      </c>
      <c r="BI4146">
        <v>0</v>
      </c>
      <c r="BJ4146">
        <v>4475</v>
      </c>
      <c r="BK4146">
        <v>75</v>
      </c>
      <c r="BL4146" t="s">
        <v>188</v>
      </c>
      <c r="BM4146">
        <v>1</v>
      </c>
      <c r="BN4146">
        <v>1</v>
      </c>
      <c r="BO4146">
        <v>0</v>
      </c>
      <c r="BP4146">
        <v>0</v>
      </c>
      <c r="BS4146">
        <v>0</v>
      </c>
      <c r="BT4146">
        <v>0</v>
      </c>
      <c r="BU4146">
        <v>0</v>
      </c>
      <c r="CE4146" t="str">
        <f t="shared" si="1641"/>
        <v>15:16:02.750</v>
      </c>
      <c r="CF4146">
        <v>749578339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3</v>
      </c>
      <c r="CY4146">
        <v>7</v>
      </c>
      <c r="CZ4146" t="s">
        <v>133</v>
      </c>
      <c r="DA4146">
        <v>276</v>
      </c>
      <c r="DB4146">
        <v>0</v>
      </c>
      <c r="DC4146" t="s">
        <v>402</v>
      </c>
      <c r="DD4146" t="s">
        <v>403</v>
      </c>
      <c r="DG4146">
        <v>1628427</v>
      </c>
      <c r="DI4146">
        <v>1</v>
      </c>
      <c r="DJ4146">
        <v>0</v>
      </c>
      <c r="DK4146">
        <v>1</v>
      </c>
      <c r="DL4146">
        <v>0</v>
      </c>
      <c r="DM4146">
        <v>0</v>
      </c>
      <c r="DN4146">
        <v>0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 x14ac:dyDescent="0.3">
      <c r="A4147" t="str">
        <f>"05/01/2025 15:16:02.994"</f>
        <v>05/01/2025 15:16:02.994</v>
      </c>
      <c r="C4147" t="str">
        <f t="shared" si="1622"/>
        <v>FFDFD3C0</v>
      </c>
      <c r="D4147" t="s">
        <v>145</v>
      </c>
      <c r="E4147" t="str">
        <f>"09"</f>
        <v>09</v>
      </c>
      <c r="H4147">
        <v>51</v>
      </c>
      <c r="I4147" t="s">
        <v>147</v>
      </c>
      <c r="J4147" t="s">
        <v>138</v>
      </c>
      <c r="K4147">
        <v>0</v>
      </c>
      <c r="L4147">
        <v>3</v>
      </c>
      <c r="M4147">
        <v>0</v>
      </c>
      <c r="N4147">
        <v>2</v>
      </c>
      <c r="O4147">
        <v>0</v>
      </c>
      <c r="P4147">
        <v>1</v>
      </c>
      <c r="Q4147">
        <v>0</v>
      </c>
      <c r="R4147" t="s">
        <v>127</v>
      </c>
      <c r="S4147" t="str">
        <f t="shared" si="1640"/>
        <v>15:16:02.000</v>
      </c>
      <c r="T4147" t="str">
        <f t="shared" si="1640"/>
        <v>15:16:02.000</v>
      </c>
      <c r="U4147" t="str">
        <f t="shared" si="1623"/>
        <v>A68FCB</v>
      </c>
      <c r="V4147">
        <v>0</v>
      </c>
      <c r="W4147">
        <v>0</v>
      </c>
      <c r="X4147">
        <v>2</v>
      </c>
      <c r="Y4147">
        <v>0</v>
      </c>
      <c r="AA4147">
        <v>1</v>
      </c>
      <c r="AB4147">
        <v>8</v>
      </c>
      <c r="AC4147">
        <v>3</v>
      </c>
      <c r="AD4147">
        <v>0</v>
      </c>
      <c r="AE4147">
        <v>9</v>
      </c>
      <c r="AF4147" t="s">
        <v>138</v>
      </c>
      <c r="AG4147">
        <v>0</v>
      </c>
      <c r="AH4147">
        <v>3</v>
      </c>
      <c r="AI4147">
        <v>2</v>
      </c>
      <c r="AJ4147">
        <v>0</v>
      </c>
      <c r="AK4147" t="s">
        <v>1314</v>
      </c>
      <c r="AL4147">
        <v>39.189413000000002</v>
      </c>
      <c r="AM4147" t="s">
        <v>1315</v>
      </c>
      <c r="AN4147">
        <v>-121.021271</v>
      </c>
      <c r="AO4147">
        <v>25</v>
      </c>
      <c r="AP4147">
        <v>4400</v>
      </c>
      <c r="AQ4147" t="s">
        <v>131</v>
      </c>
      <c r="AR4147">
        <v>35</v>
      </c>
      <c r="AS4147">
        <v>67</v>
      </c>
      <c r="AT4147">
        <v>-320</v>
      </c>
      <c r="BB4147" t="str">
        <f t="shared" si="1624"/>
        <v>1200</v>
      </c>
      <c r="BC4147">
        <v>1</v>
      </c>
      <c r="BD4147" t="str">
        <f t="shared" si="1625"/>
        <v xml:space="preserve">N52156  </v>
      </c>
      <c r="BE4147">
        <v>1</v>
      </c>
      <c r="BG4147">
        <v>0</v>
      </c>
      <c r="BH4147">
        <v>0</v>
      </c>
      <c r="BI4147">
        <v>0</v>
      </c>
      <c r="BJ4147">
        <v>4475</v>
      </c>
      <c r="BK4147">
        <v>75</v>
      </c>
      <c r="BL4147" t="s">
        <v>188</v>
      </c>
      <c r="BM4147">
        <v>1</v>
      </c>
      <c r="BN4147">
        <v>1</v>
      </c>
      <c r="BO4147">
        <v>0</v>
      </c>
      <c r="BP4147">
        <v>0</v>
      </c>
      <c r="BS4147">
        <v>0</v>
      </c>
      <c r="BT4147">
        <v>0</v>
      </c>
      <c r="BU4147">
        <v>0</v>
      </c>
      <c r="CE4147" t="str">
        <f t="shared" si="1641"/>
        <v>15:16:02.750</v>
      </c>
      <c r="CF4147">
        <v>749578339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3</v>
      </c>
      <c r="CY4147">
        <v>7</v>
      </c>
      <c r="CZ4147" t="s">
        <v>133</v>
      </c>
      <c r="DA4147">
        <v>276</v>
      </c>
      <c r="DB4147">
        <v>0</v>
      </c>
      <c r="DC4147" t="s">
        <v>402</v>
      </c>
      <c r="DD4147" t="s">
        <v>403</v>
      </c>
      <c r="DG4147">
        <v>1628427</v>
      </c>
      <c r="DI4147">
        <v>1</v>
      </c>
      <c r="DJ4147">
        <v>0</v>
      </c>
      <c r="DK4147">
        <v>1</v>
      </c>
      <c r="DL4147">
        <v>0</v>
      </c>
      <c r="DM4147">
        <v>0</v>
      </c>
      <c r="DN4147">
        <v>0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 x14ac:dyDescent="0.3">
      <c r="A4148" t="str">
        <f>"05/01/2025 15:16:03.394"</f>
        <v>05/01/2025 15:16:03.394</v>
      </c>
      <c r="C4148" t="str">
        <f t="shared" si="1622"/>
        <v>FFDFD3C0</v>
      </c>
      <c r="D4148" t="s">
        <v>145</v>
      </c>
      <c r="E4148" t="str">
        <f>"09"</f>
        <v>09</v>
      </c>
      <c r="H4148">
        <v>51</v>
      </c>
      <c r="I4148" t="s">
        <v>147</v>
      </c>
      <c r="J4148" t="s">
        <v>138</v>
      </c>
      <c r="K4148">
        <v>0</v>
      </c>
      <c r="L4148">
        <v>3</v>
      </c>
      <c r="M4148">
        <v>0</v>
      </c>
      <c r="N4148">
        <v>2</v>
      </c>
      <c r="O4148">
        <v>0</v>
      </c>
      <c r="P4148">
        <v>1</v>
      </c>
      <c r="Q4148">
        <v>0</v>
      </c>
      <c r="R4148" t="s">
        <v>127</v>
      </c>
      <c r="S4148" t="str">
        <f t="shared" ref="S4148:T4153" si="1642">"15:16:03.000"</f>
        <v>15:16:03.000</v>
      </c>
      <c r="T4148" t="str">
        <f t="shared" si="1642"/>
        <v>15:16:03.000</v>
      </c>
      <c r="U4148" t="str">
        <f t="shared" si="1623"/>
        <v>A68FCB</v>
      </c>
      <c r="V4148">
        <v>0</v>
      </c>
      <c r="W4148">
        <v>0</v>
      </c>
      <c r="X4148">
        <v>2</v>
      </c>
      <c r="Y4148">
        <v>0</v>
      </c>
      <c r="AA4148">
        <v>1</v>
      </c>
      <c r="AB4148">
        <v>8</v>
      </c>
      <c r="AC4148">
        <v>3</v>
      </c>
      <c r="AD4148">
        <v>0</v>
      </c>
      <c r="AE4148">
        <v>9</v>
      </c>
      <c r="AF4148" t="s">
        <v>138</v>
      </c>
      <c r="AG4148">
        <v>0</v>
      </c>
      <c r="AH4148">
        <v>3</v>
      </c>
      <c r="AI4148">
        <v>2</v>
      </c>
      <c r="AJ4148">
        <v>0</v>
      </c>
      <c r="AK4148" t="s">
        <v>1316</v>
      </c>
      <c r="AL4148">
        <v>39.189734000000001</v>
      </c>
      <c r="AM4148" t="s">
        <v>1317</v>
      </c>
      <c r="AN4148">
        <v>-121.021056</v>
      </c>
      <c r="AO4148">
        <v>25</v>
      </c>
      <c r="AP4148">
        <v>4400</v>
      </c>
      <c r="AQ4148" t="s">
        <v>131</v>
      </c>
      <c r="AR4148">
        <v>35</v>
      </c>
      <c r="AS4148">
        <v>67</v>
      </c>
      <c r="AT4148">
        <v>-320</v>
      </c>
      <c r="BB4148" t="str">
        <f t="shared" si="1624"/>
        <v>1200</v>
      </c>
      <c r="BC4148">
        <v>1</v>
      </c>
      <c r="BD4148" t="str">
        <f t="shared" si="1625"/>
        <v xml:space="preserve">N52156  </v>
      </c>
      <c r="BE4148">
        <v>1</v>
      </c>
      <c r="BG4148">
        <v>0</v>
      </c>
      <c r="BH4148">
        <v>0</v>
      </c>
      <c r="BI4148">
        <v>0</v>
      </c>
      <c r="BJ4148">
        <v>4475</v>
      </c>
      <c r="BK4148">
        <v>75</v>
      </c>
      <c r="BL4148" t="s">
        <v>188</v>
      </c>
      <c r="BM4148">
        <v>1</v>
      </c>
      <c r="BN4148">
        <v>1</v>
      </c>
      <c r="BO4148">
        <v>0</v>
      </c>
      <c r="BP4148">
        <v>0</v>
      </c>
      <c r="BS4148">
        <v>0</v>
      </c>
      <c r="BT4148">
        <v>0</v>
      </c>
      <c r="BU4148">
        <v>0</v>
      </c>
      <c r="CE4148" t="str">
        <f t="shared" ref="CE4148:CE4153" si="1643">"15:16:03.200"</f>
        <v>15:16:03.200</v>
      </c>
      <c r="CF4148">
        <v>200076980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3</v>
      </c>
      <c r="CY4148">
        <v>7</v>
      </c>
      <c r="CZ4148" t="s">
        <v>133</v>
      </c>
      <c r="DA4148">
        <v>276</v>
      </c>
      <c r="DB4148">
        <v>0</v>
      </c>
      <c r="DC4148" t="s">
        <v>402</v>
      </c>
      <c r="DD4148" t="s">
        <v>403</v>
      </c>
      <c r="DG4148">
        <v>1628428</v>
      </c>
      <c r="DI4148">
        <v>1</v>
      </c>
      <c r="DJ4148">
        <v>0</v>
      </c>
      <c r="DK4148">
        <v>0</v>
      </c>
      <c r="DL4148">
        <v>0</v>
      </c>
      <c r="DM4148">
        <v>0</v>
      </c>
      <c r="DN4148">
        <v>0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 x14ac:dyDescent="0.3">
      <c r="A4149" t="str">
        <f>"05/01/2025 15:16:03.399"</f>
        <v>05/01/2025 15:16:03.399</v>
      </c>
      <c r="C4149" t="str">
        <f t="shared" si="1622"/>
        <v>FFDFD3C0</v>
      </c>
      <c r="D4149" t="s">
        <v>145</v>
      </c>
      <c r="E4149" t="str">
        <f>"05"</f>
        <v>05</v>
      </c>
      <c r="H4149">
        <v>47</v>
      </c>
      <c r="I4149" t="s">
        <v>146</v>
      </c>
      <c r="J4149" t="s">
        <v>138</v>
      </c>
      <c r="K4149">
        <v>0</v>
      </c>
      <c r="L4149">
        <v>3</v>
      </c>
      <c r="M4149">
        <v>0</v>
      </c>
      <c r="N4149">
        <v>2</v>
      </c>
      <c r="O4149">
        <v>0</v>
      </c>
      <c r="P4149">
        <v>1</v>
      </c>
      <c r="Q4149">
        <v>0</v>
      </c>
      <c r="R4149" t="s">
        <v>127</v>
      </c>
      <c r="S4149" t="str">
        <f t="shared" si="1642"/>
        <v>15:16:03.000</v>
      </c>
      <c r="T4149" t="str">
        <f t="shared" si="1642"/>
        <v>15:16:03.000</v>
      </c>
      <c r="U4149" t="str">
        <f t="shared" si="1623"/>
        <v>A68FCB</v>
      </c>
      <c r="V4149">
        <v>0</v>
      </c>
      <c r="W4149">
        <v>0</v>
      </c>
      <c r="X4149">
        <v>2</v>
      </c>
      <c r="Y4149">
        <v>0</v>
      </c>
      <c r="AA4149">
        <v>1</v>
      </c>
      <c r="AB4149">
        <v>8</v>
      </c>
      <c r="AC4149">
        <v>3</v>
      </c>
      <c r="AD4149">
        <v>0</v>
      </c>
      <c r="AE4149">
        <v>9</v>
      </c>
      <c r="AF4149" t="s">
        <v>138</v>
      </c>
      <c r="AG4149">
        <v>0</v>
      </c>
      <c r="AH4149">
        <v>3</v>
      </c>
      <c r="AI4149">
        <v>2</v>
      </c>
      <c r="AJ4149">
        <v>0</v>
      </c>
      <c r="AK4149" t="s">
        <v>1316</v>
      </c>
      <c r="AL4149">
        <v>39.189734000000001</v>
      </c>
      <c r="AM4149" t="s">
        <v>1317</v>
      </c>
      <c r="AN4149">
        <v>-121.021056</v>
      </c>
      <c r="AO4149">
        <v>25</v>
      </c>
      <c r="AP4149">
        <v>4400</v>
      </c>
      <c r="AQ4149" t="s">
        <v>131</v>
      </c>
      <c r="AR4149">
        <v>35</v>
      </c>
      <c r="AS4149">
        <v>67</v>
      </c>
      <c r="AT4149">
        <v>-320</v>
      </c>
      <c r="BB4149" t="str">
        <f t="shared" si="1624"/>
        <v>1200</v>
      </c>
      <c r="BC4149">
        <v>1</v>
      </c>
      <c r="BD4149" t="str">
        <f t="shared" si="1625"/>
        <v xml:space="preserve">N52156  </v>
      </c>
      <c r="BE4149">
        <v>1</v>
      </c>
      <c r="BG4149">
        <v>0</v>
      </c>
      <c r="BH4149">
        <v>0</v>
      </c>
      <c r="BI4149">
        <v>0</v>
      </c>
      <c r="BJ4149">
        <v>4475</v>
      </c>
      <c r="BK4149">
        <v>75</v>
      </c>
      <c r="BL4149" t="s">
        <v>188</v>
      </c>
      <c r="BM4149">
        <v>1</v>
      </c>
      <c r="BN4149">
        <v>1</v>
      </c>
      <c r="BO4149">
        <v>0</v>
      </c>
      <c r="BP4149">
        <v>0</v>
      </c>
      <c r="BS4149">
        <v>0</v>
      </c>
      <c r="BT4149">
        <v>0</v>
      </c>
      <c r="BU4149">
        <v>0</v>
      </c>
      <c r="CE4149" t="str">
        <f t="shared" si="1643"/>
        <v>15:16:03.200</v>
      </c>
      <c r="CF4149">
        <v>200076980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3</v>
      </c>
      <c r="CY4149">
        <v>7</v>
      </c>
      <c r="CZ4149" t="s">
        <v>133</v>
      </c>
      <c r="DA4149">
        <v>276</v>
      </c>
      <c r="DB4149">
        <v>0</v>
      </c>
      <c r="DC4149" t="s">
        <v>402</v>
      </c>
      <c r="DD4149" t="s">
        <v>403</v>
      </c>
      <c r="DG4149">
        <v>1628428</v>
      </c>
      <c r="DI4149">
        <v>1</v>
      </c>
      <c r="DJ4149">
        <v>0</v>
      </c>
      <c r="DK4149">
        <v>1</v>
      </c>
      <c r="DL4149">
        <v>0</v>
      </c>
      <c r="DM4149">
        <v>0</v>
      </c>
      <c r="DN4149">
        <v>0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 x14ac:dyDescent="0.3">
      <c r="A4150" t="str">
        <f>"05/01/2025 15:16:03.410"</f>
        <v>05/01/2025 15:16:03.410</v>
      </c>
      <c r="C4150" t="str">
        <f t="shared" si="1622"/>
        <v>FFDFD3C0</v>
      </c>
      <c r="D4150" t="s">
        <v>136</v>
      </c>
      <c r="E4150" t="str">
        <f>"20"</f>
        <v>20</v>
      </c>
      <c r="H4150">
        <v>400</v>
      </c>
      <c r="I4150" t="s">
        <v>137</v>
      </c>
      <c r="J4150" t="s">
        <v>138</v>
      </c>
      <c r="K4150">
        <v>0</v>
      </c>
      <c r="L4150">
        <v>3</v>
      </c>
      <c r="M4150">
        <v>0</v>
      </c>
      <c r="N4150">
        <v>2</v>
      </c>
      <c r="O4150">
        <v>0</v>
      </c>
      <c r="P4150">
        <v>1</v>
      </c>
      <c r="Q4150">
        <v>0</v>
      </c>
      <c r="R4150" t="s">
        <v>127</v>
      </c>
      <c r="S4150" t="str">
        <f t="shared" si="1642"/>
        <v>15:16:03.000</v>
      </c>
      <c r="T4150" t="str">
        <f t="shared" si="1642"/>
        <v>15:16:03.000</v>
      </c>
      <c r="U4150" t="str">
        <f t="shared" si="1623"/>
        <v>A68FCB</v>
      </c>
      <c r="V4150">
        <v>0</v>
      </c>
      <c r="W4150">
        <v>0</v>
      </c>
      <c r="X4150">
        <v>2</v>
      </c>
      <c r="Y4150">
        <v>0</v>
      </c>
      <c r="AA4150">
        <v>1</v>
      </c>
      <c r="AB4150">
        <v>8</v>
      </c>
      <c r="AC4150">
        <v>3</v>
      </c>
      <c r="AD4150">
        <v>0</v>
      </c>
      <c r="AE4150">
        <v>9</v>
      </c>
      <c r="AF4150" t="s">
        <v>138</v>
      </c>
      <c r="AG4150">
        <v>0</v>
      </c>
      <c r="AH4150">
        <v>3</v>
      </c>
      <c r="AI4150">
        <v>2</v>
      </c>
      <c r="AJ4150">
        <v>0</v>
      </c>
      <c r="AK4150" t="s">
        <v>1316</v>
      </c>
      <c r="AL4150">
        <v>39.189734000000001</v>
      </c>
      <c r="AM4150" t="s">
        <v>1317</v>
      </c>
      <c r="AN4150">
        <v>-121.021056</v>
      </c>
      <c r="AO4150">
        <v>25</v>
      </c>
      <c r="AP4150">
        <v>4400</v>
      </c>
      <c r="AQ4150" t="s">
        <v>131</v>
      </c>
      <c r="AR4150">
        <v>35</v>
      </c>
      <c r="AS4150">
        <v>67</v>
      </c>
      <c r="AT4150">
        <v>-320</v>
      </c>
      <c r="BB4150" t="str">
        <f t="shared" si="1624"/>
        <v>1200</v>
      </c>
      <c r="BC4150">
        <v>1</v>
      </c>
      <c r="BD4150" t="str">
        <f t="shared" si="1625"/>
        <v xml:space="preserve">N52156  </v>
      </c>
      <c r="BE4150">
        <v>1</v>
      </c>
      <c r="BG4150">
        <v>0</v>
      </c>
      <c r="BH4150">
        <v>0</v>
      </c>
      <c r="BI4150">
        <v>0</v>
      </c>
      <c r="BJ4150">
        <v>4475</v>
      </c>
      <c r="BK4150">
        <v>75</v>
      </c>
      <c r="BL4150" t="s">
        <v>188</v>
      </c>
      <c r="BM4150">
        <v>1</v>
      </c>
      <c r="BN4150">
        <v>1</v>
      </c>
      <c r="BO4150">
        <v>0</v>
      </c>
      <c r="BP4150">
        <v>0</v>
      </c>
      <c r="BS4150">
        <v>0</v>
      </c>
      <c r="BT4150">
        <v>0</v>
      </c>
      <c r="BU4150">
        <v>0</v>
      </c>
      <c r="CE4150" t="str">
        <f t="shared" si="1643"/>
        <v>15:16:03.200</v>
      </c>
      <c r="CF4150">
        <v>200076980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3</v>
      </c>
      <c r="CY4150">
        <v>7</v>
      </c>
      <c r="CZ4150" t="s">
        <v>133</v>
      </c>
      <c r="DA4150">
        <v>276</v>
      </c>
      <c r="DB4150">
        <v>0</v>
      </c>
      <c r="DC4150" t="s">
        <v>402</v>
      </c>
      <c r="DD4150" t="s">
        <v>403</v>
      </c>
      <c r="DG4150">
        <v>1628428</v>
      </c>
      <c r="DI4150">
        <v>1</v>
      </c>
      <c r="DJ4150">
        <v>0</v>
      </c>
      <c r="DK4150">
        <v>1</v>
      </c>
      <c r="DL4150">
        <v>0</v>
      </c>
      <c r="DM4150">
        <v>0</v>
      </c>
      <c r="DN4150">
        <v>0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 x14ac:dyDescent="0.3">
      <c r="A4151" t="str">
        <f>"05/01/2025 15:16:03.431"</f>
        <v>05/01/2025 15:16:03.431</v>
      </c>
      <c r="C4151" t="str">
        <f t="shared" si="1622"/>
        <v>FFDFD3C0</v>
      </c>
      <c r="D4151" t="s">
        <v>143</v>
      </c>
      <c r="E4151" t="str">
        <f>"05"</f>
        <v>05</v>
      </c>
      <c r="H4151">
        <v>172</v>
      </c>
      <c r="I4151" t="s">
        <v>141</v>
      </c>
      <c r="J4151" t="s">
        <v>144</v>
      </c>
      <c r="K4151">
        <v>0</v>
      </c>
      <c r="L4151">
        <v>3</v>
      </c>
      <c r="M4151">
        <v>0</v>
      </c>
      <c r="N4151">
        <v>2</v>
      </c>
      <c r="O4151">
        <v>0</v>
      </c>
      <c r="P4151">
        <v>1</v>
      </c>
      <c r="Q4151">
        <v>0</v>
      </c>
      <c r="R4151" t="s">
        <v>127</v>
      </c>
      <c r="S4151" t="str">
        <f t="shared" si="1642"/>
        <v>15:16:03.000</v>
      </c>
      <c r="T4151" t="str">
        <f t="shared" si="1642"/>
        <v>15:16:03.000</v>
      </c>
      <c r="U4151" t="str">
        <f t="shared" si="1623"/>
        <v>A68FCB</v>
      </c>
      <c r="V4151">
        <v>0</v>
      </c>
      <c r="W4151">
        <v>0</v>
      </c>
      <c r="X4151">
        <v>2</v>
      </c>
      <c r="Y4151">
        <v>0</v>
      </c>
      <c r="AA4151">
        <v>1</v>
      </c>
      <c r="AB4151">
        <v>8</v>
      </c>
      <c r="AC4151">
        <v>3</v>
      </c>
      <c r="AD4151">
        <v>0</v>
      </c>
      <c r="AE4151">
        <v>9</v>
      </c>
      <c r="AF4151" t="s">
        <v>138</v>
      </c>
      <c r="AG4151">
        <v>0</v>
      </c>
      <c r="AH4151">
        <v>3</v>
      </c>
      <c r="AI4151">
        <v>2</v>
      </c>
      <c r="AJ4151">
        <v>0</v>
      </c>
      <c r="AK4151" t="s">
        <v>1316</v>
      </c>
      <c r="AL4151">
        <v>39.189734000000001</v>
      </c>
      <c r="AM4151" t="s">
        <v>1317</v>
      </c>
      <c r="AN4151">
        <v>-121.021056</v>
      </c>
      <c r="AO4151">
        <v>25</v>
      </c>
      <c r="AP4151">
        <v>4400</v>
      </c>
      <c r="AQ4151" t="s">
        <v>131</v>
      </c>
      <c r="AR4151">
        <v>35</v>
      </c>
      <c r="AS4151">
        <v>67</v>
      </c>
      <c r="AT4151">
        <v>-320</v>
      </c>
      <c r="BB4151" t="str">
        <f t="shared" si="1624"/>
        <v>1200</v>
      </c>
      <c r="BC4151">
        <v>1</v>
      </c>
      <c r="BD4151" t="str">
        <f t="shared" si="1625"/>
        <v xml:space="preserve">N52156  </v>
      </c>
      <c r="BE4151">
        <v>1</v>
      </c>
      <c r="BG4151">
        <v>0</v>
      </c>
      <c r="BH4151">
        <v>0</v>
      </c>
      <c r="BI4151">
        <v>0</v>
      </c>
      <c r="BJ4151">
        <v>4475</v>
      </c>
      <c r="BK4151">
        <v>75</v>
      </c>
      <c r="BL4151" t="s">
        <v>188</v>
      </c>
      <c r="BM4151">
        <v>1</v>
      </c>
      <c r="BN4151">
        <v>1</v>
      </c>
      <c r="BO4151">
        <v>0</v>
      </c>
      <c r="BP4151">
        <v>0</v>
      </c>
      <c r="BS4151">
        <v>0</v>
      </c>
      <c r="BT4151">
        <v>0</v>
      </c>
      <c r="BU4151">
        <v>0</v>
      </c>
      <c r="CE4151" t="str">
        <f t="shared" si="1643"/>
        <v>15:16:03.200</v>
      </c>
      <c r="CF4151">
        <v>200076980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3</v>
      </c>
      <c r="CY4151">
        <v>7</v>
      </c>
      <c r="CZ4151" t="s">
        <v>133</v>
      </c>
      <c r="DA4151">
        <v>276</v>
      </c>
      <c r="DB4151">
        <v>0</v>
      </c>
      <c r="DC4151" t="s">
        <v>402</v>
      </c>
      <c r="DD4151" t="s">
        <v>403</v>
      </c>
      <c r="DG4151">
        <v>1628428</v>
      </c>
      <c r="DI4151">
        <v>1</v>
      </c>
      <c r="DJ4151">
        <v>0</v>
      </c>
      <c r="DK4151">
        <v>1</v>
      </c>
      <c r="DL4151">
        <v>0</v>
      </c>
      <c r="DM4151">
        <v>0</v>
      </c>
      <c r="DN4151">
        <v>0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 x14ac:dyDescent="0.3">
      <c r="A4152" t="str">
        <f>"05/01/2025 15:16:03.430"</f>
        <v>05/01/2025 15:16:03.430</v>
      </c>
      <c r="C4152" t="str">
        <f t="shared" si="1622"/>
        <v>FFDFD3C0</v>
      </c>
      <c r="D4152" t="s">
        <v>140</v>
      </c>
      <c r="E4152" t="str">
        <f>"13"</f>
        <v>13</v>
      </c>
      <c r="F4152">
        <v>1019</v>
      </c>
      <c r="G4152" t="s">
        <v>141</v>
      </c>
      <c r="J4152" t="s">
        <v>142</v>
      </c>
      <c r="K4152">
        <v>0</v>
      </c>
      <c r="L4152">
        <v>3</v>
      </c>
      <c r="M4152">
        <v>0</v>
      </c>
      <c r="N4152">
        <v>2</v>
      </c>
      <c r="O4152">
        <v>0</v>
      </c>
      <c r="P4152">
        <v>1</v>
      </c>
      <c r="Q4152">
        <v>0</v>
      </c>
      <c r="R4152" t="s">
        <v>127</v>
      </c>
      <c r="S4152" t="str">
        <f t="shared" si="1642"/>
        <v>15:16:03.000</v>
      </c>
      <c r="T4152" t="str">
        <f t="shared" si="1642"/>
        <v>15:16:03.000</v>
      </c>
      <c r="U4152" t="str">
        <f t="shared" si="1623"/>
        <v>A68FCB</v>
      </c>
      <c r="V4152">
        <v>0</v>
      </c>
      <c r="W4152">
        <v>0</v>
      </c>
      <c r="X4152">
        <v>2</v>
      </c>
      <c r="Y4152">
        <v>0</v>
      </c>
      <c r="AA4152">
        <v>1</v>
      </c>
      <c r="AB4152">
        <v>8</v>
      </c>
      <c r="AC4152">
        <v>3</v>
      </c>
      <c r="AD4152">
        <v>0</v>
      </c>
      <c r="AE4152">
        <v>9</v>
      </c>
      <c r="AF4152" t="s">
        <v>138</v>
      </c>
      <c r="AG4152">
        <v>0</v>
      </c>
      <c r="AH4152">
        <v>3</v>
      </c>
      <c r="AI4152">
        <v>2</v>
      </c>
      <c r="AJ4152">
        <v>0</v>
      </c>
      <c r="AK4152" t="s">
        <v>1316</v>
      </c>
      <c r="AL4152">
        <v>39.189734000000001</v>
      </c>
      <c r="AM4152" t="s">
        <v>1317</v>
      </c>
      <c r="AN4152">
        <v>-121.021056</v>
      </c>
      <c r="AO4152">
        <v>25</v>
      </c>
      <c r="AP4152">
        <v>4400</v>
      </c>
      <c r="AQ4152" t="s">
        <v>131</v>
      </c>
      <c r="AR4152">
        <v>35</v>
      </c>
      <c r="AS4152">
        <v>67</v>
      </c>
      <c r="AT4152">
        <v>-320</v>
      </c>
      <c r="BB4152" t="str">
        <f t="shared" si="1624"/>
        <v>1200</v>
      </c>
      <c r="BC4152">
        <v>1</v>
      </c>
      <c r="BD4152" t="str">
        <f t="shared" si="1625"/>
        <v xml:space="preserve">N52156  </v>
      </c>
      <c r="BE4152">
        <v>1</v>
      </c>
      <c r="BG4152">
        <v>0</v>
      </c>
      <c r="BH4152">
        <v>0</v>
      </c>
      <c r="BI4152">
        <v>0</v>
      </c>
      <c r="BJ4152">
        <v>4475</v>
      </c>
      <c r="BK4152">
        <v>75</v>
      </c>
      <c r="BL4152" t="s">
        <v>188</v>
      </c>
      <c r="BM4152">
        <v>1</v>
      </c>
      <c r="BN4152">
        <v>1</v>
      </c>
      <c r="BO4152">
        <v>0</v>
      </c>
      <c r="BP4152">
        <v>0</v>
      </c>
      <c r="BS4152">
        <v>0</v>
      </c>
      <c r="BT4152">
        <v>0</v>
      </c>
      <c r="BU4152">
        <v>0</v>
      </c>
      <c r="CE4152" t="str">
        <f t="shared" si="1643"/>
        <v>15:16:03.200</v>
      </c>
      <c r="CF4152">
        <v>200076980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3</v>
      </c>
      <c r="CY4152">
        <v>7</v>
      </c>
      <c r="CZ4152" t="s">
        <v>133</v>
      </c>
      <c r="DA4152">
        <v>276</v>
      </c>
      <c r="DB4152">
        <v>0</v>
      </c>
      <c r="DC4152" t="s">
        <v>402</v>
      </c>
      <c r="DD4152" t="s">
        <v>403</v>
      </c>
      <c r="DG4152">
        <v>1628428</v>
      </c>
      <c r="DI4152">
        <v>1</v>
      </c>
      <c r="DJ4152">
        <v>0</v>
      </c>
      <c r="DK4152">
        <v>1</v>
      </c>
      <c r="DL4152">
        <v>0</v>
      </c>
      <c r="DM4152">
        <v>0</v>
      </c>
      <c r="DN4152">
        <v>0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 x14ac:dyDescent="0.3">
      <c r="A4153" t="str">
        <f>"05/01/2025 15:16:03.433"</f>
        <v>05/01/2025 15:16:03.433</v>
      </c>
      <c r="C4153" t="str">
        <f t="shared" si="1622"/>
        <v>FFDFD3C0</v>
      </c>
      <c r="D4153" t="s">
        <v>124</v>
      </c>
      <c r="E4153" t="str">
        <f>"06"</f>
        <v>06</v>
      </c>
      <c r="F4153">
        <v>2006</v>
      </c>
      <c r="G4153" t="s">
        <v>125</v>
      </c>
      <c r="J4153" t="s">
        <v>126</v>
      </c>
      <c r="K4153">
        <v>0</v>
      </c>
      <c r="L4153">
        <v>3</v>
      </c>
      <c r="M4153">
        <v>0</v>
      </c>
      <c r="N4153">
        <v>2</v>
      </c>
      <c r="O4153">
        <v>0</v>
      </c>
      <c r="P4153">
        <v>1</v>
      </c>
      <c r="Q4153">
        <v>0</v>
      </c>
      <c r="R4153" t="s">
        <v>127</v>
      </c>
      <c r="S4153" t="str">
        <f t="shared" si="1642"/>
        <v>15:16:03.000</v>
      </c>
      <c r="T4153" t="str">
        <f t="shared" si="1642"/>
        <v>15:16:03.000</v>
      </c>
      <c r="U4153" t="str">
        <f t="shared" si="1623"/>
        <v>A68FCB</v>
      </c>
      <c r="V4153">
        <v>0</v>
      </c>
      <c r="W4153">
        <v>0</v>
      </c>
      <c r="X4153">
        <v>2</v>
      </c>
      <c r="Y4153">
        <v>0</v>
      </c>
      <c r="AA4153">
        <v>1</v>
      </c>
      <c r="AB4153">
        <v>8</v>
      </c>
      <c r="AC4153">
        <v>3</v>
      </c>
      <c r="AD4153">
        <v>0</v>
      </c>
      <c r="AE4153">
        <v>9</v>
      </c>
      <c r="AF4153" t="s">
        <v>138</v>
      </c>
      <c r="AG4153">
        <v>0</v>
      </c>
      <c r="AH4153">
        <v>3</v>
      </c>
      <c r="AI4153">
        <v>2</v>
      </c>
      <c r="AJ4153">
        <v>0</v>
      </c>
      <c r="AK4153" t="s">
        <v>1316</v>
      </c>
      <c r="AL4153">
        <v>39.189734000000001</v>
      </c>
      <c r="AM4153" t="s">
        <v>1317</v>
      </c>
      <c r="AN4153">
        <v>-121.021056</v>
      </c>
      <c r="AO4153">
        <v>25</v>
      </c>
      <c r="AP4153">
        <v>4400</v>
      </c>
      <c r="AQ4153" t="s">
        <v>131</v>
      </c>
      <c r="AR4153">
        <v>35</v>
      </c>
      <c r="AS4153">
        <v>67</v>
      </c>
      <c r="AT4153">
        <v>-320</v>
      </c>
      <c r="BB4153" t="str">
        <f t="shared" si="1624"/>
        <v>1200</v>
      </c>
      <c r="BC4153">
        <v>1</v>
      </c>
      <c r="BD4153" t="str">
        <f t="shared" si="1625"/>
        <v xml:space="preserve">N52156  </v>
      </c>
      <c r="BE4153">
        <v>1</v>
      </c>
      <c r="BG4153">
        <v>0</v>
      </c>
      <c r="BH4153">
        <v>0</v>
      </c>
      <c r="BI4153">
        <v>0</v>
      </c>
      <c r="BJ4153">
        <v>4475</v>
      </c>
      <c r="BK4153">
        <v>75</v>
      </c>
      <c r="BL4153" t="s">
        <v>188</v>
      </c>
      <c r="BM4153">
        <v>1</v>
      </c>
      <c r="BN4153">
        <v>1</v>
      </c>
      <c r="BO4153">
        <v>0</v>
      </c>
      <c r="BP4153">
        <v>0</v>
      </c>
      <c r="BS4153">
        <v>0</v>
      </c>
      <c r="BT4153">
        <v>0</v>
      </c>
      <c r="BU4153">
        <v>0</v>
      </c>
      <c r="CE4153" t="str">
        <f t="shared" si="1643"/>
        <v>15:16:03.200</v>
      </c>
      <c r="CF4153">
        <v>200076980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3</v>
      </c>
      <c r="CY4153">
        <v>7</v>
      </c>
      <c r="CZ4153" t="s">
        <v>133</v>
      </c>
      <c r="DA4153">
        <v>276</v>
      </c>
      <c r="DB4153">
        <v>0</v>
      </c>
      <c r="DC4153" t="s">
        <v>402</v>
      </c>
      <c r="DD4153" t="s">
        <v>403</v>
      </c>
      <c r="DG4153">
        <v>1628428</v>
      </c>
      <c r="DI4153">
        <v>1</v>
      </c>
      <c r="DJ4153">
        <v>0</v>
      </c>
      <c r="DK4153">
        <v>1</v>
      </c>
      <c r="DL4153">
        <v>0</v>
      </c>
      <c r="DM4153">
        <v>0</v>
      </c>
      <c r="DN4153">
        <v>0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 x14ac:dyDescent="0.3">
      <c r="A4154" t="str">
        <f>"05/01/2025 15:16:05.133"</f>
        <v>05/01/2025 15:16:05.133</v>
      </c>
      <c r="C4154" t="str">
        <f t="shared" si="1622"/>
        <v>FFDFD3C0</v>
      </c>
      <c r="D4154" t="s">
        <v>140</v>
      </c>
      <c r="E4154" t="str">
        <f>"13"</f>
        <v>13</v>
      </c>
      <c r="F4154">
        <v>1019</v>
      </c>
      <c r="G4154" t="s">
        <v>141</v>
      </c>
      <c r="J4154" t="s">
        <v>142</v>
      </c>
      <c r="K4154">
        <v>0</v>
      </c>
      <c r="L4154">
        <v>3</v>
      </c>
      <c r="M4154">
        <v>0</v>
      </c>
      <c r="N4154">
        <v>2</v>
      </c>
      <c r="O4154">
        <v>0</v>
      </c>
      <c r="P4154">
        <v>1</v>
      </c>
      <c r="Q4154">
        <v>0</v>
      </c>
      <c r="R4154" t="s">
        <v>127</v>
      </c>
      <c r="S4154" t="str">
        <f t="shared" ref="S4154:T4159" si="1644">"15:16:04.000"</f>
        <v>15:16:04.000</v>
      </c>
      <c r="T4154" t="str">
        <f t="shared" si="1644"/>
        <v>15:16:04.000</v>
      </c>
      <c r="U4154" t="str">
        <f t="shared" si="1623"/>
        <v>A68FCB</v>
      </c>
      <c r="V4154">
        <v>0</v>
      </c>
      <c r="W4154">
        <v>0</v>
      </c>
      <c r="X4154">
        <v>2</v>
      </c>
      <c r="Y4154">
        <v>0</v>
      </c>
      <c r="AA4154">
        <v>1</v>
      </c>
      <c r="AB4154">
        <v>8</v>
      </c>
      <c r="AC4154">
        <v>3</v>
      </c>
      <c r="AD4154">
        <v>0</v>
      </c>
      <c r="AE4154">
        <v>9</v>
      </c>
      <c r="AF4154" t="s">
        <v>138</v>
      </c>
      <c r="AG4154">
        <v>0</v>
      </c>
      <c r="AH4154">
        <v>3</v>
      </c>
      <c r="AI4154">
        <v>2</v>
      </c>
      <c r="AJ4154">
        <v>0</v>
      </c>
      <c r="AK4154" t="s">
        <v>1318</v>
      </c>
      <c r="AL4154">
        <v>39.190035000000002</v>
      </c>
      <c r="AM4154" t="s">
        <v>1319</v>
      </c>
      <c r="AN4154">
        <v>-121.020842</v>
      </c>
      <c r="AO4154">
        <v>25</v>
      </c>
      <c r="AP4154">
        <v>4400</v>
      </c>
      <c r="AQ4154" t="s">
        <v>131</v>
      </c>
      <c r="AR4154">
        <v>34</v>
      </c>
      <c r="AS4154">
        <v>68</v>
      </c>
      <c r="AT4154">
        <v>-320</v>
      </c>
      <c r="BB4154" t="str">
        <f t="shared" si="1624"/>
        <v>1200</v>
      </c>
      <c r="BC4154">
        <v>1</v>
      </c>
      <c r="BD4154" t="str">
        <f t="shared" si="1625"/>
        <v xml:space="preserve">N52156  </v>
      </c>
      <c r="BE4154">
        <v>1</v>
      </c>
      <c r="BG4154">
        <v>0</v>
      </c>
      <c r="BH4154">
        <v>0</v>
      </c>
      <c r="BI4154">
        <v>0</v>
      </c>
      <c r="BJ4154">
        <v>4475</v>
      </c>
      <c r="BK4154">
        <v>75</v>
      </c>
      <c r="BL4154" t="s">
        <v>188</v>
      </c>
      <c r="BM4154">
        <v>1</v>
      </c>
      <c r="BN4154">
        <v>1</v>
      </c>
      <c r="BO4154">
        <v>0</v>
      </c>
      <c r="BP4154">
        <v>0</v>
      </c>
      <c r="BS4154">
        <v>0</v>
      </c>
      <c r="BT4154">
        <v>0</v>
      </c>
      <c r="BU4154">
        <v>0</v>
      </c>
      <c r="CE4154" t="str">
        <f t="shared" ref="CE4154:CE4159" si="1645">"15:16:04.917"</f>
        <v>15:16:04.917</v>
      </c>
      <c r="CF4154">
        <v>917078929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3</v>
      </c>
      <c r="CY4154">
        <v>7</v>
      </c>
      <c r="CZ4154" t="s">
        <v>133</v>
      </c>
      <c r="DA4154">
        <v>276</v>
      </c>
      <c r="DB4154">
        <v>0</v>
      </c>
      <c r="DC4154" t="s">
        <v>402</v>
      </c>
      <c r="DD4154" t="s">
        <v>403</v>
      </c>
      <c r="DG4154">
        <v>1628436</v>
      </c>
      <c r="DI4154">
        <v>1</v>
      </c>
      <c r="DJ4154">
        <v>0</v>
      </c>
      <c r="DK4154">
        <v>0</v>
      </c>
      <c r="DL4154">
        <v>0</v>
      </c>
      <c r="DM4154">
        <v>0</v>
      </c>
      <c r="DN4154">
        <v>0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 x14ac:dyDescent="0.3">
      <c r="A4155" t="str">
        <f>"05/01/2025 15:16:05.134"</f>
        <v>05/01/2025 15:16:05.134</v>
      </c>
      <c r="C4155" t="str">
        <f t="shared" si="1622"/>
        <v>FFDFD3C0</v>
      </c>
      <c r="D4155" t="s">
        <v>143</v>
      </c>
      <c r="E4155" t="str">
        <f>"05"</f>
        <v>05</v>
      </c>
      <c r="H4155">
        <v>172</v>
      </c>
      <c r="I4155" t="s">
        <v>141</v>
      </c>
      <c r="J4155" t="s">
        <v>144</v>
      </c>
      <c r="K4155">
        <v>0</v>
      </c>
      <c r="L4155">
        <v>3</v>
      </c>
      <c r="M4155">
        <v>0</v>
      </c>
      <c r="N4155">
        <v>2</v>
      </c>
      <c r="O4155">
        <v>0</v>
      </c>
      <c r="P4155">
        <v>1</v>
      </c>
      <c r="Q4155">
        <v>0</v>
      </c>
      <c r="R4155" t="s">
        <v>127</v>
      </c>
      <c r="S4155" t="str">
        <f t="shared" si="1644"/>
        <v>15:16:04.000</v>
      </c>
      <c r="T4155" t="str">
        <f t="shared" si="1644"/>
        <v>15:16:04.000</v>
      </c>
      <c r="U4155" t="str">
        <f t="shared" si="1623"/>
        <v>A68FCB</v>
      </c>
      <c r="V4155">
        <v>0</v>
      </c>
      <c r="W4155">
        <v>0</v>
      </c>
      <c r="X4155">
        <v>2</v>
      </c>
      <c r="Y4155">
        <v>0</v>
      </c>
      <c r="AA4155">
        <v>1</v>
      </c>
      <c r="AB4155">
        <v>8</v>
      </c>
      <c r="AC4155">
        <v>3</v>
      </c>
      <c r="AD4155">
        <v>0</v>
      </c>
      <c r="AE4155">
        <v>9</v>
      </c>
      <c r="AF4155" t="s">
        <v>138</v>
      </c>
      <c r="AG4155">
        <v>0</v>
      </c>
      <c r="AH4155">
        <v>3</v>
      </c>
      <c r="AI4155">
        <v>2</v>
      </c>
      <c r="AJ4155">
        <v>0</v>
      </c>
      <c r="AK4155" t="s">
        <v>1318</v>
      </c>
      <c r="AL4155">
        <v>39.190035000000002</v>
      </c>
      <c r="AM4155" t="s">
        <v>1319</v>
      </c>
      <c r="AN4155">
        <v>-121.020842</v>
      </c>
      <c r="AO4155">
        <v>25</v>
      </c>
      <c r="AP4155">
        <v>4400</v>
      </c>
      <c r="AQ4155" t="s">
        <v>131</v>
      </c>
      <c r="AR4155">
        <v>34</v>
      </c>
      <c r="AS4155">
        <v>68</v>
      </c>
      <c r="AT4155">
        <v>-320</v>
      </c>
      <c r="BB4155" t="str">
        <f t="shared" si="1624"/>
        <v>1200</v>
      </c>
      <c r="BC4155">
        <v>1</v>
      </c>
      <c r="BD4155" t="str">
        <f t="shared" si="1625"/>
        <v xml:space="preserve">N52156  </v>
      </c>
      <c r="BE4155">
        <v>1</v>
      </c>
      <c r="BG4155">
        <v>0</v>
      </c>
      <c r="BH4155">
        <v>0</v>
      </c>
      <c r="BI4155">
        <v>0</v>
      </c>
      <c r="BJ4155">
        <v>4475</v>
      </c>
      <c r="BK4155">
        <v>75</v>
      </c>
      <c r="BL4155" t="s">
        <v>188</v>
      </c>
      <c r="BM4155">
        <v>1</v>
      </c>
      <c r="BN4155">
        <v>1</v>
      </c>
      <c r="BO4155">
        <v>0</v>
      </c>
      <c r="BP4155">
        <v>0</v>
      </c>
      <c r="BS4155">
        <v>0</v>
      </c>
      <c r="BT4155">
        <v>0</v>
      </c>
      <c r="BU4155">
        <v>0</v>
      </c>
      <c r="CE4155" t="str">
        <f t="shared" si="1645"/>
        <v>15:16:04.917</v>
      </c>
      <c r="CF4155">
        <v>917078929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3</v>
      </c>
      <c r="CY4155">
        <v>7</v>
      </c>
      <c r="CZ4155" t="s">
        <v>133</v>
      </c>
      <c r="DA4155">
        <v>276</v>
      </c>
      <c r="DB4155">
        <v>0</v>
      </c>
      <c r="DC4155" t="s">
        <v>402</v>
      </c>
      <c r="DD4155" t="s">
        <v>403</v>
      </c>
      <c r="DG4155">
        <v>1628436</v>
      </c>
      <c r="DI4155">
        <v>1</v>
      </c>
      <c r="DJ4155">
        <v>0</v>
      </c>
      <c r="DK4155">
        <v>1</v>
      </c>
      <c r="DL4155">
        <v>0</v>
      </c>
      <c r="DM4155">
        <v>0</v>
      </c>
      <c r="DN4155">
        <v>0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 x14ac:dyDescent="0.3">
      <c r="A4156" t="str">
        <f>"05/01/2025 15:16:05.136"</f>
        <v>05/01/2025 15:16:05.136</v>
      </c>
      <c r="C4156" t="str">
        <f t="shared" si="1622"/>
        <v>FFDFD3C0</v>
      </c>
      <c r="D4156" t="s">
        <v>124</v>
      </c>
      <c r="E4156" t="str">
        <f>"06"</f>
        <v>06</v>
      </c>
      <c r="F4156">
        <v>2006</v>
      </c>
      <c r="G4156" t="s">
        <v>125</v>
      </c>
      <c r="J4156" t="s">
        <v>126</v>
      </c>
      <c r="K4156">
        <v>0</v>
      </c>
      <c r="L4156">
        <v>3</v>
      </c>
      <c r="M4156">
        <v>0</v>
      </c>
      <c r="N4156">
        <v>2</v>
      </c>
      <c r="O4156">
        <v>0</v>
      </c>
      <c r="P4156">
        <v>1</v>
      </c>
      <c r="Q4156">
        <v>0</v>
      </c>
      <c r="R4156" t="s">
        <v>127</v>
      </c>
      <c r="S4156" t="str">
        <f t="shared" si="1644"/>
        <v>15:16:04.000</v>
      </c>
      <c r="T4156" t="str">
        <f t="shared" si="1644"/>
        <v>15:16:04.000</v>
      </c>
      <c r="U4156" t="str">
        <f t="shared" si="1623"/>
        <v>A68FCB</v>
      </c>
      <c r="V4156">
        <v>0</v>
      </c>
      <c r="W4156">
        <v>0</v>
      </c>
      <c r="X4156">
        <v>2</v>
      </c>
      <c r="Y4156">
        <v>0</v>
      </c>
      <c r="AA4156">
        <v>1</v>
      </c>
      <c r="AB4156">
        <v>8</v>
      </c>
      <c r="AC4156">
        <v>3</v>
      </c>
      <c r="AD4156">
        <v>0</v>
      </c>
      <c r="AE4156">
        <v>9</v>
      </c>
      <c r="AF4156" t="s">
        <v>138</v>
      </c>
      <c r="AG4156">
        <v>0</v>
      </c>
      <c r="AH4156">
        <v>3</v>
      </c>
      <c r="AI4156">
        <v>2</v>
      </c>
      <c r="AJ4156">
        <v>0</v>
      </c>
      <c r="AK4156" t="s">
        <v>1318</v>
      </c>
      <c r="AL4156">
        <v>39.190035000000002</v>
      </c>
      <c r="AM4156" t="s">
        <v>1319</v>
      </c>
      <c r="AN4156">
        <v>-121.020842</v>
      </c>
      <c r="AO4156">
        <v>25</v>
      </c>
      <c r="AP4156">
        <v>4400</v>
      </c>
      <c r="AQ4156" t="s">
        <v>131</v>
      </c>
      <c r="AR4156">
        <v>34</v>
      </c>
      <c r="AS4156">
        <v>68</v>
      </c>
      <c r="AT4156">
        <v>-320</v>
      </c>
      <c r="BB4156" t="str">
        <f t="shared" si="1624"/>
        <v>1200</v>
      </c>
      <c r="BC4156">
        <v>1</v>
      </c>
      <c r="BD4156" t="str">
        <f t="shared" si="1625"/>
        <v xml:space="preserve">N52156  </v>
      </c>
      <c r="BE4156">
        <v>1</v>
      </c>
      <c r="BG4156">
        <v>0</v>
      </c>
      <c r="BH4156">
        <v>0</v>
      </c>
      <c r="BI4156">
        <v>0</v>
      </c>
      <c r="BJ4156">
        <v>4475</v>
      </c>
      <c r="BK4156">
        <v>75</v>
      </c>
      <c r="BL4156" t="s">
        <v>188</v>
      </c>
      <c r="BM4156">
        <v>1</v>
      </c>
      <c r="BN4156">
        <v>1</v>
      </c>
      <c r="BO4156">
        <v>0</v>
      </c>
      <c r="BP4156">
        <v>0</v>
      </c>
      <c r="BS4156">
        <v>0</v>
      </c>
      <c r="BT4156">
        <v>0</v>
      </c>
      <c r="BU4156">
        <v>0</v>
      </c>
      <c r="CE4156" t="str">
        <f t="shared" si="1645"/>
        <v>15:16:04.917</v>
      </c>
      <c r="CF4156">
        <v>917078929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3</v>
      </c>
      <c r="CY4156">
        <v>7</v>
      </c>
      <c r="CZ4156" t="s">
        <v>133</v>
      </c>
      <c r="DA4156">
        <v>276</v>
      </c>
      <c r="DB4156">
        <v>0</v>
      </c>
      <c r="DC4156" t="s">
        <v>402</v>
      </c>
      <c r="DD4156" t="s">
        <v>403</v>
      </c>
      <c r="DG4156">
        <v>1628436</v>
      </c>
      <c r="DI4156">
        <v>1</v>
      </c>
      <c r="DJ4156">
        <v>0</v>
      </c>
      <c r="DK4156">
        <v>1</v>
      </c>
      <c r="DL4156">
        <v>0</v>
      </c>
      <c r="DM4156">
        <v>0</v>
      </c>
      <c r="DN4156">
        <v>0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 x14ac:dyDescent="0.3">
      <c r="A4157" t="str">
        <f>"05/01/2025 15:16:05.148"</f>
        <v>05/01/2025 15:16:05.148</v>
      </c>
      <c r="C4157" t="str">
        <f t="shared" si="1622"/>
        <v>FFDFD3C0</v>
      </c>
      <c r="D4157" t="s">
        <v>145</v>
      </c>
      <c r="E4157" t="str">
        <f>"09"</f>
        <v>09</v>
      </c>
      <c r="H4157">
        <v>51</v>
      </c>
      <c r="I4157" t="s">
        <v>147</v>
      </c>
      <c r="J4157" t="s">
        <v>138</v>
      </c>
      <c r="K4157">
        <v>0</v>
      </c>
      <c r="L4157">
        <v>3</v>
      </c>
      <c r="M4157">
        <v>0</v>
      </c>
      <c r="N4157">
        <v>2</v>
      </c>
      <c r="O4157">
        <v>0</v>
      </c>
      <c r="P4157">
        <v>1</v>
      </c>
      <c r="Q4157">
        <v>0</v>
      </c>
      <c r="R4157" t="s">
        <v>127</v>
      </c>
      <c r="S4157" t="str">
        <f t="shared" si="1644"/>
        <v>15:16:04.000</v>
      </c>
      <c r="T4157" t="str">
        <f t="shared" si="1644"/>
        <v>15:16:04.000</v>
      </c>
      <c r="U4157" t="str">
        <f t="shared" si="1623"/>
        <v>A68FCB</v>
      </c>
      <c r="V4157">
        <v>0</v>
      </c>
      <c r="W4157">
        <v>0</v>
      </c>
      <c r="X4157">
        <v>2</v>
      </c>
      <c r="Y4157">
        <v>0</v>
      </c>
      <c r="AA4157">
        <v>1</v>
      </c>
      <c r="AB4157">
        <v>8</v>
      </c>
      <c r="AC4157">
        <v>3</v>
      </c>
      <c r="AD4157">
        <v>0</v>
      </c>
      <c r="AE4157">
        <v>9</v>
      </c>
      <c r="AF4157" t="s">
        <v>138</v>
      </c>
      <c r="AG4157">
        <v>0</v>
      </c>
      <c r="AH4157">
        <v>3</v>
      </c>
      <c r="AI4157">
        <v>2</v>
      </c>
      <c r="AJ4157">
        <v>0</v>
      </c>
      <c r="AK4157" t="s">
        <v>1318</v>
      </c>
      <c r="AL4157">
        <v>39.190035000000002</v>
      </c>
      <c r="AM4157" t="s">
        <v>1319</v>
      </c>
      <c r="AN4157">
        <v>-121.020842</v>
      </c>
      <c r="AO4157">
        <v>25</v>
      </c>
      <c r="AP4157">
        <v>4400</v>
      </c>
      <c r="AQ4157" t="s">
        <v>131</v>
      </c>
      <c r="AR4157">
        <v>34</v>
      </c>
      <c r="AS4157">
        <v>68</v>
      </c>
      <c r="AT4157">
        <v>-320</v>
      </c>
      <c r="BB4157" t="str">
        <f t="shared" si="1624"/>
        <v>1200</v>
      </c>
      <c r="BC4157">
        <v>1</v>
      </c>
      <c r="BD4157" t="str">
        <f t="shared" si="1625"/>
        <v xml:space="preserve">N52156  </v>
      </c>
      <c r="BE4157">
        <v>1</v>
      </c>
      <c r="BG4157">
        <v>0</v>
      </c>
      <c r="BH4157">
        <v>0</v>
      </c>
      <c r="BI4157">
        <v>0</v>
      </c>
      <c r="BJ4157">
        <v>4475</v>
      </c>
      <c r="BK4157">
        <v>75</v>
      </c>
      <c r="BL4157" t="s">
        <v>188</v>
      </c>
      <c r="BM4157">
        <v>1</v>
      </c>
      <c r="BN4157">
        <v>1</v>
      </c>
      <c r="BO4157">
        <v>0</v>
      </c>
      <c r="BP4157">
        <v>0</v>
      </c>
      <c r="BS4157">
        <v>0</v>
      </c>
      <c r="BT4157">
        <v>0</v>
      </c>
      <c r="BU4157">
        <v>0</v>
      </c>
      <c r="CE4157" t="str">
        <f t="shared" si="1645"/>
        <v>15:16:04.917</v>
      </c>
      <c r="CF4157">
        <v>917078929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3</v>
      </c>
      <c r="CY4157">
        <v>7</v>
      </c>
      <c r="CZ4157" t="s">
        <v>133</v>
      </c>
      <c r="DA4157">
        <v>276</v>
      </c>
      <c r="DB4157">
        <v>0</v>
      </c>
      <c r="DC4157" t="s">
        <v>402</v>
      </c>
      <c r="DD4157" t="s">
        <v>403</v>
      </c>
      <c r="DG4157">
        <v>1628436</v>
      </c>
      <c r="DI4157">
        <v>1</v>
      </c>
      <c r="DJ4157">
        <v>0</v>
      </c>
      <c r="DK4157">
        <v>1</v>
      </c>
      <c r="DL4157">
        <v>0</v>
      </c>
      <c r="DM4157">
        <v>0</v>
      </c>
      <c r="DN4157">
        <v>0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 x14ac:dyDescent="0.3">
      <c r="A4158" t="str">
        <f>"05/01/2025 15:16:05.152"</f>
        <v>05/01/2025 15:16:05.152</v>
      </c>
      <c r="C4158" t="str">
        <f t="shared" si="1622"/>
        <v>FFDFD3C0</v>
      </c>
      <c r="D4158" t="s">
        <v>145</v>
      </c>
      <c r="E4158" t="str">
        <f>"05"</f>
        <v>05</v>
      </c>
      <c r="H4158">
        <v>47</v>
      </c>
      <c r="I4158" t="s">
        <v>146</v>
      </c>
      <c r="J4158" t="s">
        <v>138</v>
      </c>
      <c r="K4158">
        <v>0</v>
      </c>
      <c r="L4158">
        <v>3</v>
      </c>
      <c r="M4158">
        <v>0</v>
      </c>
      <c r="N4158">
        <v>2</v>
      </c>
      <c r="O4158">
        <v>0</v>
      </c>
      <c r="P4158">
        <v>1</v>
      </c>
      <c r="Q4158">
        <v>0</v>
      </c>
      <c r="R4158" t="s">
        <v>127</v>
      </c>
      <c r="S4158" t="str">
        <f t="shared" si="1644"/>
        <v>15:16:04.000</v>
      </c>
      <c r="T4158" t="str">
        <f t="shared" si="1644"/>
        <v>15:16:04.000</v>
      </c>
      <c r="U4158" t="str">
        <f t="shared" si="1623"/>
        <v>A68FCB</v>
      </c>
      <c r="V4158">
        <v>0</v>
      </c>
      <c r="W4158">
        <v>0</v>
      </c>
      <c r="X4158">
        <v>2</v>
      </c>
      <c r="Y4158">
        <v>0</v>
      </c>
      <c r="AA4158">
        <v>1</v>
      </c>
      <c r="AB4158">
        <v>8</v>
      </c>
      <c r="AC4158">
        <v>3</v>
      </c>
      <c r="AD4158">
        <v>0</v>
      </c>
      <c r="AE4158">
        <v>9</v>
      </c>
      <c r="AF4158" t="s">
        <v>138</v>
      </c>
      <c r="AG4158">
        <v>0</v>
      </c>
      <c r="AH4158">
        <v>3</v>
      </c>
      <c r="AI4158">
        <v>2</v>
      </c>
      <c r="AJ4158">
        <v>0</v>
      </c>
      <c r="AK4158" t="s">
        <v>1318</v>
      </c>
      <c r="AL4158">
        <v>39.190035000000002</v>
      </c>
      <c r="AM4158" t="s">
        <v>1319</v>
      </c>
      <c r="AN4158">
        <v>-121.020842</v>
      </c>
      <c r="AO4158">
        <v>25</v>
      </c>
      <c r="AP4158">
        <v>4400</v>
      </c>
      <c r="AQ4158" t="s">
        <v>131</v>
      </c>
      <c r="AR4158">
        <v>34</v>
      </c>
      <c r="AS4158">
        <v>68</v>
      </c>
      <c r="AT4158">
        <v>-320</v>
      </c>
      <c r="BB4158" t="str">
        <f t="shared" si="1624"/>
        <v>1200</v>
      </c>
      <c r="BC4158">
        <v>1</v>
      </c>
      <c r="BD4158" t="str">
        <f t="shared" si="1625"/>
        <v xml:space="preserve">N52156  </v>
      </c>
      <c r="BE4158">
        <v>1</v>
      </c>
      <c r="BG4158">
        <v>0</v>
      </c>
      <c r="BH4158">
        <v>0</v>
      </c>
      <c r="BI4158">
        <v>0</v>
      </c>
      <c r="BJ4158">
        <v>4475</v>
      </c>
      <c r="BK4158">
        <v>75</v>
      </c>
      <c r="BL4158" t="s">
        <v>188</v>
      </c>
      <c r="BM4158">
        <v>1</v>
      </c>
      <c r="BN4158">
        <v>1</v>
      </c>
      <c r="BO4158">
        <v>0</v>
      </c>
      <c r="BP4158">
        <v>0</v>
      </c>
      <c r="BS4158">
        <v>0</v>
      </c>
      <c r="BT4158">
        <v>0</v>
      </c>
      <c r="BU4158">
        <v>0</v>
      </c>
      <c r="CE4158" t="str">
        <f t="shared" si="1645"/>
        <v>15:16:04.917</v>
      </c>
      <c r="CF4158">
        <v>917078929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3</v>
      </c>
      <c r="CY4158">
        <v>7</v>
      </c>
      <c r="CZ4158" t="s">
        <v>133</v>
      </c>
      <c r="DA4158">
        <v>276</v>
      </c>
      <c r="DB4158">
        <v>0</v>
      </c>
      <c r="DC4158" t="s">
        <v>402</v>
      </c>
      <c r="DD4158" t="s">
        <v>403</v>
      </c>
      <c r="DG4158">
        <v>1628436</v>
      </c>
      <c r="DI4158">
        <v>1</v>
      </c>
      <c r="DJ4158">
        <v>0</v>
      </c>
      <c r="DK4158">
        <v>1</v>
      </c>
      <c r="DL4158">
        <v>0</v>
      </c>
      <c r="DM4158">
        <v>0</v>
      </c>
      <c r="DN4158">
        <v>0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 x14ac:dyDescent="0.3">
      <c r="A4159" t="str">
        <f>"05/01/2025 15:16:05.163"</f>
        <v>05/01/2025 15:16:05.163</v>
      </c>
      <c r="C4159" t="str">
        <f t="shared" si="1622"/>
        <v>FFDFD3C0</v>
      </c>
      <c r="D4159" t="s">
        <v>136</v>
      </c>
      <c r="E4159" t="str">
        <f>"20"</f>
        <v>20</v>
      </c>
      <c r="H4159">
        <v>400</v>
      </c>
      <c r="I4159" t="s">
        <v>137</v>
      </c>
      <c r="J4159" t="s">
        <v>138</v>
      </c>
      <c r="K4159">
        <v>0</v>
      </c>
      <c r="L4159">
        <v>3</v>
      </c>
      <c r="M4159">
        <v>0</v>
      </c>
      <c r="N4159">
        <v>2</v>
      </c>
      <c r="O4159">
        <v>0</v>
      </c>
      <c r="P4159">
        <v>1</v>
      </c>
      <c r="Q4159">
        <v>0</v>
      </c>
      <c r="R4159" t="s">
        <v>127</v>
      </c>
      <c r="S4159" t="str">
        <f t="shared" si="1644"/>
        <v>15:16:04.000</v>
      </c>
      <c r="T4159" t="str">
        <f t="shared" si="1644"/>
        <v>15:16:04.000</v>
      </c>
      <c r="U4159" t="str">
        <f t="shared" si="1623"/>
        <v>A68FCB</v>
      </c>
      <c r="V4159">
        <v>0</v>
      </c>
      <c r="W4159">
        <v>0</v>
      </c>
      <c r="X4159">
        <v>2</v>
      </c>
      <c r="Y4159">
        <v>0</v>
      </c>
      <c r="AA4159">
        <v>1</v>
      </c>
      <c r="AB4159">
        <v>8</v>
      </c>
      <c r="AC4159">
        <v>3</v>
      </c>
      <c r="AD4159">
        <v>0</v>
      </c>
      <c r="AE4159">
        <v>9</v>
      </c>
      <c r="AF4159" t="s">
        <v>138</v>
      </c>
      <c r="AG4159">
        <v>0</v>
      </c>
      <c r="AH4159">
        <v>3</v>
      </c>
      <c r="AI4159">
        <v>2</v>
      </c>
      <c r="AJ4159">
        <v>0</v>
      </c>
      <c r="AK4159" t="s">
        <v>1318</v>
      </c>
      <c r="AL4159">
        <v>39.190035000000002</v>
      </c>
      <c r="AM4159" t="s">
        <v>1319</v>
      </c>
      <c r="AN4159">
        <v>-121.020842</v>
      </c>
      <c r="AO4159">
        <v>25</v>
      </c>
      <c r="AP4159">
        <v>4400</v>
      </c>
      <c r="AQ4159" t="s">
        <v>131</v>
      </c>
      <c r="AR4159">
        <v>34</v>
      </c>
      <c r="AS4159">
        <v>68</v>
      </c>
      <c r="AT4159">
        <v>-320</v>
      </c>
      <c r="BB4159" t="str">
        <f t="shared" si="1624"/>
        <v>1200</v>
      </c>
      <c r="BC4159">
        <v>1</v>
      </c>
      <c r="BD4159" t="str">
        <f t="shared" si="1625"/>
        <v xml:space="preserve">N52156  </v>
      </c>
      <c r="BE4159">
        <v>1</v>
      </c>
      <c r="BG4159">
        <v>0</v>
      </c>
      <c r="BH4159">
        <v>0</v>
      </c>
      <c r="BI4159">
        <v>0</v>
      </c>
      <c r="BJ4159">
        <v>4475</v>
      </c>
      <c r="BK4159">
        <v>75</v>
      </c>
      <c r="BL4159" t="s">
        <v>188</v>
      </c>
      <c r="BM4159">
        <v>1</v>
      </c>
      <c r="BN4159">
        <v>1</v>
      </c>
      <c r="BO4159">
        <v>0</v>
      </c>
      <c r="BP4159">
        <v>0</v>
      </c>
      <c r="BS4159">
        <v>0</v>
      </c>
      <c r="BT4159">
        <v>0</v>
      </c>
      <c r="BU4159">
        <v>0</v>
      </c>
      <c r="CE4159" t="str">
        <f t="shared" si="1645"/>
        <v>15:16:04.917</v>
      </c>
      <c r="CF4159">
        <v>917078929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3</v>
      </c>
      <c r="CY4159">
        <v>7</v>
      </c>
      <c r="CZ4159" t="s">
        <v>133</v>
      </c>
      <c r="DA4159">
        <v>276</v>
      </c>
      <c r="DB4159">
        <v>0</v>
      </c>
      <c r="DC4159" t="s">
        <v>402</v>
      </c>
      <c r="DD4159" t="s">
        <v>403</v>
      </c>
      <c r="DG4159">
        <v>1628436</v>
      </c>
      <c r="DI4159">
        <v>1</v>
      </c>
      <c r="DJ4159">
        <v>0</v>
      </c>
      <c r="DK4159">
        <v>1</v>
      </c>
      <c r="DL4159">
        <v>0</v>
      </c>
      <c r="DM4159">
        <v>0</v>
      </c>
      <c r="DN4159">
        <v>0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 x14ac:dyDescent="0.3">
      <c r="A4160" t="str">
        <f>"05/01/2025 15:16:06.004"</f>
        <v>05/01/2025 15:16:06.004</v>
      </c>
      <c r="C4160" t="str">
        <f t="shared" si="1622"/>
        <v>FFDFD3C0</v>
      </c>
      <c r="D4160" t="s">
        <v>145</v>
      </c>
      <c r="E4160" t="str">
        <f>"05"</f>
        <v>05</v>
      </c>
      <c r="H4160">
        <v>47</v>
      </c>
      <c r="I4160" t="s">
        <v>146</v>
      </c>
      <c r="J4160" t="s">
        <v>138</v>
      </c>
      <c r="K4160">
        <v>0</v>
      </c>
      <c r="L4160">
        <v>3</v>
      </c>
      <c r="M4160">
        <v>0</v>
      </c>
      <c r="N4160">
        <v>2</v>
      </c>
      <c r="O4160">
        <v>0</v>
      </c>
      <c r="P4160">
        <v>1</v>
      </c>
      <c r="Q4160">
        <v>0</v>
      </c>
      <c r="R4160" t="s">
        <v>127</v>
      </c>
      <c r="S4160" t="str">
        <f t="shared" ref="S4160:T4165" si="1646">"15:16:05.000"</f>
        <v>15:16:05.000</v>
      </c>
      <c r="T4160" t="str">
        <f t="shared" si="1646"/>
        <v>15:16:05.000</v>
      </c>
      <c r="U4160" t="str">
        <f t="shared" si="1623"/>
        <v>A68FCB</v>
      </c>
      <c r="V4160">
        <v>0</v>
      </c>
      <c r="W4160">
        <v>0</v>
      </c>
      <c r="X4160">
        <v>2</v>
      </c>
      <c r="Y4160">
        <v>0</v>
      </c>
      <c r="AA4160">
        <v>1</v>
      </c>
      <c r="AB4160">
        <v>8</v>
      </c>
      <c r="AC4160">
        <v>3</v>
      </c>
      <c r="AD4160">
        <v>0</v>
      </c>
      <c r="AE4160">
        <v>9</v>
      </c>
      <c r="AF4160" t="s">
        <v>138</v>
      </c>
      <c r="AG4160">
        <v>0</v>
      </c>
      <c r="AH4160">
        <v>3</v>
      </c>
      <c r="AI4160">
        <v>2</v>
      </c>
      <c r="AJ4160">
        <v>0</v>
      </c>
      <c r="AK4160" t="s">
        <v>1320</v>
      </c>
      <c r="AL4160">
        <v>39.190356999999999</v>
      </c>
      <c r="AM4160" t="s">
        <v>1321</v>
      </c>
      <c r="AN4160">
        <v>-121.020627</v>
      </c>
      <c r="AO4160">
        <v>25</v>
      </c>
      <c r="AP4160">
        <v>4400</v>
      </c>
      <c r="AQ4160" t="s">
        <v>131</v>
      </c>
      <c r="AR4160">
        <v>34</v>
      </c>
      <c r="AS4160">
        <v>68</v>
      </c>
      <c r="AT4160">
        <v>-320</v>
      </c>
      <c r="BB4160" t="str">
        <f t="shared" si="1624"/>
        <v>1200</v>
      </c>
      <c r="BC4160">
        <v>1</v>
      </c>
      <c r="BD4160" t="str">
        <f t="shared" si="1625"/>
        <v xml:space="preserve">N52156  </v>
      </c>
      <c r="BE4160">
        <v>1</v>
      </c>
      <c r="BG4160">
        <v>0</v>
      </c>
      <c r="BH4160">
        <v>0</v>
      </c>
      <c r="BI4160">
        <v>0</v>
      </c>
      <c r="BJ4160">
        <v>4475</v>
      </c>
      <c r="BK4160">
        <v>75</v>
      </c>
      <c r="BL4160" t="s">
        <v>188</v>
      </c>
      <c r="BM4160">
        <v>1</v>
      </c>
      <c r="BN4160">
        <v>1</v>
      </c>
      <c r="BO4160">
        <v>0</v>
      </c>
      <c r="BP4160">
        <v>0</v>
      </c>
      <c r="BS4160">
        <v>0</v>
      </c>
      <c r="BT4160">
        <v>0</v>
      </c>
      <c r="BU4160">
        <v>0</v>
      </c>
      <c r="CE4160" t="str">
        <f t="shared" ref="CE4160:CE4165" si="1647">"15:16:05.772"</f>
        <v>15:16:05.772</v>
      </c>
      <c r="CF4160">
        <v>772328622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3</v>
      </c>
      <c r="CY4160">
        <v>7</v>
      </c>
      <c r="CZ4160" t="s">
        <v>133</v>
      </c>
      <c r="DA4160">
        <v>276</v>
      </c>
      <c r="DB4160">
        <v>0</v>
      </c>
      <c r="DC4160" t="s">
        <v>402</v>
      </c>
      <c r="DD4160" t="s">
        <v>403</v>
      </c>
      <c r="DG4160">
        <v>1628438</v>
      </c>
      <c r="DI4160">
        <v>1</v>
      </c>
      <c r="DJ4160">
        <v>0</v>
      </c>
      <c r="DK4160">
        <v>0</v>
      </c>
      <c r="DL4160">
        <v>0</v>
      </c>
      <c r="DM4160">
        <v>0</v>
      </c>
      <c r="DN4160">
        <v>0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 x14ac:dyDescent="0.3">
      <c r="A4161" t="str">
        <f>"05/01/2025 15:16:06.014"</f>
        <v>05/01/2025 15:16:06.014</v>
      </c>
      <c r="C4161" t="str">
        <f t="shared" si="1622"/>
        <v>FFDFD3C0</v>
      </c>
      <c r="D4161" t="s">
        <v>136</v>
      </c>
      <c r="E4161" t="str">
        <f>"20"</f>
        <v>20</v>
      </c>
      <c r="H4161">
        <v>400</v>
      </c>
      <c r="I4161" t="s">
        <v>137</v>
      </c>
      <c r="J4161" t="s">
        <v>138</v>
      </c>
      <c r="K4161">
        <v>0</v>
      </c>
      <c r="L4161">
        <v>3</v>
      </c>
      <c r="M4161">
        <v>0</v>
      </c>
      <c r="N4161">
        <v>2</v>
      </c>
      <c r="O4161">
        <v>0</v>
      </c>
      <c r="P4161">
        <v>1</v>
      </c>
      <c r="Q4161">
        <v>0</v>
      </c>
      <c r="R4161" t="s">
        <v>127</v>
      </c>
      <c r="S4161" t="str">
        <f t="shared" si="1646"/>
        <v>15:16:05.000</v>
      </c>
      <c r="T4161" t="str">
        <f t="shared" si="1646"/>
        <v>15:16:05.000</v>
      </c>
      <c r="U4161" t="str">
        <f t="shared" si="1623"/>
        <v>A68FCB</v>
      </c>
      <c r="V4161">
        <v>0</v>
      </c>
      <c r="W4161">
        <v>0</v>
      </c>
      <c r="X4161">
        <v>2</v>
      </c>
      <c r="Y4161">
        <v>0</v>
      </c>
      <c r="AA4161">
        <v>1</v>
      </c>
      <c r="AB4161">
        <v>8</v>
      </c>
      <c r="AC4161">
        <v>3</v>
      </c>
      <c r="AD4161">
        <v>0</v>
      </c>
      <c r="AE4161">
        <v>9</v>
      </c>
      <c r="AF4161" t="s">
        <v>138</v>
      </c>
      <c r="AG4161">
        <v>0</v>
      </c>
      <c r="AH4161">
        <v>3</v>
      </c>
      <c r="AI4161">
        <v>2</v>
      </c>
      <c r="AJ4161">
        <v>0</v>
      </c>
      <c r="AK4161" t="s">
        <v>1320</v>
      </c>
      <c r="AL4161">
        <v>39.190356999999999</v>
      </c>
      <c r="AM4161" t="s">
        <v>1321</v>
      </c>
      <c r="AN4161">
        <v>-121.020627</v>
      </c>
      <c r="AO4161">
        <v>25</v>
      </c>
      <c r="AP4161">
        <v>4400</v>
      </c>
      <c r="AQ4161" t="s">
        <v>131</v>
      </c>
      <c r="AR4161">
        <v>34</v>
      </c>
      <c r="AS4161">
        <v>68</v>
      </c>
      <c r="AT4161">
        <v>-320</v>
      </c>
      <c r="BB4161" t="str">
        <f t="shared" si="1624"/>
        <v>1200</v>
      </c>
      <c r="BC4161">
        <v>1</v>
      </c>
      <c r="BD4161" t="str">
        <f t="shared" si="1625"/>
        <v xml:space="preserve">N52156  </v>
      </c>
      <c r="BE4161">
        <v>1</v>
      </c>
      <c r="BG4161">
        <v>0</v>
      </c>
      <c r="BH4161">
        <v>0</v>
      </c>
      <c r="BI4161">
        <v>0</v>
      </c>
      <c r="BJ4161">
        <v>4475</v>
      </c>
      <c r="BK4161">
        <v>75</v>
      </c>
      <c r="BL4161" t="s">
        <v>188</v>
      </c>
      <c r="BM4161">
        <v>1</v>
      </c>
      <c r="BN4161">
        <v>1</v>
      </c>
      <c r="BO4161">
        <v>0</v>
      </c>
      <c r="BP4161">
        <v>0</v>
      </c>
      <c r="BS4161">
        <v>0</v>
      </c>
      <c r="BT4161">
        <v>0</v>
      </c>
      <c r="BU4161">
        <v>0</v>
      </c>
      <c r="CE4161" t="str">
        <f t="shared" si="1647"/>
        <v>15:16:05.772</v>
      </c>
      <c r="CF4161">
        <v>772328622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3</v>
      </c>
      <c r="CY4161">
        <v>7</v>
      </c>
      <c r="CZ4161" t="s">
        <v>133</v>
      </c>
      <c r="DA4161">
        <v>276</v>
      </c>
      <c r="DB4161">
        <v>0</v>
      </c>
      <c r="DC4161" t="s">
        <v>402</v>
      </c>
      <c r="DD4161" t="s">
        <v>403</v>
      </c>
      <c r="DG4161">
        <v>1628438</v>
      </c>
      <c r="DI4161">
        <v>1</v>
      </c>
      <c r="DJ4161">
        <v>0</v>
      </c>
      <c r="DK4161">
        <v>1</v>
      </c>
      <c r="DL4161">
        <v>0</v>
      </c>
      <c r="DM4161">
        <v>0</v>
      </c>
      <c r="DN4161">
        <v>0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 x14ac:dyDescent="0.3">
      <c r="A4162" t="str">
        <f>"05/01/2025 15:16:06.034"</f>
        <v>05/01/2025 15:16:06.034</v>
      </c>
      <c r="C4162" t="str">
        <f t="shared" ref="C4162:C4225" si="1648">"FFDFD3C0"</f>
        <v>FFDFD3C0</v>
      </c>
      <c r="D4162" t="s">
        <v>140</v>
      </c>
      <c r="E4162" t="str">
        <f>"13"</f>
        <v>13</v>
      </c>
      <c r="F4162">
        <v>1019</v>
      </c>
      <c r="G4162" t="s">
        <v>141</v>
      </c>
      <c r="J4162" t="s">
        <v>142</v>
      </c>
      <c r="K4162">
        <v>0</v>
      </c>
      <c r="L4162">
        <v>3</v>
      </c>
      <c r="M4162">
        <v>0</v>
      </c>
      <c r="N4162">
        <v>2</v>
      </c>
      <c r="O4162">
        <v>0</v>
      </c>
      <c r="P4162">
        <v>1</v>
      </c>
      <c r="Q4162">
        <v>0</v>
      </c>
      <c r="R4162" t="s">
        <v>127</v>
      </c>
      <c r="S4162" t="str">
        <f t="shared" si="1646"/>
        <v>15:16:05.000</v>
      </c>
      <c r="T4162" t="str">
        <f t="shared" si="1646"/>
        <v>15:16:05.000</v>
      </c>
      <c r="U4162" t="str">
        <f t="shared" ref="U4162:U4225" si="1649">"A68FCB"</f>
        <v>A68FCB</v>
      </c>
      <c r="V4162">
        <v>0</v>
      </c>
      <c r="W4162">
        <v>0</v>
      </c>
      <c r="X4162">
        <v>2</v>
      </c>
      <c r="Y4162">
        <v>0</v>
      </c>
      <c r="AA4162">
        <v>1</v>
      </c>
      <c r="AB4162">
        <v>8</v>
      </c>
      <c r="AC4162">
        <v>3</v>
      </c>
      <c r="AD4162">
        <v>0</v>
      </c>
      <c r="AE4162">
        <v>9</v>
      </c>
      <c r="AF4162" t="s">
        <v>138</v>
      </c>
      <c r="AG4162">
        <v>0</v>
      </c>
      <c r="AH4162">
        <v>3</v>
      </c>
      <c r="AI4162">
        <v>2</v>
      </c>
      <c r="AJ4162">
        <v>0</v>
      </c>
      <c r="AK4162" t="s">
        <v>1320</v>
      </c>
      <c r="AL4162">
        <v>39.190356999999999</v>
      </c>
      <c r="AM4162" t="s">
        <v>1321</v>
      </c>
      <c r="AN4162">
        <v>-121.020627</v>
      </c>
      <c r="AO4162">
        <v>25</v>
      </c>
      <c r="AP4162">
        <v>4400</v>
      </c>
      <c r="AQ4162" t="s">
        <v>131</v>
      </c>
      <c r="AR4162">
        <v>34</v>
      </c>
      <c r="AS4162">
        <v>68</v>
      </c>
      <c r="AT4162">
        <v>-320</v>
      </c>
      <c r="BB4162" t="str">
        <f t="shared" ref="BB4162:BB4225" si="1650">"1200"</f>
        <v>1200</v>
      </c>
      <c r="BC4162">
        <v>1</v>
      </c>
      <c r="BD4162" t="str">
        <f t="shared" ref="BD4162:BD4225" si="1651">"N52156  "</f>
        <v xml:space="preserve">N52156  </v>
      </c>
      <c r="BE4162">
        <v>1</v>
      </c>
      <c r="BG4162">
        <v>0</v>
      </c>
      <c r="BH4162">
        <v>0</v>
      </c>
      <c r="BI4162">
        <v>0</v>
      </c>
      <c r="BJ4162">
        <v>4475</v>
      </c>
      <c r="BK4162">
        <v>75</v>
      </c>
      <c r="BL4162" t="s">
        <v>188</v>
      </c>
      <c r="BM4162">
        <v>1</v>
      </c>
      <c r="BN4162">
        <v>1</v>
      </c>
      <c r="BO4162">
        <v>0</v>
      </c>
      <c r="BP4162">
        <v>0</v>
      </c>
      <c r="BS4162">
        <v>0</v>
      </c>
      <c r="BT4162">
        <v>0</v>
      </c>
      <c r="BU4162">
        <v>0</v>
      </c>
      <c r="CE4162" t="str">
        <f t="shared" si="1647"/>
        <v>15:16:05.772</v>
      </c>
      <c r="CF4162">
        <v>772328622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3</v>
      </c>
      <c r="CY4162">
        <v>7</v>
      </c>
      <c r="CZ4162" t="s">
        <v>133</v>
      </c>
      <c r="DA4162">
        <v>276</v>
      </c>
      <c r="DB4162">
        <v>0</v>
      </c>
      <c r="DC4162" t="s">
        <v>402</v>
      </c>
      <c r="DD4162" t="s">
        <v>403</v>
      </c>
      <c r="DG4162">
        <v>1628438</v>
      </c>
      <c r="DI4162">
        <v>1</v>
      </c>
      <c r="DJ4162">
        <v>0</v>
      </c>
      <c r="DK4162">
        <v>1</v>
      </c>
      <c r="DL4162">
        <v>0</v>
      </c>
      <c r="DM4162">
        <v>0</v>
      </c>
      <c r="DN4162">
        <v>0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 x14ac:dyDescent="0.3">
      <c r="A4163" t="str">
        <f>"05/01/2025 15:16:06.035"</f>
        <v>05/01/2025 15:16:06.035</v>
      </c>
      <c r="C4163" t="str">
        <f t="shared" si="1648"/>
        <v>FFDFD3C0</v>
      </c>
      <c r="D4163" t="s">
        <v>143</v>
      </c>
      <c r="E4163" t="str">
        <f>"05"</f>
        <v>05</v>
      </c>
      <c r="H4163">
        <v>172</v>
      </c>
      <c r="I4163" t="s">
        <v>141</v>
      </c>
      <c r="J4163" t="s">
        <v>144</v>
      </c>
      <c r="K4163">
        <v>0</v>
      </c>
      <c r="L4163">
        <v>3</v>
      </c>
      <c r="M4163">
        <v>0</v>
      </c>
      <c r="N4163">
        <v>2</v>
      </c>
      <c r="O4163">
        <v>0</v>
      </c>
      <c r="P4163">
        <v>1</v>
      </c>
      <c r="Q4163">
        <v>0</v>
      </c>
      <c r="R4163" t="s">
        <v>127</v>
      </c>
      <c r="S4163" t="str">
        <f t="shared" si="1646"/>
        <v>15:16:05.000</v>
      </c>
      <c r="T4163" t="str">
        <f t="shared" si="1646"/>
        <v>15:16:05.000</v>
      </c>
      <c r="U4163" t="str">
        <f t="shared" si="1649"/>
        <v>A68FCB</v>
      </c>
      <c r="V4163">
        <v>0</v>
      </c>
      <c r="W4163">
        <v>0</v>
      </c>
      <c r="X4163">
        <v>2</v>
      </c>
      <c r="Y4163">
        <v>0</v>
      </c>
      <c r="AA4163">
        <v>1</v>
      </c>
      <c r="AB4163">
        <v>8</v>
      </c>
      <c r="AC4163">
        <v>3</v>
      </c>
      <c r="AD4163">
        <v>0</v>
      </c>
      <c r="AE4163">
        <v>9</v>
      </c>
      <c r="AF4163" t="s">
        <v>138</v>
      </c>
      <c r="AG4163">
        <v>0</v>
      </c>
      <c r="AH4163">
        <v>3</v>
      </c>
      <c r="AI4163">
        <v>2</v>
      </c>
      <c r="AJ4163">
        <v>0</v>
      </c>
      <c r="AK4163" t="s">
        <v>1320</v>
      </c>
      <c r="AL4163">
        <v>39.190356999999999</v>
      </c>
      <c r="AM4163" t="s">
        <v>1321</v>
      </c>
      <c r="AN4163">
        <v>-121.020627</v>
      </c>
      <c r="AO4163">
        <v>25</v>
      </c>
      <c r="AP4163">
        <v>4400</v>
      </c>
      <c r="AQ4163" t="s">
        <v>131</v>
      </c>
      <c r="AR4163">
        <v>34</v>
      </c>
      <c r="AS4163">
        <v>68</v>
      </c>
      <c r="AT4163">
        <v>-320</v>
      </c>
      <c r="BB4163" t="str">
        <f t="shared" si="1650"/>
        <v>1200</v>
      </c>
      <c r="BC4163">
        <v>1</v>
      </c>
      <c r="BD4163" t="str">
        <f t="shared" si="1651"/>
        <v xml:space="preserve">N52156  </v>
      </c>
      <c r="BE4163">
        <v>1</v>
      </c>
      <c r="BG4163">
        <v>0</v>
      </c>
      <c r="BH4163">
        <v>0</v>
      </c>
      <c r="BI4163">
        <v>0</v>
      </c>
      <c r="BJ4163">
        <v>4475</v>
      </c>
      <c r="BK4163">
        <v>75</v>
      </c>
      <c r="BL4163" t="s">
        <v>188</v>
      </c>
      <c r="BM4163">
        <v>1</v>
      </c>
      <c r="BN4163">
        <v>1</v>
      </c>
      <c r="BO4163">
        <v>0</v>
      </c>
      <c r="BP4163">
        <v>0</v>
      </c>
      <c r="BS4163">
        <v>0</v>
      </c>
      <c r="BT4163">
        <v>0</v>
      </c>
      <c r="BU4163">
        <v>0</v>
      </c>
      <c r="CE4163" t="str">
        <f t="shared" si="1647"/>
        <v>15:16:05.772</v>
      </c>
      <c r="CF4163">
        <v>772328622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3</v>
      </c>
      <c r="CY4163">
        <v>7</v>
      </c>
      <c r="CZ4163" t="s">
        <v>133</v>
      </c>
      <c r="DA4163">
        <v>276</v>
      </c>
      <c r="DB4163">
        <v>0</v>
      </c>
      <c r="DC4163" t="s">
        <v>402</v>
      </c>
      <c r="DD4163" t="s">
        <v>403</v>
      </c>
      <c r="DG4163">
        <v>1628438</v>
      </c>
      <c r="DI4163">
        <v>1</v>
      </c>
      <c r="DJ4163">
        <v>0</v>
      </c>
      <c r="DK4163">
        <v>1</v>
      </c>
      <c r="DL4163">
        <v>0</v>
      </c>
      <c r="DM4163">
        <v>0</v>
      </c>
      <c r="DN4163">
        <v>0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 x14ac:dyDescent="0.3">
      <c r="A4164" t="str">
        <f>"05/01/2025 15:16:06.037"</f>
        <v>05/01/2025 15:16:06.037</v>
      </c>
      <c r="C4164" t="str">
        <f t="shared" si="1648"/>
        <v>FFDFD3C0</v>
      </c>
      <c r="D4164" t="s">
        <v>124</v>
      </c>
      <c r="E4164" t="str">
        <f>"06"</f>
        <v>06</v>
      </c>
      <c r="F4164">
        <v>2006</v>
      </c>
      <c r="G4164" t="s">
        <v>125</v>
      </c>
      <c r="J4164" t="s">
        <v>126</v>
      </c>
      <c r="K4164">
        <v>0</v>
      </c>
      <c r="L4164">
        <v>3</v>
      </c>
      <c r="M4164">
        <v>0</v>
      </c>
      <c r="N4164">
        <v>2</v>
      </c>
      <c r="O4164">
        <v>0</v>
      </c>
      <c r="P4164">
        <v>1</v>
      </c>
      <c r="Q4164">
        <v>0</v>
      </c>
      <c r="R4164" t="s">
        <v>127</v>
      </c>
      <c r="S4164" t="str">
        <f t="shared" si="1646"/>
        <v>15:16:05.000</v>
      </c>
      <c r="T4164" t="str">
        <f t="shared" si="1646"/>
        <v>15:16:05.000</v>
      </c>
      <c r="U4164" t="str">
        <f t="shared" si="1649"/>
        <v>A68FCB</v>
      </c>
      <c r="V4164">
        <v>0</v>
      </c>
      <c r="W4164">
        <v>0</v>
      </c>
      <c r="X4164">
        <v>2</v>
      </c>
      <c r="Y4164">
        <v>0</v>
      </c>
      <c r="AA4164">
        <v>1</v>
      </c>
      <c r="AB4164">
        <v>8</v>
      </c>
      <c r="AC4164">
        <v>3</v>
      </c>
      <c r="AD4164">
        <v>0</v>
      </c>
      <c r="AE4164">
        <v>9</v>
      </c>
      <c r="AF4164" t="s">
        <v>138</v>
      </c>
      <c r="AG4164">
        <v>0</v>
      </c>
      <c r="AH4164">
        <v>3</v>
      </c>
      <c r="AI4164">
        <v>2</v>
      </c>
      <c r="AJ4164">
        <v>0</v>
      </c>
      <c r="AK4164" t="s">
        <v>1320</v>
      </c>
      <c r="AL4164">
        <v>39.190356999999999</v>
      </c>
      <c r="AM4164" t="s">
        <v>1321</v>
      </c>
      <c r="AN4164">
        <v>-121.020627</v>
      </c>
      <c r="AO4164">
        <v>25</v>
      </c>
      <c r="AP4164">
        <v>4400</v>
      </c>
      <c r="AQ4164" t="s">
        <v>131</v>
      </c>
      <c r="AR4164">
        <v>34</v>
      </c>
      <c r="AS4164">
        <v>68</v>
      </c>
      <c r="AT4164">
        <v>-320</v>
      </c>
      <c r="BB4164" t="str">
        <f t="shared" si="1650"/>
        <v>1200</v>
      </c>
      <c r="BC4164">
        <v>1</v>
      </c>
      <c r="BD4164" t="str">
        <f t="shared" si="1651"/>
        <v xml:space="preserve">N52156  </v>
      </c>
      <c r="BE4164">
        <v>1</v>
      </c>
      <c r="BG4164">
        <v>0</v>
      </c>
      <c r="BH4164">
        <v>0</v>
      </c>
      <c r="BI4164">
        <v>0</v>
      </c>
      <c r="BJ4164">
        <v>4475</v>
      </c>
      <c r="BK4164">
        <v>75</v>
      </c>
      <c r="BL4164" t="s">
        <v>188</v>
      </c>
      <c r="BM4164">
        <v>1</v>
      </c>
      <c r="BN4164">
        <v>1</v>
      </c>
      <c r="BO4164">
        <v>0</v>
      </c>
      <c r="BP4164">
        <v>0</v>
      </c>
      <c r="BS4164">
        <v>0</v>
      </c>
      <c r="BT4164">
        <v>0</v>
      </c>
      <c r="BU4164">
        <v>0</v>
      </c>
      <c r="CE4164" t="str">
        <f t="shared" si="1647"/>
        <v>15:16:05.772</v>
      </c>
      <c r="CF4164">
        <v>772328622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3</v>
      </c>
      <c r="CY4164">
        <v>7</v>
      </c>
      <c r="CZ4164" t="s">
        <v>133</v>
      </c>
      <c r="DA4164">
        <v>276</v>
      </c>
      <c r="DB4164">
        <v>0</v>
      </c>
      <c r="DC4164" t="s">
        <v>402</v>
      </c>
      <c r="DD4164" t="s">
        <v>403</v>
      </c>
      <c r="DG4164">
        <v>1628438</v>
      </c>
      <c r="DI4164">
        <v>1</v>
      </c>
      <c r="DJ4164">
        <v>0</v>
      </c>
      <c r="DK4164">
        <v>1</v>
      </c>
      <c r="DL4164">
        <v>0</v>
      </c>
      <c r="DM4164">
        <v>0</v>
      </c>
      <c r="DN4164">
        <v>0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 x14ac:dyDescent="0.3">
      <c r="A4165" t="str">
        <f>"05/01/2025 15:16:06.049"</f>
        <v>05/01/2025 15:16:06.049</v>
      </c>
      <c r="C4165" t="str">
        <f t="shared" si="1648"/>
        <v>FFDFD3C0</v>
      </c>
      <c r="D4165" t="s">
        <v>145</v>
      </c>
      <c r="E4165" t="str">
        <f>"09"</f>
        <v>09</v>
      </c>
      <c r="H4165">
        <v>51</v>
      </c>
      <c r="I4165" t="s">
        <v>147</v>
      </c>
      <c r="J4165" t="s">
        <v>138</v>
      </c>
      <c r="K4165">
        <v>0</v>
      </c>
      <c r="L4165">
        <v>3</v>
      </c>
      <c r="M4165">
        <v>0</v>
      </c>
      <c r="N4165">
        <v>2</v>
      </c>
      <c r="O4165">
        <v>0</v>
      </c>
      <c r="P4165">
        <v>1</v>
      </c>
      <c r="Q4165">
        <v>0</v>
      </c>
      <c r="R4165" t="s">
        <v>127</v>
      </c>
      <c r="S4165" t="str">
        <f t="shared" si="1646"/>
        <v>15:16:05.000</v>
      </c>
      <c r="T4165" t="str">
        <f t="shared" si="1646"/>
        <v>15:16:05.000</v>
      </c>
      <c r="U4165" t="str">
        <f t="shared" si="1649"/>
        <v>A68FCB</v>
      </c>
      <c r="V4165">
        <v>0</v>
      </c>
      <c r="W4165">
        <v>0</v>
      </c>
      <c r="X4165">
        <v>2</v>
      </c>
      <c r="Y4165">
        <v>0</v>
      </c>
      <c r="AA4165">
        <v>1</v>
      </c>
      <c r="AB4165">
        <v>8</v>
      </c>
      <c r="AC4165">
        <v>3</v>
      </c>
      <c r="AD4165">
        <v>0</v>
      </c>
      <c r="AE4165">
        <v>9</v>
      </c>
      <c r="AF4165" t="s">
        <v>138</v>
      </c>
      <c r="AG4165">
        <v>0</v>
      </c>
      <c r="AH4165">
        <v>3</v>
      </c>
      <c r="AI4165">
        <v>2</v>
      </c>
      <c r="AJ4165">
        <v>0</v>
      </c>
      <c r="AK4165" t="s">
        <v>1320</v>
      </c>
      <c r="AL4165">
        <v>39.190356999999999</v>
      </c>
      <c r="AM4165" t="s">
        <v>1321</v>
      </c>
      <c r="AN4165">
        <v>-121.020627</v>
      </c>
      <c r="AO4165">
        <v>25</v>
      </c>
      <c r="AP4165">
        <v>4400</v>
      </c>
      <c r="AQ4165" t="s">
        <v>131</v>
      </c>
      <c r="AR4165">
        <v>34</v>
      </c>
      <c r="AS4165">
        <v>68</v>
      </c>
      <c r="AT4165">
        <v>-320</v>
      </c>
      <c r="BB4165" t="str">
        <f t="shared" si="1650"/>
        <v>1200</v>
      </c>
      <c r="BC4165">
        <v>1</v>
      </c>
      <c r="BD4165" t="str">
        <f t="shared" si="1651"/>
        <v xml:space="preserve">N52156  </v>
      </c>
      <c r="BE4165">
        <v>1</v>
      </c>
      <c r="BG4165">
        <v>0</v>
      </c>
      <c r="BH4165">
        <v>0</v>
      </c>
      <c r="BI4165">
        <v>0</v>
      </c>
      <c r="BJ4165">
        <v>4475</v>
      </c>
      <c r="BK4165">
        <v>75</v>
      </c>
      <c r="BL4165" t="s">
        <v>188</v>
      </c>
      <c r="BM4165">
        <v>1</v>
      </c>
      <c r="BN4165">
        <v>1</v>
      </c>
      <c r="BO4165">
        <v>0</v>
      </c>
      <c r="BP4165">
        <v>0</v>
      </c>
      <c r="BS4165">
        <v>0</v>
      </c>
      <c r="BT4165">
        <v>0</v>
      </c>
      <c r="BU4165">
        <v>0</v>
      </c>
      <c r="CE4165" t="str">
        <f t="shared" si="1647"/>
        <v>15:16:05.772</v>
      </c>
      <c r="CF4165">
        <v>772328622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3</v>
      </c>
      <c r="CY4165">
        <v>7</v>
      </c>
      <c r="CZ4165" t="s">
        <v>133</v>
      </c>
      <c r="DA4165">
        <v>276</v>
      </c>
      <c r="DB4165">
        <v>0</v>
      </c>
      <c r="DC4165" t="s">
        <v>402</v>
      </c>
      <c r="DD4165" t="s">
        <v>403</v>
      </c>
      <c r="DG4165">
        <v>1628438</v>
      </c>
      <c r="DI4165">
        <v>1</v>
      </c>
      <c r="DJ4165">
        <v>0</v>
      </c>
      <c r="DK4165">
        <v>1</v>
      </c>
      <c r="DL4165">
        <v>0</v>
      </c>
      <c r="DM4165">
        <v>0</v>
      </c>
      <c r="DN4165">
        <v>0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 x14ac:dyDescent="0.3">
      <c r="A4166" t="str">
        <f>"05/01/2025 15:16:07.116"</f>
        <v>05/01/2025 15:16:07.116</v>
      </c>
      <c r="C4166" t="str">
        <f t="shared" si="1648"/>
        <v>FFDFD3C0</v>
      </c>
      <c r="D4166" t="s">
        <v>136</v>
      </c>
      <c r="E4166" t="str">
        <f>"20"</f>
        <v>20</v>
      </c>
      <c r="H4166">
        <v>400</v>
      </c>
      <c r="I4166" t="s">
        <v>137</v>
      </c>
      <c r="J4166" t="s">
        <v>138</v>
      </c>
      <c r="K4166">
        <v>0</v>
      </c>
      <c r="L4166">
        <v>3</v>
      </c>
      <c r="M4166">
        <v>0</v>
      </c>
      <c r="N4166">
        <v>2</v>
      </c>
      <c r="O4166">
        <v>0</v>
      </c>
      <c r="P4166">
        <v>1</v>
      </c>
      <c r="Q4166">
        <v>0</v>
      </c>
      <c r="R4166" t="s">
        <v>127</v>
      </c>
      <c r="S4166" t="str">
        <f t="shared" ref="S4166:T4171" si="1652">"15:16:06.000"</f>
        <v>15:16:06.000</v>
      </c>
      <c r="T4166" t="str">
        <f t="shared" si="1652"/>
        <v>15:16:06.000</v>
      </c>
      <c r="U4166" t="str">
        <f t="shared" si="1649"/>
        <v>A68FCB</v>
      </c>
      <c r="V4166">
        <v>0</v>
      </c>
      <c r="W4166">
        <v>0</v>
      </c>
      <c r="X4166">
        <v>2</v>
      </c>
      <c r="Y4166">
        <v>0</v>
      </c>
      <c r="AA4166">
        <v>1</v>
      </c>
      <c r="AB4166">
        <v>8</v>
      </c>
      <c r="AC4166">
        <v>3</v>
      </c>
      <c r="AD4166">
        <v>0</v>
      </c>
      <c r="AE4166">
        <v>9</v>
      </c>
      <c r="AF4166" t="s">
        <v>138</v>
      </c>
      <c r="AG4166">
        <v>0</v>
      </c>
      <c r="AH4166">
        <v>3</v>
      </c>
      <c r="AI4166">
        <v>2</v>
      </c>
      <c r="AJ4166">
        <v>0</v>
      </c>
      <c r="AK4166" t="s">
        <v>1322</v>
      </c>
      <c r="AL4166">
        <v>39.190679000000003</v>
      </c>
      <c r="AM4166" t="s">
        <v>1323</v>
      </c>
      <c r="AN4166">
        <v>-121.02041199999999</v>
      </c>
      <c r="AO4166">
        <v>25</v>
      </c>
      <c r="AP4166">
        <v>4400</v>
      </c>
      <c r="AQ4166" t="s">
        <v>131</v>
      </c>
      <c r="AR4166">
        <v>34</v>
      </c>
      <c r="AS4166">
        <v>67</v>
      </c>
      <c r="AT4166">
        <v>-320</v>
      </c>
      <c r="BB4166" t="str">
        <f t="shared" si="1650"/>
        <v>1200</v>
      </c>
      <c r="BC4166">
        <v>1</v>
      </c>
      <c r="BD4166" t="str">
        <f t="shared" si="1651"/>
        <v xml:space="preserve">N52156  </v>
      </c>
      <c r="BE4166">
        <v>1</v>
      </c>
      <c r="BG4166">
        <v>0</v>
      </c>
      <c r="BH4166">
        <v>0</v>
      </c>
      <c r="BI4166">
        <v>0</v>
      </c>
      <c r="BJ4166">
        <v>4475</v>
      </c>
      <c r="BK4166">
        <v>75</v>
      </c>
      <c r="BL4166" t="s">
        <v>188</v>
      </c>
      <c r="BM4166">
        <v>1</v>
      </c>
      <c r="BN4166">
        <v>1</v>
      </c>
      <c r="BO4166">
        <v>0</v>
      </c>
      <c r="BP4166">
        <v>0</v>
      </c>
      <c r="BS4166">
        <v>0</v>
      </c>
      <c r="BT4166">
        <v>0</v>
      </c>
      <c r="BU4166">
        <v>0</v>
      </c>
      <c r="CE4166" t="str">
        <f t="shared" ref="CE4166:CE4171" si="1653">"15:16:06.897"</f>
        <v>15:16:06.897</v>
      </c>
      <c r="CF4166">
        <v>896829255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3</v>
      </c>
      <c r="CY4166">
        <v>7</v>
      </c>
      <c r="CZ4166" t="s">
        <v>133</v>
      </c>
      <c r="DA4166">
        <v>276</v>
      </c>
      <c r="DB4166">
        <v>0</v>
      </c>
      <c r="DC4166" t="s">
        <v>402</v>
      </c>
      <c r="DD4166" t="s">
        <v>403</v>
      </c>
      <c r="DG4166">
        <v>1628441</v>
      </c>
      <c r="DI4166">
        <v>1</v>
      </c>
      <c r="DJ4166">
        <v>0</v>
      </c>
      <c r="DK4166">
        <v>0</v>
      </c>
      <c r="DL4166">
        <v>0</v>
      </c>
      <c r="DM4166">
        <v>0</v>
      </c>
      <c r="DN4166">
        <v>0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 x14ac:dyDescent="0.3">
      <c r="A4167" t="str">
        <f>"05/01/2025 15:16:07.136"</f>
        <v>05/01/2025 15:16:07.136</v>
      </c>
      <c r="C4167" t="str">
        <f t="shared" si="1648"/>
        <v>FFDFD3C0</v>
      </c>
      <c r="D4167" t="s">
        <v>140</v>
      </c>
      <c r="E4167" t="str">
        <f>"13"</f>
        <v>13</v>
      </c>
      <c r="F4167">
        <v>1019</v>
      </c>
      <c r="G4167" t="s">
        <v>141</v>
      </c>
      <c r="J4167" t="s">
        <v>142</v>
      </c>
      <c r="K4167">
        <v>0</v>
      </c>
      <c r="L4167">
        <v>3</v>
      </c>
      <c r="M4167">
        <v>0</v>
      </c>
      <c r="N4167">
        <v>2</v>
      </c>
      <c r="O4167">
        <v>0</v>
      </c>
      <c r="P4167">
        <v>1</v>
      </c>
      <c r="Q4167">
        <v>0</v>
      </c>
      <c r="R4167" t="s">
        <v>127</v>
      </c>
      <c r="S4167" t="str">
        <f t="shared" si="1652"/>
        <v>15:16:06.000</v>
      </c>
      <c r="T4167" t="str">
        <f t="shared" si="1652"/>
        <v>15:16:06.000</v>
      </c>
      <c r="U4167" t="str">
        <f t="shared" si="1649"/>
        <v>A68FCB</v>
      </c>
      <c r="V4167">
        <v>0</v>
      </c>
      <c r="W4167">
        <v>0</v>
      </c>
      <c r="X4167">
        <v>2</v>
      </c>
      <c r="Y4167">
        <v>0</v>
      </c>
      <c r="AA4167">
        <v>1</v>
      </c>
      <c r="AB4167">
        <v>8</v>
      </c>
      <c r="AC4167">
        <v>3</v>
      </c>
      <c r="AD4167">
        <v>0</v>
      </c>
      <c r="AE4167">
        <v>9</v>
      </c>
      <c r="AF4167" t="s">
        <v>138</v>
      </c>
      <c r="AG4167">
        <v>0</v>
      </c>
      <c r="AH4167">
        <v>3</v>
      </c>
      <c r="AI4167">
        <v>2</v>
      </c>
      <c r="AJ4167">
        <v>0</v>
      </c>
      <c r="AK4167" t="s">
        <v>1322</v>
      </c>
      <c r="AL4167">
        <v>39.190679000000003</v>
      </c>
      <c r="AM4167" t="s">
        <v>1323</v>
      </c>
      <c r="AN4167">
        <v>-121.02041199999999</v>
      </c>
      <c r="AO4167">
        <v>25</v>
      </c>
      <c r="AP4167">
        <v>4400</v>
      </c>
      <c r="AQ4167" t="s">
        <v>131</v>
      </c>
      <c r="AR4167">
        <v>34</v>
      </c>
      <c r="AS4167">
        <v>67</v>
      </c>
      <c r="AT4167">
        <v>-320</v>
      </c>
      <c r="BB4167" t="str">
        <f t="shared" si="1650"/>
        <v>1200</v>
      </c>
      <c r="BC4167">
        <v>1</v>
      </c>
      <c r="BD4167" t="str">
        <f t="shared" si="1651"/>
        <v xml:space="preserve">N52156  </v>
      </c>
      <c r="BE4167">
        <v>1</v>
      </c>
      <c r="BG4167">
        <v>0</v>
      </c>
      <c r="BH4167">
        <v>0</v>
      </c>
      <c r="BI4167">
        <v>0</v>
      </c>
      <c r="BJ4167">
        <v>4475</v>
      </c>
      <c r="BK4167">
        <v>75</v>
      </c>
      <c r="BL4167" t="s">
        <v>188</v>
      </c>
      <c r="BM4167">
        <v>1</v>
      </c>
      <c r="BN4167">
        <v>1</v>
      </c>
      <c r="BO4167">
        <v>0</v>
      </c>
      <c r="BP4167">
        <v>0</v>
      </c>
      <c r="BS4167">
        <v>0</v>
      </c>
      <c r="BT4167">
        <v>0</v>
      </c>
      <c r="BU4167">
        <v>0</v>
      </c>
      <c r="CE4167" t="str">
        <f t="shared" si="1653"/>
        <v>15:16:06.897</v>
      </c>
      <c r="CF4167">
        <v>896829255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3</v>
      </c>
      <c r="CY4167">
        <v>7</v>
      </c>
      <c r="CZ4167" t="s">
        <v>133</v>
      </c>
      <c r="DA4167">
        <v>276</v>
      </c>
      <c r="DB4167">
        <v>0</v>
      </c>
      <c r="DC4167" t="s">
        <v>402</v>
      </c>
      <c r="DD4167" t="s">
        <v>403</v>
      </c>
      <c r="DG4167">
        <v>1628441</v>
      </c>
      <c r="DI4167">
        <v>1</v>
      </c>
      <c r="DJ4167">
        <v>0</v>
      </c>
      <c r="DK4167">
        <v>1</v>
      </c>
      <c r="DL4167">
        <v>0</v>
      </c>
      <c r="DM4167">
        <v>0</v>
      </c>
      <c r="DN4167">
        <v>0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 x14ac:dyDescent="0.3">
      <c r="A4168" t="str">
        <f>"05/01/2025 15:16:07.139"</f>
        <v>05/01/2025 15:16:07.139</v>
      </c>
      <c r="C4168" t="str">
        <f t="shared" si="1648"/>
        <v>FFDFD3C0</v>
      </c>
      <c r="D4168" t="s">
        <v>124</v>
      </c>
      <c r="E4168" t="str">
        <f>"06"</f>
        <v>06</v>
      </c>
      <c r="F4168">
        <v>2006</v>
      </c>
      <c r="G4168" t="s">
        <v>125</v>
      </c>
      <c r="J4168" t="s">
        <v>126</v>
      </c>
      <c r="K4168">
        <v>0</v>
      </c>
      <c r="L4168">
        <v>3</v>
      </c>
      <c r="M4168">
        <v>0</v>
      </c>
      <c r="N4168">
        <v>2</v>
      </c>
      <c r="O4168">
        <v>0</v>
      </c>
      <c r="P4168">
        <v>1</v>
      </c>
      <c r="Q4168">
        <v>0</v>
      </c>
      <c r="R4168" t="s">
        <v>127</v>
      </c>
      <c r="S4168" t="str">
        <f t="shared" si="1652"/>
        <v>15:16:06.000</v>
      </c>
      <c r="T4168" t="str">
        <f t="shared" si="1652"/>
        <v>15:16:06.000</v>
      </c>
      <c r="U4168" t="str">
        <f t="shared" si="1649"/>
        <v>A68FCB</v>
      </c>
      <c r="V4168">
        <v>0</v>
      </c>
      <c r="W4168">
        <v>0</v>
      </c>
      <c r="X4168">
        <v>2</v>
      </c>
      <c r="Y4168">
        <v>0</v>
      </c>
      <c r="AA4168">
        <v>1</v>
      </c>
      <c r="AB4168">
        <v>8</v>
      </c>
      <c r="AC4168">
        <v>3</v>
      </c>
      <c r="AD4168">
        <v>0</v>
      </c>
      <c r="AE4168">
        <v>9</v>
      </c>
      <c r="AF4168" t="s">
        <v>138</v>
      </c>
      <c r="AG4168">
        <v>0</v>
      </c>
      <c r="AH4168">
        <v>3</v>
      </c>
      <c r="AI4168">
        <v>2</v>
      </c>
      <c r="AJ4168">
        <v>0</v>
      </c>
      <c r="AK4168" t="s">
        <v>1322</v>
      </c>
      <c r="AL4168">
        <v>39.190679000000003</v>
      </c>
      <c r="AM4168" t="s">
        <v>1323</v>
      </c>
      <c r="AN4168">
        <v>-121.02041199999999</v>
      </c>
      <c r="AO4168">
        <v>25</v>
      </c>
      <c r="AP4168">
        <v>4400</v>
      </c>
      <c r="AQ4168" t="s">
        <v>131</v>
      </c>
      <c r="AR4168">
        <v>34</v>
      </c>
      <c r="AS4168">
        <v>67</v>
      </c>
      <c r="AT4168">
        <v>-320</v>
      </c>
      <c r="BB4168" t="str">
        <f t="shared" si="1650"/>
        <v>1200</v>
      </c>
      <c r="BC4168">
        <v>1</v>
      </c>
      <c r="BD4168" t="str">
        <f t="shared" si="1651"/>
        <v xml:space="preserve">N52156  </v>
      </c>
      <c r="BE4168">
        <v>1</v>
      </c>
      <c r="BG4168">
        <v>0</v>
      </c>
      <c r="BH4168">
        <v>0</v>
      </c>
      <c r="BI4168">
        <v>0</v>
      </c>
      <c r="BJ4168">
        <v>4475</v>
      </c>
      <c r="BK4168">
        <v>75</v>
      </c>
      <c r="BL4168" t="s">
        <v>188</v>
      </c>
      <c r="BM4168">
        <v>1</v>
      </c>
      <c r="BN4168">
        <v>1</v>
      </c>
      <c r="BO4168">
        <v>0</v>
      </c>
      <c r="BP4168">
        <v>0</v>
      </c>
      <c r="BS4168">
        <v>0</v>
      </c>
      <c r="BT4168">
        <v>0</v>
      </c>
      <c r="BU4168">
        <v>0</v>
      </c>
      <c r="CE4168" t="str">
        <f t="shared" si="1653"/>
        <v>15:16:06.897</v>
      </c>
      <c r="CF4168">
        <v>896829255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3</v>
      </c>
      <c r="CY4168">
        <v>7</v>
      </c>
      <c r="CZ4168" t="s">
        <v>133</v>
      </c>
      <c r="DA4168">
        <v>276</v>
      </c>
      <c r="DB4168">
        <v>0</v>
      </c>
      <c r="DC4168" t="s">
        <v>402</v>
      </c>
      <c r="DD4168" t="s">
        <v>403</v>
      </c>
      <c r="DG4168">
        <v>1628441</v>
      </c>
      <c r="DI4168">
        <v>1</v>
      </c>
      <c r="DJ4168">
        <v>0</v>
      </c>
      <c r="DK4168">
        <v>1</v>
      </c>
      <c r="DL4168">
        <v>0</v>
      </c>
      <c r="DM4168">
        <v>0</v>
      </c>
      <c r="DN4168">
        <v>0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 x14ac:dyDescent="0.3">
      <c r="A4169" t="str">
        <f>"05/01/2025 15:16:07.137"</f>
        <v>05/01/2025 15:16:07.137</v>
      </c>
      <c r="C4169" t="str">
        <f t="shared" si="1648"/>
        <v>FFDFD3C0</v>
      </c>
      <c r="D4169" t="s">
        <v>143</v>
      </c>
      <c r="E4169" t="str">
        <f>"05"</f>
        <v>05</v>
      </c>
      <c r="H4169">
        <v>172</v>
      </c>
      <c r="I4169" t="s">
        <v>141</v>
      </c>
      <c r="J4169" t="s">
        <v>144</v>
      </c>
      <c r="K4169">
        <v>0</v>
      </c>
      <c r="L4169">
        <v>3</v>
      </c>
      <c r="M4169">
        <v>0</v>
      </c>
      <c r="N4169">
        <v>2</v>
      </c>
      <c r="O4169">
        <v>0</v>
      </c>
      <c r="P4169">
        <v>1</v>
      </c>
      <c r="Q4169">
        <v>0</v>
      </c>
      <c r="R4169" t="s">
        <v>127</v>
      </c>
      <c r="S4169" t="str">
        <f t="shared" si="1652"/>
        <v>15:16:06.000</v>
      </c>
      <c r="T4169" t="str">
        <f t="shared" si="1652"/>
        <v>15:16:06.000</v>
      </c>
      <c r="U4169" t="str">
        <f t="shared" si="1649"/>
        <v>A68FCB</v>
      </c>
      <c r="V4169">
        <v>0</v>
      </c>
      <c r="W4169">
        <v>0</v>
      </c>
      <c r="X4169">
        <v>2</v>
      </c>
      <c r="Y4169">
        <v>0</v>
      </c>
      <c r="AA4169">
        <v>1</v>
      </c>
      <c r="AB4169">
        <v>8</v>
      </c>
      <c r="AC4169">
        <v>3</v>
      </c>
      <c r="AD4169">
        <v>0</v>
      </c>
      <c r="AE4169">
        <v>9</v>
      </c>
      <c r="AF4169" t="s">
        <v>138</v>
      </c>
      <c r="AG4169">
        <v>0</v>
      </c>
      <c r="AH4169">
        <v>3</v>
      </c>
      <c r="AI4169">
        <v>2</v>
      </c>
      <c r="AJ4169">
        <v>0</v>
      </c>
      <c r="AK4169" t="s">
        <v>1322</v>
      </c>
      <c r="AL4169">
        <v>39.190679000000003</v>
      </c>
      <c r="AM4169" t="s">
        <v>1323</v>
      </c>
      <c r="AN4169">
        <v>-121.02041199999999</v>
      </c>
      <c r="AO4169">
        <v>25</v>
      </c>
      <c r="AP4169">
        <v>4400</v>
      </c>
      <c r="AQ4169" t="s">
        <v>131</v>
      </c>
      <c r="AR4169">
        <v>34</v>
      </c>
      <c r="AS4169">
        <v>67</v>
      </c>
      <c r="AT4169">
        <v>-320</v>
      </c>
      <c r="BB4169" t="str">
        <f t="shared" si="1650"/>
        <v>1200</v>
      </c>
      <c r="BC4169">
        <v>1</v>
      </c>
      <c r="BD4169" t="str">
        <f t="shared" si="1651"/>
        <v xml:space="preserve">N52156  </v>
      </c>
      <c r="BE4169">
        <v>1</v>
      </c>
      <c r="BG4169">
        <v>0</v>
      </c>
      <c r="BH4169">
        <v>0</v>
      </c>
      <c r="BI4169">
        <v>0</v>
      </c>
      <c r="BJ4169">
        <v>4475</v>
      </c>
      <c r="BK4169">
        <v>75</v>
      </c>
      <c r="BL4169" t="s">
        <v>188</v>
      </c>
      <c r="BM4169">
        <v>1</v>
      </c>
      <c r="BN4169">
        <v>1</v>
      </c>
      <c r="BO4169">
        <v>0</v>
      </c>
      <c r="BP4169">
        <v>0</v>
      </c>
      <c r="BS4169">
        <v>0</v>
      </c>
      <c r="BT4169">
        <v>0</v>
      </c>
      <c r="BU4169">
        <v>0</v>
      </c>
      <c r="CE4169" t="str">
        <f t="shared" si="1653"/>
        <v>15:16:06.897</v>
      </c>
      <c r="CF4169">
        <v>896829255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3</v>
      </c>
      <c r="CY4169">
        <v>7</v>
      </c>
      <c r="CZ4169" t="s">
        <v>133</v>
      </c>
      <c r="DA4169">
        <v>276</v>
      </c>
      <c r="DB4169">
        <v>0</v>
      </c>
      <c r="DC4169" t="s">
        <v>402</v>
      </c>
      <c r="DD4169" t="s">
        <v>403</v>
      </c>
      <c r="DG4169">
        <v>1628441</v>
      </c>
      <c r="DI4169">
        <v>1</v>
      </c>
      <c r="DJ4169">
        <v>0</v>
      </c>
      <c r="DK4169">
        <v>1</v>
      </c>
      <c r="DL4169">
        <v>0</v>
      </c>
      <c r="DM4169">
        <v>0</v>
      </c>
      <c r="DN4169">
        <v>0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 x14ac:dyDescent="0.3">
      <c r="A4170" t="str">
        <f>"05/01/2025 15:16:07.151"</f>
        <v>05/01/2025 15:16:07.151</v>
      </c>
      <c r="C4170" t="str">
        <f t="shared" si="1648"/>
        <v>FFDFD3C0</v>
      </c>
      <c r="D4170" t="s">
        <v>145</v>
      </c>
      <c r="E4170" t="str">
        <f>"09"</f>
        <v>09</v>
      </c>
      <c r="H4170">
        <v>51</v>
      </c>
      <c r="I4170" t="s">
        <v>147</v>
      </c>
      <c r="J4170" t="s">
        <v>138</v>
      </c>
      <c r="K4170">
        <v>0</v>
      </c>
      <c r="L4170">
        <v>3</v>
      </c>
      <c r="M4170">
        <v>0</v>
      </c>
      <c r="N4170">
        <v>2</v>
      </c>
      <c r="O4170">
        <v>0</v>
      </c>
      <c r="P4170">
        <v>1</v>
      </c>
      <c r="Q4170">
        <v>0</v>
      </c>
      <c r="R4170" t="s">
        <v>127</v>
      </c>
      <c r="S4170" t="str">
        <f t="shared" si="1652"/>
        <v>15:16:06.000</v>
      </c>
      <c r="T4170" t="str">
        <f t="shared" si="1652"/>
        <v>15:16:06.000</v>
      </c>
      <c r="U4170" t="str">
        <f t="shared" si="1649"/>
        <v>A68FCB</v>
      </c>
      <c r="V4170">
        <v>0</v>
      </c>
      <c r="W4170">
        <v>0</v>
      </c>
      <c r="X4170">
        <v>2</v>
      </c>
      <c r="Y4170">
        <v>0</v>
      </c>
      <c r="AA4170">
        <v>1</v>
      </c>
      <c r="AB4170">
        <v>8</v>
      </c>
      <c r="AC4170">
        <v>3</v>
      </c>
      <c r="AD4170">
        <v>0</v>
      </c>
      <c r="AE4170">
        <v>9</v>
      </c>
      <c r="AF4170" t="s">
        <v>138</v>
      </c>
      <c r="AG4170">
        <v>0</v>
      </c>
      <c r="AH4170">
        <v>3</v>
      </c>
      <c r="AI4170">
        <v>2</v>
      </c>
      <c r="AJ4170">
        <v>0</v>
      </c>
      <c r="AK4170" t="s">
        <v>1322</v>
      </c>
      <c r="AL4170">
        <v>39.190679000000003</v>
      </c>
      <c r="AM4170" t="s">
        <v>1323</v>
      </c>
      <c r="AN4170">
        <v>-121.02041199999999</v>
      </c>
      <c r="AO4170">
        <v>25</v>
      </c>
      <c r="AP4170">
        <v>4400</v>
      </c>
      <c r="AQ4170" t="s">
        <v>131</v>
      </c>
      <c r="AR4170">
        <v>34</v>
      </c>
      <c r="AS4170">
        <v>67</v>
      </c>
      <c r="AT4170">
        <v>-320</v>
      </c>
      <c r="BB4170" t="str">
        <f t="shared" si="1650"/>
        <v>1200</v>
      </c>
      <c r="BC4170">
        <v>1</v>
      </c>
      <c r="BD4170" t="str">
        <f t="shared" si="1651"/>
        <v xml:space="preserve">N52156  </v>
      </c>
      <c r="BE4170">
        <v>1</v>
      </c>
      <c r="BG4170">
        <v>0</v>
      </c>
      <c r="BH4170">
        <v>0</v>
      </c>
      <c r="BI4170">
        <v>0</v>
      </c>
      <c r="BJ4170">
        <v>4475</v>
      </c>
      <c r="BK4170">
        <v>75</v>
      </c>
      <c r="BL4170" t="s">
        <v>188</v>
      </c>
      <c r="BM4170">
        <v>1</v>
      </c>
      <c r="BN4170">
        <v>1</v>
      </c>
      <c r="BO4170">
        <v>0</v>
      </c>
      <c r="BP4170">
        <v>0</v>
      </c>
      <c r="BS4170">
        <v>0</v>
      </c>
      <c r="BT4170">
        <v>0</v>
      </c>
      <c r="BU4170">
        <v>0</v>
      </c>
      <c r="CE4170" t="str">
        <f t="shared" si="1653"/>
        <v>15:16:06.897</v>
      </c>
      <c r="CF4170">
        <v>896829255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3</v>
      </c>
      <c r="CY4170">
        <v>7</v>
      </c>
      <c r="CZ4170" t="s">
        <v>133</v>
      </c>
      <c r="DA4170">
        <v>276</v>
      </c>
      <c r="DB4170">
        <v>0</v>
      </c>
      <c r="DC4170" t="s">
        <v>402</v>
      </c>
      <c r="DD4170" t="s">
        <v>403</v>
      </c>
      <c r="DG4170">
        <v>1628441</v>
      </c>
      <c r="DI4170">
        <v>1</v>
      </c>
      <c r="DJ4170">
        <v>0</v>
      </c>
      <c r="DK4170">
        <v>1</v>
      </c>
      <c r="DL4170">
        <v>0</v>
      </c>
      <c r="DM4170">
        <v>0</v>
      </c>
      <c r="DN4170">
        <v>0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 x14ac:dyDescent="0.3">
      <c r="A4171" t="str">
        <f>"05/01/2025 15:16:07.155"</f>
        <v>05/01/2025 15:16:07.155</v>
      </c>
      <c r="C4171" t="str">
        <f t="shared" si="1648"/>
        <v>FFDFD3C0</v>
      </c>
      <c r="D4171" t="s">
        <v>145</v>
      </c>
      <c r="E4171" t="str">
        <f>"05"</f>
        <v>05</v>
      </c>
      <c r="H4171">
        <v>47</v>
      </c>
      <c r="I4171" t="s">
        <v>146</v>
      </c>
      <c r="J4171" t="s">
        <v>138</v>
      </c>
      <c r="K4171">
        <v>0</v>
      </c>
      <c r="L4171">
        <v>3</v>
      </c>
      <c r="M4171">
        <v>0</v>
      </c>
      <c r="N4171">
        <v>2</v>
      </c>
      <c r="O4171">
        <v>0</v>
      </c>
      <c r="P4171">
        <v>1</v>
      </c>
      <c r="Q4171">
        <v>0</v>
      </c>
      <c r="R4171" t="s">
        <v>127</v>
      </c>
      <c r="S4171" t="str">
        <f t="shared" si="1652"/>
        <v>15:16:06.000</v>
      </c>
      <c r="T4171" t="str">
        <f t="shared" si="1652"/>
        <v>15:16:06.000</v>
      </c>
      <c r="U4171" t="str">
        <f t="shared" si="1649"/>
        <v>A68FCB</v>
      </c>
      <c r="V4171">
        <v>0</v>
      </c>
      <c r="W4171">
        <v>0</v>
      </c>
      <c r="X4171">
        <v>2</v>
      </c>
      <c r="Y4171">
        <v>0</v>
      </c>
      <c r="AA4171">
        <v>1</v>
      </c>
      <c r="AB4171">
        <v>8</v>
      </c>
      <c r="AC4171">
        <v>3</v>
      </c>
      <c r="AD4171">
        <v>0</v>
      </c>
      <c r="AE4171">
        <v>9</v>
      </c>
      <c r="AF4171" t="s">
        <v>138</v>
      </c>
      <c r="AG4171">
        <v>0</v>
      </c>
      <c r="AH4171">
        <v>3</v>
      </c>
      <c r="AI4171">
        <v>2</v>
      </c>
      <c r="AJ4171">
        <v>0</v>
      </c>
      <c r="AK4171" t="s">
        <v>1322</v>
      </c>
      <c r="AL4171">
        <v>39.190679000000003</v>
      </c>
      <c r="AM4171" t="s">
        <v>1323</v>
      </c>
      <c r="AN4171">
        <v>-121.02041199999999</v>
      </c>
      <c r="AO4171">
        <v>25</v>
      </c>
      <c r="AP4171">
        <v>4400</v>
      </c>
      <c r="AQ4171" t="s">
        <v>131</v>
      </c>
      <c r="AR4171">
        <v>34</v>
      </c>
      <c r="AS4171">
        <v>67</v>
      </c>
      <c r="AT4171">
        <v>-320</v>
      </c>
      <c r="BB4171" t="str">
        <f t="shared" si="1650"/>
        <v>1200</v>
      </c>
      <c r="BC4171">
        <v>1</v>
      </c>
      <c r="BD4171" t="str">
        <f t="shared" si="1651"/>
        <v xml:space="preserve">N52156  </v>
      </c>
      <c r="BE4171">
        <v>1</v>
      </c>
      <c r="BG4171">
        <v>0</v>
      </c>
      <c r="BH4171">
        <v>0</v>
      </c>
      <c r="BI4171">
        <v>0</v>
      </c>
      <c r="BJ4171">
        <v>4475</v>
      </c>
      <c r="BK4171">
        <v>75</v>
      </c>
      <c r="BL4171" t="s">
        <v>188</v>
      </c>
      <c r="BM4171">
        <v>1</v>
      </c>
      <c r="BN4171">
        <v>1</v>
      </c>
      <c r="BO4171">
        <v>0</v>
      </c>
      <c r="BP4171">
        <v>0</v>
      </c>
      <c r="BS4171">
        <v>0</v>
      </c>
      <c r="BT4171">
        <v>0</v>
      </c>
      <c r="BU4171">
        <v>0</v>
      </c>
      <c r="CE4171" t="str">
        <f t="shared" si="1653"/>
        <v>15:16:06.897</v>
      </c>
      <c r="CF4171">
        <v>896829255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3</v>
      </c>
      <c r="CY4171">
        <v>7</v>
      </c>
      <c r="CZ4171" t="s">
        <v>133</v>
      </c>
      <c r="DA4171">
        <v>276</v>
      </c>
      <c r="DB4171">
        <v>0</v>
      </c>
      <c r="DC4171" t="s">
        <v>402</v>
      </c>
      <c r="DD4171" t="s">
        <v>403</v>
      </c>
      <c r="DG4171">
        <v>1628441</v>
      </c>
      <c r="DI4171">
        <v>1</v>
      </c>
      <c r="DJ4171">
        <v>0</v>
      </c>
      <c r="DK4171">
        <v>1</v>
      </c>
      <c r="DL4171">
        <v>0</v>
      </c>
      <c r="DM4171">
        <v>0</v>
      </c>
      <c r="DN4171">
        <v>0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 x14ac:dyDescent="0.3">
      <c r="A4172" t="str">
        <f>"05/01/2025 15:16:07.790"</f>
        <v>05/01/2025 15:16:07.790</v>
      </c>
      <c r="C4172" t="str">
        <f t="shared" si="1648"/>
        <v>FFDFD3C0</v>
      </c>
      <c r="D4172" t="s">
        <v>124</v>
      </c>
      <c r="E4172" t="str">
        <f>"06"</f>
        <v>06</v>
      </c>
      <c r="F4172">
        <v>2006</v>
      </c>
      <c r="G4172" t="s">
        <v>125</v>
      </c>
      <c r="J4172" t="s">
        <v>126</v>
      </c>
      <c r="K4172">
        <v>0</v>
      </c>
      <c r="L4172">
        <v>3</v>
      </c>
      <c r="M4172">
        <v>0</v>
      </c>
      <c r="N4172">
        <v>2</v>
      </c>
      <c r="O4172">
        <v>0</v>
      </c>
      <c r="P4172">
        <v>1</v>
      </c>
      <c r="Q4172">
        <v>0</v>
      </c>
      <c r="R4172" t="s">
        <v>127</v>
      </c>
      <c r="S4172" t="str">
        <f t="shared" ref="S4172:T4177" si="1654">"15:16:07.000"</f>
        <v>15:16:07.000</v>
      </c>
      <c r="T4172" t="str">
        <f t="shared" si="1654"/>
        <v>15:16:07.000</v>
      </c>
      <c r="U4172" t="str">
        <f t="shared" si="1649"/>
        <v>A68FCB</v>
      </c>
      <c r="V4172">
        <v>0</v>
      </c>
      <c r="W4172">
        <v>0</v>
      </c>
      <c r="X4172">
        <v>2</v>
      </c>
      <c r="Y4172">
        <v>0</v>
      </c>
      <c r="AA4172">
        <v>1</v>
      </c>
      <c r="AB4172">
        <v>8</v>
      </c>
      <c r="AC4172">
        <v>3</v>
      </c>
      <c r="AD4172">
        <v>0</v>
      </c>
      <c r="AE4172">
        <v>9</v>
      </c>
      <c r="AF4172" t="s">
        <v>138</v>
      </c>
      <c r="AG4172">
        <v>0</v>
      </c>
      <c r="AH4172">
        <v>3</v>
      </c>
      <c r="AI4172">
        <v>2</v>
      </c>
      <c r="AJ4172">
        <v>0</v>
      </c>
      <c r="AK4172" t="s">
        <v>1324</v>
      </c>
      <c r="AL4172">
        <v>39.191000000000003</v>
      </c>
      <c r="AM4172" t="s">
        <v>1325</v>
      </c>
      <c r="AN4172">
        <v>-121.020219</v>
      </c>
      <c r="AO4172">
        <v>25</v>
      </c>
      <c r="AP4172">
        <v>4400</v>
      </c>
      <c r="AQ4172" t="s">
        <v>131</v>
      </c>
      <c r="AR4172">
        <v>34</v>
      </c>
      <c r="AS4172">
        <v>67</v>
      </c>
      <c r="AT4172">
        <v>-320</v>
      </c>
      <c r="BB4172" t="str">
        <f t="shared" si="1650"/>
        <v>1200</v>
      </c>
      <c r="BC4172">
        <v>1</v>
      </c>
      <c r="BD4172" t="str">
        <f t="shared" si="1651"/>
        <v xml:space="preserve">N52156  </v>
      </c>
      <c r="BE4172">
        <v>1</v>
      </c>
      <c r="BG4172">
        <v>0</v>
      </c>
      <c r="BH4172">
        <v>0</v>
      </c>
      <c r="BI4172">
        <v>0</v>
      </c>
      <c r="BJ4172">
        <v>4450</v>
      </c>
      <c r="BK4172">
        <v>50</v>
      </c>
      <c r="BL4172" t="s">
        <v>188</v>
      </c>
      <c r="BM4172">
        <v>1</v>
      </c>
      <c r="BN4172">
        <v>1</v>
      </c>
      <c r="BO4172">
        <v>0</v>
      </c>
      <c r="BP4172">
        <v>0</v>
      </c>
      <c r="BS4172">
        <v>0</v>
      </c>
      <c r="BT4172">
        <v>0</v>
      </c>
      <c r="BU4172">
        <v>0</v>
      </c>
      <c r="CE4172" t="str">
        <f t="shared" ref="CE4172:CE4177" si="1655">"15:16:07.557"</f>
        <v>15:16:07.557</v>
      </c>
      <c r="CF4172">
        <v>557078479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3</v>
      </c>
      <c r="CY4172">
        <v>7</v>
      </c>
      <c r="CZ4172" t="s">
        <v>133</v>
      </c>
      <c r="DA4172">
        <v>276</v>
      </c>
      <c r="DB4172">
        <v>0</v>
      </c>
      <c r="DC4172" t="s">
        <v>402</v>
      </c>
      <c r="DD4172" t="s">
        <v>403</v>
      </c>
      <c r="DG4172">
        <v>1628442</v>
      </c>
      <c r="DI4172">
        <v>1</v>
      </c>
      <c r="DJ4172">
        <v>0</v>
      </c>
      <c r="DK4172">
        <v>0</v>
      </c>
      <c r="DL4172">
        <v>0</v>
      </c>
      <c r="DM4172">
        <v>0</v>
      </c>
      <c r="DN4172">
        <v>0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 x14ac:dyDescent="0.3">
      <c r="A4173" t="str">
        <f>"05/01/2025 15:16:07.789"</f>
        <v>05/01/2025 15:16:07.789</v>
      </c>
      <c r="C4173" t="str">
        <f t="shared" si="1648"/>
        <v>FFDFD3C0</v>
      </c>
      <c r="D4173" t="s">
        <v>143</v>
      </c>
      <c r="E4173" t="str">
        <f>"05"</f>
        <v>05</v>
      </c>
      <c r="H4173">
        <v>172</v>
      </c>
      <c r="I4173" t="s">
        <v>141</v>
      </c>
      <c r="J4173" t="s">
        <v>144</v>
      </c>
      <c r="K4173">
        <v>0</v>
      </c>
      <c r="L4173">
        <v>3</v>
      </c>
      <c r="M4173">
        <v>0</v>
      </c>
      <c r="N4173">
        <v>2</v>
      </c>
      <c r="O4173">
        <v>0</v>
      </c>
      <c r="P4173">
        <v>1</v>
      </c>
      <c r="Q4173">
        <v>0</v>
      </c>
      <c r="R4173" t="s">
        <v>127</v>
      </c>
      <c r="S4173" t="str">
        <f t="shared" si="1654"/>
        <v>15:16:07.000</v>
      </c>
      <c r="T4173" t="str">
        <f t="shared" si="1654"/>
        <v>15:16:07.000</v>
      </c>
      <c r="U4173" t="str">
        <f t="shared" si="1649"/>
        <v>A68FCB</v>
      </c>
      <c r="V4173">
        <v>0</v>
      </c>
      <c r="W4173">
        <v>0</v>
      </c>
      <c r="X4173">
        <v>2</v>
      </c>
      <c r="Y4173">
        <v>0</v>
      </c>
      <c r="AA4173">
        <v>1</v>
      </c>
      <c r="AB4173">
        <v>8</v>
      </c>
      <c r="AC4173">
        <v>3</v>
      </c>
      <c r="AD4173">
        <v>0</v>
      </c>
      <c r="AE4173">
        <v>9</v>
      </c>
      <c r="AF4173" t="s">
        <v>138</v>
      </c>
      <c r="AG4173">
        <v>0</v>
      </c>
      <c r="AH4173">
        <v>3</v>
      </c>
      <c r="AI4173">
        <v>2</v>
      </c>
      <c r="AJ4173">
        <v>0</v>
      </c>
      <c r="AK4173" t="s">
        <v>1324</v>
      </c>
      <c r="AL4173">
        <v>39.191000000000003</v>
      </c>
      <c r="AM4173" t="s">
        <v>1325</v>
      </c>
      <c r="AN4173">
        <v>-121.020219</v>
      </c>
      <c r="AO4173">
        <v>25</v>
      </c>
      <c r="AP4173">
        <v>4400</v>
      </c>
      <c r="AQ4173" t="s">
        <v>131</v>
      </c>
      <c r="AR4173">
        <v>34</v>
      </c>
      <c r="AS4173">
        <v>67</v>
      </c>
      <c r="AT4173">
        <v>-320</v>
      </c>
      <c r="BB4173" t="str">
        <f t="shared" si="1650"/>
        <v>1200</v>
      </c>
      <c r="BC4173">
        <v>1</v>
      </c>
      <c r="BD4173" t="str">
        <f t="shared" si="1651"/>
        <v xml:space="preserve">N52156  </v>
      </c>
      <c r="BE4173">
        <v>1</v>
      </c>
      <c r="BG4173">
        <v>0</v>
      </c>
      <c r="BH4173">
        <v>0</v>
      </c>
      <c r="BI4173">
        <v>0</v>
      </c>
      <c r="BJ4173">
        <v>4450</v>
      </c>
      <c r="BK4173">
        <v>50</v>
      </c>
      <c r="BL4173" t="s">
        <v>188</v>
      </c>
      <c r="BM4173">
        <v>1</v>
      </c>
      <c r="BN4173">
        <v>1</v>
      </c>
      <c r="BO4173">
        <v>0</v>
      </c>
      <c r="BP4173">
        <v>0</v>
      </c>
      <c r="BS4173">
        <v>0</v>
      </c>
      <c r="BT4173">
        <v>0</v>
      </c>
      <c r="BU4173">
        <v>0</v>
      </c>
      <c r="CE4173" t="str">
        <f t="shared" si="1655"/>
        <v>15:16:07.557</v>
      </c>
      <c r="CF4173">
        <v>557078479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3</v>
      </c>
      <c r="CY4173">
        <v>7</v>
      </c>
      <c r="CZ4173" t="s">
        <v>133</v>
      </c>
      <c r="DA4173">
        <v>276</v>
      </c>
      <c r="DB4173">
        <v>0</v>
      </c>
      <c r="DC4173" t="s">
        <v>402</v>
      </c>
      <c r="DD4173" t="s">
        <v>403</v>
      </c>
      <c r="DG4173">
        <v>1628442</v>
      </c>
      <c r="DI4173">
        <v>1</v>
      </c>
      <c r="DJ4173">
        <v>0</v>
      </c>
      <c r="DK4173">
        <v>1</v>
      </c>
      <c r="DL4173">
        <v>0</v>
      </c>
      <c r="DM4173">
        <v>0</v>
      </c>
      <c r="DN4173">
        <v>0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 x14ac:dyDescent="0.3">
      <c r="A4174" t="str">
        <f>"05/01/2025 15:16:07.787"</f>
        <v>05/01/2025 15:16:07.787</v>
      </c>
      <c r="C4174" t="str">
        <f t="shared" si="1648"/>
        <v>FFDFD3C0</v>
      </c>
      <c r="D4174" t="s">
        <v>140</v>
      </c>
      <c r="E4174" t="str">
        <f>"13"</f>
        <v>13</v>
      </c>
      <c r="F4174">
        <v>1019</v>
      </c>
      <c r="G4174" t="s">
        <v>141</v>
      </c>
      <c r="J4174" t="s">
        <v>142</v>
      </c>
      <c r="K4174">
        <v>0</v>
      </c>
      <c r="L4174">
        <v>3</v>
      </c>
      <c r="M4174">
        <v>0</v>
      </c>
      <c r="N4174">
        <v>2</v>
      </c>
      <c r="O4174">
        <v>0</v>
      </c>
      <c r="P4174">
        <v>1</v>
      </c>
      <c r="Q4174">
        <v>0</v>
      </c>
      <c r="R4174" t="s">
        <v>127</v>
      </c>
      <c r="S4174" t="str">
        <f t="shared" si="1654"/>
        <v>15:16:07.000</v>
      </c>
      <c r="T4174" t="str">
        <f t="shared" si="1654"/>
        <v>15:16:07.000</v>
      </c>
      <c r="U4174" t="str">
        <f t="shared" si="1649"/>
        <v>A68FCB</v>
      </c>
      <c r="V4174">
        <v>0</v>
      </c>
      <c r="W4174">
        <v>0</v>
      </c>
      <c r="X4174">
        <v>2</v>
      </c>
      <c r="Y4174">
        <v>0</v>
      </c>
      <c r="AA4174">
        <v>1</v>
      </c>
      <c r="AB4174">
        <v>8</v>
      </c>
      <c r="AC4174">
        <v>3</v>
      </c>
      <c r="AD4174">
        <v>0</v>
      </c>
      <c r="AE4174">
        <v>9</v>
      </c>
      <c r="AF4174" t="s">
        <v>138</v>
      </c>
      <c r="AG4174">
        <v>0</v>
      </c>
      <c r="AH4174">
        <v>3</v>
      </c>
      <c r="AI4174">
        <v>2</v>
      </c>
      <c r="AJ4174">
        <v>0</v>
      </c>
      <c r="AK4174" t="s">
        <v>1324</v>
      </c>
      <c r="AL4174">
        <v>39.191000000000003</v>
      </c>
      <c r="AM4174" t="s">
        <v>1325</v>
      </c>
      <c r="AN4174">
        <v>-121.020219</v>
      </c>
      <c r="AO4174">
        <v>25</v>
      </c>
      <c r="AP4174">
        <v>4400</v>
      </c>
      <c r="AQ4174" t="s">
        <v>131</v>
      </c>
      <c r="AR4174">
        <v>34</v>
      </c>
      <c r="AS4174">
        <v>67</v>
      </c>
      <c r="AT4174">
        <v>-320</v>
      </c>
      <c r="BB4174" t="str">
        <f t="shared" si="1650"/>
        <v>1200</v>
      </c>
      <c r="BC4174">
        <v>1</v>
      </c>
      <c r="BD4174" t="str">
        <f t="shared" si="1651"/>
        <v xml:space="preserve">N52156  </v>
      </c>
      <c r="BE4174">
        <v>1</v>
      </c>
      <c r="BG4174">
        <v>0</v>
      </c>
      <c r="BH4174">
        <v>0</v>
      </c>
      <c r="BI4174">
        <v>0</v>
      </c>
      <c r="BJ4174">
        <v>4450</v>
      </c>
      <c r="BK4174">
        <v>50</v>
      </c>
      <c r="BL4174" t="s">
        <v>188</v>
      </c>
      <c r="BM4174">
        <v>1</v>
      </c>
      <c r="BN4174">
        <v>1</v>
      </c>
      <c r="BO4174">
        <v>0</v>
      </c>
      <c r="BP4174">
        <v>0</v>
      </c>
      <c r="BS4174">
        <v>0</v>
      </c>
      <c r="BT4174">
        <v>0</v>
      </c>
      <c r="BU4174">
        <v>0</v>
      </c>
      <c r="CE4174" t="str">
        <f t="shared" si="1655"/>
        <v>15:16:07.557</v>
      </c>
      <c r="CF4174">
        <v>557078479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3</v>
      </c>
      <c r="CY4174">
        <v>7</v>
      </c>
      <c r="CZ4174" t="s">
        <v>133</v>
      </c>
      <c r="DA4174">
        <v>276</v>
      </c>
      <c r="DB4174">
        <v>0</v>
      </c>
      <c r="DC4174" t="s">
        <v>402</v>
      </c>
      <c r="DD4174" t="s">
        <v>403</v>
      </c>
      <c r="DG4174">
        <v>1628442</v>
      </c>
      <c r="DI4174">
        <v>1</v>
      </c>
      <c r="DJ4174">
        <v>0</v>
      </c>
      <c r="DK4174">
        <v>1</v>
      </c>
      <c r="DL4174">
        <v>0</v>
      </c>
      <c r="DM4174">
        <v>0</v>
      </c>
      <c r="DN4174">
        <v>0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 x14ac:dyDescent="0.3">
      <c r="A4175" t="str">
        <f>"05/01/2025 15:16:07.802"</f>
        <v>05/01/2025 15:16:07.802</v>
      </c>
      <c r="C4175" t="str">
        <f t="shared" si="1648"/>
        <v>FFDFD3C0</v>
      </c>
      <c r="D4175" t="s">
        <v>145</v>
      </c>
      <c r="E4175" t="str">
        <f>"09"</f>
        <v>09</v>
      </c>
      <c r="H4175">
        <v>51</v>
      </c>
      <c r="I4175" t="s">
        <v>147</v>
      </c>
      <c r="J4175" t="s">
        <v>138</v>
      </c>
      <c r="K4175">
        <v>0</v>
      </c>
      <c r="L4175">
        <v>3</v>
      </c>
      <c r="M4175">
        <v>0</v>
      </c>
      <c r="N4175">
        <v>2</v>
      </c>
      <c r="O4175">
        <v>0</v>
      </c>
      <c r="P4175">
        <v>1</v>
      </c>
      <c r="Q4175">
        <v>0</v>
      </c>
      <c r="R4175" t="s">
        <v>127</v>
      </c>
      <c r="S4175" t="str">
        <f t="shared" si="1654"/>
        <v>15:16:07.000</v>
      </c>
      <c r="T4175" t="str">
        <f t="shared" si="1654"/>
        <v>15:16:07.000</v>
      </c>
      <c r="U4175" t="str">
        <f t="shared" si="1649"/>
        <v>A68FCB</v>
      </c>
      <c r="V4175">
        <v>0</v>
      </c>
      <c r="W4175">
        <v>0</v>
      </c>
      <c r="X4175">
        <v>2</v>
      </c>
      <c r="Y4175">
        <v>0</v>
      </c>
      <c r="AA4175">
        <v>1</v>
      </c>
      <c r="AB4175">
        <v>8</v>
      </c>
      <c r="AC4175">
        <v>3</v>
      </c>
      <c r="AD4175">
        <v>0</v>
      </c>
      <c r="AE4175">
        <v>9</v>
      </c>
      <c r="AF4175" t="s">
        <v>138</v>
      </c>
      <c r="AG4175">
        <v>0</v>
      </c>
      <c r="AH4175">
        <v>3</v>
      </c>
      <c r="AI4175">
        <v>2</v>
      </c>
      <c r="AJ4175">
        <v>0</v>
      </c>
      <c r="AK4175" t="s">
        <v>1324</v>
      </c>
      <c r="AL4175">
        <v>39.191000000000003</v>
      </c>
      <c r="AM4175" t="s">
        <v>1325</v>
      </c>
      <c r="AN4175">
        <v>-121.020219</v>
      </c>
      <c r="AO4175">
        <v>25</v>
      </c>
      <c r="AP4175">
        <v>4400</v>
      </c>
      <c r="AQ4175" t="s">
        <v>131</v>
      </c>
      <c r="AR4175">
        <v>34</v>
      </c>
      <c r="AS4175">
        <v>67</v>
      </c>
      <c r="AT4175">
        <v>-320</v>
      </c>
      <c r="BB4175" t="str">
        <f t="shared" si="1650"/>
        <v>1200</v>
      </c>
      <c r="BC4175">
        <v>1</v>
      </c>
      <c r="BD4175" t="str">
        <f t="shared" si="1651"/>
        <v xml:space="preserve">N52156  </v>
      </c>
      <c r="BE4175">
        <v>1</v>
      </c>
      <c r="BG4175">
        <v>0</v>
      </c>
      <c r="BH4175">
        <v>0</v>
      </c>
      <c r="BI4175">
        <v>0</v>
      </c>
      <c r="BJ4175">
        <v>4450</v>
      </c>
      <c r="BK4175">
        <v>50</v>
      </c>
      <c r="BL4175" t="s">
        <v>188</v>
      </c>
      <c r="BM4175">
        <v>1</v>
      </c>
      <c r="BN4175">
        <v>1</v>
      </c>
      <c r="BO4175">
        <v>0</v>
      </c>
      <c r="BP4175">
        <v>0</v>
      </c>
      <c r="BS4175">
        <v>0</v>
      </c>
      <c r="BT4175">
        <v>0</v>
      </c>
      <c r="BU4175">
        <v>0</v>
      </c>
      <c r="CE4175" t="str">
        <f t="shared" si="1655"/>
        <v>15:16:07.557</v>
      </c>
      <c r="CF4175">
        <v>557078479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3</v>
      </c>
      <c r="CY4175">
        <v>7</v>
      </c>
      <c r="CZ4175" t="s">
        <v>133</v>
      </c>
      <c r="DA4175">
        <v>276</v>
      </c>
      <c r="DB4175">
        <v>0</v>
      </c>
      <c r="DC4175" t="s">
        <v>402</v>
      </c>
      <c r="DD4175" t="s">
        <v>403</v>
      </c>
      <c r="DG4175">
        <v>1628442</v>
      </c>
      <c r="DI4175">
        <v>1</v>
      </c>
      <c r="DJ4175">
        <v>0</v>
      </c>
      <c r="DK4175">
        <v>1</v>
      </c>
      <c r="DL4175">
        <v>0</v>
      </c>
      <c r="DM4175">
        <v>0</v>
      </c>
      <c r="DN4175">
        <v>0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 x14ac:dyDescent="0.3">
      <c r="A4176" t="str">
        <f>"05/01/2025 15:16:07.806"</f>
        <v>05/01/2025 15:16:07.806</v>
      </c>
      <c r="C4176" t="str">
        <f t="shared" si="1648"/>
        <v>FFDFD3C0</v>
      </c>
      <c r="D4176" t="s">
        <v>145</v>
      </c>
      <c r="E4176" t="str">
        <f>"05"</f>
        <v>05</v>
      </c>
      <c r="H4176">
        <v>47</v>
      </c>
      <c r="I4176" t="s">
        <v>146</v>
      </c>
      <c r="J4176" t="s">
        <v>138</v>
      </c>
      <c r="K4176">
        <v>0</v>
      </c>
      <c r="L4176">
        <v>3</v>
      </c>
      <c r="M4176">
        <v>0</v>
      </c>
      <c r="N4176">
        <v>2</v>
      </c>
      <c r="O4176">
        <v>0</v>
      </c>
      <c r="P4176">
        <v>1</v>
      </c>
      <c r="Q4176">
        <v>0</v>
      </c>
      <c r="R4176" t="s">
        <v>127</v>
      </c>
      <c r="S4176" t="str">
        <f t="shared" si="1654"/>
        <v>15:16:07.000</v>
      </c>
      <c r="T4176" t="str">
        <f t="shared" si="1654"/>
        <v>15:16:07.000</v>
      </c>
      <c r="U4176" t="str">
        <f t="shared" si="1649"/>
        <v>A68FCB</v>
      </c>
      <c r="V4176">
        <v>0</v>
      </c>
      <c r="W4176">
        <v>0</v>
      </c>
      <c r="X4176">
        <v>2</v>
      </c>
      <c r="Y4176">
        <v>0</v>
      </c>
      <c r="AA4176">
        <v>1</v>
      </c>
      <c r="AB4176">
        <v>8</v>
      </c>
      <c r="AC4176">
        <v>3</v>
      </c>
      <c r="AD4176">
        <v>0</v>
      </c>
      <c r="AE4176">
        <v>9</v>
      </c>
      <c r="AF4176" t="s">
        <v>138</v>
      </c>
      <c r="AG4176">
        <v>0</v>
      </c>
      <c r="AH4176">
        <v>3</v>
      </c>
      <c r="AI4176">
        <v>2</v>
      </c>
      <c r="AJ4176">
        <v>0</v>
      </c>
      <c r="AK4176" t="s">
        <v>1324</v>
      </c>
      <c r="AL4176">
        <v>39.191000000000003</v>
      </c>
      <c r="AM4176" t="s">
        <v>1325</v>
      </c>
      <c r="AN4176">
        <v>-121.020219</v>
      </c>
      <c r="AO4176">
        <v>25</v>
      </c>
      <c r="AP4176">
        <v>4400</v>
      </c>
      <c r="AQ4176" t="s">
        <v>131</v>
      </c>
      <c r="AR4176">
        <v>34</v>
      </c>
      <c r="AS4176">
        <v>67</v>
      </c>
      <c r="AT4176">
        <v>-320</v>
      </c>
      <c r="BB4176" t="str">
        <f t="shared" si="1650"/>
        <v>1200</v>
      </c>
      <c r="BC4176">
        <v>1</v>
      </c>
      <c r="BD4176" t="str">
        <f t="shared" si="1651"/>
        <v xml:space="preserve">N52156  </v>
      </c>
      <c r="BE4176">
        <v>1</v>
      </c>
      <c r="BG4176">
        <v>0</v>
      </c>
      <c r="BH4176">
        <v>0</v>
      </c>
      <c r="BI4176">
        <v>0</v>
      </c>
      <c r="BJ4176">
        <v>4450</v>
      </c>
      <c r="BK4176">
        <v>50</v>
      </c>
      <c r="BL4176" t="s">
        <v>188</v>
      </c>
      <c r="BM4176">
        <v>1</v>
      </c>
      <c r="BN4176">
        <v>1</v>
      </c>
      <c r="BO4176">
        <v>0</v>
      </c>
      <c r="BP4176">
        <v>0</v>
      </c>
      <c r="BS4176">
        <v>0</v>
      </c>
      <c r="BT4176">
        <v>0</v>
      </c>
      <c r="BU4176">
        <v>0</v>
      </c>
      <c r="CE4176" t="str">
        <f t="shared" si="1655"/>
        <v>15:16:07.557</v>
      </c>
      <c r="CF4176">
        <v>557078479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3</v>
      </c>
      <c r="CY4176">
        <v>7</v>
      </c>
      <c r="CZ4176" t="s">
        <v>133</v>
      </c>
      <c r="DA4176">
        <v>276</v>
      </c>
      <c r="DB4176">
        <v>0</v>
      </c>
      <c r="DC4176" t="s">
        <v>402</v>
      </c>
      <c r="DD4176" t="s">
        <v>403</v>
      </c>
      <c r="DG4176">
        <v>1628442</v>
      </c>
      <c r="DI4176">
        <v>1</v>
      </c>
      <c r="DJ4176">
        <v>0</v>
      </c>
      <c r="DK4176">
        <v>1</v>
      </c>
      <c r="DL4176">
        <v>0</v>
      </c>
      <c r="DM4176">
        <v>0</v>
      </c>
      <c r="DN4176">
        <v>0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 x14ac:dyDescent="0.3">
      <c r="A4177" t="str">
        <f>"05/01/2025 15:16:07.817"</f>
        <v>05/01/2025 15:16:07.817</v>
      </c>
      <c r="C4177" t="str">
        <f t="shared" si="1648"/>
        <v>FFDFD3C0</v>
      </c>
      <c r="D4177" t="s">
        <v>136</v>
      </c>
      <c r="E4177" t="str">
        <f>"20"</f>
        <v>20</v>
      </c>
      <c r="H4177">
        <v>400</v>
      </c>
      <c r="I4177" t="s">
        <v>137</v>
      </c>
      <c r="J4177" t="s">
        <v>138</v>
      </c>
      <c r="K4177">
        <v>0</v>
      </c>
      <c r="L4177">
        <v>3</v>
      </c>
      <c r="M4177">
        <v>0</v>
      </c>
      <c r="N4177">
        <v>2</v>
      </c>
      <c r="O4177">
        <v>0</v>
      </c>
      <c r="P4177">
        <v>1</v>
      </c>
      <c r="Q4177">
        <v>0</v>
      </c>
      <c r="R4177" t="s">
        <v>127</v>
      </c>
      <c r="S4177" t="str">
        <f t="shared" si="1654"/>
        <v>15:16:07.000</v>
      </c>
      <c r="T4177" t="str">
        <f t="shared" si="1654"/>
        <v>15:16:07.000</v>
      </c>
      <c r="U4177" t="str">
        <f t="shared" si="1649"/>
        <v>A68FCB</v>
      </c>
      <c r="V4177">
        <v>0</v>
      </c>
      <c r="W4177">
        <v>0</v>
      </c>
      <c r="X4177">
        <v>2</v>
      </c>
      <c r="Y4177">
        <v>0</v>
      </c>
      <c r="AA4177">
        <v>1</v>
      </c>
      <c r="AB4177">
        <v>8</v>
      </c>
      <c r="AC4177">
        <v>3</v>
      </c>
      <c r="AD4177">
        <v>0</v>
      </c>
      <c r="AE4177">
        <v>9</v>
      </c>
      <c r="AF4177" t="s">
        <v>138</v>
      </c>
      <c r="AG4177">
        <v>0</v>
      </c>
      <c r="AH4177">
        <v>3</v>
      </c>
      <c r="AI4177">
        <v>2</v>
      </c>
      <c r="AJ4177">
        <v>0</v>
      </c>
      <c r="AK4177" t="s">
        <v>1324</v>
      </c>
      <c r="AL4177">
        <v>39.191000000000003</v>
      </c>
      <c r="AM4177" t="s">
        <v>1325</v>
      </c>
      <c r="AN4177">
        <v>-121.020219</v>
      </c>
      <c r="AO4177">
        <v>25</v>
      </c>
      <c r="AP4177">
        <v>4400</v>
      </c>
      <c r="AQ4177" t="s">
        <v>131</v>
      </c>
      <c r="AR4177">
        <v>34</v>
      </c>
      <c r="AS4177">
        <v>67</v>
      </c>
      <c r="AT4177">
        <v>-320</v>
      </c>
      <c r="BB4177" t="str">
        <f t="shared" si="1650"/>
        <v>1200</v>
      </c>
      <c r="BC4177">
        <v>1</v>
      </c>
      <c r="BD4177" t="str">
        <f t="shared" si="1651"/>
        <v xml:space="preserve">N52156  </v>
      </c>
      <c r="BE4177">
        <v>1</v>
      </c>
      <c r="BG4177">
        <v>0</v>
      </c>
      <c r="BH4177">
        <v>0</v>
      </c>
      <c r="BI4177">
        <v>0</v>
      </c>
      <c r="BJ4177">
        <v>4450</v>
      </c>
      <c r="BK4177">
        <v>50</v>
      </c>
      <c r="BL4177" t="s">
        <v>188</v>
      </c>
      <c r="BM4177">
        <v>1</v>
      </c>
      <c r="BN4177">
        <v>1</v>
      </c>
      <c r="BO4177">
        <v>0</v>
      </c>
      <c r="BP4177">
        <v>0</v>
      </c>
      <c r="BS4177">
        <v>0</v>
      </c>
      <c r="BT4177">
        <v>0</v>
      </c>
      <c r="BU4177">
        <v>0</v>
      </c>
      <c r="CE4177" t="str">
        <f t="shared" si="1655"/>
        <v>15:16:07.557</v>
      </c>
      <c r="CF4177">
        <v>557078479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3</v>
      </c>
      <c r="CY4177">
        <v>7</v>
      </c>
      <c r="CZ4177" t="s">
        <v>133</v>
      </c>
      <c r="DA4177">
        <v>276</v>
      </c>
      <c r="DB4177">
        <v>0</v>
      </c>
      <c r="DC4177" t="s">
        <v>402</v>
      </c>
      <c r="DD4177" t="s">
        <v>403</v>
      </c>
      <c r="DG4177">
        <v>1628442</v>
      </c>
      <c r="DI4177">
        <v>1</v>
      </c>
      <c r="DJ4177">
        <v>0</v>
      </c>
      <c r="DK4177">
        <v>1</v>
      </c>
      <c r="DL4177">
        <v>0</v>
      </c>
      <c r="DM4177">
        <v>0</v>
      </c>
      <c r="DN4177">
        <v>0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 x14ac:dyDescent="0.3">
      <c r="A4178" t="str">
        <f>"05/01/2025 15:16:08.690"</f>
        <v>05/01/2025 15:16:08.690</v>
      </c>
      <c r="C4178" t="str">
        <f t="shared" si="1648"/>
        <v>FFDFD3C0</v>
      </c>
      <c r="D4178" t="s">
        <v>143</v>
      </c>
      <c r="E4178" t="str">
        <f>"05"</f>
        <v>05</v>
      </c>
      <c r="H4178">
        <v>172</v>
      </c>
      <c r="I4178" t="s">
        <v>141</v>
      </c>
      <c r="J4178" t="s">
        <v>144</v>
      </c>
      <c r="K4178">
        <v>0</v>
      </c>
      <c r="L4178">
        <v>3</v>
      </c>
      <c r="M4178">
        <v>0</v>
      </c>
      <c r="N4178">
        <v>2</v>
      </c>
      <c r="O4178">
        <v>0</v>
      </c>
      <c r="P4178">
        <v>1</v>
      </c>
      <c r="Q4178">
        <v>0</v>
      </c>
      <c r="R4178" t="s">
        <v>127</v>
      </c>
      <c r="S4178" t="str">
        <f t="shared" ref="S4178:T4183" si="1656">"15:16:08.000"</f>
        <v>15:16:08.000</v>
      </c>
      <c r="T4178" t="str">
        <f t="shared" si="1656"/>
        <v>15:16:08.000</v>
      </c>
      <c r="U4178" t="str">
        <f t="shared" si="1649"/>
        <v>A68FCB</v>
      </c>
      <c r="V4178">
        <v>0</v>
      </c>
      <c r="W4178">
        <v>0</v>
      </c>
      <c r="X4178">
        <v>2</v>
      </c>
      <c r="Y4178">
        <v>0</v>
      </c>
      <c r="AA4178">
        <v>1</v>
      </c>
      <c r="AB4178">
        <v>8</v>
      </c>
      <c r="AC4178">
        <v>3</v>
      </c>
      <c r="AD4178">
        <v>0</v>
      </c>
      <c r="AE4178">
        <v>9</v>
      </c>
      <c r="AF4178" t="s">
        <v>138</v>
      </c>
      <c r="AG4178">
        <v>0</v>
      </c>
      <c r="AH4178">
        <v>3</v>
      </c>
      <c r="AI4178">
        <v>2</v>
      </c>
      <c r="AJ4178">
        <v>0</v>
      </c>
      <c r="AK4178" t="s">
        <v>1326</v>
      </c>
      <c r="AL4178">
        <v>39.191301000000003</v>
      </c>
      <c r="AM4178" t="s">
        <v>1327</v>
      </c>
      <c r="AN4178">
        <v>-121.020005</v>
      </c>
      <c r="AO4178">
        <v>25</v>
      </c>
      <c r="AP4178">
        <v>4400</v>
      </c>
      <c r="AQ4178" t="s">
        <v>131</v>
      </c>
      <c r="AR4178">
        <v>34</v>
      </c>
      <c r="AS4178">
        <v>67</v>
      </c>
      <c r="AT4178">
        <v>-320</v>
      </c>
      <c r="BB4178" t="str">
        <f t="shared" si="1650"/>
        <v>1200</v>
      </c>
      <c r="BC4178">
        <v>1</v>
      </c>
      <c r="BD4178" t="str">
        <f t="shared" si="1651"/>
        <v xml:space="preserve">N52156  </v>
      </c>
      <c r="BE4178">
        <v>1</v>
      </c>
      <c r="BG4178">
        <v>0</v>
      </c>
      <c r="BH4178">
        <v>0</v>
      </c>
      <c r="BI4178">
        <v>0</v>
      </c>
      <c r="BJ4178">
        <v>4450</v>
      </c>
      <c r="BK4178">
        <v>50</v>
      </c>
      <c r="BL4178" t="s">
        <v>188</v>
      </c>
      <c r="BM4178">
        <v>1</v>
      </c>
      <c r="BN4178">
        <v>1</v>
      </c>
      <c r="BO4178">
        <v>0</v>
      </c>
      <c r="BP4178">
        <v>0</v>
      </c>
      <c r="BS4178">
        <v>0</v>
      </c>
      <c r="BT4178">
        <v>0</v>
      </c>
      <c r="BU4178">
        <v>0</v>
      </c>
      <c r="CE4178" t="str">
        <f t="shared" ref="CE4178:CE4183" si="1657">"15:16:08.489"</f>
        <v>15:16:08.489</v>
      </c>
      <c r="CF4178">
        <v>488828373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3</v>
      </c>
      <c r="CY4178">
        <v>7</v>
      </c>
      <c r="CZ4178" t="s">
        <v>133</v>
      </c>
      <c r="DA4178">
        <v>276</v>
      </c>
      <c r="DB4178">
        <v>0</v>
      </c>
      <c r="DC4178" t="s">
        <v>402</v>
      </c>
      <c r="DD4178" t="s">
        <v>403</v>
      </c>
      <c r="DG4178">
        <v>1628445</v>
      </c>
      <c r="DI4178">
        <v>1</v>
      </c>
      <c r="DJ4178">
        <v>0</v>
      </c>
      <c r="DK4178">
        <v>0</v>
      </c>
      <c r="DL4178">
        <v>0</v>
      </c>
      <c r="DM4178">
        <v>0</v>
      </c>
      <c r="DN4178">
        <v>0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 x14ac:dyDescent="0.3">
      <c r="A4179" t="str">
        <f>"05/01/2025 15:16:08.692"</f>
        <v>05/01/2025 15:16:08.692</v>
      </c>
      <c r="C4179" t="str">
        <f t="shared" si="1648"/>
        <v>FFDFD3C0</v>
      </c>
      <c r="D4179" t="s">
        <v>124</v>
      </c>
      <c r="E4179" t="str">
        <f>"06"</f>
        <v>06</v>
      </c>
      <c r="F4179">
        <v>2006</v>
      </c>
      <c r="G4179" t="s">
        <v>125</v>
      </c>
      <c r="J4179" t="s">
        <v>126</v>
      </c>
      <c r="K4179">
        <v>0</v>
      </c>
      <c r="L4179">
        <v>3</v>
      </c>
      <c r="M4179">
        <v>0</v>
      </c>
      <c r="N4179">
        <v>2</v>
      </c>
      <c r="O4179">
        <v>0</v>
      </c>
      <c r="P4179">
        <v>1</v>
      </c>
      <c r="Q4179">
        <v>0</v>
      </c>
      <c r="R4179" t="s">
        <v>127</v>
      </c>
      <c r="S4179" t="str">
        <f t="shared" si="1656"/>
        <v>15:16:08.000</v>
      </c>
      <c r="T4179" t="str">
        <f t="shared" si="1656"/>
        <v>15:16:08.000</v>
      </c>
      <c r="U4179" t="str">
        <f t="shared" si="1649"/>
        <v>A68FCB</v>
      </c>
      <c r="V4179">
        <v>0</v>
      </c>
      <c r="W4179">
        <v>0</v>
      </c>
      <c r="X4179">
        <v>2</v>
      </c>
      <c r="Y4179">
        <v>0</v>
      </c>
      <c r="AA4179">
        <v>1</v>
      </c>
      <c r="AB4179">
        <v>8</v>
      </c>
      <c r="AC4179">
        <v>3</v>
      </c>
      <c r="AD4179">
        <v>0</v>
      </c>
      <c r="AE4179">
        <v>9</v>
      </c>
      <c r="AF4179" t="s">
        <v>138</v>
      </c>
      <c r="AG4179">
        <v>0</v>
      </c>
      <c r="AH4179">
        <v>3</v>
      </c>
      <c r="AI4179">
        <v>2</v>
      </c>
      <c r="AJ4179">
        <v>0</v>
      </c>
      <c r="AK4179" t="s">
        <v>1326</v>
      </c>
      <c r="AL4179">
        <v>39.191301000000003</v>
      </c>
      <c r="AM4179" t="s">
        <v>1327</v>
      </c>
      <c r="AN4179">
        <v>-121.020005</v>
      </c>
      <c r="AO4179">
        <v>25</v>
      </c>
      <c r="AP4179">
        <v>4400</v>
      </c>
      <c r="AQ4179" t="s">
        <v>131</v>
      </c>
      <c r="AR4179">
        <v>34</v>
      </c>
      <c r="AS4179">
        <v>67</v>
      </c>
      <c r="AT4179">
        <v>-320</v>
      </c>
      <c r="BB4179" t="str">
        <f t="shared" si="1650"/>
        <v>1200</v>
      </c>
      <c r="BC4179">
        <v>1</v>
      </c>
      <c r="BD4179" t="str">
        <f t="shared" si="1651"/>
        <v xml:space="preserve">N52156  </v>
      </c>
      <c r="BE4179">
        <v>1</v>
      </c>
      <c r="BG4179">
        <v>0</v>
      </c>
      <c r="BH4179">
        <v>0</v>
      </c>
      <c r="BI4179">
        <v>0</v>
      </c>
      <c r="BJ4179">
        <v>4450</v>
      </c>
      <c r="BK4179">
        <v>50</v>
      </c>
      <c r="BL4179" t="s">
        <v>188</v>
      </c>
      <c r="BM4179">
        <v>1</v>
      </c>
      <c r="BN4179">
        <v>1</v>
      </c>
      <c r="BO4179">
        <v>0</v>
      </c>
      <c r="BP4179">
        <v>0</v>
      </c>
      <c r="BS4179">
        <v>0</v>
      </c>
      <c r="BT4179">
        <v>0</v>
      </c>
      <c r="BU4179">
        <v>0</v>
      </c>
      <c r="CE4179" t="str">
        <f t="shared" si="1657"/>
        <v>15:16:08.489</v>
      </c>
      <c r="CF4179">
        <v>488828373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3</v>
      </c>
      <c r="CY4179">
        <v>7</v>
      </c>
      <c r="CZ4179" t="s">
        <v>133</v>
      </c>
      <c r="DA4179">
        <v>276</v>
      </c>
      <c r="DB4179">
        <v>0</v>
      </c>
      <c r="DC4179" t="s">
        <v>402</v>
      </c>
      <c r="DD4179" t="s">
        <v>403</v>
      </c>
      <c r="DG4179">
        <v>1628445</v>
      </c>
      <c r="DI4179">
        <v>1</v>
      </c>
      <c r="DJ4179">
        <v>0</v>
      </c>
      <c r="DK4179">
        <v>1</v>
      </c>
      <c r="DL4179">
        <v>0</v>
      </c>
      <c r="DM4179">
        <v>0</v>
      </c>
      <c r="DN4179">
        <v>0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 x14ac:dyDescent="0.3">
      <c r="A4180" t="str">
        <f>"05/01/2025 15:16:08.704"</f>
        <v>05/01/2025 15:16:08.704</v>
      </c>
      <c r="C4180" t="str">
        <f t="shared" si="1648"/>
        <v>FFDFD3C0</v>
      </c>
      <c r="D4180" t="s">
        <v>145</v>
      </c>
      <c r="E4180" t="str">
        <f>"09"</f>
        <v>09</v>
      </c>
      <c r="H4180">
        <v>51</v>
      </c>
      <c r="I4180" t="s">
        <v>147</v>
      </c>
      <c r="J4180" t="s">
        <v>138</v>
      </c>
      <c r="K4180">
        <v>0</v>
      </c>
      <c r="L4180">
        <v>3</v>
      </c>
      <c r="M4180">
        <v>0</v>
      </c>
      <c r="N4180">
        <v>2</v>
      </c>
      <c r="O4180">
        <v>0</v>
      </c>
      <c r="P4180">
        <v>1</v>
      </c>
      <c r="Q4180">
        <v>0</v>
      </c>
      <c r="R4180" t="s">
        <v>127</v>
      </c>
      <c r="S4180" t="str">
        <f t="shared" si="1656"/>
        <v>15:16:08.000</v>
      </c>
      <c r="T4180" t="str">
        <f t="shared" si="1656"/>
        <v>15:16:08.000</v>
      </c>
      <c r="U4180" t="str">
        <f t="shared" si="1649"/>
        <v>A68FCB</v>
      </c>
      <c r="V4180">
        <v>0</v>
      </c>
      <c r="W4180">
        <v>0</v>
      </c>
      <c r="X4180">
        <v>2</v>
      </c>
      <c r="Y4180">
        <v>0</v>
      </c>
      <c r="AA4180">
        <v>1</v>
      </c>
      <c r="AB4180">
        <v>8</v>
      </c>
      <c r="AC4180">
        <v>3</v>
      </c>
      <c r="AD4180">
        <v>0</v>
      </c>
      <c r="AE4180">
        <v>9</v>
      </c>
      <c r="AF4180" t="s">
        <v>138</v>
      </c>
      <c r="AG4180">
        <v>0</v>
      </c>
      <c r="AH4180">
        <v>3</v>
      </c>
      <c r="AI4180">
        <v>2</v>
      </c>
      <c r="AJ4180">
        <v>0</v>
      </c>
      <c r="AK4180" t="s">
        <v>1326</v>
      </c>
      <c r="AL4180">
        <v>39.191301000000003</v>
      </c>
      <c r="AM4180" t="s">
        <v>1327</v>
      </c>
      <c r="AN4180">
        <v>-121.020005</v>
      </c>
      <c r="AO4180">
        <v>25</v>
      </c>
      <c r="AP4180">
        <v>4400</v>
      </c>
      <c r="AQ4180" t="s">
        <v>131</v>
      </c>
      <c r="AR4180">
        <v>34</v>
      </c>
      <c r="AS4180">
        <v>67</v>
      </c>
      <c r="AT4180">
        <v>-320</v>
      </c>
      <c r="BB4180" t="str">
        <f t="shared" si="1650"/>
        <v>1200</v>
      </c>
      <c r="BC4180">
        <v>1</v>
      </c>
      <c r="BD4180" t="str">
        <f t="shared" si="1651"/>
        <v xml:space="preserve">N52156  </v>
      </c>
      <c r="BE4180">
        <v>1</v>
      </c>
      <c r="BG4180">
        <v>0</v>
      </c>
      <c r="BH4180">
        <v>0</v>
      </c>
      <c r="BI4180">
        <v>0</v>
      </c>
      <c r="BJ4180">
        <v>4450</v>
      </c>
      <c r="BK4180">
        <v>50</v>
      </c>
      <c r="BL4180" t="s">
        <v>188</v>
      </c>
      <c r="BM4180">
        <v>1</v>
      </c>
      <c r="BN4180">
        <v>1</v>
      </c>
      <c r="BO4180">
        <v>0</v>
      </c>
      <c r="BP4180">
        <v>0</v>
      </c>
      <c r="BS4180">
        <v>0</v>
      </c>
      <c r="BT4180">
        <v>0</v>
      </c>
      <c r="BU4180">
        <v>0</v>
      </c>
      <c r="CE4180" t="str">
        <f t="shared" si="1657"/>
        <v>15:16:08.489</v>
      </c>
      <c r="CF4180">
        <v>488828373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3</v>
      </c>
      <c r="CY4180">
        <v>7</v>
      </c>
      <c r="CZ4180" t="s">
        <v>133</v>
      </c>
      <c r="DA4180">
        <v>276</v>
      </c>
      <c r="DB4180">
        <v>0</v>
      </c>
      <c r="DC4180" t="s">
        <v>402</v>
      </c>
      <c r="DD4180" t="s">
        <v>403</v>
      </c>
      <c r="DG4180">
        <v>1628445</v>
      </c>
      <c r="DI4180">
        <v>1</v>
      </c>
      <c r="DJ4180">
        <v>0</v>
      </c>
      <c r="DK4180">
        <v>1</v>
      </c>
      <c r="DL4180">
        <v>0</v>
      </c>
      <c r="DM4180">
        <v>0</v>
      </c>
      <c r="DN4180">
        <v>0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 x14ac:dyDescent="0.3">
      <c r="A4181" t="str">
        <f>"05/01/2025 15:16:08.708"</f>
        <v>05/01/2025 15:16:08.708</v>
      </c>
      <c r="C4181" t="str">
        <f t="shared" si="1648"/>
        <v>FFDFD3C0</v>
      </c>
      <c r="D4181" t="s">
        <v>145</v>
      </c>
      <c r="E4181" t="str">
        <f>"05"</f>
        <v>05</v>
      </c>
      <c r="H4181">
        <v>47</v>
      </c>
      <c r="I4181" t="s">
        <v>146</v>
      </c>
      <c r="J4181" t="s">
        <v>138</v>
      </c>
      <c r="K4181">
        <v>0</v>
      </c>
      <c r="L4181">
        <v>3</v>
      </c>
      <c r="M4181">
        <v>0</v>
      </c>
      <c r="N4181">
        <v>2</v>
      </c>
      <c r="O4181">
        <v>0</v>
      </c>
      <c r="P4181">
        <v>1</v>
      </c>
      <c r="Q4181">
        <v>0</v>
      </c>
      <c r="R4181" t="s">
        <v>127</v>
      </c>
      <c r="S4181" t="str">
        <f t="shared" si="1656"/>
        <v>15:16:08.000</v>
      </c>
      <c r="T4181" t="str">
        <f t="shared" si="1656"/>
        <v>15:16:08.000</v>
      </c>
      <c r="U4181" t="str">
        <f t="shared" si="1649"/>
        <v>A68FCB</v>
      </c>
      <c r="V4181">
        <v>0</v>
      </c>
      <c r="W4181">
        <v>0</v>
      </c>
      <c r="X4181">
        <v>2</v>
      </c>
      <c r="Y4181">
        <v>0</v>
      </c>
      <c r="AA4181">
        <v>1</v>
      </c>
      <c r="AB4181">
        <v>8</v>
      </c>
      <c r="AC4181">
        <v>3</v>
      </c>
      <c r="AD4181">
        <v>0</v>
      </c>
      <c r="AE4181">
        <v>9</v>
      </c>
      <c r="AF4181" t="s">
        <v>138</v>
      </c>
      <c r="AG4181">
        <v>0</v>
      </c>
      <c r="AH4181">
        <v>3</v>
      </c>
      <c r="AI4181">
        <v>2</v>
      </c>
      <c r="AJ4181">
        <v>0</v>
      </c>
      <c r="AK4181" t="s">
        <v>1326</v>
      </c>
      <c r="AL4181">
        <v>39.191301000000003</v>
      </c>
      <c r="AM4181" t="s">
        <v>1327</v>
      </c>
      <c r="AN4181">
        <v>-121.020005</v>
      </c>
      <c r="AO4181">
        <v>25</v>
      </c>
      <c r="AP4181">
        <v>4400</v>
      </c>
      <c r="AQ4181" t="s">
        <v>131</v>
      </c>
      <c r="AR4181">
        <v>34</v>
      </c>
      <c r="AS4181">
        <v>67</v>
      </c>
      <c r="AT4181">
        <v>-320</v>
      </c>
      <c r="BB4181" t="str">
        <f t="shared" si="1650"/>
        <v>1200</v>
      </c>
      <c r="BC4181">
        <v>1</v>
      </c>
      <c r="BD4181" t="str">
        <f t="shared" si="1651"/>
        <v xml:space="preserve">N52156  </v>
      </c>
      <c r="BE4181">
        <v>1</v>
      </c>
      <c r="BG4181">
        <v>0</v>
      </c>
      <c r="BH4181">
        <v>0</v>
      </c>
      <c r="BI4181">
        <v>0</v>
      </c>
      <c r="BJ4181">
        <v>4450</v>
      </c>
      <c r="BK4181">
        <v>50</v>
      </c>
      <c r="BL4181" t="s">
        <v>188</v>
      </c>
      <c r="BM4181">
        <v>1</v>
      </c>
      <c r="BN4181">
        <v>1</v>
      </c>
      <c r="BO4181">
        <v>0</v>
      </c>
      <c r="BP4181">
        <v>0</v>
      </c>
      <c r="BS4181">
        <v>0</v>
      </c>
      <c r="BT4181">
        <v>0</v>
      </c>
      <c r="BU4181">
        <v>0</v>
      </c>
      <c r="CE4181" t="str">
        <f t="shared" si="1657"/>
        <v>15:16:08.489</v>
      </c>
      <c r="CF4181">
        <v>488828373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3</v>
      </c>
      <c r="CY4181">
        <v>7</v>
      </c>
      <c r="CZ4181" t="s">
        <v>133</v>
      </c>
      <c r="DA4181">
        <v>276</v>
      </c>
      <c r="DB4181">
        <v>0</v>
      </c>
      <c r="DC4181" t="s">
        <v>402</v>
      </c>
      <c r="DD4181" t="s">
        <v>403</v>
      </c>
      <c r="DG4181">
        <v>1628445</v>
      </c>
      <c r="DI4181">
        <v>1</v>
      </c>
      <c r="DJ4181">
        <v>0</v>
      </c>
      <c r="DK4181">
        <v>1</v>
      </c>
      <c r="DL4181">
        <v>0</v>
      </c>
      <c r="DM4181">
        <v>0</v>
      </c>
      <c r="DN4181">
        <v>0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 x14ac:dyDescent="0.3">
      <c r="A4182" t="str">
        <f>"05/01/2025 15:16:08.719"</f>
        <v>05/01/2025 15:16:08.719</v>
      </c>
      <c r="C4182" t="str">
        <f t="shared" si="1648"/>
        <v>FFDFD3C0</v>
      </c>
      <c r="D4182" t="s">
        <v>136</v>
      </c>
      <c r="E4182" t="str">
        <f>"20"</f>
        <v>20</v>
      </c>
      <c r="H4182">
        <v>400</v>
      </c>
      <c r="I4182" t="s">
        <v>137</v>
      </c>
      <c r="J4182" t="s">
        <v>138</v>
      </c>
      <c r="K4182">
        <v>0</v>
      </c>
      <c r="L4182">
        <v>3</v>
      </c>
      <c r="M4182">
        <v>0</v>
      </c>
      <c r="N4182">
        <v>2</v>
      </c>
      <c r="O4182">
        <v>0</v>
      </c>
      <c r="P4182">
        <v>1</v>
      </c>
      <c r="Q4182">
        <v>0</v>
      </c>
      <c r="R4182" t="s">
        <v>127</v>
      </c>
      <c r="S4182" t="str">
        <f t="shared" si="1656"/>
        <v>15:16:08.000</v>
      </c>
      <c r="T4182" t="str">
        <f t="shared" si="1656"/>
        <v>15:16:08.000</v>
      </c>
      <c r="U4182" t="str">
        <f t="shared" si="1649"/>
        <v>A68FCB</v>
      </c>
      <c r="V4182">
        <v>0</v>
      </c>
      <c r="W4182">
        <v>0</v>
      </c>
      <c r="X4182">
        <v>2</v>
      </c>
      <c r="Y4182">
        <v>0</v>
      </c>
      <c r="AA4182">
        <v>1</v>
      </c>
      <c r="AB4182">
        <v>8</v>
      </c>
      <c r="AC4182">
        <v>3</v>
      </c>
      <c r="AD4182">
        <v>0</v>
      </c>
      <c r="AE4182">
        <v>9</v>
      </c>
      <c r="AF4182" t="s">
        <v>138</v>
      </c>
      <c r="AG4182">
        <v>0</v>
      </c>
      <c r="AH4182">
        <v>3</v>
      </c>
      <c r="AI4182">
        <v>2</v>
      </c>
      <c r="AJ4182">
        <v>0</v>
      </c>
      <c r="AK4182" t="s">
        <v>1326</v>
      </c>
      <c r="AL4182">
        <v>39.191301000000003</v>
      </c>
      <c r="AM4182" t="s">
        <v>1327</v>
      </c>
      <c r="AN4182">
        <v>-121.020005</v>
      </c>
      <c r="AO4182">
        <v>25</v>
      </c>
      <c r="AP4182">
        <v>4400</v>
      </c>
      <c r="AQ4182" t="s">
        <v>131</v>
      </c>
      <c r="AR4182">
        <v>34</v>
      </c>
      <c r="AS4182">
        <v>67</v>
      </c>
      <c r="AT4182">
        <v>-320</v>
      </c>
      <c r="BB4182" t="str">
        <f t="shared" si="1650"/>
        <v>1200</v>
      </c>
      <c r="BC4182">
        <v>1</v>
      </c>
      <c r="BD4182" t="str">
        <f t="shared" si="1651"/>
        <v xml:space="preserve">N52156  </v>
      </c>
      <c r="BE4182">
        <v>1</v>
      </c>
      <c r="BG4182">
        <v>0</v>
      </c>
      <c r="BH4182">
        <v>0</v>
      </c>
      <c r="BI4182">
        <v>0</v>
      </c>
      <c r="BJ4182">
        <v>4450</v>
      </c>
      <c r="BK4182">
        <v>50</v>
      </c>
      <c r="BL4182" t="s">
        <v>188</v>
      </c>
      <c r="BM4182">
        <v>1</v>
      </c>
      <c r="BN4182">
        <v>1</v>
      </c>
      <c r="BO4182">
        <v>0</v>
      </c>
      <c r="BP4182">
        <v>0</v>
      </c>
      <c r="BS4182">
        <v>0</v>
      </c>
      <c r="BT4182">
        <v>0</v>
      </c>
      <c r="BU4182">
        <v>0</v>
      </c>
      <c r="CE4182" t="str">
        <f t="shared" si="1657"/>
        <v>15:16:08.489</v>
      </c>
      <c r="CF4182">
        <v>488828373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3</v>
      </c>
      <c r="CY4182">
        <v>7</v>
      </c>
      <c r="CZ4182" t="s">
        <v>133</v>
      </c>
      <c r="DA4182">
        <v>276</v>
      </c>
      <c r="DB4182">
        <v>0</v>
      </c>
      <c r="DC4182" t="s">
        <v>402</v>
      </c>
      <c r="DD4182" t="s">
        <v>403</v>
      </c>
      <c r="DG4182">
        <v>1628445</v>
      </c>
      <c r="DI4182">
        <v>1</v>
      </c>
      <c r="DJ4182">
        <v>0</v>
      </c>
      <c r="DK4182">
        <v>1</v>
      </c>
      <c r="DL4182">
        <v>0</v>
      </c>
      <c r="DM4182">
        <v>0</v>
      </c>
      <c r="DN4182">
        <v>0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 x14ac:dyDescent="0.3">
      <c r="A4183" t="str">
        <f>"05/01/2025 15:16:08.739"</f>
        <v>05/01/2025 15:16:08.739</v>
      </c>
      <c r="C4183" t="str">
        <f t="shared" si="1648"/>
        <v>FFDFD3C0</v>
      </c>
      <c r="D4183" t="s">
        <v>140</v>
      </c>
      <c r="E4183" t="str">
        <f>"13"</f>
        <v>13</v>
      </c>
      <c r="F4183">
        <v>1019</v>
      </c>
      <c r="G4183" t="s">
        <v>141</v>
      </c>
      <c r="J4183" t="s">
        <v>142</v>
      </c>
      <c r="K4183">
        <v>0</v>
      </c>
      <c r="L4183">
        <v>3</v>
      </c>
      <c r="M4183">
        <v>0</v>
      </c>
      <c r="N4183">
        <v>2</v>
      </c>
      <c r="O4183">
        <v>0</v>
      </c>
      <c r="P4183">
        <v>1</v>
      </c>
      <c r="Q4183">
        <v>0</v>
      </c>
      <c r="R4183" t="s">
        <v>127</v>
      </c>
      <c r="S4183" t="str">
        <f t="shared" si="1656"/>
        <v>15:16:08.000</v>
      </c>
      <c r="T4183" t="str">
        <f t="shared" si="1656"/>
        <v>15:16:08.000</v>
      </c>
      <c r="U4183" t="str">
        <f t="shared" si="1649"/>
        <v>A68FCB</v>
      </c>
      <c r="V4183">
        <v>0</v>
      </c>
      <c r="W4183">
        <v>0</v>
      </c>
      <c r="X4183">
        <v>2</v>
      </c>
      <c r="Y4183">
        <v>0</v>
      </c>
      <c r="AA4183">
        <v>1</v>
      </c>
      <c r="AB4183">
        <v>8</v>
      </c>
      <c r="AC4183">
        <v>3</v>
      </c>
      <c r="AD4183">
        <v>0</v>
      </c>
      <c r="AE4183">
        <v>9</v>
      </c>
      <c r="AF4183" t="s">
        <v>138</v>
      </c>
      <c r="AG4183">
        <v>0</v>
      </c>
      <c r="AH4183">
        <v>3</v>
      </c>
      <c r="AI4183">
        <v>2</v>
      </c>
      <c r="AJ4183">
        <v>0</v>
      </c>
      <c r="AK4183" t="s">
        <v>1326</v>
      </c>
      <c r="AL4183">
        <v>39.191301000000003</v>
      </c>
      <c r="AM4183" t="s">
        <v>1327</v>
      </c>
      <c r="AN4183">
        <v>-121.020005</v>
      </c>
      <c r="AO4183">
        <v>25</v>
      </c>
      <c r="AP4183">
        <v>4400</v>
      </c>
      <c r="AQ4183" t="s">
        <v>131</v>
      </c>
      <c r="AR4183">
        <v>34</v>
      </c>
      <c r="AS4183">
        <v>67</v>
      </c>
      <c r="AT4183">
        <v>-320</v>
      </c>
      <c r="BB4183" t="str">
        <f t="shared" si="1650"/>
        <v>1200</v>
      </c>
      <c r="BC4183">
        <v>1</v>
      </c>
      <c r="BD4183" t="str">
        <f t="shared" si="1651"/>
        <v xml:space="preserve">N52156  </v>
      </c>
      <c r="BE4183">
        <v>1</v>
      </c>
      <c r="BG4183">
        <v>0</v>
      </c>
      <c r="BH4183">
        <v>0</v>
      </c>
      <c r="BI4183">
        <v>0</v>
      </c>
      <c r="BJ4183">
        <v>4450</v>
      </c>
      <c r="BK4183">
        <v>50</v>
      </c>
      <c r="BL4183" t="s">
        <v>188</v>
      </c>
      <c r="BM4183">
        <v>1</v>
      </c>
      <c r="BN4183">
        <v>1</v>
      </c>
      <c r="BO4183">
        <v>0</v>
      </c>
      <c r="BP4183">
        <v>0</v>
      </c>
      <c r="BS4183">
        <v>0</v>
      </c>
      <c r="BT4183">
        <v>0</v>
      </c>
      <c r="BU4183">
        <v>0</v>
      </c>
      <c r="CE4183" t="str">
        <f t="shared" si="1657"/>
        <v>15:16:08.489</v>
      </c>
      <c r="CF4183">
        <v>488828373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3</v>
      </c>
      <c r="CY4183">
        <v>7</v>
      </c>
      <c r="CZ4183" t="s">
        <v>133</v>
      </c>
      <c r="DA4183">
        <v>276</v>
      </c>
      <c r="DB4183">
        <v>0</v>
      </c>
      <c r="DC4183" t="s">
        <v>402</v>
      </c>
      <c r="DD4183" t="s">
        <v>403</v>
      </c>
      <c r="DG4183">
        <v>1628445</v>
      </c>
      <c r="DI4183">
        <v>1</v>
      </c>
      <c r="DJ4183">
        <v>0</v>
      </c>
      <c r="DK4183">
        <v>1</v>
      </c>
      <c r="DL4183">
        <v>0</v>
      </c>
      <c r="DM4183">
        <v>0</v>
      </c>
      <c r="DN4183">
        <v>0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 x14ac:dyDescent="0.3">
      <c r="A4184" t="str">
        <f>"05/01/2025 15:16:10.156"</f>
        <v>05/01/2025 15:16:10.156</v>
      </c>
      <c r="C4184" t="str">
        <f t="shared" si="1648"/>
        <v>FFDFD3C0</v>
      </c>
      <c r="D4184" t="s">
        <v>145</v>
      </c>
      <c r="E4184" t="str">
        <f>"09"</f>
        <v>09</v>
      </c>
      <c r="H4184">
        <v>51</v>
      </c>
      <c r="I4184" t="s">
        <v>147</v>
      </c>
      <c r="J4184" t="s">
        <v>138</v>
      </c>
      <c r="K4184">
        <v>0</v>
      </c>
      <c r="L4184">
        <v>3</v>
      </c>
      <c r="M4184">
        <v>0</v>
      </c>
      <c r="N4184">
        <v>2</v>
      </c>
      <c r="O4184">
        <v>0</v>
      </c>
      <c r="P4184">
        <v>1</v>
      </c>
      <c r="Q4184">
        <v>0</v>
      </c>
      <c r="R4184" t="s">
        <v>127</v>
      </c>
      <c r="S4184" t="str">
        <f t="shared" ref="S4184:T4189" si="1658">"15:16:09.000"</f>
        <v>15:16:09.000</v>
      </c>
      <c r="T4184" t="str">
        <f t="shared" si="1658"/>
        <v>15:16:09.000</v>
      </c>
      <c r="U4184" t="str">
        <f t="shared" si="1649"/>
        <v>A68FCB</v>
      </c>
      <c r="V4184">
        <v>0</v>
      </c>
      <c r="W4184">
        <v>0</v>
      </c>
      <c r="X4184">
        <v>2</v>
      </c>
      <c r="Y4184">
        <v>0</v>
      </c>
      <c r="AA4184">
        <v>1</v>
      </c>
      <c r="AB4184">
        <v>8</v>
      </c>
      <c r="AC4184">
        <v>3</v>
      </c>
      <c r="AD4184">
        <v>0</v>
      </c>
      <c r="AE4184">
        <v>9</v>
      </c>
      <c r="AF4184" t="s">
        <v>138</v>
      </c>
      <c r="AG4184">
        <v>0</v>
      </c>
      <c r="AH4184">
        <v>3</v>
      </c>
      <c r="AI4184">
        <v>2</v>
      </c>
      <c r="AJ4184">
        <v>0</v>
      </c>
      <c r="AK4184" t="s">
        <v>1328</v>
      </c>
      <c r="AL4184">
        <v>39.191600999999999</v>
      </c>
      <c r="AM4184" t="s">
        <v>1329</v>
      </c>
      <c r="AN4184">
        <v>-121.01979</v>
      </c>
      <c r="AO4184">
        <v>25</v>
      </c>
      <c r="AP4184">
        <v>4400</v>
      </c>
      <c r="AQ4184" t="s">
        <v>131</v>
      </c>
      <c r="AR4184">
        <v>34</v>
      </c>
      <c r="AS4184">
        <v>66</v>
      </c>
      <c r="AT4184">
        <v>-320</v>
      </c>
      <c r="BB4184" t="str">
        <f t="shared" si="1650"/>
        <v>1200</v>
      </c>
      <c r="BC4184">
        <v>1</v>
      </c>
      <c r="BD4184" t="str">
        <f t="shared" si="1651"/>
        <v xml:space="preserve">N52156  </v>
      </c>
      <c r="BE4184">
        <v>1</v>
      </c>
      <c r="BG4184">
        <v>0</v>
      </c>
      <c r="BH4184">
        <v>0</v>
      </c>
      <c r="BI4184">
        <v>0</v>
      </c>
      <c r="BJ4184">
        <v>4450</v>
      </c>
      <c r="BK4184">
        <v>50</v>
      </c>
      <c r="BL4184" t="s">
        <v>188</v>
      </c>
      <c r="BM4184">
        <v>1</v>
      </c>
      <c r="BN4184">
        <v>1</v>
      </c>
      <c r="BO4184">
        <v>0</v>
      </c>
      <c r="BP4184">
        <v>0</v>
      </c>
      <c r="BS4184">
        <v>0</v>
      </c>
      <c r="BT4184">
        <v>0</v>
      </c>
      <c r="BU4184">
        <v>0</v>
      </c>
      <c r="CE4184" t="str">
        <f t="shared" ref="CE4184:CE4189" si="1659">"15:16:09.954"</f>
        <v>15:16:09.954</v>
      </c>
      <c r="CF4184">
        <v>953999278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3</v>
      </c>
      <c r="CY4184">
        <v>7</v>
      </c>
      <c r="CZ4184" t="s">
        <v>133</v>
      </c>
      <c r="DA4184">
        <v>275</v>
      </c>
      <c r="DB4184">
        <v>0</v>
      </c>
      <c r="DC4184" t="s">
        <v>134</v>
      </c>
      <c r="DD4184" t="s">
        <v>135</v>
      </c>
      <c r="DG4184">
        <v>3323176</v>
      </c>
      <c r="DI4184">
        <v>1</v>
      </c>
      <c r="DJ4184">
        <v>0</v>
      </c>
      <c r="DK4184">
        <v>0</v>
      </c>
      <c r="DL4184">
        <v>0</v>
      </c>
      <c r="DM4184">
        <v>0</v>
      </c>
      <c r="DN4184">
        <v>0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 x14ac:dyDescent="0.3">
      <c r="A4185" t="str">
        <f>"05/01/2025 15:16:10.161"</f>
        <v>05/01/2025 15:16:10.161</v>
      </c>
      <c r="C4185" t="str">
        <f t="shared" si="1648"/>
        <v>FFDFD3C0</v>
      </c>
      <c r="D4185" t="s">
        <v>145</v>
      </c>
      <c r="E4185" t="str">
        <f>"05"</f>
        <v>05</v>
      </c>
      <c r="H4185">
        <v>47</v>
      </c>
      <c r="I4185" t="s">
        <v>146</v>
      </c>
      <c r="J4185" t="s">
        <v>138</v>
      </c>
      <c r="K4185">
        <v>0</v>
      </c>
      <c r="L4185">
        <v>3</v>
      </c>
      <c r="M4185">
        <v>0</v>
      </c>
      <c r="N4185">
        <v>2</v>
      </c>
      <c r="O4185">
        <v>0</v>
      </c>
      <c r="P4185">
        <v>1</v>
      </c>
      <c r="Q4185">
        <v>0</v>
      </c>
      <c r="R4185" t="s">
        <v>127</v>
      </c>
      <c r="S4185" t="str">
        <f t="shared" si="1658"/>
        <v>15:16:09.000</v>
      </c>
      <c r="T4185" t="str">
        <f t="shared" si="1658"/>
        <v>15:16:09.000</v>
      </c>
      <c r="U4185" t="str">
        <f t="shared" si="1649"/>
        <v>A68FCB</v>
      </c>
      <c r="V4185">
        <v>0</v>
      </c>
      <c r="W4185">
        <v>0</v>
      </c>
      <c r="X4185">
        <v>2</v>
      </c>
      <c r="Y4185">
        <v>0</v>
      </c>
      <c r="AA4185">
        <v>1</v>
      </c>
      <c r="AB4185">
        <v>8</v>
      </c>
      <c r="AC4185">
        <v>3</v>
      </c>
      <c r="AD4185">
        <v>0</v>
      </c>
      <c r="AE4185">
        <v>9</v>
      </c>
      <c r="AF4185" t="s">
        <v>138</v>
      </c>
      <c r="AG4185">
        <v>0</v>
      </c>
      <c r="AH4185">
        <v>3</v>
      </c>
      <c r="AI4185">
        <v>2</v>
      </c>
      <c r="AJ4185">
        <v>0</v>
      </c>
      <c r="AK4185" t="s">
        <v>1328</v>
      </c>
      <c r="AL4185">
        <v>39.191600999999999</v>
      </c>
      <c r="AM4185" t="s">
        <v>1329</v>
      </c>
      <c r="AN4185">
        <v>-121.01979</v>
      </c>
      <c r="AO4185">
        <v>25</v>
      </c>
      <c r="AP4185">
        <v>4400</v>
      </c>
      <c r="AQ4185" t="s">
        <v>131</v>
      </c>
      <c r="AR4185">
        <v>34</v>
      </c>
      <c r="AS4185">
        <v>66</v>
      </c>
      <c r="AT4185">
        <v>-320</v>
      </c>
      <c r="BB4185" t="str">
        <f t="shared" si="1650"/>
        <v>1200</v>
      </c>
      <c r="BC4185">
        <v>1</v>
      </c>
      <c r="BD4185" t="str">
        <f t="shared" si="1651"/>
        <v xml:space="preserve">N52156  </v>
      </c>
      <c r="BE4185">
        <v>1</v>
      </c>
      <c r="BG4185">
        <v>0</v>
      </c>
      <c r="BH4185">
        <v>0</v>
      </c>
      <c r="BI4185">
        <v>0</v>
      </c>
      <c r="BJ4185">
        <v>4450</v>
      </c>
      <c r="BK4185">
        <v>50</v>
      </c>
      <c r="BL4185" t="s">
        <v>188</v>
      </c>
      <c r="BM4185">
        <v>1</v>
      </c>
      <c r="BN4185">
        <v>1</v>
      </c>
      <c r="BO4185">
        <v>0</v>
      </c>
      <c r="BP4185">
        <v>0</v>
      </c>
      <c r="BS4185">
        <v>0</v>
      </c>
      <c r="BT4185">
        <v>0</v>
      </c>
      <c r="BU4185">
        <v>0</v>
      </c>
      <c r="CE4185" t="str">
        <f t="shared" si="1659"/>
        <v>15:16:09.954</v>
      </c>
      <c r="CF4185">
        <v>953999278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3</v>
      </c>
      <c r="CY4185">
        <v>7</v>
      </c>
      <c r="CZ4185" t="s">
        <v>133</v>
      </c>
      <c r="DA4185">
        <v>275</v>
      </c>
      <c r="DB4185">
        <v>0</v>
      </c>
      <c r="DC4185" t="s">
        <v>134</v>
      </c>
      <c r="DD4185" t="s">
        <v>135</v>
      </c>
      <c r="DG4185">
        <v>3323176</v>
      </c>
      <c r="DI4185">
        <v>1</v>
      </c>
      <c r="DJ4185">
        <v>0</v>
      </c>
      <c r="DK4185">
        <v>1</v>
      </c>
      <c r="DL4185">
        <v>0</v>
      </c>
      <c r="DM4185">
        <v>0</v>
      </c>
      <c r="DN4185">
        <v>0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 x14ac:dyDescent="0.3">
      <c r="A4186" t="str">
        <f>"05/01/2025 15:16:10.171"</f>
        <v>05/01/2025 15:16:10.171</v>
      </c>
      <c r="C4186" t="str">
        <f t="shared" si="1648"/>
        <v>FFDFD3C0</v>
      </c>
      <c r="D4186" t="s">
        <v>136</v>
      </c>
      <c r="E4186" t="str">
        <f>"20"</f>
        <v>20</v>
      </c>
      <c r="H4186">
        <v>400</v>
      </c>
      <c r="I4186" t="s">
        <v>137</v>
      </c>
      <c r="J4186" t="s">
        <v>138</v>
      </c>
      <c r="K4186">
        <v>0</v>
      </c>
      <c r="L4186">
        <v>3</v>
      </c>
      <c r="M4186">
        <v>0</v>
      </c>
      <c r="N4186">
        <v>2</v>
      </c>
      <c r="O4186">
        <v>0</v>
      </c>
      <c r="P4186">
        <v>1</v>
      </c>
      <c r="Q4186">
        <v>0</v>
      </c>
      <c r="R4186" t="s">
        <v>127</v>
      </c>
      <c r="S4186" t="str">
        <f t="shared" si="1658"/>
        <v>15:16:09.000</v>
      </c>
      <c r="T4186" t="str">
        <f t="shared" si="1658"/>
        <v>15:16:09.000</v>
      </c>
      <c r="U4186" t="str">
        <f t="shared" si="1649"/>
        <v>A68FCB</v>
      </c>
      <c r="V4186">
        <v>0</v>
      </c>
      <c r="W4186">
        <v>0</v>
      </c>
      <c r="X4186">
        <v>2</v>
      </c>
      <c r="Y4186">
        <v>0</v>
      </c>
      <c r="AA4186">
        <v>1</v>
      </c>
      <c r="AB4186">
        <v>8</v>
      </c>
      <c r="AC4186">
        <v>3</v>
      </c>
      <c r="AD4186">
        <v>0</v>
      </c>
      <c r="AE4186">
        <v>9</v>
      </c>
      <c r="AF4186" t="s">
        <v>138</v>
      </c>
      <c r="AG4186">
        <v>0</v>
      </c>
      <c r="AH4186">
        <v>3</v>
      </c>
      <c r="AI4186">
        <v>2</v>
      </c>
      <c r="AJ4186">
        <v>0</v>
      </c>
      <c r="AK4186" t="s">
        <v>1328</v>
      </c>
      <c r="AL4186">
        <v>39.191600999999999</v>
      </c>
      <c r="AM4186" t="s">
        <v>1329</v>
      </c>
      <c r="AN4186">
        <v>-121.01979</v>
      </c>
      <c r="AO4186">
        <v>25</v>
      </c>
      <c r="AP4186">
        <v>4400</v>
      </c>
      <c r="AQ4186" t="s">
        <v>131</v>
      </c>
      <c r="AR4186">
        <v>34</v>
      </c>
      <c r="AS4186">
        <v>66</v>
      </c>
      <c r="AT4186">
        <v>-320</v>
      </c>
      <c r="BB4186" t="str">
        <f t="shared" si="1650"/>
        <v>1200</v>
      </c>
      <c r="BC4186">
        <v>1</v>
      </c>
      <c r="BD4186" t="str">
        <f t="shared" si="1651"/>
        <v xml:space="preserve">N52156  </v>
      </c>
      <c r="BE4186">
        <v>1</v>
      </c>
      <c r="BG4186">
        <v>0</v>
      </c>
      <c r="BH4186">
        <v>0</v>
      </c>
      <c r="BI4186">
        <v>0</v>
      </c>
      <c r="BJ4186">
        <v>4450</v>
      </c>
      <c r="BK4186">
        <v>50</v>
      </c>
      <c r="BL4186" t="s">
        <v>188</v>
      </c>
      <c r="BM4186">
        <v>1</v>
      </c>
      <c r="BN4186">
        <v>1</v>
      </c>
      <c r="BO4186">
        <v>0</v>
      </c>
      <c r="BP4186">
        <v>0</v>
      </c>
      <c r="BS4186">
        <v>0</v>
      </c>
      <c r="BT4186">
        <v>0</v>
      </c>
      <c r="BU4186">
        <v>0</v>
      </c>
      <c r="CE4186" t="str">
        <f t="shared" si="1659"/>
        <v>15:16:09.954</v>
      </c>
      <c r="CF4186">
        <v>953999278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3</v>
      </c>
      <c r="CY4186">
        <v>7</v>
      </c>
      <c r="CZ4186" t="s">
        <v>133</v>
      </c>
      <c r="DA4186">
        <v>275</v>
      </c>
      <c r="DB4186">
        <v>0</v>
      </c>
      <c r="DC4186" t="s">
        <v>134</v>
      </c>
      <c r="DD4186" t="s">
        <v>135</v>
      </c>
      <c r="DG4186">
        <v>3323176</v>
      </c>
      <c r="DI4186">
        <v>1</v>
      </c>
      <c r="DJ4186">
        <v>0</v>
      </c>
      <c r="DK4186">
        <v>1</v>
      </c>
      <c r="DL4186">
        <v>0</v>
      </c>
      <c r="DM4186">
        <v>0</v>
      </c>
      <c r="DN4186">
        <v>0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 x14ac:dyDescent="0.3">
      <c r="A4187" t="str">
        <f>"05/01/2025 15:16:10.194"</f>
        <v>05/01/2025 15:16:10.194</v>
      </c>
      <c r="C4187" t="str">
        <f t="shared" si="1648"/>
        <v>FFDFD3C0</v>
      </c>
      <c r="D4187" t="s">
        <v>124</v>
      </c>
      <c r="E4187" t="str">
        <f>"06"</f>
        <v>06</v>
      </c>
      <c r="F4187">
        <v>2006</v>
      </c>
      <c r="G4187" t="s">
        <v>125</v>
      </c>
      <c r="J4187" t="s">
        <v>126</v>
      </c>
      <c r="K4187">
        <v>0</v>
      </c>
      <c r="L4187">
        <v>3</v>
      </c>
      <c r="M4187">
        <v>0</v>
      </c>
      <c r="N4187">
        <v>2</v>
      </c>
      <c r="O4187">
        <v>0</v>
      </c>
      <c r="P4187">
        <v>1</v>
      </c>
      <c r="Q4187">
        <v>0</v>
      </c>
      <c r="R4187" t="s">
        <v>127</v>
      </c>
      <c r="S4187" t="str">
        <f t="shared" si="1658"/>
        <v>15:16:09.000</v>
      </c>
      <c r="T4187" t="str">
        <f t="shared" si="1658"/>
        <v>15:16:09.000</v>
      </c>
      <c r="U4187" t="str">
        <f t="shared" si="1649"/>
        <v>A68FCB</v>
      </c>
      <c r="V4187">
        <v>0</v>
      </c>
      <c r="W4187">
        <v>0</v>
      </c>
      <c r="X4187">
        <v>2</v>
      </c>
      <c r="Y4187">
        <v>0</v>
      </c>
      <c r="AA4187">
        <v>1</v>
      </c>
      <c r="AB4187">
        <v>8</v>
      </c>
      <c r="AC4187">
        <v>3</v>
      </c>
      <c r="AD4187">
        <v>0</v>
      </c>
      <c r="AE4187">
        <v>9</v>
      </c>
      <c r="AF4187" t="s">
        <v>138</v>
      </c>
      <c r="AG4187">
        <v>0</v>
      </c>
      <c r="AH4187">
        <v>3</v>
      </c>
      <c r="AI4187">
        <v>2</v>
      </c>
      <c r="AJ4187">
        <v>0</v>
      </c>
      <c r="AK4187" t="s">
        <v>1328</v>
      </c>
      <c r="AL4187">
        <v>39.191600999999999</v>
      </c>
      <c r="AM4187" t="s">
        <v>1329</v>
      </c>
      <c r="AN4187">
        <v>-121.01979</v>
      </c>
      <c r="AO4187">
        <v>25</v>
      </c>
      <c r="AP4187">
        <v>4400</v>
      </c>
      <c r="AQ4187" t="s">
        <v>131</v>
      </c>
      <c r="AR4187">
        <v>34</v>
      </c>
      <c r="AS4187">
        <v>66</v>
      </c>
      <c r="AT4187">
        <v>-320</v>
      </c>
      <c r="BB4187" t="str">
        <f t="shared" si="1650"/>
        <v>1200</v>
      </c>
      <c r="BC4187">
        <v>1</v>
      </c>
      <c r="BD4187" t="str">
        <f t="shared" si="1651"/>
        <v xml:space="preserve">N52156  </v>
      </c>
      <c r="BE4187">
        <v>1</v>
      </c>
      <c r="BG4187">
        <v>0</v>
      </c>
      <c r="BH4187">
        <v>0</v>
      </c>
      <c r="BI4187">
        <v>0</v>
      </c>
      <c r="BJ4187">
        <v>4450</v>
      </c>
      <c r="BK4187">
        <v>50</v>
      </c>
      <c r="BL4187" t="s">
        <v>188</v>
      </c>
      <c r="BM4187">
        <v>1</v>
      </c>
      <c r="BN4187">
        <v>1</v>
      </c>
      <c r="BO4187">
        <v>0</v>
      </c>
      <c r="BP4187">
        <v>0</v>
      </c>
      <c r="BS4187">
        <v>0</v>
      </c>
      <c r="BT4187">
        <v>0</v>
      </c>
      <c r="BU4187">
        <v>0</v>
      </c>
      <c r="CE4187" t="str">
        <f t="shared" si="1659"/>
        <v>15:16:09.954</v>
      </c>
      <c r="CF4187">
        <v>953999278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3</v>
      </c>
      <c r="CY4187">
        <v>7</v>
      </c>
      <c r="CZ4187" t="s">
        <v>133</v>
      </c>
      <c r="DA4187">
        <v>275</v>
      </c>
      <c r="DB4187">
        <v>0</v>
      </c>
      <c r="DC4187" t="s">
        <v>134</v>
      </c>
      <c r="DD4187" t="s">
        <v>135</v>
      </c>
      <c r="DG4187">
        <v>3323176</v>
      </c>
      <c r="DI4187">
        <v>1</v>
      </c>
      <c r="DJ4187">
        <v>0</v>
      </c>
      <c r="DK4187">
        <v>1</v>
      </c>
      <c r="DL4187">
        <v>0</v>
      </c>
      <c r="DM4187">
        <v>0</v>
      </c>
      <c r="DN4187">
        <v>0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 x14ac:dyDescent="0.3">
      <c r="A4188" t="str">
        <f>"05/01/2025 15:16:10.193"</f>
        <v>05/01/2025 15:16:10.193</v>
      </c>
      <c r="C4188" t="str">
        <f t="shared" si="1648"/>
        <v>FFDFD3C0</v>
      </c>
      <c r="D4188" t="s">
        <v>143</v>
      </c>
      <c r="E4188" t="str">
        <f>"05"</f>
        <v>05</v>
      </c>
      <c r="H4188">
        <v>172</v>
      </c>
      <c r="I4188" t="s">
        <v>141</v>
      </c>
      <c r="J4188" t="s">
        <v>144</v>
      </c>
      <c r="K4188">
        <v>0</v>
      </c>
      <c r="L4188">
        <v>3</v>
      </c>
      <c r="M4188">
        <v>0</v>
      </c>
      <c r="N4188">
        <v>2</v>
      </c>
      <c r="O4188">
        <v>0</v>
      </c>
      <c r="P4188">
        <v>1</v>
      </c>
      <c r="Q4188">
        <v>0</v>
      </c>
      <c r="R4188" t="s">
        <v>127</v>
      </c>
      <c r="S4188" t="str">
        <f t="shared" si="1658"/>
        <v>15:16:09.000</v>
      </c>
      <c r="T4188" t="str">
        <f t="shared" si="1658"/>
        <v>15:16:09.000</v>
      </c>
      <c r="U4188" t="str">
        <f t="shared" si="1649"/>
        <v>A68FCB</v>
      </c>
      <c r="V4188">
        <v>0</v>
      </c>
      <c r="W4188">
        <v>0</v>
      </c>
      <c r="X4188">
        <v>2</v>
      </c>
      <c r="Y4188">
        <v>0</v>
      </c>
      <c r="AA4188">
        <v>1</v>
      </c>
      <c r="AB4188">
        <v>8</v>
      </c>
      <c r="AC4188">
        <v>3</v>
      </c>
      <c r="AD4188">
        <v>0</v>
      </c>
      <c r="AE4188">
        <v>9</v>
      </c>
      <c r="AF4188" t="s">
        <v>138</v>
      </c>
      <c r="AG4188">
        <v>0</v>
      </c>
      <c r="AH4188">
        <v>3</v>
      </c>
      <c r="AI4188">
        <v>2</v>
      </c>
      <c r="AJ4188">
        <v>0</v>
      </c>
      <c r="AK4188" t="s">
        <v>1328</v>
      </c>
      <c r="AL4188">
        <v>39.191600999999999</v>
      </c>
      <c r="AM4188" t="s">
        <v>1329</v>
      </c>
      <c r="AN4188">
        <v>-121.01979</v>
      </c>
      <c r="AO4188">
        <v>25</v>
      </c>
      <c r="AP4188">
        <v>4400</v>
      </c>
      <c r="AQ4188" t="s">
        <v>131</v>
      </c>
      <c r="AR4188">
        <v>34</v>
      </c>
      <c r="AS4188">
        <v>66</v>
      </c>
      <c r="AT4188">
        <v>-320</v>
      </c>
      <c r="BB4188" t="str">
        <f t="shared" si="1650"/>
        <v>1200</v>
      </c>
      <c r="BC4188">
        <v>1</v>
      </c>
      <c r="BD4188" t="str">
        <f t="shared" si="1651"/>
        <v xml:space="preserve">N52156  </v>
      </c>
      <c r="BE4188">
        <v>1</v>
      </c>
      <c r="BG4188">
        <v>0</v>
      </c>
      <c r="BH4188">
        <v>0</v>
      </c>
      <c r="BI4188">
        <v>0</v>
      </c>
      <c r="BJ4188">
        <v>4450</v>
      </c>
      <c r="BK4188">
        <v>50</v>
      </c>
      <c r="BL4188" t="s">
        <v>188</v>
      </c>
      <c r="BM4188">
        <v>1</v>
      </c>
      <c r="BN4188">
        <v>1</v>
      </c>
      <c r="BO4188">
        <v>0</v>
      </c>
      <c r="BP4188">
        <v>0</v>
      </c>
      <c r="BS4188">
        <v>0</v>
      </c>
      <c r="BT4188">
        <v>0</v>
      </c>
      <c r="BU4188">
        <v>0</v>
      </c>
      <c r="CE4188" t="str">
        <f t="shared" si="1659"/>
        <v>15:16:09.954</v>
      </c>
      <c r="CF4188">
        <v>953999278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3</v>
      </c>
      <c r="CY4188">
        <v>7</v>
      </c>
      <c r="CZ4188" t="s">
        <v>133</v>
      </c>
      <c r="DA4188">
        <v>275</v>
      </c>
      <c r="DB4188">
        <v>0</v>
      </c>
      <c r="DC4188" t="s">
        <v>134</v>
      </c>
      <c r="DD4188" t="s">
        <v>135</v>
      </c>
      <c r="DG4188">
        <v>3323176</v>
      </c>
      <c r="DI4188">
        <v>1</v>
      </c>
      <c r="DJ4188">
        <v>0</v>
      </c>
      <c r="DK4188">
        <v>1</v>
      </c>
      <c r="DL4188">
        <v>0</v>
      </c>
      <c r="DM4188">
        <v>0</v>
      </c>
      <c r="DN4188">
        <v>0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 x14ac:dyDescent="0.3">
      <c r="A4189" t="str">
        <f>"05/01/2025 15:16:10.191"</f>
        <v>05/01/2025 15:16:10.191</v>
      </c>
      <c r="C4189" t="str">
        <f t="shared" si="1648"/>
        <v>FFDFD3C0</v>
      </c>
      <c r="D4189" t="s">
        <v>140</v>
      </c>
      <c r="E4189" t="str">
        <f>"13"</f>
        <v>13</v>
      </c>
      <c r="F4189">
        <v>1019</v>
      </c>
      <c r="G4189" t="s">
        <v>141</v>
      </c>
      <c r="J4189" t="s">
        <v>142</v>
      </c>
      <c r="K4189">
        <v>0</v>
      </c>
      <c r="L4189">
        <v>3</v>
      </c>
      <c r="M4189">
        <v>0</v>
      </c>
      <c r="N4189">
        <v>2</v>
      </c>
      <c r="O4189">
        <v>0</v>
      </c>
      <c r="P4189">
        <v>1</v>
      </c>
      <c r="Q4189">
        <v>0</v>
      </c>
      <c r="R4189" t="s">
        <v>127</v>
      </c>
      <c r="S4189" t="str">
        <f t="shared" si="1658"/>
        <v>15:16:09.000</v>
      </c>
      <c r="T4189" t="str">
        <f t="shared" si="1658"/>
        <v>15:16:09.000</v>
      </c>
      <c r="U4189" t="str">
        <f t="shared" si="1649"/>
        <v>A68FCB</v>
      </c>
      <c r="V4189">
        <v>0</v>
      </c>
      <c r="W4189">
        <v>0</v>
      </c>
      <c r="X4189">
        <v>2</v>
      </c>
      <c r="Y4189">
        <v>0</v>
      </c>
      <c r="AA4189">
        <v>1</v>
      </c>
      <c r="AB4189">
        <v>8</v>
      </c>
      <c r="AC4189">
        <v>3</v>
      </c>
      <c r="AD4189">
        <v>0</v>
      </c>
      <c r="AE4189">
        <v>9</v>
      </c>
      <c r="AF4189" t="s">
        <v>138</v>
      </c>
      <c r="AG4189">
        <v>0</v>
      </c>
      <c r="AH4189">
        <v>3</v>
      </c>
      <c r="AI4189">
        <v>2</v>
      </c>
      <c r="AJ4189">
        <v>0</v>
      </c>
      <c r="AK4189" t="s">
        <v>1328</v>
      </c>
      <c r="AL4189">
        <v>39.191600999999999</v>
      </c>
      <c r="AM4189" t="s">
        <v>1329</v>
      </c>
      <c r="AN4189">
        <v>-121.01979</v>
      </c>
      <c r="AO4189">
        <v>25</v>
      </c>
      <c r="AP4189">
        <v>4400</v>
      </c>
      <c r="AQ4189" t="s">
        <v>131</v>
      </c>
      <c r="AR4189">
        <v>34</v>
      </c>
      <c r="AS4189">
        <v>66</v>
      </c>
      <c r="AT4189">
        <v>-320</v>
      </c>
      <c r="BB4189" t="str">
        <f t="shared" si="1650"/>
        <v>1200</v>
      </c>
      <c r="BC4189">
        <v>1</v>
      </c>
      <c r="BD4189" t="str">
        <f t="shared" si="1651"/>
        <v xml:space="preserve">N52156  </v>
      </c>
      <c r="BE4189">
        <v>1</v>
      </c>
      <c r="BG4189">
        <v>0</v>
      </c>
      <c r="BH4189">
        <v>0</v>
      </c>
      <c r="BI4189">
        <v>0</v>
      </c>
      <c r="BJ4189">
        <v>4450</v>
      </c>
      <c r="BK4189">
        <v>50</v>
      </c>
      <c r="BL4189" t="s">
        <v>188</v>
      </c>
      <c r="BM4189">
        <v>1</v>
      </c>
      <c r="BN4189">
        <v>1</v>
      </c>
      <c r="BO4189">
        <v>0</v>
      </c>
      <c r="BP4189">
        <v>0</v>
      </c>
      <c r="BS4189">
        <v>0</v>
      </c>
      <c r="BT4189">
        <v>0</v>
      </c>
      <c r="BU4189">
        <v>0</v>
      </c>
      <c r="CE4189" t="str">
        <f t="shared" si="1659"/>
        <v>15:16:09.954</v>
      </c>
      <c r="CF4189">
        <v>953999278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3</v>
      </c>
      <c r="CY4189">
        <v>7</v>
      </c>
      <c r="CZ4189" t="s">
        <v>133</v>
      </c>
      <c r="DA4189">
        <v>275</v>
      </c>
      <c r="DB4189">
        <v>0</v>
      </c>
      <c r="DC4189" t="s">
        <v>134</v>
      </c>
      <c r="DD4189" t="s">
        <v>135</v>
      </c>
      <c r="DG4189">
        <v>3323176</v>
      </c>
      <c r="DI4189">
        <v>1</v>
      </c>
      <c r="DJ4189">
        <v>0</v>
      </c>
      <c r="DK4189">
        <v>1</v>
      </c>
      <c r="DL4189">
        <v>0</v>
      </c>
      <c r="DM4189">
        <v>0</v>
      </c>
      <c r="DN4189">
        <v>0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 x14ac:dyDescent="0.3">
      <c r="A4190" t="str">
        <f>"05/01/2025 15:16:11.093"</f>
        <v>05/01/2025 15:16:11.093</v>
      </c>
      <c r="C4190" t="str">
        <f t="shared" si="1648"/>
        <v>FFDFD3C0</v>
      </c>
      <c r="D4190" t="s">
        <v>140</v>
      </c>
      <c r="E4190" t="str">
        <f>"13"</f>
        <v>13</v>
      </c>
      <c r="F4190">
        <v>1019</v>
      </c>
      <c r="G4190" t="s">
        <v>141</v>
      </c>
      <c r="J4190" t="s">
        <v>142</v>
      </c>
      <c r="K4190">
        <v>0</v>
      </c>
      <c r="L4190">
        <v>3</v>
      </c>
      <c r="M4190">
        <v>0</v>
      </c>
      <c r="N4190">
        <v>2</v>
      </c>
      <c r="O4190">
        <v>0</v>
      </c>
      <c r="P4190">
        <v>1</v>
      </c>
      <c r="Q4190">
        <v>0</v>
      </c>
      <c r="R4190" t="s">
        <v>127</v>
      </c>
      <c r="S4190" t="str">
        <f t="shared" ref="S4190:T4195" si="1660">"15:16:10.000"</f>
        <v>15:16:10.000</v>
      </c>
      <c r="T4190" t="str">
        <f t="shared" si="1660"/>
        <v>15:16:10.000</v>
      </c>
      <c r="U4190" t="str">
        <f t="shared" si="1649"/>
        <v>A68FCB</v>
      </c>
      <c r="V4190">
        <v>0</v>
      </c>
      <c r="W4190">
        <v>0</v>
      </c>
      <c r="X4190">
        <v>2</v>
      </c>
      <c r="Y4190">
        <v>0</v>
      </c>
      <c r="AA4190">
        <v>1</v>
      </c>
      <c r="AB4190">
        <v>8</v>
      </c>
      <c r="AC4190">
        <v>3</v>
      </c>
      <c r="AD4190">
        <v>0</v>
      </c>
      <c r="AE4190">
        <v>9</v>
      </c>
      <c r="AF4190" t="s">
        <v>138</v>
      </c>
      <c r="AG4190">
        <v>0</v>
      </c>
      <c r="AH4190">
        <v>3</v>
      </c>
      <c r="AI4190">
        <v>2</v>
      </c>
      <c r="AJ4190">
        <v>0</v>
      </c>
      <c r="AK4190" t="s">
        <v>1330</v>
      </c>
      <c r="AL4190">
        <v>39.191923000000003</v>
      </c>
      <c r="AM4190" t="s">
        <v>1331</v>
      </c>
      <c r="AN4190">
        <v>-121.019597</v>
      </c>
      <c r="AO4190">
        <v>25</v>
      </c>
      <c r="AP4190">
        <v>4400</v>
      </c>
      <c r="AQ4190" t="s">
        <v>131</v>
      </c>
      <c r="AR4190">
        <v>34</v>
      </c>
      <c r="AS4190">
        <v>66</v>
      </c>
      <c r="AT4190">
        <v>-320</v>
      </c>
      <c r="BB4190" t="str">
        <f t="shared" si="1650"/>
        <v>1200</v>
      </c>
      <c r="BC4190">
        <v>1</v>
      </c>
      <c r="BD4190" t="str">
        <f t="shared" si="1651"/>
        <v xml:space="preserve">N52156  </v>
      </c>
      <c r="BE4190">
        <v>1</v>
      </c>
      <c r="BG4190">
        <v>0</v>
      </c>
      <c r="BH4190">
        <v>0</v>
      </c>
      <c r="BI4190">
        <v>0</v>
      </c>
      <c r="BJ4190">
        <v>4425</v>
      </c>
      <c r="BK4190">
        <v>25</v>
      </c>
      <c r="BL4190" t="s">
        <v>188</v>
      </c>
      <c r="BM4190">
        <v>1</v>
      </c>
      <c r="BN4190">
        <v>1</v>
      </c>
      <c r="BO4190">
        <v>0</v>
      </c>
      <c r="BP4190">
        <v>0</v>
      </c>
      <c r="BS4190">
        <v>0</v>
      </c>
      <c r="BT4190">
        <v>0</v>
      </c>
      <c r="BU4190">
        <v>0</v>
      </c>
      <c r="CE4190" t="str">
        <f t="shared" ref="CE4190:CE4195" si="1661">"15:16:10.893"</f>
        <v>15:16:10.893</v>
      </c>
      <c r="CF4190">
        <v>893079573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3</v>
      </c>
      <c r="CY4190">
        <v>7</v>
      </c>
      <c r="CZ4190" t="s">
        <v>133</v>
      </c>
      <c r="DA4190">
        <v>276</v>
      </c>
      <c r="DB4190">
        <v>0</v>
      </c>
      <c r="DC4190" t="s">
        <v>402</v>
      </c>
      <c r="DD4190" t="s">
        <v>403</v>
      </c>
      <c r="DG4190">
        <v>1628451</v>
      </c>
      <c r="DI4190">
        <v>1</v>
      </c>
      <c r="DJ4190">
        <v>0</v>
      </c>
      <c r="DK4190">
        <v>0</v>
      </c>
      <c r="DL4190">
        <v>0</v>
      </c>
      <c r="DM4190">
        <v>0</v>
      </c>
      <c r="DN4190">
        <v>0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 x14ac:dyDescent="0.3">
      <c r="A4191" t="str">
        <f>"05/01/2025 15:16:11.095"</f>
        <v>05/01/2025 15:16:11.095</v>
      </c>
      <c r="C4191" t="str">
        <f t="shared" si="1648"/>
        <v>FFDFD3C0</v>
      </c>
      <c r="D4191" t="s">
        <v>143</v>
      </c>
      <c r="E4191" t="str">
        <f>"05"</f>
        <v>05</v>
      </c>
      <c r="H4191">
        <v>172</v>
      </c>
      <c r="I4191" t="s">
        <v>141</v>
      </c>
      <c r="J4191" t="s">
        <v>144</v>
      </c>
      <c r="K4191">
        <v>0</v>
      </c>
      <c r="L4191">
        <v>3</v>
      </c>
      <c r="M4191">
        <v>0</v>
      </c>
      <c r="N4191">
        <v>2</v>
      </c>
      <c r="O4191">
        <v>0</v>
      </c>
      <c r="P4191">
        <v>1</v>
      </c>
      <c r="Q4191">
        <v>0</v>
      </c>
      <c r="R4191" t="s">
        <v>127</v>
      </c>
      <c r="S4191" t="str">
        <f t="shared" si="1660"/>
        <v>15:16:10.000</v>
      </c>
      <c r="T4191" t="str">
        <f t="shared" si="1660"/>
        <v>15:16:10.000</v>
      </c>
      <c r="U4191" t="str">
        <f t="shared" si="1649"/>
        <v>A68FCB</v>
      </c>
      <c r="V4191">
        <v>0</v>
      </c>
      <c r="W4191">
        <v>0</v>
      </c>
      <c r="X4191">
        <v>2</v>
      </c>
      <c r="Y4191">
        <v>0</v>
      </c>
      <c r="AA4191">
        <v>1</v>
      </c>
      <c r="AB4191">
        <v>8</v>
      </c>
      <c r="AC4191">
        <v>3</v>
      </c>
      <c r="AD4191">
        <v>0</v>
      </c>
      <c r="AE4191">
        <v>9</v>
      </c>
      <c r="AF4191" t="s">
        <v>138</v>
      </c>
      <c r="AG4191">
        <v>0</v>
      </c>
      <c r="AH4191">
        <v>3</v>
      </c>
      <c r="AI4191">
        <v>2</v>
      </c>
      <c r="AJ4191">
        <v>0</v>
      </c>
      <c r="AK4191" t="s">
        <v>1330</v>
      </c>
      <c r="AL4191">
        <v>39.191923000000003</v>
      </c>
      <c r="AM4191" t="s">
        <v>1331</v>
      </c>
      <c r="AN4191">
        <v>-121.019597</v>
      </c>
      <c r="AO4191">
        <v>25</v>
      </c>
      <c r="AP4191">
        <v>4400</v>
      </c>
      <c r="AQ4191" t="s">
        <v>131</v>
      </c>
      <c r="AR4191">
        <v>34</v>
      </c>
      <c r="AS4191">
        <v>66</v>
      </c>
      <c r="AT4191">
        <v>-320</v>
      </c>
      <c r="BB4191" t="str">
        <f t="shared" si="1650"/>
        <v>1200</v>
      </c>
      <c r="BC4191">
        <v>1</v>
      </c>
      <c r="BD4191" t="str">
        <f t="shared" si="1651"/>
        <v xml:space="preserve">N52156  </v>
      </c>
      <c r="BE4191">
        <v>1</v>
      </c>
      <c r="BG4191">
        <v>0</v>
      </c>
      <c r="BH4191">
        <v>0</v>
      </c>
      <c r="BI4191">
        <v>0</v>
      </c>
      <c r="BJ4191">
        <v>4425</v>
      </c>
      <c r="BK4191">
        <v>25</v>
      </c>
      <c r="BL4191" t="s">
        <v>188</v>
      </c>
      <c r="BM4191">
        <v>1</v>
      </c>
      <c r="BN4191">
        <v>1</v>
      </c>
      <c r="BO4191">
        <v>0</v>
      </c>
      <c r="BP4191">
        <v>0</v>
      </c>
      <c r="BS4191">
        <v>0</v>
      </c>
      <c r="BT4191">
        <v>0</v>
      </c>
      <c r="BU4191">
        <v>0</v>
      </c>
      <c r="CE4191" t="str">
        <f t="shared" si="1661"/>
        <v>15:16:10.893</v>
      </c>
      <c r="CF4191">
        <v>893079573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3</v>
      </c>
      <c r="CY4191">
        <v>7</v>
      </c>
      <c r="CZ4191" t="s">
        <v>133</v>
      </c>
      <c r="DA4191">
        <v>276</v>
      </c>
      <c r="DB4191">
        <v>0</v>
      </c>
      <c r="DC4191" t="s">
        <v>402</v>
      </c>
      <c r="DD4191" t="s">
        <v>403</v>
      </c>
      <c r="DG4191">
        <v>1628451</v>
      </c>
      <c r="DI4191">
        <v>1</v>
      </c>
      <c r="DJ4191">
        <v>0</v>
      </c>
      <c r="DK4191">
        <v>1</v>
      </c>
      <c r="DL4191">
        <v>0</v>
      </c>
      <c r="DM4191">
        <v>0</v>
      </c>
      <c r="DN4191">
        <v>0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 x14ac:dyDescent="0.3">
      <c r="A4192" t="str">
        <f>"05/01/2025 15:16:11.096"</f>
        <v>05/01/2025 15:16:11.096</v>
      </c>
      <c r="C4192" t="str">
        <f t="shared" si="1648"/>
        <v>FFDFD3C0</v>
      </c>
      <c r="D4192" t="s">
        <v>124</v>
      </c>
      <c r="E4192" t="str">
        <f>"06"</f>
        <v>06</v>
      </c>
      <c r="F4192">
        <v>2006</v>
      </c>
      <c r="G4192" t="s">
        <v>125</v>
      </c>
      <c r="J4192" t="s">
        <v>126</v>
      </c>
      <c r="K4192">
        <v>0</v>
      </c>
      <c r="L4192">
        <v>3</v>
      </c>
      <c r="M4192">
        <v>0</v>
      </c>
      <c r="N4192">
        <v>2</v>
      </c>
      <c r="O4192">
        <v>0</v>
      </c>
      <c r="P4192">
        <v>1</v>
      </c>
      <c r="Q4192">
        <v>0</v>
      </c>
      <c r="R4192" t="s">
        <v>127</v>
      </c>
      <c r="S4192" t="str">
        <f t="shared" si="1660"/>
        <v>15:16:10.000</v>
      </c>
      <c r="T4192" t="str">
        <f t="shared" si="1660"/>
        <v>15:16:10.000</v>
      </c>
      <c r="U4192" t="str">
        <f t="shared" si="1649"/>
        <v>A68FCB</v>
      </c>
      <c r="V4192">
        <v>0</v>
      </c>
      <c r="W4192">
        <v>0</v>
      </c>
      <c r="X4192">
        <v>2</v>
      </c>
      <c r="Y4192">
        <v>0</v>
      </c>
      <c r="AA4192">
        <v>1</v>
      </c>
      <c r="AB4192">
        <v>8</v>
      </c>
      <c r="AC4192">
        <v>3</v>
      </c>
      <c r="AD4192">
        <v>0</v>
      </c>
      <c r="AE4192">
        <v>9</v>
      </c>
      <c r="AF4192" t="s">
        <v>138</v>
      </c>
      <c r="AG4192">
        <v>0</v>
      </c>
      <c r="AH4192">
        <v>3</v>
      </c>
      <c r="AI4192">
        <v>2</v>
      </c>
      <c r="AJ4192">
        <v>0</v>
      </c>
      <c r="AK4192" t="s">
        <v>1330</v>
      </c>
      <c r="AL4192">
        <v>39.191923000000003</v>
      </c>
      <c r="AM4192" t="s">
        <v>1331</v>
      </c>
      <c r="AN4192">
        <v>-121.019597</v>
      </c>
      <c r="AO4192">
        <v>25</v>
      </c>
      <c r="AP4192">
        <v>4400</v>
      </c>
      <c r="AQ4192" t="s">
        <v>131</v>
      </c>
      <c r="AR4192">
        <v>34</v>
      </c>
      <c r="AS4192">
        <v>66</v>
      </c>
      <c r="AT4192">
        <v>-320</v>
      </c>
      <c r="BB4192" t="str">
        <f t="shared" si="1650"/>
        <v>1200</v>
      </c>
      <c r="BC4192">
        <v>1</v>
      </c>
      <c r="BD4192" t="str">
        <f t="shared" si="1651"/>
        <v xml:space="preserve">N52156  </v>
      </c>
      <c r="BE4192">
        <v>1</v>
      </c>
      <c r="BG4192">
        <v>0</v>
      </c>
      <c r="BH4192">
        <v>0</v>
      </c>
      <c r="BI4192">
        <v>0</v>
      </c>
      <c r="BJ4192">
        <v>4425</v>
      </c>
      <c r="BK4192">
        <v>25</v>
      </c>
      <c r="BL4192" t="s">
        <v>188</v>
      </c>
      <c r="BM4192">
        <v>1</v>
      </c>
      <c r="BN4192">
        <v>1</v>
      </c>
      <c r="BO4192">
        <v>0</v>
      </c>
      <c r="BP4192">
        <v>0</v>
      </c>
      <c r="BS4192">
        <v>0</v>
      </c>
      <c r="BT4192">
        <v>0</v>
      </c>
      <c r="BU4192">
        <v>0</v>
      </c>
      <c r="CE4192" t="str">
        <f t="shared" si="1661"/>
        <v>15:16:10.893</v>
      </c>
      <c r="CF4192">
        <v>893079573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3</v>
      </c>
      <c r="CY4192">
        <v>7</v>
      </c>
      <c r="CZ4192" t="s">
        <v>133</v>
      </c>
      <c r="DA4192">
        <v>276</v>
      </c>
      <c r="DB4192">
        <v>0</v>
      </c>
      <c r="DC4192" t="s">
        <v>402</v>
      </c>
      <c r="DD4192" t="s">
        <v>403</v>
      </c>
      <c r="DG4192">
        <v>1628451</v>
      </c>
      <c r="DI4192">
        <v>1</v>
      </c>
      <c r="DJ4192">
        <v>0</v>
      </c>
      <c r="DK4192">
        <v>1</v>
      </c>
      <c r="DL4192">
        <v>0</v>
      </c>
      <c r="DM4192">
        <v>0</v>
      </c>
      <c r="DN4192">
        <v>0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 x14ac:dyDescent="0.3">
      <c r="A4193" t="str">
        <f>"05/01/2025 15:16:11.108"</f>
        <v>05/01/2025 15:16:11.108</v>
      </c>
      <c r="C4193" t="str">
        <f t="shared" si="1648"/>
        <v>FFDFD3C0</v>
      </c>
      <c r="D4193" t="s">
        <v>145</v>
      </c>
      <c r="E4193" t="str">
        <f>"09"</f>
        <v>09</v>
      </c>
      <c r="H4193">
        <v>51</v>
      </c>
      <c r="I4193" t="s">
        <v>147</v>
      </c>
      <c r="J4193" t="s">
        <v>138</v>
      </c>
      <c r="K4193">
        <v>0</v>
      </c>
      <c r="L4193">
        <v>3</v>
      </c>
      <c r="M4193">
        <v>0</v>
      </c>
      <c r="N4193">
        <v>2</v>
      </c>
      <c r="O4193">
        <v>0</v>
      </c>
      <c r="P4193">
        <v>1</v>
      </c>
      <c r="Q4193">
        <v>0</v>
      </c>
      <c r="R4193" t="s">
        <v>127</v>
      </c>
      <c r="S4193" t="str">
        <f t="shared" si="1660"/>
        <v>15:16:10.000</v>
      </c>
      <c r="T4193" t="str">
        <f t="shared" si="1660"/>
        <v>15:16:10.000</v>
      </c>
      <c r="U4193" t="str">
        <f t="shared" si="1649"/>
        <v>A68FCB</v>
      </c>
      <c r="V4193">
        <v>0</v>
      </c>
      <c r="W4193">
        <v>0</v>
      </c>
      <c r="X4193">
        <v>2</v>
      </c>
      <c r="Y4193">
        <v>0</v>
      </c>
      <c r="AA4193">
        <v>1</v>
      </c>
      <c r="AB4193">
        <v>8</v>
      </c>
      <c r="AC4193">
        <v>3</v>
      </c>
      <c r="AD4193">
        <v>0</v>
      </c>
      <c r="AE4193">
        <v>9</v>
      </c>
      <c r="AF4193" t="s">
        <v>138</v>
      </c>
      <c r="AG4193">
        <v>0</v>
      </c>
      <c r="AH4193">
        <v>3</v>
      </c>
      <c r="AI4193">
        <v>2</v>
      </c>
      <c r="AJ4193">
        <v>0</v>
      </c>
      <c r="AK4193" t="s">
        <v>1330</v>
      </c>
      <c r="AL4193">
        <v>39.191923000000003</v>
      </c>
      <c r="AM4193" t="s">
        <v>1331</v>
      </c>
      <c r="AN4193">
        <v>-121.019597</v>
      </c>
      <c r="AO4193">
        <v>25</v>
      </c>
      <c r="AP4193">
        <v>4400</v>
      </c>
      <c r="AQ4193" t="s">
        <v>131</v>
      </c>
      <c r="AR4193">
        <v>34</v>
      </c>
      <c r="AS4193">
        <v>66</v>
      </c>
      <c r="AT4193">
        <v>-320</v>
      </c>
      <c r="BB4193" t="str">
        <f t="shared" si="1650"/>
        <v>1200</v>
      </c>
      <c r="BC4193">
        <v>1</v>
      </c>
      <c r="BD4193" t="str">
        <f t="shared" si="1651"/>
        <v xml:space="preserve">N52156  </v>
      </c>
      <c r="BE4193">
        <v>1</v>
      </c>
      <c r="BG4193">
        <v>0</v>
      </c>
      <c r="BH4193">
        <v>0</v>
      </c>
      <c r="BI4193">
        <v>0</v>
      </c>
      <c r="BJ4193">
        <v>4425</v>
      </c>
      <c r="BK4193">
        <v>25</v>
      </c>
      <c r="BL4193" t="s">
        <v>188</v>
      </c>
      <c r="BM4193">
        <v>1</v>
      </c>
      <c r="BN4193">
        <v>1</v>
      </c>
      <c r="BO4193">
        <v>0</v>
      </c>
      <c r="BP4193">
        <v>0</v>
      </c>
      <c r="BS4193">
        <v>0</v>
      </c>
      <c r="BT4193">
        <v>0</v>
      </c>
      <c r="BU4193">
        <v>0</v>
      </c>
      <c r="CE4193" t="str">
        <f t="shared" si="1661"/>
        <v>15:16:10.893</v>
      </c>
      <c r="CF4193">
        <v>893079573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3</v>
      </c>
      <c r="CY4193">
        <v>7</v>
      </c>
      <c r="CZ4193" t="s">
        <v>133</v>
      </c>
      <c r="DA4193">
        <v>276</v>
      </c>
      <c r="DB4193">
        <v>0</v>
      </c>
      <c r="DC4193" t="s">
        <v>402</v>
      </c>
      <c r="DD4193" t="s">
        <v>403</v>
      </c>
      <c r="DG4193">
        <v>1628451</v>
      </c>
      <c r="DI4193">
        <v>1</v>
      </c>
      <c r="DJ4193">
        <v>0</v>
      </c>
      <c r="DK4193">
        <v>1</v>
      </c>
      <c r="DL4193">
        <v>0</v>
      </c>
      <c r="DM4193">
        <v>0</v>
      </c>
      <c r="DN4193">
        <v>0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 x14ac:dyDescent="0.3">
      <c r="A4194" t="str">
        <f>"05/01/2025 15:16:11.113"</f>
        <v>05/01/2025 15:16:11.113</v>
      </c>
      <c r="C4194" t="str">
        <f t="shared" si="1648"/>
        <v>FFDFD3C0</v>
      </c>
      <c r="D4194" t="s">
        <v>145</v>
      </c>
      <c r="E4194" t="str">
        <f>"05"</f>
        <v>05</v>
      </c>
      <c r="H4194">
        <v>47</v>
      </c>
      <c r="I4194" t="s">
        <v>146</v>
      </c>
      <c r="J4194" t="s">
        <v>138</v>
      </c>
      <c r="K4194">
        <v>0</v>
      </c>
      <c r="L4194">
        <v>3</v>
      </c>
      <c r="M4194">
        <v>0</v>
      </c>
      <c r="N4194">
        <v>2</v>
      </c>
      <c r="O4194">
        <v>0</v>
      </c>
      <c r="P4194">
        <v>1</v>
      </c>
      <c r="Q4194">
        <v>0</v>
      </c>
      <c r="R4194" t="s">
        <v>127</v>
      </c>
      <c r="S4194" t="str">
        <f t="shared" si="1660"/>
        <v>15:16:10.000</v>
      </c>
      <c r="T4194" t="str">
        <f t="shared" si="1660"/>
        <v>15:16:10.000</v>
      </c>
      <c r="U4194" t="str">
        <f t="shared" si="1649"/>
        <v>A68FCB</v>
      </c>
      <c r="V4194">
        <v>0</v>
      </c>
      <c r="W4194">
        <v>0</v>
      </c>
      <c r="X4194">
        <v>2</v>
      </c>
      <c r="Y4194">
        <v>0</v>
      </c>
      <c r="AA4194">
        <v>1</v>
      </c>
      <c r="AB4194">
        <v>8</v>
      </c>
      <c r="AC4194">
        <v>3</v>
      </c>
      <c r="AD4194">
        <v>0</v>
      </c>
      <c r="AE4194">
        <v>9</v>
      </c>
      <c r="AF4194" t="s">
        <v>138</v>
      </c>
      <c r="AG4194">
        <v>0</v>
      </c>
      <c r="AH4194">
        <v>3</v>
      </c>
      <c r="AI4194">
        <v>2</v>
      </c>
      <c r="AJ4194">
        <v>0</v>
      </c>
      <c r="AK4194" t="s">
        <v>1330</v>
      </c>
      <c r="AL4194">
        <v>39.191923000000003</v>
      </c>
      <c r="AM4194" t="s">
        <v>1331</v>
      </c>
      <c r="AN4194">
        <v>-121.019597</v>
      </c>
      <c r="AO4194">
        <v>25</v>
      </c>
      <c r="AP4194">
        <v>4400</v>
      </c>
      <c r="AQ4194" t="s">
        <v>131</v>
      </c>
      <c r="AR4194">
        <v>34</v>
      </c>
      <c r="AS4194">
        <v>66</v>
      </c>
      <c r="AT4194">
        <v>-320</v>
      </c>
      <c r="BB4194" t="str">
        <f t="shared" si="1650"/>
        <v>1200</v>
      </c>
      <c r="BC4194">
        <v>1</v>
      </c>
      <c r="BD4194" t="str">
        <f t="shared" si="1651"/>
        <v xml:space="preserve">N52156  </v>
      </c>
      <c r="BE4194">
        <v>1</v>
      </c>
      <c r="BG4194">
        <v>0</v>
      </c>
      <c r="BH4194">
        <v>0</v>
      </c>
      <c r="BI4194">
        <v>0</v>
      </c>
      <c r="BJ4194">
        <v>4425</v>
      </c>
      <c r="BK4194">
        <v>25</v>
      </c>
      <c r="BL4194" t="s">
        <v>188</v>
      </c>
      <c r="BM4194">
        <v>1</v>
      </c>
      <c r="BN4194">
        <v>1</v>
      </c>
      <c r="BO4194">
        <v>0</v>
      </c>
      <c r="BP4194">
        <v>0</v>
      </c>
      <c r="BS4194">
        <v>0</v>
      </c>
      <c r="BT4194">
        <v>0</v>
      </c>
      <c r="BU4194">
        <v>0</v>
      </c>
      <c r="CE4194" t="str">
        <f t="shared" si="1661"/>
        <v>15:16:10.893</v>
      </c>
      <c r="CF4194">
        <v>893079573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3</v>
      </c>
      <c r="CY4194">
        <v>7</v>
      </c>
      <c r="CZ4194" t="s">
        <v>133</v>
      </c>
      <c r="DA4194">
        <v>276</v>
      </c>
      <c r="DB4194">
        <v>0</v>
      </c>
      <c r="DC4194" t="s">
        <v>402</v>
      </c>
      <c r="DD4194" t="s">
        <v>403</v>
      </c>
      <c r="DG4194">
        <v>1628451</v>
      </c>
      <c r="DI4194">
        <v>1</v>
      </c>
      <c r="DJ4194">
        <v>0</v>
      </c>
      <c r="DK4194">
        <v>1</v>
      </c>
      <c r="DL4194">
        <v>0</v>
      </c>
      <c r="DM4194">
        <v>0</v>
      </c>
      <c r="DN4194">
        <v>0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 x14ac:dyDescent="0.3">
      <c r="A4195" t="str">
        <f>"05/01/2025 15:16:11.123"</f>
        <v>05/01/2025 15:16:11.123</v>
      </c>
      <c r="C4195" t="str">
        <f t="shared" si="1648"/>
        <v>FFDFD3C0</v>
      </c>
      <c r="D4195" t="s">
        <v>136</v>
      </c>
      <c r="E4195" t="str">
        <f>"20"</f>
        <v>20</v>
      </c>
      <c r="H4195">
        <v>400</v>
      </c>
      <c r="I4195" t="s">
        <v>137</v>
      </c>
      <c r="J4195" t="s">
        <v>138</v>
      </c>
      <c r="K4195">
        <v>0</v>
      </c>
      <c r="L4195">
        <v>3</v>
      </c>
      <c r="M4195">
        <v>0</v>
      </c>
      <c r="N4195">
        <v>2</v>
      </c>
      <c r="O4195">
        <v>0</v>
      </c>
      <c r="P4195">
        <v>1</v>
      </c>
      <c r="Q4195">
        <v>0</v>
      </c>
      <c r="R4195" t="s">
        <v>127</v>
      </c>
      <c r="S4195" t="str">
        <f t="shared" si="1660"/>
        <v>15:16:10.000</v>
      </c>
      <c r="T4195" t="str">
        <f t="shared" si="1660"/>
        <v>15:16:10.000</v>
      </c>
      <c r="U4195" t="str">
        <f t="shared" si="1649"/>
        <v>A68FCB</v>
      </c>
      <c r="V4195">
        <v>0</v>
      </c>
      <c r="W4195">
        <v>0</v>
      </c>
      <c r="X4195">
        <v>2</v>
      </c>
      <c r="Y4195">
        <v>0</v>
      </c>
      <c r="AA4195">
        <v>1</v>
      </c>
      <c r="AB4195">
        <v>8</v>
      </c>
      <c r="AC4195">
        <v>3</v>
      </c>
      <c r="AD4195">
        <v>0</v>
      </c>
      <c r="AE4195">
        <v>9</v>
      </c>
      <c r="AF4195" t="s">
        <v>138</v>
      </c>
      <c r="AG4195">
        <v>0</v>
      </c>
      <c r="AH4195">
        <v>3</v>
      </c>
      <c r="AI4195">
        <v>2</v>
      </c>
      <c r="AJ4195">
        <v>0</v>
      </c>
      <c r="AK4195" t="s">
        <v>1330</v>
      </c>
      <c r="AL4195">
        <v>39.191923000000003</v>
      </c>
      <c r="AM4195" t="s">
        <v>1331</v>
      </c>
      <c r="AN4195">
        <v>-121.019597</v>
      </c>
      <c r="AO4195">
        <v>25</v>
      </c>
      <c r="AP4195">
        <v>4400</v>
      </c>
      <c r="AQ4195" t="s">
        <v>131</v>
      </c>
      <c r="AR4195">
        <v>34</v>
      </c>
      <c r="AS4195">
        <v>66</v>
      </c>
      <c r="AT4195">
        <v>-320</v>
      </c>
      <c r="BB4195" t="str">
        <f t="shared" si="1650"/>
        <v>1200</v>
      </c>
      <c r="BC4195">
        <v>1</v>
      </c>
      <c r="BD4195" t="str">
        <f t="shared" si="1651"/>
        <v xml:space="preserve">N52156  </v>
      </c>
      <c r="BE4195">
        <v>1</v>
      </c>
      <c r="BG4195">
        <v>0</v>
      </c>
      <c r="BH4195">
        <v>0</v>
      </c>
      <c r="BI4195">
        <v>0</v>
      </c>
      <c r="BJ4195">
        <v>4425</v>
      </c>
      <c r="BK4195">
        <v>25</v>
      </c>
      <c r="BL4195" t="s">
        <v>188</v>
      </c>
      <c r="BM4195">
        <v>1</v>
      </c>
      <c r="BN4195">
        <v>1</v>
      </c>
      <c r="BO4195">
        <v>0</v>
      </c>
      <c r="BP4195">
        <v>0</v>
      </c>
      <c r="BS4195">
        <v>0</v>
      </c>
      <c r="BT4195">
        <v>0</v>
      </c>
      <c r="BU4195">
        <v>0</v>
      </c>
      <c r="CE4195" t="str">
        <f t="shared" si="1661"/>
        <v>15:16:10.893</v>
      </c>
      <c r="CF4195">
        <v>893079573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3</v>
      </c>
      <c r="CY4195">
        <v>7</v>
      </c>
      <c r="CZ4195" t="s">
        <v>133</v>
      </c>
      <c r="DA4195">
        <v>276</v>
      </c>
      <c r="DB4195">
        <v>0</v>
      </c>
      <c r="DC4195" t="s">
        <v>402</v>
      </c>
      <c r="DD4195" t="s">
        <v>403</v>
      </c>
      <c r="DG4195">
        <v>1628451</v>
      </c>
      <c r="DI4195">
        <v>1</v>
      </c>
      <c r="DJ4195">
        <v>0</v>
      </c>
      <c r="DK4195">
        <v>1</v>
      </c>
      <c r="DL4195">
        <v>0</v>
      </c>
      <c r="DM4195">
        <v>0</v>
      </c>
      <c r="DN4195">
        <v>0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 x14ac:dyDescent="0.3">
      <c r="A4196" t="str">
        <f>"05/01/2025 15:16:12.010"</f>
        <v>05/01/2025 15:16:12.010</v>
      </c>
      <c r="C4196" t="str">
        <f t="shared" si="1648"/>
        <v>FFDFD3C0</v>
      </c>
      <c r="D4196" t="s">
        <v>145</v>
      </c>
      <c r="E4196" t="str">
        <f>"09"</f>
        <v>09</v>
      </c>
      <c r="H4196">
        <v>51</v>
      </c>
      <c r="I4196" t="s">
        <v>147</v>
      </c>
      <c r="J4196" t="s">
        <v>138</v>
      </c>
      <c r="K4196">
        <v>0</v>
      </c>
      <c r="L4196">
        <v>3</v>
      </c>
      <c r="M4196">
        <v>0</v>
      </c>
      <c r="N4196">
        <v>2</v>
      </c>
      <c r="O4196">
        <v>0</v>
      </c>
      <c r="P4196">
        <v>1</v>
      </c>
      <c r="Q4196">
        <v>0</v>
      </c>
      <c r="R4196" t="s">
        <v>127</v>
      </c>
      <c r="S4196" t="str">
        <f t="shared" ref="S4196:T4201" si="1662">"15:16:11.000"</f>
        <v>15:16:11.000</v>
      </c>
      <c r="T4196" t="str">
        <f t="shared" si="1662"/>
        <v>15:16:11.000</v>
      </c>
      <c r="U4196" t="str">
        <f t="shared" si="1649"/>
        <v>A68FCB</v>
      </c>
      <c r="V4196">
        <v>0</v>
      </c>
      <c r="W4196">
        <v>0</v>
      </c>
      <c r="X4196">
        <v>2</v>
      </c>
      <c r="Y4196">
        <v>0</v>
      </c>
      <c r="AA4196">
        <v>1</v>
      </c>
      <c r="AB4196">
        <v>8</v>
      </c>
      <c r="AC4196">
        <v>3</v>
      </c>
      <c r="AD4196">
        <v>0</v>
      </c>
      <c r="AE4196">
        <v>9</v>
      </c>
      <c r="AF4196" t="s">
        <v>138</v>
      </c>
      <c r="AG4196">
        <v>0</v>
      </c>
      <c r="AH4196">
        <v>3</v>
      </c>
      <c r="AI4196">
        <v>2</v>
      </c>
      <c r="AJ4196">
        <v>0</v>
      </c>
      <c r="AK4196" t="s">
        <v>1332</v>
      </c>
      <c r="AL4196">
        <v>39.192224000000003</v>
      </c>
      <c r="AM4196" t="s">
        <v>1333</v>
      </c>
      <c r="AN4196">
        <v>-121.01938199999999</v>
      </c>
      <c r="AO4196">
        <v>25</v>
      </c>
      <c r="AP4196">
        <v>4400</v>
      </c>
      <c r="AQ4196" t="s">
        <v>131</v>
      </c>
      <c r="AR4196">
        <v>34</v>
      </c>
      <c r="AS4196">
        <v>65</v>
      </c>
      <c r="AT4196">
        <v>-320</v>
      </c>
      <c r="BB4196" t="str">
        <f t="shared" si="1650"/>
        <v>1200</v>
      </c>
      <c r="BC4196">
        <v>1</v>
      </c>
      <c r="BD4196" t="str">
        <f t="shared" si="1651"/>
        <v xml:space="preserve">N52156  </v>
      </c>
      <c r="BE4196">
        <v>1</v>
      </c>
      <c r="BG4196">
        <v>0</v>
      </c>
      <c r="BH4196">
        <v>0</v>
      </c>
      <c r="BI4196">
        <v>0</v>
      </c>
      <c r="BJ4196">
        <v>4425</v>
      </c>
      <c r="BK4196">
        <v>25</v>
      </c>
      <c r="BL4196" t="s">
        <v>188</v>
      </c>
      <c r="BM4196">
        <v>1</v>
      </c>
      <c r="BN4196">
        <v>1</v>
      </c>
      <c r="BO4196">
        <v>0</v>
      </c>
      <c r="BP4196">
        <v>0</v>
      </c>
      <c r="BS4196">
        <v>0</v>
      </c>
      <c r="BT4196">
        <v>0</v>
      </c>
      <c r="BU4196">
        <v>0</v>
      </c>
      <c r="CE4196" t="str">
        <f t="shared" ref="CE4196:CE4201" si="1663">"15:16:11.763"</f>
        <v>15:16:11.763</v>
      </c>
      <c r="CF4196">
        <v>762829276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3</v>
      </c>
      <c r="CY4196">
        <v>7</v>
      </c>
      <c r="CZ4196" t="s">
        <v>133</v>
      </c>
      <c r="DA4196">
        <v>276</v>
      </c>
      <c r="DB4196">
        <v>0</v>
      </c>
      <c r="DC4196" t="s">
        <v>402</v>
      </c>
      <c r="DD4196" t="s">
        <v>403</v>
      </c>
      <c r="DG4196">
        <v>1628455</v>
      </c>
      <c r="DI4196">
        <v>1</v>
      </c>
      <c r="DJ4196">
        <v>0</v>
      </c>
      <c r="DK4196">
        <v>0</v>
      </c>
      <c r="DL4196">
        <v>0</v>
      </c>
      <c r="DM4196">
        <v>0</v>
      </c>
      <c r="DN4196">
        <v>0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 x14ac:dyDescent="0.3">
      <c r="A4197" t="str">
        <f>"05/01/2025 15:16:12.014"</f>
        <v>05/01/2025 15:16:12.014</v>
      </c>
      <c r="C4197" t="str">
        <f t="shared" si="1648"/>
        <v>FFDFD3C0</v>
      </c>
      <c r="D4197" t="s">
        <v>145</v>
      </c>
      <c r="E4197" t="str">
        <f>"05"</f>
        <v>05</v>
      </c>
      <c r="H4197">
        <v>47</v>
      </c>
      <c r="I4197" t="s">
        <v>146</v>
      </c>
      <c r="J4197" t="s">
        <v>138</v>
      </c>
      <c r="K4197">
        <v>0</v>
      </c>
      <c r="L4197">
        <v>3</v>
      </c>
      <c r="M4197">
        <v>0</v>
      </c>
      <c r="N4197">
        <v>2</v>
      </c>
      <c r="O4197">
        <v>0</v>
      </c>
      <c r="P4197">
        <v>1</v>
      </c>
      <c r="Q4197">
        <v>0</v>
      </c>
      <c r="R4197" t="s">
        <v>127</v>
      </c>
      <c r="S4197" t="str">
        <f t="shared" si="1662"/>
        <v>15:16:11.000</v>
      </c>
      <c r="T4197" t="str">
        <f t="shared" si="1662"/>
        <v>15:16:11.000</v>
      </c>
      <c r="U4197" t="str">
        <f t="shared" si="1649"/>
        <v>A68FCB</v>
      </c>
      <c r="V4197">
        <v>0</v>
      </c>
      <c r="W4197">
        <v>0</v>
      </c>
      <c r="X4197">
        <v>2</v>
      </c>
      <c r="Y4197">
        <v>0</v>
      </c>
      <c r="AA4197">
        <v>1</v>
      </c>
      <c r="AB4197">
        <v>8</v>
      </c>
      <c r="AC4197">
        <v>3</v>
      </c>
      <c r="AD4197">
        <v>0</v>
      </c>
      <c r="AE4197">
        <v>9</v>
      </c>
      <c r="AF4197" t="s">
        <v>138</v>
      </c>
      <c r="AG4197">
        <v>0</v>
      </c>
      <c r="AH4197">
        <v>3</v>
      </c>
      <c r="AI4197">
        <v>2</v>
      </c>
      <c r="AJ4197">
        <v>0</v>
      </c>
      <c r="AK4197" t="s">
        <v>1332</v>
      </c>
      <c r="AL4197">
        <v>39.192224000000003</v>
      </c>
      <c r="AM4197" t="s">
        <v>1333</v>
      </c>
      <c r="AN4197">
        <v>-121.01938199999999</v>
      </c>
      <c r="AO4197">
        <v>25</v>
      </c>
      <c r="AP4197">
        <v>4400</v>
      </c>
      <c r="AQ4197" t="s">
        <v>131</v>
      </c>
      <c r="AR4197">
        <v>34</v>
      </c>
      <c r="AS4197">
        <v>65</v>
      </c>
      <c r="AT4197">
        <v>-320</v>
      </c>
      <c r="BB4197" t="str">
        <f t="shared" si="1650"/>
        <v>1200</v>
      </c>
      <c r="BC4197">
        <v>1</v>
      </c>
      <c r="BD4197" t="str">
        <f t="shared" si="1651"/>
        <v xml:space="preserve">N52156  </v>
      </c>
      <c r="BE4197">
        <v>1</v>
      </c>
      <c r="BG4197">
        <v>0</v>
      </c>
      <c r="BH4197">
        <v>0</v>
      </c>
      <c r="BI4197">
        <v>0</v>
      </c>
      <c r="BJ4197">
        <v>4425</v>
      </c>
      <c r="BK4197">
        <v>25</v>
      </c>
      <c r="BL4197" t="s">
        <v>188</v>
      </c>
      <c r="BM4197">
        <v>1</v>
      </c>
      <c r="BN4197">
        <v>1</v>
      </c>
      <c r="BO4197">
        <v>0</v>
      </c>
      <c r="BP4197">
        <v>0</v>
      </c>
      <c r="BS4197">
        <v>0</v>
      </c>
      <c r="BT4197">
        <v>0</v>
      </c>
      <c r="BU4197">
        <v>0</v>
      </c>
      <c r="CE4197" t="str">
        <f t="shared" si="1663"/>
        <v>15:16:11.763</v>
      </c>
      <c r="CF4197">
        <v>762829276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3</v>
      </c>
      <c r="CY4197">
        <v>7</v>
      </c>
      <c r="CZ4197" t="s">
        <v>133</v>
      </c>
      <c r="DA4197">
        <v>276</v>
      </c>
      <c r="DB4197">
        <v>0</v>
      </c>
      <c r="DC4197" t="s">
        <v>402</v>
      </c>
      <c r="DD4197" t="s">
        <v>403</v>
      </c>
      <c r="DG4197">
        <v>1628455</v>
      </c>
      <c r="DI4197">
        <v>1</v>
      </c>
      <c r="DJ4197">
        <v>0</v>
      </c>
      <c r="DK4197">
        <v>1</v>
      </c>
      <c r="DL4197">
        <v>0</v>
      </c>
      <c r="DM4197">
        <v>0</v>
      </c>
      <c r="DN4197">
        <v>0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 x14ac:dyDescent="0.3">
      <c r="A4198" t="str">
        <f>"05/01/2025 15:16:12.025"</f>
        <v>05/01/2025 15:16:12.025</v>
      </c>
      <c r="C4198" t="str">
        <f t="shared" si="1648"/>
        <v>FFDFD3C0</v>
      </c>
      <c r="D4198" t="s">
        <v>136</v>
      </c>
      <c r="E4198" t="str">
        <f>"20"</f>
        <v>20</v>
      </c>
      <c r="H4198">
        <v>400</v>
      </c>
      <c r="I4198" t="s">
        <v>137</v>
      </c>
      <c r="J4198" t="s">
        <v>138</v>
      </c>
      <c r="K4198">
        <v>0</v>
      </c>
      <c r="L4198">
        <v>3</v>
      </c>
      <c r="M4198">
        <v>0</v>
      </c>
      <c r="N4198">
        <v>2</v>
      </c>
      <c r="O4198">
        <v>0</v>
      </c>
      <c r="P4198">
        <v>1</v>
      </c>
      <c r="Q4198">
        <v>0</v>
      </c>
      <c r="R4198" t="s">
        <v>127</v>
      </c>
      <c r="S4198" t="str">
        <f t="shared" si="1662"/>
        <v>15:16:11.000</v>
      </c>
      <c r="T4198" t="str">
        <f t="shared" si="1662"/>
        <v>15:16:11.000</v>
      </c>
      <c r="U4198" t="str">
        <f t="shared" si="1649"/>
        <v>A68FCB</v>
      </c>
      <c r="V4198">
        <v>0</v>
      </c>
      <c r="W4198">
        <v>0</v>
      </c>
      <c r="X4198">
        <v>2</v>
      </c>
      <c r="Y4198">
        <v>0</v>
      </c>
      <c r="AA4198">
        <v>1</v>
      </c>
      <c r="AB4198">
        <v>8</v>
      </c>
      <c r="AC4198">
        <v>3</v>
      </c>
      <c r="AD4198">
        <v>0</v>
      </c>
      <c r="AE4198">
        <v>9</v>
      </c>
      <c r="AF4198" t="s">
        <v>138</v>
      </c>
      <c r="AG4198">
        <v>0</v>
      </c>
      <c r="AH4198">
        <v>3</v>
      </c>
      <c r="AI4198">
        <v>2</v>
      </c>
      <c r="AJ4198">
        <v>0</v>
      </c>
      <c r="AK4198" t="s">
        <v>1332</v>
      </c>
      <c r="AL4198">
        <v>39.192224000000003</v>
      </c>
      <c r="AM4198" t="s">
        <v>1333</v>
      </c>
      <c r="AN4198">
        <v>-121.01938199999999</v>
      </c>
      <c r="AO4198">
        <v>25</v>
      </c>
      <c r="AP4198">
        <v>4400</v>
      </c>
      <c r="AQ4198" t="s">
        <v>131</v>
      </c>
      <c r="AR4198">
        <v>34</v>
      </c>
      <c r="AS4198">
        <v>65</v>
      </c>
      <c r="AT4198">
        <v>-320</v>
      </c>
      <c r="BB4198" t="str">
        <f t="shared" si="1650"/>
        <v>1200</v>
      </c>
      <c r="BC4198">
        <v>1</v>
      </c>
      <c r="BD4198" t="str">
        <f t="shared" si="1651"/>
        <v xml:space="preserve">N52156  </v>
      </c>
      <c r="BE4198">
        <v>1</v>
      </c>
      <c r="BG4198">
        <v>0</v>
      </c>
      <c r="BH4198">
        <v>0</v>
      </c>
      <c r="BI4198">
        <v>0</v>
      </c>
      <c r="BJ4198">
        <v>4425</v>
      </c>
      <c r="BK4198">
        <v>25</v>
      </c>
      <c r="BL4198" t="s">
        <v>188</v>
      </c>
      <c r="BM4198">
        <v>1</v>
      </c>
      <c r="BN4198">
        <v>1</v>
      </c>
      <c r="BO4198">
        <v>0</v>
      </c>
      <c r="BP4198">
        <v>0</v>
      </c>
      <c r="BS4198">
        <v>0</v>
      </c>
      <c r="BT4198">
        <v>0</v>
      </c>
      <c r="BU4198">
        <v>0</v>
      </c>
      <c r="CE4198" t="str">
        <f t="shared" si="1663"/>
        <v>15:16:11.763</v>
      </c>
      <c r="CF4198">
        <v>762829276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3</v>
      </c>
      <c r="CY4198">
        <v>7</v>
      </c>
      <c r="CZ4198" t="s">
        <v>133</v>
      </c>
      <c r="DA4198">
        <v>276</v>
      </c>
      <c r="DB4198">
        <v>0</v>
      </c>
      <c r="DC4198" t="s">
        <v>402</v>
      </c>
      <c r="DD4198" t="s">
        <v>403</v>
      </c>
      <c r="DG4198">
        <v>1628455</v>
      </c>
      <c r="DI4198">
        <v>1</v>
      </c>
      <c r="DJ4198">
        <v>0</v>
      </c>
      <c r="DK4198">
        <v>1</v>
      </c>
      <c r="DL4198">
        <v>0</v>
      </c>
      <c r="DM4198">
        <v>0</v>
      </c>
      <c r="DN4198">
        <v>0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 x14ac:dyDescent="0.3">
      <c r="A4199" t="str">
        <f>"05/01/2025 15:16:12.044"</f>
        <v>05/01/2025 15:16:12.044</v>
      </c>
      <c r="C4199" t="str">
        <f t="shared" si="1648"/>
        <v>FFDFD3C0</v>
      </c>
      <c r="D4199" t="s">
        <v>140</v>
      </c>
      <c r="E4199" t="str">
        <f>"13"</f>
        <v>13</v>
      </c>
      <c r="F4199">
        <v>1019</v>
      </c>
      <c r="G4199" t="s">
        <v>141</v>
      </c>
      <c r="J4199" t="s">
        <v>142</v>
      </c>
      <c r="K4199">
        <v>0</v>
      </c>
      <c r="L4199">
        <v>3</v>
      </c>
      <c r="M4199">
        <v>0</v>
      </c>
      <c r="N4199">
        <v>2</v>
      </c>
      <c r="O4199">
        <v>0</v>
      </c>
      <c r="P4199">
        <v>1</v>
      </c>
      <c r="Q4199">
        <v>0</v>
      </c>
      <c r="R4199" t="s">
        <v>127</v>
      </c>
      <c r="S4199" t="str">
        <f t="shared" si="1662"/>
        <v>15:16:11.000</v>
      </c>
      <c r="T4199" t="str">
        <f t="shared" si="1662"/>
        <v>15:16:11.000</v>
      </c>
      <c r="U4199" t="str">
        <f t="shared" si="1649"/>
        <v>A68FCB</v>
      </c>
      <c r="V4199">
        <v>0</v>
      </c>
      <c r="W4199">
        <v>0</v>
      </c>
      <c r="X4199">
        <v>2</v>
      </c>
      <c r="Y4199">
        <v>0</v>
      </c>
      <c r="AA4199">
        <v>1</v>
      </c>
      <c r="AB4199">
        <v>8</v>
      </c>
      <c r="AC4199">
        <v>3</v>
      </c>
      <c r="AD4199">
        <v>0</v>
      </c>
      <c r="AE4199">
        <v>9</v>
      </c>
      <c r="AF4199" t="s">
        <v>138</v>
      </c>
      <c r="AG4199">
        <v>0</v>
      </c>
      <c r="AH4199">
        <v>3</v>
      </c>
      <c r="AI4199">
        <v>2</v>
      </c>
      <c r="AJ4199">
        <v>0</v>
      </c>
      <c r="AK4199" t="s">
        <v>1332</v>
      </c>
      <c r="AL4199">
        <v>39.192224000000003</v>
      </c>
      <c r="AM4199" t="s">
        <v>1333</v>
      </c>
      <c r="AN4199">
        <v>-121.01938199999999</v>
      </c>
      <c r="AO4199">
        <v>25</v>
      </c>
      <c r="AP4199">
        <v>4400</v>
      </c>
      <c r="AQ4199" t="s">
        <v>131</v>
      </c>
      <c r="AR4199">
        <v>34</v>
      </c>
      <c r="AS4199">
        <v>65</v>
      </c>
      <c r="AT4199">
        <v>-320</v>
      </c>
      <c r="BB4199" t="str">
        <f t="shared" si="1650"/>
        <v>1200</v>
      </c>
      <c r="BC4199">
        <v>1</v>
      </c>
      <c r="BD4199" t="str">
        <f t="shared" si="1651"/>
        <v xml:space="preserve">N52156  </v>
      </c>
      <c r="BE4199">
        <v>1</v>
      </c>
      <c r="BG4199">
        <v>0</v>
      </c>
      <c r="BH4199">
        <v>0</v>
      </c>
      <c r="BI4199">
        <v>0</v>
      </c>
      <c r="BJ4199">
        <v>4425</v>
      </c>
      <c r="BK4199">
        <v>25</v>
      </c>
      <c r="BL4199" t="s">
        <v>188</v>
      </c>
      <c r="BM4199">
        <v>1</v>
      </c>
      <c r="BN4199">
        <v>1</v>
      </c>
      <c r="BO4199">
        <v>0</v>
      </c>
      <c r="BP4199">
        <v>0</v>
      </c>
      <c r="BS4199">
        <v>0</v>
      </c>
      <c r="BT4199">
        <v>0</v>
      </c>
      <c r="BU4199">
        <v>0</v>
      </c>
      <c r="CE4199" t="str">
        <f t="shared" si="1663"/>
        <v>15:16:11.763</v>
      </c>
      <c r="CF4199">
        <v>762829276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3</v>
      </c>
      <c r="CY4199">
        <v>7</v>
      </c>
      <c r="CZ4199" t="s">
        <v>133</v>
      </c>
      <c r="DA4199">
        <v>276</v>
      </c>
      <c r="DB4199">
        <v>0</v>
      </c>
      <c r="DC4199" t="s">
        <v>402</v>
      </c>
      <c r="DD4199" t="s">
        <v>403</v>
      </c>
      <c r="DG4199">
        <v>1628455</v>
      </c>
      <c r="DI4199">
        <v>1</v>
      </c>
      <c r="DJ4199">
        <v>0</v>
      </c>
      <c r="DK4199">
        <v>1</v>
      </c>
      <c r="DL4199">
        <v>0</v>
      </c>
      <c r="DM4199">
        <v>0</v>
      </c>
      <c r="DN4199">
        <v>0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 x14ac:dyDescent="0.3">
      <c r="A4200" t="str">
        <f>"05/01/2025 15:16:12.047"</f>
        <v>05/01/2025 15:16:12.047</v>
      </c>
      <c r="C4200" t="str">
        <f t="shared" si="1648"/>
        <v>FFDFD3C0</v>
      </c>
      <c r="D4200" t="s">
        <v>143</v>
      </c>
      <c r="E4200" t="str">
        <f>"05"</f>
        <v>05</v>
      </c>
      <c r="H4200">
        <v>172</v>
      </c>
      <c r="I4200" t="s">
        <v>141</v>
      </c>
      <c r="J4200" t="s">
        <v>144</v>
      </c>
      <c r="K4200">
        <v>0</v>
      </c>
      <c r="L4200">
        <v>3</v>
      </c>
      <c r="M4200">
        <v>0</v>
      </c>
      <c r="N4200">
        <v>2</v>
      </c>
      <c r="O4200">
        <v>0</v>
      </c>
      <c r="P4200">
        <v>1</v>
      </c>
      <c r="Q4200">
        <v>0</v>
      </c>
      <c r="R4200" t="s">
        <v>127</v>
      </c>
      <c r="S4200" t="str">
        <f t="shared" si="1662"/>
        <v>15:16:11.000</v>
      </c>
      <c r="T4200" t="str">
        <f t="shared" si="1662"/>
        <v>15:16:11.000</v>
      </c>
      <c r="U4200" t="str">
        <f t="shared" si="1649"/>
        <v>A68FCB</v>
      </c>
      <c r="V4200">
        <v>0</v>
      </c>
      <c r="W4200">
        <v>0</v>
      </c>
      <c r="X4200">
        <v>2</v>
      </c>
      <c r="Y4200">
        <v>0</v>
      </c>
      <c r="AA4200">
        <v>1</v>
      </c>
      <c r="AB4200">
        <v>8</v>
      </c>
      <c r="AC4200">
        <v>3</v>
      </c>
      <c r="AD4200">
        <v>0</v>
      </c>
      <c r="AE4200">
        <v>9</v>
      </c>
      <c r="AF4200" t="s">
        <v>138</v>
      </c>
      <c r="AG4200">
        <v>0</v>
      </c>
      <c r="AH4200">
        <v>3</v>
      </c>
      <c r="AI4200">
        <v>2</v>
      </c>
      <c r="AJ4200">
        <v>0</v>
      </c>
      <c r="AK4200" t="s">
        <v>1332</v>
      </c>
      <c r="AL4200">
        <v>39.192224000000003</v>
      </c>
      <c r="AM4200" t="s">
        <v>1333</v>
      </c>
      <c r="AN4200">
        <v>-121.01938199999999</v>
      </c>
      <c r="AO4200">
        <v>25</v>
      </c>
      <c r="AP4200">
        <v>4400</v>
      </c>
      <c r="AQ4200" t="s">
        <v>131</v>
      </c>
      <c r="AR4200">
        <v>34</v>
      </c>
      <c r="AS4200">
        <v>65</v>
      </c>
      <c r="AT4200">
        <v>-320</v>
      </c>
      <c r="BB4200" t="str">
        <f t="shared" si="1650"/>
        <v>1200</v>
      </c>
      <c r="BC4200">
        <v>1</v>
      </c>
      <c r="BD4200" t="str">
        <f t="shared" si="1651"/>
        <v xml:space="preserve">N52156  </v>
      </c>
      <c r="BE4200">
        <v>1</v>
      </c>
      <c r="BG4200">
        <v>0</v>
      </c>
      <c r="BH4200">
        <v>0</v>
      </c>
      <c r="BI4200">
        <v>0</v>
      </c>
      <c r="BJ4200">
        <v>4425</v>
      </c>
      <c r="BK4200">
        <v>25</v>
      </c>
      <c r="BL4200" t="s">
        <v>188</v>
      </c>
      <c r="BM4200">
        <v>1</v>
      </c>
      <c r="BN4200">
        <v>1</v>
      </c>
      <c r="BO4200">
        <v>0</v>
      </c>
      <c r="BP4200">
        <v>0</v>
      </c>
      <c r="BS4200">
        <v>0</v>
      </c>
      <c r="BT4200">
        <v>0</v>
      </c>
      <c r="BU4200">
        <v>0</v>
      </c>
      <c r="CE4200" t="str">
        <f t="shared" si="1663"/>
        <v>15:16:11.763</v>
      </c>
      <c r="CF4200">
        <v>762829276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3</v>
      </c>
      <c r="CY4200">
        <v>7</v>
      </c>
      <c r="CZ4200" t="s">
        <v>133</v>
      </c>
      <c r="DA4200">
        <v>276</v>
      </c>
      <c r="DB4200">
        <v>0</v>
      </c>
      <c r="DC4200" t="s">
        <v>402</v>
      </c>
      <c r="DD4200" t="s">
        <v>403</v>
      </c>
      <c r="DG4200">
        <v>1628455</v>
      </c>
      <c r="DI4200">
        <v>1</v>
      </c>
      <c r="DJ4200">
        <v>0</v>
      </c>
      <c r="DK4200">
        <v>1</v>
      </c>
      <c r="DL4200">
        <v>0</v>
      </c>
      <c r="DM4200">
        <v>0</v>
      </c>
      <c r="DN4200">
        <v>0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 x14ac:dyDescent="0.3">
      <c r="A4201" t="str">
        <f>"05/01/2025 15:16:12.047"</f>
        <v>05/01/2025 15:16:12.047</v>
      </c>
      <c r="C4201" t="str">
        <f t="shared" si="1648"/>
        <v>FFDFD3C0</v>
      </c>
      <c r="D4201" t="s">
        <v>124</v>
      </c>
      <c r="E4201" t="str">
        <f>"06"</f>
        <v>06</v>
      </c>
      <c r="F4201">
        <v>2006</v>
      </c>
      <c r="G4201" t="s">
        <v>125</v>
      </c>
      <c r="J4201" t="s">
        <v>126</v>
      </c>
      <c r="K4201">
        <v>0</v>
      </c>
      <c r="L4201">
        <v>3</v>
      </c>
      <c r="M4201">
        <v>0</v>
      </c>
      <c r="N4201">
        <v>2</v>
      </c>
      <c r="O4201">
        <v>0</v>
      </c>
      <c r="P4201">
        <v>1</v>
      </c>
      <c r="Q4201">
        <v>0</v>
      </c>
      <c r="R4201" t="s">
        <v>127</v>
      </c>
      <c r="S4201" t="str">
        <f t="shared" si="1662"/>
        <v>15:16:11.000</v>
      </c>
      <c r="T4201" t="str">
        <f t="shared" si="1662"/>
        <v>15:16:11.000</v>
      </c>
      <c r="U4201" t="str">
        <f t="shared" si="1649"/>
        <v>A68FCB</v>
      </c>
      <c r="V4201">
        <v>0</v>
      </c>
      <c r="W4201">
        <v>0</v>
      </c>
      <c r="X4201">
        <v>2</v>
      </c>
      <c r="Y4201">
        <v>0</v>
      </c>
      <c r="AA4201">
        <v>1</v>
      </c>
      <c r="AB4201">
        <v>8</v>
      </c>
      <c r="AC4201">
        <v>3</v>
      </c>
      <c r="AD4201">
        <v>0</v>
      </c>
      <c r="AE4201">
        <v>9</v>
      </c>
      <c r="AF4201" t="s">
        <v>138</v>
      </c>
      <c r="AG4201">
        <v>0</v>
      </c>
      <c r="AH4201">
        <v>3</v>
      </c>
      <c r="AI4201">
        <v>2</v>
      </c>
      <c r="AJ4201">
        <v>0</v>
      </c>
      <c r="AK4201" t="s">
        <v>1332</v>
      </c>
      <c r="AL4201">
        <v>39.192224000000003</v>
      </c>
      <c r="AM4201" t="s">
        <v>1333</v>
      </c>
      <c r="AN4201">
        <v>-121.01938199999999</v>
      </c>
      <c r="AO4201">
        <v>25</v>
      </c>
      <c r="AP4201">
        <v>4400</v>
      </c>
      <c r="AQ4201" t="s">
        <v>131</v>
      </c>
      <c r="AR4201">
        <v>34</v>
      </c>
      <c r="AS4201">
        <v>65</v>
      </c>
      <c r="AT4201">
        <v>-320</v>
      </c>
      <c r="BB4201" t="str">
        <f t="shared" si="1650"/>
        <v>1200</v>
      </c>
      <c r="BC4201">
        <v>1</v>
      </c>
      <c r="BD4201" t="str">
        <f t="shared" si="1651"/>
        <v xml:space="preserve">N52156  </v>
      </c>
      <c r="BE4201">
        <v>1</v>
      </c>
      <c r="BG4201">
        <v>0</v>
      </c>
      <c r="BH4201">
        <v>0</v>
      </c>
      <c r="BI4201">
        <v>0</v>
      </c>
      <c r="BJ4201">
        <v>4425</v>
      </c>
      <c r="BK4201">
        <v>25</v>
      </c>
      <c r="BL4201" t="s">
        <v>188</v>
      </c>
      <c r="BM4201">
        <v>1</v>
      </c>
      <c r="BN4201">
        <v>1</v>
      </c>
      <c r="BO4201">
        <v>0</v>
      </c>
      <c r="BP4201">
        <v>0</v>
      </c>
      <c r="BS4201">
        <v>0</v>
      </c>
      <c r="BT4201">
        <v>0</v>
      </c>
      <c r="BU4201">
        <v>0</v>
      </c>
      <c r="CE4201" t="str">
        <f t="shared" si="1663"/>
        <v>15:16:11.763</v>
      </c>
      <c r="CF4201">
        <v>762829276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3</v>
      </c>
      <c r="CY4201">
        <v>7</v>
      </c>
      <c r="CZ4201" t="s">
        <v>133</v>
      </c>
      <c r="DA4201">
        <v>276</v>
      </c>
      <c r="DB4201">
        <v>0</v>
      </c>
      <c r="DC4201" t="s">
        <v>402</v>
      </c>
      <c r="DD4201" t="s">
        <v>403</v>
      </c>
      <c r="DG4201">
        <v>1628455</v>
      </c>
      <c r="DI4201">
        <v>1</v>
      </c>
      <c r="DJ4201">
        <v>0</v>
      </c>
      <c r="DK4201">
        <v>1</v>
      </c>
      <c r="DL4201">
        <v>0</v>
      </c>
      <c r="DM4201">
        <v>0</v>
      </c>
      <c r="DN4201">
        <v>0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 x14ac:dyDescent="0.3">
      <c r="A4202" t="str">
        <f>"05/01/2025 15:16:12.745"</f>
        <v>05/01/2025 15:16:12.745</v>
      </c>
      <c r="C4202" t="str">
        <f t="shared" si="1648"/>
        <v>FFDFD3C0</v>
      </c>
      <c r="D4202" t="s">
        <v>140</v>
      </c>
      <c r="E4202" t="str">
        <f>"13"</f>
        <v>13</v>
      </c>
      <c r="F4202">
        <v>1019</v>
      </c>
      <c r="G4202" t="s">
        <v>141</v>
      </c>
      <c r="J4202" t="s">
        <v>142</v>
      </c>
      <c r="K4202">
        <v>0</v>
      </c>
      <c r="L4202">
        <v>3</v>
      </c>
      <c r="M4202">
        <v>0</v>
      </c>
      <c r="N4202">
        <v>2</v>
      </c>
      <c r="O4202">
        <v>0</v>
      </c>
      <c r="P4202">
        <v>1</v>
      </c>
      <c r="Q4202">
        <v>0</v>
      </c>
      <c r="R4202" t="s">
        <v>127</v>
      </c>
      <c r="S4202" t="str">
        <f t="shared" ref="S4202:T4207" si="1664">"15:16:12.000"</f>
        <v>15:16:12.000</v>
      </c>
      <c r="T4202" t="str">
        <f t="shared" si="1664"/>
        <v>15:16:12.000</v>
      </c>
      <c r="U4202" t="str">
        <f t="shared" si="1649"/>
        <v>A68FCB</v>
      </c>
      <c r="V4202">
        <v>0</v>
      </c>
      <c r="W4202">
        <v>0</v>
      </c>
      <c r="X4202">
        <v>2</v>
      </c>
      <c r="Y4202">
        <v>0</v>
      </c>
      <c r="AA4202">
        <v>1</v>
      </c>
      <c r="AB4202">
        <v>8</v>
      </c>
      <c r="AC4202">
        <v>3</v>
      </c>
      <c r="AD4202">
        <v>0</v>
      </c>
      <c r="AE4202">
        <v>9</v>
      </c>
      <c r="AF4202" t="s">
        <v>138</v>
      </c>
      <c r="AG4202">
        <v>0</v>
      </c>
      <c r="AH4202">
        <v>3</v>
      </c>
      <c r="AI4202">
        <v>2</v>
      </c>
      <c r="AJ4202">
        <v>0</v>
      </c>
      <c r="AK4202" t="s">
        <v>1334</v>
      </c>
      <c r="AL4202">
        <v>39.192523999999999</v>
      </c>
      <c r="AM4202" t="s">
        <v>1335</v>
      </c>
      <c r="AN4202">
        <v>-121.019189</v>
      </c>
      <c r="AO4202">
        <v>25</v>
      </c>
      <c r="AP4202">
        <v>4400</v>
      </c>
      <c r="AQ4202" t="s">
        <v>131</v>
      </c>
      <c r="AR4202">
        <v>34</v>
      </c>
      <c r="AS4202">
        <v>65</v>
      </c>
      <c r="AT4202">
        <v>-320</v>
      </c>
      <c r="BB4202" t="str">
        <f t="shared" si="1650"/>
        <v>1200</v>
      </c>
      <c r="BC4202">
        <v>1</v>
      </c>
      <c r="BD4202" t="str">
        <f t="shared" si="1651"/>
        <v xml:space="preserve">N52156  </v>
      </c>
      <c r="BE4202">
        <v>1</v>
      </c>
      <c r="BG4202">
        <v>0</v>
      </c>
      <c r="BH4202">
        <v>0</v>
      </c>
      <c r="BI4202">
        <v>0</v>
      </c>
      <c r="BJ4202">
        <v>4425</v>
      </c>
      <c r="BK4202">
        <v>25</v>
      </c>
      <c r="BL4202" t="s">
        <v>188</v>
      </c>
      <c r="BM4202">
        <v>1</v>
      </c>
      <c r="BN4202">
        <v>1</v>
      </c>
      <c r="BO4202">
        <v>0</v>
      </c>
      <c r="BP4202">
        <v>0</v>
      </c>
      <c r="BS4202">
        <v>0</v>
      </c>
      <c r="BT4202">
        <v>0</v>
      </c>
      <c r="BU4202">
        <v>0</v>
      </c>
      <c r="CE4202" t="str">
        <f t="shared" ref="CE4202:CE4207" si="1665">"15:16:12.509"</f>
        <v>15:16:12.509</v>
      </c>
      <c r="CF4202">
        <v>508828716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3</v>
      </c>
      <c r="CY4202">
        <v>7</v>
      </c>
      <c r="CZ4202" t="s">
        <v>133</v>
      </c>
      <c r="DA4202">
        <v>276</v>
      </c>
      <c r="DB4202">
        <v>0</v>
      </c>
      <c r="DC4202" t="s">
        <v>402</v>
      </c>
      <c r="DD4202" t="s">
        <v>403</v>
      </c>
      <c r="DG4202">
        <v>1628457</v>
      </c>
      <c r="DI4202">
        <v>1</v>
      </c>
      <c r="DJ4202">
        <v>0</v>
      </c>
      <c r="DK4202">
        <v>0</v>
      </c>
      <c r="DL4202">
        <v>0</v>
      </c>
      <c r="DM4202">
        <v>0</v>
      </c>
      <c r="DN4202">
        <v>0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 x14ac:dyDescent="0.3">
      <c r="A4203" t="str">
        <f>"05/01/2025 15:16:12.748"</f>
        <v>05/01/2025 15:16:12.748</v>
      </c>
      <c r="C4203" t="str">
        <f t="shared" si="1648"/>
        <v>FFDFD3C0</v>
      </c>
      <c r="D4203" t="s">
        <v>143</v>
      </c>
      <c r="E4203" t="str">
        <f>"05"</f>
        <v>05</v>
      </c>
      <c r="H4203">
        <v>172</v>
      </c>
      <c r="I4203" t="s">
        <v>141</v>
      </c>
      <c r="J4203" t="s">
        <v>144</v>
      </c>
      <c r="K4203">
        <v>0</v>
      </c>
      <c r="L4203">
        <v>3</v>
      </c>
      <c r="M4203">
        <v>0</v>
      </c>
      <c r="N4203">
        <v>2</v>
      </c>
      <c r="O4203">
        <v>0</v>
      </c>
      <c r="P4203">
        <v>1</v>
      </c>
      <c r="Q4203">
        <v>0</v>
      </c>
      <c r="R4203" t="s">
        <v>127</v>
      </c>
      <c r="S4203" t="str">
        <f t="shared" si="1664"/>
        <v>15:16:12.000</v>
      </c>
      <c r="T4203" t="str">
        <f t="shared" si="1664"/>
        <v>15:16:12.000</v>
      </c>
      <c r="U4203" t="str">
        <f t="shared" si="1649"/>
        <v>A68FCB</v>
      </c>
      <c r="V4203">
        <v>0</v>
      </c>
      <c r="W4203">
        <v>0</v>
      </c>
      <c r="X4203">
        <v>2</v>
      </c>
      <c r="Y4203">
        <v>0</v>
      </c>
      <c r="AA4203">
        <v>1</v>
      </c>
      <c r="AB4203">
        <v>8</v>
      </c>
      <c r="AC4203">
        <v>3</v>
      </c>
      <c r="AD4203">
        <v>0</v>
      </c>
      <c r="AE4203">
        <v>9</v>
      </c>
      <c r="AF4203" t="s">
        <v>138</v>
      </c>
      <c r="AG4203">
        <v>0</v>
      </c>
      <c r="AH4203">
        <v>3</v>
      </c>
      <c r="AI4203">
        <v>2</v>
      </c>
      <c r="AJ4203">
        <v>0</v>
      </c>
      <c r="AK4203" t="s">
        <v>1334</v>
      </c>
      <c r="AL4203">
        <v>39.192523999999999</v>
      </c>
      <c r="AM4203" t="s">
        <v>1335</v>
      </c>
      <c r="AN4203">
        <v>-121.019189</v>
      </c>
      <c r="AO4203">
        <v>25</v>
      </c>
      <c r="AP4203">
        <v>4400</v>
      </c>
      <c r="AQ4203" t="s">
        <v>131</v>
      </c>
      <c r="AR4203">
        <v>34</v>
      </c>
      <c r="AS4203">
        <v>65</v>
      </c>
      <c r="AT4203">
        <v>-320</v>
      </c>
      <c r="BB4203" t="str">
        <f t="shared" si="1650"/>
        <v>1200</v>
      </c>
      <c r="BC4203">
        <v>1</v>
      </c>
      <c r="BD4203" t="str">
        <f t="shared" si="1651"/>
        <v xml:space="preserve">N52156  </v>
      </c>
      <c r="BE4203">
        <v>1</v>
      </c>
      <c r="BG4203">
        <v>0</v>
      </c>
      <c r="BH4203">
        <v>0</v>
      </c>
      <c r="BI4203">
        <v>0</v>
      </c>
      <c r="BJ4203">
        <v>4425</v>
      </c>
      <c r="BK4203">
        <v>25</v>
      </c>
      <c r="BL4203" t="s">
        <v>188</v>
      </c>
      <c r="BM4203">
        <v>1</v>
      </c>
      <c r="BN4203">
        <v>1</v>
      </c>
      <c r="BO4203">
        <v>0</v>
      </c>
      <c r="BP4203">
        <v>0</v>
      </c>
      <c r="BS4203">
        <v>0</v>
      </c>
      <c r="BT4203">
        <v>0</v>
      </c>
      <c r="BU4203">
        <v>0</v>
      </c>
      <c r="CE4203" t="str">
        <f t="shared" si="1665"/>
        <v>15:16:12.509</v>
      </c>
      <c r="CF4203">
        <v>508828716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3</v>
      </c>
      <c r="CY4203">
        <v>7</v>
      </c>
      <c r="CZ4203" t="s">
        <v>133</v>
      </c>
      <c r="DA4203">
        <v>276</v>
      </c>
      <c r="DB4203">
        <v>0</v>
      </c>
      <c r="DC4203" t="s">
        <v>402</v>
      </c>
      <c r="DD4203" t="s">
        <v>403</v>
      </c>
      <c r="DG4203">
        <v>1628457</v>
      </c>
      <c r="DI4203">
        <v>1</v>
      </c>
      <c r="DJ4203">
        <v>0</v>
      </c>
      <c r="DK4203">
        <v>1</v>
      </c>
      <c r="DL4203">
        <v>0</v>
      </c>
      <c r="DM4203">
        <v>0</v>
      </c>
      <c r="DN4203">
        <v>0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 x14ac:dyDescent="0.3">
      <c r="A4204" t="str">
        <f>"05/01/2025 15:16:12.748"</f>
        <v>05/01/2025 15:16:12.748</v>
      </c>
      <c r="C4204" t="str">
        <f t="shared" si="1648"/>
        <v>FFDFD3C0</v>
      </c>
      <c r="D4204" t="s">
        <v>124</v>
      </c>
      <c r="E4204" t="str">
        <f>"06"</f>
        <v>06</v>
      </c>
      <c r="F4204">
        <v>2006</v>
      </c>
      <c r="G4204" t="s">
        <v>125</v>
      </c>
      <c r="J4204" t="s">
        <v>126</v>
      </c>
      <c r="K4204">
        <v>0</v>
      </c>
      <c r="L4204">
        <v>3</v>
      </c>
      <c r="M4204">
        <v>0</v>
      </c>
      <c r="N4204">
        <v>2</v>
      </c>
      <c r="O4204">
        <v>0</v>
      </c>
      <c r="P4204">
        <v>1</v>
      </c>
      <c r="Q4204">
        <v>0</v>
      </c>
      <c r="R4204" t="s">
        <v>127</v>
      </c>
      <c r="S4204" t="str">
        <f t="shared" si="1664"/>
        <v>15:16:12.000</v>
      </c>
      <c r="T4204" t="str">
        <f t="shared" si="1664"/>
        <v>15:16:12.000</v>
      </c>
      <c r="U4204" t="str">
        <f t="shared" si="1649"/>
        <v>A68FCB</v>
      </c>
      <c r="V4204">
        <v>0</v>
      </c>
      <c r="W4204">
        <v>0</v>
      </c>
      <c r="X4204">
        <v>2</v>
      </c>
      <c r="Y4204">
        <v>0</v>
      </c>
      <c r="AA4204">
        <v>1</v>
      </c>
      <c r="AB4204">
        <v>8</v>
      </c>
      <c r="AC4204">
        <v>3</v>
      </c>
      <c r="AD4204">
        <v>0</v>
      </c>
      <c r="AE4204">
        <v>9</v>
      </c>
      <c r="AF4204" t="s">
        <v>138</v>
      </c>
      <c r="AG4204">
        <v>0</v>
      </c>
      <c r="AH4204">
        <v>3</v>
      </c>
      <c r="AI4204">
        <v>2</v>
      </c>
      <c r="AJ4204">
        <v>0</v>
      </c>
      <c r="AK4204" t="s">
        <v>1334</v>
      </c>
      <c r="AL4204">
        <v>39.192523999999999</v>
      </c>
      <c r="AM4204" t="s">
        <v>1335</v>
      </c>
      <c r="AN4204">
        <v>-121.019189</v>
      </c>
      <c r="AO4204">
        <v>25</v>
      </c>
      <c r="AP4204">
        <v>4400</v>
      </c>
      <c r="AQ4204" t="s">
        <v>131</v>
      </c>
      <c r="AR4204">
        <v>34</v>
      </c>
      <c r="AS4204">
        <v>65</v>
      </c>
      <c r="AT4204">
        <v>-320</v>
      </c>
      <c r="BB4204" t="str">
        <f t="shared" si="1650"/>
        <v>1200</v>
      </c>
      <c r="BC4204">
        <v>1</v>
      </c>
      <c r="BD4204" t="str">
        <f t="shared" si="1651"/>
        <v xml:space="preserve">N52156  </v>
      </c>
      <c r="BE4204">
        <v>1</v>
      </c>
      <c r="BG4204">
        <v>0</v>
      </c>
      <c r="BH4204">
        <v>0</v>
      </c>
      <c r="BI4204">
        <v>0</v>
      </c>
      <c r="BJ4204">
        <v>4425</v>
      </c>
      <c r="BK4204">
        <v>25</v>
      </c>
      <c r="BL4204" t="s">
        <v>188</v>
      </c>
      <c r="BM4204">
        <v>1</v>
      </c>
      <c r="BN4204">
        <v>1</v>
      </c>
      <c r="BO4204">
        <v>0</v>
      </c>
      <c r="BP4204">
        <v>0</v>
      </c>
      <c r="BS4204">
        <v>0</v>
      </c>
      <c r="BT4204">
        <v>0</v>
      </c>
      <c r="BU4204">
        <v>0</v>
      </c>
      <c r="CE4204" t="str">
        <f t="shared" si="1665"/>
        <v>15:16:12.509</v>
      </c>
      <c r="CF4204">
        <v>508828716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3</v>
      </c>
      <c r="CY4204">
        <v>7</v>
      </c>
      <c r="CZ4204" t="s">
        <v>133</v>
      </c>
      <c r="DA4204">
        <v>276</v>
      </c>
      <c r="DB4204">
        <v>0</v>
      </c>
      <c r="DC4204" t="s">
        <v>402</v>
      </c>
      <c r="DD4204" t="s">
        <v>403</v>
      </c>
      <c r="DG4204">
        <v>1628457</v>
      </c>
      <c r="DI4204">
        <v>1</v>
      </c>
      <c r="DJ4204">
        <v>0</v>
      </c>
      <c r="DK4204">
        <v>1</v>
      </c>
      <c r="DL4204">
        <v>0</v>
      </c>
      <c r="DM4204">
        <v>0</v>
      </c>
      <c r="DN4204">
        <v>0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 x14ac:dyDescent="0.3">
      <c r="A4205" t="str">
        <f>"05/01/2025 15:16:12.761"</f>
        <v>05/01/2025 15:16:12.761</v>
      </c>
      <c r="C4205" t="str">
        <f t="shared" si="1648"/>
        <v>FFDFD3C0</v>
      </c>
      <c r="D4205" t="s">
        <v>145</v>
      </c>
      <c r="E4205" t="str">
        <f>"09"</f>
        <v>09</v>
      </c>
      <c r="H4205">
        <v>51</v>
      </c>
      <c r="I4205" t="s">
        <v>147</v>
      </c>
      <c r="J4205" t="s">
        <v>138</v>
      </c>
      <c r="K4205">
        <v>0</v>
      </c>
      <c r="L4205">
        <v>3</v>
      </c>
      <c r="M4205">
        <v>0</v>
      </c>
      <c r="N4205">
        <v>2</v>
      </c>
      <c r="O4205">
        <v>0</v>
      </c>
      <c r="P4205">
        <v>1</v>
      </c>
      <c r="Q4205">
        <v>0</v>
      </c>
      <c r="R4205" t="s">
        <v>127</v>
      </c>
      <c r="S4205" t="str">
        <f t="shared" si="1664"/>
        <v>15:16:12.000</v>
      </c>
      <c r="T4205" t="str">
        <f t="shared" si="1664"/>
        <v>15:16:12.000</v>
      </c>
      <c r="U4205" t="str">
        <f t="shared" si="1649"/>
        <v>A68FCB</v>
      </c>
      <c r="V4205">
        <v>0</v>
      </c>
      <c r="W4205">
        <v>0</v>
      </c>
      <c r="X4205">
        <v>2</v>
      </c>
      <c r="Y4205">
        <v>0</v>
      </c>
      <c r="AA4205">
        <v>1</v>
      </c>
      <c r="AB4205">
        <v>8</v>
      </c>
      <c r="AC4205">
        <v>3</v>
      </c>
      <c r="AD4205">
        <v>0</v>
      </c>
      <c r="AE4205">
        <v>9</v>
      </c>
      <c r="AF4205" t="s">
        <v>138</v>
      </c>
      <c r="AG4205">
        <v>0</v>
      </c>
      <c r="AH4205">
        <v>3</v>
      </c>
      <c r="AI4205">
        <v>2</v>
      </c>
      <c r="AJ4205">
        <v>0</v>
      </c>
      <c r="AK4205" t="s">
        <v>1334</v>
      </c>
      <c r="AL4205">
        <v>39.192523999999999</v>
      </c>
      <c r="AM4205" t="s">
        <v>1335</v>
      </c>
      <c r="AN4205">
        <v>-121.019189</v>
      </c>
      <c r="AO4205">
        <v>25</v>
      </c>
      <c r="AP4205">
        <v>4400</v>
      </c>
      <c r="AQ4205" t="s">
        <v>131</v>
      </c>
      <c r="AR4205">
        <v>34</v>
      </c>
      <c r="AS4205">
        <v>65</v>
      </c>
      <c r="AT4205">
        <v>-320</v>
      </c>
      <c r="BB4205" t="str">
        <f t="shared" si="1650"/>
        <v>1200</v>
      </c>
      <c r="BC4205">
        <v>1</v>
      </c>
      <c r="BD4205" t="str">
        <f t="shared" si="1651"/>
        <v xml:space="preserve">N52156  </v>
      </c>
      <c r="BE4205">
        <v>1</v>
      </c>
      <c r="BG4205">
        <v>0</v>
      </c>
      <c r="BH4205">
        <v>0</v>
      </c>
      <c r="BI4205">
        <v>0</v>
      </c>
      <c r="BJ4205">
        <v>4425</v>
      </c>
      <c r="BK4205">
        <v>25</v>
      </c>
      <c r="BL4205" t="s">
        <v>188</v>
      </c>
      <c r="BM4205">
        <v>1</v>
      </c>
      <c r="BN4205">
        <v>1</v>
      </c>
      <c r="BO4205">
        <v>0</v>
      </c>
      <c r="BP4205">
        <v>0</v>
      </c>
      <c r="BS4205">
        <v>0</v>
      </c>
      <c r="BT4205">
        <v>0</v>
      </c>
      <c r="BU4205">
        <v>0</v>
      </c>
      <c r="CE4205" t="str">
        <f t="shared" si="1665"/>
        <v>15:16:12.509</v>
      </c>
      <c r="CF4205">
        <v>508828716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3</v>
      </c>
      <c r="CY4205">
        <v>7</v>
      </c>
      <c r="CZ4205" t="s">
        <v>133</v>
      </c>
      <c r="DA4205">
        <v>276</v>
      </c>
      <c r="DB4205">
        <v>0</v>
      </c>
      <c r="DC4205" t="s">
        <v>402</v>
      </c>
      <c r="DD4205" t="s">
        <v>403</v>
      </c>
      <c r="DG4205">
        <v>1628457</v>
      </c>
      <c r="DI4205">
        <v>1</v>
      </c>
      <c r="DJ4205">
        <v>0</v>
      </c>
      <c r="DK4205">
        <v>1</v>
      </c>
      <c r="DL4205">
        <v>0</v>
      </c>
      <c r="DM4205">
        <v>0</v>
      </c>
      <c r="DN4205">
        <v>0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 x14ac:dyDescent="0.3">
      <c r="A4206" t="str">
        <f>"05/01/2025 15:16:12.765"</f>
        <v>05/01/2025 15:16:12.765</v>
      </c>
      <c r="C4206" t="str">
        <f t="shared" si="1648"/>
        <v>FFDFD3C0</v>
      </c>
      <c r="D4206" t="s">
        <v>145</v>
      </c>
      <c r="E4206" t="str">
        <f>"05"</f>
        <v>05</v>
      </c>
      <c r="H4206">
        <v>47</v>
      </c>
      <c r="I4206" t="s">
        <v>146</v>
      </c>
      <c r="J4206" t="s">
        <v>138</v>
      </c>
      <c r="K4206">
        <v>0</v>
      </c>
      <c r="L4206">
        <v>3</v>
      </c>
      <c r="M4206">
        <v>0</v>
      </c>
      <c r="N4206">
        <v>2</v>
      </c>
      <c r="O4206">
        <v>0</v>
      </c>
      <c r="P4206">
        <v>1</v>
      </c>
      <c r="Q4206">
        <v>0</v>
      </c>
      <c r="R4206" t="s">
        <v>127</v>
      </c>
      <c r="S4206" t="str">
        <f t="shared" si="1664"/>
        <v>15:16:12.000</v>
      </c>
      <c r="T4206" t="str">
        <f t="shared" si="1664"/>
        <v>15:16:12.000</v>
      </c>
      <c r="U4206" t="str">
        <f t="shared" si="1649"/>
        <v>A68FCB</v>
      </c>
      <c r="V4206">
        <v>0</v>
      </c>
      <c r="W4206">
        <v>0</v>
      </c>
      <c r="X4206">
        <v>2</v>
      </c>
      <c r="Y4206">
        <v>0</v>
      </c>
      <c r="AA4206">
        <v>1</v>
      </c>
      <c r="AB4206">
        <v>8</v>
      </c>
      <c r="AC4206">
        <v>3</v>
      </c>
      <c r="AD4206">
        <v>0</v>
      </c>
      <c r="AE4206">
        <v>9</v>
      </c>
      <c r="AF4206" t="s">
        <v>138</v>
      </c>
      <c r="AG4206">
        <v>0</v>
      </c>
      <c r="AH4206">
        <v>3</v>
      </c>
      <c r="AI4206">
        <v>2</v>
      </c>
      <c r="AJ4206">
        <v>0</v>
      </c>
      <c r="AK4206" t="s">
        <v>1334</v>
      </c>
      <c r="AL4206">
        <v>39.192523999999999</v>
      </c>
      <c r="AM4206" t="s">
        <v>1335</v>
      </c>
      <c r="AN4206">
        <v>-121.019189</v>
      </c>
      <c r="AO4206">
        <v>25</v>
      </c>
      <c r="AP4206">
        <v>4400</v>
      </c>
      <c r="AQ4206" t="s">
        <v>131</v>
      </c>
      <c r="AR4206">
        <v>34</v>
      </c>
      <c r="AS4206">
        <v>65</v>
      </c>
      <c r="AT4206">
        <v>-320</v>
      </c>
      <c r="BB4206" t="str">
        <f t="shared" si="1650"/>
        <v>1200</v>
      </c>
      <c r="BC4206">
        <v>1</v>
      </c>
      <c r="BD4206" t="str">
        <f t="shared" si="1651"/>
        <v xml:space="preserve">N52156  </v>
      </c>
      <c r="BE4206">
        <v>1</v>
      </c>
      <c r="BG4206">
        <v>0</v>
      </c>
      <c r="BH4206">
        <v>0</v>
      </c>
      <c r="BI4206">
        <v>0</v>
      </c>
      <c r="BJ4206">
        <v>4425</v>
      </c>
      <c r="BK4206">
        <v>25</v>
      </c>
      <c r="BL4206" t="s">
        <v>188</v>
      </c>
      <c r="BM4206">
        <v>1</v>
      </c>
      <c r="BN4206">
        <v>1</v>
      </c>
      <c r="BO4206">
        <v>0</v>
      </c>
      <c r="BP4206">
        <v>0</v>
      </c>
      <c r="BS4206">
        <v>0</v>
      </c>
      <c r="BT4206">
        <v>0</v>
      </c>
      <c r="BU4206">
        <v>0</v>
      </c>
      <c r="CE4206" t="str">
        <f t="shared" si="1665"/>
        <v>15:16:12.509</v>
      </c>
      <c r="CF4206">
        <v>508828716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3</v>
      </c>
      <c r="CY4206">
        <v>7</v>
      </c>
      <c r="CZ4206" t="s">
        <v>133</v>
      </c>
      <c r="DA4206">
        <v>276</v>
      </c>
      <c r="DB4206">
        <v>0</v>
      </c>
      <c r="DC4206" t="s">
        <v>402</v>
      </c>
      <c r="DD4206" t="s">
        <v>403</v>
      </c>
      <c r="DG4206">
        <v>1628457</v>
      </c>
      <c r="DI4206">
        <v>1</v>
      </c>
      <c r="DJ4206">
        <v>0</v>
      </c>
      <c r="DK4206">
        <v>1</v>
      </c>
      <c r="DL4206">
        <v>0</v>
      </c>
      <c r="DM4206">
        <v>0</v>
      </c>
      <c r="DN4206">
        <v>0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 x14ac:dyDescent="0.3">
      <c r="A4207" t="str">
        <f>"05/01/2025 15:16:12.776"</f>
        <v>05/01/2025 15:16:12.776</v>
      </c>
      <c r="C4207" t="str">
        <f t="shared" si="1648"/>
        <v>FFDFD3C0</v>
      </c>
      <c r="D4207" t="s">
        <v>136</v>
      </c>
      <c r="E4207" t="str">
        <f>"20"</f>
        <v>20</v>
      </c>
      <c r="H4207">
        <v>400</v>
      </c>
      <c r="I4207" t="s">
        <v>137</v>
      </c>
      <c r="J4207" t="s">
        <v>138</v>
      </c>
      <c r="K4207">
        <v>0</v>
      </c>
      <c r="L4207">
        <v>3</v>
      </c>
      <c r="M4207">
        <v>0</v>
      </c>
      <c r="N4207">
        <v>2</v>
      </c>
      <c r="O4207">
        <v>0</v>
      </c>
      <c r="P4207">
        <v>1</v>
      </c>
      <c r="Q4207">
        <v>0</v>
      </c>
      <c r="R4207" t="s">
        <v>127</v>
      </c>
      <c r="S4207" t="str">
        <f t="shared" si="1664"/>
        <v>15:16:12.000</v>
      </c>
      <c r="T4207" t="str">
        <f t="shared" si="1664"/>
        <v>15:16:12.000</v>
      </c>
      <c r="U4207" t="str">
        <f t="shared" si="1649"/>
        <v>A68FCB</v>
      </c>
      <c r="V4207">
        <v>0</v>
      </c>
      <c r="W4207">
        <v>0</v>
      </c>
      <c r="X4207">
        <v>2</v>
      </c>
      <c r="Y4207">
        <v>0</v>
      </c>
      <c r="AA4207">
        <v>1</v>
      </c>
      <c r="AB4207">
        <v>8</v>
      </c>
      <c r="AC4207">
        <v>3</v>
      </c>
      <c r="AD4207">
        <v>0</v>
      </c>
      <c r="AE4207">
        <v>9</v>
      </c>
      <c r="AF4207" t="s">
        <v>138</v>
      </c>
      <c r="AG4207">
        <v>0</v>
      </c>
      <c r="AH4207">
        <v>3</v>
      </c>
      <c r="AI4207">
        <v>2</v>
      </c>
      <c r="AJ4207">
        <v>0</v>
      </c>
      <c r="AK4207" t="s">
        <v>1334</v>
      </c>
      <c r="AL4207">
        <v>39.192523999999999</v>
      </c>
      <c r="AM4207" t="s">
        <v>1335</v>
      </c>
      <c r="AN4207">
        <v>-121.019189</v>
      </c>
      <c r="AO4207">
        <v>25</v>
      </c>
      <c r="AP4207">
        <v>4400</v>
      </c>
      <c r="AQ4207" t="s">
        <v>131</v>
      </c>
      <c r="AR4207">
        <v>34</v>
      </c>
      <c r="AS4207">
        <v>65</v>
      </c>
      <c r="AT4207">
        <v>-320</v>
      </c>
      <c r="BB4207" t="str">
        <f t="shared" si="1650"/>
        <v>1200</v>
      </c>
      <c r="BC4207">
        <v>1</v>
      </c>
      <c r="BD4207" t="str">
        <f t="shared" si="1651"/>
        <v xml:space="preserve">N52156  </v>
      </c>
      <c r="BE4207">
        <v>1</v>
      </c>
      <c r="BG4207">
        <v>0</v>
      </c>
      <c r="BH4207">
        <v>0</v>
      </c>
      <c r="BI4207">
        <v>0</v>
      </c>
      <c r="BJ4207">
        <v>4425</v>
      </c>
      <c r="BK4207">
        <v>25</v>
      </c>
      <c r="BL4207" t="s">
        <v>188</v>
      </c>
      <c r="BM4207">
        <v>1</v>
      </c>
      <c r="BN4207">
        <v>1</v>
      </c>
      <c r="BO4207">
        <v>0</v>
      </c>
      <c r="BP4207">
        <v>0</v>
      </c>
      <c r="BS4207">
        <v>0</v>
      </c>
      <c r="BT4207">
        <v>0</v>
      </c>
      <c r="BU4207">
        <v>0</v>
      </c>
      <c r="CE4207" t="str">
        <f t="shared" si="1665"/>
        <v>15:16:12.509</v>
      </c>
      <c r="CF4207">
        <v>508828716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3</v>
      </c>
      <c r="CY4207">
        <v>7</v>
      </c>
      <c r="CZ4207" t="s">
        <v>133</v>
      </c>
      <c r="DA4207">
        <v>276</v>
      </c>
      <c r="DB4207">
        <v>0</v>
      </c>
      <c r="DC4207" t="s">
        <v>402</v>
      </c>
      <c r="DD4207" t="s">
        <v>403</v>
      </c>
      <c r="DG4207">
        <v>1628457</v>
      </c>
      <c r="DI4207">
        <v>1</v>
      </c>
      <c r="DJ4207">
        <v>0</v>
      </c>
      <c r="DK4207">
        <v>1</v>
      </c>
      <c r="DL4207">
        <v>0</v>
      </c>
      <c r="DM4207">
        <v>0</v>
      </c>
      <c r="DN4207">
        <v>0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 x14ac:dyDescent="0.3">
      <c r="A4208" t="str">
        <f>"05/01/2025 15:16:14.200"</f>
        <v>05/01/2025 15:16:14.200</v>
      </c>
      <c r="C4208" t="str">
        <f t="shared" si="1648"/>
        <v>FFDFD3C0</v>
      </c>
      <c r="D4208" t="s">
        <v>124</v>
      </c>
      <c r="E4208" t="str">
        <f>"06"</f>
        <v>06</v>
      </c>
      <c r="F4208">
        <v>2006</v>
      </c>
      <c r="G4208" t="s">
        <v>125</v>
      </c>
      <c r="J4208" t="s">
        <v>126</v>
      </c>
      <c r="K4208">
        <v>0</v>
      </c>
      <c r="L4208">
        <v>3</v>
      </c>
      <c r="M4208">
        <v>0</v>
      </c>
      <c r="N4208">
        <v>2</v>
      </c>
      <c r="O4208">
        <v>0</v>
      </c>
      <c r="P4208">
        <v>1</v>
      </c>
      <c r="Q4208">
        <v>0</v>
      </c>
      <c r="R4208" t="s">
        <v>127</v>
      </c>
      <c r="S4208" t="str">
        <f t="shared" ref="S4208:T4213" si="1666">"15:16:13.000"</f>
        <v>15:16:13.000</v>
      </c>
      <c r="T4208" t="str">
        <f t="shared" si="1666"/>
        <v>15:16:13.000</v>
      </c>
      <c r="U4208" t="str">
        <f t="shared" si="1649"/>
        <v>A68FCB</v>
      </c>
      <c r="V4208">
        <v>0</v>
      </c>
      <c r="W4208">
        <v>0</v>
      </c>
      <c r="X4208">
        <v>2</v>
      </c>
      <c r="Y4208">
        <v>0</v>
      </c>
      <c r="AA4208">
        <v>1</v>
      </c>
      <c r="AB4208">
        <v>8</v>
      </c>
      <c r="AC4208">
        <v>3</v>
      </c>
      <c r="AD4208">
        <v>0</v>
      </c>
      <c r="AE4208">
        <v>9</v>
      </c>
      <c r="AF4208" t="s">
        <v>138</v>
      </c>
      <c r="AG4208">
        <v>0</v>
      </c>
      <c r="AH4208">
        <v>3</v>
      </c>
      <c r="AI4208">
        <v>2</v>
      </c>
      <c r="AJ4208">
        <v>0</v>
      </c>
      <c r="AK4208" t="s">
        <v>1336</v>
      </c>
      <c r="AL4208">
        <v>39.192846000000003</v>
      </c>
      <c r="AM4208" t="s">
        <v>1337</v>
      </c>
      <c r="AN4208">
        <v>-121.018975</v>
      </c>
      <c r="AO4208">
        <v>25</v>
      </c>
      <c r="AP4208">
        <v>4400</v>
      </c>
      <c r="AQ4208" t="s">
        <v>131</v>
      </c>
      <c r="AR4208">
        <v>33</v>
      </c>
      <c r="AS4208">
        <v>65</v>
      </c>
      <c r="AT4208">
        <v>-384</v>
      </c>
      <c r="BB4208" t="str">
        <f t="shared" si="1650"/>
        <v>1200</v>
      </c>
      <c r="BC4208">
        <v>1</v>
      </c>
      <c r="BD4208" t="str">
        <f t="shared" si="1651"/>
        <v xml:space="preserve">N52156  </v>
      </c>
      <c r="BE4208">
        <v>1</v>
      </c>
      <c r="BG4208">
        <v>0</v>
      </c>
      <c r="BH4208">
        <v>0</v>
      </c>
      <c r="BI4208">
        <v>0</v>
      </c>
      <c r="BJ4208">
        <v>4425</v>
      </c>
      <c r="BK4208">
        <v>25</v>
      </c>
      <c r="BL4208" t="s">
        <v>188</v>
      </c>
      <c r="BM4208">
        <v>1</v>
      </c>
      <c r="BN4208">
        <v>1</v>
      </c>
      <c r="BO4208">
        <v>0</v>
      </c>
      <c r="BP4208">
        <v>0</v>
      </c>
      <c r="BS4208">
        <v>0</v>
      </c>
      <c r="BT4208">
        <v>0</v>
      </c>
      <c r="BU4208">
        <v>0</v>
      </c>
      <c r="CE4208" t="str">
        <f t="shared" ref="CE4208:CE4213" si="1667">"15:16:13.983"</f>
        <v>15:16:13.983</v>
      </c>
      <c r="CF4208">
        <v>983329991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3</v>
      </c>
      <c r="CY4208">
        <v>7</v>
      </c>
      <c r="CZ4208" t="s">
        <v>133</v>
      </c>
      <c r="DA4208">
        <v>276</v>
      </c>
      <c r="DB4208">
        <v>0</v>
      </c>
      <c r="DC4208" t="s">
        <v>402</v>
      </c>
      <c r="DD4208" t="s">
        <v>403</v>
      </c>
      <c r="DG4208">
        <v>1628461</v>
      </c>
      <c r="DI4208">
        <v>1</v>
      </c>
      <c r="DJ4208">
        <v>0</v>
      </c>
      <c r="DK4208">
        <v>0</v>
      </c>
      <c r="DL4208">
        <v>0</v>
      </c>
      <c r="DM4208">
        <v>0</v>
      </c>
      <c r="DN4208">
        <v>0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 x14ac:dyDescent="0.3">
      <c r="A4209" t="str">
        <f>"05/01/2025 15:16:14.200"</f>
        <v>05/01/2025 15:16:14.200</v>
      </c>
      <c r="C4209" t="str">
        <f t="shared" si="1648"/>
        <v>FFDFD3C0</v>
      </c>
      <c r="D4209" t="s">
        <v>143</v>
      </c>
      <c r="E4209" t="str">
        <f>"05"</f>
        <v>05</v>
      </c>
      <c r="H4209">
        <v>172</v>
      </c>
      <c r="I4209" t="s">
        <v>141</v>
      </c>
      <c r="J4209" t="s">
        <v>144</v>
      </c>
      <c r="K4209">
        <v>0</v>
      </c>
      <c r="L4209">
        <v>3</v>
      </c>
      <c r="M4209">
        <v>0</v>
      </c>
      <c r="N4209">
        <v>2</v>
      </c>
      <c r="O4209">
        <v>0</v>
      </c>
      <c r="P4209">
        <v>1</v>
      </c>
      <c r="Q4209">
        <v>0</v>
      </c>
      <c r="R4209" t="s">
        <v>127</v>
      </c>
      <c r="S4209" t="str">
        <f t="shared" si="1666"/>
        <v>15:16:13.000</v>
      </c>
      <c r="T4209" t="str">
        <f t="shared" si="1666"/>
        <v>15:16:13.000</v>
      </c>
      <c r="U4209" t="str">
        <f t="shared" si="1649"/>
        <v>A68FCB</v>
      </c>
      <c r="V4209">
        <v>0</v>
      </c>
      <c r="W4209">
        <v>0</v>
      </c>
      <c r="X4209">
        <v>2</v>
      </c>
      <c r="Y4209">
        <v>0</v>
      </c>
      <c r="AA4209">
        <v>1</v>
      </c>
      <c r="AB4209">
        <v>8</v>
      </c>
      <c r="AC4209">
        <v>3</v>
      </c>
      <c r="AD4209">
        <v>0</v>
      </c>
      <c r="AE4209">
        <v>9</v>
      </c>
      <c r="AF4209" t="s">
        <v>138</v>
      </c>
      <c r="AG4209">
        <v>0</v>
      </c>
      <c r="AH4209">
        <v>3</v>
      </c>
      <c r="AI4209">
        <v>2</v>
      </c>
      <c r="AJ4209">
        <v>0</v>
      </c>
      <c r="AK4209" t="s">
        <v>1336</v>
      </c>
      <c r="AL4209">
        <v>39.192846000000003</v>
      </c>
      <c r="AM4209" t="s">
        <v>1337</v>
      </c>
      <c r="AN4209">
        <v>-121.018975</v>
      </c>
      <c r="AO4209">
        <v>25</v>
      </c>
      <c r="AP4209">
        <v>4400</v>
      </c>
      <c r="AQ4209" t="s">
        <v>131</v>
      </c>
      <c r="AR4209">
        <v>33</v>
      </c>
      <c r="AS4209">
        <v>65</v>
      </c>
      <c r="AT4209">
        <v>-384</v>
      </c>
      <c r="BB4209" t="str">
        <f t="shared" si="1650"/>
        <v>1200</v>
      </c>
      <c r="BC4209">
        <v>1</v>
      </c>
      <c r="BD4209" t="str">
        <f t="shared" si="1651"/>
        <v xml:space="preserve">N52156  </v>
      </c>
      <c r="BE4209">
        <v>1</v>
      </c>
      <c r="BG4209">
        <v>0</v>
      </c>
      <c r="BH4209">
        <v>0</v>
      </c>
      <c r="BI4209">
        <v>0</v>
      </c>
      <c r="BJ4209">
        <v>4425</v>
      </c>
      <c r="BK4209">
        <v>25</v>
      </c>
      <c r="BL4209" t="s">
        <v>188</v>
      </c>
      <c r="BM4209">
        <v>1</v>
      </c>
      <c r="BN4209">
        <v>1</v>
      </c>
      <c r="BO4209">
        <v>0</v>
      </c>
      <c r="BP4209">
        <v>0</v>
      </c>
      <c r="BS4209">
        <v>0</v>
      </c>
      <c r="BT4209">
        <v>0</v>
      </c>
      <c r="BU4209">
        <v>0</v>
      </c>
      <c r="CE4209" t="str">
        <f t="shared" si="1667"/>
        <v>15:16:13.983</v>
      </c>
      <c r="CF4209">
        <v>983329991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3</v>
      </c>
      <c r="CY4209">
        <v>7</v>
      </c>
      <c r="CZ4209" t="s">
        <v>133</v>
      </c>
      <c r="DA4209">
        <v>276</v>
      </c>
      <c r="DB4209">
        <v>0</v>
      </c>
      <c r="DC4209" t="s">
        <v>402</v>
      </c>
      <c r="DD4209" t="s">
        <v>403</v>
      </c>
      <c r="DG4209">
        <v>1628461</v>
      </c>
      <c r="DI4209">
        <v>1</v>
      </c>
      <c r="DJ4209">
        <v>0</v>
      </c>
      <c r="DK4209">
        <v>1</v>
      </c>
      <c r="DL4209">
        <v>0</v>
      </c>
      <c r="DM4209">
        <v>0</v>
      </c>
      <c r="DN4209">
        <v>0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 x14ac:dyDescent="0.3">
      <c r="A4210" t="str">
        <f>"05/01/2025 15:16:14.214"</f>
        <v>05/01/2025 15:16:14.214</v>
      </c>
      <c r="C4210" t="str">
        <f t="shared" si="1648"/>
        <v>FFDFD3C0</v>
      </c>
      <c r="D4210" t="s">
        <v>145</v>
      </c>
      <c r="E4210" t="str">
        <f>"09"</f>
        <v>09</v>
      </c>
      <c r="H4210">
        <v>51</v>
      </c>
      <c r="I4210" t="s">
        <v>147</v>
      </c>
      <c r="J4210" t="s">
        <v>138</v>
      </c>
      <c r="K4210">
        <v>0</v>
      </c>
      <c r="L4210">
        <v>3</v>
      </c>
      <c r="M4210">
        <v>0</v>
      </c>
      <c r="N4210">
        <v>2</v>
      </c>
      <c r="O4210">
        <v>0</v>
      </c>
      <c r="P4210">
        <v>1</v>
      </c>
      <c r="Q4210">
        <v>0</v>
      </c>
      <c r="R4210" t="s">
        <v>127</v>
      </c>
      <c r="S4210" t="str">
        <f t="shared" si="1666"/>
        <v>15:16:13.000</v>
      </c>
      <c r="T4210" t="str">
        <f t="shared" si="1666"/>
        <v>15:16:13.000</v>
      </c>
      <c r="U4210" t="str">
        <f t="shared" si="1649"/>
        <v>A68FCB</v>
      </c>
      <c r="V4210">
        <v>0</v>
      </c>
      <c r="W4210">
        <v>0</v>
      </c>
      <c r="X4210">
        <v>2</v>
      </c>
      <c r="Y4210">
        <v>0</v>
      </c>
      <c r="AA4210">
        <v>1</v>
      </c>
      <c r="AB4210">
        <v>8</v>
      </c>
      <c r="AC4210">
        <v>3</v>
      </c>
      <c r="AD4210">
        <v>0</v>
      </c>
      <c r="AE4210">
        <v>9</v>
      </c>
      <c r="AF4210" t="s">
        <v>138</v>
      </c>
      <c r="AG4210">
        <v>0</v>
      </c>
      <c r="AH4210">
        <v>3</v>
      </c>
      <c r="AI4210">
        <v>2</v>
      </c>
      <c r="AJ4210">
        <v>0</v>
      </c>
      <c r="AK4210" t="s">
        <v>1336</v>
      </c>
      <c r="AL4210">
        <v>39.192846000000003</v>
      </c>
      <c r="AM4210" t="s">
        <v>1337</v>
      </c>
      <c r="AN4210">
        <v>-121.018975</v>
      </c>
      <c r="AO4210">
        <v>25</v>
      </c>
      <c r="AP4210">
        <v>4400</v>
      </c>
      <c r="AQ4210" t="s">
        <v>131</v>
      </c>
      <c r="AR4210">
        <v>33</v>
      </c>
      <c r="AS4210">
        <v>65</v>
      </c>
      <c r="AT4210">
        <v>-384</v>
      </c>
      <c r="BB4210" t="str">
        <f t="shared" si="1650"/>
        <v>1200</v>
      </c>
      <c r="BC4210">
        <v>1</v>
      </c>
      <c r="BD4210" t="str">
        <f t="shared" si="1651"/>
        <v xml:space="preserve">N52156  </v>
      </c>
      <c r="BE4210">
        <v>1</v>
      </c>
      <c r="BG4210">
        <v>0</v>
      </c>
      <c r="BH4210">
        <v>0</v>
      </c>
      <c r="BI4210">
        <v>0</v>
      </c>
      <c r="BJ4210">
        <v>4425</v>
      </c>
      <c r="BK4210">
        <v>25</v>
      </c>
      <c r="BL4210" t="s">
        <v>188</v>
      </c>
      <c r="BM4210">
        <v>1</v>
      </c>
      <c r="BN4210">
        <v>1</v>
      </c>
      <c r="BO4210">
        <v>0</v>
      </c>
      <c r="BP4210">
        <v>0</v>
      </c>
      <c r="BS4210">
        <v>0</v>
      </c>
      <c r="BT4210">
        <v>0</v>
      </c>
      <c r="BU4210">
        <v>0</v>
      </c>
      <c r="CE4210" t="str">
        <f t="shared" si="1667"/>
        <v>15:16:13.983</v>
      </c>
      <c r="CF4210">
        <v>983329991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3</v>
      </c>
      <c r="CY4210">
        <v>7</v>
      </c>
      <c r="CZ4210" t="s">
        <v>133</v>
      </c>
      <c r="DA4210">
        <v>276</v>
      </c>
      <c r="DB4210">
        <v>0</v>
      </c>
      <c r="DC4210" t="s">
        <v>402</v>
      </c>
      <c r="DD4210" t="s">
        <v>403</v>
      </c>
      <c r="DG4210">
        <v>1628461</v>
      </c>
      <c r="DI4210">
        <v>1</v>
      </c>
      <c r="DJ4210">
        <v>0</v>
      </c>
      <c r="DK4210">
        <v>1</v>
      </c>
      <c r="DL4210">
        <v>0</v>
      </c>
      <c r="DM4210">
        <v>0</v>
      </c>
      <c r="DN4210">
        <v>0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 x14ac:dyDescent="0.3">
      <c r="A4211" t="str">
        <f>"05/01/2025 15:16:14.218"</f>
        <v>05/01/2025 15:16:14.218</v>
      </c>
      <c r="C4211" t="str">
        <f t="shared" si="1648"/>
        <v>FFDFD3C0</v>
      </c>
      <c r="D4211" t="s">
        <v>145</v>
      </c>
      <c r="E4211" t="str">
        <f>"05"</f>
        <v>05</v>
      </c>
      <c r="H4211">
        <v>47</v>
      </c>
      <c r="I4211" t="s">
        <v>146</v>
      </c>
      <c r="J4211" t="s">
        <v>138</v>
      </c>
      <c r="K4211">
        <v>0</v>
      </c>
      <c r="L4211">
        <v>3</v>
      </c>
      <c r="M4211">
        <v>0</v>
      </c>
      <c r="N4211">
        <v>2</v>
      </c>
      <c r="O4211">
        <v>0</v>
      </c>
      <c r="P4211">
        <v>1</v>
      </c>
      <c r="Q4211">
        <v>0</v>
      </c>
      <c r="R4211" t="s">
        <v>127</v>
      </c>
      <c r="S4211" t="str">
        <f t="shared" si="1666"/>
        <v>15:16:13.000</v>
      </c>
      <c r="T4211" t="str">
        <f t="shared" si="1666"/>
        <v>15:16:13.000</v>
      </c>
      <c r="U4211" t="str">
        <f t="shared" si="1649"/>
        <v>A68FCB</v>
      </c>
      <c r="V4211">
        <v>0</v>
      </c>
      <c r="W4211">
        <v>0</v>
      </c>
      <c r="X4211">
        <v>2</v>
      </c>
      <c r="Y4211">
        <v>0</v>
      </c>
      <c r="AA4211">
        <v>1</v>
      </c>
      <c r="AB4211">
        <v>8</v>
      </c>
      <c r="AC4211">
        <v>3</v>
      </c>
      <c r="AD4211">
        <v>0</v>
      </c>
      <c r="AE4211">
        <v>9</v>
      </c>
      <c r="AF4211" t="s">
        <v>138</v>
      </c>
      <c r="AG4211">
        <v>0</v>
      </c>
      <c r="AH4211">
        <v>3</v>
      </c>
      <c r="AI4211">
        <v>2</v>
      </c>
      <c r="AJ4211">
        <v>0</v>
      </c>
      <c r="AK4211" t="s">
        <v>1336</v>
      </c>
      <c r="AL4211">
        <v>39.192846000000003</v>
      </c>
      <c r="AM4211" t="s">
        <v>1337</v>
      </c>
      <c r="AN4211">
        <v>-121.018975</v>
      </c>
      <c r="AO4211">
        <v>25</v>
      </c>
      <c r="AP4211">
        <v>4400</v>
      </c>
      <c r="AQ4211" t="s">
        <v>131</v>
      </c>
      <c r="AR4211">
        <v>33</v>
      </c>
      <c r="AS4211">
        <v>65</v>
      </c>
      <c r="AT4211">
        <v>-384</v>
      </c>
      <c r="BB4211" t="str">
        <f t="shared" si="1650"/>
        <v>1200</v>
      </c>
      <c r="BC4211">
        <v>1</v>
      </c>
      <c r="BD4211" t="str">
        <f t="shared" si="1651"/>
        <v xml:space="preserve">N52156  </v>
      </c>
      <c r="BE4211">
        <v>1</v>
      </c>
      <c r="BG4211">
        <v>0</v>
      </c>
      <c r="BH4211">
        <v>0</v>
      </c>
      <c r="BI4211">
        <v>0</v>
      </c>
      <c r="BJ4211">
        <v>4425</v>
      </c>
      <c r="BK4211">
        <v>25</v>
      </c>
      <c r="BL4211" t="s">
        <v>188</v>
      </c>
      <c r="BM4211">
        <v>1</v>
      </c>
      <c r="BN4211">
        <v>1</v>
      </c>
      <c r="BO4211">
        <v>0</v>
      </c>
      <c r="BP4211">
        <v>0</v>
      </c>
      <c r="BS4211">
        <v>0</v>
      </c>
      <c r="BT4211">
        <v>0</v>
      </c>
      <c r="BU4211">
        <v>0</v>
      </c>
      <c r="CE4211" t="str">
        <f t="shared" si="1667"/>
        <v>15:16:13.983</v>
      </c>
      <c r="CF4211">
        <v>983329991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3</v>
      </c>
      <c r="CY4211">
        <v>7</v>
      </c>
      <c r="CZ4211" t="s">
        <v>133</v>
      </c>
      <c r="DA4211">
        <v>276</v>
      </c>
      <c r="DB4211">
        <v>0</v>
      </c>
      <c r="DC4211" t="s">
        <v>402</v>
      </c>
      <c r="DD4211" t="s">
        <v>403</v>
      </c>
      <c r="DG4211">
        <v>1628461</v>
      </c>
      <c r="DI4211">
        <v>1</v>
      </c>
      <c r="DJ4211">
        <v>0</v>
      </c>
      <c r="DK4211">
        <v>1</v>
      </c>
      <c r="DL4211">
        <v>0</v>
      </c>
      <c r="DM4211">
        <v>0</v>
      </c>
      <c r="DN4211">
        <v>0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 x14ac:dyDescent="0.3">
      <c r="A4212" t="str">
        <f>"05/01/2025 15:16:14.228"</f>
        <v>05/01/2025 15:16:14.228</v>
      </c>
      <c r="C4212" t="str">
        <f t="shared" si="1648"/>
        <v>FFDFD3C0</v>
      </c>
      <c r="D4212" t="s">
        <v>136</v>
      </c>
      <c r="E4212" t="str">
        <f>"20"</f>
        <v>20</v>
      </c>
      <c r="H4212">
        <v>400</v>
      </c>
      <c r="I4212" t="s">
        <v>137</v>
      </c>
      <c r="J4212" t="s">
        <v>138</v>
      </c>
      <c r="K4212">
        <v>0</v>
      </c>
      <c r="L4212">
        <v>3</v>
      </c>
      <c r="M4212">
        <v>0</v>
      </c>
      <c r="N4212">
        <v>2</v>
      </c>
      <c r="O4212">
        <v>0</v>
      </c>
      <c r="P4212">
        <v>1</v>
      </c>
      <c r="Q4212">
        <v>0</v>
      </c>
      <c r="R4212" t="s">
        <v>127</v>
      </c>
      <c r="S4212" t="str">
        <f t="shared" si="1666"/>
        <v>15:16:13.000</v>
      </c>
      <c r="T4212" t="str">
        <f t="shared" si="1666"/>
        <v>15:16:13.000</v>
      </c>
      <c r="U4212" t="str">
        <f t="shared" si="1649"/>
        <v>A68FCB</v>
      </c>
      <c r="V4212">
        <v>0</v>
      </c>
      <c r="W4212">
        <v>0</v>
      </c>
      <c r="X4212">
        <v>2</v>
      </c>
      <c r="Y4212">
        <v>0</v>
      </c>
      <c r="AA4212">
        <v>1</v>
      </c>
      <c r="AB4212">
        <v>8</v>
      </c>
      <c r="AC4212">
        <v>3</v>
      </c>
      <c r="AD4212">
        <v>0</v>
      </c>
      <c r="AE4212">
        <v>9</v>
      </c>
      <c r="AF4212" t="s">
        <v>138</v>
      </c>
      <c r="AG4212">
        <v>0</v>
      </c>
      <c r="AH4212">
        <v>3</v>
      </c>
      <c r="AI4212">
        <v>2</v>
      </c>
      <c r="AJ4212">
        <v>0</v>
      </c>
      <c r="AK4212" t="s">
        <v>1336</v>
      </c>
      <c r="AL4212">
        <v>39.192846000000003</v>
      </c>
      <c r="AM4212" t="s">
        <v>1337</v>
      </c>
      <c r="AN4212">
        <v>-121.018975</v>
      </c>
      <c r="AO4212">
        <v>25</v>
      </c>
      <c r="AP4212">
        <v>4400</v>
      </c>
      <c r="AQ4212" t="s">
        <v>131</v>
      </c>
      <c r="AR4212">
        <v>33</v>
      </c>
      <c r="AS4212">
        <v>65</v>
      </c>
      <c r="AT4212">
        <v>-384</v>
      </c>
      <c r="BB4212" t="str">
        <f t="shared" si="1650"/>
        <v>1200</v>
      </c>
      <c r="BC4212">
        <v>1</v>
      </c>
      <c r="BD4212" t="str">
        <f t="shared" si="1651"/>
        <v xml:space="preserve">N52156  </v>
      </c>
      <c r="BE4212">
        <v>1</v>
      </c>
      <c r="BG4212">
        <v>0</v>
      </c>
      <c r="BH4212">
        <v>0</v>
      </c>
      <c r="BI4212">
        <v>0</v>
      </c>
      <c r="BJ4212">
        <v>4425</v>
      </c>
      <c r="BK4212">
        <v>25</v>
      </c>
      <c r="BL4212" t="s">
        <v>188</v>
      </c>
      <c r="BM4212">
        <v>1</v>
      </c>
      <c r="BN4212">
        <v>1</v>
      </c>
      <c r="BO4212">
        <v>0</v>
      </c>
      <c r="BP4212">
        <v>0</v>
      </c>
      <c r="BS4212">
        <v>0</v>
      </c>
      <c r="BT4212">
        <v>0</v>
      </c>
      <c r="BU4212">
        <v>0</v>
      </c>
      <c r="CE4212" t="str">
        <f t="shared" si="1667"/>
        <v>15:16:13.983</v>
      </c>
      <c r="CF4212">
        <v>983329991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3</v>
      </c>
      <c r="CY4212">
        <v>7</v>
      </c>
      <c r="CZ4212" t="s">
        <v>133</v>
      </c>
      <c r="DA4212">
        <v>276</v>
      </c>
      <c r="DB4212">
        <v>0</v>
      </c>
      <c r="DC4212" t="s">
        <v>402</v>
      </c>
      <c r="DD4212" t="s">
        <v>403</v>
      </c>
      <c r="DG4212">
        <v>1628461</v>
      </c>
      <c r="DI4212">
        <v>1</v>
      </c>
      <c r="DJ4212">
        <v>0</v>
      </c>
      <c r="DK4212">
        <v>1</v>
      </c>
      <c r="DL4212">
        <v>0</v>
      </c>
      <c r="DM4212">
        <v>0</v>
      </c>
      <c r="DN4212">
        <v>0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 x14ac:dyDescent="0.3">
      <c r="A4213" t="str">
        <f>"05/01/2025 15:16:14.248"</f>
        <v>05/01/2025 15:16:14.248</v>
      </c>
      <c r="C4213" t="str">
        <f t="shared" si="1648"/>
        <v>FFDFD3C0</v>
      </c>
      <c r="D4213" t="s">
        <v>140</v>
      </c>
      <c r="E4213" t="str">
        <f>"13"</f>
        <v>13</v>
      </c>
      <c r="F4213">
        <v>1019</v>
      </c>
      <c r="G4213" t="s">
        <v>141</v>
      </c>
      <c r="J4213" t="s">
        <v>142</v>
      </c>
      <c r="K4213">
        <v>0</v>
      </c>
      <c r="L4213">
        <v>3</v>
      </c>
      <c r="M4213">
        <v>0</v>
      </c>
      <c r="N4213">
        <v>2</v>
      </c>
      <c r="O4213">
        <v>0</v>
      </c>
      <c r="P4213">
        <v>1</v>
      </c>
      <c r="Q4213">
        <v>0</v>
      </c>
      <c r="R4213" t="s">
        <v>127</v>
      </c>
      <c r="S4213" t="str">
        <f t="shared" si="1666"/>
        <v>15:16:13.000</v>
      </c>
      <c r="T4213" t="str">
        <f t="shared" si="1666"/>
        <v>15:16:13.000</v>
      </c>
      <c r="U4213" t="str">
        <f t="shared" si="1649"/>
        <v>A68FCB</v>
      </c>
      <c r="V4213">
        <v>0</v>
      </c>
      <c r="W4213">
        <v>0</v>
      </c>
      <c r="X4213">
        <v>2</v>
      </c>
      <c r="Y4213">
        <v>0</v>
      </c>
      <c r="AA4213">
        <v>1</v>
      </c>
      <c r="AB4213">
        <v>8</v>
      </c>
      <c r="AC4213">
        <v>3</v>
      </c>
      <c r="AD4213">
        <v>0</v>
      </c>
      <c r="AE4213">
        <v>9</v>
      </c>
      <c r="AF4213" t="s">
        <v>138</v>
      </c>
      <c r="AG4213">
        <v>0</v>
      </c>
      <c r="AH4213">
        <v>3</v>
      </c>
      <c r="AI4213">
        <v>2</v>
      </c>
      <c r="AJ4213">
        <v>0</v>
      </c>
      <c r="AK4213" t="s">
        <v>1336</v>
      </c>
      <c r="AL4213">
        <v>39.192846000000003</v>
      </c>
      <c r="AM4213" t="s">
        <v>1337</v>
      </c>
      <c r="AN4213">
        <v>-121.018975</v>
      </c>
      <c r="AO4213">
        <v>25</v>
      </c>
      <c r="AP4213">
        <v>4400</v>
      </c>
      <c r="AQ4213" t="s">
        <v>131</v>
      </c>
      <c r="AR4213">
        <v>33</v>
      </c>
      <c r="AS4213">
        <v>65</v>
      </c>
      <c r="AT4213">
        <v>-384</v>
      </c>
      <c r="BB4213" t="str">
        <f t="shared" si="1650"/>
        <v>1200</v>
      </c>
      <c r="BC4213">
        <v>1</v>
      </c>
      <c r="BD4213" t="str">
        <f t="shared" si="1651"/>
        <v xml:space="preserve">N52156  </v>
      </c>
      <c r="BE4213">
        <v>1</v>
      </c>
      <c r="BG4213">
        <v>0</v>
      </c>
      <c r="BH4213">
        <v>0</v>
      </c>
      <c r="BI4213">
        <v>0</v>
      </c>
      <c r="BJ4213">
        <v>4425</v>
      </c>
      <c r="BK4213">
        <v>25</v>
      </c>
      <c r="BL4213" t="s">
        <v>188</v>
      </c>
      <c r="BM4213">
        <v>1</v>
      </c>
      <c r="BN4213">
        <v>1</v>
      </c>
      <c r="BO4213">
        <v>0</v>
      </c>
      <c r="BP4213">
        <v>0</v>
      </c>
      <c r="BS4213">
        <v>0</v>
      </c>
      <c r="BT4213">
        <v>0</v>
      </c>
      <c r="BU4213">
        <v>0</v>
      </c>
      <c r="CE4213" t="str">
        <f t="shared" si="1667"/>
        <v>15:16:13.983</v>
      </c>
      <c r="CF4213">
        <v>983329991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3</v>
      </c>
      <c r="CY4213">
        <v>7</v>
      </c>
      <c r="CZ4213" t="s">
        <v>133</v>
      </c>
      <c r="DA4213">
        <v>276</v>
      </c>
      <c r="DB4213">
        <v>0</v>
      </c>
      <c r="DC4213" t="s">
        <v>402</v>
      </c>
      <c r="DD4213" t="s">
        <v>403</v>
      </c>
      <c r="DG4213">
        <v>1628461</v>
      </c>
      <c r="DI4213">
        <v>1</v>
      </c>
      <c r="DJ4213">
        <v>0</v>
      </c>
      <c r="DK4213">
        <v>1</v>
      </c>
      <c r="DL4213">
        <v>0</v>
      </c>
      <c r="DM4213">
        <v>0</v>
      </c>
      <c r="DN4213">
        <v>0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 x14ac:dyDescent="0.3">
      <c r="A4214" t="str">
        <f>"05/01/2025 15:16:14.548"</f>
        <v>05/01/2025 15:16:14.548</v>
      </c>
      <c r="C4214" t="str">
        <f t="shared" si="1648"/>
        <v>FFDFD3C0</v>
      </c>
      <c r="D4214" t="s">
        <v>140</v>
      </c>
      <c r="E4214" t="str">
        <f>"13"</f>
        <v>13</v>
      </c>
      <c r="F4214">
        <v>1019</v>
      </c>
      <c r="G4214" t="s">
        <v>141</v>
      </c>
      <c r="J4214" t="s">
        <v>142</v>
      </c>
      <c r="K4214">
        <v>0</v>
      </c>
      <c r="L4214">
        <v>3</v>
      </c>
      <c r="M4214">
        <v>0</v>
      </c>
      <c r="N4214">
        <v>2</v>
      </c>
      <c r="O4214">
        <v>0</v>
      </c>
      <c r="P4214">
        <v>1</v>
      </c>
      <c r="Q4214">
        <v>0</v>
      </c>
      <c r="R4214" t="s">
        <v>127</v>
      </c>
      <c r="S4214" t="str">
        <f t="shared" ref="S4214:T4219" si="1668">"15:16:14.000"</f>
        <v>15:16:14.000</v>
      </c>
      <c r="T4214" t="str">
        <f t="shared" si="1668"/>
        <v>15:16:14.000</v>
      </c>
      <c r="U4214" t="str">
        <f t="shared" si="1649"/>
        <v>A68FCB</v>
      </c>
      <c r="V4214">
        <v>0</v>
      </c>
      <c r="W4214">
        <v>0</v>
      </c>
      <c r="X4214">
        <v>2</v>
      </c>
      <c r="Y4214">
        <v>0</v>
      </c>
      <c r="AA4214">
        <v>1</v>
      </c>
      <c r="AB4214">
        <v>8</v>
      </c>
      <c r="AC4214">
        <v>3</v>
      </c>
      <c r="AD4214">
        <v>0</v>
      </c>
      <c r="AE4214">
        <v>9</v>
      </c>
      <c r="AF4214" t="s">
        <v>138</v>
      </c>
      <c r="AG4214">
        <v>0</v>
      </c>
      <c r="AH4214">
        <v>3</v>
      </c>
      <c r="AI4214">
        <v>2</v>
      </c>
      <c r="AJ4214">
        <v>0</v>
      </c>
      <c r="AK4214" t="s">
        <v>1338</v>
      </c>
      <c r="AL4214">
        <v>39.193145999999999</v>
      </c>
      <c r="AM4214" t="s">
        <v>1339</v>
      </c>
      <c r="AN4214">
        <v>-121.018782</v>
      </c>
      <c r="AO4214">
        <v>25</v>
      </c>
      <c r="AP4214">
        <v>4400</v>
      </c>
      <c r="AQ4214" t="s">
        <v>131</v>
      </c>
      <c r="AR4214">
        <v>34</v>
      </c>
      <c r="AS4214">
        <v>65</v>
      </c>
      <c r="AT4214">
        <v>-384</v>
      </c>
      <c r="BB4214" t="str">
        <f t="shared" si="1650"/>
        <v>1200</v>
      </c>
      <c r="BC4214">
        <v>1</v>
      </c>
      <c r="BD4214" t="str">
        <f t="shared" si="1651"/>
        <v xml:space="preserve">N52156  </v>
      </c>
      <c r="BE4214">
        <v>1</v>
      </c>
      <c r="BG4214">
        <v>0</v>
      </c>
      <c r="BH4214">
        <v>0</v>
      </c>
      <c r="BI4214">
        <v>0</v>
      </c>
      <c r="BJ4214">
        <v>4425</v>
      </c>
      <c r="BK4214">
        <v>25</v>
      </c>
      <c r="BL4214" t="s">
        <v>188</v>
      </c>
      <c r="BM4214">
        <v>1</v>
      </c>
      <c r="BN4214">
        <v>1</v>
      </c>
      <c r="BO4214">
        <v>0</v>
      </c>
      <c r="BP4214">
        <v>0</v>
      </c>
      <c r="BS4214">
        <v>0</v>
      </c>
      <c r="BT4214">
        <v>0</v>
      </c>
      <c r="BU4214">
        <v>0</v>
      </c>
      <c r="CE4214" t="str">
        <f t="shared" ref="CE4214:CE4219" si="1669">"15:16:14.337"</f>
        <v>15:16:14.337</v>
      </c>
      <c r="CF4214">
        <v>336578384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3</v>
      </c>
      <c r="CY4214">
        <v>7</v>
      </c>
      <c r="CZ4214" t="s">
        <v>133</v>
      </c>
      <c r="DA4214">
        <v>276</v>
      </c>
      <c r="DB4214">
        <v>0</v>
      </c>
      <c r="DC4214" t="s">
        <v>402</v>
      </c>
      <c r="DD4214" t="s">
        <v>403</v>
      </c>
      <c r="DG4214">
        <v>1628463</v>
      </c>
      <c r="DI4214">
        <v>1</v>
      </c>
      <c r="DJ4214">
        <v>0</v>
      </c>
      <c r="DK4214">
        <v>0</v>
      </c>
      <c r="DL4214">
        <v>0</v>
      </c>
      <c r="DM4214">
        <v>0</v>
      </c>
      <c r="DN4214">
        <v>0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 x14ac:dyDescent="0.3">
      <c r="A4215" t="str">
        <f>"05/01/2025 15:16:14.551"</f>
        <v>05/01/2025 15:16:14.551</v>
      </c>
      <c r="C4215" t="str">
        <f t="shared" si="1648"/>
        <v>FFDFD3C0</v>
      </c>
      <c r="D4215" t="s">
        <v>143</v>
      </c>
      <c r="E4215" t="str">
        <f>"05"</f>
        <v>05</v>
      </c>
      <c r="H4215">
        <v>172</v>
      </c>
      <c r="I4215" t="s">
        <v>141</v>
      </c>
      <c r="J4215" t="s">
        <v>144</v>
      </c>
      <c r="K4215">
        <v>0</v>
      </c>
      <c r="L4215">
        <v>3</v>
      </c>
      <c r="M4215">
        <v>0</v>
      </c>
      <c r="N4215">
        <v>2</v>
      </c>
      <c r="O4215">
        <v>0</v>
      </c>
      <c r="P4215">
        <v>1</v>
      </c>
      <c r="Q4215">
        <v>0</v>
      </c>
      <c r="R4215" t="s">
        <v>127</v>
      </c>
      <c r="S4215" t="str">
        <f t="shared" si="1668"/>
        <v>15:16:14.000</v>
      </c>
      <c r="T4215" t="str">
        <f t="shared" si="1668"/>
        <v>15:16:14.000</v>
      </c>
      <c r="U4215" t="str">
        <f t="shared" si="1649"/>
        <v>A68FCB</v>
      </c>
      <c r="V4215">
        <v>0</v>
      </c>
      <c r="W4215">
        <v>0</v>
      </c>
      <c r="X4215">
        <v>2</v>
      </c>
      <c r="Y4215">
        <v>0</v>
      </c>
      <c r="AA4215">
        <v>1</v>
      </c>
      <c r="AB4215">
        <v>8</v>
      </c>
      <c r="AC4215">
        <v>3</v>
      </c>
      <c r="AD4215">
        <v>0</v>
      </c>
      <c r="AE4215">
        <v>9</v>
      </c>
      <c r="AF4215" t="s">
        <v>138</v>
      </c>
      <c r="AG4215">
        <v>0</v>
      </c>
      <c r="AH4215">
        <v>3</v>
      </c>
      <c r="AI4215">
        <v>2</v>
      </c>
      <c r="AJ4215">
        <v>0</v>
      </c>
      <c r="AK4215" t="s">
        <v>1338</v>
      </c>
      <c r="AL4215">
        <v>39.193145999999999</v>
      </c>
      <c r="AM4215" t="s">
        <v>1339</v>
      </c>
      <c r="AN4215">
        <v>-121.018782</v>
      </c>
      <c r="AO4215">
        <v>25</v>
      </c>
      <c r="AP4215">
        <v>4400</v>
      </c>
      <c r="AQ4215" t="s">
        <v>131</v>
      </c>
      <c r="AR4215">
        <v>34</v>
      </c>
      <c r="AS4215">
        <v>65</v>
      </c>
      <c r="AT4215">
        <v>-384</v>
      </c>
      <c r="BB4215" t="str">
        <f t="shared" si="1650"/>
        <v>1200</v>
      </c>
      <c r="BC4215">
        <v>1</v>
      </c>
      <c r="BD4215" t="str">
        <f t="shared" si="1651"/>
        <v xml:space="preserve">N52156  </v>
      </c>
      <c r="BE4215">
        <v>1</v>
      </c>
      <c r="BG4215">
        <v>0</v>
      </c>
      <c r="BH4215">
        <v>0</v>
      </c>
      <c r="BI4215">
        <v>0</v>
      </c>
      <c r="BJ4215">
        <v>4425</v>
      </c>
      <c r="BK4215">
        <v>25</v>
      </c>
      <c r="BL4215" t="s">
        <v>188</v>
      </c>
      <c r="BM4215">
        <v>1</v>
      </c>
      <c r="BN4215">
        <v>1</v>
      </c>
      <c r="BO4215">
        <v>0</v>
      </c>
      <c r="BP4215">
        <v>0</v>
      </c>
      <c r="BS4215">
        <v>0</v>
      </c>
      <c r="BT4215">
        <v>0</v>
      </c>
      <c r="BU4215">
        <v>0</v>
      </c>
      <c r="CE4215" t="str">
        <f t="shared" si="1669"/>
        <v>15:16:14.337</v>
      </c>
      <c r="CF4215">
        <v>336578384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3</v>
      </c>
      <c r="CY4215">
        <v>7</v>
      </c>
      <c r="CZ4215" t="s">
        <v>133</v>
      </c>
      <c r="DA4215">
        <v>276</v>
      </c>
      <c r="DB4215">
        <v>0</v>
      </c>
      <c r="DC4215" t="s">
        <v>402</v>
      </c>
      <c r="DD4215" t="s">
        <v>403</v>
      </c>
      <c r="DG4215">
        <v>1628463</v>
      </c>
      <c r="DI4215">
        <v>1</v>
      </c>
      <c r="DJ4215">
        <v>0</v>
      </c>
      <c r="DK4215">
        <v>1</v>
      </c>
      <c r="DL4215">
        <v>0</v>
      </c>
      <c r="DM4215">
        <v>0</v>
      </c>
      <c r="DN4215">
        <v>0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 x14ac:dyDescent="0.3">
      <c r="A4216" t="str">
        <f>"05/01/2025 15:16:14.551"</f>
        <v>05/01/2025 15:16:14.551</v>
      </c>
      <c r="C4216" t="str">
        <f t="shared" si="1648"/>
        <v>FFDFD3C0</v>
      </c>
      <c r="D4216" t="s">
        <v>124</v>
      </c>
      <c r="E4216" t="str">
        <f>"06"</f>
        <v>06</v>
      </c>
      <c r="F4216">
        <v>2006</v>
      </c>
      <c r="G4216" t="s">
        <v>125</v>
      </c>
      <c r="J4216" t="s">
        <v>126</v>
      </c>
      <c r="K4216">
        <v>0</v>
      </c>
      <c r="L4216">
        <v>3</v>
      </c>
      <c r="M4216">
        <v>0</v>
      </c>
      <c r="N4216">
        <v>2</v>
      </c>
      <c r="O4216">
        <v>0</v>
      </c>
      <c r="P4216">
        <v>1</v>
      </c>
      <c r="Q4216">
        <v>0</v>
      </c>
      <c r="R4216" t="s">
        <v>127</v>
      </c>
      <c r="S4216" t="str">
        <f t="shared" si="1668"/>
        <v>15:16:14.000</v>
      </c>
      <c r="T4216" t="str">
        <f t="shared" si="1668"/>
        <v>15:16:14.000</v>
      </c>
      <c r="U4216" t="str">
        <f t="shared" si="1649"/>
        <v>A68FCB</v>
      </c>
      <c r="V4216">
        <v>0</v>
      </c>
      <c r="W4216">
        <v>0</v>
      </c>
      <c r="X4216">
        <v>2</v>
      </c>
      <c r="Y4216">
        <v>0</v>
      </c>
      <c r="AA4216">
        <v>1</v>
      </c>
      <c r="AB4216">
        <v>8</v>
      </c>
      <c r="AC4216">
        <v>3</v>
      </c>
      <c r="AD4216">
        <v>0</v>
      </c>
      <c r="AE4216">
        <v>9</v>
      </c>
      <c r="AF4216" t="s">
        <v>138</v>
      </c>
      <c r="AG4216">
        <v>0</v>
      </c>
      <c r="AH4216">
        <v>3</v>
      </c>
      <c r="AI4216">
        <v>2</v>
      </c>
      <c r="AJ4216">
        <v>0</v>
      </c>
      <c r="AK4216" t="s">
        <v>1338</v>
      </c>
      <c r="AL4216">
        <v>39.193145999999999</v>
      </c>
      <c r="AM4216" t="s">
        <v>1339</v>
      </c>
      <c r="AN4216">
        <v>-121.018782</v>
      </c>
      <c r="AO4216">
        <v>25</v>
      </c>
      <c r="AP4216">
        <v>4400</v>
      </c>
      <c r="AQ4216" t="s">
        <v>131</v>
      </c>
      <c r="AR4216">
        <v>34</v>
      </c>
      <c r="AS4216">
        <v>65</v>
      </c>
      <c r="AT4216">
        <v>-384</v>
      </c>
      <c r="BB4216" t="str">
        <f t="shared" si="1650"/>
        <v>1200</v>
      </c>
      <c r="BC4216">
        <v>1</v>
      </c>
      <c r="BD4216" t="str">
        <f t="shared" si="1651"/>
        <v xml:space="preserve">N52156  </v>
      </c>
      <c r="BE4216">
        <v>1</v>
      </c>
      <c r="BG4216">
        <v>0</v>
      </c>
      <c r="BH4216">
        <v>0</v>
      </c>
      <c r="BI4216">
        <v>0</v>
      </c>
      <c r="BJ4216">
        <v>4425</v>
      </c>
      <c r="BK4216">
        <v>25</v>
      </c>
      <c r="BL4216" t="s">
        <v>188</v>
      </c>
      <c r="BM4216">
        <v>1</v>
      </c>
      <c r="BN4216">
        <v>1</v>
      </c>
      <c r="BO4216">
        <v>0</v>
      </c>
      <c r="BP4216">
        <v>0</v>
      </c>
      <c r="BS4216">
        <v>0</v>
      </c>
      <c r="BT4216">
        <v>0</v>
      </c>
      <c r="BU4216">
        <v>0</v>
      </c>
      <c r="CE4216" t="str">
        <f t="shared" si="1669"/>
        <v>15:16:14.337</v>
      </c>
      <c r="CF4216">
        <v>336578384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3</v>
      </c>
      <c r="CY4216">
        <v>7</v>
      </c>
      <c r="CZ4216" t="s">
        <v>133</v>
      </c>
      <c r="DA4216">
        <v>276</v>
      </c>
      <c r="DB4216">
        <v>0</v>
      </c>
      <c r="DC4216" t="s">
        <v>402</v>
      </c>
      <c r="DD4216" t="s">
        <v>403</v>
      </c>
      <c r="DG4216">
        <v>1628463</v>
      </c>
      <c r="DI4216">
        <v>1</v>
      </c>
      <c r="DJ4216">
        <v>0</v>
      </c>
      <c r="DK4216">
        <v>1</v>
      </c>
      <c r="DL4216">
        <v>0</v>
      </c>
      <c r="DM4216">
        <v>0</v>
      </c>
      <c r="DN4216">
        <v>0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 x14ac:dyDescent="0.3">
      <c r="A4217" t="str">
        <f>"05/01/2025 15:16:14.564"</f>
        <v>05/01/2025 15:16:14.564</v>
      </c>
      <c r="C4217" t="str">
        <f t="shared" si="1648"/>
        <v>FFDFD3C0</v>
      </c>
      <c r="D4217" t="s">
        <v>145</v>
      </c>
      <c r="E4217" t="str">
        <f>"09"</f>
        <v>09</v>
      </c>
      <c r="H4217">
        <v>51</v>
      </c>
      <c r="I4217" t="s">
        <v>147</v>
      </c>
      <c r="J4217" t="s">
        <v>138</v>
      </c>
      <c r="K4217">
        <v>0</v>
      </c>
      <c r="L4217">
        <v>3</v>
      </c>
      <c r="M4217">
        <v>0</v>
      </c>
      <c r="N4217">
        <v>2</v>
      </c>
      <c r="O4217">
        <v>0</v>
      </c>
      <c r="P4217">
        <v>1</v>
      </c>
      <c r="Q4217">
        <v>0</v>
      </c>
      <c r="R4217" t="s">
        <v>127</v>
      </c>
      <c r="S4217" t="str">
        <f t="shared" si="1668"/>
        <v>15:16:14.000</v>
      </c>
      <c r="T4217" t="str">
        <f t="shared" si="1668"/>
        <v>15:16:14.000</v>
      </c>
      <c r="U4217" t="str">
        <f t="shared" si="1649"/>
        <v>A68FCB</v>
      </c>
      <c r="V4217">
        <v>0</v>
      </c>
      <c r="W4217">
        <v>0</v>
      </c>
      <c r="X4217">
        <v>2</v>
      </c>
      <c r="Y4217">
        <v>0</v>
      </c>
      <c r="AA4217">
        <v>1</v>
      </c>
      <c r="AB4217">
        <v>8</v>
      </c>
      <c r="AC4217">
        <v>3</v>
      </c>
      <c r="AD4217">
        <v>0</v>
      </c>
      <c r="AE4217">
        <v>9</v>
      </c>
      <c r="AF4217" t="s">
        <v>138</v>
      </c>
      <c r="AG4217">
        <v>0</v>
      </c>
      <c r="AH4217">
        <v>3</v>
      </c>
      <c r="AI4217">
        <v>2</v>
      </c>
      <c r="AJ4217">
        <v>0</v>
      </c>
      <c r="AK4217" t="s">
        <v>1338</v>
      </c>
      <c r="AL4217">
        <v>39.193145999999999</v>
      </c>
      <c r="AM4217" t="s">
        <v>1339</v>
      </c>
      <c r="AN4217">
        <v>-121.018782</v>
      </c>
      <c r="AO4217">
        <v>25</v>
      </c>
      <c r="AP4217">
        <v>4400</v>
      </c>
      <c r="AQ4217" t="s">
        <v>131</v>
      </c>
      <c r="AR4217">
        <v>34</v>
      </c>
      <c r="AS4217">
        <v>65</v>
      </c>
      <c r="AT4217">
        <v>-384</v>
      </c>
      <c r="BB4217" t="str">
        <f t="shared" si="1650"/>
        <v>1200</v>
      </c>
      <c r="BC4217">
        <v>1</v>
      </c>
      <c r="BD4217" t="str">
        <f t="shared" si="1651"/>
        <v xml:space="preserve">N52156  </v>
      </c>
      <c r="BE4217">
        <v>1</v>
      </c>
      <c r="BG4217">
        <v>0</v>
      </c>
      <c r="BH4217">
        <v>0</v>
      </c>
      <c r="BI4217">
        <v>0</v>
      </c>
      <c r="BJ4217">
        <v>4425</v>
      </c>
      <c r="BK4217">
        <v>25</v>
      </c>
      <c r="BL4217" t="s">
        <v>188</v>
      </c>
      <c r="BM4217">
        <v>1</v>
      </c>
      <c r="BN4217">
        <v>1</v>
      </c>
      <c r="BO4217">
        <v>0</v>
      </c>
      <c r="BP4217">
        <v>0</v>
      </c>
      <c r="BS4217">
        <v>0</v>
      </c>
      <c r="BT4217">
        <v>0</v>
      </c>
      <c r="BU4217">
        <v>0</v>
      </c>
      <c r="CE4217" t="str">
        <f t="shared" si="1669"/>
        <v>15:16:14.337</v>
      </c>
      <c r="CF4217">
        <v>336578384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3</v>
      </c>
      <c r="CY4217">
        <v>7</v>
      </c>
      <c r="CZ4217" t="s">
        <v>133</v>
      </c>
      <c r="DA4217">
        <v>276</v>
      </c>
      <c r="DB4217">
        <v>0</v>
      </c>
      <c r="DC4217" t="s">
        <v>402</v>
      </c>
      <c r="DD4217" t="s">
        <v>403</v>
      </c>
      <c r="DG4217">
        <v>1628463</v>
      </c>
      <c r="DI4217">
        <v>1</v>
      </c>
      <c r="DJ4217">
        <v>0</v>
      </c>
      <c r="DK4217">
        <v>1</v>
      </c>
      <c r="DL4217">
        <v>0</v>
      </c>
      <c r="DM4217">
        <v>0</v>
      </c>
      <c r="DN4217">
        <v>0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 x14ac:dyDescent="0.3">
      <c r="A4218" t="str">
        <f>"05/01/2025 15:16:14.569"</f>
        <v>05/01/2025 15:16:14.569</v>
      </c>
      <c r="C4218" t="str">
        <f t="shared" si="1648"/>
        <v>FFDFD3C0</v>
      </c>
      <c r="D4218" t="s">
        <v>145</v>
      </c>
      <c r="E4218" t="str">
        <f>"05"</f>
        <v>05</v>
      </c>
      <c r="H4218">
        <v>47</v>
      </c>
      <c r="I4218" t="s">
        <v>146</v>
      </c>
      <c r="J4218" t="s">
        <v>138</v>
      </c>
      <c r="K4218">
        <v>0</v>
      </c>
      <c r="L4218">
        <v>3</v>
      </c>
      <c r="M4218">
        <v>0</v>
      </c>
      <c r="N4218">
        <v>2</v>
      </c>
      <c r="O4218">
        <v>0</v>
      </c>
      <c r="P4218">
        <v>1</v>
      </c>
      <c r="Q4218">
        <v>0</v>
      </c>
      <c r="R4218" t="s">
        <v>127</v>
      </c>
      <c r="S4218" t="str">
        <f t="shared" si="1668"/>
        <v>15:16:14.000</v>
      </c>
      <c r="T4218" t="str">
        <f t="shared" si="1668"/>
        <v>15:16:14.000</v>
      </c>
      <c r="U4218" t="str">
        <f t="shared" si="1649"/>
        <v>A68FCB</v>
      </c>
      <c r="V4218">
        <v>0</v>
      </c>
      <c r="W4218">
        <v>0</v>
      </c>
      <c r="X4218">
        <v>2</v>
      </c>
      <c r="Y4218">
        <v>0</v>
      </c>
      <c r="AA4218">
        <v>1</v>
      </c>
      <c r="AB4218">
        <v>8</v>
      </c>
      <c r="AC4218">
        <v>3</v>
      </c>
      <c r="AD4218">
        <v>0</v>
      </c>
      <c r="AE4218">
        <v>9</v>
      </c>
      <c r="AF4218" t="s">
        <v>138</v>
      </c>
      <c r="AG4218">
        <v>0</v>
      </c>
      <c r="AH4218">
        <v>3</v>
      </c>
      <c r="AI4218">
        <v>2</v>
      </c>
      <c r="AJ4218">
        <v>0</v>
      </c>
      <c r="AK4218" t="s">
        <v>1338</v>
      </c>
      <c r="AL4218">
        <v>39.193145999999999</v>
      </c>
      <c r="AM4218" t="s">
        <v>1339</v>
      </c>
      <c r="AN4218">
        <v>-121.018782</v>
      </c>
      <c r="AO4218">
        <v>25</v>
      </c>
      <c r="AP4218">
        <v>4400</v>
      </c>
      <c r="AQ4218" t="s">
        <v>131</v>
      </c>
      <c r="AR4218">
        <v>34</v>
      </c>
      <c r="AS4218">
        <v>65</v>
      </c>
      <c r="AT4218">
        <v>-384</v>
      </c>
      <c r="BB4218" t="str">
        <f t="shared" si="1650"/>
        <v>1200</v>
      </c>
      <c r="BC4218">
        <v>1</v>
      </c>
      <c r="BD4218" t="str">
        <f t="shared" si="1651"/>
        <v xml:space="preserve">N52156  </v>
      </c>
      <c r="BE4218">
        <v>1</v>
      </c>
      <c r="BG4218">
        <v>0</v>
      </c>
      <c r="BH4218">
        <v>0</v>
      </c>
      <c r="BI4218">
        <v>0</v>
      </c>
      <c r="BJ4218">
        <v>4425</v>
      </c>
      <c r="BK4218">
        <v>25</v>
      </c>
      <c r="BL4218" t="s">
        <v>188</v>
      </c>
      <c r="BM4218">
        <v>1</v>
      </c>
      <c r="BN4218">
        <v>1</v>
      </c>
      <c r="BO4218">
        <v>0</v>
      </c>
      <c r="BP4218">
        <v>0</v>
      </c>
      <c r="BS4218">
        <v>0</v>
      </c>
      <c r="BT4218">
        <v>0</v>
      </c>
      <c r="BU4218">
        <v>0</v>
      </c>
      <c r="CE4218" t="str">
        <f t="shared" si="1669"/>
        <v>15:16:14.337</v>
      </c>
      <c r="CF4218">
        <v>336578384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3</v>
      </c>
      <c r="CY4218">
        <v>7</v>
      </c>
      <c r="CZ4218" t="s">
        <v>133</v>
      </c>
      <c r="DA4218">
        <v>276</v>
      </c>
      <c r="DB4218">
        <v>0</v>
      </c>
      <c r="DC4218" t="s">
        <v>402</v>
      </c>
      <c r="DD4218" t="s">
        <v>403</v>
      </c>
      <c r="DG4218">
        <v>1628463</v>
      </c>
      <c r="DI4218">
        <v>1</v>
      </c>
      <c r="DJ4218">
        <v>0</v>
      </c>
      <c r="DK4218">
        <v>1</v>
      </c>
      <c r="DL4218">
        <v>0</v>
      </c>
      <c r="DM4218">
        <v>0</v>
      </c>
      <c r="DN4218">
        <v>0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 x14ac:dyDescent="0.3">
      <c r="A4219" t="str">
        <f>"05/01/2025 15:16:14.579"</f>
        <v>05/01/2025 15:16:14.579</v>
      </c>
      <c r="C4219" t="str">
        <f t="shared" si="1648"/>
        <v>FFDFD3C0</v>
      </c>
      <c r="D4219" t="s">
        <v>136</v>
      </c>
      <c r="E4219" t="str">
        <f>"20"</f>
        <v>20</v>
      </c>
      <c r="H4219">
        <v>400</v>
      </c>
      <c r="I4219" t="s">
        <v>137</v>
      </c>
      <c r="J4219" t="s">
        <v>138</v>
      </c>
      <c r="K4219">
        <v>0</v>
      </c>
      <c r="L4219">
        <v>3</v>
      </c>
      <c r="M4219">
        <v>0</v>
      </c>
      <c r="N4219">
        <v>2</v>
      </c>
      <c r="O4219">
        <v>0</v>
      </c>
      <c r="P4219">
        <v>1</v>
      </c>
      <c r="Q4219">
        <v>0</v>
      </c>
      <c r="R4219" t="s">
        <v>127</v>
      </c>
      <c r="S4219" t="str">
        <f t="shared" si="1668"/>
        <v>15:16:14.000</v>
      </c>
      <c r="T4219" t="str">
        <f t="shared" si="1668"/>
        <v>15:16:14.000</v>
      </c>
      <c r="U4219" t="str">
        <f t="shared" si="1649"/>
        <v>A68FCB</v>
      </c>
      <c r="V4219">
        <v>0</v>
      </c>
      <c r="W4219">
        <v>0</v>
      </c>
      <c r="X4219">
        <v>2</v>
      </c>
      <c r="Y4219">
        <v>0</v>
      </c>
      <c r="AA4219">
        <v>1</v>
      </c>
      <c r="AB4219">
        <v>8</v>
      </c>
      <c r="AC4219">
        <v>3</v>
      </c>
      <c r="AD4219">
        <v>0</v>
      </c>
      <c r="AE4219">
        <v>9</v>
      </c>
      <c r="AF4219" t="s">
        <v>138</v>
      </c>
      <c r="AG4219">
        <v>0</v>
      </c>
      <c r="AH4219">
        <v>3</v>
      </c>
      <c r="AI4219">
        <v>2</v>
      </c>
      <c r="AJ4219">
        <v>0</v>
      </c>
      <c r="AK4219" t="s">
        <v>1338</v>
      </c>
      <c r="AL4219">
        <v>39.193145999999999</v>
      </c>
      <c r="AM4219" t="s">
        <v>1339</v>
      </c>
      <c r="AN4219">
        <v>-121.018782</v>
      </c>
      <c r="AO4219">
        <v>25</v>
      </c>
      <c r="AP4219">
        <v>4400</v>
      </c>
      <c r="AQ4219" t="s">
        <v>131</v>
      </c>
      <c r="AR4219">
        <v>34</v>
      </c>
      <c r="AS4219">
        <v>65</v>
      </c>
      <c r="AT4219">
        <v>-384</v>
      </c>
      <c r="BB4219" t="str">
        <f t="shared" si="1650"/>
        <v>1200</v>
      </c>
      <c r="BC4219">
        <v>1</v>
      </c>
      <c r="BD4219" t="str">
        <f t="shared" si="1651"/>
        <v xml:space="preserve">N52156  </v>
      </c>
      <c r="BE4219">
        <v>1</v>
      </c>
      <c r="BG4219">
        <v>0</v>
      </c>
      <c r="BH4219">
        <v>0</v>
      </c>
      <c r="BI4219">
        <v>0</v>
      </c>
      <c r="BJ4219">
        <v>4425</v>
      </c>
      <c r="BK4219">
        <v>25</v>
      </c>
      <c r="BL4219" t="s">
        <v>188</v>
      </c>
      <c r="BM4219">
        <v>1</v>
      </c>
      <c r="BN4219">
        <v>1</v>
      </c>
      <c r="BO4219">
        <v>0</v>
      </c>
      <c r="BP4219">
        <v>0</v>
      </c>
      <c r="BS4219">
        <v>0</v>
      </c>
      <c r="BT4219">
        <v>0</v>
      </c>
      <c r="BU4219">
        <v>0</v>
      </c>
      <c r="CE4219" t="str">
        <f t="shared" si="1669"/>
        <v>15:16:14.337</v>
      </c>
      <c r="CF4219">
        <v>336578384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3</v>
      </c>
      <c r="CY4219">
        <v>7</v>
      </c>
      <c r="CZ4219" t="s">
        <v>133</v>
      </c>
      <c r="DA4219">
        <v>276</v>
      </c>
      <c r="DB4219">
        <v>0</v>
      </c>
      <c r="DC4219" t="s">
        <v>402</v>
      </c>
      <c r="DD4219" t="s">
        <v>403</v>
      </c>
      <c r="DG4219">
        <v>1628463</v>
      </c>
      <c r="DI4219">
        <v>1</v>
      </c>
      <c r="DJ4219">
        <v>0</v>
      </c>
      <c r="DK4219">
        <v>1</v>
      </c>
      <c r="DL4219">
        <v>0</v>
      </c>
      <c r="DM4219">
        <v>0</v>
      </c>
      <c r="DN4219">
        <v>0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 x14ac:dyDescent="0.3">
      <c r="A4220" t="str">
        <f>"05/01/2025 15:16:15.850"</f>
        <v>05/01/2025 15:16:15.850</v>
      </c>
      <c r="C4220" t="str">
        <f t="shared" si="1648"/>
        <v>FFDFD3C0</v>
      </c>
      <c r="D4220" t="s">
        <v>140</v>
      </c>
      <c r="E4220" t="str">
        <f>"13"</f>
        <v>13</v>
      </c>
      <c r="F4220">
        <v>1019</v>
      </c>
      <c r="G4220" t="s">
        <v>141</v>
      </c>
      <c r="J4220" t="s">
        <v>142</v>
      </c>
      <c r="K4220">
        <v>0</v>
      </c>
      <c r="L4220">
        <v>3</v>
      </c>
      <c r="M4220">
        <v>0</v>
      </c>
      <c r="N4220">
        <v>2</v>
      </c>
      <c r="O4220">
        <v>0</v>
      </c>
      <c r="P4220">
        <v>1</v>
      </c>
      <c r="Q4220">
        <v>0</v>
      </c>
      <c r="R4220" t="s">
        <v>127</v>
      </c>
      <c r="S4220" t="str">
        <f t="shared" ref="S4220:T4225" si="1670">"15:16:15.000"</f>
        <v>15:16:15.000</v>
      </c>
      <c r="T4220" t="str">
        <f t="shared" si="1670"/>
        <v>15:16:15.000</v>
      </c>
      <c r="U4220" t="str">
        <f t="shared" si="1649"/>
        <v>A68FCB</v>
      </c>
      <c r="V4220">
        <v>0</v>
      </c>
      <c r="W4220">
        <v>0</v>
      </c>
      <c r="X4220">
        <v>2</v>
      </c>
      <c r="Y4220">
        <v>0</v>
      </c>
      <c r="AA4220">
        <v>1</v>
      </c>
      <c r="AB4220">
        <v>8</v>
      </c>
      <c r="AC4220">
        <v>3</v>
      </c>
      <c r="AD4220">
        <v>0</v>
      </c>
      <c r="AE4220">
        <v>9</v>
      </c>
      <c r="AF4220" t="s">
        <v>138</v>
      </c>
      <c r="AG4220">
        <v>0</v>
      </c>
      <c r="AH4220">
        <v>3</v>
      </c>
      <c r="AI4220">
        <v>2</v>
      </c>
      <c r="AJ4220">
        <v>0</v>
      </c>
      <c r="AK4220" t="s">
        <v>1340</v>
      </c>
      <c r="AL4220">
        <v>39.193446999999999</v>
      </c>
      <c r="AM4220" t="s">
        <v>1341</v>
      </c>
      <c r="AN4220">
        <v>-121.01858900000001</v>
      </c>
      <c r="AO4220">
        <v>25</v>
      </c>
      <c r="AP4220">
        <v>4400</v>
      </c>
      <c r="AQ4220" t="s">
        <v>131</v>
      </c>
      <c r="AR4220">
        <v>34</v>
      </c>
      <c r="AS4220">
        <v>64</v>
      </c>
      <c r="AT4220">
        <v>-448</v>
      </c>
      <c r="BB4220" t="str">
        <f t="shared" si="1650"/>
        <v>1200</v>
      </c>
      <c r="BC4220">
        <v>1</v>
      </c>
      <c r="BD4220" t="str">
        <f t="shared" si="1651"/>
        <v xml:space="preserve">N52156  </v>
      </c>
      <c r="BE4220">
        <v>1</v>
      </c>
      <c r="BG4220">
        <v>0</v>
      </c>
      <c r="BH4220">
        <v>0</v>
      </c>
      <c r="BI4220">
        <v>0</v>
      </c>
      <c r="BJ4220">
        <v>4400</v>
      </c>
      <c r="BK4220">
        <v>0</v>
      </c>
      <c r="BL4220" t="s">
        <v>188</v>
      </c>
      <c r="BM4220">
        <v>1</v>
      </c>
      <c r="BN4220">
        <v>1</v>
      </c>
      <c r="BO4220">
        <v>0</v>
      </c>
      <c r="BP4220">
        <v>0</v>
      </c>
      <c r="BS4220">
        <v>0</v>
      </c>
      <c r="BT4220">
        <v>0</v>
      </c>
      <c r="BU4220">
        <v>0</v>
      </c>
      <c r="CE4220" t="str">
        <f t="shared" ref="CE4220:CE4225" si="1671">"15:16:15.616"</f>
        <v>15:16:15.616</v>
      </c>
      <c r="CF4220">
        <v>615748936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3</v>
      </c>
      <c r="CY4220">
        <v>7</v>
      </c>
      <c r="CZ4220" t="s">
        <v>133</v>
      </c>
      <c r="DA4220">
        <v>275</v>
      </c>
      <c r="DB4220">
        <v>0</v>
      </c>
      <c r="DC4220" t="s">
        <v>134</v>
      </c>
      <c r="DD4220" t="s">
        <v>135</v>
      </c>
      <c r="DG4220">
        <v>3323189</v>
      </c>
      <c r="DI4220">
        <v>1</v>
      </c>
      <c r="DJ4220">
        <v>0</v>
      </c>
      <c r="DK4220">
        <v>0</v>
      </c>
      <c r="DL4220">
        <v>0</v>
      </c>
      <c r="DM4220">
        <v>0</v>
      </c>
      <c r="DN4220">
        <v>0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 x14ac:dyDescent="0.3">
      <c r="A4221" t="str">
        <f>"05/01/2025 15:16:15.852"</f>
        <v>05/01/2025 15:16:15.852</v>
      </c>
      <c r="C4221" t="str">
        <f t="shared" si="1648"/>
        <v>FFDFD3C0</v>
      </c>
      <c r="D4221" t="s">
        <v>124</v>
      </c>
      <c r="E4221" t="str">
        <f>"06"</f>
        <v>06</v>
      </c>
      <c r="F4221">
        <v>2006</v>
      </c>
      <c r="G4221" t="s">
        <v>125</v>
      </c>
      <c r="J4221" t="s">
        <v>126</v>
      </c>
      <c r="K4221">
        <v>0</v>
      </c>
      <c r="L4221">
        <v>3</v>
      </c>
      <c r="M4221">
        <v>0</v>
      </c>
      <c r="N4221">
        <v>2</v>
      </c>
      <c r="O4221">
        <v>0</v>
      </c>
      <c r="P4221">
        <v>1</v>
      </c>
      <c r="Q4221">
        <v>0</v>
      </c>
      <c r="R4221" t="s">
        <v>127</v>
      </c>
      <c r="S4221" t="str">
        <f t="shared" si="1670"/>
        <v>15:16:15.000</v>
      </c>
      <c r="T4221" t="str">
        <f t="shared" si="1670"/>
        <v>15:16:15.000</v>
      </c>
      <c r="U4221" t="str">
        <f t="shared" si="1649"/>
        <v>A68FCB</v>
      </c>
      <c r="V4221">
        <v>0</v>
      </c>
      <c r="W4221">
        <v>0</v>
      </c>
      <c r="X4221">
        <v>2</v>
      </c>
      <c r="Y4221">
        <v>0</v>
      </c>
      <c r="AA4221">
        <v>1</v>
      </c>
      <c r="AB4221">
        <v>8</v>
      </c>
      <c r="AC4221">
        <v>3</v>
      </c>
      <c r="AD4221">
        <v>0</v>
      </c>
      <c r="AE4221">
        <v>9</v>
      </c>
      <c r="AF4221" t="s">
        <v>138</v>
      </c>
      <c r="AG4221">
        <v>0</v>
      </c>
      <c r="AH4221">
        <v>3</v>
      </c>
      <c r="AI4221">
        <v>2</v>
      </c>
      <c r="AJ4221">
        <v>0</v>
      </c>
      <c r="AK4221" t="s">
        <v>1340</v>
      </c>
      <c r="AL4221">
        <v>39.193446999999999</v>
      </c>
      <c r="AM4221" t="s">
        <v>1341</v>
      </c>
      <c r="AN4221">
        <v>-121.01858900000001</v>
      </c>
      <c r="AO4221">
        <v>25</v>
      </c>
      <c r="AP4221">
        <v>4400</v>
      </c>
      <c r="AQ4221" t="s">
        <v>131</v>
      </c>
      <c r="AR4221">
        <v>34</v>
      </c>
      <c r="AS4221">
        <v>64</v>
      </c>
      <c r="AT4221">
        <v>-448</v>
      </c>
      <c r="BB4221" t="str">
        <f t="shared" si="1650"/>
        <v>1200</v>
      </c>
      <c r="BC4221">
        <v>1</v>
      </c>
      <c r="BD4221" t="str">
        <f t="shared" si="1651"/>
        <v xml:space="preserve">N52156  </v>
      </c>
      <c r="BE4221">
        <v>1</v>
      </c>
      <c r="BG4221">
        <v>0</v>
      </c>
      <c r="BH4221">
        <v>0</v>
      </c>
      <c r="BI4221">
        <v>0</v>
      </c>
      <c r="BJ4221">
        <v>4400</v>
      </c>
      <c r="BK4221">
        <v>0</v>
      </c>
      <c r="BL4221" t="s">
        <v>188</v>
      </c>
      <c r="BM4221">
        <v>1</v>
      </c>
      <c r="BN4221">
        <v>1</v>
      </c>
      <c r="BO4221">
        <v>0</v>
      </c>
      <c r="BP4221">
        <v>0</v>
      </c>
      <c r="BS4221">
        <v>0</v>
      </c>
      <c r="BT4221">
        <v>0</v>
      </c>
      <c r="BU4221">
        <v>0</v>
      </c>
      <c r="CE4221" t="str">
        <f t="shared" si="1671"/>
        <v>15:16:15.616</v>
      </c>
      <c r="CF4221">
        <v>615748936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3</v>
      </c>
      <c r="CY4221">
        <v>7</v>
      </c>
      <c r="CZ4221" t="s">
        <v>133</v>
      </c>
      <c r="DA4221">
        <v>275</v>
      </c>
      <c r="DB4221">
        <v>0</v>
      </c>
      <c r="DC4221" t="s">
        <v>134</v>
      </c>
      <c r="DD4221" t="s">
        <v>135</v>
      </c>
      <c r="DG4221">
        <v>3323189</v>
      </c>
      <c r="DI4221">
        <v>1</v>
      </c>
      <c r="DJ4221">
        <v>0</v>
      </c>
      <c r="DK4221">
        <v>1</v>
      </c>
      <c r="DL4221">
        <v>0</v>
      </c>
      <c r="DM4221">
        <v>0</v>
      </c>
      <c r="DN4221">
        <v>0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 x14ac:dyDescent="0.3">
      <c r="A4222" t="str">
        <f>"05/01/2025 15:16:15.854"</f>
        <v>05/01/2025 15:16:15.854</v>
      </c>
      <c r="C4222" t="str">
        <f t="shared" si="1648"/>
        <v>FFDFD3C0</v>
      </c>
      <c r="D4222" t="s">
        <v>143</v>
      </c>
      <c r="E4222" t="str">
        <f>"05"</f>
        <v>05</v>
      </c>
      <c r="H4222">
        <v>172</v>
      </c>
      <c r="I4222" t="s">
        <v>141</v>
      </c>
      <c r="J4222" t="s">
        <v>144</v>
      </c>
      <c r="K4222">
        <v>0</v>
      </c>
      <c r="L4222">
        <v>3</v>
      </c>
      <c r="M4222">
        <v>0</v>
      </c>
      <c r="N4222">
        <v>2</v>
      </c>
      <c r="O4222">
        <v>0</v>
      </c>
      <c r="P4222">
        <v>1</v>
      </c>
      <c r="Q4222">
        <v>0</v>
      </c>
      <c r="R4222" t="s">
        <v>127</v>
      </c>
      <c r="S4222" t="str">
        <f t="shared" si="1670"/>
        <v>15:16:15.000</v>
      </c>
      <c r="T4222" t="str">
        <f t="shared" si="1670"/>
        <v>15:16:15.000</v>
      </c>
      <c r="U4222" t="str">
        <f t="shared" si="1649"/>
        <v>A68FCB</v>
      </c>
      <c r="V4222">
        <v>0</v>
      </c>
      <c r="W4222">
        <v>0</v>
      </c>
      <c r="X4222">
        <v>2</v>
      </c>
      <c r="Y4222">
        <v>0</v>
      </c>
      <c r="AA4222">
        <v>1</v>
      </c>
      <c r="AB4222">
        <v>8</v>
      </c>
      <c r="AC4222">
        <v>3</v>
      </c>
      <c r="AD4222">
        <v>0</v>
      </c>
      <c r="AE4222">
        <v>9</v>
      </c>
      <c r="AF4222" t="s">
        <v>138</v>
      </c>
      <c r="AG4222">
        <v>0</v>
      </c>
      <c r="AH4222">
        <v>3</v>
      </c>
      <c r="AI4222">
        <v>2</v>
      </c>
      <c r="AJ4222">
        <v>0</v>
      </c>
      <c r="AK4222" t="s">
        <v>1340</v>
      </c>
      <c r="AL4222">
        <v>39.193446999999999</v>
      </c>
      <c r="AM4222" t="s">
        <v>1341</v>
      </c>
      <c r="AN4222">
        <v>-121.01858900000001</v>
      </c>
      <c r="AO4222">
        <v>25</v>
      </c>
      <c r="AP4222">
        <v>4400</v>
      </c>
      <c r="AQ4222" t="s">
        <v>131</v>
      </c>
      <c r="AR4222">
        <v>34</v>
      </c>
      <c r="AS4222">
        <v>64</v>
      </c>
      <c r="AT4222">
        <v>-448</v>
      </c>
      <c r="BB4222" t="str">
        <f t="shared" si="1650"/>
        <v>1200</v>
      </c>
      <c r="BC4222">
        <v>1</v>
      </c>
      <c r="BD4222" t="str">
        <f t="shared" si="1651"/>
        <v xml:space="preserve">N52156  </v>
      </c>
      <c r="BE4222">
        <v>1</v>
      </c>
      <c r="BG4222">
        <v>0</v>
      </c>
      <c r="BH4222">
        <v>0</v>
      </c>
      <c r="BI4222">
        <v>0</v>
      </c>
      <c r="BJ4222">
        <v>4400</v>
      </c>
      <c r="BK4222">
        <v>0</v>
      </c>
      <c r="BL4222" t="s">
        <v>188</v>
      </c>
      <c r="BM4222">
        <v>1</v>
      </c>
      <c r="BN4222">
        <v>1</v>
      </c>
      <c r="BO4222">
        <v>0</v>
      </c>
      <c r="BP4222">
        <v>0</v>
      </c>
      <c r="BS4222">
        <v>0</v>
      </c>
      <c r="BT4222">
        <v>0</v>
      </c>
      <c r="BU4222">
        <v>0</v>
      </c>
      <c r="CE4222" t="str">
        <f t="shared" si="1671"/>
        <v>15:16:15.616</v>
      </c>
      <c r="CF4222">
        <v>615748936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3</v>
      </c>
      <c r="CY4222">
        <v>7</v>
      </c>
      <c r="CZ4222" t="s">
        <v>133</v>
      </c>
      <c r="DA4222">
        <v>275</v>
      </c>
      <c r="DB4222">
        <v>0</v>
      </c>
      <c r="DC4222" t="s">
        <v>134</v>
      </c>
      <c r="DD4222" t="s">
        <v>135</v>
      </c>
      <c r="DG4222">
        <v>3323189</v>
      </c>
      <c r="DI4222">
        <v>1</v>
      </c>
      <c r="DJ4222">
        <v>0</v>
      </c>
      <c r="DK4222">
        <v>1</v>
      </c>
      <c r="DL4222">
        <v>0</v>
      </c>
      <c r="DM4222">
        <v>0</v>
      </c>
      <c r="DN4222">
        <v>0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 x14ac:dyDescent="0.3">
      <c r="A4223" t="str">
        <f>"05/01/2025 15:16:15.871"</f>
        <v>05/01/2025 15:16:15.871</v>
      </c>
      <c r="C4223" t="str">
        <f t="shared" si="1648"/>
        <v>FFDFD3C0</v>
      </c>
      <c r="D4223" t="s">
        <v>145</v>
      </c>
      <c r="E4223" t="str">
        <f>"05"</f>
        <v>05</v>
      </c>
      <c r="H4223">
        <v>47</v>
      </c>
      <c r="I4223" t="s">
        <v>146</v>
      </c>
      <c r="J4223" t="s">
        <v>138</v>
      </c>
      <c r="K4223">
        <v>0</v>
      </c>
      <c r="L4223">
        <v>3</v>
      </c>
      <c r="M4223">
        <v>0</v>
      </c>
      <c r="N4223">
        <v>2</v>
      </c>
      <c r="O4223">
        <v>0</v>
      </c>
      <c r="P4223">
        <v>1</v>
      </c>
      <c r="Q4223">
        <v>0</v>
      </c>
      <c r="R4223" t="s">
        <v>127</v>
      </c>
      <c r="S4223" t="str">
        <f t="shared" si="1670"/>
        <v>15:16:15.000</v>
      </c>
      <c r="T4223" t="str">
        <f t="shared" si="1670"/>
        <v>15:16:15.000</v>
      </c>
      <c r="U4223" t="str">
        <f t="shared" si="1649"/>
        <v>A68FCB</v>
      </c>
      <c r="V4223">
        <v>0</v>
      </c>
      <c r="W4223">
        <v>0</v>
      </c>
      <c r="X4223">
        <v>2</v>
      </c>
      <c r="Y4223">
        <v>0</v>
      </c>
      <c r="AA4223">
        <v>1</v>
      </c>
      <c r="AB4223">
        <v>8</v>
      </c>
      <c r="AC4223">
        <v>3</v>
      </c>
      <c r="AD4223">
        <v>0</v>
      </c>
      <c r="AE4223">
        <v>9</v>
      </c>
      <c r="AF4223" t="s">
        <v>138</v>
      </c>
      <c r="AG4223">
        <v>0</v>
      </c>
      <c r="AH4223">
        <v>3</v>
      </c>
      <c r="AI4223">
        <v>2</v>
      </c>
      <c r="AJ4223">
        <v>0</v>
      </c>
      <c r="AK4223" t="s">
        <v>1340</v>
      </c>
      <c r="AL4223">
        <v>39.193446999999999</v>
      </c>
      <c r="AM4223" t="s">
        <v>1341</v>
      </c>
      <c r="AN4223">
        <v>-121.01858900000001</v>
      </c>
      <c r="AO4223">
        <v>25</v>
      </c>
      <c r="AP4223">
        <v>4400</v>
      </c>
      <c r="AQ4223" t="s">
        <v>131</v>
      </c>
      <c r="AR4223">
        <v>34</v>
      </c>
      <c r="AS4223">
        <v>64</v>
      </c>
      <c r="AT4223">
        <v>-448</v>
      </c>
      <c r="BB4223" t="str">
        <f t="shared" si="1650"/>
        <v>1200</v>
      </c>
      <c r="BC4223">
        <v>1</v>
      </c>
      <c r="BD4223" t="str">
        <f t="shared" si="1651"/>
        <v xml:space="preserve">N52156  </v>
      </c>
      <c r="BE4223">
        <v>1</v>
      </c>
      <c r="BG4223">
        <v>0</v>
      </c>
      <c r="BH4223">
        <v>0</v>
      </c>
      <c r="BI4223">
        <v>0</v>
      </c>
      <c r="BJ4223">
        <v>4400</v>
      </c>
      <c r="BK4223">
        <v>0</v>
      </c>
      <c r="BL4223" t="s">
        <v>188</v>
      </c>
      <c r="BM4223">
        <v>1</v>
      </c>
      <c r="BN4223">
        <v>1</v>
      </c>
      <c r="BO4223">
        <v>0</v>
      </c>
      <c r="BP4223">
        <v>0</v>
      </c>
      <c r="BS4223">
        <v>0</v>
      </c>
      <c r="BT4223">
        <v>0</v>
      </c>
      <c r="BU4223">
        <v>0</v>
      </c>
      <c r="CE4223" t="str">
        <f t="shared" si="1671"/>
        <v>15:16:15.616</v>
      </c>
      <c r="CF4223">
        <v>615748936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3</v>
      </c>
      <c r="CY4223">
        <v>7</v>
      </c>
      <c r="CZ4223" t="s">
        <v>133</v>
      </c>
      <c r="DA4223">
        <v>275</v>
      </c>
      <c r="DB4223">
        <v>0</v>
      </c>
      <c r="DC4223" t="s">
        <v>134</v>
      </c>
      <c r="DD4223" t="s">
        <v>135</v>
      </c>
      <c r="DG4223">
        <v>3323189</v>
      </c>
      <c r="DI4223">
        <v>1</v>
      </c>
      <c r="DJ4223">
        <v>0</v>
      </c>
      <c r="DK4223">
        <v>1</v>
      </c>
      <c r="DL4223">
        <v>0</v>
      </c>
      <c r="DM4223">
        <v>0</v>
      </c>
      <c r="DN4223">
        <v>0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 x14ac:dyDescent="0.3">
      <c r="A4224" t="str">
        <f>"05/01/2025 15:16:15.866"</f>
        <v>05/01/2025 15:16:15.866</v>
      </c>
      <c r="C4224" t="str">
        <f t="shared" si="1648"/>
        <v>FFDFD3C0</v>
      </c>
      <c r="D4224" t="s">
        <v>145</v>
      </c>
      <c r="E4224" t="str">
        <f>"09"</f>
        <v>09</v>
      </c>
      <c r="H4224">
        <v>51</v>
      </c>
      <c r="I4224" t="s">
        <v>147</v>
      </c>
      <c r="J4224" t="s">
        <v>138</v>
      </c>
      <c r="K4224">
        <v>0</v>
      </c>
      <c r="L4224">
        <v>3</v>
      </c>
      <c r="M4224">
        <v>0</v>
      </c>
      <c r="N4224">
        <v>2</v>
      </c>
      <c r="O4224">
        <v>0</v>
      </c>
      <c r="P4224">
        <v>1</v>
      </c>
      <c r="Q4224">
        <v>0</v>
      </c>
      <c r="R4224" t="s">
        <v>127</v>
      </c>
      <c r="S4224" t="str">
        <f t="shared" si="1670"/>
        <v>15:16:15.000</v>
      </c>
      <c r="T4224" t="str">
        <f t="shared" si="1670"/>
        <v>15:16:15.000</v>
      </c>
      <c r="U4224" t="str">
        <f t="shared" si="1649"/>
        <v>A68FCB</v>
      </c>
      <c r="V4224">
        <v>0</v>
      </c>
      <c r="W4224">
        <v>0</v>
      </c>
      <c r="X4224">
        <v>2</v>
      </c>
      <c r="Y4224">
        <v>0</v>
      </c>
      <c r="AA4224">
        <v>1</v>
      </c>
      <c r="AB4224">
        <v>8</v>
      </c>
      <c r="AC4224">
        <v>3</v>
      </c>
      <c r="AD4224">
        <v>0</v>
      </c>
      <c r="AE4224">
        <v>9</v>
      </c>
      <c r="AF4224" t="s">
        <v>138</v>
      </c>
      <c r="AG4224">
        <v>0</v>
      </c>
      <c r="AH4224">
        <v>3</v>
      </c>
      <c r="AI4224">
        <v>2</v>
      </c>
      <c r="AJ4224">
        <v>0</v>
      </c>
      <c r="AK4224" t="s">
        <v>1340</v>
      </c>
      <c r="AL4224">
        <v>39.193446999999999</v>
      </c>
      <c r="AM4224" t="s">
        <v>1341</v>
      </c>
      <c r="AN4224">
        <v>-121.01858900000001</v>
      </c>
      <c r="AO4224">
        <v>25</v>
      </c>
      <c r="AP4224">
        <v>4400</v>
      </c>
      <c r="AQ4224" t="s">
        <v>131</v>
      </c>
      <c r="AR4224">
        <v>34</v>
      </c>
      <c r="AS4224">
        <v>64</v>
      </c>
      <c r="AT4224">
        <v>-448</v>
      </c>
      <c r="BB4224" t="str">
        <f t="shared" si="1650"/>
        <v>1200</v>
      </c>
      <c r="BC4224">
        <v>1</v>
      </c>
      <c r="BD4224" t="str">
        <f t="shared" si="1651"/>
        <v xml:space="preserve">N52156  </v>
      </c>
      <c r="BE4224">
        <v>1</v>
      </c>
      <c r="BG4224">
        <v>0</v>
      </c>
      <c r="BH4224">
        <v>0</v>
      </c>
      <c r="BI4224">
        <v>0</v>
      </c>
      <c r="BJ4224">
        <v>4400</v>
      </c>
      <c r="BK4224">
        <v>0</v>
      </c>
      <c r="BL4224" t="s">
        <v>188</v>
      </c>
      <c r="BM4224">
        <v>1</v>
      </c>
      <c r="BN4224">
        <v>1</v>
      </c>
      <c r="BO4224">
        <v>0</v>
      </c>
      <c r="BP4224">
        <v>0</v>
      </c>
      <c r="BS4224">
        <v>0</v>
      </c>
      <c r="BT4224">
        <v>0</v>
      </c>
      <c r="BU4224">
        <v>0</v>
      </c>
      <c r="CE4224" t="str">
        <f t="shared" si="1671"/>
        <v>15:16:15.616</v>
      </c>
      <c r="CF4224">
        <v>615748936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3</v>
      </c>
      <c r="CY4224">
        <v>7</v>
      </c>
      <c r="CZ4224" t="s">
        <v>133</v>
      </c>
      <c r="DA4224">
        <v>275</v>
      </c>
      <c r="DB4224">
        <v>0</v>
      </c>
      <c r="DC4224" t="s">
        <v>134</v>
      </c>
      <c r="DD4224" t="s">
        <v>135</v>
      </c>
      <c r="DG4224">
        <v>3323189</v>
      </c>
      <c r="DI4224">
        <v>1</v>
      </c>
      <c r="DJ4224">
        <v>0</v>
      </c>
      <c r="DK4224">
        <v>1</v>
      </c>
      <c r="DL4224">
        <v>0</v>
      </c>
      <c r="DM4224">
        <v>0</v>
      </c>
      <c r="DN4224">
        <v>0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 x14ac:dyDescent="0.3">
      <c r="A4225" t="str">
        <f>"05/01/2025 15:16:15.881"</f>
        <v>05/01/2025 15:16:15.881</v>
      </c>
      <c r="C4225" t="str">
        <f t="shared" si="1648"/>
        <v>FFDFD3C0</v>
      </c>
      <c r="D4225" t="s">
        <v>136</v>
      </c>
      <c r="E4225" t="str">
        <f>"20"</f>
        <v>20</v>
      </c>
      <c r="H4225">
        <v>400</v>
      </c>
      <c r="I4225" t="s">
        <v>137</v>
      </c>
      <c r="J4225" t="s">
        <v>138</v>
      </c>
      <c r="K4225">
        <v>0</v>
      </c>
      <c r="L4225">
        <v>3</v>
      </c>
      <c r="M4225">
        <v>0</v>
      </c>
      <c r="N4225">
        <v>2</v>
      </c>
      <c r="O4225">
        <v>0</v>
      </c>
      <c r="P4225">
        <v>1</v>
      </c>
      <c r="Q4225">
        <v>0</v>
      </c>
      <c r="R4225" t="s">
        <v>127</v>
      </c>
      <c r="S4225" t="str">
        <f t="shared" si="1670"/>
        <v>15:16:15.000</v>
      </c>
      <c r="T4225" t="str">
        <f t="shared" si="1670"/>
        <v>15:16:15.000</v>
      </c>
      <c r="U4225" t="str">
        <f t="shared" si="1649"/>
        <v>A68FCB</v>
      </c>
      <c r="V4225">
        <v>0</v>
      </c>
      <c r="W4225">
        <v>0</v>
      </c>
      <c r="X4225">
        <v>2</v>
      </c>
      <c r="Y4225">
        <v>0</v>
      </c>
      <c r="AA4225">
        <v>1</v>
      </c>
      <c r="AB4225">
        <v>8</v>
      </c>
      <c r="AC4225">
        <v>3</v>
      </c>
      <c r="AD4225">
        <v>0</v>
      </c>
      <c r="AE4225">
        <v>9</v>
      </c>
      <c r="AF4225" t="s">
        <v>138</v>
      </c>
      <c r="AG4225">
        <v>0</v>
      </c>
      <c r="AH4225">
        <v>3</v>
      </c>
      <c r="AI4225">
        <v>2</v>
      </c>
      <c r="AJ4225">
        <v>0</v>
      </c>
      <c r="AK4225" t="s">
        <v>1340</v>
      </c>
      <c r="AL4225">
        <v>39.193446999999999</v>
      </c>
      <c r="AM4225" t="s">
        <v>1341</v>
      </c>
      <c r="AN4225">
        <v>-121.01858900000001</v>
      </c>
      <c r="AO4225">
        <v>25</v>
      </c>
      <c r="AP4225">
        <v>4400</v>
      </c>
      <c r="AQ4225" t="s">
        <v>131</v>
      </c>
      <c r="AR4225">
        <v>34</v>
      </c>
      <c r="AS4225">
        <v>64</v>
      </c>
      <c r="AT4225">
        <v>-448</v>
      </c>
      <c r="BB4225" t="str">
        <f t="shared" si="1650"/>
        <v>1200</v>
      </c>
      <c r="BC4225">
        <v>1</v>
      </c>
      <c r="BD4225" t="str">
        <f t="shared" si="1651"/>
        <v xml:space="preserve">N52156  </v>
      </c>
      <c r="BE4225">
        <v>1</v>
      </c>
      <c r="BG4225">
        <v>0</v>
      </c>
      <c r="BH4225">
        <v>0</v>
      </c>
      <c r="BI4225">
        <v>0</v>
      </c>
      <c r="BJ4225">
        <v>4400</v>
      </c>
      <c r="BK4225">
        <v>0</v>
      </c>
      <c r="BL4225" t="s">
        <v>188</v>
      </c>
      <c r="BM4225">
        <v>1</v>
      </c>
      <c r="BN4225">
        <v>1</v>
      </c>
      <c r="BO4225">
        <v>0</v>
      </c>
      <c r="BP4225">
        <v>0</v>
      </c>
      <c r="BS4225">
        <v>0</v>
      </c>
      <c r="BT4225">
        <v>0</v>
      </c>
      <c r="BU4225">
        <v>0</v>
      </c>
      <c r="CE4225" t="str">
        <f t="shared" si="1671"/>
        <v>15:16:15.616</v>
      </c>
      <c r="CF4225">
        <v>615748936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3</v>
      </c>
      <c r="CY4225">
        <v>7</v>
      </c>
      <c r="CZ4225" t="s">
        <v>133</v>
      </c>
      <c r="DA4225">
        <v>275</v>
      </c>
      <c r="DB4225">
        <v>0</v>
      </c>
      <c r="DC4225" t="s">
        <v>134</v>
      </c>
      <c r="DD4225" t="s">
        <v>135</v>
      </c>
      <c r="DG4225">
        <v>3323189</v>
      </c>
      <c r="DI4225">
        <v>1</v>
      </c>
      <c r="DJ4225">
        <v>0</v>
      </c>
      <c r="DK4225">
        <v>1</v>
      </c>
      <c r="DL4225">
        <v>0</v>
      </c>
      <c r="DM4225">
        <v>0</v>
      </c>
      <c r="DN4225">
        <v>0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 x14ac:dyDescent="0.3">
      <c r="A4226" t="str">
        <f>"05/01/2025 15:16:16.602"</f>
        <v>05/01/2025 15:16:16.602</v>
      </c>
      <c r="C4226" t="str">
        <f t="shared" ref="C4226:C4289" si="1672">"FFDFD3C0"</f>
        <v>FFDFD3C0</v>
      </c>
      <c r="D4226" t="s">
        <v>140</v>
      </c>
      <c r="E4226" t="str">
        <f>"13"</f>
        <v>13</v>
      </c>
      <c r="F4226">
        <v>1019</v>
      </c>
      <c r="G4226" t="s">
        <v>141</v>
      </c>
      <c r="J4226" t="s">
        <v>142</v>
      </c>
      <c r="K4226">
        <v>0</v>
      </c>
      <c r="L4226">
        <v>3</v>
      </c>
      <c r="M4226">
        <v>0</v>
      </c>
      <c r="N4226">
        <v>2</v>
      </c>
      <c r="O4226">
        <v>0</v>
      </c>
      <c r="P4226">
        <v>1</v>
      </c>
      <c r="Q4226">
        <v>0</v>
      </c>
      <c r="R4226" t="s">
        <v>127</v>
      </c>
      <c r="S4226" t="str">
        <f t="shared" ref="S4226:T4231" si="1673">"15:16:16.000"</f>
        <v>15:16:16.000</v>
      </c>
      <c r="T4226" t="str">
        <f t="shared" si="1673"/>
        <v>15:16:16.000</v>
      </c>
      <c r="U4226" t="str">
        <f t="shared" ref="U4226:U4289" si="1674">"A68FCB"</f>
        <v>A68FCB</v>
      </c>
      <c r="V4226">
        <v>0</v>
      </c>
      <c r="W4226">
        <v>0</v>
      </c>
      <c r="X4226">
        <v>2</v>
      </c>
      <c r="Y4226">
        <v>0</v>
      </c>
      <c r="AA4226">
        <v>1</v>
      </c>
      <c r="AB4226">
        <v>8</v>
      </c>
      <c r="AC4226">
        <v>3</v>
      </c>
      <c r="AD4226">
        <v>0</v>
      </c>
      <c r="AE4226">
        <v>9</v>
      </c>
      <c r="AF4226" t="s">
        <v>138</v>
      </c>
      <c r="AG4226">
        <v>0</v>
      </c>
      <c r="AH4226">
        <v>3</v>
      </c>
      <c r="AI4226">
        <v>2</v>
      </c>
      <c r="AJ4226">
        <v>0</v>
      </c>
      <c r="AK4226" t="s">
        <v>1342</v>
      </c>
      <c r="AL4226">
        <v>39.193747000000002</v>
      </c>
      <c r="AM4226" t="s">
        <v>1343</v>
      </c>
      <c r="AN4226">
        <v>-121.01837399999999</v>
      </c>
      <c r="AO4226">
        <v>25</v>
      </c>
      <c r="AP4226">
        <v>4300</v>
      </c>
      <c r="AQ4226" t="s">
        <v>131</v>
      </c>
      <c r="AR4226">
        <v>34</v>
      </c>
      <c r="AS4226">
        <v>64</v>
      </c>
      <c r="AT4226">
        <v>-448</v>
      </c>
      <c r="BB4226" t="str">
        <f t="shared" ref="BB4226:BB4289" si="1675">"1200"</f>
        <v>1200</v>
      </c>
      <c r="BC4226">
        <v>1</v>
      </c>
      <c r="BD4226" t="str">
        <f t="shared" ref="BD4226:BD4289" si="1676">"N52156  "</f>
        <v xml:space="preserve">N52156  </v>
      </c>
      <c r="BE4226">
        <v>1</v>
      </c>
      <c r="BG4226">
        <v>0</v>
      </c>
      <c r="BH4226">
        <v>0</v>
      </c>
      <c r="BI4226">
        <v>0</v>
      </c>
      <c r="BJ4226">
        <v>4400</v>
      </c>
      <c r="BK4226">
        <v>100</v>
      </c>
      <c r="BL4226" t="s">
        <v>188</v>
      </c>
      <c r="BM4226">
        <v>1</v>
      </c>
      <c r="BN4226">
        <v>1</v>
      </c>
      <c r="BO4226">
        <v>0</v>
      </c>
      <c r="BP4226">
        <v>0</v>
      </c>
      <c r="BS4226">
        <v>0</v>
      </c>
      <c r="BT4226">
        <v>0</v>
      </c>
      <c r="BU4226">
        <v>0</v>
      </c>
      <c r="CE4226" t="str">
        <f t="shared" ref="CE4226:CE4231" si="1677">"15:16:16.376"</f>
        <v>15:16:16.376</v>
      </c>
      <c r="CF4226">
        <v>376078656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3</v>
      </c>
      <c r="CY4226">
        <v>7</v>
      </c>
      <c r="CZ4226" t="s">
        <v>133</v>
      </c>
      <c r="DA4226">
        <v>276</v>
      </c>
      <c r="DB4226">
        <v>0</v>
      </c>
      <c r="DC4226" t="s">
        <v>402</v>
      </c>
      <c r="DD4226" t="s">
        <v>403</v>
      </c>
      <c r="DG4226">
        <v>1628468</v>
      </c>
      <c r="DI4226">
        <v>1</v>
      </c>
      <c r="DJ4226">
        <v>0</v>
      </c>
      <c r="DK4226">
        <v>0</v>
      </c>
      <c r="DL4226">
        <v>0</v>
      </c>
      <c r="DM4226">
        <v>0</v>
      </c>
      <c r="DN4226">
        <v>0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 x14ac:dyDescent="0.3">
      <c r="A4227" t="str">
        <f>"05/01/2025 15:16:16.603"</f>
        <v>05/01/2025 15:16:16.603</v>
      </c>
      <c r="C4227" t="str">
        <f t="shared" si="1672"/>
        <v>FFDFD3C0</v>
      </c>
      <c r="D4227" t="s">
        <v>124</v>
      </c>
      <c r="E4227" t="str">
        <f>"06"</f>
        <v>06</v>
      </c>
      <c r="F4227">
        <v>2006</v>
      </c>
      <c r="G4227" t="s">
        <v>125</v>
      </c>
      <c r="J4227" t="s">
        <v>126</v>
      </c>
      <c r="K4227">
        <v>0</v>
      </c>
      <c r="L4227">
        <v>3</v>
      </c>
      <c r="M4227">
        <v>0</v>
      </c>
      <c r="N4227">
        <v>2</v>
      </c>
      <c r="O4227">
        <v>0</v>
      </c>
      <c r="P4227">
        <v>1</v>
      </c>
      <c r="Q4227">
        <v>0</v>
      </c>
      <c r="R4227" t="s">
        <v>127</v>
      </c>
      <c r="S4227" t="str">
        <f t="shared" si="1673"/>
        <v>15:16:16.000</v>
      </c>
      <c r="T4227" t="str">
        <f t="shared" si="1673"/>
        <v>15:16:16.000</v>
      </c>
      <c r="U4227" t="str">
        <f t="shared" si="1674"/>
        <v>A68FCB</v>
      </c>
      <c r="V4227">
        <v>0</v>
      </c>
      <c r="W4227">
        <v>0</v>
      </c>
      <c r="X4227">
        <v>2</v>
      </c>
      <c r="Y4227">
        <v>0</v>
      </c>
      <c r="AA4227">
        <v>1</v>
      </c>
      <c r="AB4227">
        <v>8</v>
      </c>
      <c r="AC4227">
        <v>3</v>
      </c>
      <c r="AD4227">
        <v>0</v>
      </c>
      <c r="AE4227">
        <v>9</v>
      </c>
      <c r="AF4227" t="s">
        <v>138</v>
      </c>
      <c r="AG4227">
        <v>0</v>
      </c>
      <c r="AH4227">
        <v>3</v>
      </c>
      <c r="AI4227">
        <v>2</v>
      </c>
      <c r="AJ4227">
        <v>0</v>
      </c>
      <c r="AK4227" t="s">
        <v>1342</v>
      </c>
      <c r="AL4227">
        <v>39.193747000000002</v>
      </c>
      <c r="AM4227" t="s">
        <v>1343</v>
      </c>
      <c r="AN4227">
        <v>-121.01837399999999</v>
      </c>
      <c r="AO4227">
        <v>25</v>
      </c>
      <c r="AP4227">
        <v>4300</v>
      </c>
      <c r="AQ4227" t="s">
        <v>131</v>
      </c>
      <c r="AR4227">
        <v>34</v>
      </c>
      <c r="AS4227">
        <v>64</v>
      </c>
      <c r="AT4227">
        <v>-448</v>
      </c>
      <c r="BB4227" t="str">
        <f t="shared" si="1675"/>
        <v>1200</v>
      </c>
      <c r="BC4227">
        <v>1</v>
      </c>
      <c r="BD4227" t="str">
        <f t="shared" si="1676"/>
        <v xml:space="preserve">N52156  </v>
      </c>
      <c r="BE4227">
        <v>1</v>
      </c>
      <c r="BG4227">
        <v>0</v>
      </c>
      <c r="BH4227">
        <v>0</v>
      </c>
      <c r="BI4227">
        <v>0</v>
      </c>
      <c r="BJ4227">
        <v>4400</v>
      </c>
      <c r="BK4227">
        <v>100</v>
      </c>
      <c r="BL4227" t="s">
        <v>188</v>
      </c>
      <c r="BM4227">
        <v>1</v>
      </c>
      <c r="BN4227">
        <v>1</v>
      </c>
      <c r="BO4227">
        <v>0</v>
      </c>
      <c r="BP4227">
        <v>0</v>
      </c>
      <c r="BS4227">
        <v>0</v>
      </c>
      <c r="BT4227">
        <v>0</v>
      </c>
      <c r="BU4227">
        <v>0</v>
      </c>
      <c r="CE4227" t="str">
        <f t="shared" si="1677"/>
        <v>15:16:16.376</v>
      </c>
      <c r="CF4227">
        <v>376078656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3</v>
      </c>
      <c r="CY4227">
        <v>7</v>
      </c>
      <c r="CZ4227" t="s">
        <v>133</v>
      </c>
      <c r="DA4227">
        <v>276</v>
      </c>
      <c r="DB4227">
        <v>0</v>
      </c>
      <c r="DC4227" t="s">
        <v>402</v>
      </c>
      <c r="DD4227" t="s">
        <v>403</v>
      </c>
      <c r="DG4227">
        <v>1628468</v>
      </c>
      <c r="DI4227">
        <v>1</v>
      </c>
      <c r="DJ4227">
        <v>0</v>
      </c>
      <c r="DK4227">
        <v>1</v>
      </c>
      <c r="DL4227">
        <v>0</v>
      </c>
      <c r="DM4227">
        <v>0</v>
      </c>
      <c r="DN4227">
        <v>0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 x14ac:dyDescent="0.3">
      <c r="A4228" t="str">
        <f>"05/01/2025 15:16:16.605"</f>
        <v>05/01/2025 15:16:16.605</v>
      </c>
      <c r="C4228" t="str">
        <f t="shared" si="1672"/>
        <v>FFDFD3C0</v>
      </c>
      <c r="D4228" t="s">
        <v>143</v>
      </c>
      <c r="E4228" t="str">
        <f>"05"</f>
        <v>05</v>
      </c>
      <c r="H4228">
        <v>172</v>
      </c>
      <c r="I4228" t="s">
        <v>141</v>
      </c>
      <c r="J4228" t="s">
        <v>144</v>
      </c>
      <c r="K4228">
        <v>0</v>
      </c>
      <c r="L4228">
        <v>3</v>
      </c>
      <c r="M4228">
        <v>0</v>
      </c>
      <c r="N4228">
        <v>2</v>
      </c>
      <c r="O4228">
        <v>0</v>
      </c>
      <c r="P4228">
        <v>1</v>
      </c>
      <c r="Q4228">
        <v>0</v>
      </c>
      <c r="R4228" t="s">
        <v>127</v>
      </c>
      <c r="S4228" t="str">
        <f t="shared" si="1673"/>
        <v>15:16:16.000</v>
      </c>
      <c r="T4228" t="str">
        <f t="shared" si="1673"/>
        <v>15:16:16.000</v>
      </c>
      <c r="U4228" t="str">
        <f t="shared" si="1674"/>
        <v>A68FCB</v>
      </c>
      <c r="V4228">
        <v>0</v>
      </c>
      <c r="W4228">
        <v>0</v>
      </c>
      <c r="X4228">
        <v>2</v>
      </c>
      <c r="Y4228">
        <v>0</v>
      </c>
      <c r="AA4228">
        <v>1</v>
      </c>
      <c r="AB4228">
        <v>8</v>
      </c>
      <c r="AC4228">
        <v>3</v>
      </c>
      <c r="AD4228">
        <v>0</v>
      </c>
      <c r="AE4228">
        <v>9</v>
      </c>
      <c r="AF4228" t="s">
        <v>138</v>
      </c>
      <c r="AG4228">
        <v>0</v>
      </c>
      <c r="AH4228">
        <v>3</v>
      </c>
      <c r="AI4228">
        <v>2</v>
      </c>
      <c r="AJ4228">
        <v>0</v>
      </c>
      <c r="AK4228" t="s">
        <v>1342</v>
      </c>
      <c r="AL4228">
        <v>39.193747000000002</v>
      </c>
      <c r="AM4228" t="s">
        <v>1343</v>
      </c>
      <c r="AN4228">
        <v>-121.01837399999999</v>
      </c>
      <c r="AO4228">
        <v>25</v>
      </c>
      <c r="AP4228">
        <v>4300</v>
      </c>
      <c r="AQ4228" t="s">
        <v>131</v>
      </c>
      <c r="AR4228">
        <v>34</v>
      </c>
      <c r="AS4228">
        <v>64</v>
      </c>
      <c r="AT4228">
        <v>-448</v>
      </c>
      <c r="BB4228" t="str">
        <f t="shared" si="1675"/>
        <v>1200</v>
      </c>
      <c r="BC4228">
        <v>1</v>
      </c>
      <c r="BD4228" t="str">
        <f t="shared" si="1676"/>
        <v xml:space="preserve">N52156  </v>
      </c>
      <c r="BE4228">
        <v>1</v>
      </c>
      <c r="BG4228">
        <v>0</v>
      </c>
      <c r="BH4228">
        <v>0</v>
      </c>
      <c r="BI4228">
        <v>0</v>
      </c>
      <c r="BJ4228">
        <v>4400</v>
      </c>
      <c r="BK4228">
        <v>100</v>
      </c>
      <c r="BL4228" t="s">
        <v>188</v>
      </c>
      <c r="BM4228">
        <v>1</v>
      </c>
      <c r="BN4228">
        <v>1</v>
      </c>
      <c r="BO4228">
        <v>0</v>
      </c>
      <c r="BP4228">
        <v>0</v>
      </c>
      <c r="BS4228">
        <v>0</v>
      </c>
      <c r="BT4228">
        <v>0</v>
      </c>
      <c r="BU4228">
        <v>0</v>
      </c>
      <c r="CE4228" t="str">
        <f t="shared" si="1677"/>
        <v>15:16:16.376</v>
      </c>
      <c r="CF4228">
        <v>376078656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3</v>
      </c>
      <c r="CY4228">
        <v>7</v>
      </c>
      <c r="CZ4228" t="s">
        <v>133</v>
      </c>
      <c r="DA4228">
        <v>276</v>
      </c>
      <c r="DB4228">
        <v>0</v>
      </c>
      <c r="DC4228" t="s">
        <v>402</v>
      </c>
      <c r="DD4228" t="s">
        <v>403</v>
      </c>
      <c r="DG4228">
        <v>1628468</v>
      </c>
      <c r="DI4228">
        <v>1</v>
      </c>
      <c r="DJ4228">
        <v>0</v>
      </c>
      <c r="DK4228">
        <v>1</v>
      </c>
      <c r="DL4228">
        <v>0</v>
      </c>
      <c r="DM4228">
        <v>0</v>
      </c>
      <c r="DN4228">
        <v>0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 x14ac:dyDescent="0.3">
      <c r="A4229" t="str">
        <f>"05/01/2025 15:16:16.618"</f>
        <v>05/01/2025 15:16:16.618</v>
      </c>
      <c r="C4229" t="str">
        <f t="shared" si="1672"/>
        <v>FFDFD3C0</v>
      </c>
      <c r="D4229" t="s">
        <v>145</v>
      </c>
      <c r="E4229" t="str">
        <f>"09"</f>
        <v>09</v>
      </c>
      <c r="H4229">
        <v>51</v>
      </c>
      <c r="I4229" t="s">
        <v>147</v>
      </c>
      <c r="J4229" t="s">
        <v>138</v>
      </c>
      <c r="K4229">
        <v>0</v>
      </c>
      <c r="L4229">
        <v>3</v>
      </c>
      <c r="M4229">
        <v>0</v>
      </c>
      <c r="N4229">
        <v>2</v>
      </c>
      <c r="O4229">
        <v>0</v>
      </c>
      <c r="P4229">
        <v>1</v>
      </c>
      <c r="Q4229">
        <v>0</v>
      </c>
      <c r="R4229" t="s">
        <v>127</v>
      </c>
      <c r="S4229" t="str">
        <f t="shared" si="1673"/>
        <v>15:16:16.000</v>
      </c>
      <c r="T4229" t="str">
        <f t="shared" si="1673"/>
        <v>15:16:16.000</v>
      </c>
      <c r="U4229" t="str">
        <f t="shared" si="1674"/>
        <v>A68FCB</v>
      </c>
      <c r="V4229">
        <v>0</v>
      </c>
      <c r="W4229">
        <v>0</v>
      </c>
      <c r="X4229">
        <v>2</v>
      </c>
      <c r="Y4229">
        <v>0</v>
      </c>
      <c r="AA4229">
        <v>1</v>
      </c>
      <c r="AB4229">
        <v>8</v>
      </c>
      <c r="AC4229">
        <v>3</v>
      </c>
      <c r="AD4229">
        <v>0</v>
      </c>
      <c r="AE4229">
        <v>9</v>
      </c>
      <c r="AF4229" t="s">
        <v>138</v>
      </c>
      <c r="AG4229">
        <v>0</v>
      </c>
      <c r="AH4229">
        <v>3</v>
      </c>
      <c r="AI4229">
        <v>2</v>
      </c>
      <c r="AJ4229">
        <v>0</v>
      </c>
      <c r="AK4229" t="s">
        <v>1342</v>
      </c>
      <c r="AL4229">
        <v>39.193747000000002</v>
      </c>
      <c r="AM4229" t="s">
        <v>1343</v>
      </c>
      <c r="AN4229">
        <v>-121.01837399999999</v>
      </c>
      <c r="AO4229">
        <v>25</v>
      </c>
      <c r="AP4229">
        <v>4300</v>
      </c>
      <c r="AQ4229" t="s">
        <v>131</v>
      </c>
      <c r="AR4229">
        <v>34</v>
      </c>
      <c r="AS4229">
        <v>64</v>
      </c>
      <c r="AT4229">
        <v>-448</v>
      </c>
      <c r="BB4229" t="str">
        <f t="shared" si="1675"/>
        <v>1200</v>
      </c>
      <c r="BC4229">
        <v>1</v>
      </c>
      <c r="BD4229" t="str">
        <f t="shared" si="1676"/>
        <v xml:space="preserve">N52156  </v>
      </c>
      <c r="BE4229">
        <v>1</v>
      </c>
      <c r="BG4229">
        <v>0</v>
      </c>
      <c r="BH4229">
        <v>0</v>
      </c>
      <c r="BI4229">
        <v>0</v>
      </c>
      <c r="BJ4229">
        <v>4400</v>
      </c>
      <c r="BK4229">
        <v>100</v>
      </c>
      <c r="BL4229" t="s">
        <v>188</v>
      </c>
      <c r="BM4229">
        <v>1</v>
      </c>
      <c r="BN4229">
        <v>1</v>
      </c>
      <c r="BO4229">
        <v>0</v>
      </c>
      <c r="BP4229">
        <v>0</v>
      </c>
      <c r="BS4229">
        <v>0</v>
      </c>
      <c r="BT4229">
        <v>0</v>
      </c>
      <c r="BU4229">
        <v>0</v>
      </c>
      <c r="CE4229" t="str">
        <f t="shared" si="1677"/>
        <v>15:16:16.376</v>
      </c>
      <c r="CF4229">
        <v>376078656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3</v>
      </c>
      <c r="CY4229">
        <v>7</v>
      </c>
      <c r="CZ4229" t="s">
        <v>133</v>
      </c>
      <c r="DA4229">
        <v>276</v>
      </c>
      <c r="DB4229">
        <v>0</v>
      </c>
      <c r="DC4229" t="s">
        <v>402</v>
      </c>
      <c r="DD4229" t="s">
        <v>403</v>
      </c>
      <c r="DG4229">
        <v>1628468</v>
      </c>
      <c r="DI4229">
        <v>1</v>
      </c>
      <c r="DJ4229">
        <v>0</v>
      </c>
      <c r="DK4229">
        <v>1</v>
      </c>
      <c r="DL4229">
        <v>0</v>
      </c>
      <c r="DM4229">
        <v>0</v>
      </c>
      <c r="DN4229">
        <v>0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 x14ac:dyDescent="0.3">
      <c r="A4230" t="str">
        <f>"05/01/2025 15:16:16.622"</f>
        <v>05/01/2025 15:16:16.622</v>
      </c>
      <c r="C4230" t="str">
        <f t="shared" si="1672"/>
        <v>FFDFD3C0</v>
      </c>
      <c r="D4230" t="s">
        <v>145</v>
      </c>
      <c r="E4230" t="str">
        <f>"05"</f>
        <v>05</v>
      </c>
      <c r="H4230">
        <v>47</v>
      </c>
      <c r="I4230" t="s">
        <v>146</v>
      </c>
      <c r="J4230" t="s">
        <v>138</v>
      </c>
      <c r="K4230">
        <v>0</v>
      </c>
      <c r="L4230">
        <v>3</v>
      </c>
      <c r="M4230">
        <v>0</v>
      </c>
      <c r="N4230">
        <v>2</v>
      </c>
      <c r="O4230">
        <v>0</v>
      </c>
      <c r="P4230">
        <v>1</v>
      </c>
      <c r="Q4230">
        <v>0</v>
      </c>
      <c r="R4230" t="s">
        <v>127</v>
      </c>
      <c r="S4230" t="str">
        <f t="shared" si="1673"/>
        <v>15:16:16.000</v>
      </c>
      <c r="T4230" t="str">
        <f t="shared" si="1673"/>
        <v>15:16:16.000</v>
      </c>
      <c r="U4230" t="str">
        <f t="shared" si="1674"/>
        <v>A68FCB</v>
      </c>
      <c r="V4230">
        <v>0</v>
      </c>
      <c r="W4230">
        <v>0</v>
      </c>
      <c r="X4230">
        <v>2</v>
      </c>
      <c r="Y4230">
        <v>0</v>
      </c>
      <c r="AA4230">
        <v>1</v>
      </c>
      <c r="AB4230">
        <v>8</v>
      </c>
      <c r="AC4230">
        <v>3</v>
      </c>
      <c r="AD4230">
        <v>0</v>
      </c>
      <c r="AE4230">
        <v>9</v>
      </c>
      <c r="AF4230" t="s">
        <v>138</v>
      </c>
      <c r="AG4230">
        <v>0</v>
      </c>
      <c r="AH4230">
        <v>3</v>
      </c>
      <c r="AI4230">
        <v>2</v>
      </c>
      <c r="AJ4230">
        <v>0</v>
      </c>
      <c r="AK4230" t="s">
        <v>1342</v>
      </c>
      <c r="AL4230">
        <v>39.193747000000002</v>
      </c>
      <c r="AM4230" t="s">
        <v>1343</v>
      </c>
      <c r="AN4230">
        <v>-121.01837399999999</v>
      </c>
      <c r="AO4230">
        <v>25</v>
      </c>
      <c r="AP4230">
        <v>4300</v>
      </c>
      <c r="AQ4230" t="s">
        <v>131</v>
      </c>
      <c r="AR4230">
        <v>34</v>
      </c>
      <c r="AS4230">
        <v>64</v>
      </c>
      <c r="AT4230">
        <v>-448</v>
      </c>
      <c r="BB4230" t="str">
        <f t="shared" si="1675"/>
        <v>1200</v>
      </c>
      <c r="BC4230">
        <v>1</v>
      </c>
      <c r="BD4230" t="str">
        <f t="shared" si="1676"/>
        <v xml:space="preserve">N52156  </v>
      </c>
      <c r="BE4230">
        <v>1</v>
      </c>
      <c r="BG4230">
        <v>0</v>
      </c>
      <c r="BH4230">
        <v>0</v>
      </c>
      <c r="BI4230">
        <v>0</v>
      </c>
      <c r="BJ4230">
        <v>4400</v>
      </c>
      <c r="BK4230">
        <v>100</v>
      </c>
      <c r="BL4230" t="s">
        <v>188</v>
      </c>
      <c r="BM4230">
        <v>1</v>
      </c>
      <c r="BN4230">
        <v>1</v>
      </c>
      <c r="BO4230">
        <v>0</v>
      </c>
      <c r="BP4230">
        <v>0</v>
      </c>
      <c r="BS4230">
        <v>0</v>
      </c>
      <c r="BT4230">
        <v>0</v>
      </c>
      <c r="BU4230">
        <v>0</v>
      </c>
      <c r="CE4230" t="str">
        <f t="shared" si="1677"/>
        <v>15:16:16.376</v>
      </c>
      <c r="CF4230">
        <v>376078656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3</v>
      </c>
      <c r="CY4230">
        <v>7</v>
      </c>
      <c r="CZ4230" t="s">
        <v>133</v>
      </c>
      <c r="DA4230">
        <v>276</v>
      </c>
      <c r="DB4230">
        <v>0</v>
      </c>
      <c r="DC4230" t="s">
        <v>402</v>
      </c>
      <c r="DD4230" t="s">
        <v>403</v>
      </c>
      <c r="DG4230">
        <v>1628468</v>
      </c>
      <c r="DI4230">
        <v>1</v>
      </c>
      <c r="DJ4230">
        <v>0</v>
      </c>
      <c r="DK4230">
        <v>1</v>
      </c>
      <c r="DL4230">
        <v>0</v>
      </c>
      <c r="DM4230">
        <v>0</v>
      </c>
      <c r="DN4230">
        <v>0</v>
      </c>
      <c r="DO4230">
        <v>0</v>
      </c>
      <c r="DP4230">
        <v>0</v>
      </c>
      <c r="DQ4230">
        <v>0</v>
      </c>
      <c r="DR4230">
        <v>0</v>
      </c>
      <c r="DS4230">
        <v>0</v>
      </c>
    </row>
    <row r="4231" spans="1:123" x14ac:dyDescent="0.3">
      <c r="A4231" t="str">
        <f>"05/01/2025 15:16:16.633"</f>
        <v>05/01/2025 15:16:16.633</v>
      </c>
      <c r="C4231" t="str">
        <f t="shared" si="1672"/>
        <v>FFDFD3C0</v>
      </c>
      <c r="D4231" t="s">
        <v>136</v>
      </c>
      <c r="E4231" t="str">
        <f>"20"</f>
        <v>20</v>
      </c>
      <c r="H4231">
        <v>400</v>
      </c>
      <c r="I4231" t="s">
        <v>137</v>
      </c>
      <c r="J4231" t="s">
        <v>138</v>
      </c>
      <c r="K4231">
        <v>0</v>
      </c>
      <c r="L4231">
        <v>3</v>
      </c>
      <c r="M4231">
        <v>0</v>
      </c>
      <c r="N4231">
        <v>2</v>
      </c>
      <c r="O4231">
        <v>0</v>
      </c>
      <c r="P4231">
        <v>1</v>
      </c>
      <c r="Q4231">
        <v>0</v>
      </c>
      <c r="R4231" t="s">
        <v>127</v>
      </c>
      <c r="S4231" t="str">
        <f t="shared" si="1673"/>
        <v>15:16:16.000</v>
      </c>
      <c r="T4231" t="str">
        <f t="shared" si="1673"/>
        <v>15:16:16.000</v>
      </c>
      <c r="U4231" t="str">
        <f t="shared" si="1674"/>
        <v>A68FCB</v>
      </c>
      <c r="V4231">
        <v>0</v>
      </c>
      <c r="W4231">
        <v>0</v>
      </c>
      <c r="X4231">
        <v>2</v>
      </c>
      <c r="Y4231">
        <v>0</v>
      </c>
      <c r="AA4231">
        <v>1</v>
      </c>
      <c r="AB4231">
        <v>8</v>
      </c>
      <c r="AC4231">
        <v>3</v>
      </c>
      <c r="AD4231">
        <v>0</v>
      </c>
      <c r="AE4231">
        <v>9</v>
      </c>
      <c r="AF4231" t="s">
        <v>138</v>
      </c>
      <c r="AG4231">
        <v>0</v>
      </c>
      <c r="AH4231">
        <v>3</v>
      </c>
      <c r="AI4231">
        <v>2</v>
      </c>
      <c r="AJ4231">
        <v>0</v>
      </c>
      <c r="AK4231" t="s">
        <v>1342</v>
      </c>
      <c r="AL4231">
        <v>39.193747000000002</v>
      </c>
      <c r="AM4231" t="s">
        <v>1343</v>
      </c>
      <c r="AN4231">
        <v>-121.01837399999999</v>
      </c>
      <c r="AO4231">
        <v>25</v>
      </c>
      <c r="AP4231">
        <v>4300</v>
      </c>
      <c r="AQ4231" t="s">
        <v>131</v>
      </c>
      <c r="AR4231">
        <v>34</v>
      </c>
      <c r="AS4231">
        <v>64</v>
      </c>
      <c r="AT4231">
        <v>-448</v>
      </c>
      <c r="BB4231" t="str">
        <f t="shared" si="1675"/>
        <v>1200</v>
      </c>
      <c r="BC4231">
        <v>1</v>
      </c>
      <c r="BD4231" t="str">
        <f t="shared" si="1676"/>
        <v xml:space="preserve">N52156  </v>
      </c>
      <c r="BE4231">
        <v>1</v>
      </c>
      <c r="BG4231">
        <v>0</v>
      </c>
      <c r="BH4231">
        <v>0</v>
      </c>
      <c r="BI4231">
        <v>0</v>
      </c>
      <c r="BJ4231">
        <v>4400</v>
      </c>
      <c r="BK4231">
        <v>100</v>
      </c>
      <c r="BL4231" t="s">
        <v>188</v>
      </c>
      <c r="BM4231">
        <v>1</v>
      </c>
      <c r="BN4231">
        <v>1</v>
      </c>
      <c r="BO4231">
        <v>0</v>
      </c>
      <c r="BP4231">
        <v>0</v>
      </c>
      <c r="BS4231">
        <v>0</v>
      </c>
      <c r="BT4231">
        <v>0</v>
      </c>
      <c r="BU4231">
        <v>0</v>
      </c>
      <c r="CE4231" t="str">
        <f t="shared" si="1677"/>
        <v>15:16:16.376</v>
      </c>
      <c r="CF4231">
        <v>376078656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3</v>
      </c>
      <c r="CY4231">
        <v>7</v>
      </c>
      <c r="CZ4231" t="s">
        <v>133</v>
      </c>
      <c r="DA4231">
        <v>276</v>
      </c>
      <c r="DB4231">
        <v>0</v>
      </c>
      <c r="DC4231" t="s">
        <v>402</v>
      </c>
      <c r="DD4231" t="s">
        <v>403</v>
      </c>
      <c r="DG4231">
        <v>1628468</v>
      </c>
      <c r="DI4231">
        <v>1</v>
      </c>
      <c r="DJ4231">
        <v>0</v>
      </c>
      <c r="DK4231">
        <v>1</v>
      </c>
      <c r="DL4231">
        <v>0</v>
      </c>
      <c r="DM4231">
        <v>0</v>
      </c>
      <c r="DN4231">
        <v>0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 x14ac:dyDescent="0.3">
      <c r="A4232" t="str">
        <f>"05/01/2025 15:16:17.453"</f>
        <v>05/01/2025 15:16:17.453</v>
      </c>
      <c r="C4232" t="str">
        <f t="shared" si="1672"/>
        <v>FFDFD3C0</v>
      </c>
      <c r="D4232" t="s">
        <v>140</v>
      </c>
      <c r="E4232" t="str">
        <f>"13"</f>
        <v>13</v>
      </c>
      <c r="F4232">
        <v>1019</v>
      </c>
      <c r="G4232" t="s">
        <v>141</v>
      </c>
      <c r="J4232" t="s">
        <v>142</v>
      </c>
      <c r="K4232">
        <v>0</v>
      </c>
      <c r="L4232">
        <v>3</v>
      </c>
      <c r="M4232">
        <v>0</v>
      </c>
      <c r="N4232">
        <v>2</v>
      </c>
      <c r="O4232">
        <v>0</v>
      </c>
      <c r="P4232">
        <v>1</v>
      </c>
      <c r="Q4232">
        <v>0</v>
      </c>
      <c r="R4232" t="s">
        <v>127</v>
      </c>
      <c r="S4232" t="str">
        <f t="shared" ref="S4232:T4237" si="1678">"15:16:17.000"</f>
        <v>15:16:17.000</v>
      </c>
      <c r="T4232" t="str">
        <f t="shared" si="1678"/>
        <v>15:16:17.000</v>
      </c>
      <c r="U4232" t="str">
        <f t="shared" si="1674"/>
        <v>A68FCB</v>
      </c>
      <c r="V4232">
        <v>0</v>
      </c>
      <c r="W4232">
        <v>0</v>
      </c>
      <c r="X4232">
        <v>2</v>
      </c>
      <c r="Y4232">
        <v>0</v>
      </c>
      <c r="AA4232">
        <v>1</v>
      </c>
      <c r="AB4232">
        <v>8</v>
      </c>
      <c r="AC4232">
        <v>3</v>
      </c>
      <c r="AD4232">
        <v>0</v>
      </c>
      <c r="AE4232">
        <v>9</v>
      </c>
      <c r="AF4232" t="s">
        <v>138</v>
      </c>
      <c r="AG4232">
        <v>0</v>
      </c>
      <c r="AH4232">
        <v>3</v>
      </c>
      <c r="AI4232">
        <v>2</v>
      </c>
      <c r="AJ4232">
        <v>0</v>
      </c>
      <c r="AK4232" t="s">
        <v>1344</v>
      </c>
      <c r="AL4232">
        <v>39.194046999999998</v>
      </c>
      <c r="AM4232" t="s">
        <v>1345</v>
      </c>
      <c r="AN4232">
        <v>-121.018159</v>
      </c>
      <c r="AO4232">
        <v>25</v>
      </c>
      <c r="AP4232">
        <v>4300</v>
      </c>
      <c r="AQ4232" t="s">
        <v>131</v>
      </c>
      <c r="AR4232">
        <v>34</v>
      </c>
      <c r="AS4232">
        <v>63</v>
      </c>
      <c r="AT4232">
        <v>-448</v>
      </c>
      <c r="BB4232" t="str">
        <f t="shared" si="1675"/>
        <v>1200</v>
      </c>
      <c r="BC4232">
        <v>1</v>
      </c>
      <c r="BD4232" t="str">
        <f t="shared" si="1676"/>
        <v xml:space="preserve">N52156  </v>
      </c>
      <c r="BE4232">
        <v>1</v>
      </c>
      <c r="BG4232">
        <v>0</v>
      </c>
      <c r="BH4232">
        <v>0</v>
      </c>
      <c r="BI4232">
        <v>0</v>
      </c>
      <c r="BJ4232">
        <v>4400</v>
      </c>
      <c r="BK4232">
        <v>100</v>
      </c>
      <c r="BL4232" t="s">
        <v>188</v>
      </c>
      <c r="BM4232">
        <v>1</v>
      </c>
      <c r="BN4232">
        <v>1</v>
      </c>
      <c r="BO4232">
        <v>0</v>
      </c>
      <c r="BP4232">
        <v>0</v>
      </c>
      <c r="BS4232">
        <v>0</v>
      </c>
      <c r="BT4232">
        <v>0</v>
      </c>
      <c r="BU4232">
        <v>0</v>
      </c>
      <c r="CE4232" t="str">
        <f t="shared" ref="CE4232:CE4237" si="1679">"15:16:17.260"</f>
        <v>15:16:17.260</v>
      </c>
      <c r="CF4232">
        <v>260248218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3</v>
      </c>
      <c r="CY4232">
        <v>7</v>
      </c>
      <c r="CZ4232" t="s">
        <v>133</v>
      </c>
      <c r="DA4232">
        <v>275</v>
      </c>
      <c r="DB4232">
        <v>0</v>
      </c>
      <c r="DC4232" t="s">
        <v>134</v>
      </c>
      <c r="DD4232" t="s">
        <v>135</v>
      </c>
      <c r="DG4232">
        <v>3323193</v>
      </c>
      <c r="DI4232">
        <v>1</v>
      </c>
      <c r="DJ4232">
        <v>0</v>
      </c>
      <c r="DK4232">
        <v>0</v>
      </c>
      <c r="DL4232">
        <v>0</v>
      </c>
      <c r="DM4232">
        <v>0</v>
      </c>
      <c r="DN4232">
        <v>0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 x14ac:dyDescent="0.3">
      <c r="A4233" t="str">
        <f>"05/01/2025 15:16:17.455"</f>
        <v>05/01/2025 15:16:17.455</v>
      </c>
      <c r="C4233" t="str">
        <f t="shared" si="1672"/>
        <v>FFDFD3C0</v>
      </c>
      <c r="D4233" t="s">
        <v>124</v>
      </c>
      <c r="E4233" t="str">
        <f>"06"</f>
        <v>06</v>
      </c>
      <c r="F4233">
        <v>2006</v>
      </c>
      <c r="G4233" t="s">
        <v>125</v>
      </c>
      <c r="J4233" t="s">
        <v>126</v>
      </c>
      <c r="K4233">
        <v>0</v>
      </c>
      <c r="L4233">
        <v>3</v>
      </c>
      <c r="M4233">
        <v>0</v>
      </c>
      <c r="N4233">
        <v>2</v>
      </c>
      <c r="O4233">
        <v>0</v>
      </c>
      <c r="P4233">
        <v>1</v>
      </c>
      <c r="Q4233">
        <v>0</v>
      </c>
      <c r="R4233" t="s">
        <v>127</v>
      </c>
      <c r="S4233" t="str">
        <f t="shared" si="1678"/>
        <v>15:16:17.000</v>
      </c>
      <c r="T4233" t="str">
        <f t="shared" si="1678"/>
        <v>15:16:17.000</v>
      </c>
      <c r="U4233" t="str">
        <f t="shared" si="1674"/>
        <v>A68FCB</v>
      </c>
      <c r="V4233">
        <v>0</v>
      </c>
      <c r="W4233">
        <v>0</v>
      </c>
      <c r="X4233">
        <v>2</v>
      </c>
      <c r="Y4233">
        <v>0</v>
      </c>
      <c r="AA4233">
        <v>1</v>
      </c>
      <c r="AB4233">
        <v>8</v>
      </c>
      <c r="AC4233">
        <v>3</v>
      </c>
      <c r="AD4233">
        <v>0</v>
      </c>
      <c r="AE4233">
        <v>9</v>
      </c>
      <c r="AF4233" t="s">
        <v>138</v>
      </c>
      <c r="AG4233">
        <v>0</v>
      </c>
      <c r="AH4233">
        <v>3</v>
      </c>
      <c r="AI4233">
        <v>2</v>
      </c>
      <c r="AJ4233">
        <v>0</v>
      </c>
      <c r="AK4233" t="s">
        <v>1344</v>
      </c>
      <c r="AL4233">
        <v>39.194046999999998</v>
      </c>
      <c r="AM4233" t="s">
        <v>1345</v>
      </c>
      <c r="AN4233">
        <v>-121.018159</v>
      </c>
      <c r="AO4233">
        <v>25</v>
      </c>
      <c r="AP4233">
        <v>4300</v>
      </c>
      <c r="AQ4233" t="s">
        <v>131</v>
      </c>
      <c r="AR4233">
        <v>34</v>
      </c>
      <c r="AS4233">
        <v>63</v>
      </c>
      <c r="AT4233">
        <v>-448</v>
      </c>
      <c r="BB4233" t="str">
        <f t="shared" si="1675"/>
        <v>1200</v>
      </c>
      <c r="BC4233">
        <v>1</v>
      </c>
      <c r="BD4233" t="str">
        <f t="shared" si="1676"/>
        <v xml:space="preserve">N52156  </v>
      </c>
      <c r="BE4233">
        <v>1</v>
      </c>
      <c r="BG4233">
        <v>0</v>
      </c>
      <c r="BH4233">
        <v>0</v>
      </c>
      <c r="BI4233">
        <v>0</v>
      </c>
      <c r="BJ4233">
        <v>4400</v>
      </c>
      <c r="BK4233">
        <v>100</v>
      </c>
      <c r="BL4233" t="s">
        <v>188</v>
      </c>
      <c r="BM4233">
        <v>1</v>
      </c>
      <c r="BN4233">
        <v>1</v>
      </c>
      <c r="BO4233">
        <v>0</v>
      </c>
      <c r="BP4233">
        <v>0</v>
      </c>
      <c r="BS4233">
        <v>0</v>
      </c>
      <c r="BT4233">
        <v>0</v>
      </c>
      <c r="BU4233">
        <v>0</v>
      </c>
      <c r="CE4233" t="str">
        <f t="shared" si="1679"/>
        <v>15:16:17.260</v>
      </c>
      <c r="CF4233">
        <v>260248218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3</v>
      </c>
      <c r="CY4233">
        <v>7</v>
      </c>
      <c r="CZ4233" t="s">
        <v>133</v>
      </c>
      <c r="DA4233">
        <v>275</v>
      </c>
      <c r="DB4233">
        <v>0</v>
      </c>
      <c r="DC4233" t="s">
        <v>134</v>
      </c>
      <c r="DD4233" t="s">
        <v>135</v>
      </c>
      <c r="DG4233">
        <v>3323193</v>
      </c>
      <c r="DI4233">
        <v>1</v>
      </c>
      <c r="DJ4233">
        <v>0</v>
      </c>
      <c r="DK4233">
        <v>1</v>
      </c>
      <c r="DL4233">
        <v>0</v>
      </c>
      <c r="DM4233">
        <v>0</v>
      </c>
      <c r="DN4233">
        <v>0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 x14ac:dyDescent="0.3">
      <c r="A4234" t="str">
        <f>"05/01/2025 15:16:17.456"</f>
        <v>05/01/2025 15:16:17.456</v>
      </c>
      <c r="C4234" t="str">
        <f t="shared" si="1672"/>
        <v>FFDFD3C0</v>
      </c>
      <c r="D4234" t="s">
        <v>143</v>
      </c>
      <c r="E4234" t="str">
        <f>"05"</f>
        <v>05</v>
      </c>
      <c r="H4234">
        <v>172</v>
      </c>
      <c r="I4234" t="s">
        <v>141</v>
      </c>
      <c r="J4234" t="s">
        <v>144</v>
      </c>
      <c r="K4234">
        <v>0</v>
      </c>
      <c r="L4234">
        <v>3</v>
      </c>
      <c r="M4234">
        <v>0</v>
      </c>
      <c r="N4234">
        <v>2</v>
      </c>
      <c r="O4234">
        <v>0</v>
      </c>
      <c r="P4234">
        <v>1</v>
      </c>
      <c r="Q4234">
        <v>0</v>
      </c>
      <c r="R4234" t="s">
        <v>127</v>
      </c>
      <c r="S4234" t="str">
        <f t="shared" si="1678"/>
        <v>15:16:17.000</v>
      </c>
      <c r="T4234" t="str">
        <f t="shared" si="1678"/>
        <v>15:16:17.000</v>
      </c>
      <c r="U4234" t="str">
        <f t="shared" si="1674"/>
        <v>A68FCB</v>
      </c>
      <c r="V4234">
        <v>0</v>
      </c>
      <c r="W4234">
        <v>0</v>
      </c>
      <c r="X4234">
        <v>2</v>
      </c>
      <c r="Y4234">
        <v>0</v>
      </c>
      <c r="AA4234">
        <v>1</v>
      </c>
      <c r="AB4234">
        <v>8</v>
      </c>
      <c r="AC4234">
        <v>3</v>
      </c>
      <c r="AD4234">
        <v>0</v>
      </c>
      <c r="AE4234">
        <v>9</v>
      </c>
      <c r="AF4234" t="s">
        <v>138</v>
      </c>
      <c r="AG4234">
        <v>0</v>
      </c>
      <c r="AH4234">
        <v>3</v>
      </c>
      <c r="AI4234">
        <v>2</v>
      </c>
      <c r="AJ4234">
        <v>0</v>
      </c>
      <c r="AK4234" t="s">
        <v>1344</v>
      </c>
      <c r="AL4234">
        <v>39.194046999999998</v>
      </c>
      <c r="AM4234" t="s">
        <v>1345</v>
      </c>
      <c r="AN4234">
        <v>-121.018159</v>
      </c>
      <c r="AO4234">
        <v>25</v>
      </c>
      <c r="AP4234">
        <v>4300</v>
      </c>
      <c r="AQ4234" t="s">
        <v>131</v>
      </c>
      <c r="AR4234">
        <v>34</v>
      </c>
      <c r="AS4234">
        <v>63</v>
      </c>
      <c r="AT4234">
        <v>-448</v>
      </c>
      <c r="BB4234" t="str">
        <f t="shared" si="1675"/>
        <v>1200</v>
      </c>
      <c r="BC4234">
        <v>1</v>
      </c>
      <c r="BD4234" t="str">
        <f t="shared" si="1676"/>
        <v xml:space="preserve">N52156  </v>
      </c>
      <c r="BE4234">
        <v>1</v>
      </c>
      <c r="BG4234">
        <v>0</v>
      </c>
      <c r="BH4234">
        <v>0</v>
      </c>
      <c r="BI4234">
        <v>0</v>
      </c>
      <c r="BJ4234">
        <v>4400</v>
      </c>
      <c r="BK4234">
        <v>100</v>
      </c>
      <c r="BL4234" t="s">
        <v>188</v>
      </c>
      <c r="BM4234">
        <v>1</v>
      </c>
      <c r="BN4234">
        <v>1</v>
      </c>
      <c r="BO4234">
        <v>0</v>
      </c>
      <c r="BP4234">
        <v>0</v>
      </c>
      <c r="BS4234">
        <v>0</v>
      </c>
      <c r="BT4234">
        <v>0</v>
      </c>
      <c r="BU4234">
        <v>0</v>
      </c>
      <c r="CE4234" t="str">
        <f t="shared" si="1679"/>
        <v>15:16:17.260</v>
      </c>
      <c r="CF4234">
        <v>260248218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3</v>
      </c>
      <c r="CY4234">
        <v>7</v>
      </c>
      <c r="CZ4234" t="s">
        <v>133</v>
      </c>
      <c r="DA4234">
        <v>275</v>
      </c>
      <c r="DB4234">
        <v>0</v>
      </c>
      <c r="DC4234" t="s">
        <v>134</v>
      </c>
      <c r="DD4234" t="s">
        <v>135</v>
      </c>
      <c r="DG4234">
        <v>3323193</v>
      </c>
      <c r="DI4234">
        <v>1</v>
      </c>
      <c r="DJ4234">
        <v>0</v>
      </c>
      <c r="DK4234">
        <v>1</v>
      </c>
      <c r="DL4234">
        <v>0</v>
      </c>
      <c r="DM4234">
        <v>0</v>
      </c>
      <c r="DN4234">
        <v>0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 x14ac:dyDescent="0.3">
      <c r="A4235" t="str">
        <f>"05/01/2025 15:16:17.470"</f>
        <v>05/01/2025 15:16:17.470</v>
      </c>
      <c r="C4235" t="str">
        <f t="shared" si="1672"/>
        <v>FFDFD3C0</v>
      </c>
      <c r="D4235" t="s">
        <v>145</v>
      </c>
      <c r="E4235" t="str">
        <f>"09"</f>
        <v>09</v>
      </c>
      <c r="H4235">
        <v>51</v>
      </c>
      <c r="I4235" t="s">
        <v>147</v>
      </c>
      <c r="J4235" t="s">
        <v>138</v>
      </c>
      <c r="K4235">
        <v>0</v>
      </c>
      <c r="L4235">
        <v>3</v>
      </c>
      <c r="M4235">
        <v>0</v>
      </c>
      <c r="N4235">
        <v>2</v>
      </c>
      <c r="O4235">
        <v>0</v>
      </c>
      <c r="P4235">
        <v>1</v>
      </c>
      <c r="Q4235">
        <v>0</v>
      </c>
      <c r="R4235" t="s">
        <v>127</v>
      </c>
      <c r="S4235" t="str">
        <f t="shared" si="1678"/>
        <v>15:16:17.000</v>
      </c>
      <c r="T4235" t="str">
        <f t="shared" si="1678"/>
        <v>15:16:17.000</v>
      </c>
      <c r="U4235" t="str">
        <f t="shared" si="1674"/>
        <v>A68FCB</v>
      </c>
      <c r="V4235">
        <v>0</v>
      </c>
      <c r="W4235">
        <v>0</v>
      </c>
      <c r="X4235">
        <v>2</v>
      </c>
      <c r="Y4235">
        <v>0</v>
      </c>
      <c r="AA4235">
        <v>1</v>
      </c>
      <c r="AB4235">
        <v>8</v>
      </c>
      <c r="AC4235">
        <v>3</v>
      </c>
      <c r="AD4235">
        <v>0</v>
      </c>
      <c r="AE4235">
        <v>9</v>
      </c>
      <c r="AF4235" t="s">
        <v>138</v>
      </c>
      <c r="AG4235">
        <v>0</v>
      </c>
      <c r="AH4235">
        <v>3</v>
      </c>
      <c r="AI4235">
        <v>2</v>
      </c>
      <c r="AJ4235">
        <v>0</v>
      </c>
      <c r="AK4235" t="s">
        <v>1344</v>
      </c>
      <c r="AL4235">
        <v>39.194046999999998</v>
      </c>
      <c r="AM4235" t="s">
        <v>1345</v>
      </c>
      <c r="AN4235">
        <v>-121.018159</v>
      </c>
      <c r="AO4235">
        <v>25</v>
      </c>
      <c r="AP4235">
        <v>4300</v>
      </c>
      <c r="AQ4235" t="s">
        <v>131</v>
      </c>
      <c r="AR4235">
        <v>34</v>
      </c>
      <c r="AS4235">
        <v>63</v>
      </c>
      <c r="AT4235">
        <v>-448</v>
      </c>
      <c r="BB4235" t="str">
        <f t="shared" si="1675"/>
        <v>1200</v>
      </c>
      <c r="BC4235">
        <v>1</v>
      </c>
      <c r="BD4235" t="str">
        <f t="shared" si="1676"/>
        <v xml:space="preserve">N52156  </v>
      </c>
      <c r="BE4235">
        <v>1</v>
      </c>
      <c r="BG4235">
        <v>0</v>
      </c>
      <c r="BH4235">
        <v>0</v>
      </c>
      <c r="BI4235">
        <v>0</v>
      </c>
      <c r="BJ4235">
        <v>4400</v>
      </c>
      <c r="BK4235">
        <v>100</v>
      </c>
      <c r="BL4235" t="s">
        <v>188</v>
      </c>
      <c r="BM4235">
        <v>1</v>
      </c>
      <c r="BN4235">
        <v>1</v>
      </c>
      <c r="BO4235">
        <v>0</v>
      </c>
      <c r="BP4235">
        <v>0</v>
      </c>
      <c r="BS4235">
        <v>0</v>
      </c>
      <c r="BT4235">
        <v>0</v>
      </c>
      <c r="BU4235">
        <v>0</v>
      </c>
      <c r="CE4235" t="str">
        <f t="shared" si="1679"/>
        <v>15:16:17.260</v>
      </c>
      <c r="CF4235">
        <v>260248218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3</v>
      </c>
      <c r="CY4235">
        <v>7</v>
      </c>
      <c r="CZ4235" t="s">
        <v>133</v>
      </c>
      <c r="DA4235">
        <v>275</v>
      </c>
      <c r="DB4235">
        <v>0</v>
      </c>
      <c r="DC4235" t="s">
        <v>134</v>
      </c>
      <c r="DD4235" t="s">
        <v>135</v>
      </c>
      <c r="DG4235">
        <v>3323193</v>
      </c>
      <c r="DI4235">
        <v>1</v>
      </c>
      <c r="DJ4235">
        <v>0</v>
      </c>
      <c r="DK4235">
        <v>1</v>
      </c>
      <c r="DL4235">
        <v>0</v>
      </c>
      <c r="DM4235">
        <v>0</v>
      </c>
      <c r="DN4235">
        <v>0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 x14ac:dyDescent="0.3">
      <c r="A4236" t="str">
        <f>"05/01/2025 15:16:17.474"</f>
        <v>05/01/2025 15:16:17.474</v>
      </c>
      <c r="C4236" t="str">
        <f t="shared" si="1672"/>
        <v>FFDFD3C0</v>
      </c>
      <c r="D4236" t="s">
        <v>145</v>
      </c>
      <c r="E4236" t="str">
        <f>"05"</f>
        <v>05</v>
      </c>
      <c r="H4236">
        <v>47</v>
      </c>
      <c r="I4236" t="s">
        <v>146</v>
      </c>
      <c r="J4236" t="s">
        <v>138</v>
      </c>
      <c r="K4236">
        <v>0</v>
      </c>
      <c r="L4236">
        <v>3</v>
      </c>
      <c r="M4236">
        <v>0</v>
      </c>
      <c r="N4236">
        <v>2</v>
      </c>
      <c r="O4236">
        <v>0</v>
      </c>
      <c r="P4236">
        <v>1</v>
      </c>
      <c r="Q4236">
        <v>0</v>
      </c>
      <c r="R4236" t="s">
        <v>127</v>
      </c>
      <c r="S4236" t="str">
        <f t="shared" si="1678"/>
        <v>15:16:17.000</v>
      </c>
      <c r="T4236" t="str">
        <f t="shared" si="1678"/>
        <v>15:16:17.000</v>
      </c>
      <c r="U4236" t="str">
        <f t="shared" si="1674"/>
        <v>A68FCB</v>
      </c>
      <c r="V4236">
        <v>0</v>
      </c>
      <c r="W4236">
        <v>0</v>
      </c>
      <c r="X4236">
        <v>2</v>
      </c>
      <c r="Y4236">
        <v>0</v>
      </c>
      <c r="AA4236">
        <v>1</v>
      </c>
      <c r="AB4236">
        <v>8</v>
      </c>
      <c r="AC4236">
        <v>3</v>
      </c>
      <c r="AD4236">
        <v>0</v>
      </c>
      <c r="AE4236">
        <v>9</v>
      </c>
      <c r="AF4236" t="s">
        <v>138</v>
      </c>
      <c r="AG4236">
        <v>0</v>
      </c>
      <c r="AH4236">
        <v>3</v>
      </c>
      <c r="AI4236">
        <v>2</v>
      </c>
      <c r="AJ4236">
        <v>0</v>
      </c>
      <c r="AK4236" t="s">
        <v>1344</v>
      </c>
      <c r="AL4236">
        <v>39.194046999999998</v>
      </c>
      <c r="AM4236" t="s">
        <v>1345</v>
      </c>
      <c r="AN4236">
        <v>-121.018159</v>
      </c>
      <c r="AO4236">
        <v>25</v>
      </c>
      <c r="AP4236">
        <v>4300</v>
      </c>
      <c r="AQ4236" t="s">
        <v>131</v>
      </c>
      <c r="AR4236">
        <v>34</v>
      </c>
      <c r="AS4236">
        <v>63</v>
      </c>
      <c r="AT4236">
        <v>-448</v>
      </c>
      <c r="BB4236" t="str">
        <f t="shared" si="1675"/>
        <v>1200</v>
      </c>
      <c r="BC4236">
        <v>1</v>
      </c>
      <c r="BD4236" t="str">
        <f t="shared" si="1676"/>
        <v xml:space="preserve">N52156  </v>
      </c>
      <c r="BE4236">
        <v>1</v>
      </c>
      <c r="BG4236">
        <v>0</v>
      </c>
      <c r="BH4236">
        <v>0</v>
      </c>
      <c r="BI4236">
        <v>0</v>
      </c>
      <c r="BJ4236">
        <v>4400</v>
      </c>
      <c r="BK4236">
        <v>100</v>
      </c>
      <c r="BL4236" t="s">
        <v>188</v>
      </c>
      <c r="BM4236">
        <v>1</v>
      </c>
      <c r="BN4236">
        <v>1</v>
      </c>
      <c r="BO4236">
        <v>0</v>
      </c>
      <c r="BP4236">
        <v>0</v>
      </c>
      <c r="BS4236">
        <v>0</v>
      </c>
      <c r="BT4236">
        <v>0</v>
      </c>
      <c r="BU4236">
        <v>0</v>
      </c>
      <c r="CE4236" t="str">
        <f t="shared" si="1679"/>
        <v>15:16:17.260</v>
      </c>
      <c r="CF4236">
        <v>260248218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3</v>
      </c>
      <c r="CY4236">
        <v>7</v>
      </c>
      <c r="CZ4236" t="s">
        <v>133</v>
      </c>
      <c r="DA4236">
        <v>275</v>
      </c>
      <c r="DB4236">
        <v>0</v>
      </c>
      <c r="DC4236" t="s">
        <v>134</v>
      </c>
      <c r="DD4236" t="s">
        <v>135</v>
      </c>
      <c r="DG4236">
        <v>3323193</v>
      </c>
      <c r="DI4236">
        <v>1</v>
      </c>
      <c r="DJ4236">
        <v>0</v>
      </c>
      <c r="DK4236">
        <v>1</v>
      </c>
      <c r="DL4236">
        <v>0</v>
      </c>
      <c r="DM4236">
        <v>0</v>
      </c>
      <c r="DN4236">
        <v>0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 x14ac:dyDescent="0.3">
      <c r="A4237" t="str">
        <f>"05/01/2025 15:16:17.484"</f>
        <v>05/01/2025 15:16:17.484</v>
      </c>
      <c r="C4237" t="str">
        <f t="shared" si="1672"/>
        <v>FFDFD3C0</v>
      </c>
      <c r="D4237" t="s">
        <v>136</v>
      </c>
      <c r="E4237" t="str">
        <f>"20"</f>
        <v>20</v>
      </c>
      <c r="H4237">
        <v>400</v>
      </c>
      <c r="I4237" t="s">
        <v>137</v>
      </c>
      <c r="J4237" t="s">
        <v>138</v>
      </c>
      <c r="K4237">
        <v>0</v>
      </c>
      <c r="L4237">
        <v>3</v>
      </c>
      <c r="M4237">
        <v>0</v>
      </c>
      <c r="N4237">
        <v>2</v>
      </c>
      <c r="O4237">
        <v>0</v>
      </c>
      <c r="P4237">
        <v>1</v>
      </c>
      <c r="Q4237">
        <v>0</v>
      </c>
      <c r="R4237" t="s">
        <v>127</v>
      </c>
      <c r="S4237" t="str">
        <f t="shared" si="1678"/>
        <v>15:16:17.000</v>
      </c>
      <c r="T4237" t="str">
        <f t="shared" si="1678"/>
        <v>15:16:17.000</v>
      </c>
      <c r="U4237" t="str">
        <f t="shared" si="1674"/>
        <v>A68FCB</v>
      </c>
      <c r="V4237">
        <v>0</v>
      </c>
      <c r="W4237">
        <v>0</v>
      </c>
      <c r="X4237">
        <v>2</v>
      </c>
      <c r="Y4237">
        <v>0</v>
      </c>
      <c r="AA4237">
        <v>1</v>
      </c>
      <c r="AB4237">
        <v>8</v>
      </c>
      <c r="AC4237">
        <v>3</v>
      </c>
      <c r="AD4237">
        <v>0</v>
      </c>
      <c r="AE4237">
        <v>9</v>
      </c>
      <c r="AF4237" t="s">
        <v>138</v>
      </c>
      <c r="AG4237">
        <v>0</v>
      </c>
      <c r="AH4237">
        <v>3</v>
      </c>
      <c r="AI4237">
        <v>2</v>
      </c>
      <c r="AJ4237">
        <v>0</v>
      </c>
      <c r="AK4237" t="s">
        <v>1344</v>
      </c>
      <c r="AL4237">
        <v>39.194046999999998</v>
      </c>
      <c r="AM4237" t="s">
        <v>1345</v>
      </c>
      <c r="AN4237">
        <v>-121.018159</v>
      </c>
      <c r="AO4237">
        <v>25</v>
      </c>
      <c r="AP4237">
        <v>4300</v>
      </c>
      <c r="AQ4237" t="s">
        <v>131</v>
      </c>
      <c r="AR4237">
        <v>34</v>
      </c>
      <c r="AS4237">
        <v>63</v>
      </c>
      <c r="AT4237">
        <v>-448</v>
      </c>
      <c r="BB4237" t="str">
        <f t="shared" si="1675"/>
        <v>1200</v>
      </c>
      <c r="BC4237">
        <v>1</v>
      </c>
      <c r="BD4237" t="str">
        <f t="shared" si="1676"/>
        <v xml:space="preserve">N52156  </v>
      </c>
      <c r="BE4237">
        <v>1</v>
      </c>
      <c r="BG4237">
        <v>0</v>
      </c>
      <c r="BH4237">
        <v>0</v>
      </c>
      <c r="BI4237">
        <v>0</v>
      </c>
      <c r="BJ4237">
        <v>4400</v>
      </c>
      <c r="BK4237">
        <v>100</v>
      </c>
      <c r="BL4237" t="s">
        <v>188</v>
      </c>
      <c r="BM4237">
        <v>1</v>
      </c>
      <c r="BN4237">
        <v>1</v>
      </c>
      <c r="BO4237">
        <v>0</v>
      </c>
      <c r="BP4237">
        <v>0</v>
      </c>
      <c r="BS4237">
        <v>0</v>
      </c>
      <c r="BT4237">
        <v>0</v>
      </c>
      <c r="BU4237">
        <v>0</v>
      </c>
      <c r="CE4237" t="str">
        <f t="shared" si="1679"/>
        <v>15:16:17.260</v>
      </c>
      <c r="CF4237">
        <v>260248218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3</v>
      </c>
      <c r="CY4237">
        <v>7</v>
      </c>
      <c r="CZ4237" t="s">
        <v>133</v>
      </c>
      <c r="DA4237">
        <v>275</v>
      </c>
      <c r="DB4237">
        <v>0</v>
      </c>
      <c r="DC4237" t="s">
        <v>134</v>
      </c>
      <c r="DD4237" t="s">
        <v>135</v>
      </c>
      <c r="DG4237">
        <v>3323193</v>
      </c>
      <c r="DI4237">
        <v>1</v>
      </c>
      <c r="DJ4237">
        <v>0</v>
      </c>
      <c r="DK4237">
        <v>1</v>
      </c>
      <c r="DL4237">
        <v>0</v>
      </c>
      <c r="DM4237">
        <v>0</v>
      </c>
      <c r="DN4237">
        <v>0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 x14ac:dyDescent="0.3">
      <c r="A4238" t="str">
        <f>"05/01/2025 15:16:18.636"</f>
        <v>05/01/2025 15:16:18.636</v>
      </c>
      <c r="C4238" t="str">
        <f t="shared" si="1672"/>
        <v>FFDFD3C0</v>
      </c>
      <c r="D4238" t="s">
        <v>136</v>
      </c>
      <c r="E4238" t="str">
        <f>"20"</f>
        <v>20</v>
      </c>
      <c r="H4238">
        <v>400</v>
      </c>
      <c r="I4238" t="s">
        <v>137</v>
      </c>
      <c r="J4238" t="s">
        <v>138</v>
      </c>
      <c r="K4238">
        <v>0</v>
      </c>
      <c r="L4238">
        <v>3</v>
      </c>
      <c r="M4238">
        <v>0</v>
      </c>
      <c r="N4238">
        <v>2</v>
      </c>
      <c r="O4238">
        <v>0</v>
      </c>
      <c r="P4238">
        <v>1</v>
      </c>
      <c r="Q4238">
        <v>0</v>
      </c>
      <c r="R4238" t="s">
        <v>127</v>
      </c>
      <c r="S4238" t="str">
        <f t="shared" ref="S4238:T4243" si="1680">"15:16:18.000"</f>
        <v>15:16:18.000</v>
      </c>
      <c r="T4238" t="str">
        <f t="shared" si="1680"/>
        <v>15:16:18.000</v>
      </c>
      <c r="U4238" t="str">
        <f t="shared" si="1674"/>
        <v>A68FCB</v>
      </c>
      <c r="V4238">
        <v>0</v>
      </c>
      <c r="W4238">
        <v>0</v>
      </c>
      <c r="X4238">
        <v>2</v>
      </c>
      <c r="Y4238">
        <v>0</v>
      </c>
      <c r="AA4238">
        <v>1</v>
      </c>
      <c r="AB4238">
        <v>8</v>
      </c>
      <c r="AC4238">
        <v>3</v>
      </c>
      <c r="AD4238">
        <v>0</v>
      </c>
      <c r="AE4238">
        <v>9</v>
      </c>
      <c r="AF4238" t="s">
        <v>138</v>
      </c>
      <c r="AG4238">
        <v>0</v>
      </c>
      <c r="AH4238">
        <v>3</v>
      </c>
      <c r="AI4238">
        <v>2</v>
      </c>
      <c r="AJ4238">
        <v>0</v>
      </c>
      <c r="AK4238" t="s">
        <v>1346</v>
      </c>
      <c r="AL4238">
        <v>39.194347999999998</v>
      </c>
      <c r="AM4238" t="s">
        <v>1347</v>
      </c>
      <c r="AN4238">
        <v>-121.017945</v>
      </c>
      <c r="AO4238">
        <v>25</v>
      </c>
      <c r="AP4238">
        <v>4300</v>
      </c>
      <c r="AQ4238" t="s">
        <v>131</v>
      </c>
      <c r="AR4238">
        <v>34</v>
      </c>
      <c r="AS4238">
        <v>63</v>
      </c>
      <c r="AT4238">
        <v>-512</v>
      </c>
      <c r="BB4238" t="str">
        <f t="shared" si="1675"/>
        <v>1200</v>
      </c>
      <c r="BC4238">
        <v>1</v>
      </c>
      <c r="BD4238" t="str">
        <f t="shared" si="1676"/>
        <v xml:space="preserve">N52156  </v>
      </c>
      <c r="BE4238">
        <v>1</v>
      </c>
      <c r="BG4238">
        <v>0</v>
      </c>
      <c r="BH4238">
        <v>0</v>
      </c>
      <c r="BI4238">
        <v>0</v>
      </c>
      <c r="BJ4238">
        <v>4375</v>
      </c>
      <c r="BK4238">
        <v>75</v>
      </c>
      <c r="BL4238" t="s">
        <v>188</v>
      </c>
      <c r="BM4238">
        <v>1</v>
      </c>
      <c r="BN4238">
        <v>1</v>
      </c>
      <c r="BO4238">
        <v>0</v>
      </c>
      <c r="BP4238">
        <v>0</v>
      </c>
      <c r="BS4238">
        <v>0</v>
      </c>
      <c r="BT4238">
        <v>0</v>
      </c>
      <c r="BU4238">
        <v>0</v>
      </c>
      <c r="CE4238" t="str">
        <f t="shared" ref="CE4238:CE4243" si="1681">"15:16:18.427"</f>
        <v>15:16:18.427</v>
      </c>
      <c r="CF4238">
        <v>427248985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3</v>
      </c>
      <c r="CY4238">
        <v>7</v>
      </c>
      <c r="CZ4238" t="s">
        <v>133</v>
      </c>
      <c r="DA4238">
        <v>275</v>
      </c>
      <c r="DB4238">
        <v>0</v>
      </c>
      <c r="DC4238" t="s">
        <v>134</v>
      </c>
      <c r="DD4238" t="s">
        <v>135</v>
      </c>
      <c r="DG4238">
        <v>3323197</v>
      </c>
      <c r="DI4238">
        <v>1</v>
      </c>
      <c r="DJ4238">
        <v>0</v>
      </c>
      <c r="DK4238">
        <v>0</v>
      </c>
      <c r="DL4238">
        <v>0</v>
      </c>
      <c r="DM4238">
        <v>0</v>
      </c>
      <c r="DN4238">
        <v>0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 x14ac:dyDescent="0.3">
      <c r="A4239" t="str">
        <f>"05/01/2025 15:16:18.656"</f>
        <v>05/01/2025 15:16:18.656</v>
      </c>
      <c r="C4239" t="str">
        <f t="shared" si="1672"/>
        <v>FFDFD3C0</v>
      </c>
      <c r="D4239" t="s">
        <v>140</v>
      </c>
      <c r="E4239" t="str">
        <f>"13"</f>
        <v>13</v>
      </c>
      <c r="F4239">
        <v>1019</v>
      </c>
      <c r="G4239" t="s">
        <v>141</v>
      </c>
      <c r="J4239" t="s">
        <v>142</v>
      </c>
      <c r="K4239">
        <v>0</v>
      </c>
      <c r="L4239">
        <v>3</v>
      </c>
      <c r="M4239">
        <v>0</v>
      </c>
      <c r="N4239">
        <v>2</v>
      </c>
      <c r="O4239">
        <v>0</v>
      </c>
      <c r="P4239">
        <v>1</v>
      </c>
      <c r="Q4239">
        <v>0</v>
      </c>
      <c r="R4239" t="s">
        <v>127</v>
      </c>
      <c r="S4239" t="str">
        <f t="shared" si="1680"/>
        <v>15:16:18.000</v>
      </c>
      <c r="T4239" t="str">
        <f t="shared" si="1680"/>
        <v>15:16:18.000</v>
      </c>
      <c r="U4239" t="str">
        <f t="shared" si="1674"/>
        <v>A68FCB</v>
      </c>
      <c r="V4239">
        <v>0</v>
      </c>
      <c r="W4239">
        <v>0</v>
      </c>
      <c r="X4239">
        <v>2</v>
      </c>
      <c r="Y4239">
        <v>0</v>
      </c>
      <c r="AA4239">
        <v>1</v>
      </c>
      <c r="AB4239">
        <v>8</v>
      </c>
      <c r="AC4239">
        <v>3</v>
      </c>
      <c r="AD4239">
        <v>0</v>
      </c>
      <c r="AE4239">
        <v>9</v>
      </c>
      <c r="AF4239" t="s">
        <v>138</v>
      </c>
      <c r="AG4239">
        <v>0</v>
      </c>
      <c r="AH4239">
        <v>3</v>
      </c>
      <c r="AI4239">
        <v>2</v>
      </c>
      <c r="AJ4239">
        <v>0</v>
      </c>
      <c r="AK4239" t="s">
        <v>1346</v>
      </c>
      <c r="AL4239">
        <v>39.194347999999998</v>
      </c>
      <c r="AM4239" t="s">
        <v>1347</v>
      </c>
      <c r="AN4239">
        <v>-121.017945</v>
      </c>
      <c r="AO4239">
        <v>25</v>
      </c>
      <c r="AP4239">
        <v>4300</v>
      </c>
      <c r="AQ4239" t="s">
        <v>131</v>
      </c>
      <c r="AR4239">
        <v>34</v>
      </c>
      <c r="AS4239">
        <v>63</v>
      </c>
      <c r="AT4239">
        <v>-512</v>
      </c>
      <c r="BB4239" t="str">
        <f t="shared" si="1675"/>
        <v>1200</v>
      </c>
      <c r="BC4239">
        <v>1</v>
      </c>
      <c r="BD4239" t="str">
        <f t="shared" si="1676"/>
        <v xml:space="preserve">N52156  </v>
      </c>
      <c r="BE4239">
        <v>1</v>
      </c>
      <c r="BG4239">
        <v>0</v>
      </c>
      <c r="BH4239">
        <v>0</v>
      </c>
      <c r="BI4239">
        <v>0</v>
      </c>
      <c r="BJ4239">
        <v>4375</v>
      </c>
      <c r="BK4239">
        <v>75</v>
      </c>
      <c r="BL4239" t="s">
        <v>188</v>
      </c>
      <c r="BM4239">
        <v>1</v>
      </c>
      <c r="BN4239">
        <v>1</v>
      </c>
      <c r="BO4239">
        <v>0</v>
      </c>
      <c r="BP4239">
        <v>0</v>
      </c>
      <c r="BS4239">
        <v>0</v>
      </c>
      <c r="BT4239">
        <v>0</v>
      </c>
      <c r="BU4239">
        <v>0</v>
      </c>
      <c r="CE4239" t="str">
        <f t="shared" si="1681"/>
        <v>15:16:18.427</v>
      </c>
      <c r="CF4239">
        <v>427248985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3</v>
      </c>
      <c r="CY4239">
        <v>7</v>
      </c>
      <c r="CZ4239" t="s">
        <v>133</v>
      </c>
      <c r="DA4239">
        <v>275</v>
      </c>
      <c r="DB4239">
        <v>0</v>
      </c>
      <c r="DC4239" t="s">
        <v>134</v>
      </c>
      <c r="DD4239" t="s">
        <v>135</v>
      </c>
      <c r="DG4239">
        <v>3323197</v>
      </c>
      <c r="DI4239">
        <v>1</v>
      </c>
      <c r="DJ4239">
        <v>0</v>
      </c>
      <c r="DK4239">
        <v>1</v>
      </c>
      <c r="DL4239">
        <v>0</v>
      </c>
      <c r="DM4239">
        <v>0</v>
      </c>
      <c r="DN4239">
        <v>0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 x14ac:dyDescent="0.3">
      <c r="A4240" t="str">
        <f>"05/01/2025 15:16:18.657"</f>
        <v>05/01/2025 15:16:18.657</v>
      </c>
      <c r="C4240" t="str">
        <f t="shared" si="1672"/>
        <v>FFDFD3C0</v>
      </c>
      <c r="D4240" t="s">
        <v>124</v>
      </c>
      <c r="E4240" t="str">
        <f>"06"</f>
        <v>06</v>
      </c>
      <c r="F4240">
        <v>2006</v>
      </c>
      <c r="G4240" t="s">
        <v>125</v>
      </c>
      <c r="J4240" t="s">
        <v>126</v>
      </c>
      <c r="K4240">
        <v>0</v>
      </c>
      <c r="L4240">
        <v>3</v>
      </c>
      <c r="M4240">
        <v>0</v>
      </c>
      <c r="N4240">
        <v>2</v>
      </c>
      <c r="O4240">
        <v>0</v>
      </c>
      <c r="P4240">
        <v>1</v>
      </c>
      <c r="Q4240">
        <v>0</v>
      </c>
      <c r="R4240" t="s">
        <v>127</v>
      </c>
      <c r="S4240" t="str">
        <f t="shared" si="1680"/>
        <v>15:16:18.000</v>
      </c>
      <c r="T4240" t="str">
        <f t="shared" si="1680"/>
        <v>15:16:18.000</v>
      </c>
      <c r="U4240" t="str">
        <f t="shared" si="1674"/>
        <v>A68FCB</v>
      </c>
      <c r="V4240">
        <v>0</v>
      </c>
      <c r="W4240">
        <v>0</v>
      </c>
      <c r="X4240">
        <v>2</v>
      </c>
      <c r="Y4240">
        <v>0</v>
      </c>
      <c r="AA4240">
        <v>1</v>
      </c>
      <c r="AB4240">
        <v>8</v>
      </c>
      <c r="AC4240">
        <v>3</v>
      </c>
      <c r="AD4240">
        <v>0</v>
      </c>
      <c r="AE4240">
        <v>9</v>
      </c>
      <c r="AF4240" t="s">
        <v>138</v>
      </c>
      <c r="AG4240">
        <v>0</v>
      </c>
      <c r="AH4240">
        <v>3</v>
      </c>
      <c r="AI4240">
        <v>2</v>
      </c>
      <c r="AJ4240">
        <v>0</v>
      </c>
      <c r="AK4240" t="s">
        <v>1346</v>
      </c>
      <c r="AL4240">
        <v>39.194347999999998</v>
      </c>
      <c r="AM4240" t="s">
        <v>1347</v>
      </c>
      <c r="AN4240">
        <v>-121.017945</v>
      </c>
      <c r="AO4240">
        <v>25</v>
      </c>
      <c r="AP4240">
        <v>4300</v>
      </c>
      <c r="AQ4240" t="s">
        <v>131</v>
      </c>
      <c r="AR4240">
        <v>34</v>
      </c>
      <c r="AS4240">
        <v>63</v>
      </c>
      <c r="AT4240">
        <v>-512</v>
      </c>
      <c r="BB4240" t="str">
        <f t="shared" si="1675"/>
        <v>1200</v>
      </c>
      <c r="BC4240">
        <v>1</v>
      </c>
      <c r="BD4240" t="str">
        <f t="shared" si="1676"/>
        <v xml:space="preserve">N52156  </v>
      </c>
      <c r="BE4240">
        <v>1</v>
      </c>
      <c r="BG4240">
        <v>0</v>
      </c>
      <c r="BH4240">
        <v>0</v>
      </c>
      <c r="BI4240">
        <v>0</v>
      </c>
      <c r="BJ4240">
        <v>4375</v>
      </c>
      <c r="BK4240">
        <v>75</v>
      </c>
      <c r="BL4240" t="s">
        <v>188</v>
      </c>
      <c r="BM4240">
        <v>1</v>
      </c>
      <c r="BN4240">
        <v>1</v>
      </c>
      <c r="BO4240">
        <v>0</v>
      </c>
      <c r="BP4240">
        <v>0</v>
      </c>
      <c r="BS4240">
        <v>0</v>
      </c>
      <c r="BT4240">
        <v>0</v>
      </c>
      <c r="BU4240">
        <v>0</v>
      </c>
      <c r="CE4240" t="str">
        <f t="shared" si="1681"/>
        <v>15:16:18.427</v>
      </c>
      <c r="CF4240">
        <v>427248985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3</v>
      </c>
      <c r="CY4240">
        <v>7</v>
      </c>
      <c r="CZ4240" t="s">
        <v>133</v>
      </c>
      <c r="DA4240">
        <v>275</v>
      </c>
      <c r="DB4240">
        <v>0</v>
      </c>
      <c r="DC4240" t="s">
        <v>134</v>
      </c>
      <c r="DD4240" t="s">
        <v>135</v>
      </c>
      <c r="DG4240">
        <v>3323197</v>
      </c>
      <c r="DI4240">
        <v>1</v>
      </c>
      <c r="DJ4240">
        <v>0</v>
      </c>
      <c r="DK4240">
        <v>1</v>
      </c>
      <c r="DL4240">
        <v>0</v>
      </c>
      <c r="DM4240">
        <v>0</v>
      </c>
      <c r="DN4240">
        <v>0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 x14ac:dyDescent="0.3">
      <c r="A4241" t="str">
        <f>"05/01/2025 15:16:18.658"</f>
        <v>05/01/2025 15:16:18.658</v>
      </c>
      <c r="C4241" t="str">
        <f t="shared" si="1672"/>
        <v>FFDFD3C0</v>
      </c>
      <c r="D4241" t="s">
        <v>143</v>
      </c>
      <c r="E4241" t="str">
        <f>"05"</f>
        <v>05</v>
      </c>
      <c r="H4241">
        <v>172</v>
      </c>
      <c r="I4241" t="s">
        <v>141</v>
      </c>
      <c r="J4241" t="s">
        <v>144</v>
      </c>
      <c r="K4241">
        <v>0</v>
      </c>
      <c r="L4241">
        <v>3</v>
      </c>
      <c r="M4241">
        <v>0</v>
      </c>
      <c r="N4241">
        <v>2</v>
      </c>
      <c r="O4241">
        <v>0</v>
      </c>
      <c r="P4241">
        <v>1</v>
      </c>
      <c r="Q4241">
        <v>0</v>
      </c>
      <c r="R4241" t="s">
        <v>127</v>
      </c>
      <c r="S4241" t="str">
        <f t="shared" si="1680"/>
        <v>15:16:18.000</v>
      </c>
      <c r="T4241" t="str">
        <f t="shared" si="1680"/>
        <v>15:16:18.000</v>
      </c>
      <c r="U4241" t="str">
        <f t="shared" si="1674"/>
        <v>A68FCB</v>
      </c>
      <c r="V4241">
        <v>0</v>
      </c>
      <c r="W4241">
        <v>0</v>
      </c>
      <c r="X4241">
        <v>2</v>
      </c>
      <c r="Y4241">
        <v>0</v>
      </c>
      <c r="AA4241">
        <v>1</v>
      </c>
      <c r="AB4241">
        <v>8</v>
      </c>
      <c r="AC4241">
        <v>3</v>
      </c>
      <c r="AD4241">
        <v>0</v>
      </c>
      <c r="AE4241">
        <v>9</v>
      </c>
      <c r="AF4241" t="s">
        <v>138</v>
      </c>
      <c r="AG4241">
        <v>0</v>
      </c>
      <c r="AH4241">
        <v>3</v>
      </c>
      <c r="AI4241">
        <v>2</v>
      </c>
      <c r="AJ4241">
        <v>0</v>
      </c>
      <c r="AK4241" t="s">
        <v>1346</v>
      </c>
      <c r="AL4241">
        <v>39.194347999999998</v>
      </c>
      <c r="AM4241" t="s">
        <v>1347</v>
      </c>
      <c r="AN4241">
        <v>-121.017945</v>
      </c>
      <c r="AO4241">
        <v>25</v>
      </c>
      <c r="AP4241">
        <v>4300</v>
      </c>
      <c r="AQ4241" t="s">
        <v>131</v>
      </c>
      <c r="AR4241">
        <v>34</v>
      </c>
      <c r="AS4241">
        <v>63</v>
      </c>
      <c r="AT4241">
        <v>-512</v>
      </c>
      <c r="BB4241" t="str">
        <f t="shared" si="1675"/>
        <v>1200</v>
      </c>
      <c r="BC4241">
        <v>1</v>
      </c>
      <c r="BD4241" t="str">
        <f t="shared" si="1676"/>
        <v xml:space="preserve">N52156  </v>
      </c>
      <c r="BE4241">
        <v>1</v>
      </c>
      <c r="BG4241">
        <v>0</v>
      </c>
      <c r="BH4241">
        <v>0</v>
      </c>
      <c r="BI4241">
        <v>0</v>
      </c>
      <c r="BJ4241">
        <v>4375</v>
      </c>
      <c r="BK4241">
        <v>75</v>
      </c>
      <c r="BL4241" t="s">
        <v>188</v>
      </c>
      <c r="BM4241">
        <v>1</v>
      </c>
      <c r="BN4241">
        <v>1</v>
      </c>
      <c r="BO4241">
        <v>0</v>
      </c>
      <c r="BP4241">
        <v>0</v>
      </c>
      <c r="BS4241">
        <v>0</v>
      </c>
      <c r="BT4241">
        <v>0</v>
      </c>
      <c r="BU4241">
        <v>0</v>
      </c>
      <c r="CE4241" t="str">
        <f t="shared" si="1681"/>
        <v>15:16:18.427</v>
      </c>
      <c r="CF4241">
        <v>427248985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3</v>
      </c>
      <c r="CY4241">
        <v>7</v>
      </c>
      <c r="CZ4241" t="s">
        <v>133</v>
      </c>
      <c r="DA4241">
        <v>275</v>
      </c>
      <c r="DB4241">
        <v>0</v>
      </c>
      <c r="DC4241" t="s">
        <v>134</v>
      </c>
      <c r="DD4241" t="s">
        <v>135</v>
      </c>
      <c r="DG4241">
        <v>3323197</v>
      </c>
      <c r="DI4241">
        <v>1</v>
      </c>
      <c r="DJ4241">
        <v>0</v>
      </c>
      <c r="DK4241">
        <v>1</v>
      </c>
      <c r="DL4241">
        <v>0</v>
      </c>
      <c r="DM4241">
        <v>0</v>
      </c>
      <c r="DN4241">
        <v>0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 x14ac:dyDescent="0.3">
      <c r="A4242" t="str">
        <f>"05/01/2025 15:16:18.671"</f>
        <v>05/01/2025 15:16:18.671</v>
      </c>
      <c r="C4242" t="str">
        <f t="shared" si="1672"/>
        <v>FFDFD3C0</v>
      </c>
      <c r="D4242" t="s">
        <v>145</v>
      </c>
      <c r="E4242" t="str">
        <f>"09"</f>
        <v>09</v>
      </c>
      <c r="H4242">
        <v>51</v>
      </c>
      <c r="I4242" t="s">
        <v>147</v>
      </c>
      <c r="J4242" t="s">
        <v>138</v>
      </c>
      <c r="K4242">
        <v>0</v>
      </c>
      <c r="L4242">
        <v>3</v>
      </c>
      <c r="M4242">
        <v>0</v>
      </c>
      <c r="N4242">
        <v>2</v>
      </c>
      <c r="O4242">
        <v>0</v>
      </c>
      <c r="P4242">
        <v>1</v>
      </c>
      <c r="Q4242">
        <v>0</v>
      </c>
      <c r="R4242" t="s">
        <v>127</v>
      </c>
      <c r="S4242" t="str">
        <f t="shared" si="1680"/>
        <v>15:16:18.000</v>
      </c>
      <c r="T4242" t="str">
        <f t="shared" si="1680"/>
        <v>15:16:18.000</v>
      </c>
      <c r="U4242" t="str">
        <f t="shared" si="1674"/>
        <v>A68FCB</v>
      </c>
      <c r="V4242">
        <v>0</v>
      </c>
      <c r="W4242">
        <v>0</v>
      </c>
      <c r="X4242">
        <v>2</v>
      </c>
      <c r="Y4242">
        <v>0</v>
      </c>
      <c r="AA4242">
        <v>1</v>
      </c>
      <c r="AB4242">
        <v>8</v>
      </c>
      <c r="AC4242">
        <v>3</v>
      </c>
      <c r="AD4242">
        <v>0</v>
      </c>
      <c r="AE4242">
        <v>9</v>
      </c>
      <c r="AF4242" t="s">
        <v>138</v>
      </c>
      <c r="AG4242">
        <v>0</v>
      </c>
      <c r="AH4242">
        <v>3</v>
      </c>
      <c r="AI4242">
        <v>2</v>
      </c>
      <c r="AJ4242">
        <v>0</v>
      </c>
      <c r="AK4242" t="s">
        <v>1346</v>
      </c>
      <c r="AL4242">
        <v>39.194347999999998</v>
      </c>
      <c r="AM4242" t="s">
        <v>1347</v>
      </c>
      <c r="AN4242">
        <v>-121.017945</v>
      </c>
      <c r="AO4242">
        <v>25</v>
      </c>
      <c r="AP4242">
        <v>4300</v>
      </c>
      <c r="AQ4242" t="s">
        <v>131</v>
      </c>
      <c r="AR4242">
        <v>34</v>
      </c>
      <c r="AS4242">
        <v>63</v>
      </c>
      <c r="AT4242">
        <v>-512</v>
      </c>
      <c r="BB4242" t="str">
        <f t="shared" si="1675"/>
        <v>1200</v>
      </c>
      <c r="BC4242">
        <v>1</v>
      </c>
      <c r="BD4242" t="str">
        <f t="shared" si="1676"/>
        <v xml:space="preserve">N52156  </v>
      </c>
      <c r="BE4242">
        <v>1</v>
      </c>
      <c r="BG4242">
        <v>0</v>
      </c>
      <c r="BH4242">
        <v>0</v>
      </c>
      <c r="BI4242">
        <v>0</v>
      </c>
      <c r="BJ4242">
        <v>4375</v>
      </c>
      <c r="BK4242">
        <v>75</v>
      </c>
      <c r="BL4242" t="s">
        <v>188</v>
      </c>
      <c r="BM4242">
        <v>1</v>
      </c>
      <c r="BN4242">
        <v>1</v>
      </c>
      <c r="BO4242">
        <v>0</v>
      </c>
      <c r="BP4242">
        <v>0</v>
      </c>
      <c r="BS4242">
        <v>0</v>
      </c>
      <c r="BT4242">
        <v>0</v>
      </c>
      <c r="BU4242">
        <v>0</v>
      </c>
      <c r="CE4242" t="str">
        <f t="shared" si="1681"/>
        <v>15:16:18.427</v>
      </c>
      <c r="CF4242">
        <v>427248985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3</v>
      </c>
      <c r="CY4242">
        <v>7</v>
      </c>
      <c r="CZ4242" t="s">
        <v>133</v>
      </c>
      <c r="DA4242">
        <v>275</v>
      </c>
      <c r="DB4242">
        <v>0</v>
      </c>
      <c r="DC4242" t="s">
        <v>134</v>
      </c>
      <c r="DD4242" t="s">
        <v>135</v>
      </c>
      <c r="DG4242">
        <v>3323197</v>
      </c>
      <c r="DI4242">
        <v>1</v>
      </c>
      <c r="DJ4242">
        <v>0</v>
      </c>
      <c r="DK4242">
        <v>1</v>
      </c>
      <c r="DL4242">
        <v>0</v>
      </c>
      <c r="DM4242">
        <v>0</v>
      </c>
      <c r="DN4242">
        <v>0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 x14ac:dyDescent="0.3">
      <c r="A4243" t="str">
        <f>"05/01/2025 15:16:18.675"</f>
        <v>05/01/2025 15:16:18.675</v>
      </c>
      <c r="C4243" t="str">
        <f t="shared" si="1672"/>
        <v>FFDFD3C0</v>
      </c>
      <c r="D4243" t="s">
        <v>145</v>
      </c>
      <c r="E4243" t="str">
        <f>"05"</f>
        <v>05</v>
      </c>
      <c r="H4243">
        <v>47</v>
      </c>
      <c r="I4243" t="s">
        <v>146</v>
      </c>
      <c r="J4243" t="s">
        <v>138</v>
      </c>
      <c r="K4243">
        <v>0</v>
      </c>
      <c r="L4243">
        <v>3</v>
      </c>
      <c r="M4243">
        <v>0</v>
      </c>
      <c r="N4243">
        <v>2</v>
      </c>
      <c r="O4243">
        <v>0</v>
      </c>
      <c r="P4243">
        <v>1</v>
      </c>
      <c r="Q4243">
        <v>0</v>
      </c>
      <c r="R4243" t="s">
        <v>127</v>
      </c>
      <c r="S4243" t="str">
        <f t="shared" si="1680"/>
        <v>15:16:18.000</v>
      </c>
      <c r="T4243" t="str">
        <f t="shared" si="1680"/>
        <v>15:16:18.000</v>
      </c>
      <c r="U4243" t="str">
        <f t="shared" si="1674"/>
        <v>A68FCB</v>
      </c>
      <c r="V4243">
        <v>0</v>
      </c>
      <c r="W4243">
        <v>0</v>
      </c>
      <c r="X4243">
        <v>2</v>
      </c>
      <c r="Y4243">
        <v>0</v>
      </c>
      <c r="AA4243">
        <v>1</v>
      </c>
      <c r="AB4243">
        <v>8</v>
      </c>
      <c r="AC4243">
        <v>3</v>
      </c>
      <c r="AD4243">
        <v>0</v>
      </c>
      <c r="AE4243">
        <v>9</v>
      </c>
      <c r="AF4243" t="s">
        <v>138</v>
      </c>
      <c r="AG4243">
        <v>0</v>
      </c>
      <c r="AH4243">
        <v>3</v>
      </c>
      <c r="AI4243">
        <v>2</v>
      </c>
      <c r="AJ4243">
        <v>0</v>
      </c>
      <c r="AK4243" t="s">
        <v>1346</v>
      </c>
      <c r="AL4243">
        <v>39.194347999999998</v>
      </c>
      <c r="AM4243" t="s">
        <v>1347</v>
      </c>
      <c r="AN4243">
        <v>-121.017945</v>
      </c>
      <c r="AO4243">
        <v>25</v>
      </c>
      <c r="AP4243">
        <v>4300</v>
      </c>
      <c r="AQ4243" t="s">
        <v>131</v>
      </c>
      <c r="AR4243">
        <v>34</v>
      </c>
      <c r="AS4243">
        <v>63</v>
      </c>
      <c r="AT4243">
        <v>-512</v>
      </c>
      <c r="BB4243" t="str">
        <f t="shared" si="1675"/>
        <v>1200</v>
      </c>
      <c r="BC4243">
        <v>1</v>
      </c>
      <c r="BD4243" t="str">
        <f t="shared" si="1676"/>
        <v xml:space="preserve">N52156  </v>
      </c>
      <c r="BE4243">
        <v>1</v>
      </c>
      <c r="BG4243">
        <v>0</v>
      </c>
      <c r="BH4243">
        <v>0</v>
      </c>
      <c r="BI4243">
        <v>0</v>
      </c>
      <c r="BJ4243">
        <v>4375</v>
      </c>
      <c r="BK4243">
        <v>75</v>
      </c>
      <c r="BL4243" t="s">
        <v>188</v>
      </c>
      <c r="BM4243">
        <v>1</v>
      </c>
      <c r="BN4243">
        <v>1</v>
      </c>
      <c r="BO4243">
        <v>0</v>
      </c>
      <c r="BP4243">
        <v>0</v>
      </c>
      <c r="BS4243">
        <v>0</v>
      </c>
      <c r="BT4243">
        <v>0</v>
      </c>
      <c r="BU4243">
        <v>0</v>
      </c>
      <c r="CE4243" t="str">
        <f t="shared" si="1681"/>
        <v>15:16:18.427</v>
      </c>
      <c r="CF4243">
        <v>427248985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3</v>
      </c>
      <c r="CY4243">
        <v>7</v>
      </c>
      <c r="CZ4243" t="s">
        <v>133</v>
      </c>
      <c r="DA4243">
        <v>275</v>
      </c>
      <c r="DB4243">
        <v>0</v>
      </c>
      <c r="DC4243" t="s">
        <v>134</v>
      </c>
      <c r="DD4243" t="s">
        <v>135</v>
      </c>
      <c r="DG4243">
        <v>3323197</v>
      </c>
      <c r="DI4243">
        <v>1</v>
      </c>
      <c r="DJ4243">
        <v>0</v>
      </c>
      <c r="DK4243">
        <v>1</v>
      </c>
      <c r="DL4243">
        <v>0</v>
      </c>
      <c r="DM4243">
        <v>0</v>
      </c>
      <c r="DN4243">
        <v>0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 x14ac:dyDescent="0.3">
      <c r="A4244" t="str">
        <f>"05/01/2025 15:16:19.738"</f>
        <v>05/01/2025 15:16:19.738</v>
      </c>
      <c r="C4244" t="str">
        <f t="shared" si="1672"/>
        <v>FFDFD3C0</v>
      </c>
      <c r="D4244" t="s">
        <v>136</v>
      </c>
      <c r="E4244" t="str">
        <f>"20"</f>
        <v>20</v>
      </c>
      <c r="H4244">
        <v>400</v>
      </c>
      <c r="I4244" t="s">
        <v>137</v>
      </c>
      <c r="J4244" t="s">
        <v>138</v>
      </c>
      <c r="K4244">
        <v>0</v>
      </c>
      <c r="L4244">
        <v>3</v>
      </c>
      <c r="M4244">
        <v>0</v>
      </c>
      <c r="N4244">
        <v>2</v>
      </c>
      <c r="O4244">
        <v>0</v>
      </c>
      <c r="P4244">
        <v>1</v>
      </c>
      <c r="Q4244">
        <v>0</v>
      </c>
      <c r="R4244" t="s">
        <v>127</v>
      </c>
      <c r="S4244" t="str">
        <f t="shared" ref="S4244:T4249" si="1682">"15:16:19.000"</f>
        <v>15:16:19.000</v>
      </c>
      <c r="T4244" t="str">
        <f t="shared" si="1682"/>
        <v>15:16:19.000</v>
      </c>
      <c r="U4244" t="str">
        <f t="shared" si="1674"/>
        <v>A68FCB</v>
      </c>
      <c r="V4244">
        <v>0</v>
      </c>
      <c r="W4244">
        <v>0</v>
      </c>
      <c r="X4244">
        <v>2</v>
      </c>
      <c r="Y4244">
        <v>0</v>
      </c>
      <c r="AA4244">
        <v>1</v>
      </c>
      <c r="AB4244">
        <v>8</v>
      </c>
      <c r="AC4244">
        <v>3</v>
      </c>
      <c r="AD4244">
        <v>0</v>
      </c>
      <c r="AE4244">
        <v>9</v>
      </c>
      <c r="AF4244" t="s">
        <v>138</v>
      </c>
      <c r="AG4244">
        <v>0</v>
      </c>
      <c r="AH4244">
        <v>3</v>
      </c>
      <c r="AI4244">
        <v>2</v>
      </c>
      <c r="AJ4244">
        <v>0</v>
      </c>
      <c r="AK4244" t="s">
        <v>1348</v>
      </c>
      <c r="AL4244">
        <v>39.194626999999997</v>
      </c>
      <c r="AM4244" t="s">
        <v>1349</v>
      </c>
      <c r="AN4244">
        <v>-121.017752</v>
      </c>
      <c r="AO4244">
        <v>25</v>
      </c>
      <c r="AP4244">
        <v>4300</v>
      </c>
      <c r="AQ4244" t="s">
        <v>131</v>
      </c>
      <c r="AR4244">
        <v>34</v>
      </c>
      <c r="AS4244">
        <v>62</v>
      </c>
      <c r="AT4244">
        <v>-448</v>
      </c>
      <c r="BB4244" t="str">
        <f t="shared" si="1675"/>
        <v>1200</v>
      </c>
      <c r="BC4244">
        <v>1</v>
      </c>
      <c r="BD4244" t="str">
        <f t="shared" si="1676"/>
        <v xml:space="preserve">N52156  </v>
      </c>
      <c r="BE4244">
        <v>1</v>
      </c>
      <c r="BG4244">
        <v>0</v>
      </c>
      <c r="BH4244">
        <v>0</v>
      </c>
      <c r="BI4244">
        <v>0</v>
      </c>
      <c r="BJ4244">
        <v>4375</v>
      </c>
      <c r="BK4244">
        <v>75</v>
      </c>
      <c r="BL4244" t="s">
        <v>188</v>
      </c>
      <c r="BM4244">
        <v>1</v>
      </c>
      <c r="BN4244">
        <v>1</v>
      </c>
      <c r="BO4244">
        <v>0</v>
      </c>
      <c r="BP4244">
        <v>0</v>
      </c>
      <c r="BS4244">
        <v>0</v>
      </c>
      <c r="BT4244">
        <v>0</v>
      </c>
      <c r="BU4244">
        <v>0</v>
      </c>
      <c r="CE4244" t="str">
        <f t="shared" ref="CE4244:CE4249" si="1683">"15:16:19.516"</f>
        <v>15:16:19.516</v>
      </c>
      <c r="CF4244">
        <v>516249324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3</v>
      </c>
      <c r="CY4244">
        <v>7</v>
      </c>
      <c r="CZ4244" t="s">
        <v>133</v>
      </c>
      <c r="DA4244">
        <v>275</v>
      </c>
      <c r="DB4244">
        <v>0</v>
      </c>
      <c r="DC4244" t="s">
        <v>134</v>
      </c>
      <c r="DD4244" t="s">
        <v>135</v>
      </c>
      <c r="DG4244">
        <v>3323201</v>
      </c>
      <c r="DI4244">
        <v>1</v>
      </c>
      <c r="DJ4244">
        <v>0</v>
      </c>
      <c r="DK4244">
        <v>0</v>
      </c>
      <c r="DL4244">
        <v>0</v>
      </c>
      <c r="DM4244">
        <v>0</v>
      </c>
      <c r="DN4244">
        <v>0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 x14ac:dyDescent="0.3">
      <c r="A4245" t="str">
        <f>"05/01/2025 15:16:19.758"</f>
        <v>05/01/2025 15:16:19.758</v>
      </c>
      <c r="C4245" t="str">
        <f t="shared" si="1672"/>
        <v>FFDFD3C0</v>
      </c>
      <c r="D4245" t="s">
        <v>140</v>
      </c>
      <c r="E4245" t="str">
        <f>"13"</f>
        <v>13</v>
      </c>
      <c r="F4245">
        <v>1019</v>
      </c>
      <c r="G4245" t="s">
        <v>141</v>
      </c>
      <c r="J4245" t="s">
        <v>142</v>
      </c>
      <c r="K4245">
        <v>0</v>
      </c>
      <c r="L4245">
        <v>3</v>
      </c>
      <c r="M4245">
        <v>0</v>
      </c>
      <c r="N4245">
        <v>2</v>
      </c>
      <c r="O4245">
        <v>0</v>
      </c>
      <c r="P4245">
        <v>1</v>
      </c>
      <c r="Q4245">
        <v>0</v>
      </c>
      <c r="R4245" t="s">
        <v>127</v>
      </c>
      <c r="S4245" t="str">
        <f t="shared" si="1682"/>
        <v>15:16:19.000</v>
      </c>
      <c r="T4245" t="str">
        <f t="shared" si="1682"/>
        <v>15:16:19.000</v>
      </c>
      <c r="U4245" t="str">
        <f t="shared" si="1674"/>
        <v>A68FCB</v>
      </c>
      <c r="V4245">
        <v>0</v>
      </c>
      <c r="W4245">
        <v>0</v>
      </c>
      <c r="X4245">
        <v>2</v>
      </c>
      <c r="Y4245">
        <v>0</v>
      </c>
      <c r="AA4245">
        <v>1</v>
      </c>
      <c r="AB4245">
        <v>8</v>
      </c>
      <c r="AC4245">
        <v>3</v>
      </c>
      <c r="AD4245">
        <v>0</v>
      </c>
      <c r="AE4245">
        <v>9</v>
      </c>
      <c r="AF4245" t="s">
        <v>138</v>
      </c>
      <c r="AG4245">
        <v>0</v>
      </c>
      <c r="AH4245">
        <v>3</v>
      </c>
      <c r="AI4245">
        <v>2</v>
      </c>
      <c r="AJ4245">
        <v>0</v>
      </c>
      <c r="AK4245" t="s">
        <v>1348</v>
      </c>
      <c r="AL4245">
        <v>39.194626999999997</v>
      </c>
      <c r="AM4245" t="s">
        <v>1349</v>
      </c>
      <c r="AN4245">
        <v>-121.017752</v>
      </c>
      <c r="AO4245">
        <v>25</v>
      </c>
      <c r="AP4245">
        <v>4300</v>
      </c>
      <c r="AQ4245" t="s">
        <v>131</v>
      </c>
      <c r="AR4245">
        <v>34</v>
      </c>
      <c r="AS4245">
        <v>62</v>
      </c>
      <c r="AT4245">
        <v>-448</v>
      </c>
      <c r="BB4245" t="str">
        <f t="shared" si="1675"/>
        <v>1200</v>
      </c>
      <c r="BC4245">
        <v>1</v>
      </c>
      <c r="BD4245" t="str">
        <f t="shared" si="1676"/>
        <v xml:space="preserve">N52156  </v>
      </c>
      <c r="BE4245">
        <v>1</v>
      </c>
      <c r="BG4245">
        <v>0</v>
      </c>
      <c r="BH4245">
        <v>0</v>
      </c>
      <c r="BI4245">
        <v>0</v>
      </c>
      <c r="BJ4245">
        <v>4375</v>
      </c>
      <c r="BK4245">
        <v>75</v>
      </c>
      <c r="BL4245" t="s">
        <v>188</v>
      </c>
      <c r="BM4245">
        <v>1</v>
      </c>
      <c r="BN4245">
        <v>1</v>
      </c>
      <c r="BO4245">
        <v>0</v>
      </c>
      <c r="BP4245">
        <v>0</v>
      </c>
      <c r="BS4245">
        <v>0</v>
      </c>
      <c r="BT4245">
        <v>0</v>
      </c>
      <c r="BU4245">
        <v>0</v>
      </c>
      <c r="CE4245" t="str">
        <f t="shared" si="1683"/>
        <v>15:16:19.516</v>
      </c>
      <c r="CF4245">
        <v>516249324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3</v>
      </c>
      <c r="CY4245">
        <v>7</v>
      </c>
      <c r="CZ4245" t="s">
        <v>133</v>
      </c>
      <c r="DA4245">
        <v>275</v>
      </c>
      <c r="DB4245">
        <v>0</v>
      </c>
      <c r="DC4245" t="s">
        <v>134</v>
      </c>
      <c r="DD4245" t="s">
        <v>135</v>
      </c>
      <c r="DG4245">
        <v>3323201</v>
      </c>
      <c r="DI4245">
        <v>1</v>
      </c>
      <c r="DJ4245">
        <v>0</v>
      </c>
      <c r="DK4245">
        <v>1</v>
      </c>
      <c r="DL4245">
        <v>0</v>
      </c>
      <c r="DM4245">
        <v>0</v>
      </c>
      <c r="DN4245">
        <v>0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 x14ac:dyDescent="0.3">
      <c r="A4246" t="str">
        <f>"05/01/2025 15:16:19.758"</f>
        <v>05/01/2025 15:16:19.758</v>
      </c>
      <c r="C4246" t="str">
        <f t="shared" si="1672"/>
        <v>FFDFD3C0</v>
      </c>
      <c r="D4246" t="s">
        <v>124</v>
      </c>
      <c r="E4246" t="str">
        <f>"06"</f>
        <v>06</v>
      </c>
      <c r="F4246">
        <v>2006</v>
      </c>
      <c r="G4246" t="s">
        <v>125</v>
      </c>
      <c r="J4246" t="s">
        <v>126</v>
      </c>
      <c r="K4246">
        <v>0</v>
      </c>
      <c r="L4246">
        <v>3</v>
      </c>
      <c r="M4246">
        <v>0</v>
      </c>
      <c r="N4246">
        <v>2</v>
      </c>
      <c r="O4246">
        <v>0</v>
      </c>
      <c r="P4246">
        <v>1</v>
      </c>
      <c r="Q4246">
        <v>0</v>
      </c>
      <c r="R4246" t="s">
        <v>127</v>
      </c>
      <c r="S4246" t="str">
        <f t="shared" si="1682"/>
        <v>15:16:19.000</v>
      </c>
      <c r="T4246" t="str">
        <f t="shared" si="1682"/>
        <v>15:16:19.000</v>
      </c>
      <c r="U4246" t="str">
        <f t="shared" si="1674"/>
        <v>A68FCB</v>
      </c>
      <c r="V4246">
        <v>0</v>
      </c>
      <c r="W4246">
        <v>0</v>
      </c>
      <c r="X4246">
        <v>2</v>
      </c>
      <c r="Y4246">
        <v>0</v>
      </c>
      <c r="AA4246">
        <v>1</v>
      </c>
      <c r="AB4246">
        <v>8</v>
      </c>
      <c r="AC4246">
        <v>3</v>
      </c>
      <c r="AD4246">
        <v>0</v>
      </c>
      <c r="AE4246">
        <v>9</v>
      </c>
      <c r="AF4246" t="s">
        <v>138</v>
      </c>
      <c r="AG4246">
        <v>0</v>
      </c>
      <c r="AH4246">
        <v>3</v>
      </c>
      <c r="AI4246">
        <v>2</v>
      </c>
      <c r="AJ4246">
        <v>0</v>
      </c>
      <c r="AK4246" t="s">
        <v>1348</v>
      </c>
      <c r="AL4246">
        <v>39.194626999999997</v>
      </c>
      <c r="AM4246" t="s">
        <v>1349</v>
      </c>
      <c r="AN4246">
        <v>-121.017752</v>
      </c>
      <c r="AO4246">
        <v>25</v>
      </c>
      <c r="AP4246">
        <v>4300</v>
      </c>
      <c r="AQ4246" t="s">
        <v>131</v>
      </c>
      <c r="AR4246">
        <v>34</v>
      </c>
      <c r="AS4246">
        <v>62</v>
      </c>
      <c r="AT4246">
        <v>-448</v>
      </c>
      <c r="BB4246" t="str">
        <f t="shared" si="1675"/>
        <v>1200</v>
      </c>
      <c r="BC4246">
        <v>1</v>
      </c>
      <c r="BD4246" t="str">
        <f t="shared" si="1676"/>
        <v xml:space="preserve">N52156  </v>
      </c>
      <c r="BE4246">
        <v>1</v>
      </c>
      <c r="BG4246">
        <v>0</v>
      </c>
      <c r="BH4246">
        <v>0</v>
      </c>
      <c r="BI4246">
        <v>0</v>
      </c>
      <c r="BJ4246">
        <v>4375</v>
      </c>
      <c r="BK4246">
        <v>75</v>
      </c>
      <c r="BL4246" t="s">
        <v>188</v>
      </c>
      <c r="BM4246">
        <v>1</v>
      </c>
      <c r="BN4246">
        <v>1</v>
      </c>
      <c r="BO4246">
        <v>0</v>
      </c>
      <c r="BP4246">
        <v>0</v>
      </c>
      <c r="BS4246">
        <v>0</v>
      </c>
      <c r="BT4246">
        <v>0</v>
      </c>
      <c r="BU4246">
        <v>0</v>
      </c>
      <c r="CE4246" t="str">
        <f t="shared" si="1683"/>
        <v>15:16:19.516</v>
      </c>
      <c r="CF4246">
        <v>516249324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3</v>
      </c>
      <c r="CY4246">
        <v>7</v>
      </c>
      <c r="CZ4246" t="s">
        <v>133</v>
      </c>
      <c r="DA4246">
        <v>275</v>
      </c>
      <c r="DB4246">
        <v>0</v>
      </c>
      <c r="DC4246" t="s">
        <v>134</v>
      </c>
      <c r="DD4246" t="s">
        <v>135</v>
      </c>
      <c r="DG4246">
        <v>3323201</v>
      </c>
      <c r="DI4246">
        <v>1</v>
      </c>
      <c r="DJ4246">
        <v>0</v>
      </c>
      <c r="DK4246">
        <v>1</v>
      </c>
      <c r="DL4246">
        <v>0</v>
      </c>
      <c r="DM4246">
        <v>0</v>
      </c>
      <c r="DN4246">
        <v>0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 x14ac:dyDescent="0.3">
      <c r="A4247" t="str">
        <f>"05/01/2025 15:16:19.760"</f>
        <v>05/01/2025 15:16:19.760</v>
      </c>
      <c r="C4247" t="str">
        <f t="shared" si="1672"/>
        <v>FFDFD3C0</v>
      </c>
      <c r="D4247" t="s">
        <v>143</v>
      </c>
      <c r="E4247" t="str">
        <f>"05"</f>
        <v>05</v>
      </c>
      <c r="H4247">
        <v>172</v>
      </c>
      <c r="I4247" t="s">
        <v>141</v>
      </c>
      <c r="J4247" t="s">
        <v>144</v>
      </c>
      <c r="K4247">
        <v>0</v>
      </c>
      <c r="L4247">
        <v>3</v>
      </c>
      <c r="M4247">
        <v>0</v>
      </c>
      <c r="N4247">
        <v>2</v>
      </c>
      <c r="O4247">
        <v>0</v>
      </c>
      <c r="P4247">
        <v>1</v>
      </c>
      <c r="Q4247">
        <v>0</v>
      </c>
      <c r="R4247" t="s">
        <v>127</v>
      </c>
      <c r="S4247" t="str">
        <f t="shared" si="1682"/>
        <v>15:16:19.000</v>
      </c>
      <c r="T4247" t="str">
        <f t="shared" si="1682"/>
        <v>15:16:19.000</v>
      </c>
      <c r="U4247" t="str">
        <f t="shared" si="1674"/>
        <v>A68FCB</v>
      </c>
      <c r="V4247">
        <v>0</v>
      </c>
      <c r="W4247">
        <v>0</v>
      </c>
      <c r="X4247">
        <v>2</v>
      </c>
      <c r="Y4247">
        <v>0</v>
      </c>
      <c r="AA4247">
        <v>1</v>
      </c>
      <c r="AB4247">
        <v>8</v>
      </c>
      <c r="AC4247">
        <v>3</v>
      </c>
      <c r="AD4247">
        <v>0</v>
      </c>
      <c r="AE4247">
        <v>9</v>
      </c>
      <c r="AF4247" t="s">
        <v>138</v>
      </c>
      <c r="AG4247">
        <v>0</v>
      </c>
      <c r="AH4247">
        <v>3</v>
      </c>
      <c r="AI4247">
        <v>2</v>
      </c>
      <c r="AJ4247">
        <v>0</v>
      </c>
      <c r="AK4247" t="s">
        <v>1348</v>
      </c>
      <c r="AL4247">
        <v>39.194626999999997</v>
      </c>
      <c r="AM4247" t="s">
        <v>1349</v>
      </c>
      <c r="AN4247">
        <v>-121.017752</v>
      </c>
      <c r="AO4247">
        <v>25</v>
      </c>
      <c r="AP4247">
        <v>4300</v>
      </c>
      <c r="AQ4247" t="s">
        <v>131</v>
      </c>
      <c r="AR4247">
        <v>34</v>
      </c>
      <c r="AS4247">
        <v>62</v>
      </c>
      <c r="AT4247">
        <v>-448</v>
      </c>
      <c r="BB4247" t="str">
        <f t="shared" si="1675"/>
        <v>1200</v>
      </c>
      <c r="BC4247">
        <v>1</v>
      </c>
      <c r="BD4247" t="str">
        <f t="shared" si="1676"/>
        <v xml:space="preserve">N52156  </v>
      </c>
      <c r="BE4247">
        <v>1</v>
      </c>
      <c r="BG4247">
        <v>0</v>
      </c>
      <c r="BH4247">
        <v>0</v>
      </c>
      <c r="BI4247">
        <v>0</v>
      </c>
      <c r="BJ4247">
        <v>4375</v>
      </c>
      <c r="BK4247">
        <v>75</v>
      </c>
      <c r="BL4247" t="s">
        <v>188</v>
      </c>
      <c r="BM4247">
        <v>1</v>
      </c>
      <c r="BN4247">
        <v>1</v>
      </c>
      <c r="BO4247">
        <v>0</v>
      </c>
      <c r="BP4247">
        <v>0</v>
      </c>
      <c r="BS4247">
        <v>0</v>
      </c>
      <c r="BT4247">
        <v>0</v>
      </c>
      <c r="BU4247">
        <v>0</v>
      </c>
      <c r="CE4247" t="str">
        <f t="shared" si="1683"/>
        <v>15:16:19.516</v>
      </c>
      <c r="CF4247">
        <v>516249324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3</v>
      </c>
      <c r="CY4247">
        <v>7</v>
      </c>
      <c r="CZ4247" t="s">
        <v>133</v>
      </c>
      <c r="DA4247">
        <v>275</v>
      </c>
      <c r="DB4247">
        <v>0</v>
      </c>
      <c r="DC4247" t="s">
        <v>134</v>
      </c>
      <c r="DD4247" t="s">
        <v>135</v>
      </c>
      <c r="DG4247">
        <v>3323201</v>
      </c>
      <c r="DI4247">
        <v>1</v>
      </c>
      <c r="DJ4247">
        <v>0</v>
      </c>
      <c r="DK4247">
        <v>1</v>
      </c>
      <c r="DL4247">
        <v>0</v>
      </c>
      <c r="DM4247">
        <v>0</v>
      </c>
      <c r="DN4247">
        <v>0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 x14ac:dyDescent="0.3">
      <c r="A4248" t="str">
        <f>"05/01/2025 15:16:19.773"</f>
        <v>05/01/2025 15:16:19.773</v>
      </c>
      <c r="C4248" t="str">
        <f t="shared" si="1672"/>
        <v>FFDFD3C0</v>
      </c>
      <c r="D4248" t="s">
        <v>145</v>
      </c>
      <c r="E4248" t="str">
        <f>"09"</f>
        <v>09</v>
      </c>
      <c r="H4248">
        <v>51</v>
      </c>
      <c r="I4248" t="s">
        <v>147</v>
      </c>
      <c r="J4248" t="s">
        <v>138</v>
      </c>
      <c r="K4248">
        <v>0</v>
      </c>
      <c r="L4248">
        <v>3</v>
      </c>
      <c r="M4248">
        <v>0</v>
      </c>
      <c r="N4248">
        <v>2</v>
      </c>
      <c r="O4248">
        <v>0</v>
      </c>
      <c r="P4248">
        <v>1</v>
      </c>
      <c r="Q4248">
        <v>0</v>
      </c>
      <c r="R4248" t="s">
        <v>127</v>
      </c>
      <c r="S4248" t="str">
        <f t="shared" si="1682"/>
        <v>15:16:19.000</v>
      </c>
      <c r="T4248" t="str">
        <f t="shared" si="1682"/>
        <v>15:16:19.000</v>
      </c>
      <c r="U4248" t="str">
        <f t="shared" si="1674"/>
        <v>A68FCB</v>
      </c>
      <c r="V4248">
        <v>0</v>
      </c>
      <c r="W4248">
        <v>0</v>
      </c>
      <c r="X4248">
        <v>2</v>
      </c>
      <c r="Y4248">
        <v>0</v>
      </c>
      <c r="AA4248">
        <v>1</v>
      </c>
      <c r="AB4248">
        <v>8</v>
      </c>
      <c r="AC4248">
        <v>3</v>
      </c>
      <c r="AD4248">
        <v>0</v>
      </c>
      <c r="AE4248">
        <v>9</v>
      </c>
      <c r="AF4248" t="s">
        <v>138</v>
      </c>
      <c r="AG4248">
        <v>0</v>
      </c>
      <c r="AH4248">
        <v>3</v>
      </c>
      <c r="AI4248">
        <v>2</v>
      </c>
      <c r="AJ4248">
        <v>0</v>
      </c>
      <c r="AK4248" t="s">
        <v>1348</v>
      </c>
      <c r="AL4248">
        <v>39.194626999999997</v>
      </c>
      <c r="AM4248" t="s">
        <v>1349</v>
      </c>
      <c r="AN4248">
        <v>-121.017752</v>
      </c>
      <c r="AO4248">
        <v>25</v>
      </c>
      <c r="AP4248">
        <v>4300</v>
      </c>
      <c r="AQ4248" t="s">
        <v>131</v>
      </c>
      <c r="AR4248">
        <v>34</v>
      </c>
      <c r="AS4248">
        <v>62</v>
      </c>
      <c r="AT4248">
        <v>-448</v>
      </c>
      <c r="BB4248" t="str">
        <f t="shared" si="1675"/>
        <v>1200</v>
      </c>
      <c r="BC4248">
        <v>1</v>
      </c>
      <c r="BD4248" t="str">
        <f t="shared" si="1676"/>
        <v xml:space="preserve">N52156  </v>
      </c>
      <c r="BE4248">
        <v>1</v>
      </c>
      <c r="BG4248">
        <v>0</v>
      </c>
      <c r="BH4248">
        <v>0</v>
      </c>
      <c r="BI4248">
        <v>0</v>
      </c>
      <c r="BJ4248">
        <v>4375</v>
      </c>
      <c r="BK4248">
        <v>75</v>
      </c>
      <c r="BL4248" t="s">
        <v>188</v>
      </c>
      <c r="BM4248">
        <v>1</v>
      </c>
      <c r="BN4248">
        <v>1</v>
      </c>
      <c r="BO4248">
        <v>0</v>
      </c>
      <c r="BP4248">
        <v>0</v>
      </c>
      <c r="BS4248">
        <v>0</v>
      </c>
      <c r="BT4248">
        <v>0</v>
      </c>
      <c r="BU4248">
        <v>0</v>
      </c>
      <c r="CE4248" t="str">
        <f t="shared" si="1683"/>
        <v>15:16:19.516</v>
      </c>
      <c r="CF4248">
        <v>516249324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3</v>
      </c>
      <c r="CY4248">
        <v>7</v>
      </c>
      <c r="CZ4248" t="s">
        <v>133</v>
      </c>
      <c r="DA4248">
        <v>275</v>
      </c>
      <c r="DB4248">
        <v>0</v>
      </c>
      <c r="DC4248" t="s">
        <v>134</v>
      </c>
      <c r="DD4248" t="s">
        <v>135</v>
      </c>
      <c r="DG4248">
        <v>3323201</v>
      </c>
      <c r="DI4248">
        <v>1</v>
      </c>
      <c r="DJ4248">
        <v>0</v>
      </c>
      <c r="DK4248">
        <v>1</v>
      </c>
      <c r="DL4248">
        <v>0</v>
      </c>
      <c r="DM4248">
        <v>0</v>
      </c>
      <c r="DN4248">
        <v>0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 x14ac:dyDescent="0.3">
      <c r="A4249" t="str">
        <f>"05/01/2025 15:16:19.778"</f>
        <v>05/01/2025 15:16:19.778</v>
      </c>
      <c r="C4249" t="str">
        <f t="shared" si="1672"/>
        <v>FFDFD3C0</v>
      </c>
      <c r="D4249" t="s">
        <v>145</v>
      </c>
      <c r="E4249" t="str">
        <f>"05"</f>
        <v>05</v>
      </c>
      <c r="H4249">
        <v>47</v>
      </c>
      <c r="I4249" t="s">
        <v>146</v>
      </c>
      <c r="J4249" t="s">
        <v>138</v>
      </c>
      <c r="K4249">
        <v>0</v>
      </c>
      <c r="L4249">
        <v>3</v>
      </c>
      <c r="M4249">
        <v>0</v>
      </c>
      <c r="N4249">
        <v>2</v>
      </c>
      <c r="O4249">
        <v>0</v>
      </c>
      <c r="P4249">
        <v>1</v>
      </c>
      <c r="Q4249">
        <v>0</v>
      </c>
      <c r="R4249" t="s">
        <v>127</v>
      </c>
      <c r="S4249" t="str">
        <f t="shared" si="1682"/>
        <v>15:16:19.000</v>
      </c>
      <c r="T4249" t="str">
        <f t="shared" si="1682"/>
        <v>15:16:19.000</v>
      </c>
      <c r="U4249" t="str">
        <f t="shared" si="1674"/>
        <v>A68FCB</v>
      </c>
      <c r="V4249">
        <v>0</v>
      </c>
      <c r="W4249">
        <v>0</v>
      </c>
      <c r="X4249">
        <v>2</v>
      </c>
      <c r="Y4249">
        <v>0</v>
      </c>
      <c r="AA4249">
        <v>1</v>
      </c>
      <c r="AB4249">
        <v>8</v>
      </c>
      <c r="AC4249">
        <v>3</v>
      </c>
      <c r="AD4249">
        <v>0</v>
      </c>
      <c r="AE4249">
        <v>9</v>
      </c>
      <c r="AF4249" t="s">
        <v>138</v>
      </c>
      <c r="AG4249">
        <v>0</v>
      </c>
      <c r="AH4249">
        <v>3</v>
      </c>
      <c r="AI4249">
        <v>2</v>
      </c>
      <c r="AJ4249">
        <v>0</v>
      </c>
      <c r="AK4249" t="s">
        <v>1348</v>
      </c>
      <c r="AL4249">
        <v>39.194626999999997</v>
      </c>
      <c r="AM4249" t="s">
        <v>1349</v>
      </c>
      <c r="AN4249">
        <v>-121.017752</v>
      </c>
      <c r="AO4249">
        <v>25</v>
      </c>
      <c r="AP4249">
        <v>4300</v>
      </c>
      <c r="AQ4249" t="s">
        <v>131</v>
      </c>
      <c r="AR4249">
        <v>34</v>
      </c>
      <c r="AS4249">
        <v>62</v>
      </c>
      <c r="AT4249">
        <v>-448</v>
      </c>
      <c r="BB4249" t="str">
        <f t="shared" si="1675"/>
        <v>1200</v>
      </c>
      <c r="BC4249">
        <v>1</v>
      </c>
      <c r="BD4249" t="str">
        <f t="shared" si="1676"/>
        <v xml:space="preserve">N52156  </v>
      </c>
      <c r="BE4249">
        <v>1</v>
      </c>
      <c r="BG4249">
        <v>0</v>
      </c>
      <c r="BH4249">
        <v>0</v>
      </c>
      <c r="BI4249">
        <v>0</v>
      </c>
      <c r="BJ4249">
        <v>4375</v>
      </c>
      <c r="BK4249">
        <v>75</v>
      </c>
      <c r="BL4249" t="s">
        <v>188</v>
      </c>
      <c r="BM4249">
        <v>1</v>
      </c>
      <c r="BN4249">
        <v>1</v>
      </c>
      <c r="BO4249">
        <v>0</v>
      </c>
      <c r="BP4249">
        <v>0</v>
      </c>
      <c r="BS4249">
        <v>0</v>
      </c>
      <c r="BT4249">
        <v>0</v>
      </c>
      <c r="BU4249">
        <v>0</v>
      </c>
      <c r="CE4249" t="str">
        <f t="shared" si="1683"/>
        <v>15:16:19.516</v>
      </c>
      <c r="CF4249">
        <v>516249324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3</v>
      </c>
      <c r="CY4249">
        <v>7</v>
      </c>
      <c r="CZ4249" t="s">
        <v>133</v>
      </c>
      <c r="DA4249">
        <v>275</v>
      </c>
      <c r="DB4249">
        <v>0</v>
      </c>
      <c r="DC4249" t="s">
        <v>134</v>
      </c>
      <c r="DD4249" t="s">
        <v>135</v>
      </c>
      <c r="DG4249">
        <v>3323201</v>
      </c>
      <c r="DI4249">
        <v>1</v>
      </c>
      <c r="DJ4249">
        <v>0</v>
      </c>
      <c r="DK4249">
        <v>1</v>
      </c>
      <c r="DL4249">
        <v>0</v>
      </c>
      <c r="DM4249">
        <v>0</v>
      </c>
      <c r="DN4249">
        <v>0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 x14ac:dyDescent="0.3">
      <c r="A4250" t="str">
        <f>"05/01/2025 15:16:20.911"</f>
        <v>05/01/2025 15:16:20.911</v>
      </c>
      <c r="C4250" t="str">
        <f t="shared" si="1672"/>
        <v>FFDFD3C0</v>
      </c>
      <c r="D4250" t="s">
        <v>124</v>
      </c>
      <c r="E4250" t="str">
        <f>"06"</f>
        <v>06</v>
      </c>
      <c r="F4250">
        <v>2006</v>
      </c>
      <c r="G4250" t="s">
        <v>125</v>
      </c>
      <c r="J4250" t="s">
        <v>126</v>
      </c>
      <c r="K4250">
        <v>0</v>
      </c>
      <c r="L4250">
        <v>3</v>
      </c>
      <c r="M4250">
        <v>0</v>
      </c>
      <c r="N4250">
        <v>2</v>
      </c>
      <c r="O4250">
        <v>0</v>
      </c>
      <c r="P4250">
        <v>1</v>
      </c>
      <c r="Q4250">
        <v>0</v>
      </c>
      <c r="R4250" t="s">
        <v>127</v>
      </c>
      <c r="S4250" t="str">
        <f t="shared" ref="S4250:T4255" si="1684">"15:16:20.000"</f>
        <v>15:16:20.000</v>
      </c>
      <c r="T4250" t="str">
        <f t="shared" si="1684"/>
        <v>15:16:20.000</v>
      </c>
      <c r="U4250" t="str">
        <f t="shared" si="1674"/>
        <v>A68FCB</v>
      </c>
      <c r="V4250">
        <v>0</v>
      </c>
      <c r="W4250">
        <v>0</v>
      </c>
      <c r="X4250">
        <v>2</v>
      </c>
      <c r="Y4250">
        <v>0</v>
      </c>
      <c r="AA4250">
        <v>1</v>
      </c>
      <c r="AB4250">
        <v>8</v>
      </c>
      <c r="AC4250">
        <v>3</v>
      </c>
      <c r="AD4250">
        <v>0</v>
      </c>
      <c r="AE4250">
        <v>9</v>
      </c>
      <c r="AF4250" t="s">
        <v>138</v>
      </c>
      <c r="AG4250">
        <v>0</v>
      </c>
      <c r="AH4250">
        <v>3</v>
      </c>
      <c r="AI4250">
        <v>2</v>
      </c>
      <c r="AJ4250">
        <v>0</v>
      </c>
      <c r="AK4250" t="s">
        <v>1350</v>
      </c>
      <c r="AL4250">
        <v>39.194927</v>
      </c>
      <c r="AM4250" t="s">
        <v>1351</v>
      </c>
      <c r="AN4250">
        <v>-121.017537</v>
      </c>
      <c r="AO4250">
        <v>25</v>
      </c>
      <c r="AP4250">
        <v>4300</v>
      </c>
      <c r="AQ4250" t="s">
        <v>131</v>
      </c>
      <c r="AR4250">
        <v>34</v>
      </c>
      <c r="AS4250">
        <v>61</v>
      </c>
      <c r="AT4250">
        <v>-448</v>
      </c>
      <c r="BB4250" t="str">
        <f t="shared" si="1675"/>
        <v>1200</v>
      </c>
      <c r="BC4250">
        <v>1</v>
      </c>
      <c r="BD4250" t="str">
        <f t="shared" si="1676"/>
        <v xml:space="preserve">N52156  </v>
      </c>
      <c r="BE4250">
        <v>1</v>
      </c>
      <c r="BG4250">
        <v>0</v>
      </c>
      <c r="BH4250">
        <v>0</v>
      </c>
      <c r="BI4250">
        <v>0</v>
      </c>
      <c r="BJ4250">
        <v>4375</v>
      </c>
      <c r="BK4250">
        <v>75</v>
      </c>
      <c r="BL4250" t="s">
        <v>188</v>
      </c>
      <c r="BM4250">
        <v>1</v>
      </c>
      <c r="BN4250">
        <v>1</v>
      </c>
      <c r="BO4250">
        <v>0</v>
      </c>
      <c r="BP4250">
        <v>0</v>
      </c>
      <c r="BS4250">
        <v>0</v>
      </c>
      <c r="BT4250">
        <v>0</v>
      </c>
      <c r="BU4250">
        <v>0</v>
      </c>
      <c r="CE4250" t="str">
        <f t="shared" ref="CE4250:CE4255" si="1685">"15:16:20.690"</f>
        <v>15:16:20.690</v>
      </c>
      <c r="CF4250">
        <v>690249859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3</v>
      </c>
      <c r="CY4250">
        <v>7</v>
      </c>
      <c r="CZ4250" t="s">
        <v>133</v>
      </c>
      <c r="DA4250">
        <v>275</v>
      </c>
      <c r="DB4250">
        <v>0</v>
      </c>
      <c r="DC4250" t="s">
        <v>134</v>
      </c>
      <c r="DD4250" t="s">
        <v>135</v>
      </c>
      <c r="DG4250">
        <v>3323203</v>
      </c>
      <c r="DI4250">
        <v>1</v>
      </c>
      <c r="DJ4250">
        <v>0</v>
      </c>
      <c r="DK4250">
        <v>0</v>
      </c>
      <c r="DL4250">
        <v>0</v>
      </c>
      <c r="DM4250">
        <v>0</v>
      </c>
      <c r="DN4250">
        <v>0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 x14ac:dyDescent="0.3">
      <c r="A4251" t="str">
        <f>"05/01/2025 15:16:20.912"</f>
        <v>05/01/2025 15:16:20.912</v>
      </c>
      <c r="C4251" t="str">
        <f t="shared" si="1672"/>
        <v>FFDFD3C0</v>
      </c>
      <c r="D4251" t="s">
        <v>143</v>
      </c>
      <c r="E4251" t="str">
        <f>"05"</f>
        <v>05</v>
      </c>
      <c r="H4251">
        <v>172</v>
      </c>
      <c r="I4251" t="s">
        <v>141</v>
      </c>
      <c r="J4251" t="s">
        <v>144</v>
      </c>
      <c r="K4251">
        <v>0</v>
      </c>
      <c r="L4251">
        <v>3</v>
      </c>
      <c r="M4251">
        <v>0</v>
      </c>
      <c r="N4251">
        <v>2</v>
      </c>
      <c r="O4251">
        <v>0</v>
      </c>
      <c r="P4251">
        <v>1</v>
      </c>
      <c r="Q4251">
        <v>0</v>
      </c>
      <c r="R4251" t="s">
        <v>127</v>
      </c>
      <c r="S4251" t="str">
        <f t="shared" si="1684"/>
        <v>15:16:20.000</v>
      </c>
      <c r="T4251" t="str">
        <f t="shared" si="1684"/>
        <v>15:16:20.000</v>
      </c>
      <c r="U4251" t="str">
        <f t="shared" si="1674"/>
        <v>A68FCB</v>
      </c>
      <c r="V4251">
        <v>0</v>
      </c>
      <c r="W4251">
        <v>0</v>
      </c>
      <c r="X4251">
        <v>2</v>
      </c>
      <c r="Y4251">
        <v>0</v>
      </c>
      <c r="AA4251">
        <v>1</v>
      </c>
      <c r="AB4251">
        <v>8</v>
      </c>
      <c r="AC4251">
        <v>3</v>
      </c>
      <c r="AD4251">
        <v>0</v>
      </c>
      <c r="AE4251">
        <v>9</v>
      </c>
      <c r="AF4251" t="s">
        <v>138</v>
      </c>
      <c r="AG4251">
        <v>0</v>
      </c>
      <c r="AH4251">
        <v>3</v>
      </c>
      <c r="AI4251">
        <v>2</v>
      </c>
      <c r="AJ4251">
        <v>0</v>
      </c>
      <c r="AK4251" t="s">
        <v>1350</v>
      </c>
      <c r="AL4251">
        <v>39.194927</v>
      </c>
      <c r="AM4251" t="s">
        <v>1351</v>
      </c>
      <c r="AN4251">
        <v>-121.017537</v>
      </c>
      <c r="AO4251">
        <v>25</v>
      </c>
      <c r="AP4251">
        <v>4300</v>
      </c>
      <c r="AQ4251" t="s">
        <v>131</v>
      </c>
      <c r="AR4251">
        <v>34</v>
      </c>
      <c r="AS4251">
        <v>61</v>
      </c>
      <c r="AT4251">
        <v>-448</v>
      </c>
      <c r="BB4251" t="str">
        <f t="shared" si="1675"/>
        <v>1200</v>
      </c>
      <c r="BC4251">
        <v>1</v>
      </c>
      <c r="BD4251" t="str">
        <f t="shared" si="1676"/>
        <v xml:space="preserve">N52156  </v>
      </c>
      <c r="BE4251">
        <v>1</v>
      </c>
      <c r="BG4251">
        <v>0</v>
      </c>
      <c r="BH4251">
        <v>0</v>
      </c>
      <c r="BI4251">
        <v>0</v>
      </c>
      <c r="BJ4251">
        <v>4375</v>
      </c>
      <c r="BK4251">
        <v>75</v>
      </c>
      <c r="BL4251" t="s">
        <v>188</v>
      </c>
      <c r="BM4251">
        <v>1</v>
      </c>
      <c r="BN4251">
        <v>1</v>
      </c>
      <c r="BO4251">
        <v>0</v>
      </c>
      <c r="BP4251">
        <v>0</v>
      </c>
      <c r="BS4251">
        <v>0</v>
      </c>
      <c r="BT4251">
        <v>0</v>
      </c>
      <c r="BU4251">
        <v>0</v>
      </c>
      <c r="CE4251" t="str">
        <f t="shared" si="1685"/>
        <v>15:16:20.690</v>
      </c>
      <c r="CF4251">
        <v>690249859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3</v>
      </c>
      <c r="CY4251">
        <v>7</v>
      </c>
      <c r="CZ4251" t="s">
        <v>133</v>
      </c>
      <c r="DA4251">
        <v>275</v>
      </c>
      <c r="DB4251">
        <v>0</v>
      </c>
      <c r="DC4251" t="s">
        <v>134</v>
      </c>
      <c r="DD4251" t="s">
        <v>135</v>
      </c>
      <c r="DG4251">
        <v>3323203</v>
      </c>
      <c r="DI4251">
        <v>1</v>
      </c>
      <c r="DJ4251">
        <v>0</v>
      </c>
      <c r="DK4251">
        <v>1</v>
      </c>
      <c r="DL4251">
        <v>0</v>
      </c>
      <c r="DM4251">
        <v>0</v>
      </c>
      <c r="DN4251">
        <v>0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 x14ac:dyDescent="0.3">
      <c r="A4252" t="str">
        <f>"05/01/2025 15:16:20.909"</f>
        <v>05/01/2025 15:16:20.909</v>
      </c>
      <c r="C4252" t="str">
        <f t="shared" si="1672"/>
        <v>FFDFD3C0</v>
      </c>
      <c r="D4252" t="s">
        <v>140</v>
      </c>
      <c r="E4252" t="str">
        <f>"13"</f>
        <v>13</v>
      </c>
      <c r="F4252">
        <v>1019</v>
      </c>
      <c r="G4252" t="s">
        <v>141</v>
      </c>
      <c r="J4252" t="s">
        <v>142</v>
      </c>
      <c r="K4252">
        <v>0</v>
      </c>
      <c r="L4252">
        <v>3</v>
      </c>
      <c r="M4252">
        <v>0</v>
      </c>
      <c r="N4252">
        <v>2</v>
      </c>
      <c r="O4252">
        <v>0</v>
      </c>
      <c r="P4252">
        <v>1</v>
      </c>
      <c r="Q4252">
        <v>0</v>
      </c>
      <c r="R4252" t="s">
        <v>127</v>
      </c>
      <c r="S4252" t="str">
        <f t="shared" si="1684"/>
        <v>15:16:20.000</v>
      </c>
      <c r="T4252" t="str">
        <f t="shared" si="1684"/>
        <v>15:16:20.000</v>
      </c>
      <c r="U4252" t="str">
        <f t="shared" si="1674"/>
        <v>A68FCB</v>
      </c>
      <c r="V4252">
        <v>0</v>
      </c>
      <c r="W4252">
        <v>0</v>
      </c>
      <c r="X4252">
        <v>2</v>
      </c>
      <c r="Y4252">
        <v>0</v>
      </c>
      <c r="AA4252">
        <v>1</v>
      </c>
      <c r="AB4252">
        <v>8</v>
      </c>
      <c r="AC4252">
        <v>3</v>
      </c>
      <c r="AD4252">
        <v>0</v>
      </c>
      <c r="AE4252">
        <v>9</v>
      </c>
      <c r="AF4252" t="s">
        <v>138</v>
      </c>
      <c r="AG4252">
        <v>0</v>
      </c>
      <c r="AH4252">
        <v>3</v>
      </c>
      <c r="AI4252">
        <v>2</v>
      </c>
      <c r="AJ4252">
        <v>0</v>
      </c>
      <c r="AK4252" t="s">
        <v>1350</v>
      </c>
      <c r="AL4252">
        <v>39.194927</v>
      </c>
      <c r="AM4252" t="s">
        <v>1351</v>
      </c>
      <c r="AN4252">
        <v>-121.017537</v>
      </c>
      <c r="AO4252">
        <v>25</v>
      </c>
      <c r="AP4252">
        <v>4300</v>
      </c>
      <c r="AQ4252" t="s">
        <v>131</v>
      </c>
      <c r="AR4252">
        <v>34</v>
      </c>
      <c r="AS4252">
        <v>61</v>
      </c>
      <c r="AT4252">
        <v>-448</v>
      </c>
      <c r="BB4252" t="str">
        <f t="shared" si="1675"/>
        <v>1200</v>
      </c>
      <c r="BC4252">
        <v>1</v>
      </c>
      <c r="BD4252" t="str">
        <f t="shared" si="1676"/>
        <v xml:space="preserve">N52156  </v>
      </c>
      <c r="BE4252">
        <v>1</v>
      </c>
      <c r="BG4252">
        <v>0</v>
      </c>
      <c r="BH4252">
        <v>0</v>
      </c>
      <c r="BI4252">
        <v>0</v>
      </c>
      <c r="BJ4252">
        <v>4375</v>
      </c>
      <c r="BK4252">
        <v>75</v>
      </c>
      <c r="BL4252" t="s">
        <v>188</v>
      </c>
      <c r="BM4252">
        <v>1</v>
      </c>
      <c r="BN4252">
        <v>1</v>
      </c>
      <c r="BO4252">
        <v>0</v>
      </c>
      <c r="BP4252">
        <v>0</v>
      </c>
      <c r="BS4252">
        <v>0</v>
      </c>
      <c r="BT4252">
        <v>0</v>
      </c>
      <c r="BU4252">
        <v>0</v>
      </c>
      <c r="CE4252" t="str">
        <f t="shared" si="1685"/>
        <v>15:16:20.690</v>
      </c>
      <c r="CF4252">
        <v>690249859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3</v>
      </c>
      <c r="CY4252">
        <v>7</v>
      </c>
      <c r="CZ4252" t="s">
        <v>133</v>
      </c>
      <c r="DA4252">
        <v>275</v>
      </c>
      <c r="DB4252">
        <v>0</v>
      </c>
      <c r="DC4252" t="s">
        <v>134</v>
      </c>
      <c r="DD4252" t="s">
        <v>135</v>
      </c>
      <c r="DG4252">
        <v>3323203</v>
      </c>
      <c r="DI4252">
        <v>1</v>
      </c>
      <c r="DJ4252">
        <v>0</v>
      </c>
      <c r="DK4252">
        <v>1</v>
      </c>
      <c r="DL4252">
        <v>0</v>
      </c>
      <c r="DM4252">
        <v>0</v>
      </c>
      <c r="DN4252">
        <v>0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 x14ac:dyDescent="0.3">
      <c r="A4253" t="str">
        <f>"05/01/2025 15:16:20.930"</f>
        <v>05/01/2025 15:16:20.930</v>
      </c>
      <c r="C4253" t="str">
        <f t="shared" si="1672"/>
        <v>FFDFD3C0</v>
      </c>
      <c r="D4253" t="s">
        <v>145</v>
      </c>
      <c r="E4253" t="str">
        <f>"05"</f>
        <v>05</v>
      </c>
      <c r="H4253">
        <v>47</v>
      </c>
      <c r="I4253" t="s">
        <v>146</v>
      </c>
      <c r="J4253" t="s">
        <v>138</v>
      </c>
      <c r="K4253">
        <v>0</v>
      </c>
      <c r="L4253">
        <v>3</v>
      </c>
      <c r="M4253">
        <v>0</v>
      </c>
      <c r="N4253">
        <v>2</v>
      </c>
      <c r="O4253">
        <v>0</v>
      </c>
      <c r="P4253">
        <v>1</v>
      </c>
      <c r="Q4253">
        <v>0</v>
      </c>
      <c r="R4253" t="s">
        <v>127</v>
      </c>
      <c r="S4253" t="str">
        <f t="shared" si="1684"/>
        <v>15:16:20.000</v>
      </c>
      <c r="T4253" t="str">
        <f t="shared" si="1684"/>
        <v>15:16:20.000</v>
      </c>
      <c r="U4253" t="str">
        <f t="shared" si="1674"/>
        <v>A68FCB</v>
      </c>
      <c r="V4253">
        <v>0</v>
      </c>
      <c r="W4253">
        <v>0</v>
      </c>
      <c r="X4253">
        <v>2</v>
      </c>
      <c r="Y4253">
        <v>0</v>
      </c>
      <c r="AA4253">
        <v>1</v>
      </c>
      <c r="AB4253">
        <v>8</v>
      </c>
      <c r="AC4253">
        <v>3</v>
      </c>
      <c r="AD4253">
        <v>0</v>
      </c>
      <c r="AE4253">
        <v>9</v>
      </c>
      <c r="AF4253" t="s">
        <v>138</v>
      </c>
      <c r="AG4253">
        <v>0</v>
      </c>
      <c r="AH4253">
        <v>3</v>
      </c>
      <c r="AI4253">
        <v>2</v>
      </c>
      <c r="AJ4253">
        <v>0</v>
      </c>
      <c r="AK4253" t="s">
        <v>1350</v>
      </c>
      <c r="AL4253">
        <v>39.194927</v>
      </c>
      <c r="AM4253" t="s">
        <v>1351</v>
      </c>
      <c r="AN4253">
        <v>-121.017537</v>
      </c>
      <c r="AO4253">
        <v>25</v>
      </c>
      <c r="AP4253">
        <v>4300</v>
      </c>
      <c r="AQ4253" t="s">
        <v>131</v>
      </c>
      <c r="AR4253">
        <v>34</v>
      </c>
      <c r="AS4253">
        <v>61</v>
      </c>
      <c r="AT4253">
        <v>-448</v>
      </c>
      <c r="BB4253" t="str">
        <f t="shared" si="1675"/>
        <v>1200</v>
      </c>
      <c r="BC4253">
        <v>1</v>
      </c>
      <c r="BD4253" t="str">
        <f t="shared" si="1676"/>
        <v xml:space="preserve">N52156  </v>
      </c>
      <c r="BE4253">
        <v>1</v>
      </c>
      <c r="BG4253">
        <v>0</v>
      </c>
      <c r="BH4253">
        <v>0</v>
      </c>
      <c r="BI4253">
        <v>0</v>
      </c>
      <c r="BJ4253">
        <v>4375</v>
      </c>
      <c r="BK4253">
        <v>75</v>
      </c>
      <c r="BL4253" t="s">
        <v>188</v>
      </c>
      <c r="BM4253">
        <v>1</v>
      </c>
      <c r="BN4253">
        <v>1</v>
      </c>
      <c r="BO4253">
        <v>0</v>
      </c>
      <c r="BP4253">
        <v>0</v>
      </c>
      <c r="BS4253">
        <v>0</v>
      </c>
      <c r="BT4253">
        <v>0</v>
      </c>
      <c r="BU4253">
        <v>0</v>
      </c>
      <c r="CE4253" t="str">
        <f t="shared" si="1685"/>
        <v>15:16:20.690</v>
      </c>
      <c r="CF4253">
        <v>690249859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3</v>
      </c>
      <c r="CY4253">
        <v>7</v>
      </c>
      <c r="CZ4253" t="s">
        <v>133</v>
      </c>
      <c r="DA4253">
        <v>275</v>
      </c>
      <c r="DB4253">
        <v>0</v>
      </c>
      <c r="DC4253" t="s">
        <v>134</v>
      </c>
      <c r="DD4253" t="s">
        <v>135</v>
      </c>
      <c r="DG4253">
        <v>3323203</v>
      </c>
      <c r="DI4253">
        <v>1</v>
      </c>
      <c r="DJ4253">
        <v>0</v>
      </c>
      <c r="DK4253">
        <v>1</v>
      </c>
      <c r="DL4253">
        <v>0</v>
      </c>
      <c r="DM4253">
        <v>0</v>
      </c>
      <c r="DN4253">
        <v>0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 x14ac:dyDescent="0.3">
      <c r="A4254" t="str">
        <f>"05/01/2025 15:16:20.925"</f>
        <v>05/01/2025 15:16:20.925</v>
      </c>
      <c r="C4254" t="str">
        <f t="shared" si="1672"/>
        <v>FFDFD3C0</v>
      </c>
      <c r="D4254" t="s">
        <v>145</v>
      </c>
      <c r="E4254" t="str">
        <f>"09"</f>
        <v>09</v>
      </c>
      <c r="H4254">
        <v>51</v>
      </c>
      <c r="I4254" t="s">
        <v>147</v>
      </c>
      <c r="J4254" t="s">
        <v>138</v>
      </c>
      <c r="K4254">
        <v>0</v>
      </c>
      <c r="L4254">
        <v>3</v>
      </c>
      <c r="M4254">
        <v>0</v>
      </c>
      <c r="N4254">
        <v>2</v>
      </c>
      <c r="O4254">
        <v>0</v>
      </c>
      <c r="P4254">
        <v>1</v>
      </c>
      <c r="Q4254">
        <v>0</v>
      </c>
      <c r="R4254" t="s">
        <v>127</v>
      </c>
      <c r="S4254" t="str">
        <f t="shared" si="1684"/>
        <v>15:16:20.000</v>
      </c>
      <c r="T4254" t="str">
        <f t="shared" si="1684"/>
        <v>15:16:20.000</v>
      </c>
      <c r="U4254" t="str">
        <f t="shared" si="1674"/>
        <v>A68FCB</v>
      </c>
      <c r="V4254">
        <v>0</v>
      </c>
      <c r="W4254">
        <v>0</v>
      </c>
      <c r="X4254">
        <v>2</v>
      </c>
      <c r="Y4254">
        <v>0</v>
      </c>
      <c r="AA4254">
        <v>1</v>
      </c>
      <c r="AB4254">
        <v>8</v>
      </c>
      <c r="AC4254">
        <v>3</v>
      </c>
      <c r="AD4254">
        <v>0</v>
      </c>
      <c r="AE4254">
        <v>9</v>
      </c>
      <c r="AF4254" t="s">
        <v>138</v>
      </c>
      <c r="AG4254">
        <v>0</v>
      </c>
      <c r="AH4254">
        <v>3</v>
      </c>
      <c r="AI4254">
        <v>2</v>
      </c>
      <c r="AJ4254">
        <v>0</v>
      </c>
      <c r="AK4254" t="s">
        <v>1350</v>
      </c>
      <c r="AL4254">
        <v>39.194927</v>
      </c>
      <c r="AM4254" t="s">
        <v>1351</v>
      </c>
      <c r="AN4254">
        <v>-121.017537</v>
      </c>
      <c r="AO4254">
        <v>25</v>
      </c>
      <c r="AP4254">
        <v>4300</v>
      </c>
      <c r="AQ4254" t="s">
        <v>131</v>
      </c>
      <c r="AR4254">
        <v>34</v>
      </c>
      <c r="AS4254">
        <v>61</v>
      </c>
      <c r="AT4254">
        <v>-448</v>
      </c>
      <c r="BB4254" t="str">
        <f t="shared" si="1675"/>
        <v>1200</v>
      </c>
      <c r="BC4254">
        <v>1</v>
      </c>
      <c r="BD4254" t="str">
        <f t="shared" si="1676"/>
        <v xml:space="preserve">N52156  </v>
      </c>
      <c r="BE4254">
        <v>1</v>
      </c>
      <c r="BG4254">
        <v>0</v>
      </c>
      <c r="BH4254">
        <v>0</v>
      </c>
      <c r="BI4254">
        <v>0</v>
      </c>
      <c r="BJ4254">
        <v>4375</v>
      </c>
      <c r="BK4254">
        <v>75</v>
      </c>
      <c r="BL4254" t="s">
        <v>188</v>
      </c>
      <c r="BM4254">
        <v>1</v>
      </c>
      <c r="BN4254">
        <v>1</v>
      </c>
      <c r="BO4254">
        <v>0</v>
      </c>
      <c r="BP4254">
        <v>0</v>
      </c>
      <c r="BS4254">
        <v>0</v>
      </c>
      <c r="BT4254">
        <v>0</v>
      </c>
      <c r="BU4254">
        <v>0</v>
      </c>
      <c r="CE4254" t="str">
        <f t="shared" si="1685"/>
        <v>15:16:20.690</v>
      </c>
      <c r="CF4254">
        <v>690249859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3</v>
      </c>
      <c r="CY4254">
        <v>7</v>
      </c>
      <c r="CZ4254" t="s">
        <v>133</v>
      </c>
      <c r="DA4254">
        <v>275</v>
      </c>
      <c r="DB4254">
        <v>0</v>
      </c>
      <c r="DC4254" t="s">
        <v>134</v>
      </c>
      <c r="DD4254" t="s">
        <v>135</v>
      </c>
      <c r="DG4254">
        <v>3323203</v>
      </c>
      <c r="DI4254">
        <v>1</v>
      </c>
      <c r="DJ4254">
        <v>0</v>
      </c>
      <c r="DK4254">
        <v>1</v>
      </c>
      <c r="DL4254">
        <v>0</v>
      </c>
      <c r="DM4254">
        <v>0</v>
      </c>
      <c r="DN4254">
        <v>0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 x14ac:dyDescent="0.3">
      <c r="A4255" t="str">
        <f>"05/01/2025 15:16:20.940"</f>
        <v>05/01/2025 15:16:20.940</v>
      </c>
      <c r="C4255" t="str">
        <f t="shared" si="1672"/>
        <v>FFDFD3C0</v>
      </c>
      <c r="D4255" t="s">
        <v>136</v>
      </c>
      <c r="E4255" t="str">
        <f>"20"</f>
        <v>20</v>
      </c>
      <c r="H4255">
        <v>400</v>
      </c>
      <c r="I4255" t="s">
        <v>137</v>
      </c>
      <c r="J4255" t="s">
        <v>138</v>
      </c>
      <c r="K4255">
        <v>0</v>
      </c>
      <c r="L4255">
        <v>3</v>
      </c>
      <c r="M4255">
        <v>0</v>
      </c>
      <c r="N4255">
        <v>2</v>
      </c>
      <c r="O4255">
        <v>0</v>
      </c>
      <c r="P4255">
        <v>1</v>
      </c>
      <c r="Q4255">
        <v>0</v>
      </c>
      <c r="R4255" t="s">
        <v>127</v>
      </c>
      <c r="S4255" t="str">
        <f t="shared" si="1684"/>
        <v>15:16:20.000</v>
      </c>
      <c r="T4255" t="str">
        <f t="shared" si="1684"/>
        <v>15:16:20.000</v>
      </c>
      <c r="U4255" t="str">
        <f t="shared" si="1674"/>
        <v>A68FCB</v>
      </c>
      <c r="V4255">
        <v>0</v>
      </c>
      <c r="W4255">
        <v>0</v>
      </c>
      <c r="X4255">
        <v>2</v>
      </c>
      <c r="Y4255">
        <v>0</v>
      </c>
      <c r="AA4255">
        <v>1</v>
      </c>
      <c r="AB4255">
        <v>8</v>
      </c>
      <c r="AC4255">
        <v>3</v>
      </c>
      <c r="AD4255">
        <v>0</v>
      </c>
      <c r="AE4255">
        <v>9</v>
      </c>
      <c r="AF4255" t="s">
        <v>138</v>
      </c>
      <c r="AG4255">
        <v>0</v>
      </c>
      <c r="AH4255">
        <v>3</v>
      </c>
      <c r="AI4255">
        <v>2</v>
      </c>
      <c r="AJ4255">
        <v>0</v>
      </c>
      <c r="AK4255" t="s">
        <v>1350</v>
      </c>
      <c r="AL4255">
        <v>39.194927</v>
      </c>
      <c r="AM4255" t="s">
        <v>1351</v>
      </c>
      <c r="AN4255">
        <v>-121.017537</v>
      </c>
      <c r="AO4255">
        <v>25</v>
      </c>
      <c r="AP4255">
        <v>4300</v>
      </c>
      <c r="AQ4255" t="s">
        <v>131</v>
      </c>
      <c r="AR4255">
        <v>34</v>
      </c>
      <c r="AS4255">
        <v>61</v>
      </c>
      <c r="AT4255">
        <v>-448</v>
      </c>
      <c r="BB4255" t="str">
        <f t="shared" si="1675"/>
        <v>1200</v>
      </c>
      <c r="BC4255">
        <v>1</v>
      </c>
      <c r="BD4255" t="str">
        <f t="shared" si="1676"/>
        <v xml:space="preserve">N52156  </v>
      </c>
      <c r="BE4255">
        <v>1</v>
      </c>
      <c r="BG4255">
        <v>0</v>
      </c>
      <c r="BH4255">
        <v>0</v>
      </c>
      <c r="BI4255">
        <v>0</v>
      </c>
      <c r="BJ4255">
        <v>4375</v>
      </c>
      <c r="BK4255">
        <v>75</v>
      </c>
      <c r="BL4255" t="s">
        <v>188</v>
      </c>
      <c r="BM4255">
        <v>1</v>
      </c>
      <c r="BN4255">
        <v>1</v>
      </c>
      <c r="BO4255">
        <v>0</v>
      </c>
      <c r="BP4255">
        <v>0</v>
      </c>
      <c r="BS4255">
        <v>0</v>
      </c>
      <c r="BT4255">
        <v>0</v>
      </c>
      <c r="BU4255">
        <v>0</v>
      </c>
      <c r="CE4255" t="str">
        <f t="shared" si="1685"/>
        <v>15:16:20.690</v>
      </c>
      <c r="CF4255">
        <v>690249859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3</v>
      </c>
      <c r="CY4255">
        <v>7</v>
      </c>
      <c r="CZ4255" t="s">
        <v>133</v>
      </c>
      <c r="DA4255">
        <v>275</v>
      </c>
      <c r="DB4255">
        <v>0</v>
      </c>
      <c r="DC4255" t="s">
        <v>134</v>
      </c>
      <c r="DD4255" t="s">
        <v>135</v>
      </c>
      <c r="DG4255">
        <v>3323203</v>
      </c>
      <c r="DI4255">
        <v>1</v>
      </c>
      <c r="DJ4255">
        <v>0</v>
      </c>
      <c r="DK4255">
        <v>1</v>
      </c>
      <c r="DL4255">
        <v>0</v>
      </c>
      <c r="DM4255">
        <v>0</v>
      </c>
      <c r="DN4255">
        <v>0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 x14ac:dyDescent="0.3">
      <c r="A4256" t="str">
        <f>"05/01/2025 15:16:22.011"</f>
        <v>05/01/2025 15:16:22.011</v>
      </c>
      <c r="C4256" t="str">
        <f t="shared" si="1672"/>
        <v>FFDFD3C0</v>
      </c>
      <c r="D4256" t="s">
        <v>140</v>
      </c>
      <c r="E4256" t="str">
        <f>"13"</f>
        <v>13</v>
      </c>
      <c r="F4256">
        <v>1019</v>
      </c>
      <c r="G4256" t="s">
        <v>141</v>
      </c>
      <c r="J4256" t="s">
        <v>142</v>
      </c>
      <c r="K4256">
        <v>0</v>
      </c>
      <c r="L4256">
        <v>3</v>
      </c>
      <c r="M4256">
        <v>0</v>
      </c>
      <c r="N4256">
        <v>2</v>
      </c>
      <c r="O4256">
        <v>0</v>
      </c>
      <c r="P4256">
        <v>1</v>
      </c>
      <c r="Q4256">
        <v>0</v>
      </c>
      <c r="R4256" t="s">
        <v>127</v>
      </c>
      <c r="S4256" t="str">
        <f t="shared" ref="S4256:T4261" si="1686">"15:16:21.000"</f>
        <v>15:16:21.000</v>
      </c>
      <c r="T4256" t="str">
        <f t="shared" si="1686"/>
        <v>15:16:21.000</v>
      </c>
      <c r="U4256" t="str">
        <f t="shared" si="1674"/>
        <v>A68FCB</v>
      </c>
      <c r="V4256">
        <v>0</v>
      </c>
      <c r="W4256">
        <v>0</v>
      </c>
      <c r="X4256">
        <v>2</v>
      </c>
      <c r="Y4256">
        <v>0</v>
      </c>
      <c r="AA4256">
        <v>1</v>
      </c>
      <c r="AB4256">
        <v>8</v>
      </c>
      <c r="AC4256">
        <v>3</v>
      </c>
      <c r="AD4256">
        <v>0</v>
      </c>
      <c r="AE4256">
        <v>9</v>
      </c>
      <c r="AF4256" t="s">
        <v>138</v>
      </c>
      <c r="AG4256">
        <v>0</v>
      </c>
      <c r="AH4256">
        <v>3</v>
      </c>
      <c r="AI4256">
        <v>2</v>
      </c>
      <c r="AJ4256">
        <v>0</v>
      </c>
      <c r="AK4256" t="s">
        <v>1352</v>
      </c>
      <c r="AL4256">
        <v>39.195205999999999</v>
      </c>
      <c r="AM4256" t="s">
        <v>1353</v>
      </c>
      <c r="AN4256">
        <v>-121.01734399999999</v>
      </c>
      <c r="AO4256">
        <v>25</v>
      </c>
      <c r="AP4256">
        <v>4300</v>
      </c>
      <c r="AQ4256" t="s">
        <v>131</v>
      </c>
      <c r="AR4256">
        <v>34</v>
      </c>
      <c r="AS4256">
        <v>61</v>
      </c>
      <c r="AT4256">
        <v>-448</v>
      </c>
      <c r="BB4256" t="str">
        <f t="shared" si="1675"/>
        <v>1200</v>
      </c>
      <c r="BC4256">
        <v>1</v>
      </c>
      <c r="BD4256" t="str">
        <f t="shared" si="1676"/>
        <v xml:space="preserve">N52156  </v>
      </c>
      <c r="BE4256">
        <v>1</v>
      </c>
      <c r="BG4256">
        <v>0</v>
      </c>
      <c r="BH4256">
        <v>0</v>
      </c>
      <c r="BI4256">
        <v>0</v>
      </c>
      <c r="BJ4256">
        <v>4375</v>
      </c>
      <c r="BK4256">
        <v>75</v>
      </c>
      <c r="BL4256" t="s">
        <v>188</v>
      </c>
      <c r="BM4256">
        <v>1</v>
      </c>
      <c r="BN4256">
        <v>1</v>
      </c>
      <c r="BO4256">
        <v>0</v>
      </c>
      <c r="BP4256">
        <v>0</v>
      </c>
      <c r="BS4256">
        <v>0</v>
      </c>
      <c r="BT4256">
        <v>0</v>
      </c>
      <c r="BU4256">
        <v>0</v>
      </c>
      <c r="CE4256" t="str">
        <f t="shared" ref="CE4256:CE4261" si="1687">"15:16:21.784"</f>
        <v>15:16:21.784</v>
      </c>
      <c r="CF4256">
        <v>784080313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3</v>
      </c>
      <c r="CY4256">
        <v>7</v>
      </c>
      <c r="CZ4256" t="s">
        <v>133</v>
      </c>
      <c r="DA4256">
        <v>276</v>
      </c>
      <c r="DB4256">
        <v>0</v>
      </c>
      <c r="DC4256" t="s">
        <v>402</v>
      </c>
      <c r="DD4256" t="s">
        <v>403</v>
      </c>
      <c r="DG4256">
        <v>1628483</v>
      </c>
      <c r="DI4256">
        <v>1</v>
      </c>
      <c r="DJ4256">
        <v>0</v>
      </c>
      <c r="DK4256">
        <v>0</v>
      </c>
      <c r="DL4256">
        <v>0</v>
      </c>
      <c r="DM4256">
        <v>0</v>
      </c>
      <c r="DN4256">
        <v>0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 x14ac:dyDescent="0.3">
      <c r="A4257" t="str">
        <f>"05/01/2025 15:16:22.013"</f>
        <v>05/01/2025 15:16:22.013</v>
      </c>
      <c r="C4257" t="str">
        <f t="shared" si="1672"/>
        <v>FFDFD3C0</v>
      </c>
      <c r="D4257" t="s">
        <v>124</v>
      </c>
      <c r="E4257" t="str">
        <f>"06"</f>
        <v>06</v>
      </c>
      <c r="F4257">
        <v>2006</v>
      </c>
      <c r="G4257" t="s">
        <v>125</v>
      </c>
      <c r="J4257" t="s">
        <v>126</v>
      </c>
      <c r="K4257">
        <v>0</v>
      </c>
      <c r="L4257">
        <v>3</v>
      </c>
      <c r="M4257">
        <v>0</v>
      </c>
      <c r="N4257">
        <v>2</v>
      </c>
      <c r="O4257">
        <v>0</v>
      </c>
      <c r="P4257">
        <v>1</v>
      </c>
      <c r="Q4257">
        <v>0</v>
      </c>
      <c r="R4257" t="s">
        <v>127</v>
      </c>
      <c r="S4257" t="str">
        <f t="shared" si="1686"/>
        <v>15:16:21.000</v>
      </c>
      <c r="T4257" t="str">
        <f t="shared" si="1686"/>
        <v>15:16:21.000</v>
      </c>
      <c r="U4257" t="str">
        <f t="shared" si="1674"/>
        <v>A68FCB</v>
      </c>
      <c r="V4257">
        <v>0</v>
      </c>
      <c r="W4257">
        <v>0</v>
      </c>
      <c r="X4257">
        <v>2</v>
      </c>
      <c r="Y4257">
        <v>0</v>
      </c>
      <c r="AA4257">
        <v>1</v>
      </c>
      <c r="AB4257">
        <v>8</v>
      </c>
      <c r="AC4257">
        <v>3</v>
      </c>
      <c r="AD4257">
        <v>0</v>
      </c>
      <c r="AE4257">
        <v>9</v>
      </c>
      <c r="AF4257" t="s">
        <v>138</v>
      </c>
      <c r="AG4257">
        <v>0</v>
      </c>
      <c r="AH4257">
        <v>3</v>
      </c>
      <c r="AI4257">
        <v>2</v>
      </c>
      <c r="AJ4257">
        <v>0</v>
      </c>
      <c r="AK4257" t="s">
        <v>1352</v>
      </c>
      <c r="AL4257">
        <v>39.195205999999999</v>
      </c>
      <c r="AM4257" t="s">
        <v>1353</v>
      </c>
      <c r="AN4257">
        <v>-121.01734399999999</v>
      </c>
      <c r="AO4257">
        <v>25</v>
      </c>
      <c r="AP4257">
        <v>4300</v>
      </c>
      <c r="AQ4257" t="s">
        <v>131</v>
      </c>
      <c r="AR4257">
        <v>34</v>
      </c>
      <c r="AS4257">
        <v>61</v>
      </c>
      <c r="AT4257">
        <v>-448</v>
      </c>
      <c r="BB4257" t="str">
        <f t="shared" si="1675"/>
        <v>1200</v>
      </c>
      <c r="BC4257">
        <v>1</v>
      </c>
      <c r="BD4257" t="str">
        <f t="shared" si="1676"/>
        <v xml:space="preserve">N52156  </v>
      </c>
      <c r="BE4257">
        <v>1</v>
      </c>
      <c r="BG4257">
        <v>0</v>
      </c>
      <c r="BH4257">
        <v>0</v>
      </c>
      <c r="BI4257">
        <v>0</v>
      </c>
      <c r="BJ4257">
        <v>4375</v>
      </c>
      <c r="BK4257">
        <v>75</v>
      </c>
      <c r="BL4257" t="s">
        <v>188</v>
      </c>
      <c r="BM4257">
        <v>1</v>
      </c>
      <c r="BN4257">
        <v>1</v>
      </c>
      <c r="BO4257">
        <v>0</v>
      </c>
      <c r="BP4257">
        <v>0</v>
      </c>
      <c r="BS4257">
        <v>0</v>
      </c>
      <c r="BT4257">
        <v>0</v>
      </c>
      <c r="BU4257">
        <v>0</v>
      </c>
      <c r="CE4257" t="str">
        <f t="shared" si="1687"/>
        <v>15:16:21.784</v>
      </c>
      <c r="CF4257">
        <v>784080313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3</v>
      </c>
      <c r="CY4257">
        <v>7</v>
      </c>
      <c r="CZ4257" t="s">
        <v>133</v>
      </c>
      <c r="DA4257">
        <v>276</v>
      </c>
      <c r="DB4257">
        <v>0</v>
      </c>
      <c r="DC4257" t="s">
        <v>402</v>
      </c>
      <c r="DD4257" t="s">
        <v>403</v>
      </c>
      <c r="DG4257">
        <v>1628483</v>
      </c>
      <c r="DI4257">
        <v>1</v>
      </c>
      <c r="DJ4257">
        <v>0</v>
      </c>
      <c r="DK4257">
        <v>1</v>
      </c>
      <c r="DL4257">
        <v>0</v>
      </c>
      <c r="DM4257">
        <v>0</v>
      </c>
      <c r="DN4257">
        <v>0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 x14ac:dyDescent="0.3">
      <c r="A4258" t="str">
        <f>"05/01/2025 15:16:22.013"</f>
        <v>05/01/2025 15:16:22.013</v>
      </c>
      <c r="C4258" t="str">
        <f t="shared" si="1672"/>
        <v>FFDFD3C0</v>
      </c>
      <c r="D4258" t="s">
        <v>143</v>
      </c>
      <c r="E4258" t="str">
        <f>"05"</f>
        <v>05</v>
      </c>
      <c r="H4258">
        <v>172</v>
      </c>
      <c r="I4258" t="s">
        <v>141</v>
      </c>
      <c r="J4258" t="s">
        <v>144</v>
      </c>
      <c r="K4258">
        <v>0</v>
      </c>
      <c r="L4258">
        <v>3</v>
      </c>
      <c r="M4258">
        <v>0</v>
      </c>
      <c r="N4258">
        <v>2</v>
      </c>
      <c r="O4258">
        <v>0</v>
      </c>
      <c r="P4258">
        <v>1</v>
      </c>
      <c r="Q4258">
        <v>0</v>
      </c>
      <c r="R4258" t="s">
        <v>127</v>
      </c>
      <c r="S4258" t="str">
        <f t="shared" si="1686"/>
        <v>15:16:21.000</v>
      </c>
      <c r="T4258" t="str">
        <f t="shared" si="1686"/>
        <v>15:16:21.000</v>
      </c>
      <c r="U4258" t="str">
        <f t="shared" si="1674"/>
        <v>A68FCB</v>
      </c>
      <c r="V4258">
        <v>0</v>
      </c>
      <c r="W4258">
        <v>0</v>
      </c>
      <c r="X4258">
        <v>2</v>
      </c>
      <c r="Y4258">
        <v>0</v>
      </c>
      <c r="AA4258">
        <v>1</v>
      </c>
      <c r="AB4258">
        <v>8</v>
      </c>
      <c r="AC4258">
        <v>3</v>
      </c>
      <c r="AD4258">
        <v>0</v>
      </c>
      <c r="AE4258">
        <v>9</v>
      </c>
      <c r="AF4258" t="s">
        <v>138</v>
      </c>
      <c r="AG4258">
        <v>0</v>
      </c>
      <c r="AH4258">
        <v>3</v>
      </c>
      <c r="AI4258">
        <v>2</v>
      </c>
      <c r="AJ4258">
        <v>0</v>
      </c>
      <c r="AK4258" t="s">
        <v>1352</v>
      </c>
      <c r="AL4258">
        <v>39.195205999999999</v>
      </c>
      <c r="AM4258" t="s">
        <v>1353</v>
      </c>
      <c r="AN4258">
        <v>-121.01734399999999</v>
      </c>
      <c r="AO4258">
        <v>25</v>
      </c>
      <c r="AP4258">
        <v>4300</v>
      </c>
      <c r="AQ4258" t="s">
        <v>131</v>
      </c>
      <c r="AR4258">
        <v>34</v>
      </c>
      <c r="AS4258">
        <v>61</v>
      </c>
      <c r="AT4258">
        <v>-448</v>
      </c>
      <c r="BB4258" t="str">
        <f t="shared" si="1675"/>
        <v>1200</v>
      </c>
      <c r="BC4258">
        <v>1</v>
      </c>
      <c r="BD4258" t="str">
        <f t="shared" si="1676"/>
        <v xml:space="preserve">N52156  </v>
      </c>
      <c r="BE4258">
        <v>1</v>
      </c>
      <c r="BG4258">
        <v>0</v>
      </c>
      <c r="BH4258">
        <v>0</v>
      </c>
      <c r="BI4258">
        <v>0</v>
      </c>
      <c r="BJ4258">
        <v>4375</v>
      </c>
      <c r="BK4258">
        <v>75</v>
      </c>
      <c r="BL4258" t="s">
        <v>188</v>
      </c>
      <c r="BM4258">
        <v>1</v>
      </c>
      <c r="BN4258">
        <v>1</v>
      </c>
      <c r="BO4258">
        <v>0</v>
      </c>
      <c r="BP4258">
        <v>0</v>
      </c>
      <c r="BS4258">
        <v>0</v>
      </c>
      <c r="BT4258">
        <v>0</v>
      </c>
      <c r="BU4258">
        <v>0</v>
      </c>
      <c r="CE4258" t="str">
        <f t="shared" si="1687"/>
        <v>15:16:21.784</v>
      </c>
      <c r="CF4258">
        <v>784080313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3</v>
      </c>
      <c r="CY4258">
        <v>7</v>
      </c>
      <c r="CZ4258" t="s">
        <v>133</v>
      </c>
      <c r="DA4258">
        <v>276</v>
      </c>
      <c r="DB4258">
        <v>0</v>
      </c>
      <c r="DC4258" t="s">
        <v>402</v>
      </c>
      <c r="DD4258" t="s">
        <v>403</v>
      </c>
      <c r="DG4258">
        <v>1628483</v>
      </c>
      <c r="DI4258">
        <v>1</v>
      </c>
      <c r="DJ4258">
        <v>0</v>
      </c>
      <c r="DK4258">
        <v>1</v>
      </c>
      <c r="DL4258">
        <v>0</v>
      </c>
      <c r="DM4258">
        <v>0</v>
      </c>
      <c r="DN4258">
        <v>0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 x14ac:dyDescent="0.3">
      <c r="A4259" t="str">
        <f>"05/01/2025 15:16:22.027"</f>
        <v>05/01/2025 15:16:22.027</v>
      </c>
      <c r="C4259" t="str">
        <f t="shared" si="1672"/>
        <v>FFDFD3C0</v>
      </c>
      <c r="D4259" t="s">
        <v>145</v>
      </c>
      <c r="E4259" t="str">
        <f>"09"</f>
        <v>09</v>
      </c>
      <c r="H4259">
        <v>51</v>
      </c>
      <c r="I4259" t="s">
        <v>147</v>
      </c>
      <c r="J4259" t="s">
        <v>138</v>
      </c>
      <c r="K4259">
        <v>0</v>
      </c>
      <c r="L4259">
        <v>3</v>
      </c>
      <c r="M4259">
        <v>0</v>
      </c>
      <c r="N4259">
        <v>2</v>
      </c>
      <c r="O4259">
        <v>0</v>
      </c>
      <c r="P4259">
        <v>1</v>
      </c>
      <c r="Q4259">
        <v>0</v>
      </c>
      <c r="R4259" t="s">
        <v>127</v>
      </c>
      <c r="S4259" t="str">
        <f t="shared" si="1686"/>
        <v>15:16:21.000</v>
      </c>
      <c r="T4259" t="str">
        <f t="shared" si="1686"/>
        <v>15:16:21.000</v>
      </c>
      <c r="U4259" t="str">
        <f t="shared" si="1674"/>
        <v>A68FCB</v>
      </c>
      <c r="V4259">
        <v>0</v>
      </c>
      <c r="W4259">
        <v>0</v>
      </c>
      <c r="X4259">
        <v>2</v>
      </c>
      <c r="Y4259">
        <v>0</v>
      </c>
      <c r="AA4259">
        <v>1</v>
      </c>
      <c r="AB4259">
        <v>8</v>
      </c>
      <c r="AC4259">
        <v>3</v>
      </c>
      <c r="AD4259">
        <v>0</v>
      </c>
      <c r="AE4259">
        <v>9</v>
      </c>
      <c r="AF4259" t="s">
        <v>138</v>
      </c>
      <c r="AG4259">
        <v>0</v>
      </c>
      <c r="AH4259">
        <v>3</v>
      </c>
      <c r="AI4259">
        <v>2</v>
      </c>
      <c r="AJ4259">
        <v>0</v>
      </c>
      <c r="AK4259" t="s">
        <v>1352</v>
      </c>
      <c r="AL4259">
        <v>39.195205999999999</v>
      </c>
      <c r="AM4259" t="s">
        <v>1353</v>
      </c>
      <c r="AN4259">
        <v>-121.01734399999999</v>
      </c>
      <c r="AO4259">
        <v>25</v>
      </c>
      <c r="AP4259">
        <v>4300</v>
      </c>
      <c r="AQ4259" t="s">
        <v>131</v>
      </c>
      <c r="AR4259">
        <v>34</v>
      </c>
      <c r="AS4259">
        <v>61</v>
      </c>
      <c r="AT4259">
        <v>-448</v>
      </c>
      <c r="BB4259" t="str">
        <f t="shared" si="1675"/>
        <v>1200</v>
      </c>
      <c r="BC4259">
        <v>1</v>
      </c>
      <c r="BD4259" t="str">
        <f t="shared" si="1676"/>
        <v xml:space="preserve">N52156  </v>
      </c>
      <c r="BE4259">
        <v>1</v>
      </c>
      <c r="BG4259">
        <v>0</v>
      </c>
      <c r="BH4259">
        <v>0</v>
      </c>
      <c r="BI4259">
        <v>0</v>
      </c>
      <c r="BJ4259">
        <v>4375</v>
      </c>
      <c r="BK4259">
        <v>75</v>
      </c>
      <c r="BL4259" t="s">
        <v>188</v>
      </c>
      <c r="BM4259">
        <v>1</v>
      </c>
      <c r="BN4259">
        <v>1</v>
      </c>
      <c r="BO4259">
        <v>0</v>
      </c>
      <c r="BP4259">
        <v>0</v>
      </c>
      <c r="BS4259">
        <v>0</v>
      </c>
      <c r="BT4259">
        <v>0</v>
      </c>
      <c r="BU4259">
        <v>0</v>
      </c>
      <c r="CE4259" t="str">
        <f t="shared" si="1687"/>
        <v>15:16:21.784</v>
      </c>
      <c r="CF4259">
        <v>784080313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3</v>
      </c>
      <c r="CY4259">
        <v>7</v>
      </c>
      <c r="CZ4259" t="s">
        <v>133</v>
      </c>
      <c r="DA4259">
        <v>276</v>
      </c>
      <c r="DB4259">
        <v>0</v>
      </c>
      <c r="DC4259" t="s">
        <v>402</v>
      </c>
      <c r="DD4259" t="s">
        <v>403</v>
      </c>
      <c r="DG4259">
        <v>1628483</v>
      </c>
      <c r="DI4259">
        <v>1</v>
      </c>
      <c r="DJ4259">
        <v>0</v>
      </c>
      <c r="DK4259">
        <v>1</v>
      </c>
      <c r="DL4259">
        <v>0</v>
      </c>
      <c r="DM4259">
        <v>0</v>
      </c>
      <c r="DN4259">
        <v>0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 x14ac:dyDescent="0.3">
      <c r="A4260" t="str">
        <f>"05/01/2025 15:16:22.032"</f>
        <v>05/01/2025 15:16:22.032</v>
      </c>
      <c r="C4260" t="str">
        <f t="shared" si="1672"/>
        <v>FFDFD3C0</v>
      </c>
      <c r="D4260" t="s">
        <v>145</v>
      </c>
      <c r="E4260" t="str">
        <f>"05"</f>
        <v>05</v>
      </c>
      <c r="H4260">
        <v>47</v>
      </c>
      <c r="I4260" t="s">
        <v>146</v>
      </c>
      <c r="J4260" t="s">
        <v>138</v>
      </c>
      <c r="K4260">
        <v>0</v>
      </c>
      <c r="L4260">
        <v>3</v>
      </c>
      <c r="M4260">
        <v>0</v>
      </c>
      <c r="N4260">
        <v>2</v>
      </c>
      <c r="O4260">
        <v>0</v>
      </c>
      <c r="P4260">
        <v>1</v>
      </c>
      <c r="Q4260">
        <v>0</v>
      </c>
      <c r="R4260" t="s">
        <v>127</v>
      </c>
      <c r="S4260" t="str">
        <f t="shared" si="1686"/>
        <v>15:16:21.000</v>
      </c>
      <c r="T4260" t="str">
        <f t="shared" si="1686"/>
        <v>15:16:21.000</v>
      </c>
      <c r="U4260" t="str">
        <f t="shared" si="1674"/>
        <v>A68FCB</v>
      </c>
      <c r="V4260">
        <v>0</v>
      </c>
      <c r="W4260">
        <v>0</v>
      </c>
      <c r="X4260">
        <v>2</v>
      </c>
      <c r="Y4260">
        <v>0</v>
      </c>
      <c r="AA4260">
        <v>1</v>
      </c>
      <c r="AB4260">
        <v>8</v>
      </c>
      <c r="AC4260">
        <v>3</v>
      </c>
      <c r="AD4260">
        <v>0</v>
      </c>
      <c r="AE4260">
        <v>9</v>
      </c>
      <c r="AF4260" t="s">
        <v>138</v>
      </c>
      <c r="AG4260">
        <v>0</v>
      </c>
      <c r="AH4260">
        <v>3</v>
      </c>
      <c r="AI4260">
        <v>2</v>
      </c>
      <c r="AJ4260">
        <v>0</v>
      </c>
      <c r="AK4260" t="s">
        <v>1352</v>
      </c>
      <c r="AL4260">
        <v>39.195205999999999</v>
      </c>
      <c r="AM4260" t="s">
        <v>1353</v>
      </c>
      <c r="AN4260">
        <v>-121.01734399999999</v>
      </c>
      <c r="AO4260">
        <v>25</v>
      </c>
      <c r="AP4260">
        <v>4300</v>
      </c>
      <c r="AQ4260" t="s">
        <v>131</v>
      </c>
      <c r="AR4260">
        <v>34</v>
      </c>
      <c r="AS4260">
        <v>61</v>
      </c>
      <c r="AT4260">
        <v>-448</v>
      </c>
      <c r="BB4260" t="str">
        <f t="shared" si="1675"/>
        <v>1200</v>
      </c>
      <c r="BC4260">
        <v>1</v>
      </c>
      <c r="BD4260" t="str">
        <f t="shared" si="1676"/>
        <v xml:space="preserve">N52156  </v>
      </c>
      <c r="BE4260">
        <v>1</v>
      </c>
      <c r="BG4260">
        <v>0</v>
      </c>
      <c r="BH4260">
        <v>0</v>
      </c>
      <c r="BI4260">
        <v>0</v>
      </c>
      <c r="BJ4260">
        <v>4375</v>
      </c>
      <c r="BK4260">
        <v>75</v>
      </c>
      <c r="BL4260" t="s">
        <v>188</v>
      </c>
      <c r="BM4260">
        <v>1</v>
      </c>
      <c r="BN4260">
        <v>1</v>
      </c>
      <c r="BO4260">
        <v>0</v>
      </c>
      <c r="BP4260">
        <v>0</v>
      </c>
      <c r="BS4260">
        <v>0</v>
      </c>
      <c r="BT4260">
        <v>0</v>
      </c>
      <c r="BU4260">
        <v>0</v>
      </c>
      <c r="CE4260" t="str">
        <f t="shared" si="1687"/>
        <v>15:16:21.784</v>
      </c>
      <c r="CF4260">
        <v>784080313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3</v>
      </c>
      <c r="CY4260">
        <v>7</v>
      </c>
      <c r="CZ4260" t="s">
        <v>133</v>
      </c>
      <c r="DA4260">
        <v>276</v>
      </c>
      <c r="DB4260">
        <v>0</v>
      </c>
      <c r="DC4260" t="s">
        <v>402</v>
      </c>
      <c r="DD4260" t="s">
        <v>403</v>
      </c>
      <c r="DG4260">
        <v>1628483</v>
      </c>
      <c r="DI4260">
        <v>1</v>
      </c>
      <c r="DJ4260">
        <v>0</v>
      </c>
      <c r="DK4260">
        <v>1</v>
      </c>
      <c r="DL4260">
        <v>0</v>
      </c>
      <c r="DM4260">
        <v>0</v>
      </c>
      <c r="DN4260">
        <v>0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 x14ac:dyDescent="0.3">
      <c r="A4261" t="str">
        <f>"05/01/2025 15:16:22.042"</f>
        <v>05/01/2025 15:16:22.042</v>
      </c>
      <c r="C4261" t="str">
        <f t="shared" si="1672"/>
        <v>FFDFD3C0</v>
      </c>
      <c r="D4261" t="s">
        <v>136</v>
      </c>
      <c r="E4261" t="str">
        <f>"20"</f>
        <v>20</v>
      </c>
      <c r="H4261">
        <v>400</v>
      </c>
      <c r="I4261" t="s">
        <v>137</v>
      </c>
      <c r="J4261" t="s">
        <v>138</v>
      </c>
      <c r="K4261">
        <v>0</v>
      </c>
      <c r="L4261">
        <v>3</v>
      </c>
      <c r="M4261">
        <v>0</v>
      </c>
      <c r="N4261">
        <v>2</v>
      </c>
      <c r="O4261">
        <v>0</v>
      </c>
      <c r="P4261">
        <v>1</v>
      </c>
      <c r="Q4261">
        <v>0</v>
      </c>
      <c r="R4261" t="s">
        <v>127</v>
      </c>
      <c r="S4261" t="str">
        <f t="shared" si="1686"/>
        <v>15:16:21.000</v>
      </c>
      <c r="T4261" t="str">
        <f t="shared" si="1686"/>
        <v>15:16:21.000</v>
      </c>
      <c r="U4261" t="str">
        <f t="shared" si="1674"/>
        <v>A68FCB</v>
      </c>
      <c r="V4261">
        <v>0</v>
      </c>
      <c r="W4261">
        <v>0</v>
      </c>
      <c r="X4261">
        <v>2</v>
      </c>
      <c r="Y4261">
        <v>0</v>
      </c>
      <c r="AA4261">
        <v>1</v>
      </c>
      <c r="AB4261">
        <v>8</v>
      </c>
      <c r="AC4261">
        <v>3</v>
      </c>
      <c r="AD4261">
        <v>0</v>
      </c>
      <c r="AE4261">
        <v>9</v>
      </c>
      <c r="AF4261" t="s">
        <v>138</v>
      </c>
      <c r="AG4261">
        <v>0</v>
      </c>
      <c r="AH4261">
        <v>3</v>
      </c>
      <c r="AI4261">
        <v>2</v>
      </c>
      <c r="AJ4261">
        <v>0</v>
      </c>
      <c r="AK4261" t="s">
        <v>1352</v>
      </c>
      <c r="AL4261">
        <v>39.195205999999999</v>
      </c>
      <c r="AM4261" t="s">
        <v>1353</v>
      </c>
      <c r="AN4261">
        <v>-121.01734399999999</v>
      </c>
      <c r="AO4261">
        <v>25</v>
      </c>
      <c r="AP4261">
        <v>4300</v>
      </c>
      <c r="AQ4261" t="s">
        <v>131</v>
      </c>
      <c r="AR4261">
        <v>34</v>
      </c>
      <c r="AS4261">
        <v>61</v>
      </c>
      <c r="AT4261">
        <v>-448</v>
      </c>
      <c r="BB4261" t="str">
        <f t="shared" si="1675"/>
        <v>1200</v>
      </c>
      <c r="BC4261">
        <v>1</v>
      </c>
      <c r="BD4261" t="str">
        <f t="shared" si="1676"/>
        <v xml:space="preserve">N52156  </v>
      </c>
      <c r="BE4261">
        <v>1</v>
      </c>
      <c r="BG4261">
        <v>0</v>
      </c>
      <c r="BH4261">
        <v>0</v>
      </c>
      <c r="BI4261">
        <v>0</v>
      </c>
      <c r="BJ4261">
        <v>4375</v>
      </c>
      <c r="BK4261">
        <v>75</v>
      </c>
      <c r="BL4261" t="s">
        <v>188</v>
      </c>
      <c r="BM4261">
        <v>1</v>
      </c>
      <c r="BN4261">
        <v>1</v>
      </c>
      <c r="BO4261">
        <v>0</v>
      </c>
      <c r="BP4261">
        <v>0</v>
      </c>
      <c r="BS4261">
        <v>0</v>
      </c>
      <c r="BT4261">
        <v>0</v>
      </c>
      <c r="BU4261">
        <v>0</v>
      </c>
      <c r="CE4261" t="str">
        <f t="shared" si="1687"/>
        <v>15:16:21.784</v>
      </c>
      <c r="CF4261">
        <v>784080313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3</v>
      </c>
      <c r="CY4261">
        <v>7</v>
      </c>
      <c r="CZ4261" t="s">
        <v>133</v>
      </c>
      <c r="DA4261">
        <v>276</v>
      </c>
      <c r="DB4261">
        <v>0</v>
      </c>
      <c r="DC4261" t="s">
        <v>402</v>
      </c>
      <c r="DD4261" t="s">
        <v>403</v>
      </c>
      <c r="DG4261">
        <v>1628483</v>
      </c>
      <c r="DI4261">
        <v>1</v>
      </c>
      <c r="DJ4261">
        <v>0</v>
      </c>
      <c r="DK4261">
        <v>1</v>
      </c>
      <c r="DL4261">
        <v>0</v>
      </c>
      <c r="DM4261">
        <v>0</v>
      </c>
      <c r="DN4261">
        <v>0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 x14ac:dyDescent="0.3">
      <c r="A4262" t="str">
        <f>"05/01/2025 15:16:22.964"</f>
        <v>05/01/2025 15:16:22.964</v>
      </c>
      <c r="C4262" t="str">
        <f t="shared" si="1672"/>
        <v>FFDFD3C0</v>
      </c>
      <c r="D4262" t="s">
        <v>124</v>
      </c>
      <c r="E4262" t="str">
        <f>"06"</f>
        <v>06</v>
      </c>
      <c r="F4262">
        <v>2006</v>
      </c>
      <c r="G4262" t="s">
        <v>125</v>
      </c>
      <c r="J4262" t="s">
        <v>126</v>
      </c>
      <c r="K4262">
        <v>0</v>
      </c>
      <c r="L4262">
        <v>3</v>
      </c>
      <c r="M4262">
        <v>0</v>
      </c>
      <c r="N4262">
        <v>2</v>
      </c>
      <c r="O4262">
        <v>0</v>
      </c>
      <c r="P4262">
        <v>1</v>
      </c>
      <c r="Q4262">
        <v>0</v>
      </c>
      <c r="R4262" t="s">
        <v>127</v>
      </c>
      <c r="S4262" t="str">
        <f t="shared" ref="S4262:T4267" si="1688">"15:16:22.000"</f>
        <v>15:16:22.000</v>
      </c>
      <c r="T4262" t="str">
        <f t="shared" si="1688"/>
        <v>15:16:22.000</v>
      </c>
      <c r="U4262" t="str">
        <f t="shared" si="1674"/>
        <v>A68FCB</v>
      </c>
      <c r="V4262">
        <v>0</v>
      </c>
      <c r="W4262">
        <v>0</v>
      </c>
      <c r="X4262">
        <v>2</v>
      </c>
      <c r="Y4262">
        <v>0</v>
      </c>
      <c r="AA4262">
        <v>1</v>
      </c>
      <c r="AB4262">
        <v>8</v>
      </c>
      <c r="AC4262">
        <v>3</v>
      </c>
      <c r="AD4262">
        <v>0</v>
      </c>
      <c r="AE4262">
        <v>9</v>
      </c>
      <c r="AF4262" t="s">
        <v>138</v>
      </c>
      <c r="AG4262">
        <v>0</v>
      </c>
      <c r="AH4262">
        <v>3</v>
      </c>
      <c r="AI4262">
        <v>2</v>
      </c>
      <c r="AJ4262">
        <v>0</v>
      </c>
      <c r="AK4262" t="s">
        <v>1354</v>
      </c>
      <c r="AL4262">
        <v>39.195506999999999</v>
      </c>
      <c r="AM4262" t="s">
        <v>1355</v>
      </c>
      <c r="AN4262">
        <v>-121.017151</v>
      </c>
      <c r="AO4262">
        <v>25</v>
      </c>
      <c r="AP4262">
        <v>4300</v>
      </c>
      <c r="AQ4262" t="s">
        <v>131</v>
      </c>
      <c r="AR4262">
        <v>34</v>
      </c>
      <c r="AS4262">
        <v>60</v>
      </c>
      <c r="AT4262">
        <v>-512</v>
      </c>
      <c r="BB4262" t="str">
        <f t="shared" si="1675"/>
        <v>1200</v>
      </c>
      <c r="BC4262">
        <v>1</v>
      </c>
      <c r="BD4262" t="str">
        <f t="shared" si="1676"/>
        <v xml:space="preserve">N52156  </v>
      </c>
      <c r="BE4262">
        <v>1</v>
      </c>
      <c r="BG4262">
        <v>0</v>
      </c>
      <c r="BH4262">
        <v>0</v>
      </c>
      <c r="BI4262">
        <v>0</v>
      </c>
      <c r="BJ4262">
        <v>4375</v>
      </c>
      <c r="BK4262">
        <v>75</v>
      </c>
      <c r="BL4262" t="s">
        <v>188</v>
      </c>
      <c r="BM4262">
        <v>1</v>
      </c>
      <c r="BN4262">
        <v>1</v>
      </c>
      <c r="BO4262">
        <v>0</v>
      </c>
      <c r="BP4262">
        <v>0</v>
      </c>
      <c r="BS4262">
        <v>0</v>
      </c>
      <c r="BT4262">
        <v>0</v>
      </c>
      <c r="BU4262">
        <v>0</v>
      </c>
      <c r="CE4262" t="str">
        <f t="shared" ref="CE4262:CE4267" si="1689">"15:16:22.765"</f>
        <v>15:16:22.765</v>
      </c>
      <c r="CF4262">
        <v>764830292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4</v>
      </c>
      <c r="CY4262">
        <v>7</v>
      </c>
      <c r="CZ4262" t="s">
        <v>133</v>
      </c>
      <c r="DA4262">
        <v>276</v>
      </c>
      <c r="DB4262">
        <v>0</v>
      </c>
      <c r="DC4262" t="s">
        <v>402</v>
      </c>
      <c r="DD4262" t="s">
        <v>403</v>
      </c>
      <c r="DG4262">
        <v>1628486</v>
      </c>
      <c r="DI4262">
        <v>1</v>
      </c>
      <c r="DJ4262">
        <v>0</v>
      </c>
      <c r="DK4262">
        <v>0</v>
      </c>
      <c r="DL4262">
        <v>0</v>
      </c>
      <c r="DM4262">
        <v>0</v>
      </c>
      <c r="DN4262">
        <v>0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 x14ac:dyDescent="0.3">
      <c r="A4263" t="str">
        <f>"05/01/2025 15:16:22.963"</f>
        <v>05/01/2025 15:16:22.963</v>
      </c>
      <c r="C4263" t="str">
        <f t="shared" si="1672"/>
        <v>FFDFD3C0</v>
      </c>
      <c r="D4263" t="s">
        <v>140</v>
      </c>
      <c r="E4263" t="str">
        <f>"13"</f>
        <v>13</v>
      </c>
      <c r="F4263">
        <v>1019</v>
      </c>
      <c r="G4263" t="s">
        <v>141</v>
      </c>
      <c r="J4263" t="s">
        <v>142</v>
      </c>
      <c r="K4263">
        <v>0</v>
      </c>
      <c r="L4263">
        <v>3</v>
      </c>
      <c r="M4263">
        <v>0</v>
      </c>
      <c r="N4263">
        <v>2</v>
      </c>
      <c r="O4263">
        <v>0</v>
      </c>
      <c r="P4263">
        <v>1</v>
      </c>
      <c r="Q4263">
        <v>0</v>
      </c>
      <c r="R4263" t="s">
        <v>127</v>
      </c>
      <c r="S4263" t="str">
        <f t="shared" si="1688"/>
        <v>15:16:22.000</v>
      </c>
      <c r="T4263" t="str">
        <f t="shared" si="1688"/>
        <v>15:16:22.000</v>
      </c>
      <c r="U4263" t="str">
        <f t="shared" si="1674"/>
        <v>A68FCB</v>
      </c>
      <c r="V4263">
        <v>0</v>
      </c>
      <c r="W4263">
        <v>0</v>
      </c>
      <c r="X4263">
        <v>2</v>
      </c>
      <c r="Y4263">
        <v>0</v>
      </c>
      <c r="AA4263">
        <v>1</v>
      </c>
      <c r="AB4263">
        <v>8</v>
      </c>
      <c r="AC4263">
        <v>3</v>
      </c>
      <c r="AD4263">
        <v>0</v>
      </c>
      <c r="AE4263">
        <v>9</v>
      </c>
      <c r="AF4263" t="s">
        <v>138</v>
      </c>
      <c r="AG4263">
        <v>0</v>
      </c>
      <c r="AH4263">
        <v>3</v>
      </c>
      <c r="AI4263">
        <v>2</v>
      </c>
      <c r="AJ4263">
        <v>0</v>
      </c>
      <c r="AK4263" t="s">
        <v>1354</v>
      </c>
      <c r="AL4263">
        <v>39.195506999999999</v>
      </c>
      <c r="AM4263" t="s">
        <v>1355</v>
      </c>
      <c r="AN4263">
        <v>-121.017151</v>
      </c>
      <c r="AO4263">
        <v>25</v>
      </c>
      <c r="AP4263">
        <v>4300</v>
      </c>
      <c r="AQ4263" t="s">
        <v>131</v>
      </c>
      <c r="AR4263">
        <v>34</v>
      </c>
      <c r="AS4263">
        <v>60</v>
      </c>
      <c r="AT4263">
        <v>-512</v>
      </c>
      <c r="BB4263" t="str">
        <f t="shared" si="1675"/>
        <v>1200</v>
      </c>
      <c r="BC4263">
        <v>1</v>
      </c>
      <c r="BD4263" t="str">
        <f t="shared" si="1676"/>
        <v xml:space="preserve">N52156  </v>
      </c>
      <c r="BE4263">
        <v>1</v>
      </c>
      <c r="BG4263">
        <v>0</v>
      </c>
      <c r="BH4263">
        <v>0</v>
      </c>
      <c r="BI4263">
        <v>0</v>
      </c>
      <c r="BJ4263">
        <v>4375</v>
      </c>
      <c r="BK4263">
        <v>75</v>
      </c>
      <c r="BL4263" t="s">
        <v>188</v>
      </c>
      <c r="BM4263">
        <v>1</v>
      </c>
      <c r="BN4263">
        <v>1</v>
      </c>
      <c r="BO4263">
        <v>0</v>
      </c>
      <c r="BP4263">
        <v>0</v>
      </c>
      <c r="BS4263">
        <v>0</v>
      </c>
      <c r="BT4263">
        <v>0</v>
      </c>
      <c r="BU4263">
        <v>0</v>
      </c>
      <c r="CE4263" t="str">
        <f t="shared" si="1689"/>
        <v>15:16:22.765</v>
      </c>
      <c r="CF4263">
        <v>764830292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4</v>
      </c>
      <c r="CY4263">
        <v>7</v>
      </c>
      <c r="CZ4263" t="s">
        <v>133</v>
      </c>
      <c r="DA4263">
        <v>276</v>
      </c>
      <c r="DB4263">
        <v>0</v>
      </c>
      <c r="DC4263" t="s">
        <v>402</v>
      </c>
      <c r="DD4263" t="s">
        <v>403</v>
      </c>
      <c r="DG4263">
        <v>1628486</v>
      </c>
      <c r="DI4263">
        <v>1</v>
      </c>
      <c r="DJ4263">
        <v>0</v>
      </c>
      <c r="DK4263">
        <v>1</v>
      </c>
      <c r="DL4263">
        <v>0</v>
      </c>
      <c r="DM4263">
        <v>0</v>
      </c>
      <c r="DN4263">
        <v>0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 x14ac:dyDescent="0.3">
      <c r="A4264" t="str">
        <f>"05/01/2025 15:16:22.965"</f>
        <v>05/01/2025 15:16:22.965</v>
      </c>
      <c r="C4264" t="str">
        <f t="shared" si="1672"/>
        <v>FFDFD3C0</v>
      </c>
      <c r="D4264" t="s">
        <v>143</v>
      </c>
      <c r="E4264" t="str">
        <f>"05"</f>
        <v>05</v>
      </c>
      <c r="H4264">
        <v>172</v>
      </c>
      <c r="I4264" t="s">
        <v>141</v>
      </c>
      <c r="J4264" t="s">
        <v>144</v>
      </c>
      <c r="K4264">
        <v>0</v>
      </c>
      <c r="L4264">
        <v>3</v>
      </c>
      <c r="M4264">
        <v>0</v>
      </c>
      <c r="N4264">
        <v>2</v>
      </c>
      <c r="O4264">
        <v>0</v>
      </c>
      <c r="P4264">
        <v>1</v>
      </c>
      <c r="Q4264">
        <v>0</v>
      </c>
      <c r="R4264" t="s">
        <v>127</v>
      </c>
      <c r="S4264" t="str">
        <f t="shared" si="1688"/>
        <v>15:16:22.000</v>
      </c>
      <c r="T4264" t="str">
        <f t="shared" si="1688"/>
        <v>15:16:22.000</v>
      </c>
      <c r="U4264" t="str">
        <f t="shared" si="1674"/>
        <v>A68FCB</v>
      </c>
      <c r="V4264">
        <v>0</v>
      </c>
      <c r="W4264">
        <v>0</v>
      </c>
      <c r="X4264">
        <v>2</v>
      </c>
      <c r="Y4264">
        <v>0</v>
      </c>
      <c r="AA4264">
        <v>1</v>
      </c>
      <c r="AB4264">
        <v>8</v>
      </c>
      <c r="AC4264">
        <v>3</v>
      </c>
      <c r="AD4264">
        <v>0</v>
      </c>
      <c r="AE4264">
        <v>9</v>
      </c>
      <c r="AF4264" t="s">
        <v>138</v>
      </c>
      <c r="AG4264">
        <v>0</v>
      </c>
      <c r="AH4264">
        <v>3</v>
      </c>
      <c r="AI4264">
        <v>2</v>
      </c>
      <c r="AJ4264">
        <v>0</v>
      </c>
      <c r="AK4264" t="s">
        <v>1354</v>
      </c>
      <c r="AL4264">
        <v>39.195506999999999</v>
      </c>
      <c r="AM4264" t="s">
        <v>1355</v>
      </c>
      <c r="AN4264">
        <v>-121.017151</v>
      </c>
      <c r="AO4264">
        <v>25</v>
      </c>
      <c r="AP4264">
        <v>4300</v>
      </c>
      <c r="AQ4264" t="s">
        <v>131</v>
      </c>
      <c r="AR4264">
        <v>34</v>
      </c>
      <c r="AS4264">
        <v>60</v>
      </c>
      <c r="AT4264">
        <v>-512</v>
      </c>
      <c r="BB4264" t="str">
        <f t="shared" si="1675"/>
        <v>1200</v>
      </c>
      <c r="BC4264">
        <v>1</v>
      </c>
      <c r="BD4264" t="str">
        <f t="shared" si="1676"/>
        <v xml:space="preserve">N52156  </v>
      </c>
      <c r="BE4264">
        <v>1</v>
      </c>
      <c r="BG4264">
        <v>0</v>
      </c>
      <c r="BH4264">
        <v>0</v>
      </c>
      <c r="BI4264">
        <v>0</v>
      </c>
      <c r="BJ4264">
        <v>4375</v>
      </c>
      <c r="BK4264">
        <v>75</v>
      </c>
      <c r="BL4264" t="s">
        <v>188</v>
      </c>
      <c r="BM4264">
        <v>1</v>
      </c>
      <c r="BN4264">
        <v>1</v>
      </c>
      <c r="BO4264">
        <v>0</v>
      </c>
      <c r="BP4264">
        <v>0</v>
      </c>
      <c r="BS4264">
        <v>0</v>
      </c>
      <c r="BT4264">
        <v>0</v>
      </c>
      <c r="BU4264">
        <v>0</v>
      </c>
      <c r="CE4264" t="str">
        <f t="shared" si="1689"/>
        <v>15:16:22.765</v>
      </c>
      <c r="CF4264">
        <v>764830292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4</v>
      </c>
      <c r="CY4264">
        <v>7</v>
      </c>
      <c r="CZ4264" t="s">
        <v>133</v>
      </c>
      <c r="DA4264">
        <v>276</v>
      </c>
      <c r="DB4264">
        <v>0</v>
      </c>
      <c r="DC4264" t="s">
        <v>402</v>
      </c>
      <c r="DD4264" t="s">
        <v>403</v>
      </c>
      <c r="DG4264">
        <v>1628486</v>
      </c>
      <c r="DI4264">
        <v>1</v>
      </c>
      <c r="DJ4264">
        <v>0</v>
      </c>
      <c r="DK4264">
        <v>1</v>
      </c>
      <c r="DL4264">
        <v>0</v>
      </c>
      <c r="DM4264">
        <v>0</v>
      </c>
      <c r="DN4264">
        <v>0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 x14ac:dyDescent="0.3">
      <c r="A4265" t="str">
        <f>"05/01/2025 15:16:22.979"</f>
        <v>05/01/2025 15:16:22.979</v>
      </c>
      <c r="C4265" t="str">
        <f t="shared" si="1672"/>
        <v>FFDFD3C0</v>
      </c>
      <c r="D4265" t="s">
        <v>145</v>
      </c>
      <c r="E4265" t="str">
        <f>"09"</f>
        <v>09</v>
      </c>
      <c r="H4265">
        <v>51</v>
      </c>
      <c r="I4265" t="s">
        <v>147</v>
      </c>
      <c r="J4265" t="s">
        <v>138</v>
      </c>
      <c r="K4265">
        <v>0</v>
      </c>
      <c r="L4265">
        <v>3</v>
      </c>
      <c r="M4265">
        <v>0</v>
      </c>
      <c r="N4265">
        <v>2</v>
      </c>
      <c r="O4265">
        <v>0</v>
      </c>
      <c r="P4265">
        <v>1</v>
      </c>
      <c r="Q4265">
        <v>0</v>
      </c>
      <c r="R4265" t="s">
        <v>127</v>
      </c>
      <c r="S4265" t="str">
        <f t="shared" si="1688"/>
        <v>15:16:22.000</v>
      </c>
      <c r="T4265" t="str">
        <f t="shared" si="1688"/>
        <v>15:16:22.000</v>
      </c>
      <c r="U4265" t="str">
        <f t="shared" si="1674"/>
        <v>A68FCB</v>
      </c>
      <c r="V4265">
        <v>0</v>
      </c>
      <c r="W4265">
        <v>0</v>
      </c>
      <c r="X4265">
        <v>2</v>
      </c>
      <c r="Y4265">
        <v>0</v>
      </c>
      <c r="AA4265">
        <v>1</v>
      </c>
      <c r="AB4265">
        <v>8</v>
      </c>
      <c r="AC4265">
        <v>3</v>
      </c>
      <c r="AD4265">
        <v>0</v>
      </c>
      <c r="AE4265">
        <v>9</v>
      </c>
      <c r="AF4265" t="s">
        <v>138</v>
      </c>
      <c r="AG4265">
        <v>0</v>
      </c>
      <c r="AH4265">
        <v>3</v>
      </c>
      <c r="AI4265">
        <v>2</v>
      </c>
      <c r="AJ4265">
        <v>0</v>
      </c>
      <c r="AK4265" t="s">
        <v>1354</v>
      </c>
      <c r="AL4265">
        <v>39.195506999999999</v>
      </c>
      <c r="AM4265" t="s">
        <v>1355</v>
      </c>
      <c r="AN4265">
        <v>-121.017151</v>
      </c>
      <c r="AO4265">
        <v>25</v>
      </c>
      <c r="AP4265">
        <v>4300</v>
      </c>
      <c r="AQ4265" t="s">
        <v>131</v>
      </c>
      <c r="AR4265">
        <v>34</v>
      </c>
      <c r="AS4265">
        <v>60</v>
      </c>
      <c r="AT4265">
        <v>-512</v>
      </c>
      <c r="BB4265" t="str">
        <f t="shared" si="1675"/>
        <v>1200</v>
      </c>
      <c r="BC4265">
        <v>1</v>
      </c>
      <c r="BD4265" t="str">
        <f t="shared" si="1676"/>
        <v xml:space="preserve">N52156  </v>
      </c>
      <c r="BE4265">
        <v>1</v>
      </c>
      <c r="BG4265">
        <v>0</v>
      </c>
      <c r="BH4265">
        <v>0</v>
      </c>
      <c r="BI4265">
        <v>0</v>
      </c>
      <c r="BJ4265">
        <v>4375</v>
      </c>
      <c r="BK4265">
        <v>75</v>
      </c>
      <c r="BL4265" t="s">
        <v>188</v>
      </c>
      <c r="BM4265">
        <v>1</v>
      </c>
      <c r="BN4265">
        <v>1</v>
      </c>
      <c r="BO4265">
        <v>0</v>
      </c>
      <c r="BP4265">
        <v>0</v>
      </c>
      <c r="BS4265">
        <v>0</v>
      </c>
      <c r="BT4265">
        <v>0</v>
      </c>
      <c r="BU4265">
        <v>0</v>
      </c>
      <c r="CE4265" t="str">
        <f t="shared" si="1689"/>
        <v>15:16:22.765</v>
      </c>
      <c r="CF4265">
        <v>764830292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4</v>
      </c>
      <c r="CY4265">
        <v>7</v>
      </c>
      <c r="CZ4265" t="s">
        <v>133</v>
      </c>
      <c r="DA4265">
        <v>276</v>
      </c>
      <c r="DB4265">
        <v>0</v>
      </c>
      <c r="DC4265" t="s">
        <v>402</v>
      </c>
      <c r="DD4265" t="s">
        <v>403</v>
      </c>
      <c r="DG4265">
        <v>1628486</v>
      </c>
      <c r="DI4265">
        <v>1</v>
      </c>
      <c r="DJ4265">
        <v>0</v>
      </c>
      <c r="DK4265">
        <v>1</v>
      </c>
      <c r="DL4265">
        <v>0</v>
      </c>
      <c r="DM4265">
        <v>0</v>
      </c>
      <c r="DN4265">
        <v>0</v>
      </c>
      <c r="DO4265">
        <v>0</v>
      </c>
      <c r="DP4265">
        <v>0</v>
      </c>
      <c r="DQ4265">
        <v>0</v>
      </c>
      <c r="DR4265">
        <v>0</v>
      </c>
      <c r="DS4265">
        <v>0</v>
      </c>
    </row>
    <row r="4266" spans="1:123" x14ac:dyDescent="0.3">
      <c r="A4266" t="str">
        <f>"05/01/2025 15:16:22.983"</f>
        <v>05/01/2025 15:16:22.983</v>
      </c>
      <c r="C4266" t="str">
        <f t="shared" si="1672"/>
        <v>FFDFD3C0</v>
      </c>
      <c r="D4266" t="s">
        <v>145</v>
      </c>
      <c r="E4266" t="str">
        <f>"05"</f>
        <v>05</v>
      </c>
      <c r="H4266">
        <v>47</v>
      </c>
      <c r="I4266" t="s">
        <v>146</v>
      </c>
      <c r="J4266" t="s">
        <v>138</v>
      </c>
      <c r="K4266">
        <v>0</v>
      </c>
      <c r="L4266">
        <v>3</v>
      </c>
      <c r="M4266">
        <v>0</v>
      </c>
      <c r="N4266">
        <v>2</v>
      </c>
      <c r="O4266">
        <v>0</v>
      </c>
      <c r="P4266">
        <v>1</v>
      </c>
      <c r="Q4266">
        <v>0</v>
      </c>
      <c r="R4266" t="s">
        <v>127</v>
      </c>
      <c r="S4266" t="str">
        <f t="shared" si="1688"/>
        <v>15:16:22.000</v>
      </c>
      <c r="T4266" t="str">
        <f t="shared" si="1688"/>
        <v>15:16:22.000</v>
      </c>
      <c r="U4266" t="str">
        <f t="shared" si="1674"/>
        <v>A68FCB</v>
      </c>
      <c r="V4266">
        <v>0</v>
      </c>
      <c r="W4266">
        <v>0</v>
      </c>
      <c r="X4266">
        <v>2</v>
      </c>
      <c r="Y4266">
        <v>0</v>
      </c>
      <c r="AA4266">
        <v>1</v>
      </c>
      <c r="AB4266">
        <v>8</v>
      </c>
      <c r="AC4266">
        <v>3</v>
      </c>
      <c r="AD4266">
        <v>0</v>
      </c>
      <c r="AE4266">
        <v>9</v>
      </c>
      <c r="AF4266" t="s">
        <v>138</v>
      </c>
      <c r="AG4266">
        <v>0</v>
      </c>
      <c r="AH4266">
        <v>3</v>
      </c>
      <c r="AI4266">
        <v>2</v>
      </c>
      <c r="AJ4266">
        <v>0</v>
      </c>
      <c r="AK4266" t="s">
        <v>1354</v>
      </c>
      <c r="AL4266">
        <v>39.195506999999999</v>
      </c>
      <c r="AM4266" t="s">
        <v>1355</v>
      </c>
      <c r="AN4266">
        <v>-121.017151</v>
      </c>
      <c r="AO4266">
        <v>25</v>
      </c>
      <c r="AP4266">
        <v>4300</v>
      </c>
      <c r="AQ4266" t="s">
        <v>131</v>
      </c>
      <c r="AR4266">
        <v>34</v>
      </c>
      <c r="AS4266">
        <v>60</v>
      </c>
      <c r="AT4266">
        <v>-512</v>
      </c>
      <c r="BB4266" t="str">
        <f t="shared" si="1675"/>
        <v>1200</v>
      </c>
      <c r="BC4266">
        <v>1</v>
      </c>
      <c r="BD4266" t="str">
        <f t="shared" si="1676"/>
        <v xml:space="preserve">N52156  </v>
      </c>
      <c r="BE4266">
        <v>1</v>
      </c>
      <c r="BG4266">
        <v>0</v>
      </c>
      <c r="BH4266">
        <v>0</v>
      </c>
      <c r="BI4266">
        <v>0</v>
      </c>
      <c r="BJ4266">
        <v>4375</v>
      </c>
      <c r="BK4266">
        <v>75</v>
      </c>
      <c r="BL4266" t="s">
        <v>188</v>
      </c>
      <c r="BM4266">
        <v>1</v>
      </c>
      <c r="BN4266">
        <v>1</v>
      </c>
      <c r="BO4266">
        <v>0</v>
      </c>
      <c r="BP4266">
        <v>0</v>
      </c>
      <c r="BS4266">
        <v>0</v>
      </c>
      <c r="BT4266">
        <v>0</v>
      </c>
      <c r="BU4266">
        <v>0</v>
      </c>
      <c r="CE4266" t="str">
        <f t="shared" si="1689"/>
        <v>15:16:22.765</v>
      </c>
      <c r="CF4266">
        <v>764830292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4</v>
      </c>
      <c r="CY4266">
        <v>7</v>
      </c>
      <c r="CZ4266" t="s">
        <v>133</v>
      </c>
      <c r="DA4266">
        <v>276</v>
      </c>
      <c r="DB4266">
        <v>0</v>
      </c>
      <c r="DC4266" t="s">
        <v>402</v>
      </c>
      <c r="DD4266" t="s">
        <v>403</v>
      </c>
      <c r="DG4266">
        <v>1628486</v>
      </c>
      <c r="DI4266">
        <v>1</v>
      </c>
      <c r="DJ4266">
        <v>0</v>
      </c>
      <c r="DK4266">
        <v>1</v>
      </c>
      <c r="DL4266">
        <v>0</v>
      </c>
      <c r="DM4266">
        <v>0</v>
      </c>
      <c r="DN4266">
        <v>0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 x14ac:dyDescent="0.3">
      <c r="A4267" t="str">
        <f>"05/01/2025 15:16:22.994"</f>
        <v>05/01/2025 15:16:22.994</v>
      </c>
      <c r="C4267" t="str">
        <f t="shared" si="1672"/>
        <v>FFDFD3C0</v>
      </c>
      <c r="D4267" t="s">
        <v>136</v>
      </c>
      <c r="E4267" t="str">
        <f>"20"</f>
        <v>20</v>
      </c>
      <c r="H4267">
        <v>400</v>
      </c>
      <c r="I4267" t="s">
        <v>137</v>
      </c>
      <c r="J4267" t="s">
        <v>138</v>
      </c>
      <c r="K4267">
        <v>0</v>
      </c>
      <c r="L4267">
        <v>3</v>
      </c>
      <c r="M4267">
        <v>0</v>
      </c>
      <c r="N4267">
        <v>2</v>
      </c>
      <c r="O4267">
        <v>0</v>
      </c>
      <c r="P4267">
        <v>1</v>
      </c>
      <c r="Q4267">
        <v>0</v>
      </c>
      <c r="R4267" t="s">
        <v>127</v>
      </c>
      <c r="S4267" t="str">
        <f t="shared" si="1688"/>
        <v>15:16:22.000</v>
      </c>
      <c r="T4267" t="str">
        <f t="shared" si="1688"/>
        <v>15:16:22.000</v>
      </c>
      <c r="U4267" t="str">
        <f t="shared" si="1674"/>
        <v>A68FCB</v>
      </c>
      <c r="V4267">
        <v>0</v>
      </c>
      <c r="W4267">
        <v>0</v>
      </c>
      <c r="X4267">
        <v>2</v>
      </c>
      <c r="Y4267">
        <v>0</v>
      </c>
      <c r="AA4267">
        <v>1</v>
      </c>
      <c r="AB4267">
        <v>8</v>
      </c>
      <c r="AC4267">
        <v>3</v>
      </c>
      <c r="AD4267">
        <v>0</v>
      </c>
      <c r="AE4267">
        <v>9</v>
      </c>
      <c r="AF4267" t="s">
        <v>138</v>
      </c>
      <c r="AG4267">
        <v>0</v>
      </c>
      <c r="AH4267">
        <v>3</v>
      </c>
      <c r="AI4267">
        <v>2</v>
      </c>
      <c r="AJ4267">
        <v>0</v>
      </c>
      <c r="AK4267" t="s">
        <v>1354</v>
      </c>
      <c r="AL4267">
        <v>39.195506999999999</v>
      </c>
      <c r="AM4267" t="s">
        <v>1355</v>
      </c>
      <c r="AN4267">
        <v>-121.017151</v>
      </c>
      <c r="AO4267">
        <v>25</v>
      </c>
      <c r="AP4267">
        <v>4300</v>
      </c>
      <c r="AQ4267" t="s">
        <v>131</v>
      </c>
      <c r="AR4267">
        <v>34</v>
      </c>
      <c r="AS4267">
        <v>60</v>
      </c>
      <c r="AT4267">
        <v>-512</v>
      </c>
      <c r="BB4267" t="str">
        <f t="shared" si="1675"/>
        <v>1200</v>
      </c>
      <c r="BC4267">
        <v>1</v>
      </c>
      <c r="BD4267" t="str">
        <f t="shared" si="1676"/>
        <v xml:space="preserve">N52156  </v>
      </c>
      <c r="BE4267">
        <v>1</v>
      </c>
      <c r="BG4267">
        <v>0</v>
      </c>
      <c r="BH4267">
        <v>0</v>
      </c>
      <c r="BI4267">
        <v>0</v>
      </c>
      <c r="BJ4267">
        <v>4375</v>
      </c>
      <c r="BK4267">
        <v>75</v>
      </c>
      <c r="BL4267" t="s">
        <v>188</v>
      </c>
      <c r="BM4267">
        <v>1</v>
      </c>
      <c r="BN4267">
        <v>1</v>
      </c>
      <c r="BO4267">
        <v>0</v>
      </c>
      <c r="BP4267">
        <v>0</v>
      </c>
      <c r="BS4267">
        <v>0</v>
      </c>
      <c r="BT4267">
        <v>0</v>
      </c>
      <c r="BU4267">
        <v>0</v>
      </c>
      <c r="CE4267" t="str">
        <f t="shared" si="1689"/>
        <v>15:16:22.765</v>
      </c>
      <c r="CF4267">
        <v>764830292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4</v>
      </c>
      <c r="CY4267">
        <v>7</v>
      </c>
      <c r="CZ4267" t="s">
        <v>133</v>
      </c>
      <c r="DA4267">
        <v>276</v>
      </c>
      <c r="DB4267">
        <v>0</v>
      </c>
      <c r="DC4267" t="s">
        <v>402</v>
      </c>
      <c r="DD4267" t="s">
        <v>403</v>
      </c>
      <c r="DG4267">
        <v>1628486</v>
      </c>
      <c r="DI4267">
        <v>1</v>
      </c>
      <c r="DJ4267">
        <v>0</v>
      </c>
      <c r="DK4267">
        <v>1</v>
      </c>
      <c r="DL4267">
        <v>0</v>
      </c>
      <c r="DM4267">
        <v>0</v>
      </c>
      <c r="DN4267">
        <v>0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 x14ac:dyDescent="0.3">
      <c r="A4268" t="str">
        <f>"05/01/2025 15:16:23.681"</f>
        <v>05/01/2025 15:16:23.681</v>
      </c>
      <c r="C4268" t="str">
        <f t="shared" si="1672"/>
        <v>FFDFD3C0</v>
      </c>
      <c r="D4268" t="s">
        <v>145</v>
      </c>
      <c r="E4268" t="str">
        <f>"09"</f>
        <v>09</v>
      </c>
      <c r="H4268">
        <v>51</v>
      </c>
      <c r="I4268" t="s">
        <v>147</v>
      </c>
      <c r="J4268" t="s">
        <v>138</v>
      </c>
      <c r="K4268">
        <v>0</v>
      </c>
      <c r="L4268">
        <v>3</v>
      </c>
      <c r="M4268">
        <v>0</v>
      </c>
      <c r="N4268">
        <v>2</v>
      </c>
      <c r="O4268">
        <v>0</v>
      </c>
      <c r="P4268">
        <v>1</v>
      </c>
      <c r="Q4268">
        <v>0</v>
      </c>
      <c r="R4268" t="s">
        <v>127</v>
      </c>
      <c r="S4268" t="str">
        <f t="shared" ref="S4268:T4273" si="1690">"15:16:23.000"</f>
        <v>15:16:23.000</v>
      </c>
      <c r="T4268" t="str">
        <f t="shared" si="1690"/>
        <v>15:16:23.000</v>
      </c>
      <c r="U4268" t="str">
        <f t="shared" si="1674"/>
        <v>A68FCB</v>
      </c>
      <c r="V4268">
        <v>0</v>
      </c>
      <c r="W4268">
        <v>0</v>
      </c>
      <c r="X4268">
        <v>2</v>
      </c>
      <c r="Y4268">
        <v>0</v>
      </c>
      <c r="AA4268">
        <v>1</v>
      </c>
      <c r="AB4268">
        <v>8</v>
      </c>
      <c r="AC4268">
        <v>3</v>
      </c>
      <c r="AD4268">
        <v>0</v>
      </c>
      <c r="AE4268">
        <v>9</v>
      </c>
      <c r="AF4268" t="s">
        <v>138</v>
      </c>
      <c r="AG4268">
        <v>0</v>
      </c>
      <c r="AH4268">
        <v>3</v>
      </c>
      <c r="AI4268">
        <v>2</v>
      </c>
      <c r="AJ4268">
        <v>0</v>
      </c>
      <c r="AK4268" t="s">
        <v>1356</v>
      </c>
      <c r="AL4268">
        <v>39.195763999999997</v>
      </c>
      <c r="AM4268" t="s">
        <v>1357</v>
      </c>
      <c r="AN4268">
        <v>-121.016936</v>
      </c>
      <c r="AO4268">
        <v>25</v>
      </c>
      <c r="AP4268">
        <v>4300</v>
      </c>
      <c r="AQ4268" t="s">
        <v>131</v>
      </c>
      <c r="AR4268">
        <v>34</v>
      </c>
      <c r="AS4268">
        <v>60</v>
      </c>
      <c r="AT4268">
        <v>-512</v>
      </c>
      <c r="BB4268" t="str">
        <f t="shared" si="1675"/>
        <v>1200</v>
      </c>
      <c r="BC4268">
        <v>1</v>
      </c>
      <c r="BD4268" t="str">
        <f t="shared" si="1676"/>
        <v xml:space="preserve">N52156  </v>
      </c>
      <c r="BE4268">
        <v>1</v>
      </c>
      <c r="BG4268">
        <v>0</v>
      </c>
      <c r="BH4268">
        <v>0</v>
      </c>
      <c r="BI4268">
        <v>0</v>
      </c>
      <c r="BJ4268">
        <v>4350</v>
      </c>
      <c r="BK4268">
        <v>50</v>
      </c>
      <c r="BL4268" t="s">
        <v>188</v>
      </c>
      <c r="BM4268">
        <v>1</v>
      </c>
      <c r="BN4268">
        <v>1</v>
      </c>
      <c r="BO4268">
        <v>0</v>
      </c>
      <c r="BP4268">
        <v>0</v>
      </c>
      <c r="BS4268">
        <v>0</v>
      </c>
      <c r="BT4268">
        <v>0</v>
      </c>
      <c r="BU4268">
        <v>0</v>
      </c>
      <c r="CE4268" t="str">
        <f t="shared" ref="CE4268:CE4273" si="1691">"15:16:23.463"</f>
        <v>15:16:23.463</v>
      </c>
      <c r="CF4268">
        <v>463329564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3</v>
      </c>
      <c r="CY4268">
        <v>7</v>
      </c>
      <c r="CZ4268" t="s">
        <v>133</v>
      </c>
      <c r="DA4268">
        <v>276</v>
      </c>
      <c r="DB4268">
        <v>0</v>
      </c>
      <c r="DC4268" t="s">
        <v>402</v>
      </c>
      <c r="DD4268" t="s">
        <v>403</v>
      </c>
      <c r="DG4268">
        <v>1628490</v>
      </c>
      <c r="DI4268">
        <v>1</v>
      </c>
      <c r="DJ4268">
        <v>0</v>
      </c>
      <c r="DK4268">
        <v>0</v>
      </c>
      <c r="DL4268">
        <v>0</v>
      </c>
      <c r="DM4268">
        <v>0</v>
      </c>
      <c r="DN4268">
        <v>0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 x14ac:dyDescent="0.3">
      <c r="A4269" t="str">
        <f>"05/01/2025 15:16:23.684"</f>
        <v>05/01/2025 15:16:23.684</v>
      </c>
      <c r="C4269" t="str">
        <f t="shared" si="1672"/>
        <v>FFDFD3C0</v>
      </c>
      <c r="D4269" t="s">
        <v>145</v>
      </c>
      <c r="E4269" t="str">
        <f>"05"</f>
        <v>05</v>
      </c>
      <c r="H4269">
        <v>47</v>
      </c>
      <c r="I4269" t="s">
        <v>146</v>
      </c>
      <c r="J4269" t="s">
        <v>138</v>
      </c>
      <c r="K4269">
        <v>0</v>
      </c>
      <c r="L4269">
        <v>3</v>
      </c>
      <c r="M4269">
        <v>0</v>
      </c>
      <c r="N4269">
        <v>2</v>
      </c>
      <c r="O4269">
        <v>0</v>
      </c>
      <c r="P4269">
        <v>1</v>
      </c>
      <c r="Q4269">
        <v>0</v>
      </c>
      <c r="R4269" t="s">
        <v>127</v>
      </c>
      <c r="S4269" t="str">
        <f t="shared" si="1690"/>
        <v>15:16:23.000</v>
      </c>
      <c r="T4269" t="str">
        <f t="shared" si="1690"/>
        <v>15:16:23.000</v>
      </c>
      <c r="U4269" t="str">
        <f t="shared" si="1674"/>
        <v>A68FCB</v>
      </c>
      <c r="V4269">
        <v>0</v>
      </c>
      <c r="W4269">
        <v>0</v>
      </c>
      <c r="X4269">
        <v>2</v>
      </c>
      <c r="Y4269">
        <v>0</v>
      </c>
      <c r="AA4269">
        <v>1</v>
      </c>
      <c r="AB4269">
        <v>8</v>
      </c>
      <c r="AC4269">
        <v>3</v>
      </c>
      <c r="AD4269">
        <v>0</v>
      </c>
      <c r="AE4269">
        <v>9</v>
      </c>
      <c r="AF4269" t="s">
        <v>138</v>
      </c>
      <c r="AG4269">
        <v>0</v>
      </c>
      <c r="AH4269">
        <v>3</v>
      </c>
      <c r="AI4269">
        <v>2</v>
      </c>
      <c r="AJ4269">
        <v>0</v>
      </c>
      <c r="AK4269" t="s">
        <v>1356</v>
      </c>
      <c r="AL4269">
        <v>39.195763999999997</v>
      </c>
      <c r="AM4269" t="s">
        <v>1357</v>
      </c>
      <c r="AN4269">
        <v>-121.016936</v>
      </c>
      <c r="AO4269">
        <v>25</v>
      </c>
      <c r="AP4269">
        <v>4300</v>
      </c>
      <c r="AQ4269" t="s">
        <v>131</v>
      </c>
      <c r="AR4269">
        <v>34</v>
      </c>
      <c r="AS4269">
        <v>60</v>
      </c>
      <c r="AT4269">
        <v>-512</v>
      </c>
      <c r="BB4269" t="str">
        <f t="shared" si="1675"/>
        <v>1200</v>
      </c>
      <c r="BC4269">
        <v>1</v>
      </c>
      <c r="BD4269" t="str">
        <f t="shared" si="1676"/>
        <v xml:space="preserve">N52156  </v>
      </c>
      <c r="BE4269">
        <v>1</v>
      </c>
      <c r="BG4269">
        <v>0</v>
      </c>
      <c r="BH4269">
        <v>0</v>
      </c>
      <c r="BI4269">
        <v>0</v>
      </c>
      <c r="BJ4269">
        <v>4350</v>
      </c>
      <c r="BK4269">
        <v>50</v>
      </c>
      <c r="BL4269" t="s">
        <v>188</v>
      </c>
      <c r="BM4269">
        <v>1</v>
      </c>
      <c r="BN4269">
        <v>1</v>
      </c>
      <c r="BO4269">
        <v>0</v>
      </c>
      <c r="BP4269">
        <v>0</v>
      </c>
      <c r="BS4269">
        <v>0</v>
      </c>
      <c r="BT4269">
        <v>0</v>
      </c>
      <c r="BU4269">
        <v>0</v>
      </c>
      <c r="CE4269" t="str">
        <f t="shared" si="1691"/>
        <v>15:16:23.463</v>
      </c>
      <c r="CF4269">
        <v>463329564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3</v>
      </c>
      <c r="CY4269">
        <v>7</v>
      </c>
      <c r="CZ4269" t="s">
        <v>133</v>
      </c>
      <c r="DA4269">
        <v>276</v>
      </c>
      <c r="DB4269">
        <v>0</v>
      </c>
      <c r="DC4269" t="s">
        <v>402</v>
      </c>
      <c r="DD4269" t="s">
        <v>403</v>
      </c>
      <c r="DG4269">
        <v>1628490</v>
      </c>
      <c r="DI4269">
        <v>1</v>
      </c>
      <c r="DJ4269">
        <v>0</v>
      </c>
      <c r="DK4269">
        <v>1</v>
      </c>
      <c r="DL4269">
        <v>0</v>
      </c>
      <c r="DM4269">
        <v>0</v>
      </c>
      <c r="DN4269">
        <v>0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 x14ac:dyDescent="0.3">
      <c r="A4270" t="str">
        <f>"05/01/2025 15:16:23.695"</f>
        <v>05/01/2025 15:16:23.695</v>
      </c>
      <c r="C4270" t="str">
        <f t="shared" si="1672"/>
        <v>FFDFD3C0</v>
      </c>
      <c r="D4270" t="s">
        <v>136</v>
      </c>
      <c r="E4270" t="str">
        <f>"20"</f>
        <v>20</v>
      </c>
      <c r="H4270">
        <v>400</v>
      </c>
      <c r="I4270" t="s">
        <v>137</v>
      </c>
      <c r="J4270" t="s">
        <v>138</v>
      </c>
      <c r="K4270">
        <v>0</v>
      </c>
      <c r="L4270">
        <v>3</v>
      </c>
      <c r="M4270">
        <v>0</v>
      </c>
      <c r="N4270">
        <v>2</v>
      </c>
      <c r="O4270">
        <v>0</v>
      </c>
      <c r="P4270">
        <v>1</v>
      </c>
      <c r="Q4270">
        <v>0</v>
      </c>
      <c r="R4270" t="s">
        <v>127</v>
      </c>
      <c r="S4270" t="str">
        <f t="shared" si="1690"/>
        <v>15:16:23.000</v>
      </c>
      <c r="T4270" t="str">
        <f t="shared" si="1690"/>
        <v>15:16:23.000</v>
      </c>
      <c r="U4270" t="str">
        <f t="shared" si="1674"/>
        <v>A68FCB</v>
      </c>
      <c r="V4270">
        <v>0</v>
      </c>
      <c r="W4270">
        <v>0</v>
      </c>
      <c r="X4270">
        <v>2</v>
      </c>
      <c r="Y4270">
        <v>0</v>
      </c>
      <c r="AA4270">
        <v>1</v>
      </c>
      <c r="AB4270">
        <v>8</v>
      </c>
      <c r="AC4270">
        <v>3</v>
      </c>
      <c r="AD4270">
        <v>0</v>
      </c>
      <c r="AE4270">
        <v>9</v>
      </c>
      <c r="AF4270" t="s">
        <v>138</v>
      </c>
      <c r="AG4270">
        <v>0</v>
      </c>
      <c r="AH4270">
        <v>3</v>
      </c>
      <c r="AI4270">
        <v>2</v>
      </c>
      <c r="AJ4270">
        <v>0</v>
      </c>
      <c r="AK4270" t="s">
        <v>1356</v>
      </c>
      <c r="AL4270">
        <v>39.195763999999997</v>
      </c>
      <c r="AM4270" t="s">
        <v>1357</v>
      </c>
      <c r="AN4270">
        <v>-121.016936</v>
      </c>
      <c r="AO4270">
        <v>25</v>
      </c>
      <c r="AP4270">
        <v>4300</v>
      </c>
      <c r="AQ4270" t="s">
        <v>131</v>
      </c>
      <c r="AR4270">
        <v>34</v>
      </c>
      <c r="AS4270">
        <v>60</v>
      </c>
      <c r="AT4270">
        <v>-512</v>
      </c>
      <c r="BB4270" t="str">
        <f t="shared" si="1675"/>
        <v>1200</v>
      </c>
      <c r="BC4270">
        <v>1</v>
      </c>
      <c r="BD4270" t="str">
        <f t="shared" si="1676"/>
        <v xml:space="preserve">N52156  </v>
      </c>
      <c r="BE4270">
        <v>1</v>
      </c>
      <c r="BG4270">
        <v>0</v>
      </c>
      <c r="BH4270">
        <v>0</v>
      </c>
      <c r="BI4270">
        <v>0</v>
      </c>
      <c r="BJ4270">
        <v>4350</v>
      </c>
      <c r="BK4270">
        <v>50</v>
      </c>
      <c r="BL4270" t="s">
        <v>188</v>
      </c>
      <c r="BM4270">
        <v>1</v>
      </c>
      <c r="BN4270">
        <v>1</v>
      </c>
      <c r="BO4270">
        <v>0</v>
      </c>
      <c r="BP4270">
        <v>0</v>
      </c>
      <c r="BS4270">
        <v>0</v>
      </c>
      <c r="BT4270">
        <v>0</v>
      </c>
      <c r="BU4270">
        <v>0</v>
      </c>
      <c r="CE4270" t="str">
        <f t="shared" si="1691"/>
        <v>15:16:23.463</v>
      </c>
      <c r="CF4270">
        <v>463329564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3</v>
      </c>
      <c r="CY4270">
        <v>7</v>
      </c>
      <c r="CZ4270" t="s">
        <v>133</v>
      </c>
      <c r="DA4270">
        <v>276</v>
      </c>
      <c r="DB4270">
        <v>0</v>
      </c>
      <c r="DC4270" t="s">
        <v>402</v>
      </c>
      <c r="DD4270" t="s">
        <v>403</v>
      </c>
      <c r="DG4270">
        <v>1628490</v>
      </c>
      <c r="DI4270">
        <v>1</v>
      </c>
      <c r="DJ4270">
        <v>0</v>
      </c>
      <c r="DK4270">
        <v>1</v>
      </c>
      <c r="DL4270">
        <v>0</v>
      </c>
      <c r="DM4270">
        <v>0</v>
      </c>
      <c r="DN4270">
        <v>0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 x14ac:dyDescent="0.3">
      <c r="A4271" t="str">
        <f>"05/01/2025 15:16:23.714"</f>
        <v>05/01/2025 15:16:23.714</v>
      </c>
      <c r="C4271" t="str">
        <f t="shared" si="1672"/>
        <v>FFDFD3C0</v>
      </c>
      <c r="D4271" t="s">
        <v>140</v>
      </c>
      <c r="E4271" t="str">
        <f>"13"</f>
        <v>13</v>
      </c>
      <c r="F4271">
        <v>1019</v>
      </c>
      <c r="G4271" t="s">
        <v>141</v>
      </c>
      <c r="J4271" t="s">
        <v>142</v>
      </c>
      <c r="K4271">
        <v>0</v>
      </c>
      <c r="L4271">
        <v>3</v>
      </c>
      <c r="M4271">
        <v>0</v>
      </c>
      <c r="N4271">
        <v>2</v>
      </c>
      <c r="O4271">
        <v>0</v>
      </c>
      <c r="P4271">
        <v>1</v>
      </c>
      <c r="Q4271">
        <v>0</v>
      </c>
      <c r="R4271" t="s">
        <v>127</v>
      </c>
      <c r="S4271" t="str">
        <f t="shared" si="1690"/>
        <v>15:16:23.000</v>
      </c>
      <c r="T4271" t="str">
        <f t="shared" si="1690"/>
        <v>15:16:23.000</v>
      </c>
      <c r="U4271" t="str">
        <f t="shared" si="1674"/>
        <v>A68FCB</v>
      </c>
      <c r="V4271">
        <v>0</v>
      </c>
      <c r="W4271">
        <v>0</v>
      </c>
      <c r="X4271">
        <v>2</v>
      </c>
      <c r="Y4271">
        <v>0</v>
      </c>
      <c r="AA4271">
        <v>1</v>
      </c>
      <c r="AB4271">
        <v>8</v>
      </c>
      <c r="AC4271">
        <v>3</v>
      </c>
      <c r="AD4271">
        <v>0</v>
      </c>
      <c r="AE4271">
        <v>9</v>
      </c>
      <c r="AF4271" t="s">
        <v>138</v>
      </c>
      <c r="AG4271">
        <v>0</v>
      </c>
      <c r="AH4271">
        <v>3</v>
      </c>
      <c r="AI4271">
        <v>2</v>
      </c>
      <c r="AJ4271">
        <v>0</v>
      </c>
      <c r="AK4271" t="s">
        <v>1356</v>
      </c>
      <c r="AL4271">
        <v>39.195763999999997</v>
      </c>
      <c r="AM4271" t="s">
        <v>1357</v>
      </c>
      <c r="AN4271">
        <v>-121.016936</v>
      </c>
      <c r="AO4271">
        <v>25</v>
      </c>
      <c r="AP4271">
        <v>4300</v>
      </c>
      <c r="AQ4271" t="s">
        <v>131</v>
      </c>
      <c r="AR4271">
        <v>34</v>
      </c>
      <c r="AS4271">
        <v>60</v>
      </c>
      <c r="AT4271">
        <v>-512</v>
      </c>
      <c r="BB4271" t="str">
        <f t="shared" si="1675"/>
        <v>1200</v>
      </c>
      <c r="BC4271">
        <v>1</v>
      </c>
      <c r="BD4271" t="str">
        <f t="shared" si="1676"/>
        <v xml:space="preserve">N52156  </v>
      </c>
      <c r="BE4271">
        <v>1</v>
      </c>
      <c r="BG4271">
        <v>0</v>
      </c>
      <c r="BH4271">
        <v>0</v>
      </c>
      <c r="BI4271">
        <v>0</v>
      </c>
      <c r="BJ4271">
        <v>4350</v>
      </c>
      <c r="BK4271">
        <v>50</v>
      </c>
      <c r="BL4271" t="s">
        <v>188</v>
      </c>
      <c r="BM4271">
        <v>1</v>
      </c>
      <c r="BN4271">
        <v>1</v>
      </c>
      <c r="BO4271">
        <v>0</v>
      </c>
      <c r="BP4271">
        <v>0</v>
      </c>
      <c r="BS4271">
        <v>0</v>
      </c>
      <c r="BT4271">
        <v>0</v>
      </c>
      <c r="BU4271">
        <v>0</v>
      </c>
      <c r="CE4271" t="str">
        <f t="shared" si="1691"/>
        <v>15:16:23.463</v>
      </c>
      <c r="CF4271">
        <v>463329564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3</v>
      </c>
      <c r="CY4271">
        <v>7</v>
      </c>
      <c r="CZ4271" t="s">
        <v>133</v>
      </c>
      <c r="DA4271">
        <v>276</v>
      </c>
      <c r="DB4271">
        <v>0</v>
      </c>
      <c r="DC4271" t="s">
        <v>402</v>
      </c>
      <c r="DD4271" t="s">
        <v>403</v>
      </c>
      <c r="DG4271">
        <v>1628490</v>
      </c>
      <c r="DI4271">
        <v>1</v>
      </c>
      <c r="DJ4271">
        <v>0</v>
      </c>
      <c r="DK4271">
        <v>1</v>
      </c>
      <c r="DL4271">
        <v>0</v>
      </c>
      <c r="DM4271">
        <v>0</v>
      </c>
      <c r="DN4271">
        <v>0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 x14ac:dyDescent="0.3">
      <c r="A4272" t="str">
        <f>"05/01/2025 15:16:23.716"</f>
        <v>05/01/2025 15:16:23.716</v>
      </c>
      <c r="C4272" t="str">
        <f t="shared" si="1672"/>
        <v>FFDFD3C0</v>
      </c>
      <c r="D4272" t="s">
        <v>124</v>
      </c>
      <c r="E4272" t="str">
        <f>"06"</f>
        <v>06</v>
      </c>
      <c r="F4272">
        <v>2006</v>
      </c>
      <c r="G4272" t="s">
        <v>125</v>
      </c>
      <c r="J4272" t="s">
        <v>126</v>
      </c>
      <c r="K4272">
        <v>0</v>
      </c>
      <c r="L4272">
        <v>3</v>
      </c>
      <c r="M4272">
        <v>0</v>
      </c>
      <c r="N4272">
        <v>2</v>
      </c>
      <c r="O4272">
        <v>0</v>
      </c>
      <c r="P4272">
        <v>1</v>
      </c>
      <c r="Q4272">
        <v>0</v>
      </c>
      <c r="R4272" t="s">
        <v>127</v>
      </c>
      <c r="S4272" t="str">
        <f t="shared" si="1690"/>
        <v>15:16:23.000</v>
      </c>
      <c r="T4272" t="str">
        <f t="shared" si="1690"/>
        <v>15:16:23.000</v>
      </c>
      <c r="U4272" t="str">
        <f t="shared" si="1674"/>
        <v>A68FCB</v>
      </c>
      <c r="V4272">
        <v>0</v>
      </c>
      <c r="W4272">
        <v>0</v>
      </c>
      <c r="X4272">
        <v>2</v>
      </c>
      <c r="Y4272">
        <v>0</v>
      </c>
      <c r="AA4272">
        <v>1</v>
      </c>
      <c r="AB4272">
        <v>8</v>
      </c>
      <c r="AC4272">
        <v>3</v>
      </c>
      <c r="AD4272">
        <v>0</v>
      </c>
      <c r="AE4272">
        <v>9</v>
      </c>
      <c r="AF4272" t="s">
        <v>138</v>
      </c>
      <c r="AG4272">
        <v>0</v>
      </c>
      <c r="AH4272">
        <v>3</v>
      </c>
      <c r="AI4272">
        <v>2</v>
      </c>
      <c r="AJ4272">
        <v>0</v>
      </c>
      <c r="AK4272" t="s">
        <v>1356</v>
      </c>
      <c r="AL4272">
        <v>39.195763999999997</v>
      </c>
      <c r="AM4272" t="s">
        <v>1357</v>
      </c>
      <c r="AN4272">
        <v>-121.016936</v>
      </c>
      <c r="AO4272">
        <v>25</v>
      </c>
      <c r="AP4272">
        <v>4300</v>
      </c>
      <c r="AQ4272" t="s">
        <v>131</v>
      </c>
      <c r="AR4272">
        <v>34</v>
      </c>
      <c r="AS4272">
        <v>60</v>
      </c>
      <c r="AT4272">
        <v>-512</v>
      </c>
      <c r="BB4272" t="str">
        <f t="shared" si="1675"/>
        <v>1200</v>
      </c>
      <c r="BC4272">
        <v>1</v>
      </c>
      <c r="BD4272" t="str">
        <f t="shared" si="1676"/>
        <v xml:space="preserve">N52156  </v>
      </c>
      <c r="BE4272">
        <v>1</v>
      </c>
      <c r="BG4272">
        <v>0</v>
      </c>
      <c r="BH4272">
        <v>0</v>
      </c>
      <c r="BI4272">
        <v>0</v>
      </c>
      <c r="BJ4272">
        <v>4350</v>
      </c>
      <c r="BK4272">
        <v>50</v>
      </c>
      <c r="BL4272" t="s">
        <v>188</v>
      </c>
      <c r="BM4272">
        <v>1</v>
      </c>
      <c r="BN4272">
        <v>1</v>
      </c>
      <c r="BO4272">
        <v>0</v>
      </c>
      <c r="BP4272">
        <v>0</v>
      </c>
      <c r="BS4272">
        <v>0</v>
      </c>
      <c r="BT4272">
        <v>0</v>
      </c>
      <c r="BU4272">
        <v>0</v>
      </c>
      <c r="CE4272" t="str">
        <f t="shared" si="1691"/>
        <v>15:16:23.463</v>
      </c>
      <c r="CF4272">
        <v>463329564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3</v>
      </c>
      <c r="CY4272">
        <v>7</v>
      </c>
      <c r="CZ4272" t="s">
        <v>133</v>
      </c>
      <c r="DA4272">
        <v>276</v>
      </c>
      <c r="DB4272">
        <v>0</v>
      </c>
      <c r="DC4272" t="s">
        <v>402</v>
      </c>
      <c r="DD4272" t="s">
        <v>403</v>
      </c>
      <c r="DG4272">
        <v>1628490</v>
      </c>
      <c r="DI4272">
        <v>1</v>
      </c>
      <c r="DJ4272">
        <v>0</v>
      </c>
      <c r="DK4272">
        <v>1</v>
      </c>
      <c r="DL4272">
        <v>0</v>
      </c>
      <c r="DM4272">
        <v>0</v>
      </c>
      <c r="DN4272">
        <v>0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 x14ac:dyDescent="0.3">
      <c r="A4273" t="str">
        <f>"05/01/2025 15:16:23.716"</f>
        <v>05/01/2025 15:16:23.716</v>
      </c>
      <c r="C4273" t="str">
        <f t="shared" si="1672"/>
        <v>FFDFD3C0</v>
      </c>
      <c r="D4273" t="s">
        <v>143</v>
      </c>
      <c r="E4273" t="str">
        <f>"05"</f>
        <v>05</v>
      </c>
      <c r="H4273">
        <v>172</v>
      </c>
      <c r="I4273" t="s">
        <v>141</v>
      </c>
      <c r="J4273" t="s">
        <v>144</v>
      </c>
      <c r="K4273">
        <v>0</v>
      </c>
      <c r="L4273">
        <v>3</v>
      </c>
      <c r="M4273">
        <v>0</v>
      </c>
      <c r="N4273">
        <v>2</v>
      </c>
      <c r="O4273">
        <v>0</v>
      </c>
      <c r="P4273">
        <v>1</v>
      </c>
      <c r="Q4273">
        <v>0</v>
      </c>
      <c r="R4273" t="s">
        <v>127</v>
      </c>
      <c r="S4273" t="str">
        <f t="shared" si="1690"/>
        <v>15:16:23.000</v>
      </c>
      <c r="T4273" t="str">
        <f t="shared" si="1690"/>
        <v>15:16:23.000</v>
      </c>
      <c r="U4273" t="str">
        <f t="shared" si="1674"/>
        <v>A68FCB</v>
      </c>
      <c r="V4273">
        <v>0</v>
      </c>
      <c r="W4273">
        <v>0</v>
      </c>
      <c r="X4273">
        <v>2</v>
      </c>
      <c r="Y4273">
        <v>0</v>
      </c>
      <c r="AA4273">
        <v>1</v>
      </c>
      <c r="AB4273">
        <v>8</v>
      </c>
      <c r="AC4273">
        <v>3</v>
      </c>
      <c r="AD4273">
        <v>0</v>
      </c>
      <c r="AE4273">
        <v>9</v>
      </c>
      <c r="AF4273" t="s">
        <v>138</v>
      </c>
      <c r="AG4273">
        <v>0</v>
      </c>
      <c r="AH4273">
        <v>3</v>
      </c>
      <c r="AI4273">
        <v>2</v>
      </c>
      <c r="AJ4273">
        <v>0</v>
      </c>
      <c r="AK4273" t="s">
        <v>1356</v>
      </c>
      <c r="AL4273">
        <v>39.195763999999997</v>
      </c>
      <c r="AM4273" t="s">
        <v>1357</v>
      </c>
      <c r="AN4273">
        <v>-121.016936</v>
      </c>
      <c r="AO4273">
        <v>25</v>
      </c>
      <c r="AP4273">
        <v>4300</v>
      </c>
      <c r="AQ4273" t="s">
        <v>131</v>
      </c>
      <c r="AR4273">
        <v>34</v>
      </c>
      <c r="AS4273">
        <v>60</v>
      </c>
      <c r="AT4273">
        <v>-512</v>
      </c>
      <c r="BB4273" t="str">
        <f t="shared" si="1675"/>
        <v>1200</v>
      </c>
      <c r="BC4273">
        <v>1</v>
      </c>
      <c r="BD4273" t="str">
        <f t="shared" si="1676"/>
        <v xml:space="preserve">N52156  </v>
      </c>
      <c r="BE4273">
        <v>1</v>
      </c>
      <c r="BG4273">
        <v>0</v>
      </c>
      <c r="BH4273">
        <v>0</v>
      </c>
      <c r="BI4273">
        <v>0</v>
      </c>
      <c r="BJ4273">
        <v>4350</v>
      </c>
      <c r="BK4273">
        <v>50</v>
      </c>
      <c r="BL4273" t="s">
        <v>188</v>
      </c>
      <c r="BM4273">
        <v>1</v>
      </c>
      <c r="BN4273">
        <v>1</v>
      </c>
      <c r="BO4273">
        <v>0</v>
      </c>
      <c r="BP4273">
        <v>0</v>
      </c>
      <c r="BS4273">
        <v>0</v>
      </c>
      <c r="BT4273">
        <v>0</v>
      </c>
      <c r="BU4273">
        <v>0</v>
      </c>
      <c r="CE4273" t="str">
        <f t="shared" si="1691"/>
        <v>15:16:23.463</v>
      </c>
      <c r="CF4273">
        <v>463329564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3</v>
      </c>
      <c r="CY4273">
        <v>7</v>
      </c>
      <c r="CZ4273" t="s">
        <v>133</v>
      </c>
      <c r="DA4273">
        <v>276</v>
      </c>
      <c r="DB4273">
        <v>0</v>
      </c>
      <c r="DC4273" t="s">
        <v>402</v>
      </c>
      <c r="DD4273" t="s">
        <v>403</v>
      </c>
      <c r="DG4273">
        <v>1628490</v>
      </c>
      <c r="DI4273">
        <v>1</v>
      </c>
      <c r="DJ4273">
        <v>0</v>
      </c>
      <c r="DK4273">
        <v>1</v>
      </c>
      <c r="DL4273">
        <v>0</v>
      </c>
      <c r="DM4273">
        <v>0</v>
      </c>
      <c r="DN4273">
        <v>0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 x14ac:dyDescent="0.3">
      <c r="A4274" t="str">
        <f>"05/01/2025 15:16:24.847"</f>
        <v>05/01/2025 15:16:24.847</v>
      </c>
      <c r="C4274" t="str">
        <f t="shared" si="1672"/>
        <v>FFDFD3C0</v>
      </c>
      <c r="D4274" t="s">
        <v>136</v>
      </c>
      <c r="E4274" t="str">
        <f>"20"</f>
        <v>20</v>
      </c>
      <c r="H4274">
        <v>400</v>
      </c>
      <c r="I4274" t="s">
        <v>137</v>
      </c>
      <c r="J4274" t="s">
        <v>138</v>
      </c>
      <c r="K4274">
        <v>0</v>
      </c>
      <c r="L4274">
        <v>3</v>
      </c>
      <c r="M4274">
        <v>0</v>
      </c>
      <c r="N4274">
        <v>2</v>
      </c>
      <c r="O4274">
        <v>0</v>
      </c>
      <c r="P4274">
        <v>1</v>
      </c>
      <c r="Q4274">
        <v>0</v>
      </c>
      <c r="R4274" t="s">
        <v>127</v>
      </c>
      <c r="S4274" t="str">
        <f t="shared" ref="S4274:T4279" si="1692">"15:16:24.000"</f>
        <v>15:16:24.000</v>
      </c>
      <c r="T4274" t="str">
        <f t="shared" si="1692"/>
        <v>15:16:24.000</v>
      </c>
      <c r="U4274" t="str">
        <f t="shared" si="1674"/>
        <v>A68FCB</v>
      </c>
      <c r="V4274">
        <v>0</v>
      </c>
      <c r="W4274">
        <v>0</v>
      </c>
      <c r="X4274">
        <v>2</v>
      </c>
      <c r="Y4274">
        <v>0</v>
      </c>
      <c r="AA4274">
        <v>1</v>
      </c>
      <c r="AB4274">
        <v>8</v>
      </c>
      <c r="AC4274">
        <v>3</v>
      </c>
      <c r="AD4274">
        <v>0</v>
      </c>
      <c r="AE4274">
        <v>9</v>
      </c>
      <c r="AF4274" t="s">
        <v>138</v>
      </c>
      <c r="AG4274">
        <v>0</v>
      </c>
      <c r="AH4274">
        <v>3</v>
      </c>
      <c r="AI4274">
        <v>2</v>
      </c>
      <c r="AJ4274">
        <v>0</v>
      </c>
      <c r="AK4274" t="s">
        <v>1358</v>
      </c>
      <c r="AL4274">
        <v>39.196064</v>
      </c>
      <c r="AM4274" t="s">
        <v>1359</v>
      </c>
      <c r="AN4274">
        <v>-121.01674300000001</v>
      </c>
      <c r="AO4274">
        <v>25</v>
      </c>
      <c r="AP4274">
        <v>4300</v>
      </c>
      <c r="AQ4274" t="s">
        <v>131</v>
      </c>
      <c r="AR4274">
        <v>34</v>
      </c>
      <c r="AS4274">
        <v>60</v>
      </c>
      <c r="AT4274">
        <v>-512</v>
      </c>
      <c r="BB4274" t="str">
        <f t="shared" si="1675"/>
        <v>1200</v>
      </c>
      <c r="BC4274">
        <v>1</v>
      </c>
      <c r="BD4274" t="str">
        <f t="shared" si="1676"/>
        <v xml:space="preserve">N52156  </v>
      </c>
      <c r="BE4274">
        <v>1</v>
      </c>
      <c r="BG4274">
        <v>0</v>
      </c>
      <c r="BH4274">
        <v>0</v>
      </c>
      <c r="BI4274">
        <v>0</v>
      </c>
      <c r="BJ4274">
        <v>4350</v>
      </c>
      <c r="BK4274">
        <v>50</v>
      </c>
      <c r="BL4274" t="s">
        <v>188</v>
      </c>
      <c r="BM4274">
        <v>1</v>
      </c>
      <c r="BN4274">
        <v>1</v>
      </c>
      <c r="BO4274">
        <v>0</v>
      </c>
      <c r="BP4274">
        <v>0</v>
      </c>
      <c r="BS4274">
        <v>0</v>
      </c>
      <c r="BT4274">
        <v>0</v>
      </c>
      <c r="BU4274">
        <v>0</v>
      </c>
      <c r="CE4274" t="str">
        <f t="shared" ref="CE4274:CE4279" si="1693">"15:16:24.651"</f>
        <v>15:16:24.651</v>
      </c>
      <c r="CF4274">
        <v>650500110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4</v>
      </c>
      <c r="CY4274">
        <v>7</v>
      </c>
      <c r="CZ4274" t="s">
        <v>133</v>
      </c>
      <c r="DA4274">
        <v>275</v>
      </c>
      <c r="DB4274">
        <v>0</v>
      </c>
      <c r="DC4274" t="s">
        <v>134</v>
      </c>
      <c r="DD4274" t="s">
        <v>135</v>
      </c>
      <c r="DG4274">
        <v>3323214</v>
      </c>
      <c r="DI4274">
        <v>1</v>
      </c>
      <c r="DJ4274">
        <v>0</v>
      </c>
      <c r="DK4274">
        <v>0</v>
      </c>
      <c r="DL4274">
        <v>0</v>
      </c>
      <c r="DM4274">
        <v>0</v>
      </c>
      <c r="DN4274">
        <v>0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 x14ac:dyDescent="0.3">
      <c r="A4275" t="str">
        <f>"05/01/2025 15:16:24.866"</f>
        <v>05/01/2025 15:16:24.866</v>
      </c>
      <c r="C4275" t="str">
        <f t="shared" si="1672"/>
        <v>FFDFD3C0</v>
      </c>
      <c r="D4275" t="s">
        <v>140</v>
      </c>
      <c r="E4275" t="str">
        <f>"13"</f>
        <v>13</v>
      </c>
      <c r="F4275">
        <v>1019</v>
      </c>
      <c r="G4275" t="s">
        <v>141</v>
      </c>
      <c r="J4275" t="s">
        <v>142</v>
      </c>
      <c r="K4275">
        <v>0</v>
      </c>
      <c r="L4275">
        <v>3</v>
      </c>
      <c r="M4275">
        <v>0</v>
      </c>
      <c r="N4275">
        <v>2</v>
      </c>
      <c r="O4275">
        <v>0</v>
      </c>
      <c r="P4275">
        <v>1</v>
      </c>
      <c r="Q4275">
        <v>0</v>
      </c>
      <c r="R4275" t="s">
        <v>127</v>
      </c>
      <c r="S4275" t="str">
        <f t="shared" si="1692"/>
        <v>15:16:24.000</v>
      </c>
      <c r="T4275" t="str">
        <f t="shared" si="1692"/>
        <v>15:16:24.000</v>
      </c>
      <c r="U4275" t="str">
        <f t="shared" si="1674"/>
        <v>A68FCB</v>
      </c>
      <c r="V4275">
        <v>0</v>
      </c>
      <c r="W4275">
        <v>0</v>
      </c>
      <c r="X4275">
        <v>2</v>
      </c>
      <c r="Y4275">
        <v>0</v>
      </c>
      <c r="AA4275">
        <v>1</v>
      </c>
      <c r="AB4275">
        <v>8</v>
      </c>
      <c r="AC4275">
        <v>3</v>
      </c>
      <c r="AD4275">
        <v>0</v>
      </c>
      <c r="AE4275">
        <v>9</v>
      </c>
      <c r="AF4275" t="s">
        <v>138</v>
      </c>
      <c r="AG4275">
        <v>0</v>
      </c>
      <c r="AH4275">
        <v>3</v>
      </c>
      <c r="AI4275">
        <v>2</v>
      </c>
      <c r="AJ4275">
        <v>0</v>
      </c>
      <c r="AK4275" t="s">
        <v>1358</v>
      </c>
      <c r="AL4275">
        <v>39.196064</v>
      </c>
      <c r="AM4275" t="s">
        <v>1359</v>
      </c>
      <c r="AN4275">
        <v>-121.01674300000001</v>
      </c>
      <c r="AO4275">
        <v>25</v>
      </c>
      <c r="AP4275">
        <v>4300</v>
      </c>
      <c r="AQ4275" t="s">
        <v>131</v>
      </c>
      <c r="AR4275">
        <v>34</v>
      </c>
      <c r="AS4275">
        <v>60</v>
      </c>
      <c r="AT4275">
        <v>-512</v>
      </c>
      <c r="BB4275" t="str">
        <f t="shared" si="1675"/>
        <v>1200</v>
      </c>
      <c r="BC4275">
        <v>1</v>
      </c>
      <c r="BD4275" t="str">
        <f t="shared" si="1676"/>
        <v xml:space="preserve">N52156  </v>
      </c>
      <c r="BE4275">
        <v>1</v>
      </c>
      <c r="BG4275">
        <v>0</v>
      </c>
      <c r="BH4275">
        <v>0</v>
      </c>
      <c r="BI4275">
        <v>0</v>
      </c>
      <c r="BJ4275">
        <v>4350</v>
      </c>
      <c r="BK4275">
        <v>50</v>
      </c>
      <c r="BL4275" t="s">
        <v>188</v>
      </c>
      <c r="BM4275">
        <v>1</v>
      </c>
      <c r="BN4275">
        <v>1</v>
      </c>
      <c r="BO4275">
        <v>0</v>
      </c>
      <c r="BP4275">
        <v>0</v>
      </c>
      <c r="BS4275">
        <v>0</v>
      </c>
      <c r="BT4275">
        <v>0</v>
      </c>
      <c r="BU4275">
        <v>0</v>
      </c>
      <c r="CE4275" t="str">
        <f t="shared" si="1693"/>
        <v>15:16:24.651</v>
      </c>
      <c r="CF4275">
        <v>650500110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4</v>
      </c>
      <c r="CY4275">
        <v>7</v>
      </c>
      <c r="CZ4275" t="s">
        <v>133</v>
      </c>
      <c r="DA4275">
        <v>275</v>
      </c>
      <c r="DB4275">
        <v>0</v>
      </c>
      <c r="DC4275" t="s">
        <v>134</v>
      </c>
      <c r="DD4275" t="s">
        <v>135</v>
      </c>
      <c r="DG4275">
        <v>3323214</v>
      </c>
      <c r="DI4275">
        <v>1</v>
      </c>
      <c r="DJ4275">
        <v>0</v>
      </c>
      <c r="DK4275">
        <v>1</v>
      </c>
      <c r="DL4275">
        <v>0</v>
      </c>
      <c r="DM4275">
        <v>0</v>
      </c>
      <c r="DN4275">
        <v>0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 x14ac:dyDescent="0.3">
      <c r="A4276" t="str">
        <f>"05/01/2025 15:16:24.868"</f>
        <v>05/01/2025 15:16:24.868</v>
      </c>
      <c r="C4276" t="str">
        <f t="shared" si="1672"/>
        <v>FFDFD3C0</v>
      </c>
      <c r="D4276" t="s">
        <v>124</v>
      </c>
      <c r="E4276" t="str">
        <f>"06"</f>
        <v>06</v>
      </c>
      <c r="F4276">
        <v>2006</v>
      </c>
      <c r="G4276" t="s">
        <v>125</v>
      </c>
      <c r="J4276" t="s">
        <v>126</v>
      </c>
      <c r="K4276">
        <v>0</v>
      </c>
      <c r="L4276">
        <v>3</v>
      </c>
      <c r="M4276">
        <v>0</v>
      </c>
      <c r="N4276">
        <v>2</v>
      </c>
      <c r="O4276">
        <v>0</v>
      </c>
      <c r="P4276">
        <v>1</v>
      </c>
      <c r="Q4276">
        <v>0</v>
      </c>
      <c r="R4276" t="s">
        <v>127</v>
      </c>
      <c r="S4276" t="str">
        <f t="shared" si="1692"/>
        <v>15:16:24.000</v>
      </c>
      <c r="T4276" t="str">
        <f t="shared" si="1692"/>
        <v>15:16:24.000</v>
      </c>
      <c r="U4276" t="str">
        <f t="shared" si="1674"/>
        <v>A68FCB</v>
      </c>
      <c r="V4276">
        <v>0</v>
      </c>
      <c r="W4276">
        <v>0</v>
      </c>
      <c r="X4276">
        <v>2</v>
      </c>
      <c r="Y4276">
        <v>0</v>
      </c>
      <c r="AA4276">
        <v>1</v>
      </c>
      <c r="AB4276">
        <v>8</v>
      </c>
      <c r="AC4276">
        <v>3</v>
      </c>
      <c r="AD4276">
        <v>0</v>
      </c>
      <c r="AE4276">
        <v>9</v>
      </c>
      <c r="AF4276" t="s">
        <v>138</v>
      </c>
      <c r="AG4276">
        <v>0</v>
      </c>
      <c r="AH4276">
        <v>3</v>
      </c>
      <c r="AI4276">
        <v>2</v>
      </c>
      <c r="AJ4276">
        <v>0</v>
      </c>
      <c r="AK4276" t="s">
        <v>1358</v>
      </c>
      <c r="AL4276">
        <v>39.196064</v>
      </c>
      <c r="AM4276" t="s">
        <v>1359</v>
      </c>
      <c r="AN4276">
        <v>-121.01674300000001</v>
      </c>
      <c r="AO4276">
        <v>25</v>
      </c>
      <c r="AP4276">
        <v>4300</v>
      </c>
      <c r="AQ4276" t="s">
        <v>131</v>
      </c>
      <c r="AR4276">
        <v>34</v>
      </c>
      <c r="AS4276">
        <v>60</v>
      </c>
      <c r="AT4276">
        <v>-512</v>
      </c>
      <c r="BB4276" t="str">
        <f t="shared" si="1675"/>
        <v>1200</v>
      </c>
      <c r="BC4276">
        <v>1</v>
      </c>
      <c r="BD4276" t="str">
        <f t="shared" si="1676"/>
        <v xml:space="preserve">N52156  </v>
      </c>
      <c r="BE4276">
        <v>1</v>
      </c>
      <c r="BG4276">
        <v>0</v>
      </c>
      <c r="BH4276">
        <v>0</v>
      </c>
      <c r="BI4276">
        <v>0</v>
      </c>
      <c r="BJ4276">
        <v>4350</v>
      </c>
      <c r="BK4276">
        <v>50</v>
      </c>
      <c r="BL4276" t="s">
        <v>188</v>
      </c>
      <c r="BM4276">
        <v>1</v>
      </c>
      <c r="BN4276">
        <v>1</v>
      </c>
      <c r="BO4276">
        <v>0</v>
      </c>
      <c r="BP4276">
        <v>0</v>
      </c>
      <c r="BS4276">
        <v>0</v>
      </c>
      <c r="BT4276">
        <v>0</v>
      </c>
      <c r="BU4276">
        <v>0</v>
      </c>
      <c r="CE4276" t="str">
        <f t="shared" si="1693"/>
        <v>15:16:24.651</v>
      </c>
      <c r="CF4276">
        <v>650500110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4</v>
      </c>
      <c r="CY4276">
        <v>7</v>
      </c>
      <c r="CZ4276" t="s">
        <v>133</v>
      </c>
      <c r="DA4276">
        <v>275</v>
      </c>
      <c r="DB4276">
        <v>0</v>
      </c>
      <c r="DC4276" t="s">
        <v>134</v>
      </c>
      <c r="DD4276" t="s">
        <v>135</v>
      </c>
      <c r="DG4276">
        <v>3323214</v>
      </c>
      <c r="DI4276">
        <v>1</v>
      </c>
      <c r="DJ4276">
        <v>0</v>
      </c>
      <c r="DK4276">
        <v>1</v>
      </c>
      <c r="DL4276">
        <v>0</v>
      </c>
      <c r="DM4276">
        <v>0</v>
      </c>
      <c r="DN4276">
        <v>0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 x14ac:dyDescent="0.3">
      <c r="A4277" t="str">
        <f>"05/01/2025 15:16:24.868"</f>
        <v>05/01/2025 15:16:24.868</v>
      </c>
      <c r="C4277" t="str">
        <f t="shared" si="1672"/>
        <v>FFDFD3C0</v>
      </c>
      <c r="D4277" t="s">
        <v>143</v>
      </c>
      <c r="E4277" t="str">
        <f>"05"</f>
        <v>05</v>
      </c>
      <c r="H4277">
        <v>172</v>
      </c>
      <c r="I4277" t="s">
        <v>141</v>
      </c>
      <c r="J4277" t="s">
        <v>144</v>
      </c>
      <c r="K4277">
        <v>0</v>
      </c>
      <c r="L4277">
        <v>3</v>
      </c>
      <c r="M4277">
        <v>0</v>
      </c>
      <c r="N4277">
        <v>2</v>
      </c>
      <c r="O4277">
        <v>0</v>
      </c>
      <c r="P4277">
        <v>1</v>
      </c>
      <c r="Q4277">
        <v>0</v>
      </c>
      <c r="R4277" t="s">
        <v>127</v>
      </c>
      <c r="S4277" t="str">
        <f t="shared" si="1692"/>
        <v>15:16:24.000</v>
      </c>
      <c r="T4277" t="str">
        <f t="shared" si="1692"/>
        <v>15:16:24.000</v>
      </c>
      <c r="U4277" t="str">
        <f t="shared" si="1674"/>
        <v>A68FCB</v>
      </c>
      <c r="V4277">
        <v>0</v>
      </c>
      <c r="W4277">
        <v>0</v>
      </c>
      <c r="X4277">
        <v>2</v>
      </c>
      <c r="Y4277">
        <v>0</v>
      </c>
      <c r="AA4277">
        <v>1</v>
      </c>
      <c r="AB4277">
        <v>8</v>
      </c>
      <c r="AC4277">
        <v>3</v>
      </c>
      <c r="AD4277">
        <v>0</v>
      </c>
      <c r="AE4277">
        <v>9</v>
      </c>
      <c r="AF4277" t="s">
        <v>138</v>
      </c>
      <c r="AG4277">
        <v>0</v>
      </c>
      <c r="AH4277">
        <v>3</v>
      </c>
      <c r="AI4277">
        <v>2</v>
      </c>
      <c r="AJ4277">
        <v>0</v>
      </c>
      <c r="AK4277" t="s">
        <v>1358</v>
      </c>
      <c r="AL4277">
        <v>39.196064</v>
      </c>
      <c r="AM4277" t="s">
        <v>1359</v>
      </c>
      <c r="AN4277">
        <v>-121.01674300000001</v>
      </c>
      <c r="AO4277">
        <v>25</v>
      </c>
      <c r="AP4277">
        <v>4300</v>
      </c>
      <c r="AQ4277" t="s">
        <v>131</v>
      </c>
      <c r="AR4277">
        <v>34</v>
      </c>
      <c r="AS4277">
        <v>60</v>
      </c>
      <c r="AT4277">
        <v>-512</v>
      </c>
      <c r="BB4277" t="str">
        <f t="shared" si="1675"/>
        <v>1200</v>
      </c>
      <c r="BC4277">
        <v>1</v>
      </c>
      <c r="BD4277" t="str">
        <f t="shared" si="1676"/>
        <v xml:space="preserve">N52156  </v>
      </c>
      <c r="BE4277">
        <v>1</v>
      </c>
      <c r="BG4277">
        <v>0</v>
      </c>
      <c r="BH4277">
        <v>0</v>
      </c>
      <c r="BI4277">
        <v>0</v>
      </c>
      <c r="BJ4277">
        <v>4350</v>
      </c>
      <c r="BK4277">
        <v>50</v>
      </c>
      <c r="BL4277" t="s">
        <v>188</v>
      </c>
      <c r="BM4277">
        <v>1</v>
      </c>
      <c r="BN4277">
        <v>1</v>
      </c>
      <c r="BO4277">
        <v>0</v>
      </c>
      <c r="BP4277">
        <v>0</v>
      </c>
      <c r="BS4277">
        <v>0</v>
      </c>
      <c r="BT4277">
        <v>0</v>
      </c>
      <c r="BU4277">
        <v>0</v>
      </c>
      <c r="CE4277" t="str">
        <f t="shared" si="1693"/>
        <v>15:16:24.651</v>
      </c>
      <c r="CF4277">
        <v>650500110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4</v>
      </c>
      <c r="CY4277">
        <v>7</v>
      </c>
      <c r="CZ4277" t="s">
        <v>133</v>
      </c>
      <c r="DA4277">
        <v>275</v>
      </c>
      <c r="DB4277">
        <v>0</v>
      </c>
      <c r="DC4277" t="s">
        <v>134</v>
      </c>
      <c r="DD4277" t="s">
        <v>135</v>
      </c>
      <c r="DG4277">
        <v>3323214</v>
      </c>
      <c r="DI4277">
        <v>1</v>
      </c>
      <c r="DJ4277">
        <v>0</v>
      </c>
      <c r="DK4277">
        <v>1</v>
      </c>
      <c r="DL4277">
        <v>0</v>
      </c>
      <c r="DM4277">
        <v>0</v>
      </c>
      <c r="DN4277">
        <v>0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 x14ac:dyDescent="0.3">
      <c r="A4278" t="str">
        <f>"05/01/2025 15:16:24.882"</f>
        <v>05/01/2025 15:16:24.882</v>
      </c>
      <c r="C4278" t="str">
        <f t="shared" si="1672"/>
        <v>FFDFD3C0</v>
      </c>
      <c r="D4278" t="s">
        <v>145</v>
      </c>
      <c r="E4278" t="str">
        <f>"09"</f>
        <v>09</v>
      </c>
      <c r="H4278">
        <v>51</v>
      </c>
      <c r="I4278" t="s">
        <v>147</v>
      </c>
      <c r="J4278" t="s">
        <v>138</v>
      </c>
      <c r="K4278">
        <v>0</v>
      </c>
      <c r="L4278">
        <v>3</v>
      </c>
      <c r="M4278">
        <v>0</v>
      </c>
      <c r="N4278">
        <v>2</v>
      </c>
      <c r="O4278">
        <v>0</v>
      </c>
      <c r="P4278">
        <v>1</v>
      </c>
      <c r="Q4278">
        <v>0</v>
      </c>
      <c r="R4278" t="s">
        <v>127</v>
      </c>
      <c r="S4278" t="str">
        <f t="shared" si="1692"/>
        <v>15:16:24.000</v>
      </c>
      <c r="T4278" t="str">
        <f t="shared" si="1692"/>
        <v>15:16:24.000</v>
      </c>
      <c r="U4278" t="str">
        <f t="shared" si="1674"/>
        <v>A68FCB</v>
      </c>
      <c r="V4278">
        <v>0</v>
      </c>
      <c r="W4278">
        <v>0</v>
      </c>
      <c r="X4278">
        <v>2</v>
      </c>
      <c r="Y4278">
        <v>0</v>
      </c>
      <c r="AA4278">
        <v>1</v>
      </c>
      <c r="AB4278">
        <v>8</v>
      </c>
      <c r="AC4278">
        <v>3</v>
      </c>
      <c r="AD4278">
        <v>0</v>
      </c>
      <c r="AE4278">
        <v>9</v>
      </c>
      <c r="AF4278" t="s">
        <v>138</v>
      </c>
      <c r="AG4278">
        <v>0</v>
      </c>
      <c r="AH4278">
        <v>3</v>
      </c>
      <c r="AI4278">
        <v>2</v>
      </c>
      <c r="AJ4278">
        <v>0</v>
      </c>
      <c r="AK4278" t="s">
        <v>1358</v>
      </c>
      <c r="AL4278">
        <v>39.196064</v>
      </c>
      <c r="AM4278" t="s">
        <v>1359</v>
      </c>
      <c r="AN4278">
        <v>-121.01674300000001</v>
      </c>
      <c r="AO4278">
        <v>25</v>
      </c>
      <c r="AP4278">
        <v>4300</v>
      </c>
      <c r="AQ4278" t="s">
        <v>131</v>
      </c>
      <c r="AR4278">
        <v>34</v>
      </c>
      <c r="AS4278">
        <v>60</v>
      </c>
      <c r="AT4278">
        <v>-512</v>
      </c>
      <c r="BB4278" t="str">
        <f t="shared" si="1675"/>
        <v>1200</v>
      </c>
      <c r="BC4278">
        <v>1</v>
      </c>
      <c r="BD4278" t="str">
        <f t="shared" si="1676"/>
        <v xml:space="preserve">N52156  </v>
      </c>
      <c r="BE4278">
        <v>1</v>
      </c>
      <c r="BG4278">
        <v>0</v>
      </c>
      <c r="BH4278">
        <v>0</v>
      </c>
      <c r="BI4278">
        <v>0</v>
      </c>
      <c r="BJ4278">
        <v>4350</v>
      </c>
      <c r="BK4278">
        <v>50</v>
      </c>
      <c r="BL4278" t="s">
        <v>188</v>
      </c>
      <c r="BM4278">
        <v>1</v>
      </c>
      <c r="BN4278">
        <v>1</v>
      </c>
      <c r="BO4278">
        <v>0</v>
      </c>
      <c r="BP4278">
        <v>0</v>
      </c>
      <c r="BS4278">
        <v>0</v>
      </c>
      <c r="BT4278">
        <v>0</v>
      </c>
      <c r="BU4278">
        <v>0</v>
      </c>
      <c r="CE4278" t="str">
        <f t="shared" si="1693"/>
        <v>15:16:24.651</v>
      </c>
      <c r="CF4278">
        <v>650500110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4</v>
      </c>
      <c r="CY4278">
        <v>7</v>
      </c>
      <c r="CZ4278" t="s">
        <v>133</v>
      </c>
      <c r="DA4278">
        <v>275</v>
      </c>
      <c r="DB4278">
        <v>0</v>
      </c>
      <c r="DC4278" t="s">
        <v>134</v>
      </c>
      <c r="DD4278" t="s">
        <v>135</v>
      </c>
      <c r="DG4278">
        <v>3323214</v>
      </c>
      <c r="DI4278">
        <v>1</v>
      </c>
      <c r="DJ4278">
        <v>0</v>
      </c>
      <c r="DK4278">
        <v>1</v>
      </c>
      <c r="DL4278">
        <v>0</v>
      </c>
      <c r="DM4278">
        <v>0</v>
      </c>
      <c r="DN4278">
        <v>0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 x14ac:dyDescent="0.3">
      <c r="A4279" t="str">
        <f>"05/01/2025 15:16:24.886"</f>
        <v>05/01/2025 15:16:24.886</v>
      </c>
      <c r="C4279" t="str">
        <f t="shared" si="1672"/>
        <v>FFDFD3C0</v>
      </c>
      <c r="D4279" t="s">
        <v>145</v>
      </c>
      <c r="E4279" t="str">
        <f>"05"</f>
        <v>05</v>
      </c>
      <c r="H4279">
        <v>47</v>
      </c>
      <c r="I4279" t="s">
        <v>146</v>
      </c>
      <c r="J4279" t="s">
        <v>138</v>
      </c>
      <c r="K4279">
        <v>0</v>
      </c>
      <c r="L4279">
        <v>3</v>
      </c>
      <c r="M4279">
        <v>0</v>
      </c>
      <c r="N4279">
        <v>2</v>
      </c>
      <c r="O4279">
        <v>0</v>
      </c>
      <c r="P4279">
        <v>1</v>
      </c>
      <c r="Q4279">
        <v>0</v>
      </c>
      <c r="R4279" t="s">
        <v>127</v>
      </c>
      <c r="S4279" t="str">
        <f t="shared" si="1692"/>
        <v>15:16:24.000</v>
      </c>
      <c r="T4279" t="str">
        <f t="shared" si="1692"/>
        <v>15:16:24.000</v>
      </c>
      <c r="U4279" t="str">
        <f t="shared" si="1674"/>
        <v>A68FCB</v>
      </c>
      <c r="V4279">
        <v>0</v>
      </c>
      <c r="W4279">
        <v>0</v>
      </c>
      <c r="X4279">
        <v>2</v>
      </c>
      <c r="Y4279">
        <v>0</v>
      </c>
      <c r="AA4279">
        <v>1</v>
      </c>
      <c r="AB4279">
        <v>8</v>
      </c>
      <c r="AC4279">
        <v>3</v>
      </c>
      <c r="AD4279">
        <v>0</v>
      </c>
      <c r="AE4279">
        <v>9</v>
      </c>
      <c r="AF4279" t="s">
        <v>138</v>
      </c>
      <c r="AG4279">
        <v>0</v>
      </c>
      <c r="AH4279">
        <v>3</v>
      </c>
      <c r="AI4279">
        <v>2</v>
      </c>
      <c r="AJ4279">
        <v>0</v>
      </c>
      <c r="AK4279" t="s">
        <v>1358</v>
      </c>
      <c r="AL4279">
        <v>39.196064</v>
      </c>
      <c r="AM4279" t="s">
        <v>1359</v>
      </c>
      <c r="AN4279">
        <v>-121.01674300000001</v>
      </c>
      <c r="AO4279">
        <v>25</v>
      </c>
      <c r="AP4279">
        <v>4300</v>
      </c>
      <c r="AQ4279" t="s">
        <v>131</v>
      </c>
      <c r="AR4279">
        <v>34</v>
      </c>
      <c r="AS4279">
        <v>60</v>
      </c>
      <c r="AT4279">
        <v>-512</v>
      </c>
      <c r="BB4279" t="str">
        <f t="shared" si="1675"/>
        <v>1200</v>
      </c>
      <c r="BC4279">
        <v>1</v>
      </c>
      <c r="BD4279" t="str">
        <f t="shared" si="1676"/>
        <v xml:space="preserve">N52156  </v>
      </c>
      <c r="BE4279">
        <v>1</v>
      </c>
      <c r="BG4279">
        <v>0</v>
      </c>
      <c r="BH4279">
        <v>0</v>
      </c>
      <c r="BI4279">
        <v>0</v>
      </c>
      <c r="BJ4279">
        <v>4350</v>
      </c>
      <c r="BK4279">
        <v>50</v>
      </c>
      <c r="BL4279" t="s">
        <v>188</v>
      </c>
      <c r="BM4279">
        <v>1</v>
      </c>
      <c r="BN4279">
        <v>1</v>
      </c>
      <c r="BO4279">
        <v>0</v>
      </c>
      <c r="BP4279">
        <v>0</v>
      </c>
      <c r="BS4279">
        <v>0</v>
      </c>
      <c r="BT4279">
        <v>0</v>
      </c>
      <c r="BU4279">
        <v>0</v>
      </c>
      <c r="CE4279" t="str">
        <f t="shared" si="1693"/>
        <v>15:16:24.651</v>
      </c>
      <c r="CF4279">
        <v>650500110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4</v>
      </c>
      <c r="CY4279">
        <v>7</v>
      </c>
      <c r="CZ4279" t="s">
        <v>133</v>
      </c>
      <c r="DA4279">
        <v>275</v>
      </c>
      <c r="DB4279">
        <v>0</v>
      </c>
      <c r="DC4279" t="s">
        <v>134</v>
      </c>
      <c r="DD4279" t="s">
        <v>135</v>
      </c>
      <c r="DG4279">
        <v>3323214</v>
      </c>
      <c r="DI4279">
        <v>1</v>
      </c>
      <c r="DJ4279">
        <v>0</v>
      </c>
      <c r="DK4279">
        <v>1</v>
      </c>
      <c r="DL4279">
        <v>0</v>
      </c>
      <c r="DM4279">
        <v>0</v>
      </c>
      <c r="DN4279">
        <v>0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 x14ac:dyDescent="0.3">
      <c r="A4280" t="str">
        <f>"05/01/2025 15:16:26.168"</f>
        <v>05/01/2025 15:16:26.168</v>
      </c>
      <c r="C4280" t="str">
        <f t="shared" si="1672"/>
        <v>FFDFD3C0</v>
      </c>
      <c r="D4280" t="s">
        <v>140</v>
      </c>
      <c r="E4280" t="str">
        <f>"13"</f>
        <v>13</v>
      </c>
      <c r="F4280">
        <v>1019</v>
      </c>
      <c r="G4280" t="s">
        <v>141</v>
      </c>
      <c r="J4280" t="s">
        <v>142</v>
      </c>
      <c r="K4280">
        <v>0</v>
      </c>
      <c r="L4280">
        <v>3</v>
      </c>
      <c r="M4280">
        <v>0</v>
      </c>
      <c r="N4280">
        <v>2</v>
      </c>
      <c r="O4280">
        <v>0</v>
      </c>
      <c r="P4280">
        <v>1</v>
      </c>
      <c r="Q4280">
        <v>0</v>
      </c>
      <c r="R4280" t="s">
        <v>127</v>
      </c>
      <c r="S4280" t="str">
        <f t="shared" ref="S4280:T4285" si="1694">"15:16:25.000"</f>
        <v>15:16:25.000</v>
      </c>
      <c r="T4280" t="str">
        <f t="shared" si="1694"/>
        <v>15:16:25.000</v>
      </c>
      <c r="U4280" t="str">
        <f t="shared" si="1674"/>
        <v>A68FCB</v>
      </c>
      <c r="V4280">
        <v>0</v>
      </c>
      <c r="W4280">
        <v>0</v>
      </c>
      <c r="X4280">
        <v>2</v>
      </c>
      <c r="Y4280">
        <v>0</v>
      </c>
      <c r="AA4280">
        <v>1</v>
      </c>
      <c r="AB4280">
        <v>8</v>
      </c>
      <c r="AC4280">
        <v>3</v>
      </c>
      <c r="AD4280">
        <v>0</v>
      </c>
      <c r="AE4280">
        <v>9</v>
      </c>
      <c r="AF4280" t="s">
        <v>138</v>
      </c>
      <c r="AG4280">
        <v>0</v>
      </c>
      <c r="AH4280">
        <v>3</v>
      </c>
      <c r="AI4280">
        <v>2</v>
      </c>
      <c r="AJ4280">
        <v>0</v>
      </c>
      <c r="AK4280" t="s">
        <v>1360</v>
      </c>
      <c r="AL4280">
        <v>39.196342999999999</v>
      </c>
      <c r="AM4280" t="s">
        <v>1361</v>
      </c>
      <c r="AN4280">
        <v>-121.01652900000001</v>
      </c>
      <c r="AO4280">
        <v>25</v>
      </c>
      <c r="AP4280">
        <v>4300</v>
      </c>
      <c r="AQ4280" t="s">
        <v>131</v>
      </c>
      <c r="AR4280">
        <v>34</v>
      </c>
      <c r="AS4280">
        <v>59</v>
      </c>
      <c r="AT4280">
        <v>-576</v>
      </c>
      <c r="BB4280" t="str">
        <f t="shared" si="1675"/>
        <v>1200</v>
      </c>
      <c r="BC4280">
        <v>1</v>
      </c>
      <c r="BD4280" t="str">
        <f t="shared" si="1676"/>
        <v xml:space="preserve">N52156  </v>
      </c>
      <c r="BE4280">
        <v>1</v>
      </c>
      <c r="BG4280">
        <v>0</v>
      </c>
      <c r="BH4280">
        <v>0</v>
      </c>
      <c r="BI4280">
        <v>0</v>
      </c>
      <c r="BJ4280">
        <v>4350</v>
      </c>
      <c r="BK4280">
        <v>50</v>
      </c>
      <c r="BL4280" t="s">
        <v>188</v>
      </c>
      <c r="BM4280">
        <v>1</v>
      </c>
      <c r="BN4280">
        <v>1</v>
      </c>
      <c r="BO4280">
        <v>0</v>
      </c>
      <c r="BP4280">
        <v>0</v>
      </c>
      <c r="BS4280">
        <v>0</v>
      </c>
      <c r="BT4280">
        <v>0</v>
      </c>
      <c r="BU4280">
        <v>0</v>
      </c>
      <c r="CE4280" t="str">
        <f t="shared" ref="CE4280:CE4285" si="1695">"15:16:25.954"</f>
        <v>15:16:25.954</v>
      </c>
      <c r="CF4280">
        <v>953751013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4</v>
      </c>
      <c r="CY4280">
        <v>7</v>
      </c>
      <c r="CZ4280" t="s">
        <v>133</v>
      </c>
      <c r="DA4280">
        <v>275</v>
      </c>
      <c r="DB4280">
        <v>0</v>
      </c>
      <c r="DC4280" t="s">
        <v>134</v>
      </c>
      <c r="DD4280" t="s">
        <v>135</v>
      </c>
      <c r="DG4280">
        <v>3323218</v>
      </c>
      <c r="DI4280">
        <v>1</v>
      </c>
      <c r="DJ4280">
        <v>0</v>
      </c>
      <c r="DK4280">
        <v>0</v>
      </c>
      <c r="DL4280">
        <v>0</v>
      </c>
      <c r="DM4280">
        <v>0</v>
      </c>
      <c r="DN4280">
        <v>0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 x14ac:dyDescent="0.3">
      <c r="A4281" t="str">
        <f>"05/01/2025 15:16:26.169"</f>
        <v>05/01/2025 15:16:26.169</v>
      </c>
      <c r="C4281" t="str">
        <f t="shared" si="1672"/>
        <v>FFDFD3C0</v>
      </c>
      <c r="D4281" t="s">
        <v>124</v>
      </c>
      <c r="E4281" t="str">
        <f>"06"</f>
        <v>06</v>
      </c>
      <c r="F4281">
        <v>2006</v>
      </c>
      <c r="G4281" t="s">
        <v>125</v>
      </c>
      <c r="J4281" t="s">
        <v>126</v>
      </c>
      <c r="K4281">
        <v>0</v>
      </c>
      <c r="L4281">
        <v>3</v>
      </c>
      <c r="M4281">
        <v>0</v>
      </c>
      <c r="N4281">
        <v>2</v>
      </c>
      <c r="O4281">
        <v>0</v>
      </c>
      <c r="P4281">
        <v>1</v>
      </c>
      <c r="Q4281">
        <v>0</v>
      </c>
      <c r="R4281" t="s">
        <v>127</v>
      </c>
      <c r="S4281" t="str">
        <f t="shared" si="1694"/>
        <v>15:16:25.000</v>
      </c>
      <c r="T4281" t="str">
        <f t="shared" si="1694"/>
        <v>15:16:25.000</v>
      </c>
      <c r="U4281" t="str">
        <f t="shared" si="1674"/>
        <v>A68FCB</v>
      </c>
      <c r="V4281">
        <v>0</v>
      </c>
      <c r="W4281">
        <v>0</v>
      </c>
      <c r="X4281">
        <v>2</v>
      </c>
      <c r="Y4281">
        <v>0</v>
      </c>
      <c r="AA4281">
        <v>1</v>
      </c>
      <c r="AB4281">
        <v>8</v>
      </c>
      <c r="AC4281">
        <v>3</v>
      </c>
      <c r="AD4281">
        <v>0</v>
      </c>
      <c r="AE4281">
        <v>9</v>
      </c>
      <c r="AF4281" t="s">
        <v>138</v>
      </c>
      <c r="AG4281">
        <v>0</v>
      </c>
      <c r="AH4281">
        <v>3</v>
      </c>
      <c r="AI4281">
        <v>2</v>
      </c>
      <c r="AJ4281">
        <v>0</v>
      </c>
      <c r="AK4281" t="s">
        <v>1360</v>
      </c>
      <c r="AL4281">
        <v>39.196342999999999</v>
      </c>
      <c r="AM4281" t="s">
        <v>1361</v>
      </c>
      <c r="AN4281">
        <v>-121.01652900000001</v>
      </c>
      <c r="AO4281">
        <v>25</v>
      </c>
      <c r="AP4281">
        <v>4300</v>
      </c>
      <c r="AQ4281" t="s">
        <v>131</v>
      </c>
      <c r="AR4281">
        <v>34</v>
      </c>
      <c r="AS4281">
        <v>59</v>
      </c>
      <c r="AT4281">
        <v>-576</v>
      </c>
      <c r="BB4281" t="str">
        <f t="shared" si="1675"/>
        <v>1200</v>
      </c>
      <c r="BC4281">
        <v>1</v>
      </c>
      <c r="BD4281" t="str">
        <f t="shared" si="1676"/>
        <v xml:space="preserve">N52156  </v>
      </c>
      <c r="BE4281">
        <v>1</v>
      </c>
      <c r="BG4281">
        <v>0</v>
      </c>
      <c r="BH4281">
        <v>0</v>
      </c>
      <c r="BI4281">
        <v>0</v>
      </c>
      <c r="BJ4281">
        <v>4350</v>
      </c>
      <c r="BK4281">
        <v>50</v>
      </c>
      <c r="BL4281" t="s">
        <v>188</v>
      </c>
      <c r="BM4281">
        <v>1</v>
      </c>
      <c r="BN4281">
        <v>1</v>
      </c>
      <c r="BO4281">
        <v>0</v>
      </c>
      <c r="BP4281">
        <v>0</v>
      </c>
      <c r="BS4281">
        <v>0</v>
      </c>
      <c r="BT4281">
        <v>0</v>
      </c>
      <c r="BU4281">
        <v>0</v>
      </c>
      <c r="CE4281" t="str">
        <f t="shared" si="1695"/>
        <v>15:16:25.954</v>
      </c>
      <c r="CF4281">
        <v>953751013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4</v>
      </c>
      <c r="CY4281">
        <v>7</v>
      </c>
      <c r="CZ4281" t="s">
        <v>133</v>
      </c>
      <c r="DA4281">
        <v>275</v>
      </c>
      <c r="DB4281">
        <v>0</v>
      </c>
      <c r="DC4281" t="s">
        <v>134</v>
      </c>
      <c r="DD4281" t="s">
        <v>135</v>
      </c>
      <c r="DG4281">
        <v>3323218</v>
      </c>
      <c r="DI4281">
        <v>1</v>
      </c>
      <c r="DJ4281">
        <v>0</v>
      </c>
      <c r="DK4281">
        <v>1</v>
      </c>
      <c r="DL4281">
        <v>0</v>
      </c>
      <c r="DM4281">
        <v>0</v>
      </c>
      <c r="DN4281">
        <v>0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 x14ac:dyDescent="0.3">
      <c r="A4282" t="str">
        <f>"05/01/2025 15:16:26.170"</f>
        <v>05/01/2025 15:16:26.170</v>
      </c>
      <c r="C4282" t="str">
        <f t="shared" si="1672"/>
        <v>FFDFD3C0</v>
      </c>
      <c r="D4282" t="s">
        <v>143</v>
      </c>
      <c r="E4282" t="str">
        <f>"05"</f>
        <v>05</v>
      </c>
      <c r="H4282">
        <v>172</v>
      </c>
      <c r="I4282" t="s">
        <v>141</v>
      </c>
      <c r="J4282" t="s">
        <v>144</v>
      </c>
      <c r="K4282">
        <v>0</v>
      </c>
      <c r="L4282">
        <v>3</v>
      </c>
      <c r="M4282">
        <v>0</v>
      </c>
      <c r="N4282">
        <v>2</v>
      </c>
      <c r="O4282">
        <v>0</v>
      </c>
      <c r="P4282">
        <v>1</v>
      </c>
      <c r="Q4282">
        <v>0</v>
      </c>
      <c r="R4282" t="s">
        <v>127</v>
      </c>
      <c r="S4282" t="str">
        <f t="shared" si="1694"/>
        <v>15:16:25.000</v>
      </c>
      <c r="T4282" t="str">
        <f t="shared" si="1694"/>
        <v>15:16:25.000</v>
      </c>
      <c r="U4282" t="str">
        <f t="shared" si="1674"/>
        <v>A68FCB</v>
      </c>
      <c r="V4282">
        <v>0</v>
      </c>
      <c r="W4282">
        <v>0</v>
      </c>
      <c r="X4282">
        <v>2</v>
      </c>
      <c r="Y4282">
        <v>0</v>
      </c>
      <c r="AA4282">
        <v>1</v>
      </c>
      <c r="AB4282">
        <v>8</v>
      </c>
      <c r="AC4282">
        <v>3</v>
      </c>
      <c r="AD4282">
        <v>0</v>
      </c>
      <c r="AE4282">
        <v>9</v>
      </c>
      <c r="AF4282" t="s">
        <v>138</v>
      </c>
      <c r="AG4282">
        <v>0</v>
      </c>
      <c r="AH4282">
        <v>3</v>
      </c>
      <c r="AI4282">
        <v>2</v>
      </c>
      <c r="AJ4282">
        <v>0</v>
      </c>
      <c r="AK4282" t="s">
        <v>1360</v>
      </c>
      <c r="AL4282">
        <v>39.196342999999999</v>
      </c>
      <c r="AM4282" t="s">
        <v>1361</v>
      </c>
      <c r="AN4282">
        <v>-121.01652900000001</v>
      </c>
      <c r="AO4282">
        <v>25</v>
      </c>
      <c r="AP4282">
        <v>4300</v>
      </c>
      <c r="AQ4282" t="s">
        <v>131</v>
      </c>
      <c r="AR4282">
        <v>34</v>
      </c>
      <c r="AS4282">
        <v>59</v>
      </c>
      <c r="AT4282">
        <v>-576</v>
      </c>
      <c r="BB4282" t="str">
        <f t="shared" si="1675"/>
        <v>1200</v>
      </c>
      <c r="BC4282">
        <v>1</v>
      </c>
      <c r="BD4282" t="str">
        <f t="shared" si="1676"/>
        <v xml:space="preserve">N52156  </v>
      </c>
      <c r="BE4282">
        <v>1</v>
      </c>
      <c r="BG4282">
        <v>0</v>
      </c>
      <c r="BH4282">
        <v>0</v>
      </c>
      <c r="BI4282">
        <v>0</v>
      </c>
      <c r="BJ4282">
        <v>4350</v>
      </c>
      <c r="BK4282">
        <v>50</v>
      </c>
      <c r="BL4282" t="s">
        <v>188</v>
      </c>
      <c r="BM4282">
        <v>1</v>
      </c>
      <c r="BN4282">
        <v>1</v>
      </c>
      <c r="BO4282">
        <v>0</v>
      </c>
      <c r="BP4282">
        <v>0</v>
      </c>
      <c r="BS4282">
        <v>0</v>
      </c>
      <c r="BT4282">
        <v>0</v>
      </c>
      <c r="BU4282">
        <v>0</v>
      </c>
      <c r="CE4282" t="str">
        <f t="shared" si="1695"/>
        <v>15:16:25.954</v>
      </c>
      <c r="CF4282">
        <v>953751013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4</v>
      </c>
      <c r="CY4282">
        <v>7</v>
      </c>
      <c r="CZ4282" t="s">
        <v>133</v>
      </c>
      <c r="DA4282">
        <v>275</v>
      </c>
      <c r="DB4282">
        <v>0</v>
      </c>
      <c r="DC4282" t="s">
        <v>134</v>
      </c>
      <c r="DD4282" t="s">
        <v>135</v>
      </c>
      <c r="DG4282">
        <v>3323218</v>
      </c>
      <c r="DI4282">
        <v>1</v>
      </c>
      <c r="DJ4282">
        <v>0</v>
      </c>
      <c r="DK4282">
        <v>1</v>
      </c>
      <c r="DL4282">
        <v>0</v>
      </c>
      <c r="DM4282">
        <v>0</v>
      </c>
      <c r="DN4282">
        <v>0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 x14ac:dyDescent="0.3">
      <c r="A4283" t="str">
        <f>"05/01/2025 15:16:26.184"</f>
        <v>05/01/2025 15:16:26.184</v>
      </c>
      <c r="C4283" t="str">
        <f t="shared" si="1672"/>
        <v>FFDFD3C0</v>
      </c>
      <c r="D4283" t="s">
        <v>145</v>
      </c>
      <c r="E4283" t="str">
        <f>"09"</f>
        <v>09</v>
      </c>
      <c r="H4283">
        <v>51</v>
      </c>
      <c r="I4283" t="s">
        <v>147</v>
      </c>
      <c r="J4283" t="s">
        <v>138</v>
      </c>
      <c r="K4283">
        <v>0</v>
      </c>
      <c r="L4283">
        <v>3</v>
      </c>
      <c r="M4283">
        <v>0</v>
      </c>
      <c r="N4283">
        <v>2</v>
      </c>
      <c r="O4283">
        <v>0</v>
      </c>
      <c r="P4283">
        <v>1</v>
      </c>
      <c r="Q4283">
        <v>0</v>
      </c>
      <c r="R4283" t="s">
        <v>127</v>
      </c>
      <c r="S4283" t="str">
        <f t="shared" si="1694"/>
        <v>15:16:25.000</v>
      </c>
      <c r="T4283" t="str">
        <f t="shared" si="1694"/>
        <v>15:16:25.000</v>
      </c>
      <c r="U4283" t="str">
        <f t="shared" si="1674"/>
        <v>A68FCB</v>
      </c>
      <c r="V4283">
        <v>0</v>
      </c>
      <c r="W4283">
        <v>0</v>
      </c>
      <c r="X4283">
        <v>2</v>
      </c>
      <c r="Y4283">
        <v>0</v>
      </c>
      <c r="AA4283">
        <v>1</v>
      </c>
      <c r="AB4283">
        <v>8</v>
      </c>
      <c r="AC4283">
        <v>3</v>
      </c>
      <c r="AD4283">
        <v>0</v>
      </c>
      <c r="AE4283">
        <v>9</v>
      </c>
      <c r="AF4283" t="s">
        <v>138</v>
      </c>
      <c r="AG4283">
        <v>0</v>
      </c>
      <c r="AH4283">
        <v>3</v>
      </c>
      <c r="AI4283">
        <v>2</v>
      </c>
      <c r="AJ4283">
        <v>0</v>
      </c>
      <c r="AK4283" t="s">
        <v>1360</v>
      </c>
      <c r="AL4283">
        <v>39.196342999999999</v>
      </c>
      <c r="AM4283" t="s">
        <v>1361</v>
      </c>
      <c r="AN4283">
        <v>-121.01652900000001</v>
      </c>
      <c r="AO4283">
        <v>25</v>
      </c>
      <c r="AP4283">
        <v>4300</v>
      </c>
      <c r="AQ4283" t="s">
        <v>131</v>
      </c>
      <c r="AR4283">
        <v>34</v>
      </c>
      <c r="AS4283">
        <v>59</v>
      </c>
      <c r="AT4283">
        <v>-576</v>
      </c>
      <c r="BB4283" t="str">
        <f t="shared" si="1675"/>
        <v>1200</v>
      </c>
      <c r="BC4283">
        <v>1</v>
      </c>
      <c r="BD4283" t="str">
        <f t="shared" si="1676"/>
        <v xml:space="preserve">N52156  </v>
      </c>
      <c r="BE4283">
        <v>1</v>
      </c>
      <c r="BG4283">
        <v>0</v>
      </c>
      <c r="BH4283">
        <v>0</v>
      </c>
      <c r="BI4283">
        <v>0</v>
      </c>
      <c r="BJ4283">
        <v>4350</v>
      </c>
      <c r="BK4283">
        <v>50</v>
      </c>
      <c r="BL4283" t="s">
        <v>188</v>
      </c>
      <c r="BM4283">
        <v>1</v>
      </c>
      <c r="BN4283">
        <v>1</v>
      </c>
      <c r="BO4283">
        <v>0</v>
      </c>
      <c r="BP4283">
        <v>0</v>
      </c>
      <c r="BS4283">
        <v>0</v>
      </c>
      <c r="BT4283">
        <v>0</v>
      </c>
      <c r="BU4283">
        <v>0</v>
      </c>
      <c r="CE4283" t="str">
        <f t="shared" si="1695"/>
        <v>15:16:25.954</v>
      </c>
      <c r="CF4283">
        <v>953751013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4</v>
      </c>
      <c r="CY4283">
        <v>7</v>
      </c>
      <c r="CZ4283" t="s">
        <v>133</v>
      </c>
      <c r="DA4283">
        <v>275</v>
      </c>
      <c r="DB4283">
        <v>0</v>
      </c>
      <c r="DC4283" t="s">
        <v>134</v>
      </c>
      <c r="DD4283" t="s">
        <v>135</v>
      </c>
      <c r="DG4283">
        <v>3323218</v>
      </c>
      <c r="DI4283">
        <v>1</v>
      </c>
      <c r="DJ4283">
        <v>0</v>
      </c>
      <c r="DK4283">
        <v>1</v>
      </c>
      <c r="DL4283">
        <v>0</v>
      </c>
      <c r="DM4283">
        <v>0</v>
      </c>
      <c r="DN4283">
        <v>0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 x14ac:dyDescent="0.3">
      <c r="A4284" t="str">
        <f>"05/01/2025 15:16:26.188"</f>
        <v>05/01/2025 15:16:26.188</v>
      </c>
      <c r="C4284" t="str">
        <f t="shared" si="1672"/>
        <v>FFDFD3C0</v>
      </c>
      <c r="D4284" t="s">
        <v>145</v>
      </c>
      <c r="E4284" t="str">
        <f>"05"</f>
        <v>05</v>
      </c>
      <c r="H4284">
        <v>47</v>
      </c>
      <c r="I4284" t="s">
        <v>146</v>
      </c>
      <c r="J4284" t="s">
        <v>138</v>
      </c>
      <c r="K4284">
        <v>0</v>
      </c>
      <c r="L4284">
        <v>3</v>
      </c>
      <c r="M4284">
        <v>0</v>
      </c>
      <c r="N4284">
        <v>2</v>
      </c>
      <c r="O4284">
        <v>0</v>
      </c>
      <c r="P4284">
        <v>1</v>
      </c>
      <c r="Q4284">
        <v>0</v>
      </c>
      <c r="R4284" t="s">
        <v>127</v>
      </c>
      <c r="S4284" t="str">
        <f t="shared" si="1694"/>
        <v>15:16:25.000</v>
      </c>
      <c r="T4284" t="str">
        <f t="shared" si="1694"/>
        <v>15:16:25.000</v>
      </c>
      <c r="U4284" t="str">
        <f t="shared" si="1674"/>
        <v>A68FCB</v>
      </c>
      <c r="V4284">
        <v>0</v>
      </c>
      <c r="W4284">
        <v>0</v>
      </c>
      <c r="X4284">
        <v>2</v>
      </c>
      <c r="Y4284">
        <v>0</v>
      </c>
      <c r="AA4284">
        <v>1</v>
      </c>
      <c r="AB4284">
        <v>8</v>
      </c>
      <c r="AC4284">
        <v>3</v>
      </c>
      <c r="AD4284">
        <v>0</v>
      </c>
      <c r="AE4284">
        <v>9</v>
      </c>
      <c r="AF4284" t="s">
        <v>138</v>
      </c>
      <c r="AG4284">
        <v>0</v>
      </c>
      <c r="AH4284">
        <v>3</v>
      </c>
      <c r="AI4284">
        <v>2</v>
      </c>
      <c r="AJ4284">
        <v>0</v>
      </c>
      <c r="AK4284" t="s">
        <v>1360</v>
      </c>
      <c r="AL4284">
        <v>39.196342999999999</v>
      </c>
      <c r="AM4284" t="s">
        <v>1361</v>
      </c>
      <c r="AN4284">
        <v>-121.01652900000001</v>
      </c>
      <c r="AO4284">
        <v>25</v>
      </c>
      <c r="AP4284">
        <v>4300</v>
      </c>
      <c r="AQ4284" t="s">
        <v>131</v>
      </c>
      <c r="AR4284">
        <v>34</v>
      </c>
      <c r="AS4284">
        <v>59</v>
      </c>
      <c r="AT4284">
        <v>-576</v>
      </c>
      <c r="BB4284" t="str">
        <f t="shared" si="1675"/>
        <v>1200</v>
      </c>
      <c r="BC4284">
        <v>1</v>
      </c>
      <c r="BD4284" t="str">
        <f t="shared" si="1676"/>
        <v xml:space="preserve">N52156  </v>
      </c>
      <c r="BE4284">
        <v>1</v>
      </c>
      <c r="BG4284">
        <v>0</v>
      </c>
      <c r="BH4284">
        <v>0</v>
      </c>
      <c r="BI4284">
        <v>0</v>
      </c>
      <c r="BJ4284">
        <v>4350</v>
      </c>
      <c r="BK4284">
        <v>50</v>
      </c>
      <c r="BL4284" t="s">
        <v>188</v>
      </c>
      <c r="BM4284">
        <v>1</v>
      </c>
      <c r="BN4284">
        <v>1</v>
      </c>
      <c r="BO4284">
        <v>0</v>
      </c>
      <c r="BP4284">
        <v>0</v>
      </c>
      <c r="BS4284">
        <v>0</v>
      </c>
      <c r="BT4284">
        <v>0</v>
      </c>
      <c r="BU4284">
        <v>0</v>
      </c>
      <c r="CE4284" t="str">
        <f t="shared" si="1695"/>
        <v>15:16:25.954</v>
      </c>
      <c r="CF4284">
        <v>953751013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4</v>
      </c>
      <c r="CY4284">
        <v>7</v>
      </c>
      <c r="CZ4284" t="s">
        <v>133</v>
      </c>
      <c r="DA4284">
        <v>275</v>
      </c>
      <c r="DB4284">
        <v>0</v>
      </c>
      <c r="DC4284" t="s">
        <v>134</v>
      </c>
      <c r="DD4284" t="s">
        <v>135</v>
      </c>
      <c r="DG4284">
        <v>3323218</v>
      </c>
      <c r="DI4284">
        <v>1</v>
      </c>
      <c r="DJ4284">
        <v>0</v>
      </c>
      <c r="DK4284">
        <v>1</v>
      </c>
      <c r="DL4284">
        <v>0</v>
      </c>
      <c r="DM4284">
        <v>0</v>
      </c>
      <c r="DN4284">
        <v>0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 x14ac:dyDescent="0.3">
      <c r="A4285" t="str">
        <f>"05/01/2025 15:16:26.200"</f>
        <v>05/01/2025 15:16:26.200</v>
      </c>
      <c r="C4285" t="str">
        <f t="shared" si="1672"/>
        <v>FFDFD3C0</v>
      </c>
      <c r="D4285" t="s">
        <v>136</v>
      </c>
      <c r="E4285" t="str">
        <f>"20"</f>
        <v>20</v>
      </c>
      <c r="H4285">
        <v>400</v>
      </c>
      <c r="I4285" t="s">
        <v>137</v>
      </c>
      <c r="J4285" t="s">
        <v>138</v>
      </c>
      <c r="K4285">
        <v>0</v>
      </c>
      <c r="L4285">
        <v>3</v>
      </c>
      <c r="M4285">
        <v>0</v>
      </c>
      <c r="N4285">
        <v>2</v>
      </c>
      <c r="O4285">
        <v>0</v>
      </c>
      <c r="P4285">
        <v>1</v>
      </c>
      <c r="Q4285">
        <v>0</v>
      </c>
      <c r="R4285" t="s">
        <v>127</v>
      </c>
      <c r="S4285" t="str">
        <f t="shared" si="1694"/>
        <v>15:16:25.000</v>
      </c>
      <c r="T4285" t="str">
        <f t="shared" si="1694"/>
        <v>15:16:25.000</v>
      </c>
      <c r="U4285" t="str">
        <f t="shared" si="1674"/>
        <v>A68FCB</v>
      </c>
      <c r="V4285">
        <v>0</v>
      </c>
      <c r="W4285">
        <v>0</v>
      </c>
      <c r="X4285">
        <v>2</v>
      </c>
      <c r="Y4285">
        <v>0</v>
      </c>
      <c r="AA4285">
        <v>1</v>
      </c>
      <c r="AB4285">
        <v>8</v>
      </c>
      <c r="AC4285">
        <v>3</v>
      </c>
      <c r="AD4285">
        <v>0</v>
      </c>
      <c r="AE4285">
        <v>9</v>
      </c>
      <c r="AF4285" t="s">
        <v>138</v>
      </c>
      <c r="AG4285">
        <v>0</v>
      </c>
      <c r="AH4285">
        <v>3</v>
      </c>
      <c r="AI4285">
        <v>2</v>
      </c>
      <c r="AJ4285">
        <v>0</v>
      </c>
      <c r="AK4285" t="s">
        <v>1360</v>
      </c>
      <c r="AL4285">
        <v>39.196342999999999</v>
      </c>
      <c r="AM4285" t="s">
        <v>1361</v>
      </c>
      <c r="AN4285">
        <v>-121.01652900000001</v>
      </c>
      <c r="AO4285">
        <v>25</v>
      </c>
      <c r="AP4285">
        <v>4300</v>
      </c>
      <c r="AQ4285" t="s">
        <v>131</v>
      </c>
      <c r="AR4285">
        <v>34</v>
      </c>
      <c r="AS4285">
        <v>59</v>
      </c>
      <c r="AT4285">
        <v>-576</v>
      </c>
      <c r="BB4285" t="str">
        <f t="shared" si="1675"/>
        <v>1200</v>
      </c>
      <c r="BC4285">
        <v>1</v>
      </c>
      <c r="BD4285" t="str">
        <f t="shared" si="1676"/>
        <v xml:space="preserve">N52156  </v>
      </c>
      <c r="BE4285">
        <v>1</v>
      </c>
      <c r="BG4285">
        <v>0</v>
      </c>
      <c r="BH4285">
        <v>0</v>
      </c>
      <c r="BI4285">
        <v>0</v>
      </c>
      <c r="BJ4285">
        <v>4350</v>
      </c>
      <c r="BK4285">
        <v>50</v>
      </c>
      <c r="BL4285" t="s">
        <v>188</v>
      </c>
      <c r="BM4285">
        <v>1</v>
      </c>
      <c r="BN4285">
        <v>1</v>
      </c>
      <c r="BO4285">
        <v>0</v>
      </c>
      <c r="BP4285">
        <v>0</v>
      </c>
      <c r="BS4285">
        <v>0</v>
      </c>
      <c r="BT4285">
        <v>0</v>
      </c>
      <c r="BU4285">
        <v>0</v>
      </c>
      <c r="CE4285" t="str">
        <f t="shared" si="1695"/>
        <v>15:16:25.954</v>
      </c>
      <c r="CF4285">
        <v>953751013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4</v>
      </c>
      <c r="CY4285">
        <v>7</v>
      </c>
      <c r="CZ4285" t="s">
        <v>133</v>
      </c>
      <c r="DA4285">
        <v>275</v>
      </c>
      <c r="DB4285">
        <v>0</v>
      </c>
      <c r="DC4285" t="s">
        <v>134</v>
      </c>
      <c r="DD4285" t="s">
        <v>135</v>
      </c>
      <c r="DG4285">
        <v>3323218</v>
      </c>
      <c r="DI4285">
        <v>1</v>
      </c>
      <c r="DJ4285">
        <v>0</v>
      </c>
      <c r="DK4285">
        <v>1</v>
      </c>
      <c r="DL4285">
        <v>0</v>
      </c>
      <c r="DM4285">
        <v>0</v>
      </c>
      <c r="DN4285">
        <v>0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 x14ac:dyDescent="0.3">
      <c r="A4286" t="str">
        <f>"05/01/2025 15:16:26.969"</f>
        <v>05/01/2025 15:16:26.969</v>
      </c>
      <c r="C4286" t="str">
        <f t="shared" si="1672"/>
        <v>FFDFD3C0</v>
      </c>
      <c r="D4286" t="s">
        <v>140</v>
      </c>
      <c r="E4286" t="str">
        <f>"13"</f>
        <v>13</v>
      </c>
      <c r="F4286">
        <v>1019</v>
      </c>
      <c r="G4286" t="s">
        <v>141</v>
      </c>
      <c r="J4286" t="s">
        <v>142</v>
      </c>
      <c r="K4286">
        <v>0</v>
      </c>
      <c r="L4286">
        <v>3</v>
      </c>
      <c r="M4286">
        <v>0</v>
      </c>
      <c r="N4286">
        <v>2</v>
      </c>
      <c r="O4286">
        <v>0</v>
      </c>
      <c r="P4286">
        <v>1</v>
      </c>
      <c r="Q4286">
        <v>0</v>
      </c>
      <c r="R4286" t="s">
        <v>127</v>
      </c>
      <c r="S4286" t="str">
        <f t="shared" ref="S4286:T4291" si="1696">"15:16:26.000"</f>
        <v>15:16:26.000</v>
      </c>
      <c r="T4286" t="str">
        <f t="shared" si="1696"/>
        <v>15:16:26.000</v>
      </c>
      <c r="U4286" t="str">
        <f t="shared" si="1674"/>
        <v>A68FCB</v>
      </c>
      <c r="V4286">
        <v>0</v>
      </c>
      <c r="W4286">
        <v>0</v>
      </c>
      <c r="X4286">
        <v>2</v>
      </c>
      <c r="Y4286">
        <v>0</v>
      </c>
      <c r="AA4286">
        <v>1</v>
      </c>
      <c r="AB4286">
        <v>8</v>
      </c>
      <c r="AC4286">
        <v>3</v>
      </c>
      <c r="AD4286">
        <v>0</v>
      </c>
      <c r="AE4286">
        <v>9</v>
      </c>
      <c r="AF4286" t="s">
        <v>138</v>
      </c>
      <c r="AG4286">
        <v>0</v>
      </c>
      <c r="AH4286">
        <v>3</v>
      </c>
      <c r="AI4286">
        <v>2</v>
      </c>
      <c r="AJ4286">
        <v>0</v>
      </c>
      <c r="AK4286" t="s">
        <v>1362</v>
      </c>
      <c r="AL4286">
        <v>39.196621999999998</v>
      </c>
      <c r="AM4286" t="s">
        <v>1363</v>
      </c>
      <c r="AN4286">
        <v>-121.016335</v>
      </c>
      <c r="AO4286">
        <v>25</v>
      </c>
      <c r="AP4286">
        <v>4200</v>
      </c>
      <c r="AQ4286" t="s">
        <v>131</v>
      </c>
      <c r="AR4286">
        <v>34</v>
      </c>
      <c r="AS4286">
        <v>60</v>
      </c>
      <c r="AT4286">
        <v>-576</v>
      </c>
      <c r="BB4286" t="str">
        <f t="shared" si="1675"/>
        <v>1200</v>
      </c>
      <c r="BC4286">
        <v>1</v>
      </c>
      <c r="BD4286" t="str">
        <f t="shared" si="1676"/>
        <v xml:space="preserve">N52156  </v>
      </c>
      <c r="BE4286">
        <v>1</v>
      </c>
      <c r="BG4286">
        <v>0</v>
      </c>
      <c r="BH4286">
        <v>0</v>
      </c>
      <c r="BI4286">
        <v>0</v>
      </c>
      <c r="BJ4286">
        <v>4325</v>
      </c>
      <c r="BK4286">
        <v>125</v>
      </c>
      <c r="BL4286" t="s">
        <v>188</v>
      </c>
      <c r="BM4286">
        <v>1</v>
      </c>
      <c r="BN4286">
        <v>1</v>
      </c>
      <c r="BO4286">
        <v>0</v>
      </c>
      <c r="BP4286">
        <v>0</v>
      </c>
      <c r="BS4286">
        <v>0</v>
      </c>
      <c r="BT4286">
        <v>0</v>
      </c>
      <c r="BU4286">
        <v>0</v>
      </c>
      <c r="CE4286" t="str">
        <f t="shared" ref="CE4286:CE4291" si="1697">"15:16:26.748"</f>
        <v>15:16:26.748</v>
      </c>
      <c r="CF4286">
        <v>747500571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4</v>
      </c>
      <c r="CY4286">
        <v>7</v>
      </c>
      <c r="CZ4286" t="s">
        <v>133</v>
      </c>
      <c r="DA4286">
        <v>275</v>
      </c>
      <c r="DB4286">
        <v>0</v>
      </c>
      <c r="DC4286" t="s">
        <v>134</v>
      </c>
      <c r="DD4286" t="s">
        <v>135</v>
      </c>
      <c r="DG4286">
        <v>3323219</v>
      </c>
      <c r="DI4286">
        <v>1</v>
      </c>
      <c r="DJ4286">
        <v>0</v>
      </c>
      <c r="DK4286">
        <v>0</v>
      </c>
      <c r="DL4286">
        <v>0</v>
      </c>
      <c r="DM4286">
        <v>0</v>
      </c>
      <c r="DN4286">
        <v>0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3">
      <c r="A4287" t="str">
        <f>"05/01/2025 15:16:26.971"</f>
        <v>05/01/2025 15:16:26.971</v>
      </c>
      <c r="C4287" t="str">
        <f t="shared" si="1672"/>
        <v>FFDFD3C0</v>
      </c>
      <c r="D4287" t="s">
        <v>124</v>
      </c>
      <c r="E4287" t="str">
        <f>"06"</f>
        <v>06</v>
      </c>
      <c r="F4287">
        <v>2006</v>
      </c>
      <c r="G4287" t="s">
        <v>125</v>
      </c>
      <c r="J4287" t="s">
        <v>126</v>
      </c>
      <c r="K4287">
        <v>0</v>
      </c>
      <c r="L4287">
        <v>3</v>
      </c>
      <c r="M4287">
        <v>0</v>
      </c>
      <c r="N4287">
        <v>2</v>
      </c>
      <c r="O4287">
        <v>0</v>
      </c>
      <c r="P4287">
        <v>1</v>
      </c>
      <c r="Q4287">
        <v>0</v>
      </c>
      <c r="R4287" t="s">
        <v>127</v>
      </c>
      <c r="S4287" t="str">
        <f t="shared" si="1696"/>
        <v>15:16:26.000</v>
      </c>
      <c r="T4287" t="str">
        <f t="shared" si="1696"/>
        <v>15:16:26.000</v>
      </c>
      <c r="U4287" t="str">
        <f t="shared" si="1674"/>
        <v>A68FCB</v>
      </c>
      <c r="V4287">
        <v>0</v>
      </c>
      <c r="W4287">
        <v>0</v>
      </c>
      <c r="X4287">
        <v>2</v>
      </c>
      <c r="Y4287">
        <v>0</v>
      </c>
      <c r="AA4287">
        <v>1</v>
      </c>
      <c r="AB4287">
        <v>8</v>
      </c>
      <c r="AC4287">
        <v>3</v>
      </c>
      <c r="AD4287">
        <v>0</v>
      </c>
      <c r="AE4287">
        <v>9</v>
      </c>
      <c r="AF4287" t="s">
        <v>138</v>
      </c>
      <c r="AG4287">
        <v>0</v>
      </c>
      <c r="AH4287">
        <v>3</v>
      </c>
      <c r="AI4287">
        <v>2</v>
      </c>
      <c r="AJ4287">
        <v>0</v>
      </c>
      <c r="AK4287" t="s">
        <v>1362</v>
      </c>
      <c r="AL4287">
        <v>39.196621999999998</v>
      </c>
      <c r="AM4287" t="s">
        <v>1363</v>
      </c>
      <c r="AN4287">
        <v>-121.016335</v>
      </c>
      <c r="AO4287">
        <v>25</v>
      </c>
      <c r="AP4287">
        <v>4200</v>
      </c>
      <c r="AQ4287" t="s">
        <v>131</v>
      </c>
      <c r="AR4287">
        <v>34</v>
      </c>
      <c r="AS4287">
        <v>60</v>
      </c>
      <c r="AT4287">
        <v>-576</v>
      </c>
      <c r="BB4287" t="str">
        <f t="shared" si="1675"/>
        <v>1200</v>
      </c>
      <c r="BC4287">
        <v>1</v>
      </c>
      <c r="BD4287" t="str">
        <f t="shared" si="1676"/>
        <v xml:space="preserve">N52156  </v>
      </c>
      <c r="BE4287">
        <v>1</v>
      </c>
      <c r="BG4287">
        <v>0</v>
      </c>
      <c r="BH4287">
        <v>0</v>
      </c>
      <c r="BI4287">
        <v>0</v>
      </c>
      <c r="BJ4287">
        <v>4325</v>
      </c>
      <c r="BK4287">
        <v>125</v>
      </c>
      <c r="BL4287" t="s">
        <v>188</v>
      </c>
      <c r="BM4287">
        <v>1</v>
      </c>
      <c r="BN4287">
        <v>1</v>
      </c>
      <c r="BO4287">
        <v>0</v>
      </c>
      <c r="BP4287">
        <v>0</v>
      </c>
      <c r="BS4287">
        <v>0</v>
      </c>
      <c r="BT4287">
        <v>0</v>
      </c>
      <c r="BU4287">
        <v>0</v>
      </c>
      <c r="CE4287" t="str">
        <f t="shared" si="1697"/>
        <v>15:16:26.748</v>
      </c>
      <c r="CF4287">
        <v>747500571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4</v>
      </c>
      <c r="CY4287">
        <v>7</v>
      </c>
      <c r="CZ4287" t="s">
        <v>133</v>
      </c>
      <c r="DA4287">
        <v>275</v>
      </c>
      <c r="DB4287">
        <v>0</v>
      </c>
      <c r="DC4287" t="s">
        <v>134</v>
      </c>
      <c r="DD4287" t="s">
        <v>135</v>
      </c>
      <c r="DG4287">
        <v>3323219</v>
      </c>
      <c r="DI4287">
        <v>1</v>
      </c>
      <c r="DJ4287">
        <v>0</v>
      </c>
      <c r="DK4287">
        <v>1</v>
      </c>
      <c r="DL4287">
        <v>0</v>
      </c>
      <c r="DM4287">
        <v>0</v>
      </c>
      <c r="DN4287">
        <v>0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3">
      <c r="A4288" t="str">
        <f>"05/01/2025 15:16:26.972"</f>
        <v>05/01/2025 15:16:26.972</v>
      </c>
      <c r="C4288" t="str">
        <f t="shared" si="1672"/>
        <v>FFDFD3C0</v>
      </c>
      <c r="D4288" t="s">
        <v>143</v>
      </c>
      <c r="E4288" t="str">
        <f>"05"</f>
        <v>05</v>
      </c>
      <c r="H4288">
        <v>172</v>
      </c>
      <c r="I4288" t="s">
        <v>141</v>
      </c>
      <c r="J4288" t="s">
        <v>144</v>
      </c>
      <c r="K4288">
        <v>0</v>
      </c>
      <c r="L4288">
        <v>3</v>
      </c>
      <c r="M4288">
        <v>0</v>
      </c>
      <c r="N4288">
        <v>2</v>
      </c>
      <c r="O4288">
        <v>0</v>
      </c>
      <c r="P4288">
        <v>1</v>
      </c>
      <c r="Q4288">
        <v>0</v>
      </c>
      <c r="R4288" t="s">
        <v>127</v>
      </c>
      <c r="S4288" t="str">
        <f t="shared" si="1696"/>
        <v>15:16:26.000</v>
      </c>
      <c r="T4288" t="str">
        <f t="shared" si="1696"/>
        <v>15:16:26.000</v>
      </c>
      <c r="U4288" t="str">
        <f t="shared" si="1674"/>
        <v>A68FCB</v>
      </c>
      <c r="V4288">
        <v>0</v>
      </c>
      <c r="W4288">
        <v>0</v>
      </c>
      <c r="X4288">
        <v>2</v>
      </c>
      <c r="Y4288">
        <v>0</v>
      </c>
      <c r="AA4288">
        <v>1</v>
      </c>
      <c r="AB4288">
        <v>8</v>
      </c>
      <c r="AC4288">
        <v>3</v>
      </c>
      <c r="AD4288">
        <v>0</v>
      </c>
      <c r="AE4288">
        <v>9</v>
      </c>
      <c r="AF4288" t="s">
        <v>138</v>
      </c>
      <c r="AG4288">
        <v>0</v>
      </c>
      <c r="AH4288">
        <v>3</v>
      </c>
      <c r="AI4288">
        <v>2</v>
      </c>
      <c r="AJ4288">
        <v>0</v>
      </c>
      <c r="AK4288" t="s">
        <v>1362</v>
      </c>
      <c r="AL4288">
        <v>39.196621999999998</v>
      </c>
      <c r="AM4288" t="s">
        <v>1363</v>
      </c>
      <c r="AN4288">
        <v>-121.016335</v>
      </c>
      <c r="AO4288">
        <v>25</v>
      </c>
      <c r="AP4288">
        <v>4200</v>
      </c>
      <c r="AQ4288" t="s">
        <v>131</v>
      </c>
      <c r="AR4288">
        <v>34</v>
      </c>
      <c r="AS4288">
        <v>60</v>
      </c>
      <c r="AT4288">
        <v>-576</v>
      </c>
      <c r="BB4288" t="str">
        <f t="shared" si="1675"/>
        <v>1200</v>
      </c>
      <c r="BC4288">
        <v>1</v>
      </c>
      <c r="BD4288" t="str">
        <f t="shared" si="1676"/>
        <v xml:space="preserve">N52156  </v>
      </c>
      <c r="BE4288">
        <v>1</v>
      </c>
      <c r="BG4288">
        <v>0</v>
      </c>
      <c r="BH4288">
        <v>0</v>
      </c>
      <c r="BI4288">
        <v>0</v>
      </c>
      <c r="BJ4288">
        <v>4325</v>
      </c>
      <c r="BK4288">
        <v>125</v>
      </c>
      <c r="BL4288" t="s">
        <v>188</v>
      </c>
      <c r="BM4288">
        <v>1</v>
      </c>
      <c r="BN4288">
        <v>1</v>
      </c>
      <c r="BO4288">
        <v>0</v>
      </c>
      <c r="BP4288">
        <v>0</v>
      </c>
      <c r="BS4288">
        <v>0</v>
      </c>
      <c r="BT4288">
        <v>0</v>
      </c>
      <c r="BU4288">
        <v>0</v>
      </c>
      <c r="CE4288" t="str">
        <f t="shared" si="1697"/>
        <v>15:16:26.748</v>
      </c>
      <c r="CF4288">
        <v>747500571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4</v>
      </c>
      <c r="CY4288">
        <v>7</v>
      </c>
      <c r="CZ4288" t="s">
        <v>133</v>
      </c>
      <c r="DA4288">
        <v>275</v>
      </c>
      <c r="DB4288">
        <v>0</v>
      </c>
      <c r="DC4288" t="s">
        <v>134</v>
      </c>
      <c r="DD4288" t="s">
        <v>135</v>
      </c>
      <c r="DG4288">
        <v>3323219</v>
      </c>
      <c r="DI4288">
        <v>1</v>
      </c>
      <c r="DJ4288">
        <v>0</v>
      </c>
      <c r="DK4288">
        <v>1</v>
      </c>
      <c r="DL4288">
        <v>0</v>
      </c>
      <c r="DM4288">
        <v>0</v>
      </c>
      <c r="DN4288">
        <v>0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3">
      <c r="A4289" t="str">
        <f>"05/01/2025 15:16:26.986"</f>
        <v>05/01/2025 15:16:26.986</v>
      </c>
      <c r="C4289" t="str">
        <f t="shared" si="1672"/>
        <v>FFDFD3C0</v>
      </c>
      <c r="D4289" t="s">
        <v>145</v>
      </c>
      <c r="E4289" t="str">
        <f>"09"</f>
        <v>09</v>
      </c>
      <c r="H4289">
        <v>51</v>
      </c>
      <c r="I4289" t="s">
        <v>147</v>
      </c>
      <c r="J4289" t="s">
        <v>138</v>
      </c>
      <c r="K4289">
        <v>0</v>
      </c>
      <c r="L4289">
        <v>3</v>
      </c>
      <c r="M4289">
        <v>0</v>
      </c>
      <c r="N4289">
        <v>2</v>
      </c>
      <c r="O4289">
        <v>0</v>
      </c>
      <c r="P4289">
        <v>1</v>
      </c>
      <c r="Q4289">
        <v>0</v>
      </c>
      <c r="R4289" t="s">
        <v>127</v>
      </c>
      <c r="S4289" t="str">
        <f t="shared" si="1696"/>
        <v>15:16:26.000</v>
      </c>
      <c r="T4289" t="str">
        <f t="shared" si="1696"/>
        <v>15:16:26.000</v>
      </c>
      <c r="U4289" t="str">
        <f t="shared" si="1674"/>
        <v>A68FCB</v>
      </c>
      <c r="V4289">
        <v>0</v>
      </c>
      <c r="W4289">
        <v>0</v>
      </c>
      <c r="X4289">
        <v>2</v>
      </c>
      <c r="Y4289">
        <v>0</v>
      </c>
      <c r="AA4289">
        <v>1</v>
      </c>
      <c r="AB4289">
        <v>8</v>
      </c>
      <c r="AC4289">
        <v>3</v>
      </c>
      <c r="AD4289">
        <v>0</v>
      </c>
      <c r="AE4289">
        <v>9</v>
      </c>
      <c r="AF4289" t="s">
        <v>138</v>
      </c>
      <c r="AG4289">
        <v>0</v>
      </c>
      <c r="AH4289">
        <v>3</v>
      </c>
      <c r="AI4289">
        <v>2</v>
      </c>
      <c r="AJ4289">
        <v>0</v>
      </c>
      <c r="AK4289" t="s">
        <v>1362</v>
      </c>
      <c r="AL4289">
        <v>39.196621999999998</v>
      </c>
      <c r="AM4289" t="s">
        <v>1363</v>
      </c>
      <c r="AN4289">
        <v>-121.016335</v>
      </c>
      <c r="AO4289">
        <v>25</v>
      </c>
      <c r="AP4289">
        <v>4200</v>
      </c>
      <c r="AQ4289" t="s">
        <v>131</v>
      </c>
      <c r="AR4289">
        <v>34</v>
      </c>
      <c r="AS4289">
        <v>60</v>
      </c>
      <c r="AT4289">
        <v>-576</v>
      </c>
      <c r="BB4289" t="str">
        <f t="shared" si="1675"/>
        <v>1200</v>
      </c>
      <c r="BC4289">
        <v>1</v>
      </c>
      <c r="BD4289" t="str">
        <f t="shared" si="1676"/>
        <v xml:space="preserve">N52156  </v>
      </c>
      <c r="BE4289">
        <v>1</v>
      </c>
      <c r="BG4289">
        <v>0</v>
      </c>
      <c r="BH4289">
        <v>0</v>
      </c>
      <c r="BI4289">
        <v>0</v>
      </c>
      <c r="BJ4289">
        <v>4325</v>
      </c>
      <c r="BK4289">
        <v>125</v>
      </c>
      <c r="BL4289" t="s">
        <v>188</v>
      </c>
      <c r="BM4289">
        <v>1</v>
      </c>
      <c r="BN4289">
        <v>1</v>
      </c>
      <c r="BO4289">
        <v>0</v>
      </c>
      <c r="BP4289">
        <v>0</v>
      </c>
      <c r="BS4289">
        <v>0</v>
      </c>
      <c r="BT4289">
        <v>0</v>
      </c>
      <c r="BU4289">
        <v>0</v>
      </c>
      <c r="CE4289" t="str">
        <f t="shared" si="1697"/>
        <v>15:16:26.748</v>
      </c>
      <c r="CF4289">
        <v>747500571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4</v>
      </c>
      <c r="CY4289">
        <v>7</v>
      </c>
      <c r="CZ4289" t="s">
        <v>133</v>
      </c>
      <c r="DA4289">
        <v>275</v>
      </c>
      <c r="DB4289">
        <v>0</v>
      </c>
      <c r="DC4289" t="s">
        <v>134</v>
      </c>
      <c r="DD4289" t="s">
        <v>135</v>
      </c>
      <c r="DG4289">
        <v>3323219</v>
      </c>
      <c r="DI4289">
        <v>1</v>
      </c>
      <c r="DJ4289">
        <v>0</v>
      </c>
      <c r="DK4289">
        <v>1</v>
      </c>
      <c r="DL4289">
        <v>0</v>
      </c>
      <c r="DM4289">
        <v>0</v>
      </c>
      <c r="DN4289">
        <v>0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3">
      <c r="A4290" t="str">
        <f>"05/01/2025 15:16:26.990"</f>
        <v>05/01/2025 15:16:26.990</v>
      </c>
      <c r="C4290" t="str">
        <f t="shared" ref="C4290:C4353" si="1698">"FFDFD3C0"</f>
        <v>FFDFD3C0</v>
      </c>
      <c r="D4290" t="s">
        <v>145</v>
      </c>
      <c r="E4290" t="str">
        <f>"05"</f>
        <v>05</v>
      </c>
      <c r="H4290">
        <v>47</v>
      </c>
      <c r="I4290" t="s">
        <v>146</v>
      </c>
      <c r="J4290" t="s">
        <v>138</v>
      </c>
      <c r="K4290">
        <v>0</v>
      </c>
      <c r="L4290">
        <v>3</v>
      </c>
      <c r="M4290">
        <v>0</v>
      </c>
      <c r="N4290">
        <v>2</v>
      </c>
      <c r="O4290">
        <v>0</v>
      </c>
      <c r="P4290">
        <v>1</v>
      </c>
      <c r="Q4290">
        <v>0</v>
      </c>
      <c r="R4290" t="s">
        <v>127</v>
      </c>
      <c r="S4290" t="str">
        <f t="shared" si="1696"/>
        <v>15:16:26.000</v>
      </c>
      <c r="T4290" t="str">
        <f t="shared" si="1696"/>
        <v>15:16:26.000</v>
      </c>
      <c r="U4290" t="str">
        <f t="shared" ref="U4290:U4353" si="1699">"A68FCB"</f>
        <v>A68FCB</v>
      </c>
      <c r="V4290">
        <v>0</v>
      </c>
      <c r="W4290">
        <v>0</v>
      </c>
      <c r="X4290">
        <v>2</v>
      </c>
      <c r="Y4290">
        <v>0</v>
      </c>
      <c r="AA4290">
        <v>1</v>
      </c>
      <c r="AB4290">
        <v>8</v>
      </c>
      <c r="AC4290">
        <v>3</v>
      </c>
      <c r="AD4290">
        <v>0</v>
      </c>
      <c r="AE4290">
        <v>9</v>
      </c>
      <c r="AF4290" t="s">
        <v>138</v>
      </c>
      <c r="AG4290">
        <v>0</v>
      </c>
      <c r="AH4290">
        <v>3</v>
      </c>
      <c r="AI4290">
        <v>2</v>
      </c>
      <c r="AJ4290">
        <v>0</v>
      </c>
      <c r="AK4290" t="s">
        <v>1362</v>
      </c>
      <c r="AL4290">
        <v>39.196621999999998</v>
      </c>
      <c r="AM4290" t="s">
        <v>1363</v>
      </c>
      <c r="AN4290">
        <v>-121.016335</v>
      </c>
      <c r="AO4290">
        <v>25</v>
      </c>
      <c r="AP4290">
        <v>4200</v>
      </c>
      <c r="AQ4290" t="s">
        <v>131</v>
      </c>
      <c r="AR4290">
        <v>34</v>
      </c>
      <c r="AS4290">
        <v>60</v>
      </c>
      <c r="AT4290">
        <v>-576</v>
      </c>
      <c r="BB4290" t="str">
        <f t="shared" ref="BB4290:BB4353" si="1700">"1200"</f>
        <v>1200</v>
      </c>
      <c r="BC4290">
        <v>1</v>
      </c>
      <c r="BD4290" t="str">
        <f t="shared" ref="BD4290:BD4353" si="1701">"N52156  "</f>
        <v xml:space="preserve">N52156  </v>
      </c>
      <c r="BE4290">
        <v>1</v>
      </c>
      <c r="BG4290">
        <v>0</v>
      </c>
      <c r="BH4290">
        <v>0</v>
      </c>
      <c r="BI4290">
        <v>0</v>
      </c>
      <c r="BJ4290">
        <v>4325</v>
      </c>
      <c r="BK4290">
        <v>125</v>
      </c>
      <c r="BL4290" t="s">
        <v>188</v>
      </c>
      <c r="BM4290">
        <v>1</v>
      </c>
      <c r="BN4290">
        <v>1</v>
      </c>
      <c r="BO4290">
        <v>0</v>
      </c>
      <c r="BP4290">
        <v>0</v>
      </c>
      <c r="BS4290">
        <v>0</v>
      </c>
      <c r="BT4290">
        <v>0</v>
      </c>
      <c r="BU4290">
        <v>0</v>
      </c>
      <c r="CE4290" t="str">
        <f t="shared" si="1697"/>
        <v>15:16:26.748</v>
      </c>
      <c r="CF4290">
        <v>747500571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4</v>
      </c>
      <c r="CY4290">
        <v>7</v>
      </c>
      <c r="CZ4290" t="s">
        <v>133</v>
      </c>
      <c r="DA4290">
        <v>275</v>
      </c>
      <c r="DB4290">
        <v>0</v>
      </c>
      <c r="DC4290" t="s">
        <v>134</v>
      </c>
      <c r="DD4290" t="s">
        <v>135</v>
      </c>
      <c r="DG4290">
        <v>3323219</v>
      </c>
      <c r="DI4290">
        <v>1</v>
      </c>
      <c r="DJ4290">
        <v>0</v>
      </c>
      <c r="DK4290">
        <v>1</v>
      </c>
      <c r="DL4290">
        <v>0</v>
      </c>
      <c r="DM4290">
        <v>0</v>
      </c>
      <c r="DN4290">
        <v>0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3">
      <c r="A4291" t="str">
        <f>"05/01/2025 15:16:27.001"</f>
        <v>05/01/2025 15:16:27.001</v>
      </c>
      <c r="C4291" t="str">
        <f t="shared" si="1698"/>
        <v>FFDFD3C0</v>
      </c>
      <c r="D4291" t="s">
        <v>136</v>
      </c>
      <c r="E4291" t="str">
        <f>"20"</f>
        <v>20</v>
      </c>
      <c r="H4291">
        <v>400</v>
      </c>
      <c r="I4291" t="s">
        <v>137</v>
      </c>
      <c r="J4291" t="s">
        <v>138</v>
      </c>
      <c r="K4291">
        <v>0</v>
      </c>
      <c r="L4291">
        <v>3</v>
      </c>
      <c r="M4291">
        <v>0</v>
      </c>
      <c r="N4291">
        <v>2</v>
      </c>
      <c r="O4291">
        <v>0</v>
      </c>
      <c r="P4291">
        <v>1</v>
      </c>
      <c r="Q4291">
        <v>0</v>
      </c>
      <c r="R4291" t="s">
        <v>127</v>
      </c>
      <c r="S4291" t="str">
        <f t="shared" si="1696"/>
        <v>15:16:26.000</v>
      </c>
      <c r="T4291" t="str">
        <f t="shared" si="1696"/>
        <v>15:16:26.000</v>
      </c>
      <c r="U4291" t="str">
        <f t="shared" si="1699"/>
        <v>A68FCB</v>
      </c>
      <c r="V4291">
        <v>0</v>
      </c>
      <c r="W4291">
        <v>0</v>
      </c>
      <c r="X4291">
        <v>2</v>
      </c>
      <c r="Y4291">
        <v>0</v>
      </c>
      <c r="AA4291">
        <v>1</v>
      </c>
      <c r="AB4291">
        <v>8</v>
      </c>
      <c r="AC4291">
        <v>3</v>
      </c>
      <c r="AD4291">
        <v>0</v>
      </c>
      <c r="AE4291">
        <v>9</v>
      </c>
      <c r="AF4291" t="s">
        <v>138</v>
      </c>
      <c r="AG4291">
        <v>0</v>
      </c>
      <c r="AH4291">
        <v>3</v>
      </c>
      <c r="AI4291">
        <v>2</v>
      </c>
      <c r="AJ4291">
        <v>0</v>
      </c>
      <c r="AK4291" t="s">
        <v>1362</v>
      </c>
      <c r="AL4291">
        <v>39.196621999999998</v>
      </c>
      <c r="AM4291" t="s">
        <v>1363</v>
      </c>
      <c r="AN4291">
        <v>-121.016335</v>
      </c>
      <c r="AO4291">
        <v>25</v>
      </c>
      <c r="AP4291">
        <v>4200</v>
      </c>
      <c r="AQ4291" t="s">
        <v>131</v>
      </c>
      <c r="AR4291">
        <v>34</v>
      </c>
      <c r="AS4291">
        <v>60</v>
      </c>
      <c r="AT4291">
        <v>-576</v>
      </c>
      <c r="BB4291" t="str">
        <f t="shared" si="1700"/>
        <v>1200</v>
      </c>
      <c r="BC4291">
        <v>1</v>
      </c>
      <c r="BD4291" t="str">
        <f t="shared" si="1701"/>
        <v xml:space="preserve">N52156  </v>
      </c>
      <c r="BE4291">
        <v>1</v>
      </c>
      <c r="BG4291">
        <v>0</v>
      </c>
      <c r="BH4291">
        <v>0</v>
      </c>
      <c r="BI4291">
        <v>0</v>
      </c>
      <c r="BJ4291">
        <v>4325</v>
      </c>
      <c r="BK4291">
        <v>125</v>
      </c>
      <c r="BL4291" t="s">
        <v>188</v>
      </c>
      <c r="BM4291">
        <v>1</v>
      </c>
      <c r="BN4291">
        <v>1</v>
      </c>
      <c r="BO4291">
        <v>0</v>
      </c>
      <c r="BP4291">
        <v>0</v>
      </c>
      <c r="BS4291">
        <v>0</v>
      </c>
      <c r="BT4291">
        <v>0</v>
      </c>
      <c r="BU4291">
        <v>0</v>
      </c>
      <c r="CE4291" t="str">
        <f t="shared" si="1697"/>
        <v>15:16:26.748</v>
      </c>
      <c r="CF4291">
        <v>747500571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4</v>
      </c>
      <c r="CY4291">
        <v>7</v>
      </c>
      <c r="CZ4291" t="s">
        <v>133</v>
      </c>
      <c r="DA4291">
        <v>275</v>
      </c>
      <c r="DB4291">
        <v>0</v>
      </c>
      <c r="DC4291" t="s">
        <v>134</v>
      </c>
      <c r="DD4291" t="s">
        <v>135</v>
      </c>
      <c r="DG4291">
        <v>3323219</v>
      </c>
      <c r="DI4291">
        <v>1</v>
      </c>
      <c r="DJ4291">
        <v>0</v>
      </c>
      <c r="DK4291">
        <v>1</v>
      </c>
      <c r="DL4291">
        <v>0</v>
      </c>
      <c r="DM4291">
        <v>0</v>
      </c>
      <c r="DN4291">
        <v>0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3">
      <c r="A4292" t="str">
        <f>"05/01/2025 15:16:27.473"</f>
        <v>05/01/2025 15:16:27.473</v>
      </c>
      <c r="C4292" t="str">
        <f t="shared" si="1698"/>
        <v>FFDFD3C0</v>
      </c>
      <c r="D4292" t="s">
        <v>143</v>
      </c>
      <c r="E4292" t="str">
        <f>"05"</f>
        <v>05</v>
      </c>
      <c r="H4292">
        <v>172</v>
      </c>
      <c r="I4292" t="s">
        <v>141</v>
      </c>
      <c r="J4292" t="s">
        <v>144</v>
      </c>
      <c r="K4292">
        <v>0</v>
      </c>
      <c r="L4292">
        <v>3</v>
      </c>
      <c r="M4292">
        <v>0</v>
      </c>
      <c r="N4292">
        <v>2</v>
      </c>
      <c r="O4292">
        <v>0</v>
      </c>
      <c r="P4292">
        <v>1</v>
      </c>
      <c r="Q4292">
        <v>0</v>
      </c>
      <c r="R4292" t="s">
        <v>127</v>
      </c>
      <c r="S4292" t="str">
        <f t="shared" ref="S4292:T4297" si="1702">"15:16:27.000"</f>
        <v>15:16:27.000</v>
      </c>
      <c r="T4292" t="str">
        <f t="shared" si="1702"/>
        <v>15:16:27.000</v>
      </c>
      <c r="U4292" t="str">
        <f t="shared" si="1699"/>
        <v>A68FCB</v>
      </c>
      <c r="V4292">
        <v>0</v>
      </c>
      <c r="W4292">
        <v>0</v>
      </c>
      <c r="X4292">
        <v>2</v>
      </c>
      <c r="Y4292">
        <v>0</v>
      </c>
      <c r="AA4292">
        <v>1</v>
      </c>
      <c r="AB4292">
        <v>8</v>
      </c>
      <c r="AC4292">
        <v>3</v>
      </c>
      <c r="AD4292">
        <v>0</v>
      </c>
      <c r="AE4292">
        <v>9</v>
      </c>
      <c r="AF4292" t="s">
        <v>138</v>
      </c>
      <c r="AG4292">
        <v>0</v>
      </c>
      <c r="AH4292">
        <v>3</v>
      </c>
      <c r="AI4292">
        <v>2</v>
      </c>
      <c r="AJ4292">
        <v>0</v>
      </c>
      <c r="AK4292" t="s">
        <v>1364</v>
      </c>
      <c r="AL4292">
        <v>39.196900999999997</v>
      </c>
      <c r="AM4292" t="s">
        <v>1365</v>
      </c>
      <c r="AN4292">
        <v>-121.016121</v>
      </c>
      <c r="AO4292">
        <v>25</v>
      </c>
      <c r="AP4292">
        <v>4200</v>
      </c>
      <c r="AQ4292" t="s">
        <v>131</v>
      </c>
      <c r="AR4292">
        <v>34</v>
      </c>
      <c r="AS4292">
        <v>60</v>
      </c>
      <c r="AT4292">
        <v>-576</v>
      </c>
      <c r="BB4292" t="str">
        <f t="shared" si="1700"/>
        <v>1200</v>
      </c>
      <c r="BC4292">
        <v>1</v>
      </c>
      <c r="BD4292" t="str">
        <f t="shared" si="1701"/>
        <v xml:space="preserve">N52156  </v>
      </c>
      <c r="BE4292">
        <v>1</v>
      </c>
      <c r="BG4292">
        <v>0</v>
      </c>
      <c r="BH4292">
        <v>0</v>
      </c>
      <c r="BI4292">
        <v>0</v>
      </c>
      <c r="BJ4292">
        <v>4325</v>
      </c>
      <c r="BK4292">
        <v>125</v>
      </c>
      <c r="BL4292" t="s">
        <v>188</v>
      </c>
      <c r="BM4292">
        <v>1</v>
      </c>
      <c r="BN4292">
        <v>1</v>
      </c>
      <c r="BO4292">
        <v>0</v>
      </c>
      <c r="BP4292">
        <v>0</v>
      </c>
      <c r="BS4292">
        <v>0</v>
      </c>
      <c r="BT4292">
        <v>0</v>
      </c>
      <c r="BU4292">
        <v>0</v>
      </c>
      <c r="CE4292" t="str">
        <f t="shared" ref="CE4292:CE4297" si="1703">"15:16:27.255"</f>
        <v>15:16:27.255</v>
      </c>
      <c r="CF4292">
        <v>255499382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4</v>
      </c>
      <c r="CY4292">
        <v>7</v>
      </c>
      <c r="CZ4292" t="s">
        <v>133</v>
      </c>
      <c r="DA4292">
        <v>275</v>
      </c>
      <c r="DB4292">
        <v>0</v>
      </c>
      <c r="DC4292" t="s">
        <v>134</v>
      </c>
      <c r="DD4292" t="s">
        <v>135</v>
      </c>
      <c r="DG4292">
        <v>3323222</v>
      </c>
      <c r="DI4292">
        <v>1</v>
      </c>
      <c r="DJ4292">
        <v>0</v>
      </c>
      <c r="DK4292">
        <v>0</v>
      </c>
      <c r="DL4292">
        <v>0</v>
      </c>
      <c r="DM4292">
        <v>0</v>
      </c>
      <c r="DN4292">
        <v>0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 x14ac:dyDescent="0.3">
      <c r="A4293" t="str">
        <f>"05/01/2025 15:16:27.487"</f>
        <v>05/01/2025 15:16:27.487</v>
      </c>
      <c r="C4293" t="str">
        <f t="shared" si="1698"/>
        <v>FFDFD3C0</v>
      </c>
      <c r="D4293" t="s">
        <v>145</v>
      </c>
      <c r="E4293" t="str">
        <f>"09"</f>
        <v>09</v>
      </c>
      <c r="H4293">
        <v>51</v>
      </c>
      <c r="I4293" t="s">
        <v>147</v>
      </c>
      <c r="J4293" t="s">
        <v>138</v>
      </c>
      <c r="K4293">
        <v>0</v>
      </c>
      <c r="L4293">
        <v>3</v>
      </c>
      <c r="M4293">
        <v>0</v>
      </c>
      <c r="N4293">
        <v>2</v>
      </c>
      <c r="O4293">
        <v>0</v>
      </c>
      <c r="P4293">
        <v>1</v>
      </c>
      <c r="Q4293">
        <v>0</v>
      </c>
      <c r="R4293" t="s">
        <v>127</v>
      </c>
      <c r="S4293" t="str">
        <f t="shared" si="1702"/>
        <v>15:16:27.000</v>
      </c>
      <c r="T4293" t="str">
        <f t="shared" si="1702"/>
        <v>15:16:27.000</v>
      </c>
      <c r="U4293" t="str">
        <f t="shared" si="1699"/>
        <v>A68FCB</v>
      </c>
      <c r="V4293">
        <v>0</v>
      </c>
      <c r="W4293">
        <v>0</v>
      </c>
      <c r="X4293">
        <v>2</v>
      </c>
      <c r="Y4293">
        <v>0</v>
      </c>
      <c r="AA4293">
        <v>1</v>
      </c>
      <c r="AB4293">
        <v>8</v>
      </c>
      <c r="AC4293">
        <v>3</v>
      </c>
      <c r="AD4293">
        <v>0</v>
      </c>
      <c r="AE4293">
        <v>9</v>
      </c>
      <c r="AF4293" t="s">
        <v>138</v>
      </c>
      <c r="AG4293">
        <v>0</v>
      </c>
      <c r="AH4293">
        <v>3</v>
      </c>
      <c r="AI4293">
        <v>2</v>
      </c>
      <c r="AJ4293">
        <v>0</v>
      </c>
      <c r="AK4293" t="s">
        <v>1364</v>
      </c>
      <c r="AL4293">
        <v>39.196900999999997</v>
      </c>
      <c r="AM4293" t="s">
        <v>1365</v>
      </c>
      <c r="AN4293">
        <v>-121.016121</v>
      </c>
      <c r="AO4293">
        <v>25</v>
      </c>
      <c r="AP4293">
        <v>4200</v>
      </c>
      <c r="AQ4293" t="s">
        <v>131</v>
      </c>
      <c r="AR4293">
        <v>34</v>
      </c>
      <c r="AS4293">
        <v>60</v>
      </c>
      <c r="AT4293">
        <v>-576</v>
      </c>
      <c r="BB4293" t="str">
        <f t="shared" si="1700"/>
        <v>1200</v>
      </c>
      <c r="BC4293">
        <v>1</v>
      </c>
      <c r="BD4293" t="str">
        <f t="shared" si="1701"/>
        <v xml:space="preserve">N52156  </v>
      </c>
      <c r="BE4293">
        <v>1</v>
      </c>
      <c r="BG4293">
        <v>0</v>
      </c>
      <c r="BH4293">
        <v>0</v>
      </c>
      <c r="BI4293">
        <v>0</v>
      </c>
      <c r="BJ4293">
        <v>4325</v>
      </c>
      <c r="BK4293">
        <v>125</v>
      </c>
      <c r="BL4293" t="s">
        <v>188</v>
      </c>
      <c r="BM4293">
        <v>1</v>
      </c>
      <c r="BN4293">
        <v>1</v>
      </c>
      <c r="BO4293">
        <v>0</v>
      </c>
      <c r="BP4293">
        <v>0</v>
      </c>
      <c r="BS4293">
        <v>0</v>
      </c>
      <c r="BT4293">
        <v>0</v>
      </c>
      <c r="BU4293">
        <v>0</v>
      </c>
      <c r="CE4293" t="str">
        <f t="shared" si="1703"/>
        <v>15:16:27.255</v>
      </c>
      <c r="CF4293">
        <v>255499382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4</v>
      </c>
      <c r="CY4293">
        <v>7</v>
      </c>
      <c r="CZ4293" t="s">
        <v>133</v>
      </c>
      <c r="DA4293">
        <v>275</v>
      </c>
      <c r="DB4293">
        <v>0</v>
      </c>
      <c r="DC4293" t="s">
        <v>134</v>
      </c>
      <c r="DD4293" t="s">
        <v>135</v>
      </c>
      <c r="DG4293">
        <v>3323222</v>
      </c>
      <c r="DI4293">
        <v>1</v>
      </c>
      <c r="DJ4293">
        <v>0</v>
      </c>
      <c r="DK4293">
        <v>1</v>
      </c>
      <c r="DL4293">
        <v>0</v>
      </c>
      <c r="DM4293">
        <v>0</v>
      </c>
      <c r="DN4293">
        <v>0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 x14ac:dyDescent="0.3">
      <c r="A4294" t="str">
        <f>"05/01/2025 15:16:27.491"</f>
        <v>05/01/2025 15:16:27.491</v>
      </c>
      <c r="C4294" t="str">
        <f t="shared" si="1698"/>
        <v>FFDFD3C0</v>
      </c>
      <c r="D4294" t="s">
        <v>145</v>
      </c>
      <c r="E4294" t="str">
        <f>"05"</f>
        <v>05</v>
      </c>
      <c r="H4294">
        <v>47</v>
      </c>
      <c r="I4294" t="s">
        <v>146</v>
      </c>
      <c r="J4294" t="s">
        <v>138</v>
      </c>
      <c r="K4294">
        <v>0</v>
      </c>
      <c r="L4294">
        <v>3</v>
      </c>
      <c r="M4294">
        <v>0</v>
      </c>
      <c r="N4294">
        <v>2</v>
      </c>
      <c r="O4294">
        <v>0</v>
      </c>
      <c r="P4294">
        <v>1</v>
      </c>
      <c r="Q4294">
        <v>0</v>
      </c>
      <c r="R4294" t="s">
        <v>127</v>
      </c>
      <c r="S4294" t="str">
        <f t="shared" si="1702"/>
        <v>15:16:27.000</v>
      </c>
      <c r="T4294" t="str">
        <f t="shared" si="1702"/>
        <v>15:16:27.000</v>
      </c>
      <c r="U4294" t="str">
        <f t="shared" si="1699"/>
        <v>A68FCB</v>
      </c>
      <c r="V4294">
        <v>0</v>
      </c>
      <c r="W4294">
        <v>0</v>
      </c>
      <c r="X4294">
        <v>2</v>
      </c>
      <c r="Y4294">
        <v>0</v>
      </c>
      <c r="AA4294">
        <v>1</v>
      </c>
      <c r="AB4294">
        <v>8</v>
      </c>
      <c r="AC4294">
        <v>3</v>
      </c>
      <c r="AD4294">
        <v>0</v>
      </c>
      <c r="AE4294">
        <v>9</v>
      </c>
      <c r="AF4294" t="s">
        <v>138</v>
      </c>
      <c r="AG4294">
        <v>0</v>
      </c>
      <c r="AH4294">
        <v>3</v>
      </c>
      <c r="AI4294">
        <v>2</v>
      </c>
      <c r="AJ4294">
        <v>0</v>
      </c>
      <c r="AK4294" t="s">
        <v>1364</v>
      </c>
      <c r="AL4294">
        <v>39.196900999999997</v>
      </c>
      <c r="AM4294" t="s">
        <v>1365</v>
      </c>
      <c r="AN4294">
        <v>-121.016121</v>
      </c>
      <c r="AO4294">
        <v>25</v>
      </c>
      <c r="AP4294">
        <v>4200</v>
      </c>
      <c r="AQ4294" t="s">
        <v>131</v>
      </c>
      <c r="AR4294">
        <v>34</v>
      </c>
      <c r="AS4294">
        <v>60</v>
      </c>
      <c r="AT4294">
        <v>-576</v>
      </c>
      <c r="BB4294" t="str">
        <f t="shared" si="1700"/>
        <v>1200</v>
      </c>
      <c r="BC4294">
        <v>1</v>
      </c>
      <c r="BD4294" t="str">
        <f t="shared" si="1701"/>
        <v xml:space="preserve">N52156  </v>
      </c>
      <c r="BE4294">
        <v>1</v>
      </c>
      <c r="BG4294">
        <v>0</v>
      </c>
      <c r="BH4294">
        <v>0</v>
      </c>
      <c r="BI4294">
        <v>0</v>
      </c>
      <c r="BJ4294">
        <v>4325</v>
      </c>
      <c r="BK4294">
        <v>125</v>
      </c>
      <c r="BL4294" t="s">
        <v>188</v>
      </c>
      <c r="BM4294">
        <v>1</v>
      </c>
      <c r="BN4294">
        <v>1</v>
      </c>
      <c r="BO4294">
        <v>0</v>
      </c>
      <c r="BP4294">
        <v>0</v>
      </c>
      <c r="BS4294">
        <v>0</v>
      </c>
      <c r="BT4294">
        <v>0</v>
      </c>
      <c r="BU4294">
        <v>0</v>
      </c>
      <c r="CE4294" t="str">
        <f t="shared" si="1703"/>
        <v>15:16:27.255</v>
      </c>
      <c r="CF4294">
        <v>255499382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4</v>
      </c>
      <c r="CY4294">
        <v>7</v>
      </c>
      <c r="CZ4294" t="s">
        <v>133</v>
      </c>
      <c r="DA4294">
        <v>275</v>
      </c>
      <c r="DB4294">
        <v>0</v>
      </c>
      <c r="DC4294" t="s">
        <v>134</v>
      </c>
      <c r="DD4294" t="s">
        <v>135</v>
      </c>
      <c r="DG4294">
        <v>3323222</v>
      </c>
      <c r="DI4294">
        <v>1</v>
      </c>
      <c r="DJ4294">
        <v>0</v>
      </c>
      <c r="DK4294">
        <v>1</v>
      </c>
      <c r="DL4294">
        <v>0</v>
      </c>
      <c r="DM4294">
        <v>0</v>
      </c>
      <c r="DN4294">
        <v>0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3">
      <c r="A4295" t="str">
        <f>"05/01/2025 15:16:27.502"</f>
        <v>05/01/2025 15:16:27.502</v>
      </c>
      <c r="C4295" t="str">
        <f t="shared" si="1698"/>
        <v>FFDFD3C0</v>
      </c>
      <c r="D4295" t="s">
        <v>136</v>
      </c>
      <c r="E4295" t="str">
        <f>"20"</f>
        <v>20</v>
      </c>
      <c r="H4295">
        <v>400</v>
      </c>
      <c r="I4295" t="s">
        <v>137</v>
      </c>
      <c r="J4295" t="s">
        <v>138</v>
      </c>
      <c r="K4295">
        <v>0</v>
      </c>
      <c r="L4295">
        <v>3</v>
      </c>
      <c r="M4295">
        <v>0</v>
      </c>
      <c r="N4295">
        <v>2</v>
      </c>
      <c r="O4295">
        <v>0</v>
      </c>
      <c r="P4295">
        <v>1</v>
      </c>
      <c r="Q4295">
        <v>0</v>
      </c>
      <c r="R4295" t="s">
        <v>127</v>
      </c>
      <c r="S4295" t="str">
        <f t="shared" si="1702"/>
        <v>15:16:27.000</v>
      </c>
      <c r="T4295" t="str">
        <f t="shared" si="1702"/>
        <v>15:16:27.000</v>
      </c>
      <c r="U4295" t="str">
        <f t="shared" si="1699"/>
        <v>A68FCB</v>
      </c>
      <c r="V4295">
        <v>0</v>
      </c>
      <c r="W4295">
        <v>0</v>
      </c>
      <c r="X4295">
        <v>2</v>
      </c>
      <c r="Y4295">
        <v>0</v>
      </c>
      <c r="AA4295">
        <v>1</v>
      </c>
      <c r="AB4295">
        <v>8</v>
      </c>
      <c r="AC4295">
        <v>3</v>
      </c>
      <c r="AD4295">
        <v>0</v>
      </c>
      <c r="AE4295">
        <v>9</v>
      </c>
      <c r="AF4295" t="s">
        <v>138</v>
      </c>
      <c r="AG4295">
        <v>0</v>
      </c>
      <c r="AH4295">
        <v>3</v>
      </c>
      <c r="AI4295">
        <v>2</v>
      </c>
      <c r="AJ4295">
        <v>0</v>
      </c>
      <c r="AK4295" t="s">
        <v>1364</v>
      </c>
      <c r="AL4295">
        <v>39.196900999999997</v>
      </c>
      <c r="AM4295" t="s">
        <v>1365</v>
      </c>
      <c r="AN4295">
        <v>-121.016121</v>
      </c>
      <c r="AO4295">
        <v>25</v>
      </c>
      <c r="AP4295">
        <v>4200</v>
      </c>
      <c r="AQ4295" t="s">
        <v>131</v>
      </c>
      <c r="AR4295">
        <v>34</v>
      </c>
      <c r="AS4295">
        <v>60</v>
      </c>
      <c r="AT4295">
        <v>-576</v>
      </c>
      <c r="BB4295" t="str">
        <f t="shared" si="1700"/>
        <v>1200</v>
      </c>
      <c r="BC4295">
        <v>1</v>
      </c>
      <c r="BD4295" t="str">
        <f t="shared" si="1701"/>
        <v xml:space="preserve">N52156  </v>
      </c>
      <c r="BE4295">
        <v>1</v>
      </c>
      <c r="BG4295">
        <v>0</v>
      </c>
      <c r="BH4295">
        <v>0</v>
      </c>
      <c r="BI4295">
        <v>0</v>
      </c>
      <c r="BJ4295">
        <v>4325</v>
      </c>
      <c r="BK4295">
        <v>125</v>
      </c>
      <c r="BL4295" t="s">
        <v>188</v>
      </c>
      <c r="BM4295">
        <v>1</v>
      </c>
      <c r="BN4295">
        <v>1</v>
      </c>
      <c r="BO4295">
        <v>0</v>
      </c>
      <c r="BP4295">
        <v>0</v>
      </c>
      <c r="BS4295">
        <v>0</v>
      </c>
      <c r="BT4295">
        <v>0</v>
      </c>
      <c r="BU4295">
        <v>0</v>
      </c>
      <c r="CE4295" t="str">
        <f t="shared" si="1703"/>
        <v>15:16:27.255</v>
      </c>
      <c r="CF4295">
        <v>255499382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4</v>
      </c>
      <c r="CY4295">
        <v>7</v>
      </c>
      <c r="CZ4295" t="s">
        <v>133</v>
      </c>
      <c r="DA4295">
        <v>275</v>
      </c>
      <c r="DB4295">
        <v>0</v>
      </c>
      <c r="DC4295" t="s">
        <v>134</v>
      </c>
      <c r="DD4295" t="s">
        <v>135</v>
      </c>
      <c r="DG4295">
        <v>3323222</v>
      </c>
      <c r="DI4295">
        <v>1</v>
      </c>
      <c r="DJ4295">
        <v>0</v>
      </c>
      <c r="DK4295">
        <v>1</v>
      </c>
      <c r="DL4295">
        <v>0</v>
      </c>
      <c r="DM4295">
        <v>0</v>
      </c>
      <c r="DN4295">
        <v>0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3">
      <c r="A4296" t="str">
        <f>"05/01/2025 15:16:27.521"</f>
        <v>05/01/2025 15:16:27.521</v>
      </c>
      <c r="C4296" t="str">
        <f t="shared" si="1698"/>
        <v>FFDFD3C0</v>
      </c>
      <c r="D4296" t="s">
        <v>140</v>
      </c>
      <c r="E4296" t="str">
        <f>"13"</f>
        <v>13</v>
      </c>
      <c r="F4296">
        <v>1019</v>
      </c>
      <c r="G4296" t="s">
        <v>141</v>
      </c>
      <c r="J4296" t="s">
        <v>142</v>
      </c>
      <c r="K4296">
        <v>0</v>
      </c>
      <c r="L4296">
        <v>3</v>
      </c>
      <c r="M4296">
        <v>0</v>
      </c>
      <c r="N4296">
        <v>2</v>
      </c>
      <c r="O4296">
        <v>0</v>
      </c>
      <c r="P4296">
        <v>1</v>
      </c>
      <c r="Q4296">
        <v>0</v>
      </c>
      <c r="R4296" t="s">
        <v>127</v>
      </c>
      <c r="S4296" t="str">
        <f t="shared" si="1702"/>
        <v>15:16:27.000</v>
      </c>
      <c r="T4296" t="str">
        <f t="shared" si="1702"/>
        <v>15:16:27.000</v>
      </c>
      <c r="U4296" t="str">
        <f t="shared" si="1699"/>
        <v>A68FCB</v>
      </c>
      <c r="V4296">
        <v>0</v>
      </c>
      <c r="W4296">
        <v>0</v>
      </c>
      <c r="X4296">
        <v>2</v>
      </c>
      <c r="Y4296">
        <v>0</v>
      </c>
      <c r="AA4296">
        <v>1</v>
      </c>
      <c r="AB4296">
        <v>8</v>
      </c>
      <c r="AC4296">
        <v>3</v>
      </c>
      <c r="AD4296">
        <v>0</v>
      </c>
      <c r="AE4296">
        <v>9</v>
      </c>
      <c r="AF4296" t="s">
        <v>138</v>
      </c>
      <c r="AG4296">
        <v>0</v>
      </c>
      <c r="AH4296">
        <v>3</v>
      </c>
      <c r="AI4296">
        <v>2</v>
      </c>
      <c r="AJ4296">
        <v>0</v>
      </c>
      <c r="AK4296" t="s">
        <v>1364</v>
      </c>
      <c r="AL4296">
        <v>39.196900999999997</v>
      </c>
      <c r="AM4296" t="s">
        <v>1365</v>
      </c>
      <c r="AN4296">
        <v>-121.016121</v>
      </c>
      <c r="AO4296">
        <v>25</v>
      </c>
      <c r="AP4296">
        <v>4200</v>
      </c>
      <c r="AQ4296" t="s">
        <v>131</v>
      </c>
      <c r="AR4296">
        <v>34</v>
      </c>
      <c r="AS4296">
        <v>60</v>
      </c>
      <c r="AT4296">
        <v>-576</v>
      </c>
      <c r="BB4296" t="str">
        <f t="shared" si="1700"/>
        <v>1200</v>
      </c>
      <c r="BC4296">
        <v>1</v>
      </c>
      <c r="BD4296" t="str">
        <f t="shared" si="1701"/>
        <v xml:space="preserve">N52156  </v>
      </c>
      <c r="BE4296">
        <v>1</v>
      </c>
      <c r="BG4296">
        <v>0</v>
      </c>
      <c r="BH4296">
        <v>0</v>
      </c>
      <c r="BI4296">
        <v>0</v>
      </c>
      <c r="BJ4296">
        <v>4325</v>
      </c>
      <c r="BK4296">
        <v>125</v>
      </c>
      <c r="BL4296" t="s">
        <v>188</v>
      </c>
      <c r="BM4296">
        <v>1</v>
      </c>
      <c r="BN4296">
        <v>1</v>
      </c>
      <c r="BO4296">
        <v>0</v>
      </c>
      <c r="BP4296">
        <v>0</v>
      </c>
      <c r="BS4296">
        <v>0</v>
      </c>
      <c r="BT4296">
        <v>0</v>
      </c>
      <c r="BU4296">
        <v>0</v>
      </c>
      <c r="CE4296" t="str">
        <f t="shared" si="1703"/>
        <v>15:16:27.255</v>
      </c>
      <c r="CF4296">
        <v>255499382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4</v>
      </c>
      <c r="CY4296">
        <v>7</v>
      </c>
      <c r="CZ4296" t="s">
        <v>133</v>
      </c>
      <c r="DA4296">
        <v>275</v>
      </c>
      <c r="DB4296">
        <v>0</v>
      </c>
      <c r="DC4296" t="s">
        <v>134</v>
      </c>
      <c r="DD4296" t="s">
        <v>135</v>
      </c>
      <c r="DG4296">
        <v>3323222</v>
      </c>
      <c r="DI4296">
        <v>1</v>
      </c>
      <c r="DJ4296">
        <v>0</v>
      </c>
      <c r="DK4296">
        <v>1</v>
      </c>
      <c r="DL4296">
        <v>0</v>
      </c>
      <c r="DM4296">
        <v>0</v>
      </c>
      <c r="DN4296">
        <v>0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 x14ac:dyDescent="0.3">
      <c r="A4297" t="str">
        <f>"05/01/2025 15:16:27.522"</f>
        <v>05/01/2025 15:16:27.522</v>
      </c>
      <c r="C4297" t="str">
        <f t="shared" si="1698"/>
        <v>FFDFD3C0</v>
      </c>
      <c r="D4297" t="s">
        <v>124</v>
      </c>
      <c r="E4297" t="str">
        <f>"06"</f>
        <v>06</v>
      </c>
      <c r="F4297">
        <v>2006</v>
      </c>
      <c r="G4297" t="s">
        <v>125</v>
      </c>
      <c r="J4297" t="s">
        <v>126</v>
      </c>
      <c r="K4297">
        <v>0</v>
      </c>
      <c r="L4297">
        <v>3</v>
      </c>
      <c r="M4297">
        <v>0</v>
      </c>
      <c r="N4297">
        <v>2</v>
      </c>
      <c r="O4297">
        <v>0</v>
      </c>
      <c r="P4297">
        <v>1</v>
      </c>
      <c r="Q4297">
        <v>0</v>
      </c>
      <c r="R4297" t="s">
        <v>127</v>
      </c>
      <c r="S4297" t="str">
        <f t="shared" si="1702"/>
        <v>15:16:27.000</v>
      </c>
      <c r="T4297" t="str">
        <f t="shared" si="1702"/>
        <v>15:16:27.000</v>
      </c>
      <c r="U4297" t="str">
        <f t="shared" si="1699"/>
        <v>A68FCB</v>
      </c>
      <c r="V4297">
        <v>0</v>
      </c>
      <c r="W4297">
        <v>0</v>
      </c>
      <c r="X4297">
        <v>2</v>
      </c>
      <c r="Y4297">
        <v>0</v>
      </c>
      <c r="AA4297">
        <v>1</v>
      </c>
      <c r="AB4297">
        <v>8</v>
      </c>
      <c r="AC4297">
        <v>3</v>
      </c>
      <c r="AD4297">
        <v>0</v>
      </c>
      <c r="AE4297">
        <v>9</v>
      </c>
      <c r="AF4297" t="s">
        <v>138</v>
      </c>
      <c r="AG4297">
        <v>0</v>
      </c>
      <c r="AH4297">
        <v>3</v>
      </c>
      <c r="AI4297">
        <v>2</v>
      </c>
      <c r="AJ4297">
        <v>0</v>
      </c>
      <c r="AK4297" t="s">
        <v>1364</v>
      </c>
      <c r="AL4297">
        <v>39.196900999999997</v>
      </c>
      <c r="AM4297" t="s">
        <v>1365</v>
      </c>
      <c r="AN4297">
        <v>-121.016121</v>
      </c>
      <c r="AO4297">
        <v>25</v>
      </c>
      <c r="AP4297">
        <v>4200</v>
      </c>
      <c r="AQ4297" t="s">
        <v>131</v>
      </c>
      <c r="AR4297">
        <v>34</v>
      </c>
      <c r="AS4297">
        <v>60</v>
      </c>
      <c r="AT4297">
        <v>-576</v>
      </c>
      <c r="BB4297" t="str">
        <f t="shared" si="1700"/>
        <v>1200</v>
      </c>
      <c r="BC4297">
        <v>1</v>
      </c>
      <c r="BD4297" t="str">
        <f t="shared" si="1701"/>
        <v xml:space="preserve">N52156  </v>
      </c>
      <c r="BE4297">
        <v>1</v>
      </c>
      <c r="BG4297">
        <v>0</v>
      </c>
      <c r="BH4297">
        <v>0</v>
      </c>
      <c r="BI4297">
        <v>0</v>
      </c>
      <c r="BJ4297">
        <v>4325</v>
      </c>
      <c r="BK4297">
        <v>125</v>
      </c>
      <c r="BL4297" t="s">
        <v>188</v>
      </c>
      <c r="BM4297">
        <v>1</v>
      </c>
      <c r="BN4297">
        <v>1</v>
      </c>
      <c r="BO4297">
        <v>0</v>
      </c>
      <c r="BP4297">
        <v>0</v>
      </c>
      <c r="BS4297">
        <v>0</v>
      </c>
      <c r="BT4297">
        <v>0</v>
      </c>
      <c r="BU4297">
        <v>0</v>
      </c>
      <c r="CE4297" t="str">
        <f t="shared" si="1703"/>
        <v>15:16:27.255</v>
      </c>
      <c r="CF4297">
        <v>255499382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4</v>
      </c>
      <c r="CY4297">
        <v>7</v>
      </c>
      <c r="CZ4297" t="s">
        <v>133</v>
      </c>
      <c r="DA4297">
        <v>275</v>
      </c>
      <c r="DB4297">
        <v>0</v>
      </c>
      <c r="DC4297" t="s">
        <v>134</v>
      </c>
      <c r="DD4297" t="s">
        <v>135</v>
      </c>
      <c r="DG4297">
        <v>3323222</v>
      </c>
      <c r="DI4297">
        <v>1</v>
      </c>
      <c r="DJ4297">
        <v>0</v>
      </c>
      <c r="DK4297">
        <v>1</v>
      </c>
      <c r="DL4297">
        <v>0</v>
      </c>
      <c r="DM4297">
        <v>0</v>
      </c>
      <c r="DN4297">
        <v>0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3">
      <c r="A4298" t="str">
        <f>"05/01/2025 15:16:28.889"</f>
        <v>05/01/2025 15:16:28.889</v>
      </c>
      <c r="C4298" t="str">
        <f t="shared" si="1698"/>
        <v>FFDFD3C0</v>
      </c>
      <c r="D4298" t="s">
        <v>145</v>
      </c>
      <c r="E4298" t="str">
        <f>"09"</f>
        <v>09</v>
      </c>
      <c r="H4298">
        <v>51</v>
      </c>
      <c r="I4298" t="s">
        <v>147</v>
      </c>
      <c r="J4298" t="s">
        <v>138</v>
      </c>
      <c r="K4298">
        <v>0</v>
      </c>
      <c r="L4298">
        <v>3</v>
      </c>
      <c r="M4298">
        <v>0</v>
      </c>
      <c r="N4298">
        <v>2</v>
      </c>
      <c r="O4298">
        <v>0</v>
      </c>
      <c r="P4298">
        <v>1</v>
      </c>
      <c r="Q4298">
        <v>0</v>
      </c>
      <c r="R4298" t="s">
        <v>127</v>
      </c>
      <c r="S4298" t="str">
        <f t="shared" ref="S4298:T4303" si="1704">"15:16:28.000"</f>
        <v>15:16:28.000</v>
      </c>
      <c r="T4298" t="str">
        <f t="shared" si="1704"/>
        <v>15:16:28.000</v>
      </c>
      <c r="U4298" t="str">
        <f t="shared" si="1699"/>
        <v>A68FCB</v>
      </c>
      <c r="V4298">
        <v>0</v>
      </c>
      <c r="W4298">
        <v>0</v>
      </c>
      <c r="X4298">
        <v>2</v>
      </c>
      <c r="Y4298">
        <v>0</v>
      </c>
      <c r="AA4298">
        <v>1</v>
      </c>
      <c r="AB4298">
        <v>8</v>
      </c>
      <c r="AC4298">
        <v>3</v>
      </c>
      <c r="AD4298">
        <v>0</v>
      </c>
      <c r="AE4298">
        <v>9</v>
      </c>
      <c r="AF4298" t="s">
        <v>138</v>
      </c>
      <c r="AG4298">
        <v>0</v>
      </c>
      <c r="AH4298">
        <v>3</v>
      </c>
      <c r="AI4298">
        <v>2</v>
      </c>
      <c r="AJ4298">
        <v>0</v>
      </c>
      <c r="AK4298" t="s">
        <v>1366</v>
      </c>
      <c r="AL4298">
        <v>39.197158999999999</v>
      </c>
      <c r="AM4298" t="s">
        <v>1367</v>
      </c>
      <c r="AN4298">
        <v>-121.015906</v>
      </c>
      <c r="AO4298">
        <v>25</v>
      </c>
      <c r="AP4298">
        <v>4200</v>
      </c>
      <c r="AQ4298" t="s">
        <v>131</v>
      </c>
      <c r="AR4298">
        <v>35</v>
      </c>
      <c r="AS4298">
        <v>61</v>
      </c>
      <c r="AT4298">
        <v>-576</v>
      </c>
      <c r="BB4298" t="str">
        <f t="shared" si="1700"/>
        <v>1200</v>
      </c>
      <c r="BC4298">
        <v>1</v>
      </c>
      <c r="BD4298" t="str">
        <f t="shared" si="1701"/>
        <v xml:space="preserve">N52156  </v>
      </c>
      <c r="BE4298">
        <v>1</v>
      </c>
      <c r="BG4298">
        <v>0</v>
      </c>
      <c r="BH4298">
        <v>0</v>
      </c>
      <c r="BI4298">
        <v>0</v>
      </c>
      <c r="BJ4298">
        <v>4300</v>
      </c>
      <c r="BK4298">
        <v>100</v>
      </c>
      <c r="BL4298" t="s">
        <v>188</v>
      </c>
      <c r="BM4298">
        <v>1</v>
      </c>
      <c r="BN4298">
        <v>1</v>
      </c>
      <c r="BO4298">
        <v>0</v>
      </c>
      <c r="BP4298">
        <v>0</v>
      </c>
      <c r="BS4298">
        <v>0</v>
      </c>
      <c r="BT4298">
        <v>0</v>
      </c>
      <c r="BU4298">
        <v>0</v>
      </c>
      <c r="CE4298" t="str">
        <f t="shared" ref="CE4298:CE4303" si="1705">"15:16:28.656"</f>
        <v>15:16:28.656</v>
      </c>
      <c r="CF4298">
        <v>655500503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4</v>
      </c>
      <c r="CY4298">
        <v>7</v>
      </c>
      <c r="CZ4298" t="s">
        <v>133</v>
      </c>
      <c r="DA4298">
        <v>275</v>
      </c>
      <c r="DB4298">
        <v>0</v>
      </c>
      <c r="DC4298" t="s">
        <v>134</v>
      </c>
      <c r="DD4298" t="s">
        <v>135</v>
      </c>
      <c r="DG4298">
        <v>3323226</v>
      </c>
      <c r="DI4298">
        <v>1</v>
      </c>
      <c r="DJ4298">
        <v>0</v>
      </c>
      <c r="DK4298">
        <v>0</v>
      </c>
      <c r="DL4298">
        <v>0</v>
      </c>
      <c r="DM4298">
        <v>0</v>
      </c>
      <c r="DN4298">
        <v>0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3">
      <c r="A4299" t="str">
        <f>"05/01/2025 15:16:28.893"</f>
        <v>05/01/2025 15:16:28.893</v>
      </c>
      <c r="C4299" t="str">
        <f t="shared" si="1698"/>
        <v>FFDFD3C0</v>
      </c>
      <c r="D4299" t="s">
        <v>145</v>
      </c>
      <c r="E4299" t="str">
        <f>"05"</f>
        <v>05</v>
      </c>
      <c r="H4299">
        <v>47</v>
      </c>
      <c r="I4299" t="s">
        <v>146</v>
      </c>
      <c r="J4299" t="s">
        <v>138</v>
      </c>
      <c r="K4299">
        <v>0</v>
      </c>
      <c r="L4299">
        <v>3</v>
      </c>
      <c r="M4299">
        <v>0</v>
      </c>
      <c r="N4299">
        <v>2</v>
      </c>
      <c r="O4299">
        <v>0</v>
      </c>
      <c r="P4299">
        <v>1</v>
      </c>
      <c r="Q4299">
        <v>0</v>
      </c>
      <c r="R4299" t="s">
        <v>127</v>
      </c>
      <c r="S4299" t="str">
        <f t="shared" si="1704"/>
        <v>15:16:28.000</v>
      </c>
      <c r="T4299" t="str">
        <f t="shared" si="1704"/>
        <v>15:16:28.000</v>
      </c>
      <c r="U4299" t="str">
        <f t="shared" si="1699"/>
        <v>A68FCB</v>
      </c>
      <c r="V4299">
        <v>0</v>
      </c>
      <c r="W4299">
        <v>0</v>
      </c>
      <c r="X4299">
        <v>2</v>
      </c>
      <c r="Y4299">
        <v>0</v>
      </c>
      <c r="AA4299">
        <v>1</v>
      </c>
      <c r="AB4299">
        <v>8</v>
      </c>
      <c r="AC4299">
        <v>3</v>
      </c>
      <c r="AD4299">
        <v>0</v>
      </c>
      <c r="AE4299">
        <v>9</v>
      </c>
      <c r="AF4299" t="s">
        <v>138</v>
      </c>
      <c r="AG4299">
        <v>0</v>
      </c>
      <c r="AH4299">
        <v>3</v>
      </c>
      <c r="AI4299">
        <v>2</v>
      </c>
      <c r="AJ4299">
        <v>0</v>
      </c>
      <c r="AK4299" t="s">
        <v>1366</v>
      </c>
      <c r="AL4299">
        <v>39.197158999999999</v>
      </c>
      <c r="AM4299" t="s">
        <v>1367</v>
      </c>
      <c r="AN4299">
        <v>-121.015906</v>
      </c>
      <c r="AO4299">
        <v>25</v>
      </c>
      <c r="AP4299">
        <v>4200</v>
      </c>
      <c r="AQ4299" t="s">
        <v>131</v>
      </c>
      <c r="AR4299">
        <v>35</v>
      </c>
      <c r="AS4299">
        <v>61</v>
      </c>
      <c r="AT4299">
        <v>-576</v>
      </c>
      <c r="BB4299" t="str">
        <f t="shared" si="1700"/>
        <v>1200</v>
      </c>
      <c r="BC4299">
        <v>1</v>
      </c>
      <c r="BD4299" t="str">
        <f t="shared" si="1701"/>
        <v xml:space="preserve">N52156  </v>
      </c>
      <c r="BE4299">
        <v>1</v>
      </c>
      <c r="BG4299">
        <v>0</v>
      </c>
      <c r="BH4299">
        <v>0</v>
      </c>
      <c r="BI4299">
        <v>0</v>
      </c>
      <c r="BJ4299">
        <v>4300</v>
      </c>
      <c r="BK4299">
        <v>100</v>
      </c>
      <c r="BL4299" t="s">
        <v>188</v>
      </c>
      <c r="BM4299">
        <v>1</v>
      </c>
      <c r="BN4299">
        <v>1</v>
      </c>
      <c r="BO4299">
        <v>0</v>
      </c>
      <c r="BP4299">
        <v>0</v>
      </c>
      <c r="BS4299">
        <v>0</v>
      </c>
      <c r="BT4299">
        <v>0</v>
      </c>
      <c r="BU4299">
        <v>0</v>
      </c>
      <c r="CE4299" t="str">
        <f t="shared" si="1705"/>
        <v>15:16:28.656</v>
      </c>
      <c r="CF4299">
        <v>655500503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4</v>
      </c>
      <c r="CY4299">
        <v>7</v>
      </c>
      <c r="CZ4299" t="s">
        <v>133</v>
      </c>
      <c r="DA4299">
        <v>275</v>
      </c>
      <c r="DB4299">
        <v>0</v>
      </c>
      <c r="DC4299" t="s">
        <v>134</v>
      </c>
      <c r="DD4299" t="s">
        <v>135</v>
      </c>
      <c r="DG4299">
        <v>3323226</v>
      </c>
      <c r="DI4299">
        <v>1</v>
      </c>
      <c r="DJ4299">
        <v>0</v>
      </c>
      <c r="DK4299">
        <v>1</v>
      </c>
      <c r="DL4299">
        <v>0</v>
      </c>
      <c r="DM4299">
        <v>0</v>
      </c>
      <c r="DN4299">
        <v>0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3">
      <c r="A4300" t="str">
        <f>"05/01/2025 15:16:28.905"</f>
        <v>05/01/2025 15:16:28.905</v>
      </c>
      <c r="C4300" t="str">
        <f t="shared" si="1698"/>
        <v>FFDFD3C0</v>
      </c>
      <c r="D4300" t="s">
        <v>136</v>
      </c>
      <c r="E4300" t="str">
        <f>"20"</f>
        <v>20</v>
      </c>
      <c r="H4300">
        <v>400</v>
      </c>
      <c r="I4300" t="s">
        <v>137</v>
      </c>
      <c r="J4300" t="s">
        <v>138</v>
      </c>
      <c r="K4300">
        <v>0</v>
      </c>
      <c r="L4300">
        <v>3</v>
      </c>
      <c r="M4300">
        <v>0</v>
      </c>
      <c r="N4300">
        <v>2</v>
      </c>
      <c r="O4300">
        <v>0</v>
      </c>
      <c r="P4300">
        <v>1</v>
      </c>
      <c r="Q4300">
        <v>0</v>
      </c>
      <c r="R4300" t="s">
        <v>127</v>
      </c>
      <c r="S4300" t="str">
        <f t="shared" si="1704"/>
        <v>15:16:28.000</v>
      </c>
      <c r="T4300" t="str">
        <f t="shared" si="1704"/>
        <v>15:16:28.000</v>
      </c>
      <c r="U4300" t="str">
        <f t="shared" si="1699"/>
        <v>A68FCB</v>
      </c>
      <c r="V4300">
        <v>0</v>
      </c>
      <c r="W4300">
        <v>0</v>
      </c>
      <c r="X4300">
        <v>2</v>
      </c>
      <c r="Y4300">
        <v>0</v>
      </c>
      <c r="AA4300">
        <v>1</v>
      </c>
      <c r="AB4300">
        <v>8</v>
      </c>
      <c r="AC4300">
        <v>3</v>
      </c>
      <c r="AD4300">
        <v>0</v>
      </c>
      <c r="AE4300">
        <v>9</v>
      </c>
      <c r="AF4300" t="s">
        <v>138</v>
      </c>
      <c r="AG4300">
        <v>0</v>
      </c>
      <c r="AH4300">
        <v>3</v>
      </c>
      <c r="AI4300">
        <v>2</v>
      </c>
      <c r="AJ4300">
        <v>0</v>
      </c>
      <c r="AK4300" t="s">
        <v>1366</v>
      </c>
      <c r="AL4300">
        <v>39.197158999999999</v>
      </c>
      <c r="AM4300" t="s">
        <v>1367</v>
      </c>
      <c r="AN4300">
        <v>-121.015906</v>
      </c>
      <c r="AO4300">
        <v>25</v>
      </c>
      <c r="AP4300">
        <v>4200</v>
      </c>
      <c r="AQ4300" t="s">
        <v>131</v>
      </c>
      <c r="AR4300">
        <v>35</v>
      </c>
      <c r="AS4300">
        <v>61</v>
      </c>
      <c r="AT4300">
        <v>-576</v>
      </c>
      <c r="BB4300" t="str">
        <f t="shared" si="1700"/>
        <v>1200</v>
      </c>
      <c r="BC4300">
        <v>1</v>
      </c>
      <c r="BD4300" t="str">
        <f t="shared" si="1701"/>
        <v xml:space="preserve">N52156  </v>
      </c>
      <c r="BE4300">
        <v>1</v>
      </c>
      <c r="BG4300">
        <v>0</v>
      </c>
      <c r="BH4300">
        <v>0</v>
      </c>
      <c r="BI4300">
        <v>0</v>
      </c>
      <c r="BJ4300">
        <v>4300</v>
      </c>
      <c r="BK4300">
        <v>100</v>
      </c>
      <c r="BL4300" t="s">
        <v>188</v>
      </c>
      <c r="BM4300">
        <v>1</v>
      </c>
      <c r="BN4300">
        <v>1</v>
      </c>
      <c r="BO4300">
        <v>0</v>
      </c>
      <c r="BP4300">
        <v>0</v>
      </c>
      <c r="BS4300">
        <v>0</v>
      </c>
      <c r="BT4300">
        <v>0</v>
      </c>
      <c r="BU4300">
        <v>0</v>
      </c>
      <c r="CE4300" t="str">
        <f t="shared" si="1705"/>
        <v>15:16:28.656</v>
      </c>
      <c r="CF4300">
        <v>655500503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4</v>
      </c>
      <c r="CY4300">
        <v>7</v>
      </c>
      <c r="CZ4300" t="s">
        <v>133</v>
      </c>
      <c r="DA4300">
        <v>275</v>
      </c>
      <c r="DB4300">
        <v>0</v>
      </c>
      <c r="DC4300" t="s">
        <v>134</v>
      </c>
      <c r="DD4300" t="s">
        <v>135</v>
      </c>
      <c r="DG4300">
        <v>3323226</v>
      </c>
      <c r="DI4300">
        <v>1</v>
      </c>
      <c r="DJ4300">
        <v>0</v>
      </c>
      <c r="DK4300">
        <v>1</v>
      </c>
      <c r="DL4300">
        <v>0</v>
      </c>
      <c r="DM4300">
        <v>0</v>
      </c>
      <c r="DN4300">
        <v>0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3">
      <c r="A4301" t="str">
        <f>"05/01/2025 15:16:28.923"</f>
        <v>05/01/2025 15:16:28.923</v>
      </c>
      <c r="C4301" t="str">
        <f t="shared" si="1698"/>
        <v>FFDFD3C0</v>
      </c>
      <c r="D4301" t="s">
        <v>140</v>
      </c>
      <c r="E4301" t="str">
        <f>"13"</f>
        <v>13</v>
      </c>
      <c r="F4301">
        <v>1019</v>
      </c>
      <c r="G4301" t="s">
        <v>141</v>
      </c>
      <c r="J4301" t="s">
        <v>142</v>
      </c>
      <c r="K4301">
        <v>0</v>
      </c>
      <c r="L4301">
        <v>3</v>
      </c>
      <c r="M4301">
        <v>0</v>
      </c>
      <c r="N4301">
        <v>2</v>
      </c>
      <c r="O4301">
        <v>0</v>
      </c>
      <c r="P4301">
        <v>1</v>
      </c>
      <c r="Q4301">
        <v>0</v>
      </c>
      <c r="R4301" t="s">
        <v>127</v>
      </c>
      <c r="S4301" t="str">
        <f t="shared" si="1704"/>
        <v>15:16:28.000</v>
      </c>
      <c r="T4301" t="str">
        <f t="shared" si="1704"/>
        <v>15:16:28.000</v>
      </c>
      <c r="U4301" t="str">
        <f t="shared" si="1699"/>
        <v>A68FCB</v>
      </c>
      <c r="V4301">
        <v>0</v>
      </c>
      <c r="W4301">
        <v>0</v>
      </c>
      <c r="X4301">
        <v>2</v>
      </c>
      <c r="Y4301">
        <v>0</v>
      </c>
      <c r="AA4301">
        <v>1</v>
      </c>
      <c r="AB4301">
        <v>8</v>
      </c>
      <c r="AC4301">
        <v>3</v>
      </c>
      <c r="AD4301">
        <v>0</v>
      </c>
      <c r="AE4301">
        <v>9</v>
      </c>
      <c r="AF4301" t="s">
        <v>138</v>
      </c>
      <c r="AG4301">
        <v>0</v>
      </c>
      <c r="AH4301">
        <v>3</v>
      </c>
      <c r="AI4301">
        <v>2</v>
      </c>
      <c r="AJ4301">
        <v>0</v>
      </c>
      <c r="AK4301" t="s">
        <v>1366</v>
      </c>
      <c r="AL4301">
        <v>39.197158999999999</v>
      </c>
      <c r="AM4301" t="s">
        <v>1367</v>
      </c>
      <c r="AN4301">
        <v>-121.015906</v>
      </c>
      <c r="AO4301">
        <v>25</v>
      </c>
      <c r="AP4301">
        <v>4200</v>
      </c>
      <c r="AQ4301" t="s">
        <v>131</v>
      </c>
      <c r="AR4301">
        <v>35</v>
      </c>
      <c r="AS4301">
        <v>61</v>
      </c>
      <c r="AT4301">
        <v>-576</v>
      </c>
      <c r="BB4301" t="str">
        <f t="shared" si="1700"/>
        <v>1200</v>
      </c>
      <c r="BC4301">
        <v>1</v>
      </c>
      <c r="BD4301" t="str">
        <f t="shared" si="1701"/>
        <v xml:space="preserve">N52156  </v>
      </c>
      <c r="BE4301">
        <v>1</v>
      </c>
      <c r="BG4301">
        <v>0</v>
      </c>
      <c r="BH4301">
        <v>0</v>
      </c>
      <c r="BI4301">
        <v>0</v>
      </c>
      <c r="BJ4301">
        <v>4300</v>
      </c>
      <c r="BK4301">
        <v>100</v>
      </c>
      <c r="BL4301" t="s">
        <v>188</v>
      </c>
      <c r="BM4301">
        <v>1</v>
      </c>
      <c r="BN4301">
        <v>1</v>
      </c>
      <c r="BO4301">
        <v>0</v>
      </c>
      <c r="BP4301">
        <v>0</v>
      </c>
      <c r="BS4301">
        <v>0</v>
      </c>
      <c r="BT4301">
        <v>0</v>
      </c>
      <c r="BU4301">
        <v>0</v>
      </c>
      <c r="CE4301" t="str">
        <f t="shared" si="1705"/>
        <v>15:16:28.656</v>
      </c>
      <c r="CF4301">
        <v>655500503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4</v>
      </c>
      <c r="CY4301">
        <v>7</v>
      </c>
      <c r="CZ4301" t="s">
        <v>133</v>
      </c>
      <c r="DA4301">
        <v>275</v>
      </c>
      <c r="DB4301">
        <v>0</v>
      </c>
      <c r="DC4301" t="s">
        <v>134</v>
      </c>
      <c r="DD4301" t="s">
        <v>135</v>
      </c>
      <c r="DG4301">
        <v>3323226</v>
      </c>
      <c r="DI4301">
        <v>1</v>
      </c>
      <c r="DJ4301">
        <v>0</v>
      </c>
      <c r="DK4301">
        <v>1</v>
      </c>
      <c r="DL4301">
        <v>0</v>
      </c>
      <c r="DM4301">
        <v>0</v>
      </c>
      <c r="DN4301">
        <v>0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3">
      <c r="A4302" t="str">
        <f>"05/01/2025 15:16:28.924"</f>
        <v>05/01/2025 15:16:28.924</v>
      </c>
      <c r="C4302" t="str">
        <f t="shared" si="1698"/>
        <v>FFDFD3C0</v>
      </c>
      <c r="D4302" t="s">
        <v>124</v>
      </c>
      <c r="E4302" t="str">
        <f>"06"</f>
        <v>06</v>
      </c>
      <c r="F4302">
        <v>2006</v>
      </c>
      <c r="G4302" t="s">
        <v>125</v>
      </c>
      <c r="J4302" t="s">
        <v>126</v>
      </c>
      <c r="K4302">
        <v>0</v>
      </c>
      <c r="L4302">
        <v>3</v>
      </c>
      <c r="M4302">
        <v>0</v>
      </c>
      <c r="N4302">
        <v>2</v>
      </c>
      <c r="O4302">
        <v>0</v>
      </c>
      <c r="P4302">
        <v>1</v>
      </c>
      <c r="Q4302">
        <v>0</v>
      </c>
      <c r="R4302" t="s">
        <v>127</v>
      </c>
      <c r="S4302" t="str">
        <f t="shared" si="1704"/>
        <v>15:16:28.000</v>
      </c>
      <c r="T4302" t="str">
        <f t="shared" si="1704"/>
        <v>15:16:28.000</v>
      </c>
      <c r="U4302" t="str">
        <f t="shared" si="1699"/>
        <v>A68FCB</v>
      </c>
      <c r="V4302">
        <v>0</v>
      </c>
      <c r="W4302">
        <v>0</v>
      </c>
      <c r="X4302">
        <v>2</v>
      </c>
      <c r="Y4302">
        <v>0</v>
      </c>
      <c r="AA4302">
        <v>1</v>
      </c>
      <c r="AB4302">
        <v>8</v>
      </c>
      <c r="AC4302">
        <v>3</v>
      </c>
      <c r="AD4302">
        <v>0</v>
      </c>
      <c r="AE4302">
        <v>9</v>
      </c>
      <c r="AF4302" t="s">
        <v>138</v>
      </c>
      <c r="AG4302">
        <v>0</v>
      </c>
      <c r="AH4302">
        <v>3</v>
      </c>
      <c r="AI4302">
        <v>2</v>
      </c>
      <c r="AJ4302">
        <v>0</v>
      </c>
      <c r="AK4302" t="s">
        <v>1366</v>
      </c>
      <c r="AL4302">
        <v>39.197158999999999</v>
      </c>
      <c r="AM4302" t="s">
        <v>1367</v>
      </c>
      <c r="AN4302">
        <v>-121.015906</v>
      </c>
      <c r="AO4302">
        <v>25</v>
      </c>
      <c r="AP4302">
        <v>4200</v>
      </c>
      <c r="AQ4302" t="s">
        <v>131</v>
      </c>
      <c r="AR4302">
        <v>35</v>
      </c>
      <c r="AS4302">
        <v>61</v>
      </c>
      <c r="AT4302">
        <v>-576</v>
      </c>
      <c r="BB4302" t="str">
        <f t="shared" si="1700"/>
        <v>1200</v>
      </c>
      <c r="BC4302">
        <v>1</v>
      </c>
      <c r="BD4302" t="str">
        <f t="shared" si="1701"/>
        <v xml:space="preserve">N52156  </v>
      </c>
      <c r="BE4302">
        <v>1</v>
      </c>
      <c r="BG4302">
        <v>0</v>
      </c>
      <c r="BH4302">
        <v>0</v>
      </c>
      <c r="BI4302">
        <v>0</v>
      </c>
      <c r="BJ4302">
        <v>4300</v>
      </c>
      <c r="BK4302">
        <v>100</v>
      </c>
      <c r="BL4302" t="s">
        <v>188</v>
      </c>
      <c r="BM4302">
        <v>1</v>
      </c>
      <c r="BN4302">
        <v>1</v>
      </c>
      <c r="BO4302">
        <v>0</v>
      </c>
      <c r="BP4302">
        <v>0</v>
      </c>
      <c r="BS4302">
        <v>0</v>
      </c>
      <c r="BT4302">
        <v>0</v>
      </c>
      <c r="BU4302">
        <v>0</v>
      </c>
      <c r="CE4302" t="str">
        <f t="shared" si="1705"/>
        <v>15:16:28.656</v>
      </c>
      <c r="CF4302">
        <v>655500503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4</v>
      </c>
      <c r="CY4302">
        <v>7</v>
      </c>
      <c r="CZ4302" t="s">
        <v>133</v>
      </c>
      <c r="DA4302">
        <v>275</v>
      </c>
      <c r="DB4302">
        <v>0</v>
      </c>
      <c r="DC4302" t="s">
        <v>134</v>
      </c>
      <c r="DD4302" t="s">
        <v>135</v>
      </c>
      <c r="DG4302">
        <v>3323226</v>
      </c>
      <c r="DI4302">
        <v>1</v>
      </c>
      <c r="DJ4302">
        <v>0</v>
      </c>
      <c r="DK4302">
        <v>1</v>
      </c>
      <c r="DL4302">
        <v>0</v>
      </c>
      <c r="DM4302">
        <v>0</v>
      </c>
      <c r="DN4302">
        <v>0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3">
      <c r="A4303" t="str">
        <f>"05/01/2025 15:16:28.926"</f>
        <v>05/01/2025 15:16:28.926</v>
      </c>
      <c r="C4303" t="str">
        <f t="shared" si="1698"/>
        <v>FFDFD3C0</v>
      </c>
      <c r="D4303" t="s">
        <v>143</v>
      </c>
      <c r="E4303" t="str">
        <f>"05"</f>
        <v>05</v>
      </c>
      <c r="H4303">
        <v>172</v>
      </c>
      <c r="I4303" t="s">
        <v>141</v>
      </c>
      <c r="J4303" t="s">
        <v>144</v>
      </c>
      <c r="K4303">
        <v>0</v>
      </c>
      <c r="L4303">
        <v>3</v>
      </c>
      <c r="M4303">
        <v>0</v>
      </c>
      <c r="N4303">
        <v>2</v>
      </c>
      <c r="O4303">
        <v>0</v>
      </c>
      <c r="P4303">
        <v>1</v>
      </c>
      <c r="Q4303">
        <v>0</v>
      </c>
      <c r="R4303" t="s">
        <v>127</v>
      </c>
      <c r="S4303" t="str">
        <f t="shared" si="1704"/>
        <v>15:16:28.000</v>
      </c>
      <c r="T4303" t="str">
        <f t="shared" si="1704"/>
        <v>15:16:28.000</v>
      </c>
      <c r="U4303" t="str">
        <f t="shared" si="1699"/>
        <v>A68FCB</v>
      </c>
      <c r="V4303">
        <v>0</v>
      </c>
      <c r="W4303">
        <v>0</v>
      </c>
      <c r="X4303">
        <v>2</v>
      </c>
      <c r="Y4303">
        <v>0</v>
      </c>
      <c r="AA4303">
        <v>1</v>
      </c>
      <c r="AB4303">
        <v>8</v>
      </c>
      <c r="AC4303">
        <v>3</v>
      </c>
      <c r="AD4303">
        <v>0</v>
      </c>
      <c r="AE4303">
        <v>9</v>
      </c>
      <c r="AF4303" t="s">
        <v>138</v>
      </c>
      <c r="AG4303">
        <v>0</v>
      </c>
      <c r="AH4303">
        <v>3</v>
      </c>
      <c r="AI4303">
        <v>2</v>
      </c>
      <c r="AJ4303">
        <v>0</v>
      </c>
      <c r="AK4303" t="s">
        <v>1366</v>
      </c>
      <c r="AL4303">
        <v>39.197158999999999</v>
      </c>
      <c r="AM4303" t="s">
        <v>1367</v>
      </c>
      <c r="AN4303">
        <v>-121.015906</v>
      </c>
      <c r="AO4303">
        <v>25</v>
      </c>
      <c r="AP4303">
        <v>4200</v>
      </c>
      <c r="AQ4303" t="s">
        <v>131</v>
      </c>
      <c r="AR4303">
        <v>35</v>
      </c>
      <c r="AS4303">
        <v>61</v>
      </c>
      <c r="AT4303">
        <v>-576</v>
      </c>
      <c r="BB4303" t="str">
        <f t="shared" si="1700"/>
        <v>1200</v>
      </c>
      <c r="BC4303">
        <v>1</v>
      </c>
      <c r="BD4303" t="str">
        <f t="shared" si="1701"/>
        <v xml:space="preserve">N52156  </v>
      </c>
      <c r="BE4303">
        <v>1</v>
      </c>
      <c r="BG4303">
        <v>0</v>
      </c>
      <c r="BH4303">
        <v>0</v>
      </c>
      <c r="BI4303">
        <v>0</v>
      </c>
      <c r="BJ4303">
        <v>4300</v>
      </c>
      <c r="BK4303">
        <v>100</v>
      </c>
      <c r="BL4303" t="s">
        <v>188</v>
      </c>
      <c r="BM4303">
        <v>1</v>
      </c>
      <c r="BN4303">
        <v>1</v>
      </c>
      <c r="BO4303">
        <v>0</v>
      </c>
      <c r="BP4303">
        <v>0</v>
      </c>
      <c r="BS4303">
        <v>0</v>
      </c>
      <c r="BT4303">
        <v>0</v>
      </c>
      <c r="BU4303">
        <v>0</v>
      </c>
      <c r="CE4303" t="str">
        <f t="shared" si="1705"/>
        <v>15:16:28.656</v>
      </c>
      <c r="CF4303">
        <v>655500503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4</v>
      </c>
      <c r="CY4303">
        <v>7</v>
      </c>
      <c r="CZ4303" t="s">
        <v>133</v>
      </c>
      <c r="DA4303">
        <v>275</v>
      </c>
      <c r="DB4303">
        <v>0</v>
      </c>
      <c r="DC4303" t="s">
        <v>134</v>
      </c>
      <c r="DD4303" t="s">
        <v>135</v>
      </c>
      <c r="DG4303">
        <v>3323226</v>
      </c>
      <c r="DI4303">
        <v>1</v>
      </c>
      <c r="DJ4303">
        <v>0</v>
      </c>
      <c r="DK4303">
        <v>1</v>
      </c>
      <c r="DL4303">
        <v>0</v>
      </c>
      <c r="DM4303">
        <v>0</v>
      </c>
      <c r="DN4303">
        <v>0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 x14ac:dyDescent="0.3">
      <c r="A4304" t="str">
        <f>"05/01/2025 15:16:30.195"</f>
        <v>05/01/2025 15:16:30.195</v>
      </c>
      <c r="C4304" t="str">
        <f t="shared" si="1698"/>
        <v>FFDFD3C0</v>
      </c>
      <c r="D4304" t="s">
        <v>145</v>
      </c>
      <c r="E4304" t="str">
        <f>"05"</f>
        <v>05</v>
      </c>
      <c r="H4304">
        <v>47</v>
      </c>
      <c r="I4304" t="s">
        <v>146</v>
      </c>
      <c r="J4304" t="s">
        <v>138</v>
      </c>
      <c r="K4304">
        <v>0</v>
      </c>
      <c r="L4304">
        <v>3</v>
      </c>
      <c r="M4304">
        <v>0</v>
      </c>
      <c r="N4304">
        <v>2</v>
      </c>
      <c r="O4304">
        <v>0</v>
      </c>
      <c r="P4304">
        <v>1</v>
      </c>
      <c r="Q4304">
        <v>0</v>
      </c>
      <c r="R4304" t="s">
        <v>127</v>
      </c>
      <c r="S4304" t="str">
        <f t="shared" ref="S4304:T4309" si="1706">"15:16:29.000"</f>
        <v>15:16:29.000</v>
      </c>
      <c r="T4304" t="str">
        <f t="shared" si="1706"/>
        <v>15:16:29.000</v>
      </c>
      <c r="U4304" t="str">
        <f t="shared" si="1699"/>
        <v>A68FCB</v>
      </c>
      <c r="V4304">
        <v>0</v>
      </c>
      <c r="W4304">
        <v>0</v>
      </c>
      <c r="X4304">
        <v>2</v>
      </c>
      <c r="Y4304">
        <v>0</v>
      </c>
      <c r="AA4304">
        <v>1</v>
      </c>
      <c r="AB4304">
        <v>8</v>
      </c>
      <c r="AC4304">
        <v>3</v>
      </c>
      <c r="AD4304">
        <v>0</v>
      </c>
      <c r="AE4304">
        <v>9</v>
      </c>
      <c r="AF4304" t="s">
        <v>138</v>
      </c>
      <c r="AG4304">
        <v>0</v>
      </c>
      <c r="AH4304">
        <v>3</v>
      </c>
      <c r="AI4304">
        <v>2</v>
      </c>
      <c r="AJ4304">
        <v>0</v>
      </c>
      <c r="AK4304" t="s">
        <v>1368</v>
      </c>
      <c r="AL4304">
        <v>39.197459000000002</v>
      </c>
      <c r="AM4304" t="s">
        <v>1369</v>
      </c>
      <c r="AN4304">
        <v>-121.015692</v>
      </c>
      <c r="AO4304">
        <v>25</v>
      </c>
      <c r="AP4304">
        <v>4200</v>
      </c>
      <c r="AQ4304" t="s">
        <v>131</v>
      </c>
      <c r="AR4304">
        <v>35</v>
      </c>
      <c r="AS4304">
        <v>63</v>
      </c>
      <c r="AT4304">
        <v>-512</v>
      </c>
      <c r="BB4304" t="str">
        <f t="shared" si="1700"/>
        <v>1200</v>
      </c>
      <c r="BC4304">
        <v>1</v>
      </c>
      <c r="BD4304" t="str">
        <f t="shared" si="1701"/>
        <v xml:space="preserve">N52156  </v>
      </c>
      <c r="BE4304">
        <v>1</v>
      </c>
      <c r="BG4304">
        <v>0</v>
      </c>
      <c r="BH4304">
        <v>0</v>
      </c>
      <c r="BI4304">
        <v>0</v>
      </c>
      <c r="BJ4304">
        <v>4300</v>
      </c>
      <c r="BK4304">
        <v>100</v>
      </c>
      <c r="BL4304" t="s">
        <v>188</v>
      </c>
      <c r="BM4304">
        <v>1</v>
      </c>
      <c r="BN4304">
        <v>1</v>
      </c>
      <c r="BO4304">
        <v>0</v>
      </c>
      <c r="BP4304">
        <v>0</v>
      </c>
      <c r="BS4304">
        <v>0</v>
      </c>
      <c r="BT4304">
        <v>0</v>
      </c>
      <c r="BU4304">
        <v>0</v>
      </c>
      <c r="CE4304" t="str">
        <f t="shared" ref="CE4304:CE4309" si="1707">"15:16:29.969"</f>
        <v>15:16:29.969</v>
      </c>
      <c r="CF4304">
        <v>968501433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4</v>
      </c>
      <c r="CY4304">
        <v>7</v>
      </c>
      <c r="CZ4304" t="s">
        <v>133</v>
      </c>
      <c r="DA4304">
        <v>275</v>
      </c>
      <c r="DB4304">
        <v>0</v>
      </c>
      <c r="DC4304" t="s">
        <v>134</v>
      </c>
      <c r="DD4304" t="s">
        <v>135</v>
      </c>
      <c r="DG4304">
        <v>3323230</v>
      </c>
      <c r="DI4304">
        <v>1</v>
      </c>
      <c r="DJ4304">
        <v>0</v>
      </c>
      <c r="DK4304">
        <v>0</v>
      </c>
      <c r="DL4304">
        <v>0</v>
      </c>
      <c r="DM4304">
        <v>0</v>
      </c>
      <c r="DN4304">
        <v>0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3">
      <c r="A4305" t="str">
        <f>"05/01/2025 15:16:30.207"</f>
        <v>05/01/2025 15:16:30.207</v>
      </c>
      <c r="C4305" t="str">
        <f t="shared" si="1698"/>
        <v>FFDFD3C0</v>
      </c>
      <c r="D4305" t="s">
        <v>136</v>
      </c>
      <c r="E4305" t="str">
        <f>"20"</f>
        <v>20</v>
      </c>
      <c r="H4305">
        <v>400</v>
      </c>
      <c r="I4305" t="s">
        <v>137</v>
      </c>
      <c r="J4305" t="s">
        <v>138</v>
      </c>
      <c r="K4305">
        <v>0</v>
      </c>
      <c r="L4305">
        <v>3</v>
      </c>
      <c r="M4305">
        <v>0</v>
      </c>
      <c r="N4305">
        <v>2</v>
      </c>
      <c r="O4305">
        <v>0</v>
      </c>
      <c r="P4305">
        <v>1</v>
      </c>
      <c r="Q4305">
        <v>0</v>
      </c>
      <c r="R4305" t="s">
        <v>127</v>
      </c>
      <c r="S4305" t="str">
        <f t="shared" si="1706"/>
        <v>15:16:29.000</v>
      </c>
      <c r="T4305" t="str">
        <f t="shared" si="1706"/>
        <v>15:16:29.000</v>
      </c>
      <c r="U4305" t="str">
        <f t="shared" si="1699"/>
        <v>A68FCB</v>
      </c>
      <c r="V4305">
        <v>0</v>
      </c>
      <c r="W4305">
        <v>0</v>
      </c>
      <c r="X4305">
        <v>2</v>
      </c>
      <c r="Y4305">
        <v>0</v>
      </c>
      <c r="AA4305">
        <v>1</v>
      </c>
      <c r="AB4305">
        <v>8</v>
      </c>
      <c r="AC4305">
        <v>3</v>
      </c>
      <c r="AD4305">
        <v>0</v>
      </c>
      <c r="AE4305">
        <v>9</v>
      </c>
      <c r="AF4305" t="s">
        <v>138</v>
      </c>
      <c r="AG4305">
        <v>0</v>
      </c>
      <c r="AH4305">
        <v>3</v>
      </c>
      <c r="AI4305">
        <v>2</v>
      </c>
      <c r="AJ4305">
        <v>0</v>
      </c>
      <c r="AK4305" t="s">
        <v>1368</v>
      </c>
      <c r="AL4305">
        <v>39.197459000000002</v>
      </c>
      <c r="AM4305" t="s">
        <v>1369</v>
      </c>
      <c r="AN4305">
        <v>-121.015692</v>
      </c>
      <c r="AO4305">
        <v>25</v>
      </c>
      <c r="AP4305">
        <v>4200</v>
      </c>
      <c r="AQ4305" t="s">
        <v>131</v>
      </c>
      <c r="AR4305">
        <v>35</v>
      </c>
      <c r="AS4305">
        <v>63</v>
      </c>
      <c r="AT4305">
        <v>-512</v>
      </c>
      <c r="BB4305" t="str">
        <f t="shared" si="1700"/>
        <v>1200</v>
      </c>
      <c r="BC4305">
        <v>1</v>
      </c>
      <c r="BD4305" t="str">
        <f t="shared" si="1701"/>
        <v xml:space="preserve">N52156  </v>
      </c>
      <c r="BE4305">
        <v>1</v>
      </c>
      <c r="BG4305">
        <v>0</v>
      </c>
      <c r="BH4305">
        <v>0</v>
      </c>
      <c r="BI4305">
        <v>0</v>
      </c>
      <c r="BJ4305">
        <v>4300</v>
      </c>
      <c r="BK4305">
        <v>100</v>
      </c>
      <c r="BL4305" t="s">
        <v>188</v>
      </c>
      <c r="BM4305">
        <v>1</v>
      </c>
      <c r="BN4305">
        <v>1</v>
      </c>
      <c r="BO4305">
        <v>0</v>
      </c>
      <c r="BP4305">
        <v>0</v>
      </c>
      <c r="BS4305">
        <v>0</v>
      </c>
      <c r="BT4305">
        <v>0</v>
      </c>
      <c r="BU4305">
        <v>0</v>
      </c>
      <c r="CE4305" t="str">
        <f t="shared" si="1707"/>
        <v>15:16:29.969</v>
      </c>
      <c r="CF4305">
        <v>968501433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4</v>
      </c>
      <c r="CY4305">
        <v>7</v>
      </c>
      <c r="CZ4305" t="s">
        <v>133</v>
      </c>
      <c r="DA4305">
        <v>275</v>
      </c>
      <c r="DB4305">
        <v>0</v>
      </c>
      <c r="DC4305" t="s">
        <v>134</v>
      </c>
      <c r="DD4305" t="s">
        <v>135</v>
      </c>
      <c r="DG4305">
        <v>3323230</v>
      </c>
      <c r="DI4305">
        <v>1</v>
      </c>
      <c r="DJ4305">
        <v>0</v>
      </c>
      <c r="DK4305">
        <v>1</v>
      </c>
      <c r="DL4305">
        <v>0</v>
      </c>
      <c r="DM4305">
        <v>0</v>
      </c>
      <c r="DN4305">
        <v>0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3">
      <c r="A4306" t="str">
        <f>"05/01/2025 15:16:30.225"</f>
        <v>05/01/2025 15:16:30.225</v>
      </c>
      <c r="C4306" t="str">
        <f t="shared" si="1698"/>
        <v>FFDFD3C0</v>
      </c>
      <c r="D4306" t="s">
        <v>140</v>
      </c>
      <c r="E4306" t="str">
        <f>"13"</f>
        <v>13</v>
      </c>
      <c r="F4306">
        <v>1019</v>
      </c>
      <c r="G4306" t="s">
        <v>141</v>
      </c>
      <c r="J4306" t="s">
        <v>142</v>
      </c>
      <c r="K4306">
        <v>0</v>
      </c>
      <c r="L4306">
        <v>3</v>
      </c>
      <c r="M4306">
        <v>0</v>
      </c>
      <c r="N4306">
        <v>2</v>
      </c>
      <c r="O4306">
        <v>0</v>
      </c>
      <c r="P4306">
        <v>1</v>
      </c>
      <c r="Q4306">
        <v>0</v>
      </c>
      <c r="R4306" t="s">
        <v>127</v>
      </c>
      <c r="S4306" t="str">
        <f t="shared" si="1706"/>
        <v>15:16:29.000</v>
      </c>
      <c r="T4306" t="str">
        <f t="shared" si="1706"/>
        <v>15:16:29.000</v>
      </c>
      <c r="U4306" t="str">
        <f t="shared" si="1699"/>
        <v>A68FCB</v>
      </c>
      <c r="V4306">
        <v>0</v>
      </c>
      <c r="W4306">
        <v>0</v>
      </c>
      <c r="X4306">
        <v>2</v>
      </c>
      <c r="Y4306">
        <v>0</v>
      </c>
      <c r="AA4306">
        <v>1</v>
      </c>
      <c r="AB4306">
        <v>8</v>
      </c>
      <c r="AC4306">
        <v>3</v>
      </c>
      <c r="AD4306">
        <v>0</v>
      </c>
      <c r="AE4306">
        <v>9</v>
      </c>
      <c r="AF4306" t="s">
        <v>138</v>
      </c>
      <c r="AG4306">
        <v>0</v>
      </c>
      <c r="AH4306">
        <v>3</v>
      </c>
      <c r="AI4306">
        <v>2</v>
      </c>
      <c r="AJ4306">
        <v>0</v>
      </c>
      <c r="AK4306" t="s">
        <v>1368</v>
      </c>
      <c r="AL4306">
        <v>39.197459000000002</v>
      </c>
      <c r="AM4306" t="s">
        <v>1369</v>
      </c>
      <c r="AN4306">
        <v>-121.015692</v>
      </c>
      <c r="AO4306">
        <v>25</v>
      </c>
      <c r="AP4306">
        <v>4200</v>
      </c>
      <c r="AQ4306" t="s">
        <v>131</v>
      </c>
      <c r="AR4306">
        <v>35</v>
      </c>
      <c r="AS4306">
        <v>63</v>
      </c>
      <c r="AT4306">
        <v>-512</v>
      </c>
      <c r="BB4306" t="str">
        <f t="shared" si="1700"/>
        <v>1200</v>
      </c>
      <c r="BC4306">
        <v>1</v>
      </c>
      <c r="BD4306" t="str">
        <f t="shared" si="1701"/>
        <v xml:space="preserve">N52156  </v>
      </c>
      <c r="BE4306">
        <v>1</v>
      </c>
      <c r="BG4306">
        <v>0</v>
      </c>
      <c r="BH4306">
        <v>0</v>
      </c>
      <c r="BI4306">
        <v>0</v>
      </c>
      <c r="BJ4306">
        <v>4300</v>
      </c>
      <c r="BK4306">
        <v>100</v>
      </c>
      <c r="BL4306" t="s">
        <v>188</v>
      </c>
      <c r="BM4306">
        <v>1</v>
      </c>
      <c r="BN4306">
        <v>1</v>
      </c>
      <c r="BO4306">
        <v>0</v>
      </c>
      <c r="BP4306">
        <v>0</v>
      </c>
      <c r="BS4306">
        <v>0</v>
      </c>
      <c r="BT4306">
        <v>0</v>
      </c>
      <c r="BU4306">
        <v>0</v>
      </c>
      <c r="CE4306" t="str">
        <f t="shared" si="1707"/>
        <v>15:16:29.969</v>
      </c>
      <c r="CF4306">
        <v>968501433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4</v>
      </c>
      <c r="CY4306">
        <v>7</v>
      </c>
      <c r="CZ4306" t="s">
        <v>133</v>
      </c>
      <c r="DA4306">
        <v>275</v>
      </c>
      <c r="DB4306">
        <v>0</v>
      </c>
      <c r="DC4306" t="s">
        <v>134</v>
      </c>
      <c r="DD4306" t="s">
        <v>135</v>
      </c>
      <c r="DG4306">
        <v>3323230</v>
      </c>
      <c r="DI4306">
        <v>1</v>
      </c>
      <c r="DJ4306">
        <v>0</v>
      </c>
      <c r="DK4306">
        <v>1</v>
      </c>
      <c r="DL4306">
        <v>0</v>
      </c>
      <c r="DM4306">
        <v>0</v>
      </c>
      <c r="DN4306">
        <v>0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3">
      <c r="A4307" t="str">
        <f>"05/01/2025 15:16:30.226"</f>
        <v>05/01/2025 15:16:30.226</v>
      </c>
      <c r="C4307" t="str">
        <f t="shared" si="1698"/>
        <v>FFDFD3C0</v>
      </c>
      <c r="D4307" t="s">
        <v>124</v>
      </c>
      <c r="E4307" t="str">
        <f>"06"</f>
        <v>06</v>
      </c>
      <c r="F4307">
        <v>2006</v>
      </c>
      <c r="G4307" t="s">
        <v>125</v>
      </c>
      <c r="J4307" t="s">
        <v>126</v>
      </c>
      <c r="K4307">
        <v>0</v>
      </c>
      <c r="L4307">
        <v>3</v>
      </c>
      <c r="M4307">
        <v>0</v>
      </c>
      <c r="N4307">
        <v>2</v>
      </c>
      <c r="O4307">
        <v>0</v>
      </c>
      <c r="P4307">
        <v>1</v>
      </c>
      <c r="Q4307">
        <v>0</v>
      </c>
      <c r="R4307" t="s">
        <v>127</v>
      </c>
      <c r="S4307" t="str">
        <f t="shared" si="1706"/>
        <v>15:16:29.000</v>
      </c>
      <c r="T4307" t="str">
        <f t="shared" si="1706"/>
        <v>15:16:29.000</v>
      </c>
      <c r="U4307" t="str">
        <f t="shared" si="1699"/>
        <v>A68FCB</v>
      </c>
      <c r="V4307">
        <v>0</v>
      </c>
      <c r="W4307">
        <v>0</v>
      </c>
      <c r="X4307">
        <v>2</v>
      </c>
      <c r="Y4307">
        <v>0</v>
      </c>
      <c r="AA4307">
        <v>1</v>
      </c>
      <c r="AB4307">
        <v>8</v>
      </c>
      <c r="AC4307">
        <v>3</v>
      </c>
      <c r="AD4307">
        <v>0</v>
      </c>
      <c r="AE4307">
        <v>9</v>
      </c>
      <c r="AF4307" t="s">
        <v>138</v>
      </c>
      <c r="AG4307">
        <v>0</v>
      </c>
      <c r="AH4307">
        <v>3</v>
      </c>
      <c r="AI4307">
        <v>2</v>
      </c>
      <c r="AJ4307">
        <v>0</v>
      </c>
      <c r="AK4307" t="s">
        <v>1368</v>
      </c>
      <c r="AL4307">
        <v>39.197459000000002</v>
      </c>
      <c r="AM4307" t="s">
        <v>1369</v>
      </c>
      <c r="AN4307">
        <v>-121.015692</v>
      </c>
      <c r="AO4307">
        <v>25</v>
      </c>
      <c r="AP4307">
        <v>4200</v>
      </c>
      <c r="AQ4307" t="s">
        <v>131</v>
      </c>
      <c r="AR4307">
        <v>35</v>
      </c>
      <c r="AS4307">
        <v>63</v>
      </c>
      <c r="AT4307">
        <v>-512</v>
      </c>
      <c r="BB4307" t="str">
        <f t="shared" si="1700"/>
        <v>1200</v>
      </c>
      <c r="BC4307">
        <v>1</v>
      </c>
      <c r="BD4307" t="str">
        <f t="shared" si="1701"/>
        <v xml:space="preserve">N52156  </v>
      </c>
      <c r="BE4307">
        <v>1</v>
      </c>
      <c r="BG4307">
        <v>0</v>
      </c>
      <c r="BH4307">
        <v>0</v>
      </c>
      <c r="BI4307">
        <v>0</v>
      </c>
      <c r="BJ4307">
        <v>4300</v>
      </c>
      <c r="BK4307">
        <v>100</v>
      </c>
      <c r="BL4307" t="s">
        <v>188</v>
      </c>
      <c r="BM4307">
        <v>1</v>
      </c>
      <c r="BN4307">
        <v>1</v>
      </c>
      <c r="BO4307">
        <v>0</v>
      </c>
      <c r="BP4307">
        <v>0</v>
      </c>
      <c r="BS4307">
        <v>0</v>
      </c>
      <c r="BT4307">
        <v>0</v>
      </c>
      <c r="BU4307">
        <v>0</v>
      </c>
      <c r="CE4307" t="str">
        <f t="shared" si="1707"/>
        <v>15:16:29.969</v>
      </c>
      <c r="CF4307">
        <v>968501433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4</v>
      </c>
      <c r="CY4307">
        <v>7</v>
      </c>
      <c r="CZ4307" t="s">
        <v>133</v>
      </c>
      <c r="DA4307">
        <v>275</v>
      </c>
      <c r="DB4307">
        <v>0</v>
      </c>
      <c r="DC4307" t="s">
        <v>134</v>
      </c>
      <c r="DD4307" t="s">
        <v>135</v>
      </c>
      <c r="DG4307">
        <v>3323230</v>
      </c>
      <c r="DI4307">
        <v>1</v>
      </c>
      <c r="DJ4307">
        <v>0</v>
      </c>
      <c r="DK4307">
        <v>1</v>
      </c>
      <c r="DL4307">
        <v>0</v>
      </c>
      <c r="DM4307">
        <v>0</v>
      </c>
      <c r="DN4307">
        <v>0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3">
      <c r="A4308" t="str">
        <f>"05/01/2025 15:16:30.228"</f>
        <v>05/01/2025 15:16:30.228</v>
      </c>
      <c r="C4308" t="str">
        <f t="shared" si="1698"/>
        <v>FFDFD3C0</v>
      </c>
      <c r="D4308" t="s">
        <v>143</v>
      </c>
      <c r="E4308" t="str">
        <f>"05"</f>
        <v>05</v>
      </c>
      <c r="H4308">
        <v>172</v>
      </c>
      <c r="I4308" t="s">
        <v>141</v>
      </c>
      <c r="J4308" t="s">
        <v>144</v>
      </c>
      <c r="K4308">
        <v>0</v>
      </c>
      <c r="L4308">
        <v>3</v>
      </c>
      <c r="M4308">
        <v>0</v>
      </c>
      <c r="N4308">
        <v>2</v>
      </c>
      <c r="O4308">
        <v>0</v>
      </c>
      <c r="P4308">
        <v>1</v>
      </c>
      <c r="Q4308">
        <v>0</v>
      </c>
      <c r="R4308" t="s">
        <v>127</v>
      </c>
      <c r="S4308" t="str">
        <f t="shared" si="1706"/>
        <v>15:16:29.000</v>
      </c>
      <c r="T4308" t="str">
        <f t="shared" si="1706"/>
        <v>15:16:29.000</v>
      </c>
      <c r="U4308" t="str">
        <f t="shared" si="1699"/>
        <v>A68FCB</v>
      </c>
      <c r="V4308">
        <v>0</v>
      </c>
      <c r="W4308">
        <v>0</v>
      </c>
      <c r="X4308">
        <v>2</v>
      </c>
      <c r="Y4308">
        <v>0</v>
      </c>
      <c r="AA4308">
        <v>1</v>
      </c>
      <c r="AB4308">
        <v>8</v>
      </c>
      <c r="AC4308">
        <v>3</v>
      </c>
      <c r="AD4308">
        <v>0</v>
      </c>
      <c r="AE4308">
        <v>9</v>
      </c>
      <c r="AF4308" t="s">
        <v>138</v>
      </c>
      <c r="AG4308">
        <v>0</v>
      </c>
      <c r="AH4308">
        <v>3</v>
      </c>
      <c r="AI4308">
        <v>2</v>
      </c>
      <c r="AJ4308">
        <v>0</v>
      </c>
      <c r="AK4308" t="s">
        <v>1368</v>
      </c>
      <c r="AL4308">
        <v>39.197459000000002</v>
      </c>
      <c r="AM4308" t="s">
        <v>1369</v>
      </c>
      <c r="AN4308">
        <v>-121.015692</v>
      </c>
      <c r="AO4308">
        <v>25</v>
      </c>
      <c r="AP4308">
        <v>4200</v>
      </c>
      <c r="AQ4308" t="s">
        <v>131</v>
      </c>
      <c r="AR4308">
        <v>35</v>
      </c>
      <c r="AS4308">
        <v>63</v>
      </c>
      <c r="AT4308">
        <v>-512</v>
      </c>
      <c r="BB4308" t="str">
        <f t="shared" si="1700"/>
        <v>1200</v>
      </c>
      <c r="BC4308">
        <v>1</v>
      </c>
      <c r="BD4308" t="str">
        <f t="shared" si="1701"/>
        <v xml:space="preserve">N52156  </v>
      </c>
      <c r="BE4308">
        <v>1</v>
      </c>
      <c r="BG4308">
        <v>0</v>
      </c>
      <c r="BH4308">
        <v>0</v>
      </c>
      <c r="BI4308">
        <v>0</v>
      </c>
      <c r="BJ4308">
        <v>4300</v>
      </c>
      <c r="BK4308">
        <v>100</v>
      </c>
      <c r="BL4308" t="s">
        <v>188</v>
      </c>
      <c r="BM4308">
        <v>1</v>
      </c>
      <c r="BN4308">
        <v>1</v>
      </c>
      <c r="BO4308">
        <v>0</v>
      </c>
      <c r="BP4308">
        <v>0</v>
      </c>
      <c r="BS4308">
        <v>0</v>
      </c>
      <c r="BT4308">
        <v>0</v>
      </c>
      <c r="BU4308">
        <v>0</v>
      </c>
      <c r="CE4308" t="str">
        <f t="shared" si="1707"/>
        <v>15:16:29.969</v>
      </c>
      <c r="CF4308">
        <v>968501433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4</v>
      </c>
      <c r="CY4308">
        <v>7</v>
      </c>
      <c r="CZ4308" t="s">
        <v>133</v>
      </c>
      <c r="DA4308">
        <v>275</v>
      </c>
      <c r="DB4308">
        <v>0</v>
      </c>
      <c r="DC4308" t="s">
        <v>134</v>
      </c>
      <c r="DD4308" t="s">
        <v>135</v>
      </c>
      <c r="DG4308">
        <v>3323230</v>
      </c>
      <c r="DI4308">
        <v>1</v>
      </c>
      <c r="DJ4308">
        <v>0</v>
      </c>
      <c r="DK4308">
        <v>1</v>
      </c>
      <c r="DL4308">
        <v>0</v>
      </c>
      <c r="DM4308">
        <v>0</v>
      </c>
      <c r="DN4308">
        <v>0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 x14ac:dyDescent="0.3">
      <c r="A4309" t="str">
        <f>"05/01/2025 15:16:30.242"</f>
        <v>05/01/2025 15:16:30.242</v>
      </c>
      <c r="C4309" t="str">
        <f t="shared" si="1698"/>
        <v>FFDFD3C0</v>
      </c>
      <c r="D4309" t="s">
        <v>145</v>
      </c>
      <c r="E4309" t="str">
        <f>"09"</f>
        <v>09</v>
      </c>
      <c r="H4309">
        <v>51</v>
      </c>
      <c r="I4309" t="s">
        <v>147</v>
      </c>
      <c r="J4309" t="s">
        <v>138</v>
      </c>
      <c r="K4309">
        <v>0</v>
      </c>
      <c r="L4309">
        <v>3</v>
      </c>
      <c r="M4309">
        <v>0</v>
      </c>
      <c r="N4309">
        <v>2</v>
      </c>
      <c r="O4309">
        <v>0</v>
      </c>
      <c r="P4309">
        <v>1</v>
      </c>
      <c r="Q4309">
        <v>0</v>
      </c>
      <c r="R4309" t="s">
        <v>127</v>
      </c>
      <c r="S4309" t="str">
        <f t="shared" si="1706"/>
        <v>15:16:29.000</v>
      </c>
      <c r="T4309" t="str">
        <f t="shared" si="1706"/>
        <v>15:16:29.000</v>
      </c>
      <c r="U4309" t="str">
        <f t="shared" si="1699"/>
        <v>A68FCB</v>
      </c>
      <c r="V4309">
        <v>0</v>
      </c>
      <c r="W4309">
        <v>0</v>
      </c>
      <c r="X4309">
        <v>2</v>
      </c>
      <c r="Y4309">
        <v>0</v>
      </c>
      <c r="AA4309">
        <v>1</v>
      </c>
      <c r="AB4309">
        <v>8</v>
      </c>
      <c r="AC4309">
        <v>3</v>
      </c>
      <c r="AD4309">
        <v>0</v>
      </c>
      <c r="AE4309">
        <v>9</v>
      </c>
      <c r="AF4309" t="s">
        <v>138</v>
      </c>
      <c r="AG4309">
        <v>0</v>
      </c>
      <c r="AH4309">
        <v>3</v>
      </c>
      <c r="AI4309">
        <v>2</v>
      </c>
      <c r="AJ4309">
        <v>0</v>
      </c>
      <c r="AK4309" t="s">
        <v>1368</v>
      </c>
      <c r="AL4309">
        <v>39.197459000000002</v>
      </c>
      <c r="AM4309" t="s">
        <v>1369</v>
      </c>
      <c r="AN4309">
        <v>-121.015692</v>
      </c>
      <c r="AO4309">
        <v>25</v>
      </c>
      <c r="AP4309">
        <v>4200</v>
      </c>
      <c r="AQ4309" t="s">
        <v>131</v>
      </c>
      <c r="AR4309">
        <v>35</v>
      </c>
      <c r="AS4309">
        <v>63</v>
      </c>
      <c r="AT4309">
        <v>-512</v>
      </c>
      <c r="BB4309" t="str">
        <f t="shared" si="1700"/>
        <v>1200</v>
      </c>
      <c r="BC4309">
        <v>1</v>
      </c>
      <c r="BD4309" t="str">
        <f t="shared" si="1701"/>
        <v xml:space="preserve">N52156  </v>
      </c>
      <c r="BE4309">
        <v>1</v>
      </c>
      <c r="BG4309">
        <v>0</v>
      </c>
      <c r="BH4309">
        <v>0</v>
      </c>
      <c r="BI4309">
        <v>0</v>
      </c>
      <c r="BJ4309">
        <v>4300</v>
      </c>
      <c r="BK4309">
        <v>100</v>
      </c>
      <c r="BL4309" t="s">
        <v>188</v>
      </c>
      <c r="BM4309">
        <v>1</v>
      </c>
      <c r="BN4309">
        <v>1</v>
      </c>
      <c r="BO4309">
        <v>0</v>
      </c>
      <c r="BP4309">
        <v>0</v>
      </c>
      <c r="BS4309">
        <v>0</v>
      </c>
      <c r="BT4309">
        <v>0</v>
      </c>
      <c r="BU4309">
        <v>0</v>
      </c>
      <c r="CE4309" t="str">
        <f t="shared" si="1707"/>
        <v>15:16:29.969</v>
      </c>
      <c r="CF4309">
        <v>968501433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4</v>
      </c>
      <c r="CY4309">
        <v>7</v>
      </c>
      <c r="CZ4309" t="s">
        <v>133</v>
      </c>
      <c r="DA4309">
        <v>275</v>
      </c>
      <c r="DB4309">
        <v>0</v>
      </c>
      <c r="DC4309" t="s">
        <v>134</v>
      </c>
      <c r="DD4309" t="s">
        <v>135</v>
      </c>
      <c r="DG4309">
        <v>3323230</v>
      </c>
      <c r="DI4309">
        <v>1</v>
      </c>
      <c r="DJ4309">
        <v>0</v>
      </c>
      <c r="DK4309">
        <v>1</v>
      </c>
      <c r="DL4309">
        <v>0</v>
      </c>
      <c r="DM4309">
        <v>0</v>
      </c>
      <c r="DN4309">
        <v>0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 x14ac:dyDescent="0.3">
      <c r="A4310" t="str">
        <f>"05/01/2025 15:16:30.776"</f>
        <v>05/01/2025 15:16:30.776</v>
      </c>
      <c r="C4310" t="str">
        <f t="shared" si="1698"/>
        <v>FFDFD3C0</v>
      </c>
      <c r="D4310" t="s">
        <v>140</v>
      </c>
      <c r="E4310" t="str">
        <f>"13"</f>
        <v>13</v>
      </c>
      <c r="F4310">
        <v>1019</v>
      </c>
      <c r="G4310" t="s">
        <v>141</v>
      </c>
      <c r="J4310" t="s">
        <v>142</v>
      </c>
      <c r="K4310">
        <v>0</v>
      </c>
      <c r="L4310">
        <v>3</v>
      </c>
      <c r="M4310">
        <v>0</v>
      </c>
      <c r="N4310">
        <v>2</v>
      </c>
      <c r="O4310">
        <v>0</v>
      </c>
      <c r="P4310">
        <v>1</v>
      </c>
      <c r="Q4310">
        <v>0</v>
      </c>
      <c r="R4310" t="s">
        <v>127</v>
      </c>
      <c r="S4310" t="str">
        <f t="shared" ref="S4310:T4315" si="1708">"15:16:30.000"</f>
        <v>15:16:30.000</v>
      </c>
      <c r="T4310" t="str">
        <f t="shared" si="1708"/>
        <v>15:16:30.000</v>
      </c>
      <c r="U4310" t="str">
        <f t="shared" si="1699"/>
        <v>A68FCB</v>
      </c>
      <c r="V4310">
        <v>0</v>
      </c>
      <c r="W4310">
        <v>0</v>
      </c>
      <c r="X4310">
        <v>2</v>
      </c>
      <c r="Y4310">
        <v>0</v>
      </c>
      <c r="AA4310">
        <v>1</v>
      </c>
      <c r="AB4310">
        <v>8</v>
      </c>
      <c r="AC4310">
        <v>3</v>
      </c>
      <c r="AD4310">
        <v>0</v>
      </c>
      <c r="AE4310">
        <v>9</v>
      </c>
      <c r="AF4310" t="s">
        <v>138</v>
      </c>
      <c r="AG4310">
        <v>0</v>
      </c>
      <c r="AH4310">
        <v>3</v>
      </c>
      <c r="AI4310">
        <v>2</v>
      </c>
      <c r="AJ4310">
        <v>0</v>
      </c>
      <c r="AK4310" t="s">
        <v>1370</v>
      </c>
      <c r="AL4310">
        <v>39.197760000000002</v>
      </c>
      <c r="AM4310" t="s">
        <v>1371</v>
      </c>
      <c r="AN4310">
        <v>-121.015477</v>
      </c>
      <c r="AO4310">
        <v>25</v>
      </c>
      <c r="AP4310">
        <v>4200</v>
      </c>
      <c r="AQ4310" t="s">
        <v>131</v>
      </c>
      <c r="AR4310">
        <v>35</v>
      </c>
      <c r="AS4310">
        <v>64</v>
      </c>
      <c r="AT4310">
        <v>-448</v>
      </c>
      <c r="BB4310" t="str">
        <f t="shared" si="1700"/>
        <v>1200</v>
      </c>
      <c r="BC4310">
        <v>1</v>
      </c>
      <c r="BD4310" t="str">
        <f t="shared" si="1701"/>
        <v xml:space="preserve">N52156  </v>
      </c>
      <c r="BE4310">
        <v>1</v>
      </c>
      <c r="BG4310">
        <v>0</v>
      </c>
      <c r="BH4310">
        <v>0</v>
      </c>
      <c r="BI4310">
        <v>0</v>
      </c>
      <c r="BJ4310">
        <v>4300</v>
      </c>
      <c r="BK4310">
        <v>100</v>
      </c>
      <c r="BL4310" t="s">
        <v>188</v>
      </c>
      <c r="BM4310">
        <v>1</v>
      </c>
      <c r="BN4310">
        <v>1</v>
      </c>
      <c r="BO4310">
        <v>0</v>
      </c>
      <c r="BP4310">
        <v>0</v>
      </c>
      <c r="BS4310">
        <v>0</v>
      </c>
      <c r="BT4310">
        <v>0</v>
      </c>
      <c r="BU4310">
        <v>0</v>
      </c>
      <c r="CE4310" t="str">
        <f t="shared" ref="CE4310:CE4315" si="1709">"15:16:30.576"</f>
        <v>15:16:30.576</v>
      </c>
      <c r="CF4310">
        <v>575500751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4</v>
      </c>
      <c r="CY4310">
        <v>7</v>
      </c>
      <c r="CZ4310" t="s">
        <v>133</v>
      </c>
      <c r="DA4310">
        <v>275</v>
      </c>
      <c r="DB4310">
        <v>0</v>
      </c>
      <c r="DC4310" t="s">
        <v>134</v>
      </c>
      <c r="DD4310" t="s">
        <v>135</v>
      </c>
      <c r="DG4310">
        <v>3323231</v>
      </c>
      <c r="DI4310">
        <v>1</v>
      </c>
      <c r="DJ4310">
        <v>0</v>
      </c>
      <c r="DK4310">
        <v>0</v>
      </c>
      <c r="DL4310">
        <v>0</v>
      </c>
      <c r="DM4310">
        <v>0</v>
      </c>
      <c r="DN4310">
        <v>0</v>
      </c>
      <c r="DO4310">
        <v>0</v>
      </c>
      <c r="DP4310">
        <v>0</v>
      </c>
      <c r="DQ4310">
        <v>0</v>
      </c>
      <c r="DR4310">
        <v>0</v>
      </c>
      <c r="DS4310">
        <v>0</v>
      </c>
    </row>
    <row r="4311" spans="1:123" x14ac:dyDescent="0.3">
      <c r="A4311" t="str">
        <f>"05/01/2025 15:16:30.777"</f>
        <v>05/01/2025 15:16:30.777</v>
      </c>
      <c r="C4311" t="str">
        <f t="shared" si="1698"/>
        <v>FFDFD3C0</v>
      </c>
      <c r="D4311" t="s">
        <v>124</v>
      </c>
      <c r="E4311" t="str">
        <f>"06"</f>
        <v>06</v>
      </c>
      <c r="F4311">
        <v>2006</v>
      </c>
      <c r="G4311" t="s">
        <v>125</v>
      </c>
      <c r="J4311" t="s">
        <v>126</v>
      </c>
      <c r="K4311">
        <v>0</v>
      </c>
      <c r="L4311">
        <v>3</v>
      </c>
      <c r="M4311">
        <v>0</v>
      </c>
      <c r="N4311">
        <v>2</v>
      </c>
      <c r="O4311">
        <v>0</v>
      </c>
      <c r="P4311">
        <v>1</v>
      </c>
      <c r="Q4311">
        <v>0</v>
      </c>
      <c r="R4311" t="s">
        <v>127</v>
      </c>
      <c r="S4311" t="str">
        <f t="shared" si="1708"/>
        <v>15:16:30.000</v>
      </c>
      <c r="T4311" t="str">
        <f t="shared" si="1708"/>
        <v>15:16:30.000</v>
      </c>
      <c r="U4311" t="str">
        <f t="shared" si="1699"/>
        <v>A68FCB</v>
      </c>
      <c r="V4311">
        <v>0</v>
      </c>
      <c r="W4311">
        <v>0</v>
      </c>
      <c r="X4311">
        <v>2</v>
      </c>
      <c r="Y4311">
        <v>0</v>
      </c>
      <c r="AA4311">
        <v>1</v>
      </c>
      <c r="AB4311">
        <v>8</v>
      </c>
      <c r="AC4311">
        <v>3</v>
      </c>
      <c r="AD4311">
        <v>0</v>
      </c>
      <c r="AE4311">
        <v>9</v>
      </c>
      <c r="AF4311" t="s">
        <v>138</v>
      </c>
      <c r="AG4311">
        <v>0</v>
      </c>
      <c r="AH4311">
        <v>3</v>
      </c>
      <c r="AI4311">
        <v>2</v>
      </c>
      <c r="AJ4311">
        <v>0</v>
      </c>
      <c r="AK4311" t="s">
        <v>1370</v>
      </c>
      <c r="AL4311">
        <v>39.197760000000002</v>
      </c>
      <c r="AM4311" t="s">
        <v>1371</v>
      </c>
      <c r="AN4311">
        <v>-121.015477</v>
      </c>
      <c r="AO4311">
        <v>25</v>
      </c>
      <c r="AP4311">
        <v>4200</v>
      </c>
      <c r="AQ4311" t="s">
        <v>131</v>
      </c>
      <c r="AR4311">
        <v>35</v>
      </c>
      <c r="AS4311">
        <v>64</v>
      </c>
      <c r="AT4311">
        <v>-448</v>
      </c>
      <c r="BB4311" t="str">
        <f t="shared" si="1700"/>
        <v>1200</v>
      </c>
      <c r="BC4311">
        <v>1</v>
      </c>
      <c r="BD4311" t="str">
        <f t="shared" si="1701"/>
        <v xml:space="preserve">N52156  </v>
      </c>
      <c r="BE4311">
        <v>1</v>
      </c>
      <c r="BG4311">
        <v>0</v>
      </c>
      <c r="BH4311">
        <v>0</v>
      </c>
      <c r="BI4311">
        <v>0</v>
      </c>
      <c r="BJ4311">
        <v>4300</v>
      </c>
      <c r="BK4311">
        <v>100</v>
      </c>
      <c r="BL4311" t="s">
        <v>188</v>
      </c>
      <c r="BM4311">
        <v>1</v>
      </c>
      <c r="BN4311">
        <v>1</v>
      </c>
      <c r="BO4311">
        <v>0</v>
      </c>
      <c r="BP4311">
        <v>0</v>
      </c>
      <c r="BS4311">
        <v>0</v>
      </c>
      <c r="BT4311">
        <v>0</v>
      </c>
      <c r="BU4311">
        <v>0</v>
      </c>
      <c r="CE4311" t="str">
        <f t="shared" si="1709"/>
        <v>15:16:30.576</v>
      </c>
      <c r="CF4311">
        <v>575500751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4</v>
      </c>
      <c r="CY4311">
        <v>7</v>
      </c>
      <c r="CZ4311" t="s">
        <v>133</v>
      </c>
      <c r="DA4311">
        <v>275</v>
      </c>
      <c r="DB4311">
        <v>0</v>
      </c>
      <c r="DC4311" t="s">
        <v>134</v>
      </c>
      <c r="DD4311" t="s">
        <v>135</v>
      </c>
      <c r="DG4311">
        <v>3323231</v>
      </c>
      <c r="DI4311">
        <v>1</v>
      </c>
      <c r="DJ4311">
        <v>0</v>
      </c>
      <c r="DK4311">
        <v>1</v>
      </c>
      <c r="DL4311">
        <v>0</v>
      </c>
      <c r="DM4311">
        <v>0</v>
      </c>
      <c r="DN4311">
        <v>0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 x14ac:dyDescent="0.3">
      <c r="A4312" t="str">
        <f>"05/01/2025 15:16:30.779"</f>
        <v>05/01/2025 15:16:30.779</v>
      </c>
      <c r="C4312" t="str">
        <f t="shared" si="1698"/>
        <v>FFDFD3C0</v>
      </c>
      <c r="D4312" t="s">
        <v>143</v>
      </c>
      <c r="E4312" t="str">
        <f>"05"</f>
        <v>05</v>
      </c>
      <c r="H4312">
        <v>172</v>
      </c>
      <c r="I4312" t="s">
        <v>141</v>
      </c>
      <c r="J4312" t="s">
        <v>144</v>
      </c>
      <c r="K4312">
        <v>0</v>
      </c>
      <c r="L4312">
        <v>3</v>
      </c>
      <c r="M4312">
        <v>0</v>
      </c>
      <c r="N4312">
        <v>2</v>
      </c>
      <c r="O4312">
        <v>0</v>
      </c>
      <c r="P4312">
        <v>1</v>
      </c>
      <c r="Q4312">
        <v>0</v>
      </c>
      <c r="R4312" t="s">
        <v>127</v>
      </c>
      <c r="S4312" t="str">
        <f t="shared" si="1708"/>
        <v>15:16:30.000</v>
      </c>
      <c r="T4312" t="str">
        <f t="shared" si="1708"/>
        <v>15:16:30.000</v>
      </c>
      <c r="U4312" t="str">
        <f t="shared" si="1699"/>
        <v>A68FCB</v>
      </c>
      <c r="V4312">
        <v>0</v>
      </c>
      <c r="W4312">
        <v>0</v>
      </c>
      <c r="X4312">
        <v>2</v>
      </c>
      <c r="Y4312">
        <v>0</v>
      </c>
      <c r="AA4312">
        <v>1</v>
      </c>
      <c r="AB4312">
        <v>8</v>
      </c>
      <c r="AC4312">
        <v>3</v>
      </c>
      <c r="AD4312">
        <v>0</v>
      </c>
      <c r="AE4312">
        <v>9</v>
      </c>
      <c r="AF4312" t="s">
        <v>138</v>
      </c>
      <c r="AG4312">
        <v>0</v>
      </c>
      <c r="AH4312">
        <v>3</v>
      </c>
      <c r="AI4312">
        <v>2</v>
      </c>
      <c r="AJ4312">
        <v>0</v>
      </c>
      <c r="AK4312" t="s">
        <v>1370</v>
      </c>
      <c r="AL4312">
        <v>39.197760000000002</v>
      </c>
      <c r="AM4312" t="s">
        <v>1371</v>
      </c>
      <c r="AN4312">
        <v>-121.015477</v>
      </c>
      <c r="AO4312">
        <v>25</v>
      </c>
      <c r="AP4312">
        <v>4200</v>
      </c>
      <c r="AQ4312" t="s">
        <v>131</v>
      </c>
      <c r="AR4312">
        <v>35</v>
      </c>
      <c r="AS4312">
        <v>64</v>
      </c>
      <c r="AT4312">
        <v>-448</v>
      </c>
      <c r="BB4312" t="str">
        <f t="shared" si="1700"/>
        <v>1200</v>
      </c>
      <c r="BC4312">
        <v>1</v>
      </c>
      <c r="BD4312" t="str">
        <f t="shared" si="1701"/>
        <v xml:space="preserve">N52156  </v>
      </c>
      <c r="BE4312">
        <v>1</v>
      </c>
      <c r="BG4312">
        <v>0</v>
      </c>
      <c r="BH4312">
        <v>0</v>
      </c>
      <c r="BI4312">
        <v>0</v>
      </c>
      <c r="BJ4312">
        <v>4300</v>
      </c>
      <c r="BK4312">
        <v>100</v>
      </c>
      <c r="BL4312" t="s">
        <v>188</v>
      </c>
      <c r="BM4312">
        <v>1</v>
      </c>
      <c r="BN4312">
        <v>1</v>
      </c>
      <c r="BO4312">
        <v>0</v>
      </c>
      <c r="BP4312">
        <v>0</v>
      </c>
      <c r="BS4312">
        <v>0</v>
      </c>
      <c r="BT4312">
        <v>0</v>
      </c>
      <c r="BU4312">
        <v>0</v>
      </c>
      <c r="CE4312" t="str">
        <f t="shared" si="1709"/>
        <v>15:16:30.576</v>
      </c>
      <c r="CF4312">
        <v>575500751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4</v>
      </c>
      <c r="CY4312">
        <v>7</v>
      </c>
      <c r="CZ4312" t="s">
        <v>133</v>
      </c>
      <c r="DA4312">
        <v>275</v>
      </c>
      <c r="DB4312">
        <v>0</v>
      </c>
      <c r="DC4312" t="s">
        <v>134</v>
      </c>
      <c r="DD4312" t="s">
        <v>135</v>
      </c>
      <c r="DG4312">
        <v>3323231</v>
      </c>
      <c r="DI4312">
        <v>1</v>
      </c>
      <c r="DJ4312">
        <v>0</v>
      </c>
      <c r="DK4312">
        <v>1</v>
      </c>
      <c r="DL4312">
        <v>0</v>
      </c>
      <c r="DM4312">
        <v>0</v>
      </c>
      <c r="DN4312">
        <v>0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 x14ac:dyDescent="0.3">
      <c r="A4313" t="str">
        <f>"05/01/2025 15:16:30.792"</f>
        <v>05/01/2025 15:16:30.792</v>
      </c>
      <c r="C4313" t="str">
        <f t="shared" si="1698"/>
        <v>FFDFD3C0</v>
      </c>
      <c r="D4313" t="s">
        <v>145</v>
      </c>
      <c r="E4313" t="str">
        <f>"09"</f>
        <v>09</v>
      </c>
      <c r="H4313">
        <v>51</v>
      </c>
      <c r="I4313" t="s">
        <v>147</v>
      </c>
      <c r="J4313" t="s">
        <v>138</v>
      </c>
      <c r="K4313">
        <v>0</v>
      </c>
      <c r="L4313">
        <v>3</v>
      </c>
      <c r="M4313">
        <v>0</v>
      </c>
      <c r="N4313">
        <v>2</v>
      </c>
      <c r="O4313">
        <v>0</v>
      </c>
      <c r="P4313">
        <v>1</v>
      </c>
      <c r="Q4313">
        <v>0</v>
      </c>
      <c r="R4313" t="s">
        <v>127</v>
      </c>
      <c r="S4313" t="str">
        <f t="shared" si="1708"/>
        <v>15:16:30.000</v>
      </c>
      <c r="T4313" t="str">
        <f t="shared" si="1708"/>
        <v>15:16:30.000</v>
      </c>
      <c r="U4313" t="str">
        <f t="shared" si="1699"/>
        <v>A68FCB</v>
      </c>
      <c r="V4313">
        <v>0</v>
      </c>
      <c r="W4313">
        <v>0</v>
      </c>
      <c r="X4313">
        <v>2</v>
      </c>
      <c r="Y4313">
        <v>0</v>
      </c>
      <c r="AA4313">
        <v>1</v>
      </c>
      <c r="AB4313">
        <v>8</v>
      </c>
      <c r="AC4313">
        <v>3</v>
      </c>
      <c r="AD4313">
        <v>0</v>
      </c>
      <c r="AE4313">
        <v>9</v>
      </c>
      <c r="AF4313" t="s">
        <v>138</v>
      </c>
      <c r="AG4313">
        <v>0</v>
      </c>
      <c r="AH4313">
        <v>3</v>
      </c>
      <c r="AI4313">
        <v>2</v>
      </c>
      <c r="AJ4313">
        <v>0</v>
      </c>
      <c r="AK4313" t="s">
        <v>1370</v>
      </c>
      <c r="AL4313">
        <v>39.197760000000002</v>
      </c>
      <c r="AM4313" t="s">
        <v>1371</v>
      </c>
      <c r="AN4313">
        <v>-121.015477</v>
      </c>
      <c r="AO4313">
        <v>25</v>
      </c>
      <c r="AP4313">
        <v>4200</v>
      </c>
      <c r="AQ4313" t="s">
        <v>131</v>
      </c>
      <c r="AR4313">
        <v>35</v>
      </c>
      <c r="AS4313">
        <v>64</v>
      </c>
      <c r="AT4313">
        <v>-448</v>
      </c>
      <c r="BB4313" t="str">
        <f t="shared" si="1700"/>
        <v>1200</v>
      </c>
      <c r="BC4313">
        <v>1</v>
      </c>
      <c r="BD4313" t="str">
        <f t="shared" si="1701"/>
        <v xml:space="preserve">N52156  </v>
      </c>
      <c r="BE4313">
        <v>1</v>
      </c>
      <c r="BG4313">
        <v>0</v>
      </c>
      <c r="BH4313">
        <v>0</v>
      </c>
      <c r="BI4313">
        <v>0</v>
      </c>
      <c r="BJ4313">
        <v>4300</v>
      </c>
      <c r="BK4313">
        <v>100</v>
      </c>
      <c r="BL4313" t="s">
        <v>188</v>
      </c>
      <c r="BM4313">
        <v>1</v>
      </c>
      <c r="BN4313">
        <v>1</v>
      </c>
      <c r="BO4313">
        <v>0</v>
      </c>
      <c r="BP4313">
        <v>0</v>
      </c>
      <c r="BS4313">
        <v>0</v>
      </c>
      <c r="BT4313">
        <v>0</v>
      </c>
      <c r="BU4313">
        <v>0</v>
      </c>
      <c r="CE4313" t="str">
        <f t="shared" si="1709"/>
        <v>15:16:30.576</v>
      </c>
      <c r="CF4313">
        <v>575500751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4</v>
      </c>
      <c r="CY4313">
        <v>7</v>
      </c>
      <c r="CZ4313" t="s">
        <v>133</v>
      </c>
      <c r="DA4313">
        <v>275</v>
      </c>
      <c r="DB4313">
        <v>0</v>
      </c>
      <c r="DC4313" t="s">
        <v>134</v>
      </c>
      <c r="DD4313" t="s">
        <v>135</v>
      </c>
      <c r="DG4313">
        <v>3323231</v>
      </c>
      <c r="DI4313">
        <v>1</v>
      </c>
      <c r="DJ4313">
        <v>0</v>
      </c>
      <c r="DK4313">
        <v>1</v>
      </c>
      <c r="DL4313">
        <v>0</v>
      </c>
      <c r="DM4313">
        <v>0</v>
      </c>
      <c r="DN4313">
        <v>0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 x14ac:dyDescent="0.3">
      <c r="A4314" t="str">
        <f>"05/01/2025 15:16:30.796"</f>
        <v>05/01/2025 15:16:30.796</v>
      </c>
      <c r="C4314" t="str">
        <f t="shared" si="1698"/>
        <v>FFDFD3C0</v>
      </c>
      <c r="D4314" t="s">
        <v>145</v>
      </c>
      <c r="E4314" t="str">
        <f>"05"</f>
        <v>05</v>
      </c>
      <c r="H4314">
        <v>47</v>
      </c>
      <c r="I4314" t="s">
        <v>146</v>
      </c>
      <c r="J4314" t="s">
        <v>138</v>
      </c>
      <c r="K4314">
        <v>0</v>
      </c>
      <c r="L4314">
        <v>3</v>
      </c>
      <c r="M4314">
        <v>0</v>
      </c>
      <c r="N4314">
        <v>2</v>
      </c>
      <c r="O4314">
        <v>0</v>
      </c>
      <c r="P4314">
        <v>1</v>
      </c>
      <c r="Q4314">
        <v>0</v>
      </c>
      <c r="R4314" t="s">
        <v>127</v>
      </c>
      <c r="S4314" t="str">
        <f t="shared" si="1708"/>
        <v>15:16:30.000</v>
      </c>
      <c r="T4314" t="str">
        <f t="shared" si="1708"/>
        <v>15:16:30.000</v>
      </c>
      <c r="U4314" t="str">
        <f t="shared" si="1699"/>
        <v>A68FCB</v>
      </c>
      <c r="V4314">
        <v>0</v>
      </c>
      <c r="W4314">
        <v>0</v>
      </c>
      <c r="X4314">
        <v>2</v>
      </c>
      <c r="Y4314">
        <v>0</v>
      </c>
      <c r="AA4314">
        <v>1</v>
      </c>
      <c r="AB4314">
        <v>8</v>
      </c>
      <c r="AC4314">
        <v>3</v>
      </c>
      <c r="AD4314">
        <v>0</v>
      </c>
      <c r="AE4314">
        <v>9</v>
      </c>
      <c r="AF4314" t="s">
        <v>138</v>
      </c>
      <c r="AG4314">
        <v>0</v>
      </c>
      <c r="AH4314">
        <v>3</v>
      </c>
      <c r="AI4314">
        <v>2</v>
      </c>
      <c r="AJ4314">
        <v>0</v>
      </c>
      <c r="AK4314" t="s">
        <v>1370</v>
      </c>
      <c r="AL4314">
        <v>39.197760000000002</v>
      </c>
      <c r="AM4314" t="s">
        <v>1371</v>
      </c>
      <c r="AN4314">
        <v>-121.015477</v>
      </c>
      <c r="AO4314">
        <v>25</v>
      </c>
      <c r="AP4314">
        <v>4200</v>
      </c>
      <c r="AQ4314" t="s">
        <v>131</v>
      </c>
      <c r="AR4314">
        <v>35</v>
      </c>
      <c r="AS4314">
        <v>64</v>
      </c>
      <c r="AT4314">
        <v>-448</v>
      </c>
      <c r="BB4314" t="str">
        <f t="shared" si="1700"/>
        <v>1200</v>
      </c>
      <c r="BC4314">
        <v>1</v>
      </c>
      <c r="BD4314" t="str">
        <f t="shared" si="1701"/>
        <v xml:space="preserve">N52156  </v>
      </c>
      <c r="BE4314">
        <v>1</v>
      </c>
      <c r="BG4314">
        <v>0</v>
      </c>
      <c r="BH4314">
        <v>0</v>
      </c>
      <c r="BI4314">
        <v>0</v>
      </c>
      <c r="BJ4314">
        <v>4300</v>
      </c>
      <c r="BK4314">
        <v>100</v>
      </c>
      <c r="BL4314" t="s">
        <v>188</v>
      </c>
      <c r="BM4314">
        <v>1</v>
      </c>
      <c r="BN4314">
        <v>1</v>
      </c>
      <c r="BO4314">
        <v>0</v>
      </c>
      <c r="BP4314">
        <v>0</v>
      </c>
      <c r="BS4314">
        <v>0</v>
      </c>
      <c r="BT4314">
        <v>0</v>
      </c>
      <c r="BU4314">
        <v>0</v>
      </c>
      <c r="CE4314" t="str">
        <f t="shared" si="1709"/>
        <v>15:16:30.576</v>
      </c>
      <c r="CF4314">
        <v>575500751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4</v>
      </c>
      <c r="CY4314">
        <v>7</v>
      </c>
      <c r="CZ4314" t="s">
        <v>133</v>
      </c>
      <c r="DA4314">
        <v>275</v>
      </c>
      <c r="DB4314">
        <v>0</v>
      </c>
      <c r="DC4314" t="s">
        <v>134</v>
      </c>
      <c r="DD4314" t="s">
        <v>135</v>
      </c>
      <c r="DG4314">
        <v>3323231</v>
      </c>
      <c r="DI4314">
        <v>1</v>
      </c>
      <c r="DJ4314">
        <v>0</v>
      </c>
      <c r="DK4314">
        <v>1</v>
      </c>
      <c r="DL4314">
        <v>0</v>
      </c>
      <c r="DM4314">
        <v>0</v>
      </c>
      <c r="DN4314">
        <v>0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 x14ac:dyDescent="0.3">
      <c r="A4315" t="str">
        <f>"05/01/2025 15:16:30.808"</f>
        <v>05/01/2025 15:16:30.808</v>
      </c>
      <c r="C4315" t="str">
        <f t="shared" si="1698"/>
        <v>FFDFD3C0</v>
      </c>
      <c r="D4315" t="s">
        <v>136</v>
      </c>
      <c r="E4315" t="str">
        <f>"20"</f>
        <v>20</v>
      </c>
      <c r="H4315">
        <v>400</v>
      </c>
      <c r="I4315" t="s">
        <v>137</v>
      </c>
      <c r="J4315" t="s">
        <v>138</v>
      </c>
      <c r="K4315">
        <v>0</v>
      </c>
      <c r="L4315">
        <v>3</v>
      </c>
      <c r="M4315">
        <v>0</v>
      </c>
      <c r="N4315">
        <v>2</v>
      </c>
      <c r="O4315">
        <v>0</v>
      </c>
      <c r="P4315">
        <v>1</v>
      </c>
      <c r="Q4315">
        <v>0</v>
      </c>
      <c r="R4315" t="s">
        <v>127</v>
      </c>
      <c r="S4315" t="str">
        <f t="shared" si="1708"/>
        <v>15:16:30.000</v>
      </c>
      <c r="T4315" t="str">
        <f t="shared" si="1708"/>
        <v>15:16:30.000</v>
      </c>
      <c r="U4315" t="str">
        <f t="shared" si="1699"/>
        <v>A68FCB</v>
      </c>
      <c r="V4315">
        <v>0</v>
      </c>
      <c r="W4315">
        <v>0</v>
      </c>
      <c r="X4315">
        <v>2</v>
      </c>
      <c r="Y4315">
        <v>0</v>
      </c>
      <c r="AA4315">
        <v>1</v>
      </c>
      <c r="AB4315">
        <v>8</v>
      </c>
      <c r="AC4315">
        <v>3</v>
      </c>
      <c r="AD4315">
        <v>0</v>
      </c>
      <c r="AE4315">
        <v>9</v>
      </c>
      <c r="AF4315" t="s">
        <v>138</v>
      </c>
      <c r="AG4315">
        <v>0</v>
      </c>
      <c r="AH4315">
        <v>3</v>
      </c>
      <c r="AI4315">
        <v>2</v>
      </c>
      <c r="AJ4315">
        <v>0</v>
      </c>
      <c r="AK4315" t="s">
        <v>1370</v>
      </c>
      <c r="AL4315">
        <v>39.197760000000002</v>
      </c>
      <c r="AM4315" t="s">
        <v>1371</v>
      </c>
      <c r="AN4315">
        <v>-121.015477</v>
      </c>
      <c r="AO4315">
        <v>25</v>
      </c>
      <c r="AP4315">
        <v>4200</v>
      </c>
      <c r="AQ4315" t="s">
        <v>131</v>
      </c>
      <c r="AR4315">
        <v>35</v>
      </c>
      <c r="AS4315">
        <v>64</v>
      </c>
      <c r="AT4315">
        <v>-448</v>
      </c>
      <c r="BB4315" t="str">
        <f t="shared" si="1700"/>
        <v>1200</v>
      </c>
      <c r="BC4315">
        <v>1</v>
      </c>
      <c r="BD4315" t="str">
        <f t="shared" si="1701"/>
        <v xml:space="preserve">N52156  </v>
      </c>
      <c r="BE4315">
        <v>1</v>
      </c>
      <c r="BG4315">
        <v>0</v>
      </c>
      <c r="BH4315">
        <v>0</v>
      </c>
      <c r="BI4315">
        <v>0</v>
      </c>
      <c r="BJ4315">
        <v>4300</v>
      </c>
      <c r="BK4315">
        <v>100</v>
      </c>
      <c r="BL4315" t="s">
        <v>188</v>
      </c>
      <c r="BM4315">
        <v>1</v>
      </c>
      <c r="BN4315">
        <v>1</v>
      </c>
      <c r="BO4315">
        <v>0</v>
      </c>
      <c r="BP4315">
        <v>0</v>
      </c>
      <c r="BS4315">
        <v>0</v>
      </c>
      <c r="BT4315">
        <v>0</v>
      </c>
      <c r="BU4315">
        <v>0</v>
      </c>
      <c r="CE4315" t="str">
        <f t="shared" si="1709"/>
        <v>15:16:30.576</v>
      </c>
      <c r="CF4315">
        <v>575500751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4</v>
      </c>
      <c r="CY4315">
        <v>7</v>
      </c>
      <c r="CZ4315" t="s">
        <v>133</v>
      </c>
      <c r="DA4315">
        <v>275</v>
      </c>
      <c r="DB4315">
        <v>0</v>
      </c>
      <c r="DC4315" t="s">
        <v>134</v>
      </c>
      <c r="DD4315" t="s">
        <v>135</v>
      </c>
      <c r="DG4315">
        <v>3323231</v>
      </c>
      <c r="DI4315">
        <v>1</v>
      </c>
      <c r="DJ4315">
        <v>0</v>
      </c>
      <c r="DK4315">
        <v>1</v>
      </c>
      <c r="DL4315">
        <v>0</v>
      </c>
      <c r="DM4315">
        <v>0</v>
      </c>
      <c r="DN4315">
        <v>0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 x14ac:dyDescent="0.3">
      <c r="A4316" t="str">
        <f>"05/01/2025 15:16:32.095"</f>
        <v>05/01/2025 15:16:32.095</v>
      </c>
      <c r="C4316" t="str">
        <f t="shared" si="1698"/>
        <v>FFDFD3C0</v>
      </c>
      <c r="D4316" t="s">
        <v>145</v>
      </c>
      <c r="E4316" t="str">
        <f>"09"</f>
        <v>09</v>
      </c>
      <c r="H4316">
        <v>51</v>
      </c>
      <c r="I4316" t="s">
        <v>147</v>
      </c>
      <c r="J4316" t="s">
        <v>138</v>
      </c>
      <c r="K4316">
        <v>0</v>
      </c>
      <c r="L4316">
        <v>3</v>
      </c>
      <c r="M4316">
        <v>0</v>
      </c>
      <c r="N4316">
        <v>2</v>
      </c>
      <c r="O4316">
        <v>0</v>
      </c>
      <c r="P4316">
        <v>1</v>
      </c>
      <c r="Q4316">
        <v>0</v>
      </c>
      <c r="R4316" t="s">
        <v>127</v>
      </c>
      <c r="S4316" t="str">
        <f t="shared" ref="S4316:T4321" si="1710">"15:16:31.000"</f>
        <v>15:16:31.000</v>
      </c>
      <c r="T4316" t="str">
        <f t="shared" si="1710"/>
        <v>15:16:31.000</v>
      </c>
      <c r="U4316" t="str">
        <f t="shared" si="1699"/>
        <v>A68FCB</v>
      </c>
      <c r="V4316">
        <v>0</v>
      </c>
      <c r="W4316">
        <v>0</v>
      </c>
      <c r="X4316">
        <v>2</v>
      </c>
      <c r="Y4316">
        <v>0</v>
      </c>
      <c r="AA4316">
        <v>1</v>
      </c>
      <c r="AB4316">
        <v>8</v>
      </c>
      <c r="AC4316">
        <v>3</v>
      </c>
      <c r="AD4316">
        <v>0</v>
      </c>
      <c r="AE4316">
        <v>9</v>
      </c>
      <c r="AF4316" t="s">
        <v>138</v>
      </c>
      <c r="AG4316">
        <v>0</v>
      </c>
      <c r="AH4316">
        <v>3</v>
      </c>
      <c r="AI4316">
        <v>2</v>
      </c>
      <c r="AJ4316">
        <v>0</v>
      </c>
      <c r="AK4316" t="s">
        <v>1372</v>
      </c>
      <c r="AL4316">
        <v>39.198059999999998</v>
      </c>
      <c r="AM4316" t="s">
        <v>1373</v>
      </c>
      <c r="AN4316">
        <v>-121.01528399999999</v>
      </c>
      <c r="AO4316">
        <v>25</v>
      </c>
      <c r="AP4316">
        <v>4200</v>
      </c>
      <c r="AQ4316" t="s">
        <v>131</v>
      </c>
      <c r="AR4316">
        <v>35</v>
      </c>
      <c r="AS4316">
        <v>66</v>
      </c>
      <c r="AT4316">
        <v>-384</v>
      </c>
      <c r="BB4316" t="str">
        <f t="shared" si="1700"/>
        <v>1200</v>
      </c>
      <c r="BC4316">
        <v>1</v>
      </c>
      <c r="BD4316" t="str">
        <f t="shared" si="1701"/>
        <v xml:space="preserve">N52156  </v>
      </c>
      <c r="BE4316">
        <v>1</v>
      </c>
      <c r="BG4316">
        <v>0</v>
      </c>
      <c r="BH4316">
        <v>0</v>
      </c>
      <c r="BI4316">
        <v>0</v>
      </c>
      <c r="BJ4316">
        <v>4275</v>
      </c>
      <c r="BK4316">
        <v>75</v>
      </c>
      <c r="BL4316" t="s">
        <v>188</v>
      </c>
      <c r="BM4316">
        <v>1</v>
      </c>
      <c r="BN4316">
        <v>1</v>
      </c>
      <c r="BO4316">
        <v>0</v>
      </c>
      <c r="BP4316">
        <v>0</v>
      </c>
      <c r="BS4316">
        <v>0</v>
      </c>
      <c r="BT4316">
        <v>0</v>
      </c>
      <c r="BU4316">
        <v>0</v>
      </c>
      <c r="CE4316" t="str">
        <f t="shared" ref="CE4316:CE4321" si="1711">"15:16:31.893"</f>
        <v>15:16:31.893</v>
      </c>
      <c r="CF4316">
        <v>893251692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5</v>
      </c>
      <c r="CY4316">
        <v>7</v>
      </c>
      <c r="CZ4316" t="s">
        <v>133</v>
      </c>
      <c r="DA4316">
        <v>275</v>
      </c>
      <c r="DB4316">
        <v>0</v>
      </c>
      <c r="DC4316" t="s">
        <v>134</v>
      </c>
      <c r="DD4316" t="s">
        <v>135</v>
      </c>
      <c r="DG4316">
        <v>3323235</v>
      </c>
      <c r="DI4316">
        <v>1</v>
      </c>
      <c r="DJ4316">
        <v>0</v>
      </c>
      <c r="DK4316">
        <v>0</v>
      </c>
      <c r="DL4316">
        <v>0</v>
      </c>
      <c r="DM4316">
        <v>0</v>
      </c>
      <c r="DN4316">
        <v>0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 x14ac:dyDescent="0.3">
      <c r="A4317" t="str">
        <f>"05/01/2025 15:16:32.098"</f>
        <v>05/01/2025 15:16:32.098</v>
      </c>
      <c r="C4317" t="str">
        <f t="shared" si="1698"/>
        <v>FFDFD3C0</v>
      </c>
      <c r="D4317" t="s">
        <v>145</v>
      </c>
      <c r="E4317" t="str">
        <f>"05"</f>
        <v>05</v>
      </c>
      <c r="H4317">
        <v>47</v>
      </c>
      <c r="I4317" t="s">
        <v>146</v>
      </c>
      <c r="J4317" t="s">
        <v>138</v>
      </c>
      <c r="K4317">
        <v>0</v>
      </c>
      <c r="L4317">
        <v>3</v>
      </c>
      <c r="M4317">
        <v>0</v>
      </c>
      <c r="N4317">
        <v>2</v>
      </c>
      <c r="O4317">
        <v>0</v>
      </c>
      <c r="P4317">
        <v>1</v>
      </c>
      <c r="Q4317">
        <v>0</v>
      </c>
      <c r="R4317" t="s">
        <v>127</v>
      </c>
      <c r="S4317" t="str">
        <f t="shared" si="1710"/>
        <v>15:16:31.000</v>
      </c>
      <c r="T4317" t="str">
        <f t="shared" si="1710"/>
        <v>15:16:31.000</v>
      </c>
      <c r="U4317" t="str">
        <f t="shared" si="1699"/>
        <v>A68FCB</v>
      </c>
      <c r="V4317">
        <v>0</v>
      </c>
      <c r="W4317">
        <v>0</v>
      </c>
      <c r="X4317">
        <v>2</v>
      </c>
      <c r="Y4317">
        <v>0</v>
      </c>
      <c r="AA4317">
        <v>1</v>
      </c>
      <c r="AB4317">
        <v>8</v>
      </c>
      <c r="AC4317">
        <v>3</v>
      </c>
      <c r="AD4317">
        <v>0</v>
      </c>
      <c r="AE4317">
        <v>9</v>
      </c>
      <c r="AF4317" t="s">
        <v>138</v>
      </c>
      <c r="AG4317">
        <v>0</v>
      </c>
      <c r="AH4317">
        <v>3</v>
      </c>
      <c r="AI4317">
        <v>2</v>
      </c>
      <c r="AJ4317">
        <v>0</v>
      </c>
      <c r="AK4317" t="s">
        <v>1372</v>
      </c>
      <c r="AL4317">
        <v>39.198059999999998</v>
      </c>
      <c r="AM4317" t="s">
        <v>1373</v>
      </c>
      <c r="AN4317">
        <v>-121.01528399999999</v>
      </c>
      <c r="AO4317">
        <v>25</v>
      </c>
      <c r="AP4317">
        <v>4200</v>
      </c>
      <c r="AQ4317" t="s">
        <v>131</v>
      </c>
      <c r="AR4317">
        <v>35</v>
      </c>
      <c r="AS4317">
        <v>66</v>
      </c>
      <c r="AT4317">
        <v>-384</v>
      </c>
      <c r="BB4317" t="str">
        <f t="shared" si="1700"/>
        <v>1200</v>
      </c>
      <c r="BC4317">
        <v>1</v>
      </c>
      <c r="BD4317" t="str">
        <f t="shared" si="1701"/>
        <v xml:space="preserve">N52156  </v>
      </c>
      <c r="BE4317">
        <v>1</v>
      </c>
      <c r="BG4317">
        <v>0</v>
      </c>
      <c r="BH4317">
        <v>0</v>
      </c>
      <c r="BI4317">
        <v>0</v>
      </c>
      <c r="BJ4317">
        <v>4275</v>
      </c>
      <c r="BK4317">
        <v>75</v>
      </c>
      <c r="BL4317" t="s">
        <v>188</v>
      </c>
      <c r="BM4317">
        <v>1</v>
      </c>
      <c r="BN4317">
        <v>1</v>
      </c>
      <c r="BO4317">
        <v>0</v>
      </c>
      <c r="BP4317">
        <v>0</v>
      </c>
      <c r="BS4317">
        <v>0</v>
      </c>
      <c r="BT4317">
        <v>0</v>
      </c>
      <c r="BU4317">
        <v>0</v>
      </c>
      <c r="CE4317" t="str">
        <f t="shared" si="1711"/>
        <v>15:16:31.893</v>
      </c>
      <c r="CF4317">
        <v>893251692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5</v>
      </c>
      <c r="CY4317">
        <v>7</v>
      </c>
      <c r="CZ4317" t="s">
        <v>133</v>
      </c>
      <c r="DA4317">
        <v>275</v>
      </c>
      <c r="DB4317">
        <v>0</v>
      </c>
      <c r="DC4317" t="s">
        <v>134</v>
      </c>
      <c r="DD4317" t="s">
        <v>135</v>
      </c>
      <c r="DG4317">
        <v>3323235</v>
      </c>
      <c r="DI4317">
        <v>1</v>
      </c>
      <c r="DJ4317">
        <v>0</v>
      </c>
      <c r="DK4317">
        <v>1</v>
      </c>
      <c r="DL4317">
        <v>0</v>
      </c>
      <c r="DM4317">
        <v>0</v>
      </c>
      <c r="DN4317">
        <v>0</v>
      </c>
      <c r="DO4317">
        <v>0</v>
      </c>
      <c r="DP4317">
        <v>0</v>
      </c>
      <c r="DQ4317">
        <v>0</v>
      </c>
      <c r="DR4317">
        <v>0</v>
      </c>
      <c r="DS4317">
        <v>0</v>
      </c>
    </row>
    <row r="4318" spans="1:123" x14ac:dyDescent="0.3">
      <c r="A4318" t="str">
        <f>"05/01/2025 15:16:32.111"</f>
        <v>05/01/2025 15:16:32.111</v>
      </c>
      <c r="C4318" t="str">
        <f t="shared" si="1698"/>
        <v>FFDFD3C0</v>
      </c>
      <c r="D4318" t="s">
        <v>136</v>
      </c>
      <c r="E4318" t="str">
        <f>"20"</f>
        <v>20</v>
      </c>
      <c r="H4318">
        <v>400</v>
      </c>
      <c r="I4318" t="s">
        <v>137</v>
      </c>
      <c r="J4318" t="s">
        <v>138</v>
      </c>
      <c r="K4318">
        <v>0</v>
      </c>
      <c r="L4318">
        <v>3</v>
      </c>
      <c r="M4318">
        <v>0</v>
      </c>
      <c r="N4318">
        <v>2</v>
      </c>
      <c r="O4318">
        <v>0</v>
      </c>
      <c r="P4318">
        <v>1</v>
      </c>
      <c r="Q4318">
        <v>0</v>
      </c>
      <c r="R4318" t="s">
        <v>127</v>
      </c>
      <c r="S4318" t="str">
        <f t="shared" si="1710"/>
        <v>15:16:31.000</v>
      </c>
      <c r="T4318" t="str">
        <f t="shared" si="1710"/>
        <v>15:16:31.000</v>
      </c>
      <c r="U4318" t="str">
        <f t="shared" si="1699"/>
        <v>A68FCB</v>
      </c>
      <c r="V4318">
        <v>0</v>
      </c>
      <c r="W4318">
        <v>0</v>
      </c>
      <c r="X4318">
        <v>2</v>
      </c>
      <c r="Y4318">
        <v>0</v>
      </c>
      <c r="AA4318">
        <v>1</v>
      </c>
      <c r="AB4318">
        <v>8</v>
      </c>
      <c r="AC4318">
        <v>3</v>
      </c>
      <c r="AD4318">
        <v>0</v>
      </c>
      <c r="AE4318">
        <v>9</v>
      </c>
      <c r="AF4318" t="s">
        <v>138</v>
      </c>
      <c r="AG4318">
        <v>0</v>
      </c>
      <c r="AH4318">
        <v>3</v>
      </c>
      <c r="AI4318">
        <v>2</v>
      </c>
      <c r="AJ4318">
        <v>0</v>
      </c>
      <c r="AK4318" t="s">
        <v>1372</v>
      </c>
      <c r="AL4318">
        <v>39.198059999999998</v>
      </c>
      <c r="AM4318" t="s">
        <v>1373</v>
      </c>
      <c r="AN4318">
        <v>-121.01528399999999</v>
      </c>
      <c r="AO4318">
        <v>25</v>
      </c>
      <c r="AP4318">
        <v>4200</v>
      </c>
      <c r="AQ4318" t="s">
        <v>131</v>
      </c>
      <c r="AR4318">
        <v>35</v>
      </c>
      <c r="AS4318">
        <v>66</v>
      </c>
      <c r="AT4318">
        <v>-384</v>
      </c>
      <c r="BB4318" t="str">
        <f t="shared" si="1700"/>
        <v>1200</v>
      </c>
      <c r="BC4318">
        <v>1</v>
      </c>
      <c r="BD4318" t="str">
        <f t="shared" si="1701"/>
        <v xml:space="preserve">N52156  </v>
      </c>
      <c r="BE4318">
        <v>1</v>
      </c>
      <c r="BG4318">
        <v>0</v>
      </c>
      <c r="BH4318">
        <v>0</v>
      </c>
      <c r="BI4318">
        <v>0</v>
      </c>
      <c r="BJ4318">
        <v>4275</v>
      </c>
      <c r="BK4318">
        <v>75</v>
      </c>
      <c r="BL4318" t="s">
        <v>188</v>
      </c>
      <c r="BM4318">
        <v>1</v>
      </c>
      <c r="BN4318">
        <v>1</v>
      </c>
      <c r="BO4318">
        <v>0</v>
      </c>
      <c r="BP4318">
        <v>0</v>
      </c>
      <c r="BS4318">
        <v>0</v>
      </c>
      <c r="BT4318">
        <v>0</v>
      </c>
      <c r="BU4318">
        <v>0</v>
      </c>
      <c r="CE4318" t="str">
        <f t="shared" si="1711"/>
        <v>15:16:31.893</v>
      </c>
      <c r="CF4318">
        <v>893251692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5</v>
      </c>
      <c r="CY4318">
        <v>7</v>
      </c>
      <c r="CZ4318" t="s">
        <v>133</v>
      </c>
      <c r="DA4318">
        <v>275</v>
      </c>
      <c r="DB4318">
        <v>0</v>
      </c>
      <c r="DC4318" t="s">
        <v>134</v>
      </c>
      <c r="DD4318" t="s">
        <v>135</v>
      </c>
      <c r="DG4318">
        <v>3323235</v>
      </c>
      <c r="DI4318">
        <v>1</v>
      </c>
      <c r="DJ4318">
        <v>0</v>
      </c>
      <c r="DK4318">
        <v>1</v>
      </c>
      <c r="DL4318">
        <v>0</v>
      </c>
      <c r="DM4318">
        <v>0</v>
      </c>
      <c r="DN4318">
        <v>0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 x14ac:dyDescent="0.3">
      <c r="A4319" t="str">
        <f>"05/01/2025 15:16:32.129"</f>
        <v>05/01/2025 15:16:32.129</v>
      </c>
      <c r="C4319" t="str">
        <f t="shared" si="1698"/>
        <v>FFDFD3C0</v>
      </c>
      <c r="D4319" t="s">
        <v>124</v>
      </c>
      <c r="E4319" t="str">
        <f>"06"</f>
        <v>06</v>
      </c>
      <c r="F4319">
        <v>2006</v>
      </c>
      <c r="G4319" t="s">
        <v>125</v>
      </c>
      <c r="J4319" t="s">
        <v>126</v>
      </c>
      <c r="K4319">
        <v>0</v>
      </c>
      <c r="L4319">
        <v>3</v>
      </c>
      <c r="M4319">
        <v>0</v>
      </c>
      <c r="N4319">
        <v>2</v>
      </c>
      <c r="O4319">
        <v>0</v>
      </c>
      <c r="P4319">
        <v>1</v>
      </c>
      <c r="Q4319">
        <v>0</v>
      </c>
      <c r="R4319" t="s">
        <v>127</v>
      </c>
      <c r="S4319" t="str">
        <f t="shared" si="1710"/>
        <v>15:16:31.000</v>
      </c>
      <c r="T4319" t="str">
        <f t="shared" si="1710"/>
        <v>15:16:31.000</v>
      </c>
      <c r="U4319" t="str">
        <f t="shared" si="1699"/>
        <v>A68FCB</v>
      </c>
      <c r="V4319">
        <v>0</v>
      </c>
      <c r="W4319">
        <v>0</v>
      </c>
      <c r="X4319">
        <v>2</v>
      </c>
      <c r="Y4319">
        <v>0</v>
      </c>
      <c r="AA4319">
        <v>1</v>
      </c>
      <c r="AB4319">
        <v>8</v>
      </c>
      <c r="AC4319">
        <v>3</v>
      </c>
      <c r="AD4319">
        <v>0</v>
      </c>
      <c r="AE4319">
        <v>9</v>
      </c>
      <c r="AF4319" t="s">
        <v>138</v>
      </c>
      <c r="AG4319">
        <v>0</v>
      </c>
      <c r="AH4319">
        <v>3</v>
      </c>
      <c r="AI4319">
        <v>2</v>
      </c>
      <c r="AJ4319">
        <v>0</v>
      </c>
      <c r="AK4319" t="s">
        <v>1372</v>
      </c>
      <c r="AL4319">
        <v>39.198059999999998</v>
      </c>
      <c r="AM4319" t="s">
        <v>1373</v>
      </c>
      <c r="AN4319">
        <v>-121.01528399999999</v>
      </c>
      <c r="AO4319">
        <v>25</v>
      </c>
      <c r="AP4319">
        <v>4200</v>
      </c>
      <c r="AQ4319" t="s">
        <v>131</v>
      </c>
      <c r="AR4319">
        <v>35</v>
      </c>
      <c r="AS4319">
        <v>66</v>
      </c>
      <c r="AT4319">
        <v>-384</v>
      </c>
      <c r="BB4319" t="str">
        <f t="shared" si="1700"/>
        <v>1200</v>
      </c>
      <c r="BC4319">
        <v>1</v>
      </c>
      <c r="BD4319" t="str">
        <f t="shared" si="1701"/>
        <v xml:space="preserve">N52156  </v>
      </c>
      <c r="BE4319">
        <v>1</v>
      </c>
      <c r="BG4319">
        <v>0</v>
      </c>
      <c r="BH4319">
        <v>0</v>
      </c>
      <c r="BI4319">
        <v>0</v>
      </c>
      <c r="BJ4319">
        <v>4275</v>
      </c>
      <c r="BK4319">
        <v>75</v>
      </c>
      <c r="BL4319" t="s">
        <v>188</v>
      </c>
      <c r="BM4319">
        <v>1</v>
      </c>
      <c r="BN4319">
        <v>1</v>
      </c>
      <c r="BO4319">
        <v>0</v>
      </c>
      <c r="BP4319">
        <v>0</v>
      </c>
      <c r="BS4319">
        <v>0</v>
      </c>
      <c r="BT4319">
        <v>0</v>
      </c>
      <c r="BU4319">
        <v>0</v>
      </c>
      <c r="CE4319" t="str">
        <f t="shared" si="1711"/>
        <v>15:16:31.893</v>
      </c>
      <c r="CF4319">
        <v>893251692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5</v>
      </c>
      <c r="CY4319">
        <v>7</v>
      </c>
      <c r="CZ4319" t="s">
        <v>133</v>
      </c>
      <c r="DA4319">
        <v>275</v>
      </c>
      <c r="DB4319">
        <v>0</v>
      </c>
      <c r="DC4319" t="s">
        <v>134</v>
      </c>
      <c r="DD4319" t="s">
        <v>135</v>
      </c>
      <c r="DG4319">
        <v>3323235</v>
      </c>
      <c r="DI4319">
        <v>1</v>
      </c>
      <c r="DJ4319">
        <v>0</v>
      </c>
      <c r="DK4319">
        <v>1</v>
      </c>
      <c r="DL4319">
        <v>0</v>
      </c>
      <c r="DM4319">
        <v>0</v>
      </c>
      <c r="DN4319">
        <v>0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 x14ac:dyDescent="0.3">
      <c r="A4320" t="str">
        <f>"05/01/2025 15:16:32.128"</f>
        <v>05/01/2025 15:16:32.128</v>
      </c>
      <c r="C4320" t="str">
        <f t="shared" si="1698"/>
        <v>FFDFD3C0</v>
      </c>
      <c r="D4320" t="s">
        <v>140</v>
      </c>
      <c r="E4320" t="str">
        <f>"13"</f>
        <v>13</v>
      </c>
      <c r="F4320">
        <v>1019</v>
      </c>
      <c r="G4320" t="s">
        <v>141</v>
      </c>
      <c r="J4320" t="s">
        <v>142</v>
      </c>
      <c r="K4320">
        <v>0</v>
      </c>
      <c r="L4320">
        <v>3</v>
      </c>
      <c r="M4320">
        <v>0</v>
      </c>
      <c r="N4320">
        <v>2</v>
      </c>
      <c r="O4320">
        <v>0</v>
      </c>
      <c r="P4320">
        <v>1</v>
      </c>
      <c r="Q4320">
        <v>0</v>
      </c>
      <c r="R4320" t="s">
        <v>127</v>
      </c>
      <c r="S4320" t="str">
        <f t="shared" si="1710"/>
        <v>15:16:31.000</v>
      </c>
      <c r="T4320" t="str">
        <f t="shared" si="1710"/>
        <v>15:16:31.000</v>
      </c>
      <c r="U4320" t="str">
        <f t="shared" si="1699"/>
        <v>A68FCB</v>
      </c>
      <c r="V4320">
        <v>0</v>
      </c>
      <c r="W4320">
        <v>0</v>
      </c>
      <c r="X4320">
        <v>2</v>
      </c>
      <c r="Y4320">
        <v>0</v>
      </c>
      <c r="AA4320">
        <v>1</v>
      </c>
      <c r="AB4320">
        <v>8</v>
      </c>
      <c r="AC4320">
        <v>3</v>
      </c>
      <c r="AD4320">
        <v>0</v>
      </c>
      <c r="AE4320">
        <v>9</v>
      </c>
      <c r="AF4320" t="s">
        <v>138</v>
      </c>
      <c r="AG4320">
        <v>0</v>
      </c>
      <c r="AH4320">
        <v>3</v>
      </c>
      <c r="AI4320">
        <v>2</v>
      </c>
      <c r="AJ4320">
        <v>0</v>
      </c>
      <c r="AK4320" t="s">
        <v>1372</v>
      </c>
      <c r="AL4320">
        <v>39.198059999999998</v>
      </c>
      <c r="AM4320" t="s">
        <v>1373</v>
      </c>
      <c r="AN4320">
        <v>-121.01528399999999</v>
      </c>
      <c r="AO4320">
        <v>25</v>
      </c>
      <c r="AP4320">
        <v>4200</v>
      </c>
      <c r="AQ4320" t="s">
        <v>131</v>
      </c>
      <c r="AR4320">
        <v>35</v>
      </c>
      <c r="AS4320">
        <v>66</v>
      </c>
      <c r="AT4320">
        <v>-384</v>
      </c>
      <c r="BB4320" t="str">
        <f t="shared" si="1700"/>
        <v>1200</v>
      </c>
      <c r="BC4320">
        <v>1</v>
      </c>
      <c r="BD4320" t="str">
        <f t="shared" si="1701"/>
        <v xml:space="preserve">N52156  </v>
      </c>
      <c r="BE4320">
        <v>1</v>
      </c>
      <c r="BG4320">
        <v>0</v>
      </c>
      <c r="BH4320">
        <v>0</v>
      </c>
      <c r="BI4320">
        <v>0</v>
      </c>
      <c r="BJ4320">
        <v>4275</v>
      </c>
      <c r="BK4320">
        <v>75</v>
      </c>
      <c r="BL4320" t="s">
        <v>188</v>
      </c>
      <c r="BM4320">
        <v>1</v>
      </c>
      <c r="BN4320">
        <v>1</v>
      </c>
      <c r="BO4320">
        <v>0</v>
      </c>
      <c r="BP4320">
        <v>0</v>
      </c>
      <c r="BS4320">
        <v>0</v>
      </c>
      <c r="BT4320">
        <v>0</v>
      </c>
      <c r="BU4320">
        <v>0</v>
      </c>
      <c r="CE4320" t="str">
        <f t="shared" si="1711"/>
        <v>15:16:31.893</v>
      </c>
      <c r="CF4320">
        <v>893251692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5</v>
      </c>
      <c r="CY4320">
        <v>7</v>
      </c>
      <c r="CZ4320" t="s">
        <v>133</v>
      </c>
      <c r="DA4320">
        <v>275</v>
      </c>
      <c r="DB4320">
        <v>0</v>
      </c>
      <c r="DC4320" t="s">
        <v>134</v>
      </c>
      <c r="DD4320" t="s">
        <v>135</v>
      </c>
      <c r="DG4320">
        <v>3323235</v>
      </c>
      <c r="DI4320">
        <v>1</v>
      </c>
      <c r="DJ4320">
        <v>0</v>
      </c>
      <c r="DK4320">
        <v>1</v>
      </c>
      <c r="DL4320">
        <v>0</v>
      </c>
      <c r="DM4320">
        <v>0</v>
      </c>
      <c r="DN4320">
        <v>0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 x14ac:dyDescent="0.3">
      <c r="A4321" t="str">
        <f>"05/01/2025 15:16:32.131"</f>
        <v>05/01/2025 15:16:32.131</v>
      </c>
      <c r="C4321" t="str">
        <f t="shared" si="1698"/>
        <v>FFDFD3C0</v>
      </c>
      <c r="D4321" t="s">
        <v>143</v>
      </c>
      <c r="E4321" t="str">
        <f>"05"</f>
        <v>05</v>
      </c>
      <c r="H4321">
        <v>172</v>
      </c>
      <c r="I4321" t="s">
        <v>141</v>
      </c>
      <c r="J4321" t="s">
        <v>144</v>
      </c>
      <c r="K4321">
        <v>0</v>
      </c>
      <c r="L4321">
        <v>3</v>
      </c>
      <c r="M4321">
        <v>0</v>
      </c>
      <c r="N4321">
        <v>2</v>
      </c>
      <c r="O4321">
        <v>0</v>
      </c>
      <c r="P4321">
        <v>1</v>
      </c>
      <c r="Q4321">
        <v>0</v>
      </c>
      <c r="R4321" t="s">
        <v>127</v>
      </c>
      <c r="S4321" t="str">
        <f t="shared" si="1710"/>
        <v>15:16:31.000</v>
      </c>
      <c r="T4321" t="str">
        <f t="shared" si="1710"/>
        <v>15:16:31.000</v>
      </c>
      <c r="U4321" t="str">
        <f t="shared" si="1699"/>
        <v>A68FCB</v>
      </c>
      <c r="V4321">
        <v>0</v>
      </c>
      <c r="W4321">
        <v>0</v>
      </c>
      <c r="X4321">
        <v>2</v>
      </c>
      <c r="Y4321">
        <v>0</v>
      </c>
      <c r="AA4321">
        <v>1</v>
      </c>
      <c r="AB4321">
        <v>8</v>
      </c>
      <c r="AC4321">
        <v>3</v>
      </c>
      <c r="AD4321">
        <v>0</v>
      </c>
      <c r="AE4321">
        <v>9</v>
      </c>
      <c r="AF4321" t="s">
        <v>138</v>
      </c>
      <c r="AG4321">
        <v>0</v>
      </c>
      <c r="AH4321">
        <v>3</v>
      </c>
      <c r="AI4321">
        <v>2</v>
      </c>
      <c r="AJ4321">
        <v>0</v>
      </c>
      <c r="AK4321" t="s">
        <v>1372</v>
      </c>
      <c r="AL4321">
        <v>39.198059999999998</v>
      </c>
      <c r="AM4321" t="s">
        <v>1373</v>
      </c>
      <c r="AN4321">
        <v>-121.01528399999999</v>
      </c>
      <c r="AO4321">
        <v>25</v>
      </c>
      <c r="AP4321">
        <v>4200</v>
      </c>
      <c r="AQ4321" t="s">
        <v>131</v>
      </c>
      <c r="AR4321">
        <v>35</v>
      </c>
      <c r="AS4321">
        <v>66</v>
      </c>
      <c r="AT4321">
        <v>-384</v>
      </c>
      <c r="BB4321" t="str">
        <f t="shared" si="1700"/>
        <v>1200</v>
      </c>
      <c r="BC4321">
        <v>1</v>
      </c>
      <c r="BD4321" t="str">
        <f t="shared" si="1701"/>
        <v xml:space="preserve">N52156  </v>
      </c>
      <c r="BE4321">
        <v>1</v>
      </c>
      <c r="BG4321">
        <v>0</v>
      </c>
      <c r="BH4321">
        <v>0</v>
      </c>
      <c r="BI4321">
        <v>0</v>
      </c>
      <c r="BJ4321">
        <v>4275</v>
      </c>
      <c r="BK4321">
        <v>75</v>
      </c>
      <c r="BL4321" t="s">
        <v>188</v>
      </c>
      <c r="BM4321">
        <v>1</v>
      </c>
      <c r="BN4321">
        <v>1</v>
      </c>
      <c r="BO4321">
        <v>0</v>
      </c>
      <c r="BP4321">
        <v>0</v>
      </c>
      <c r="BS4321">
        <v>0</v>
      </c>
      <c r="BT4321">
        <v>0</v>
      </c>
      <c r="BU4321">
        <v>0</v>
      </c>
      <c r="CE4321" t="str">
        <f t="shared" si="1711"/>
        <v>15:16:31.893</v>
      </c>
      <c r="CF4321">
        <v>893251692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5</v>
      </c>
      <c r="CY4321">
        <v>7</v>
      </c>
      <c r="CZ4321" t="s">
        <v>133</v>
      </c>
      <c r="DA4321">
        <v>275</v>
      </c>
      <c r="DB4321">
        <v>0</v>
      </c>
      <c r="DC4321" t="s">
        <v>134</v>
      </c>
      <c r="DD4321" t="s">
        <v>135</v>
      </c>
      <c r="DG4321">
        <v>3323235</v>
      </c>
      <c r="DI4321">
        <v>1</v>
      </c>
      <c r="DJ4321">
        <v>0</v>
      </c>
      <c r="DK4321">
        <v>1</v>
      </c>
      <c r="DL4321">
        <v>0</v>
      </c>
      <c r="DM4321">
        <v>0</v>
      </c>
      <c r="DN4321">
        <v>0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 x14ac:dyDescent="0.3">
      <c r="A4322" t="str">
        <f>"05/01/2025 15:16:32.511"</f>
        <v>05/01/2025 15:16:32.511</v>
      </c>
      <c r="C4322" t="str">
        <f t="shared" si="1698"/>
        <v>FFDFD3C0</v>
      </c>
      <c r="D4322" t="s">
        <v>136</v>
      </c>
      <c r="E4322" t="str">
        <f>"20"</f>
        <v>20</v>
      </c>
      <c r="H4322">
        <v>400</v>
      </c>
      <c r="I4322" t="s">
        <v>137</v>
      </c>
      <c r="J4322" t="s">
        <v>138</v>
      </c>
      <c r="K4322">
        <v>0</v>
      </c>
      <c r="L4322">
        <v>3</v>
      </c>
      <c r="M4322">
        <v>0</v>
      </c>
      <c r="N4322">
        <v>2</v>
      </c>
      <c r="O4322">
        <v>0</v>
      </c>
      <c r="P4322">
        <v>1</v>
      </c>
      <c r="Q4322">
        <v>0</v>
      </c>
      <c r="R4322" t="s">
        <v>127</v>
      </c>
      <c r="S4322" t="str">
        <f t="shared" ref="S4322:T4327" si="1712">"15:16:32.000"</f>
        <v>15:16:32.000</v>
      </c>
      <c r="T4322" t="str">
        <f t="shared" si="1712"/>
        <v>15:16:32.000</v>
      </c>
      <c r="U4322" t="str">
        <f t="shared" si="1699"/>
        <v>A68FCB</v>
      </c>
      <c r="V4322">
        <v>0</v>
      </c>
      <c r="W4322">
        <v>0</v>
      </c>
      <c r="X4322">
        <v>2</v>
      </c>
      <c r="Y4322">
        <v>0</v>
      </c>
      <c r="AA4322">
        <v>1</v>
      </c>
      <c r="AB4322">
        <v>8</v>
      </c>
      <c r="AC4322">
        <v>3</v>
      </c>
      <c r="AD4322">
        <v>0</v>
      </c>
      <c r="AE4322">
        <v>9</v>
      </c>
      <c r="AF4322" t="s">
        <v>138</v>
      </c>
      <c r="AG4322">
        <v>0</v>
      </c>
      <c r="AH4322">
        <v>3</v>
      </c>
      <c r="AI4322">
        <v>2</v>
      </c>
      <c r="AJ4322">
        <v>0</v>
      </c>
      <c r="AK4322" t="s">
        <v>1374</v>
      </c>
      <c r="AL4322">
        <v>39.198360000000001</v>
      </c>
      <c r="AM4322" t="s">
        <v>1375</v>
      </c>
      <c r="AN4322">
        <v>-121.01504799999999</v>
      </c>
      <c r="AO4322">
        <v>25</v>
      </c>
      <c r="AP4322">
        <v>4200</v>
      </c>
      <c r="AQ4322" t="s">
        <v>131</v>
      </c>
      <c r="AR4322">
        <v>34</v>
      </c>
      <c r="AS4322">
        <v>67</v>
      </c>
      <c r="AT4322">
        <v>-384</v>
      </c>
      <c r="BB4322" t="str">
        <f t="shared" si="1700"/>
        <v>1200</v>
      </c>
      <c r="BC4322">
        <v>1</v>
      </c>
      <c r="BD4322" t="str">
        <f t="shared" si="1701"/>
        <v xml:space="preserve">N52156  </v>
      </c>
      <c r="BE4322">
        <v>1</v>
      </c>
      <c r="BG4322">
        <v>0</v>
      </c>
      <c r="BH4322">
        <v>0</v>
      </c>
      <c r="BI4322">
        <v>0</v>
      </c>
      <c r="BJ4322">
        <v>4275</v>
      </c>
      <c r="BK4322">
        <v>75</v>
      </c>
      <c r="BL4322" t="s">
        <v>188</v>
      </c>
      <c r="BM4322">
        <v>1</v>
      </c>
      <c r="BN4322">
        <v>1</v>
      </c>
      <c r="BO4322">
        <v>0</v>
      </c>
      <c r="BP4322">
        <v>0</v>
      </c>
      <c r="BS4322">
        <v>0</v>
      </c>
      <c r="BT4322">
        <v>0</v>
      </c>
      <c r="BU4322">
        <v>0</v>
      </c>
      <c r="CE4322" t="str">
        <f t="shared" ref="CE4322:CE4327" si="1713">"15:16:32.307"</f>
        <v>15:16:32.307</v>
      </c>
      <c r="CF4322">
        <v>307000267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5</v>
      </c>
      <c r="CY4322">
        <v>7</v>
      </c>
      <c r="CZ4322" t="s">
        <v>133</v>
      </c>
      <c r="DA4322">
        <v>275</v>
      </c>
      <c r="DB4322">
        <v>0</v>
      </c>
      <c r="DC4322" t="s">
        <v>134</v>
      </c>
      <c r="DD4322" t="s">
        <v>135</v>
      </c>
      <c r="DG4322">
        <v>3323238</v>
      </c>
      <c r="DI4322">
        <v>1</v>
      </c>
      <c r="DJ4322">
        <v>0</v>
      </c>
      <c r="DK4322">
        <v>0</v>
      </c>
      <c r="DL4322">
        <v>0</v>
      </c>
      <c r="DM4322">
        <v>0</v>
      </c>
      <c r="DN4322">
        <v>0</v>
      </c>
      <c r="DO4322">
        <v>0</v>
      </c>
      <c r="DP4322">
        <v>0</v>
      </c>
      <c r="DQ4322">
        <v>0</v>
      </c>
      <c r="DR4322">
        <v>0</v>
      </c>
      <c r="DS4322">
        <v>0</v>
      </c>
    </row>
    <row r="4323" spans="1:123" x14ac:dyDescent="0.3">
      <c r="A4323" t="str">
        <f>"05/01/2025 15:16:32.529"</f>
        <v>05/01/2025 15:16:32.529</v>
      </c>
      <c r="C4323" t="str">
        <f t="shared" si="1698"/>
        <v>FFDFD3C0</v>
      </c>
      <c r="D4323" t="s">
        <v>140</v>
      </c>
      <c r="E4323" t="str">
        <f>"13"</f>
        <v>13</v>
      </c>
      <c r="F4323">
        <v>1019</v>
      </c>
      <c r="G4323" t="s">
        <v>141</v>
      </c>
      <c r="J4323" t="s">
        <v>142</v>
      </c>
      <c r="K4323">
        <v>0</v>
      </c>
      <c r="L4323">
        <v>3</v>
      </c>
      <c r="M4323">
        <v>0</v>
      </c>
      <c r="N4323">
        <v>2</v>
      </c>
      <c r="O4323">
        <v>0</v>
      </c>
      <c r="P4323">
        <v>1</v>
      </c>
      <c r="Q4323">
        <v>0</v>
      </c>
      <c r="R4323" t="s">
        <v>127</v>
      </c>
      <c r="S4323" t="str">
        <f t="shared" si="1712"/>
        <v>15:16:32.000</v>
      </c>
      <c r="T4323" t="str">
        <f t="shared" si="1712"/>
        <v>15:16:32.000</v>
      </c>
      <c r="U4323" t="str">
        <f t="shared" si="1699"/>
        <v>A68FCB</v>
      </c>
      <c r="V4323">
        <v>0</v>
      </c>
      <c r="W4323">
        <v>0</v>
      </c>
      <c r="X4323">
        <v>2</v>
      </c>
      <c r="Y4323">
        <v>0</v>
      </c>
      <c r="AA4323">
        <v>1</v>
      </c>
      <c r="AB4323">
        <v>8</v>
      </c>
      <c r="AC4323">
        <v>3</v>
      </c>
      <c r="AD4323">
        <v>0</v>
      </c>
      <c r="AE4323">
        <v>9</v>
      </c>
      <c r="AF4323" t="s">
        <v>138</v>
      </c>
      <c r="AG4323">
        <v>0</v>
      </c>
      <c r="AH4323">
        <v>3</v>
      </c>
      <c r="AI4323">
        <v>2</v>
      </c>
      <c r="AJ4323">
        <v>0</v>
      </c>
      <c r="AK4323" t="s">
        <v>1374</v>
      </c>
      <c r="AL4323">
        <v>39.198360000000001</v>
      </c>
      <c r="AM4323" t="s">
        <v>1375</v>
      </c>
      <c r="AN4323">
        <v>-121.01504799999999</v>
      </c>
      <c r="AO4323">
        <v>25</v>
      </c>
      <c r="AP4323">
        <v>4200</v>
      </c>
      <c r="AQ4323" t="s">
        <v>131</v>
      </c>
      <c r="AR4323">
        <v>34</v>
      </c>
      <c r="AS4323">
        <v>67</v>
      </c>
      <c r="AT4323">
        <v>-384</v>
      </c>
      <c r="BB4323" t="str">
        <f t="shared" si="1700"/>
        <v>1200</v>
      </c>
      <c r="BC4323">
        <v>1</v>
      </c>
      <c r="BD4323" t="str">
        <f t="shared" si="1701"/>
        <v xml:space="preserve">N52156  </v>
      </c>
      <c r="BE4323">
        <v>1</v>
      </c>
      <c r="BG4323">
        <v>0</v>
      </c>
      <c r="BH4323">
        <v>0</v>
      </c>
      <c r="BI4323">
        <v>0</v>
      </c>
      <c r="BJ4323">
        <v>4275</v>
      </c>
      <c r="BK4323">
        <v>75</v>
      </c>
      <c r="BL4323" t="s">
        <v>188</v>
      </c>
      <c r="BM4323">
        <v>1</v>
      </c>
      <c r="BN4323">
        <v>1</v>
      </c>
      <c r="BO4323">
        <v>0</v>
      </c>
      <c r="BP4323">
        <v>0</v>
      </c>
      <c r="BS4323">
        <v>0</v>
      </c>
      <c r="BT4323">
        <v>0</v>
      </c>
      <c r="BU4323">
        <v>0</v>
      </c>
      <c r="CE4323" t="str">
        <f t="shared" si="1713"/>
        <v>15:16:32.307</v>
      </c>
      <c r="CF4323">
        <v>307000267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5</v>
      </c>
      <c r="CY4323">
        <v>7</v>
      </c>
      <c r="CZ4323" t="s">
        <v>133</v>
      </c>
      <c r="DA4323">
        <v>275</v>
      </c>
      <c r="DB4323">
        <v>0</v>
      </c>
      <c r="DC4323" t="s">
        <v>134</v>
      </c>
      <c r="DD4323" t="s">
        <v>135</v>
      </c>
      <c r="DG4323">
        <v>3323238</v>
      </c>
      <c r="DI4323">
        <v>1</v>
      </c>
      <c r="DJ4323">
        <v>0</v>
      </c>
      <c r="DK4323">
        <v>1</v>
      </c>
      <c r="DL4323">
        <v>0</v>
      </c>
      <c r="DM4323">
        <v>0</v>
      </c>
      <c r="DN4323">
        <v>0</v>
      </c>
      <c r="DO4323">
        <v>0</v>
      </c>
      <c r="DP4323">
        <v>0</v>
      </c>
      <c r="DQ4323">
        <v>0</v>
      </c>
      <c r="DR4323">
        <v>0</v>
      </c>
      <c r="DS4323">
        <v>0</v>
      </c>
    </row>
    <row r="4324" spans="1:123" x14ac:dyDescent="0.3">
      <c r="A4324" t="str">
        <f>"05/01/2025 15:16:32.532"</f>
        <v>05/01/2025 15:16:32.532</v>
      </c>
      <c r="C4324" t="str">
        <f t="shared" si="1698"/>
        <v>FFDFD3C0</v>
      </c>
      <c r="D4324" t="s">
        <v>143</v>
      </c>
      <c r="E4324" t="str">
        <f>"05"</f>
        <v>05</v>
      </c>
      <c r="H4324">
        <v>172</v>
      </c>
      <c r="I4324" t="s">
        <v>141</v>
      </c>
      <c r="J4324" t="s">
        <v>144</v>
      </c>
      <c r="K4324">
        <v>0</v>
      </c>
      <c r="L4324">
        <v>3</v>
      </c>
      <c r="M4324">
        <v>0</v>
      </c>
      <c r="N4324">
        <v>2</v>
      </c>
      <c r="O4324">
        <v>0</v>
      </c>
      <c r="P4324">
        <v>1</v>
      </c>
      <c r="Q4324">
        <v>0</v>
      </c>
      <c r="R4324" t="s">
        <v>127</v>
      </c>
      <c r="S4324" t="str">
        <f t="shared" si="1712"/>
        <v>15:16:32.000</v>
      </c>
      <c r="T4324" t="str">
        <f t="shared" si="1712"/>
        <v>15:16:32.000</v>
      </c>
      <c r="U4324" t="str">
        <f t="shared" si="1699"/>
        <v>A68FCB</v>
      </c>
      <c r="V4324">
        <v>0</v>
      </c>
      <c r="W4324">
        <v>0</v>
      </c>
      <c r="X4324">
        <v>2</v>
      </c>
      <c r="Y4324">
        <v>0</v>
      </c>
      <c r="AA4324">
        <v>1</v>
      </c>
      <c r="AB4324">
        <v>8</v>
      </c>
      <c r="AC4324">
        <v>3</v>
      </c>
      <c r="AD4324">
        <v>0</v>
      </c>
      <c r="AE4324">
        <v>9</v>
      </c>
      <c r="AF4324" t="s">
        <v>138</v>
      </c>
      <c r="AG4324">
        <v>0</v>
      </c>
      <c r="AH4324">
        <v>3</v>
      </c>
      <c r="AI4324">
        <v>2</v>
      </c>
      <c r="AJ4324">
        <v>0</v>
      </c>
      <c r="AK4324" t="s">
        <v>1374</v>
      </c>
      <c r="AL4324">
        <v>39.198360000000001</v>
      </c>
      <c r="AM4324" t="s">
        <v>1375</v>
      </c>
      <c r="AN4324">
        <v>-121.01504799999999</v>
      </c>
      <c r="AO4324">
        <v>25</v>
      </c>
      <c r="AP4324">
        <v>4200</v>
      </c>
      <c r="AQ4324" t="s">
        <v>131</v>
      </c>
      <c r="AR4324">
        <v>34</v>
      </c>
      <c r="AS4324">
        <v>67</v>
      </c>
      <c r="AT4324">
        <v>-384</v>
      </c>
      <c r="BB4324" t="str">
        <f t="shared" si="1700"/>
        <v>1200</v>
      </c>
      <c r="BC4324">
        <v>1</v>
      </c>
      <c r="BD4324" t="str">
        <f t="shared" si="1701"/>
        <v xml:space="preserve">N52156  </v>
      </c>
      <c r="BE4324">
        <v>1</v>
      </c>
      <c r="BG4324">
        <v>0</v>
      </c>
      <c r="BH4324">
        <v>0</v>
      </c>
      <c r="BI4324">
        <v>0</v>
      </c>
      <c r="BJ4324">
        <v>4275</v>
      </c>
      <c r="BK4324">
        <v>75</v>
      </c>
      <c r="BL4324" t="s">
        <v>188</v>
      </c>
      <c r="BM4324">
        <v>1</v>
      </c>
      <c r="BN4324">
        <v>1</v>
      </c>
      <c r="BO4324">
        <v>0</v>
      </c>
      <c r="BP4324">
        <v>0</v>
      </c>
      <c r="BS4324">
        <v>0</v>
      </c>
      <c r="BT4324">
        <v>0</v>
      </c>
      <c r="BU4324">
        <v>0</v>
      </c>
      <c r="CE4324" t="str">
        <f t="shared" si="1713"/>
        <v>15:16:32.307</v>
      </c>
      <c r="CF4324">
        <v>307000267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5</v>
      </c>
      <c r="CY4324">
        <v>7</v>
      </c>
      <c r="CZ4324" t="s">
        <v>133</v>
      </c>
      <c r="DA4324">
        <v>275</v>
      </c>
      <c r="DB4324">
        <v>0</v>
      </c>
      <c r="DC4324" t="s">
        <v>134</v>
      </c>
      <c r="DD4324" t="s">
        <v>135</v>
      </c>
      <c r="DG4324">
        <v>3323238</v>
      </c>
      <c r="DI4324">
        <v>1</v>
      </c>
      <c r="DJ4324">
        <v>0</v>
      </c>
      <c r="DK4324">
        <v>1</v>
      </c>
      <c r="DL4324">
        <v>0</v>
      </c>
      <c r="DM4324">
        <v>0</v>
      </c>
      <c r="DN4324">
        <v>0</v>
      </c>
      <c r="DO4324">
        <v>0</v>
      </c>
      <c r="DP4324">
        <v>0</v>
      </c>
      <c r="DQ4324">
        <v>0</v>
      </c>
      <c r="DR4324">
        <v>0</v>
      </c>
      <c r="DS4324">
        <v>0</v>
      </c>
    </row>
    <row r="4325" spans="1:123" x14ac:dyDescent="0.3">
      <c r="A4325" t="str">
        <f>"05/01/2025 15:16:32.530"</f>
        <v>05/01/2025 15:16:32.530</v>
      </c>
      <c r="C4325" t="str">
        <f t="shared" si="1698"/>
        <v>FFDFD3C0</v>
      </c>
      <c r="D4325" t="s">
        <v>124</v>
      </c>
      <c r="E4325" t="str">
        <f>"06"</f>
        <v>06</v>
      </c>
      <c r="F4325">
        <v>2006</v>
      </c>
      <c r="G4325" t="s">
        <v>125</v>
      </c>
      <c r="J4325" t="s">
        <v>126</v>
      </c>
      <c r="K4325">
        <v>0</v>
      </c>
      <c r="L4325">
        <v>3</v>
      </c>
      <c r="M4325">
        <v>0</v>
      </c>
      <c r="N4325">
        <v>2</v>
      </c>
      <c r="O4325">
        <v>0</v>
      </c>
      <c r="P4325">
        <v>1</v>
      </c>
      <c r="Q4325">
        <v>0</v>
      </c>
      <c r="R4325" t="s">
        <v>127</v>
      </c>
      <c r="S4325" t="str">
        <f t="shared" si="1712"/>
        <v>15:16:32.000</v>
      </c>
      <c r="T4325" t="str">
        <f t="shared" si="1712"/>
        <v>15:16:32.000</v>
      </c>
      <c r="U4325" t="str">
        <f t="shared" si="1699"/>
        <v>A68FCB</v>
      </c>
      <c r="V4325">
        <v>0</v>
      </c>
      <c r="W4325">
        <v>0</v>
      </c>
      <c r="X4325">
        <v>2</v>
      </c>
      <c r="Y4325">
        <v>0</v>
      </c>
      <c r="AA4325">
        <v>1</v>
      </c>
      <c r="AB4325">
        <v>8</v>
      </c>
      <c r="AC4325">
        <v>3</v>
      </c>
      <c r="AD4325">
        <v>0</v>
      </c>
      <c r="AE4325">
        <v>9</v>
      </c>
      <c r="AF4325" t="s">
        <v>138</v>
      </c>
      <c r="AG4325">
        <v>0</v>
      </c>
      <c r="AH4325">
        <v>3</v>
      </c>
      <c r="AI4325">
        <v>2</v>
      </c>
      <c r="AJ4325">
        <v>0</v>
      </c>
      <c r="AK4325" t="s">
        <v>1374</v>
      </c>
      <c r="AL4325">
        <v>39.198360000000001</v>
      </c>
      <c r="AM4325" t="s">
        <v>1375</v>
      </c>
      <c r="AN4325">
        <v>-121.01504799999999</v>
      </c>
      <c r="AO4325">
        <v>25</v>
      </c>
      <c r="AP4325">
        <v>4200</v>
      </c>
      <c r="AQ4325" t="s">
        <v>131</v>
      </c>
      <c r="AR4325">
        <v>34</v>
      </c>
      <c r="AS4325">
        <v>67</v>
      </c>
      <c r="AT4325">
        <v>-384</v>
      </c>
      <c r="BB4325" t="str">
        <f t="shared" si="1700"/>
        <v>1200</v>
      </c>
      <c r="BC4325">
        <v>1</v>
      </c>
      <c r="BD4325" t="str">
        <f t="shared" si="1701"/>
        <v xml:space="preserve">N52156  </v>
      </c>
      <c r="BE4325">
        <v>1</v>
      </c>
      <c r="BG4325">
        <v>0</v>
      </c>
      <c r="BH4325">
        <v>0</v>
      </c>
      <c r="BI4325">
        <v>0</v>
      </c>
      <c r="BJ4325">
        <v>4275</v>
      </c>
      <c r="BK4325">
        <v>75</v>
      </c>
      <c r="BL4325" t="s">
        <v>188</v>
      </c>
      <c r="BM4325">
        <v>1</v>
      </c>
      <c r="BN4325">
        <v>1</v>
      </c>
      <c r="BO4325">
        <v>0</v>
      </c>
      <c r="BP4325">
        <v>0</v>
      </c>
      <c r="BS4325">
        <v>0</v>
      </c>
      <c r="BT4325">
        <v>0</v>
      </c>
      <c r="BU4325">
        <v>0</v>
      </c>
      <c r="CE4325" t="str">
        <f t="shared" si="1713"/>
        <v>15:16:32.307</v>
      </c>
      <c r="CF4325">
        <v>307000267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5</v>
      </c>
      <c r="CY4325">
        <v>7</v>
      </c>
      <c r="CZ4325" t="s">
        <v>133</v>
      </c>
      <c r="DA4325">
        <v>275</v>
      </c>
      <c r="DB4325">
        <v>0</v>
      </c>
      <c r="DC4325" t="s">
        <v>134</v>
      </c>
      <c r="DD4325" t="s">
        <v>135</v>
      </c>
      <c r="DG4325">
        <v>3323238</v>
      </c>
      <c r="DI4325">
        <v>1</v>
      </c>
      <c r="DJ4325">
        <v>0</v>
      </c>
      <c r="DK4325">
        <v>1</v>
      </c>
      <c r="DL4325">
        <v>0</v>
      </c>
      <c r="DM4325">
        <v>0</v>
      </c>
      <c r="DN4325">
        <v>0</v>
      </c>
      <c r="DO4325">
        <v>0</v>
      </c>
      <c r="DP4325">
        <v>0</v>
      </c>
      <c r="DQ4325">
        <v>0</v>
      </c>
      <c r="DR4325">
        <v>0</v>
      </c>
      <c r="DS4325">
        <v>0</v>
      </c>
    </row>
    <row r="4326" spans="1:123" x14ac:dyDescent="0.3">
      <c r="A4326" t="str">
        <f>"05/01/2025 15:16:32.546"</f>
        <v>05/01/2025 15:16:32.546</v>
      </c>
      <c r="C4326" t="str">
        <f t="shared" si="1698"/>
        <v>FFDFD3C0</v>
      </c>
      <c r="D4326" t="s">
        <v>145</v>
      </c>
      <c r="E4326" t="str">
        <f>"09"</f>
        <v>09</v>
      </c>
      <c r="H4326">
        <v>51</v>
      </c>
      <c r="I4326" t="s">
        <v>147</v>
      </c>
      <c r="J4326" t="s">
        <v>138</v>
      </c>
      <c r="K4326">
        <v>0</v>
      </c>
      <c r="L4326">
        <v>3</v>
      </c>
      <c r="M4326">
        <v>0</v>
      </c>
      <c r="N4326">
        <v>2</v>
      </c>
      <c r="O4326">
        <v>0</v>
      </c>
      <c r="P4326">
        <v>1</v>
      </c>
      <c r="Q4326">
        <v>0</v>
      </c>
      <c r="R4326" t="s">
        <v>127</v>
      </c>
      <c r="S4326" t="str">
        <f t="shared" si="1712"/>
        <v>15:16:32.000</v>
      </c>
      <c r="T4326" t="str">
        <f t="shared" si="1712"/>
        <v>15:16:32.000</v>
      </c>
      <c r="U4326" t="str">
        <f t="shared" si="1699"/>
        <v>A68FCB</v>
      </c>
      <c r="V4326">
        <v>0</v>
      </c>
      <c r="W4326">
        <v>0</v>
      </c>
      <c r="X4326">
        <v>2</v>
      </c>
      <c r="Y4326">
        <v>0</v>
      </c>
      <c r="AA4326">
        <v>1</v>
      </c>
      <c r="AB4326">
        <v>8</v>
      </c>
      <c r="AC4326">
        <v>3</v>
      </c>
      <c r="AD4326">
        <v>0</v>
      </c>
      <c r="AE4326">
        <v>9</v>
      </c>
      <c r="AF4326" t="s">
        <v>138</v>
      </c>
      <c r="AG4326">
        <v>0</v>
      </c>
      <c r="AH4326">
        <v>3</v>
      </c>
      <c r="AI4326">
        <v>2</v>
      </c>
      <c r="AJ4326">
        <v>0</v>
      </c>
      <c r="AK4326" t="s">
        <v>1374</v>
      </c>
      <c r="AL4326">
        <v>39.198360000000001</v>
      </c>
      <c r="AM4326" t="s">
        <v>1375</v>
      </c>
      <c r="AN4326">
        <v>-121.01504799999999</v>
      </c>
      <c r="AO4326">
        <v>25</v>
      </c>
      <c r="AP4326">
        <v>4200</v>
      </c>
      <c r="AQ4326" t="s">
        <v>131</v>
      </c>
      <c r="AR4326">
        <v>34</v>
      </c>
      <c r="AS4326">
        <v>67</v>
      </c>
      <c r="AT4326">
        <v>-384</v>
      </c>
      <c r="BB4326" t="str">
        <f t="shared" si="1700"/>
        <v>1200</v>
      </c>
      <c r="BC4326">
        <v>1</v>
      </c>
      <c r="BD4326" t="str">
        <f t="shared" si="1701"/>
        <v xml:space="preserve">N52156  </v>
      </c>
      <c r="BE4326">
        <v>1</v>
      </c>
      <c r="BG4326">
        <v>0</v>
      </c>
      <c r="BH4326">
        <v>0</v>
      </c>
      <c r="BI4326">
        <v>0</v>
      </c>
      <c r="BJ4326">
        <v>4275</v>
      </c>
      <c r="BK4326">
        <v>75</v>
      </c>
      <c r="BL4326" t="s">
        <v>188</v>
      </c>
      <c r="BM4326">
        <v>1</v>
      </c>
      <c r="BN4326">
        <v>1</v>
      </c>
      <c r="BO4326">
        <v>0</v>
      </c>
      <c r="BP4326">
        <v>0</v>
      </c>
      <c r="BS4326">
        <v>0</v>
      </c>
      <c r="BT4326">
        <v>0</v>
      </c>
      <c r="BU4326">
        <v>0</v>
      </c>
      <c r="CE4326" t="str">
        <f t="shared" si="1713"/>
        <v>15:16:32.307</v>
      </c>
      <c r="CF4326">
        <v>307000267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5</v>
      </c>
      <c r="CY4326">
        <v>7</v>
      </c>
      <c r="CZ4326" t="s">
        <v>133</v>
      </c>
      <c r="DA4326">
        <v>275</v>
      </c>
      <c r="DB4326">
        <v>0</v>
      </c>
      <c r="DC4326" t="s">
        <v>134</v>
      </c>
      <c r="DD4326" t="s">
        <v>135</v>
      </c>
      <c r="DG4326">
        <v>3323238</v>
      </c>
      <c r="DI4326">
        <v>1</v>
      </c>
      <c r="DJ4326">
        <v>0</v>
      </c>
      <c r="DK4326">
        <v>1</v>
      </c>
      <c r="DL4326">
        <v>0</v>
      </c>
      <c r="DM4326">
        <v>0</v>
      </c>
      <c r="DN4326">
        <v>0</v>
      </c>
      <c r="DO4326">
        <v>0</v>
      </c>
      <c r="DP4326">
        <v>0</v>
      </c>
      <c r="DQ4326">
        <v>0</v>
      </c>
      <c r="DR4326">
        <v>0</v>
      </c>
      <c r="DS4326">
        <v>0</v>
      </c>
    </row>
    <row r="4327" spans="1:123" x14ac:dyDescent="0.3">
      <c r="A4327" t="str">
        <f>"05/01/2025 15:16:32.549"</f>
        <v>05/01/2025 15:16:32.549</v>
      </c>
      <c r="C4327" t="str">
        <f t="shared" si="1698"/>
        <v>FFDFD3C0</v>
      </c>
      <c r="D4327" t="s">
        <v>145</v>
      </c>
      <c r="E4327" t="str">
        <f>"05"</f>
        <v>05</v>
      </c>
      <c r="H4327">
        <v>47</v>
      </c>
      <c r="I4327" t="s">
        <v>146</v>
      </c>
      <c r="J4327" t="s">
        <v>138</v>
      </c>
      <c r="K4327">
        <v>0</v>
      </c>
      <c r="L4327">
        <v>3</v>
      </c>
      <c r="M4327">
        <v>0</v>
      </c>
      <c r="N4327">
        <v>2</v>
      </c>
      <c r="O4327">
        <v>0</v>
      </c>
      <c r="P4327">
        <v>1</v>
      </c>
      <c r="Q4327">
        <v>0</v>
      </c>
      <c r="R4327" t="s">
        <v>127</v>
      </c>
      <c r="S4327" t="str">
        <f t="shared" si="1712"/>
        <v>15:16:32.000</v>
      </c>
      <c r="T4327" t="str">
        <f t="shared" si="1712"/>
        <v>15:16:32.000</v>
      </c>
      <c r="U4327" t="str">
        <f t="shared" si="1699"/>
        <v>A68FCB</v>
      </c>
      <c r="V4327">
        <v>0</v>
      </c>
      <c r="W4327">
        <v>0</v>
      </c>
      <c r="X4327">
        <v>2</v>
      </c>
      <c r="Y4327">
        <v>0</v>
      </c>
      <c r="AA4327">
        <v>1</v>
      </c>
      <c r="AB4327">
        <v>8</v>
      </c>
      <c r="AC4327">
        <v>3</v>
      </c>
      <c r="AD4327">
        <v>0</v>
      </c>
      <c r="AE4327">
        <v>9</v>
      </c>
      <c r="AF4327" t="s">
        <v>138</v>
      </c>
      <c r="AG4327">
        <v>0</v>
      </c>
      <c r="AH4327">
        <v>3</v>
      </c>
      <c r="AI4327">
        <v>2</v>
      </c>
      <c r="AJ4327">
        <v>0</v>
      </c>
      <c r="AK4327" t="s">
        <v>1374</v>
      </c>
      <c r="AL4327">
        <v>39.198360000000001</v>
      </c>
      <c r="AM4327" t="s">
        <v>1375</v>
      </c>
      <c r="AN4327">
        <v>-121.01504799999999</v>
      </c>
      <c r="AO4327">
        <v>25</v>
      </c>
      <c r="AP4327">
        <v>4200</v>
      </c>
      <c r="AQ4327" t="s">
        <v>131</v>
      </c>
      <c r="AR4327">
        <v>34</v>
      </c>
      <c r="AS4327">
        <v>67</v>
      </c>
      <c r="AT4327">
        <v>-384</v>
      </c>
      <c r="BB4327" t="str">
        <f t="shared" si="1700"/>
        <v>1200</v>
      </c>
      <c r="BC4327">
        <v>1</v>
      </c>
      <c r="BD4327" t="str">
        <f t="shared" si="1701"/>
        <v xml:space="preserve">N52156  </v>
      </c>
      <c r="BE4327">
        <v>1</v>
      </c>
      <c r="BG4327">
        <v>0</v>
      </c>
      <c r="BH4327">
        <v>0</v>
      </c>
      <c r="BI4327">
        <v>0</v>
      </c>
      <c r="BJ4327">
        <v>4275</v>
      </c>
      <c r="BK4327">
        <v>75</v>
      </c>
      <c r="BL4327" t="s">
        <v>188</v>
      </c>
      <c r="BM4327">
        <v>1</v>
      </c>
      <c r="BN4327">
        <v>1</v>
      </c>
      <c r="BO4327">
        <v>0</v>
      </c>
      <c r="BP4327">
        <v>0</v>
      </c>
      <c r="BS4327">
        <v>0</v>
      </c>
      <c r="BT4327">
        <v>0</v>
      </c>
      <c r="BU4327">
        <v>0</v>
      </c>
      <c r="CE4327" t="str">
        <f t="shared" si="1713"/>
        <v>15:16:32.307</v>
      </c>
      <c r="CF4327">
        <v>307000267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5</v>
      </c>
      <c r="CY4327">
        <v>7</v>
      </c>
      <c r="CZ4327" t="s">
        <v>133</v>
      </c>
      <c r="DA4327">
        <v>275</v>
      </c>
      <c r="DB4327">
        <v>0</v>
      </c>
      <c r="DC4327" t="s">
        <v>134</v>
      </c>
      <c r="DD4327" t="s">
        <v>135</v>
      </c>
      <c r="DG4327">
        <v>3323238</v>
      </c>
      <c r="DI4327">
        <v>1</v>
      </c>
      <c r="DJ4327">
        <v>0</v>
      </c>
      <c r="DK4327">
        <v>1</v>
      </c>
      <c r="DL4327">
        <v>0</v>
      </c>
      <c r="DM4327">
        <v>0</v>
      </c>
      <c r="DN4327">
        <v>0</v>
      </c>
      <c r="DO4327">
        <v>0</v>
      </c>
      <c r="DP4327">
        <v>0</v>
      </c>
      <c r="DQ4327">
        <v>0</v>
      </c>
      <c r="DR4327">
        <v>0</v>
      </c>
      <c r="DS4327">
        <v>0</v>
      </c>
    </row>
    <row r="4328" spans="1:123" x14ac:dyDescent="0.3">
      <c r="A4328" t="str">
        <f>"05/01/2025 15:16:33.430"</f>
        <v>05/01/2025 15:16:33.430</v>
      </c>
      <c r="C4328" t="str">
        <f t="shared" si="1698"/>
        <v>FFDFD3C0</v>
      </c>
      <c r="D4328" t="s">
        <v>140</v>
      </c>
      <c r="E4328" t="str">
        <f>"13"</f>
        <v>13</v>
      </c>
      <c r="F4328">
        <v>1019</v>
      </c>
      <c r="G4328" t="s">
        <v>141</v>
      </c>
      <c r="J4328" t="s">
        <v>142</v>
      </c>
      <c r="K4328">
        <v>0</v>
      </c>
      <c r="L4328">
        <v>3</v>
      </c>
      <c r="M4328">
        <v>0</v>
      </c>
      <c r="N4328">
        <v>2</v>
      </c>
      <c r="O4328">
        <v>0</v>
      </c>
      <c r="P4328">
        <v>1</v>
      </c>
      <c r="Q4328">
        <v>0</v>
      </c>
      <c r="R4328" t="s">
        <v>127</v>
      </c>
      <c r="S4328" t="str">
        <f t="shared" ref="S4328:T4333" si="1714">"15:16:33.000"</f>
        <v>15:16:33.000</v>
      </c>
      <c r="T4328" t="str">
        <f t="shared" si="1714"/>
        <v>15:16:33.000</v>
      </c>
      <c r="U4328" t="str">
        <f t="shared" si="1699"/>
        <v>A68FCB</v>
      </c>
      <c r="V4328">
        <v>0</v>
      </c>
      <c r="W4328">
        <v>0</v>
      </c>
      <c r="X4328">
        <v>2</v>
      </c>
      <c r="Y4328">
        <v>0</v>
      </c>
      <c r="AA4328">
        <v>1</v>
      </c>
      <c r="AB4328">
        <v>8</v>
      </c>
      <c r="AC4328">
        <v>3</v>
      </c>
      <c r="AD4328">
        <v>0</v>
      </c>
      <c r="AE4328">
        <v>9</v>
      </c>
      <c r="AF4328" t="s">
        <v>138</v>
      </c>
      <c r="AG4328">
        <v>0</v>
      </c>
      <c r="AH4328">
        <v>3</v>
      </c>
      <c r="AI4328">
        <v>2</v>
      </c>
      <c r="AJ4328">
        <v>0</v>
      </c>
      <c r="AK4328" t="s">
        <v>1376</v>
      </c>
      <c r="AL4328">
        <v>39.198661000000001</v>
      </c>
      <c r="AM4328" t="s">
        <v>1377</v>
      </c>
      <c r="AN4328">
        <v>-121.014855</v>
      </c>
      <c r="AO4328">
        <v>25</v>
      </c>
      <c r="AP4328">
        <v>4200</v>
      </c>
      <c r="AQ4328" t="s">
        <v>131</v>
      </c>
      <c r="AR4328">
        <v>35</v>
      </c>
      <c r="AS4328">
        <v>68</v>
      </c>
      <c r="AT4328">
        <v>-320</v>
      </c>
      <c r="BB4328" t="str">
        <f t="shared" si="1700"/>
        <v>1200</v>
      </c>
      <c r="BC4328">
        <v>1</v>
      </c>
      <c r="BD4328" t="str">
        <f t="shared" si="1701"/>
        <v xml:space="preserve">N52156  </v>
      </c>
      <c r="BE4328">
        <v>1</v>
      </c>
      <c r="BG4328">
        <v>0</v>
      </c>
      <c r="BH4328">
        <v>0</v>
      </c>
      <c r="BI4328">
        <v>0</v>
      </c>
      <c r="BJ4328">
        <v>4275</v>
      </c>
      <c r="BK4328">
        <v>75</v>
      </c>
      <c r="BL4328" t="s">
        <v>188</v>
      </c>
      <c r="BM4328">
        <v>1</v>
      </c>
      <c r="BN4328">
        <v>1</v>
      </c>
      <c r="BO4328">
        <v>0</v>
      </c>
      <c r="BP4328">
        <v>0</v>
      </c>
      <c r="BS4328">
        <v>0</v>
      </c>
      <c r="BT4328">
        <v>0</v>
      </c>
      <c r="BU4328">
        <v>0</v>
      </c>
      <c r="CE4328" t="str">
        <f t="shared" ref="CE4328:CE4333" si="1715">"15:16:33.230"</f>
        <v>15:16:33.230</v>
      </c>
      <c r="CF4328">
        <v>229750157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4</v>
      </c>
      <c r="CY4328">
        <v>7</v>
      </c>
      <c r="CZ4328" t="s">
        <v>133</v>
      </c>
      <c r="DA4328">
        <v>275</v>
      </c>
      <c r="DB4328">
        <v>0</v>
      </c>
      <c r="DC4328" t="s">
        <v>134</v>
      </c>
      <c r="DD4328" t="s">
        <v>135</v>
      </c>
      <c r="DG4328">
        <v>3323241</v>
      </c>
      <c r="DI4328">
        <v>1</v>
      </c>
      <c r="DJ4328">
        <v>0</v>
      </c>
      <c r="DK4328">
        <v>0</v>
      </c>
      <c r="DL4328">
        <v>0</v>
      </c>
      <c r="DM4328">
        <v>0</v>
      </c>
      <c r="DN4328">
        <v>0</v>
      </c>
      <c r="DO4328">
        <v>0</v>
      </c>
      <c r="DP4328">
        <v>0</v>
      </c>
      <c r="DQ4328">
        <v>0</v>
      </c>
      <c r="DR4328">
        <v>0</v>
      </c>
      <c r="DS4328">
        <v>0</v>
      </c>
    </row>
    <row r="4329" spans="1:123" x14ac:dyDescent="0.3">
      <c r="A4329" t="str">
        <f>"05/01/2025 15:16:33.431"</f>
        <v>05/01/2025 15:16:33.431</v>
      </c>
      <c r="C4329" t="str">
        <f t="shared" si="1698"/>
        <v>FFDFD3C0</v>
      </c>
      <c r="D4329" t="s">
        <v>124</v>
      </c>
      <c r="E4329" t="str">
        <f>"06"</f>
        <v>06</v>
      </c>
      <c r="F4329">
        <v>2006</v>
      </c>
      <c r="G4329" t="s">
        <v>125</v>
      </c>
      <c r="J4329" t="s">
        <v>126</v>
      </c>
      <c r="K4329">
        <v>0</v>
      </c>
      <c r="L4329">
        <v>3</v>
      </c>
      <c r="M4329">
        <v>0</v>
      </c>
      <c r="N4329">
        <v>2</v>
      </c>
      <c r="O4329">
        <v>0</v>
      </c>
      <c r="P4329">
        <v>1</v>
      </c>
      <c r="Q4329">
        <v>0</v>
      </c>
      <c r="R4329" t="s">
        <v>127</v>
      </c>
      <c r="S4329" t="str">
        <f t="shared" si="1714"/>
        <v>15:16:33.000</v>
      </c>
      <c r="T4329" t="str">
        <f t="shared" si="1714"/>
        <v>15:16:33.000</v>
      </c>
      <c r="U4329" t="str">
        <f t="shared" si="1699"/>
        <v>A68FCB</v>
      </c>
      <c r="V4329">
        <v>0</v>
      </c>
      <c r="W4329">
        <v>0</v>
      </c>
      <c r="X4329">
        <v>2</v>
      </c>
      <c r="Y4329">
        <v>0</v>
      </c>
      <c r="AA4329">
        <v>1</v>
      </c>
      <c r="AB4329">
        <v>8</v>
      </c>
      <c r="AC4329">
        <v>3</v>
      </c>
      <c r="AD4329">
        <v>0</v>
      </c>
      <c r="AE4329">
        <v>9</v>
      </c>
      <c r="AF4329" t="s">
        <v>138</v>
      </c>
      <c r="AG4329">
        <v>0</v>
      </c>
      <c r="AH4329">
        <v>3</v>
      </c>
      <c r="AI4329">
        <v>2</v>
      </c>
      <c r="AJ4329">
        <v>0</v>
      </c>
      <c r="AK4329" t="s">
        <v>1376</v>
      </c>
      <c r="AL4329">
        <v>39.198661000000001</v>
      </c>
      <c r="AM4329" t="s">
        <v>1377</v>
      </c>
      <c r="AN4329">
        <v>-121.014855</v>
      </c>
      <c r="AO4329">
        <v>25</v>
      </c>
      <c r="AP4329">
        <v>4200</v>
      </c>
      <c r="AQ4329" t="s">
        <v>131</v>
      </c>
      <c r="AR4329">
        <v>35</v>
      </c>
      <c r="AS4329">
        <v>68</v>
      </c>
      <c r="AT4329">
        <v>-320</v>
      </c>
      <c r="BB4329" t="str">
        <f t="shared" si="1700"/>
        <v>1200</v>
      </c>
      <c r="BC4329">
        <v>1</v>
      </c>
      <c r="BD4329" t="str">
        <f t="shared" si="1701"/>
        <v xml:space="preserve">N52156  </v>
      </c>
      <c r="BE4329">
        <v>1</v>
      </c>
      <c r="BG4329">
        <v>0</v>
      </c>
      <c r="BH4329">
        <v>0</v>
      </c>
      <c r="BI4329">
        <v>0</v>
      </c>
      <c r="BJ4329">
        <v>4275</v>
      </c>
      <c r="BK4329">
        <v>75</v>
      </c>
      <c r="BL4329" t="s">
        <v>188</v>
      </c>
      <c r="BM4329">
        <v>1</v>
      </c>
      <c r="BN4329">
        <v>1</v>
      </c>
      <c r="BO4329">
        <v>0</v>
      </c>
      <c r="BP4329">
        <v>0</v>
      </c>
      <c r="BS4329">
        <v>0</v>
      </c>
      <c r="BT4329">
        <v>0</v>
      </c>
      <c r="BU4329">
        <v>0</v>
      </c>
      <c r="CE4329" t="str">
        <f t="shared" si="1715"/>
        <v>15:16:33.230</v>
      </c>
      <c r="CF4329">
        <v>229750157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4</v>
      </c>
      <c r="CY4329">
        <v>7</v>
      </c>
      <c r="CZ4329" t="s">
        <v>133</v>
      </c>
      <c r="DA4329">
        <v>275</v>
      </c>
      <c r="DB4329">
        <v>0</v>
      </c>
      <c r="DC4329" t="s">
        <v>134</v>
      </c>
      <c r="DD4329" t="s">
        <v>135</v>
      </c>
      <c r="DG4329">
        <v>3323241</v>
      </c>
      <c r="DI4329">
        <v>1</v>
      </c>
      <c r="DJ4329">
        <v>0</v>
      </c>
      <c r="DK4329">
        <v>1</v>
      </c>
      <c r="DL4329">
        <v>0</v>
      </c>
      <c r="DM4329">
        <v>0</v>
      </c>
      <c r="DN4329">
        <v>0</v>
      </c>
      <c r="DO4329">
        <v>0</v>
      </c>
      <c r="DP4329">
        <v>0</v>
      </c>
      <c r="DQ4329">
        <v>0</v>
      </c>
      <c r="DR4329">
        <v>0</v>
      </c>
      <c r="DS4329">
        <v>0</v>
      </c>
    </row>
    <row r="4330" spans="1:123" x14ac:dyDescent="0.3">
      <c r="A4330" t="str">
        <f>"05/01/2025 15:16:33.433"</f>
        <v>05/01/2025 15:16:33.433</v>
      </c>
      <c r="C4330" t="str">
        <f t="shared" si="1698"/>
        <v>FFDFD3C0</v>
      </c>
      <c r="D4330" t="s">
        <v>143</v>
      </c>
      <c r="E4330" t="str">
        <f>"05"</f>
        <v>05</v>
      </c>
      <c r="H4330">
        <v>172</v>
      </c>
      <c r="I4330" t="s">
        <v>141</v>
      </c>
      <c r="J4330" t="s">
        <v>144</v>
      </c>
      <c r="K4330">
        <v>0</v>
      </c>
      <c r="L4330">
        <v>3</v>
      </c>
      <c r="M4330">
        <v>0</v>
      </c>
      <c r="N4330">
        <v>2</v>
      </c>
      <c r="O4330">
        <v>0</v>
      </c>
      <c r="P4330">
        <v>1</v>
      </c>
      <c r="Q4330">
        <v>0</v>
      </c>
      <c r="R4330" t="s">
        <v>127</v>
      </c>
      <c r="S4330" t="str">
        <f t="shared" si="1714"/>
        <v>15:16:33.000</v>
      </c>
      <c r="T4330" t="str">
        <f t="shared" si="1714"/>
        <v>15:16:33.000</v>
      </c>
      <c r="U4330" t="str">
        <f t="shared" si="1699"/>
        <v>A68FCB</v>
      </c>
      <c r="V4330">
        <v>0</v>
      </c>
      <c r="W4330">
        <v>0</v>
      </c>
      <c r="X4330">
        <v>2</v>
      </c>
      <c r="Y4330">
        <v>0</v>
      </c>
      <c r="AA4330">
        <v>1</v>
      </c>
      <c r="AB4330">
        <v>8</v>
      </c>
      <c r="AC4330">
        <v>3</v>
      </c>
      <c r="AD4330">
        <v>0</v>
      </c>
      <c r="AE4330">
        <v>9</v>
      </c>
      <c r="AF4330" t="s">
        <v>138</v>
      </c>
      <c r="AG4330">
        <v>0</v>
      </c>
      <c r="AH4330">
        <v>3</v>
      </c>
      <c r="AI4330">
        <v>2</v>
      </c>
      <c r="AJ4330">
        <v>0</v>
      </c>
      <c r="AK4330" t="s">
        <v>1376</v>
      </c>
      <c r="AL4330">
        <v>39.198661000000001</v>
      </c>
      <c r="AM4330" t="s">
        <v>1377</v>
      </c>
      <c r="AN4330">
        <v>-121.014855</v>
      </c>
      <c r="AO4330">
        <v>25</v>
      </c>
      <c r="AP4330">
        <v>4200</v>
      </c>
      <c r="AQ4330" t="s">
        <v>131</v>
      </c>
      <c r="AR4330">
        <v>35</v>
      </c>
      <c r="AS4330">
        <v>68</v>
      </c>
      <c r="AT4330">
        <v>-320</v>
      </c>
      <c r="BB4330" t="str">
        <f t="shared" si="1700"/>
        <v>1200</v>
      </c>
      <c r="BC4330">
        <v>1</v>
      </c>
      <c r="BD4330" t="str">
        <f t="shared" si="1701"/>
        <v xml:space="preserve">N52156  </v>
      </c>
      <c r="BE4330">
        <v>1</v>
      </c>
      <c r="BG4330">
        <v>0</v>
      </c>
      <c r="BH4330">
        <v>0</v>
      </c>
      <c r="BI4330">
        <v>0</v>
      </c>
      <c r="BJ4330">
        <v>4275</v>
      </c>
      <c r="BK4330">
        <v>75</v>
      </c>
      <c r="BL4330" t="s">
        <v>188</v>
      </c>
      <c r="BM4330">
        <v>1</v>
      </c>
      <c r="BN4330">
        <v>1</v>
      </c>
      <c r="BO4330">
        <v>0</v>
      </c>
      <c r="BP4330">
        <v>0</v>
      </c>
      <c r="BS4330">
        <v>0</v>
      </c>
      <c r="BT4330">
        <v>0</v>
      </c>
      <c r="BU4330">
        <v>0</v>
      </c>
      <c r="CE4330" t="str">
        <f t="shared" si="1715"/>
        <v>15:16:33.230</v>
      </c>
      <c r="CF4330">
        <v>229750157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4</v>
      </c>
      <c r="CY4330">
        <v>7</v>
      </c>
      <c r="CZ4330" t="s">
        <v>133</v>
      </c>
      <c r="DA4330">
        <v>275</v>
      </c>
      <c r="DB4330">
        <v>0</v>
      </c>
      <c r="DC4330" t="s">
        <v>134</v>
      </c>
      <c r="DD4330" t="s">
        <v>135</v>
      </c>
      <c r="DG4330">
        <v>3323241</v>
      </c>
      <c r="DI4330">
        <v>1</v>
      </c>
      <c r="DJ4330">
        <v>0</v>
      </c>
      <c r="DK4330">
        <v>1</v>
      </c>
      <c r="DL4330">
        <v>0</v>
      </c>
      <c r="DM4330">
        <v>0</v>
      </c>
      <c r="DN4330">
        <v>0</v>
      </c>
      <c r="DO4330">
        <v>0</v>
      </c>
      <c r="DP4330">
        <v>0</v>
      </c>
      <c r="DQ4330">
        <v>0</v>
      </c>
      <c r="DR4330">
        <v>0</v>
      </c>
      <c r="DS4330">
        <v>0</v>
      </c>
    </row>
    <row r="4331" spans="1:123" x14ac:dyDescent="0.3">
      <c r="A4331" t="str">
        <f>"05/01/2025 15:16:33.447"</f>
        <v>05/01/2025 15:16:33.447</v>
      </c>
      <c r="C4331" t="str">
        <f t="shared" si="1698"/>
        <v>FFDFD3C0</v>
      </c>
      <c r="D4331" t="s">
        <v>145</v>
      </c>
      <c r="E4331" t="str">
        <f>"09"</f>
        <v>09</v>
      </c>
      <c r="H4331">
        <v>51</v>
      </c>
      <c r="I4331" t="s">
        <v>147</v>
      </c>
      <c r="J4331" t="s">
        <v>138</v>
      </c>
      <c r="K4331">
        <v>0</v>
      </c>
      <c r="L4331">
        <v>3</v>
      </c>
      <c r="M4331">
        <v>0</v>
      </c>
      <c r="N4331">
        <v>2</v>
      </c>
      <c r="O4331">
        <v>0</v>
      </c>
      <c r="P4331">
        <v>1</v>
      </c>
      <c r="Q4331">
        <v>0</v>
      </c>
      <c r="R4331" t="s">
        <v>127</v>
      </c>
      <c r="S4331" t="str">
        <f t="shared" si="1714"/>
        <v>15:16:33.000</v>
      </c>
      <c r="T4331" t="str">
        <f t="shared" si="1714"/>
        <v>15:16:33.000</v>
      </c>
      <c r="U4331" t="str">
        <f t="shared" si="1699"/>
        <v>A68FCB</v>
      </c>
      <c r="V4331">
        <v>0</v>
      </c>
      <c r="W4331">
        <v>0</v>
      </c>
      <c r="X4331">
        <v>2</v>
      </c>
      <c r="Y4331">
        <v>0</v>
      </c>
      <c r="AA4331">
        <v>1</v>
      </c>
      <c r="AB4331">
        <v>8</v>
      </c>
      <c r="AC4331">
        <v>3</v>
      </c>
      <c r="AD4331">
        <v>0</v>
      </c>
      <c r="AE4331">
        <v>9</v>
      </c>
      <c r="AF4331" t="s">
        <v>138</v>
      </c>
      <c r="AG4331">
        <v>0</v>
      </c>
      <c r="AH4331">
        <v>3</v>
      </c>
      <c r="AI4331">
        <v>2</v>
      </c>
      <c r="AJ4331">
        <v>0</v>
      </c>
      <c r="AK4331" t="s">
        <v>1376</v>
      </c>
      <c r="AL4331">
        <v>39.198661000000001</v>
      </c>
      <c r="AM4331" t="s">
        <v>1377</v>
      </c>
      <c r="AN4331">
        <v>-121.014855</v>
      </c>
      <c r="AO4331">
        <v>25</v>
      </c>
      <c r="AP4331">
        <v>4200</v>
      </c>
      <c r="AQ4331" t="s">
        <v>131</v>
      </c>
      <c r="AR4331">
        <v>35</v>
      </c>
      <c r="AS4331">
        <v>68</v>
      </c>
      <c r="AT4331">
        <v>-320</v>
      </c>
      <c r="BB4331" t="str">
        <f t="shared" si="1700"/>
        <v>1200</v>
      </c>
      <c r="BC4331">
        <v>1</v>
      </c>
      <c r="BD4331" t="str">
        <f t="shared" si="1701"/>
        <v xml:space="preserve">N52156  </v>
      </c>
      <c r="BE4331">
        <v>1</v>
      </c>
      <c r="BG4331">
        <v>0</v>
      </c>
      <c r="BH4331">
        <v>0</v>
      </c>
      <c r="BI4331">
        <v>0</v>
      </c>
      <c r="BJ4331">
        <v>4275</v>
      </c>
      <c r="BK4331">
        <v>75</v>
      </c>
      <c r="BL4331" t="s">
        <v>188</v>
      </c>
      <c r="BM4331">
        <v>1</v>
      </c>
      <c r="BN4331">
        <v>1</v>
      </c>
      <c r="BO4331">
        <v>0</v>
      </c>
      <c r="BP4331">
        <v>0</v>
      </c>
      <c r="BS4331">
        <v>0</v>
      </c>
      <c r="BT4331">
        <v>0</v>
      </c>
      <c r="BU4331">
        <v>0</v>
      </c>
      <c r="CE4331" t="str">
        <f t="shared" si="1715"/>
        <v>15:16:33.230</v>
      </c>
      <c r="CF4331">
        <v>229750157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4</v>
      </c>
      <c r="CY4331">
        <v>7</v>
      </c>
      <c r="CZ4331" t="s">
        <v>133</v>
      </c>
      <c r="DA4331">
        <v>275</v>
      </c>
      <c r="DB4331">
        <v>0</v>
      </c>
      <c r="DC4331" t="s">
        <v>134</v>
      </c>
      <c r="DD4331" t="s">
        <v>135</v>
      </c>
      <c r="DG4331">
        <v>3323241</v>
      </c>
      <c r="DI4331">
        <v>1</v>
      </c>
      <c r="DJ4331">
        <v>0</v>
      </c>
      <c r="DK4331">
        <v>1</v>
      </c>
      <c r="DL4331">
        <v>0</v>
      </c>
      <c r="DM4331">
        <v>0</v>
      </c>
      <c r="DN4331">
        <v>0</v>
      </c>
      <c r="DO4331">
        <v>0</v>
      </c>
      <c r="DP4331">
        <v>0</v>
      </c>
      <c r="DQ4331">
        <v>0</v>
      </c>
      <c r="DR4331">
        <v>0</v>
      </c>
      <c r="DS4331">
        <v>0</v>
      </c>
    </row>
    <row r="4332" spans="1:123" x14ac:dyDescent="0.3">
      <c r="A4332" t="str">
        <f>"05/01/2025 15:16:33.451"</f>
        <v>05/01/2025 15:16:33.451</v>
      </c>
      <c r="C4332" t="str">
        <f t="shared" si="1698"/>
        <v>FFDFD3C0</v>
      </c>
      <c r="D4332" t="s">
        <v>145</v>
      </c>
      <c r="E4332" t="str">
        <f>"05"</f>
        <v>05</v>
      </c>
      <c r="H4332">
        <v>47</v>
      </c>
      <c r="I4332" t="s">
        <v>146</v>
      </c>
      <c r="J4332" t="s">
        <v>138</v>
      </c>
      <c r="K4332">
        <v>0</v>
      </c>
      <c r="L4332">
        <v>3</v>
      </c>
      <c r="M4332">
        <v>0</v>
      </c>
      <c r="N4332">
        <v>2</v>
      </c>
      <c r="O4332">
        <v>0</v>
      </c>
      <c r="P4332">
        <v>1</v>
      </c>
      <c r="Q4332">
        <v>0</v>
      </c>
      <c r="R4332" t="s">
        <v>127</v>
      </c>
      <c r="S4332" t="str">
        <f t="shared" si="1714"/>
        <v>15:16:33.000</v>
      </c>
      <c r="T4332" t="str">
        <f t="shared" si="1714"/>
        <v>15:16:33.000</v>
      </c>
      <c r="U4332" t="str">
        <f t="shared" si="1699"/>
        <v>A68FCB</v>
      </c>
      <c r="V4332">
        <v>0</v>
      </c>
      <c r="W4332">
        <v>0</v>
      </c>
      <c r="X4332">
        <v>2</v>
      </c>
      <c r="Y4332">
        <v>0</v>
      </c>
      <c r="AA4332">
        <v>1</v>
      </c>
      <c r="AB4332">
        <v>8</v>
      </c>
      <c r="AC4332">
        <v>3</v>
      </c>
      <c r="AD4332">
        <v>0</v>
      </c>
      <c r="AE4332">
        <v>9</v>
      </c>
      <c r="AF4332" t="s">
        <v>138</v>
      </c>
      <c r="AG4332">
        <v>0</v>
      </c>
      <c r="AH4332">
        <v>3</v>
      </c>
      <c r="AI4332">
        <v>2</v>
      </c>
      <c r="AJ4332">
        <v>0</v>
      </c>
      <c r="AK4332" t="s">
        <v>1376</v>
      </c>
      <c r="AL4332">
        <v>39.198661000000001</v>
      </c>
      <c r="AM4332" t="s">
        <v>1377</v>
      </c>
      <c r="AN4332">
        <v>-121.014855</v>
      </c>
      <c r="AO4332">
        <v>25</v>
      </c>
      <c r="AP4332">
        <v>4200</v>
      </c>
      <c r="AQ4332" t="s">
        <v>131</v>
      </c>
      <c r="AR4332">
        <v>35</v>
      </c>
      <c r="AS4332">
        <v>68</v>
      </c>
      <c r="AT4332">
        <v>-320</v>
      </c>
      <c r="BB4332" t="str">
        <f t="shared" si="1700"/>
        <v>1200</v>
      </c>
      <c r="BC4332">
        <v>1</v>
      </c>
      <c r="BD4332" t="str">
        <f t="shared" si="1701"/>
        <v xml:space="preserve">N52156  </v>
      </c>
      <c r="BE4332">
        <v>1</v>
      </c>
      <c r="BG4332">
        <v>0</v>
      </c>
      <c r="BH4332">
        <v>0</v>
      </c>
      <c r="BI4332">
        <v>0</v>
      </c>
      <c r="BJ4332">
        <v>4275</v>
      </c>
      <c r="BK4332">
        <v>75</v>
      </c>
      <c r="BL4332" t="s">
        <v>188</v>
      </c>
      <c r="BM4332">
        <v>1</v>
      </c>
      <c r="BN4332">
        <v>1</v>
      </c>
      <c r="BO4332">
        <v>0</v>
      </c>
      <c r="BP4332">
        <v>0</v>
      </c>
      <c r="BS4332">
        <v>0</v>
      </c>
      <c r="BT4332">
        <v>0</v>
      </c>
      <c r="BU4332">
        <v>0</v>
      </c>
      <c r="CE4332" t="str">
        <f t="shared" si="1715"/>
        <v>15:16:33.230</v>
      </c>
      <c r="CF4332">
        <v>229750157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4</v>
      </c>
      <c r="CY4332">
        <v>7</v>
      </c>
      <c r="CZ4332" t="s">
        <v>133</v>
      </c>
      <c r="DA4332">
        <v>275</v>
      </c>
      <c r="DB4332">
        <v>0</v>
      </c>
      <c r="DC4332" t="s">
        <v>134</v>
      </c>
      <c r="DD4332" t="s">
        <v>135</v>
      </c>
      <c r="DG4332">
        <v>3323241</v>
      </c>
      <c r="DI4332">
        <v>1</v>
      </c>
      <c r="DJ4332">
        <v>0</v>
      </c>
      <c r="DK4332">
        <v>1</v>
      </c>
      <c r="DL4332">
        <v>0</v>
      </c>
      <c r="DM4332">
        <v>0</v>
      </c>
      <c r="DN4332">
        <v>0</v>
      </c>
      <c r="DO4332">
        <v>0</v>
      </c>
      <c r="DP4332">
        <v>0</v>
      </c>
      <c r="DQ4332">
        <v>0</v>
      </c>
      <c r="DR4332">
        <v>0</v>
      </c>
      <c r="DS4332">
        <v>0</v>
      </c>
    </row>
    <row r="4333" spans="1:123" x14ac:dyDescent="0.3">
      <c r="A4333" t="str">
        <f>"05/01/2025 15:16:33.463"</f>
        <v>05/01/2025 15:16:33.463</v>
      </c>
      <c r="C4333" t="str">
        <f t="shared" si="1698"/>
        <v>FFDFD3C0</v>
      </c>
      <c r="D4333" t="s">
        <v>136</v>
      </c>
      <c r="E4333" t="str">
        <f>"20"</f>
        <v>20</v>
      </c>
      <c r="H4333">
        <v>400</v>
      </c>
      <c r="I4333" t="s">
        <v>137</v>
      </c>
      <c r="J4333" t="s">
        <v>138</v>
      </c>
      <c r="K4333">
        <v>0</v>
      </c>
      <c r="L4333">
        <v>3</v>
      </c>
      <c r="M4333">
        <v>0</v>
      </c>
      <c r="N4333">
        <v>2</v>
      </c>
      <c r="O4333">
        <v>0</v>
      </c>
      <c r="P4333">
        <v>1</v>
      </c>
      <c r="Q4333">
        <v>0</v>
      </c>
      <c r="R4333" t="s">
        <v>127</v>
      </c>
      <c r="S4333" t="str">
        <f t="shared" si="1714"/>
        <v>15:16:33.000</v>
      </c>
      <c r="T4333" t="str">
        <f t="shared" si="1714"/>
        <v>15:16:33.000</v>
      </c>
      <c r="U4333" t="str">
        <f t="shared" si="1699"/>
        <v>A68FCB</v>
      </c>
      <c r="V4333">
        <v>0</v>
      </c>
      <c r="W4333">
        <v>0</v>
      </c>
      <c r="X4333">
        <v>2</v>
      </c>
      <c r="Y4333">
        <v>0</v>
      </c>
      <c r="AA4333">
        <v>1</v>
      </c>
      <c r="AB4333">
        <v>8</v>
      </c>
      <c r="AC4333">
        <v>3</v>
      </c>
      <c r="AD4333">
        <v>0</v>
      </c>
      <c r="AE4333">
        <v>9</v>
      </c>
      <c r="AF4333" t="s">
        <v>138</v>
      </c>
      <c r="AG4333">
        <v>0</v>
      </c>
      <c r="AH4333">
        <v>3</v>
      </c>
      <c r="AI4333">
        <v>2</v>
      </c>
      <c r="AJ4333">
        <v>0</v>
      </c>
      <c r="AK4333" t="s">
        <v>1376</v>
      </c>
      <c r="AL4333">
        <v>39.198661000000001</v>
      </c>
      <c r="AM4333" t="s">
        <v>1377</v>
      </c>
      <c r="AN4333">
        <v>-121.014855</v>
      </c>
      <c r="AO4333">
        <v>25</v>
      </c>
      <c r="AP4333">
        <v>4200</v>
      </c>
      <c r="AQ4333" t="s">
        <v>131</v>
      </c>
      <c r="AR4333">
        <v>35</v>
      </c>
      <c r="AS4333">
        <v>68</v>
      </c>
      <c r="AT4333">
        <v>-320</v>
      </c>
      <c r="BB4333" t="str">
        <f t="shared" si="1700"/>
        <v>1200</v>
      </c>
      <c r="BC4333">
        <v>1</v>
      </c>
      <c r="BD4333" t="str">
        <f t="shared" si="1701"/>
        <v xml:space="preserve">N52156  </v>
      </c>
      <c r="BE4333">
        <v>1</v>
      </c>
      <c r="BG4333">
        <v>0</v>
      </c>
      <c r="BH4333">
        <v>0</v>
      </c>
      <c r="BI4333">
        <v>0</v>
      </c>
      <c r="BJ4333">
        <v>4275</v>
      </c>
      <c r="BK4333">
        <v>75</v>
      </c>
      <c r="BL4333" t="s">
        <v>188</v>
      </c>
      <c r="BM4333">
        <v>1</v>
      </c>
      <c r="BN4333">
        <v>1</v>
      </c>
      <c r="BO4333">
        <v>0</v>
      </c>
      <c r="BP4333">
        <v>0</v>
      </c>
      <c r="BS4333">
        <v>0</v>
      </c>
      <c r="BT4333">
        <v>0</v>
      </c>
      <c r="BU4333">
        <v>0</v>
      </c>
      <c r="CE4333" t="str">
        <f t="shared" si="1715"/>
        <v>15:16:33.230</v>
      </c>
      <c r="CF4333">
        <v>229750157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4</v>
      </c>
      <c r="CY4333">
        <v>7</v>
      </c>
      <c r="CZ4333" t="s">
        <v>133</v>
      </c>
      <c r="DA4333">
        <v>275</v>
      </c>
      <c r="DB4333">
        <v>0</v>
      </c>
      <c r="DC4333" t="s">
        <v>134</v>
      </c>
      <c r="DD4333" t="s">
        <v>135</v>
      </c>
      <c r="DG4333">
        <v>3323241</v>
      </c>
      <c r="DI4333">
        <v>1</v>
      </c>
      <c r="DJ4333">
        <v>0</v>
      </c>
      <c r="DK4333">
        <v>1</v>
      </c>
      <c r="DL4333">
        <v>0</v>
      </c>
      <c r="DM4333">
        <v>0</v>
      </c>
      <c r="DN4333">
        <v>0</v>
      </c>
      <c r="DO4333">
        <v>0</v>
      </c>
      <c r="DP4333">
        <v>0</v>
      </c>
      <c r="DQ4333">
        <v>0</v>
      </c>
      <c r="DR4333">
        <v>0</v>
      </c>
      <c r="DS4333">
        <v>0</v>
      </c>
    </row>
    <row r="4334" spans="1:123" x14ac:dyDescent="0.3">
      <c r="A4334" t="str">
        <f>"05/01/2025 15:16:35.049"</f>
        <v>05/01/2025 15:16:35.049</v>
      </c>
      <c r="C4334" t="str">
        <f t="shared" si="1698"/>
        <v>FFDFD3C0</v>
      </c>
      <c r="D4334" t="s">
        <v>145</v>
      </c>
      <c r="E4334" t="str">
        <f>"09"</f>
        <v>09</v>
      </c>
      <c r="H4334">
        <v>51</v>
      </c>
      <c r="I4334" t="s">
        <v>147</v>
      </c>
      <c r="J4334" t="s">
        <v>138</v>
      </c>
      <c r="K4334">
        <v>0</v>
      </c>
      <c r="L4334">
        <v>3</v>
      </c>
      <c r="M4334">
        <v>0</v>
      </c>
      <c r="N4334">
        <v>2</v>
      </c>
      <c r="O4334">
        <v>0</v>
      </c>
      <c r="P4334">
        <v>1</v>
      </c>
      <c r="Q4334">
        <v>0</v>
      </c>
      <c r="R4334" t="s">
        <v>127</v>
      </c>
      <c r="S4334" t="str">
        <f t="shared" ref="S4334:T4339" si="1716">"15:16:34.000"</f>
        <v>15:16:34.000</v>
      </c>
      <c r="T4334" t="str">
        <f t="shared" si="1716"/>
        <v>15:16:34.000</v>
      </c>
      <c r="U4334" t="str">
        <f t="shared" si="1699"/>
        <v>A68FCB</v>
      </c>
      <c r="V4334">
        <v>0</v>
      </c>
      <c r="W4334">
        <v>0</v>
      </c>
      <c r="X4334">
        <v>2</v>
      </c>
      <c r="Y4334">
        <v>0</v>
      </c>
      <c r="AA4334">
        <v>1</v>
      </c>
      <c r="AB4334">
        <v>8</v>
      </c>
      <c r="AC4334">
        <v>3</v>
      </c>
      <c r="AD4334">
        <v>0</v>
      </c>
      <c r="AE4334">
        <v>9</v>
      </c>
      <c r="AF4334" t="s">
        <v>138</v>
      </c>
      <c r="AG4334">
        <v>0</v>
      </c>
      <c r="AH4334">
        <v>3</v>
      </c>
      <c r="AI4334">
        <v>2</v>
      </c>
      <c r="AJ4334">
        <v>0</v>
      </c>
      <c r="AK4334" t="s">
        <v>1378</v>
      </c>
      <c r="AL4334">
        <v>39.198982999999998</v>
      </c>
      <c r="AM4334" t="s">
        <v>1379</v>
      </c>
      <c r="AN4334">
        <v>-121.01464</v>
      </c>
      <c r="AO4334">
        <v>25</v>
      </c>
      <c r="AP4334">
        <v>4200</v>
      </c>
      <c r="AQ4334" t="s">
        <v>131</v>
      </c>
      <c r="AR4334">
        <v>35</v>
      </c>
      <c r="AS4334">
        <v>69</v>
      </c>
      <c r="AT4334">
        <v>-256</v>
      </c>
      <c r="BB4334" t="str">
        <f t="shared" si="1700"/>
        <v>1200</v>
      </c>
      <c r="BC4334">
        <v>1</v>
      </c>
      <c r="BD4334" t="str">
        <f t="shared" si="1701"/>
        <v xml:space="preserve">N52156  </v>
      </c>
      <c r="BE4334">
        <v>1</v>
      </c>
      <c r="BG4334">
        <v>0</v>
      </c>
      <c r="BH4334">
        <v>0</v>
      </c>
      <c r="BI4334">
        <v>0</v>
      </c>
      <c r="BJ4334">
        <v>4250</v>
      </c>
      <c r="BK4334">
        <v>50</v>
      </c>
      <c r="BL4334" t="s">
        <v>188</v>
      </c>
      <c r="BM4334">
        <v>1</v>
      </c>
      <c r="BN4334">
        <v>1</v>
      </c>
      <c r="BO4334">
        <v>0</v>
      </c>
      <c r="BP4334">
        <v>0</v>
      </c>
      <c r="BS4334">
        <v>0</v>
      </c>
      <c r="BT4334">
        <v>0</v>
      </c>
      <c r="BU4334">
        <v>0</v>
      </c>
      <c r="CE4334" t="str">
        <f t="shared" ref="CE4334:CE4339" si="1717">"15:16:34.851"</f>
        <v>15:16:34.851</v>
      </c>
      <c r="CF4334">
        <v>851001885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4</v>
      </c>
      <c r="CY4334">
        <v>7</v>
      </c>
      <c r="CZ4334" t="s">
        <v>133</v>
      </c>
      <c r="DA4334">
        <v>275</v>
      </c>
      <c r="DB4334">
        <v>0</v>
      </c>
      <c r="DC4334" t="s">
        <v>134</v>
      </c>
      <c r="DD4334" t="s">
        <v>135</v>
      </c>
      <c r="DG4334">
        <v>3323246</v>
      </c>
      <c r="DI4334">
        <v>1</v>
      </c>
      <c r="DJ4334">
        <v>0</v>
      </c>
      <c r="DK4334">
        <v>0</v>
      </c>
      <c r="DL4334">
        <v>0</v>
      </c>
      <c r="DM4334">
        <v>0</v>
      </c>
      <c r="DN4334">
        <v>0</v>
      </c>
      <c r="DO4334">
        <v>0</v>
      </c>
      <c r="DP4334">
        <v>0</v>
      </c>
      <c r="DQ4334">
        <v>0</v>
      </c>
      <c r="DR4334">
        <v>0</v>
      </c>
      <c r="DS4334">
        <v>0</v>
      </c>
    </row>
    <row r="4335" spans="1:123" x14ac:dyDescent="0.3">
      <c r="A4335" t="str">
        <f>"05/01/2025 15:16:35.054"</f>
        <v>05/01/2025 15:16:35.054</v>
      </c>
      <c r="C4335" t="str">
        <f t="shared" si="1698"/>
        <v>FFDFD3C0</v>
      </c>
      <c r="D4335" t="s">
        <v>145</v>
      </c>
      <c r="E4335" t="str">
        <f>"05"</f>
        <v>05</v>
      </c>
      <c r="H4335">
        <v>47</v>
      </c>
      <c r="I4335" t="s">
        <v>146</v>
      </c>
      <c r="J4335" t="s">
        <v>138</v>
      </c>
      <c r="K4335">
        <v>0</v>
      </c>
      <c r="L4335">
        <v>3</v>
      </c>
      <c r="M4335">
        <v>0</v>
      </c>
      <c r="N4335">
        <v>2</v>
      </c>
      <c r="O4335">
        <v>0</v>
      </c>
      <c r="P4335">
        <v>1</v>
      </c>
      <c r="Q4335">
        <v>0</v>
      </c>
      <c r="R4335" t="s">
        <v>127</v>
      </c>
      <c r="S4335" t="str">
        <f t="shared" si="1716"/>
        <v>15:16:34.000</v>
      </c>
      <c r="T4335" t="str">
        <f t="shared" si="1716"/>
        <v>15:16:34.000</v>
      </c>
      <c r="U4335" t="str">
        <f t="shared" si="1699"/>
        <v>A68FCB</v>
      </c>
      <c r="V4335">
        <v>0</v>
      </c>
      <c r="W4335">
        <v>0</v>
      </c>
      <c r="X4335">
        <v>2</v>
      </c>
      <c r="Y4335">
        <v>0</v>
      </c>
      <c r="AA4335">
        <v>1</v>
      </c>
      <c r="AB4335">
        <v>8</v>
      </c>
      <c r="AC4335">
        <v>3</v>
      </c>
      <c r="AD4335">
        <v>0</v>
      </c>
      <c r="AE4335">
        <v>9</v>
      </c>
      <c r="AF4335" t="s">
        <v>138</v>
      </c>
      <c r="AG4335">
        <v>0</v>
      </c>
      <c r="AH4335">
        <v>3</v>
      </c>
      <c r="AI4335">
        <v>2</v>
      </c>
      <c r="AJ4335">
        <v>0</v>
      </c>
      <c r="AK4335" t="s">
        <v>1378</v>
      </c>
      <c r="AL4335">
        <v>39.198982999999998</v>
      </c>
      <c r="AM4335" t="s">
        <v>1379</v>
      </c>
      <c r="AN4335">
        <v>-121.01464</v>
      </c>
      <c r="AO4335">
        <v>25</v>
      </c>
      <c r="AP4335">
        <v>4200</v>
      </c>
      <c r="AQ4335" t="s">
        <v>131</v>
      </c>
      <c r="AR4335">
        <v>35</v>
      </c>
      <c r="AS4335">
        <v>69</v>
      </c>
      <c r="AT4335">
        <v>-256</v>
      </c>
      <c r="BB4335" t="str">
        <f t="shared" si="1700"/>
        <v>1200</v>
      </c>
      <c r="BC4335">
        <v>1</v>
      </c>
      <c r="BD4335" t="str">
        <f t="shared" si="1701"/>
        <v xml:space="preserve">N52156  </v>
      </c>
      <c r="BE4335">
        <v>1</v>
      </c>
      <c r="BG4335">
        <v>0</v>
      </c>
      <c r="BH4335">
        <v>0</v>
      </c>
      <c r="BI4335">
        <v>0</v>
      </c>
      <c r="BJ4335">
        <v>4250</v>
      </c>
      <c r="BK4335">
        <v>50</v>
      </c>
      <c r="BL4335" t="s">
        <v>188</v>
      </c>
      <c r="BM4335">
        <v>1</v>
      </c>
      <c r="BN4335">
        <v>1</v>
      </c>
      <c r="BO4335">
        <v>0</v>
      </c>
      <c r="BP4335">
        <v>0</v>
      </c>
      <c r="BS4335">
        <v>0</v>
      </c>
      <c r="BT4335">
        <v>0</v>
      </c>
      <c r="BU4335">
        <v>0</v>
      </c>
      <c r="CE4335" t="str">
        <f t="shared" si="1717"/>
        <v>15:16:34.851</v>
      </c>
      <c r="CF4335">
        <v>851001885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4</v>
      </c>
      <c r="CY4335">
        <v>7</v>
      </c>
      <c r="CZ4335" t="s">
        <v>133</v>
      </c>
      <c r="DA4335">
        <v>275</v>
      </c>
      <c r="DB4335">
        <v>0</v>
      </c>
      <c r="DC4335" t="s">
        <v>134</v>
      </c>
      <c r="DD4335" t="s">
        <v>135</v>
      </c>
      <c r="DG4335">
        <v>3323246</v>
      </c>
      <c r="DI4335">
        <v>1</v>
      </c>
      <c r="DJ4335">
        <v>0</v>
      </c>
      <c r="DK4335">
        <v>1</v>
      </c>
      <c r="DL4335">
        <v>0</v>
      </c>
      <c r="DM4335">
        <v>0</v>
      </c>
      <c r="DN4335">
        <v>0</v>
      </c>
      <c r="DO4335">
        <v>0</v>
      </c>
      <c r="DP4335">
        <v>0</v>
      </c>
      <c r="DQ4335">
        <v>0</v>
      </c>
      <c r="DR4335">
        <v>0</v>
      </c>
      <c r="DS4335">
        <v>0</v>
      </c>
    </row>
    <row r="4336" spans="1:123" x14ac:dyDescent="0.3">
      <c r="A4336" t="str">
        <f>"05/01/2025 15:16:35.065"</f>
        <v>05/01/2025 15:16:35.065</v>
      </c>
      <c r="C4336" t="str">
        <f t="shared" si="1698"/>
        <v>FFDFD3C0</v>
      </c>
      <c r="D4336" t="s">
        <v>136</v>
      </c>
      <c r="E4336" t="str">
        <f>"20"</f>
        <v>20</v>
      </c>
      <c r="H4336">
        <v>400</v>
      </c>
      <c r="I4336" t="s">
        <v>137</v>
      </c>
      <c r="J4336" t="s">
        <v>138</v>
      </c>
      <c r="K4336">
        <v>0</v>
      </c>
      <c r="L4336">
        <v>3</v>
      </c>
      <c r="M4336">
        <v>0</v>
      </c>
      <c r="N4336">
        <v>2</v>
      </c>
      <c r="O4336">
        <v>0</v>
      </c>
      <c r="P4336">
        <v>1</v>
      </c>
      <c r="Q4336">
        <v>0</v>
      </c>
      <c r="R4336" t="s">
        <v>127</v>
      </c>
      <c r="S4336" t="str">
        <f t="shared" si="1716"/>
        <v>15:16:34.000</v>
      </c>
      <c r="T4336" t="str">
        <f t="shared" si="1716"/>
        <v>15:16:34.000</v>
      </c>
      <c r="U4336" t="str">
        <f t="shared" si="1699"/>
        <v>A68FCB</v>
      </c>
      <c r="V4336">
        <v>0</v>
      </c>
      <c r="W4336">
        <v>0</v>
      </c>
      <c r="X4336">
        <v>2</v>
      </c>
      <c r="Y4336">
        <v>0</v>
      </c>
      <c r="AA4336">
        <v>1</v>
      </c>
      <c r="AB4336">
        <v>8</v>
      </c>
      <c r="AC4336">
        <v>3</v>
      </c>
      <c r="AD4336">
        <v>0</v>
      </c>
      <c r="AE4336">
        <v>9</v>
      </c>
      <c r="AF4336" t="s">
        <v>138</v>
      </c>
      <c r="AG4336">
        <v>0</v>
      </c>
      <c r="AH4336">
        <v>3</v>
      </c>
      <c r="AI4336">
        <v>2</v>
      </c>
      <c r="AJ4336">
        <v>0</v>
      </c>
      <c r="AK4336" t="s">
        <v>1378</v>
      </c>
      <c r="AL4336">
        <v>39.198982999999998</v>
      </c>
      <c r="AM4336" t="s">
        <v>1379</v>
      </c>
      <c r="AN4336">
        <v>-121.01464</v>
      </c>
      <c r="AO4336">
        <v>25</v>
      </c>
      <c r="AP4336">
        <v>4200</v>
      </c>
      <c r="AQ4336" t="s">
        <v>131</v>
      </c>
      <c r="AR4336">
        <v>35</v>
      </c>
      <c r="AS4336">
        <v>69</v>
      </c>
      <c r="AT4336">
        <v>-256</v>
      </c>
      <c r="BB4336" t="str">
        <f t="shared" si="1700"/>
        <v>1200</v>
      </c>
      <c r="BC4336">
        <v>1</v>
      </c>
      <c r="BD4336" t="str">
        <f t="shared" si="1701"/>
        <v xml:space="preserve">N52156  </v>
      </c>
      <c r="BE4336">
        <v>1</v>
      </c>
      <c r="BG4336">
        <v>0</v>
      </c>
      <c r="BH4336">
        <v>0</v>
      </c>
      <c r="BI4336">
        <v>0</v>
      </c>
      <c r="BJ4336">
        <v>4250</v>
      </c>
      <c r="BK4336">
        <v>50</v>
      </c>
      <c r="BL4336" t="s">
        <v>188</v>
      </c>
      <c r="BM4336">
        <v>1</v>
      </c>
      <c r="BN4336">
        <v>1</v>
      </c>
      <c r="BO4336">
        <v>0</v>
      </c>
      <c r="BP4336">
        <v>0</v>
      </c>
      <c r="BS4336">
        <v>0</v>
      </c>
      <c r="BT4336">
        <v>0</v>
      </c>
      <c r="BU4336">
        <v>0</v>
      </c>
      <c r="CE4336" t="str">
        <f t="shared" si="1717"/>
        <v>15:16:34.851</v>
      </c>
      <c r="CF4336">
        <v>851001885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4</v>
      </c>
      <c r="CY4336">
        <v>7</v>
      </c>
      <c r="CZ4336" t="s">
        <v>133</v>
      </c>
      <c r="DA4336">
        <v>275</v>
      </c>
      <c r="DB4336">
        <v>0</v>
      </c>
      <c r="DC4336" t="s">
        <v>134</v>
      </c>
      <c r="DD4336" t="s">
        <v>135</v>
      </c>
      <c r="DG4336">
        <v>3323246</v>
      </c>
      <c r="DI4336">
        <v>1</v>
      </c>
      <c r="DJ4336">
        <v>0</v>
      </c>
      <c r="DK4336">
        <v>1</v>
      </c>
      <c r="DL4336">
        <v>0</v>
      </c>
      <c r="DM4336">
        <v>0</v>
      </c>
      <c r="DN4336">
        <v>0</v>
      </c>
      <c r="DO4336">
        <v>0</v>
      </c>
      <c r="DP4336">
        <v>0</v>
      </c>
      <c r="DQ4336">
        <v>0</v>
      </c>
      <c r="DR4336">
        <v>0</v>
      </c>
      <c r="DS4336">
        <v>0</v>
      </c>
    </row>
    <row r="4337" spans="1:123" x14ac:dyDescent="0.3">
      <c r="A4337" t="str">
        <f>"05/01/2025 15:16:35.083"</f>
        <v>05/01/2025 15:16:35.083</v>
      </c>
      <c r="C4337" t="str">
        <f t="shared" si="1698"/>
        <v>FFDFD3C0</v>
      </c>
      <c r="D4337" t="s">
        <v>140</v>
      </c>
      <c r="E4337" t="str">
        <f>"13"</f>
        <v>13</v>
      </c>
      <c r="F4337">
        <v>1019</v>
      </c>
      <c r="G4337" t="s">
        <v>141</v>
      </c>
      <c r="J4337" t="s">
        <v>142</v>
      </c>
      <c r="K4337">
        <v>0</v>
      </c>
      <c r="L4337">
        <v>3</v>
      </c>
      <c r="M4337">
        <v>0</v>
      </c>
      <c r="N4337">
        <v>2</v>
      </c>
      <c r="O4337">
        <v>0</v>
      </c>
      <c r="P4337">
        <v>1</v>
      </c>
      <c r="Q4337">
        <v>0</v>
      </c>
      <c r="R4337" t="s">
        <v>127</v>
      </c>
      <c r="S4337" t="str">
        <f t="shared" si="1716"/>
        <v>15:16:34.000</v>
      </c>
      <c r="T4337" t="str">
        <f t="shared" si="1716"/>
        <v>15:16:34.000</v>
      </c>
      <c r="U4337" t="str">
        <f t="shared" si="1699"/>
        <v>A68FCB</v>
      </c>
      <c r="V4337">
        <v>0</v>
      </c>
      <c r="W4337">
        <v>0</v>
      </c>
      <c r="X4337">
        <v>2</v>
      </c>
      <c r="Y4337">
        <v>0</v>
      </c>
      <c r="AA4337">
        <v>1</v>
      </c>
      <c r="AB4337">
        <v>8</v>
      </c>
      <c r="AC4337">
        <v>3</v>
      </c>
      <c r="AD4337">
        <v>0</v>
      </c>
      <c r="AE4337">
        <v>9</v>
      </c>
      <c r="AF4337" t="s">
        <v>138</v>
      </c>
      <c r="AG4337">
        <v>0</v>
      </c>
      <c r="AH4337">
        <v>3</v>
      </c>
      <c r="AI4337">
        <v>2</v>
      </c>
      <c r="AJ4337">
        <v>0</v>
      </c>
      <c r="AK4337" t="s">
        <v>1378</v>
      </c>
      <c r="AL4337">
        <v>39.198982999999998</v>
      </c>
      <c r="AM4337" t="s">
        <v>1379</v>
      </c>
      <c r="AN4337">
        <v>-121.01464</v>
      </c>
      <c r="AO4337">
        <v>25</v>
      </c>
      <c r="AP4337">
        <v>4200</v>
      </c>
      <c r="AQ4337" t="s">
        <v>131</v>
      </c>
      <c r="AR4337">
        <v>35</v>
      </c>
      <c r="AS4337">
        <v>69</v>
      </c>
      <c r="AT4337">
        <v>-256</v>
      </c>
      <c r="BB4337" t="str">
        <f t="shared" si="1700"/>
        <v>1200</v>
      </c>
      <c r="BC4337">
        <v>1</v>
      </c>
      <c r="BD4337" t="str">
        <f t="shared" si="1701"/>
        <v xml:space="preserve">N52156  </v>
      </c>
      <c r="BE4337">
        <v>1</v>
      </c>
      <c r="BG4337">
        <v>0</v>
      </c>
      <c r="BH4337">
        <v>0</v>
      </c>
      <c r="BI4337">
        <v>0</v>
      </c>
      <c r="BJ4337">
        <v>4250</v>
      </c>
      <c r="BK4337">
        <v>50</v>
      </c>
      <c r="BL4337" t="s">
        <v>188</v>
      </c>
      <c r="BM4337">
        <v>1</v>
      </c>
      <c r="BN4337">
        <v>1</v>
      </c>
      <c r="BO4337">
        <v>0</v>
      </c>
      <c r="BP4337">
        <v>0</v>
      </c>
      <c r="BS4337">
        <v>0</v>
      </c>
      <c r="BT4337">
        <v>0</v>
      </c>
      <c r="BU4337">
        <v>0</v>
      </c>
      <c r="CE4337" t="str">
        <f t="shared" si="1717"/>
        <v>15:16:34.851</v>
      </c>
      <c r="CF4337">
        <v>851001885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4</v>
      </c>
      <c r="CY4337">
        <v>7</v>
      </c>
      <c r="CZ4337" t="s">
        <v>133</v>
      </c>
      <c r="DA4337">
        <v>275</v>
      </c>
      <c r="DB4337">
        <v>0</v>
      </c>
      <c r="DC4337" t="s">
        <v>134</v>
      </c>
      <c r="DD4337" t="s">
        <v>135</v>
      </c>
      <c r="DG4337">
        <v>3323246</v>
      </c>
      <c r="DI4337">
        <v>1</v>
      </c>
      <c r="DJ4337">
        <v>0</v>
      </c>
      <c r="DK4337">
        <v>1</v>
      </c>
      <c r="DL4337">
        <v>0</v>
      </c>
      <c r="DM4337">
        <v>0</v>
      </c>
      <c r="DN4337">
        <v>0</v>
      </c>
      <c r="DO4337">
        <v>0</v>
      </c>
      <c r="DP4337">
        <v>0</v>
      </c>
      <c r="DQ4337">
        <v>0</v>
      </c>
      <c r="DR4337">
        <v>0</v>
      </c>
      <c r="DS4337">
        <v>0</v>
      </c>
    </row>
    <row r="4338" spans="1:123" x14ac:dyDescent="0.3">
      <c r="A4338" t="str">
        <f>"05/01/2025 15:16:35.084"</f>
        <v>05/01/2025 15:16:35.084</v>
      </c>
      <c r="C4338" t="str">
        <f t="shared" si="1698"/>
        <v>FFDFD3C0</v>
      </c>
      <c r="D4338" t="s">
        <v>124</v>
      </c>
      <c r="E4338" t="str">
        <f>"06"</f>
        <v>06</v>
      </c>
      <c r="F4338">
        <v>2006</v>
      </c>
      <c r="G4338" t="s">
        <v>125</v>
      </c>
      <c r="J4338" t="s">
        <v>126</v>
      </c>
      <c r="K4338">
        <v>0</v>
      </c>
      <c r="L4338">
        <v>3</v>
      </c>
      <c r="M4338">
        <v>0</v>
      </c>
      <c r="N4338">
        <v>2</v>
      </c>
      <c r="O4338">
        <v>0</v>
      </c>
      <c r="P4338">
        <v>1</v>
      </c>
      <c r="Q4338">
        <v>0</v>
      </c>
      <c r="R4338" t="s">
        <v>127</v>
      </c>
      <c r="S4338" t="str">
        <f t="shared" si="1716"/>
        <v>15:16:34.000</v>
      </c>
      <c r="T4338" t="str">
        <f t="shared" si="1716"/>
        <v>15:16:34.000</v>
      </c>
      <c r="U4338" t="str">
        <f t="shared" si="1699"/>
        <v>A68FCB</v>
      </c>
      <c r="V4338">
        <v>0</v>
      </c>
      <c r="W4338">
        <v>0</v>
      </c>
      <c r="X4338">
        <v>2</v>
      </c>
      <c r="Y4338">
        <v>0</v>
      </c>
      <c r="AA4338">
        <v>1</v>
      </c>
      <c r="AB4338">
        <v>8</v>
      </c>
      <c r="AC4338">
        <v>3</v>
      </c>
      <c r="AD4338">
        <v>0</v>
      </c>
      <c r="AE4338">
        <v>9</v>
      </c>
      <c r="AF4338" t="s">
        <v>138</v>
      </c>
      <c r="AG4338">
        <v>0</v>
      </c>
      <c r="AH4338">
        <v>3</v>
      </c>
      <c r="AI4338">
        <v>2</v>
      </c>
      <c r="AJ4338">
        <v>0</v>
      </c>
      <c r="AK4338" t="s">
        <v>1378</v>
      </c>
      <c r="AL4338">
        <v>39.198982999999998</v>
      </c>
      <c r="AM4338" t="s">
        <v>1379</v>
      </c>
      <c r="AN4338">
        <v>-121.01464</v>
      </c>
      <c r="AO4338">
        <v>25</v>
      </c>
      <c r="AP4338">
        <v>4200</v>
      </c>
      <c r="AQ4338" t="s">
        <v>131</v>
      </c>
      <c r="AR4338">
        <v>35</v>
      </c>
      <c r="AS4338">
        <v>69</v>
      </c>
      <c r="AT4338">
        <v>-256</v>
      </c>
      <c r="BB4338" t="str">
        <f t="shared" si="1700"/>
        <v>1200</v>
      </c>
      <c r="BC4338">
        <v>1</v>
      </c>
      <c r="BD4338" t="str">
        <f t="shared" si="1701"/>
        <v xml:space="preserve">N52156  </v>
      </c>
      <c r="BE4338">
        <v>1</v>
      </c>
      <c r="BG4338">
        <v>0</v>
      </c>
      <c r="BH4338">
        <v>0</v>
      </c>
      <c r="BI4338">
        <v>0</v>
      </c>
      <c r="BJ4338">
        <v>4250</v>
      </c>
      <c r="BK4338">
        <v>50</v>
      </c>
      <c r="BL4338" t="s">
        <v>188</v>
      </c>
      <c r="BM4338">
        <v>1</v>
      </c>
      <c r="BN4338">
        <v>1</v>
      </c>
      <c r="BO4338">
        <v>0</v>
      </c>
      <c r="BP4338">
        <v>0</v>
      </c>
      <c r="BS4338">
        <v>0</v>
      </c>
      <c r="BT4338">
        <v>0</v>
      </c>
      <c r="BU4338">
        <v>0</v>
      </c>
      <c r="CE4338" t="str">
        <f t="shared" si="1717"/>
        <v>15:16:34.851</v>
      </c>
      <c r="CF4338">
        <v>851001885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4</v>
      </c>
      <c r="CY4338">
        <v>7</v>
      </c>
      <c r="CZ4338" t="s">
        <v>133</v>
      </c>
      <c r="DA4338">
        <v>275</v>
      </c>
      <c r="DB4338">
        <v>0</v>
      </c>
      <c r="DC4338" t="s">
        <v>134</v>
      </c>
      <c r="DD4338" t="s">
        <v>135</v>
      </c>
      <c r="DG4338">
        <v>3323246</v>
      </c>
      <c r="DI4338">
        <v>1</v>
      </c>
      <c r="DJ4338">
        <v>0</v>
      </c>
      <c r="DK4338">
        <v>1</v>
      </c>
      <c r="DL4338">
        <v>0</v>
      </c>
      <c r="DM4338">
        <v>0</v>
      </c>
      <c r="DN4338">
        <v>0</v>
      </c>
      <c r="DO4338">
        <v>0</v>
      </c>
      <c r="DP4338">
        <v>0</v>
      </c>
      <c r="DQ4338">
        <v>0</v>
      </c>
      <c r="DR4338">
        <v>0</v>
      </c>
      <c r="DS4338">
        <v>0</v>
      </c>
    </row>
    <row r="4339" spans="1:123" x14ac:dyDescent="0.3">
      <c r="A4339" t="str">
        <f>"05/01/2025 15:16:35.086"</f>
        <v>05/01/2025 15:16:35.086</v>
      </c>
      <c r="C4339" t="str">
        <f t="shared" si="1698"/>
        <v>FFDFD3C0</v>
      </c>
      <c r="D4339" t="s">
        <v>143</v>
      </c>
      <c r="E4339" t="str">
        <f>"05"</f>
        <v>05</v>
      </c>
      <c r="H4339">
        <v>172</v>
      </c>
      <c r="I4339" t="s">
        <v>141</v>
      </c>
      <c r="J4339" t="s">
        <v>144</v>
      </c>
      <c r="K4339">
        <v>0</v>
      </c>
      <c r="L4339">
        <v>3</v>
      </c>
      <c r="M4339">
        <v>0</v>
      </c>
      <c r="N4339">
        <v>2</v>
      </c>
      <c r="O4339">
        <v>0</v>
      </c>
      <c r="P4339">
        <v>1</v>
      </c>
      <c r="Q4339">
        <v>0</v>
      </c>
      <c r="R4339" t="s">
        <v>127</v>
      </c>
      <c r="S4339" t="str">
        <f t="shared" si="1716"/>
        <v>15:16:34.000</v>
      </c>
      <c r="T4339" t="str">
        <f t="shared" si="1716"/>
        <v>15:16:34.000</v>
      </c>
      <c r="U4339" t="str">
        <f t="shared" si="1699"/>
        <v>A68FCB</v>
      </c>
      <c r="V4339">
        <v>0</v>
      </c>
      <c r="W4339">
        <v>0</v>
      </c>
      <c r="X4339">
        <v>2</v>
      </c>
      <c r="Y4339">
        <v>0</v>
      </c>
      <c r="AA4339">
        <v>1</v>
      </c>
      <c r="AB4339">
        <v>8</v>
      </c>
      <c r="AC4339">
        <v>3</v>
      </c>
      <c r="AD4339">
        <v>0</v>
      </c>
      <c r="AE4339">
        <v>9</v>
      </c>
      <c r="AF4339" t="s">
        <v>138</v>
      </c>
      <c r="AG4339">
        <v>0</v>
      </c>
      <c r="AH4339">
        <v>3</v>
      </c>
      <c r="AI4339">
        <v>2</v>
      </c>
      <c r="AJ4339">
        <v>0</v>
      </c>
      <c r="AK4339" t="s">
        <v>1378</v>
      </c>
      <c r="AL4339">
        <v>39.198982999999998</v>
      </c>
      <c r="AM4339" t="s">
        <v>1379</v>
      </c>
      <c r="AN4339">
        <v>-121.01464</v>
      </c>
      <c r="AO4339">
        <v>25</v>
      </c>
      <c r="AP4339">
        <v>4200</v>
      </c>
      <c r="AQ4339" t="s">
        <v>131</v>
      </c>
      <c r="AR4339">
        <v>35</v>
      </c>
      <c r="AS4339">
        <v>69</v>
      </c>
      <c r="AT4339">
        <v>-256</v>
      </c>
      <c r="BB4339" t="str">
        <f t="shared" si="1700"/>
        <v>1200</v>
      </c>
      <c r="BC4339">
        <v>1</v>
      </c>
      <c r="BD4339" t="str">
        <f t="shared" si="1701"/>
        <v xml:space="preserve">N52156  </v>
      </c>
      <c r="BE4339">
        <v>1</v>
      </c>
      <c r="BG4339">
        <v>0</v>
      </c>
      <c r="BH4339">
        <v>0</v>
      </c>
      <c r="BI4339">
        <v>0</v>
      </c>
      <c r="BJ4339">
        <v>4250</v>
      </c>
      <c r="BK4339">
        <v>50</v>
      </c>
      <c r="BL4339" t="s">
        <v>188</v>
      </c>
      <c r="BM4339">
        <v>1</v>
      </c>
      <c r="BN4339">
        <v>1</v>
      </c>
      <c r="BO4339">
        <v>0</v>
      </c>
      <c r="BP4339">
        <v>0</v>
      </c>
      <c r="BS4339">
        <v>0</v>
      </c>
      <c r="BT4339">
        <v>0</v>
      </c>
      <c r="BU4339">
        <v>0</v>
      </c>
      <c r="CE4339" t="str">
        <f t="shared" si="1717"/>
        <v>15:16:34.851</v>
      </c>
      <c r="CF4339">
        <v>851001885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4</v>
      </c>
      <c r="CY4339">
        <v>7</v>
      </c>
      <c r="CZ4339" t="s">
        <v>133</v>
      </c>
      <c r="DA4339">
        <v>275</v>
      </c>
      <c r="DB4339">
        <v>0</v>
      </c>
      <c r="DC4339" t="s">
        <v>134</v>
      </c>
      <c r="DD4339" t="s">
        <v>135</v>
      </c>
      <c r="DG4339">
        <v>3323246</v>
      </c>
      <c r="DI4339">
        <v>1</v>
      </c>
      <c r="DJ4339">
        <v>0</v>
      </c>
      <c r="DK4339">
        <v>1</v>
      </c>
      <c r="DL4339">
        <v>0</v>
      </c>
      <c r="DM4339">
        <v>0</v>
      </c>
      <c r="DN4339">
        <v>0</v>
      </c>
      <c r="DO4339">
        <v>0</v>
      </c>
      <c r="DP4339">
        <v>0</v>
      </c>
      <c r="DQ4339">
        <v>0</v>
      </c>
      <c r="DR4339">
        <v>0</v>
      </c>
      <c r="DS4339">
        <v>0</v>
      </c>
    </row>
    <row r="4340" spans="1:123" x14ac:dyDescent="0.3">
      <c r="A4340" t="str">
        <f>"05/01/2025 15:16:35.985"</f>
        <v>05/01/2025 15:16:35.985</v>
      </c>
      <c r="C4340" t="str">
        <f t="shared" si="1698"/>
        <v>FFDFD3C0</v>
      </c>
      <c r="D4340" t="s">
        <v>124</v>
      </c>
      <c r="E4340" t="str">
        <f>"06"</f>
        <v>06</v>
      </c>
      <c r="F4340">
        <v>2006</v>
      </c>
      <c r="G4340" t="s">
        <v>125</v>
      </c>
      <c r="J4340" t="s">
        <v>126</v>
      </c>
      <c r="K4340">
        <v>0</v>
      </c>
      <c r="L4340">
        <v>3</v>
      </c>
      <c r="M4340">
        <v>0</v>
      </c>
      <c r="N4340">
        <v>2</v>
      </c>
      <c r="O4340">
        <v>0</v>
      </c>
      <c r="P4340">
        <v>1</v>
      </c>
      <c r="Q4340">
        <v>0</v>
      </c>
      <c r="R4340" t="s">
        <v>127</v>
      </c>
      <c r="S4340" t="str">
        <f t="shared" ref="S4340:T4345" si="1718">"15:16:35.000"</f>
        <v>15:16:35.000</v>
      </c>
      <c r="T4340" t="str">
        <f t="shared" si="1718"/>
        <v>15:16:35.000</v>
      </c>
      <c r="U4340" t="str">
        <f t="shared" si="1699"/>
        <v>A68FCB</v>
      </c>
      <c r="V4340">
        <v>0</v>
      </c>
      <c r="W4340">
        <v>0</v>
      </c>
      <c r="X4340">
        <v>2</v>
      </c>
      <c r="Y4340">
        <v>0</v>
      </c>
      <c r="AA4340">
        <v>1</v>
      </c>
      <c r="AB4340">
        <v>8</v>
      </c>
      <c r="AC4340">
        <v>3</v>
      </c>
      <c r="AD4340">
        <v>0</v>
      </c>
      <c r="AE4340">
        <v>9</v>
      </c>
      <c r="AF4340" t="s">
        <v>138</v>
      </c>
      <c r="AG4340">
        <v>0</v>
      </c>
      <c r="AH4340">
        <v>3</v>
      </c>
      <c r="AI4340">
        <v>2</v>
      </c>
      <c r="AJ4340">
        <v>0</v>
      </c>
      <c r="AK4340" t="s">
        <v>1380</v>
      </c>
      <c r="AL4340">
        <v>39.199305000000003</v>
      </c>
      <c r="AM4340" t="s">
        <v>1381</v>
      </c>
      <c r="AN4340">
        <v>-121.014426</v>
      </c>
      <c r="AO4340">
        <v>25</v>
      </c>
      <c r="AP4340">
        <v>4200</v>
      </c>
      <c r="AQ4340" t="s">
        <v>131</v>
      </c>
      <c r="AR4340">
        <v>36</v>
      </c>
      <c r="AS4340">
        <v>69</v>
      </c>
      <c r="AT4340">
        <v>-192</v>
      </c>
      <c r="BB4340" t="str">
        <f t="shared" si="1700"/>
        <v>1200</v>
      </c>
      <c r="BC4340">
        <v>1</v>
      </c>
      <c r="BD4340" t="str">
        <f t="shared" si="1701"/>
        <v xml:space="preserve">N52156  </v>
      </c>
      <c r="BE4340">
        <v>1</v>
      </c>
      <c r="BG4340">
        <v>0</v>
      </c>
      <c r="BH4340">
        <v>0</v>
      </c>
      <c r="BI4340">
        <v>0</v>
      </c>
      <c r="BJ4340">
        <v>4250</v>
      </c>
      <c r="BK4340">
        <v>50</v>
      </c>
      <c r="BL4340" t="s">
        <v>188</v>
      </c>
      <c r="BM4340">
        <v>1</v>
      </c>
      <c r="BN4340">
        <v>1</v>
      </c>
      <c r="BO4340">
        <v>0</v>
      </c>
      <c r="BP4340">
        <v>0</v>
      </c>
      <c r="BS4340">
        <v>0</v>
      </c>
      <c r="BT4340">
        <v>0</v>
      </c>
      <c r="BU4340">
        <v>0</v>
      </c>
      <c r="CE4340" t="str">
        <f t="shared" ref="CE4340:CE4345" si="1719">"15:16:35.779"</f>
        <v>15:16:35.779</v>
      </c>
      <c r="CF4340">
        <v>778751811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4</v>
      </c>
      <c r="CY4340">
        <v>7</v>
      </c>
      <c r="CZ4340" t="s">
        <v>133</v>
      </c>
      <c r="DA4340">
        <v>275</v>
      </c>
      <c r="DB4340">
        <v>0</v>
      </c>
      <c r="DC4340" t="s">
        <v>134</v>
      </c>
      <c r="DD4340" t="s">
        <v>135</v>
      </c>
      <c r="DG4340">
        <v>3323249</v>
      </c>
      <c r="DI4340">
        <v>1</v>
      </c>
      <c r="DJ4340">
        <v>0</v>
      </c>
      <c r="DK4340">
        <v>0</v>
      </c>
      <c r="DL4340">
        <v>0</v>
      </c>
      <c r="DM4340">
        <v>0</v>
      </c>
      <c r="DN4340">
        <v>0</v>
      </c>
      <c r="DO4340">
        <v>0</v>
      </c>
      <c r="DP4340">
        <v>0</v>
      </c>
      <c r="DQ4340">
        <v>0</v>
      </c>
      <c r="DR4340">
        <v>0</v>
      </c>
      <c r="DS4340">
        <v>0</v>
      </c>
    </row>
    <row r="4341" spans="1:123" x14ac:dyDescent="0.3">
      <c r="A4341" t="str">
        <f>"05/01/2025 15:16:35.985"</f>
        <v>05/01/2025 15:16:35.985</v>
      </c>
      <c r="C4341" t="str">
        <f t="shared" si="1698"/>
        <v>FFDFD3C0</v>
      </c>
      <c r="D4341" t="s">
        <v>140</v>
      </c>
      <c r="E4341" t="str">
        <f>"13"</f>
        <v>13</v>
      </c>
      <c r="F4341">
        <v>1019</v>
      </c>
      <c r="G4341" t="s">
        <v>141</v>
      </c>
      <c r="J4341" t="s">
        <v>142</v>
      </c>
      <c r="K4341">
        <v>0</v>
      </c>
      <c r="L4341">
        <v>3</v>
      </c>
      <c r="M4341">
        <v>0</v>
      </c>
      <c r="N4341">
        <v>2</v>
      </c>
      <c r="O4341">
        <v>0</v>
      </c>
      <c r="P4341">
        <v>1</v>
      </c>
      <c r="Q4341">
        <v>0</v>
      </c>
      <c r="R4341" t="s">
        <v>127</v>
      </c>
      <c r="S4341" t="str">
        <f t="shared" si="1718"/>
        <v>15:16:35.000</v>
      </c>
      <c r="T4341" t="str">
        <f t="shared" si="1718"/>
        <v>15:16:35.000</v>
      </c>
      <c r="U4341" t="str">
        <f t="shared" si="1699"/>
        <v>A68FCB</v>
      </c>
      <c r="V4341">
        <v>0</v>
      </c>
      <c r="W4341">
        <v>0</v>
      </c>
      <c r="X4341">
        <v>2</v>
      </c>
      <c r="Y4341">
        <v>0</v>
      </c>
      <c r="AA4341">
        <v>1</v>
      </c>
      <c r="AB4341">
        <v>8</v>
      </c>
      <c r="AC4341">
        <v>3</v>
      </c>
      <c r="AD4341">
        <v>0</v>
      </c>
      <c r="AE4341">
        <v>9</v>
      </c>
      <c r="AF4341" t="s">
        <v>138</v>
      </c>
      <c r="AG4341">
        <v>0</v>
      </c>
      <c r="AH4341">
        <v>3</v>
      </c>
      <c r="AI4341">
        <v>2</v>
      </c>
      <c r="AJ4341">
        <v>0</v>
      </c>
      <c r="AK4341" t="s">
        <v>1380</v>
      </c>
      <c r="AL4341">
        <v>39.199305000000003</v>
      </c>
      <c r="AM4341" t="s">
        <v>1381</v>
      </c>
      <c r="AN4341">
        <v>-121.014426</v>
      </c>
      <c r="AO4341">
        <v>25</v>
      </c>
      <c r="AP4341">
        <v>4200</v>
      </c>
      <c r="AQ4341" t="s">
        <v>131</v>
      </c>
      <c r="AR4341">
        <v>36</v>
      </c>
      <c r="AS4341">
        <v>69</v>
      </c>
      <c r="AT4341">
        <v>-192</v>
      </c>
      <c r="BB4341" t="str">
        <f t="shared" si="1700"/>
        <v>1200</v>
      </c>
      <c r="BC4341">
        <v>1</v>
      </c>
      <c r="BD4341" t="str">
        <f t="shared" si="1701"/>
        <v xml:space="preserve">N52156  </v>
      </c>
      <c r="BE4341">
        <v>1</v>
      </c>
      <c r="BG4341">
        <v>0</v>
      </c>
      <c r="BH4341">
        <v>0</v>
      </c>
      <c r="BI4341">
        <v>0</v>
      </c>
      <c r="BJ4341">
        <v>4250</v>
      </c>
      <c r="BK4341">
        <v>50</v>
      </c>
      <c r="BL4341" t="s">
        <v>188</v>
      </c>
      <c r="BM4341">
        <v>1</v>
      </c>
      <c r="BN4341">
        <v>1</v>
      </c>
      <c r="BO4341">
        <v>0</v>
      </c>
      <c r="BP4341">
        <v>0</v>
      </c>
      <c r="BS4341">
        <v>0</v>
      </c>
      <c r="BT4341">
        <v>0</v>
      </c>
      <c r="BU4341">
        <v>0</v>
      </c>
      <c r="CE4341" t="str">
        <f t="shared" si="1719"/>
        <v>15:16:35.779</v>
      </c>
      <c r="CF4341">
        <v>778751811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4</v>
      </c>
      <c r="CY4341">
        <v>7</v>
      </c>
      <c r="CZ4341" t="s">
        <v>133</v>
      </c>
      <c r="DA4341">
        <v>275</v>
      </c>
      <c r="DB4341">
        <v>0</v>
      </c>
      <c r="DC4341" t="s">
        <v>134</v>
      </c>
      <c r="DD4341" t="s">
        <v>135</v>
      </c>
      <c r="DG4341">
        <v>3323249</v>
      </c>
      <c r="DI4341">
        <v>1</v>
      </c>
      <c r="DJ4341">
        <v>0</v>
      </c>
      <c r="DK4341">
        <v>1</v>
      </c>
      <c r="DL4341">
        <v>0</v>
      </c>
      <c r="DM4341">
        <v>0</v>
      </c>
      <c r="DN4341">
        <v>0</v>
      </c>
      <c r="DO4341">
        <v>0</v>
      </c>
      <c r="DP4341">
        <v>0</v>
      </c>
      <c r="DQ4341">
        <v>0</v>
      </c>
      <c r="DR4341">
        <v>0</v>
      </c>
      <c r="DS4341">
        <v>0</v>
      </c>
    </row>
    <row r="4342" spans="1:123" x14ac:dyDescent="0.3">
      <c r="A4342" t="str">
        <f>"05/01/2025 15:16:35.988"</f>
        <v>05/01/2025 15:16:35.988</v>
      </c>
      <c r="C4342" t="str">
        <f t="shared" si="1698"/>
        <v>FFDFD3C0</v>
      </c>
      <c r="D4342" t="s">
        <v>143</v>
      </c>
      <c r="E4342" t="str">
        <f>"05"</f>
        <v>05</v>
      </c>
      <c r="H4342">
        <v>172</v>
      </c>
      <c r="I4342" t="s">
        <v>141</v>
      </c>
      <c r="J4342" t="s">
        <v>144</v>
      </c>
      <c r="K4342">
        <v>0</v>
      </c>
      <c r="L4342">
        <v>3</v>
      </c>
      <c r="M4342">
        <v>0</v>
      </c>
      <c r="N4342">
        <v>2</v>
      </c>
      <c r="O4342">
        <v>0</v>
      </c>
      <c r="P4342">
        <v>1</v>
      </c>
      <c r="Q4342">
        <v>0</v>
      </c>
      <c r="R4342" t="s">
        <v>127</v>
      </c>
      <c r="S4342" t="str">
        <f t="shared" si="1718"/>
        <v>15:16:35.000</v>
      </c>
      <c r="T4342" t="str">
        <f t="shared" si="1718"/>
        <v>15:16:35.000</v>
      </c>
      <c r="U4342" t="str">
        <f t="shared" si="1699"/>
        <v>A68FCB</v>
      </c>
      <c r="V4342">
        <v>0</v>
      </c>
      <c r="W4342">
        <v>0</v>
      </c>
      <c r="X4342">
        <v>2</v>
      </c>
      <c r="Y4342">
        <v>0</v>
      </c>
      <c r="AA4342">
        <v>1</v>
      </c>
      <c r="AB4342">
        <v>8</v>
      </c>
      <c r="AC4342">
        <v>3</v>
      </c>
      <c r="AD4342">
        <v>0</v>
      </c>
      <c r="AE4342">
        <v>9</v>
      </c>
      <c r="AF4342" t="s">
        <v>138</v>
      </c>
      <c r="AG4342">
        <v>0</v>
      </c>
      <c r="AH4342">
        <v>3</v>
      </c>
      <c r="AI4342">
        <v>2</v>
      </c>
      <c r="AJ4342">
        <v>0</v>
      </c>
      <c r="AK4342" t="s">
        <v>1380</v>
      </c>
      <c r="AL4342">
        <v>39.199305000000003</v>
      </c>
      <c r="AM4342" t="s">
        <v>1381</v>
      </c>
      <c r="AN4342">
        <v>-121.014426</v>
      </c>
      <c r="AO4342">
        <v>25</v>
      </c>
      <c r="AP4342">
        <v>4200</v>
      </c>
      <c r="AQ4342" t="s">
        <v>131</v>
      </c>
      <c r="AR4342">
        <v>36</v>
      </c>
      <c r="AS4342">
        <v>69</v>
      </c>
      <c r="AT4342">
        <v>-192</v>
      </c>
      <c r="BB4342" t="str">
        <f t="shared" si="1700"/>
        <v>1200</v>
      </c>
      <c r="BC4342">
        <v>1</v>
      </c>
      <c r="BD4342" t="str">
        <f t="shared" si="1701"/>
        <v xml:space="preserve">N52156  </v>
      </c>
      <c r="BE4342">
        <v>1</v>
      </c>
      <c r="BG4342">
        <v>0</v>
      </c>
      <c r="BH4342">
        <v>0</v>
      </c>
      <c r="BI4342">
        <v>0</v>
      </c>
      <c r="BJ4342">
        <v>4250</v>
      </c>
      <c r="BK4342">
        <v>50</v>
      </c>
      <c r="BL4342" t="s">
        <v>188</v>
      </c>
      <c r="BM4342">
        <v>1</v>
      </c>
      <c r="BN4342">
        <v>1</v>
      </c>
      <c r="BO4342">
        <v>0</v>
      </c>
      <c r="BP4342">
        <v>0</v>
      </c>
      <c r="BS4342">
        <v>0</v>
      </c>
      <c r="BT4342">
        <v>0</v>
      </c>
      <c r="BU4342">
        <v>0</v>
      </c>
      <c r="CE4342" t="str">
        <f t="shared" si="1719"/>
        <v>15:16:35.779</v>
      </c>
      <c r="CF4342">
        <v>778751811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4</v>
      </c>
      <c r="CY4342">
        <v>7</v>
      </c>
      <c r="CZ4342" t="s">
        <v>133</v>
      </c>
      <c r="DA4342">
        <v>275</v>
      </c>
      <c r="DB4342">
        <v>0</v>
      </c>
      <c r="DC4342" t="s">
        <v>134</v>
      </c>
      <c r="DD4342" t="s">
        <v>135</v>
      </c>
      <c r="DG4342">
        <v>3323249</v>
      </c>
      <c r="DI4342">
        <v>1</v>
      </c>
      <c r="DJ4342">
        <v>0</v>
      </c>
      <c r="DK4342">
        <v>1</v>
      </c>
      <c r="DL4342">
        <v>0</v>
      </c>
      <c r="DM4342">
        <v>0</v>
      </c>
      <c r="DN4342">
        <v>0</v>
      </c>
      <c r="DO4342">
        <v>0</v>
      </c>
      <c r="DP4342">
        <v>0</v>
      </c>
      <c r="DQ4342">
        <v>0</v>
      </c>
      <c r="DR4342">
        <v>0</v>
      </c>
      <c r="DS4342">
        <v>0</v>
      </c>
    </row>
    <row r="4343" spans="1:123" x14ac:dyDescent="0.3">
      <c r="A4343" t="str">
        <f>"05/01/2025 15:16:36.001"</f>
        <v>05/01/2025 15:16:36.001</v>
      </c>
      <c r="C4343" t="str">
        <f t="shared" si="1698"/>
        <v>FFDFD3C0</v>
      </c>
      <c r="D4343" t="s">
        <v>145</v>
      </c>
      <c r="E4343" t="str">
        <f>"09"</f>
        <v>09</v>
      </c>
      <c r="H4343">
        <v>51</v>
      </c>
      <c r="I4343" t="s">
        <v>147</v>
      </c>
      <c r="J4343" t="s">
        <v>138</v>
      </c>
      <c r="K4343">
        <v>0</v>
      </c>
      <c r="L4343">
        <v>3</v>
      </c>
      <c r="M4343">
        <v>0</v>
      </c>
      <c r="N4343">
        <v>2</v>
      </c>
      <c r="O4343">
        <v>0</v>
      </c>
      <c r="P4343">
        <v>1</v>
      </c>
      <c r="Q4343">
        <v>0</v>
      </c>
      <c r="R4343" t="s">
        <v>127</v>
      </c>
      <c r="S4343" t="str">
        <f t="shared" si="1718"/>
        <v>15:16:35.000</v>
      </c>
      <c r="T4343" t="str">
        <f t="shared" si="1718"/>
        <v>15:16:35.000</v>
      </c>
      <c r="U4343" t="str">
        <f t="shared" si="1699"/>
        <v>A68FCB</v>
      </c>
      <c r="V4343">
        <v>0</v>
      </c>
      <c r="W4343">
        <v>0</v>
      </c>
      <c r="X4343">
        <v>2</v>
      </c>
      <c r="Y4343">
        <v>0</v>
      </c>
      <c r="AA4343">
        <v>1</v>
      </c>
      <c r="AB4343">
        <v>8</v>
      </c>
      <c r="AC4343">
        <v>3</v>
      </c>
      <c r="AD4343">
        <v>0</v>
      </c>
      <c r="AE4343">
        <v>9</v>
      </c>
      <c r="AF4343" t="s">
        <v>138</v>
      </c>
      <c r="AG4343">
        <v>0</v>
      </c>
      <c r="AH4343">
        <v>3</v>
      </c>
      <c r="AI4343">
        <v>2</v>
      </c>
      <c r="AJ4343">
        <v>0</v>
      </c>
      <c r="AK4343" t="s">
        <v>1380</v>
      </c>
      <c r="AL4343">
        <v>39.199305000000003</v>
      </c>
      <c r="AM4343" t="s">
        <v>1381</v>
      </c>
      <c r="AN4343">
        <v>-121.014426</v>
      </c>
      <c r="AO4343">
        <v>25</v>
      </c>
      <c r="AP4343">
        <v>4200</v>
      </c>
      <c r="AQ4343" t="s">
        <v>131</v>
      </c>
      <c r="AR4343">
        <v>36</v>
      </c>
      <c r="AS4343">
        <v>69</v>
      </c>
      <c r="AT4343">
        <v>-192</v>
      </c>
      <c r="BB4343" t="str">
        <f t="shared" si="1700"/>
        <v>1200</v>
      </c>
      <c r="BC4343">
        <v>1</v>
      </c>
      <c r="BD4343" t="str">
        <f t="shared" si="1701"/>
        <v xml:space="preserve">N52156  </v>
      </c>
      <c r="BE4343">
        <v>1</v>
      </c>
      <c r="BG4343">
        <v>0</v>
      </c>
      <c r="BH4343">
        <v>0</v>
      </c>
      <c r="BI4343">
        <v>0</v>
      </c>
      <c r="BJ4343">
        <v>4250</v>
      </c>
      <c r="BK4343">
        <v>50</v>
      </c>
      <c r="BL4343" t="s">
        <v>188</v>
      </c>
      <c r="BM4343">
        <v>1</v>
      </c>
      <c r="BN4343">
        <v>1</v>
      </c>
      <c r="BO4343">
        <v>0</v>
      </c>
      <c r="BP4343">
        <v>0</v>
      </c>
      <c r="BS4343">
        <v>0</v>
      </c>
      <c r="BT4343">
        <v>0</v>
      </c>
      <c r="BU4343">
        <v>0</v>
      </c>
      <c r="CE4343" t="str">
        <f t="shared" si="1719"/>
        <v>15:16:35.779</v>
      </c>
      <c r="CF4343">
        <v>778751811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4</v>
      </c>
      <c r="CY4343">
        <v>7</v>
      </c>
      <c r="CZ4343" t="s">
        <v>133</v>
      </c>
      <c r="DA4343">
        <v>275</v>
      </c>
      <c r="DB4343">
        <v>0</v>
      </c>
      <c r="DC4343" t="s">
        <v>134</v>
      </c>
      <c r="DD4343" t="s">
        <v>135</v>
      </c>
      <c r="DG4343">
        <v>3323249</v>
      </c>
      <c r="DI4343">
        <v>1</v>
      </c>
      <c r="DJ4343">
        <v>0</v>
      </c>
      <c r="DK4343">
        <v>1</v>
      </c>
      <c r="DL4343">
        <v>0</v>
      </c>
      <c r="DM4343">
        <v>0</v>
      </c>
      <c r="DN4343">
        <v>0</v>
      </c>
      <c r="DO4343">
        <v>0</v>
      </c>
      <c r="DP4343">
        <v>0</v>
      </c>
      <c r="DQ4343">
        <v>0</v>
      </c>
      <c r="DR4343">
        <v>0</v>
      </c>
      <c r="DS4343">
        <v>0</v>
      </c>
    </row>
    <row r="4344" spans="1:123" x14ac:dyDescent="0.3">
      <c r="A4344" t="str">
        <f>"05/01/2025 15:16:36.005"</f>
        <v>05/01/2025 15:16:36.005</v>
      </c>
      <c r="C4344" t="str">
        <f t="shared" si="1698"/>
        <v>FFDFD3C0</v>
      </c>
      <c r="D4344" t="s">
        <v>145</v>
      </c>
      <c r="E4344" t="str">
        <f>"05"</f>
        <v>05</v>
      </c>
      <c r="H4344">
        <v>47</v>
      </c>
      <c r="I4344" t="s">
        <v>146</v>
      </c>
      <c r="J4344" t="s">
        <v>138</v>
      </c>
      <c r="K4344">
        <v>0</v>
      </c>
      <c r="L4344">
        <v>3</v>
      </c>
      <c r="M4344">
        <v>0</v>
      </c>
      <c r="N4344">
        <v>2</v>
      </c>
      <c r="O4344">
        <v>0</v>
      </c>
      <c r="P4344">
        <v>1</v>
      </c>
      <c r="Q4344">
        <v>0</v>
      </c>
      <c r="R4344" t="s">
        <v>127</v>
      </c>
      <c r="S4344" t="str">
        <f t="shared" si="1718"/>
        <v>15:16:35.000</v>
      </c>
      <c r="T4344" t="str">
        <f t="shared" si="1718"/>
        <v>15:16:35.000</v>
      </c>
      <c r="U4344" t="str">
        <f t="shared" si="1699"/>
        <v>A68FCB</v>
      </c>
      <c r="V4344">
        <v>0</v>
      </c>
      <c r="W4344">
        <v>0</v>
      </c>
      <c r="X4344">
        <v>2</v>
      </c>
      <c r="Y4344">
        <v>0</v>
      </c>
      <c r="AA4344">
        <v>1</v>
      </c>
      <c r="AB4344">
        <v>8</v>
      </c>
      <c r="AC4344">
        <v>3</v>
      </c>
      <c r="AD4344">
        <v>0</v>
      </c>
      <c r="AE4344">
        <v>9</v>
      </c>
      <c r="AF4344" t="s">
        <v>138</v>
      </c>
      <c r="AG4344">
        <v>0</v>
      </c>
      <c r="AH4344">
        <v>3</v>
      </c>
      <c r="AI4344">
        <v>2</v>
      </c>
      <c r="AJ4344">
        <v>0</v>
      </c>
      <c r="AK4344" t="s">
        <v>1380</v>
      </c>
      <c r="AL4344">
        <v>39.199305000000003</v>
      </c>
      <c r="AM4344" t="s">
        <v>1381</v>
      </c>
      <c r="AN4344">
        <v>-121.014426</v>
      </c>
      <c r="AO4344">
        <v>25</v>
      </c>
      <c r="AP4344">
        <v>4200</v>
      </c>
      <c r="AQ4344" t="s">
        <v>131</v>
      </c>
      <c r="AR4344">
        <v>36</v>
      </c>
      <c r="AS4344">
        <v>69</v>
      </c>
      <c r="AT4344">
        <v>-192</v>
      </c>
      <c r="BB4344" t="str">
        <f t="shared" si="1700"/>
        <v>1200</v>
      </c>
      <c r="BC4344">
        <v>1</v>
      </c>
      <c r="BD4344" t="str">
        <f t="shared" si="1701"/>
        <v xml:space="preserve">N52156  </v>
      </c>
      <c r="BE4344">
        <v>1</v>
      </c>
      <c r="BG4344">
        <v>0</v>
      </c>
      <c r="BH4344">
        <v>0</v>
      </c>
      <c r="BI4344">
        <v>0</v>
      </c>
      <c r="BJ4344">
        <v>4250</v>
      </c>
      <c r="BK4344">
        <v>50</v>
      </c>
      <c r="BL4344" t="s">
        <v>188</v>
      </c>
      <c r="BM4344">
        <v>1</v>
      </c>
      <c r="BN4344">
        <v>1</v>
      </c>
      <c r="BO4344">
        <v>0</v>
      </c>
      <c r="BP4344">
        <v>0</v>
      </c>
      <c r="BS4344">
        <v>0</v>
      </c>
      <c r="BT4344">
        <v>0</v>
      </c>
      <c r="BU4344">
        <v>0</v>
      </c>
      <c r="CE4344" t="str">
        <f t="shared" si="1719"/>
        <v>15:16:35.779</v>
      </c>
      <c r="CF4344">
        <v>778751811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4</v>
      </c>
      <c r="CY4344">
        <v>7</v>
      </c>
      <c r="CZ4344" t="s">
        <v>133</v>
      </c>
      <c r="DA4344">
        <v>275</v>
      </c>
      <c r="DB4344">
        <v>0</v>
      </c>
      <c r="DC4344" t="s">
        <v>134</v>
      </c>
      <c r="DD4344" t="s">
        <v>135</v>
      </c>
      <c r="DG4344">
        <v>3323249</v>
      </c>
      <c r="DI4344">
        <v>1</v>
      </c>
      <c r="DJ4344">
        <v>0</v>
      </c>
      <c r="DK4344">
        <v>1</v>
      </c>
      <c r="DL4344">
        <v>0</v>
      </c>
      <c r="DM4344">
        <v>0</v>
      </c>
      <c r="DN4344">
        <v>0</v>
      </c>
      <c r="DO4344">
        <v>0</v>
      </c>
      <c r="DP4344">
        <v>0</v>
      </c>
      <c r="DQ4344">
        <v>0</v>
      </c>
      <c r="DR4344">
        <v>0</v>
      </c>
      <c r="DS4344">
        <v>0</v>
      </c>
    </row>
    <row r="4345" spans="1:123" x14ac:dyDescent="0.3">
      <c r="A4345" t="str">
        <f>"05/01/2025 15:16:36.017"</f>
        <v>05/01/2025 15:16:36.017</v>
      </c>
      <c r="C4345" t="str">
        <f t="shared" si="1698"/>
        <v>FFDFD3C0</v>
      </c>
      <c r="D4345" t="s">
        <v>136</v>
      </c>
      <c r="E4345" t="str">
        <f>"20"</f>
        <v>20</v>
      </c>
      <c r="H4345">
        <v>400</v>
      </c>
      <c r="I4345" t="s">
        <v>137</v>
      </c>
      <c r="J4345" t="s">
        <v>138</v>
      </c>
      <c r="K4345">
        <v>0</v>
      </c>
      <c r="L4345">
        <v>3</v>
      </c>
      <c r="M4345">
        <v>0</v>
      </c>
      <c r="N4345">
        <v>2</v>
      </c>
      <c r="O4345">
        <v>0</v>
      </c>
      <c r="P4345">
        <v>1</v>
      </c>
      <c r="Q4345">
        <v>0</v>
      </c>
      <c r="R4345" t="s">
        <v>127</v>
      </c>
      <c r="S4345" t="str">
        <f t="shared" si="1718"/>
        <v>15:16:35.000</v>
      </c>
      <c r="T4345" t="str">
        <f t="shared" si="1718"/>
        <v>15:16:35.000</v>
      </c>
      <c r="U4345" t="str">
        <f t="shared" si="1699"/>
        <v>A68FCB</v>
      </c>
      <c r="V4345">
        <v>0</v>
      </c>
      <c r="W4345">
        <v>0</v>
      </c>
      <c r="X4345">
        <v>2</v>
      </c>
      <c r="Y4345">
        <v>0</v>
      </c>
      <c r="AA4345">
        <v>1</v>
      </c>
      <c r="AB4345">
        <v>8</v>
      </c>
      <c r="AC4345">
        <v>3</v>
      </c>
      <c r="AD4345">
        <v>0</v>
      </c>
      <c r="AE4345">
        <v>9</v>
      </c>
      <c r="AF4345" t="s">
        <v>138</v>
      </c>
      <c r="AG4345">
        <v>0</v>
      </c>
      <c r="AH4345">
        <v>3</v>
      </c>
      <c r="AI4345">
        <v>2</v>
      </c>
      <c r="AJ4345">
        <v>0</v>
      </c>
      <c r="AK4345" t="s">
        <v>1380</v>
      </c>
      <c r="AL4345">
        <v>39.199305000000003</v>
      </c>
      <c r="AM4345" t="s">
        <v>1381</v>
      </c>
      <c r="AN4345">
        <v>-121.014426</v>
      </c>
      <c r="AO4345">
        <v>25</v>
      </c>
      <c r="AP4345">
        <v>4200</v>
      </c>
      <c r="AQ4345" t="s">
        <v>131</v>
      </c>
      <c r="AR4345">
        <v>36</v>
      </c>
      <c r="AS4345">
        <v>69</v>
      </c>
      <c r="AT4345">
        <v>-192</v>
      </c>
      <c r="BB4345" t="str">
        <f t="shared" si="1700"/>
        <v>1200</v>
      </c>
      <c r="BC4345">
        <v>1</v>
      </c>
      <c r="BD4345" t="str">
        <f t="shared" si="1701"/>
        <v xml:space="preserve">N52156  </v>
      </c>
      <c r="BE4345">
        <v>1</v>
      </c>
      <c r="BG4345">
        <v>0</v>
      </c>
      <c r="BH4345">
        <v>0</v>
      </c>
      <c r="BI4345">
        <v>0</v>
      </c>
      <c r="BJ4345">
        <v>4250</v>
      </c>
      <c r="BK4345">
        <v>50</v>
      </c>
      <c r="BL4345" t="s">
        <v>188</v>
      </c>
      <c r="BM4345">
        <v>1</v>
      </c>
      <c r="BN4345">
        <v>1</v>
      </c>
      <c r="BO4345">
        <v>0</v>
      </c>
      <c r="BP4345">
        <v>0</v>
      </c>
      <c r="BS4345">
        <v>0</v>
      </c>
      <c r="BT4345">
        <v>0</v>
      </c>
      <c r="BU4345">
        <v>0</v>
      </c>
      <c r="CE4345" t="str">
        <f t="shared" si="1719"/>
        <v>15:16:35.779</v>
      </c>
      <c r="CF4345">
        <v>778751811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4</v>
      </c>
      <c r="CY4345">
        <v>7</v>
      </c>
      <c r="CZ4345" t="s">
        <v>133</v>
      </c>
      <c r="DA4345">
        <v>275</v>
      </c>
      <c r="DB4345">
        <v>0</v>
      </c>
      <c r="DC4345" t="s">
        <v>134</v>
      </c>
      <c r="DD4345" t="s">
        <v>135</v>
      </c>
      <c r="DG4345">
        <v>3323249</v>
      </c>
      <c r="DI4345">
        <v>1</v>
      </c>
      <c r="DJ4345">
        <v>0</v>
      </c>
      <c r="DK4345">
        <v>1</v>
      </c>
      <c r="DL4345">
        <v>0</v>
      </c>
      <c r="DM4345">
        <v>0</v>
      </c>
      <c r="DN4345">
        <v>0</v>
      </c>
      <c r="DO4345">
        <v>0</v>
      </c>
      <c r="DP4345">
        <v>0</v>
      </c>
      <c r="DQ4345">
        <v>0</v>
      </c>
      <c r="DR4345">
        <v>0</v>
      </c>
      <c r="DS4345">
        <v>0</v>
      </c>
    </row>
    <row r="4346" spans="1:123" x14ac:dyDescent="0.3">
      <c r="A4346" t="str">
        <f>"05/01/2025 15:16:36.586"</f>
        <v>05/01/2025 15:16:36.586</v>
      </c>
      <c r="C4346" t="str">
        <f t="shared" si="1698"/>
        <v>FFDFD3C0</v>
      </c>
      <c r="D4346" t="s">
        <v>124</v>
      </c>
      <c r="E4346" t="str">
        <f>"06"</f>
        <v>06</v>
      </c>
      <c r="F4346">
        <v>2006</v>
      </c>
      <c r="G4346" t="s">
        <v>125</v>
      </c>
      <c r="J4346" t="s">
        <v>126</v>
      </c>
      <c r="K4346">
        <v>0</v>
      </c>
      <c r="L4346">
        <v>3</v>
      </c>
      <c r="M4346">
        <v>0</v>
      </c>
      <c r="N4346">
        <v>2</v>
      </c>
      <c r="O4346">
        <v>0</v>
      </c>
      <c r="P4346">
        <v>1</v>
      </c>
      <c r="Q4346">
        <v>0</v>
      </c>
      <c r="R4346" t="s">
        <v>127</v>
      </c>
      <c r="S4346" t="str">
        <f t="shared" ref="S4346:T4351" si="1720">"15:16:36.000"</f>
        <v>15:16:36.000</v>
      </c>
      <c r="T4346" t="str">
        <f t="shared" si="1720"/>
        <v>15:16:36.000</v>
      </c>
      <c r="U4346" t="str">
        <f t="shared" si="1699"/>
        <v>A68FCB</v>
      </c>
      <c r="V4346">
        <v>0</v>
      </c>
      <c r="W4346">
        <v>0</v>
      </c>
      <c r="X4346">
        <v>2</v>
      </c>
      <c r="Y4346">
        <v>0</v>
      </c>
      <c r="AA4346">
        <v>1</v>
      </c>
      <c r="AB4346">
        <v>8</v>
      </c>
      <c r="AC4346">
        <v>3</v>
      </c>
      <c r="AD4346">
        <v>0</v>
      </c>
      <c r="AE4346">
        <v>9</v>
      </c>
      <c r="AF4346" t="s">
        <v>138</v>
      </c>
      <c r="AG4346">
        <v>0</v>
      </c>
      <c r="AH4346">
        <v>3</v>
      </c>
      <c r="AI4346">
        <v>2</v>
      </c>
      <c r="AJ4346">
        <v>0</v>
      </c>
      <c r="AK4346" t="s">
        <v>1382</v>
      </c>
      <c r="AL4346">
        <v>39.199626000000002</v>
      </c>
      <c r="AM4346" t="s">
        <v>1383</v>
      </c>
      <c r="AN4346">
        <v>-121.014211</v>
      </c>
      <c r="AO4346">
        <v>25</v>
      </c>
      <c r="AP4346">
        <v>4200</v>
      </c>
      <c r="AQ4346" t="s">
        <v>131</v>
      </c>
      <c r="AR4346">
        <v>37</v>
      </c>
      <c r="AS4346">
        <v>69</v>
      </c>
      <c r="AT4346">
        <v>-192</v>
      </c>
      <c r="BB4346" t="str">
        <f t="shared" si="1700"/>
        <v>1200</v>
      </c>
      <c r="BC4346">
        <v>1</v>
      </c>
      <c r="BD4346" t="str">
        <f t="shared" si="1701"/>
        <v xml:space="preserve">N52156  </v>
      </c>
      <c r="BE4346">
        <v>1</v>
      </c>
      <c r="BG4346">
        <v>0</v>
      </c>
      <c r="BH4346">
        <v>0</v>
      </c>
      <c r="BI4346">
        <v>0</v>
      </c>
      <c r="BJ4346">
        <v>4250</v>
      </c>
      <c r="BK4346">
        <v>50</v>
      </c>
      <c r="BL4346" t="s">
        <v>188</v>
      </c>
      <c r="BM4346">
        <v>1</v>
      </c>
      <c r="BN4346">
        <v>1</v>
      </c>
      <c r="BO4346">
        <v>0</v>
      </c>
      <c r="BP4346">
        <v>0</v>
      </c>
      <c r="BS4346">
        <v>0</v>
      </c>
      <c r="BT4346">
        <v>0</v>
      </c>
      <c r="BU4346">
        <v>0</v>
      </c>
      <c r="CE4346" t="str">
        <f t="shared" ref="CE4346:CE4351" si="1721">"15:16:36.384"</f>
        <v>15:16:36.384</v>
      </c>
      <c r="CF4346">
        <v>383500881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4</v>
      </c>
      <c r="CY4346">
        <v>7</v>
      </c>
      <c r="CZ4346" t="s">
        <v>133</v>
      </c>
      <c r="DA4346">
        <v>275</v>
      </c>
      <c r="DB4346">
        <v>0</v>
      </c>
      <c r="DC4346" t="s">
        <v>134</v>
      </c>
      <c r="DD4346" t="s">
        <v>135</v>
      </c>
      <c r="DG4346">
        <v>3323250</v>
      </c>
      <c r="DI4346">
        <v>1</v>
      </c>
      <c r="DJ4346">
        <v>0</v>
      </c>
      <c r="DK4346">
        <v>0</v>
      </c>
      <c r="DL4346">
        <v>0</v>
      </c>
      <c r="DM4346">
        <v>0</v>
      </c>
      <c r="DN4346">
        <v>0</v>
      </c>
      <c r="DO4346">
        <v>0</v>
      </c>
      <c r="DP4346">
        <v>0</v>
      </c>
      <c r="DQ4346">
        <v>0</v>
      </c>
      <c r="DR4346">
        <v>0</v>
      </c>
      <c r="DS4346">
        <v>0</v>
      </c>
    </row>
    <row r="4347" spans="1:123" x14ac:dyDescent="0.3">
      <c r="A4347" t="str">
        <f>"05/01/2025 15:16:36.586"</f>
        <v>05/01/2025 15:16:36.586</v>
      </c>
      <c r="C4347" t="str">
        <f t="shared" si="1698"/>
        <v>FFDFD3C0</v>
      </c>
      <c r="D4347" t="s">
        <v>140</v>
      </c>
      <c r="E4347" t="str">
        <f>"13"</f>
        <v>13</v>
      </c>
      <c r="F4347">
        <v>1019</v>
      </c>
      <c r="G4347" t="s">
        <v>141</v>
      </c>
      <c r="J4347" t="s">
        <v>142</v>
      </c>
      <c r="K4347">
        <v>0</v>
      </c>
      <c r="L4347">
        <v>3</v>
      </c>
      <c r="M4347">
        <v>0</v>
      </c>
      <c r="N4347">
        <v>2</v>
      </c>
      <c r="O4347">
        <v>0</v>
      </c>
      <c r="P4347">
        <v>1</v>
      </c>
      <c r="Q4347">
        <v>0</v>
      </c>
      <c r="R4347" t="s">
        <v>127</v>
      </c>
      <c r="S4347" t="str">
        <f t="shared" si="1720"/>
        <v>15:16:36.000</v>
      </c>
      <c r="T4347" t="str">
        <f t="shared" si="1720"/>
        <v>15:16:36.000</v>
      </c>
      <c r="U4347" t="str">
        <f t="shared" si="1699"/>
        <v>A68FCB</v>
      </c>
      <c r="V4347">
        <v>0</v>
      </c>
      <c r="W4347">
        <v>0</v>
      </c>
      <c r="X4347">
        <v>2</v>
      </c>
      <c r="Y4347">
        <v>0</v>
      </c>
      <c r="AA4347">
        <v>1</v>
      </c>
      <c r="AB4347">
        <v>8</v>
      </c>
      <c r="AC4347">
        <v>3</v>
      </c>
      <c r="AD4347">
        <v>0</v>
      </c>
      <c r="AE4347">
        <v>9</v>
      </c>
      <c r="AF4347" t="s">
        <v>138</v>
      </c>
      <c r="AG4347">
        <v>0</v>
      </c>
      <c r="AH4347">
        <v>3</v>
      </c>
      <c r="AI4347">
        <v>2</v>
      </c>
      <c r="AJ4347">
        <v>0</v>
      </c>
      <c r="AK4347" t="s">
        <v>1382</v>
      </c>
      <c r="AL4347">
        <v>39.199626000000002</v>
      </c>
      <c r="AM4347" t="s">
        <v>1383</v>
      </c>
      <c r="AN4347">
        <v>-121.014211</v>
      </c>
      <c r="AO4347">
        <v>25</v>
      </c>
      <c r="AP4347">
        <v>4200</v>
      </c>
      <c r="AQ4347" t="s">
        <v>131</v>
      </c>
      <c r="AR4347">
        <v>37</v>
      </c>
      <c r="AS4347">
        <v>69</v>
      </c>
      <c r="AT4347">
        <v>-192</v>
      </c>
      <c r="BB4347" t="str">
        <f t="shared" si="1700"/>
        <v>1200</v>
      </c>
      <c r="BC4347">
        <v>1</v>
      </c>
      <c r="BD4347" t="str">
        <f t="shared" si="1701"/>
        <v xml:space="preserve">N52156  </v>
      </c>
      <c r="BE4347">
        <v>1</v>
      </c>
      <c r="BG4347">
        <v>0</v>
      </c>
      <c r="BH4347">
        <v>0</v>
      </c>
      <c r="BI4347">
        <v>0</v>
      </c>
      <c r="BJ4347">
        <v>4250</v>
      </c>
      <c r="BK4347">
        <v>50</v>
      </c>
      <c r="BL4347" t="s">
        <v>188</v>
      </c>
      <c r="BM4347">
        <v>1</v>
      </c>
      <c r="BN4347">
        <v>1</v>
      </c>
      <c r="BO4347">
        <v>0</v>
      </c>
      <c r="BP4347">
        <v>0</v>
      </c>
      <c r="BS4347">
        <v>0</v>
      </c>
      <c r="BT4347">
        <v>0</v>
      </c>
      <c r="BU4347">
        <v>0</v>
      </c>
      <c r="CE4347" t="str">
        <f t="shared" si="1721"/>
        <v>15:16:36.384</v>
      </c>
      <c r="CF4347">
        <v>383500881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4</v>
      </c>
      <c r="CY4347">
        <v>7</v>
      </c>
      <c r="CZ4347" t="s">
        <v>133</v>
      </c>
      <c r="DA4347">
        <v>275</v>
      </c>
      <c r="DB4347">
        <v>0</v>
      </c>
      <c r="DC4347" t="s">
        <v>134</v>
      </c>
      <c r="DD4347" t="s">
        <v>135</v>
      </c>
      <c r="DG4347">
        <v>3323250</v>
      </c>
      <c r="DI4347">
        <v>1</v>
      </c>
      <c r="DJ4347">
        <v>0</v>
      </c>
      <c r="DK4347">
        <v>1</v>
      </c>
      <c r="DL4347">
        <v>0</v>
      </c>
      <c r="DM4347">
        <v>0</v>
      </c>
      <c r="DN4347">
        <v>0</v>
      </c>
      <c r="DO4347">
        <v>0</v>
      </c>
      <c r="DP4347">
        <v>0</v>
      </c>
      <c r="DQ4347">
        <v>0</v>
      </c>
      <c r="DR4347">
        <v>0</v>
      </c>
      <c r="DS4347">
        <v>0</v>
      </c>
    </row>
    <row r="4348" spans="1:123" x14ac:dyDescent="0.3">
      <c r="A4348" t="str">
        <f>"05/01/2025 15:16:36.589"</f>
        <v>05/01/2025 15:16:36.589</v>
      </c>
      <c r="C4348" t="str">
        <f t="shared" si="1698"/>
        <v>FFDFD3C0</v>
      </c>
      <c r="D4348" t="s">
        <v>143</v>
      </c>
      <c r="E4348" t="str">
        <f>"05"</f>
        <v>05</v>
      </c>
      <c r="H4348">
        <v>172</v>
      </c>
      <c r="I4348" t="s">
        <v>141</v>
      </c>
      <c r="J4348" t="s">
        <v>144</v>
      </c>
      <c r="K4348">
        <v>0</v>
      </c>
      <c r="L4348">
        <v>3</v>
      </c>
      <c r="M4348">
        <v>0</v>
      </c>
      <c r="N4348">
        <v>2</v>
      </c>
      <c r="O4348">
        <v>0</v>
      </c>
      <c r="P4348">
        <v>1</v>
      </c>
      <c r="Q4348">
        <v>0</v>
      </c>
      <c r="R4348" t="s">
        <v>127</v>
      </c>
      <c r="S4348" t="str">
        <f t="shared" si="1720"/>
        <v>15:16:36.000</v>
      </c>
      <c r="T4348" t="str">
        <f t="shared" si="1720"/>
        <v>15:16:36.000</v>
      </c>
      <c r="U4348" t="str">
        <f t="shared" si="1699"/>
        <v>A68FCB</v>
      </c>
      <c r="V4348">
        <v>0</v>
      </c>
      <c r="W4348">
        <v>0</v>
      </c>
      <c r="X4348">
        <v>2</v>
      </c>
      <c r="Y4348">
        <v>0</v>
      </c>
      <c r="AA4348">
        <v>1</v>
      </c>
      <c r="AB4348">
        <v>8</v>
      </c>
      <c r="AC4348">
        <v>3</v>
      </c>
      <c r="AD4348">
        <v>0</v>
      </c>
      <c r="AE4348">
        <v>9</v>
      </c>
      <c r="AF4348" t="s">
        <v>138</v>
      </c>
      <c r="AG4348">
        <v>0</v>
      </c>
      <c r="AH4348">
        <v>3</v>
      </c>
      <c r="AI4348">
        <v>2</v>
      </c>
      <c r="AJ4348">
        <v>0</v>
      </c>
      <c r="AK4348" t="s">
        <v>1382</v>
      </c>
      <c r="AL4348">
        <v>39.199626000000002</v>
      </c>
      <c r="AM4348" t="s">
        <v>1383</v>
      </c>
      <c r="AN4348">
        <v>-121.014211</v>
      </c>
      <c r="AO4348">
        <v>25</v>
      </c>
      <c r="AP4348">
        <v>4200</v>
      </c>
      <c r="AQ4348" t="s">
        <v>131</v>
      </c>
      <c r="AR4348">
        <v>37</v>
      </c>
      <c r="AS4348">
        <v>69</v>
      </c>
      <c r="AT4348">
        <v>-192</v>
      </c>
      <c r="BB4348" t="str">
        <f t="shared" si="1700"/>
        <v>1200</v>
      </c>
      <c r="BC4348">
        <v>1</v>
      </c>
      <c r="BD4348" t="str">
        <f t="shared" si="1701"/>
        <v xml:space="preserve">N52156  </v>
      </c>
      <c r="BE4348">
        <v>1</v>
      </c>
      <c r="BG4348">
        <v>0</v>
      </c>
      <c r="BH4348">
        <v>0</v>
      </c>
      <c r="BI4348">
        <v>0</v>
      </c>
      <c r="BJ4348">
        <v>4250</v>
      </c>
      <c r="BK4348">
        <v>50</v>
      </c>
      <c r="BL4348" t="s">
        <v>188</v>
      </c>
      <c r="BM4348">
        <v>1</v>
      </c>
      <c r="BN4348">
        <v>1</v>
      </c>
      <c r="BO4348">
        <v>0</v>
      </c>
      <c r="BP4348">
        <v>0</v>
      </c>
      <c r="BS4348">
        <v>0</v>
      </c>
      <c r="BT4348">
        <v>0</v>
      </c>
      <c r="BU4348">
        <v>0</v>
      </c>
      <c r="CE4348" t="str">
        <f t="shared" si="1721"/>
        <v>15:16:36.384</v>
      </c>
      <c r="CF4348">
        <v>383500881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4</v>
      </c>
      <c r="CY4348">
        <v>7</v>
      </c>
      <c r="CZ4348" t="s">
        <v>133</v>
      </c>
      <c r="DA4348">
        <v>275</v>
      </c>
      <c r="DB4348">
        <v>0</v>
      </c>
      <c r="DC4348" t="s">
        <v>134</v>
      </c>
      <c r="DD4348" t="s">
        <v>135</v>
      </c>
      <c r="DG4348">
        <v>3323250</v>
      </c>
      <c r="DI4348">
        <v>1</v>
      </c>
      <c r="DJ4348">
        <v>0</v>
      </c>
      <c r="DK4348">
        <v>1</v>
      </c>
      <c r="DL4348">
        <v>0</v>
      </c>
      <c r="DM4348">
        <v>0</v>
      </c>
      <c r="DN4348">
        <v>0</v>
      </c>
      <c r="DO4348">
        <v>0</v>
      </c>
      <c r="DP4348">
        <v>0</v>
      </c>
      <c r="DQ4348">
        <v>0</v>
      </c>
      <c r="DR4348">
        <v>0</v>
      </c>
      <c r="DS4348">
        <v>0</v>
      </c>
    </row>
    <row r="4349" spans="1:123" x14ac:dyDescent="0.3">
      <c r="A4349" t="str">
        <f>"05/01/2025 15:16:36.603"</f>
        <v>05/01/2025 15:16:36.603</v>
      </c>
      <c r="C4349" t="str">
        <f t="shared" si="1698"/>
        <v>FFDFD3C0</v>
      </c>
      <c r="D4349" t="s">
        <v>145</v>
      </c>
      <c r="E4349" t="str">
        <f>"09"</f>
        <v>09</v>
      </c>
      <c r="H4349">
        <v>51</v>
      </c>
      <c r="I4349" t="s">
        <v>147</v>
      </c>
      <c r="J4349" t="s">
        <v>138</v>
      </c>
      <c r="K4349">
        <v>0</v>
      </c>
      <c r="L4349">
        <v>3</v>
      </c>
      <c r="M4349">
        <v>0</v>
      </c>
      <c r="N4349">
        <v>2</v>
      </c>
      <c r="O4349">
        <v>0</v>
      </c>
      <c r="P4349">
        <v>1</v>
      </c>
      <c r="Q4349">
        <v>0</v>
      </c>
      <c r="R4349" t="s">
        <v>127</v>
      </c>
      <c r="S4349" t="str">
        <f t="shared" si="1720"/>
        <v>15:16:36.000</v>
      </c>
      <c r="T4349" t="str">
        <f t="shared" si="1720"/>
        <v>15:16:36.000</v>
      </c>
      <c r="U4349" t="str">
        <f t="shared" si="1699"/>
        <v>A68FCB</v>
      </c>
      <c r="V4349">
        <v>0</v>
      </c>
      <c r="W4349">
        <v>0</v>
      </c>
      <c r="X4349">
        <v>2</v>
      </c>
      <c r="Y4349">
        <v>0</v>
      </c>
      <c r="AA4349">
        <v>1</v>
      </c>
      <c r="AB4349">
        <v>8</v>
      </c>
      <c r="AC4349">
        <v>3</v>
      </c>
      <c r="AD4349">
        <v>0</v>
      </c>
      <c r="AE4349">
        <v>9</v>
      </c>
      <c r="AF4349" t="s">
        <v>138</v>
      </c>
      <c r="AG4349">
        <v>0</v>
      </c>
      <c r="AH4349">
        <v>3</v>
      </c>
      <c r="AI4349">
        <v>2</v>
      </c>
      <c r="AJ4349">
        <v>0</v>
      </c>
      <c r="AK4349" t="s">
        <v>1382</v>
      </c>
      <c r="AL4349">
        <v>39.199626000000002</v>
      </c>
      <c r="AM4349" t="s">
        <v>1383</v>
      </c>
      <c r="AN4349">
        <v>-121.014211</v>
      </c>
      <c r="AO4349">
        <v>25</v>
      </c>
      <c r="AP4349">
        <v>4200</v>
      </c>
      <c r="AQ4349" t="s">
        <v>131</v>
      </c>
      <c r="AR4349">
        <v>37</v>
      </c>
      <c r="AS4349">
        <v>69</v>
      </c>
      <c r="AT4349">
        <v>-192</v>
      </c>
      <c r="BB4349" t="str">
        <f t="shared" si="1700"/>
        <v>1200</v>
      </c>
      <c r="BC4349">
        <v>1</v>
      </c>
      <c r="BD4349" t="str">
        <f t="shared" si="1701"/>
        <v xml:space="preserve">N52156  </v>
      </c>
      <c r="BE4349">
        <v>1</v>
      </c>
      <c r="BG4349">
        <v>0</v>
      </c>
      <c r="BH4349">
        <v>0</v>
      </c>
      <c r="BI4349">
        <v>0</v>
      </c>
      <c r="BJ4349">
        <v>4250</v>
      </c>
      <c r="BK4349">
        <v>50</v>
      </c>
      <c r="BL4349" t="s">
        <v>188</v>
      </c>
      <c r="BM4349">
        <v>1</v>
      </c>
      <c r="BN4349">
        <v>1</v>
      </c>
      <c r="BO4349">
        <v>0</v>
      </c>
      <c r="BP4349">
        <v>0</v>
      </c>
      <c r="BS4349">
        <v>0</v>
      </c>
      <c r="BT4349">
        <v>0</v>
      </c>
      <c r="BU4349">
        <v>0</v>
      </c>
      <c r="CE4349" t="str">
        <f t="shared" si="1721"/>
        <v>15:16:36.384</v>
      </c>
      <c r="CF4349">
        <v>383500881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4</v>
      </c>
      <c r="CY4349">
        <v>7</v>
      </c>
      <c r="CZ4349" t="s">
        <v>133</v>
      </c>
      <c r="DA4349">
        <v>275</v>
      </c>
      <c r="DB4349">
        <v>0</v>
      </c>
      <c r="DC4349" t="s">
        <v>134</v>
      </c>
      <c r="DD4349" t="s">
        <v>135</v>
      </c>
      <c r="DG4349">
        <v>3323250</v>
      </c>
      <c r="DI4349">
        <v>1</v>
      </c>
      <c r="DJ4349">
        <v>0</v>
      </c>
      <c r="DK4349">
        <v>1</v>
      </c>
      <c r="DL4349">
        <v>0</v>
      </c>
      <c r="DM4349">
        <v>0</v>
      </c>
      <c r="DN4349">
        <v>0</v>
      </c>
      <c r="DO4349">
        <v>0</v>
      </c>
      <c r="DP4349">
        <v>0</v>
      </c>
      <c r="DQ4349">
        <v>0</v>
      </c>
      <c r="DR4349">
        <v>0</v>
      </c>
      <c r="DS4349">
        <v>0</v>
      </c>
    </row>
    <row r="4350" spans="1:123" x14ac:dyDescent="0.3">
      <c r="A4350" t="str">
        <f>"05/01/2025 15:16:36.606"</f>
        <v>05/01/2025 15:16:36.606</v>
      </c>
      <c r="C4350" t="str">
        <f t="shared" si="1698"/>
        <v>FFDFD3C0</v>
      </c>
      <c r="D4350" t="s">
        <v>145</v>
      </c>
      <c r="E4350" t="str">
        <f>"05"</f>
        <v>05</v>
      </c>
      <c r="H4350">
        <v>47</v>
      </c>
      <c r="I4350" t="s">
        <v>146</v>
      </c>
      <c r="J4350" t="s">
        <v>138</v>
      </c>
      <c r="K4350">
        <v>0</v>
      </c>
      <c r="L4350">
        <v>3</v>
      </c>
      <c r="M4350">
        <v>0</v>
      </c>
      <c r="N4350">
        <v>2</v>
      </c>
      <c r="O4350">
        <v>0</v>
      </c>
      <c r="P4350">
        <v>1</v>
      </c>
      <c r="Q4350">
        <v>0</v>
      </c>
      <c r="R4350" t="s">
        <v>127</v>
      </c>
      <c r="S4350" t="str">
        <f t="shared" si="1720"/>
        <v>15:16:36.000</v>
      </c>
      <c r="T4350" t="str">
        <f t="shared" si="1720"/>
        <v>15:16:36.000</v>
      </c>
      <c r="U4350" t="str">
        <f t="shared" si="1699"/>
        <v>A68FCB</v>
      </c>
      <c r="V4350">
        <v>0</v>
      </c>
      <c r="W4350">
        <v>0</v>
      </c>
      <c r="X4350">
        <v>2</v>
      </c>
      <c r="Y4350">
        <v>0</v>
      </c>
      <c r="AA4350">
        <v>1</v>
      </c>
      <c r="AB4350">
        <v>8</v>
      </c>
      <c r="AC4350">
        <v>3</v>
      </c>
      <c r="AD4350">
        <v>0</v>
      </c>
      <c r="AE4350">
        <v>9</v>
      </c>
      <c r="AF4350" t="s">
        <v>138</v>
      </c>
      <c r="AG4350">
        <v>0</v>
      </c>
      <c r="AH4350">
        <v>3</v>
      </c>
      <c r="AI4350">
        <v>2</v>
      </c>
      <c r="AJ4350">
        <v>0</v>
      </c>
      <c r="AK4350" t="s">
        <v>1382</v>
      </c>
      <c r="AL4350">
        <v>39.199626000000002</v>
      </c>
      <c r="AM4350" t="s">
        <v>1383</v>
      </c>
      <c r="AN4350">
        <v>-121.014211</v>
      </c>
      <c r="AO4350">
        <v>25</v>
      </c>
      <c r="AP4350">
        <v>4200</v>
      </c>
      <c r="AQ4350" t="s">
        <v>131</v>
      </c>
      <c r="AR4350">
        <v>37</v>
      </c>
      <c r="AS4350">
        <v>69</v>
      </c>
      <c r="AT4350">
        <v>-192</v>
      </c>
      <c r="BB4350" t="str">
        <f t="shared" si="1700"/>
        <v>1200</v>
      </c>
      <c r="BC4350">
        <v>1</v>
      </c>
      <c r="BD4350" t="str">
        <f t="shared" si="1701"/>
        <v xml:space="preserve">N52156  </v>
      </c>
      <c r="BE4350">
        <v>1</v>
      </c>
      <c r="BG4350">
        <v>0</v>
      </c>
      <c r="BH4350">
        <v>0</v>
      </c>
      <c r="BI4350">
        <v>0</v>
      </c>
      <c r="BJ4350">
        <v>4250</v>
      </c>
      <c r="BK4350">
        <v>50</v>
      </c>
      <c r="BL4350" t="s">
        <v>188</v>
      </c>
      <c r="BM4350">
        <v>1</v>
      </c>
      <c r="BN4350">
        <v>1</v>
      </c>
      <c r="BO4350">
        <v>0</v>
      </c>
      <c r="BP4350">
        <v>0</v>
      </c>
      <c r="BS4350">
        <v>0</v>
      </c>
      <c r="BT4350">
        <v>0</v>
      </c>
      <c r="BU4350">
        <v>0</v>
      </c>
      <c r="CE4350" t="str">
        <f t="shared" si="1721"/>
        <v>15:16:36.384</v>
      </c>
      <c r="CF4350">
        <v>383500881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4</v>
      </c>
      <c r="CY4350">
        <v>7</v>
      </c>
      <c r="CZ4350" t="s">
        <v>133</v>
      </c>
      <c r="DA4350">
        <v>275</v>
      </c>
      <c r="DB4350">
        <v>0</v>
      </c>
      <c r="DC4350" t="s">
        <v>134</v>
      </c>
      <c r="DD4350" t="s">
        <v>135</v>
      </c>
      <c r="DG4350">
        <v>3323250</v>
      </c>
      <c r="DI4350">
        <v>1</v>
      </c>
      <c r="DJ4350">
        <v>0</v>
      </c>
      <c r="DK4350">
        <v>1</v>
      </c>
      <c r="DL4350">
        <v>0</v>
      </c>
      <c r="DM4350">
        <v>0</v>
      </c>
      <c r="DN4350">
        <v>0</v>
      </c>
      <c r="DO4350">
        <v>0</v>
      </c>
      <c r="DP4350">
        <v>0</v>
      </c>
      <c r="DQ4350">
        <v>0</v>
      </c>
      <c r="DR4350">
        <v>0</v>
      </c>
      <c r="DS4350">
        <v>0</v>
      </c>
    </row>
    <row r="4351" spans="1:123" x14ac:dyDescent="0.3">
      <c r="A4351" t="str">
        <f>"05/01/2025 15:16:36.618"</f>
        <v>05/01/2025 15:16:36.618</v>
      </c>
      <c r="C4351" t="str">
        <f t="shared" si="1698"/>
        <v>FFDFD3C0</v>
      </c>
      <c r="D4351" t="s">
        <v>136</v>
      </c>
      <c r="E4351" t="str">
        <f>"20"</f>
        <v>20</v>
      </c>
      <c r="H4351">
        <v>400</v>
      </c>
      <c r="I4351" t="s">
        <v>137</v>
      </c>
      <c r="J4351" t="s">
        <v>138</v>
      </c>
      <c r="K4351">
        <v>0</v>
      </c>
      <c r="L4351">
        <v>3</v>
      </c>
      <c r="M4351">
        <v>0</v>
      </c>
      <c r="N4351">
        <v>2</v>
      </c>
      <c r="O4351">
        <v>0</v>
      </c>
      <c r="P4351">
        <v>1</v>
      </c>
      <c r="Q4351">
        <v>0</v>
      </c>
      <c r="R4351" t="s">
        <v>127</v>
      </c>
      <c r="S4351" t="str">
        <f t="shared" si="1720"/>
        <v>15:16:36.000</v>
      </c>
      <c r="T4351" t="str">
        <f t="shared" si="1720"/>
        <v>15:16:36.000</v>
      </c>
      <c r="U4351" t="str">
        <f t="shared" si="1699"/>
        <v>A68FCB</v>
      </c>
      <c r="V4351">
        <v>0</v>
      </c>
      <c r="W4351">
        <v>0</v>
      </c>
      <c r="X4351">
        <v>2</v>
      </c>
      <c r="Y4351">
        <v>0</v>
      </c>
      <c r="AA4351">
        <v>1</v>
      </c>
      <c r="AB4351">
        <v>8</v>
      </c>
      <c r="AC4351">
        <v>3</v>
      </c>
      <c r="AD4351">
        <v>0</v>
      </c>
      <c r="AE4351">
        <v>9</v>
      </c>
      <c r="AF4351" t="s">
        <v>138</v>
      </c>
      <c r="AG4351">
        <v>0</v>
      </c>
      <c r="AH4351">
        <v>3</v>
      </c>
      <c r="AI4351">
        <v>2</v>
      </c>
      <c r="AJ4351">
        <v>0</v>
      </c>
      <c r="AK4351" t="s">
        <v>1382</v>
      </c>
      <c r="AL4351">
        <v>39.199626000000002</v>
      </c>
      <c r="AM4351" t="s">
        <v>1383</v>
      </c>
      <c r="AN4351">
        <v>-121.014211</v>
      </c>
      <c r="AO4351">
        <v>25</v>
      </c>
      <c r="AP4351">
        <v>4200</v>
      </c>
      <c r="AQ4351" t="s">
        <v>131</v>
      </c>
      <c r="AR4351">
        <v>37</v>
      </c>
      <c r="AS4351">
        <v>69</v>
      </c>
      <c r="AT4351">
        <v>-192</v>
      </c>
      <c r="BB4351" t="str">
        <f t="shared" si="1700"/>
        <v>1200</v>
      </c>
      <c r="BC4351">
        <v>1</v>
      </c>
      <c r="BD4351" t="str">
        <f t="shared" si="1701"/>
        <v xml:space="preserve">N52156  </v>
      </c>
      <c r="BE4351">
        <v>1</v>
      </c>
      <c r="BG4351">
        <v>0</v>
      </c>
      <c r="BH4351">
        <v>0</v>
      </c>
      <c r="BI4351">
        <v>0</v>
      </c>
      <c r="BJ4351">
        <v>4250</v>
      </c>
      <c r="BK4351">
        <v>50</v>
      </c>
      <c r="BL4351" t="s">
        <v>188</v>
      </c>
      <c r="BM4351">
        <v>1</v>
      </c>
      <c r="BN4351">
        <v>1</v>
      </c>
      <c r="BO4351">
        <v>0</v>
      </c>
      <c r="BP4351">
        <v>0</v>
      </c>
      <c r="BS4351">
        <v>0</v>
      </c>
      <c r="BT4351">
        <v>0</v>
      </c>
      <c r="BU4351">
        <v>0</v>
      </c>
      <c r="CE4351" t="str">
        <f t="shared" si="1721"/>
        <v>15:16:36.384</v>
      </c>
      <c r="CF4351">
        <v>383500881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4</v>
      </c>
      <c r="CY4351">
        <v>7</v>
      </c>
      <c r="CZ4351" t="s">
        <v>133</v>
      </c>
      <c r="DA4351">
        <v>275</v>
      </c>
      <c r="DB4351">
        <v>0</v>
      </c>
      <c r="DC4351" t="s">
        <v>134</v>
      </c>
      <c r="DD4351" t="s">
        <v>135</v>
      </c>
      <c r="DG4351">
        <v>3323250</v>
      </c>
      <c r="DI4351">
        <v>1</v>
      </c>
      <c r="DJ4351">
        <v>0</v>
      </c>
      <c r="DK4351">
        <v>1</v>
      </c>
      <c r="DL4351">
        <v>0</v>
      </c>
      <c r="DM4351">
        <v>0</v>
      </c>
      <c r="DN4351">
        <v>0</v>
      </c>
      <c r="DO4351">
        <v>0</v>
      </c>
      <c r="DP4351">
        <v>0</v>
      </c>
      <c r="DQ4351">
        <v>0</v>
      </c>
      <c r="DR4351">
        <v>0</v>
      </c>
      <c r="DS4351">
        <v>0</v>
      </c>
    </row>
    <row r="4352" spans="1:123" x14ac:dyDescent="0.3">
      <c r="A4352" t="str">
        <f>"05/01/2025 15:16:37.938"</f>
        <v>05/01/2025 15:16:37.938</v>
      </c>
      <c r="C4352" t="str">
        <f t="shared" si="1698"/>
        <v>FFDFD3C0</v>
      </c>
      <c r="D4352" t="s">
        <v>140</v>
      </c>
      <c r="E4352" t="str">
        <f>"13"</f>
        <v>13</v>
      </c>
      <c r="F4352">
        <v>1019</v>
      </c>
      <c r="G4352" t="s">
        <v>141</v>
      </c>
      <c r="J4352" t="s">
        <v>142</v>
      </c>
      <c r="K4352">
        <v>0</v>
      </c>
      <c r="L4352">
        <v>3</v>
      </c>
      <c r="M4352">
        <v>0</v>
      </c>
      <c r="N4352">
        <v>2</v>
      </c>
      <c r="O4352">
        <v>0</v>
      </c>
      <c r="P4352">
        <v>1</v>
      </c>
      <c r="Q4352">
        <v>0</v>
      </c>
      <c r="R4352" t="s">
        <v>127</v>
      </c>
      <c r="S4352" t="str">
        <f t="shared" ref="S4352:T4357" si="1722">"15:16:37.000"</f>
        <v>15:16:37.000</v>
      </c>
      <c r="T4352" t="str">
        <f t="shared" si="1722"/>
        <v>15:16:37.000</v>
      </c>
      <c r="U4352" t="str">
        <f t="shared" si="1699"/>
        <v>A68FCB</v>
      </c>
      <c r="V4352">
        <v>0</v>
      </c>
      <c r="W4352">
        <v>0</v>
      </c>
      <c r="X4352">
        <v>2</v>
      </c>
      <c r="Y4352">
        <v>0</v>
      </c>
      <c r="AA4352">
        <v>1</v>
      </c>
      <c r="AB4352">
        <v>8</v>
      </c>
      <c r="AC4352">
        <v>3</v>
      </c>
      <c r="AD4352">
        <v>0</v>
      </c>
      <c r="AE4352">
        <v>9</v>
      </c>
      <c r="AF4352" t="s">
        <v>138</v>
      </c>
      <c r="AG4352">
        <v>0</v>
      </c>
      <c r="AH4352">
        <v>3</v>
      </c>
      <c r="AI4352">
        <v>2</v>
      </c>
      <c r="AJ4352">
        <v>0</v>
      </c>
      <c r="AK4352" t="s">
        <v>1384</v>
      </c>
      <c r="AL4352">
        <v>39.199947999999999</v>
      </c>
      <c r="AM4352" t="s">
        <v>1385</v>
      </c>
      <c r="AN4352">
        <v>-121.013997</v>
      </c>
      <c r="AO4352">
        <v>25</v>
      </c>
      <c r="AP4352">
        <v>4200</v>
      </c>
      <c r="AQ4352" t="s">
        <v>131</v>
      </c>
      <c r="AR4352">
        <v>39</v>
      </c>
      <c r="AS4352">
        <v>68</v>
      </c>
      <c r="AT4352">
        <v>-128</v>
      </c>
      <c r="BB4352" t="str">
        <f t="shared" si="1700"/>
        <v>1200</v>
      </c>
      <c r="BC4352">
        <v>1</v>
      </c>
      <c r="BD4352" t="str">
        <f t="shared" si="1701"/>
        <v xml:space="preserve">N52156  </v>
      </c>
      <c r="BE4352">
        <v>1</v>
      </c>
      <c r="BG4352">
        <v>0</v>
      </c>
      <c r="BH4352">
        <v>0</v>
      </c>
      <c r="BI4352">
        <v>0</v>
      </c>
      <c r="BJ4352">
        <v>4250</v>
      </c>
      <c r="BK4352">
        <v>50</v>
      </c>
      <c r="BL4352" t="s">
        <v>188</v>
      </c>
      <c r="BM4352">
        <v>1</v>
      </c>
      <c r="BN4352">
        <v>1</v>
      </c>
      <c r="BO4352">
        <v>0</v>
      </c>
      <c r="BP4352">
        <v>0</v>
      </c>
      <c r="BS4352">
        <v>0</v>
      </c>
      <c r="BT4352">
        <v>0</v>
      </c>
      <c r="BU4352">
        <v>0</v>
      </c>
      <c r="CE4352" t="str">
        <f t="shared" ref="CE4352:CE4357" si="1723">"15:16:37.716"</f>
        <v>15:16:37.716</v>
      </c>
      <c r="CF4352">
        <v>716251856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4</v>
      </c>
      <c r="CY4352">
        <v>7</v>
      </c>
      <c r="CZ4352" t="s">
        <v>133</v>
      </c>
      <c r="DA4352">
        <v>275</v>
      </c>
      <c r="DB4352">
        <v>0</v>
      </c>
      <c r="DC4352" t="s">
        <v>134</v>
      </c>
      <c r="DD4352" t="s">
        <v>135</v>
      </c>
      <c r="DG4352">
        <v>3323256</v>
      </c>
      <c r="DI4352">
        <v>1</v>
      </c>
      <c r="DJ4352">
        <v>0</v>
      </c>
      <c r="DK4352">
        <v>0</v>
      </c>
      <c r="DL4352">
        <v>0</v>
      </c>
      <c r="DM4352">
        <v>0</v>
      </c>
      <c r="DN4352">
        <v>0</v>
      </c>
      <c r="DO4352">
        <v>0</v>
      </c>
      <c r="DP4352">
        <v>0</v>
      </c>
      <c r="DQ4352">
        <v>0</v>
      </c>
      <c r="DR4352">
        <v>0</v>
      </c>
      <c r="DS4352">
        <v>0</v>
      </c>
    </row>
    <row r="4353" spans="1:123" x14ac:dyDescent="0.3">
      <c r="A4353" t="str">
        <f>"05/01/2025 15:16:37.938"</f>
        <v>05/01/2025 15:16:37.938</v>
      </c>
      <c r="C4353" t="str">
        <f t="shared" si="1698"/>
        <v>FFDFD3C0</v>
      </c>
      <c r="D4353" t="s">
        <v>124</v>
      </c>
      <c r="E4353" t="str">
        <f>"06"</f>
        <v>06</v>
      </c>
      <c r="F4353">
        <v>2006</v>
      </c>
      <c r="G4353" t="s">
        <v>125</v>
      </c>
      <c r="J4353" t="s">
        <v>126</v>
      </c>
      <c r="K4353">
        <v>0</v>
      </c>
      <c r="L4353">
        <v>3</v>
      </c>
      <c r="M4353">
        <v>0</v>
      </c>
      <c r="N4353">
        <v>2</v>
      </c>
      <c r="O4353">
        <v>0</v>
      </c>
      <c r="P4353">
        <v>1</v>
      </c>
      <c r="Q4353">
        <v>0</v>
      </c>
      <c r="R4353" t="s">
        <v>127</v>
      </c>
      <c r="S4353" t="str">
        <f t="shared" si="1722"/>
        <v>15:16:37.000</v>
      </c>
      <c r="T4353" t="str">
        <f t="shared" si="1722"/>
        <v>15:16:37.000</v>
      </c>
      <c r="U4353" t="str">
        <f t="shared" si="1699"/>
        <v>A68FCB</v>
      </c>
      <c r="V4353">
        <v>0</v>
      </c>
      <c r="W4353">
        <v>0</v>
      </c>
      <c r="X4353">
        <v>2</v>
      </c>
      <c r="Y4353">
        <v>0</v>
      </c>
      <c r="AA4353">
        <v>1</v>
      </c>
      <c r="AB4353">
        <v>8</v>
      </c>
      <c r="AC4353">
        <v>3</v>
      </c>
      <c r="AD4353">
        <v>0</v>
      </c>
      <c r="AE4353">
        <v>9</v>
      </c>
      <c r="AF4353" t="s">
        <v>138</v>
      </c>
      <c r="AG4353">
        <v>0</v>
      </c>
      <c r="AH4353">
        <v>3</v>
      </c>
      <c r="AI4353">
        <v>2</v>
      </c>
      <c r="AJ4353">
        <v>0</v>
      </c>
      <c r="AK4353" t="s">
        <v>1384</v>
      </c>
      <c r="AL4353">
        <v>39.199947999999999</v>
      </c>
      <c r="AM4353" t="s">
        <v>1385</v>
      </c>
      <c r="AN4353">
        <v>-121.013997</v>
      </c>
      <c r="AO4353">
        <v>25</v>
      </c>
      <c r="AP4353">
        <v>4200</v>
      </c>
      <c r="AQ4353" t="s">
        <v>131</v>
      </c>
      <c r="AR4353">
        <v>39</v>
      </c>
      <c r="AS4353">
        <v>68</v>
      </c>
      <c r="AT4353">
        <v>-128</v>
      </c>
      <c r="BB4353" t="str">
        <f t="shared" si="1700"/>
        <v>1200</v>
      </c>
      <c r="BC4353">
        <v>1</v>
      </c>
      <c r="BD4353" t="str">
        <f t="shared" si="1701"/>
        <v xml:space="preserve">N52156  </v>
      </c>
      <c r="BE4353">
        <v>1</v>
      </c>
      <c r="BG4353">
        <v>0</v>
      </c>
      <c r="BH4353">
        <v>0</v>
      </c>
      <c r="BI4353">
        <v>0</v>
      </c>
      <c r="BJ4353">
        <v>4250</v>
      </c>
      <c r="BK4353">
        <v>50</v>
      </c>
      <c r="BL4353" t="s">
        <v>188</v>
      </c>
      <c r="BM4353">
        <v>1</v>
      </c>
      <c r="BN4353">
        <v>1</v>
      </c>
      <c r="BO4353">
        <v>0</v>
      </c>
      <c r="BP4353">
        <v>0</v>
      </c>
      <c r="BS4353">
        <v>0</v>
      </c>
      <c r="BT4353">
        <v>0</v>
      </c>
      <c r="BU4353">
        <v>0</v>
      </c>
      <c r="CE4353" t="str">
        <f t="shared" si="1723"/>
        <v>15:16:37.716</v>
      </c>
      <c r="CF4353">
        <v>716251856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4</v>
      </c>
      <c r="CY4353">
        <v>7</v>
      </c>
      <c r="CZ4353" t="s">
        <v>133</v>
      </c>
      <c r="DA4353">
        <v>275</v>
      </c>
      <c r="DB4353">
        <v>0</v>
      </c>
      <c r="DC4353" t="s">
        <v>134</v>
      </c>
      <c r="DD4353" t="s">
        <v>135</v>
      </c>
      <c r="DG4353">
        <v>3323256</v>
      </c>
      <c r="DI4353">
        <v>1</v>
      </c>
      <c r="DJ4353">
        <v>0</v>
      </c>
      <c r="DK4353">
        <v>1</v>
      </c>
      <c r="DL4353">
        <v>0</v>
      </c>
      <c r="DM4353">
        <v>0</v>
      </c>
      <c r="DN4353">
        <v>0</v>
      </c>
      <c r="DO4353">
        <v>0</v>
      </c>
      <c r="DP4353">
        <v>0</v>
      </c>
      <c r="DQ4353">
        <v>0</v>
      </c>
      <c r="DR4353">
        <v>0</v>
      </c>
      <c r="DS4353">
        <v>0</v>
      </c>
    </row>
    <row r="4354" spans="1:123" x14ac:dyDescent="0.3">
      <c r="A4354" t="str">
        <f>"05/01/2025 15:16:37.941"</f>
        <v>05/01/2025 15:16:37.941</v>
      </c>
      <c r="C4354" t="str">
        <f t="shared" ref="C4354:C4417" si="1724">"FFDFD3C0"</f>
        <v>FFDFD3C0</v>
      </c>
      <c r="D4354" t="s">
        <v>143</v>
      </c>
      <c r="E4354" t="str">
        <f>"05"</f>
        <v>05</v>
      </c>
      <c r="H4354">
        <v>172</v>
      </c>
      <c r="I4354" t="s">
        <v>141</v>
      </c>
      <c r="J4354" t="s">
        <v>144</v>
      </c>
      <c r="K4354">
        <v>0</v>
      </c>
      <c r="L4354">
        <v>3</v>
      </c>
      <c r="M4354">
        <v>0</v>
      </c>
      <c r="N4354">
        <v>2</v>
      </c>
      <c r="O4354">
        <v>0</v>
      </c>
      <c r="P4354">
        <v>1</v>
      </c>
      <c r="Q4354">
        <v>0</v>
      </c>
      <c r="R4354" t="s">
        <v>127</v>
      </c>
      <c r="S4354" t="str">
        <f t="shared" si="1722"/>
        <v>15:16:37.000</v>
      </c>
      <c r="T4354" t="str">
        <f t="shared" si="1722"/>
        <v>15:16:37.000</v>
      </c>
      <c r="U4354" t="str">
        <f t="shared" ref="U4354:U4417" si="1725">"A68FCB"</f>
        <v>A68FCB</v>
      </c>
      <c r="V4354">
        <v>0</v>
      </c>
      <c r="W4354">
        <v>0</v>
      </c>
      <c r="X4354">
        <v>2</v>
      </c>
      <c r="Y4354">
        <v>0</v>
      </c>
      <c r="AA4354">
        <v>1</v>
      </c>
      <c r="AB4354">
        <v>8</v>
      </c>
      <c r="AC4354">
        <v>3</v>
      </c>
      <c r="AD4354">
        <v>0</v>
      </c>
      <c r="AE4354">
        <v>9</v>
      </c>
      <c r="AF4354" t="s">
        <v>138</v>
      </c>
      <c r="AG4354">
        <v>0</v>
      </c>
      <c r="AH4354">
        <v>3</v>
      </c>
      <c r="AI4354">
        <v>2</v>
      </c>
      <c r="AJ4354">
        <v>0</v>
      </c>
      <c r="AK4354" t="s">
        <v>1384</v>
      </c>
      <c r="AL4354">
        <v>39.199947999999999</v>
      </c>
      <c r="AM4354" t="s">
        <v>1385</v>
      </c>
      <c r="AN4354">
        <v>-121.013997</v>
      </c>
      <c r="AO4354">
        <v>25</v>
      </c>
      <c r="AP4354">
        <v>4200</v>
      </c>
      <c r="AQ4354" t="s">
        <v>131</v>
      </c>
      <c r="AR4354">
        <v>39</v>
      </c>
      <c r="AS4354">
        <v>68</v>
      </c>
      <c r="AT4354">
        <v>-128</v>
      </c>
      <c r="BB4354" t="str">
        <f t="shared" ref="BB4354:BB4417" si="1726">"1200"</f>
        <v>1200</v>
      </c>
      <c r="BC4354">
        <v>1</v>
      </c>
      <c r="BD4354" t="str">
        <f t="shared" ref="BD4354:BD4417" si="1727">"N52156  "</f>
        <v xml:space="preserve">N52156  </v>
      </c>
      <c r="BE4354">
        <v>1</v>
      </c>
      <c r="BG4354">
        <v>0</v>
      </c>
      <c r="BH4354">
        <v>0</v>
      </c>
      <c r="BI4354">
        <v>0</v>
      </c>
      <c r="BJ4354">
        <v>4250</v>
      </c>
      <c r="BK4354">
        <v>50</v>
      </c>
      <c r="BL4354" t="s">
        <v>188</v>
      </c>
      <c r="BM4354">
        <v>1</v>
      </c>
      <c r="BN4354">
        <v>1</v>
      </c>
      <c r="BO4354">
        <v>0</v>
      </c>
      <c r="BP4354">
        <v>0</v>
      </c>
      <c r="BS4354">
        <v>0</v>
      </c>
      <c r="BT4354">
        <v>0</v>
      </c>
      <c r="BU4354">
        <v>0</v>
      </c>
      <c r="CE4354" t="str">
        <f t="shared" si="1723"/>
        <v>15:16:37.716</v>
      </c>
      <c r="CF4354">
        <v>716251856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4</v>
      </c>
      <c r="CY4354">
        <v>7</v>
      </c>
      <c r="CZ4354" t="s">
        <v>133</v>
      </c>
      <c r="DA4354">
        <v>275</v>
      </c>
      <c r="DB4354">
        <v>0</v>
      </c>
      <c r="DC4354" t="s">
        <v>134</v>
      </c>
      <c r="DD4354" t="s">
        <v>135</v>
      </c>
      <c r="DG4354">
        <v>3323256</v>
      </c>
      <c r="DI4354">
        <v>1</v>
      </c>
      <c r="DJ4354">
        <v>0</v>
      </c>
      <c r="DK4354">
        <v>1</v>
      </c>
      <c r="DL4354">
        <v>0</v>
      </c>
      <c r="DM4354">
        <v>0</v>
      </c>
      <c r="DN4354">
        <v>0</v>
      </c>
      <c r="DO4354">
        <v>0</v>
      </c>
      <c r="DP4354">
        <v>0</v>
      </c>
      <c r="DQ4354">
        <v>0</v>
      </c>
      <c r="DR4354">
        <v>0</v>
      </c>
      <c r="DS4354">
        <v>0</v>
      </c>
    </row>
    <row r="4355" spans="1:123" x14ac:dyDescent="0.3">
      <c r="A4355" t="str">
        <f>"05/01/2025 15:16:37.955"</f>
        <v>05/01/2025 15:16:37.955</v>
      </c>
      <c r="C4355" t="str">
        <f t="shared" si="1724"/>
        <v>FFDFD3C0</v>
      </c>
      <c r="D4355" t="s">
        <v>145</v>
      </c>
      <c r="E4355" t="str">
        <f>"09"</f>
        <v>09</v>
      </c>
      <c r="H4355">
        <v>51</v>
      </c>
      <c r="I4355" t="s">
        <v>147</v>
      </c>
      <c r="J4355" t="s">
        <v>138</v>
      </c>
      <c r="K4355">
        <v>0</v>
      </c>
      <c r="L4355">
        <v>3</v>
      </c>
      <c r="M4355">
        <v>0</v>
      </c>
      <c r="N4355">
        <v>2</v>
      </c>
      <c r="O4355">
        <v>0</v>
      </c>
      <c r="P4355">
        <v>1</v>
      </c>
      <c r="Q4355">
        <v>0</v>
      </c>
      <c r="R4355" t="s">
        <v>127</v>
      </c>
      <c r="S4355" t="str">
        <f t="shared" si="1722"/>
        <v>15:16:37.000</v>
      </c>
      <c r="T4355" t="str">
        <f t="shared" si="1722"/>
        <v>15:16:37.000</v>
      </c>
      <c r="U4355" t="str">
        <f t="shared" si="1725"/>
        <v>A68FCB</v>
      </c>
      <c r="V4355">
        <v>0</v>
      </c>
      <c r="W4355">
        <v>0</v>
      </c>
      <c r="X4355">
        <v>2</v>
      </c>
      <c r="Y4355">
        <v>0</v>
      </c>
      <c r="AA4355">
        <v>1</v>
      </c>
      <c r="AB4355">
        <v>8</v>
      </c>
      <c r="AC4355">
        <v>3</v>
      </c>
      <c r="AD4355">
        <v>0</v>
      </c>
      <c r="AE4355">
        <v>9</v>
      </c>
      <c r="AF4355" t="s">
        <v>138</v>
      </c>
      <c r="AG4355">
        <v>0</v>
      </c>
      <c r="AH4355">
        <v>3</v>
      </c>
      <c r="AI4355">
        <v>2</v>
      </c>
      <c r="AJ4355">
        <v>0</v>
      </c>
      <c r="AK4355" t="s">
        <v>1384</v>
      </c>
      <c r="AL4355">
        <v>39.199947999999999</v>
      </c>
      <c r="AM4355" t="s">
        <v>1385</v>
      </c>
      <c r="AN4355">
        <v>-121.013997</v>
      </c>
      <c r="AO4355">
        <v>25</v>
      </c>
      <c r="AP4355">
        <v>4200</v>
      </c>
      <c r="AQ4355" t="s">
        <v>131</v>
      </c>
      <c r="AR4355">
        <v>39</v>
      </c>
      <c r="AS4355">
        <v>68</v>
      </c>
      <c r="AT4355">
        <v>-128</v>
      </c>
      <c r="BB4355" t="str">
        <f t="shared" si="1726"/>
        <v>1200</v>
      </c>
      <c r="BC4355">
        <v>1</v>
      </c>
      <c r="BD4355" t="str">
        <f t="shared" si="1727"/>
        <v xml:space="preserve">N52156  </v>
      </c>
      <c r="BE4355">
        <v>1</v>
      </c>
      <c r="BG4355">
        <v>0</v>
      </c>
      <c r="BH4355">
        <v>0</v>
      </c>
      <c r="BI4355">
        <v>0</v>
      </c>
      <c r="BJ4355">
        <v>4250</v>
      </c>
      <c r="BK4355">
        <v>50</v>
      </c>
      <c r="BL4355" t="s">
        <v>188</v>
      </c>
      <c r="BM4355">
        <v>1</v>
      </c>
      <c r="BN4355">
        <v>1</v>
      </c>
      <c r="BO4355">
        <v>0</v>
      </c>
      <c r="BP4355">
        <v>0</v>
      </c>
      <c r="BS4355">
        <v>0</v>
      </c>
      <c r="BT4355">
        <v>0</v>
      </c>
      <c r="BU4355">
        <v>0</v>
      </c>
      <c r="CE4355" t="str">
        <f t="shared" si="1723"/>
        <v>15:16:37.716</v>
      </c>
      <c r="CF4355">
        <v>716251856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4</v>
      </c>
      <c r="CY4355">
        <v>7</v>
      </c>
      <c r="CZ4355" t="s">
        <v>133</v>
      </c>
      <c r="DA4355">
        <v>275</v>
      </c>
      <c r="DB4355">
        <v>0</v>
      </c>
      <c r="DC4355" t="s">
        <v>134</v>
      </c>
      <c r="DD4355" t="s">
        <v>135</v>
      </c>
      <c r="DG4355">
        <v>3323256</v>
      </c>
      <c r="DI4355">
        <v>1</v>
      </c>
      <c r="DJ4355">
        <v>0</v>
      </c>
      <c r="DK4355">
        <v>1</v>
      </c>
      <c r="DL4355">
        <v>0</v>
      </c>
      <c r="DM4355">
        <v>0</v>
      </c>
      <c r="DN4355">
        <v>0</v>
      </c>
      <c r="DO4355">
        <v>0</v>
      </c>
      <c r="DP4355">
        <v>0</v>
      </c>
      <c r="DQ4355">
        <v>0</v>
      </c>
      <c r="DR4355">
        <v>0</v>
      </c>
      <c r="DS4355">
        <v>0</v>
      </c>
    </row>
    <row r="4356" spans="1:123" x14ac:dyDescent="0.3">
      <c r="A4356" t="str">
        <f>"05/01/2025 15:16:37.958"</f>
        <v>05/01/2025 15:16:37.958</v>
      </c>
      <c r="C4356" t="str">
        <f t="shared" si="1724"/>
        <v>FFDFD3C0</v>
      </c>
      <c r="D4356" t="s">
        <v>145</v>
      </c>
      <c r="E4356" t="str">
        <f>"05"</f>
        <v>05</v>
      </c>
      <c r="H4356">
        <v>47</v>
      </c>
      <c r="I4356" t="s">
        <v>146</v>
      </c>
      <c r="J4356" t="s">
        <v>138</v>
      </c>
      <c r="K4356">
        <v>0</v>
      </c>
      <c r="L4356">
        <v>3</v>
      </c>
      <c r="M4356">
        <v>0</v>
      </c>
      <c r="N4356">
        <v>2</v>
      </c>
      <c r="O4356">
        <v>0</v>
      </c>
      <c r="P4356">
        <v>1</v>
      </c>
      <c r="Q4356">
        <v>0</v>
      </c>
      <c r="R4356" t="s">
        <v>127</v>
      </c>
      <c r="S4356" t="str">
        <f t="shared" si="1722"/>
        <v>15:16:37.000</v>
      </c>
      <c r="T4356" t="str">
        <f t="shared" si="1722"/>
        <v>15:16:37.000</v>
      </c>
      <c r="U4356" t="str">
        <f t="shared" si="1725"/>
        <v>A68FCB</v>
      </c>
      <c r="V4356">
        <v>0</v>
      </c>
      <c r="W4356">
        <v>0</v>
      </c>
      <c r="X4356">
        <v>2</v>
      </c>
      <c r="Y4356">
        <v>0</v>
      </c>
      <c r="AA4356">
        <v>1</v>
      </c>
      <c r="AB4356">
        <v>8</v>
      </c>
      <c r="AC4356">
        <v>3</v>
      </c>
      <c r="AD4356">
        <v>0</v>
      </c>
      <c r="AE4356">
        <v>9</v>
      </c>
      <c r="AF4356" t="s">
        <v>138</v>
      </c>
      <c r="AG4356">
        <v>0</v>
      </c>
      <c r="AH4356">
        <v>3</v>
      </c>
      <c r="AI4356">
        <v>2</v>
      </c>
      <c r="AJ4356">
        <v>0</v>
      </c>
      <c r="AK4356" t="s">
        <v>1384</v>
      </c>
      <c r="AL4356">
        <v>39.199947999999999</v>
      </c>
      <c r="AM4356" t="s">
        <v>1385</v>
      </c>
      <c r="AN4356">
        <v>-121.013997</v>
      </c>
      <c r="AO4356">
        <v>25</v>
      </c>
      <c r="AP4356">
        <v>4200</v>
      </c>
      <c r="AQ4356" t="s">
        <v>131</v>
      </c>
      <c r="AR4356">
        <v>39</v>
      </c>
      <c r="AS4356">
        <v>68</v>
      </c>
      <c r="AT4356">
        <v>-128</v>
      </c>
      <c r="BB4356" t="str">
        <f t="shared" si="1726"/>
        <v>1200</v>
      </c>
      <c r="BC4356">
        <v>1</v>
      </c>
      <c r="BD4356" t="str">
        <f t="shared" si="1727"/>
        <v xml:space="preserve">N52156  </v>
      </c>
      <c r="BE4356">
        <v>1</v>
      </c>
      <c r="BG4356">
        <v>0</v>
      </c>
      <c r="BH4356">
        <v>0</v>
      </c>
      <c r="BI4356">
        <v>0</v>
      </c>
      <c r="BJ4356">
        <v>4250</v>
      </c>
      <c r="BK4356">
        <v>50</v>
      </c>
      <c r="BL4356" t="s">
        <v>188</v>
      </c>
      <c r="BM4356">
        <v>1</v>
      </c>
      <c r="BN4356">
        <v>1</v>
      </c>
      <c r="BO4356">
        <v>0</v>
      </c>
      <c r="BP4356">
        <v>0</v>
      </c>
      <c r="BS4356">
        <v>0</v>
      </c>
      <c r="BT4356">
        <v>0</v>
      </c>
      <c r="BU4356">
        <v>0</v>
      </c>
      <c r="CE4356" t="str">
        <f t="shared" si="1723"/>
        <v>15:16:37.716</v>
      </c>
      <c r="CF4356">
        <v>716251856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4</v>
      </c>
      <c r="CY4356">
        <v>7</v>
      </c>
      <c r="CZ4356" t="s">
        <v>133</v>
      </c>
      <c r="DA4356">
        <v>275</v>
      </c>
      <c r="DB4356">
        <v>0</v>
      </c>
      <c r="DC4356" t="s">
        <v>134</v>
      </c>
      <c r="DD4356" t="s">
        <v>135</v>
      </c>
      <c r="DG4356">
        <v>3323256</v>
      </c>
      <c r="DI4356">
        <v>1</v>
      </c>
      <c r="DJ4356">
        <v>0</v>
      </c>
      <c r="DK4356">
        <v>1</v>
      </c>
      <c r="DL4356">
        <v>0</v>
      </c>
      <c r="DM4356">
        <v>0</v>
      </c>
      <c r="DN4356">
        <v>0</v>
      </c>
      <c r="DO4356">
        <v>0</v>
      </c>
      <c r="DP4356">
        <v>0</v>
      </c>
      <c r="DQ4356">
        <v>0</v>
      </c>
      <c r="DR4356">
        <v>0</v>
      </c>
      <c r="DS4356">
        <v>0</v>
      </c>
    </row>
    <row r="4357" spans="1:123" x14ac:dyDescent="0.3">
      <c r="A4357" t="str">
        <f>"05/01/2025 15:16:37.971"</f>
        <v>05/01/2025 15:16:37.971</v>
      </c>
      <c r="C4357" t="str">
        <f t="shared" si="1724"/>
        <v>FFDFD3C0</v>
      </c>
      <c r="D4357" t="s">
        <v>136</v>
      </c>
      <c r="E4357" t="str">
        <f>"20"</f>
        <v>20</v>
      </c>
      <c r="H4357">
        <v>400</v>
      </c>
      <c r="I4357" t="s">
        <v>137</v>
      </c>
      <c r="J4357" t="s">
        <v>138</v>
      </c>
      <c r="K4357">
        <v>0</v>
      </c>
      <c r="L4357">
        <v>3</v>
      </c>
      <c r="M4357">
        <v>0</v>
      </c>
      <c r="N4357">
        <v>2</v>
      </c>
      <c r="O4357">
        <v>0</v>
      </c>
      <c r="P4357">
        <v>1</v>
      </c>
      <c r="Q4357">
        <v>0</v>
      </c>
      <c r="R4357" t="s">
        <v>127</v>
      </c>
      <c r="S4357" t="str">
        <f t="shared" si="1722"/>
        <v>15:16:37.000</v>
      </c>
      <c r="T4357" t="str">
        <f t="shared" si="1722"/>
        <v>15:16:37.000</v>
      </c>
      <c r="U4357" t="str">
        <f t="shared" si="1725"/>
        <v>A68FCB</v>
      </c>
      <c r="V4357">
        <v>0</v>
      </c>
      <c r="W4357">
        <v>0</v>
      </c>
      <c r="X4357">
        <v>2</v>
      </c>
      <c r="Y4357">
        <v>0</v>
      </c>
      <c r="AA4357">
        <v>1</v>
      </c>
      <c r="AB4357">
        <v>8</v>
      </c>
      <c r="AC4357">
        <v>3</v>
      </c>
      <c r="AD4357">
        <v>0</v>
      </c>
      <c r="AE4357">
        <v>9</v>
      </c>
      <c r="AF4357" t="s">
        <v>138</v>
      </c>
      <c r="AG4357">
        <v>0</v>
      </c>
      <c r="AH4357">
        <v>3</v>
      </c>
      <c r="AI4357">
        <v>2</v>
      </c>
      <c r="AJ4357">
        <v>0</v>
      </c>
      <c r="AK4357" t="s">
        <v>1384</v>
      </c>
      <c r="AL4357">
        <v>39.199947999999999</v>
      </c>
      <c r="AM4357" t="s">
        <v>1385</v>
      </c>
      <c r="AN4357">
        <v>-121.013997</v>
      </c>
      <c r="AO4357">
        <v>25</v>
      </c>
      <c r="AP4357">
        <v>4200</v>
      </c>
      <c r="AQ4357" t="s">
        <v>131</v>
      </c>
      <c r="AR4357">
        <v>39</v>
      </c>
      <c r="AS4357">
        <v>68</v>
      </c>
      <c r="AT4357">
        <v>-128</v>
      </c>
      <c r="BB4357" t="str">
        <f t="shared" si="1726"/>
        <v>1200</v>
      </c>
      <c r="BC4357">
        <v>1</v>
      </c>
      <c r="BD4357" t="str">
        <f t="shared" si="1727"/>
        <v xml:space="preserve">N52156  </v>
      </c>
      <c r="BE4357">
        <v>1</v>
      </c>
      <c r="BG4357">
        <v>0</v>
      </c>
      <c r="BH4357">
        <v>0</v>
      </c>
      <c r="BI4357">
        <v>0</v>
      </c>
      <c r="BJ4357">
        <v>4250</v>
      </c>
      <c r="BK4357">
        <v>50</v>
      </c>
      <c r="BL4357" t="s">
        <v>188</v>
      </c>
      <c r="BM4357">
        <v>1</v>
      </c>
      <c r="BN4357">
        <v>1</v>
      </c>
      <c r="BO4357">
        <v>0</v>
      </c>
      <c r="BP4357">
        <v>0</v>
      </c>
      <c r="BS4357">
        <v>0</v>
      </c>
      <c r="BT4357">
        <v>0</v>
      </c>
      <c r="BU4357">
        <v>0</v>
      </c>
      <c r="CE4357" t="str">
        <f t="shared" si="1723"/>
        <v>15:16:37.716</v>
      </c>
      <c r="CF4357">
        <v>716251856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4</v>
      </c>
      <c r="CY4357">
        <v>7</v>
      </c>
      <c r="CZ4357" t="s">
        <v>133</v>
      </c>
      <c r="DA4357">
        <v>275</v>
      </c>
      <c r="DB4357">
        <v>0</v>
      </c>
      <c r="DC4357" t="s">
        <v>134</v>
      </c>
      <c r="DD4357" t="s">
        <v>135</v>
      </c>
      <c r="DG4357">
        <v>3323256</v>
      </c>
      <c r="DI4357">
        <v>1</v>
      </c>
      <c r="DJ4357">
        <v>0</v>
      </c>
      <c r="DK4357">
        <v>1</v>
      </c>
      <c r="DL4357">
        <v>0</v>
      </c>
      <c r="DM4357">
        <v>0</v>
      </c>
      <c r="DN4357">
        <v>0</v>
      </c>
      <c r="DO4357">
        <v>0</v>
      </c>
      <c r="DP4357">
        <v>0</v>
      </c>
      <c r="DQ4357">
        <v>0</v>
      </c>
      <c r="DR4357">
        <v>0</v>
      </c>
      <c r="DS4357">
        <v>0</v>
      </c>
    </row>
    <row r="4358" spans="1:123" x14ac:dyDescent="0.3">
      <c r="A4358" t="str">
        <f>"05/01/2025 15:16:38.940"</f>
        <v>05/01/2025 15:16:38.940</v>
      </c>
      <c r="C4358" t="str">
        <f t="shared" si="1724"/>
        <v>FFDFD3C0</v>
      </c>
      <c r="D4358" t="s">
        <v>140</v>
      </c>
      <c r="E4358" t="str">
        <f>"13"</f>
        <v>13</v>
      </c>
      <c r="F4358">
        <v>1019</v>
      </c>
      <c r="G4358" t="s">
        <v>141</v>
      </c>
      <c r="J4358" t="s">
        <v>142</v>
      </c>
      <c r="K4358">
        <v>0</v>
      </c>
      <c r="L4358">
        <v>3</v>
      </c>
      <c r="M4358">
        <v>0</v>
      </c>
      <c r="N4358">
        <v>2</v>
      </c>
      <c r="O4358">
        <v>0</v>
      </c>
      <c r="P4358">
        <v>1</v>
      </c>
      <c r="Q4358">
        <v>0</v>
      </c>
      <c r="R4358" t="s">
        <v>127</v>
      </c>
      <c r="S4358" t="str">
        <f t="shared" ref="S4358:T4363" si="1728">"15:16:38.000"</f>
        <v>15:16:38.000</v>
      </c>
      <c r="T4358" t="str">
        <f t="shared" si="1728"/>
        <v>15:16:38.000</v>
      </c>
      <c r="U4358" t="str">
        <f t="shared" si="1725"/>
        <v>A68FCB</v>
      </c>
      <c r="V4358">
        <v>0</v>
      </c>
      <c r="W4358">
        <v>0</v>
      </c>
      <c r="X4358">
        <v>2</v>
      </c>
      <c r="Y4358">
        <v>0</v>
      </c>
      <c r="AA4358">
        <v>1</v>
      </c>
      <c r="AB4358">
        <v>8</v>
      </c>
      <c r="AC4358">
        <v>3</v>
      </c>
      <c r="AD4358">
        <v>0</v>
      </c>
      <c r="AE4358">
        <v>9</v>
      </c>
      <c r="AF4358" t="s">
        <v>138</v>
      </c>
      <c r="AG4358">
        <v>0</v>
      </c>
      <c r="AH4358">
        <v>3</v>
      </c>
      <c r="AI4358">
        <v>2</v>
      </c>
      <c r="AJ4358">
        <v>0</v>
      </c>
      <c r="AK4358" t="s">
        <v>1386</v>
      </c>
      <c r="AL4358">
        <v>39.200248999999999</v>
      </c>
      <c r="AM4358" t="s">
        <v>1387</v>
      </c>
      <c r="AN4358">
        <v>-121.013761</v>
      </c>
      <c r="AO4358">
        <v>25</v>
      </c>
      <c r="AP4358">
        <v>4200</v>
      </c>
      <c r="AQ4358" t="s">
        <v>131</v>
      </c>
      <c r="AR4358">
        <v>40</v>
      </c>
      <c r="AS4358">
        <v>67</v>
      </c>
      <c r="AT4358">
        <v>-128</v>
      </c>
      <c r="BB4358" t="str">
        <f t="shared" si="1726"/>
        <v>1200</v>
      </c>
      <c r="BC4358">
        <v>1</v>
      </c>
      <c r="BD4358" t="str">
        <f t="shared" si="1727"/>
        <v xml:space="preserve">N52156  </v>
      </c>
      <c r="BE4358">
        <v>1</v>
      </c>
      <c r="BG4358">
        <v>0</v>
      </c>
      <c r="BH4358">
        <v>0</v>
      </c>
      <c r="BI4358">
        <v>0</v>
      </c>
      <c r="BJ4358">
        <v>4250</v>
      </c>
      <c r="BK4358">
        <v>50</v>
      </c>
      <c r="BL4358" t="s">
        <v>188</v>
      </c>
      <c r="BM4358">
        <v>1</v>
      </c>
      <c r="BN4358">
        <v>1</v>
      </c>
      <c r="BO4358">
        <v>0</v>
      </c>
      <c r="BP4358">
        <v>0</v>
      </c>
      <c r="BS4358">
        <v>0</v>
      </c>
      <c r="BT4358">
        <v>0</v>
      </c>
      <c r="BU4358">
        <v>0</v>
      </c>
      <c r="CE4358" t="str">
        <f t="shared" ref="CE4358:CE4363" si="1729">"15:16:38.728"</f>
        <v>15:16:38.728</v>
      </c>
      <c r="CF4358">
        <v>728252002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4</v>
      </c>
      <c r="CY4358">
        <v>7</v>
      </c>
      <c r="CZ4358" t="s">
        <v>133</v>
      </c>
      <c r="DA4358">
        <v>275</v>
      </c>
      <c r="DB4358">
        <v>0</v>
      </c>
      <c r="DC4358" t="s">
        <v>134</v>
      </c>
      <c r="DD4358" t="s">
        <v>135</v>
      </c>
      <c r="DG4358">
        <v>3323258</v>
      </c>
      <c r="DI4358">
        <v>1</v>
      </c>
      <c r="DJ4358">
        <v>0</v>
      </c>
      <c r="DK4358">
        <v>0</v>
      </c>
      <c r="DL4358">
        <v>0</v>
      </c>
      <c r="DM4358">
        <v>0</v>
      </c>
      <c r="DN4358">
        <v>0</v>
      </c>
      <c r="DO4358">
        <v>0</v>
      </c>
      <c r="DP4358">
        <v>0</v>
      </c>
      <c r="DQ4358">
        <v>0</v>
      </c>
      <c r="DR4358">
        <v>0</v>
      </c>
      <c r="DS4358">
        <v>0</v>
      </c>
    </row>
    <row r="4359" spans="1:123" x14ac:dyDescent="0.3">
      <c r="A4359" t="str">
        <f>"05/01/2025 15:16:38.940"</f>
        <v>05/01/2025 15:16:38.940</v>
      </c>
      <c r="C4359" t="str">
        <f t="shared" si="1724"/>
        <v>FFDFD3C0</v>
      </c>
      <c r="D4359" t="s">
        <v>124</v>
      </c>
      <c r="E4359" t="str">
        <f>"06"</f>
        <v>06</v>
      </c>
      <c r="F4359">
        <v>2006</v>
      </c>
      <c r="G4359" t="s">
        <v>125</v>
      </c>
      <c r="J4359" t="s">
        <v>126</v>
      </c>
      <c r="K4359">
        <v>0</v>
      </c>
      <c r="L4359">
        <v>3</v>
      </c>
      <c r="M4359">
        <v>0</v>
      </c>
      <c r="N4359">
        <v>2</v>
      </c>
      <c r="O4359">
        <v>0</v>
      </c>
      <c r="P4359">
        <v>1</v>
      </c>
      <c r="Q4359">
        <v>0</v>
      </c>
      <c r="R4359" t="s">
        <v>127</v>
      </c>
      <c r="S4359" t="str">
        <f t="shared" si="1728"/>
        <v>15:16:38.000</v>
      </c>
      <c r="T4359" t="str">
        <f t="shared" si="1728"/>
        <v>15:16:38.000</v>
      </c>
      <c r="U4359" t="str">
        <f t="shared" si="1725"/>
        <v>A68FCB</v>
      </c>
      <c r="V4359">
        <v>0</v>
      </c>
      <c r="W4359">
        <v>0</v>
      </c>
      <c r="X4359">
        <v>2</v>
      </c>
      <c r="Y4359">
        <v>0</v>
      </c>
      <c r="AA4359">
        <v>1</v>
      </c>
      <c r="AB4359">
        <v>8</v>
      </c>
      <c r="AC4359">
        <v>3</v>
      </c>
      <c r="AD4359">
        <v>0</v>
      </c>
      <c r="AE4359">
        <v>9</v>
      </c>
      <c r="AF4359" t="s">
        <v>138</v>
      </c>
      <c r="AG4359">
        <v>0</v>
      </c>
      <c r="AH4359">
        <v>3</v>
      </c>
      <c r="AI4359">
        <v>2</v>
      </c>
      <c r="AJ4359">
        <v>0</v>
      </c>
      <c r="AK4359" t="s">
        <v>1386</v>
      </c>
      <c r="AL4359">
        <v>39.200248999999999</v>
      </c>
      <c r="AM4359" t="s">
        <v>1387</v>
      </c>
      <c r="AN4359">
        <v>-121.013761</v>
      </c>
      <c r="AO4359">
        <v>25</v>
      </c>
      <c r="AP4359">
        <v>4200</v>
      </c>
      <c r="AQ4359" t="s">
        <v>131</v>
      </c>
      <c r="AR4359">
        <v>40</v>
      </c>
      <c r="AS4359">
        <v>67</v>
      </c>
      <c r="AT4359">
        <v>-128</v>
      </c>
      <c r="BB4359" t="str">
        <f t="shared" si="1726"/>
        <v>1200</v>
      </c>
      <c r="BC4359">
        <v>1</v>
      </c>
      <c r="BD4359" t="str">
        <f t="shared" si="1727"/>
        <v xml:space="preserve">N52156  </v>
      </c>
      <c r="BE4359">
        <v>1</v>
      </c>
      <c r="BG4359">
        <v>0</v>
      </c>
      <c r="BH4359">
        <v>0</v>
      </c>
      <c r="BI4359">
        <v>0</v>
      </c>
      <c r="BJ4359">
        <v>4250</v>
      </c>
      <c r="BK4359">
        <v>50</v>
      </c>
      <c r="BL4359" t="s">
        <v>188</v>
      </c>
      <c r="BM4359">
        <v>1</v>
      </c>
      <c r="BN4359">
        <v>1</v>
      </c>
      <c r="BO4359">
        <v>0</v>
      </c>
      <c r="BP4359">
        <v>0</v>
      </c>
      <c r="BS4359">
        <v>0</v>
      </c>
      <c r="BT4359">
        <v>0</v>
      </c>
      <c r="BU4359">
        <v>0</v>
      </c>
      <c r="CE4359" t="str">
        <f t="shared" si="1729"/>
        <v>15:16:38.728</v>
      </c>
      <c r="CF4359">
        <v>728252002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4</v>
      </c>
      <c r="CY4359">
        <v>7</v>
      </c>
      <c r="CZ4359" t="s">
        <v>133</v>
      </c>
      <c r="DA4359">
        <v>275</v>
      </c>
      <c r="DB4359">
        <v>0</v>
      </c>
      <c r="DC4359" t="s">
        <v>134</v>
      </c>
      <c r="DD4359" t="s">
        <v>135</v>
      </c>
      <c r="DG4359">
        <v>3323258</v>
      </c>
      <c r="DI4359">
        <v>1</v>
      </c>
      <c r="DJ4359">
        <v>0</v>
      </c>
      <c r="DK4359">
        <v>1</v>
      </c>
      <c r="DL4359">
        <v>0</v>
      </c>
      <c r="DM4359">
        <v>0</v>
      </c>
      <c r="DN4359">
        <v>0</v>
      </c>
      <c r="DO4359">
        <v>0</v>
      </c>
      <c r="DP4359">
        <v>0</v>
      </c>
      <c r="DQ4359">
        <v>0</v>
      </c>
      <c r="DR4359">
        <v>0</v>
      </c>
      <c r="DS4359">
        <v>0</v>
      </c>
    </row>
    <row r="4360" spans="1:123" x14ac:dyDescent="0.3">
      <c r="A4360" t="str">
        <f>"05/01/2025 15:16:38.943"</f>
        <v>05/01/2025 15:16:38.943</v>
      </c>
      <c r="C4360" t="str">
        <f t="shared" si="1724"/>
        <v>FFDFD3C0</v>
      </c>
      <c r="D4360" t="s">
        <v>143</v>
      </c>
      <c r="E4360" t="str">
        <f>"05"</f>
        <v>05</v>
      </c>
      <c r="H4360">
        <v>172</v>
      </c>
      <c r="I4360" t="s">
        <v>141</v>
      </c>
      <c r="J4360" t="s">
        <v>144</v>
      </c>
      <c r="K4360">
        <v>0</v>
      </c>
      <c r="L4360">
        <v>3</v>
      </c>
      <c r="M4360">
        <v>0</v>
      </c>
      <c r="N4360">
        <v>2</v>
      </c>
      <c r="O4360">
        <v>0</v>
      </c>
      <c r="P4360">
        <v>1</v>
      </c>
      <c r="Q4360">
        <v>0</v>
      </c>
      <c r="R4360" t="s">
        <v>127</v>
      </c>
      <c r="S4360" t="str">
        <f t="shared" si="1728"/>
        <v>15:16:38.000</v>
      </c>
      <c r="T4360" t="str">
        <f t="shared" si="1728"/>
        <v>15:16:38.000</v>
      </c>
      <c r="U4360" t="str">
        <f t="shared" si="1725"/>
        <v>A68FCB</v>
      </c>
      <c r="V4360">
        <v>0</v>
      </c>
      <c r="W4360">
        <v>0</v>
      </c>
      <c r="X4360">
        <v>2</v>
      </c>
      <c r="Y4360">
        <v>0</v>
      </c>
      <c r="AA4360">
        <v>1</v>
      </c>
      <c r="AB4360">
        <v>8</v>
      </c>
      <c r="AC4360">
        <v>3</v>
      </c>
      <c r="AD4360">
        <v>0</v>
      </c>
      <c r="AE4360">
        <v>9</v>
      </c>
      <c r="AF4360" t="s">
        <v>138</v>
      </c>
      <c r="AG4360">
        <v>0</v>
      </c>
      <c r="AH4360">
        <v>3</v>
      </c>
      <c r="AI4360">
        <v>2</v>
      </c>
      <c r="AJ4360">
        <v>0</v>
      </c>
      <c r="AK4360" t="s">
        <v>1386</v>
      </c>
      <c r="AL4360">
        <v>39.200248999999999</v>
      </c>
      <c r="AM4360" t="s">
        <v>1387</v>
      </c>
      <c r="AN4360">
        <v>-121.013761</v>
      </c>
      <c r="AO4360">
        <v>25</v>
      </c>
      <c r="AP4360">
        <v>4200</v>
      </c>
      <c r="AQ4360" t="s">
        <v>131</v>
      </c>
      <c r="AR4360">
        <v>40</v>
      </c>
      <c r="AS4360">
        <v>67</v>
      </c>
      <c r="AT4360">
        <v>-128</v>
      </c>
      <c r="BB4360" t="str">
        <f t="shared" si="1726"/>
        <v>1200</v>
      </c>
      <c r="BC4360">
        <v>1</v>
      </c>
      <c r="BD4360" t="str">
        <f t="shared" si="1727"/>
        <v xml:space="preserve">N52156  </v>
      </c>
      <c r="BE4360">
        <v>1</v>
      </c>
      <c r="BG4360">
        <v>0</v>
      </c>
      <c r="BH4360">
        <v>0</v>
      </c>
      <c r="BI4360">
        <v>0</v>
      </c>
      <c r="BJ4360">
        <v>4250</v>
      </c>
      <c r="BK4360">
        <v>50</v>
      </c>
      <c r="BL4360" t="s">
        <v>188</v>
      </c>
      <c r="BM4360">
        <v>1</v>
      </c>
      <c r="BN4360">
        <v>1</v>
      </c>
      <c r="BO4360">
        <v>0</v>
      </c>
      <c r="BP4360">
        <v>0</v>
      </c>
      <c r="BS4360">
        <v>0</v>
      </c>
      <c r="BT4360">
        <v>0</v>
      </c>
      <c r="BU4360">
        <v>0</v>
      </c>
      <c r="CE4360" t="str">
        <f t="shared" si="1729"/>
        <v>15:16:38.728</v>
      </c>
      <c r="CF4360">
        <v>728252002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4</v>
      </c>
      <c r="CY4360">
        <v>7</v>
      </c>
      <c r="CZ4360" t="s">
        <v>133</v>
      </c>
      <c r="DA4360">
        <v>275</v>
      </c>
      <c r="DB4360">
        <v>0</v>
      </c>
      <c r="DC4360" t="s">
        <v>134</v>
      </c>
      <c r="DD4360" t="s">
        <v>135</v>
      </c>
      <c r="DG4360">
        <v>3323258</v>
      </c>
      <c r="DI4360">
        <v>1</v>
      </c>
      <c r="DJ4360">
        <v>0</v>
      </c>
      <c r="DK4360">
        <v>1</v>
      </c>
      <c r="DL4360">
        <v>0</v>
      </c>
      <c r="DM4360">
        <v>0</v>
      </c>
      <c r="DN4360">
        <v>0</v>
      </c>
      <c r="DO4360">
        <v>0</v>
      </c>
      <c r="DP4360">
        <v>0</v>
      </c>
      <c r="DQ4360">
        <v>0</v>
      </c>
      <c r="DR4360">
        <v>0</v>
      </c>
      <c r="DS4360">
        <v>0</v>
      </c>
    </row>
    <row r="4361" spans="1:123" x14ac:dyDescent="0.3">
      <c r="A4361" t="str">
        <f>"05/01/2025 15:16:38.957"</f>
        <v>05/01/2025 15:16:38.957</v>
      </c>
      <c r="C4361" t="str">
        <f t="shared" si="1724"/>
        <v>FFDFD3C0</v>
      </c>
      <c r="D4361" t="s">
        <v>145</v>
      </c>
      <c r="E4361" t="str">
        <f>"09"</f>
        <v>09</v>
      </c>
      <c r="H4361">
        <v>51</v>
      </c>
      <c r="I4361" t="s">
        <v>147</v>
      </c>
      <c r="J4361" t="s">
        <v>138</v>
      </c>
      <c r="K4361">
        <v>0</v>
      </c>
      <c r="L4361">
        <v>3</v>
      </c>
      <c r="M4361">
        <v>0</v>
      </c>
      <c r="N4361">
        <v>2</v>
      </c>
      <c r="O4361">
        <v>0</v>
      </c>
      <c r="P4361">
        <v>1</v>
      </c>
      <c r="Q4361">
        <v>0</v>
      </c>
      <c r="R4361" t="s">
        <v>127</v>
      </c>
      <c r="S4361" t="str">
        <f t="shared" si="1728"/>
        <v>15:16:38.000</v>
      </c>
      <c r="T4361" t="str">
        <f t="shared" si="1728"/>
        <v>15:16:38.000</v>
      </c>
      <c r="U4361" t="str">
        <f t="shared" si="1725"/>
        <v>A68FCB</v>
      </c>
      <c r="V4361">
        <v>0</v>
      </c>
      <c r="W4361">
        <v>0</v>
      </c>
      <c r="X4361">
        <v>2</v>
      </c>
      <c r="Y4361">
        <v>0</v>
      </c>
      <c r="AA4361">
        <v>1</v>
      </c>
      <c r="AB4361">
        <v>8</v>
      </c>
      <c r="AC4361">
        <v>3</v>
      </c>
      <c r="AD4361">
        <v>0</v>
      </c>
      <c r="AE4361">
        <v>9</v>
      </c>
      <c r="AF4361" t="s">
        <v>138</v>
      </c>
      <c r="AG4361">
        <v>0</v>
      </c>
      <c r="AH4361">
        <v>3</v>
      </c>
      <c r="AI4361">
        <v>2</v>
      </c>
      <c r="AJ4361">
        <v>0</v>
      </c>
      <c r="AK4361" t="s">
        <v>1386</v>
      </c>
      <c r="AL4361">
        <v>39.200248999999999</v>
      </c>
      <c r="AM4361" t="s">
        <v>1387</v>
      </c>
      <c r="AN4361">
        <v>-121.013761</v>
      </c>
      <c r="AO4361">
        <v>25</v>
      </c>
      <c r="AP4361">
        <v>4200</v>
      </c>
      <c r="AQ4361" t="s">
        <v>131</v>
      </c>
      <c r="AR4361">
        <v>40</v>
      </c>
      <c r="AS4361">
        <v>67</v>
      </c>
      <c r="AT4361">
        <v>-128</v>
      </c>
      <c r="BB4361" t="str">
        <f t="shared" si="1726"/>
        <v>1200</v>
      </c>
      <c r="BC4361">
        <v>1</v>
      </c>
      <c r="BD4361" t="str">
        <f t="shared" si="1727"/>
        <v xml:space="preserve">N52156  </v>
      </c>
      <c r="BE4361">
        <v>1</v>
      </c>
      <c r="BG4361">
        <v>0</v>
      </c>
      <c r="BH4361">
        <v>0</v>
      </c>
      <c r="BI4361">
        <v>0</v>
      </c>
      <c r="BJ4361">
        <v>4250</v>
      </c>
      <c r="BK4361">
        <v>50</v>
      </c>
      <c r="BL4361" t="s">
        <v>188</v>
      </c>
      <c r="BM4361">
        <v>1</v>
      </c>
      <c r="BN4361">
        <v>1</v>
      </c>
      <c r="BO4361">
        <v>0</v>
      </c>
      <c r="BP4361">
        <v>0</v>
      </c>
      <c r="BS4361">
        <v>0</v>
      </c>
      <c r="BT4361">
        <v>0</v>
      </c>
      <c r="BU4361">
        <v>0</v>
      </c>
      <c r="CE4361" t="str">
        <f t="shared" si="1729"/>
        <v>15:16:38.728</v>
      </c>
      <c r="CF4361">
        <v>728252002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4</v>
      </c>
      <c r="CY4361">
        <v>7</v>
      </c>
      <c r="CZ4361" t="s">
        <v>133</v>
      </c>
      <c r="DA4361">
        <v>275</v>
      </c>
      <c r="DB4361">
        <v>0</v>
      </c>
      <c r="DC4361" t="s">
        <v>134</v>
      </c>
      <c r="DD4361" t="s">
        <v>135</v>
      </c>
      <c r="DG4361">
        <v>3323258</v>
      </c>
      <c r="DI4361">
        <v>1</v>
      </c>
      <c r="DJ4361">
        <v>0</v>
      </c>
      <c r="DK4361">
        <v>1</v>
      </c>
      <c r="DL4361">
        <v>0</v>
      </c>
      <c r="DM4361">
        <v>0</v>
      </c>
      <c r="DN4361">
        <v>0</v>
      </c>
      <c r="DO4361">
        <v>0</v>
      </c>
      <c r="DP4361">
        <v>0</v>
      </c>
      <c r="DQ4361">
        <v>0</v>
      </c>
      <c r="DR4361">
        <v>0</v>
      </c>
      <c r="DS4361">
        <v>0</v>
      </c>
    </row>
    <row r="4362" spans="1:123" x14ac:dyDescent="0.3">
      <c r="A4362" t="str">
        <f>"05/01/2025 15:16:38.959"</f>
        <v>05/01/2025 15:16:38.959</v>
      </c>
      <c r="C4362" t="str">
        <f t="shared" si="1724"/>
        <v>FFDFD3C0</v>
      </c>
      <c r="D4362" t="s">
        <v>145</v>
      </c>
      <c r="E4362" t="str">
        <f>"05"</f>
        <v>05</v>
      </c>
      <c r="H4362">
        <v>47</v>
      </c>
      <c r="I4362" t="s">
        <v>146</v>
      </c>
      <c r="J4362" t="s">
        <v>138</v>
      </c>
      <c r="K4362">
        <v>0</v>
      </c>
      <c r="L4362">
        <v>3</v>
      </c>
      <c r="M4362">
        <v>0</v>
      </c>
      <c r="N4362">
        <v>2</v>
      </c>
      <c r="O4362">
        <v>0</v>
      </c>
      <c r="P4362">
        <v>1</v>
      </c>
      <c r="Q4362">
        <v>0</v>
      </c>
      <c r="R4362" t="s">
        <v>127</v>
      </c>
      <c r="S4362" t="str">
        <f t="shared" si="1728"/>
        <v>15:16:38.000</v>
      </c>
      <c r="T4362" t="str">
        <f t="shared" si="1728"/>
        <v>15:16:38.000</v>
      </c>
      <c r="U4362" t="str">
        <f t="shared" si="1725"/>
        <v>A68FCB</v>
      </c>
      <c r="V4362">
        <v>0</v>
      </c>
      <c r="W4362">
        <v>0</v>
      </c>
      <c r="X4362">
        <v>2</v>
      </c>
      <c r="Y4362">
        <v>0</v>
      </c>
      <c r="AA4362">
        <v>1</v>
      </c>
      <c r="AB4362">
        <v>8</v>
      </c>
      <c r="AC4362">
        <v>3</v>
      </c>
      <c r="AD4362">
        <v>0</v>
      </c>
      <c r="AE4362">
        <v>9</v>
      </c>
      <c r="AF4362" t="s">
        <v>138</v>
      </c>
      <c r="AG4362">
        <v>0</v>
      </c>
      <c r="AH4362">
        <v>3</v>
      </c>
      <c r="AI4362">
        <v>2</v>
      </c>
      <c r="AJ4362">
        <v>0</v>
      </c>
      <c r="AK4362" t="s">
        <v>1386</v>
      </c>
      <c r="AL4362">
        <v>39.200248999999999</v>
      </c>
      <c r="AM4362" t="s">
        <v>1387</v>
      </c>
      <c r="AN4362">
        <v>-121.013761</v>
      </c>
      <c r="AO4362">
        <v>25</v>
      </c>
      <c r="AP4362">
        <v>4200</v>
      </c>
      <c r="AQ4362" t="s">
        <v>131</v>
      </c>
      <c r="AR4362">
        <v>40</v>
      </c>
      <c r="AS4362">
        <v>67</v>
      </c>
      <c r="AT4362">
        <v>-128</v>
      </c>
      <c r="BB4362" t="str">
        <f t="shared" si="1726"/>
        <v>1200</v>
      </c>
      <c r="BC4362">
        <v>1</v>
      </c>
      <c r="BD4362" t="str">
        <f t="shared" si="1727"/>
        <v xml:space="preserve">N52156  </v>
      </c>
      <c r="BE4362">
        <v>1</v>
      </c>
      <c r="BG4362">
        <v>0</v>
      </c>
      <c r="BH4362">
        <v>0</v>
      </c>
      <c r="BI4362">
        <v>0</v>
      </c>
      <c r="BJ4362">
        <v>4250</v>
      </c>
      <c r="BK4362">
        <v>50</v>
      </c>
      <c r="BL4362" t="s">
        <v>188</v>
      </c>
      <c r="BM4362">
        <v>1</v>
      </c>
      <c r="BN4362">
        <v>1</v>
      </c>
      <c r="BO4362">
        <v>0</v>
      </c>
      <c r="BP4362">
        <v>0</v>
      </c>
      <c r="BS4362">
        <v>0</v>
      </c>
      <c r="BT4362">
        <v>0</v>
      </c>
      <c r="BU4362">
        <v>0</v>
      </c>
      <c r="CE4362" t="str">
        <f t="shared" si="1729"/>
        <v>15:16:38.728</v>
      </c>
      <c r="CF4362">
        <v>728252002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4</v>
      </c>
      <c r="CY4362">
        <v>7</v>
      </c>
      <c r="CZ4362" t="s">
        <v>133</v>
      </c>
      <c r="DA4362">
        <v>275</v>
      </c>
      <c r="DB4362">
        <v>0</v>
      </c>
      <c r="DC4362" t="s">
        <v>134</v>
      </c>
      <c r="DD4362" t="s">
        <v>135</v>
      </c>
      <c r="DG4362">
        <v>3323258</v>
      </c>
      <c r="DI4362">
        <v>1</v>
      </c>
      <c r="DJ4362">
        <v>0</v>
      </c>
      <c r="DK4362">
        <v>1</v>
      </c>
      <c r="DL4362">
        <v>0</v>
      </c>
      <c r="DM4362">
        <v>0</v>
      </c>
      <c r="DN4362">
        <v>0</v>
      </c>
      <c r="DO4362">
        <v>0</v>
      </c>
      <c r="DP4362">
        <v>0</v>
      </c>
      <c r="DQ4362">
        <v>0</v>
      </c>
      <c r="DR4362">
        <v>0</v>
      </c>
      <c r="DS4362">
        <v>0</v>
      </c>
    </row>
    <row r="4363" spans="1:123" x14ac:dyDescent="0.3">
      <c r="A4363" t="str">
        <f>"05/01/2025 15:16:38.972"</f>
        <v>05/01/2025 15:16:38.972</v>
      </c>
      <c r="C4363" t="str">
        <f t="shared" si="1724"/>
        <v>FFDFD3C0</v>
      </c>
      <c r="D4363" t="s">
        <v>136</v>
      </c>
      <c r="E4363" t="str">
        <f>"20"</f>
        <v>20</v>
      </c>
      <c r="H4363">
        <v>400</v>
      </c>
      <c r="I4363" t="s">
        <v>137</v>
      </c>
      <c r="J4363" t="s">
        <v>138</v>
      </c>
      <c r="K4363">
        <v>0</v>
      </c>
      <c r="L4363">
        <v>3</v>
      </c>
      <c r="M4363">
        <v>0</v>
      </c>
      <c r="N4363">
        <v>2</v>
      </c>
      <c r="O4363">
        <v>0</v>
      </c>
      <c r="P4363">
        <v>1</v>
      </c>
      <c r="Q4363">
        <v>0</v>
      </c>
      <c r="R4363" t="s">
        <v>127</v>
      </c>
      <c r="S4363" t="str">
        <f t="shared" si="1728"/>
        <v>15:16:38.000</v>
      </c>
      <c r="T4363" t="str">
        <f t="shared" si="1728"/>
        <v>15:16:38.000</v>
      </c>
      <c r="U4363" t="str">
        <f t="shared" si="1725"/>
        <v>A68FCB</v>
      </c>
      <c r="V4363">
        <v>0</v>
      </c>
      <c r="W4363">
        <v>0</v>
      </c>
      <c r="X4363">
        <v>2</v>
      </c>
      <c r="Y4363">
        <v>0</v>
      </c>
      <c r="AA4363">
        <v>1</v>
      </c>
      <c r="AB4363">
        <v>8</v>
      </c>
      <c r="AC4363">
        <v>3</v>
      </c>
      <c r="AD4363">
        <v>0</v>
      </c>
      <c r="AE4363">
        <v>9</v>
      </c>
      <c r="AF4363" t="s">
        <v>138</v>
      </c>
      <c r="AG4363">
        <v>0</v>
      </c>
      <c r="AH4363">
        <v>3</v>
      </c>
      <c r="AI4363">
        <v>2</v>
      </c>
      <c r="AJ4363">
        <v>0</v>
      </c>
      <c r="AK4363" t="s">
        <v>1386</v>
      </c>
      <c r="AL4363">
        <v>39.200248999999999</v>
      </c>
      <c r="AM4363" t="s">
        <v>1387</v>
      </c>
      <c r="AN4363">
        <v>-121.013761</v>
      </c>
      <c r="AO4363">
        <v>25</v>
      </c>
      <c r="AP4363">
        <v>4200</v>
      </c>
      <c r="AQ4363" t="s">
        <v>131</v>
      </c>
      <c r="AR4363">
        <v>40</v>
      </c>
      <c r="AS4363">
        <v>67</v>
      </c>
      <c r="AT4363">
        <v>-128</v>
      </c>
      <c r="BB4363" t="str">
        <f t="shared" si="1726"/>
        <v>1200</v>
      </c>
      <c r="BC4363">
        <v>1</v>
      </c>
      <c r="BD4363" t="str">
        <f t="shared" si="1727"/>
        <v xml:space="preserve">N52156  </v>
      </c>
      <c r="BE4363">
        <v>1</v>
      </c>
      <c r="BG4363">
        <v>0</v>
      </c>
      <c r="BH4363">
        <v>0</v>
      </c>
      <c r="BI4363">
        <v>0</v>
      </c>
      <c r="BJ4363">
        <v>4250</v>
      </c>
      <c r="BK4363">
        <v>50</v>
      </c>
      <c r="BL4363" t="s">
        <v>188</v>
      </c>
      <c r="BM4363">
        <v>1</v>
      </c>
      <c r="BN4363">
        <v>1</v>
      </c>
      <c r="BO4363">
        <v>0</v>
      </c>
      <c r="BP4363">
        <v>0</v>
      </c>
      <c r="BS4363">
        <v>0</v>
      </c>
      <c r="BT4363">
        <v>0</v>
      </c>
      <c r="BU4363">
        <v>0</v>
      </c>
      <c r="CE4363" t="str">
        <f t="shared" si="1729"/>
        <v>15:16:38.728</v>
      </c>
      <c r="CF4363">
        <v>728252002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4</v>
      </c>
      <c r="CY4363">
        <v>7</v>
      </c>
      <c r="CZ4363" t="s">
        <v>133</v>
      </c>
      <c r="DA4363">
        <v>275</v>
      </c>
      <c r="DB4363">
        <v>0</v>
      </c>
      <c r="DC4363" t="s">
        <v>134</v>
      </c>
      <c r="DD4363" t="s">
        <v>135</v>
      </c>
      <c r="DG4363">
        <v>3323258</v>
      </c>
      <c r="DI4363">
        <v>1</v>
      </c>
      <c r="DJ4363">
        <v>0</v>
      </c>
      <c r="DK4363">
        <v>1</v>
      </c>
      <c r="DL4363">
        <v>0</v>
      </c>
      <c r="DM4363">
        <v>0</v>
      </c>
      <c r="DN4363">
        <v>0</v>
      </c>
      <c r="DO4363">
        <v>0</v>
      </c>
      <c r="DP4363">
        <v>0</v>
      </c>
      <c r="DQ4363">
        <v>0</v>
      </c>
      <c r="DR4363">
        <v>0</v>
      </c>
      <c r="DS4363">
        <v>0</v>
      </c>
    </row>
    <row r="4364" spans="1:123" x14ac:dyDescent="0.3">
      <c r="A4364" t="str">
        <f>"05/01/2025 15:16:40.074"</f>
        <v>05/01/2025 15:16:40.074</v>
      </c>
      <c r="C4364" t="str">
        <f t="shared" si="1724"/>
        <v>FFDFD3C0</v>
      </c>
      <c r="D4364" t="s">
        <v>136</v>
      </c>
      <c r="E4364" t="str">
        <f>"20"</f>
        <v>20</v>
      </c>
      <c r="H4364">
        <v>400</v>
      </c>
      <c r="I4364" t="s">
        <v>137</v>
      </c>
      <c r="J4364" t="s">
        <v>138</v>
      </c>
      <c r="K4364">
        <v>0</v>
      </c>
      <c r="L4364">
        <v>3</v>
      </c>
      <c r="M4364">
        <v>0</v>
      </c>
      <c r="N4364">
        <v>2</v>
      </c>
      <c r="O4364">
        <v>0</v>
      </c>
      <c r="P4364">
        <v>1</v>
      </c>
      <c r="Q4364">
        <v>0</v>
      </c>
      <c r="R4364" t="s">
        <v>127</v>
      </c>
      <c r="S4364" t="str">
        <f t="shared" ref="S4364:T4369" si="1730">"15:16:39.000"</f>
        <v>15:16:39.000</v>
      </c>
      <c r="T4364" t="str">
        <f t="shared" si="1730"/>
        <v>15:16:39.000</v>
      </c>
      <c r="U4364" t="str">
        <f t="shared" si="1725"/>
        <v>A68FCB</v>
      </c>
      <c r="V4364">
        <v>0</v>
      </c>
      <c r="W4364">
        <v>0</v>
      </c>
      <c r="X4364">
        <v>2</v>
      </c>
      <c r="Y4364">
        <v>0</v>
      </c>
      <c r="AA4364">
        <v>1</v>
      </c>
      <c r="AB4364">
        <v>8</v>
      </c>
      <c r="AC4364">
        <v>3</v>
      </c>
      <c r="AD4364">
        <v>0</v>
      </c>
      <c r="AE4364">
        <v>9</v>
      </c>
      <c r="AF4364" t="s">
        <v>138</v>
      </c>
      <c r="AG4364">
        <v>0</v>
      </c>
      <c r="AH4364">
        <v>3</v>
      </c>
      <c r="AI4364">
        <v>2</v>
      </c>
      <c r="AJ4364">
        <v>0</v>
      </c>
      <c r="AK4364" t="s">
        <v>1388</v>
      </c>
      <c r="AL4364">
        <v>39.200570999999997</v>
      </c>
      <c r="AM4364" t="s">
        <v>1389</v>
      </c>
      <c r="AN4364">
        <v>-121.013503</v>
      </c>
      <c r="AO4364">
        <v>25</v>
      </c>
      <c r="AP4364">
        <v>4200</v>
      </c>
      <c r="AQ4364" t="s">
        <v>131</v>
      </c>
      <c r="AR4364">
        <v>41</v>
      </c>
      <c r="AS4364">
        <v>66</v>
      </c>
      <c r="AT4364">
        <v>-64</v>
      </c>
      <c r="BB4364" t="str">
        <f t="shared" si="1726"/>
        <v>1200</v>
      </c>
      <c r="BC4364">
        <v>1</v>
      </c>
      <c r="BD4364" t="str">
        <f t="shared" si="1727"/>
        <v xml:space="preserve">N52156  </v>
      </c>
      <c r="BE4364">
        <v>1</v>
      </c>
      <c r="BG4364">
        <v>0</v>
      </c>
      <c r="BH4364">
        <v>0</v>
      </c>
      <c r="BI4364">
        <v>0</v>
      </c>
      <c r="BJ4364">
        <v>4250</v>
      </c>
      <c r="BK4364">
        <v>50</v>
      </c>
      <c r="BL4364" t="s">
        <v>188</v>
      </c>
      <c r="BM4364">
        <v>1</v>
      </c>
      <c r="BN4364">
        <v>1</v>
      </c>
      <c r="BO4364">
        <v>0</v>
      </c>
      <c r="BP4364">
        <v>0</v>
      </c>
      <c r="BS4364">
        <v>0</v>
      </c>
      <c r="BT4364">
        <v>0</v>
      </c>
      <c r="BU4364">
        <v>0</v>
      </c>
      <c r="CE4364" t="str">
        <f t="shared" ref="CE4364:CE4369" si="1731">"15:16:39.867"</f>
        <v>15:16:39.867</v>
      </c>
      <c r="CF4364">
        <v>866502442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4</v>
      </c>
      <c r="CY4364">
        <v>7</v>
      </c>
      <c r="CZ4364" t="s">
        <v>133</v>
      </c>
      <c r="DA4364">
        <v>275</v>
      </c>
      <c r="DB4364">
        <v>0</v>
      </c>
      <c r="DC4364" t="s">
        <v>134</v>
      </c>
      <c r="DD4364" t="s">
        <v>135</v>
      </c>
      <c r="DG4364">
        <v>3323261</v>
      </c>
      <c r="DI4364">
        <v>1</v>
      </c>
      <c r="DJ4364">
        <v>0</v>
      </c>
      <c r="DK4364">
        <v>0</v>
      </c>
      <c r="DL4364">
        <v>0</v>
      </c>
      <c r="DM4364">
        <v>0</v>
      </c>
      <c r="DN4364">
        <v>0</v>
      </c>
      <c r="DO4364">
        <v>0</v>
      </c>
      <c r="DP4364">
        <v>0</v>
      </c>
      <c r="DQ4364">
        <v>0</v>
      </c>
      <c r="DR4364">
        <v>0</v>
      </c>
      <c r="DS4364">
        <v>0</v>
      </c>
    </row>
    <row r="4365" spans="1:123" x14ac:dyDescent="0.3">
      <c r="A4365" t="str">
        <f>"05/01/2025 15:16:40.092"</f>
        <v>05/01/2025 15:16:40.092</v>
      </c>
      <c r="C4365" t="str">
        <f t="shared" si="1724"/>
        <v>FFDFD3C0</v>
      </c>
      <c r="D4365" t="s">
        <v>124</v>
      </c>
      <c r="E4365" t="str">
        <f>"06"</f>
        <v>06</v>
      </c>
      <c r="F4365">
        <v>2006</v>
      </c>
      <c r="G4365" t="s">
        <v>125</v>
      </c>
      <c r="J4365" t="s">
        <v>126</v>
      </c>
      <c r="K4365">
        <v>0</v>
      </c>
      <c r="L4365">
        <v>3</v>
      </c>
      <c r="M4365">
        <v>0</v>
      </c>
      <c r="N4365">
        <v>2</v>
      </c>
      <c r="O4365">
        <v>0</v>
      </c>
      <c r="P4365">
        <v>1</v>
      </c>
      <c r="Q4365">
        <v>0</v>
      </c>
      <c r="R4365" t="s">
        <v>127</v>
      </c>
      <c r="S4365" t="str">
        <f t="shared" si="1730"/>
        <v>15:16:39.000</v>
      </c>
      <c r="T4365" t="str">
        <f t="shared" si="1730"/>
        <v>15:16:39.000</v>
      </c>
      <c r="U4365" t="str">
        <f t="shared" si="1725"/>
        <v>A68FCB</v>
      </c>
      <c r="V4365">
        <v>0</v>
      </c>
      <c r="W4365">
        <v>0</v>
      </c>
      <c r="X4365">
        <v>2</v>
      </c>
      <c r="Y4365">
        <v>0</v>
      </c>
      <c r="AA4365">
        <v>1</v>
      </c>
      <c r="AB4365">
        <v>8</v>
      </c>
      <c r="AC4365">
        <v>3</v>
      </c>
      <c r="AD4365">
        <v>0</v>
      </c>
      <c r="AE4365">
        <v>9</v>
      </c>
      <c r="AF4365" t="s">
        <v>138</v>
      </c>
      <c r="AG4365">
        <v>0</v>
      </c>
      <c r="AH4365">
        <v>3</v>
      </c>
      <c r="AI4365">
        <v>2</v>
      </c>
      <c r="AJ4365">
        <v>0</v>
      </c>
      <c r="AK4365" t="s">
        <v>1388</v>
      </c>
      <c r="AL4365">
        <v>39.200570999999997</v>
      </c>
      <c r="AM4365" t="s">
        <v>1389</v>
      </c>
      <c r="AN4365">
        <v>-121.013503</v>
      </c>
      <c r="AO4365">
        <v>25</v>
      </c>
      <c r="AP4365">
        <v>4200</v>
      </c>
      <c r="AQ4365" t="s">
        <v>131</v>
      </c>
      <c r="AR4365">
        <v>41</v>
      </c>
      <c r="AS4365">
        <v>66</v>
      </c>
      <c r="AT4365">
        <v>-64</v>
      </c>
      <c r="BB4365" t="str">
        <f t="shared" si="1726"/>
        <v>1200</v>
      </c>
      <c r="BC4365">
        <v>1</v>
      </c>
      <c r="BD4365" t="str">
        <f t="shared" si="1727"/>
        <v xml:space="preserve">N52156  </v>
      </c>
      <c r="BE4365">
        <v>1</v>
      </c>
      <c r="BG4365">
        <v>0</v>
      </c>
      <c r="BH4365">
        <v>0</v>
      </c>
      <c r="BI4365">
        <v>0</v>
      </c>
      <c r="BJ4365">
        <v>4250</v>
      </c>
      <c r="BK4365">
        <v>50</v>
      </c>
      <c r="BL4365" t="s">
        <v>188</v>
      </c>
      <c r="BM4365">
        <v>1</v>
      </c>
      <c r="BN4365">
        <v>1</v>
      </c>
      <c r="BO4365">
        <v>0</v>
      </c>
      <c r="BP4365">
        <v>0</v>
      </c>
      <c r="BS4365">
        <v>0</v>
      </c>
      <c r="BT4365">
        <v>0</v>
      </c>
      <c r="BU4365">
        <v>0</v>
      </c>
      <c r="CE4365" t="str">
        <f t="shared" si="1731"/>
        <v>15:16:39.867</v>
      </c>
      <c r="CF4365">
        <v>866502442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4</v>
      </c>
      <c r="CY4365">
        <v>7</v>
      </c>
      <c r="CZ4365" t="s">
        <v>133</v>
      </c>
      <c r="DA4365">
        <v>275</v>
      </c>
      <c r="DB4365">
        <v>0</v>
      </c>
      <c r="DC4365" t="s">
        <v>134</v>
      </c>
      <c r="DD4365" t="s">
        <v>135</v>
      </c>
      <c r="DG4365">
        <v>3323261</v>
      </c>
      <c r="DI4365">
        <v>1</v>
      </c>
      <c r="DJ4365">
        <v>0</v>
      </c>
      <c r="DK4365">
        <v>1</v>
      </c>
      <c r="DL4365">
        <v>0</v>
      </c>
      <c r="DM4365">
        <v>0</v>
      </c>
      <c r="DN4365">
        <v>0</v>
      </c>
      <c r="DO4365">
        <v>0</v>
      </c>
      <c r="DP4365">
        <v>0</v>
      </c>
      <c r="DQ4365">
        <v>0</v>
      </c>
      <c r="DR4365">
        <v>0</v>
      </c>
      <c r="DS4365">
        <v>0</v>
      </c>
    </row>
    <row r="4366" spans="1:123" x14ac:dyDescent="0.3">
      <c r="A4366" t="str">
        <f>"05/01/2025 15:16:40.091"</f>
        <v>05/01/2025 15:16:40.091</v>
      </c>
      <c r="C4366" t="str">
        <f t="shared" si="1724"/>
        <v>FFDFD3C0</v>
      </c>
      <c r="D4366" t="s">
        <v>140</v>
      </c>
      <c r="E4366" t="str">
        <f>"13"</f>
        <v>13</v>
      </c>
      <c r="F4366">
        <v>1019</v>
      </c>
      <c r="G4366" t="s">
        <v>141</v>
      </c>
      <c r="J4366" t="s">
        <v>142</v>
      </c>
      <c r="K4366">
        <v>0</v>
      </c>
      <c r="L4366">
        <v>3</v>
      </c>
      <c r="M4366">
        <v>0</v>
      </c>
      <c r="N4366">
        <v>2</v>
      </c>
      <c r="O4366">
        <v>0</v>
      </c>
      <c r="P4366">
        <v>1</v>
      </c>
      <c r="Q4366">
        <v>0</v>
      </c>
      <c r="R4366" t="s">
        <v>127</v>
      </c>
      <c r="S4366" t="str">
        <f t="shared" si="1730"/>
        <v>15:16:39.000</v>
      </c>
      <c r="T4366" t="str">
        <f t="shared" si="1730"/>
        <v>15:16:39.000</v>
      </c>
      <c r="U4366" t="str">
        <f t="shared" si="1725"/>
        <v>A68FCB</v>
      </c>
      <c r="V4366">
        <v>0</v>
      </c>
      <c r="W4366">
        <v>0</v>
      </c>
      <c r="X4366">
        <v>2</v>
      </c>
      <c r="Y4366">
        <v>0</v>
      </c>
      <c r="AA4366">
        <v>1</v>
      </c>
      <c r="AB4366">
        <v>8</v>
      </c>
      <c r="AC4366">
        <v>3</v>
      </c>
      <c r="AD4366">
        <v>0</v>
      </c>
      <c r="AE4366">
        <v>9</v>
      </c>
      <c r="AF4366" t="s">
        <v>138</v>
      </c>
      <c r="AG4366">
        <v>0</v>
      </c>
      <c r="AH4366">
        <v>3</v>
      </c>
      <c r="AI4366">
        <v>2</v>
      </c>
      <c r="AJ4366">
        <v>0</v>
      </c>
      <c r="AK4366" t="s">
        <v>1388</v>
      </c>
      <c r="AL4366">
        <v>39.200570999999997</v>
      </c>
      <c r="AM4366" t="s">
        <v>1389</v>
      </c>
      <c r="AN4366">
        <v>-121.013503</v>
      </c>
      <c r="AO4366">
        <v>25</v>
      </c>
      <c r="AP4366">
        <v>4200</v>
      </c>
      <c r="AQ4366" t="s">
        <v>131</v>
      </c>
      <c r="AR4366">
        <v>41</v>
      </c>
      <c r="AS4366">
        <v>66</v>
      </c>
      <c r="AT4366">
        <v>-64</v>
      </c>
      <c r="BB4366" t="str">
        <f t="shared" si="1726"/>
        <v>1200</v>
      </c>
      <c r="BC4366">
        <v>1</v>
      </c>
      <c r="BD4366" t="str">
        <f t="shared" si="1727"/>
        <v xml:space="preserve">N52156  </v>
      </c>
      <c r="BE4366">
        <v>1</v>
      </c>
      <c r="BG4366">
        <v>0</v>
      </c>
      <c r="BH4366">
        <v>0</v>
      </c>
      <c r="BI4366">
        <v>0</v>
      </c>
      <c r="BJ4366">
        <v>4250</v>
      </c>
      <c r="BK4366">
        <v>50</v>
      </c>
      <c r="BL4366" t="s">
        <v>188</v>
      </c>
      <c r="BM4366">
        <v>1</v>
      </c>
      <c r="BN4366">
        <v>1</v>
      </c>
      <c r="BO4366">
        <v>0</v>
      </c>
      <c r="BP4366">
        <v>0</v>
      </c>
      <c r="BS4366">
        <v>0</v>
      </c>
      <c r="BT4366">
        <v>0</v>
      </c>
      <c r="BU4366">
        <v>0</v>
      </c>
      <c r="CE4366" t="str">
        <f t="shared" si="1731"/>
        <v>15:16:39.867</v>
      </c>
      <c r="CF4366">
        <v>866502442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4</v>
      </c>
      <c r="CY4366">
        <v>7</v>
      </c>
      <c r="CZ4366" t="s">
        <v>133</v>
      </c>
      <c r="DA4366">
        <v>275</v>
      </c>
      <c r="DB4366">
        <v>0</v>
      </c>
      <c r="DC4366" t="s">
        <v>134</v>
      </c>
      <c r="DD4366" t="s">
        <v>135</v>
      </c>
      <c r="DG4366">
        <v>3323261</v>
      </c>
      <c r="DI4366">
        <v>1</v>
      </c>
      <c r="DJ4366">
        <v>0</v>
      </c>
      <c r="DK4366">
        <v>1</v>
      </c>
      <c r="DL4366">
        <v>0</v>
      </c>
      <c r="DM4366">
        <v>0</v>
      </c>
      <c r="DN4366">
        <v>0</v>
      </c>
      <c r="DO4366">
        <v>0</v>
      </c>
      <c r="DP4366">
        <v>0</v>
      </c>
      <c r="DQ4366">
        <v>0</v>
      </c>
      <c r="DR4366">
        <v>0</v>
      </c>
      <c r="DS4366">
        <v>0</v>
      </c>
    </row>
    <row r="4367" spans="1:123" x14ac:dyDescent="0.3">
      <c r="A4367" t="str">
        <f>"05/01/2025 15:16:40.095"</f>
        <v>05/01/2025 15:16:40.095</v>
      </c>
      <c r="C4367" t="str">
        <f t="shared" si="1724"/>
        <v>FFDFD3C0</v>
      </c>
      <c r="D4367" t="s">
        <v>143</v>
      </c>
      <c r="E4367" t="str">
        <f>"05"</f>
        <v>05</v>
      </c>
      <c r="H4367">
        <v>172</v>
      </c>
      <c r="I4367" t="s">
        <v>141</v>
      </c>
      <c r="J4367" t="s">
        <v>144</v>
      </c>
      <c r="K4367">
        <v>0</v>
      </c>
      <c r="L4367">
        <v>3</v>
      </c>
      <c r="M4367">
        <v>0</v>
      </c>
      <c r="N4367">
        <v>2</v>
      </c>
      <c r="O4367">
        <v>0</v>
      </c>
      <c r="P4367">
        <v>1</v>
      </c>
      <c r="Q4367">
        <v>0</v>
      </c>
      <c r="R4367" t="s">
        <v>127</v>
      </c>
      <c r="S4367" t="str">
        <f t="shared" si="1730"/>
        <v>15:16:39.000</v>
      </c>
      <c r="T4367" t="str">
        <f t="shared" si="1730"/>
        <v>15:16:39.000</v>
      </c>
      <c r="U4367" t="str">
        <f t="shared" si="1725"/>
        <v>A68FCB</v>
      </c>
      <c r="V4367">
        <v>0</v>
      </c>
      <c r="W4367">
        <v>0</v>
      </c>
      <c r="X4367">
        <v>2</v>
      </c>
      <c r="Y4367">
        <v>0</v>
      </c>
      <c r="AA4367">
        <v>1</v>
      </c>
      <c r="AB4367">
        <v>8</v>
      </c>
      <c r="AC4367">
        <v>3</v>
      </c>
      <c r="AD4367">
        <v>0</v>
      </c>
      <c r="AE4367">
        <v>9</v>
      </c>
      <c r="AF4367" t="s">
        <v>138</v>
      </c>
      <c r="AG4367">
        <v>0</v>
      </c>
      <c r="AH4367">
        <v>3</v>
      </c>
      <c r="AI4367">
        <v>2</v>
      </c>
      <c r="AJ4367">
        <v>0</v>
      </c>
      <c r="AK4367" t="s">
        <v>1388</v>
      </c>
      <c r="AL4367">
        <v>39.200570999999997</v>
      </c>
      <c r="AM4367" t="s">
        <v>1389</v>
      </c>
      <c r="AN4367">
        <v>-121.013503</v>
      </c>
      <c r="AO4367">
        <v>25</v>
      </c>
      <c r="AP4367">
        <v>4200</v>
      </c>
      <c r="AQ4367" t="s">
        <v>131</v>
      </c>
      <c r="AR4367">
        <v>41</v>
      </c>
      <c r="AS4367">
        <v>66</v>
      </c>
      <c r="AT4367">
        <v>-64</v>
      </c>
      <c r="BB4367" t="str">
        <f t="shared" si="1726"/>
        <v>1200</v>
      </c>
      <c r="BC4367">
        <v>1</v>
      </c>
      <c r="BD4367" t="str">
        <f t="shared" si="1727"/>
        <v xml:space="preserve">N52156  </v>
      </c>
      <c r="BE4367">
        <v>1</v>
      </c>
      <c r="BG4367">
        <v>0</v>
      </c>
      <c r="BH4367">
        <v>0</v>
      </c>
      <c r="BI4367">
        <v>0</v>
      </c>
      <c r="BJ4367">
        <v>4250</v>
      </c>
      <c r="BK4367">
        <v>50</v>
      </c>
      <c r="BL4367" t="s">
        <v>188</v>
      </c>
      <c r="BM4367">
        <v>1</v>
      </c>
      <c r="BN4367">
        <v>1</v>
      </c>
      <c r="BO4367">
        <v>0</v>
      </c>
      <c r="BP4367">
        <v>0</v>
      </c>
      <c r="BS4367">
        <v>0</v>
      </c>
      <c r="BT4367">
        <v>0</v>
      </c>
      <c r="BU4367">
        <v>0</v>
      </c>
      <c r="CE4367" t="str">
        <f t="shared" si="1731"/>
        <v>15:16:39.867</v>
      </c>
      <c r="CF4367">
        <v>866502442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4</v>
      </c>
      <c r="CY4367">
        <v>7</v>
      </c>
      <c r="CZ4367" t="s">
        <v>133</v>
      </c>
      <c r="DA4367">
        <v>275</v>
      </c>
      <c r="DB4367">
        <v>0</v>
      </c>
      <c r="DC4367" t="s">
        <v>134</v>
      </c>
      <c r="DD4367" t="s">
        <v>135</v>
      </c>
      <c r="DG4367">
        <v>3323261</v>
      </c>
      <c r="DI4367">
        <v>1</v>
      </c>
      <c r="DJ4367">
        <v>0</v>
      </c>
      <c r="DK4367">
        <v>1</v>
      </c>
      <c r="DL4367">
        <v>0</v>
      </c>
      <c r="DM4367">
        <v>0</v>
      </c>
      <c r="DN4367">
        <v>0</v>
      </c>
      <c r="DO4367">
        <v>0</v>
      </c>
      <c r="DP4367">
        <v>0</v>
      </c>
      <c r="DQ4367">
        <v>0</v>
      </c>
      <c r="DR4367">
        <v>0</v>
      </c>
      <c r="DS4367">
        <v>0</v>
      </c>
    </row>
    <row r="4368" spans="1:123" x14ac:dyDescent="0.3">
      <c r="A4368" t="str">
        <f>"05/01/2025 15:16:40.109"</f>
        <v>05/01/2025 15:16:40.109</v>
      </c>
      <c r="C4368" t="str">
        <f t="shared" si="1724"/>
        <v>FFDFD3C0</v>
      </c>
      <c r="D4368" t="s">
        <v>145</v>
      </c>
      <c r="E4368" t="str">
        <f>"09"</f>
        <v>09</v>
      </c>
      <c r="H4368">
        <v>51</v>
      </c>
      <c r="I4368" t="s">
        <v>147</v>
      </c>
      <c r="J4368" t="s">
        <v>138</v>
      </c>
      <c r="K4368">
        <v>0</v>
      </c>
      <c r="L4368">
        <v>3</v>
      </c>
      <c r="M4368">
        <v>0</v>
      </c>
      <c r="N4368">
        <v>2</v>
      </c>
      <c r="O4368">
        <v>0</v>
      </c>
      <c r="P4368">
        <v>1</v>
      </c>
      <c r="Q4368">
        <v>0</v>
      </c>
      <c r="R4368" t="s">
        <v>127</v>
      </c>
      <c r="S4368" t="str">
        <f t="shared" si="1730"/>
        <v>15:16:39.000</v>
      </c>
      <c r="T4368" t="str">
        <f t="shared" si="1730"/>
        <v>15:16:39.000</v>
      </c>
      <c r="U4368" t="str">
        <f t="shared" si="1725"/>
        <v>A68FCB</v>
      </c>
      <c r="V4368">
        <v>0</v>
      </c>
      <c r="W4368">
        <v>0</v>
      </c>
      <c r="X4368">
        <v>2</v>
      </c>
      <c r="Y4368">
        <v>0</v>
      </c>
      <c r="AA4368">
        <v>1</v>
      </c>
      <c r="AB4368">
        <v>8</v>
      </c>
      <c r="AC4368">
        <v>3</v>
      </c>
      <c r="AD4368">
        <v>0</v>
      </c>
      <c r="AE4368">
        <v>9</v>
      </c>
      <c r="AF4368" t="s">
        <v>138</v>
      </c>
      <c r="AG4368">
        <v>0</v>
      </c>
      <c r="AH4368">
        <v>3</v>
      </c>
      <c r="AI4368">
        <v>2</v>
      </c>
      <c r="AJ4368">
        <v>0</v>
      </c>
      <c r="AK4368" t="s">
        <v>1388</v>
      </c>
      <c r="AL4368">
        <v>39.200570999999997</v>
      </c>
      <c r="AM4368" t="s">
        <v>1389</v>
      </c>
      <c r="AN4368">
        <v>-121.013503</v>
      </c>
      <c r="AO4368">
        <v>25</v>
      </c>
      <c r="AP4368">
        <v>4200</v>
      </c>
      <c r="AQ4368" t="s">
        <v>131</v>
      </c>
      <c r="AR4368">
        <v>41</v>
      </c>
      <c r="AS4368">
        <v>66</v>
      </c>
      <c r="AT4368">
        <v>-64</v>
      </c>
      <c r="BB4368" t="str">
        <f t="shared" si="1726"/>
        <v>1200</v>
      </c>
      <c r="BC4368">
        <v>1</v>
      </c>
      <c r="BD4368" t="str">
        <f t="shared" si="1727"/>
        <v xml:space="preserve">N52156  </v>
      </c>
      <c r="BE4368">
        <v>1</v>
      </c>
      <c r="BG4368">
        <v>0</v>
      </c>
      <c r="BH4368">
        <v>0</v>
      </c>
      <c r="BI4368">
        <v>0</v>
      </c>
      <c r="BJ4368">
        <v>4250</v>
      </c>
      <c r="BK4368">
        <v>50</v>
      </c>
      <c r="BL4368" t="s">
        <v>188</v>
      </c>
      <c r="BM4368">
        <v>1</v>
      </c>
      <c r="BN4368">
        <v>1</v>
      </c>
      <c r="BO4368">
        <v>0</v>
      </c>
      <c r="BP4368">
        <v>0</v>
      </c>
      <c r="BS4368">
        <v>0</v>
      </c>
      <c r="BT4368">
        <v>0</v>
      </c>
      <c r="BU4368">
        <v>0</v>
      </c>
      <c r="CE4368" t="str">
        <f t="shared" si="1731"/>
        <v>15:16:39.867</v>
      </c>
      <c r="CF4368">
        <v>866502442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4</v>
      </c>
      <c r="CY4368">
        <v>7</v>
      </c>
      <c r="CZ4368" t="s">
        <v>133</v>
      </c>
      <c r="DA4368">
        <v>275</v>
      </c>
      <c r="DB4368">
        <v>0</v>
      </c>
      <c r="DC4368" t="s">
        <v>134</v>
      </c>
      <c r="DD4368" t="s">
        <v>135</v>
      </c>
      <c r="DG4368">
        <v>3323261</v>
      </c>
      <c r="DI4368">
        <v>1</v>
      </c>
      <c r="DJ4368">
        <v>0</v>
      </c>
      <c r="DK4368">
        <v>1</v>
      </c>
      <c r="DL4368">
        <v>0</v>
      </c>
      <c r="DM4368">
        <v>0</v>
      </c>
      <c r="DN4368">
        <v>0</v>
      </c>
      <c r="DO4368">
        <v>0</v>
      </c>
      <c r="DP4368">
        <v>0</v>
      </c>
      <c r="DQ4368">
        <v>0</v>
      </c>
      <c r="DR4368">
        <v>0</v>
      </c>
      <c r="DS4368">
        <v>0</v>
      </c>
    </row>
    <row r="4369" spans="1:123" x14ac:dyDescent="0.3">
      <c r="A4369" t="str">
        <f>"05/01/2025 15:16:40.112"</f>
        <v>05/01/2025 15:16:40.112</v>
      </c>
      <c r="C4369" t="str">
        <f t="shared" si="1724"/>
        <v>FFDFD3C0</v>
      </c>
      <c r="D4369" t="s">
        <v>145</v>
      </c>
      <c r="E4369" t="str">
        <f>"05"</f>
        <v>05</v>
      </c>
      <c r="H4369">
        <v>47</v>
      </c>
      <c r="I4369" t="s">
        <v>146</v>
      </c>
      <c r="J4369" t="s">
        <v>138</v>
      </c>
      <c r="K4369">
        <v>0</v>
      </c>
      <c r="L4369">
        <v>3</v>
      </c>
      <c r="M4369">
        <v>0</v>
      </c>
      <c r="N4369">
        <v>2</v>
      </c>
      <c r="O4369">
        <v>0</v>
      </c>
      <c r="P4369">
        <v>1</v>
      </c>
      <c r="Q4369">
        <v>0</v>
      </c>
      <c r="R4369" t="s">
        <v>127</v>
      </c>
      <c r="S4369" t="str">
        <f t="shared" si="1730"/>
        <v>15:16:39.000</v>
      </c>
      <c r="T4369" t="str">
        <f t="shared" si="1730"/>
        <v>15:16:39.000</v>
      </c>
      <c r="U4369" t="str">
        <f t="shared" si="1725"/>
        <v>A68FCB</v>
      </c>
      <c r="V4369">
        <v>0</v>
      </c>
      <c r="W4369">
        <v>0</v>
      </c>
      <c r="X4369">
        <v>2</v>
      </c>
      <c r="Y4369">
        <v>0</v>
      </c>
      <c r="AA4369">
        <v>1</v>
      </c>
      <c r="AB4369">
        <v>8</v>
      </c>
      <c r="AC4369">
        <v>3</v>
      </c>
      <c r="AD4369">
        <v>0</v>
      </c>
      <c r="AE4369">
        <v>9</v>
      </c>
      <c r="AF4369" t="s">
        <v>138</v>
      </c>
      <c r="AG4369">
        <v>0</v>
      </c>
      <c r="AH4369">
        <v>3</v>
      </c>
      <c r="AI4369">
        <v>2</v>
      </c>
      <c r="AJ4369">
        <v>0</v>
      </c>
      <c r="AK4369" t="s">
        <v>1388</v>
      </c>
      <c r="AL4369">
        <v>39.200570999999997</v>
      </c>
      <c r="AM4369" t="s">
        <v>1389</v>
      </c>
      <c r="AN4369">
        <v>-121.013503</v>
      </c>
      <c r="AO4369">
        <v>25</v>
      </c>
      <c r="AP4369">
        <v>4200</v>
      </c>
      <c r="AQ4369" t="s">
        <v>131</v>
      </c>
      <c r="AR4369">
        <v>41</v>
      </c>
      <c r="AS4369">
        <v>66</v>
      </c>
      <c r="AT4369">
        <v>-64</v>
      </c>
      <c r="BB4369" t="str">
        <f t="shared" si="1726"/>
        <v>1200</v>
      </c>
      <c r="BC4369">
        <v>1</v>
      </c>
      <c r="BD4369" t="str">
        <f t="shared" si="1727"/>
        <v xml:space="preserve">N52156  </v>
      </c>
      <c r="BE4369">
        <v>1</v>
      </c>
      <c r="BG4369">
        <v>0</v>
      </c>
      <c r="BH4369">
        <v>0</v>
      </c>
      <c r="BI4369">
        <v>0</v>
      </c>
      <c r="BJ4369">
        <v>4250</v>
      </c>
      <c r="BK4369">
        <v>50</v>
      </c>
      <c r="BL4369" t="s">
        <v>188</v>
      </c>
      <c r="BM4369">
        <v>1</v>
      </c>
      <c r="BN4369">
        <v>1</v>
      </c>
      <c r="BO4369">
        <v>0</v>
      </c>
      <c r="BP4369">
        <v>0</v>
      </c>
      <c r="BS4369">
        <v>0</v>
      </c>
      <c r="BT4369">
        <v>0</v>
      </c>
      <c r="BU4369">
        <v>0</v>
      </c>
      <c r="CE4369" t="str">
        <f t="shared" si="1731"/>
        <v>15:16:39.867</v>
      </c>
      <c r="CF4369">
        <v>866502442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4</v>
      </c>
      <c r="CY4369">
        <v>7</v>
      </c>
      <c r="CZ4369" t="s">
        <v>133</v>
      </c>
      <c r="DA4369">
        <v>275</v>
      </c>
      <c r="DB4369">
        <v>0</v>
      </c>
      <c r="DC4369" t="s">
        <v>134</v>
      </c>
      <c r="DD4369" t="s">
        <v>135</v>
      </c>
      <c r="DG4369">
        <v>3323261</v>
      </c>
      <c r="DI4369">
        <v>1</v>
      </c>
      <c r="DJ4369">
        <v>0</v>
      </c>
      <c r="DK4369">
        <v>1</v>
      </c>
      <c r="DL4369">
        <v>0</v>
      </c>
      <c r="DM4369">
        <v>0</v>
      </c>
      <c r="DN4369">
        <v>0</v>
      </c>
      <c r="DO4369">
        <v>0</v>
      </c>
      <c r="DP4369">
        <v>0</v>
      </c>
      <c r="DQ4369">
        <v>0</v>
      </c>
      <c r="DR4369">
        <v>0</v>
      </c>
      <c r="DS4369">
        <v>0</v>
      </c>
    </row>
    <row r="4370" spans="1:123" x14ac:dyDescent="0.3">
      <c r="A4370" t="str">
        <f>"05/01/2025 15:16:40.525"</f>
        <v>05/01/2025 15:16:40.525</v>
      </c>
      <c r="C4370" t="str">
        <f t="shared" si="1724"/>
        <v>FFDFD3C0</v>
      </c>
      <c r="D4370" t="s">
        <v>136</v>
      </c>
      <c r="E4370" t="str">
        <f>"20"</f>
        <v>20</v>
      </c>
      <c r="H4370">
        <v>400</v>
      </c>
      <c r="I4370" t="s">
        <v>137</v>
      </c>
      <c r="J4370" t="s">
        <v>138</v>
      </c>
      <c r="K4370">
        <v>0</v>
      </c>
      <c r="L4370">
        <v>3</v>
      </c>
      <c r="M4370">
        <v>0</v>
      </c>
      <c r="N4370">
        <v>2</v>
      </c>
      <c r="O4370">
        <v>0</v>
      </c>
      <c r="P4370">
        <v>1</v>
      </c>
      <c r="Q4370">
        <v>0</v>
      </c>
      <c r="R4370" t="s">
        <v>127</v>
      </c>
      <c r="S4370" t="str">
        <f t="shared" ref="S4370:T4375" si="1732">"15:16:40.000"</f>
        <v>15:16:40.000</v>
      </c>
      <c r="T4370" t="str">
        <f t="shared" si="1732"/>
        <v>15:16:40.000</v>
      </c>
      <c r="U4370" t="str">
        <f t="shared" si="1725"/>
        <v>A68FCB</v>
      </c>
      <c r="V4370">
        <v>0</v>
      </c>
      <c r="W4370">
        <v>0</v>
      </c>
      <c r="X4370">
        <v>2</v>
      </c>
      <c r="Y4370">
        <v>0</v>
      </c>
      <c r="AA4370">
        <v>1</v>
      </c>
      <c r="AB4370">
        <v>8</v>
      </c>
      <c r="AC4370">
        <v>3</v>
      </c>
      <c r="AD4370">
        <v>0</v>
      </c>
      <c r="AE4370">
        <v>9</v>
      </c>
      <c r="AF4370" t="s">
        <v>138</v>
      </c>
      <c r="AG4370">
        <v>0</v>
      </c>
      <c r="AH4370">
        <v>3</v>
      </c>
      <c r="AI4370">
        <v>2</v>
      </c>
      <c r="AJ4370">
        <v>0</v>
      </c>
      <c r="AK4370" t="s">
        <v>1390</v>
      </c>
      <c r="AL4370">
        <v>39.200892000000003</v>
      </c>
      <c r="AM4370" t="s">
        <v>1391</v>
      </c>
      <c r="AN4370">
        <v>-121.013267</v>
      </c>
      <c r="AO4370">
        <v>25</v>
      </c>
      <c r="AP4370">
        <v>4200</v>
      </c>
      <c r="AQ4370" t="s">
        <v>131</v>
      </c>
      <c r="AR4370">
        <v>41</v>
      </c>
      <c r="AS4370">
        <v>66</v>
      </c>
      <c r="AT4370">
        <v>-64</v>
      </c>
      <c r="BB4370" t="str">
        <f t="shared" si="1726"/>
        <v>1200</v>
      </c>
      <c r="BC4370">
        <v>1</v>
      </c>
      <c r="BD4370" t="str">
        <f t="shared" si="1727"/>
        <v xml:space="preserve">N52156  </v>
      </c>
      <c r="BE4370">
        <v>1</v>
      </c>
      <c r="BG4370">
        <v>0</v>
      </c>
      <c r="BH4370">
        <v>0</v>
      </c>
      <c r="BI4370">
        <v>0</v>
      </c>
      <c r="BJ4370">
        <v>4250</v>
      </c>
      <c r="BK4370">
        <v>50</v>
      </c>
      <c r="BL4370" t="s">
        <v>188</v>
      </c>
      <c r="BM4370">
        <v>1</v>
      </c>
      <c r="BN4370">
        <v>1</v>
      </c>
      <c r="BO4370">
        <v>0</v>
      </c>
      <c r="BP4370">
        <v>0</v>
      </c>
      <c r="BS4370">
        <v>0</v>
      </c>
      <c r="BT4370">
        <v>0</v>
      </c>
      <c r="BU4370">
        <v>0</v>
      </c>
      <c r="CE4370" t="str">
        <f t="shared" ref="CE4370:CE4375" si="1733">"15:16:40.286"</f>
        <v>15:16:40.286</v>
      </c>
      <c r="CF4370">
        <v>285751065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4</v>
      </c>
      <c r="CY4370">
        <v>7</v>
      </c>
      <c r="CZ4370" t="s">
        <v>133</v>
      </c>
      <c r="DA4370">
        <v>275</v>
      </c>
      <c r="DB4370">
        <v>0</v>
      </c>
      <c r="DC4370" t="s">
        <v>134</v>
      </c>
      <c r="DD4370" t="s">
        <v>135</v>
      </c>
      <c r="DG4370">
        <v>3323262</v>
      </c>
      <c r="DI4370">
        <v>1</v>
      </c>
      <c r="DJ4370">
        <v>0</v>
      </c>
      <c r="DK4370">
        <v>0</v>
      </c>
      <c r="DL4370">
        <v>0</v>
      </c>
      <c r="DM4370">
        <v>0</v>
      </c>
      <c r="DN4370">
        <v>0</v>
      </c>
      <c r="DO4370">
        <v>0</v>
      </c>
      <c r="DP4370">
        <v>0</v>
      </c>
      <c r="DQ4370">
        <v>0</v>
      </c>
      <c r="DR4370">
        <v>0</v>
      </c>
      <c r="DS4370">
        <v>0</v>
      </c>
    </row>
    <row r="4371" spans="1:123" x14ac:dyDescent="0.3">
      <c r="A4371" t="str">
        <f>"05/01/2025 15:16:40.546"</f>
        <v>05/01/2025 15:16:40.546</v>
      </c>
      <c r="C4371" t="str">
        <f t="shared" si="1724"/>
        <v>FFDFD3C0</v>
      </c>
      <c r="D4371" t="s">
        <v>143</v>
      </c>
      <c r="E4371" t="str">
        <f>"05"</f>
        <v>05</v>
      </c>
      <c r="H4371">
        <v>172</v>
      </c>
      <c r="I4371" t="s">
        <v>141</v>
      </c>
      <c r="J4371" t="s">
        <v>144</v>
      </c>
      <c r="K4371">
        <v>0</v>
      </c>
      <c r="L4371">
        <v>3</v>
      </c>
      <c r="M4371">
        <v>0</v>
      </c>
      <c r="N4371">
        <v>2</v>
      </c>
      <c r="O4371">
        <v>0</v>
      </c>
      <c r="P4371">
        <v>1</v>
      </c>
      <c r="Q4371">
        <v>0</v>
      </c>
      <c r="R4371" t="s">
        <v>127</v>
      </c>
      <c r="S4371" t="str">
        <f t="shared" si="1732"/>
        <v>15:16:40.000</v>
      </c>
      <c r="T4371" t="str">
        <f t="shared" si="1732"/>
        <v>15:16:40.000</v>
      </c>
      <c r="U4371" t="str">
        <f t="shared" si="1725"/>
        <v>A68FCB</v>
      </c>
      <c r="V4371">
        <v>0</v>
      </c>
      <c r="W4371">
        <v>0</v>
      </c>
      <c r="X4371">
        <v>2</v>
      </c>
      <c r="Y4371">
        <v>0</v>
      </c>
      <c r="AA4371">
        <v>1</v>
      </c>
      <c r="AB4371">
        <v>8</v>
      </c>
      <c r="AC4371">
        <v>3</v>
      </c>
      <c r="AD4371">
        <v>0</v>
      </c>
      <c r="AE4371">
        <v>9</v>
      </c>
      <c r="AF4371" t="s">
        <v>138</v>
      </c>
      <c r="AG4371">
        <v>0</v>
      </c>
      <c r="AH4371">
        <v>3</v>
      </c>
      <c r="AI4371">
        <v>2</v>
      </c>
      <c r="AJ4371">
        <v>0</v>
      </c>
      <c r="AK4371" t="s">
        <v>1390</v>
      </c>
      <c r="AL4371">
        <v>39.200892000000003</v>
      </c>
      <c r="AM4371" t="s">
        <v>1391</v>
      </c>
      <c r="AN4371">
        <v>-121.013267</v>
      </c>
      <c r="AO4371">
        <v>25</v>
      </c>
      <c r="AP4371">
        <v>4200</v>
      </c>
      <c r="AQ4371" t="s">
        <v>131</v>
      </c>
      <c r="AR4371">
        <v>41</v>
      </c>
      <c r="AS4371">
        <v>66</v>
      </c>
      <c r="AT4371">
        <v>-64</v>
      </c>
      <c r="BB4371" t="str">
        <f t="shared" si="1726"/>
        <v>1200</v>
      </c>
      <c r="BC4371">
        <v>1</v>
      </c>
      <c r="BD4371" t="str">
        <f t="shared" si="1727"/>
        <v xml:space="preserve">N52156  </v>
      </c>
      <c r="BE4371">
        <v>1</v>
      </c>
      <c r="BG4371">
        <v>0</v>
      </c>
      <c r="BH4371">
        <v>0</v>
      </c>
      <c r="BI4371">
        <v>0</v>
      </c>
      <c r="BJ4371">
        <v>4250</v>
      </c>
      <c r="BK4371">
        <v>50</v>
      </c>
      <c r="BL4371" t="s">
        <v>188</v>
      </c>
      <c r="BM4371">
        <v>1</v>
      </c>
      <c r="BN4371">
        <v>1</v>
      </c>
      <c r="BO4371">
        <v>0</v>
      </c>
      <c r="BP4371">
        <v>0</v>
      </c>
      <c r="BS4371">
        <v>0</v>
      </c>
      <c r="BT4371">
        <v>0</v>
      </c>
      <c r="BU4371">
        <v>0</v>
      </c>
      <c r="CE4371" t="str">
        <f t="shared" si="1733"/>
        <v>15:16:40.286</v>
      </c>
      <c r="CF4371">
        <v>285751065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4</v>
      </c>
      <c r="CY4371">
        <v>7</v>
      </c>
      <c r="CZ4371" t="s">
        <v>133</v>
      </c>
      <c r="DA4371">
        <v>275</v>
      </c>
      <c r="DB4371">
        <v>0</v>
      </c>
      <c r="DC4371" t="s">
        <v>134</v>
      </c>
      <c r="DD4371" t="s">
        <v>135</v>
      </c>
      <c r="DG4371">
        <v>3323262</v>
      </c>
      <c r="DI4371">
        <v>1</v>
      </c>
      <c r="DJ4371">
        <v>0</v>
      </c>
      <c r="DK4371">
        <v>1</v>
      </c>
      <c r="DL4371">
        <v>0</v>
      </c>
      <c r="DM4371">
        <v>0</v>
      </c>
      <c r="DN4371">
        <v>0</v>
      </c>
      <c r="DO4371">
        <v>0</v>
      </c>
      <c r="DP4371">
        <v>0</v>
      </c>
      <c r="DQ4371">
        <v>0</v>
      </c>
      <c r="DR4371">
        <v>0</v>
      </c>
      <c r="DS4371">
        <v>0</v>
      </c>
    </row>
    <row r="4372" spans="1:123" x14ac:dyDescent="0.3">
      <c r="A4372" t="str">
        <f>"05/01/2025 15:16:40.542"</f>
        <v>05/01/2025 15:16:40.542</v>
      </c>
      <c r="C4372" t="str">
        <f t="shared" si="1724"/>
        <v>FFDFD3C0</v>
      </c>
      <c r="D4372" t="s">
        <v>140</v>
      </c>
      <c r="E4372" t="str">
        <f>"13"</f>
        <v>13</v>
      </c>
      <c r="F4372">
        <v>1019</v>
      </c>
      <c r="G4372" t="s">
        <v>141</v>
      </c>
      <c r="J4372" t="s">
        <v>142</v>
      </c>
      <c r="K4372">
        <v>0</v>
      </c>
      <c r="L4372">
        <v>3</v>
      </c>
      <c r="M4372">
        <v>0</v>
      </c>
      <c r="N4372">
        <v>2</v>
      </c>
      <c r="O4372">
        <v>0</v>
      </c>
      <c r="P4372">
        <v>1</v>
      </c>
      <c r="Q4372">
        <v>0</v>
      </c>
      <c r="R4372" t="s">
        <v>127</v>
      </c>
      <c r="S4372" t="str">
        <f t="shared" si="1732"/>
        <v>15:16:40.000</v>
      </c>
      <c r="T4372" t="str">
        <f t="shared" si="1732"/>
        <v>15:16:40.000</v>
      </c>
      <c r="U4372" t="str">
        <f t="shared" si="1725"/>
        <v>A68FCB</v>
      </c>
      <c r="V4372">
        <v>0</v>
      </c>
      <c r="W4372">
        <v>0</v>
      </c>
      <c r="X4372">
        <v>2</v>
      </c>
      <c r="Y4372">
        <v>0</v>
      </c>
      <c r="AA4372">
        <v>1</v>
      </c>
      <c r="AB4372">
        <v>8</v>
      </c>
      <c r="AC4372">
        <v>3</v>
      </c>
      <c r="AD4372">
        <v>0</v>
      </c>
      <c r="AE4372">
        <v>9</v>
      </c>
      <c r="AF4372" t="s">
        <v>138</v>
      </c>
      <c r="AG4372">
        <v>0</v>
      </c>
      <c r="AH4372">
        <v>3</v>
      </c>
      <c r="AI4372">
        <v>2</v>
      </c>
      <c r="AJ4372">
        <v>0</v>
      </c>
      <c r="AK4372" t="s">
        <v>1390</v>
      </c>
      <c r="AL4372">
        <v>39.200892000000003</v>
      </c>
      <c r="AM4372" t="s">
        <v>1391</v>
      </c>
      <c r="AN4372">
        <v>-121.013267</v>
      </c>
      <c r="AO4372">
        <v>25</v>
      </c>
      <c r="AP4372">
        <v>4200</v>
      </c>
      <c r="AQ4372" t="s">
        <v>131</v>
      </c>
      <c r="AR4372">
        <v>41</v>
      </c>
      <c r="AS4372">
        <v>66</v>
      </c>
      <c r="AT4372">
        <v>-64</v>
      </c>
      <c r="BB4372" t="str">
        <f t="shared" si="1726"/>
        <v>1200</v>
      </c>
      <c r="BC4372">
        <v>1</v>
      </c>
      <c r="BD4372" t="str">
        <f t="shared" si="1727"/>
        <v xml:space="preserve">N52156  </v>
      </c>
      <c r="BE4372">
        <v>1</v>
      </c>
      <c r="BG4372">
        <v>0</v>
      </c>
      <c r="BH4372">
        <v>0</v>
      </c>
      <c r="BI4372">
        <v>0</v>
      </c>
      <c r="BJ4372">
        <v>4250</v>
      </c>
      <c r="BK4372">
        <v>50</v>
      </c>
      <c r="BL4372" t="s">
        <v>188</v>
      </c>
      <c r="BM4372">
        <v>1</v>
      </c>
      <c r="BN4372">
        <v>1</v>
      </c>
      <c r="BO4372">
        <v>0</v>
      </c>
      <c r="BP4372">
        <v>0</v>
      </c>
      <c r="BS4372">
        <v>0</v>
      </c>
      <c r="BT4372">
        <v>0</v>
      </c>
      <c r="BU4372">
        <v>0</v>
      </c>
      <c r="CE4372" t="str">
        <f t="shared" si="1733"/>
        <v>15:16:40.286</v>
      </c>
      <c r="CF4372">
        <v>285751065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4</v>
      </c>
      <c r="CY4372">
        <v>7</v>
      </c>
      <c r="CZ4372" t="s">
        <v>133</v>
      </c>
      <c r="DA4372">
        <v>275</v>
      </c>
      <c r="DB4372">
        <v>0</v>
      </c>
      <c r="DC4372" t="s">
        <v>134</v>
      </c>
      <c r="DD4372" t="s">
        <v>135</v>
      </c>
      <c r="DG4372">
        <v>3323262</v>
      </c>
      <c r="DI4372">
        <v>1</v>
      </c>
      <c r="DJ4372">
        <v>0</v>
      </c>
      <c r="DK4372">
        <v>1</v>
      </c>
      <c r="DL4372">
        <v>0</v>
      </c>
      <c r="DM4372">
        <v>0</v>
      </c>
      <c r="DN4372">
        <v>0</v>
      </c>
      <c r="DO4372">
        <v>0</v>
      </c>
      <c r="DP4372">
        <v>0</v>
      </c>
      <c r="DQ4372">
        <v>0</v>
      </c>
      <c r="DR4372">
        <v>0</v>
      </c>
      <c r="DS4372">
        <v>0</v>
      </c>
    </row>
    <row r="4373" spans="1:123" x14ac:dyDescent="0.3">
      <c r="A4373" t="str">
        <f>"05/01/2025 15:16:40.543"</f>
        <v>05/01/2025 15:16:40.543</v>
      </c>
      <c r="C4373" t="str">
        <f t="shared" si="1724"/>
        <v>FFDFD3C0</v>
      </c>
      <c r="D4373" t="s">
        <v>124</v>
      </c>
      <c r="E4373" t="str">
        <f>"06"</f>
        <v>06</v>
      </c>
      <c r="F4373">
        <v>2006</v>
      </c>
      <c r="G4373" t="s">
        <v>125</v>
      </c>
      <c r="J4373" t="s">
        <v>126</v>
      </c>
      <c r="K4373">
        <v>0</v>
      </c>
      <c r="L4373">
        <v>3</v>
      </c>
      <c r="M4373">
        <v>0</v>
      </c>
      <c r="N4373">
        <v>2</v>
      </c>
      <c r="O4373">
        <v>0</v>
      </c>
      <c r="P4373">
        <v>1</v>
      </c>
      <c r="Q4373">
        <v>0</v>
      </c>
      <c r="R4373" t="s">
        <v>127</v>
      </c>
      <c r="S4373" t="str">
        <f t="shared" si="1732"/>
        <v>15:16:40.000</v>
      </c>
      <c r="T4373" t="str">
        <f t="shared" si="1732"/>
        <v>15:16:40.000</v>
      </c>
      <c r="U4373" t="str">
        <f t="shared" si="1725"/>
        <v>A68FCB</v>
      </c>
      <c r="V4373">
        <v>0</v>
      </c>
      <c r="W4373">
        <v>0</v>
      </c>
      <c r="X4373">
        <v>2</v>
      </c>
      <c r="Y4373">
        <v>0</v>
      </c>
      <c r="AA4373">
        <v>1</v>
      </c>
      <c r="AB4373">
        <v>8</v>
      </c>
      <c r="AC4373">
        <v>3</v>
      </c>
      <c r="AD4373">
        <v>0</v>
      </c>
      <c r="AE4373">
        <v>9</v>
      </c>
      <c r="AF4373" t="s">
        <v>138</v>
      </c>
      <c r="AG4373">
        <v>0</v>
      </c>
      <c r="AH4373">
        <v>3</v>
      </c>
      <c r="AI4373">
        <v>2</v>
      </c>
      <c r="AJ4373">
        <v>0</v>
      </c>
      <c r="AK4373" t="s">
        <v>1390</v>
      </c>
      <c r="AL4373">
        <v>39.200892000000003</v>
      </c>
      <c r="AM4373" t="s">
        <v>1391</v>
      </c>
      <c r="AN4373">
        <v>-121.013267</v>
      </c>
      <c r="AO4373">
        <v>25</v>
      </c>
      <c r="AP4373">
        <v>4200</v>
      </c>
      <c r="AQ4373" t="s">
        <v>131</v>
      </c>
      <c r="AR4373">
        <v>41</v>
      </c>
      <c r="AS4373">
        <v>66</v>
      </c>
      <c r="AT4373">
        <v>-64</v>
      </c>
      <c r="BB4373" t="str">
        <f t="shared" si="1726"/>
        <v>1200</v>
      </c>
      <c r="BC4373">
        <v>1</v>
      </c>
      <c r="BD4373" t="str">
        <f t="shared" si="1727"/>
        <v xml:space="preserve">N52156  </v>
      </c>
      <c r="BE4373">
        <v>1</v>
      </c>
      <c r="BG4373">
        <v>0</v>
      </c>
      <c r="BH4373">
        <v>0</v>
      </c>
      <c r="BI4373">
        <v>0</v>
      </c>
      <c r="BJ4373">
        <v>4250</v>
      </c>
      <c r="BK4373">
        <v>50</v>
      </c>
      <c r="BL4373" t="s">
        <v>188</v>
      </c>
      <c r="BM4373">
        <v>1</v>
      </c>
      <c r="BN4373">
        <v>1</v>
      </c>
      <c r="BO4373">
        <v>0</v>
      </c>
      <c r="BP4373">
        <v>0</v>
      </c>
      <c r="BS4373">
        <v>0</v>
      </c>
      <c r="BT4373">
        <v>0</v>
      </c>
      <c r="BU4373">
        <v>0</v>
      </c>
      <c r="CE4373" t="str">
        <f t="shared" si="1733"/>
        <v>15:16:40.286</v>
      </c>
      <c r="CF4373">
        <v>285751065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4</v>
      </c>
      <c r="CY4373">
        <v>7</v>
      </c>
      <c r="CZ4373" t="s">
        <v>133</v>
      </c>
      <c r="DA4373">
        <v>275</v>
      </c>
      <c r="DB4373">
        <v>0</v>
      </c>
      <c r="DC4373" t="s">
        <v>134</v>
      </c>
      <c r="DD4373" t="s">
        <v>135</v>
      </c>
      <c r="DG4373">
        <v>3323262</v>
      </c>
      <c r="DI4373">
        <v>1</v>
      </c>
      <c r="DJ4373">
        <v>0</v>
      </c>
      <c r="DK4373">
        <v>1</v>
      </c>
      <c r="DL4373">
        <v>0</v>
      </c>
      <c r="DM4373">
        <v>0</v>
      </c>
      <c r="DN4373">
        <v>0</v>
      </c>
      <c r="DO4373">
        <v>0</v>
      </c>
      <c r="DP4373">
        <v>0</v>
      </c>
      <c r="DQ4373">
        <v>0</v>
      </c>
      <c r="DR4373">
        <v>0</v>
      </c>
      <c r="DS4373">
        <v>0</v>
      </c>
    </row>
    <row r="4374" spans="1:123" x14ac:dyDescent="0.3">
      <c r="A4374" t="str">
        <f>"05/01/2025 15:16:40.560"</f>
        <v>05/01/2025 15:16:40.560</v>
      </c>
      <c r="C4374" t="str">
        <f t="shared" si="1724"/>
        <v>FFDFD3C0</v>
      </c>
      <c r="D4374" t="s">
        <v>145</v>
      </c>
      <c r="E4374" t="str">
        <f>"09"</f>
        <v>09</v>
      </c>
      <c r="H4374">
        <v>51</v>
      </c>
      <c r="I4374" t="s">
        <v>147</v>
      </c>
      <c r="J4374" t="s">
        <v>138</v>
      </c>
      <c r="K4374">
        <v>0</v>
      </c>
      <c r="L4374">
        <v>3</v>
      </c>
      <c r="M4374">
        <v>0</v>
      </c>
      <c r="N4374">
        <v>2</v>
      </c>
      <c r="O4374">
        <v>0</v>
      </c>
      <c r="P4374">
        <v>1</v>
      </c>
      <c r="Q4374">
        <v>0</v>
      </c>
      <c r="R4374" t="s">
        <v>127</v>
      </c>
      <c r="S4374" t="str">
        <f t="shared" si="1732"/>
        <v>15:16:40.000</v>
      </c>
      <c r="T4374" t="str">
        <f t="shared" si="1732"/>
        <v>15:16:40.000</v>
      </c>
      <c r="U4374" t="str">
        <f t="shared" si="1725"/>
        <v>A68FCB</v>
      </c>
      <c r="V4374">
        <v>0</v>
      </c>
      <c r="W4374">
        <v>0</v>
      </c>
      <c r="X4374">
        <v>2</v>
      </c>
      <c r="Y4374">
        <v>0</v>
      </c>
      <c r="AA4374">
        <v>1</v>
      </c>
      <c r="AB4374">
        <v>8</v>
      </c>
      <c r="AC4374">
        <v>3</v>
      </c>
      <c r="AD4374">
        <v>0</v>
      </c>
      <c r="AE4374">
        <v>9</v>
      </c>
      <c r="AF4374" t="s">
        <v>138</v>
      </c>
      <c r="AG4374">
        <v>0</v>
      </c>
      <c r="AH4374">
        <v>3</v>
      </c>
      <c r="AI4374">
        <v>2</v>
      </c>
      <c r="AJ4374">
        <v>0</v>
      </c>
      <c r="AK4374" t="s">
        <v>1390</v>
      </c>
      <c r="AL4374">
        <v>39.200892000000003</v>
      </c>
      <c r="AM4374" t="s">
        <v>1391</v>
      </c>
      <c r="AN4374">
        <v>-121.013267</v>
      </c>
      <c r="AO4374">
        <v>25</v>
      </c>
      <c r="AP4374">
        <v>4200</v>
      </c>
      <c r="AQ4374" t="s">
        <v>131</v>
      </c>
      <c r="AR4374">
        <v>41</v>
      </c>
      <c r="AS4374">
        <v>66</v>
      </c>
      <c r="AT4374">
        <v>-64</v>
      </c>
      <c r="BB4374" t="str">
        <f t="shared" si="1726"/>
        <v>1200</v>
      </c>
      <c r="BC4374">
        <v>1</v>
      </c>
      <c r="BD4374" t="str">
        <f t="shared" si="1727"/>
        <v xml:space="preserve">N52156  </v>
      </c>
      <c r="BE4374">
        <v>1</v>
      </c>
      <c r="BG4374">
        <v>0</v>
      </c>
      <c r="BH4374">
        <v>0</v>
      </c>
      <c r="BI4374">
        <v>0</v>
      </c>
      <c r="BJ4374">
        <v>4250</v>
      </c>
      <c r="BK4374">
        <v>50</v>
      </c>
      <c r="BL4374" t="s">
        <v>188</v>
      </c>
      <c r="BM4374">
        <v>1</v>
      </c>
      <c r="BN4374">
        <v>1</v>
      </c>
      <c r="BO4374">
        <v>0</v>
      </c>
      <c r="BP4374">
        <v>0</v>
      </c>
      <c r="BS4374">
        <v>0</v>
      </c>
      <c r="BT4374">
        <v>0</v>
      </c>
      <c r="BU4374">
        <v>0</v>
      </c>
      <c r="CE4374" t="str">
        <f t="shared" si="1733"/>
        <v>15:16:40.286</v>
      </c>
      <c r="CF4374">
        <v>285751065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4</v>
      </c>
      <c r="CY4374">
        <v>7</v>
      </c>
      <c r="CZ4374" t="s">
        <v>133</v>
      </c>
      <c r="DA4374">
        <v>275</v>
      </c>
      <c r="DB4374">
        <v>0</v>
      </c>
      <c r="DC4374" t="s">
        <v>134</v>
      </c>
      <c r="DD4374" t="s">
        <v>135</v>
      </c>
      <c r="DG4374">
        <v>3323262</v>
      </c>
      <c r="DI4374">
        <v>1</v>
      </c>
      <c r="DJ4374">
        <v>0</v>
      </c>
      <c r="DK4374">
        <v>1</v>
      </c>
      <c r="DL4374">
        <v>0</v>
      </c>
      <c r="DM4374">
        <v>0</v>
      </c>
      <c r="DN4374">
        <v>0</v>
      </c>
      <c r="DO4374">
        <v>0</v>
      </c>
      <c r="DP4374">
        <v>0</v>
      </c>
      <c r="DQ4374">
        <v>0</v>
      </c>
      <c r="DR4374">
        <v>0</v>
      </c>
      <c r="DS4374">
        <v>0</v>
      </c>
    </row>
    <row r="4375" spans="1:123" x14ac:dyDescent="0.3">
      <c r="A4375" t="str">
        <f>"05/01/2025 15:16:40.562"</f>
        <v>05/01/2025 15:16:40.562</v>
      </c>
      <c r="C4375" t="str">
        <f t="shared" si="1724"/>
        <v>FFDFD3C0</v>
      </c>
      <c r="D4375" t="s">
        <v>145</v>
      </c>
      <c r="E4375" t="str">
        <f>"05"</f>
        <v>05</v>
      </c>
      <c r="H4375">
        <v>47</v>
      </c>
      <c r="I4375" t="s">
        <v>146</v>
      </c>
      <c r="J4375" t="s">
        <v>138</v>
      </c>
      <c r="K4375">
        <v>0</v>
      </c>
      <c r="L4375">
        <v>3</v>
      </c>
      <c r="M4375">
        <v>0</v>
      </c>
      <c r="N4375">
        <v>2</v>
      </c>
      <c r="O4375">
        <v>0</v>
      </c>
      <c r="P4375">
        <v>1</v>
      </c>
      <c r="Q4375">
        <v>0</v>
      </c>
      <c r="R4375" t="s">
        <v>127</v>
      </c>
      <c r="S4375" t="str">
        <f t="shared" si="1732"/>
        <v>15:16:40.000</v>
      </c>
      <c r="T4375" t="str">
        <f t="shared" si="1732"/>
        <v>15:16:40.000</v>
      </c>
      <c r="U4375" t="str">
        <f t="shared" si="1725"/>
        <v>A68FCB</v>
      </c>
      <c r="V4375">
        <v>0</v>
      </c>
      <c r="W4375">
        <v>0</v>
      </c>
      <c r="X4375">
        <v>2</v>
      </c>
      <c r="Y4375">
        <v>0</v>
      </c>
      <c r="AA4375">
        <v>1</v>
      </c>
      <c r="AB4375">
        <v>8</v>
      </c>
      <c r="AC4375">
        <v>3</v>
      </c>
      <c r="AD4375">
        <v>0</v>
      </c>
      <c r="AE4375">
        <v>9</v>
      </c>
      <c r="AF4375" t="s">
        <v>138</v>
      </c>
      <c r="AG4375">
        <v>0</v>
      </c>
      <c r="AH4375">
        <v>3</v>
      </c>
      <c r="AI4375">
        <v>2</v>
      </c>
      <c r="AJ4375">
        <v>0</v>
      </c>
      <c r="AK4375" t="s">
        <v>1390</v>
      </c>
      <c r="AL4375">
        <v>39.200892000000003</v>
      </c>
      <c r="AM4375" t="s">
        <v>1391</v>
      </c>
      <c r="AN4375">
        <v>-121.013267</v>
      </c>
      <c r="AO4375">
        <v>25</v>
      </c>
      <c r="AP4375">
        <v>4200</v>
      </c>
      <c r="AQ4375" t="s">
        <v>131</v>
      </c>
      <c r="AR4375">
        <v>41</v>
      </c>
      <c r="AS4375">
        <v>66</v>
      </c>
      <c r="AT4375">
        <v>-64</v>
      </c>
      <c r="BB4375" t="str">
        <f t="shared" si="1726"/>
        <v>1200</v>
      </c>
      <c r="BC4375">
        <v>1</v>
      </c>
      <c r="BD4375" t="str">
        <f t="shared" si="1727"/>
        <v xml:space="preserve">N52156  </v>
      </c>
      <c r="BE4375">
        <v>1</v>
      </c>
      <c r="BG4375">
        <v>0</v>
      </c>
      <c r="BH4375">
        <v>0</v>
      </c>
      <c r="BI4375">
        <v>0</v>
      </c>
      <c r="BJ4375">
        <v>4250</v>
      </c>
      <c r="BK4375">
        <v>50</v>
      </c>
      <c r="BL4375" t="s">
        <v>188</v>
      </c>
      <c r="BM4375">
        <v>1</v>
      </c>
      <c r="BN4375">
        <v>1</v>
      </c>
      <c r="BO4375">
        <v>0</v>
      </c>
      <c r="BP4375">
        <v>0</v>
      </c>
      <c r="BS4375">
        <v>0</v>
      </c>
      <c r="BT4375">
        <v>0</v>
      </c>
      <c r="BU4375">
        <v>0</v>
      </c>
      <c r="CE4375" t="str">
        <f t="shared" si="1733"/>
        <v>15:16:40.286</v>
      </c>
      <c r="CF4375">
        <v>285751065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4</v>
      </c>
      <c r="CY4375">
        <v>7</v>
      </c>
      <c r="CZ4375" t="s">
        <v>133</v>
      </c>
      <c r="DA4375">
        <v>275</v>
      </c>
      <c r="DB4375">
        <v>0</v>
      </c>
      <c r="DC4375" t="s">
        <v>134</v>
      </c>
      <c r="DD4375" t="s">
        <v>135</v>
      </c>
      <c r="DG4375">
        <v>3323262</v>
      </c>
      <c r="DI4375">
        <v>1</v>
      </c>
      <c r="DJ4375">
        <v>0</v>
      </c>
      <c r="DK4375">
        <v>1</v>
      </c>
      <c r="DL4375">
        <v>0</v>
      </c>
      <c r="DM4375">
        <v>0</v>
      </c>
      <c r="DN4375">
        <v>0</v>
      </c>
      <c r="DO4375">
        <v>0</v>
      </c>
      <c r="DP4375">
        <v>0</v>
      </c>
      <c r="DQ4375">
        <v>0</v>
      </c>
      <c r="DR4375">
        <v>0</v>
      </c>
      <c r="DS4375">
        <v>0</v>
      </c>
    </row>
    <row r="4376" spans="1:123" x14ac:dyDescent="0.3">
      <c r="A4376" t="str">
        <f>"05/01/2025 15:16:42.045"</f>
        <v>05/01/2025 15:16:42.045</v>
      </c>
      <c r="C4376" t="str">
        <f t="shared" si="1724"/>
        <v>FFDFD3C0</v>
      </c>
      <c r="D4376" t="s">
        <v>140</v>
      </c>
      <c r="E4376" t="str">
        <f>"13"</f>
        <v>13</v>
      </c>
      <c r="F4376">
        <v>1019</v>
      </c>
      <c r="G4376" t="s">
        <v>141</v>
      </c>
      <c r="J4376" t="s">
        <v>142</v>
      </c>
      <c r="K4376">
        <v>0</v>
      </c>
      <c r="L4376">
        <v>3</v>
      </c>
      <c r="M4376">
        <v>0</v>
      </c>
      <c r="N4376">
        <v>2</v>
      </c>
      <c r="O4376">
        <v>0</v>
      </c>
      <c r="P4376">
        <v>1</v>
      </c>
      <c r="Q4376">
        <v>0</v>
      </c>
      <c r="R4376" t="s">
        <v>127</v>
      </c>
      <c r="S4376" t="str">
        <f t="shared" ref="S4376:T4381" si="1734">"15:16:41.000"</f>
        <v>15:16:41.000</v>
      </c>
      <c r="T4376" t="str">
        <f t="shared" si="1734"/>
        <v>15:16:41.000</v>
      </c>
      <c r="U4376" t="str">
        <f t="shared" si="1725"/>
        <v>A68FCB</v>
      </c>
      <c r="V4376">
        <v>0</v>
      </c>
      <c r="W4376">
        <v>0</v>
      </c>
      <c r="X4376">
        <v>2</v>
      </c>
      <c r="Y4376">
        <v>0</v>
      </c>
      <c r="AA4376">
        <v>1</v>
      </c>
      <c r="AB4376">
        <v>8</v>
      </c>
      <c r="AC4376">
        <v>3</v>
      </c>
      <c r="AD4376">
        <v>0</v>
      </c>
      <c r="AE4376">
        <v>9</v>
      </c>
      <c r="AF4376" t="s">
        <v>138</v>
      </c>
      <c r="AG4376">
        <v>0</v>
      </c>
      <c r="AH4376">
        <v>3</v>
      </c>
      <c r="AI4376">
        <v>2</v>
      </c>
      <c r="AJ4376">
        <v>0</v>
      </c>
      <c r="AK4376" t="s">
        <v>1392</v>
      </c>
      <c r="AL4376">
        <v>39.201193000000004</v>
      </c>
      <c r="AM4376" t="s">
        <v>1393</v>
      </c>
      <c r="AN4376">
        <v>-121.013031</v>
      </c>
      <c r="AO4376">
        <v>25</v>
      </c>
      <c r="AP4376">
        <v>4200</v>
      </c>
      <c r="AQ4376" t="s">
        <v>131</v>
      </c>
      <c r="AR4376">
        <v>43</v>
      </c>
      <c r="AS4376">
        <v>65</v>
      </c>
      <c r="AT4376">
        <v>-64</v>
      </c>
      <c r="BB4376" t="str">
        <f t="shared" si="1726"/>
        <v>1200</v>
      </c>
      <c r="BC4376">
        <v>1</v>
      </c>
      <c r="BD4376" t="str">
        <f t="shared" si="1727"/>
        <v xml:space="preserve">N52156  </v>
      </c>
      <c r="BE4376">
        <v>1</v>
      </c>
      <c r="BG4376">
        <v>0</v>
      </c>
      <c r="BH4376">
        <v>0</v>
      </c>
      <c r="BI4376">
        <v>0</v>
      </c>
      <c r="BJ4376">
        <v>4250</v>
      </c>
      <c r="BK4376">
        <v>50</v>
      </c>
      <c r="BL4376" t="s">
        <v>188</v>
      </c>
      <c r="BM4376">
        <v>1</v>
      </c>
      <c r="BN4376">
        <v>1</v>
      </c>
      <c r="BO4376">
        <v>0</v>
      </c>
      <c r="BP4376">
        <v>0</v>
      </c>
      <c r="BS4376">
        <v>0</v>
      </c>
      <c r="BT4376">
        <v>0</v>
      </c>
      <c r="BU4376">
        <v>0</v>
      </c>
      <c r="CE4376" t="str">
        <f t="shared" ref="CE4376:CE4381" si="1735">"15:16:41.830"</f>
        <v>15:16:41.830</v>
      </c>
      <c r="CF4376">
        <v>829752590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4</v>
      </c>
      <c r="CY4376">
        <v>7</v>
      </c>
      <c r="CZ4376" t="s">
        <v>133</v>
      </c>
      <c r="DA4376">
        <v>275</v>
      </c>
      <c r="DB4376">
        <v>0</v>
      </c>
      <c r="DC4376" t="s">
        <v>134</v>
      </c>
      <c r="DD4376" t="s">
        <v>135</v>
      </c>
      <c r="DG4376">
        <v>3323268</v>
      </c>
      <c r="DI4376">
        <v>1</v>
      </c>
      <c r="DJ4376">
        <v>0</v>
      </c>
      <c r="DK4376">
        <v>0</v>
      </c>
      <c r="DL4376">
        <v>0</v>
      </c>
      <c r="DM4376">
        <v>0</v>
      </c>
      <c r="DN4376">
        <v>0</v>
      </c>
      <c r="DO4376">
        <v>0</v>
      </c>
      <c r="DP4376">
        <v>0</v>
      </c>
      <c r="DQ4376">
        <v>0</v>
      </c>
      <c r="DR4376">
        <v>0</v>
      </c>
      <c r="DS4376">
        <v>0</v>
      </c>
    </row>
    <row r="4377" spans="1:123" x14ac:dyDescent="0.3">
      <c r="A4377" t="str">
        <f>"05/01/2025 15:16:42.045"</f>
        <v>05/01/2025 15:16:42.045</v>
      </c>
      <c r="C4377" t="str">
        <f t="shared" si="1724"/>
        <v>FFDFD3C0</v>
      </c>
      <c r="D4377" t="s">
        <v>124</v>
      </c>
      <c r="E4377" t="str">
        <f>"06"</f>
        <v>06</v>
      </c>
      <c r="F4377">
        <v>2006</v>
      </c>
      <c r="G4377" t="s">
        <v>125</v>
      </c>
      <c r="J4377" t="s">
        <v>126</v>
      </c>
      <c r="K4377">
        <v>0</v>
      </c>
      <c r="L4377">
        <v>3</v>
      </c>
      <c r="M4377">
        <v>0</v>
      </c>
      <c r="N4377">
        <v>2</v>
      </c>
      <c r="O4377">
        <v>0</v>
      </c>
      <c r="P4377">
        <v>1</v>
      </c>
      <c r="Q4377">
        <v>0</v>
      </c>
      <c r="R4377" t="s">
        <v>127</v>
      </c>
      <c r="S4377" t="str">
        <f t="shared" si="1734"/>
        <v>15:16:41.000</v>
      </c>
      <c r="T4377" t="str">
        <f t="shared" si="1734"/>
        <v>15:16:41.000</v>
      </c>
      <c r="U4377" t="str">
        <f t="shared" si="1725"/>
        <v>A68FCB</v>
      </c>
      <c r="V4377">
        <v>0</v>
      </c>
      <c r="W4377">
        <v>0</v>
      </c>
      <c r="X4377">
        <v>2</v>
      </c>
      <c r="Y4377">
        <v>0</v>
      </c>
      <c r="AA4377">
        <v>1</v>
      </c>
      <c r="AB4377">
        <v>8</v>
      </c>
      <c r="AC4377">
        <v>3</v>
      </c>
      <c r="AD4377">
        <v>0</v>
      </c>
      <c r="AE4377">
        <v>9</v>
      </c>
      <c r="AF4377" t="s">
        <v>138</v>
      </c>
      <c r="AG4377">
        <v>0</v>
      </c>
      <c r="AH4377">
        <v>3</v>
      </c>
      <c r="AI4377">
        <v>2</v>
      </c>
      <c r="AJ4377">
        <v>0</v>
      </c>
      <c r="AK4377" t="s">
        <v>1392</v>
      </c>
      <c r="AL4377">
        <v>39.201193000000004</v>
      </c>
      <c r="AM4377" t="s">
        <v>1393</v>
      </c>
      <c r="AN4377">
        <v>-121.013031</v>
      </c>
      <c r="AO4377">
        <v>25</v>
      </c>
      <c r="AP4377">
        <v>4200</v>
      </c>
      <c r="AQ4377" t="s">
        <v>131</v>
      </c>
      <c r="AR4377">
        <v>43</v>
      </c>
      <c r="AS4377">
        <v>65</v>
      </c>
      <c r="AT4377">
        <v>-64</v>
      </c>
      <c r="BB4377" t="str">
        <f t="shared" si="1726"/>
        <v>1200</v>
      </c>
      <c r="BC4377">
        <v>1</v>
      </c>
      <c r="BD4377" t="str">
        <f t="shared" si="1727"/>
        <v xml:space="preserve">N52156  </v>
      </c>
      <c r="BE4377">
        <v>1</v>
      </c>
      <c r="BG4377">
        <v>0</v>
      </c>
      <c r="BH4377">
        <v>0</v>
      </c>
      <c r="BI4377">
        <v>0</v>
      </c>
      <c r="BJ4377">
        <v>4250</v>
      </c>
      <c r="BK4377">
        <v>50</v>
      </c>
      <c r="BL4377" t="s">
        <v>188</v>
      </c>
      <c r="BM4377">
        <v>1</v>
      </c>
      <c r="BN4377">
        <v>1</v>
      </c>
      <c r="BO4377">
        <v>0</v>
      </c>
      <c r="BP4377">
        <v>0</v>
      </c>
      <c r="BS4377">
        <v>0</v>
      </c>
      <c r="BT4377">
        <v>0</v>
      </c>
      <c r="BU4377">
        <v>0</v>
      </c>
      <c r="CE4377" t="str">
        <f t="shared" si="1735"/>
        <v>15:16:41.830</v>
      </c>
      <c r="CF4377">
        <v>829752590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4</v>
      </c>
      <c r="CY4377">
        <v>7</v>
      </c>
      <c r="CZ4377" t="s">
        <v>133</v>
      </c>
      <c r="DA4377">
        <v>275</v>
      </c>
      <c r="DB4377">
        <v>0</v>
      </c>
      <c r="DC4377" t="s">
        <v>134</v>
      </c>
      <c r="DD4377" t="s">
        <v>135</v>
      </c>
      <c r="DG4377">
        <v>3323268</v>
      </c>
      <c r="DI4377">
        <v>1</v>
      </c>
      <c r="DJ4377">
        <v>0</v>
      </c>
      <c r="DK4377">
        <v>1</v>
      </c>
      <c r="DL4377">
        <v>0</v>
      </c>
      <c r="DM4377">
        <v>0</v>
      </c>
      <c r="DN4377">
        <v>0</v>
      </c>
      <c r="DO4377">
        <v>0</v>
      </c>
      <c r="DP4377">
        <v>0</v>
      </c>
      <c r="DQ4377">
        <v>0</v>
      </c>
      <c r="DR4377">
        <v>0</v>
      </c>
      <c r="DS4377">
        <v>0</v>
      </c>
    </row>
    <row r="4378" spans="1:123" x14ac:dyDescent="0.3">
      <c r="A4378" t="str">
        <f>"05/01/2025 15:16:42.048"</f>
        <v>05/01/2025 15:16:42.048</v>
      </c>
      <c r="C4378" t="str">
        <f t="shared" si="1724"/>
        <v>FFDFD3C0</v>
      </c>
      <c r="D4378" t="s">
        <v>143</v>
      </c>
      <c r="E4378" t="str">
        <f>"05"</f>
        <v>05</v>
      </c>
      <c r="H4378">
        <v>172</v>
      </c>
      <c r="I4378" t="s">
        <v>141</v>
      </c>
      <c r="J4378" t="s">
        <v>144</v>
      </c>
      <c r="K4378">
        <v>0</v>
      </c>
      <c r="L4378">
        <v>3</v>
      </c>
      <c r="M4378">
        <v>0</v>
      </c>
      <c r="N4378">
        <v>2</v>
      </c>
      <c r="O4378">
        <v>0</v>
      </c>
      <c r="P4378">
        <v>1</v>
      </c>
      <c r="Q4378">
        <v>0</v>
      </c>
      <c r="R4378" t="s">
        <v>127</v>
      </c>
      <c r="S4378" t="str">
        <f t="shared" si="1734"/>
        <v>15:16:41.000</v>
      </c>
      <c r="T4378" t="str">
        <f t="shared" si="1734"/>
        <v>15:16:41.000</v>
      </c>
      <c r="U4378" t="str">
        <f t="shared" si="1725"/>
        <v>A68FCB</v>
      </c>
      <c r="V4378">
        <v>0</v>
      </c>
      <c r="W4378">
        <v>0</v>
      </c>
      <c r="X4378">
        <v>2</v>
      </c>
      <c r="Y4378">
        <v>0</v>
      </c>
      <c r="AA4378">
        <v>1</v>
      </c>
      <c r="AB4378">
        <v>8</v>
      </c>
      <c r="AC4378">
        <v>3</v>
      </c>
      <c r="AD4378">
        <v>0</v>
      </c>
      <c r="AE4378">
        <v>9</v>
      </c>
      <c r="AF4378" t="s">
        <v>138</v>
      </c>
      <c r="AG4378">
        <v>0</v>
      </c>
      <c r="AH4378">
        <v>3</v>
      </c>
      <c r="AI4378">
        <v>2</v>
      </c>
      <c r="AJ4378">
        <v>0</v>
      </c>
      <c r="AK4378" t="s">
        <v>1392</v>
      </c>
      <c r="AL4378">
        <v>39.201193000000004</v>
      </c>
      <c r="AM4378" t="s">
        <v>1393</v>
      </c>
      <c r="AN4378">
        <v>-121.013031</v>
      </c>
      <c r="AO4378">
        <v>25</v>
      </c>
      <c r="AP4378">
        <v>4200</v>
      </c>
      <c r="AQ4378" t="s">
        <v>131</v>
      </c>
      <c r="AR4378">
        <v>43</v>
      </c>
      <c r="AS4378">
        <v>65</v>
      </c>
      <c r="AT4378">
        <v>-64</v>
      </c>
      <c r="BB4378" t="str">
        <f t="shared" si="1726"/>
        <v>1200</v>
      </c>
      <c r="BC4378">
        <v>1</v>
      </c>
      <c r="BD4378" t="str">
        <f t="shared" si="1727"/>
        <v xml:space="preserve">N52156  </v>
      </c>
      <c r="BE4378">
        <v>1</v>
      </c>
      <c r="BG4378">
        <v>0</v>
      </c>
      <c r="BH4378">
        <v>0</v>
      </c>
      <c r="BI4378">
        <v>0</v>
      </c>
      <c r="BJ4378">
        <v>4250</v>
      </c>
      <c r="BK4378">
        <v>50</v>
      </c>
      <c r="BL4378" t="s">
        <v>188</v>
      </c>
      <c r="BM4378">
        <v>1</v>
      </c>
      <c r="BN4378">
        <v>1</v>
      </c>
      <c r="BO4378">
        <v>0</v>
      </c>
      <c r="BP4378">
        <v>0</v>
      </c>
      <c r="BS4378">
        <v>0</v>
      </c>
      <c r="BT4378">
        <v>0</v>
      </c>
      <c r="BU4378">
        <v>0</v>
      </c>
      <c r="CE4378" t="str">
        <f t="shared" si="1735"/>
        <v>15:16:41.830</v>
      </c>
      <c r="CF4378">
        <v>829752590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4</v>
      </c>
      <c r="CY4378">
        <v>7</v>
      </c>
      <c r="CZ4378" t="s">
        <v>133</v>
      </c>
      <c r="DA4378">
        <v>275</v>
      </c>
      <c r="DB4378">
        <v>0</v>
      </c>
      <c r="DC4378" t="s">
        <v>134</v>
      </c>
      <c r="DD4378" t="s">
        <v>135</v>
      </c>
      <c r="DG4378">
        <v>3323268</v>
      </c>
      <c r="DI4378">
        <v>1</v>
      </c>
      <c r="DJ4378">
        <v>0</v>
      </c>
      <c r="DK4378">
        <v>1</v>
      </c>
      <c r="DL4378">
        <v>0</v>
      </c>
      <c r="DM4378">
        <v>0</v>
      </c>
      <c r="DN4378">
        <v>0</v>
      </c>
      <c r="DO4378">
        <v>0</v>
      </c>
      <c r="DP4378">
        <v>0</v>
      </c>
      <c r="DQ4378">
        <v>0</v>
      </c>
      <c r="DR4378">
        <v>0</v>
      </c>
      <c r="DS4378">
        <v>0</v>
      </c>
    </row>
    <row r="4379" spans="1:123" x14ac:dyDescent="0.3">
      <c r="A4379" t="str">
        <f>"05/01/2025 15:16:42.062"</f>
        <v>05/01/2025 15:16:42.062</v>
      </c>
      <c r="C4379" t="str">
        <f t="shared" si="1724"/>
        <v>FFDFD3C0</v>
      </c>
      <c r="D4379" t="s">
        <v>145</v>
      </c>
      <c r="E4379" t="str">
        <f>"09"</f>
        <v>09</v>
      </c>
      <c r="H4379">
        <v>51</v>
      </c>
      <c r="I4379" t="s">
        <v>147</v>
      </c>
      <c r="J4379" t="s">
        <v>138</v>
      </c>
      <c r="K4379">
        <v>0</v>
      </c>
      <c r="L4379">
        <v>3</v>
      </c>
      <c r="M4379">
        <v>0</v>
      </c>
      <c r="N4379">
        <v>2</v>
      </c>
      <c r="O4379">
        <v>0</v>
      </c>
      <c r="P4379">
        <v>1</v>
      </c>
      <c r="Q4379">
        <v>0</v>
      </c>
      <c r="R4379" t="s">
        <v>127</v>
      </c>
      <c r="S4379" t="str">
        <f t="shared" si="1734"/>
        <v>15:16:41.000</v>
      </c>
      <c r="T4379" t="str">
        <f t="shared" si="1734"/>
        <v>15:16:41.000</v>
      </c>
      <c r="U4379" t="str">
        <f t="shared" si="1725"/>
        <v>A68FCB</v>
      </c>
      <c r="V4379">
        <v>0</v>
      </c>
      <c r="W4379">
        <v>0</v>
      </c>
      <c r="X4379">
        <v>2</v>
      </c>
      <c r="Y4379">
        <v>0</v>
      </c>
      <c r="AA4379">
        <v>1</v>
      </c>
      <c r="AB4379">
        <v>8</v>
      </c>
      <c r="AC4379">
        <v>3</v>
      </c>
      <c r="AD4379">
        <v>0</v>
      </c>
      <c r="AE4379">
        <v>9</v>
      </c>
      <c r="AF4379" t="s">
        <v>138</v>
      </c>
      <c r="AG4379">
        <v>0</v>
      </c>
      <c r="AH4379">
        <v>3</v>
      </c>
      <c r="AI4379">
        <v>2</v>
      </c>
      <c r="AJ4379">
        <v>0</v>
      </c>
      <c r="AK4379" t="s">
        <v>1392</v>
      </c>
      <c r="AL4379">
        <v>39.201193000000004</v>
      </c>
      <c r="AM4379" t="s">
        <v>1393</v>
      </c>
      <c r="AN4379">
        <v>-121.013031</v>
      </c>
      <c r="AO4379">
        <v>25</v>
      </c>
      <c r="AP4379">
        <v>4200</v>
      </c>
      <c r="AQ4379" t="s">
        <v>131</v>
      </c>
      <c r="AR4379">
        <v>43</v>
      </c>
      <c r="AS4379">
        <v>65</v>
      </c>
      <c r="AT4379">
        <v>-64</v>
      </c>
      <c r="BB4379" t="str">
        <f t="shared" si="1726"/>
        <v>1200</v>
      </c>
      <c r="BC4379">
        <v>1</v>
      </c>
      <c r="BD4379" t="str">
        <f t="shared" si="1727"/>
        <v xml:space="preserve">N52156  </v>
      </c>
      <c r="BE4379">
        <v>1</v>
      </c>
      <c r="BG4379">
        <v>0</v>
      </c>
      <c r="BH4379">
        <v>0</v>
      </c>
      <c r="BI4379">
        <v>0</v>
      </c>
      <c r="BJ4379">
        <v>4250</v>
      </c>
      <c r="BK4379">
        <v>50</v>
      </c>
      <c r="BL4379" t="s">
        <v>188</v>
      </c>
      <c r="BM4379">
        <v>1</v>
      </c>
      <c r="BN4379">
        <v>1</v>
      </c>
      <c r="BO4379">
        <v>0</v>
      </c>
      <c r="BP4379">
        <v>0</v>
      </c>
      <c r="BS4379">
        <v>0</v>
      </c>
      <c r="BT4379">
        <v>0</v>
      </c>
      <c r="BU4379">
        <v>0</v>
      </c>
      <c r="CE4379" t="str">
        <f t="shared" si="1735"/>
        <v>15:16:41.830</v>
      </c>
      <c r="CF4379">
        <v>829752590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4</v>
      </c>
      <c r="CY4379">
        <v>7</v>
      </c>
      <c r="CZ4379" t="s">
        <v>133</v>
      </c>
      <c r="DA4379">
        <v>275</v>
      </c>
      <c r="DB4379">
        <v>0</v>
      </c>
      <c r="DC4379" t="s">
        <v>134</v>
      </c>
      <c r="DD4379" t="s">
        <v>135</v>
      </c>
      <c r="DG4379">
        <v>3323268</v>
      </c>
      <c r="DI4379">
        <v>1</v>
      </c>
      <c r="DJ4379">
        <v>0</v>
      </c>
      <c r="DK4379">
        <v>1</v>
      </c>
      <c r="DL4379">
        <v>0</v>
      </c>
      <c r="DM4379">
        <v>0</v>
      </c>
      <c r="DN4379">
        <v>0</v>
      </c>
      <c r="DO4379">
        <v>0</v>
      </c>
      <c r="DP4379">
        <v>0</v>
      </c>
      <c r="DQ4379">
        <v>0</v>
      </c>
      <c r="DR4379">
        <v>0</v>
      </c>
      <c r="DS4379">
        <v>0</v>
      </c>
    </row>
    <row r="4380" spans="1:123" x14ac:dyDescent="0.3">
      <c r="A4380" t="str">
        <f>"05/01/2025 15:16:42.065"</f>
        <v>05/01/2025 15:16:42.065</v>
      </c>
      <c r="C4380" t="str">
        <f t="shared" si="1724"/>
        <v>FFDFD3C0</v>
      </c>
      <c r="D4380" t="s">
        <v>145</v>
      </c>
      <c r="E4380" t="str">
        <f>"05"</f>
        <v>05</v>
      </c>
      <c r="H4380">
        <v>47</v>
      </c>
      <c r="I4380" t="s">
        <v>146</v>
      </c>
      <c r="J4380" t="s">
        <v>138</v>
      </c>
      <c r="K4380">
        <v>0</v>
      </c>
      <c r="L4380">
        <v>3</v>
      </c>
      <c r="M4380">
        <v>0</v>
      </c>
      <c r="N4380">
        <v>2</v>
      </c>
      <c r="O4380">
        <v>0</v>
      </c>
      <c r="P4380">
        <v>1</v>
      </c>
      <c r="Q4380">
        <v>0</v>
      </c>
      <c r="R4380" t="s">
        <v>127</v>
      </c>
      <c r="S4380" t="str">
        <f t="shared" si="1734"/>
        <v>15:16:41.000</v>
      </c>
      <c r="T4380" t="str">
        <f t="shared" si="1734"/>
        <v>15:16:41.000</v>
      </c>
      <c r="U4380" t="str">
        <f t="shared" si="1725"/>
        <v>A68FCB</v>
      </c>
      <c r="V4380">
        <v>0</v>
      </c>
      <c r="W4380">
        <v>0</v>
      </c>
      <c r="X4380">
        <v>2</v>
      </c>
      <c r="Y4380">
        <v>0</v>
      </c>
      <c r="AA4380">
        <v>1</v>
      </c>
      <c r="AB4380">
        <v>8</v>
      </c>
      <c r="AC4380">
        <v>3</v>
      </c>
      <c r="AD4380">
        <v>0</v>
      </c>
      <c r="AE4380">
        <v>9</v>
      </c>
      <c r="AF4380" t="s">
        <v>138</v>
      </c>
      <c r="AG4380">
        <v>0</v>
      </c>
      <c r="AH4380">
        <v>3</v>
      </c>
      <c r="AI4380">
        <v>2</v>
      </c>
      <c r="AJ4380">
        <v>0</v>
      </c>
      <c r="AK4380" t="s">
        <v>1392</v>
      </c>
      <c r="AL4380">
        <v>39.201193000000004</v>
      </c>
      <c r="AM4380" t="s">
        <v>1393</v>
      </c>
      <c r="AN4380">
        <v>-121.013031</v>
      </c>
      <c r="AO4380">
        <v>25</v>
      </c>
      <c r="AP4380">
        <v>4200</v>
      </c>
      <c r="AQ4380" t="s">
        <v>131</v>
      </c>
      <c r="AR4380">
        <v>43</v>
      </c>
      <c r="AS4380">
        <v>65</v>
      </c>
      <c r="AT4380">
        <v>-64</v>
      </c>
      <c r="BB4380" t="str">
        <f t="shared" si="1726"/>
        <v>1200</v>
      </c>
      <c r="BC4380">
        <v>1</v>
      </c>
      <c r="BD4380" t="str">
        <f t="shared" si="1727"/>
        <v xml:space="preserve">N52156  </v>
      </c>
      <c r="BE4380">
        <v>1</v>
      </c>
      <c r="BG4380">
        <v>0</v>
      </c>
      <c r="BH4380">
        <v>0</v>
      </c>
      <c r="BI4380">
        <v>0</v>
      </c>
      <c r="BJ4380">
        <v>4250</v>
      </c>
      <c r="BK4380">
        <v>50</v>
      </c>
      <c r="BL4380" t="s">
        <v>188</v>
      </c>
      <c r="BM4380">
        <v>1</v>
      </c>
      <c r="BN4380">
        <v>1</v>
      </c>
      <c r="BO4380">
        <v>0</v>
      </c>
      <c r="BP4380">
        <v>0</v>
      </c>
      <c r="BS4380">
        <v>0</v>
      </c>
      <c r="BT4380">
        <v>0</v>
      </c>
      <c r="BU4380">
        <v>0</v>
      </c>
      <c r="CE4380" t="str">
        <f t="shared" si="1735"/>
        <v>15:16:41.830</v>
      </c>
      <c r="CF4380">
        <v>829752590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4</v>
      </c>
      <c r="CY4380">
        <v>7</v>
      </c>
      <c r="CZ4380" t="s">
        <v>133</v>
      </c>
      <c r="DA4380">
        <v>275</v>
      </c>
      <c r="DB4380">
        <v>0</v>
      </c>
      <c r="DC4380" t="s">
        <v>134</v>
      </c>
      <c r="DD4380" t="s">
        <v>135</v>
      </c>
      <c r="DG4380">
        <v>3323268</v>
      </c>
      <c r="DI4380">
        <v>1</v>
      </c>
      <c r="DJ4380">
        <v>0</v>
      </c>
      <c r="DK4380">
        <v>1</v>
      </c>
      <c r="DL4380">
        <v>0</v>
      </c>
      <c r="DM4380">
        <v>0</v>
      </c>
      <c r="DN4380">
        <v>0</v>
      </c>
      <c r="DO4380">
        <v>0</v>
      </c>
      <c r="DP4380">
        <v>0</v>
      </c>
      <c r="DQ4380">
        <v>0</v>
      </c>
      <c r="DR4380">
        <v>0</v>
      </c>
      <c r="DS4380">
        <v>0</v>
      </c>
    </row>
    <row r="4381" spans="1:123" x14ac:dyDescent="0.3">
      <c r="A4381" t="str">
        <f>"05/01/2025 15:16:42.078"</f>
        <v>05/01/2025 15:16:42.078</v>
      </c>
      <c r="C4381" t="str">
        <f t="shared" si="1724"/>
        <v>FFDFD3C0</v>
      </c>
      <c r="D4381" t="s">
        <v>136</v>
      </c>
      <c r="E4381" t="str">
        <f>"20"</f>
        <v>20</v>
      </c>
      <c r="H4381">
        <v>400</v>
      </c>
      <c r="I4381" t="s">
        <v>137</v>
      </c>
      <c r="J4381" t="s">
        <v>138</v>
      </c>
      <c r="K4381">
        <v>0</v>
      </c>
      <c r="L4381">
        <v>3</v>
      </c>
      <c r="M4381">
        <v>0</v>
      </c>
      <c r="N4381">
        <v>2</v>
      </c>
      <c r="O4381">
        <v>0</v>
      </c>
      <c r="P4381">
        <v>1</v>
      </c>
      <c r="Q4381">
        <v>0</v>
      </c>
      <c r="R4381" t="s">
        <v>127</v>
      </c>
      <c r="S4381" t="str">
        <f t="shared" si="1734"/>
        <v>15:16:41.000</v>
      </c>
      <c r="T4381" t="str">
        <f t="shared" si="1734"/>
        <v>15:16:41.000</v>
      </c>
      <c r="U4381" t="str">
        <f t="shared" si="1725"/>
        <v>A68FCB</v>
      </c>
      <c r="V4381">
        <v>0</v>
      </c>
      <c r="W4381">
        <v>0</v>
      </c>
      <c r="X4381">
        <v>2</v>
      </c>
      <c r="Y4381">
        <v>0</v>
      </c>
      <c r="AA4381">
        <v>1</v>
      </c>
      <c r="AB4381">
        <v>8</v>
      </c>
      <c r="AC4381">
        <v>3</v>
      </c>
      <c r="AD4381">
        <v>0</v>
      </c>
      <c r="AE4381">
        <v>9</v>
      </c>
      <c r="AF4381" t="s">
        <v>138</v>
      </c>
      <c r="AG4381">
        <v>0</v>
      </c>
      <c r="AH4381">
        <v>3</v>
      </c>
      <c r="AI4381">
        <v>2</v>
      </c>
      <c r="AJ4381">
        <v>0</v>
      </c>
      <c r="AK4381" t="s">
        <v>1392</v>
      </c>
      <c r="AL4381">
        <v>39.201193000000004</v>
      </c>
      <c r="AM4381" t="s">
        <v>1393</v>
      </c>
      <c r="AN4381">
        <v>-121.013031</v>
      </c>
      <c r="AO4381">
        <v>25</v>
      </c>
      <c r="AP4381">
        <v>4200</v>
      </c>
      <c r="AQ4381" t="s">
        <v>131</v>
      </c>
      <c r="AR4381">
        <v>43</v>
      </c>
      <c r="AS4381">
        <v>65</v>
      </c>
      <c r="AT4381">
        <v>-64</v>
      </c>
      <c r="BB4381" t="str">
        <f t="shared" si="1726"/>
        <v>1200</v>
      </c>
      <c r="BC4381">
        <v>1</v>
      </c>
      <c r="BD4381" t="str">
        <f t="shared" si="1727"/>
        <v xml:space="preserve">N52156  </v>
      </c>
      <c r="BE4381">
        <v>1</v>
      </c>
      <c r="BG4381">
        <v>0</v>
      </c>
      <c r="BH4381">
        <v>0</v>
      </c>
      <c r="BI4381">
        <v>0</v>
      </c>
      <c r="BJ4381">
        <v>4250</v>
      </c>
      <c r="BK4381">
        <v>50</v>
      </c>
      <c r="BL4381" t="s">
        <v>188</v>
      </c>
      <c r="BM4381">
        <v>1</v>
      </c>
      <c r="BN4381">
        <v>1</v>
      </c>
      <c r="BO4381">
        <v>0</v>
      </c>
      <c r="BP4381">
        <v>0</v>
      </c>
      <c r="BS4381">
        <v>0</v>
      </c>
      <c r="BT4381">
        <v>0</v>
      </c>
      <c r="BU4381">
        <v>0</v>
      </c>
      <c r="CE4381" t="str">
        <f t="shared" si="1735"/>
        <v>15:16:41.830</v>
      </c>
      <c r="CF4381">
        <v>829752590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4</v>
      </c>
      <c r="CY4381">
        <v>7</v>
      </c>
      <c r="CZ4381" t="s">
        <v>133</v>
      </c>
      <c r="DA4381">
        <v>275</v>
      </c>
      <c r="DB4381">
        <v>0</v>
      </c>
      <c r="DC4381" t="s">
        <v>134</v>
      </c>
      <c r="DD4381" t="s">
        <v>135</v>
      </c>
      <c r="DG4381">
        <v>3323268</v>
      </c>
      <c r="DI4381">
        <v>1</v>
      </c>
      <c r="DJ4381">
        <v>0</v>
      </c>
      <c r="DK4381">
        <v>1</v>
      </c>
      <c r="DL4381">
        <v>0</v>
      </c>
      <c r="DM4381">
        <v>0</v>
      </c>
      <c r="DN4381">
        <v>0</v>
      </c>
      <c r="DO4381">
        <v>0</v>
      </c>
      <c r="DP4381">
        <v>0</v>
      </c>
      <c r="DQ4381">
        <v>0</v>
      </c>
      <c r="DR4381">
        <v>0</v>
      </c>
      <c r="DS4381">
        <v>0</v>
      </c>
    </row>
    <row r="4382" spans="1:123" x14ac:dyDescent="0.3">
      <c r="A4382" t="str">
        <f>"05/01/2025 15:16:42.696"</f>
        <v>05/01/2025 15:16:42.696</v>
      </c>
      <c r="C4382" t="str">
        <f t="shared" si="1724"/>
        <v>FFDFD3C0</v>
      </c>
      <c r="D4382" t="s">
        <v>140</v>
      </c>
      <c r="E4382" t="str">
        <f>"13"</f>
        <v>13</v>
      </c>
      <c r="F4382">
        <v>1019</v>
      </c>
      <c r="G4382" t="s">
        <v>141</v>
      </c>
      <c r="J4382" t="s">
        <v>142</v>
      </c>
      <c r="K4382">
        <v>0</v>
      </c>
      <c r="L4382">
        <v>3</v>
      </c>
      <c r="M4382">
        <v>0</v>
      </c>
      <c r="N4382">
        <v>2</v>
      </c>
      <c r="O4382">
        <v>0</v>
      </c>
      <c r="P4382">
        <v>1</v>
      </c>
      <c r="Q4382">
        <v>0</v>
      </c>
      <c r="R4382" t="s">
        <v>127</v>
      </c>
      <c r="S4382" t="str">
        <f t="shared" ref="S4382:T4387" si="1736">"15:16:42.000"</f>
        <v>15:16:42.000</v>
      </c>
      <c r="T4382" t="str">
        <f t="shared" si="1736"/>
        <v>15:16:42.000</v>
      </c>
      <c r="U4382" t="str">
        <f t="shared" si="1725"/>
        <v>A68FCB</v>
      </c>
      <c r="V4382">
        <v>0</v>
      </c>
      <c r="W4382">
        <v>0</v>
      </c>
      <c r="X4382">
        <v>2</v>
      </c>
      <c r="Y4382">
        <v>0</v>
      </c>
      <c r="AA4382">
        <v>1</v>
      </c>
      <c r="AB4382">
        <v>8</v>
      </c>
      <c r="AC4382">
        <v>3</v>
      </c>
      <c r="AD4382">
        <v>0</v>
      </c>
      <c r="AE4382">
        <v>9</v>
      </c>
      <c r="AF4382" t="s">
        <v>138</v>
      </c>
      <c r="AG4382">
        <v>0</v>
      </c>
      <c r="AH4382">
        <v>3</v>
      </c>
      <c r="AI4382">
        <v>2</v>
      </c>
      <c r="AJ4382">
        <v>0</v>
      </c>
      <c r="AK4382" t="s">
        <v>1394</v>
      </c>
      <c r="AL4382">
        <v>39.201492999999999</v>
      </c>
      <c r="AM4382" t="s">
        <v>1395</v>
      </c>
      <c r="AN4382">
        <v>-121.01275200000001</v>
      </c>
      <c r="AO4382">
        <v>25</v>
      </c>
      <c r="AP4382">
        <v>4200</v>
      </c>
      <c r="AQ4382" t="s">
        <v>131</v>
      </c>
      <c r="AR4382">
        <v>43</v>
      </c>
      <c r="AS4382">
        <v>65</v>
      </c>
      <c r="AT4382">
        <v>-64</v>
      </c>
      <c r="BB4382" t="str">
        <f t="shared" si="1726"/>
        <v>1200</v>
      </c>
      <c r="BC4382">
        <v>1</v>
      </c>
      <c r="BD4382" t="str">
        <f t="shared" si="1727"/>
        <v xml:space="preserve">N52156  </v>
      </c>
      <c r="BE4382">
        <v>1</v>
      </c>
      <c r="BG4382">
        <v>0</v>
      </c>
      <c r="BH4382">
        <v>0</v>
      </c>
      <c r="BI4382">
        <v>0</v>
      </c>
      <c r="BJ4382">
        <v>4250</v>
      </c>
      <c r="BK4382">
        <v>50</v>
      </c>
      <c r="BL4382" t="s">
        <v>188</v>
      </c>
      <c r="BM4382">
        <v>1</v>
      </c>
      <c r="BN4382">
        <v>1</v>
      </c>
      <c r="BO4382">
        <v>0</v>
      </c>
      <c r="BP4382">
        <v>0</v>
      </c>
      <c r="BS4382">
        <v>0</v>
      </c>
      <c r="BT4382">
        <v>0</v>
      </c>
      <c r="BU4382">
        <v>0</v>
      </c>
      <c r="CE4382" t="str">
        <f t="shared" ref="CE4382:CE4387" si="1737">"15:16:42.456"</f>
        <v>15:16:42.456</v>
      </c>
      <c r="CF4382">
        <v>456251699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4</v>
      </c>
      <c r="CY4382">
        <v>7</v>
      </c>
      <c r="CZ4382" t="s">
        <v>133</v>
      </c>
      <c r="DA4382">
        <v>275</v>
      </c>
      <c r="DB4382">
        <v>0</v>
      </c>
      <c r="DC4382" t="s">
        <v>134</v>
      </c>
      <c r="DD4382" t="s">
        <v>135</v>
      </c>
      <c r="DG4382">
        <v>3323269</v>
      </c>
      <c r="DI4382">
        <v>1</v>
      </c>
      <c r="DJ4382">
        <v>0</v>
      </c>
      <c r="DK4382">
        <v>0</v>
      </c>
      <c r="DL4382">
        <v>0</v>
      </c>
      <c r="DM4382">
        <v>0</v>
      </c>
      <c r="DN4382">
        <v>0</v>
      </c>
      <c r="DO4382">
        <v>0</v>
      </c>
      <c r="DP4382">
        <v>0</v>
      </c>
      <c r="DQ4382">
        <v>0</v>
      </c>
      <c r="DR4382">
        <v>0</v>
      </c>
      <c r="DS4382">
        <v>0</v>
      </c>
    </row>
    <row r="4383" spans="1:123" x14ac:dyDescent="0.3">
      <c r="A4383" t="str">
        <f>"05/01/2025 15:16:42.696"</f>
        <v>05/01/2025 15:16:42.696</v>
      </c>
      <c r="C4383" t="str">
        <f t="shared" si="1724"/>
        <v>FFDFD3C0</v>
      </c>
      <c r="D4383" t="s">
        <v>124</v>
      </c>
      <c r="E4383" t="str">
        <f>"06"</f>
        <v>06</v>
      </c>
      <c r="F4383">
        <v>2006</v>
      </c>
      <c r="G4383" t="s">
        <v>125</v>
      </c>
      <c r="J4383" t="s">
        <v>126</v>
      </c>
      <c r="K4383">
        <v>0</v>
      </c>
      <c r="L4383">
        <v>3</v>
      </c>
      <c r="M4383">
        <v>0</v>
      </c>
      <c r="N4383">
        <v>2</v>
      </c>
      <c r="O4383">
        <v>0</v>
      </c>
      <c r="P4383">
        <v>1</v>
      </c>
      <c r="Q4383">
        <v>0</v>
      </c>
      <c r="R4383" t="s">
        <v>127</v>
      </c>
      <c r="S4383" t="str">
        <f t="shared" si="1736"/>
        <v>15:16:42.000</v>
      </c>
      <c r="T4383" t="str">
        <f t="shared" si="1736"/>
        <v>15:16:42.000</v>
      </c>
      <c r="U4383" t="str">
        <f t="shared" si="1725"/>
        <v>A68FCB</v>
      </c>
      <c r="V4383">
        <v>0</v>
      </c>
      <c r="W4383">
        <v>0</v>
      </c>
      <c r="X4383">
        <v>2</v>
      </c>
      <c r="Y4383">
        <v>0</v>
      </c>
      <c r="AA4383">
        <v>1</v>
      </c>
      <c r="AB4383">
        <v>8</v>
      </c>
      <c r="AC4383">
        <v>3</v>
      </c>
      <c r="AD4383">
        <v>0</v>
      </c>
      <c r="AE4383">
        <v>9</v>
      </c>
      <c r="AF4383" t="s">
        <v>138</v>
      </c>
      <c r="AG4383">
        <v>0</v>
      </c>
      <c r="AH4383">
        <v>3</v>
      </c>
      <c r="AI4383">
        <v>2</v>
      </c>
      <c r="AJ4383">
        <v>0</v>
      </c>
      <c r="AK4383" t="s">
        <v>1394</v>
      </c>
      <c r="AL4383">
        <v>39.201492999999999</v>
      </c>
      <c r="AM4383" t="s">
        <v>1395</v>
      </c>
      <c r="AN4383">
        <v>-121.01275200000001</v>
      </c>
      <c r="AO4383">
        <v>25</v>
      </c>
      <c r="AP4383">
        <v>4200</v>
      </c>
      <c r="AQ4383" t="s">
        <v>131</v>
      </c>
      <c r="AR4383">
        <v>43</v>
      </c>
      <c r="AS4383">
        <v>65</v>
      </c>
      <c r="AT4383">
        <v>-64</v>
      </c>
      <c r="BB4383" t="str">
        <f t="shared" si="1726"/>
        <v>1200</v>
      </c>
      <c r="BC4383">
        <v>1</v>
      </c>
      <c r="BD4383" t="str">
        <f t="shared" si="1727"/>
        <v xml:space="preserve">N52156  </v>
      </c>
      <c r="BE4383">
        <v>1</v>
      </c>
      <c r="BG4383">
        <v>0</v>
      </c>
      <c r="BH4383">
        <v>0</v>
      </c>
      <c r="BI4383">
        <v>0</v>
      </c>
      <c r="BJ4383">
        <v>4250</v>
      </c>
      <c r="BK4383">
        <v>50</v>
      </c>
      <c r="BL4383" t="s">
        <v>188</v>
      </c>
      <c r="BM4383">
        <v>1</v>
      </c>
      <c r="BN4383">
        <v>1</v>
      </c>
      <c r="BO4383">
        <v>0</v>
      </c>
      <c r="BP4383">
        <v>0</v>
      </c>
      <c r="BS4383">
        <v>0</v>
      </c>
      <c r="BT4383">
        <v>0</v>
      </c>
      <c r="BU4383">
        <v>0</v>
      </c>
      <c r="CE4383" t="str">
        <f t="shared" si="1737"/>
        <v>15:16:42.456</v>
      </c>
      <c r="CF4383">
        <v>456251699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4</v>
      </c>
      <c r="CY4383">
        <v>7</v>
      </c>
      <c r="CZ4383" t="s">
        <v>133</v>
      </c>
      <c r="DA4383">
        <v>275</v>
      </c>
      <c r="DB4383">
        <v>0</v>
      </c>
      <c r="DC4383" t="s">
        <v>134</v>
      </c>
      <c r="DD4383" t="s">
        <v>135</v>
      </c>
      <c r="DG4383">
        <v>3323269</v>
      </c>
      <c r="DI4383">
        <v>1</v>
      </c>
      <c r="DJ4383">
        <v>0</v>
      </c>
      <c r="DK4383">
        <v>1</v>
      </c>
      <c r="DL4383">
        <v>0</v>
      </c>
      <c r="DM4383">
        <v>0</v>
      </c>
      <c r="DN4383">
        <v>0</v>
      </c>
      <c r="DO4383">
        <v>0</v>
      </c>
      <c r="DP4383">
        <v>0</v>
      </c>
      <c r="DQ4383">
        <v>0</v>
      </c>
      <c r="DR4383">
        <v>0</v>
      </c>
      <c r="DS4383">
        <v>0</v>
      </c>
    </row>
    <row r="4384" spans="1:123" x14ac:dyDescent="0.3">
      <c r="A4384" t="str">
        <f>"05/01/2025 15:16:42.699"</f>
        <v>05/01/2025 15:16:42.699</v>
      </c>
      <c r="C4384" t="str">
        <f t="shared" si="1724"/>
        <v>FFDFD3C0</v>
      </c>
      <c r="D4384" t="s">
        <v>143</v>
      </c>
      <c r="E4384" t="str">
        <f>"05"</f>
        <v>05</v>
      </c>
      <c r="H4384">
        <v>172</v>
      </c>
      <c r="I4384" t="s">
        <v>141</v>
      </c>
      <c r="J4384" t="s">
        <v>144</v>
      </c>
      <c r="K4384">
        <v>0</v>
      </c>
      <c r="L4384">
        <v>3</v>
      </c>
      <c r="M4384">
        <v>0</v>
      </c>
      <c r="N4384">
        <v>2</v>
      </c>
      <c r="O4384">
        <v>0</v>
      </c>
      <c r="P4384">
        <v>1</v>
      </c>
      <c r="Q4384">
        <v>0</v>
      </c>
      <c r="R4384" t="s">
        <v>127</v>
      </c>
      <c r="S4384" t="str">
        <f t="shared" si="1736"/>
        <v>15:16:42.000</v>
      </c>
      <c r="T4384" t="str">
        <f t="shared" si="1736"/>
        <v>15:16:42.000</v>
      </c>
      <c r="U4384" t="str">
        <f t="shared" si="1725"/>
        <v>A68FCB</v>
      </c>
      <c r="V4384">
        <v>0</v>
      </c>
      <c r="W4384">
        <v>0</v>
      </c>
      <c r="X4384">
        <v>2</v>
      </c>
      <c r="Y4384">
        <v>0</v>
      </c>
      <c r="AA4384">
        <v>1</v>
      </c>
      <c r="AB4384">
        <v>8</v>
      </c>
      <c r="AC4384">
        <v>3</v>
      </c>
      <c r="AD4384">
        <v>0</v>
      </c>
      <c r="AE4384">
        <v>9</v>
      </c>
      <c r="AF4384" t="s">
        <v>138</v>
      </c>
      <c r="AG4384">
        <v>0</v>
      </c>
      <c r="AH4384">
        <v>3</v>
      </c>
      <c r="AI4384">
        <v>2</v>
      </c>
      <c r="AJ4384">
        <v>0</v>
      </c>
      <c r="AK4384" t="s">
        <v>1394</v>
      </c>
      <c r="AL4384">
        <v>39.201492999999999</v>
      </c>
      <c r="AM4384" t="s">
        <v>1395</v>
      </c>
      <c r="AN4384">
        <v>-121.01275200000001</v>
      </c>
      <c r="AO4384">
        <v>25</v>
      </c>
      <c r="AP4384">
        <v>4200</v>
      </c>
      <c r="AQ4384" t="s">
        <v>131</v>
      </c>
      <c r="AR4384">
        <v>43</v>
      </c>
      <c r="AS4384">
        <v>65</v>
      </c>
      <c r="AT4384">
        <v>-64</v>
      </c>
      <c r="BB4384" t="str">
        <f t="shared" si="1726"/>
        <v>1200</v>
      </c>
      <c r="BC4384">
        <v>1</v>
      </c>
      <c r="BD4384" t="str">
        <f t="shared" si="1727"/>
        <v xml:space="preserve">N52156  </v>
      </c>
      <c r="BE4384">
        <v>1</v>
      </c>
      <c r="BG4384">
        <v>0</v>
      </c>
      <c r="BH4384">
        <v>0</v>
      </c>
      <c r="BI4384">
        <v>0</v>
      </c>
      <c r="BJ4384">
        <v>4250</v>
      </c>
      <c r="BK4384">
        <v>50</v>
      </c>
      <c r="BL4384" t="s">
        <v>188</v>
      </c>
      <c r="BM4384">
        <v>1</v>
      </c>
      <c r="BN4384">
        <v>1</v>
      </c>
      <c r="BO4384">
        <v>0</v>
      </c>
      <c r="BP4384">
        <v>0</v>
      </c>
      <c r="BS4384">
        <v>0</v>
      </c>
      <c r="BT4384">
        <v>0</v>
      </c>
      <c r="BU4384">
        <v>0</v>
      </c>
      <c r="CE4384" t="str">
        <f t="shared" si="1737"/>
        <v>15:16:42.456</v>
      </c>
      <c r="CF4384">
        <v>456251699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4</v>
      </c>
      <c r="CY4384">
        <v>7</v>
      </c>
      <c r="CZ4384" t="s">
        <v>133</v>
      </c>
      <c r="DA4384">
        <v>275</v>
      </c>
      <c r="DB4384">
        <v>0</v>
      </c>
      <c r="DC4384" t="s">
        <v>134</v>
      </c>
      <c r="DD4384" t="s">
        <v>135</v>
      </c>
      <c r="DG4384">
        <v>3323269</v>
      </c>
      <c r="DI4384">
        <v>1</v>
      </c>
      <c r="DJ4384">
        <v>0</v>
      </c>
      <c r="DK4384">
        <v>1</v>
      </c>
      <c r="DL4384">
        <v>0</v>
      </c>
      <c r="DM4384">
        <v>0</v>
      </c>
      <c r="DN4384">
        <v>0</v>
      </c>
      <c r="DO4384">
        <v>0</v>
      </c>
      <c r="DP4384">
        <v>0</v>
      </c>
      <c r="DQ4384">
        <v>0</v>
      </c>
      <c r="DR4384">
        <v>0</v>
      </c>
      <c r="DS4384">
        <v>0</v>
      </c>
    </row>
    <row r="4385" spans="1:123" x14ac:dyDescent="0.3">
      <c r="A4385" t="str">
        <f>"05/01/2025 15:16:42.713"</f>
        <v>05/01/2025 15:16:42.713</v>
      </c>
      <c r="C4385" t="str">
        <f t="shared" si="1724"/>
        <v>FFDFD3C0</v>
      </c>
      <c r="D4385" t="s">
        <v>145</v>
      </c>
      <c r="E4385" t="str">
        <f>"09"</f>
        <v>09</v>
      </c>
      <c r="H4385">
        <v>51</v>
      </c>
      <c r="I4385" t="s">
        <v>147</v>
      </c>
      <c r="J4385" t="s">
        <v>138</v>
      </c>
      <c r="K4385">
        <v>0</v>
      </c>
      <c r="L4385">
        <v>3</v>
      </c>
      <c r="M4385">
        <v>0</v>
      </c>
      <c r="N4385">
        <v>2</v>
      </c>
      <c r="O4385">
        <v>0</v>
      </c>
      <c r="P4385">
        <v>1</v>
      </c>
      <c r="Q4385">
        <v>0</v>
      </c>
      <c r="R4385" t="s">
        <v>127</v>
      </c>
      <c r="S4385" t="str">
        <f t="shared" si="1736"/>
        <v>15:16:42.000</v>
      </c>
      <c r="T4385" t="str">
        <f t="shared" si="1736"/>
        <v>15:16:42.000</v>
      </c>
      <c r="U4385" t="str">
        <f t="shared" si="1725"/>
        <v>A68FCB</v>
      </c>
      <c r="V4385">
        <v>0</v>
      </c>
      <c r="W4385">
        <v>0</v>
      </c>
      <c r="X4385">
        <v>2</v>
      </c>
      <c r="Y4385">
        <v>0</v>
      </c>
      <c r="AA4385">
        <v>1</v>
      </c>
      <c r="AB4385">
        <v>8</v>
      </c>
      <c r="AC4385">
        <v>3</v>
      </c>
      <c r="AD4385">
        <v>0</v>
      </c>
      <c r="AE4385">
        <v>9</v>
      </c>
      <c r="AF4385" t="s">
        <v>138</v>
      </c>
      <c r="AG4385">
        <v>0</v>
      </c>
      <c r="AH4385">
        <v>3</v>
      </c>
      <c r="AI4385">
        <v>2</v>
      </c>
      <c r="AJ4385">
        <v>0</v>
      </c>
      <c r="AK4385" t="s">
        <v>1394</v>
      </c>
      <c r="AL4385">
        <v>39.201492999999999</v>
      </c>
      <c r="AM4385" t="s">
        <v>1395</v>
      </c>
      <c r="AN4385">
        <v>-121.01275200000001</v>
      </c>
      <c r="AO4385">
        <v>25</v>
      </c>
      <c r="AP4385">
        <v>4200</v>
      </c>
      <c r="AQ4385" t="s">
        <v>131</v>
      </c>
      <c r="AR4385">
        <v>43</v>
      </c>
      <c r="AS4385">
        <v>65</v>
      </c>
      <c r="AT4385">
        <v>-64</v>
      </c>
      <c r="BB4385" t="str">
        <f t="shared" si="1726"/>
        <v>1200</v>
      </c>
      <c r="BC4385">
        <v>1</v>
      </c>
      <c r="BD4385" t="str">
        <f t="shared" si="1727"/>
        <v xml:space="preserve">N52156  </v>
      </c>
      <c r="BE4385">
        <v>1</v>
      </c>
      <c r="BG4385">
        <v>0</v>
      </c>
      <c r="BH4385">
        <v>0</v>
      </c>
      <c r="BI4385">
        <v>0</v>
      </c>
      <c r="BJ4385">
        <v>4250</v>
      </c>
      <c r="BK4385">
        <v>50</v>
      </c>
      <c r="BL4385" t="s">
        <v>188</v>
      </c>
      <c r="BM4385">
        <v>1</v>
      </c>
      <c r="BN4385">
        <v>1</v>
      </c>
      <c r="BO4385">
        <v>0</v>
      </c>
      <c r="BP4385">
        <v>0</v>
      </c>
      <c r="BS4385">
        <v>0</v>
      </c>
      <c r="BT4385">
        <v>0</v>
      </c>
      <c r="BU4385">
        <v>0</v>
      </c>
      <c r="CE4385" t="str">
        <f t="shared" si="1737"/>
        <v>15:16:42.456</v>
      </c>
      <c r="CF4385">
        <v>456251699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4</v>
      </c>
      <c r="CY4385">
        <v>7</v>
      </c>
      <c r="CZ4385" t="s">
        <v>133</v>
      </c>
      <c r="DA4385">
        <v>275</v>
      </c>
      <c r="DB4385">
        <v>0</v>
      </c>
      <c r="DC4385" t="s">
        <v>134</v>
      </c>
      <c r="DD4385" t="s">
        <v>135</v>
      </c>
      <c r="DG4385">
        <v>3323269</v>
      </c>
      <c r="DI4385">
        <v>1</v>
      </c>
      <c r="DJ4385">
        <v>0</v>
      </c>
      <c r="DK4385">
        <v>1</v>
      </c>
      <c r="DL4385">
        <v>0</v>
      </c>
      <c r="DM4385">
        <v>0</v>
      </c>
      <c r="DN4385">
        <v>0</v>
      </c>
      <c r="DO4385">
        <v>0</v>
      </c>
      <c r="DP4385">
        <v>0</v>
      </c>
      <c r="DQ4385">
        <v>0</v>
      </c>
      <c r="DR4385">
        <v>0</v>
      </c>
      <c r="DS4385">
        <v>0</v>
      </c>
    </row>
    <row r="4386" spans="1:123" x14ac:dyDescent="0.3">
      <c r="A4386" t="str">
        <f>"05/01/2025 15:16:42.717"</f>
        <v>05/01/2025 15:16:42.717</v>
      </c>
      <c r="C4386" t="str">
        <f t="shared" si="1724"/>
        <v>FFDFD3C0</v>
      </c>
      <c r="D4386" t="s">
        <v>145</v>
      </c>
      <c r="E4386" t="str">
        <f>"05"</f>
        <v>05</v>
      </c>
      <c r="H4386">
        <v>47</v>
      </c>
      <c r="I4386" t="s">
        <v>146</v>
      </c>
      <c r="J4386" t="s">
        <v>138</v>
      </c>
      <c r="K4386">
        <v>0</v>
      </c>
      <c r="L4386">
        <v>3</v>
      </c>
      <c r="M4386">
        <v>0</v>
      </c>
      <c r="N4386">
        <v>2</v>
      </c>
      <c r="O4386">
        <v>0</v>
      </c>
      <c r="P4386">
        <v>1</v>
      </c>
      <c r="Q4386">
        <v>0</v>
      </c>
      <c r="R4386" t="s">
        <v>127</v>
      </c>
      <c r="S4386" t="str">
        <f t="shared" si="1736"/>
        <v>15:16:42.000</v>
      </c>
      <c r="T4386" t="str">
        <f t="shared" si="1736"/>
        <v>15:16:42.000</v>
      </c>
      <c r="U4386" t="str">
        <f t="shared" si="1725"/>
        <v>A68FCB</v>
      </c>
      <c r="V4386">
        <v>0</v>
      </c>
      <c r="W4386">
        <v>0</v>
      </c>
      <c r="X4386">
        <v>2</v>
      </c>
      <c r="Y4386">
        <v>0</v>
      </c>
      <c r="AA4386">
        <v>1</v>
      </c>
      <c r="AB4386">
        <v>8</v>
      </c>
      <c r="AC4386">
        <v>3</v>
      </c>
      <c r="AD4386">
        <v>0</v>
      </c>
      <c r="AE4386">
        <v>9</v>
      </c>
      <c r="AF4386" t="s">
        <v>138</v>
      </c>
      <c r="AG4386">
        <v>0</v>
      </c>
      <c r="AH4386">
        <v>3</v>
      </c>
      <c r="AI4386">
        <v>2</v>
      </c>
      <c r="AJ4386">
        <v>0</v>
      </c>
      <c r="AK4386" t="s">
        <v>1394</v>
      </c>
      <c r="AL4386">
        <v>39.201492999999999</v>
      </c>
      <c r="AM4386" t="s">
        <v>1395</v>
      </c>
      <c r="AN4386">
        <v>-121.01275200000001</v>
      </c>
      <c r="AO4386">
        <v>25</v>
      </c>
      <c r="AP4386">
        <v>4200</v>
      </c>
      <c r="AQ4386" t="s">
        <v>131</v>
      </c>
      <c r="AR4386">
        <v>43</v>
      </c>
      <c r="AS4386">
        <v>65</v>
      </c>
      <c r="AT4386">
        <v>-64</v>
      </c>
      <c r="BB4386" t="str">
        <f t="shared" si="1726"/>
        <v>1200</v>
      </c>
      <c r="BC4386">
        <v>1</v>
      </c>
      <c r="BD4386" t="str">
        <f t="shared" si="1727"/>
        <v xml:space="preserve">N52156  </v>
      </c>
      <c r="BE4386">
        <v>1</v>
      </c>
      <c r="BG4386">
        <v>0</v>
      </c>
      <c r="BH4386">
        <v>0</v>
      </c>
      <c r="BI4386">
        <v>0</v>
      </c>
      <c r="BJ4386">
        <v>4250</v>
      </c>
      <c r="BK4386">
        <v>50</v>
      </c>
      <c r="BL4386" t="s">
        <v>188</v>
      </c>
      <c r="BM4386">
        <v>1</v>
      </c>
      <c r="BN4386">
        <v>1</v>
      </c>
      <c r="BO4386">
        <v>0</v>
      </c>
      <c r="BP4386">
        <v>0</v>
      </c>
      <c r="BS4386">
        <v>0</v>
      </c>
      <c r="BT4386">
        <v>0</v>
      </c>
      <c r="BU4386">
        <v>0</v>
      </c>
      <c r="CE4386" t="str">
        <f t="shared" si="1737"/>
        <v>15:16:42.456</v>
      </c>
      <c r="CF4386">
        <v>456251699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4</v>
      </c>
      <c r="CY4386">
        <v>7</v>
      </c>
      <c r="CZ4386" t="s">
        <v>133</v>
      </c>
      <c r="DA4386">
        <v>275</v>
      </c>
      <c r="DB4386">
        <v>0</v>
      </c>
      <c r="DC4386" t="s">
        <v>134</v>
      </c>
      <c r="DD4386" t="s">
        <v>135</v>
      </c>
      <c r="DG4386">
        <v>3323269</v>
      </c>
      <c r="DI4386">
        <v>1</v>
      </c>
      <c r="DJ4386">
        <v>0</v>
      </c>
      <c r="DK4386">
        <v>1</v>
      </c>
      <c r="DL4386">
        <v>0</v>
      </c>
      <c r="DM4386">
        <v>0</v>
      </c>
      <c r="DN4386">
        <v>0</v>
      </c>
      <c r="DO4386">
        <v>0</v>
      </c>
      <c r="DP4386">
        <v>0</v>
      </c>
      <c r="DQ4386">
        <v>0</v>
      </c>
      <c r="DR4386">
        <v>0</v>
      </c>
      <c r="DS4386">
        <v>0</v>
      </c>
    </row>
    <row r="4387" spans="1:123" x14ac:dyDescent="0.3">
      <c r="A4387" t="str">
        <f>"05/01/2025 15:16:42.729"</f>
        <v>05/01/2025 15:16:42.729</v>
      </c>
      <c r="C4387" t="str">
        <f t="shared" si="1724"/>
        <v>FFDFD3C0</v>
      </c>
      <c r="D4387" t="s">
        <v>136</v>
      </c>
      <c r="E4387" t="str">
        <f>"20"</f>
        <v>20</v>
      </c>
      <c r="H4387">
        <v>400</v>
      </c>
      <c r="I4387" t="s">
        <v>137</v>
      </c>
      <c r="J4387" t="s">
        <v>138</v>
      </c>
      <c r="K4387">
        <v>0</v>
      </c>
      <c r="L4387">
        <v>3</v>
      </c>
      <c r="M4387">
        <v>0</v>
      </c>
      <c r="N4387">
        <v>2</v>
      </c>
      <c r="O4387">
        <v>0</v>
      </c>
      <c r="P4387">
        <v>1</v>
      </c>
      <c r="Q4387">
        <v>0</v>
      </c>
      <c r="R4387" t="s">
        <v>127</v>
      </c>
      <c r="S4387" t="str">
        <f t="shared" si="1736"/>
        <v>15:16:42.000</v>
      </c>
      <c r="T4387" t="str">
        <f t="shared" si="1736"/>
        <v>15:16:42.000</v>
      </c>
      <c r="U4387" t="str">
        <f t="shared" si="1725"/>
        <v>A68FCB</v>
      </c>
      <c r="V4387">
        <v>0</v>
      </c>
      <c r="W4387">
        <v>0</v>
      </c>
      <c r="X4387">
        <v>2</v>
      </c>
      <c r="Y4387">
        <v>0</v>
      </c>
      <c r="AA4387">
        <v>1</v>
      </c>
      <c r="AB4387">
        <v>8</v>
      </c>
      <c r="AC4387">
        <v>3</v>
      </c>
      <c r="AD4387">
        <v>0</v>
      </c>
      <c r="AE4387">
        <v>9</v>
      </c>
      <c r="AF4387" t="s">
        <v>138</v>
      </c>
      <c r="AG4387">
        <v>0</v>
      </c>
      <c r="AH4387">
        <v>3</v>
      </c>
      <c r="AI4387">
        <v>2</v>
      </c>
      <c r="AJ4387">
        <v>0</v>
      </c>
      <c r="AK4387" t="s">
        <v>1394</v>
      </c>
      <c r="AL4387">
        <v>39.201492999999999</v>
      </c>
      <c r="AM4387" t="s">
        <v>1395</v>
      </c>
      <c r="AN4387">
        <v>-121.01275200000001</v>
      </c>
      <c r="AO4387">
        <v>25</v>
      </c>
      <c r="AP4387">
        <v>4200</v>
      </c>
      <c r="AQ4387" t="s">
        <v>131</v>
      </c>
      <c r="AR4387">
        <v>43</v>
      </c>
      <c r="AS4387">
        <v>65</v>
      </c>
      <c r="AT4387">
        <v>-64</v>
      </c>
      <c r="BB4387" t="str">
        <f t="shared" si="1726"/>
        <v>1200</v>
      </c>
      <c r="BC4387">
        <v>1</v>
      </c>
      <c r="BD4387" t="str">
        <f t="shared" si="1727"/>
        <v xml:space="preserve">N52156  </v>
      </c>
      <c r="BE4387">
        <v>1</v>
      </c>
      <c r="BG4387">
        <v>0</v>
      </c>
      <c r="BH4387">
        <v>0</v>
      </c>
      <c r="BI4387">
        <v>0</v>
      </c>
      <c r="BJ4387">
        <v>4250</v>
      </c>
      <c r="BK4387">
        <v>50</v>
      </c>
      <c r="BL4387" t="s">
        <v>188</v>
      </c>
      <c r="BM4387">
        <v>1</v>
      </c>
      <c r="BN4387">
        <v>1</v>
      </c>
      <c r="BO4387">
        <v>0</v>
      </c>
      <c r="BP4387">
        <v>0</v>
      </c>
      <c r="BS4387">
        <v>0</v>
      </c>
      <c r="BT4387">
        <v>0</v>
      </c>
      <c r="BU4387">
        <v>0</v>
      </c>
      <c r="CE4387" t="str">
        <f t="shared" si="1737"/>
        <v>15:16:42.456</v>
      </c>
      <c r="CF4387">
        <v>456251699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4</v>
      </c>
      <c r="CY4387">
        <v>7</v>
      </c>
      <c r="CZ4387" t="s">
        <v>133</v>
      </c>
      <c r="DA4387">
        <v>275</v>
      </c>
      <c r="DB4387">
        <v>0</v>
      </c>
      <c r="DC4387" t="s">
        <v>134</v>
      </c>
      <c r="DD4387" t="s">
        <v>135</v>
      </c>
      <c r="DG4387">
        <v>3323269</v>
      </c>
      <c r="DI4387">
        <v>1</v>
      </c>
      <c r="DJ4387">
        <v>0</v>
      </c>
      <c r="DK4387">
        <v>1</v>
      </c>
      <c r="DL4387">
        <v>0</v>
      </c>
      <c r="DM4387">
        <v>0</v>
      </c>
      <c r="DN4387">
        <v>0</v>
      </c>
      <c r="DO4387">
        <v>0</v>
      </c>
      <c r="DP4387">
        <v>0</v>
      </c>
      <c r="DQ4387">
        <v>0</v>
      </c>
      <c r="DR4387">
        <v>0</v>
      </c>
      <c r="DS4387">
        <v>0</v>
      </c>
    </row>
    <row r="4388" spans="1:123" x14ac:dyDescent="0.3">
      <c r="A4388" t="str">
        <f>"05/01/2025 15:16:43.818"</f>
        <v>05/01/2025 15:16:43.818</v>
      </c>
      <c r="C4388" t="str">
        <f t="shared" si="1724"/>
        <v>FFDFD3C0</v>
      </c>
      <c r="D4388" t="s">
        <v>145</v>
      </c>
      <c r="E4388" t="str">
        <f>"05"</f>
        <v>05</v>
      </c>
      <c r="H4388">
        <v>47</v>
      </c>
      <c r="I4388" t="s">
        <v>146</v>
      </c>
      <c r="J4388" t="s">
        <v>138</v>
      </c>
      <c r="K4388">
        <v>0</v>
      </c>
      <c r="L4388">
        <v>3</v>
      </c>
      <c r="M4388">
        <v>0</v>
      </c>
      <c r="N4388">
        <v>2</v>
      </c>
      <c r="O4388">
        <v>0</v>
      </c>
      <c r="P4388">
        <v>1</v>
      </c>
      <c r="Q4388">
        <v>0</v>
      </c>
      <c r="R4388" t="s">
        <v>127</v>
      </c>
      <c r="S4388" t="str">
        <f t="shared" ref="S4388:T4393" si="1738">"15:16:43.000"</f>
        <v>15:16:43.000</v>
      </c>
      <c r="T4388" t="str">
        <f t="shared" si="1738"/>
        <v>15:16:43.000</v>
      </c>
      <c r="U4388" t="str">
        <f t="shared" si="1725"/>
        <v>A68FCB</v>
      </c>
      <c r="V4388">
        <v>0</v>
      </c>
      <c r="W4388">
        <v>0</v>
      </c>
      <c r="X4388">
        <v>2</v>
      </c>
      <c r="Y4388">
        <v>0</v>
      </c>
      <c r="AA4388">
        <v>1</v>
      </c>
      <c r="AB4388">
        <v>8</v>
      </c>
      <c r="AC4388">
        <v>3</v>
      </c>
      <c r="AD4388">
        <v>0</v>
      </c>
      <c r="AE4388">
        <v>9</v>
      </c>
      <c r="AF4388" t="s">
        <v>138</v>
      </c>
      <c r="AG4388">
        <v>0</v>
      </c>
      <c r="AH4388">
        <v>3</v>
      </c>
      <c r="AI4388">
        <v>2</v>
      </c>
      <c r="AJ4388">
        <v>0</v>
      </c>
      <c r="AK4388" t="s">
        <v>1396</v>
      </c>
      <c r="AL4388">
        <v>39.201794</v>
      </c>
      <c r="AM4388" t="s">
        <v>1397</v>
      </c>
      <c r="AN4388">
        <v>-121.01251600000001</v>
      </c>
      <c r="AO4388">
        <v>25</v>
      </c>
      <c r="AP4388">
        <v>4200</v>
      </c>
      <c r="AQ4388" t="s">
        <v>131</v>
      </c>
      <c r="AR4388">
        <v>44</v>
      </c>
      <c r="AS4388">
        <v>65</v>
      </c>
      <c r="AT4388">
        <v>-64</v>
      </c>
      <c r="BB4388" t="str">
        <f t="shared" si="1726"/>
        <v>1200</v>
      </c>
      <c r="BC4388">
        <v>1</v>
      </c>
      <c r="BD4388" t="str">
        <f t="shared" si="1727"/>
        <v xml:space="preserve">N52156  </v>
      </c>
      <c r="BE4388">
        <v>1</v>
      </c>
      <c r="BG4388">
        <v>0</v>
      </c>
      <c r="BH4388">
        <v>0</v>
      </c>
      <c r="BI4388">
        <v>0</v>
      </c>
      <c r="BJ4388">
        <v>4250</v>
      </c>
      <c r="BK4388">
        <v>50</v>
      </c>
      <c r="BL4388" t="s">
        <v>188</v>
      </c>
      <c r="BM4388">
        <v>1</v>
      </c>
      <c r="BN4388">
        <v>1</v>
      </c>
      <c r="BO4388">
        <v>0</v>
      </c>
      <c r="BP4388">
        <v>0</v>
      </c>
      <c r="BS4388">
        <v>0</v>
      </c>
      <c r="BT4388">
        <v>0</v>
      </c>
      <c r="BU4388">
        <v>0</v>
      </c>
      <c r="CE4388" t="str">
        <f t="shared" ref="CE4388:CE4393" si="1739">"15:16:43.606"</f>
        <v>15:16:43.606</v>
      </c>
      <c r="CF4388">
        <v>606252219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4</v>
      </c>
      <c r="CY4388">
        <v>7</v>
      </c>
      <c r="CZ4388" t="s">
        <v>133</v>
      </c>
      <c r="DA4388">
        <v>275</v>
      </c>
      <c r="DB4388">
        <v>0</v>
      </c>
      <c r="DC4388" t="s">
        <v>134</v>
      </c>
      <c r="DD4388" t="s">
        <v>135</v>
      </c>
      <c r="DG4388">
        <v>3323271</v>
      </c>
      <c r="DI4388">
        <v>1</v>
      </c>
      <c r="DJ4388">
        <v>0</v>
      </c>
      <c r="DK4388">
        <v>0</v>
      </c>
      <c r="DL4388">
        <v>0</v>
      </c>
      <c r="DM4388">
        <v>0</v>
      </c>
      <c r="DN4388">
        <v>0</v>
      </c>
      <c r="DO4388">
        <v>0</v>
      </c>
      <c r="DP4388">
        <v>0</v>
      </c>
      <c r="DQ4388">
        <v>0</v>
      </c>
      <c r="DR4388">
        <v>0</v>
      </c>
      <c r="DS4388">
        <v>0</v>
      </c>
    </row>
    <row r="4389" spans="1:123" x14ac:dyDescent="0.3">
      <c r="A4389" t="str">
        <f>"05/01/2025 15:16:43.831"</f>
        <v>05/01/2025 15:16:43.831</v>
      </c>
      <c r="C4389" t="str">
        <f t="shared" si="1724"/>
        <v>FFDFD3C0</v>
      </c>
      <c r="D4389" t="s">
        <v>136</v>
      </c>
      <c r="E4389" t="str">
        <f>"20"</f>
        <v>20</v>
      </c>
      <c r="H4389">
        <v>400</v>
      </c>
      <c r="I4389" t="s">
        <v>137</v>
      </c>
      <c r="J4389" t="s">
        <v>138</v>
      </c>
      <c r="K4389">
        <v>0</v>
      </c>
      <c r="L4389">
        <v>3</v>
      </c>
      <c r="M4389">
        <v>0</v>
      </c>
      <c r="N4389">
        <v>2</v>
      </c>
      <c r="O4389">
        <v>0</v>
      </c>
      <c r="P4389">
        <v>1</v>
      </c>
      <c r="Q4389">
        <v>0</v>
      </c>
      <c r="R4389" t="s">
        <v>127</v>
      </c>
      <c r="S4389" t="str">
        <f t="shared" si="1738"/>
        <v>15:16:43.000</v>
      </c>
      <c r="T4389" t="str">
        <f t="shared" si="1738"/>
        <v>15:16:43.000</v>
      </c>
      <c r="U4389" t="str">
        <f t="shared" si="1725"/>
        <v>A68FCB</v>
      </c>
      <c r="V4389">
        <v>0</v>
      </c>
      <c r="W4389">
        <v>0</v>
      </c>
      <c r="X4389">
        <v>2</v>
      </c>
      <c r="Y4389">
        <v>0</v>
      </c>
      <c r="AA4389">
        <v>1</v>
      </c>
      <c r="AB4389">
        <v>8</v>
      </c>
      <c r="AC4389">
        <v>3</v>
      </c>
      <c r="AD4389">
        <v>0</v>
      </c>
      <c r="AE4389">
        <v>9</v>
      </c>
      <c r="AF4389" t="s">
        <v>138</v>
      </c>
      <c r="AG4389">
        <v>0</v>
      </c>
      <c r="AH4389">
        <v>3</v>
      </c>
      <c r="AI4389">
        <v>2</v>
      </c>
      <c r="AJ4389">
        <v>0</v>
      </c>
      <c r="AK4389" t="s">
        <v>1396</v>
      </c>
      <c r="AL4389">
        <v>39.201794</v>
      </c>
      <c r="AM4389" t="s">
        <v>1397</v>
      </c>
      <c r="AN4389">
        <v>-121.01251600000001</v>
      </c>
      <c r="AO4389">
        <v>25</v>
      </c>
      <c r="AP4389">
        <v>4200</v>
      </c>
      <c r="AQ4389" t="s">
        <v>131</v>
      </c>
      <c r="AR4389">
        <v>44</v>
      </c>
      <c r="AS4389">
        <v>65</v>
      </c>
      <c r="AT4389">
        <v>-64</v>
      </c>
      <c r="BB4389" t="str">
        <f t="shared" si="1726"/>
        <v>1200</v>
      </c>
      <c r="BC4389">
        <v>1</v>
      </c>
      <c r="BD4389" t="str">
        <f t="shared" si="1727"/>
        <v xml:space="preserve">N52156  </v>
      </c>
      <c r="BE4389">
        <v>1</v>
      </c>
      <c r="BG4389">
        <v>0</v>
      </c>
      <c r="BH4389">
        <v>0</v>
      </c>
      <c r="BI4389">
        <v>0</v>
      </c>
      <c r="BJ4389">
        <v>4250</v>
      </c>
      <c r="BK4389">
        <v>50</v>
      </c>
      <c r="BL4389" t="s">
        <v>188</v>
      </c>
      <c r="BM4389">
        <v>1</v>
      </c>
      <c r="BN4389">
        <v>1</v>
      </c>
      <c r="BO4389">
        <v>0</v>
      </c>
      <c r="BP4389">
        <v>0</v>
      </c>
      <c r="BS4389">
        <v>0</v>
      </c>
      <c r="BT4389">
        <v>0</v>
      </c>
      <c r="BU4389">
        <v>0</v>
      </c>
      <c r="CE4389" t="str">
        <f t="shared" si="1739"/>
        <v>15:16:43.606</v>
      </c>
      <c r="CF4389">
        <v>606252219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4</v>
      </c>
      <c r="CY4389">
        <v>7</v>
      </c>
      <c r="CZ4389" t="s">
        <v>133</v>
      </c>
      <c r="DA4389">
        <v>275</v>
      </c>
      <c r="DB4389">
        <v>0</v>
      </c>
      <c r="DC4389" t="s">
        <v>134</v>
      </c>
      <c r="DD4389" t="s">
        <v>135</v>
      </c>
      <c r="DG4389">
        <v>3323271</v>
      </c>
      <c r="DI4389">
        <v>1</v>
      </c>
      <c r="DJ4389">
        <v>0</v>
      </c>
      <c r="DK4389">
        <v>1</v>
      </c>
      <c r="DL4389">
        <v>0</v>
      </c>
      <c r="DM4389">
        <v>0</v>
      </c>
      <c r="DN4389">
        <v>0</v>
      </c>
      <c r="DO4389">
        <v>0</v>
      </c>
      <c r="DP4389">
        <v>0</v>
      </c>
      <c r="DQ4389">
        <v>0</v>
      </c>
      <c r="DR4389">
        <v>0</v>
      </c>
      <c r="DS4389">
        <v>0</v>
      </c>
    </row>
    <row r="4390" spans="1:123" x14ac:dyDescent="0.3">
      <c r="A4390" t="str">
        <f>"05/01/2025 15:16:43.848"</f>
        <v>05/01/2025 15:16:43.848</v>
      </c>
      <c r="C4390" t="str">
        <f t="shared" si="1724"/>
        <v>FFDFD3C0</v>
      </c>
      <c r="D4390" t="s">
        <v>140</v>
      </c>
      <c r="E4390" t="str">
        <f>"13"</f>
        <v>13</v>
      </c>
      <c r="F4390">
        <v>1019</v>
      </c>
      <c r="G4390" t="s">
        <v>141</v>
      </c>
      <c r="J4390" t="s">
        <v>142</v>
      </c>
      <c r="K4390">
        <v>0</v>
      </c>
      <c r="L4390">
        <v>3</v>
      </c>
      <c r="M4390">
        <v>0</v>
      </c>
      <c r="N4390">
        <v>2</v>
      </c>
      <c r="O4390">
        <v>0</v>
      </c>
      <c r="P4390">
        <v>1</v>
      </c>
      <c r="Q4390">
        <v>0</v>
      </c>
      <c r="R4390" t="s">
        <v>127</v>
      </c>
      <c r="S4390" t="str">
        <f t="shared" si="1738"/>
        <v>15:16:43.000</v>
      </c>
      <c r="T4390" t="str">
        <f t="shared" si="1738"/>
        <v>15:16:43.000</v>
      </c>
      <c r="U4390" t="str">
        <f t="shared" si="1725"/>
        <v>A68FCB</v>
      </c>
      <c r="V4390">
        <v>0</v>
      </c>
      <c r="W4390">
        <v>0</v>
      </c>
      <c r="X4390">
        <v>2</v>
      </c>
      <c r="Y4390">
        <v>0</v>
      </c>
      <c r="AA4390">
        <v>1</v>
      </c>
      <c r="AB4390">
        <v>8</v>
      </c>
      <c r="AC4390">
        <v>3</v>
      </c>
      <c r="AD4390">
        <v>0</v>
      </c>
      <c r="AE4390">
        <v>9</v>
      </c>
      <c r="AF4390" t="s">
        <v>138</v>
      </c>
      <c r="AG4390">
        <v>0</v>
      </c>
      <c r="AH4390">
        <v>3</v>
      </c>
      <c r="AI4390">
        <v>2</v>
      </c>
      <c r="AJ4390">
        <v>0</v>
      </c>
      <c r="AK4390" t="s">
        <v>1396</v>
      </c>
      <c r="AL4390">
        <v>39.201794</v>
      </c>
      <c r="AM4390" t="s">
        <v>1397</v>
      </c>
      <c r="AN4390">
        <v>-121.01251600000001</v>
      </c>
      <c r="AO4390">
        <v>25</v>
      </c>
      <c r="AP4390">
        <v>4200</v>
      </c>
      <c r="AQ4390" t="s">
        <v>131</v>
      </c>
      <c r="AR4390">
        <v>44</v>
      </c>
      <c r="AS4390">
        <v>65</v>
      </c>
      <c r="AT4390">
        <v>-64</v>
      </c>
      <c r="BB4390" t="str">
        <f t="shared" si="1726"/>
        <v>1200</v>
      </c>
      <c r="BC4390">
        <v>1</v>
      </c>
      <c r="BD4390" t="str">
        <f t="shared" si="1727"/>
        <v xml:space="preserve">N52156  </v>
      </c>
      <c r="BE4390">
        <v>1</v>
      </c>
      <c r="BG4390">
        <v>0</v>
      </c>
      <c r="BH4390">
        <v>0</v>
      </c>
      <c r="BI4390">
        <v>0</v>
      </c>
      <c r="BJ4390">
        <v>4250</v>
      </c>
      <c r="BK4390">
        <v>50</v>
      </c>
      <c r="BL4390" t="s">
        <v>188</v>
      </c>
      <c r="BM4390">
        <v>1</v>
      </c>
      <c r="BN4390">
        <v>1</v>
      </c>
      <c r="BO4390">
        <v>0</v>
      </c>
      <c r="BP4390">
        <v>0</v>
      </c>
      <c r="BS4390">
        <v>0</v>
      </c>
      <c r="BT4390">
        <v>0</v>
      </c>
      <c r="BU4390">
        <v>0</v>
      </c>
      <c r="CE4390" t="str">
        <f t="shared" si="1739"/>
        <v>15:16:43.606</v>
      </c>
      <c r="CF4390">
        <v>606252219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4</v>
      </c>
      <c r="CY4390">
        <v>7</v>
      </c>
      <c r="CZ4390" t="s">
        <v>133</v>
      </c>
      <c r="DA4390">
        <v>275</v>
      </c>
      <c r="DB4390">
        <v>0</v>
      </c>
      <c r="DC4390" t="s">
        <v>134</v>
      </c>
      <c r="DD4390" t="s">
        <v>135</v>
      </c>
      <c r="DG4390">
        <v>3323271</v>
      </c>
      <c r="DI4390">
        <v>1</v>
      </c>
      <c r="DJ4390">
        <v>0</v>
      </c>
      <c r="DK4390">
        <v>1</v>
      </c>
      <c r="DL4390">
        <v>0</v>
      </c>
      <c r="DM4390">
        <v>0</v>
      </c>
      <c r="DN4390">
        <v>0</v>
      </c>
      <c r="DO4390">
        <v>0</v>
      </c>
      <c r="DP4390">
        <v>0</v>
      </c>
      <c r="DQ4390">
        <v>0</v>
      </c>
      <c r="DR4390">
        <v>0</v>
      </c>
      <c r="DS4390">
        <v>0</v>
      </c>
    </row>
    <row r="4391" spans="1:123" x14ac:dyDescent="0.3">
      <c r="A4391" t="str">
        <f>"05/01/2025 15:16:43.848"</f>
        <v>05/01/2025 15:16:43.848</v>
      </c>
      <c r="C4391" t="str">
        <f t="shared" si="1724"/>
        <v>FFDFD3C0</v>
      </c>
      <c r="D4391" t="s">
        <v>124</v>
      </c>
      <c r="E4391" t="str">
        <f>"06"</f>
        <v>06</v>
      </c>
      <c r="F4391">
        <v>2006</v>
      </c>
      <c r="G4391" t="s">
        <v>125</v>
      </c>
      <c r="J4391" t="s">
        <v>126</v>
      </c>
      <c r="K4391">
        <v>0</v>
      </c>
      <c r="L4391">
        <v>3</v>
      </c>
      <c r="M4391">
        <v>0</v>
      </c>
      <c r="N4391">
        <v>2</v>
      </c>
      <c r="O4391">
        <v>0</v>
      </c>
      <c r="P4391">
        <v>1</v>
      </c>
      <c r="Q4391">
        <v>0</v>
      </c>
      <c r="R4391" t="s">
        <v>127</v>
      </c>
      <c r="S4391" t="str">
        <f t="shared" si="1738"/>
        <v>15:16:43.000</v>
      </c>
      <c r="T4391" t="str">
        <f t="shared" si="1738"/>
        <v>15:16:43.000</v>
      </c>
      <c r="U4391" t="str">
        <f t="shared" si="1725"/>
        <v>A68FCB</v>
      </c>
      <c r="V4391">
        <v>0</v>
      </c>
      <c r="W4391">
        <v>0</v>
      </c>
      <c r="X4391">
        <v>2</v>
      </c>
      <c r="Y4391">
        <v>0</v>
      </c>
      <c r="AA4391">
        <v>1</v>
      </c>
      <c r="AB4391">
        <v>8</v>
      </c>
      <c r="AC4391">
        <v>3</v>
      </c>
      <c r="AD4391">
        <v>0</v>
      </c>
      <c r="AE4391">
        <v>9</v>
      </c>
      <c r="AF4391" t="s">
        <v>138</v>
      </c>
      <c r="AG4391">
        <v>0</v>
      </c>
      <c r="AH4391">
        <v>3</v>
      </c>
      <c r="AI4391">
        <v>2</v>
      </c>
      <c r="AJ4391">
        <v>0</v>
      </c>
      <c r="AK4391" t="s">
        <v>1396</v>
      </c>
      <c r="AL4391">
        <v>39.201794</v>
      </c>
      <c r="AM4391" t="s">
        <v>1397</v>
      </c>
      <c r="AN4391">
        <v>-121.01251600000001</v>
      </c>
      <c r="AO4391">
        <v>25</v>
      </c>
      <c r="AP4391">
        <v>4200</v>
      </c>
      <c r="AQ4391" t="s">
        <v>131</v>
      </c>
      <c r="AR4391">
        <v>44</v>
      </c>
      <c r="AS4391">
        <v>65</v>
      </c>
      <c r="AT4391">
        <v>-64</v>
      </c>
      <c r="BB4391" t="str">
        <f t="shared" si="1726"/>
        <v>1200</v>
      </c>
      <c r="BC4391">
        <v>1</v>
      </c>
      <c r="BD4391" t="str">
        <f t="shared" si="1727"/>
        <v xml:space="preserve">N52156  </v>
      </c>
      <c r="BE4391">
        <v>1</v>
      </c>
      <c r="BG4391">
        <v>0</v>
      </c>
      <c r="BH4391">
        <v>0</v>
      </c>
      <c r="BI4391">
        <v>0</v>
      </c>
      <c r="BJ4391">
        <v>4250</v>
      </c>
      <c r="BK4391">
        <v>50</v>
      </c>
      <c r="BL4391" t="s">
        <v>188</v>
      </c>
      <c r="BM4391">
        <v>1</v>
      </c>
      <c r="BN4391">
        <v>1</v>
      </c>
      <c r="BO4391">
        <v>0</v>
      </c>
      <c r="BP4391">
        <v>0</v>
      </c>
      <c r="BS4391">
        <v>0</v>
      </c>
      <c r="BT4391">
        <v>0</v>
      </c>
      <c r="BU4391">
        <v>0</v>
      </c>
      <c r="CE4391" t="str">
        <f t="shared" si="1739"/>
        <v>15:16:43.606</v>
      </c>
      <c r="CF4391">
        <v>606252219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4</v>
      </c>
      <c r="CY4391">
        <v>7</v>
      </c>
      <c r="CZ4391" t="s">
        <v>133</v>
      </c>
      <c r="DA4391">
        <v>275</v>
      </c>
      <c r="DB4391">
        <v>0</v>
      </c>
      <c r="DC4391" t="s">
        <v>134</v>
      </c>
      <c r="DD4391" t="s">
        <v>135</v>
      </c>
      <c r="DG4391">
        <v>3323271</v>
      </c>
      <c r="DI4391">
        <v>1</v>
      </c>
      <c r="DJ4391">
        <v>0</v>
      </c>
      <c r="DK4391">
        <v>1</v>
      </c>
      <c r="DL4391">
        <v>0</v>
      </c>
      <c r="DM4391">
        <v>0</v>
      </c>
      <c r="DN4391">
        <v>0</v>
      </c>
      <c r="DO4391">
        <v>0</v>
      </c>
      <c r="DP4391">
        <v>0</v>
      </c>
      <c r="DQ4391">
        <v>0</v>
      </c>
      <c r="DR4391">
        <v>0</v>
      </c>
      <c r="DS4391">
        <v>0</v>
      </c>
    </row>
    <row r="4392" spans="1:123" x14ac:dyDescent="0.3">
      <c r="A4392" t="str">
        <f>"05/01/2025 15:16:43.852"</f>
        <v>05/01/2025 15:16:43.852</v>
      </c>
      <c r="C4392" t="str">
        <f t="shared" si="1724"/>
        <v>FFDFD3C0</v>
      </c>
      <c r="D4392" t="s">
        <v>143</v>
      </c>
      <c r="E4392" t="str">
        <f>"05"</f>
        <v>05</v>
      </c>
      <c r="H4392">
        <v>172</v>
      </c>
      <c r="I4392" t="s">
        <v>141</v>
      </c>
      <c r="J4392" t="s">
        <v>144</v>
      </c>
      <c r="K4392">
        <v>0</v>
      </c>
      <c r="L4392">
        <v>3</v>
      </c>
      <c r="M4392">
        <v>0</v>
      </c>
      <c r="N4392">
        <v>2</v>
      </c>
      <c r="O4392">
        <v>0</v>
      </c>
      <c r="P4392">
        <v>1</v>
      </c>
      <c r="Q4392">
        <v>0</v>
      </c>
      <c r="R4392" t="s">
        <v>127</v>
      </c>
      <c r="S4392" t="str">
        <f t="shared" si="1738"/>
        <v>15:16:43.000</v>
      </c>
      <c r="T4392" t="str">
        <f t="shared" si="1738"/>
        <v>15:16:43.000</v>
      </c>
      <c r="U4392" t="str">
        <f t="shared" si="1725"/>
        <v>A68FCB</v>
      </c>
      <c r="V4392">
        <v>0</v>
      </c>
      <c r="W4392">
        <v>0</v>
      </c>
      <c r="X4392">
        <v>2</v>
      </c>
      <c r="Y4392">
        <v>0</v>
      </c>
      <c r="AA4392">
        <v>1</v>
      </c>
      <c r="AB4392">
        <v>8</v>
      </c>
      <c r="AC4392">
        <v>3</v>
      </c>
      <c r="AD4392">
        <v>0</v>
      </c>
      <c r="AE4392">
        <v>9</v>
      </c>
      <c r="AF4392" t="s">
        <v>138</v>
      </c>
      <c r="AG4392">
        <v>0</v>
      </c>
      <c r="AH4392">
        <v>3</v>
      </c>
      <c r="AI4392">
        <v>2</v>
      </c>
      <c r="AJ4392">
        <v>0</v>
      </c>
      <c r="AK4392" t="s">
        <v>1396</v>
      </c>
      <c r="AL4392">
        <v>39.201794</v>
      </c>
      <c r="AM4392" t="s">
        <v>1397</v>
      </c>
      <c r="AN4392">
        <v>-121.01251600000001</v>
      </c>
      <c r="AO4392">
        <v>25</v>
      </c>
      <c r="AP4392">
        <v>4200</v>
      </c>
      <c r="AQ4392" t="s">
        <v>131</v>
      </c>
      <c r="AR4392">
        <v>44</v>
      </c>
      <c r="AS4392">
        <v>65</v>
      </c>
      <c r="AT4392">
        <v>-64</v>
      </c>
      <c r="BB4392" t="str">
        <f t="shared" si="1726"/>
        <v>1200</v>
      </c>
      <c r="BC4392">
        <v>1</v>
      </c>
      <c r="BD4392" t="str">
        <f t="shared" si="1727"/>
        <v xml:space="preserve">N52156  </v>
      </c>
      <c r="BE4392">
        <v>1</v>
      </c>
      <c r="BG4392">
        <v>0</v>
      </c>
      <c r="BH4392">
        <v>0</v>
      </c>
      <c r="BI4392">
        <v>0</v>
      </c>
      <c r="BJ4392">
        <v>4250</v>
      </c>
      <c r="BK4392">
        <v>50</v>
      </c>
      <c r="BL4392" t="s">
        <v>188</v>
      </c>
      <c r="BM4392">
        <v>1</v>
      </c>
      <c r="BN4392">
        <v>1</v>
      </c>
      <c r="BO4392">
        <v>0</v>
      </c>
      <c r="BP4392">
        <v>0</v>
      </c>
      <c r="BS4392">
        <v>0</v>
      </c>
      <c r="BT4392">
        <v>0</v>
      </c>
      <c r="BU4392">
        <v>0</v>
      </c>
      <c r="CE4392" t="str">
        <f t="shared" si="1739"/>
        <v>15:16:43.606</v>
      </c>
      <c r="CF4392">
        <v>606252219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4</v>
      </c>
      <c r="CY4392">
        <v>7</v>
      </c>
      <c r="CZ4392" t="s">
        <v>133</v>
      </c>
      <c r="DA4392">
        <v>275</v>
      </c>
      <c r="DB4392">
        <v>0</v>
      </c>
      <c r="DC4392" t="s">
        <v>134</v>
      </c>
      <c r="DD4392" t="s">
        <v>135</v>
      </c>
      <c r="DG4392">
        <v>3323271</v>
      </c>
      <c r="DI4392">
        <v>1</v>
      </c>
      <c r="DJ4392">
        <v>0</v>
      </c>
      <c r="DK4392">
        <v>1</v>
      </c>
      <c r="DL4392">
        <v>0</v>
      </c>
      <c r="DM4392">
        <v>0</v>
      </c>
      <c r="DN4392">
        <v>0</v>
      </c>
      <c r="DO4392">
        <v>0</v>
      </c>
      <c r="DP4392">
        <v>0</v>
      </c>
      <c r="DQ4392">
        <v>0</v>
      </c>
      <c r="DR4392">
        <v>0</v>
      </c>
      <c r="DS4392">
        <v>0</v>
      </c>
    </row>
    <row r="4393" spans="1:123" x14ac:dyDescent="0.3">
      <c r="A4393" t="str">
        <f>"05/01/2025 15:16:43.865"</f>
        <v>05/01/2025 15:16:43.865</v>
      </c>
      <c r="C4393" t="str">
        <f t="shared" si="1724"/>
        <v>FFDFD3C0</v>
      </c>
      <c r="D4393" t="s">
        <v>145</v>
      </c>
      <c r="E4393" t="str">
        <f>"09"</f>
        <v>09</v>
      </c>
      <c r="H4393">
        <v>51</v>
      </c>
      <c r="I4393" t="s">
        <v>147</v>
      </c>
      <c r="J4393" t="s">
        <v>138</v>
      </c>
      <c r="K4393">
        <v>0</v>
      </c>
      <c r="L4393">
        <v>3</v>
      </c>
      <c r="M4393">
        <v>0</v>
      </c>
      <c r="N4393">
        <v>2</v>
      </c>
      <c r="O4393">
        <v>0</v>
      </c>
      <c r="P4393">
        <v>1</v>
      </c>
      <c r="Q4393">
        <v>0</v>
      </c>
      <c r="R4393" t="s">
        <v>127</v>
      </c>
      <c r="S4393" t="str">
        <f t="shared" si="1738"/>
        <v>15:16:43.000</v>
      </c>
      <c r="T4393" t="str">
        <f t="shared" si="1738"/>
        <v>15:16:43.000</v>
      </c>
      <c r="U4393" t="str">
        <f t="shared" si="1725"/>
        <v>A68FCB</v>
      </c>
      <c r="V4393">
        <v>0</v>
      </c>
      <c r="W4393">
        <v>0</v>
      </c>
      <c r="X4393">
        <v>2</v>
      </c>
      <c r="Y4393">
        <v>0</v>
      </c>
      <c r="AA4393">
        <v>1</v>
      </c>
      <c r="AB4393">
        <v>8</v>
      </c>
      <c r="AC4393">
        <v>3</v>
      </c>
      <c r="AD4393">
        <v>0</v>
      </c>
      <c r="AE4393">
        <v>9</v>
      </c>
      <c r="AF4393" t="s">
        <v>138</v>
      </c>
      <c r="AG4393">
        <v>0</v>
      </c>
      <c r="AH4393">
        <v>3</v>
      </c>
      <c r="AI4393">
        <v>2</v>
      </c>
      <c r="AJ4393">
        <v>0</v>
      </c>
      <c r="AK4393" t="s">
        <v>1396</v>
      </c>
      <c r="AL4393">
        <v>39.201794</v>
      </c>
      <c r="AM4393" t="s">
        <v>1397</v>
      </c>
      <c r="AN4393">
        <v>-121.01251600000001</v>
      </c>
      <c r="AO4393">
        <v>25</v>
      </c>
      <c r="AP4393">
        <v>4200</v>
      </c>
      <c r="AQ4393" t="s">
        <v>131</v>
      </c>
      <c r="AR4393">
        <v>44</v>
      </c>
      <c r="AS4393">
        <v>65</v>
      </c>
      <c r="AT4393">
        <v>-64</v>
      </c>
      <c r="BB4393" t="str">
        <f t="shared" si="1726"/>
        <v>1200</v>
      </c>
      <c r="BC4393">
        <v>1</v>
      </c>
      <c r="BD4393" t="str">
        <f t="shared" si="1727"/>
        <v xml:space="preserve">N52156  </v>
      </c>
      <c r="BE4393">
        <v>1</v>
      </c>
      <c r="BG4393">
        <v>0</v>
      </c>
      <c r="BH4393">
        <v>0</v>
      </c>
      <c r="BI4393">
        <v>0</v>
      </c>
      <c r="BJ4393">
        <v>4250</v>
      </c>
      <c r="BK4393">
        <v>50</v>
      </c>
      <c r="BL4393" t="s">
        <v>188</v>
      </c>
      <c r="BM4393">
        <v>1</v>
      </c>
      <c r="BN4393">
        <v>1</v>
      </c>
      <c r="BO4393">
        <v>0</v>
      </c>
      <c r="BP4393">
        <v>0</v>
      </c>
      <c r="BS4393">
        <v>0</v>
      </c>
      <c r="BT4393">
        <v>0</v>
      </c>
      <c r="BU4393">
        <v>0</v>
      </c>
      <c r="CE4393" t="str">
        <f t="shared" si="1739"/>
        <v>15:16:43.606</v>
      </c>
      <c r="CF4393">
        <v>606252219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4</v>
      </c>
      <c r="CY4393">
        <v>7</v>
      </c>
      <c r="CZ4393" t="s">
        <v>133</v>
      </c>
      <c r="DA4393">
        <v>275</v>
      </c>
      <c r="DB4393">
        <v>0</v>
      </c>
      <c r="DC4393" t="s">
        <v>134</v>
      </c>
      <c r="DD4393" t="s">
        <v>135</v>
      </c>
      <c r="DG4393">
        <v>3323271</v>
      </c>
      <c r="DI4393">
        <v>1</v>
      </c>
      <c r="DJ4393">
        <v>0</v>
      </c>
      <c r="DK4393">
        <v>1</v>
      </c>
      <c r="DL4393">
        <v>0</v>
      </c>
      <c r="DM4393">
        <v>0</v>
      </c>
      <c r="DN4393">
        <v>0</v>
      </c>
      <c r="DO4393">
        <v>0</v>
      </c>
      <c r="DP4393">
        <v>0</v>
      </c>
      <c r="DQ4393">
        <v>0</v>
      </c>
      <c r="DR4393">
        <v>0</v>
      </c>
      <c r="DS4393">
        <v>0</v>
      </c>
    </row>
    <row r="4394" spans="1:123" x14ac:dyDescent="0.3">
      <c r="A4394" t="str">
        <f>"05/01/2025 15:16:44.850"</f>
        <v>05/01/2025 15:16:44.850</v>
      </c>
      <c r="C4394" t="str">
        <f t="shared" si="1724"/>
        <v>FFDFD3C0</v>
      </c>
      <c r="D4394" t="s">
        <v>140</v>
      </c>
      <c r="E4394" t="str">
        <f>"13"</f>
        <v>13</v>
      </c>
      <c r="F4394">
        <v>1019</v>
      </c>
      <c r="G4394" t="s">
        <v>141</v>
      </c>
      <c r="J4394" t="s">
        <v>142</v>
      </c>
      <c r="K4394">
        <v>0</v>
      </c>
      <c r="L4394">
        <v>3</v>
      </c>
      <c r="M4394">
        <v>0</v>
      </c>
      <c r="N4394">
        <v>2</v>
      </c>
      <c r="O4394">
        <v>0</v>
      </c>
      <c r="P4394">
        <v>1</v>
      </c>
      <c r="Q4394">
        <v>0</v>
      </c>
      <c r="R4394" t="s">
        <v>127</v>
      </c>
      <c r="S4394" t="str">
        <f t="shared" ref="S4394:T4399" si="1740">"15:16:44.000"</f>
        <v>15:16:44.000</v>
      </c>
      <c r="T4394" t="str">
        <f t="shared" si="1740"/>
        <v>15:16:44.000</v>
      </c>
      <c r="U4394" t="str">
        <f t="shared" si="1725"/>
        <v>A68FCB</v>
      </c>
      <c r="V4394">
        <v>0</v>
      </c>
      <c r="W4394">
        <v>0</v>
      </c>
      <c r="X4394">
        <v>2</v>
      </c>
      <c r="Y4394">
        <v>0</v>
      </c>
      <c r="AA4394">
        <v>1</v>
      </c>
      <c r="AB4394">
        <v>8</v>
      </c>
      <c r="AC4394">
        <v>3</v>
      </c>
      <c r="AD4394">
        <v>0</v>
      </c>
      <c r="AE4394">
        <v>9</v>
      </c>
      <c r="AF4394" t="s">
        <v>138</v>
      </c>
      <c r="AG4394">
        <v>0</v>
      </c>
      <c r="AH4394">
        <v>3</v>
      </c>
      <c r="AI4394">
        <v>2</v>
      </c>
      <c r="AJ4394">
        <v>0</v>
      </c>
      <c r="AK4394" t="s">
        <v>1398</v>
      </c>
      <c r="AL4394">
        <v>39.202115999999997</v>
      </c>
      <c r="AM4394" t="s">
        <v>1399</v>
      </c>
      <c r="AN4394">
        <v>-121.012237</v>
      </c>
      <c r="AO4394">
        <v>25</v>
      </c>
      <c r="AP4394">
        <v>4200</v>
      </c>
      <c r="AQ4394" t="s">
        <v>131</v>
      </c>
      <c r="AR4394">
        <v>45</v>
      </c>
      <c r="AS4394">
        <v>64</v>
      </c>
      <c r="AT4394">
        <v>-64</v>
      </c>
      <c r="BB4394" t="str">
        <f t="shared" si="1726"/>
        <v>1200</v>
      </c>
      <c r="BC4394">
        <v>1</v>
      </c>
      <c r="BD4394" t="str">
        <f t="shared" si="1727"/>
        <v xml:space="preserve">N52156  </v>
      </c>
      <c r="BE4394">
        <v>1</v>
      </c>
      <c r="BG4394">
        <v>0</v>
      </c>
      <c r="BH4394">
        <v>0</v>
      </c>
      <c r="BI4394">
        <v>0</v>
      </c>
      <c r="BJ4394">
        <v>4250</v>
      </c>
      <c r="BK4394">
        <v>50</v>
      </c>
      <c r="BL4394" t="s">
        <v>188</v>
      </c>
      <c r="BM4394">
        <v>1</v>
      </c>
      <c r="BN4394">
        <v>1</v>
      </c>
      <c r="BO4394">
        <v>0</v>
      </c>
      <c r="BP4394">
        <v>0</v>
      </c>
      <c r="BS4394">
        <v>0</v>
      </c>
      <c r="BT4394">
        <v>0</v>
      </c>
      <c r="BU4394">
        <v>0</v>
      </c>
      <c r="CE4394" t="str">
        <f t="shared" ref="CE4394:CE4399" si="1741">"15:16:44.640"</f>
        <v>15:16:44.640</v>
      </c>
      <c r="CF4394">
        <v>640002438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4</v>
      </c>
      <c r="CY4394">
        <v>7</v>
      </c>
      <c r="CZ4394" t="s">
        <v>133</v>
      </c>
      <c r="DA4394">
        <v>275</v>
      </c>
      <c r="DB4394">
        <v>0</v>
      </c>
      <c r="DC4394" t="s">
        <v>134</v>
      </c>
      <c r="DD4394" t="s">
        <v>135</v>
      </c>
      <c r="DG4394">
        <v>3323273</v>
      </c>
      <c r="DI4394">
        <v>1</v>
      </c>
      <c r="DJ4394">
        <v>0</v>
      </c>
      <c r="DK4394">
        <v>0</v>
      </c>
      <c r="DL4394">
        <v>0</v>
      </c>
      <c r="DM4394">
        <v>0</v>
      </c>
      <c r="DN4394">
        <v>0</v>
      </c>
      <c r="DO4394">
        <v>0</v>
      </c>
      <c r="DP4394">
        <v>0</v>
      </c>
      <c r="DQ4394">
        <v>0</v>
      </c>
      <c r="DR4394">
        <v>0</v>
      </c>
      <c r="DS4394">
        <v>0</v>
      </c>
    </row>
    <row r="4395" spans="1:123" x14ac:dyDescent="0.3">
      <c r="A4395" t="str">
        <f>"05/01/2025 15:16:44.850"</f>
        <v>05/01/2025 15:16:44.850</v>
      </c>
      <c r="C4395" t="str">
        <f t="shared" si="1724"/>
        <v>FFDFD3C0</v>
      </c>
      <c r="D4395" t="s">
        <v>124</v>
      </c>
      <c r="E4395" t="str">
        <f>"06"</f>
        <v>06</v>
      </c>
      <c r="F4395">
        <v>2006</v>
      </c>
      <c r="G4395" t="s">
        <v>125</v>
      </c>
      <c r="J4395" t="s">
        <v>126</v>
      </c>
      <c r="K4395">
        <v>0</v>
      </c>
      <c r="L4395">
        <v>3</v>
      </c>
      <c r="M4395">
        <v>0</v>
      </c>
      <c r="N4395">
        <v>2</v>
      </c>
      <c r="O4395">
        <v>0</v>
      </c>
      <c r="P4395">
        <v>1</v>
      </c>
      <c r="Q4395">
        <v>0</v>
      </c>
      <c r="R4395" t="s">
        <v>127</v>
      </c>
      <c r="S4395" t="str">
        <f t="shared" si="1740"/>
        <v>15:16:44.000</v>
      </c>
      <c r="T4395" t="str">
        <f t="shared" si="1740"/>
        <v>15:16:44.000</v>
      </c>
      <c r="U4395" t="str">
        <f t="shared" si="1725"/>
        <v>A68FCB</v>
      </c>
      <c r="V4395">
        <v>0</v>
      </c>
      <c r="W4395">
        <v>0</v>
      </c>
      <c r="X4395">
        <v>2</v>
      </c>
      <c r="Y4395">
        <v>0</v>
      </c>
      <c r="AA4395">
        <v>1</v>
      </c>
      <c r="AB4395">
        <v>8</v>
      </c>
      <c r="AC4395">
        <v>3</v>
      </c>
      <c r="AD4395">
        <v>0</v>
      </c>
      <c r="AE4395">
        <v>9</v>
      </c>
      <c r="AF4395" t="s">
        <v>138</v>
      </c>
      <c r="AG4395">
        <v>0</v>
      </c>
      <c r="AH4395">
        <v>3</v>
      </c>
      <c r="AI4395">
        <v>2</v>
      </c>
      <c r="AJ4395">
        <v>0</v>
      </c>
      <c r="AK4395" t="s">
        <v>1398</v>
      </c>
      <c r="AL4395">
        <v>39.202115999999997</v>
      </c>
      <c r="AM4395" t="s">
        <v>1399</v>
      </c>
      <c r="AN4395">
        <v>-121.012237</v>
      </c>
      <c r="AO4395">
        <v>25</v>
      </c>
      <c r="AP4395">
        <v>4200</v>
      </c>
      <c r="AQ4395" t="s">
        <v>131</v>
      </c>
      <c r="AR4395">
        <v>45</v>
      </c>
      <c r="AS4395">
        <v>64</v>
      </c>
      <c r="AT4395">
        <v>-64</v>
      </c>
      <c r="BB4395" t="str">
        <f t="shared" si="1726"/>
        <v>1200</v>
      </c>
      <c r="BC4395">
        <v>1</v>
      </c>
      <c r="BD4395" t="str">
        <f t="shared" si="1727"/>
        <v xml:space="preserve">N52156  </v>
      </c>
      <c r="BE4395">
        <v>1</v>
      </c>
      <c r="BG4395">
        <v>0</v>
      </c>
      <c r="BH4395">
        <v>0</v>
      </c>
      <c r="BI4395">
        <v>0</v>
      </c>
      <c r="BJ4395">
        <v>4250</v>
      </c>
      <c r="BK4395">
        <v>50</v>
      </c>
      <c r="BL4395" t="s">
        <v>188</v>
      </c>
      <c r="BM4395">
        <v>1</v>
      </c>
      <c r="BN4395">
        <v>1</v>
      </c>
      <c r="BO4395">
        <v>0</v>
      </c>
      <c r="BP4395">
        <v>0</v>
      </c>
      <c r="BS4395">
        <v>0</v>
      </c>
      <c r="BT4395">
        <v>0</v>
      </c>
      <c r="BU4395">
        <v>0</v>
      </c>
      <c r="CE4395" t="str">
        <f t="shared" si="1741"/>
        <v>15:16:44.640</v>
      </c>
      <c r="CF4395">
        <v>640002438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4</v>
      </c>
      <c r="CY4395">
        <v>7</v>
      </c>
      <c r="CZ4395" t="s">
        <v>133</v>
      </c>
      <c r="DA4395">
        <v>275</v>
      </c>
      <c r="DB4395">
        <v>0</v>
      </c>
      <c r="DC4395" t="s">
        <v>134</v>
      </c>
      <c r="DD4395" t="s">
        <v>135</v>
      </c>
      <c r="DG4395">
        <v>3323273</v>
      </c>
      <c r="DI4395">
        <v>1</v>
      </c>
      <c r="DJ4395">
        <v>0</v>
      </c>
      <c r="DK4395">
        <v>1</v>
      </c>
      <c r="DL4395">
        <v>0</v>
      </c>
      <c r="DM4395">
        <v>0</v>
      </c>
      <c r="DN4395">
        <v>0</v>
      </c>
      <c r="DO4395">
        <v>0</v>
      </c>
      <c r="DP4395">
        <v>0</v>
      </c>
      <c r="DQ4395">
        <v>0</v>
      </c>
      <c r="DR4395">
        <v>0</v>
      </c>
      <c r="DS4395">
        <v>0</v>
      </c>
    </row>
    <row r="4396" spans="1:123" x14ac:dyDescent="0.3">
      <c r="A4396" t="str">
        <f>"05/01/2025 15:16:44.854"</f>
        <v>05/01/2025 15:16:44.854</v>
      </c>
      <c r="C4396" t="str">
        <f t="shared" si="1724"/>
        <v>FFDFD3C0</v>
      </c>
      <c r="D4396" t="s">
        <v>143</v>
      </c>
      <c r="E4396" t="str">
        <f>"05"</f>
        <v>05</v>
      </c>
      <c r="H4396">
        <v>172</v>
      </c>
      <c r="I4396" t="s">
        <v>141</v>
      </c>
      <c r="J4396" t="s">
        <v>144</v>
      </c>
      <c r="K4396">
        <v>0</v>
      </c>
      <c r="L4396">
        <v>3</v>
      </c>
      <c r="M4396">
        <v>0</v>
      </c>
      <c r="N4396">
        <v>2</v>
      </c>
      <c r="O4396">
        <v>0</v>
      </c>
      <c r="P4396">
        <v>1</v>
      </c>
      <c r="Q4396">
        <v>0</v>
      </c>
      <c r="R4396" t="s">
        <v>127</v>
      </c>
      <c r="S4396" t="str">
        <f t="shared" si="1740"/>
        <v>15:16:44.000</v>
      </c>
      <c r="T4396" t="str">
        <f t="shared" si="1740"/>
        <v>15:16:44.000</v>
      </c>
      <c r="U4396" t="str">
        <f t="shared" si="1725"/>
        <v>A68FCB</v>
      </c>
      <c r="V4396">
        <v>0</v>
      </c>
      <c r="W4396">
        <v>0</v>
      </c>
      <c r="X4396">
        <v>2</v>
      </c>
      <c r="Y4396">
        <v>0</v>
      </c>
      <c r="AA4396">
        <v>1</v>
      </c>
      <c r="AB4396">
        <v>8</v>
      </c>
      <c r="AC4396">
        <v>3</v>
      </c>
      <c r="AD4396">
        <v>0</v>
      </c>
      <c r="AE4396">
        <v>9</v>
      </c>
      <c r="AF4396" t="s">
        <v>138</v>
      </c>
      <c r="AG4396">
        <v>0</v>
      </c>
      <c r="AH4396">
        <v>3</v>
      </c>
      <c r="AI4396">
        <v>2</v>
      </c>
      <c r="AJ4396">
        <v>0</v>
      </c>
      <c r="AK4396" t="s">
        <v>1398</v>
      </c>
      <c r="AL4396">
        <v>39.202115999999997</v>
      </c>
      <c r="AM4396" t="s">
        <v>1399</v>
      </c>
      <c r="AN4396">
        <v>-121.012237</v>
      </c>
      <c r="AO4396">
        <v>25</v>
      </c>
      <c r="AP4396">
        <v>4200</v>
      </c>
      <c r="AQ4396" t="s">
        <v>131</v>
      </c>
      <c r="AR4396">
        <v>45</v>
      </c>
      <c r="AS4396">
        <v>64</v>
      </c>
      <c r="AT4396">
        <v>-64</v>
      </c>
      <c r="BB4396" t="str">
        <f t="shared" si="1726"/>
        <v>1200</v>
      </c>
      <c r="BC4396">
        <v>1</v>
      </c>
      <c r="BD4396" t="str">
        <f t="shared" si="1727"/>
        <v xml:space="preserve">N52156  </v>
      </c>
      <c r="BE4396">
        <v>1</v>
      </c>
      <c r="BG4396">
        <v>0</v>
      </c>
      <c r="BH4396">
        <v>0</v>
      </c>
      <c r="BI4396">
        <v>0</v>
      </c>
      <c r="BJ4396">
        <v>4250</v>
      </c>
      <c r="BK4396">
        <v>50</v>
      </c>
      <c r="BL4396" t="s">
        <v>188</v>
      </c>
      <c r="BM4396">
        <v>1</v>
      </c>
      <c r="BN4396">
        <v>1</v>
      </c>
      <c r="BO4396">
        <v>0</v>
      </c>
      <c r="BP4396">
        <v>0</v>
      </c>
      <c r="BS4396">
        <v>0</v>
      </c>
      <c r="BT4396">
        <v>0</v>
      </c>
      <c r="BU4396">
        <v>0</v>
      </c>
      <c r="CE4396" t="str">
        <f t="shared" si="1741"/>
        <v>15:16:44.640</v>
      </c>
      <c r="CF4396">
        <v>640002438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4</v>
      </c>
      <c r="CY4396">
        <v>7</v>
      </c>
      <c r="CZ4396" t="s">
        <v>133</v>
      </c>
      <c r="DA4396">
        <v>275</v>
      </c>
      <c r="DB4396">
        <v>0</v>
      </c>
      <c r="DC4396" t="s">
        <v>134</v>
      </c>
      <c r="DD4396" t="s">
        <v>135</v>
      </c>
      <c r="DG4396">
        <v>3323273</v>
      </c>
      <c r="DI4396">
        <v>1</v>
      </c>
      <c r="DJ4396">
        <v>0</v>
      </c>
      <c r="DK4396">
        <v>1</v>
      </c>
      <c r="DL4396">
        <v>0</v>
      </c>
      <c r="DM4396">
        <v>0</v>
      </c>
      <c r="DN4396">
        <v>0</v>
      </c>
      <c r="DO4396">
        <v>0</v>
      </c>
      <c r="DP4396">
        <v>0</v>
      </c>
      <c r="DQ4396">
        <v>0</v>
      </c>
      <c r="DR4396">
        <v>0</v>
      </c>
      <c r="DS4396">
        <v>0</v>
      </c>
    </row>
    <row r="4397" spans="1:123" x14ac:dyDescent="0.3">
      <c r="A4397" t="str">
        <f>"05/01/2025 15:16:44.866"</f>
        <v>05/01/2025 15:16:44.866</v>
      </c>
      <c r="C4397" t="str">
        <f t="shared" si="1724"/>
        <v>FFDFD3C0</v>
      </c>
      <c r="D4397" t="s">
        <v>145</v>
      </c>
      <c r="E4397" t="str">
        <f>"09"</f>
        <v>09</v>
      </c>
      <c r="H4397">
        <v>51</v>
      </c>
      <c r="I4397" t="s">
        <v>147</v>
      </c>
      <c r="J4397" t="s">
        <v>138</v>
      </c>
      <c r="K4397">
        <v>0</v>
      </c>
      <c r="L4397">
        <v>3</v>
      </c>
      <c r="M4397">
        <v>0</v>
      </c>
      <c r="N4397">
        <v>2</v>
      </c>
      <c r="O4397">
        <v>0</v>
      </c>
      <c r="P4397">
        <v>1</v>
      </c>
      <c r="Q4397">
        <v>0</v>
      </c>
      <c r="R4397" t="s">
        <v>127</v>
      </c>
      <c r="S4397" t="str">
        <f t="shared" si="1740"/>
        <v>15:16:44.000</v>
      </c>
      <c r="T4397" t="str">
        <f t="shared" si="1740"/>
        <v>15:16:44.000</v>
      </c>
      <c r="U4397" t="str">
        <f t="shared" si="1725"/>
        <v>A68FCB</v>
      </c>
      <c r="V4397">
        <v>0</v>
      </c>
      <c r="W4397">
        <v>0</v>
      </c>
      <c r="X4397">
        <v>2</v>
      </c>
      <c r="Y4397">
        <v>0</v>
      </c>
      <c r="AA4397">
        <v>1</v>
      </c>
      <c r="AB4397">
        <v>8</v>
      </c>
      <c r="AC4397">
        <v>3</v>
      </c>
      <c r="AD4397">
        <v>0</v>
      </c>
      <c r="AE4397">
        <v>9</v>
      </c>
      <c r="AF4397" t="s">
        <v>138</v>
      </c>
      <c r="AG4397">
        <v>0</v>
      </c>
      <c r="AH4397">
        <v>3</v>
      </c>
      <c r="AI4397">
        <v>2</v>
      </c>
      <c r="AJ4397">
        <v>0</v>
      </c>
      <c r="AK4397" t="s">
        <v>1398</v>
      </c>
      <c r="AL4397">
        <v>39.202115999999997</v>
      </c>
      <c r="AM4397" t="s">
        <v>1399</v>
      </c>
      <c r="AN4397">
        <v>-121.012237</v>
      </c>
      <c r="AO4397">
        <v>25</v>
      </c>
      <c r="AP4397">
        <v>4200</v>
      </c>
      <c r="AQ4397" t="s">
        <v>131</v>
      </c>
      <c r="AR4397">
        <v>45</v>
      </c>
      <c r="AS4397">
        <v>64</v>
      </c>
      <c r="AT4397">
        <v>-64</v>
      </c>
      <c r="BB4397" t="str">
        <f t="shared" si="1726"/>
        <v>1200</v>
      </c>
      <c r="BC4397">
        <v>1</v>
      </c>
      <c r="BD4397" t="str">
        <f t="shared" si="1727"/>
        <v xml:space="preserve">N52156  </v>
      </c>
      <c r="BE4397">
        <v>1</v>
      </c>
      <c r="BG4397">
        <v>0</v>
      </c>
      <c r="BH4397">
        <v>0</v>
      </c>
      <c r="BI4397">
        <v>0</v>
      </c>
      <c r="BJ4397">
        <v>4250</v>
      </c>
      <c r="BK4397">
        <v>50</v>
      </c>
      <c r="BL4397" t="s">
        <v>188</v>
      </c>
      <c r="BM4397">
        <v>1</v>
      </c>
      <c r="BN4397">
        <v>1</v>
      </c>
      <c r="BO4397">
        <v>0</v>
      </c>
      <c r="BP4397">
        <v>0</v>
      </c>
      <c r="BS4397">
        <v>0</v>
      </c>
      <c r="BT4397">
        <v>0</v>
      </c>
      <c r="BU4397">
        <v>0</v>
      </c>
      <c r="CE4397" t="str">
        <f t="shared" si="1741"/>
        <v>15:16:44.640</v>
      </c>
      <c r="CF4397">
        <v>640002438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4</v>
      </c>
      <c r="CY4397">
        <v>7</v>
      </c>
      <c r="CZ4397" t="s">
        <v>133</v>
      </c>
      <c r="DA4397">
        <v>275</v>
      </c>
      <c r="DB4397">
        <v>0</v>
      </c>
      <c r="DC4397" t="s">
        <v>134</v>
      </c>
      <c r="DD4397" t="s">
        <v>135</v>
      </c>
      <c r="DG4397">
        <v>3323273</v>
      </c>
      <c r="DI4397">
        <v>1</v>
      </c>
      <c r="DJ4397">
        <v>0</v>
      </c>
      <c r="DK4397">
        <v>1</v>
      </c>
      <c r="DL4397">
        <v>0</v>
      </c>
      <c r="DM4397">
        <v>0</v>
      </c>
      <c r="DN4397">
        <v>0</v>
      </c>
      <c r="DO4397">
        <v>0</v>
      </c>
      <c r="DP4397">
        <v>0</v>
      </c>
      <c r="DQ4397">
        <v>0</v>
      </c>
      <c r="DR4397">
        <v>0</v>
      </c>
      <c r="DS4397">
        <v>0</v>
      </c>
    </row>
    <row r="4398" spans="1:123" x14ac:dyDescent="0.3">
      <c r="A4398" t="str">
        <f>"05/01/2025 15:16:44.870"</f>
        <v>05/01/2025 15:16:44.870</v>
      </c>
      <c r="C4398" t="str">
        <f t="shared" si="1724"/>
        <v>FFDFD3C0</v>
      </c>
      <c r="D4398" t="s">
        <v>145</v>
      </c>
      <c r="E4398" t="str">
        <f>"05"</f>
        <v>05</v>
      </c>
      <c r="H4398">
        <v>47</v>
      </c>
      <c r="I4398" t="s">
        <v>146</v>
      </c>
      <c r="J4398" t="s">
        <v>138</v>
      </c>
      <c r="K4398">
        <v>0</v>
      </c>
      <c r="L4398">
        <v>3</v>
      </c>
      <c r="M4398">
        <v>0</v>
      </c>
      <c r="N4398">
        <v>2</v>
      </c>
      <c r="O4398">
        <v>0</v>
      </c>
      <c r="P4398">
        <v>1</v>
      </c>
      <c r="Q4398">
        <v>0</v>
      </c>
      <c r="R4398" t="s">
        <v>127</v>
      </c>
      <c r="S4398" t="str">
        <f t="shared" si="1740"/>
        <v>15:16:44.000</v>
      </c>
      <c r="T4398" t="str">
        <f t="shared" si="1740"/>
        <v>15:16:44.000</v>
      </c>
      <c r="U4398" t="str">
        <f t="shared" si="1725"/>
        <v>A68FCB</v>
      </c>
      <c r="V4398">
        <v>0</v>
      </c>
      <c r="W4398">
        <v>0</v>
      </c>
      <c r="X4398">
        <v>2</v>
      </c>
      <c r="Y4398">
        <v>0</v>
      </c>
      <c r="AA4398">
        <v>1</v>
      </c>
      <c r="AB4398">
        <v>8</v>
      </c>
      <c r="AC4398">
        <v>3</v>
      </c>
      <c r="AD4398">
        <v>0</v>
      </c>
      <c r="AE4398">
        <v>9</v>
      </c>
      <c r="AF4398" t="s">
        <v>138</v>
      </c>
      <c r="AG4398">
        <v>0</v>
      </c>
      <c r="AH4398">
        <v>3</v>
      </c>
      <c r="AI4398">
        <v>2</v>
      </c>
      <c r="AJ4398">
        <v>0</v>
      </c>
      <c r="AK4398" t="s">
        <v>1398</v>
      </c>
      <c r="AL4398">
        <v>39.202115999999997</v>
      </c>
      <c r="AM4398" t="s">
        <v>1399</v>
      </c>
      <c r="AN4398">
        <v>-121.012237</v>
      </c>
      <c r="AO4398">
        <v>25</v>
      </c>
      <c r="AP4398">
        <v>4200</v>
      </c>
      <c r="AQ4398" t="s">
        <v>131</v>
      </c>
      <c r="AR4398">
        <v>45</v>
      </c>
      <c r="AS4398">
        <v>64</v>
      </c>
      <c r="AT4398">
        <v>-64</v>
      </c>
      <c r="BB4398" t="str">
        <f t="shared" si="1726"/>
        <v>1200</v>
      </c>
      <c r="BC4398">
        <v>1</v>
      </c>
      <c r="BD4398" t="str">
        <f t="shared" si="1727"/>
        <v xml:space="preserve">N52156  </v>
      </c>
      <c r="BE4398">
        <v>1</v>
      </c>
      <c r="BG4398">
        <v>0</v>
      </c>
      <c r="BH4398">
        <v>0</v>
      </c>
      <c r="BI4398">
        <v>0</v>
      </c>
      <c r="BJ4398">
        <v>4250</v>
      </c>
      <c r="BK4398">
        <v>50</v>
      </c>
      <c r="BL4398" t="s">
        <v>188</v>
      </c>
      <c r="BM4398">
        <v>1</v>
      </c>
      <c r="BN4398">
        <v>1</v>
      </c>
      <c r="BO4398">
        <v>0</v>
      </c>
      <c r="BP4398">
        <v>0</v>
      </c>
      <c r="BS4398">
        <v>0</v>
      </c>
      <c r="BT4398">
        <v>0</v>
      </c>
      <c r="BU4398">
        <v>0</v>
      </c>
      <c r="CE4398" t="str">
        <f t="shared" si="1741"/>
        <v>15:16:44.640</v>
      </c>
      <c r="CF4398">
        <v>640002438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4</v>
      </c>
      <c r="CY4398">
        <v>7</v>
      </c>
      <c r="CZ4398" t="s">
        <v>133</v>
      </c>
      <c r="DA4398">
        <v>275</v>
      </c>
      <c r="DB4398">
        <v>0</v>
      </c>
      <c r="DC4398" t="s">
        <v>134</v>
      </c>
      <c r="DD4398" t="s">
        <v>135</v>
      </c>
      <c r="DG4398">
        <v>3323273</v>
      </c>
      <c r="DI4398">
        <v>1</v>
      </c>
      <c r="DJ4398">
        <v>0</v>
      </c>
      <c r="DK4398">
        <v>1</v>
      </c>
      <c r="DL4398">
        <v>0</v>
      </c>
      <c r="DM4398">
        <v>0</v>
      </c>
      <c r="DN4398">
        <v>0</v>
      </c>
      <c r="DO4398">
        <v>0</v>
      </c>
      <c r="DP4398">
        <v>0</v>
      </c>
      <c r="DQ4398">
        <v>0</v>
      </c>
      <c r="DR4398">
        <v>0</v>
      </c>
      <c r="DS4398">
        <v>0</v>
      </c>
    </row>
    <row r="4399" spans="1:123" x14ac:dyDescent="0.3">
      <c r="A4399" t="str">
        <f>"05/01/2025 15:16:44.883"</f>
        <v>05/01/2025 15:16:44.883</v>
      </c>
      <c r="C4399" t="str">
        <f t="shared" si="1724"/>
        <v>FFDFD3C0</v>
      </c>
      <c r="D4399" t="s">
        <v>136</v>
      </c>
      <c r="E4399" t="str">
        <f>"20"</f>
        <v>20</v>
      </c>
      <c r="H4399">
        <v>400</v>
      </c>
      <c r="I4399" t="s">
        <v>137</v>
      </c>
      <c r="J4399" t="s">
        <v>138</v>
      </c>
      <c r="K4399">
        <v>0</v>
      </c>
      <c r="L4399">
        <v>3</v>
      </c>
      <c r="M4399">
        <v>0</v>
      </c>
      <c r="N4399">
        <v>2</v>
      </c>
      <c r="O4399">
        <v>0</v>
      </c>
      <c r="P4399">
        <v>1</v>
      </c>
      <c r="Q4399">
        <v>0</v>
      </c>
      <c r="R4399" t="s">
        <v>127</v>
      </c>
      <c r="S4399" t="str">
        <f t="shared" si="1740"/>
        <v>15:16:44.000</v>
      </c>
      <c r="T4399" t="str">
        <f t="shared" si="1740"/>
        <v>15:16:44.000</v>
      </c>
      <c r="U4399" t="str">
        <f t="shared" si="1725"/>
        <v>A68FCB</v>
      </c>
      <c r="V4399">
        <v>0</v>
      </c>
      <c r="W4399">
        <v>0</v>
      </c>
      <c r="X4399">
        <v>2</v>
      </c>
      <c r="Y4399">
        <v>0</v>
      </c>
      <c r="AA4399">
        <v>1</v>
      </c>
      <c r="AB4399">
        <v>8</v>
      </c>
      <c r="AC4399">
        <v>3</v>
      </c>
      <c r="AD4399">
        <v>0</v>
      </c>
      <c r="AE4399">
        <v>9</v>
      </c>
      <c r="AF4399" t="s">
        <v>138</v>
      </c>
      <c r="AG4399">
        <v>0</v>
      </c>
      <c r="AH4399">
        <v>3</v>
      </c>
      <c r="AI4399">
        <v>2</v>
      </c>
      <c r="AJ4399">
        <v>0</v>
      </c>
      <c r="AK4399" t="s">
        <v>1398</v>
      </c>
      <c r="AL4399">
        <v>39.202115999999997</v>
      </c>
      <c r="AM4399" t="s">
        <v>1399</v>
      </c>
      <c r="AN4399">
        <v>-121.012237</v>
      </c>
      <c r="AO4399">
        <v>25</v>
      </c>
      <c r="AP4399">
        <v>4200</v>
      </c>
      <c r="AQ4399" t="s">
        <v>131</v>
      </c>
      <c r="AR4399">
        <v>45</v>
      </c>
      <c r="AS4399">
        <v>64</v>
      </c>
      <c r="AT4399">
        <v>-64</v>
      </c>
      <c r="BB4399" t="str">
        <f t="shared" si="1726"/>
        <v>1200</v>
      </c>
      <c r="BC4399">
        <v>1</v>
      </c>
      <c r="BD4399" t="str">
        <f t="shared" si="1727"/>
        <v xml:space="preserve">N52156  </v>
      </c>
      <c r="BE4399">
        <v>1</v>
      </c>
      <c r="BG4399">
        <v>0</v>
      </c>
      <c r="BH4399">
        <v>0</v>
      </c>
      <c r="BI4399">
        <v>0</v>
      </c>
      <c r="BJ4399">
        <v>4250</v>
      </c>
      <c r="BK4399">
        <v>50</v>
      </c>
      <c r="BL4399" t="s">
        <v>188</v>
      </c>
      <c r="BM4399">
        <v>1</v>
      </c>
      <c r="BN4399">
        <v>1</v>
      </c>
      <c r="BO4399">
        <v>0</v>
      </c>
      <c r="BP4399">
        <v>0</v>
      </c>
      <c r="BS4399">
        <v>0</v>
      </c>
      <c r="BT4399">
        <v>0</v>
      </c>
      <c r="BU4399">
        <v>0</v>
      </c>
      <c r="CE4399" t="str">
        <f t="shared" si="1741"/>
        <v>15:16:44.640</v>
      </c>
      <c r="CF4399">
        <v>640002438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4</v>
      </c>
      <c r="CY4399">
        <v>7</v>
      </c>
      <c r="CZ4399" t="s">
        <v>133</v>
      </c>
      <c r="DA4399">
        <v>275</v>
      </c>
      <c r="DB4399">
        <v>0</v>
      </c>
      <c r="DC4399" t="s">
        <v>134</v>
      </c>
      <c r="DD4399" t="s">
        <v>135</v>
      </c>
      <c r="DG4399">
        <v>3323273</v>
      </c>
      <c r="DI4399">
        <v>1</v>
      </c>
      <c r="DJ4399">
        <v>0</v>
      </c>
      <c r="DK4399">
        <v>1</v>
      </c>
      <c r="DL4399">
        <v>0</v>
      </c>
      <c r="DM4399">
        <v>0</v>
      </c>
      <c r="DN4399">
        <v>0</v>
      </c>
      <c r="DO4399">
        <v>0</v>
      </c>
      <c r="DP4399">
        <v>0</v>
      </c>
      <c r="DQ4399">
        <v>0</v>
      </c>
      <c r="DR4399">
        <v>0</v>
      </c>
      <c r="DS4399">
        <v>0</v>
      </c>
    </row>
    <row r="4400" spans="1:123" x14ac:dyDescent="0.3">
      <c r="A4400" t="str">
        <f>"05/01/2025 15:16:45.802"</f>
        <v>05/01/2025 15:16:45.802</v>
      </c>
      <c r="C4400" t="str">
        <f t="shared" si="1724"/>
        <v>FFDFD3C0</v>
      </c>
      <c r="D4400" t="s">
        <v>140</v>
      </c>
      <c r="E4400" t="str">
        <f>"13"</f>
        <v>13</v>
      </c>
      <c r="F4400">
        <v>1019</v>
      </c>
      <c r="G4400" t="s">
        <v>141</v>
      </c>
      <c r="J4400" t="s">
        <v>142</v>
      </c>
      <c r="K4400">
        <v>0</v>
      </c>
      <c r="L4400">
        <v>3</v>
      </c>
      <c r="M4400">
        <v>0</v>
      </c>
      <c r="N4400">
        <v>2</v>
      </c>
      <c r="O4400">
        <v>0</v>
      </c>
      <c r="P4400">
        <v>1</v>
      </c>
      <c r="Q4400">
        <v>0</v>
      </c>
      <c r="R4400" t="s">
        <v>127</v>
      </c>
      <c r="S4400" t="str">
        <f t="shared" ref="S4400:T4405" si="1742">"15:16:45.000"</f>
        <v>15:16:45.000</v>
      </c>
      <c r="T4400" t="str">
        <f t="shared" si="1742"/>
        <v>15:16:45.000</v>
      </c>
      <c r="U4400" t="str">
        <f t="shared" si="1725"/>
        <v>A68FCB</v>
      </c>
      <c r="V4400">
        <v>0</v>
      </c>
      <c r="W4400">
        <v>0</v>
      </c>
      <c r="X4400">
        <v>2</v>
      </c>
      <c r="Y4400">
        <v>0</v>
      </c>
      <c r="AA4400">
        <v>1</v>
      </c>
      <c r="AB4400">
        <v>8</v>
      </c>
      <c r="AC4400">
        <v>3</v>
      </c>
      <c r="AD4400">
        <v>0</v>
      </c>
      <c r="AE4400">
        <v>9</v>
      </c>
      <c r="AF4400" t="s">
        <v>138</v>
      </c>
      <c r="AG4400">
        <v>0</v>
      </c>
      <c r="AH4400">
        <v>3</v>
      </c>
      <c r="AI4400">
        <v>2</v>
      </c>
      <c r="AJ4400">
        <v>0</v>
      </c>
      <c r="AK4400" t="s">
        <v>1400</v>
      </c>
      <c r="AL4400">
        <v>39.202415999999999</v>
      </c>
      <c r="AM4400" t="s">
        <v>1401</v>
      </c>
      <c r="AN4400">
        <v>-121.01195800000001</v>
      </c>
      <c r="AO4400">
        <v>25</v>
      </c>
      <c r="AP4400">
        <v>4200</v>
      </c>
      <c r="AQ4400" t="s">
        <v>131</v>
      </c>
      <c r="AR4400">
        <v>45</v>
      </c>
      <c r="AS4400">
        <v>64</v>
      </c>
      <c r="AT4400">
        <v>0</v>
      </c>
      <c r="BB4400" t="str">
        <f t="shared" si="1726"/>
        <v>1200</v>
      </c>
      <c r="BC4400">
        <v>1</v>
      </c>
      <c r="BD4400" t="str">
        <f t="shared" si="1727"/>
        <v xml:space="preserve">N52156  </v>
      </c>
      <c r="BE4400">
        <v>1</v>
      </c>
      <c r="BG4400">
        <v>0</v>
      </c>
      <c r="BH4400">
        <v>0</v>
      </c>
      <c r="BI4400">
        <v>0</v>
      </c>
      <c r="BJ4400">
        <v>4250</v>
      </c>
      <c r="BK4400">
        <v>50</v>
      </c>
      <c r="BL4400" t="s">
        <v>188</v>
      </c>
      <c r="BM4400">
        <v>1</v>
      </c>
      <c r="BN4400">
        <v>1</v>
      </c>
      <c r="BO4400">
        <v>0</v>
      </c>
      <c r="BP4400">
        <v>0</v>
      </c>
      <c r="BS4400">
        <v>0</v>
      </c>
      <c r="BT4400">
        <v>0</v>
      </c>
      <c r="BU4400">
        <v>0</v>
      </c>
      <c r="CE4400" t="str">
        <f t="shared" ref="CE4400:CE4405" si="1743">"15:16:45.597"</f>
        <v>15:16:45.597</v>
      </c>
      <c r="CF4400">
        <v>596502420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4</v>
      </c>
      <c r="CY4400">
        <v>7</v>
      </c>
      <c r="CZ4400" t="s">
        <v>133</v>
      </c>
      <c r="DA4400">
        <v>275</v>
      </c>
      <c r="DB4400">
        <v>0</v>
      </c>
      <c r="DC4400" t="s">
        <v>134</v>
      </c>
      <c r="DD4400" t="s">
        <v>135</v>
      </c>
      <c r="DG4400">
        <v>3323275</v>
      </c>
      <c r="DI4400">
        <v>1</v>
      </c>
      <c r="DJ4400">
        <v>0</v>
      </c>
      <c r="DK4400">
        <v>0</v>
      </c>
      <c r="DL4400">
        <v>0</v>
      </c>
      <c r="DM4400">
        <v>0</v>
      </c>
      <c r="DN4400">
        <v>0</v>
      </c>
      <c r="DO4400">
        <v>0</v>
      </c>
      <c r="DP4400">
        <v>0</v>
      </c>
      <c r="DQ4400">
        <v>0</v>
      </c>
      <c r="DR4400">
        <v>0</v>
      </c>
      <c r="DS4400">
        <v>0</v>
      </c>
    </row>
    <row r="4401" spans="1:123" x14ac:dyDescent="0.3">
      <c r="A4401" t="str">
        <f>"05/01/2025 15:16:45.802"</f>
        <v>05/01/2025 15:16:45.802</v>
      </c>
      <c r="C4401" t="str">
        <f t="shared" si="1724"/>
        <v>FFDFD3C0</v>
      </c>
      <c r="D4401" t="s">
        <v>124</v>
      </c>
      <c r="E4401" t="str">
        <f>"06"</f>
        <v>06</v>
      </c>
      <c r="F4401">
        <v>2006</v>
      </c>
      <c r="G4401" t="s">
        <v>125</v>
      </c>
      <c r="J4401" t="s">
        <v>126</v>
      </c>
      <c r="K4401">
        <v>0</v>
      </c>
      <c r="L4401">
        <v>3</v>
      </c>
      <c r="M4401">
        <v>0</v>
      </c>
      <c r="N4401">
        <v>2</v>
      </c>
      <c r="O4401">
        <v>0</v>
      </c>
      <c r="P4401">
        <v>1</v>
      </c>
      <c r="Q4401">
        <v>0</v>
      </c>
      <c r="R4401" t="s">
        <v>127</v>
      </c>
      <c r="S4401" t="str">
        <f t="shared" si="1742"/>
        <v>15:16:45.000</v>
      </c>
      <c r="T4401" t="str">
        <f t="shared" si="1742"/>
        <v>15:16:45.000</v>
      </c>
      <c r="U4401" t="str">
        <f t="shared" si="1725"/>
        <v>A68FCB</v>
      </c>
      <c r="V4401">
        <v>0</v>
      </c>
      <c r="W4401">
        <v>0</v>
      </c>
      <c r="X4401">
        <v>2</v>
      </c>
      <c r="Y4401">
        <v>0</v>
      </c>
      <c r="AA4401">
        <v>1</v>
      </c>
      <c r="AB4401">
        <v>8</v>
      </c>
      <c r="AC4401">
        <v>3</v>
      </c>
      <c r="AD4401">
        <v>0</v>
      </c>
      <c r="AE4401">
        <v>9</v>
      </c>
      <c r="AF4401" t="s">
        <v>138</v>
      </c>
      <c r="AG4401">
        <v>0</v>
      </c>
      <c r="AH4401">
        <v>3</v>
      </c>
      <c r="AI4401">
        <v>2</v>
      </c>
      <c r="AJ4401">
        <v>0</v>
      </c>
      <c r="AK4401" t="s">
        <v>1400</v>
      </c>
      <c r="AL4401">
        <v>39.202415999999999</v>
      </c>
      <c r="AM4401" t="s">
        <v>1401</v>
      </c>
      <c r="AN4401">
        <v>-121.01195800000001</v>
      </c>
      <c r="AO4401">
        <v>25</v>
      </c>
      <c r="AP4401">
        <v>4200</v>
      </c>
      <c r="AQ4401" t="s">
        <v>131</v>
      </c>
      <c r="AR4401">
        <v>45</v>
      </c>
      <c r="AS4401">
        <v>64</v>
      </c>
      <c r="AT4401">
        <v>0</v>
      </c>
      <c r="BB4401" t="str">
        <f t="shared" si="1726"/>
        <v>1200</v>
      </c>
      <c r="BC4401">
        <v>1</v>
      </c>
      <c r="BD4401" t="str">
        <f t="shared" si="1727"/>
        <v xml:space="preserve">N52156  </v>
      </c>
      <c r="BE4401">
        <v>1</v>
      </c>
      <c r="BG4401">
        <v>0</v>
      </c>
      <c r="BH4401">
        <v>0</v>
      </c>
      <c r="BI4401">
        <v>0</v>
      </c>
      <c r="BJ4401">
        <v>4250</v>
      </c>
      <c r="BK4401">
        <v>50</v>
      </c>
      <c r="BL4401" t="s">
        <v>188</v>
      </c>
      <c r="BM4401">
        <v>1</v>
      </c>
      <c r="BN4401">
        <v>1</v>
      </c>
      <c r="BO4401">
        <v>0</v>
      </c>
      <c r="BP4401">
        <v>0</v>
      </c>
      <c r="BS4401">
        <v>0</v>
      </c>
      <c r="BT4401">
        <v>0</v>
      </c>
      <c r="BU4401">
        <v>0</v>
      </c>
      <c r="CE4401" t="str">
        <f t="shared" si="1743"/>
        <v>15:16:45.597</v>
      </c>
      <c r="CF4401">
        <v>596502420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4</v>
      </c>
      <c r="CY4401">
        <v>7</v>
      </c>
      <c r="CZ4401" t="s">
        <v>133</v>
      </c>
      <c r="DA4401">
        <v>275</v>
      </c>
      <c r="DB4401">
        <v>0</v>
      </c>
      <c r="DC4401" t="s">
        <v>134</v>
      </c>
      <c r="DD4401" t="s">
        <v>135</v>
      </c>
      <c r="DG4401">
        <v>3323275</v>
      </c>
      <c r="DI4401">
        <v>1</v>
      </c>
      <c r="DJ4401">
        <v>0</v>
      </c>
      <c r="DK4401">
        <v>1</v>
      </c>
      <c r="DL4401">
        <v>0</v>
      </c>
      <c r="DM4401">
        <v>0</v>
      </c>
      <c r="DN4401">
        <v>0</v>
      </c>
      <c r="DO4401">
        <v>0</v>
      </c>
      <c r="DP4401">
        <v>0</v>
      </c>
      <c r="DQ4401">
        <v>0</v>
      </c>
      <c r="DR4401">
        <v>0</v>
      </c>
      <c r="DS4401">
        <v>0</v>
      </c>
    </row>
    <row r="4402" spans="1:123" x14ac:dyDescent="0.3">
      <c r="A4402" t="str">
        <f>"05/01/2025 15:16:45.806"</f>
        <v>05/01/2025 15:16:45.806</v>
      </c>
      <c r="C4402" t="str">
        <f t="shared" si="1724"/>
        <v>FFDFD3C0</v>
      </c>
      <c r="D4402" t="s">
        <v>143</v>
      </c>
      <c r="E4402" t="str">
        <f>"05"</f>
        <v>05</v>
      </c>
      <c r="H4402">
        <v>172</v>
      </c>
      <c r="I4402" t="s">
        <v>141</v>
      </c>
      <c r="J4402" t="s">
        <v>144</v>
      </c>
      <c r="K4402">
        <v>0</v>
      </c>
      <c r="L4402">
        <v>3</v>
      </c>
      <c r="M4402">
        <v>0</v>
      </c>
      <c r="N4402">
        <v>2</v>
      </c>
      <c r="O4402">
        <v>0</v>
      </c>
      <c r="P4402">
        <v>1</v>
      </c>
      <c r="Q4402">
        <v>0</v>
      </c>
      <c r="R4402" t="s">
        <v>127</v>
      </c>
      <c r="S4402" t="str">
        <f t="shared" si="1742"/>
        <v>15:16:45.000</v>
      </c>
      <c r="T4402" t="str">
        <f t="shared" si="1742"/>
        <v>15:16:45.000</v>
      </c>
      <c r="U4402" t="str">
        <f t="shared" si="1725"/>
        <v>A68FCB</v>
      </c>
      <c r="V4402">
        <v>0</v>
      </c>
      <c r="W4402">
        <v>0</v>
      </c>
      <c r="X4402">
        <v>2</v>
      </c>
      <c r="Y4402">
        <v>0</v>
      </c>
      <c r="AA4402">
        <v>1</v>
      </c>
      <c r="AB4402">
        <v>8</v>
      </c>
      <c r="AC4402">
        <v>3</v>
      </c>
      <c r="AD4402">
        <v>0</v>
      </c>
      <c r="AE4402">
        <v>9</v>
      </c>
      <c r="AF4402" t="s">
        <v>138</v>
      </c>
      <c r="AG4402">
        <v>0</v>
      </c>
      <c r="AH4402">
        <v>3</v>
      </c>
      <c r="AI4402">
        <v>2</v>
      </c>
      <c r="AJ4402">
        <v>0</v>
      </c>
      <c r="AK4402" t="s">
        <v>1400</v>
      </c>
      <c r="AL4402">
        <v>39.202415999999999</v>
      </c>
      <c r="AM4402" t="s">
        <v>1401</v>
      </c>
      <c r="AN4402">
        <v>-121.01195800000001</v>
      </c>
      <c r="AO4402">
        <v>25</v>
      </c>
      <c r="AP4402">
        <v>4200</v>
      </c>
      <c r="AQ4402" t="s">
        <v>131</v>
      </c>
      <c r="AR4402">
        <v>45</v>
      </c>
      <c r="AS4402">
        <v>64</v>
      </c>
      <c r="AT4402">
        <v>0</v>
      </c>
      <c r="BB4402" t="str">
        <f t="shared" si="1726"/>
        <v>1200</v>
      </c>
      <c r="BC4402">
        <v>1</v>
      </c>
      <c r="BD4402" t="str">
        <f t="shared" si="1727"/>
        <v xml:space="preserve">N52156  </v>
      </c>
      <c r="BE4402">
        <v>1</v>
      </c>
      <c r="BG4402">
        <v>0</v>
      </c>
      <c r="BH4402">
        <v>0</v>
      </c>
      <c r="BI4402">
        <v>0</v>
      </c>
      <c r="BJ4402">
        <v>4250</v>
      </c>
      <c r="BK4402">
        <v>50</v>
      </c>
      <c r="BL4402" t="s">
        <v>188</v>
      </c>
      <c r="BM4402">
        <v>1</v>
      </c>
      <c r="BN4402">
        <v>1</v>
      </c>
      <c r="BO4402">
        <v>0</v>
      </c>
      <c r="BP4402">
        <v>0</v>
      </c>
      <c r="BS4402">
        <v>0</v>
      </c>
      <c r="BT4402">
        <v>0</v>
      </c>
      <c r="BU4402">
        <v>0</v>
      </c>
      <c r="CE4402" t="str">
        <f t="shared" si="1743"/>
        <v>15:16:45.597</v>
      </c>
      <c r="CF4402">
        <v>596502420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4</v>
      </c>
      <c r="CY4402">
        <v>7</v>
      </c>
      <c r="CZ4402" t="s">
        <v>133</v>
      </c>
      <c r="DA4402">
        <v>275</v>
      </c>
      <c r="DB4402">
        <v>0</v>
      </c>
      <c r="DC4402" t="s">
        <v>134</v>
      </c>
      <c r="DD4402" t="s">
        <v>135</v>
      </c>
      <c r="DG4402">
        <v>3323275</v>
      </c>
      <c r="DI4402">
        <v>1</v>
      </c>
      <c r="DJ4402">
        <v>0</v>
      </c>
      <c r="DK4402">
        <v>1</v>
      </c>
      <c r="DL4402">
        <v>0</v>
      </c>
      <c r="DM4402">
        <v>0</v>
      </c>
      <c r="DN4402">
        <v>0</v>
      </c>
      <c r="DO4402">
        <v>0</v>
      </c>
      <c r="DP4402">
        <v>0</v>
      </c>
      <c r="DQ4402">
        <v>0</v>
      </c>
      <c r="DR4402">
        <v>0</v>
      </c>
      <c r="DS4402">
        <v>0</v>
      </c>
    </row>
    <row r="4403" spans="1:123" x14ac:dyDescent="0.3">
      <c r="A4403" t="str">
        <f>"05/01/2025 15:16:45.818"</f>
        <v>05/01/2025 15:16:45.818</v>
      </c>
      <c r="C4403" t="str">
        <f t="shared" si="1724"/>
        <v>FFDFD3C0</v>
      </c>
      <c r="D4403" t="s">
        <v>145</v>
      </c>
      <c r="E4403" t="str">
        <f>"09"</f>
        <v>09</v>
      </c>
      <c r="H4403">
        <v>51</v>
      </c>
      <c r="I4403" t="s">
        <v>147</v>
      </c>
      <c r="J4403" t="s">
        <v>138</v>
      </c>
      <c r="K4403">
        <v>0</v>
      </c>
      <c r="L4403">
        <v>3</v>
      </c>
      <c r="M4403">
        <v>0</v>
      </c>
      <c r="N4403">
        <v>2</v>
      </c>
      <c r="O4403">
        <v>0</v>
      </c>
      <c r="P4403">
        <v>1</v>
      </c>
      <c r="Q4403">
        <v>0</v>
      </c>
      <c r="R4403" t="s">
        <v>127</v>
      </c>
      <c r="S4403" t="str">
        <f t="shared" si="1742"/>
        <v>15:16:45.000</v>
      </c>
      <c r="T4403" t="str">
        <f t="shared" si="1742"/>
        <v>15:16:45.000</v>
      </c>
      <c r="U4403" t="str">
        <f t="shared" si="1725"/>
        <v>A68FCB</v>
      </c>
      <c r="V4403">
        <v>0</v>
      </c>
      <c r="W4403">
        <v>0</v>
      </c>
      <c r="X4403">
        <v>2</v>
      </c>
      <c r="Y4403">
        <v>0</v>
      </c>
      <c r="AA4403">
        <v>1</v>
      </c>
      <c r="AB4403">
        <v>8</v>
      </c>
      <c r="AC4403">
        <v>3</v>
      </c>
      <c r="AD4403">
        <v>0</v>
      </c>
      <c r="AE4403">
        <v>9</v>
      </c>
      <c r="AF4403" t="s">
        <v>138</v>
      </c>
      <c r="AG4403">
        <v>0</v>
      </c>
      <c r="AH4403">
        <v>3</v>
      </c>
      <c r="AI4403">
        <v>2</v>
      </c>
      <c r="AJ4403">
        <v>0</v>
      </c>
      <c r="AK4403" t="s">
        <v>1400</v>
      </c>
      <c r="AL4403">
        <v>39.202415999999999</v>
      </c>
      <c r="AM4403" t="s">
        <v>1401</v>
      </c>
      <c r="AN4403">
        <v>-121.01195800000001</v>
      </c>
      <c r="AO4403">
        <v>25</v>
      </c>
      <c r="AP4403">
        <v>4200</v>
      </c>
      <c r="AQ4403" t="s">
        <v>131</v>
      </c>
      <c r="AR4403">
        <v>45</v>
      </c>
      <c r="AS4403">
        <v>64</v>
      </c>
      <c r="AT4403">
        <v>0</v>
      </c>
      <c r="BB4403" t="str">
        <f t="shared" si="1726"/>
        <v>1200</v>
      </c>
      <c r="BC4403">
        <v>1</v>
      </c>
      <c r="BD4403" t="str">
        <f t="shared" si="1727"/>
        <v xml:space="preserve">N52156  </v>
      </c>
      <c r="BE4403">
        <v>1</v>
      </c>
      <c r="BG4403">
        <v>0</v>
      </c>
      <c r="BH4403">
        <v>0</v>
      </c>
      <c r="BI4403">
        <v>0</v>
      </c>
      <c r="BJ4403">
        <v>4250</v>
      </c>
      <c r="BK4403">
        <v>50</v>
      </c>
      <c r="BL4403" t="s">
        <v>188</v>
      </c>
      <c r="BM4403">
        <v>1</v>
      </c>
      <c r="BN4403">
        <v>1</v>
      </c>
      <c r="BO4403">
        <v>0</v>
      </c>
      <c r="BP4403">
        <v>0</v>
      </c>
      <c r="BS4403">
        <v>0</v>
      </c>
      <c r="BT4403">
        <v>0</v>
      </c>
      <c r="BU4403">
        <v>0</v>
      </c>
      <c r="CE4403" t="str">
        <f t="shared" si="1743"/>
        <v>15:16:45.597</v>
      </c>
      <c r="CF4403">
        <v>596502420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4</v>
      </c>
      <c r="CY4403">
        <v>7</v>
      </c>
      <c r="CZ4403" t="s">
        <v>133</v>
      </c>
      <c r="DA4403">
        <v>275</v>
      </c>
      <c r="DB4403">
        <v>0</v>
      </c>
      <c r="DC4403" t="s">
        <v>134</v>
      </c>
      <c r="DD4403" t="s">
        <v>135</v>
      </c>
      <c r="DG4403">
        <v>3323275</v>
      </c>
      <c r="DI4403">
        <v>1</v>
      </c>
      <c r="DJ4403">
        <v>0</v>
      </c>
      <c r="DK4403">
        <v>1</v>
      </c>
      <c r="DL4403">
        <v>0</v>
      </c>
      <c r="DM4403">
        <v>0</v>
      </c>
      <c r="DN4403">
        <v>0</v>
      </c>
      <c r="DO4403">
        <v>0</v>
      </c>
      <c r="DP4403">
        <v>0</v>
      </c>
      <c r="DQ4403">
        <v>0</v>
      </c>
      <c r="DR4403">
        <v>0</v>
      </c>
      <c r="DS4403">
        <v>0</v>
      </c>
    </row>
    <row r="4404" spans="1:123" x14ac:dyDescent="0.3">
      <c r="A4404" t="str">
        <f>"05/01/2025 15:16:45.822"</f>
        <v>05/01/2025 15:16:45.822</v>
      </c>
      <c r="C4404" t="str">
        <f t="shared" si="1724"/>
        <v>FFDFD3C0</v>
      </c>
      <c r="D4404" t="s">
        <v>145</v>
      </c>
      <c r="E4404" t="str">
        <f>"05"</f>
        <v>05</v>
      </c>
      <c r="H4404">
        <v>47</v>
      </c>
      <c r="I4404" t="s">
        <v>146</v>
      </c>
      <c r="J4404" t="s">
        <v>138</v>
      </c>
      <c r="K4404">
        <v>0</v>
      </c>
      <c r="L4404">
        <v>3</v>
      </c>
      <c r="M4404">
        <v>0</v>
      </c>
      <c r="N4404">
        <v>2</v>
      </c>
      <c r="O4404">
        <v>0</v>
      </c>
      <c r="P4404">
        <v>1</v>
      </c>
      <c r="Q4404">
        <v>0</v>
      </c>
      <c r="R4404" t="s">
        <v>127</v>
      </c>
      <c r="S4404" t="str">
        <f t="shared" si="1742"/>
        <v>15:16:45.000</v>
      </c>
      <c r="T4404" t="str">
        <f t="shared" si="1742"/>
        <v>15:16:45.000</v>
      </c>
      <c r="U4404" t="str">
        <f t="shared" si="1725"/>
        <v>A68FCB</v>
      </c>
      <c r="V4404">
        <v>0</v>
      </c>
      <c r="W4404">
        <v>0</v>
      </c>
      <c r="X4404">
        <v>2</v>
      </c>
      <c r="Y4404">
        <v>0</v>
      </c>
      <c r="AA4404">
        <v>1</v>
      </c>
      <c r="AB4404">
        <v>8</v>
      </c>
      <c r="AC4404">
        <v>3</v>
      </c>
      <c r="AD4404">
        <v>0</v>
      </c>
      <c r="AE4404">
        <v>9</v>
      </c>
      <c r="AF4404" t="s">
        <v>138</v>
      </c>
      <c r="AG4404">
        <v>0</v>
      </c>
      <c r="AH4404">
        <v>3</v>
      </c>
      <c r="AI4404">
        <v>2</v>
      </c>
      <c r="AJ4404">
        <v>0</v>
      </c>
      <c r="AK4404" t="s">
        <v>1400</v>
      </c>
      <c r="AL4404">
        <v>39.202415999999999</v>
      </c>
      <c r="AM4404" t="s">
        <v>1401</v>
      </c>
      <c r="AN4404">
        <v>-121.01195800000001</v>
      </c>
      <c r="AO4404">
        <v>25</v>
      </c>
      <c r="AP4404">
        <v>4200</v>
      </c>
      <c r="AQ4404" t="s">
        <v>131</v>
      </c>
      <c r="AR4404">
        <v>45</v>
      </c>
      <c r="AS4404">
        <v>64</v>
      </c>
      <c r="AT4404">
        <v>0</v>
      </c>
      <c r="BB4404" t="str">
        <f t="shared" si="1726"/>
        <v>1200</v>
      </c>
      <c r="BC4404">
        <v>1</v>
      </c>
      <c r="BD4404" t="str">
        <f t="shared" si="1727"/>
        <v xml:space="preserve">N52156  </v>
      </c>
      <c r="BE4404">
        <v>1</v>
      </c>
      <c r="BG4404">
        <v>0</v>
      </c>
      <c r="BH4404">
        <v>0</v>
      </c>
      <c r="BI4404">
        <v>0</v>
      </c>
      <c r="BJ4404">
        <v>4250</v>
      </c>
      <c r="BK4404">
        <v>50</v>
      </c>
      <c r="BL4404" t="s">
        <v>188</v>
      </c>
      <c r="BM4404">
        <v>1</v>
      </c>
      <c r="BN4404">
        <v>1</v>
      </c>
      <c r="BO4404">
        <v>0</v>
      </c>
      <c r="BP4404">
        <v>0</v>
      </c>
      <c r="BS4404">
        <v>0</v>
      </c>
      <c r="BT4404">
        <v>0</v>
      </c>
      <c r="BU4404">
        <v>0</v>
      </c>
      <c r="CE4404" t="str">
        <f t="shared" si="1743"/>
        <v>15:16:45.597</v>
      </c>
      <c r="CF4404">
        <v>596502420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4</v>
      </c>
      <c r="CY4404">
        <v>7</v>
      </c>
      <c r="CZ4404" t="s">
        <v>133</v>
      </c>
      <c r="DA4404">
        <v>275</v>
      </c>
      <c r="DB4404">
        <v>0</v>
      </c>
      <c r="DC4404" t="s">
        <v>134</v>
      </c>
      <c r="DD4404" t="s">
        <v>135</v>
      </c>
      <c r="DG4404">
        <v>3323275</v>
      </c>
      <c r="DI4404">
        <v>1</v>
      </c>
      <c r="DJ4404">
        <v>0</v>
      </c>
      <c r="DK4404">
        <v>1</v>
      </c>
      <c r="DL4404">
        <v>0</v>
      </c>
      <c r="DM4404">
        <v>0</v>
      </c>
      <c r="DN4404">
        <v>0</v>
      </c>
      <c r="DO4404">
        <v>0</v>
      </c>
      <c r="DP4404">
        <v>0</v>
      </c>
      <c r="DQ4404">
        <v>0</v>
      </c>
      <c r="DR4404">
        <v>0</v>
      </c>
      <c r="DS4404">
        <v>0</v>
      </c>
    </row>
    <row r="4405" spans="1:123" x14ac:dyDescent="0.3">
      <c r="A4405" t="str">
        <f>"05/01/2025 15:16:45.835"</f>
        <v>05/01/2025 15:16:45.835</v>
      </c>
      <c r="C4405" t="str">
        <f t="shared" si="1724"/>
        <v>FFDFD3C0</v>
      </c>
      <c r="D4405" t="s">
        <v>136</v>
      </c>
      <c r="E4405" t="str">
        <f>"20"</f>
        <v>20</v>
      </c>
      <c r="H4405">
        <v>400</v>
      </c>
      <c r="I4405" t="s">
        <v>137</v>
      </c>
      <c r="J4405" t="s">
        <v>138</v>
      </c>
      <c r="K4405">
        <v>0</v>
      </c>
      <c r="L4405">
        <v>3</v>
      </c>
      <c r="M4405">
        <v>0</v>
      </c>
      <c r="N4405">
        <v>2</v>
      </c>
      <c r="O4405">
        <v>0</v>
      </c>
      <c r="P4405">
        <v>1</v>
      </c>
      <c r="Q4405">
        <v>0</v>
      </c>
      <c r="R4405" t="s">
        <v>127</v>
      </c>
      <c r="S4405" t="str">
        <f t="shared" si="1742"/>
        <v>15:16:45.000</v>
      </c>
      <c r="T4405" t="str">
        <f t="shared" si="1742"/>
        <v>15:16:45.000</v>
      </c>
      <c r="U4405" t="str">
        <f t="shared" si="1725"/>
        <v>A68FCB</v>
      </c>
      <c r="V4405">
        <v>0</v>
      </c>
      <c r="W4405">
        <v>0</v>
      </c>
      <c r="X4405">
        <v>2</v>
      </c>
      <c r="Y4405">
        <v>0</v>
      </c>
      <c r="AA4405">
        <v>1</v>
      </c>
      <c r="AB4405">
        <v>8</v>
      </c>
      <c r="AC4405">
        <v>3</v>
      </c>
      <c r="AD4405">
        <v>0</v>
      </c>
      <c r="AE4405">
        <v>9</v>
      </c>
      <c r="AF4405" t="s">
        <v>138</v>
      </c>
      <c r="AG4405">
        <v>0</v>
      </c>
      <c r="AH4405">
        <v>3</v>
      </c>
      <c r="AI4405">
        <v>2</v>
      </c>
      <c r="AJ4405">
        <v>0</v>
      </c>
      <c r="AK4405" t="s">
        <v>1400</v>
      </c>
      <c r="AL4405">
        <v>39.202415999999999</v>
      </c>
      <c r="AM4405" t="s">
        <v>1401</v>
      </c>
      <c r="AN4405">
        <v>-121.01195800000001</v>
      </c>
      <c r="AO4405">
        <v>25</v>
      </c>
      <c r="AP4405">
        <v>4200</v>
      </c>
      <c r="AQ4405" t="s">
        <v>131</v>
      </c>
      <c r="AR4405">
        <v>45</v>
      </c>
      <c r="AS4405">
        <v>64</v>
      </c>
      <c r="AT4405">
        <v>0</v>
      </c>
      <c r="BB4405" t="str">
        <f t="shared" si="1726"/>
        <v>1200</v>
      </c>
      <c r="BC4405">
        <v>1</v>
      </c>
      <c r="BD4405" t="str">
        <f t="shared" si="1727"/>
        <v xml:space="preserve">N52156  </v>
      </c>
      <c r="BE4405">
        <v>1</v>
      </c>
      <c r="BG4405">
        <v>0</v>
      </c>
      <c r="BH4405">
        <v>0</v>
      </c>
      <c r="BI4405">
        <v>0</v>
      </c>
      <c r="BJ4405">
        <v>4250</v>
      </c>
      <c r="BK4405">
        <v>50</v>
      </c>
      <c r="BL4405" t="s">
        <v>188</v>
      </c>
      <c r="BM4405">
        <v>1</v>
      </c>
      <c r="BN4405">
        <v>1</v>
      </c>
      <c r="BO4405">
        <v>0</v>
      </c>
      <c r="BP4405">
        <v>0</v>
      </c>
      <c r="BS4405">
        <v>0</v>
      </c>
      <c r="BT4405">
        <v>0</v>
      </c>
      <c r="BU4405">
        <v>0</v>
      </c>
      <c r="CE4405" t="str">
        <f t="shared" si="1743"/>
        <v>15:16:45.597</v>
      </c>
      <c r="CF4405">
        <v>596502420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4</v>
      </c>
      <c r="CY4405">
        <v>7</v>
      </c>
      <c r="CZ4405" t="s">
        <v>133</v>
      </c>
      <c r="DA4405">
        <v>275</v>
      </c>
      <c r="DB4405">
        <v>0</v>
      </c>
      <c r="DC4405" t="s">
        <v>134</v>
      </c>
      <c r="DD4405" t="s">
        <v>135</v>
      </c>
      <c r="DG4405">
        <v>3323275</v>
      </c>
      <c r="DI4405">
        <v>1</v>
      </c>
      <c r="DJ4405">
        <v>0</v>
      </c>
      <c r="DK4405">
        <v>1</v>
      </c>
      <c r="DL4405">
        <v>0</v>
      </c>
      <c r="DM4405">
        <v>0</v>
      </c>
      <c r="DN4405">
        <v>0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 x14ac:dyDescent="0.3">
      <c r="A4406" t="str">
        <f>"05/01/2025 15:16:47.071"</f>
        <v>05/01/2025 15:16:47.071</v>
      </c>
      <c r="C4406" t="str">
        <f t="shared" si="1724"/>
        <v>FFDFD3C0</v>
      </c>
      <c r="D4406" t="s">
        <v>145</v>
      </c>
      <c r="E4406" t="str">
        <f>"09"</f>
        <v>09</v>
      </c>
      <c r="H4406">
        <v>51</v>
      </c>
      <c r="I4406" t="s">
        <v>147</v>
      </c>
      <c r="J4406" t="s">
        <v>138</v>
      </c>
      <c r="K4406">
        <v>0</v>
      </c>
      <c r="L4406">
        <v>3</v>
      </c>
      <c r="M4406">
        <v>0</v>
      </c>
      <c r="N4406">
        <v>2</v>
      </c>
      <c r="O4406">
        <v>0</v>
      </c>
      <c r="P4406">
        <v>1</v>
      </c>
      <c r="Q4406">
        <v>0</v>
      </c>
      <c r="R4406" t="s">
        <v>127</v>
      </c>
      <c r="S4406" t="str">
        <f t="shared" ref="S4406:T4411" si="1744">"15:16:46.000"</f>
        <v>15:16:46.000</v>
      </c>
      <c r="T4406" t="str">
        <f t="shared" si="1744"/>
        <v>15:16:46.000</v>
      </c>
      <c r="U4406" t="str">
        <f t="shared" si="1725"/>
        <v>A68FCB</v>
      </c>
      <c r="V4406">
        <v>0</v>
      </c>
      <c r="W4406">
        <v>0</v>
      </c>
      <c r="X4406">
        <v>2</v>
      </c>
      <c r="Y4406">
        <v>0</v>
      </c>
      <c r="AA4406">
        <v>1</v>
      </c>
      <c r="AB4406">
        <v>8</v>
      </c>
      <c r="AC4406">
        <v>3</v>
      </c>
      <c r="AD4406">
        <v>0</v>
      </c>
      <c r="AE4406">
        <v>9</v>
      </c>
      <c r="AF4406" t="s">
        <v>138</v>
      </c>
      <c r="AG4406">
        <v>0</v>
      </c>
      <c r="AH4406">
        <v>3</v>
      </c>
      <c r="AI4406">
        <v>2</v>
      </c>
      <c r="AJ4406">
        <v>0</v>
      </c>
      <c r="AK4406" t="s">
        <v>1402</v>
      </c>
      <c r="AL4406">
        <v>39.202716000000002</v>
      </c>
      <c r="AM4406" t="s">
        <v>1403</v>
      </c>
      <c r="AN4406">
        <v>-121.011679</v>
      </c>
      <c r="AO4406">
        <v>25</v>
      </c>
      <c r="AP4406">
        <v>4200</v>
      </c>
      <c r="AQ4406" t="s">
        <v>131</v>
      </c>
      <c r="AR4406">
        <v>45</v>
      </c>
      <c r="AS4406">
        <v>63</v>
      </c>
      <c r="AT4406">
        <v>0</v>
      </c>
      <c r="BB4406" t="str">
        <f t="shared" si="1726"/>
        <v>1200</v>
      </c>
      <c r="BC4406">
        <v>1</v>
      </c>
      <c r="BD4406" t="str">
        <f t="shared" si="1727"/>
        <v xml:space="preserve">N52156  </v>
      </c>
      <c r="BE4406">
        <v>1</v>
      </c>
      <c r="BG4406">
        <v>0</v>
      </c>
      <c r="BH4406">
        <v>0</v>
      </c>
      <c r="BI4406">
        <v>0</v>
      </c>
      <c r="BJ4406">
        <v>4250</v>
      </c>
      <c r="BK4406">
        <v>50</v>
      </c>
      <c r="BL4406" t="s">
        <v>188</v>
      </c>
      <c r="BM4406">
        <v>1</v>
      </c>
      <c r="BN4406">
        <v>1</v>
      </c>
      <c r="BO4406">
        <v>0</v>
      </c>
      <c r="BP4406">
        <v>0</v>
      </c>
      <c r="BS4406">
        <v>0</v>
      </c>
      <c r="BT4406">
        <v>0</v>
      </c>
      <c r="BU4406">
        <v>0</v>
      </c>
      <c r="CE4406" t="str">
        <f t="shared" ref="CE4406:CE4411" si="1745">"15:16:46.837"</f>
        <v>15:16:46.837</v>
      </c>
      <c r="CF4406">
        <v>837253448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4</v>
      </c>
      <c r="CY4406">
        <v>7</v>
      </c>
      <c r="CZ4406" t="s">
        <v>133</v>
      </c>
      <c r="DA4406">
        <v>275</v>
      </c>
      <c r="DB4406">
        <v>0</v>
      </c>
      <c r="DC4406" t="s">
        <v>134</v>
      </c>
      <c r="DD4406" t="s">
        <v>135</v>
      </c>
      <c r="DG4406">
        <v>3323278</v>
      </c>
      <c r="DI4406">
        <v>1</v>
      </c>
      <c r="DJ4406">
        <v>0</v>
      </c>
      <c r="DK4406">
        <v>0</v>
      </c>
      <c r="DL4406">
        <v>0</v>
      </c>
      <c r="DM4406">
        <v>0</v>
      </c>
      <c r="DN4406">
        <v>0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 x14ac:dyDescent="0.3">
      <c r="A4407" t="str">
        <f>"05/01/2025 15:16:47.074"</f>
        <v>05/01/2025 15:16:47.074</v>
      </c>
      <c r="C4407" t="str">
        <f t="shared" si="1724"/>
        <v>FFDFD3C0</v>
      </c>
      <c r="D4407" t="s">
        <v>145</v>
      </c>
      <c r="E4407" t="str">
        <f>"05"</f>
        <v>05</v>
      </c>
      <c r="H4407">
        <v>47</v>
      </c>
      <c r="I4407" t="s">
        <v>146</v>
      </c>
      <c r="J4407" t="s">
        <v>138</v>
      </c>
      <c r="K4407">
        <v>0</v>
      </c>
      <c r="L4407">
        <v>3</v>
      </c>
      <c r="M4407">
        <v>0</v>
      </c>
      <c r="N4407">
        <v>2</v>
      </c>
      <c r="O4407">
        <v>0</v>
      </c>
      <c r="P4407">
        <v>1</v>
      </c>
      <c r="Q4407">
        <v>0</v>
      </c>
      <c r="R4407" t="s">
        <v>127</v>
      </c>
      <c r="S4407" t="str">
        <f t="shared" si="1744"/>
        <v>15:16:46.000</v>
      </c>
      <c r="T4407" t="str">
        <f t="shared" si="1744"/>
        <v>15:16:46.000</v>
      </c>
      <c r="U4407" t="str">
        <f t="shared" si="1725"/>
        <v>A68FCB</v>
      </c>
      <c r="V4407">
        <v>0</v>
      </c>
      <c r="W4407">
        <v>0</v>
      </c>
      <c r="X4407">
        <v>2</v>
      </c>
      <c r="Y4407">
        <v>0</v>
      </c>
      <c r="AA4407">
        <v>1</v>
      </c>
      <c r="AB4407">
        <v>8</v>
      </c>
      <c r="AC4407">
        <v>3</v>
      </c>
      <c r="AD4407">
        <v>0</v>
      </c>
      <c r="AE4407">
        <v>9</v>
      </c>
      <c r="AF4407" t="s">
        <v>138</v>
      </c>
      <c r="AG4407">
        <v>0</v>
      </c>
      <c r="AH4407">
        <v>3</v>
      </c>
      <c r="AI4407">
        <v>2</v>
      </c>
      <c r="AJ4407">
        <v>0</v>
      </c>
      <c r="AK4407" t="s">
        <v>1402</v>
      </c>
      <c r="AL4407">
        <v>39.202716000000002</v>
      </c>
      <c r="AM4407" t="s">
        <v>1403</v>
      </c>
      <c r="AN4407">
        <v>-121.011679</v>
      </c>
      <c r="AO4407">
        <v>25</v>
      </c>
      <c r="AP4407">
        <v>4200</v>
      </c>
      <c r="AQ4407" t="s">
        <v>131</v>
      </c>
      <c r="AR4407">
        <v>45</v>
      </c>
      <c r="AS4407">
        <v>63</v>
      </c>
      <c r="AT4407">
        <v>0</v>
      </c>
      <c r="BB4407" t="str">
        <f t="shared" si="1726"/>
        <v>1200</v>
      </c>
      <c r="BC4407">
        <v>1</v>
      </c>
      <c r="BD4407" t="str">
        <f t="shared" si="1727"/>
        <v xml:space="preserve">N52156  </v>
      </c>
      <c r="BE4407">
        <v>1</v>
      </c>
      <c r="BG4407">
        <v>0</v>
      </c>
      <c r="BH4407">
        <v>0</v>
      </c>
      <c r="BI4407">
        <v>0</v>
      </c>
      <c r="BJ4407">
        <v>4250</v>
      </c>
      <c r="BK4407">
        <v>50</v>
      </c>
      <c r="BL4407" t="s">
        <v>188</v>
      </c>
      <c r="BM4407">
        <v>1</v>
      </c>
      <c r="BN4407">
        <v>1</v>
      </c>
      <c r="BO4407">
        <v>0</v>
      </c>
      <c r="BP4407">
        <v>0</v>
      </c>
      <c r="BS4407">
        <v>0</v>
      </c>
      <c r="BT4407">
        <v>0</v>
      </c>
      <c r="BU4407">
        <v>0</v>
      </c>
      <c r="CE4407" t="str">
        <f t="shared" si="1745"/>
        <v>15:16:46.837</v>
      </c>
      <c r="CF4407">
        <v>837253448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4</v>
      </c>
      <c r="CY4407">
        <v>7</v>
      </c>
      <c r="CZ4407" t="s">
        <v>133</v>
      </c>
      <c r="DA4407">
        <v>275</v>
      </c>
      <c r="DB4407">
        <v>0</v>
      </c>
      <c r="DC4407" t="s">
        <v>134</v>
      </c>
      <c r="DD4407" t="s">
        <v>135</v>
      </c>
      <c r="DG4407">
        <v>3323278</v>
      </c>
      <c r="DI4407">
        <v>1</v>
      </c>
      <c r="DJ4407">
        <v>0</v>
      </c>
      <c r="DK4407">
        <v>1</v>
      </c>
      <c r="DL4407">
        <v>0</v>
      </c>
      <c r="DM4407">
        <v>0</v>
      </c>
      <c r="DN4407">
        <v>0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 x14ac:dyDescent="0.3">
      <c r="A4408" t="str">
        <f>"05/01/2025 15:16:47.087"</f>
        <v>05/01/2025 15:16:47.087</v>
      </c>
      <c r="C4408" t="str">
        <f t="shared" si="1724"/>
        <v>FFDFD3C0</v>
      </c>
      <c r="D4408" t="s">
        <v>136</v>
      </c>
      <c r="E4408" t="str">
        <f>"20"</f>
        <v>20</v>
      </c>
      <c r="H4408">
        <v>400</v>
      </c>
      <c r="I4408" t="s">
        <v>137</v>
      </c>
      <c r="J4408" t="s">
        <v>138</v>
      </c>
      <c r="K4408">
        <v>0</v>
      </c>
      <c r="L4408">
        <v>3</v>
      </c>
      <c r="M4408">
        <v>0</v>
      </c>
      <c r="N4408">
        <v>2</v>
      </c>
      <c r="O4408">
        <v>0</v>
      </c>
      <c r="P4408">
        <v>1</v>
      </c>
      <c r="Q4408">
        <v>0</v>
      </c>
      <c r="R4408" t="s">
        <v>127</v>
      </c>
      <c r="S4408" t="str">
        <f t="shared" si="1744"/>
        <v>15:16:46.000</v>
      </c>
      <c r="T4408" t="str">
        <f t="shared" si="1744"/>
        <v>15:16:46.000</v>
      </c>
      <c r="U4408" t="str">
        <f t="shared" si="1725"/>
        <v>A68FCB</v>
      </c>
      <c r="V4408">
        <v>0</v>
      </c>
      <c r="W4408">
        <v>0</v>
      </c>
      <c r="X4408">
        <v>2</v>
      </c>
      <c r="Y4408">
        <v>0</v>
      </c>
      <c r="AA4408">
        <v>1</v>
      </c>
      <c r="AB4408">
        <v>8</v>
      </c>
      <c r="AC4408">
        <v>3</v>
      </c>
      <c r="AD4408">
        <v>0</v>
      </c>
      <c r="AE4408">
        <v>9</v>
      </c>
      <c r="AF4408" t="s">
        <v>138</v>
      </c>
      <c r="AG4408">
        <v>0</v>
      </c>
      <c r="AH4408">
        <v>3</v>
      </c>
      <c r="AI4408">
        <v>2</v>
      </c>
      <c r="AJ4408">
        <v>0</v>
      </c>
      <c r="AK4408" t="s">
        <v>1402</v>
      </c>
      <c r="AL4408">
        <v>39.202716000000002</v>
      </c>
      <c r="AM4408" t="s">
        <v>1403</v>
      </c>
      <c r="AN4408">
        <v>-121.011679</v>
      </c>
      <c r="AO4408">
        <v>25</v>
      </c>
      <c r="AP4408">
        <v>4200</v>
      </c>
      <c r="AQ4408" t="s">
        <v>131</v>
      </c>
      <c r="AR4408">
        <v>45</v>
      </c>
      <c r="AS4408">
        <v>63</v>
      </c>
      <c r="AT4408">
        <v>0</v>
      </c>
      <c r="BB4408" t="str">
        <f t="shared" si="1726"/>
        <v>1200</v>
      </c>
      <c r="BC4408">
        <v>1</v>
      </c>
      <c r="BD4408" t="str">
        <f t="shared" si="1727"/>
        <v xml:space="preserve">N52156  </v>
      </c>
      <c r="BE4408">
        <v>1</v>
      </c>
      <c r="BG4408">
        <v>0</v>
      </c>
      <c r="BH4408">
        <v>0</v>
      </c>
      <c r="BI4408">
        <v>0</v>
      </c>
      <c r="BJ4408">
        <v>4250</v>
      </c>
      <c r="BK4408">
        <v>50</v>
      </c>
      <c r="BL4408" t="s">
        <v>188</v>
      </c>
      <c r="BM4408">
        <v>1</v>
      </c>
      <c r="BN4408">
        <v>1</v>
      </c>
      <c r="BO4408">
        <v>0</v>
      </c>
      <c r="BP4408">
        <v>0</v>
      </c>
      <c r="BS4408">
        <v>0</v>
      </c>
      <c r="BT4408">
        <v>0</v>
      </c>
      <c r="BU4408">
        <v>0</v>
      </c>
      <c r="CE4408" t="str">
        <f t="shared" si="1745"/>
        <v>15:16:46.837</v>
      </c>
      <c r="CF4408">
        <v>837253448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4</v>
      </c>
      <c r="CY4408">
        <v>7</v>
      </c>
      <c r="CZ4408" t="s">
        <v>133</v>
      </c>
      <c r="DA4408">
        <v>275</v>
      </c>
      <c r="DB4408">
        <v>0</v>
      </c>
      <c r="DC4408" t="s">
        <v>134</v>
      </c>
      <c r="DD4408" t="s">
        <v>135</v>
      </c>
      <c r="DG4408">
        <v>3323278</v>
      </c>
      <c r="DI4408">
        <v>1</v>
      </c>
      <c r="DJ4408">
        <v>0</v>
      </c>
      <c r="DK4408">
        <v>1</v>
      </c>
      <c r="DL4408">
        <v>0</v>
      </c>
      <c r="DM4408">
        <v>0</v>
      </c>
      <c r="DN4408">
        <v>0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 x14ac:dyDescent="0.3">
      <c r="A4409" t="str">
        <f>"05/01/2025 15:16:47.103"</f>
        <v>05/01/2025 15:16:47.103</v>
      </c>
      <c r="C4409" t="str">
        <f t="shared" si="1724"/>
        <v>FFDFD3C0</v>
      </c>
      <c r="D4409" t="s">
        <v>140</v>
      </c>
      <c r="E4409" t="str">
        <f>"13"</f>
        <v>13</v>
      </c>
      <c r="F4409">
        <v>1019</v>
      </c>
      <c r="G4409" t="s">
        <v>141</v>
      </c>
      <c r="J4409" t="s">
        <v>142</v>
      </c>
      <c r="K4409">
        <v>0</v>
      </c>
      <c r="L4409">
        <v>3</v>
      </c>
      <c r="M4409">
        <v>0</v>
      </c>
      <c r="N4409">
        <v>2</v>
      </c>
      <c r="O4409">
        <v>0</v>
      </c>
      <c r="P4409">
        <v>1</v>
      </c>
      <c r="Q4409">
        <v>0</v>
      </c>
      <c r="R4409" t="s">
        <v>127</v>
      </c>
      <c r="S4409" t="str">
        <f t="shared" si="1744"/>
        <v>15:16:46.000</v>
      </c>
      <c r="T4409" t="str">
        <f t="shared" si="1744"/>
        <v>15:16:46.000</v>
      </c>
      <c r="U4409" t="str">
        <f t="shared" si="1725"/>
        <v>A68FCB</v>
      </c>
      <c r="V4409">
        <v>0</v>
      </c>
      <c r="W4409">
        <v>0</v>
      </c>
      <c r="X4409">
        <v>2</v>
      </c>
      <c r="Y4409">
        <v>0</v>
      </c>
      <c r="AA4409">
        <v>1</v>
      </c>
      <c r="AB4409">
        <v>8</v>
      </c>
      <c r="AC4409">
        <v>3</v>
      </c>
      <c r="AD4409">
        <v>0</v>
      </c>
      <c r="AE4409">
        <v>9</v>
      </c>
      <c r="AF4409" t="s">
        <v>138</v>
      </c>
      <c r="AG4409">
        <v>0</v>
      </c>
      <c r="AH4409">
        <v>3</v>
      </c>
      <c r="AI4409">
        <v>2</v>
      </c>
      <c r="AJ4409">
        <v>0</v>
      </c>
      <c r="AK4409" t="s">
        <v>1402</v>
      </c>
      <c r="AL4409">
        <v>39.202716000000002</v>
      </c>
      <c r="AM4409" t="s">
        <v>1403</v>
      </c>
      <c r="AN4409">
        <v>-121.011679</v>
      </c>
      <c r="AO4409">
        <v>25</v>
      </c>
      <c r="AP4409">
        <v>4200</v>
      </c>
      <c r="AQ4409" t="s">
        <v>131</v>
      </c>
      <c r="AR4409">
        <v>45</v>
      </c>
      <c r="AS4409">
        <v>63</v>
      </c>
      <c r="AT4409">
        <v>0</v>
      </c>
      <c r="BB4409" t="str">
        <f t="shared" si="1726"/>
        <v>1200</v>
      </c>
      <c r="BC4409">
        <v>1</v>
      </c>
      <c r="BD4409" t="str">
        <f t="shared" si="1727"/>
        <v xml:space="preserve">N52156  </v>
      </c>
      <c r="BE4409">
        <v>1</v>
      </c>
      <c r="BG4409">
        <v>0</v>
      </c>
      <c r="BH4409">
        <v>0</v>
      </c>
      <c r="BI4409">
        <v>0</v>
      </c>
      <c r="BJ4409">
        <v>4250</v>
      </c>
      <c r="BK4409">
        <v>50</v>
      </c>
      <c r="BL4409" t="s">
        <v>188</v>
      </c>
      <c r="BM4409">
        <v>1</v>
      </c>
      <c r="BN4409">
        <v>1</v>
      </c>
      <c r="BO4409">
        <v>0</v>
      </c>
      <c r="BP4409">
        <v>0</v>
      </c>
      <c r="BS4409">
        <v>0</v>
      </c>
      <c r="BT4409">
        <v>0</v>
      </c>
      <c r="BU4409">
        <v>0</v>
      </c>
      <c r="CE4409" t="str">
        <f t="shared" si="1745"/>
        <v>15:16:46.837</v>
      </c>
      <c r="CF4409">
        <v>837253448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4</v>
      </c>
      <c r="CY4409">
        <v>7</v>
      </c>
      <c r="CZ4409" t="s">
        <v>133</v>
      </c>
      <c r="DA4409">
        <v>275</v>
      </c>
      <c r="DB4409">
        <v>0</v>
      </c>
      <c r="DC4409" t="s">
        <v>134</v>
      </c>
      <c r="DD4409" t="s">
        <v>135</v>
      </c>
      <c r="DG4409">
        <v>3323278</v>
      </c>
      <c r="DI4409">
        <v>1</v>
      </c>
      <c r="DJ4409">
        <v>0</v>
      </c>
      <c r="DK4409">
        <v>1</v>
      </c>
      <c r="DL4409">
        <v>0</v>
      </c>
      <c r="DM4409">
        <v>0</v>
      </c>
      <c r="DN4409">
        <v>0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 x14ac:dyDescent="0.3">
      <c r="A4410" t="str">
        <f>"05/01/2025 15:16:47.104"</f>
        <v>05/01/2025 15:16:47.104</v>
      </c>
      <c r="C4410" t="str">
        <f t="shared" si="1724"/>
        <v>FFDFD3C0</v>
      </c>
      <c r="D4410" t="s">
        <v>124</v>
      </c>
      <c r="E4410" t="str">
        <f>"06"</f>
        <v>06</v>
      </c>
      <c r="F4410">
        <v>2006</v>
      </c>
      <c r="G4410" t="s">
        <v>125</v>
      </c>
      <c r="J4410" t="s">
        <v>126</v>
      </c>
      <c r="K4410">
        <v>0</v>
      </c>
      <c r="L4410">
        <v>3</v>
      </c>
      <c r="M4410">
        <v>0</v>
      </c>
      <c r="N4410">
        <v>2</v>
      </c>
      <c r="O4410">
        <v>0</v>
      </c>
      <c r="P4410">
        <v>1</v>
      </c>
      <c r="Q4410">
        <v>0</v>
      </c>
      <c r="R4410" t="s">
        <v>127</v>
      </c>
      <c r="S4410" t="str">
        <f t="shared" si="1744"/>
        <v>15:16:46.000</v>
      </c>
      <c r="T4410" t="str">
        <f t="shared" si="1744"/>
        <v>15:16:46.000</v>
      </c>
      <c r="U4410" t="str">
        <f t="shared" si="1725"/>
        <v>A68FCB</v>
      </c>
      <c r="V4410">
        <v>0</v>
      </c>
      <c r="W4410">
        <v>0</v>
      </c>
      <c r="X4410">
        <v>2</v>
      </c>
      <c r="Y4410">
        <v>0</v>
      </c>
      <c r="AA4410">
        <v>1</v>
      </c>
      <c r="AB4410">
        <v>8</v>
      </c>
      <c r="AC4410">
        <v>3</v>
      </c>
      <c r="AD4410">
        <v>0</v>
      </c>
      <c r="AE4410">
        <v>9</v>
      </c>
      <c r="AF4410" t="s">
        <v>138</v>
      </c>
      <c r="AG4410">
        <v>0</v>
      </c>
      <c r="AH4410">
        <v>3</v>
      </c>
      <c r="AI4410">
        <v>2</v>
      </c>
      <c r="AJ4410">
        <v>0</v>
      </c>
      <c r="AK4410" t="s">
        <v>1402</v>
      </c>
      <c r="AL4410">
        <v>39.202716000000002</v>
      </c>
      <c r="AM4410" t="s">
        <v>1403</v>
      </c>
      <c r="AN4410">
        <v>-121.011679</v>
      </c>
      <c r="AO4410">
        <v>25</v>
      </c>
      <c r="AP4410">
        <v>4200</v>
      </c>
      <c r="AQ4410" t="s">
        <v>131</v>
      </c>
      <c r="AR4410">
        <v>45</v>
      </c>
      <c r="AS4410">
        <v>63</v>
      </c>
      <c r="AT4410">
        <v>0</v>
      </c>
      <c r="BB4410" t="str">
        <f t="shared" si="1726"/>
        <v>1200</v>
      </c>
      <c r="BC4410">
        <v>1</v>
      </c>
      <c r="BD4410" t="str">
        <f t="shared" si="1727"/>
        <v xml:space="preserve">N52156  </v>
      </c>
      <c r="BE4410">
        <v>1</v>
      </c>
      <c r="BG4410">
        <v>0</v>
      </c>
      <c r="BH4410">
        <v>0</v>
      </c>
      <c r="BI4410">
        <v>0</v>
      </c>
      <c r="BJ4410">
        <v>4250</v>
      </c>
      <c r="BK4410">
        <v>50</v>
      </c>
      <c r="BL4410" t="s">
        <v>188</v>
      </c>
      <c r="BM4410">
        <v>1</v>
      </c>
      <c r="BN4410">
        <v>1</v>
      </c>
      <c r="BO4410">
        <v>0</v>
      </c>
      <c r="BP4410">
        <v>0</v>
      </c>
      <c r="BS4410">
        <v>0</v>
      </c>
      <c r="BT4410">
        <v>0</v>
      </c>
      <c r="BU4410">
        <v>0</v>
      </c>
      <c r="CE4410" t="str">
        <f t="shared" si="1745"/>
        <v>15:16:46.837</v>
      </c>
      <c r="CF4410">
        <v>837253448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4</v>
      </c>
      <c r="CY4410">
        <v>7</v>
      </c>
      <c r="CZ4410" t="s">
        <v>133</v>
      </c>
      <c r="DA4410">
        <v>275</v>
      </c>
      <c r="DB4410">
        <v>0</v>
      </c>
      <c r="DC4410" t="s">
        <v>134</v>
      </c>
      <c r="DD4410" t="s">
        <v>135</v>
      </c>
      <c r="DG4410">
        <v>3323278</v>
      </c>
      <c r="DI4410">
        <v>1</v>
      </c>
      <c r="DJ4410">
        <v>0</v>
      </c>
      <c r="DK4410">
        <v>1</v>
      </c>
      <c r="DL4410">
        <v>0</v>
      </c>
      <c r="DM4410">
        <v>0</v>
      </c>
      <c r="DN4410">
        <v>0</v>
      </c>
      <c r="DO4410">
        <v>0</v>
      </c>
      <c r="DP4410">
        <v>0</v>
      </c>
      <c r="DQ4410">
        <v>0</v>
      </c>
      <c r="DR4410">
        <v>0</v>
      </c>
      <c r="DS4410">
        <v>0</v>
      </c>
    </row>
    <row r="4411" spans="1:123" x14ac:dyDescent="0.3">
      <c r="A4411" t="str">
        <f>"05/01/2025 15:16:47.108"</f>
        <v>05/01/2025 15:16:47.108</v>
      </c>
      <c r="C4411" t="str">
        <f t="shared" si="1724"/>
        <v>FFDFD3C0</v>
      </c>
      <c r="D4411" t="s">
        <v>143</v>
      </c>
      <c r="E4411" t="str">
        <f>"05"</f>
        <v>05</v>
      </c>
      <c r="H4411">
        <v>172</v>
      </c>
      <c r="I4411" t="s">
        <v>141</v>
      </c>
      <c r="J4411" t="s">
        <v>144</v>
      </c>
      <c r="K4411">
        <v>0</v>
      </c>
      <c r="L4411">
        <v>3</v>
      </c>
      <c r="M4411">
        <v>0</v>
      </c>
      <c r="N4411">
        <v>2</v>
      </c>
      <c r="O4411">
        <v>0</v>
      </c>
      <c r="P4411">
        <v>1</v>
      </c>
      <c r="Q4411">
        <v>0</v>
      </c>
      <c r="R4411" t="s">
        <v>127</v>
      </c>
      <c r="S4411" t="str">
        <f t="shared" si="1744"/>
        <v>15:16:46.000</v>
      </c>
      <c r="T4411" t="str">
        <f t="shared" si="1744"/>
        <v>15:16:46.000</v>
      </c>
      <c r="U4411" t="str">
        <f t="shared" si="1725"/>
        <v>A68FCB</v>
      </c>
      <c r="V4411">
        <v>0</v>
      </c>
      <c r="W4411">
        <v>0</v>
      </c>
      <c r="X4411">
        <v>2</v>
      </c>
      <c r="Y4411">
        <v>0</v>
      </c>
      <c r="AA4411">
        <v>1</v>
      </c>
      <c r="AB4411">
        <v>8</v>
      </c>
      <c r="AC4411">
        <v>3</v>
      </c>
      <c r="AD4411">
        <v>0</v>
      </c>
      <c r="AE4411">
        <v>9</v>
      </c>
      <c r="AF4411" t="s">
        <v>138</v>
      </c>
      <c r="AG4411">
        <v>0</v>
      </c>
      <c r="AH4411">
        <v>3</v>
      </c>
      <c r="AI4411">
        <v>2</v>
      </c>
      <c r="AJ4411">
        <v>0</v>
      </c>
      <c r="AK4411" t="s">
        <v>1402</v>
      </c>
      <c r="AL4411">
        <v>39.202716000000002</v>
      </c>
      <c r="AM4411" t="s">
        <v>1403</v>
      </c>
      <c r="AN4411">
        <v>-121.011679</v>
      </c>
      <c r="AO4411">
        <v>25</v>
      </c>
      <c r="AP4411">
        <v>4200</v>
      </c>
      <c r="AQ4411" t="s">
        <v>131</v>
      </c>
      <c r="AR4411">
        <v>45</v>
      </c>
      <c r="AS4411">
        <v>63</v>
      </c>
      <c r="AT4411">
        <v>0</v>
      </c>
      <c r="BB4411" t="str">
        <f t="shared" si="1726"/>
        <v>1200</v>
      </c>
      <c r="BC4411">
        <v>1</v>
      </c>
      <c r="BD4411" t="str">
        <f t="shared" si="1727"/>
        <v xml:space="preserve">N52156  </v>
      </c>
      <c r="BE4411">
        <v>1</v>
      </c>
      <c r="BG4411">
        <v>0</v>
      </c>
      <c r="BH4411">
        <v>0</v>
      </c>
      <c r="BI4411">
        <v>0</v>
      </c>
      <c r="BJ4411">
        <v>4250</v>
      </c>
      <c r="BK4411">
        <v>50</v>
      </c>
      <c r="BL4411" t="s">
        <v>188</v>
      </c>
      <c r="BM4411">
        <v>1</v>
      </c>
      <c r="BN4411">
        <v>1</v>
      </c>
      <c r="BO4411">
        <v>0</v>
      </c>
      <c r="BP4411">
        <v>0</v>
      </c>
      <c r="BS4411">
        <v>0</v>
      </c>
      <c r="BT4411">
        <v>0</v>
      </c>
      <c r="BU4411">
        <v>0</v>
      </c>
      <c r="CE4411" t="str">
        <f t="shared" si="1745"/>
        <v>15:16:46.837</v>
      </c>
      <c r="CF4411">
        <v>837253448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4</v>
      </c>
      <c r="CY4411">
        <v>7</v>
      </c>
      <c r="CZ4411" t="s">
        <v>133</v>
      </c>
      <c r="DA4411">
        <v>275</v>
      </c>
      <c r="DB4411">
        <v>0</v>
      </c>
      <c r="DC4411" t="s">
        <v>134</v>
      </c>
      <c r="DD4411" t="s">
        <v>135</v>
      </c>
      <c r="DG4411">
        <v>3323278</v>
      </c>
      <c r="DI4411">
        <v>1</v>
      </c>
      <c r="DJ4411">
        <v>0</v>
      </c>
      <c r="DK4411">
        <v>1</v>
      </c>
      <c r="DL4411">
        <v>0</v>
      </c>
      <c r="DM4411">
        <v>0</v>
      </c>
      <c r="DN4411">
        <v>0</v>
      </c>
      <c r="DO4411">
        <v>0</v>
      </c>
      <c r="DP4411">
        <v>0</v>
      </c>
      <c r="DQ4411">
        <v>0</v>
      </c>
      <c r="DR4411">
        <v>0</v>
      </c>
      <c r="DS4411">
        <v>0</v>
      </c>
    </row>
    <row r="4412" spans="1:123" x14ac:dyDescent="0.3">
      <c r="A4412" t="str">
        <f>"05/01/2025 15:16:47.421"</f>
        <v>05/01/2025 15:16:47.421</v>
      </c>
      <c r="C4412" t="str">
        <f t="shared" si="1724"/>
        <v>FFDFD3C0</v>
      </c>
      <c r="D4412" t="s">
        <v>145</v>
      </c>
      <c r="E4412" t="str">
        <f>"09"</f>
        <v>09</v>
      </c>
      <c r="H4412">
        <v>51</v>
      </c>
      <c r="I4412" t="s">
        <v>147</v>
      </c>
      <c r="J4412" t="s">
        <v>138</v>
      </c>
      <c r="K4412">
        <v>0</v>
      </c>
      <c r="L4412">
        <v>3</v>
      </c>
      <c r="M4412">
        <v>0</v>
      </c>
      <c r="N4412">
        <v>2</v>
      </c>
      <c r="O4412">
        <v>0</v>
      </c>
      <c r="P4412">
        <v>1</v>
      </c>
      <c r="Q4412">
        <v>0</v>
      </c>
      <c r="R4412" t="s">
        <v>127</v>
      </c>
      <c r="S4412" t="str">
        <f t="shared" ref="S4412:T4417" si="1746">"15:16:47.000"</f>
        <v>15:16:47.000</v>
      </c>
      <c r="T4412" t="str">
        <f t="shared" si="1746"/>
        <v>15:16:47.000</v>
      </c>
      <c r="U4412" t="str">
        <f t="shared" si="1725"/>
        <v>A68FCB</v>
      </c>
      <c r="V4412">
        <v>0</v>
      </c>
      <c r="W4412">
        <v>0</v>
      </c>
      <c r="X4412">
        <v>2</v>
      </c>
      <c r="Y4412">
        <v>0</v>
      </c>
      <c r="AA4412">
        <v>1</v>
      </c>
      <c r="AB4412">
        <v>8</v>
      </c>
      <c r="AC4412">
        <v>3</v>
      </c>
      <c r="AD4412">
        <v>0</v>
      </c>
      <c r="AE4412">
        <v>9</v>
      </c>
      <c r="AF4412" t="s">
        <v>138</v>
      </c>
      <c r="AG4412">
        <v>0</v>
      </c>
      <c r="AH4412">
        <v>3</v>
      </c>
      <c r="AI4412">
        <v>2</v>
      </c>
      <c r="AJ4412">
        <v>0</v>
      </c>
      <c r="AK4412" t="s">
        <v>1404</v>
      </c>
      <c r="AL4412">
        <v>39.202995000000001</v>
      </c>
      <c r="AM4412" t="s">
        <v>1405</v>
      </c>
      <c r="AN4412">
        <v>-121.01139999999999</v>
      </c>
      <c r="AO4412">
        <v>25</v>
      </c>
      <c r="AP4412">
        <v>4200</v>
      </c>
      <c r="AQ4412" t="s">
        <v>131</v>
      </c>
      <c r="AR4412">
        <v>46</v>
      </c>
      <c r="AS4412">
        <v>63</v>
      </c>
      <c r="AT4412">
        <v>0</v>
      </c>
      <c r="BB4412" t="str">
        <f t="shared" si="1726"/>
        <v>1200</v>
      </c>
      <c r="BC4412">
        <v>1</v>
      </c>
      <c r="BD4412" t="str">
        <f t="shared" si="1727"/>
        <v xml:space="preserve">N52156  </v>
      </c>
      <c r="BE4412">
        <v>1</v>
      </c>
      <c r="BG4412">
        <v>0</v>
      </c>
      <c r="BH4412">
        <v>0</v>
      </c>
      <c r="BI4412">
        <v>0</v>
      </c>
      <c r="BJ4412">
        <v>4225</v>
      </c>
      <c r="BK4412">
        <v>25</v>
      </c>
      <c r="BL4412" t="s">
        <v>188</v>
      </c>
      <c r="BM4412">
        <v>1</v>
      </c>
      <c r="BN4412">
        <v>1</v>
      </c>
      <c r="BO4412">
        <v>0</v>
      </c>
      <c r="BP4412">
        <v>0</v>
      </c>
      <c r="BS4412">
        <v>0</v>
      </c>
      <c r="BT4412">
        <v>0</v>
      </c>
      <c r="BU4412">
        <v>0</v>
      </c>
      <c r="CE4412" t="str">
        <f t="shared" ref="CE4412:CE4417" si="1747">"15:16:47.200"</f>
        <v>15:16:47.200</v>
      </c>
      <c r="CF4412">
        <v>200251912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4</v>
      </c>
      <c r="CY4412">
        <v>7</v>
      </c>
      <c r="CZ4412" t="s">
        <v>133</v>
      </c>
      <c r="DA4412">
        <v>275</v>
      </c>
      <c r="DB4412">
        <v>0</v>
      </c>
      <c r="DC4412" t="s">
        <v>134</v>
      </c>
      <c r="DD4412" t="s">
        <v>135</v>
      </c>
      <c r="DG4412">
        <v>3323280</v>
      </c>
      <c r="DI4412">
        <v>1</v>
      </c>
      <c r="DJ4412">
        <v>0</v>
      </c>
      <c r="DK4412">
        <v>0</v>
      </c>
      <c r="DL4412">
        <v>0</v>
      </c>
      <c r="DM4412">
        <v>0</v>
      </c>
      <c r="DN4412">
        <v>0</v>
      </c>
      <c r="DO4412">
        <v>0</v>
      </c>
      <c r="DP4412">
        <v>0</v>
      </c>
      <c r="DQ4412">
        <v>0</v>
      </c>
      <c r="DR4412">
        <v>0</v>
      </c>
      <c r="DS4412">
        <v>0</v>
      </c>
    </row>
    <row r="4413" spans="1:123" x14ac:dyDescent="0.3">
      <c r="A4413" t="str">
        <f>"05/01/2025 15:16:47.424"</f>
        <v>05/01/2025 15:16:47.424</v>
      </c>
      <c r="C4413" t="str">
        <f t="shared" si="1724"/>
        <v>FFDFD3C0</v>
      </c>
      <c r="D4413" t="s">
        <v>145</v>
      </c>
      <c r="E4413" t="str">
        <f>"05"</f>
        <v>05</v>
      </c>
      <c r="H4413">
        <v>47</v>
      </c>
      <c r="I4413" t="s">
        <v>146</v>
      </c>
      <c r="J4413" t="s">
        <v>138</v>
      </c>
      <c r="K4413">
        <v>0</v>
      </c>
      <c r="L4413">
        <v>3</v>
      </c>
      <c r="M4413">
        <v>0</v>
      </c>
      <c r="N4413">
        <v>2</v>
      </c>
      <c r="O4413">
        <v>0</v>
      </c>
      <c r="P4413">
        <v>1</v>
      </c>
      <c r="Q4413">
        <v>0</v>
      </c>
      <c r="R4413" t="s">
        <v>127</v>
      </c>
      <c r="S4413" t="str">
        <f t="shared" si="1746"/>
        <v>15:16:47.000</v>
      </c>
      <c r="T4413" t="str">
        <f t="shared" si="1746"/>
        <v>15:16:47.000</v>
      </c>
      <c r="U4413" t="str">
        <f t="shared" si="1725"/>
        <v>A68FCB</v>
      </c>
      <c r="V4413">
        <v>0</v>
      </c>
      <c r="W4413">
        <v>0</v>
      </c>
      <c r="X4413">
        <v>2</v>
      </c>
      <c r="Y4413">
        <v>0</v>
      </c>
      <c r="AA4413">
        <v>1</v>
      </c>
      <c r="AB4413">
        <v>8</v>
      </c>
      <c r="AC4413">
        <v>3</v>
      </c>
      <c r="AD4413">
        <v>0</v>
      </c>
      <c r="AE4413">
        <v>9</v>
      </c>
      <c r="AF4413" t="s">
        <v>138</v>
      </c>
      <c r="AG4413">
        <v>0</v>
      </c>
      <c r="AH4413">
        <v>3</v>
      </c>
      <c r="AI4413">
        <v>2</v>
      </c>
      <c r="AJ4413">
        <v>0</v>
      </c>
      <c r="AK4413" t="s">
        <v>1404</v>
      </c>
      <c r="AL4413">
        <v>39.202995000000001</v>
      </c>
      <c r="AM4413" t="s">
        <v>1405</v>
      </c>
      <c r="AN4413">
        <v>-121.01139999999999</v>
      </c>
      <c r="AO4413">
        <v>25</v>
      </c>
      <c r="AP4413">
        <v>4200</v>
      </c>
      <c r="AQ4413" t="s">
        <v>131</v>
      </c>
      <c r="AR4413">
        <v>46</v>
      </c>
      <c r="AS4413">
        <v>63</v>
      </c>
      <c r="AT4413">
        <v>0</v>
      </c>
      <c r="BB4413" t="str">
        <f t="shared" si="1726"/>
        <v>1200</v>
      </c>
      <c r="BC4413">
        <v>1</v>
      </c>
      <c r="BD4413" t="str">
        <f t="shared" si="1727"/>
        <v xml:space="preserve">N52156  </v>
      </c>
      <c r="BE4413">
        <v>1</v>
      </c>
      <c r="BG4413">
        <v>0</v>
      </c>
      <c r="BH4413">
        <v>0</v>
      </c>
      <c r="BI4413">
        <v>0</v>
      </c>
      <c r="BJ4413">
        <v>4225</v>
      </c>
      <c r="BK4413">
        <v>25</v>
      </c>
      <c r="BL4413" t="s">
        <v>188</v>
      </c>
      <c r="BM4413">
        <v>1</v>
      </c>
      <c r="BN4413">
        <v>1</v>
      </c>
      <c r="BO4413">
        <v>0</v>
      </c>
      <c r="BP4413">
        <v>0</v>
      </c>
      <c r="BS4413">
        <v>0</v>
      </c>
      <c r="BT4413">
        <v>0</v>
      </c>
      <c r="BU4413">
        <v>0</v>
      </c>
      <c r="CE4413" t="str">
        <f t="shared" si="1747"/>
        <v>15:16:47.200</v>
      </c>
      <c r="CF4413">
        <v>200251912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4</v>
      </c>
      <c r="CY4413">
        <v>7</v>
      </c>
      <c r="CZ4413" t="s">
        <v>133</v>
      </c>
      <c r="DA4413">
        <v>275</v>
      </c>
      <c r="DB4413">
        <v>0</v>
      </c>
      <c r="DC4413" t="s">
        <v>134</v>
      </c>
      <c r="DD4413" t="s">
        <v>135</v>
      </c>
      <c r="DG4413">
        <v>3323280</v>
      </c>
      <c r="DI4413">
        <v>1</v>
      </c>
      <c r="DJ4413">
        <v>0</v>
      </c>
      <c r="DK4413">
        <v>1</v>
      </c>
      <c r="DL4413">
        <v>0</v>
      </c>
      <c r="DM4413">
        <v>0</v>
      </c>
      <c r="DN4413">
        <v>0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 x14ac:dyDescent="0.3">
      <c r="A4414" t="str">
        <f>"05/01/2025 15:16:47.437"</f>
        <v>05/01/2025 15:16:47.437</v>
      </c>
      <c r="C4414" t="str">
        <f t="shared" si="1724"/>
        <v>FFDFD3C0</v>
      </c>
      <c r="D4414" t="s">
        <v>136</v>
      </c>
      <c r="E4414" t="str">
        <f>"20"</f>
        <v>20</v>
      </c>
      <c r="H4414">
        <v>400</v>
      </c>
      <c r="I4414" t="s">
        <v>137</v>
      </c>
      <c r="J4414" t="s">
        <v>138</v>
      </c>
      <c r="K4414">
        <v>0</v>
      </c>
      <c r="L4414">
        <v>3</v>
      </c>
      <c r="M4414">
        <v>0</v>
      </c>
      <c r="N4414">
        <v>2</v>
      </c>
      <c r="O4414">
        <v>0</v>
      </c>
      <c r="P4414">
        <v>1</v>
      </c>
      <c r="Q4414">
        <v>0</v>
      </c>
      <c r="R4414" t="s">
        <v>127</v>
      </c>
      <c r="S4414" t="str">
        <f t="shared" si="1746"/>
        <v>15:16:47.000</v>
      </c>
      <c r="T4414" t="str">
        <f t="shared" si="1746"/>
        <v>15:16:47.000</v>
      </c>
      <c r="U4414" t="str">
        <f t="shared" si="1725"/>
        <v>A68FCB</v>
      </c>
      <c r="V4414">
        <v>0</v>
      </c>
      <c r="W4414">
        <v>0</v>
      </c>
      <c r="X4414">
        <v>2</v>
      </c>
      <c r="Y4414">
        <v>0</v>
      </c>
      <c r="AA4414">
        <v>1</v>
      </c>
      <c r="AB4414">
        <v>8</v>
      </c>
      <c r="AC4414">
        <v>3</v>
      </c>
      <c r="AD4414">
        <v>0</v>
      </c>
      <c r="AE4414">
        <v>9</v>
      </c>
      <c r="AF4414" t="s">
        <v>138</v>
      </c>
      <c r="AG4414">
        <v>0</v>
      </c>
      <c r="AH4414">
        <v>3</v>
      </c>
      <c r="AI4414">
        <v>2</v>
      </c>
      <c r="AJ4414">
        <v>0</v>
      </c>
      <c r="AK4414" t="s">
        <v>1404</v>
      </c>
      <c r="AL4414">
        <v>39.202995000000001</v>
      </c>
      <c r="AM4414" t="s">
        <v>1405</v>
      </c>
      <c r="AN4414">
        <v>-121.01139999999999</v>
      </c>
      <c r="AO4414">
        <v>25</v>
      </c>
      <c r="AP4414">
        <v>4200</v>
      </c>
      <c r="AQ4414" t="s">
        <v>131</v>
      </c>
      <c r="AR4414">
        <v>46</v>
      </c>
      <c r="AS4414">
        <v>63</v>
      </c>
      <c r="AT4414">
        <v>0</v>
      </c>
      <c r="BB4414" t="str">
        <f t="shared" si="1726"/>
        <v>1200</v>
      </c>
      <c r="BC4414">
        <v>1</v>
      </c>
      <c r="BD4414" t="str">
        <f t="shared" si="1727"/>
        <v xml:space="preserve">N52156  </v>
      </c>
      <c r="BE4414">
        <v>1</v>
      </c>
      <c r="BG4414">
        <v>0</v>
      </c>
      <c r="BH4414">
        <v>0</v>
      </c>
      <c r="BI4414">
        <v>0</v>
      </c>
      <c r="BJ4414">
        <v>4225</v>
      </c>
      <c r="BK4414">
        <v>25</v>
      </c>
      <c r="BL4414" t="s">
        <v>188</v>
      </c>
      <c r="BM4414">
        <v>1</v>
      </c>
      <c r="BN4414">
        <v>1</v>
      </c>
      <c r="BO4414">
        <v>0</v>
      </c>
      <c r="BP4414">
        <v>0</v>
      </c>
      <c r="BS4414">
        <v>0</v>
      </c>
      <c r="BT4414">
        <v>0</v>
      </c>
      <c r="BU4414">
        <v>0</v>
      </c>
      <c r="CE4414" t="str">
        <f t="shared" si="1747"/>
        <v>15:16:47.200</v>
      </c>
      <c r="CF4414">
        <v>200251912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4</v>
      </c>
      <c r="CY4414">
        <v>7</v>
      </c>
      <c r="CZ4414" t="s">
        <v>133</v>
      </c>
      <c r="DA4414">
        <v>275</v>
      </c>
      <c r="DB4414">
        <v>0</v>
      </c>
      <c r="DC4414" t="s">
        <v>134</v>
      </c>
      <c r="DD4414" t="s">
        <v>135</v>
      </c>
      <c r="DG4414">
        <v>3323280</v>
      </c>
      <c r="DI4414">
        <v>1</v>
      </c>
      <c r="DJ4414">
        <v>0</v>
      </c>
      <c r="DK4414">
        <v>1</v>
      </c>
      <c r="DL4414">
        <v>0</v>
      </c>
      <c r="DM4414">
        <v>0</v>
      </c>
      <c r="DN4414">
        <v>0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 x14ac:dyDescent="0.3">
      <c r="A4415" t="str">
        <f>"05/01/2025 15:16:47.455"</f>
        <v>05/01/2025 15:16:47.455</v>
      </c>
      <c r="C4415" t="str">
        <f t="shared" si="1724"/>
        <v>FFDFD3C0</v>
      </c>
      <c r="D4415" t="s">
        <v>124</v>
      </c>
      <c r="E4415" t="str">
        <f>"06"</f>
        <v>06</v>
      </c>
      <c r="F4415">
        <v>2006</v>
      </c>
      <c r="G4415" t="s">
        <v>125</v>
      </c>
      <c r="J4415" t="s">
        <v>126</v>
      </c>
      <c r="K4415">
        <v>0</v>
      </c>
      <c r="L4415">
        <v>3</v>
      </c>
      <c r="M4415">
        <v>0</v>
      </c>
      <c r="N4415">
        <v>2</v>
      </c>
      <c r="O4415">
        <v>0</v>
      </c>
      <c r="P4415">
        <v>1</v>
      </c>
      <c r="Q4415">
        <v>0</v>
      </c>
      <c r="R4415" t="s">
        <v>127</v>
      </c>
      <c r="S4415" t="str">
        <f t="shared" si="1746"/>
        <v>15:16:47.000</v>
      </c>
      <c r="T4415" t="str">
        <f t="shared" si="1746"/>
        <v>15:16:47.000</v>
      </c>
      <c r="U4415" t="str">
        <f t="shared" si="1725"/>
        <v>A68FCB</v>
      </c>
      <c r="V4415">
        <v>0</v>
      </c>
      <c r="W4415">
        <v>0</v>
      </c>
      <c r="X4415">
        <v>2</v>
      </c>
      <c r="Y4415">
        <v>0</v>
      </c>
      <c r="AA4415">
        <v>1</v>
      </c>
      <c r="AB4415">
        <v>8</v>
      </c>
      <c r="AC4415">
        <v>3</v>
      </c>
      <c r="AD4415">
        <v>0</v>
      </c>
      <c r="AE4415">
        <v>9</v>
      </c>
      <c r="AF4415" t="s">
        <v>138</v>
      </c>
      <c r="AG4415">
        <v>0</v>
      </c>
      <c r="AH4415">
        <v>3</v>
      </c>
      <c r="AI4415">
        <v>2</v>
      </c>
      <c r="AJ4415">
        <v>0</v>
      </c>
      <c r="AK4415" t="s">
        <v>1404</v>
      </c>
      <c r="AL4415">
        <v>39.202995000000001</v>
      </c>
      <c r="AM4415" t="s">
        <v>1405</v>
      </c>
      <c r="AN4415">
        <v>-121.01139999999999</v>
      </c>
      <c r="AO4415">
        <v>25</v>
      </c>
      <c r="AP4415">
        <v>4200</v>
      </c>
      <c r="AQ4415" t="s">
        <v>131</v>
      </c>
      <c r="AR4415">
        <v>46</v>
      </c>
      <c r="AS4415">
        <v>63</v>
      </c>
      <c r="AT4415">
        <v>0</v>
      </c>
      <c r="BB4415" t="str">
        <f t="shared" si="1726"/>
        <v>1200</v>
      </c>
      <c r="BC4415">
        <v>1</v>
      </c>
      <c r="BD4415" t="str">
        <f t="shared" si="1727"/>
        <v xml:space="preserve">N52156  </v>
      </c>
      <c r="BE4415">
        <v>1</v>
      </c>
      <c r="BG4415">
        <v>0</v>
      </c>
      <c r="BH4415">
        <v>0</v>
      </c>
      <c r="BI4415">
        <v>0</v>
      </c>
      <c r="BJ4415">
        <v>4225</v>
      </c>
      <c r="BK4415">
        <v>25</v>
      </c>
      <c r="BL4415" t="s">
        <v>188</v>
      </c>
      <c r="BM4415">
        <v>1</v>
      </c>
      <c r="BN4415">
        <v>1</v>
      </c>
      <c r="BO4415">
        <v>0</v>
      </c>
      <c r="BP4415">
        <v>0</v>
      </c>
      <c r="BS4415">
        <v>0</v>
      </c>
      <c r="BT4415">
        <v>0</v>
      </c>
      <c r="BU4415">
        <v>0</v>
      </c>
      <c r="CE4415" t="str">
        <f t="shared" si="1747"/>
        <v>15:16:47.200</v>
      </c>
      <c r="CF4415">
        <v>200251912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4</v>
      </c>
      <c r="CY4415">
        <v>7</v>
      </c>
      <c r="CZ4415" t="s">
        <v>133</v>
      </c>
      <c r="DA4415">
        <v>275</v>
      </c>
      <c r="DB4415">
        <v>0</v>
      </c>
      <c r="DC4415" t="s">
        <v>134</v>
      </c>
      <c r="DD4415" t="s">
        <v>135</v>
      </c>
      <c r="DG4415">
        <v>3323280</v>
      </c>
      <c r="DI4415">
        <v>1</v>
      </c>
      <c r="DJ4415">
        <v>0</v>
      </c>
      <c r="DK4415">
        <v>1</v>
      </c>
      <c r="DL4415">
        <v>0</v>
      </c>
      <c r="DM4415">
        <v>0</v>
      </c>
      <c r="DN4415">
        <v>0</v>
      </c>
      <c r="DO4415">
        <v>0</v>
      </c>
      <c r="DP4415">
        <v>0</v>
      </c>
      <c r="DQ4415">
        <v>0</v>
      </c>
      <c r="DR4415">
        <v>0</v>
      </c>
      <c r="DS4415">
        <v>0</v>
      </c>
    </row>
    <row r="4416" spans="1:123" x14ac:dyDescent="0.3">
      <c r="A4416" t="str">
        <f>"05/01/2025 15:16:47.454"</f>
        <v>05/01/2025 15:16:47.454</v>
      </c>
      <c r="C4416" t="str">
        <f t="shared" si="1724"/>
        <v>FFDFD3C0</v>
      </c>
      <c r="D4416" t="s">
        <v>140</v>
      </c>
      <c r="E4416" t="str">
        <f>"13"</f>
        <v>13</v>
      </c>
      <c r="F4416">
        <v>1019</v>
      </c>
      <c r="G4416" t="s">
        <v>141</v>
      </c>
      <c r="J4416" t="s">
        <v>142</v>
      </c>
      <c r="K4416">
        <v>0</v>
      </c>
      <c r="L4416">
        <v>3</v>
      </c>
      <c r="M4416">
        <v>0</v>
      </c>
      <c r="N4416">
        <v>2</v>
      </c>
      <c r="O4416">
        <v>0</v>
      </c>
      <c r="P4416">
        <v>1</v>
      </c>
      <c r="Q4416">
        <v>0</v>
      </c>
      <c r="R4416" t="s">
        <v>127</v>
      </c>
      <c r="S4416" t="str">
        <f t="shared" si="1746"/>
        <v>15:16:47.000</v>
      </c>
      <c r="T4416" t="str">
        <f t="shared" si="1746"/>
        <v>15:16:47.000</v>
      </c>
      <c r="U4416" t="str">
        <f t="shared" si="1725"/>
        <v>A68FCB</v>
      </c>
      <c r="V4416">
        <v>0</v>
      </c>
      <c r="W4416">
        <v>0</v>
      </c>
      <c r="X4416">
        <v>2</v>
      </c>
      <c r="Y4416">
        <v>0</v>
      </c>
      <c r="AA4416">
        <v>1</v>
      </c>
      <c r="AB4416">
        <v>8</v>
      </c>
      <c r="AC4416">
        <v>3</v>
      </c>
      <c r="AD4416">
        <v>0</v>
      </c>
      <c r="AE4416">
        <v>9</v>
      </c>
      <c r="AF4416" t="s">
        <v>138</v>
      </c>
      <c r="AG4416">
        <v>0</v>
      </c>
      <c r="AH4416">
        <v>3</v>
      </c>
      <c r="AI4416">
        <v>2</v>
      </c>
      <c r="AJ4416">
        <v>0</v>
      </c>
      <c r="AK4416" t="s">
        <v>1404</v>
      </c>
      <c r="AL4416">
        <v>39.202995000000001</v>
      </c>
      <c r="AM4416" t="s">
        <v>1405</v>
      </c>
      <c r="AN4416">
        <v>-121.01139999999999</v>
      </c>
      <c r="AO4416">
        <v>25</v>
      </c>
      <c r="AP4416">
        <v>4200</v>
      </c>
      <c r="AQ4416" t="s">
        <v>131</v>
      </c>
      <c r="AR4416">
        <v>46</v>
      </c>
      <c r="AS4416">
        <v>63</v>
      </c>
      <c r="AT4416">
        <v>0</v>
      </c>
      <c r="BB4416" t="str">
        <f t="shared" si="1726"/>
        <v>1200</v>
      </c>
      <c r="BC4416">
        <v>1</v>
      </c>
      <c r="BD4416" t="str">
        <f t="shared" si="1727"/>
        <v xml:space="preserve">N52156  </v>
      </c>
      <c r="BE4416">
        <v>1</v>
      </c>
      <c r="BG4416">
        <v>0</v>
      </c>
      <c r="BH4416">
        <v>0</v>
      </c>
      <c r="BI4416">
        <v>0</v>
      </c>
      <c r="BJ4416">
        <v>4225</v>
      </c>
      <c r="BK4416">
        <v>25</v>
      </c>
      <c r="BL4416" t="s">
        <v>188</v>
      </c>
      <c r="BM4416">
        <v>1</v>
      </c>
      <c r="BN4416">
        <v>1</v>
      </c>
      <c r="BO4416">
        <v>0</v>
      </c>
      <c r="BP4416">
        <v>0</v>
      </c>
      <c r="BS4416">
        <v>0</v>
      </c>
      <c r="BT4416">
        <v>0</v>
      </c>
      <c r="BU4416">
        <v>0</v>
      </c>
      <c r="CE4416" t="str">
        <f t="shared" si="1747"/>
        <v>15:16:47.200</v>
      </c>
      <c r="CF4416">
        <v>200251912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4</v>
      </c>
      <c r="CY4416">
        <v>7</v>
      </c>
      <c r="CZ4416" t="s">
        <v>133</v>
      </c>
      <c r="DA4416">
        <v>275</v>
      </c>
      <c r="DB4416">
        <v>0</v>
      </c>
      <c r="DC4416" t="s">
        <v>134</v>
      </c>
      <c r="DD4416" t="s">
        <v>135</v>
      </c>
      <c r="DG4416">
        <v>3323280</v>
      </c>
      <c r="DI4416">
        <v>1</v>
      </c>
      <c r="DJ4416">
        <v>0</v>
      </c>
      <c r="DK4416">
        <v>1</v>
      </c>
      <c r="DL4416">
        <v>0</v>
      </c>
      <c r="DM4416">
        <v>0</v>
      </c>
      <c r="DN4416">
        <v>0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 x14ac:dyDescent="0.3">
      <c r="A4417" t="str">
        <f>"05/01/2025 15:16:47.459"</f>
        <v>05/01/2025 15:16:47.459</v>
      </c>
      <c r="C4417" t="str">
        <f t="shared" si="1724"/>
        <v>FFDFD3C0</v>
      </c>
      <c r="D4417" t="s">
        <v>143</v>
      </c>
      <c r="E4417" t="str">
        <f>"05"</f>
        <v>05</v>
      </c>
      <c r="H4417">
        <v>172</v>
      </c>
      <c r="I4417" t="s">
        <v>141</v>
      </c>
      <c r="J4417" t="s">
        <v>144</v>
      </c>
      <c r="K4417">
        <v>0</v>
      </c>
      <c r="L4417">
        <v>3</v>
      </c>
      <c r="M4417">
        <v>0</v>
      </c>
      <c r="N4417">
        <v>2</v>
      </c>
      <c r="O4417">
        <v>0</v>
      </c>
      <c r="P4417">
        <v>1</v>
      </c>
      <c r="Q4417">
        <v>0</v>
      </c>
      <c r="R4417" t="s">
        <v>127</v>
      </c>
      <c r="S4417" t="str">
        <f t="shared" si="1746"/>
        <v>15:16:47.000</v>
      </c>
      <c r="T4417" t="str">
        <f t="shared" si="1746"/>
        <v>15:16:47.000</v>
      </c>
      <c r="U4417" t="str">
        <f t="shared" si="1725"/>
        <v>A68FCB</v>
      </c>
      <c r="V4417">
        <v>0</v>
      </c>
      <c r="W4417">
        <v>0</v>
      </c>
      <c r="X4417">
        <v>2</v>
      </c>
      <c r="Y4417">
        <v>0</v>
      </c>
      <c r="AA4417">
        <v>1</v>
      </c>
      <c r="AB4417">
        <v>8</v>
      </c>
      <c r="AC4417">
        <v>3</v>
      </c>
      <c r="AD4417">
        <v>0</v>
      </c>
      <c r="AE4417">
        <v>9</v>
      </c>
      <c r="AF4417" t="s">
        <v>138</v>
      </c>
      <c r="AG4417">
        <v>0</v>
      </c>
      <c r="AH4417">
        <v>3</v>
      </c>
      <c r="AI4417">
        <v>2</v>
      </c>
      <c r="AJ4417">
        <v>0</v>
      </c>
      <c r="AK4417" t="s">
        <v>1404</v>
      </c>
      <c r="AL4417">
        <v>39.202995000000001</v>
      </c>
      <c r="AM4417" t="s">
        <v>1405</v>
      </c>
      <c r="AN4417">
        <v>-121.01139999999999</v>
      </c>
      <c r="AO4417">
        <v>25</v>
      </c>
      <c r="AP4417">
        <v>4200</v>
      </c>
      <c r="AQ4417" t="s">
        <v>131</v>
      </c>
      <c r="AR4417">
        <v>46</v>
      </c>
      <c r="AS4417">
        <v>63</v>
      </c>
      <c r="AT4417">
        <v>0</v>
      </c>
      <c r="BB4417" t="str">
        <f t="shared" si="1726"/>
        <v>1200</v>
      </c>
      <c r="BC4417">
        <v>1</v>
      </c>
      <c r="BD4417" t="str">
        <f t="shared" si="1727"/>
        <v xml:space="preserve">N52156  </v>
      </c>
      <c r="BE4417">
        <v>1</v>
      </c>
      <c r="BG4417">
        <v>0</v>
      </c>
      <c r="BH4417">
        <v>0</v>
      </c>
      <c r="BI4417">
        <v>0</v>
      </c>
      <c r="BJ4417">
        <v>4225</v>
      </c>
      <c r="BK4417">
        <v>25</v>
      </c>
      <c r="BL4417" t="s">
        <v>188</v>
      </c>
      <c r="BM4417">
        <v>1</v>
      </c>
      <c r="BN4417">
        <v>1</v>
      </c>
      <c r="BO4417">
        <v>0</v>
      </c>
      <c r="BP4417">
        <v>0</v>
      </c>
      <c r="BS4417">
        <v>0</v>
      </c>
      <c r="BT4417">
        <v>0</v>
      </c>
      <c r="BU4417">
        <v>0</v>
      </c>
      <c r="CE4417" t="str">
        <f t="shared" si="1747"/>
        <v>15:16:47.200</v>
      </c>
      <c r="CF4417">
        <v>200251912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4</v>
      </c>
      <c r="CY4417">
        <v>7</v>
      </c>
      <c r="CZ4417" t="s">
        <v>133</v>
      </c>
      <c r="DA4417">
        <v>275</v>
      </c>
      <c r="DB4417">
        <v>0</v>
      </c>
      <c r="DC4417" t="s">
        <v>134</v>
      </c>
      <c r="DD4417" t="s">
        <v>135</v>
      </c>
      <c r="DG4417">
        <v>3323280</v>
      </c>
      <c r="DI4417">
        <v>1</v>
      </c>
      <c r="DJ4417">
        <v>0</v>
      </c>
      <c r="DK4417">
        <v>1</v>
      </c>
      <c r="DL4417">
        <v>0</v>
      </c>
      <c r="DM4417">
        <v>0</v>
      </c>
      <c r="DN4417">
        <v>0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 x14ac:dyDescent="0.3">
      <c r="A4418" t="str">
        <f>"05/01/2025 15:16:48.456"</f>
        <v>05/01/2025 15:16:48.456</v>
      </c>
      <c r="C4418" t="str">
        <f t="shared" ref="C4418:C4481" si="1748">"FFDFD3C0"</f>
        <v>FFDFD3C0</v>
      </c>
      <c r="D4418" t="s">
        <v>124</v>
      </c>
      <c r="E4418" t="str">
        <f>"06"</f>
        <v>06</v>
      </c>
      <c r="F4418">
        <v>2006</v>
      </c>
      <c r="G4418" t="s">
        <v>125</v>
      </c>
      <c r="J4418" t="s">
        <v>126</v>
      </c>
      <c r="K4418">
        <v>0</v>
      </c>
      <c r="L4418">
        <v>3</v>
      </c>
      <c r="M4418">
        <v>0</v>
      </c>
      <c r="N4418">
        <v>2</v>
      </c>
      <c r="O4418">
        <v>0</v>
      </c>
      <c r="P4418">
        <v>1</v>
      </c>
      <c r="Q4418">
        <v>0</v>
      </c>
      <c r="R4418" t="s">
        <v>127</v>
      </c>
      <c r="S4418" t="str">
        <f t="shared" ref="S4418:T4423" si="1749">"15:16:48.000"</f>
        <v>15:16:48.000</v>
      </c>
      <c r="T4418" t="str">
        <f t="shared" si="1749"/>
        <v>15:16:48.000</v>
      </c>
      <c r="U4418" t="str">
        <f t="shared" ref="U4418:U4481" si="1750">"A68FCB"</f>
        <v>A68FCB</v>
      </c>
      <c r="V4418">
        <v>0</v>
      </c>
      <c r="W4418">
        <v>0</v>
      </c>
      <c r="X4418">
        <v>2</v>
      </c>
      <c r="Y4418">
        <v>0</v>
      </c>
      <c r="AA4418">
        <v>1</v>
      </c>
      <c r="AB4418">
        <v>8</v>
      </c>
      <c r="AC4418">
        <v>3</v>
      </c>
      <c r="AD4418">
        <v>0</v>
      </c>
      <c r="AE4418">
        <v>9</v>
      </c>
      <c r="AF4418" t="s">
        <v>138</v>
      </c>
      <c r="AG4418">
        <v>0</v>
      </c>
      <c r="AH4418">
        <v>3</v>
      </c>
      <c r="AI4418">
        <v>2</v>
      </c>
      <c r="AJ4418">
        <v>0</v>
      </c>
      <c r="AK4418" t="s">
        <v>1406</v>
      </c>
      <c r="AL4418">
        <v>39.203296000000002</v>
      </c>
      <c r="AM4418" t="s">
        <v>1407</v>
      </c>
      <c r="AN4418">
        <v>-121.011121</v>
      </c>
      <c r="AO4418">
        <v>25</v>
      </c>
      <c r="AP4418">
        <v>4200</v>
      </c>
      <c r="AQ4418" t="s">
        <v>131</v>
      </c>
      <c r="AR4418">
        <v>46</v>
      </c>
      <c r="AS4418">
        <v>63</v>
      </c>
      <c r="AT4418">
        <v>0</v>
      </c>
      <c r="BB4418" t="str">
        <f t="shared" ref="BB4418:BB4481" si="1751">"1200"</f>
        <v>1200</v>
      </c>
      <c r="BC4418">
        <v>1</v>
      </c>
      <c r="BD4418" t="str">
        <f t="shared" ref="BD4418:BD4481" si="1752">"N52156  "</f>
        <v xml:space="preserve">N52156  </v>
      </c>
      <c r="BE4418">
        <v>1</v>
      </c>
      <c r="BG4418">
        <v>0</v>
      </c>
      <c r="BH4418">
        <v>0</v>
      </c>
      <c r="BI4418">
        <v>0</v>
      </c>
      <c r="BJ4418">
        <v>4225</v>
      </c>
      <c r="BK4418">
        <v>25</v>
      </c>
      <c r="BL4418" t="s">
        <v>188</v>
      </c>
      <c r="BM4418">
        <v>1</v>
      </c>
      <c r="BN4418">
        <v>1</v>
      </c>
      <c r="BO4418">
        <v>0</v>
      </c>
      <c r="BP4418">
        <v>0</v>
      </c>
      <c r="BS4418">
        <v>0</v>
      </c>
      <c r="BT4418">
        <v>0</v>
      </c>
      <c r="BU4418">
        <v>0</v>
      </c>
      <c r="CE4418" t="str">
        <f t="shared" ref="CE4418:CE4423" si="1753">"15:16:48.248"</f>
        <v>15:16:48.248</v>
      </c>
      <c r="CF4418">
        <v>247752136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5</v>
      </c>
      <c r="CY4418">
        <v>7</v>
      </c>
      <c r="CZ4418" t="s">
        <v>133</v>
      </c>
      <c r="DA4418">
        <v>275</v>
      </c>
      <c r="DB4418">
        <v>0</v>
      </c>
      <c r="DC4418" t="s">
        <v>134</v>
      </c>
      <c r="DD4418" t="s">
        <v>135</v>
      </c>
      <c r="DG4418">
        <v>3323281</v>
      </c>
      <c r="DI4418">
        <v>1</v>
      </c>
      <c r="DJ4418">
        <v>0</v>
      </c>
      <c r="DK4418">
        <v>0</v>
      </c>
      <c r="DL4418">
        <v>0</v>
      </c>
      <c r="DM4418">
        <v>0</v>
      </c>
      <c r="DN4418">
        <v>0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 x14ac:dyDescent="0.3">
      <c r="A4419" t="str">
        <f>"05/01/2025 15:16:48.455"</f>
        <v>05/01/2025 15:16:48.455</v>
      </c>
      <c r="C4419" t="str">
        <f t="shared" si="1748"/>
        <v>FFDFD3C0</v>
      </c>
      <c r="D4419" t="s">
        <v>140</v>
      </c>
      <c r="E4419" t="str">
        <f>"13"</f>
        <v>13</v>
      </c>
      <c r="F4419">
        <v>1019</v>
      </c>
      <c r="G4419" t="s">
        <v>141</v>
      </c>
      <c r="J4419" t="s">
        <v>142</v>
      </c>
      <c r="K4419">
        <v>0</v>
      </c>
      <c r="L4419">
        <v>3</v>
      </c>
      <c r="M4419">
        <v>0</v>
      </c>
      <c r="N4419">
        <v>2</v>
      </c>
      <c r="O4419">
        <v>0</v>
      </c>
      <c r="P4419">
        <v>1</v>
      </c>
      <c r="Q4419">
        <v>0</v>
      </c>
      <c r="R4419" t="s">
        <v>127</v>
      </c>
      <c r="S4419" t="str">
        <f t="shared" si="1749"/>
        <v>15:16:48.000</v>
      </c>
      <c r="T4419" t="str">
        <f t="shared" si="1749"/>
        <v>15:16:48.000</v>
      </c>
      <c r="U4419" t="str">
        <f t="shared" si="1750"/>
        <v>A68FCB</v>
      </c>
      <c r="V4419">
        <v>0</v>
      </c>
      <c r="W4419">
        <v>0</v>
      </c>
      <c r="X4419">
        <v>2</v>
      </c>
      <c r="Y4419">
        <v>0</v>
      </c>
      <c r="AA4419">
        <v>1</v>
      </c>
      <c r="AB4419">
        <v>8</v>
      </c>
      <c r="AC4419">
        <v>3</v>
      </c>
      <c r="AD4419">
        <v>0</v>
      </c>
      <c r="AE4419">
        <v>9</v>
      </c>
      <c r="AF4419" t="s">
        <v>138</v>
      </c>
      <c r="AG4419">
        <v>0</v>
      </c>
      <c r="AH4419">
        <v>3</v>
      </c>
      <c r="AI4419">
        <v>2</v>
      </c>
      <c r="AJ4419">
        <v>0</v>
      </c>
      <c r="AK4419" t="s">
        <v>1406</v>
      </c>
      <c r="AL4419">
        <v>39.203296000000002</v>
      </c>
      <c r="AM4419" t="s">
        <v>1407</v>
      </c>
      <c r="AN4419">
        <v>-121.011121</v>
      </c>
      <c r="AO4419">
        <v>25</v>
      </c>
      <c r="AP4419">
        <v>4200</v>
      </c>
      <c r="AQ4419" t="s">
        <v>131</v>
      </c>
      <c r="AR4419">
        <v>46</v>
      </c>
      <c r="AS4419">
        <v>63</v>
      </c>
      <c r="AT4419">
        <v>0</v>
      </c>
      <c r="BB4419" t="str">
        <f t="shared" si="1751"/>
        <v>1200</v>
      </c>
      <c r="BC4419">
        <v>1</v>
      </c>
      <c r="BD4419" t="str">
        <f t="shared" si="1752"/>
        <v xml:space="preserve">N52156  </v>
      </c>
      <c r="BE4419">
        <v>1</v>
      </c>
      <c r="BG4419">
        <v>0</v>
      </c>
      <c r="BH4419">
        <v>0</v>
      </c>
      <c r="BI4419">
        <v>0</v>
      </c>
      <c r="BJ4419">
        <v>4225</v>
      </c>
      <c r="BK4419">
        <v>25</v>
      </c>
      <c r="BL4419" t="s">
        <v>188</v>
      </c>
      <c r="BM4419">
        <v>1</v>
      </c>
      <c r="BN4419">
        <v>1</v>
      </c>
      <c r="BO4419">
        <v>0</v>
      </c>
      <c r="BP4419">
        <v>0</v>
      </c>
      <c r="BS4419">
        <v>0</v>
      </c>
      <c r="BT4419">
        <v>0</v>
      </c>
      <c r="BU4419">
        <v>0</v>
      </c>
      <c r="CE4419" t="str">
        <f t="shared" si="1753"/>
        <v>15:16:48.248</v>
      </c>
      <c r="CF4419">
        <v>247752136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5</v>
      </c>
      <c r="CY4419">
        <v>7</v>
      </c>
      <c r="CZ4419" t="s">
        <v>133</v>
      </c>
      <c r="DA4419">
        <v>275</v>
      </c>
      <c r="DB4419">
        <v>0</v>
      </c>
      <c r="DC4419" t="s">
        <v>134</v>
      </c>
      <c r="DD4419" t="s">
        <v>135</v>
      </c>
      <c r="DG4419">
        <v>3323281</v>
      </c>
      <c r="DI4419">
        <v>1</v>
      </c>
      <c r="DJ4419">
        <v>0</v>
      </c>
      <c r="DK4419">
        <v>1</v>
      </c>
      <c r="DL4419">
        <v>0</v>
      </c>
      <c r="DM4419">
        <v>0</v>
      </c>
      <c r="DN4419">
        <v>0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 x14ac:dyDescent="0.3">
      <c r="A4420" t="str">
        <f>"05/01/2025 15:16:48.461"</f>
        <v>05/01/2025 15:16:48.461</v>
      </c>
      <c r="C4420" t="str">
        <f t="shared" si="1748"/>
        <v>FFDFD3C0</v>
      </c>
      <c r="D4420" t="s">
        <v>143</v>
      </c>
      <c r="E4420" t="str">
        <f>"05"</f>
        <v>05</v>
      </c>
      <c r="H4420">
        <v>172</v>
      </c>
      <c r="I4420" t="s">
        <v>141</v>
      </c>
      <c r="J4420" t="s">
        <v>144</v>
      </c>
      <c r="K4420">
        <v>0</v>
      </c>
      <c r="L4420">
        <v>3</v>
      </c>
      <c r="M4420">
        <v>0</v>
      </c>
      <c r="N4420">
        <v>2</v>
      </c>
      <c r="O4420">
        <v>0</v>
      </c>
      <c r="P4420">
        <v>1</v>
      </c>
      <c r="Q4420">
        <v>0</v>
      </c>
      <c r="R4420" t="s">
        <v>127</v>
      </c>
      <c r="S4420" t="str">
        <f t="shared" si="1749"/>
        <v>15:16:48.000</v>
      </c>
      <c r="T4420" t="str">
        <f t="shared" si="1749"/>
        <v>15:16:48.000</v>
      </c>
      <c r="U4420" t="str">
        <f t="shared" si="1750"/>
        <v>A68FCB</v>
      </c>
      <c r="V4420">
        <v>0</v>
      </c>
      <c r="W4420">
        <v>0</v>
      </c>
      <c r="X4420">
        <v>2</v>
      </c>
      <c r="Y4420">
        <v>0</v>
      </c>
      <c r="AA4420">
        <v>1</v>
      </c>
      <c r="AB4420">
        <v>8</v>
      </c>
      <c r="AC4420">
        <v>3</v>
      </c>
      <c r="AD4420">
        <v>0</v>
      </c>
      <c r="AE4420">
        <v>9</v>
      </c>
      <c r="AF4420" t="s">
        <v>138</v>
      </c>
      <c r="AG4420">
        <v>0</v>
      </c>
      <c r="AH4420">
        <v>3</v>
      </c>
      <c r="AI4420">
        <v>2</v>
      </c>
      <c r="AJ4420">
        <v>0</v>
      </c>
      <c r="AK4420" t="s">
        <v>1406</v>
      </c>
      <c r="AL4420">
        <v>39.203296000000002</v>
      </c>
      <c r="AM4420" t="s">
        <v>1407</v>
      </c>
      <c r="AN4420">
        <v>-121.011121</v>
      </c>
      <c r="AO4420">
        <v>25</v>
      </c>
      <c r="AP4420">
        <v>4200</v>
      </c>
      <c r="AQ4420" t="s">
        <v>131</v>
      </c>
      <c r="AR4420">
        <v>46</v>
      </c>
      <c r="AS4420">
        <v>63</v>
      </c>
      <c r="AT4420">
        <v>0</v>
      </c>
      <c r="BB4420" t="str">
        <f t="shared" si="1751"/>
        <v>1200</v>
      </c>
      <c r="BC4420">
        <v>1</v>
      </c>
      <c r="BD4420" t="str">
        <f t="shared" si="1752"/>
        <v xml:space="preserve">N52156  </v>
      </c>
      <c r="BE4420">
        <v>1</v>
      </c>
      <c r="BG4420">
        <v>0</v>
      </c>
      <c r="BH4420">
        <v>0</v>
      </c>
      <c r="BI4420">
        <v>0</v>
      </c>
      <c r="BJ4420">
        <v>4225</v>
      </c>
      <c r="BK4420">
        <v>25</v>
      </c>
      <c r="BL4420" t="s">
        <v>188</v>
      </c>
      <c r="BM4420">
        <v>1</v>
      </c>
      <c r="BN4420">
        <v>1</v>
      </c>
      <c r="BO4420">
        <v>0</v>
      </c>
      <c r="BP4420">
        <v>0</v>
      </c>
      <c r="BS4420">
        <v>0</v>
      </c>
      <c r="BT4420">
        <v>0</v>
      </c>
      <c r="BU4420">
        <v>0</v>
      </c>
      <c r="CE4420" t="str">
        <f t="shared" si="1753"/>
        <v>15:16:48.248</v>
      </c>
      <c r="CF4420">
        <v>247752136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5</v>
      </c>
      <c r="CY4420">
        <v>7</v>
      </c>
      <c r="CZ4420" t="s">
        <v>133</v>
      </c>
      <c r="DA4420">
        <v>275</v>
      </c>
      <c r="DB4420">
        <v>0</v>
      </c>
      <c r="DC4420" t="s">
        <v>134</v>
      </c>
      <c r="DD4420" t="s">
        <v>135</v>
      </c>
      <c r="DG4420">
        <v>3323281</v>
      </c>
      <c r="DI4420">
        <v>1</v>
      </c>
      <c r="DJ4420">
        <v>0</v>
      </c>
      <c r="DK4420">
        <v>1</v>
      </c>
      <c r="DL4420">
        <v>0</v>
      </c>
      <c r="DM4420">
        <v>0</v>
      </c>
      <c r="DN4420">
        <v>0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 x14ac:dyDescent="0.3">
      <c r="A4421" t="str">
        <f>"05/01/2025 15:16:48.473"</f>
        <v>05/01/2025 15:16:48.473</v>
      </c>
      <c r="C4421" t="str">
        <f t="shared" si="1748"/>
        <v>FFDFD3C0</v>
      </c>
      <c r="D4421" t="s">
        <v>145</v>
      </c>
      <c r="E4421" t="str">
        <f>"09"</f>
        <v>09</v>
      </c>
      <c r="H4421">
        <v>51</v>
      </c>
      <c r="I4421" t="s">
        <v>147</v>
      </c>
      <c r="J4421" t="s">
        <v>138</v>
      </c>
      <c r="K4421">
        <v>0</v>
      </c>
      <c r="L4421">
        <v>3</v>
      </c>
      <c r="M4421">
        <v>0</v>
      </c>
      <c r="N4421">
        <v>2</v>
      </c>
      <c r="O4421">
        <v>0</v>
      </c>
      <c r="P4421">
        <v>1</v>
      </c>
      <c r="Q4421">
        <v>0</v>
      </c>
      <c r="R4421" t="s">
        <v>127</v>
      </c>
      <c r="S4421" t="str">
        <f t="shared" si="1749"/>
        <v>15:16:48.000</v>
      </c>
      <c r="T4421" t="str">
        <f t="shared" si="1749"/>
        <v>15:16:48.000</v>
      </c>
      <c r="U4421" t="str">
        <f t="shared" si="1750"/>
        <v>A68FCB</v>
      </c>
      <c r="V4421">
        <v>0</v>
      </c>
      <c r="W4421">
        <v>0</v>
      </c>
      <c r="X4421">
        <v>2</v>
      </c>
      <c r="Y4421">
        <v>0</v>
      </c>
      <c r="AA4421">
        <v>1</v>
      </c>
      <c r="AB4421">
        <v>8</v>
      </c>
      <c r="AC4421">
        <v>3</v>
      </c>
      <c r="AD4421">
        <v>0</v>
      </c>
      <c r="AE4421">
        <v>9</v>
      </c>
      <c r="AF4421" t="s">
        <v>138</v>
      </c>
      <c r="AG4421">
        <v>0</v>
      </c>
      <c r="AH4421">
        <v>3</v>
      </c>
      <c r="AI4421">
        <v>2</v>
      </c>
      <c r="AJ4421">
        <v>0</v>
      </c>
      <c r="AK4421" t="s">
        <v>1406</v>
      </c>
      <c r="AL4421">
        <v>39.203296000000002</v>
      </c>
      <c r="AM4421" t="s">
        <v>1407</v>
      </c>
      <c r="AN4421">
        <v>-121.011121</v>
      </c>
      <c r="AO4421">
        <v>25</v>
      </c>
      <c r="AP4421">
        <v>4200</v>
      </c>
      <c r="AQ4421" t="s">
        <v>131</v>
      </c>
      <c r="AR4421">
        <v>46</v>
      </c>
      <c r="AS4421">
        <v>63</v>
      </c>
      <c r="AT4421">
        <v>0</v>
      </c>
      <c r="BB4421" t="str">
        <f t="shared" si="1751"/>
        <v>1200</v>
      </c>
      <c r="BC4421">
        <v>1</v>
      </c>
      <c r="BD4421" t="str">
        <f t="shared" si="1752"/>
        <v xml:space="preserve">N52156  </v>
      </c>
      <c r="BE4421">
        <v>1</v>
      </c>
      <c r="BG4421">
        <v>0</v>
      </c>
      <c r="BH4421">
        <v>0</v>
      </c>
      <c r="BI4421">
        <v>0</v>
      </c>
      <c r="BJ4421">
        <v>4225</v>
      </c>
      <c r="BK4421">
        <v>25</v>
      </c>
      <c r="BL4421" t="s">
        <v>188</v>
      </c>
      <c r="BM4421">
        <v>1</v>
      </c>
      <c r="BN4421">
        <v>1</v>
      </c>
      <c r="BO4421">
        <v>0</v>
      </c>
      <c r="BP4421">
        <v>0</v>
      </c>
      <c r="BS4421">
        <v>0</v>
      </c>
      <c r="BT4421">
        <v>0</v>
      </c>
      <c r="BU4421">
        <v>0</v>
      </c>
      <c r="CE4421" t="str">
        <f t="shared" si="1753"/>
        <v>15:16:48.248</v>
      </c>
      <c r="CF4421">
        <v>247752136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5</v>
      </c>
      <c r="CY4421">
        <v>7</v>
      </c>
      <c r="CZ4421" t="s">
        <v>133</v>
      </c>
      <c r="DA4421">
        <v>275</v>
      </c>
      <c r="DB4421">
        <v>0</v>
      </c>
      <c r="DC4421" t="s">
        <v>134</v>
      </c>
      <c r="DD4421" t="s">
        <v>135</v>
      </c>
      <c r="DG4421">
        <v>3323281</v>
      </c>
      <c r="DI4421">
        <v>1</v>
      </c>
      <c r="DJ4421">
        <v>0</v>
      </c>
      <c r="DK4421">
        <v>1</v>
      </c>
      <c r="DL4421">
        <v>0</v>
      </c>
      <c r="DM4421">
        <v>0</v>
      </c>
      <c r="DN4421">
        <v>0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 x14ac:dyDescent="0.3">
      <c r="A4422" t="str">
        <f>"05/01/2025 15:16:48.476"</f>
        <v>05/01/2025 15:16:48.476</v>
      </c>
      <c r="C4422" t="str">
        <f t="shared" si="1748"/>
        <v>FFDFD3C0</v>
      </c>
      <c r="D4422" t="s">
        <v>145</v>
      </c>
      <c r="E4422" t="str">
        <f>"05"</f>
        <v>05</v>
      </c>
      <c r="H4422">
        <v>47</v>
      </c>
      <c r="I4422" t="s">
        <v>146</v>
      </c>
      <c r="J4422" t="s">
        <v>138</v>
      </c>
      <c r="K4422">
        <v>0</v>
      </c>
      <c r="L4422">
        <v>3</v>
      </c>
      <c r="M4422">
        <v>0</v>
      </c>
      <c r="N4422">
        <v>2</v>
      </c>
      <c r="O4422">
        <v>0</v>
      </c>
      <c r="P4422">
        <v>1</v>
      </c>
      <c r="Q4422">
        <v>0</v>
      </c>
      <c r="R4422" t="s">
        <v>127</v>
      </c>
      <c r="S4422" t="str">
        <f t="shared" si="1749"/>
        <v>15:16:48.000</v>
      </c>
      <c r="T4422" t="str">
        <f t="shared" si="1749"/>
        <v>15:16:48.000</v>
      </c>
      <c r="U4422" t="str">
        <f t="shared" si="1750"/>
        <v>A68FCB</v>
      </c>
      <c r="V4422">
        <v>0</v>
      </c>
      <c r="W4422">
        <v>0</v>
      </c>
      <c r="X4422">
        <v>2</v>
      </c>
      <c r="Y4422">
        <v>0</v>
      </c>
      <c r="AA4422">
        <v>1</v>
      </c>
      <c r="AB4422">
        <v>8</v>
      </c>
      <c r="AC4422">
        <v>3</v>
      </c>
      <c r="AD4422">
        <v>0</v>
      </c>
      <c r="AE4422">
        <v>9</v>
      </c>
      <c r="AF4422" t="s">
        <v>138</v>
      </c>
      <c r="AG4422">
        <v>0</v>
      </c>
      <c r="AH4422">
        <v>3</v>
      </c>
      <c r="AI4422">
        <v>2</v>
      </c>
      <c r="AJ4422">
        <v>0</v>
      </c>
      <c r="AK4422" t="s">
        <v>1406</v>
      </c>
      <c r="AL4422">
        <v>39.203296000000002</v>
      </c>
      <c r="AM4422" t="s">
        <v>1407</v>
      </c>
      <c r="AN4422">
        <v>-121.011121</v>
      </c>
      <c r="AO4422">
        <v>25</v>
      </c>
      <c r="AP4422">
        <v>4200</v>
      </c>
      <c r="AQ4422" t="s">
        <v>131</v>
      </c>
      <c r="AR4422">
        <v>46</v>
      </c>
      <c r="AS4422">
        <v>63</v>
      </c>
      <c r="AT4422">
        <v>0</v>
      </c>
      <c r="BB4422" t="str">
        <f t="shared" si="1751"/>
        <v>1200</v>
      </c>
      <c r="BC4422">
        <v>1</v>
      </c>
      <c r="BD4422" t="str">
        <f t="shared" si="1752"/>
        <v xml:space="preserve">N52156  </v>
      </c>
      <c r="BE4422">
        <v>1</v>
      </c>
      <c r="BG4422">
        <v>0</v>
      </c>
      <c r="BH4422">
        <v>0</v>
      </c>
      <c r="BI4422">
        <v>0</v>
      </c>
      <c r="BJ4422">
        <v>4225</v>
      </c>
      <c r="BK4422">
        <v>25</v>
      </c>
      <c r="BL4422" t="s">
        <v>188</v>
      </c>
      <c r="BM4422">
        <v>1</v>
      </c>
      <c r="BN4422">
        <v>1</v>
      </c>
      <c r="BO4422">
        <v>0</v>
      </c>
      <c r="BP4422">
        <v>0</v>
      </c>
      <c r="BS4422">
        <v>0</v>
      </c>
      <c r="BT4422">
        <v>0</v>
      </c>
      <c r="BU4422">
        <v>0</v>
      </c>
      <c r="CE4422" t="str">
        <f t="shared" si="1753"/>
        <v>15:16:48.248</v>
      </c>
      <c r="CF4422">
        <v>247752136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5</v>
      </c>
      <c r="CY4422">
        <v>7</v>
      </c>
      <c r="CZ4422" t="s">
        <v>133</v>
      </c>
      <c r="DA4422">
        <v>275</v>
      </c>
      <c r="DB4422">
        <v>0</v>
      </c>
      <c r="DC4422" t="s">
        <v>134</v>
      </c>
      <c r="DD4422" t="s">
        <v>135</v>
      </c>
      <c r="DG4422">
        <v>3323281</v>
      </c>
      <c r="DI4422">
        <v>1</v>
      </c>
      <c r="DJ4422">
        <v>0</v>
      </c>
      <c r="DK4422">
        <v>1</v>
      </c>
      <c r="DL4422">
        <v>0</v>
      </c>
      <c r="DM4422">
        <v>0</v>
      </c>
      <c r="DN4422">
        <v>0</v>
      </c>
      <c r="DO4422">
        <v>0</v>
      </c>
      <c r="DP4422">
        <v>0</v>
      </c>
      <c r="DQ4422">
        <v>0</v>
      </c>
      <c r="DR4422">
        <v>0</v>
      </c>
      <c r="DS4422">
        <v>0</v>
      </c>
    </row>
    <row r="4423" spans="1:123" x14ac:dyDescent="0.3">
      <c r="A4423" t="str">
        <f>"05/01/2025 15:16:48.489"</f>
        <v>05/01/2025 15:16:48.489</v>
      </c>
      <c r="C4423" t="str">
        <f t="shared" si="1748"/>
        <v>FFDFD3C0</v>
      </c>
      <c r="D4423" t="s">
        <v>136</v>
      </c>
      <c r="E4423" t="str">
        <f>"20"</f>
        <v>20</v>
      </c>
      <c r="H4423">
        <v>400</v>
      </c>
      <c r="I4423" t="s">
        <v>137</v>
      </c>
      <c r="J4423" t="s">
        <v>138</v>
      </c>
      <c r="K4423">
        <v>0</v>
      </c>
      <c r="L4423">
        <v>3</v>
      </c>
      <c r="M4423">
        <v>0</v>
      </c>
      <c r="N4423">
        <v>2</v>
      </c>
      <c r="O4423">
        <v>0</v>
      </c>
      <c r="P4423">
        <v>1</v>
      </c>
      <c r="Q4423">
        <v>0</v>
      </c>
      <c r="R4423" t="s">
        <v>127</v>
      </c>
      <c r="S4423" t="str">
        <f t="shared" si="1749"/>
        <v>15:16:48.000</v>
      </c>
      <c r="T4423" t="str">
        <f t="shared" si="1749"/>
        <v>15:16:48.000</v>
      </c>
      <c r="U4423" t="str">
        <f t="shared" si="1750"/>
        <v>A68FCB</v>
      </c>
      <c r="V4423">
        <v>0</v>
      </c>
      <c r="W4423">
        <v>0</v>
      </c>
      <c r="X4423">
        <v>2</v>
      </c>
      <c r="Y4423">
        <v>0</v>
      </c>
      <c r="AA4423">
        <v>1</v>
      </c>
      <c r="AB4423">
        <v>8</v>
      </c>
      <c r="AC4423">
        <v>3</v>
      </c>
      <c r="AD4423">
        <v>0</v>
      </c>
      <c r="AE4423">
        <v>9</v>
      </c>
      <c r="AF4423" t="s">
        <v>138</v>
      </c>
      <c r="AG4423">
        <v>0</v>
      </c>
      <c r="AH4423">
        <v>3</v>
      </c>
      <c r="AI4423">
        <v>2</v>
      </c>
      <c r="AJ4423">
        <v>0</v>
      </c>
      <c r="AK4423" t="s">
        <v>1406</v>
      </c>
      <c r="AL4423">
        <v>39.203296000000002</v>
      </c>
      <c r="AM4423" t="s">
        <v>1407</v>
      </c>
      <c r="AN4423">
        <v>-121.011121</v>
      </c>
      <c r="AO4423">
        <v>25</v>
      </c>
      <c r="AP4423">
        <v>4200</v>
      </c>
      <c r="AQ4423" t="s">
        <v>131</v>
      </c>
      <c r="AR4423">
        <v>46</v>
      </c>
      <c r="AS4423">
        <v>63</v>
      </c>
      <c r="AT4423">
        <v>0</v>
      </c>
      <c r="BB4423" t="str">
        <f t="shared" si="1751"/>
        <v>1200</v>
      </c>
      <c r="BC4423">
        <v>1</v>
      </c>
      <c r="BD4423" t="str">
        <f t="shared" si="1752"/>
        <v xml:space="preserve">N52156  </v>
      </c>
      <c r="BE4423">
        <v>1</v>
      </c>
      <c r="BG4423">
        <v>0</v>
      </c>
      <c r="BH4423">
        <v>0</v>
      </c>
      <c r="BI4423">
        <v>0</v>
      </c>
      <c r="BJ4423">
        <v>4225</v>
      </c>
      <c r="BK4423">
        <v>25</v>
      </c>
      <c r="BL4423" t="s">
        <v>188</v>
      </c>
      <c r="BM4423">
        <v>1</v>
      </c>
      <c r="BN4423">
        <v>1</v>
      </c>
      <c r="BO4423">
        <v>0</v>
      </c>
      <c r="BP4423">
        <v>0</v>
      </c>
      <c r="BS4423">
        <v>0</v>
      </c>
      <c r="BT4423">
        <v>0</v>
      </c>
      <c r="BU4423">
        <v>0</v>
      </c>
      <c r="CE4423" t="str">
        <f t="shared" si="1753"/>
        <v>15:16:48.248</v>
      </c>
      <c r="CF4423">
        <v>247752136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5</v>
      </c>
      <c r="CY4423">
        <v>7</v>
      </c>
      <c r="CZ4423" t="s">
        <v>133</v>
      </c>
      <c r="DA4423">
        <v>275</v>
      </c>
      <c r="DB4423">
        <v>0</v>
      </c>
      <c r="DC4423" t="s">
        <v>134</v>
      </c>
      <c r="DD4423" t="s">
        <v>135</v>
      </c>
      <c r="DG4423">
        <v>3323281</v>
      </c>
      <c r="DI4423">
        <v>1</v>
      </c>
      <c r="DJ4423">
        <v>0</v>
      </c>
      <c r="DK4423">
        <v>1</v>
      </c>
      <c r="DL4423">
        <v>0</v>
      </c>
      <c r="DM4423">
        <v>0</v>
      </c>
      <c r="DN4423">
        <v>0</v>
      </c>
      <c r="DO4423">
        <v>0</v>
      </c>
      <c r="DP4423">
        <v>0</v>
      </c>
      <c r="DQ4423">
        <v>0</v>
      </c>
      <c r="DR4423">
        <v>0</v>
      </c>
      <c r="DS4423">
        <v>0</v>
      </c>
    </row>
    <row r="4424" spans="1:123" x14ac:dyDescent="0.3">
      <c r="A4424" t="str">
        <f>"05/01/2025 15:16:50.026"</f>
        <v>05/01/2025 15:16:50.026</v>
      </c>
      <c r="C4424" t="str">
        <f t="shared" si="1748"/>
        <v>FFDFD3C0</v>
      </c>
      <c r="D4424" t="s">
        <v>145</v>
      </c>
      <c r="E4424" t="str">
        <f>"09"</f>
        <v>09</v>
      </c>
      <c r="H4424">
        <v>51</v>
      </c>
      <c r="I4424" t="s">
        <v>147</v>
      </c>
      <c r="J4424" t="s">
        <v>138</v>
      </c>
      <c r="K4424">
        <v>0</v>
      </c>
      <c r="L4424">
        <v>3</v>
      </c>
      <c r="M4424">
        <v>0</v>
      </c>
      <c r="N4424">
        <v>2</v>
      </c>
      <c r="O4424">
        <v>0</v>
      </c>
      <c r="P4424">
        <v>1</v>
      </c>
      <c r="Q4424">
        <v>0</v>
      </c>
      <c r="R4424" t="s">
        <v>127</v>
      </c>
      <c r="S4424" t="str">
        <f t="shared" ref="S4424:T4429" si="1754">"15:16:49.000"</f>
        <v>15:16:49.000</v>
      </c>
      <c r="T4424" t="str">
        <f t="shared" si="1754"/>
        <v>15:16:49.000</v>
      </c>
      <c r="U4424" t="str">
        <f t="shared" si="1750"/>
        <v>A68FCB</v>
      </c>
      <c r="V4424">
        <v>0</v>
      </c>
      <c r="W4424">
        <v>0</v>
      </c>
      <c r="X4424">
        <v>2</v>
      </c>
      <c r="Y4424">
        <v>0</v>
      </c>
      <c r="AA4424">
        <v>1</v>
      </c>
      <c r="AB4424">
        <v>8</v>
      </c>
      <c r="AC4424">
        <v>3</v>
      </c>
      <c r="AD4424">
        <v>0</v>
      </c>
      <c r="AE4424">
        <v>9</v>
      </c>
      <c r="AF4424" t="s">
        <v>138</v>
      </c>
      <c r="AG4424">
        <v>0</v>
      </c>
      <c r="AH4424">
        <v>3</v>
      </c>
      <c r="AI4424">
        <v>2</v>
      </c>
      <c r="AJ4424">
        <v>0</v>
      </c>
      <c r="AK4424" t="s">
        <v>1408</v>
      </c>
      <c r="AL4424">
        <v>39.203595999999997</v>
      </c>
      <c r="AM4424" t="s">
        <v>1409</v>
      </c>
      <c r="AN4424">
        <v>-121.010864</v>
      </c>
      <c r="AO4424">
        <v>25</v>
      </c>
      <c r="AP4424">
        <v>4200</v>
      </c>
      <c r="AQ4424" t="s">
        <v>131</v>
      </c>
      <c r="AR4424">
        <v>46</v>
      </c>
      <c r="AS4424">
        <v>63</v>
      </c>
      <c r="AT4424">
        <v>0</v>
      </c>
      <c r="BB4424" t="str">
        <f t="shared" si="1751"/>
        <v>1200</v>
      </c>
      <c r="BC4424">
        <v>1</v>
      </c>
      <c r="BD4424" t="str">
        <f t="shared" si="1752"/>
        <v xml:space="preserve">N52156  </v>
      </c>
      <c r="BE4424">
        <v>1</v>
      </c>
      <c r="BG4424">
        <v>0</v>
      </c>
      <c r="BH4424">
        <v>0</v>
      </c>
      <c r="BI4424">
        <v>0</v>
      </c>
      <c r="BJ4424">
        <v>4225</v>
      </c>
      <c r="BK4424">
        <v>25</v>
      </c>
      <c r="BL4424" t="s">
        <v>188</v>
      </c>
      <c r="BM4424">
        <v>1</v>
      </c>
      <c r="BN4424">
        <v>1</v>
      </c>
      <c r="BO4424">
        <v>0</v>
      </c>
      <c r="BP4424">
        <v>0</v>
      </c>
      <c r="BS4424">
        <v>0</v>
      </c>
      <c r="BT4424">
        <v>0</v>
      </c>
      <c r="BU4424">
        <v>0</v>
      </c>
      <c r="CE4424" t="str">
        <f t="shared" ref="CE4424:CE4429" si="1755">"15:16:49.817"</f>
        <v>15:16:49.817</v>
      </c>
      <c r="CF4424">
        <v>817003720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4</v>
      </c>
      <c r="CY4424">
        <v>7</v>
      </c>
      <c r="CZ4424" t="s">
        <v>133</v>
      </c>
      <c r="DA4424">
        <v>275</v>
      </c>
      <c r="DB4424">
        <v>0</v>
      </c>
      <c r="DC4424" t="s">
        <v>134</v>
      </c>
      <c r="DD4424" t="s">
        <v>135</v>
      </c>
      <c r="DG4424">
        <v>3323283</v>
      </c>
      <c r="DI4424">
        <v>1</v>
      </c>
      <c r="DJ4424">
        <v>0</v>
      </c>
      <c r="DK4424">
        <v>0</v>
      </c>
      <c r="DL4424">
        <v>0</v>
      </c>
      <c r="DM4424">
        <v>0</v>
      </c>
      <c r="DN4424">
        <v>0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 x14ac:dyDescent="0.3">
      <c r="A4425" t="str">
        <f>"05/01/2025 15:16:50.030"</f>
        <v>05/01/2025 15:16:50.030</v>
      </c>
      <c r="C4425" t="str">
        <f t="shared" si="1748"/>
        <v>FFDFD3C0</v>
      </c>
      <c r="D4425" t="s">
        <v>145</v>
      </c>
      <c r="E4425" t="str">
        <f>"05"</f>
        <v>05</v>
      </c>
      <c r="H4425">
        <v>47</v>
      </c>
      <c r="I4425" t="s">
        <v>146</v>
      </c>
      <c r="J4425" t="s">
        <v>138</v>
      </c>
      <c r="K4425">
        <v>0</v>
      </c>
      <c r="L4425">
        <v>3</v>
      </c>
      <c r="M4425">
        <v>0</v>
      </c>
      <c r="N4425">
        <v>2</v>
      </c>
      <c r="O4425">
        <v>0</v>
      </c>
      <c r="P4425">
        <v>1</v>
      </c>
      <c r="Q4425">
        <v>0</v>
      </c>
      <c r="R4425" t="s">
        <v>127</v>
      </c>
      <c r="S4425" t="str">
        <f t="shared" si="1754"/>
        <v>15:16:49.000</v>
      </c>
      <c r="T4425" t="str">
        <f t="shared" si="1754"/>
        <v>15:16:49.000</v>
      </c>
      <c r="U4425" t="str">
        <f t="shared" si="1750"/>
        <v>A68FCB</v>
      </c>
      <c r="V4425">
        <v>0</v>
      </c>
      <c r="W4425">
        <v>0</v>
      </c>
      <c r="X4425">
        <v>2</v>
      </c>
      <c r="Y4425">
        <v>0</v>
      </c>
      <c r="AA4425">
        <v>1</v>
      </c>
      <c r="AB4425">
        <v>8</v>
      </c>
      <c r="AC4425">
        <v>3</v>
      </c>
      <c r="AD4425">
        <v>0</v>
      </c>
      <c r="AE4425">
        <v>9</v>
      </c>
      <c r="AF4425" t="s">
        <v>138</v>
      </c>
      <c r="AG4425">
        <v>0</v>
      </c>
      <c r="AH4425">
        <v>3</v>
      </c>
      <c r="AI4425">
        <v>2</v>
      </c>
      <c r="AJ4425">
        <v>0</v>
      </c>
      <c r="AK4425" t="s">
        <v>1408</v>
      </c>
      <c r="AL4425">
        <v>39.203595999999997</v>
      </c>
      <c r="AM4425" t="s">
        <v>1409</v>
      </c>
      <c r="AN4425">
        <v>-121.010864</v>
      </c>
      <c r="AO4425">
        <v>25</v>
      </c>
      <c r="AP4425">
        <v>4200</v>
      </c>
      <c r="AQ4425" t="s">
        <v>131</v>
      </c>
      <c r="AR4425">
        <v>46</v>
      </c>
      <c r="AS4425">
        <v>63</v>
      </c>
      <c r="AT4425">
        <v>0</v>
      </c>
      <c r="BB4425" t="str">
        <f t="shared" si="1751"/>
        <v>1200</v>
      </c>
      <c r="BC4425">
        <v>1</v>
      </c>
      <c r="BD4425" t="str">
        <f t="shared" si="1752"/>
        <v xml:space="preserve">N52156  </v>
      </c>
      <c r="BE4425">
        <v>1</v>
      </c>
      <c r="BG4425">
        <v>0</v>
      </c>
      <c r="BH4425">
        <v>0</v>
      </c>
      <c r="BI4425">
        <v>0</v>
      </c>
      <c r="BJ4425">
        <v>4225</v>
      </c>
      <c r="BK4425">
        <v>25</v>
      </c>
      <c r="BL4425" t="s">
        <v>188</v>
      </c>
      <c r="BM4425">
        <v>1</v>
      </c>
      <c r="BN4425">
        <v>1</v>
      </c>
      <c r="BO4425">
        <v>0</v>
      </c>
      <c r="BP4425">
        <v>0</v>
      </c>
      <c r="BS4425">
        <v>0</v>
      </c>
      <c r="BT4425">
        <v>0</v>
      </c>
      <c r="BU4425">
        <v>0</v>
      </c>
      <c r="CE4425" t="str">
        <f t="shared" si="1755"/>
        <v>15:16:49.817</v>
      </c>
      <c r="CF4425">
        <v>817003720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4</v>
      </c>
      <c r="CY4425">
        <v>7</v>
      </c>
      <c r="CZ4425" t="s">
        <v>133</v>
      </c>
      <c r="DA4425">
        <v>275</v>
      </c>
      <c r="DB4425">
        <v>0</v>
      </c>
      <c r="DC4425" t="s">
        <v>134</v>
      </c>
      <c r="DD4425" t="s">
        <v>135</v>
      </c>
      <c r="DG4425">
        <v>3323283</v>
      </c>
      <c r="DI4425">
        <v>1</v>
      </c>
      <c r="DJ4425">
        <v>0</v>
      </c>
      <c r="DK4425">
        <v>1</v>
      </c>
      <c r="DL4425">
        <v>0</v>
      </c>
      <c r="DM4425">
        <v>0</v>
      </c>
      <c r="DN4425">
        <v>0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 x14ac:dyDescent="0.3">
      <c r="A4426" t="str">
        <f>"05/01/2025 15:16:50.041"</f>
        <v>05/01/2025 15:16:50.041</v>
      </c>
      <c r="C4426" t="str">
        <f t="shared" si="1748"/>
        <v>FFDFD3C0</v>
      </c>
      <c r="D4426" t="s">
        <v>136</v>
      </c>
      <c r="E4426" t="str">
        <f>"20"</f>
        <v>20</v>
      </c>
      <c r="H4426">
        <v>400</v>
      </c>
      <c r="I4426" t="s">
        <v>137</v>
      </c>
      <c r="J4426" t="s">
        <v>138</v>
      </c>
      <c r="K4426">
        <v>0</v>
      </c>
      <c r="L4426">
        <v>3</v>
      </c>
      <c r="M4426">
        <v>0</v>
      </c>
      <c r="N4426">
        <v>2</v>
      </c>
      <c r="O4426">
        <v>0</v>
      </c>
      <c r="P4426">
        <v>1</v>
      </c>
      <c r="Q4426">
        <v>0</v>
      </c>
      <c r="R4426" t="s">
        <v>127</v>
      </c>
      <c r="S4426" t="str">
        <f t="shared" si="1754"/>
        <v>15:16:49.000</v>
      </c>
      <c r="T4426" t="str">
        <f t="shared" si="1754"/>
        <v>15:16:49.000</v>
      </c>
      <c r="U4426" t="str">
        <f t="shared" si="1750"/>
        <v>A68FCB</v>
      </c>
      <c r="V4426">
        <v>0</v>
      </c>
      <c r="W4426">
        <v>0</v>
      </c>
      <c r="X4426">
        <v>2</v>
      </c>
      <c r="Y4426">
        <v>0</v>
      </c>
      <c r="AA4426">
        <v>1</v>
      </c>
      <c r="AB4426">
        <v>8</v>
      </c>
      <c r="AC4426">
        <v>3</v>
      </c>
      <c r="AD4426">
        <v>0</v>
      </c>
      <c r="AE4426">
        <v>9</v>
      </c>
      <c r="AF4426" t="s">
        <v>138</v>
      </c>
      <c r="AG4426">
        <v>0</v>
      </c>
      <c r="AH4426">
        <v>3</v>
      </c>
      <c r="AI4426">
        <v>2</v>
      </c>
      <c r="AJ4426">
        <v>0</v>
      </c>
      <c r="AK4426" t="s">
        <v>1408</v>
      </c>
      <c r="AL4426">
        <v>39.203595999999997</v>
      </c>
      <c r="AM4426" t="s">
        <v>1409</v>
      </c>
      <c r="AN4426">
        <v>-121.010864</v>
      </c>
      <c r="AO4426">
        <v>25</v>
      </c>
      <c r="AP4426">
        <v>4200</v>
      </c>
      <c r="AQ4426" t="s">
        <v>131</v>
      </c>
      <c r="AR4426">
        <v>46</v>
      </c>
      <c r="AS4426">
        <v>63</v>
      </c>
      <c r="AT4426">
        <v>0</v>
      </c>
      <c r="BB4426" t="str">
        <f t="shared" si="1751"/>
        <v>1200</v>
      </c>
      <c r="BC4426">
        <v>1</v>
      </c>
      <c r="BD4426" t="str">
        <f t="shared" si="1752"/>
        <v xml:space="preserve">N52156  </v>
      </c>
      <c r="BE4426">
        <v>1</v>
      </c>
      <c r="BG4426">
        <v>0</v>
      </c>
      <c r="BH4426">
        <v>0</v>
      </c>
      <c r="BI4426">
        <v>0</v>
      </c>
      <c r="BJ4426">
        <v>4225</v>
      </c>
      <c r="BK4426">
        <v>25</v>
      </c>
      <c r="BL4426" t="s">
        <v>188</v>
      </c>
      <c r="BM4426">
        <v>1</v>
      </c>
      <c r="BN4426">
        <v>1</v>
      </c>
      <c r="BO4426">
        <v>0</v>
      </c>
      <c r="BP4426">
        <v>0</v>
      </c>
      <c r="BS4426">
        <v>0</v>
      </c>
      <c r="BT4426">
        <v>0</v>
      </c>
      <c r="BU4426">
        <v>0</v>
      </c>
      <c r="CE4426" t="str">
        <f t="shared" si="1755"/>
        <v>15:16:49.817</v>
      </c>
      <c r="CF4426">
        <v>817003720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4</v>
      </c>
      <c r="CY4426">
        <v>7</v>
      </c>
      <c r="CZ4426" t="s">
        <v>133</v>
      </c>
      <c r="DA4426">
        <v>275</v>
      </c>
      <c r="DB4426">
        <v>0</v>
      </c>
      <c r="DC4426" t="s">
        <v>134</v>
      </c>
      <c r="DD4426" t="s">
        <v>135</v>
      </c>
      <c r="DG4426">
        <v>3323283</v>
      </c>
      <c r="DI4426">
        <v>1</v>
      </c>
      <c r="DJ4426">
        <v>0</v>
      </c>
      <c r="DK4426">
        <v>1</v>
      </c>
      <c r="DL4426">
        <v>0</v>
      </c>
      <c r="DM4426">
        <v>0</v>
      </c>
      <c r="DN4426">
        <v>0</v>
      </c>
      <c r="DO4426">
        <v>0</v>
      </c>
      <c r="DP4426">
        <v>0</v>
      </c>
      <c r="DQ4426">
        <v>0</v>
      </c>
      <c r="DR4426">
        <v>0</v>
      </c>
      <c r="DS4426">
        <v>0</v>
      </c>
    </row>
    <row r="4427" spans="1:123" x14ac:dyDescent="0.3">
      <c r="A4427" t="str">
        <f>"05/01/2025 15:16:50.058"</f>
        <v>05/01/2025 15:16:50.058</v>
      </c>
      <c r="C4427" t="str">
        <f t="shared" si="1748"/>
        <v>FFDFD3C0</v>
      </c>
      <c r="D4427" t="s">
        <v>140</v>
      </c>
      <c r="E4427" t="str">
        <f>"13"</f>
        <v>13</v>
      </c>
      <c r="F4427">
        <v>1019</v>
      </c>
      <c r="G4427" t="s">
        <v>141</v>
      </c>
      <c r="J4427" t="s">
        <v>142</v>
      </c>
      <c r="K4427">
        <v>0</v>
      </c>
      <c r="L4427">
        <v>3</v>
      </c>
      <c r="M4427">
        <v>0</v>
      </c>
      <c r="N4427">
        <v>2</v>
      </c>
      <c r="O4427">
        <v>0</v>
      </c>
      <c r="P4427">
        <v>1</v>
      </c>
      <c r="Q4427">
        <v>0</v>
      </c>
      <c r="R4427" t="s">
        <v>127</v>
      </c>
      <c r="S4427" t="str">
        <f t="shared" si="1754"/>
        <v>15:16:49.000</v>
      </c>
      <c r="T4427" t="str">
        <f t="shared" si="1754"/>
        <v>15:16:49.000</v>
      </c>
      <c r="U4427" t="str">
        <f t="shared" si="1750"/>
        <v>A68FCB</v>
      </c>
      <c r="V4427">
        <v>0</v>
      </c>
      <c r="W4427">
        <v>0</v>
      </c>
      <c r="X4427">
        <v>2</v>
      </c>
      <c r="Y4427">
        <v>0</v>
      </c>
      <c r="AA4427">
        <v>1</v>
      </c>
      <c r="AB4427">
        <v>8</v>
      </c>
      <c r="AC4427">
        <v>3</v>
      </c>
      <c r="AD4427">
        <v>0</v>
      </c>
      <c r="AE4427">
        <v>9</v>
      </c>
      <c r="AF4427" t="s">
        <v>138</v>
      </c>
      <c r="AG4427">
        <v>0</v>
      </c>
      <c r="AH4427">
        <v>3</v>
      </c>
      <c r="AI4427">
        <v>2</v>
      </c>
      <c r="AJ4427">
        <v>0</v>
      </c>
      <c r="AK4427" t="s">
        <v>1408</v>
      </c>
      <c r="AL4427">
        <v>39.203595999999997</v>
      </c>
      <c r="AM4427" t="s">
        <v>1409</v>
      </c>
      <c r="AN4427">
        <v>-121.010864</v>
      </c>
      <c r="AO4427">
        <v>25</v>
      </c>
      <c r="AP4427">
        <v>4200</v>
      </c>
      <c r="AQ4427" t="s">
        <v>131</v>
      </c>
      <c r="AR4427">
        <v>46</v>
      </c>
      <c r="AS4427">
        <v>63</v>
      </c>
      <c r="AT4427">
        <v>0</v>
      </c>
      <c r="BB4427" t="str">
        <f t="shared" si="1751"/>
        <v>1200</v>
      </c>
      <c r="BC4427">
        <v>1</v>
      </c>
      <c r="BD4427" t="str">
        <f t="shared" si="1752"/>
        <v xml:space="preserve">N52156  </v>
      </c>
      <c r="BE4427">
        <v>1</v>
      </c>
      <c r="BG4427">
        <v>0</v>
      </c>
      <c r="BH4427">
        <v>0</v>
      </c>
      <c r="BI4427">
        <v>0</v>
      </c>
      <c r="BJ4427">
        <v>4225</v>
      </c>
      <c r="BK4427">
        <v>25</v>
      </c>
      <c r="BL4427" t="s">
        <v>188</v>
      </c>
      <c r="BM4427">
        <v>1</v>
      </c>
      <c r="BN4427">
        <v>1</v>
      </c>
      <c r="BO4427">
        <v>0</v>
      </c>
      <c r="BP4427">
        <v>0</v>
      </c>
      <c r="BS4427">
        <v>0</v>
      </c>
      <c r="BT4427">
        <v>0</v>
      </c>
      <c r="BU4427">
        <v>0</v>
      </c>
      <c r="CE4427" t="str">
        <f t="shared" si="1755"/>
        <v>15:16:49.817</v>
      </c>
      <c r="CF4427">
        <v>817003720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4</v>
      </c>
      <c r="CY4427">
        <v>7</v>
      </c>
      <c r="CZ4427" t="s">
        <v>133</v>
      </c>
      <c r="DA4427">
        <v>275</v>
      </c>
      <c r="DB4427">
        <v>0</v>
      </c>
      <c r="DC4427" t="s">
        <v>134</v>
      </c>
      <c r="DD4427" t="s">
        <v>135</v>
      </c>
      <c r="DG4427">
        <v>3323283</v>
      </c>
      <c r="DI4427">
        <v>1</v>
      </c>
      <c r="DJ4427">
        <v>0</v>
      </c>
      <c r="DK4427">
        <v>1</v>
      </c>
      <c r="DL4427">
        <v>0</v>
      </c>
      <c r="DM4427">
        <v>0</v>
      </c>
      <c r="DN4427">
        <v>0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 x14ac:dyDescent="0.3">
      <c r="A4428" t="str">
        <f>"05/01/2025 15:16:50.058"</f>
        <v>05/01/2025 15:16:50.058</v>
      </c>
      <c r="C4428" t="str">
        <f t="shared" si="1748"/>
        <v>FFDFD3C0</v>
      </c>
      <c r="D4428" t="s">
        <v>124</v>
      </c>
      <c r="E4428" t="str">
        <f>"06"</f>
        <v>06</v>
      </c>
      <c r="F4428">
        <v>2006</v>
      </c>
      <c r="G4428" t="s">
        <v>125</v>
      </c>
      <c r="J4428" t="s">
        <v>126</v>
      </c>
      <c r="K4428">
        <v>0</v>
      </c>
      <c r="L4428">
        <v>3</v>
      </c>
      <c r="M4428">
        <v>0</v>
      </c>
      <c r="N4428">
        <v>2</v>
      </c>
      <c r="O4428">
        <v>0</v>
      </c>
      <c r="P4428">
        <v>1</v>
      </c>
      <c r="Q4428">
        <v>0</v>
      </c>
      <c r="R4428" t="s">
        <v>127</v>
      </c>
      <c r="S4428" t="str">
        <f t="shared" si="1754"/>
        <v>15:16:49.000</v>
      </c>
      <c r="T4428" t="str">
        <f t="shared" si="1754"/>
        <v>15:16:49.000</v>
      </c>
      <c r="U4428" t="str">
        <f t="shared" si="1750"/>
        <v>A68FCB</v>
      </c>
      <c r="V4428">
        <v>0</v>
      </c>
      <c r="W4428">
        <v>0</v>
      </c>
      <c r="X4428">
        <v>2</v>
      </c>
      <c r="Y4428">
        <v>0</v>
      </c>
      <c r="AA4428">
        <v>1</v>
      </c>
      <c r="AB4428">
        <v>8</v>
      </c>
      <c r="AC4428">
        <v>3</v>
      </c>
      <c r="AD4428">
        <v>0</v>
      </c>
      <c r="AE4428">
        <v>9</v>
      </c>
      <c r="AF4428" t="s">
        <v>138</v>
      </c>
      <c r="AG4428">
        <v>0</v>
      </c>
      <c r="AH4428">
        <v>3</v>
      </c>
      <c r="AI4428">
        <v>2</v>
      </c>
      <c r="AJ4428">
        <v>0</v>
      </c>
      <c r="AK4428" t="s">
        <v>1408</v>
      </c>
      <c r="AL4428">
        <v>39.203595999999997</v>
      </c>
      <c r="AM4428" t="s">
        <v>1409</v>
      </c>
      <c r="AN4428">
        <v>-121.010864</v>
      </c>
      <c r="AO4428">
        <v>25</v>
      </c>
      <c r="AP4428">
        <v>4200</v>
      </c>
      <c r="AQ4428" t="s">
        <v>131</v>
      </c>
      <c r="AR4428">
        <v>46</v>
      </c>
      <c r="AS4428">
        <v>63</v>
      </c>
      <c r="AT4428">
        <v>0</v>
      </c>
      <c r="BB4428" t="str">
        <f t="shared" si="1751"/>
        <v>1200</v>
      </c>
      <c r="BC4428">
        <v>1</v>
      </c>
      <c r="BD4428" t="str">
        <f t="shared" si="1752"/>
        <v xml:space="preserve">N52156  </v>
      </c>
      <c r="BE4428">
        <v>1</v>
      </c>
      <c r="BG4428">
        <v>0</v>
      </c>
      <c r="BH4428">
        <v>0</v>
      </c>
      <c r="BI4428">
        <v>0</v>
      </c>
      <c r="BJ4428">
        <v>4225</v>
      </c>
      <c r="BK4428">
        <v>25</v>
      </c>
      <c r="BL4428" t="s">
        <v>188</v>
      </c>
      <c r="BM4428">
        <v>1</v>
      </c>
      <c r="BN4428">
        <v>1</v>
      </c>
      <c r="BO4428">
        <v>0</v>
      </c>
      <c r="BP4428">
        <v>0</v>
      </c>
      <c r="BS4428">
        <v>0</v>
      </c>
      <c r="BT4428">
        <v>0</v>
      </c>
      <c r="BU4428">
        <v>0</v>
      </c>
      <c r="CE4428" t="str">
        <f t="shared" si="1755"/>
        <v>15:16:49.817</v>
      </c>
      <c r="CF4428">
        <v>817003720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4</v>
      </c>
      <c r="CY4428">
        <v>7</v>
      </c>
      <c r="CZ4428" t="s">
        <v>133</v>
      </c>
      <c r="DA4428">
        <v>275</v>
      </c>
      <c r="DB4428">
        <v>0</v>
      </c>
      <c r="DC4428" t="s">
        <v>134</v>
      </c>
      <c r="DD4428" t="s">
        <v>135</v>
      </c>
      <c r="DG4428">
        <v>3323283</v>
      </c>
      <c r="DI4428">
        <v>1</v>
      </c>
      <c r="DJ4428">
        <v>0</v>
      </c>
      <c r="DK4428">
        <v>1</v>
      </c>
      <c r="DL4428">
        <v>0</v>
      </c>
      <c r="DM4428">
        <v>0</v>
      </c>
      <c r="DN4428">
        <v>0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 x14ac:dyDescent="0.3">
      <c r="A4429" t="str">
        <f>"05/01/2025 15:16:50.064"</f>
        <v>05/01/2025 15:16:50.064</v>
      </c>
      <c r="C4429" t="str">
        <f t="shared" si="1748"/>
        <v>FFDFD3C0</v>
      </c>
      <c r="D4429" t="s">
        <v>143</v>
      </c>
      <c r="E4429" t="str">
        <f>"05"</f>
        <v>05</v>
      </c>
      <c r="H4429">
        <v>172</v>
      </c>
      <c r="I4429" t="s">
        <v>141</v>
      </c>
      <c r="J4429" t="s">
        <v>144</v>
      </c>
      <c r="K4429">
        <v>0</v>
      </c>
      <c r="L4429">
        <v>3</v>
      </c>
      <c r="M4429">
        <v>0</v>
      </c>
      <c r="N4429">
        <v>2</v>
      </c>
      <c r="O4429">
        <v>0</v>
      </c>
      <c r="P4429">
        <v>1</v>
      </c>
      <c r="Q4429">
        <v>0</v>
      </c>
      <c r="R4429" t="s">
        <v>127</v>
      </c>
      <c r="S4429" t="str">
        <f t="shared" si="1754"/>
        <v>15:16:49.000</v>
      </c>
      <c r="T4429" t="str">
        <f t="shared" si="1754"/>
        <v>15:16:49.000</v>
      </c>
      <c r="U4429" t="str">
        <f t="shared" si="1750"/>
        <v>A68FCB</v>
      </c>
      <c r="V4429">
        <v>0</v>
      </c>
      <c r="W4429">
        <v>0</v>
      </c>
      <c r="X4429">
        <v>2</v>
      </c>
      <c r="Y4429">
        <v>0</v>
      </c>
      <c r="AA4429">
        <v>1</v>
      </c>
      <c r="AB4429">
        <v>8</v>
      </c>
      <c r="AC4429">
        <v>3</v>
      </c>
      <c r="AD4429">
        <v>0</v>
      </c>
      <c r="AE4429">
        <v>9</v>
      </c>
      <c r="AF4429" t="s">
        <v>138</v>
      </c>
      <c r="AG4429">
        <v>0</v>
      </c>
      <c r="AH4429">
        <v>3</v>
      </c>
      <c r="AI4429">
        <v>2</v>
      </c>
      <c r="AJ4429">
        <v>0</v>
      </c>
      <c r="AK4429" t="s">
        <v>1408</v>
      </c>
      <c r="AL4429">
        <v>39.203595999999997</v>
      </c>
      <c r="AM4429" t="s">
        <v>1409</v>
      </c>
      <c r="AN4429">
        <v>-121.010864</v>
      </c>
      <c r="AO4429">
        <v>25</v>
      </c>
      <c r="AP4429">
        <v>4200</v>
      </c>
      <c r="AQ4429" t="s">
        <v>131</v>
      </c>
      <c r="AR4429">
        <v>46</v>
      </c>
      <c r="AS4429">
        <v>63</v>
      </c>
      <c r="AT4429">
        <v>0</v>
      </c>
      <c r="BB4429" t="str">
        <f t="shared" si="1751"/>
        <v>1200</v>
      </c>
      <c r="BC4429">
        <v>1</v>
      </c>
      <c r="BD4429" t="str">
        <f t="shared" si="1752"/>
        <v xml:space="preserve">N52156  </v>
      </c>
      <c r="BE4429">
        <v>1</v>
      </c>
      <c r="BG4429">
        <v>0</v>
      </c>
      <c r="BH4429">
        <v>0</v>
      </c>
      <c r="BI4429">
        <v>0</v>
      </c>
      <c r="BJ4429">
        <v>4225</v>
      </c>
      <c r="BK4429">
        <v>25</v>
      </c>
      <c r="BL4429" t="s">
        <v>188</v>
      </c>
      <c r="BM4429">
        <v>1</v>
      </c>
      <c r="BN4429">
        <v>1</v>
      </c>
      <c r="BO4429">
        <v>0</v>
      </c>
      <c r="BP4429">
        <v>0</v>
      </c>
      <c r="BS4429">
        <v>0</v>
      </c>
      <c r="BT4429">
        <v>0</v>
      </c>
      <c r="BU4429">
        <v>0</v>
      </c>
      <c r="CE4429" t="str">
        <f t="shared" si="1755"/>
        <v>15:16:49.817</v>
      </c>
      <c r="CF4429">
        <v>817003720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4</v>
      </c>
      <c r="CY4429">
        <v>7</v>
      </c>
      <c r="CZ4429" t="s">
        <v>133</v>
      </c>
      <c r="DA4429">
        <v>275</v>
      </c>
      <c r="DB4429">
        <v>0</v>
      </c>
      <c r="DC4429" t="s">
        <v>134</v>
      </c>
      <c r="DD4429" t="s">
        <v>135</v>
      </c>
      <c r="DG4429">
        <v>3323283</v>
      </c>
      <c r="DI4429">
        <v>1</v>
      </c>
      <c r="DJ4429">
        <v>0</v>
      </c>
      <c r="DK4429">
        <v>1</v>
      </c>
      <c r="DL4429">
        <v>0</v>
      </c>
      <c r="DM4429">
        <v>0</v>
      </c>
      <c r="DN4429">
        <v>0</v>
      </c>
      <c r="DO4429">
        <v>0</v>
      </c>
      <c r="DP4429">
        <v>0</v>
      </c>
      <c r="DQ4429">
        <v>0</v>
      </c>
      <c r="DR4429">
        <v>0</v>
      </c>
      <c r="DS4429">
        <v>0</v>
      </c>
    </row>
    <row r="4430" spans="1:123" x14ac:dyDescent="0.3">
      <c r="A4430" t="str">
        <f>"05/01/2025 15:16:50.893"</f>
        <v>05/01/2025 15:16:50.893</v>
      </c>
      <c r="C4430" t="str">
        <f t="shared" si="1748"/>
        <v>FFDFD3C0</v>
      </c>
      <c r="D4430" t="s">
        <v>136</v>
      </c>
      <c r="E4430" t="str">
        <f>"20"</f>
        <v>20</v>
      </c>
      <c r="H4430">
        <v>400</v>
      </c>
      <c r="I4430" t="s">
        <v>137</v>
      </c>
      <c r="J4430" t="s">
        <v>138</v>
      </c>
      <c r="K4430">
        <v>0</v>
      </c>
      <c r="L4430">
        <v>3</v>
      </c>
      <c r="M4430">
        <v>0</v>
      </c>
      <c r="N4430">
        <v>2</v>
      </c>
      <c r="O4430">
        <v>0</v>
      </c>
      <c r="P4430">
        <v>1</v>
      </c>
      <c r="Q4430">
        <v>0</v>
      </c>
      <c r="R4430" t="s">
        <v>127</v>
      </c>
      <c r="S4430" t="str">
        <f t="shared" ref="S4430:T4435" si="1756">"15:16:50.000"</f>
        <v>15:16:50.000</v>
      </c>
      <c r="T4430" t="str">
        <f t="shared" si="1756"/>
        <v>15:16:50.000</v>
      </c>
      <c r="U4430" t="str">
        <f t="shared" si="1750"/>
        <v>A68FCB</v>
      </c>
      <c r="V4430">
        <v>0</v>
      </c>
      <c r="W4430">
        <v>0</v>
      </c>
      <c r="X4430">
        <v>2</v>
      </c>
      <c r="Y4430">
        <v>0</v>
      </c>
      <c r="AA4430">
        <v>1</v>
      </c>
      <c r="AB4430">
        <v>8</v>
      </c>
      <c r="AC4430">
        <v>3</v>
      </c>
      <c r="AD4430">
        <v>0</v>
      </c>
      <c r="AE4430">
        <v>9</v>
      </c>
      <c r="AF4430" t="s">
        <v>138</v>
      </c>
      <c r="AG4430">
        <v>0</v>
      </c>
      <c r="AH4430">
        <v>3</v>
      </c>
      <c r="AI4430">
        <v>2</v>
      </c>
      <c r="AJ4430">
        <v>0</v>
      </c>
      <c r="AK4430" t="s">
        <v>1410</v>
      </c>
      <c r="AL4430">
        <v>39.203896999999998</v>
      </c>
      <c r="AM4430" t="s">
        <v>1411</v>
      </c>
      <c r="AN4430">
        <v>-121.01058500000001</v>
      </c>
      <c r="AO4430">
        <v>25</v>
      </c>
      <c r="AP4430">
        <v>4200</v>
      </c>
      <c r="AQ4430" t="s">
        <v>131</v>
      </c>
      <c r="AR4430">
        <v>46</v>
      </c>
      <c r="AS4430">
        <v>63</v>
      </c>
      <c r="AT4430">
        <v>0</v>
      </c>
      <c r="BB4430" t="str">
        <f t="shared" si="1751"/>
        <v>1200</v>
      </c>
      <c r="BC4430">
        <v>1</v>
      </c>
      <c r="BD4430" t="str">
        <f t="shared" si="1752"/>
        <v xml:space="preserve">N52156  </v>
      </c>
      <c r="BE4430">
        <v>1</v>
      </c>
      <c r="BG4430">
        <v>0</v>
      </c>
      <c r="BH4430">
        <v>0</v>
      </c>
      <c r="BI4430">
        <v>0</v>
      </c>
      <c r="BJ4430">
        <v>4225</v>
      </c>
      <c r="BK4430">
        <v>25</v>
      </c>
      <c r="BL4430" t="s">
        <v>188</v>
      </c>
      <c r="BM4430">
        <v>1</v>
      </c>
      <c r="BN4430">
        <v>1</v>
      </c>
      <c r="BO4430">
        <v>0</v>
      </c>
      <c r="BP4430">
        <v>0</v>
      </c>
      <c r="BS4430">
        <v>0</v>
      </c>
      <c r="BT4430">
        <v>0</v>
      </c>
      <c r="BU4430">
        <v>0</v>
      </c>
      <c r="CE4430" t="str">
        <f t="shared" ref="CE4430:CE4435" si="1757">"15:16:50.672"</f>
        <v>15:16:50.672</v>
      </c>
      <c r="CF4430">
        <v>671503476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4</v>
      </c>
      <c r="CY4430">
        <v>7</v>
      </c>
      <c r="CZ4430" t="s">
        <v>133</v>
      </c>
      <c r="DA4430">
        <v>275</v>
      </c>
      <c r="DB4430">
        <v>0</v>
      </c>
      <c r="DC4430" t="s">
        <v>134</v>
      </c>
      <c r="DD4430" t="s">
        <v>135</v>
      </c>
      <c r="DG4430">
        <v>3323284</v>
      </c>
      <c r="DI4430">
        <v>1</v>
      </c>
      <c r="DJ4430">
        <v>0</v>
      </c>
      <c r="DK4430">
        <v>0</v>
      </c>
      <c r="DL4430">
        <v>0</v>
      </c>
      <c r="DM4430">
        <v>0</v>
      </c>
      <c r="DN4430">
        <v>0</v>
      </c>
      <c r="DO4430">
        <v>0</v>
      </c>
      <c r="DP4430">
        <v>0</v>
      </c>
      <c r="DQ4430">
        <v>0</v>
      </c>
      <c r="DR4430">
        <v>0</v>
      </c>
      <c r="DS4430">
        <v>0</v>
      </c>
    </row>
    <row r="4431" spans="1:123" x14ac:dyDescent="0.3">
      <c r="A4431" t="str">
        <f>"05/01/2025 15:16:50.910"</f>
        <v>05/01/2025 15:16:50.910</v>
      </c>
      <c r="C4431" t="str">
        <f t="shared" si="1748"/>
        <v>FFDFD3C0</v>
      </c>
      <c r="D4431" t="s">
        <v>124</v>
      </c>
      <c r="E4431" t="str">
        <f>"06"</f>
        <v>06</v>
      </c>
      <c r="F4431">
        <v>2006</v>
      </c>
      <c r="G4431" t="s">
        <v>125</v>
      </c>
      <c r="J4431" t="s">
        <v>126</v>
      </c>
      <c r="K4431">
        <v>0</v>
      </c>
      <c r="L4431">
        <v>3</v>
      </c>
      <c r="M4431">
        <v>0</v>
      </c>
      <c r="N4431">
        <v>2</v>
      </c>
      <c r="O4431">
        <v>0</v>
      </c>
      <c r="P4431">
        <v>1</v>
      </c>
      <c r="Q4431">
        <v>0</v>
      </c>
      <c r="R4431" t="s">
        <v>127</v>
      </c>
      <c r="S4431" t="str">
        <f t="shared" si="1756"/>
        <v>15:16:50.000</v>
      </c>
      <c r="T4431" t="str">
        <f t="shared" si="1756"/>
        <v>15:16:50.000</v>
      </c>
      <c r="U4431" t="str">
        <f t="shared" si="1750"/>
        <v>A68FCB</v>
      </c>
      <c r="V4431">
        <v>0</v>
      </c>
      <c r="W4431">
        <v>0</v>
      </c>
      <c r="X4431">
        <v>2</v>
      </c>
      <c r="Y4431">
        <v>0</v>
      </c>
      <c r="AA4431">
        <v>1</v>
      </c>
      <c r="AB4431">
        <v>8</v>
      </c>
      <c r="AC4431">
        <v>3</v>
      </c>
      <c r="AD4431">
        <v>0</v>
      </c>
      <c r="AE4431">
        <v>9</v>
      </c>
      <c r="AF4431" t="s">
        <v>138</v>
      </c>
      <c r="AG4431">
        <v>0</v>
      </c>
      <c r="AH4431">
        <v>3</v>
      </c>
      <c r="AI4431">
        <v>2</v>
      </c>
      <c r="AJ4431">
        <v>0</v>
      </c>
      <c r="AK4431" t="s">
        <v>1410</v>
      </c>
      <c r="AL4431">
        <v>39.203896999999998</v>
      </c>
      <c r="AM4431" t="s">
        <v>1411</v>
      </c>
      <c r="AN4431">
        <v>-121.01058500000001</v>
      </c>
      <c r="AO4431">
        <v>25</v>
      </c>
      <c r="AP4431">
        <v>4200</v>
      </c>
      <c r="AQ4431" t="s">
        <v>131</v>
      </c>
      <c r="AR4431">
        <v>46</v>
      </c>
      <c r="AS4431">
        <v>63</v>
      </c>
      <c r="AT4431">
        <v>0</v>
      </c>
      <c r="BB4431" t="str">
        <f t="shared" si="1751"/>
        <v>1200</v>
      </c>
      <c r="BC4431">
        <v>1</v>
      </c>
      <c r="BD4431" t="str">
        <f t="shared" si="1752"/>
        <v xml:space="preserve">N52156  </v>
      </c>
      <c r="BE4431">
        <v>1</v>
      </c>
      <c r="BG4431">
        <v>0</v>
      </c>
      <c r="BH4431">
        <v>0</v>
      </c>
      <c r="BI4431">
        <v>0</v>
      </c>
      <c r="BJ4431">
        <v>4225</v>
      </c>
      <c r="BK4431">
        <v>25</v>
      </c>
      <c r="BL4431" t="s">
        <v>188</v>
      </c>
      <c r="BM4431">
        <v>1</v>
      </c>
      <c r="BN4431">
        <v>1</v>
      </c>
      <c r="BO4431">
        <v>0</v>
      </c>
      <c r="BP4431">
        <v>0</v>
      </c>
      <c r="BS4431">
        <v>0</v>
      </c>
      <c r="BT4431">
        <v>0</v>
      </c>
      <c r="BU4431">
        <v>0</v>
      </c>
      <c r="CE4431" t="str">
        <f t="shared" si="1757"/>
        <v>15:16:50.672</v>
      </c>
      <c r="CF4431">
        <v>671503476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4</v>
      </c>
      <c r="CY4431">
        <v>7</v>
      </c>
      <c r="CZ4431" t="s">
        <v>133</v>
      </c>
      <c r="DA4431">
        <v>275</v>
      </c>
      <c r="DB4431">
        <v>0</v>
      </c>
      <c r="DC4431" t="s">
        <v>134</v>
      </c>
      <c r="DD4431" t="s">
        <v>135</v>
      </c>
      <c r="DG4431">
        <v>3323284</v>
      </c>
      <c r="DI4431">
        <v>1</v>
      </c>
      <c r="DJ4431">
        <v>0</v>
      </c>
      <c r="DK4431">
        <v>1</v>
      </c>
      <c r="DL4431">
        <v>0</v>
      </c>
      <c r="DM4431">
        <v>0</v>
      </c>
      <c r="DN4431">
        <v>0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 x14ac:dyDescent="0.3">
      <c r="A4432" t="str">
        <f>"05/01/2025 15:16:50.909"</f>
        <v>05/01/2025 15:16:50.909</v>
      </c>
      <c r="C4432" t="str">
        <f t="shared" si="1748"/>
        <v>FFDFD3C0</v>
      </c>
      <c r="D4432" t="s">
        <v>140</v>
      </c>
      <c r="E4432" t="str">
        <f>"13"</f>
        <v>13</v>
      </c>
      <c r="F4432">
        <v>1019</v>
      </c>
      <c r="G4432" t="s">
        <v>141</v>
      </c>
      <c r="J4432" t="s">
        <v>142</v>
      </c>
      <c r="K4432">
        <v>0</v>
      </c>
      <c r="L4432">
        <v>3</v>
      </c>
      <c r="M4432">
        <v>0</v>
      </c>
      <c r="N4432">
        <v>2</v>
      </c>
      <c r="O4432">
        <v>0</v>
      </c>
      <c r="P4432">
        <v>1</v>
      </c>
      <c r="Q4432">
        <v>0</v>
      </c>
      <c r="R4432" t="s">
        <v>127</v>
      </c>
      <c r="S4432" t="str">
        <f t="shared" si="1756"/>
        <v>15:16:50.000</v>
      </c>
      <c r="T4432" t="str">
        <f t="shared" si="1756"/>
        <v>15:16:50.000</v>
      </c>
      <c r="U4432" t="str">
        <f t="shared" si="1750"/>
        <v>A68FCB</v>
      </c>
      <c r="V4432">
        <v>0</v>
      </c>
      <c r="W4432">
        <v>0</v>
      </c>
      <c r="X4432">
        <v>2</v>
      </c>
      <c r="Y4432">
        <v>0</v>
      </c>
      <c r="AA4432">
        <v>1</v>
      </c>
      <c r="AB4432">
        <v>8</v>
      </c>
      <c r="AC4432">
        <v>3</v>
      </c>
      <c r="AD4432">
        <v>0</v>
      </c>
      <c r="AE4432">
        <v>9</v>
      </c>
      <c r="AF4432" t="s">
        <v>138</v>
      </c>
      <c r="AG4432">
        <v>0</v>
      </c>
      <c r="AH4432">
        <v>3</v>
      </c>
      <c r="AI4432">
        <v>2</v>
      </c>
      <c r="AJ4432">
        <v>0</v>
      </c>
      <c r="AK4432" t="s">
        <v>1410</v>
      </c>
      <c r="AL4432">
        <v>39.203896999999998</v>
      </c>
      <c r="AM4432" t="s">
        <v>1411</v>
      </c>
      <c r="AN4432">
        <v>-121.01058500000001</v>
      </c>
      <c r="AO4432">
        <v>25</v>
      </c>
      <c r="AP4432">
        <v>4200</v>
      </c>
      <c r="AQ4432" t="s">
        <v>131</v>
      </c>
      <c r="AR4432">
        <v>46</v>
      </c>
      <c r="AS4432">
        <v>63</v>
      </c>
      <c r="AT4432">
        <v>0</v>
      </c>
      <c r="BB4432" t="str">
        <f t="shared" si="1751"/>
        <v>1200</v>
      </c>
      <c r="BC4432">
        <v>1</v>
      </c>
      <c r="BD4432" t="str">
        <f t="shared" si="1752"/>
        <v xml:space="preserve">N52156  </v>
      </c>
      <c r="BE4432">
        <v>1</v>
      </c>
      <c r="BG4432">
        <v>0</v>
      </c>
      <c r="BH4432">
        <v>0</v>
      </c>
      <c r="BI4432">
        <v>0</v>
      </c>
      <c r="BJ4432">
        <v>4225</v>
      </c>
      <c r="BK4432">
        <v>25</v>
      </c>
      <c r="BL4432" t="s">
        <v>188</v>
      </c>
      <c r="BM4432">
        <v>1</v>
      </c>
      <c r="BN4432">
        <v>1</v>
      </c>
      <c r="BO4432">
        <v>0</v>
      </c>
      <c r="BP4432">
        <v>0</v>
      </c>
      <c r="BS4432">
        <v>0</v>
      </c>
      <c r="BT4432">
        <v>0</v>
      </c>
      <c r="BU4432">
        <v>0</v>
      </c>
      <c r="CE4432" t="str">
        <f t="shared" si="1757"/>
        <v>15:16:50.672</v>
      </c>
      <c r="CF4432">
        <v>671503476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4</v>
      </c>
      <c r="CY4432">
        <v>7</v>
      </c>
      <c r="CZ4432" t="s">
        <v>133</v>
      </c>
      <c r="DA4432">
        <v>275</v>
      </c>
      <c r="DB4432">
        <v>0</v>
      </c>
      <c r="DC4432" t="s">
        <v>134</v>
      </c>
      <c r="DD4432" t="s">
        <v>135</v>
      </c>
      <c r="DG4432">
        <v>3323284</v>
      </c>
      <c r="DI4432">
        <v>1</v>
      </c>
      <c r="DJ4432">
        <v>0</v>
      </c>
      <c r="DK4432">
        <v>1</v>
      </c>
      <c r="DL4432">
        <v>0</v>
      </c>
      <c r="DM4432">
        <v>0</v>
      </c>
      <c r="DN4432">
        <v>0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 x14ac:dyDescent="0.3">
      <c r="A4433" t="str">
        <f>"05/01/2025 15:16:50.915"</f>
        <v>05/01/2025 15:16:50.915</v>
      </c>
      <c r="C4433" t="str">
        <f t="shared" si="1748"/>
        <v>FFDFD3C0</v>
      </c>
      <c r="D4433" t="s">
        <v>143</v>
      </c>
      <c r="E4433" t="str">
        <f>"05"</f>
        <v>05</v>
      </c>
      <c r="H4433">
        <v>172</v>
      </c>
      <c r="I4433" t="s">
        <v>141</v>
      </c>
      <c r="J4433" t="s">
        <v>144</v>
      </c>
      <c r="K4433">
        <v>0</v>
      </c>
      <c r="L4433">
        <v>3</v>
      </c>
      <c r="M4433">
        <v>0</v>
      </c>
      <c r="N4433">
        <v>2</v>
      </c>
      <c r="O4433">
        <v>0</v>
      </c>
      <c r="P4433">
        <v>1</v>
      </c>
      <c r="Q4433">
        <v>0</v>
      </c>
      <c r="R4433" t="s">
        <v>127</v>
      </c>
      <c r="S4433" t="str">
        <f t="shared" si="1756"/>
        <v>15:16:50.000</v>
      </c>
      <c r="T4433" t="str">
        <f t="shared" si="1756"/>
        <v>15:16:50.000</v>
      </c>
      <c r="U4433" t="str">
        <f t="shared" si="1750"/>
        <v>A68FCB</v>
      </c>
      <c r="V4433">
        <v>0</v>
      </c>
      <c r="W4433">
        <v>0</v>
      </c>
      <c r="X4433">
        <v>2</v>
      </c>
      <c r="Y4433">
        <v>0</v>
      </c>
      <c r="AA4433">
        <v>1</v>
      </c>
      <c r="AB4433">
        <v>8</v>
      </c>
      <c r="AC4433">
        <v>3</v>
      </c>
      <c r="AD4433">
        <v>0</v>
      </c>
      <c r="AE4433">
        <v>9</v>
      </c>
      <c r="AF4433" t="s">
        <v>138</v>
      </c>
      <c r="AG4433">
        <v>0</v>
      </c>
      <c r="AH4433">
        <v>3</v>
      </c>
      <c r="AI4433">
        <v>2</v>
      </c>
      <c r="AJ4433">
        <v>0</v>
      </c>
      <c r="AK4433" t="s">
        <v>1410</v>
      </c>
      <c r="AL4433">
        <v>39.203896999999998</v>
      </c>
      <c r="AM4433" t="s">
        <v>1411</v>
      </c>
      <c r="AN4433">
        <v>-121.01058500000001</v>
      </c>
      <c r="AO4433">
        <v>25</v>
      </c>
      <c r="AP4433">
        <v>4200</v>
      </c>
      <c r="AQ4433" t="s">
        <v>131</v>
      </c>
      <c r="AR4433">
        <v>46</v>
      </c>
      <c r="AS4433">
        <v>63</v>
      </c>
      <c r="AT4433">
        <v>0</v>
      </c>
      <c r="BB4433" t="str">
        <f t="shared" si="1751"/>
        <v>1200</v>
      </c>
      <c r="BC4433">
        <v>1</v>
      </c>
      <c r="BD4433" t="str">
        <f t="shared" si="1752"/>
        <v xml:space="preserve">N52156  </v>
      </c>
      <c r="BE4433">
        <v>1</v>
      </c>
      <c r="BG4433">
        <v>0</v>
      </c>
      <c r="BH4433">
        <v>0</v>
      </c>
      <c r="BI4433">
        <v>0</v>
      </c>
      <c r="BJ4433">
        <v>4225</v>
      </c>
      <c r="BK4433">
        <v>25</v>
      </c>
      <c r="BL4433" t="s">
        <v>188</v>
      </c>
      <c r="BM4433">
        <v>1</v>
      </c>
      <c r="BN4433">
        <v>1</v>
      </c>
      <c r="BO4433">
        <v>0</v>
      </c>
      <c r="BP4433">
        <v>0</v>
      </c>
      <c r="BS4433">
        <v>0</v>
      </c>
      <c r="BT4433">
        <v>0</v>
      </c>
      <c r="BU4433">
        <v>0</v>
      </c>
      <c r="CE4433" t="str">
        <f t="shared" si="1757"/>
        <v>15:16:50.672</v>
      </c>
      <c r="CF4433">
        <v>671503476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4</v>
      </c>
      <c r="CY4433">
        <v>7</v>
      </c>
      <c r="CZ4433" t="s">
        <v>133</v>
      </c>
      <c r="DA4433">
        <v>275</v>
      </c>
      <c r="DB4433">
        <v>0</v>
      </c>
      <c r="DC4433" t="s">
        <v>134</v>
      </c>
      <c r="DD4433" t="s">
        <v>135</v>
      </c>
      <c r="DG4433">
        <v>3323284</v>
      </c>
      <c r="DI4433">
        <v>1</v>
      </c>
      <c r="DJ4433">
        <v>0</v>
      </c>
      <c r="DK4433">
        <v>1</v>
      </c>
      <c r="DL4433">
        <v>0</v>
      </c>
      <c r="DM4433">
        <v>0</v>
      </c>
      <c r="DN4433">
        <v>0</v>
      </c>
      <c r="DO4433">
        <v>0</v>
      </c>
      <c r="DP4433">
        <v>0</v>
      </c>
      <c r="DQ4433">
        <v>0</v>
      </c>
      <c r="DR4433">
        <v>0</v>
      </c>
      <c r="DS4433">
        <v>0</v>
      </c>
    </row>
    <row r="4434" spans="1:123" x14ac:dyDescent="0.3">
      <c r="A4434" t="str">
        <f>"05/01/2025 15:16:50.928"</f>
        <v>05/01/2025 15:16:50.928</v>
      </c>
      <c r="C4434" t="str">
        <f t="shared" si="1748"/>
        <v>FFDFD3C0</v>
      </c>
      <c r="D4434" t="s">
        <v>145</v>
      </c>
      <c r="E4434" t="str">
        <f>"09"</f>
        <v>09</v>
      </c>
      <c r="H4434">
        <v>51</v>
      </c>
      <c r="I4434" t="s">
        <v>147</v>
      </c>
      <c r="J4434" t="s">
        <v>138</v>
      </c>
      <c r="K4434">
        <v>0</v>
      </c>
      <c r="L4434">
        <v>3</v>
      </c>
      <c r="M4434">
        <v>0</v>
      </c>
      <c r="N4434">
        <v>2</v>
      </c>
      <c r="O4434">
        <v>0</v>
      </c>
      <c r="P4434">
        <v>1</v>
      </c>
      <c r="Q4434">
        <v>0</v>
      </c>
      <c r="R4434" t="s">
        <v>127</v>
      </c>
      <c r="S4434" t="str">
        <f t="shared" si="1756"/>
        <v>15:16:50.000</v>
      </c>
      <c r="T4434" t="str">
        <f t="shared" si="1756"/>
        <v>15:16:50.000</v>
      </c>
      <c r="U4434" t="str">
        <f t="shared" si="1750"/>
        <v>A68FCB</v>
      </c>
      <c r="V4434">
        <v>0</v>
      </c>
      <c r="W4434">
        <v>0</v>
      </c>
      <c r="X4434">
        <v>2</v>
      </c>
      <c r="Y4434">
        <v>0</v>
      </c>
      <c r="AA4434">
        <v>1</v>
      </c>
      <c r="AB4434">
        <v>8</v>
      </c>
      <c r="AC4434">
        <v>3</v>
      </c>
      <c r="AD4434">
        <v>0</v>
      </c>
      <c r="AE4434">
        <v>9</v>
      </c>
      <c r="AF4434" t="s">
        <v>138</v>
      </c>
      <c r="AG4434">
        <v>0</v>
      </c>
      <c r="AH4434">
        <v>3</v>
      </c>
      <c r="AI4434">
        <v>2</v>
      </c>
      <c r="AJ4434">
        <v>0</v>
      </c>
      <c r="AK4434" t="s">
        <v>1410</v>
      </c>
      <c r="AL4434">
        <v>39.203896999999998</v>
      </c>
      <c r="AM4434" t="s">
        <v>1411</v>
      </c>
      <c r="AN4434">
        <v>-121.01058500000001</v>
      </c>
      <c r="AO4434">
        <v>25</v>
      </c>
      <c r="AP4434">
        <v>4200</v>
      </c>
      <c r="AQ4434" t="s">
        <v>131</v>
      </c>
      <c r="AR4434">
        <v>46</v>
      </c>
      <c r="AS4434">
        <v>63</v>
      </c>
      <c r="AT4434">
        <v>0</v>
      </c>
      <c r="BB4434" t="str">
        <f t="shared" si="1751"/>
        <v>1200</v>
      </c>
      <c r="BC4434">
        <v>1</v>
      </c>
      <c r="BD4434" t="str">
        <f t="shared" si="1752"/>
        <v xml:space="preserve">N52156  </v>
      </c>
      <c r="BE4434">
        <v>1</v>
      </c>
      <c r="BG4434">
        <v>0</v>
      </c>
      <c r="BH4434">
        <v>0</v>
      </c>
      <c r="BI4434">
        <v>0</v>
      </c>
      <c r="BJ4434">
        <v>4225</v>
      </c>
      <c r="BK4434">
        <v>25</v>
      </c>
      <c r="BL4434" t="s">
        <v>188</v>
      </c>
      <c r="BM4434">
        <v>1</v>
      </c>
      <c r="BN4434">
        <v>1</v>
      </c>
      <c r="BO4434">
        <v>0</v>
      </c>
      <c r="BP4434">
        <v>0</v>
      </c>
      <c r="BS4434">
        <v>0</v>
      </c>
      <c r="BT4434">
        <v>0</v>
      </c>
      <c r="BU4434">
        <v>0</v>
      </c>
      <c r="CE4434" t="str">
        <f t="shared" si="1757"/>
        <v>15:16:50.672</v>
      </c>
      <c r="CF4434">
        <v>671503476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4</v>
      </c>
      <c r="CY4434">
        <v>7</v>
      </c>
      <c r="CZ4434" t="s">
        <v>133</v>
      </c>
      <c r="DA4434">
        <v>275</v>
      </c>
      <c r="DB4434">
        <v>0</v>
      </c>
      <c r="DC4434" t="s">
        <v>134</v>
      </c>
      <c r="DD4434" t="s">
        <v>135</v>
      </c>
      <c r="DG4434">
        <v>3323284</v>
      </c>
      <c r="DI4434">
        <v>1</v>
      </c>
      <c r="DJ4434">
        <v>0</v>
      </c>
      <c r="DK4434">
        <v>1</v>
      </c>
      <c r="DL4434">
        <v>0</v>
      </c>
      <c r="DM4434">
        <v>0</v>
      </c>
      <c r="DN4434">
        <v>0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 x14ac:dyDescent="0.3">
      <c r="A4435" t="str">
        <f>"05/01/2025 15:16:50.932"</f>
        <v>05/01/2025 15:16:50.932</v>
      </c>
      <c r="C4435" t="str">
        <f t="shared" si="1748"/>
        <v>FFDFD3C0</v>
      </c>
      <c r="D4435" t="s">
        <v>145</v>
      </c>
      <c r="E4435" t="str">
        <f>"05"</f>
        <v>05</v>
      </c>
      <c r="H4435">
        <v>47</v>
      </c>
      <c r="I4435" t="s">
        <v>146</v>
      </c>
      <c r="J4435" t="s">
        <v>138</v>
      </c>
      <c r="K4435">
        <v>0</v>
      </c>
      <c r="L4435">
        <v>3</v>
      </c>
      <c r="M4435">
        <v>0</v>
      </c>
      <c r="N4435">
        <v>2</v>
      </c>
      <c r="O4435">
        <v>0</v>
      </c>
      <c r="P4435">
        <v>1</v>
      </c>
      <c r="Q4435">
        <v>0</v>
      </c>
      <c r="R4435" t="s">
        <v>127</v>
      </c>
      <c r="S4435" t="str">
        <f t="shared" si="1756"/>
        <v>15:16:50.000</v>
      </c>
      <c r="T4435" t="str">
        <f t="shared" si="1756"/>
        <v>15:16:50.000</v>
      </c>
      <c r="U4435" t="str">
        <f t="shared" si="1750"/>
        <v>A68FCB</v>
      </c>
      <c r="V4435">
        <v>0</v>
      </c>
      <c r="W4435">
        <v>0</v>
      </c>
      <c r="X4435">
        <v>2</v>
      </c>
      <c r="Y4435">
        <v>0</v>
      </c>
      <c r="AA4435">
        <v>1</v>
      </c>
      <c r="AB4435">
        <v>8</v>
      </c>
      <c r="AC4435">
        <v>3</v>
      </c>
      <c r="AD4435">
        <v>0</v>
      </c>
      <c r="AE4435">
        <v>9</v>
      </c>
      <c r="AF4435" t="s">
        <v>138</v>
      </c>
      <c r="AG4435">
        <v>0</v>
      </c>
      <c r="AH4435">
        <v>3</v>
      </c>
      <c r="AI4435">
        <v>2</v>
      </c>
      <c r="AJ4435">
        <v>0</v>
      </c>
      <c r="AK4435" t="s">
        <v>1410</v>
      </c>
      <c r="AL4435">
        <v>39.203896999999998</v>
      </c>
      <c r="AM4435" t="s">
        <v>1411</v>
      </c>
      <c r="AN4435">
        <v>-121.01058500000001</v>
      </c>
      <c r="AO4435">
        <v>25</v>
      </c>
      <c r="AP4435">
        <v>4200</v>
      </c>
      <c r="AQ4435" t="s">
        <v>131</v>
      </c>
      <c r="AR4435">
        <v>46</v>
      </c>
      <c r="AS4435">
        <v>63</v>
      </c>
      <c r="AT4435">
        <v>0</v>
      </c>
      <c r="BB4435" t="str">
        <f t="shared" si="1751"/>
        <v>1200</v>
      </c>
      <c r="BC4435">
        <v>1</v>
      </c>
      <c r="BD4435" t="str">
        <f t="shared" si="1752"/>
        <v xml:space="preserve">N52156  </v>
      </c>
      <c r="BE4435">
        <v>1</v>
      </c>
      <c r="BG4435">
        <v>0</v>
      </c>
      <c r="BH4435">
        <v>0</v>
      </c>
      <c r="BI4435">
        <v>0</v>
      </c>
      <c r="BJ4435">
        <v>4225</v>
      </c>
      <c r="BK4435">
        <v>25</v>
      </c>
      <c r="BL4435" t="s">
        <v>188</v>
      </c>
      <c r="BM4435">
        <v>1</v>
      </c>
      <c r="BN4435">
        <v>1</v>
      </c>
      <c r="BO4435">
        <v>0</v>
      </c>
      <c r="BP4435">
        <v>0</v>
      </c>
      <c r="BS4435">
        <v>0</v>
      </c>
      <c r="BT4435">
        <v>0</v>
      </c>
      <c r="BU4435">
        <v>0</v>
      </c>
      <c r="CE4435" t="str">
        <f t="shared" si="1757"/>
        <v>15:16:50.672</v>
      </c>
      <c r="CF4435">
        <v>671503476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4</v>
      </c>
      <c r="CY4435">
        <v>7</v>
      </c>
      <c r="CZ4435" t="s">
        <v>133</v>
      </c>
      <c r="DA4435">
        <v>275</v>
      </c>
      <c r="DB4435">
        <v>0</v>
      </c>
      <c r="DC4435" t="s">
        <v>134</v>
      </c>
      <c r="DD4435" t="s">
        <v>135</v>
      </c>
      <c r="DG4435">
        <v>3323284</v>
      </c>
      <c r="DI4435">
        <v>1</v>
      </c>
      <c r="DJ4435">
        <v>0</v>
      </c>
      <c r="DK4435">
        <v>1</v>
      </c>
      <c r="DL4435">
        <v>0</v>
      </c>
      <c r="DM4435">
        <v>0</v>
      </c>
      <c r="DN4435">
        <v>0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 x14ac:dyDescent="0.3">
      <c r="A4436" t="str">
        <f>"05/01/2025 15:16:51.461"</f>
        <v>05/01/2025 15:16:51.461</v>
      </c>
      <c r="C4436" t="str">
        <f t="shared" si="1748"/>
        <v>FFDFD3C0</v>
      </c>
      <c r="D4436" t="s">
        <v>140</v>
      </c>
      <c r="E4436" t="str">
        <f>"13"</f>
        <v>13</v>
      </c>
      <c r="F4436">
        <v>1019</v>
      </c>
      <c r="G4436" t="s">
        <v>141</v>
      </c>
      <c r="J4436" t="s">
        <v>142</v>
      </c>
      <c r="K4436">
        <v>0</v>
      </c>
      <c r="L4436">
        <v>3</v>
      </c>
      <c r="M4436">
        <v>0</v>
      </c>
      <c r="N4436">
        <v>2</v>
      </c>
      <c r="O4436">
        <v>0</v>
      </c>
      <c r="P4436">
        <v>1</v>
      </c>
      <c r="Q4436">
        <v>0</v>
      </c>
      <c r="R4436" t="s">
        <v>127</v>
      </c>
      <c r="S4436" t="str">
        <f t="shared" ref="S4436:T4441" si="1758">"15:16:51.000"</f>
        <v>15:16:51.000</v>
      </c>
      <c r="T4436" t="str">
        <f t="shared" si="1758"/>
        <v>15:16:51.000</v>
      </c>
      <c r="U4436" t="str">
        <f t="shared" si="1750"/>
        <v>A68FCB</v>
      </c>
      <c r="V4436">
        <v>0</v>
      </c>
      <c r="W4436">
        <v>0</v>
      </c>
      <c r="X4436">
        <v>2</v>
      </c>
      <c r="Y4436">
        <v>0</v>
      </c>
      <c r="AA4436">
        <v>1</v>
      </c>
      <c r="AB4436">
        <v>8</v>
      </c>
      <c r="AC4436">
        <v>3</v>
      </c>
      <c r="AD4436">
        <v>0</v>
      </c>
      <c r="AE4436">
        <v>9</v>
      </c>
      <c r="AF4436" t="s">
        <v>138</v>
      </c>
      <c r="AG4436">
        <v>0</v>
      </c>
      <c r="AH4436">
        <v>3</v>
      </c>
      <c r="AI4436">
        <v>2</v>
      </c>
      <c r="AJ4436">
        <v>0</v>
      </c>
      <c r="AK4436" t="s">
        <v>1412</v>
      </c>
      <c r="AL4436">
        <v>39.204174999999999</v>
      </c>
      <c r="AM4436" t="s">
        <v>1413</v>
      </c>
      <c r="AN4436">
        <v>-121.010327</v>
      </c>
      <c r="AO4436">
        <v>25</v>
      </c>
      <c r="AP4436">
        <v>4200</v>
      </c>
      <c r="AQ4436" t="s">
        <v>131</v>
      </c>
      <c r="AR4436">
        <v>47</v>
      </c>
      <c r="AS4436">
        <v>63</v>
      </c>
      <c r="AT4436">
        <v>0</v>
      </c>
      <c r="BB4436" t="str">
        <f t="shared" si="1751"/>
        <v>1200</v>
      </c>
      <c r="BC4436">
        <v>1</v>
      </c>
      <c r="BD4436" t="str">
        <f t="shared" si="1752"/>
        <v xml:space="preserve">N52156  </v>
      </c>
      <c r="BE4436">
        <v>1</v>
      </c>
      <c r="BG4436">
        <v>0</v>
      </c>
      <c r="BH4436">
        <v>0</v>
      </c>
      <c r="BI4436">
        <v>0</v>
      </c>
      <c r="BJ4436">
        <v>4225</v>
      </c>
      <c r="BK4436">
        <v>25</v>
      </c>
      <c r="BL4436" t="s">
        <v>188</v>
      </c>
      <c r="BM4436">
        <v>1</v>
      </c>
      <c r="BN4436">
        <v>1</v>
      </c>
      <c r="BO4436">
        <v>0</v>
      </c>
      <c r="BP4436">
        <v>0</v>
      </c>
      <c r="BS4436">
        <v>0</v>
      </c>
      <c r="BT4436">
        <v>0</v>
      </c>
      <c r="BU4436">
        <v>0</v>
      </c>
      <c r="CE4436" t="str">
        <f t="shared" ref="CE4436:CE4441" si="1759">"15:16:51.247"</f>
        <v>15:16:51.247</v>
      </c>
      <c r="CF4436">
        <v>247002480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4</v>
      </c>
      <c r="CY4436">
        <v>7</v>
      </c>
      <c r="CZ4436" t="s">
        <v>133</v>
      </c>
      <c r="DA4436">
        <v>275</v>
      </c>
      <c r="DB4436">
        <v>0</v>
      </c>
      <c r="DC4436" t="s">
        <v>134</v>
      </c>
      <c r="DD4436" t="s">
        <v>135</v>
      </c>
      <c r="DG4436">
        <v>3323286</v>
      </c>
      <c r="DI4436">
        <v>1</v>
      </c>
      <c r="DJ4436">
        <v>0</v>
      </c>
      <c r="DK4436">
        <v>0</v>
      </c>
      <c r="DL4436">
        <v>0</v>
      </c>
      <c r="DM4436">
        <v>0</v>
      </c>
      <c r="DN4436">
        <v>0</v>
      </c>
      <c r="DO4436">
        <v>0</v>
      </c>
      <c r="DP4436">
        <v>0</v>
      </c>
      <c r="DQ4436">
        <v>0</v>
      </c>
      <c r="DR4436">
        <v>0</v>
      </c>
      <c r="DS4436">
        <v>0</v>
      </c>
    </row>
    <row r="4437" spans="1:123" x14ac:dyDescent="0.3">
      <c r="A4437" t="str">
        <f>"05/01/2025 15:16:51.461"</f>
        <v>05/01/2025 15:16:51.461</v>
      </c>
      <c r="C4437" t="str">
        <f t="shared" si="1748"/>
        <v>FFDFD3C0</v>
      </c>
      <c r="D4437" t="s">
        <v>124</v>
      </c>
      <c r="E4437" t="str">
        <f>"06"</f>
        <v>06</v>
      </c>
      <c r="F4437">
        <v>2006</v>
      </c>
      <c r="G4437" t="s">
        <v>125</v>
      </c>
      <c r="J4437" t="s">
        <v>126</v>
      </c>
      <c r="K4437">
        <v>0</v>
      </c>
      <c r="L4437">
        <v>3</v>
      </c>
      <c r="M4437">
        <v>0</v>
      </c>
      <c r="N4437">
        <v>2</v>
      </c>
      <c r="O4437">
        <v>0</v>
      </c>
      <c r="P4437">
        <v>1</v>
      </c>
      <c r="Q4437">
        <v>0</v>
      </c>
      <c r="R4437" t="s">
        <v>127</v>
      </c>
      <c r="S4437" t="str">
        <f t="shared" si="1758"/>
        <v>15:16:51.000</v>
      </c>
      <c r="T4437" t="str">
        <f t="shared" si="1758"/>
        <v>15:16:51.000</v>
      </c>
      <c r="U4437" t="str">
        <f t="shared" si="1750"/>
        <v>A68FCB</v>
      </c>
      <c r="V4437">
        <v>0</v>
      </c>
      <c r="W4437">
        <v>0</v>
      </c>
      <c r="X4437">
        <v>2</v>
      </c>
      <c r="Y4437">
        <v>0</v>
      </c>
      <c r="AA4437">
        <v>1</v>
      </c>
      <c r="AB4437">
        <v>8</v>
      </c>
      <c r="AC4437">
        <v>3</v>
      </c>
      <c r="AD4437">
        <v>0</v>
      </c>
      <c r="AE4437">
        <v>9</v>
      </c>
      <c r="AF4437" t="s">
        <v>138</v>
      </c>
      <c r="AG4437">
        <v>0</v>
      </c>
      <c r="AH4437">
        <v>3</v>
      </c>
      <c r="AI4437">
        <v>2</v>
      </c>
      <c r="AJ4437">
        <v>0</v>
      </c>
      <c r="AK4437" t="s">
        <v>1412</v>
      </c>
      <c r="AL4437">
        <v>39.204174999999999</v>
      </c>
      <c r="AM4437" t="s">
        <v>1413</v>
      </c>
      <c r="AN4437">
        <v>-121.010327</v>
      </c>
      <c r="AO4437">
        <v>25</v>
      </c>
      <c r="AP4437">
        <v>4200</v>
      </c>
      <c r="AQ4437" t="s">
        <v>131</v>
      </c>
      <c r="AR4437">
        <v>47</v>
      </c>
      <c r="AS4437">
        <v>63</v>
      </c>
      <c r="AT4437">
        <v>0</v>
      </c>
      <c r="BB4437" t="str">
        <f t="shared" si="1751"/>
        <v>1200</v>
      </c>
      <c r="BC4437">
        <v>1</v>
      </c>
      <c r="BD4437" t="str">
        <f t="shared" si="1752"/>
        <v xml:space="preserve">N52156  </v>
      </c>
      <c r="BE4437">
        <v>1</v>
      </c>
      <c r="BG4437">
        <v>0</v>
      </c>
      <c r="BH4437">
        <v>0</v>
      </c>
      <c r="BI4437">
        <v>0</v>
      </c>
      <c r="BJ4437">
        <v>4225</v>
      </c>
      <c r="BK4437">
        <v>25</v>
      </c>
      <c r="BL4437" t="s">
        <v>188</v>
      </c>
      <c r="BM4437">
        <v>1</v>
      </c>
      <c r="BN4437">
        <v>1</v>
      </c>
      <c r="BO4437">
        <v>0</v>
      </c>
      <c r="BP4437">
        <v>0</v>
      </c>
      <c r="BS4437">
        <v>0</v>
      </c>
      <c r="BT4437">
        <v>0</v>
      </c>
      <c r="BU4437">
        <v>0</v>
      </c>
      <c r="CE4437" t="str">
        <f t="shared" si="1759"/>
        <v>15:16:51.247</v>
      </c>
      <c r="CF4437">
        <v>247002480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4</v>
      </c>
      <c r="CY4437">
        <v>7</v>
      </c>
      <c r="CZ4437" t="s">
        <v>133</v>
      </c>
      <c r="DA4437">
        <v>275</v>
      </c>
      <c r="DB4437">
        <v>0</v>
      </c>
      <c r="DC4437" t="s">
        <v>134</v>
      </c>
      <c r="DD4437" t="s">
        <v>135</v>
      </c>
      <c r="DG4437">
        <v>3323286</v>
      </c>
      <c r="DI4437">
        <v>1</v>
      </c>
      <c r="DJ4437">
        <v>0</v>
      </c>
      <c r="DK4437">
        <v>1</v>
      </c>
      <c r="DL4437">
        <v>0</v>
      </c>
      <c r="DM4437">
        <v>0</v>
      </c>
      <c r="DN4437">
        <v>0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 x14ac:dyDescent="0.3">
      <c r="A4438" t="str">
        <f>"05/01/2025 15:16:51.466"</f>
        <v>05/01/2025 15:16:51.466</v>
      </c>
      <c r="C4438" t="str">
        <f t="shared" si="1748"/>
        <v>FFDFD3C0</v>
      </c>
      <c r="D4438" t="s">
        <v>143</v>
      </c>
      <c r="E4438" t="str">
        <f>"05"</f>
        <v>05</v>
      </c>
      <c r="H4438">
        <v>172</v>
      </c>
      <c r="I4438" t="s">
        <v>141</v>
      </c>
      <c r="J4438" t="s">
        <v>144</v>
      </c>
      <c r="K4438">
        <v>0</v>
      </c>
      <c r="L4438">
        <v>3</v>
      </c>
      <c r="M4438">
        <v>0</v>
      </c>
      <c r="N4438">
        <v>2</v>
      </c>
      <c r="O4438">
        <v>0</v>
      </c>
      <c r="P4438">
        <v>1</v>
      </c>
      <c r="Q4438">
        <v>0</v>
      </c>
      <c r="R4438" t="s">
        <v>127</v>
      </c>
      <c r="S4438" t="str">
        <f t="shared" si="1758"/>
        <v>15:16:51.000</v>
      </c>
      <c r="T4438" t="str">
        <f t="shared" si="1758"/>
        <v>15:16:51.000</v>
      </c>
      <c r="U4438" t="str">
        <f t="shared" si="1750"/>
        <v>A68FCB</v>
      </c>
      <c r="V4438">
        <v>0</v>
      </c>
      <c r="W4438">
        <v>0</v>
      </c>
      <c r="X4438">
        <v>2</v>
      </c>
      <c r="Y4438">
        <v>0</v>
      </c>
      <c r="AA4438">
        <v>1</v>
      </c>
      <c r="AB4438">
        <v>8</v>
      </c>
      <c r="AC4438">
        <v>3</v>
      </c>
      <c r="AD4438">
        <v>0</v>
      </c>
      <c r="AE4438">
        <v>9</v>
      </c>
      <c r="AF4438" t="s">
        <v>138</v>
      </c>
      <c r="AG4438">
        <v>0</v>
      </c>
      <c r="AH4438">
        <v>3</v>
      </c>
      <c r="AI4438">
        <v>2</v>
      </c>
      <c r="AJ4438">
        <v>0</v>
      </c>
      <c r="AK4438" t="s">
        <v>1412</v>
      </c>
      <c r="AL4438">
        <v>39.204174999999999</v>
      </c>
      <c r="AM4438" t="s">
        <v>1413</v>
      </c>
      <c r="AN4438">
        <v>-121.010327</v>
      </c>
      <c r="AO4438">
        <v>25</v>
      </c>
      <c r="AP4438">
        <v>4200</v>
      </c>
      <c r="AQ4438" t="s">
        <v>131</v>
      </c>
      <c r="AR4438">
        <v>47</v>
      </c>
      <c r="AS4438">
        <v>63</v>
      </c>
      <c r="AT4438">
        <v>0</v>
      </c>
      <c r="BB4438" t="str">
        <f t="shared" si="1751"/>
        <v>1200</v>
      </c>
      <c r="BC4438">
        <v>1</v>
      </c>
      <c r="BD4438" t="str">
        <f t="shared" si="1752"/>
        <v xml:space="preserve">N52156  </v>
      </c>
      <c r="BE4438">
        <v>1</v>
      </c>
      <c r="BG4438">
        <v>0</v>
      </c>
      <c r="BH4438">
        <v>0</v>
      </c>
      <c r="BI4438">
        <v>0</v>
      </c>
      <c r="BJ4438">
        <v>4225</v>
      </c>
      <c r="BK4438">
        <v>25</v>
      </c>
      <c r="BL4438" t="s">
        <v>188</v>
      </c>
      <c r="BM4438">
        <v>1</v>
      </c>
      <c r="BN4438">
        <v>1</v>
      </c>
      <c r="BO4438">
        <v>0</v>
      </c>
      <c r="BP4438">
        <v>0</v>
      </c>
      <c r="BS4438">
        <v>0</v>
      </c>
      <c r="BT4438">
        <v>0</v>
      </c>
      <c r="BU4438">
        <v>0</v>
      </c>
      <c r="CE4438" t="str">
        <f t="shared" si="1759"/>
        <v>15:16:51.247</v>
      </c>
      <c r="CF4438">
        <v>247002480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4</v>
      </c>
      <c r="CY4438">
        <v>7</v>
      </c>
      <c r="CZ4438" t="s">
        <v>133</v>
      </c>
      <c r="DA4438">
        <v>275</v>
      </c>
      <c r="DB4438">
        <v>0</v>
      </c>
      <c r="DC4438" t="s">
        <v>134</v>
      </c>
      <c r="DD4438" t="s">
        <v>135</v>
      </c>
      <c r="DG4438">
        <v>3323286</v>
      </c>
      <c r="DI4438">
        <v>1</v>
      </c>
      <c r="DJ4438">
        <v>0</v>
      </c>
      <c r="DK4438">
        <v>1</v>
      </c>
      <c r="DL4438">
        <v>0</v>
      </c>
      <c r="DM4438">
        <v>0</v>
      </c>
      <c r="DN4438">
        <v>0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 x14ac:dyDescent="0.3">
      <c r="A4439" t="str">
        <f>"05/01/2025 15:16:51.479"</f>
        <v>05/01/2025 15:16:51.479</v>
      </c>
      <c r="C4439" t="str">
        <f t="shared" si="1748"/>
        <v>FFDFD3C0</v>
      </c>
      <c r="D4439" t="s">
        <v>145</v>
      </c>
      <c r="E4439" t="str">
        <f>"09"</f>
        <v>09</v>
      </c>
      <c r="H4439">
        <v>51</v>
      </c>
      <c r="I4439" t="s">
        <v>147</v>
      </c>
      <c r="J4439" t="s">
        <v>138</v>
      </c>
      <c r="K4439">
        <v>0</v>
      </c>
      <c r="L4439">
        <v>3</v>
      </c>
      <c r="M4439">
        <v>0</v>
      </c>
      <c r="N4439">
        <v>2</v>
      </c>
      <c r="O4439">
        <v>0</v>
      </c>
      <c r="P4439">
        <v>1</v>
      </c>
      <c r="Q4439">
        <v>0</v>
      </c>
      <c r="R4439" t="s">
        <v>127</v>
      </c>
      <c r="S4439" t="str">
        <f t="shared" si="1758"/>
        <v>15:16:51.000</v>
      </c>
      <c r="T4439" t="str">
        <f t="shared" si="1758"/>
        <v>15:16:51.000</v>
      </c>
      <c r="U4439" t="str">
        <f t="shared" si="1750"/>
        <v>A68FCB</v>
      </c>
      <c r="V4439">
        <v>0</v>
      </c>
      <c r="W4439">
        <v>0</v>
      </c>
      <c r="X4439">
        <v>2</v>
      </c>
      <c r="Y4439">
        <v>0</v>
      </c>
      <c r="AA4439">
        <v>1</v>
      </c>
      <c r="AB4439">
        <v>8</v>
      </c>
      <c r="AC4439">
        <v>3</v>
      </c>
      <c r="AD4439">
        <v>0</v>
      </c>
      <c r="AE4439">
        <v>9</v>
      </c>
      <c r="AF4439" t="s">
        <v>138</v>
      </c>
      <c r="AG4439">
        <v>0</v>
      </c>
      <c r="AH4439">
        <v>3</v>
      </c>
      <c r="AI4439">
        <v>2</v>
      </c>
      <c r="AJ4439">
        <v>0</v>
      </c>
      <c r="AK4439" t="s">
        <v>1412</v>
      </c>
      <c r="AL4439">
        <v>39.204174999999999</v>
      </c>
      <c r="AM4439" t="s">
        <v>1413</v>
      </c>
      <c r="AN4439">
        <v>-121.010327</v>
      </c>
      <c r="AO4439">
        <v>25</v>
      </c>
      <c r="AP4439">
        <v>4200</v>
      </c>
      <c r="AQ4439" t="s">
        <v>131</v>
      </c>
      <c r="AR4439">
        <v>47</v>
      </c>
      <c r="AS4439">
        <v>63</v>
      </c>
      <c r="AT4439">
        <v>0</v>
      </c>
      <c r="BB4439" t="str">
        <f t="shared" si="1751"/>
        <v>1200</v>
      </c>
      <c r="BC4439">
        <v>1</v>
      </c>
      <c r="BD4439" t="str">
        <f t="shared" si="1752"/>
        <v xml:space="preserve">N52156  </v>
      </c>
      <c r="BE4439">
        <v>1</v>
      </c>
      <c r="BG4439">
        <v>0</v>
      </c>
      <c r="BH4439">
        <v>0</v>
      </c>
      <c r="BI4439">
        <v>0</v>
      </c>
      <c r="BJ4439">
        <v>4225</v>
      </c>
      <c r="BK4439">
        <v>25</v>
      </c>
      <c r="BL4439" t="s">
        <v>188</v>
      </c>
      <c r="BM4439">
        <v>1</v>
      </c>
      <c r="BN4439">
        <v>1</v>
      </c>
      <c r="BO4439">
        <v>0</v>
      </c>
      <c r="BP4439">
        <v>0</v>
      </c>
      <c r="BS4439">
        <v>0</v>
      </c>
      <c r="BT4439">
        <v>0</v>
      </c>
      <c r="BU4439">
        <v>0</v>
      </c>
      <c r="CE4439" t="str">
        <f t="shared" si="1759"/>
        <v>15:16:51.247</v>
      </c>
      <c r="CF4439">
        <v>247002480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4</v>
      </c>
      <c r="CY4439">
        <v>7</v>
      </c>
      <c r="CZ4439" t="s">
        <v>133</v>
      </c>
      <c r="DA4439">
        <v>275</v>
      </c>
      <c r="DB4439">
        <v>0</v>
      </c>
      <c r="DC4439" t="s">
        <v>134</v>
      </c>
      <c r="DD4439" t="s">
        <v>135</v>
      </c>
      <c r="DG4439">
        <v>3323286</v>
      </c>
      <c r="DI4439">
        <v>1</v>
      </c>
      <c r="DJ4439">
        <v>0</v>
      </c>
      <c r="DK4439">
        <v>1</v>
      </c>
      <c r="DL4439">
        <v>0</v>
      </c>
      <c r="DM4439">
        <v>0</v>
      </c>
      <c r="DN4439">
        <v>0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 x14ac:dyDescent="0.3">
      <c r="A4440" t="str">
        <f>"05/01/2025 15:16:51.483"</f>
        <v>05/01/2025 15:16:51.483</v>
      </c>
      <c r="C4440" t="str">
        <f t="shared" si="1748"/>
        <v>FFDFD3C0</v>
      </c>
      <c r="D4440" t="s">
        <v>145</v>
      </c>
      <c r="E4440" t="str">
        <f>"05"</f>
        <v>05</v>
      </c>
      <c r="H4440">
        <v>47</v>
      </c>
      <c r="I4440" t="s">
        <v>146</v>
      </c>
      <c r="J4440" t="s">
        <v>138</v>
      </c>
      <c r="K4440">
        <v>0</v>
      </c>
      <c r="L4440">
        <v>3</v>
      </c>
      <c r="M4440">
        <v>0</v>
      </c>
      <c r="N4440">
        <v>2</v>
      </c>
      <c r="O4440">
        <v>0</v>
      </c>
      <c r="P4440">
        <v>1</v>
      </c>
      <c r="Q4440">
        <v>0</v>
      </c>
      <c r="R4440" t="s">
        <v>127</v>
      </c>
      <c r="S4440" t="str">
        <f t="shared" si="1758"/>
        <v>15:16:51.000</v>
      </c>
      <c r="T4440" t="str">
        <f t="shared" si="1758"/>
        <v>15:16:51.000</v>
      </c>
      <c r="U4440" t="str">
        <f t="shared" si="1750"/>
        <v>A68FCB</v>
      </c>
      <c r="V4440">
        <v>0</v>
      </c>
      <c r="W4440">
        <v>0</v>
      </c>
      <c r="X4440">
        <v>2</v>
      </c>
      <c r="Y4440">
        <v>0</v>
      </c>
      <c r="AA4440">
        <v>1</v>
      </c>
      <c r="AB4440">
        <v>8</v>
      </c>
      <c r="AC4440">
        <v>3</v>
      </c>
      <c r="AD4440">
        <v>0</v>
      </c>
      <c r="AE4440">
        <v>9</v>
      </c>
      <c r="AF4440" t="s">
        <v>138</v>
      </c>
      <c r="AG4440">
        <v>0</v>
      </c>
      <c r="AH4440">
        <v>3</v>
      </c>
      <c r="AI4440">
        <v>2</v>
      </c>
      <c r="AJ4440">
        <v>0</v>
      </c>
      <c r="AK4440" t="s">
        <v>1412</v>
      </c>
      <c r="AL4440">
        <v>39.204174999999999</v>
      </c>
      <c r="AM4440" t="s">
        <v>1413</v>
      </c>
      <c r="AN4440">
        <v>-121.010327</v>
      </c>
      <c r="AO4440">
        <v>25</v>
      </c>
      <c r="AP4440">
        <v>4200</v>
      </c>
      <c r="AQ4440" t="s">
        <v>131</v>
      </c>
      <c r="AR4440">
        <v>47</v>
      </c>
      <c r="AS4440">
        <v>63</v>
      </c>
      <c r="AT4440">
        <v>0</v>
      </c>
      <c r="BB4440" t="str">
        <f t="shared" si="1751"/>
        <v>1200</v>
      </c>
      <c r="BC4440">
        <v>1</v>
      </c>
      <c r="BD4440" t="str">
        <f t="shared" si="1752"/>
        <v xml:space="preserve">N52156  </v>
      </c>
      <c r="BE4440">
        <v>1</v>
      </c>
      <c r="BG4440">
        <v>0</v>
      </c>
      <c r="BH4440">
        <v>0</v>
      </c>
      <c r="BI4440">
        <v>0</v>
      </c>
      <c r="BJ4440">
        <v>4225</v>
      </c>
      <c r="BK4440">
        <v>25</v>
      </c>
      <c r="BL4440" t="s">
        <v>188</v>
      </c>
      <c r="BM4440">
        <v>1</v>
      </c>
      <c r="BN4440">
        <v>1</v>
      </c>
      <c r="BO4440">
        <v>0</v>
      </c>
      <c r="BP4440">
        <v>0</v>
      </c>
      <c r="BS4440">
        <v>0</v>
      </c>
      <c r="BT4440">
        <v>0</v>
      </c>
      <c r="BU4440">
        <v>0</v>
      </c>
      <c r="CE4440" t="str">
        <f t="shared" si="1759"/>
        <v>15:16:51.247</v>
      </c>
      <c r="CF4440">
        <v>247002480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4</v>
      </c>
      <c r="CY4440">
        <v>7</v>
      </c>
      <c r="CZ4440" t="s">
        <v>133</v>
      </c>
      <c r="DA4440">
        <v>275</v>
      </c>
      <c r="DB4440">
        <v>0</v>
      </c>
      <c r="DC4440" t="s">
        <v>134</v>
      </c>
      <c r="DD4440" t="s">
        <v>135</v>
      </c>
      <c r="DG4440">
        <v>3323286</v>
      </c>
      <c r="DI4440">
        <v>1</v>
      </c>
      <c r="DJ4440">
        <v>0</v>
      </c>
      <c r="DK4440">
        <v>1</v>
      </c>
      <c r="DL4440">
        <v>0</v>
      </c>
      <c r="DM4440">
        <v>0</v>
      </c>
      <c r="DN4440">
        <v>0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 x14ac:dyDescent="0.3">
      <c r="A4441" t="str">
        <f>"05/01/2025 15:16:51.494"</f>
        <v>05/01/2025 15:16:51.494</v>
      </c>
      <c r="C4441" t="str">
        <f t="shared" si="1748"/>
        <v>FFDFD3C0</v>
      </c>
      <c r="D4441" t="s">
        <v>136</v>
      </c>
      <c r="E4441" t="str">
        <f>"20"</f>
        <v>20</v>
      </c>
      <c r="H4441">
        <v>400</v>
      </c>
      <c r="I4441" t="s">
        <v>137</v>
      </c>
      <c r="J4441" t="s">
        <v>138</v>
      </c>
      <c r="K4441">
        <v>0</v>
      </c>
      <c r="L4441">
        <v>3</v>
      </c>
      <c r="M4441">
        <v>0</v>
      </c>
      <c r="N4441">
        <v>2</v>
      </c>
      <c r="O4441">
        <v>0</v>
      </c>
      <c r="P4441">
        <v>1</v>
      </c>
      <c r="Q4441">
        <v>0</v>
      </c>
      <c r="R4441" t="s">
        <v>127</v>
      </c>
      <c r="S4441" t="str">
        <f t="shared" si="1758"/>
        <v>15:16:51.000</v>
      </c>
      <c r="T4441" t="str">
        <f t="shared" si="1758"/>
        <v>15:16:51.000</v>
      </c>
      <c r="U4441" t="str">
        <f t="shared" si="1750"/>
        <v>A68FCB</v>
      </c>
      <c r="V4441">
        <v>0</v>
      </c>
      <c r="W4441">
        <v>0</v>
      </c>
      <c r="X4441">
        <v>2</v>
      </c>
      <c r="Y4441">
        <v>0</v>
      </c>
      <c r="AA4441">
        <v>1</v>
      </c>
      <c r="AB4441">
        <v>8</v>
      </c>
      <c r="AC4441">
        <v>3</v>
      </c>
      <c r="AD4441">
        <v>0</v>
      </c>
      <c r="AE4441">
        <v>9</v>
      </c>
      <c r="AF4441" t="s">
        <v>138</v>
      </c>
      <c r="AG4441">
        <v>0</v>
      </c>
      <c r="AH4441">
        <v>3</v>
      </c>
      <c r="AI4441">
        <v>2</v>
      </c>
      <c r="AJ4441">
        <v>0</v>
      </c>
      <c r="AK4441" t="s">
        <v>1412</v>
      </c>
      <c r="AL4441">
        <v>39.204174999999999</v>
      </c>
      <c r="AM4441" t="s">
        <v>1413</v>
      </c>
      <c r="AN4441">
        <v>-121.010327</v>
      </c>
      <c r="AO4441">
        <v>25</v>
      </c>
      <c r="AP4441">
        <v>4200</v>
      </c>
      <c r="AQ4441" t="s">
        <v>131</v>
      </c>
      <c r="AR4441">
        <v>47</v>
      </c>
      <c r="AS4441">
        <v>63</v>
      </c>
      <c r="AT4441">
        <v>0</v>
      </c>
      <c r="BB4441" t="str">
        <f t="shared" si="1751"/>
        <v>1200</v>
      </c>
      <c r="BC4441">
        <v>1</v>
      </c>
      <c r="BD4441" t="str">
        <f t="shared" si="1752"/>
        <v xml:space="preserve">N52156  </v>
      </c>
      <c r="BE4441">
        <v>1</v>
      </c>
      <c r="BG4441">
        <v>0</v>
      </c>
      <c r="BH4441">
        <v>0</v>
      </c>
      <c r="BI4441">
        <v>0</v>
      </c>
      <c r="BJ4441">
        <v>4225</v>
      </c>
      <c r="BK4441">
        <v>25</v>
      </c>
      <c r="BL4441" t="s">
        <v>188</v>
      </c>
      <c r="BM4441">
        <v>1</v>
      </c>
      <c r="BN4441">
        <v>1</v>
      </c>
      <c r="BO4441">
        <v>0</v>
      </c>
      <c r="BP4441">
        <v>0</v>
      </c>
      <c r="BS4441">
        <v>0</v>
      </c>
      <c r="BT4441">
        <v>0</v>
      </c>
      <c r="BU4441">
        <v>0</v>
      </c>
      <c r="CE4441" t="str">
        <f t="shared" si="1759"/>
        <v>15:16:51.247</v>
      </c>
      <c r="CF4441">
        <v>247002480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4</v>
      </c>
      <c r="CY4441">
        <v>7</v>
      </c>
      <c r="CZ4441" t="s">
        <v>133</v>
      </c>
      <c r="DA4441">
        <v>275</v>
      </c>
      <c r="DB4441">
        <v>0</v>
      </c>
      <c r="DC4441" t="s">
        <v>134</v>
      </c>
      <c r="DD4441" t="s">
        <v>135</v>
      </c>
      <c r="DG4441">
        <v>3323286</v>
      </c>
      <c r="DI4441">
        <v>1</v>
      </c>
      <c r="DJ4441">
        <v>0</v>
      </c>
      <c r="DK4441">
        <v>1</v>
      </c>
      <c r="DL4441">
        <v>0</v>
      </c>
      <c r="DM4441">
        <v>0</v>
      </c>
      <c r="DN4441">
        <v>0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 x14ac:dyDescent="0.3">
      <c r="A4442" t="str">
        <f>"05/01/2025 15:16:53.113"</f>
        <v>05/01/2025 15:16:53.113</v>
      </c>
      <c r="C4442" t="str">
        <f t="shared" si="1748"/>
        <v>FFDFD3C0</v>
      </c>
      <c r="D4442" t="s">
        <v>140</v>
      </c>
      <c r="E4442" t="str">
        <f>"13"</f>
        <v>13</v>
      </c>
      <c r="F4442">
        <v>1019</v>
      </c>
      <c r="G4442" t="s">
        <v>141</v>
      </c>
      <c r="J4442" t="s">
        <v>142</v>
      </c>
      <c r="K4442">
        <v>0</v>
      </c>
      <c r="L4442">
        <v>3</v>
      </c>
      <c r="M4442">
        <v>0</v>
      </c>
      <c r="N4442">
        <v>2</v>
      </c>
      <c r="O4442">
        <v>0</v>
      </c>
      <c r="P4442">
        <v>1</v>
      </c>
      <c r="Q4442">
        <v>0</v>
      </c>
      <c r="R4442" t="s">
        <v>127</v>
      </c>
      <c r="S4442" t="str">
        <f t="shared" ref="S4442:T4447" si="1760">"15:16:52.000"</f>
        <v>15:16:52.000</v>
      </c>
      <c r="T4442" t="str">
        <f t="shared" si="1760"/>
        <v>15:16:52.000</v>
      </c>
      <c r="U4442" t="str">
        <f t="shared" si="1750"/>
        <v>A68FCB</v>
      </c>
      <c r="V4442">
        <v>0</v>
      </c>
      <c r="W4442">
        <v>0</v>
      </c>
      <c r="X4442">
        <v>2</v>
      </c>
      <c r="Y4442">
        <v>0</v>
      </c>
      <c r="AA4442">
        <v>1</v>
      </c>
      <c r="AB4442">
        <v>8</v>
      </c>
      <c r="AC4442">
        <v>3</v>
      </c>
      <c r="AD4442">
        <v>0</v>
      </c>
      <c r="AE4442">
        <v>9</v>
      </c>
      <c r="AF4442" t="s">
        <v>138</v>
      </c>
      <c r="AG4442">
        <v>0</v>
      </c>
      <c r="AH4442">
        <v>3</v>
      </c>
      <c r="AI4442">
        <v>2</v>
      </c>
      <c r="AJ4442">
        <v>0</v>
      </c>
      <c r="AK4442" t="s">
        <v>1414</v>
      </c>
      <c r="AL4442">
        <v>39.204476</v>
      </c>
      <c r="AM4442" t="s">
        <v>1415</v>
      </c>
      <c r="AN4442">
        <v>-121.01002699999999</v>
      </c>
      <c r="AO4442">
        <v>25</v>
      </c>
      <c r="AP4442">
        <v>4200</v>
      </c>
      <c r="AQ4442" t="s">
        <v>131</v>
      </c>
      <c r="AR4442">
        <v>48</v>
      </c>
      <c r="AS4442">
        <v>62</v>
      </c>
      <c r="AT4442">
        <v>0</v>
      </c>
      <c r="BB4442" t="str">
        <f t="shared" si="1751"/>
        <v>1200</v>
      </c>
      <c r="BC4442">
        <v>1</v>
      </c>
      <c r="BD4442" t="str">
        <f t="shared" si="1752"/>
        <v xml:space="preserve">N52156  </v>
      </c>
      <c r="BE4442">
        <v>1</v>
      </c>
      <c r="BG4442">
        <v>0</v>
      </c>
      <c r="BH4442">
        <v>0</v>
      </c>
      <c r="BI4442">
        <v>0</v>
      </c>
      <c r="BJ4442">
        <v>4225</v>
      </c>
      <c r="BK4442">
        <v>25</v>
      </c>
      <c r="BL4442" t="s">
        <v>188</v>
      </c>
      <c r="BM4442">
        <v>1</v>
      </c>
      <c r="BN4442">
        <v>1</v>
      </c>
      <c r="BO4442">
        <v>0</v>
      </c>
      <c r="BP4442">
        <v>0</v>
      </c>
      <c r="BS4442">
        <v>0</v>
      </c>
      <c r="BT4442">
        <v>0</v>
      </c>
      <c r="BU4442">
        <v>0</v>
      </c>
      <c r="CE4442" t="str">
        <f t="shared" ref="CE4442:CE4447" si="1761">"15:16:52.908"</f>
        <v>15:16:52.908</v>
      </c>
      <c r="CF4442">
        <v>908254315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4</v>
      </c>
      <c r="CY4442">
        <v>7</v>
      </c>
      <c r="CZ4442" t="s">
        <v>133</v>
      </c>
      <c r="DA4442">
        <v>275</v>
      </c>
      <c r="DB4442">
        <v>0</v>
      </c>
      <c r="DC4442" t="s">
        <v>134</v>
      </c>
      <c r="DD4442" t="s">
        <v>135</v>
      </c>
      <c r="DG4442">
        <v>3323287</v>
      </c>
      <c r="DI4442">
        <v>1</v>
      </c>
      <c r="DJ4442">
        <v>0</v>
      </c>
      <c r="DK4442">
        <v>0</v>
      </c>
      <c r="DL4442">
        <v>0</v>
      </c>
      <c r="DM4442">
        <v>0</v>
      </c>
      <c r="DN4442">
        <v>0</v>
      </c>
      <c r="DO4442">
        <v>0</v>
      </c>
      <c r="DP4442">
        <v>0</v>
      </c>
      <c r="DQ4442">
        <v>0</v>
      </c>
      <c r="DR4442">
        <v>0</v>
      </c>
      <c r="DS4442">
        <v>0</v>
      </c>
    </row>
    <row r="4443" spans="1:123" x14ac:dyDescent="0.3">
      <c r="A4443" t="str">
        <f>"05/01/2025 15:16:53.114"</f>
        <v>05/01/2025 15:16:53.114</v>
      </c>
      <c r="C4443" t="str">
        <f t="shared" si="1748"/>
        <v>FFDFD3C0</v>
      </c>
      <c r="D4443" t="s">
        <v>124</v>
      </c>
      <c r="E4443" t="str">
        <f>"06"</f>
        <v>06</v>
      </c>
      <c r="F4443">
        <v>2006</v>
      </c>
      <c r="G4443" t="s">
        <v>125</v>
      </c>
      <c r="J4443" t="s">
        <v>126</v>
      </c>
      <c r="K4443">
        <v>0</v>
      </c>
      <c r="L4443">
        <v>3</v>
      </c>
      <c r="M4443">
        <v>0</v>
      </c>
      <c r="N4443">
        <v>2</v>
      </c>
      <c r="O4443">
        <v>0</v>
      </c>
      <c r="P4443">
        <v>1</v>
      </c>
      <c r="Q4443">
        <v>0</v>
      </c>
      <c r="R4443" t="s">
        <v>127</v>
      </c>
      <c r="S4443" t="str">
        <f t="shared" si="1760"/>
        <v>15:16:52.000</v>
      </c>
      <c r="T4443" t="str">
        <f t="shared" si="1760"/>
        <v>15:16:52.000</v>
      </c>
      <c r="U4443" t="str">
        <f t="shared" si="1750"/>
        <v>A68FCB</v>
      </c>
      <c r="V4443">
        <v>0</v>
      </c>
      <c r="W4443">
        <v>0</v>
      </c>
      <c r="X4443">
        <v>2</v>
      </c>
      <c r="Y4443">
        <v>0</v>
      </c>
      <c r="AA4443">
        <v>1</v>
      </c>
      <c r="AB4443">
        <v>8</v>
      </c>
      <c r="AC4443">
        <v>3</v>
      </c>
      <c r="AD4443">
        <v>0</v>
      </c>
      <c r="AE4443">
        <v>9</v>
      </c>
      <c r="AF4443" t="s">
        <v>138</v>
      </c>
      <c r="AG4443">
        <v>0</v>
      </c>
      <c r="AH4443">
        <v>3</v>
      </c>
      <c r="AI4443">
        <v>2</v>
      </c>
      <c r="AJ4443">
        <v>0</v>
      </c>
      <c r="AK4443" t="s">
        <v>1414</v>
      </c>
      <c r="AL4443">
        <v>39.204476</v>
      </c>
      <c r="AM4443" t="s">
        <v>1415</v>
      </c>
      <c r="AN4443">
        <v>-121.01002699999999</v>
      </c>
      <c r="AO4443">
        <v>25</v>
      </c>
      <c r="AP4443">
        <v>4200</v>
      </c>
      <c r="AQ4443" t="s">
        <v>131</v>
      </c>
      <c r="AR4443">
        <v>48</v>
      </c>
      <c r="AS4443">
        <v>62</v>
      </c>
      <c r="AT4443">
        <v>0</v>
      </c>
      <c r="BB4443" t="str">
        <f t="shared" si="1751"/>
        <v>1200</v>
      </c>
      <c r="BC4443">
        <v>1</v>
      </c>
      <c r="BD4443" t="str">
        <f t="shared" si="1752"/>
        <v xml:space="preserve">N52156  </v>
      </c>
      <c r="BE4443">
        <v>1</v>
      </c>
      <c r="BG4443">
        <v>0</v>
      </c>
      <c r="BH4443">
        <v>0</v>
      </c>
      <c r="BI4443">
        <v>0</v>
      </c>
      <c r="BJ4443">
        <v>4225</v>
      </c>
      <c r="BK4443">
        <v>25</v>
      </c>
      <c r="BL4443" t="s">
        <v>188</v>
      </c>
      <c r="BM4443">
        <v>1</v>
      </c>
      <c r="BN4443">
        <v>1</v>
      </c>
      <c r="BO4443">
        <v>0</v>
      </c>
      <c r="BP4443">
        <v>0</v>
      </c>
      <c r="BS4443">
        <v>0</v>
      </c>
      <c r="BT4443">
        <v>0</v>
      </c>
      <c r="BU4443">
        <v>0</v>
      </c>
      <c r="CE4443" t="str">
        <f t="shared" si="1761"/>
        <v>15:16:52.908</v>
      </c>
      <c r="CF4443">
        <v>908254315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4</v>
      </c>
      <c r="CY4443">
        <v>7</v>
      </c>
      <c r="CZ4443" t="s">
        <v>133</v>
      </c>
      <c r="DA4443">
        <v>275</v>
      </c>
      <c r="DB4443">
        <v>0</v>
      </c>
      <c r="DC4443" t="s">
        <v>134</v>
      </c>
      <c r="DD4443" t="s">
        <v>135</v>
      </c>
      <c r="DG4443">
        <v>3323287</v>
      </c>
      <c r="DI4443">
        <v>1</v>
      </c>
      <c r="DJ4443">
        <v>0</v>
      </c>
      <c r="DK4443">
        <v>1</v>
      </c>
      <c r="DL4443">
        <v>0</v>
      </c>
      <c r="DM4443">
        <v>0</v>
      </c>
      <c r="DN4443">
        <v>0</v>
      </c>
      <c r="DO4443">
        <v>0</v>
      </c>
      <c r="DP4443">
        <v>0</v>
      </c>
      <c r="DQ4443">
        <v>0</v>
      </c>
      <c r="DR4443">
        <v>0</v>
      </c>
      <c r="DS4443">
        <v>0</v>
      </c>
    </row>
    <row r="4444" spans="1:123" x14ac:dyDescent="0.3">
      <c r="A4444" t="str">
        <f>"05/01/2025 15:16:53.119"</f>
        <v>05/01/2025 15:16:53.119</v>
      </c>
      <c r="C4444" t="str">
        <f t="shared" si="1748"/>
        <v>FFDFD3C0</v>
      </c>
      <c r="D4444" t="s">
        <v>143</v>
      </c>
      <c r="E4444" t="str">
        <f>"05"</f>
        <v>05</v>
      </c>
      <c r="H4444">
        <v>172</v>
      </c>
      <c r="I4444" t="s">
        <v>141</v>
      </c>
      <c r="J4444" t="s">
        <v>144</v>
      </c>
      <c r="K4444">
        <v>0</v>
      </c>
      <c r="L4444">
        <v>3</v>
      </c>
      <c r="M4444">
        <v>0</v>
      </c>
      <c r="N4444">
        <v>2</v>
      </c>
      <c r="O4444">
        <v>0</v>
      </c>
      <c r="P4444">
        <v>1</v>
      </c>
      <c r="Q4444">
        <v>0</v>
      </c>
      <c r="R4444" t="s">
        <v>127</v>
      </c>
      <c r="S4444" t="str">
        <f t="shared" si="1760"/>
        <v>15:16:52.000</v>
      </c>
      <c r="T4444" t="str">
        <f t="shared" si="1760"/>
        <v>15:16:52.000</v>
      </c>
      <c r="U4444" t="str">
        <f t="shared" si="1750"/>
        <v>A68FCB</v>
      </c>
      <c r="V4444">
        <v>0</v>
      </c>
      <c r="W4444">
        <v>0</v>
      </c>
      <c r="X4444">
        <v>2</v>
      </c>
      <c r="Y4444">
        <v>0</v>
      </c>
      <c r="AA4444">
        <v>1</v>
      </c>
      <c r="AB4444">
        <v>8</v>
      </c>
      <c r="AC4444">
        <v>3</v>
      </c>
      <c r="AD4444">
        <v>0</v>
      </c>
      <c r="AE4444">
        <v>9</v>
      </c>
      <c r="AF4444" t="s">
        <v>138</v>
      </c>
      <c r="AG4444">
        <v>0</v>
      </c>
      <c r="AH4444">
        <v>3</v>
      </c>
      <c r="AI4444">
        <v>2</v>
      </c>
      <c r="AJ4444">
        <v>0</v>
      </c>
      <c r="AK4444" t="s">
        <v>1414</v>
      </c>
      <c r="AL4444">
        <v>39.204476</v>
      </c>
      <c r="AM4444" t="s">
        <v>1415</v>
      </c>
      <c r="AN4444">
        <v>-121.01002699999999</v>
      </c>
      <c r="AO4444">
        <v>25</v>
      </c>
      <c r="AP4444">
        <v>4200</v>
      </c>
      <c r="AQ4444" t="s">
        <v>131</v>
      </c>
      <c r="AR4444">
        <v>48</v>
      </c>
      <c r="AS4444">
        <v>62</v>
      </c>
      <c r="AT4444">
        <v>0</v>
      </c>
      <c r="BB4444" t="str">
        <f t="shared" si="1751"/>
        <v>1200</v>
      </c>
      <c r="BC4444">
        <v>1</v>
      </c>
      <c r="BD4444" t="str">
        <f t="shared" si="1752"/>
        <v xml:space="preserve">N52156  </v>
      </c>
      <c r="BE4444">
        <v>1</v>
      </c>
      <c r="BG4444">
        <v>0</v>
      </c>
      <c r="BH4444">
        <v>0</v>
      </c>
      <c r="BI4444">
        <v>0</v>
      </c>
      <c r="BJ4444">
        <v>4225</v>
      </c>
      <c r="BK4444">
        <v>25</v>
      </c>
      <c r="BL4444" t="s">
        <v>188</v>
      </c>
      <c r="BM4444">
        <v>1</v>
      </c>
      <c r="BN4444">
        <v>1</v>
      </c>
      <c r="BO4444">
        <v>0</v>
      </c>
      <c r="BP4444">
        <v>0</v>
      </c>
      <c r="BS4444">
        <v>0</v>
      </c>
      <c r="BT4444">
        <v>0</v>
      </c>
      <c r="BU4444">
        <v>0</v>
      </c>
      <c r="CE4444" t="str">
        <f t="shared" si="1761"/>
        <v>15:16:52.908</v>
      </c>
      <c r="CF4444">
        <v>908254315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4</v>
      </c>
      <c r="CY4444">
        <v>7</v>
      </c>
      <c r="CZ4444" t="s">
        <v>133</v>
      </c>
      <c r="DA4444">
        <v>275</v>
      </c>
      <c r="DB4444">
        <v>0</v>
      </c>
      <c r="DC4444" t="s">
        <v>134</v>
      </c>
      <c r="DD4444" t="s">
        <v>135</v>
      </c>
      <c r="DG4444">
        <v>3323287</v>
      </c>
      <c r="DI4444">
        <v>1</v>
      </c>
      <c r="DJ4444">
        <v>0</v>
      </c>
      <c r="DK4444">
        <v>1</v>
      </c>
      <c r="DL4444">
        <v>0</v>
      </c>
      <c r="DM4444">
        <v>0</v>
      </c>
      <c r="DN4444">
        <v>0</v>
      </c>
      <c r="DO4444">
        <v>0</v>
      </c>
      <c r="DP4444">
        <v>0</v>
      </c>
      <c r="DQ4444">
        <v>0</v>
      </c>
      <c r="DR4444">
        <v>0</v>
      </c>
      <c r="DS4444">
        <v>0</v>
      </c>
    </row>
    <row r="4445" spans="1:123" x14ac:dyDescent="0.3">
      <c r="A4445" t="str">
        <f>"05/01/2025 15:16:53.132"</f>
        <v>05/01/2025 15:16:53.132</v>
      </c>
      <c r="C4445" t="str">
        <f t="shared" si="1748"/>
        <v>FFDFD3C0</v>
      </c>
      <c r="D4445" t="s">
        <v>145</v>
      </c>
      <c r="E4445" t="str">
        <f>"09"</f>
        <v>09</v>
      </c>
      <c r="H4445">
        <v>51</v>
      </c>
      <c r="I4445" t="s">
        <v>147</v>
      </c>
      <c r="J4445" t="s">
        <v>138</v>
      </c>
      <c r="K4445">
        <v>0</v>
      </c>
      <c r="L4445">
        <v>3</v>
      </c>
      <c r="M4445">
        <v>0</v>
      </c>
      <c r="N4445">
        <v>2</v>
      </c>
      <c r="O4445">
        <v>0</v>
      </c>
      <c r="P4445">
        <v>1</v>
      </c>
      <c r="Q4445">
        <v>0</v>
      </c>
      <c r="R4445" t="s">
        <v>127</v>
      </c>
      <c r="S4445" t="str">
        <f t="shared" si="1760"/>
        <v>15:16:52.000</v>
      </c>
      <c r="T4445" t="str">
        <f t="shared" si="1760"/>
        <v>15:16:52.000</v>
      </c>
      <c r="U4445" t="str">
        <f t="shared" si="1750"/>
        <v>A68FCB</v>
      </c>
      <c r="V4445">
        <v>0</v>
      </c>
      <c r="W4445">
        <v>0</v>
      </c>
      <c r="X4445">
        <v>2</v>
      </c>
      <c r="Y4445">
        <v>0</v>
      </c>
      <c r="AA4445">
        <v>1</v>
      </c>
      <c r="AB4445">
        <v>8</v>
      </c>
      <c r="AC4445">
        <v>3</v>
      </c>
      <c r="AD4445">
        <v>0</v>
      </c>
      <c r="AE4445">
        <v>9</v>
      </c>
      <c r="AF4445" t="s">
        <v>138</v>
      </c>
      <c r="AG4445">
        <v>0</v>
      </c>
      <c r="AH4445">
        <v>3</v>
      </c>
      <c r="AI4445">
        <v>2</v>
      </c>
      <c r="AJ4445">
        <v>0</v>
      </c>
      <c r="AK4445" t="s">
        <v>1414</v>
      </c>
      <c r="AL4445">
        <v>39.204476</v>
      </c>
      <c r="AM4445" t="s">
        <v>1415</v>
      </c>
      <c r="AN4445">
        <v>-121.01002699999999</v>
      </c>
      <c r="AO4445">
        <v>25</v>
      </c>
      <c r="AP4445">
        <v>4200</v>
      </c>
      <c r="AQ4445" t="s">
        <v>131</v>
      </c>
      <c r="AR4445">
        <v>48</v>
      </c>
      <c r="AS4445">
        <v>62</v>
      </c>
      <c r="AT4445">
        <v>0</v>
      </c>
      <c r="BB4445" t="str">
        <f t="shared" si="1751"/>
        <v>1200</v>
      </c>
      <c r="BC4445">
        <v>1</v>
      </c>
      <c r="BD4445" t="str">
        <f t="shared" si="1752"/>
        <v xml:space="preserve">N52156  </v>
      </c>
      <c r="BE4445">
        <v>1</v>
      </c>
      <c r="BG4445">
        <v>0</v>
      </c>
      <c r="BH4445">
        <v>0</v>
      </c>
      <c r="BI4445">
        <v>0</v>
      </c>
      <c r="BJ4445">
        <v>4225</v>
      </c>
      <c r="BK4445">
        <v>25</v>
      </c>
      <c r="BL4445" t="s">
        <v>188</v>
      </c>
      <c r="BM4445">
        <v>1</v>
      </c>
      <c r="BN4445">
        <v>1</v>
      </c>
      <c r="BO4445">
        <v>0</v>
      </c>
      <c r="BP4445">
        <v>0</v>
      </c>
      <c r="BS4445">
        <v>0</v>
      </c>
      <c r="BT4445">
        <v>0</v>
      </c>
      <c r="BU4445">
        <v>0</v>
      </c>
      <c r="CE4445" t="str">
        <f t="shared" si="1761"/>
        <v>15:16:52.908</v>
      </c>
      <c r="CF4445">
        <v>908254315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4</v>
      </c>
      <c r="CY4445">
        <v>7</v>
      </c>
      <c r="CZ4445" t="s">
        <v>133</v>
      </c>
      <c r="DA4445">
        <v>275</v>
      </c>
      <c r="DB4445">
        <v>0</v>
      </c>
      <c r="DC4445" t="s">
        <v>134</v>
      </c>
      <c r="DD4445" t="s">
        <v>135</v>
      </c>
      <c r="DG4445">
        <v>3323287</v>
      </c>
      <c r="DI4445">
        <v>1</v>
      </c>
      <c r="DJ4445">
        <v>0</v>
      </c>
      <c r="DK4445">
        <v>1</v>
      </c>
      <c r="DL4445">
        <v>0</v>
      </c>
      <c r="DM4445">
        <v>0</v>
      </c>
      <c r="DN4445">
        <v>0</v>
      </c>
      <c r="DO4445">
        <v>0</v>
      </c>
      <c r="DP4445">
        <v>0</v>
      </c>
      <c r="DQ4445">
        <v>0</v>
      </c>
      <c r="DR4445">
        <v>0</v>
      </c>
      <c r="DS4445">
        <v>0</v>
      </c>
    </row>
    <row r="4446" spans="1:123" x14ac:dyDescent="0.3">
      <c r="A4446" t="str">
        <f>"05/01/2025 15:16:53.136"</f>
        <v>05/01/2025 15:16:53.136</v>
      </c>
      <c r="C4446" t="str">
        <f t="shared" si="1748"/>
        <v>FFDFD3C0</v>
      </c>
      <c r="D4446" t="s">
        <v>145</v>
      </c>
      <c r="E4446" t="str">
        <f>"05"</f>
        <v>05</v>
      </c>
      <c r="H4446">
        <v>47</v>
      </c>
      <c r="I4446" t="s">
        <v>146</v>
      </c>
      <c r="J4446" t="s">
        <v>138</v>
      </c>
      <c r="K4446">
        <v>0</v>
      </c>
      <c r="L4446">
        <v>3</v>
      </c>
      <c r="M4446">
        <v>0</v>
      </c>
      <c r="N4446">
        <v>2</v>
      </c>
      <c r="O4446">
        <v>0</v>
      </c>
      <c r="P4446">
        <v>1</v>
      </c>
      <c r="Q4446">
        <v>0</v>
      </c>
      <c r="R4446" t="s">
        <v>127</v>
      </c>
      <c r="S4446" t="str">
        <f t="shared" si="1760"/>
        <v>15:16:52.000</v>
      </c>
      <c r="T4446" t="str">
        <f t="shared" si="1760"/>
        <v>15:16:52.000</v>
      </c>
      <c r="U4446" t="str">
        <f t="shared" si="1750"/>
        <v>A68FCB</v>
      </c>
      <c r="V4446">
        <v>0</v>
      </c>
      <c r="W4446">
        <v>0</v>
      </c>
      <c r="X4446">
        <v>2</v>
      </c>
      <c r="Y4446">
        <v>0</v>
      </c>
      <c r="AA4446">
        <v>1</v>
      </c>
      <c r="AB4446">
        <v>8</v>
      </c>
      <c r="AC4446">
        <v>3</v>
      </c>
      <c r="AD4446">
        <v>0</v>
      </c>
      <c r="AE4446">
        <v>9</v>
      </c>
      <c r="AF4446" t="s">
        <v>138</v>
      </c>
      <c r="AG4446">
        <v>0</v>
      </c>
      <c r="AH4446">
        <v>3</v>
      </c>
      <c r="AI4446">
        <v>2</v>
      </c>
      <c r="AJ4446">
        <v>0</v>
      </c>
      <c r="AK4446" t="s">
        <v>1414</v>
      </c>
      <c r="AL4446">
        <v>39.204476</v>
      </c>
      <c r="AM4446" t="s">
        <v>1415</v>
      </c>
      <c r="AN4446">
        <v>-121.01002699999999</v>
      </c>
      <c r="AO4446">
        <v>25</v>
      </c>
      <c r="AP4446">
        <v>4200</v>
      </c>
      <c r="AQ4446" t="s">
        <v>131</v>
      </c>
      <c r="AR4446">
        <v>48</v>
      </c>
      <c r="AS4446">
        <v>62</v>
      </c>
      <c r="AT4446">
        <v>0</v>
      </c>
      <c r="BB4446" t="str">
        <f t="shared" si="1751"/>
        <v>1200</v>
      </c>
      <c r="BC4446">
        <v>1</v>
      </c>
      <c r="BD4446" t="str">
        <f t="shared" si="1752"/>
        <v xml:space="preserve">N52156  </v>
      </c>
      <c r="BE4446">
        <v>1</v>
      </c>
      <c r="BG4446">
        <v>0</v>
      </c>
      <c r="BH4446">
        <v>0</v>
      </c>
      <c r="BI4446">
        <v>0</v>
      </c>
      <c r="BJ4446">
        <v>4225</v>
      </c>
      <c r="BK4446">
        <v>25</v>
      </c>
      <c r="BL4446" t="s">
        <v>188</v>
      </c>
      <c r="BM4446">
        <v>1</v>
      </c>
      <c r="BN4446">
        <v>1</v>
      </c>
      <c r="BO4446">
        <v>0</v>
      </c>
      <c r="BP4446">
        <v>0</v>
      </c>
      <c r="BS4446">
        <v>0</v>
      </c>
      <c r="BT4446">
        <v>0</v>
      </c>
      <c r="BU4446">
        <v>0</v>
      </c>
      <c r="CE4446" t="str">
        <f t="shared" si="1761"/>
        <v>15:16:52.908</v>
      </c>
      <c r="CF4446">
        <v>908254315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4</v>
      </c>
      <c r="CY4446">
        <v>7</v>
      </c>
      <c r="CZ4446" t="s">
        <v>133</v>
      </c>
      <c r="DA4446">
        <v>275</v>
      </c>
      <c r="DB4446">
        <v>0</v>
      </c>
      <c r="DC4446" t="s">
        <v>134</v>
      </c>
      <c r="DD4446" t="s">
        <v>135</v>
      </c>
      <c r="DG4446">
        <v>3323287</v>
      </c>
      <c r="DI4446">
        <v>1</v>
      </c>
      <c r="DJ4446">
        <v>0</v>
      </c>
      <c r="DK4446">
        <v>1</v>
      </c>
      <c r="DL4446">
        <v>0</v>
      </c>
      <c r="DM4446">
        <v>0</v>
      </c>
      <c r="DN4446">
        <v>0</v>
      </c>
      <c r="DO4446">
        <v>0</v>
      </c>
      <c r="DP4446">
        <v>0</v>
      </c>
      <c r="DQ4446">
        <v>0</v>
      </c>
      <c r="DR4446">
        <v>0</v>
      </c>
      <c r="DS4446">
        <v>0</v>
      </c>
    </row>
    <row r="4447" spans="1:123" x14ac:dyDescent="0.3">
      <c r="A4447" t="str">
        <f>"05/01/2025 15:16:53.148"</f>
        <v>05/01/2025 15:16:53.148</v>
      </c>
      <c r="C4447" t="str">
        <f t="shared" si="1748"/>
        <v>FFDFD3C0</v>
      </c>
      <c r="D4447" t="s">
        <v>136</v>
      </c>
      <c r="E4447" t="str">
        <f>"20"</f>
        <v>20</v>
      </c>
      <c r="H4447">
        <v>400</v>
      </c>
      <c r="I4447" t="s">
        <v>137</v>
      </c>
      <c r="J4447" t="s">
        <v>138</v>
      </c>
      <c r="K4447">
        <v>0</v>
      </c>
      <c r="L4447">
        <v>3</v>
      </c>
      <c r="M4447">
        <v>0</v>
      </c>
      <c r="N4447">
        <v>2</v>
      </c>
      <c r="O4447">
        <v>0</v>
      </c>
      <c r="P4447">
        <v>1</v>
      </c>
      <c r="Q4447">
        <v>0</v>
      </c>
      <c r="R4447" t="s">
        <v>127</v>
      </c>
      <c r="S4447" t="str">
        <f t="shared" si="1760"/>
        <v>15:16:52.000</v>
      </c>
      <c r="T4447" t="str">
        <f t="shared" si="1760"/>
        <v>15:16:52.000</v>
      </c>
      <c r="U4447" t="str">
        <f t="shared" si="1750"/>
        <v>A68FCB</v>
      </c>
      <c r="V4447">
        <v>0</v>
      </c>
      <c r="W4447">
        <v>0</v>
      </c>
      <c r="X4447">
        <v>2</v>
      </c>
      <c r="Y4447">
        <v>0</v>
      </c>
      <c r="AA4447">
        <v>1</v>
      </c>
      <c r="AB4447">
        <v>8</v>
      </c>
      <c r="AC4447">
        <v>3</v>
      </c>
      <c r="AD4447">
        <v>0</v>
      </c>
      <c r="AE4447">
        <v>9</v>
      </c>
      <c r="AF4447" t="s">
        <v>138</v>
      </c>
      <c r="AG4447">
        <v>0</v>
      </c>
      <c r="AH4447">
        <v>3</v>
      </c>
      <c r="AI4447">
        <v>2</v>
      </c>
      <c r="AJ4447">
        <v>0</v>
      </c>
      <c r="AK4447" t="s">
        <v>1414</v>
      </c>
      <c r="AL4447">
        <v>39.204476</v>
      </c>
      <c r="AM4447" t="s">
        <v>1415</v>
      </c>
      <c r="AN4447">
        <v>-121.01002699999999</v>
      </c>
      <c r="AO4447">
        <v>25</v>
      </c>
      <c r="AP4447">
        <v>4200</v>
      </c>
      <c r="AQ4447" t="s">
        <v>131</v>
      </c>
      <c r="AR4447">
        <v>48</v>
      </c>
      <c r="AS4447">
        <v>62</v>
      </c>
      <c r="AT4447">
        <v>0</v>
      </c>
      <c r="BB4447" t="str">
        <f t="shared" si="1751"/>
        <v>1200</v>
      </c>
      <c r="BC4447">
        <v>1</v>
      </c>
      <c r="BD4447" t="str">
        <f t="shared" si="1752"/>
        <v xml:space="preserve">N52156  </v>
      </c>
      <c r="BE4447">
        <v>1</v>
      </c>
      <c r="BG4447">
        <v>0</v>
      </c>
      <c r="BH4447">
        <v>0</v>
      </c>
      <c r="BI4447">
        <v>0</v>
      </c>
      <c r="BJ4447">
        <v>4225</v>
      </c>
      <c r="BK4447">
        <v>25</v>
      </c>
      <c r="BL4447" t="s">
        <v>188</v>
      </c>
      <c r="BM4447">
        <v>1</v>
      </c>
      <c r="BN4447">
        <v>1</v>
      </c>
      <c r="BO4447">
        <v>0</v>
      </c>
      <c r="BP4447">
        <v>0</v>
      </c>
      <c r="BS4447">
        <v>0</v>
      </c>
      <c r="BT4447">
        <v>0</v>
      </c>
      <c r="BU4447">
        <v>0</v>
      </c>
      <c r="CE4447" t="str">
        <f t="shared" si="1761"/>
        <v>15:16:52.908</v>
      </c>
      <c r="CF4447">
        <v>908254315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4</v>
      </c>
      <c r="CY4447">
        <v>7</v>
      </c>
      <c r="CZ4447" t="s">
        <v>133</v>
      </c>
      <c r="DA4447">
        <v>275</v>
      </c>
      <c r="DB4447">
        <v>0</v>
      </c>
      <c r="DC4447" t="s">
        <v>134</v>
      </c>
      <c r="DD4447" t="s">
        <v>135</v>
      </c>
      <c r="DG4447">
        <v>3323287</v>
      </c>
      <c r="DI4447">
        <v>1</v>
      </c>
      <c r="DJ4447">
        <v>0</v>
      </c>
      <c r="DK4447">
        <v>1</v>
      </c>
      <c r="DL4447">
        <v>0</v>
      </c>
      <c r="DM4447">
        <v>0</v>
      </c>
      <c r="DN4447">
        <v>0</v>
      </c>
      <c r="DO4447">
        <v>0</v>
      </c>
      <c r="DP4447">
        <v>0</v>
      </c>
      <c r="DQ4447">
        <v>0</v>
      </c>
      <c r="DR4447">
        <v>0</v>
      </c>
      <c r="DS4447">
        <v>0</v>
      </c>
    </row>
    <row r="4448" spans="1:123" x14ac:dyDescent="0.3">
      <c r="A4448" t="str">
        <f>"05/01/2025 15:16:53.498"</f>
        <v>05/01/2025 15:16:53.498</v>
      </c>
      <c r="C4448" t="str">
        <f t="shared" si="1748"/>
        <v>FFDFD3C0</v>
      </c>
      <c r="D4448" t="s">
        <v>136</v>
      </c>
      <c r="E4448" t="str">
        <f>"20"</f>
        <v>20</v>
      </c>
      <c r="H4448">
        <v>400</v>
      </c>
      <c r="I4448" t="s">
        <v>137</v>
      </c>
      <c r="J4448" t="s">
        <v>138</v>
      </c>
      <c r="K4448">
        <v>0</v>
      </c>
      <c r="L4448">
        <v>3</v>
      </c>
      <c r="M4448">
        <v>0</v>
      </c>
      <c r="N4448">
        <v>2</v>
      </c>
      <c r="O4448">
        <v>0</v>
      </c>
      <c r="P4448">
        <v>1</v>
      </c>
      <c r="Q4448">
        <v>0</v>
      </c>
      <c r="R4448" t="s">
        <v>127</v>
      </c>
      <c r="S4448" t="str">
        <f t="shared" ref="S4448:T4453" si="1762">"15:16:53.000"</f>
        <v>15:16:53.000</v>
      </c>
      <c r="T4448" t="str">
        <f t="shared" si="1762"/>
        <v>15:16:53.000</v>
      </c>
      <c r="U4448" t="str">
        <f t="shared" si="1750"/>
        <v>A68FCB</v>
      </c>
      <c r="V4448">
        <v>0</v>
      </c>
      <c r="W4448">
        <v>0</v>
      </c>
      <c r="X4448">
        <v>2</v>
      </c>
      <c r="Y4448">
        <v>0</v>
      </c>
      <c r="AA4448">
        <v>1</v>
      </c>
      <c r="AB4448">
        <v>8</v>
      </c>
      <c r="AC4448">
        <v>3</v>
      </c>
      <c r="AD4448">
        <v>0</v>
      </c>
      <c r="AE4448">
        <v>9</v>
      </c>
      <c r="AF4448" t="s">
        <v>138</v>
      </c>
      <c r="AG4448">
        <v>0</v>
      </c>
      <c r="AH4448">
        <v>3</v>
      </c>
      <c r="AI4448">
        <v>2</v>
      </c>
      <c r="AJ4448">
        <v>0</v>
      </c>
      <c r="AK4448" t="s">
        <v>1416</v>
      </c>
      <c r="AL4448">
        <v>39.204754999999999</v>
      </c>
      <c r="AM4448" t="s">
        <v>1417</v>
      </c>
      <c r="AN4448">
        <v>-121.009748</v>
      </c>
      <c r="AO4448">
        <v>25</v>
      </c>
      <c r="AP4448">
        <v>4200</v>
      </c>
      <c r="AQ4448" t="s">
        <v>131</v>
      </c>
      <c r="AR4448">
        <v>47</v>
      </c>
      <c r="AS4448">
        <v>62</v>
      </c>
      <c r="AT4448">
        <v>0</v>
      </c>
      <c r="BB4448" t="str">
        <f t="shared" si="1751"/>
        <v>1200</v>
      </c>
      <c r="BC4448">
        <v>1</v>
      </c>
      <c r="BD4448" t="str">
        <f t="shared" si="1752"/>
        <v xml:space="preserve">N52156  </v>
      </c>
      <c r="BE4448">
        <v>1</v>
      </c>
      <c r="BG4448">
        <v>0</v>
      </c>
      <c r="BH4448">
        <v>0</v>
      </c>
      <c r="BI4448">
        <v>0</v>
      </c>
      <c r="BJ4448">
        <v>4225</v>
      </c>
      <c r="BK4448">
        <v>25</v>
      </c>
      <c r="BL4448" t="s">
        <v>188</v>
      </c>
      <c r="BM4448">
        <v>1</v>
      </c>
      <c r="BN4448">
        <v>1</v>
      </c>
      <c r="BO4448">
        <v>0</v>
      </c>
      <c r="BP4448">
        <v>0</v>
      </c>
      <c r="BS4448">
        <v>0</v>
      </c>
      <c r="BT4448">
        <v>0</v>
      </c>
      <c r="BU4448">
        <v>0</v>
      </c>
      <c r="CE4448" t="str">
        <f t="shared" ref="CE4448:CE4453" si="1763">"15:16:53.291"</f>
        <v>15:16:53.291</v>
      </c>
      <c r="CF4448">
        <v>290502791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4</v>
      </c>
      <c r="CY4448">
        <v>7</v>
      </c>
      <c r="CZ4448" t="s">
        <v>133</v>
      </c>
      <c r="DA4448">
        <v>275</v>
      </c>
      <c r="DB4448">
        <v>0</v>
      </c>
      <c r="DC4448" t="s">
        <v>134</v>
      </c>
      <c r="DD4448" t="s">
        <v>135</v>
      </c>
      <c r="DG4448">
        <v>3323289</v>
      </c>
      <c r="DI4448">
        <v>1</v>
      </c>
      <c r="DJ4448">
        <v>0</v>
      </c>
      <c r="DK4448">
        <v>0</v>
      </c>
      <c r="DL4448">
        <v>0</v>
      </c>
      <c r="DM4448">
        <v>0</v>
      </c>
      <c r="DN4448">
        <v>0</v>
      </c>
      <c r="DO4448">
        <v>0</v>
      </c>
      <c r="DP4448">
        <v>0</v>
      </c>
      <c r="DQ4448">
        <v>0</v>
      </c>
      <c r="DR4448">
        <v>0</v>
      </c>
      <c r="DS4448">
        <v>0</v>
      </c>
    </row>
    <row r="4449" spans="1:123" x14ac:dyDescent="0.3">
      <c r="A4449" t="str">
        <f>"05/01/2025 15:16:53.514"</f>
        <v>05/01/2025 15:16:53.514</v>
      </c>
      <c r="C4449" t="str">
        <f t="shared" si="1748"/>
        <v>FFDFD3C0</v>
      </c>
      <c r="D4449" t="s">
        <v>140</v>
      </c>
      <c r="E4449" t="str">
        <f>"13"</f>
        <v>13</v>
      </c>
      <c r="F4449">
        <v>1019</v>
      </c>
      <c r="G4449" t="s">
        <v>141</v>
      </c>
      <c r="J4449" t="s">
        <v>142</v>
      </c>
      <c r="K4449">
        <v>0</v>
      </c>
      <c r="L4449">
        <v>3</v>
      </c>
      <c r="M4449">
        <v>0</v>
      </c>
      <c r="N4449">
        <v>2</v>
      </c>
      <c r="O4449">
        <v>0</v>
      </c>
      <c r="P4449">
        <v>1</v>
      </c>
      <c r="Q4449">
        <v>0</v>
      </c>
      <c r="R4449" t="s">
        <v>127</v>
      </c>
      <c r="S4449" t="str">
        <f t="shared" si="1762"/>
        <v>15:16:53.000</v>
      </c>
      <c r="T4449" t="str">
        <f t="shared" si="1762"/>
        <v>15:16:53.000</v>
      </c>
      <c r="U4449" t="str">
        <f t="shared" si="1750"/>
        <v>A68FCB</v>
      </c>
      <c r="V4449">
        <v>0</v>
      </c>
      <c r="W4449">
        <v>0</v>
      </c>
      <c r="X4449">
        <v>2</v>
      </c>
      <c r="Y4449">
        <v>0</v>
      </c>
      <c r="AA4449">
        <v>1</v>
      </c>
      <c r="AB4449">
        <v>8</v>
      </c>
      <c r="AC4449">
        <v>3</v>
      </c>
      <c r="AD4449">
        <v>0</v>
      </c>
      <c r="AE4449">
        <v>9</v>
      </c>
      <c r="AF4449" t="s">
        <v>138</v>
      </c>
      <c r="AG4449">
        <v>0</v>
      </c>
      <c r="AH4449">
        <v>3</v>
      </c>
      <c r="AI4449">
        <v>2</v>
      </c>
      <c r="AJ4449">
        <v>0</v>
      </c>
      <c r="AK4449" t="s">
        <v>1416</v>
      </c>
      <c r="AL4449">
        <v>39.204754999999999</v>
      </c>
      <c r="AM4449" t="s">
        <v>1417</v>
      </c>
      <c r="AN4449">
        <v>-121.009748</v>
      </c>
      <c r="AO4449">
        <v>25</v>
      </c>
      <c r="AP4449">
        <v>4200</v>
      </c>
      <c r="AQ4449" t="s">
        <v>131</v>
      </c>
      <c r="AR4449">
        <v>47</v>
      </c>
      <c r="AS4449">
        <v>62</v>
      </c>
      <c r="AT4449">
        <v>0</v>
      </c>
      <c r="BB4449" t="str">
        <f t="shared" si="1751"/>
        <v>1200</v>
      </c>
      <c r="BC4449">
        <v>1</v>
      </c>
      <c r="BD4449" t="str">
        <f t="shared" si="1752"/>
        <v xml:space="preserve">N52156  </v>
      </c>
      <c r="BE4449">
        <v>1</v>
      </c>
      <c r="BG4449">
        <v>0</v>
      </c>
      <c r="BH4449">
        <v>0</v>
      </c>
      <c r="BI4449">
        <v>0</v>
      </c>
      <c r="BJ4449">
        <v>4225</v>
      </c>
      <c r="BK4449">
        <v>25</v>
      </c>
      <c r="BL4449" t="s">
        <v>188</v>
      </c>
      <c r="BM4449">
        <v>1</v>
      </c>
      <c r="BN4449">
        <v>1</v>
      </c>
      <c r="BO4449">
        <v>0</v>
      </c>
      <c r="BP4449">
        <v>0</v>
      </c>
      <c r="BS4449">
        <v>0</v>
      </c>
      <c r="BT4449">
        <v>0</v>
      </c>
      <c r="BU4449">
        <v>0</v>
      </c>
      <c r="CE4449" t="str">
        <f t="shared" si="1763"/>
        <v>15:16:53.291</v>
      </c>
      <c r="CF4449">
        <v>290502791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4</v>
      </c>
      <c r="CY4449">
        <v>7</v>
      </c>
      <c r="CZ4449" t="s">
        <v>133</v>
      </c>
      <c r="DA4449">
        <v>275</v>
      </c>
      <c r="DB4449">
        <v>0</v>
      </c>
      <c r="DC4449" t="s">
        <v>134</v>
      </c>
      <c r="DD4449" t="s">
        <v>135</v>
      </c>
      <c r="DG4449">
        <v>3323289</v>
      </c>
      <c r="DI4449">
        <v>1</v>
      </c>
      <c r="DJ4449">
        <v>0</v>
      </c>
      <c r="DK4449">
        <v>1</v>
      </c>
      <c r="DL4449">
        <v>0</v>
      </c>
      <c r="DM4449">
        <v>0</v>
      </c>
      <c r="DN4449">
        <v>0</v>
      </c>
      <c r="DO4449">
        <v>0</v>
      </c>
      <c r="DP4449">
        <v>0</v>
      </c>
      <c r="DQ4449">
        <v>0</v>
      </c>
      <c r="DR4449">
        <v>0</v>
      </c>
      <c r="DS4449">
        <v>0</v>
      </c>
    </row>
    <row r="4450" spans="1:123" x14ac:dyDescent="0.3">
      <c r="A4450" t="str">
        <f>"05/01/2025 15:16:53.515"</f>
        <v>05/01/2025 15:16:53.515</v>
      </c>
      <c r="C4450" t="str">
        <f t="shared" si="1748"/>
        <v>FFDFD3C0</v>
      </c>
      <c r="D4450" t="s">
        <v>124</v>
      </c>
      <c r="E4450" t="str">
        <f>"06"</f>
        <v>06</v>
      </c>
      <c r="F4450">
        <v>2006</v>
      </c>
      <c r="G4450" t="s">
        <v>125</v>
      </c>
      <c r="J4450" t="s">
        <v>126</v>
      </c>
      <c r="K4450">
        <v>0</v>
      </c>
      <c r="L4450">
        <v>3</v>
      </c>
      <c r="M4450">
        <v>0</v>
      </c>
      <c r="N4450">
        <v>2</v>
      </c>
      <c r="O4450">
        <v>0</v>
      </c>
      <c r="P4450">
        <v>1</v>
      </c>
      <c r="Q4450">
        <v>0</v>
      </c>
      <c r="R4450" t="s">
        <v>127</v>
      </c>
      <c r="S4450" t="str">
        <f t="shared" si="1762"/>
        <v>15:16:53.000</v>
      </c>
      <c r="T4450" t="str">
        <f t="shared" si="1762"/>
        <v>15:16:53.000</v>
      </c>
      <c r="U4450" t="str">
        <f t="shared" si="1750"/>
        <v>A68FCB</v>
      </c>
      <c r="V4450">
        <v>0</v>
      </c>
      <c r="W4450">
        <v>0</v>
      </c>
      <c r="X4450">
        <v>2</v>
      </c>
      <c r="Y4450">
        <v>0</v>
      </c>
      <c r="AA4450">
        <v>1</v>
      </c>
      <c r="AB4450">
        <v>8</v>
      </c>
      <c r="AC4450">
        <v>3</v>
      </c>
      <c r="AD4450">
        <v>0</v>
      </c>
      <c r="AE4450">
        <v>9</v>
      </c>
      <c r="AF4450" t="s">
        <v>138</v>
      </c>
      <c r="AG4450">
        <v>0</v>
      </c>
      <c r="AH4450">
        <v>3</v>
      </c>
      <c r="AI4450">
        <v>2</v>
      </c>
      <c r="AJ4450">
        <v>0</v>
      </c>
      <c r="AK4450" t="s">
        <v>1416</v>
      </c>
      <c r="AL4450">
        <v>39.204754999999999</v>
      </c>
      <c r="AM4450" t="s">
        <v>1417</v>
      </c>
      <c r="AN4450">
        <v>-121.009748</v>
      </c>
      <c r="AO4450">
        <v>25</v>
      </c>
      <c r="AP4450">
        <v>4200</v>
      </c>
      <c r="AQ4450" t="s">
        <v>131</v>
      </c>
      <c r="AR4450">
        <v>47</v>
      </c>
      <c r="AS4450">
        <v>62</v>
      </c>
      <c r="AT4450">
        <v>0</v>
      </c>
      <c r="BB4450" t="str">
        <f t="shared" si="1751"/>
        <v>1200</v>
      </c>
      <c r="BC4450">
        <v>1</v>
      </c>
      <c r="BD4450" t="str">
        <f t="shared" si="1752"/>
        <v xml:space="preserve">N52156  </v>
      </c>
      <c r="BE4450">
        <v>1</v>
      </c>
      <c r="BG4450">
        <v>0</v>
      </c>
      <c r="BH4450">
        <v>0</v>
      </c>
      <c r="BI4450">
        <v>0</v>
      </c>
      <c r="BJ4450">
        <v>4225</v>
      </c>
      <c r="BK4450">
        <v>25</v>
      </c>
      <c r="BL4450" t="s">
        <v>188</v>
      </c>
      <c r="BM4450">
        <v>1</v>
      </c>
      <c r="BN4450">
        <v>1</v>
      </c>
      <c r="BO4450">
        <v>0</v>
      </c>
      <c r="BP4450">
        <v>0</v>
      </c>
      <c r="BS4450">
        <v>0</v>
      </c>
      <c r="BT4450">
        <v>0</v>
      </c>
      <c r="BU4450">
        <v>0</v>
      </c>
      <c r="CE4450" t="str">
        <f t="shared" si="1763"/>
        <v>15:16:53.291</v>
      </c>
      <c r="CF4450">
        <v>290502791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4</v>
      </c>
      <c r="CY4450">
        <v>7</v>
      </c>
      <c r="CZ4450" t="s">
        <v>133</v>
      </c>
      <c r="DA4450">
        <v>275</v>
      </c>
      <c r="DB4450">
        <v>0</v>
      </c>
      <c r="DC4450" t="s">
        <v>134</v>
      </c>
      <c r="DD4450" t="s">
        <v>135</v>
      </c>
      <c r="DG4450">
        <v>3323289</v>
      </c>
      <c r="DI4450">
        <v>1</v>
      </c>
      <c r="DJ4450">
        <v>0</v>
      </c>
      <c r="DK4450">
        <v>1</v>
      </c>
      <c r="DL4450">
        <v>0</v>
      </c>
      <c r="DM4450">
        <v>0</v>
      </c>
      <c r="DN4450">
        <v>0</v>
      </c>
      <c r="DO4450">
        <v>0</v>
      </c>
      <c r="DP4450">
        <v>0</v>
      </c>
      <c r="DQ4450">
        <v>0</v>
      </c>
      <c r="DR4450">
        <v>0</v>
      </c>
      <c r="DS4450">
        <v>0</v>
      </c>
    </row>
    <row r="4451" spans="1:123" x14ac:dyDescent="0.3">
      <c r="A4451" t="str">
        <f>"05/01/2025 15:16:53.520"</f>
        <v>05/01/2025 15:16:53.520</v>
      </c>
      <c r="C4451" t="str">
        <f t="shared" si="1748"/>
        <v>FFDFD3C0</v>
      </c>
      <c r="D4451" t="s">
        <v>143</v>
      </c>
      <c r="E4451" t="str">
        <f>"05"</f>
        <v>05</v>
      </c>
      <c r="H4451">
        <v>172</v>
      </c>
      <c r="I4451" t="s">
        <v>141</v>
      </c>
      <c r="J4451" t="s">
        <v>144</v>
      </c>
      <c r="K4451">
        <v>0</v>
      </c>
      <c r="L4451">
        <v>3</v>
      </c>
      <c r="M4451">
        <v>0</v>
      </c>
      <c r="N4451">
        <v>2</v>
      </c>
      <c r="O4451">
        <v>0</v>
      </c>
      <c r="P4451">
        <v>1</v>
      </c>
      <c r="Q4451">
        <v>0</v>
      </c>
      <c r="R4451" t="s">
        <v>127</v>
      </c>
      <c r="S4451" t="str">
        <f t="shared" si="1762"/>
        <v>15:16:53.000</v>
      </c>
      <c r="T4451" t="str">
        <f t="shared" si="1762"/>
        <v>15:16:53.000</v>
      </c>
      <c r="U4451" t="str">
        <f t="shared" si="1750"/>
        <v>A68FCB</v>
      </c>
      <c r="V4451">
        <v>0</v>
      </c>
      <c r="W4451">
        <v>0</v>
      </c>
      <c r="X4451">
        <v>2</v>
      </c>
      <c r="Y4451">
        <v>0</v>
      </c>
      <c r="AA4451">
        <v>1</v>
      </c>
      <c r="AB4451">
        <v>8</v>
      </c>
      <c r="AC4451">
        <v>3</v>
      </c>
      <c r="AD4451">
        <v>0</v>
      </c>
      <c r="AE4451">
        <v>9</v>
      </c>
      <c r="AF4451" t="s">
        <v>138</v>
      </c>
      <c r="AG4451">
        <v>0</v>
      </c>
      <c r="AH4451">
        <v>3</v>
      </c>
      <c r="AI4451">
        <v>2</v>
      </c>
      <c r="AJ4451">
        <v>0</v>
      </c>
      <c r="AK4451" t="s">
        <v>1416</v>
      </c>
      <c r="AL4451">
        <v>39.204754999999999</v>
      </c>
      <c r="AM4451" t="s">
        <v>1417</v>
      </c>
      <c r="AN4451">
        <v>-121.009748</v>
      </c>
      <c r="AO4451">
        <v>25</v>
      </c>
      <c r="AP4451">
        <v>4200</v>
      </c>
      <c r="AQ4451" t="s">
        <v>131</v>
      </c>
      <c r="AR4451">
        <v>47</v>
      </c>
      <c r="AS4451">
        <v>62</v>
      </c>
      <c r="AT4451">
        <v>0</v>
      </c>
      <c r="BB4451" t="str">
        <f t="shared" si="1751"/>
        <v>1200</v>
      </c>
      <c r="BC4451">
        <v>1</v>
      </c>
      <c r="BD4451" t="str">
        <f t="shared" si="1752"/>
        <v xml:space="preserve">N52156  </v>
      </c>
      <c r="BE4451">
        <v>1</v>
      </c>
      <c r="BG4451">
        <v>0</v>
      </c>
      <c r="BH4451">
        <v>0</v>
      </c>
      <c r="BI4451">
        <v>0</v>
      </c>
      <c r="BJ4451">
        <v>4225</v>
      </c>
      <c r="BK4451">
        <v>25</v>
      </c>
      <c r="BL4451" t="s">
        <v>188</v>
      </c>
      <c r="BM4451">
        <v>1</v>
      </c>
      <c r="BN4451">
        <v>1</v>
      </c>
      <c r="BO4451">
        <v>0</v>
      </c>
      <c r="BP4451">
        <v>0</v>
      </c>
      <c r="BS4451">
        <v>0</v>
      </c>
      <c r="BT4451">
        <v>0</v>
      </c>
      <c r="BU4451">
        <v>0</v>
      </c>
      <c r="CE4451" t="str">
        <f t="shared" si="1763"/>
        <v>15:16:53.291</v>
      </c>
      <c r="CF4451">
        <v>290502791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4</v>
      </c>
      <c r="CY4451">
        <v>7</v>
      </c>
      <c r="CZ4451" t="s">
        <v>133</v>
      </c>
      <c r="DA4451">
        <v>275</v>
      </c>
      <c r="DB4451">
        <v>0</v>
      </c>
      <c r="DC4451" t="s">
        <v>134</v>
      </c>
      <c r="DD4451" t="s">
        <v>135</v>
      </c>
      <c r="DG4451">
        <v>3323289</v>
      </c>
      <c r="DI4451">
        <v>1</v>
      </c>
      <c r="DJ4451">
        <v>0</v>
      </c>
      <c r="DK4451">
        <v>1</v>
      </c>
      <c r="DL4451">
        <v>0</v>
      </c>
      <c r="DM4451">
        <v>0</v>
      </c>
      <c r="DN4451">
        <v>0</v>
      </c>
      <c r="DO4451">
        <v>0</v>
      </c>
      <c r="DP4451">
        <v>0</v>
      </c>
      <c r="DQ4451">
        <v>0</v>
      </c>
      <c r="DR4451">
        <v>0</v>
      </c>
      <c r="DS4451">
        <v>0</v>
      </c>
    </row>
    <row r="4452" spans="1:123" x14ac:dyDescent="0.3">
      <c r="A4452" t="str">
        <f>"05/01/2025 15:16:53.533"</f>
        <v>05/01/2025 15:16:53.533</v>
      </c>
      <c r="C4452" t="str">
        <f t="shared" si="1748"/>
        <v>FFDFD3C0</v>
      </c>
      <c r="D4452" t="s">
        <v>145</v>
      </c>
      <c r="E4452" t="str">
        <f>"09"</f>
        <v>09</v>
      </c>
      <c r="H4452">
        <v>51</v>
      </c>
      <c r="I4452" t="s">
        <v>147</v>
      </c>
      <c r="J4452" t="s">
        <v>138</v>
      </c>
      <c r="K4452">
        <v>0</v>
      </c>
      <c r="L4452">
        <v>3</v>
      </c>
      <c r="M4452">
        <v>0</v>
      </c>
      <c r="N4452">
        <v>2</v>
      </c>
      <c r="O4452">
        <v>0</v>
      </c>
      <c r="P4452">
        <v>1</v>
      </c>
      <c r="Q4452">
        <v>0</v>
      </c>
      <c r="R4452" t="s">
        <v>127</v>
      </c>
      <c r="S4452" t="str">
        <f t="shared" si="1762"/>
        <v>15:16:53.000</v>
      </c>
      <c r="T4452" t="str">
        <f t="shared" si="1762"/>
        <v>15:16:53.000</v>
      </c>
      <c r="U4452" t="str">
        <f t="shared" si="1750"/>
        <v>A68FCB</v>
      </c>
      <c r="V4452">
        <v>0</v>
      </c>
      <c r="W4452">
        <v>0</v>
      </c>
      <c r="X4452">
        <v>2</v>
      </c>
      <c r="Y4452">
        <v>0</v>
      </c>
      <c r="AA4452">
        <v>1</v>
      </c>
      <c r="AB4452">
        <v>8</v>
      </c>
      <c r="AC4452">
        <v>3</v>
      </c>
      <c r="AD4452">
        <v>0</v>
      </c>
      <c r="AE4452">
        <v>9</v>
      </c>
      <c r="AF4452" t="s">
        <v>138</v>
      </c>
      <c r="AG4452">
        <v>0</v>
      </c>
      <c r="AH4452">
        <v>3</v>
      </c>
      <c r="AI4452">
        <v>2</v>
      </c>
      <c r="AJ4452">
        <v>0</v>
      </c>
      <c r="AK4452" t="s">
        <v>1416</v>
      </c>
      <c r="AL4452">
        <v>39.204754999999999</v>
      </c>
      <c r="AM4452" t="s">
        <v>1417</v>
      </c>
      <c r="AN4452">
        <v>-121.009748</v>
      </c>
      <c r="AO4452">
        <v>25</v>
      </c>
      <c r="AP4452">
        <v>4200</v>
      </c>
      <c r="AQ4452" t="s">
        <v>131</v>
      </c>
      <c r="AR4452">
        <v>47</v>
      </c>
      <c r="AS4452">
        <v>62</v>
      </c>
      <c r="AT4452">
        <v>0</v>
      </c>
      <c r="BB4452" t="str">
        <f t="shared" si="1751"/>
        <v>1200</v>
      </c>
      <c r="BC4452">
        <v>1</v>
      </c>
      <c r="BD4452" t="str">
        <f t="shared" si="1752"/>
        <v xml:space="preserve">N52156  </v>
      </c>
      <c r="BE4452">
        <v>1</v>
      </c>
      <c r="BG4452">
        <v>0</v>
      </c>
      <c r="BH4452">
        <v>0</v>
      </c>
      <c r="BI4452">
        <v>0</v>
      </c>
      <c r="BJ4452">
        <v>4225</v>
      </c>
      <c r="BK4452">
        <v>25</v>
      </c>
      <c r="BL4452" t="s">
        <v>188</v>
      </c>
      <c r="BM4452">
        <v>1</v>
      </c>
      <c r="BN4452">
        <v>1</v>
      </c>
      <c r="BO4452">
        <v>0</v>
      </c>
      <c r="BP4452">
        <v>0</v>
      </c>
      <c r="BS4452">
        <v>0</v>
      </c>
      <c r="BT4452">
        <v>0</v>
      </c>
      <c r="BU4452">
        <v>0</v>
      </c>
      <c r="CE4452" t="str">
        <f t="shared" si="1763"/>
        <v>15:16:53.291</v>
      </c>
      <c r="CF4452">
        <v>290502791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4</v>
      </c>
      <c r="CY4452">
        <v>7</v>
      </c>
      <c r="CZ4452" t="s">
        <v>133</v>
      </c>
      <c r="DA4452">
        <v>275</v>
      </c>
      <c r="DB4452">
        <v>0</v>
      </c>
      <c r="DC4452" t="s">
        <v>134</v>
      </c>
      <c r="DD4452" t="s">
        <v>135</v>
      </c>
      <c r="DG4452">
        <v>3323289</v>
      </c>
      <c r="DI4452">
        <v>1</v>
      </c>
      <c r="DJ4452">
        <v>0</v>
      </c>
      <c r="DK4452">
        <v>1</v>
      </c>
      <c r="DL4452">
        <v>0</v>
      </c>
      <c r="DM4452">
        <v>0</v>
      </c>
      <c r="DN4452">
        <v>0</v>
      </c>
      <c r="DO4452">
        <v>0</v>
      </c>
      <c r="DP4452">
        <v>0</v>
      </c>
      <c r="DQ4452">
        <v>0</v>
      </c>
      <c r="DR4452">
        <v>0</v>
      </c>
      <c r="DS4452">
        <v>0</v>
      </c>
    </row>
    <row r="4453" spans="1:123" x14ac:dyDescent="0.3">
      <c r="A4453" t="str">
        <f>"05/01/2025 15:16:53.537"</f>
        <v>05/01/2025 15:16:53.537</v>
      </c>
      <c r="C4453" t="str">
        <f t="shared" si="1748"/>
        <v>FFDFD3C0</v>
      </c>
      <c r="D4453" t="s">
        <v>145</v>
      </c>
      <c r="E4453" t="str">
        <f>"05"</f>
        <v>05</v>
      </c>
      <c r="H4453">
        <v>47</v>
      </c>
      <c r="I4453" t="s">
        <v>146</v>
      </c>
      <c r="J4453" t="s">
        <v>138</v>
      </c>
      <c r="K4453">
        <v>0</v>
      </c>
      <c r="L4453">
        <v>3</v>
      </c>
      <c r="M4453">
        <v>0</v>
      </c>
      <c r="N4453">
        <v>2</v>
      </c>
      <c r="O4453">
        <v>0</v>
      </c>
      <c r="P4453">
        <v>1</v>
      </c>
      <c r="Q4453">
        <v>0</v>
      </c>
      <c r="R4453" t="s">
        <v>127</v>
      </c>
      <c r="S4453" t="str">
        <f t="shared" si="1762"/>
        <v>15:16:53.000</v>
      </c>
      <c r="T4453" t="str">
        <f t="shared" si="1762"/>
        <v>15:16:53.000</v>
      </c>
      <c r="U4453" t="str">
        <f t="shared" si="1750"/>
        <v>A68FCB</v>
      </c>
      <c r="V4453">
        <v>0</v>
      </c>
      <c r="W4453">
        <v>0</v>
      </c>
      <c r="X4453">
        <v>2</v>
      </c>
      <c r="Y4453">
        <v>0</v>
      </c>
      <c r="AA4453">
        <v>1</v>
      </c>
      <c r="AB4453">
        <v>8</v>
      </c>
      <c r="AC4453">
        <v>3</v>
      </c>
      <c r="AD4453">
        <v>0</v>
      </c>
      <c r="AE4453">
        <v>9</v>
      </c>
      <c r="AF4453" t="s">
        <v>138</v>
      </c>
      <c r="AG4453">
        <v>0</v>
      </c>
      <c r="AH4453">
        <v>3</v>
      </c>
      <c r="AI4453">
        <v>2</v>
      </c>
      <c r="AJ4453">
        <v>0</v>
      </c>
      <c r="AK4453" t="s">
        <v>1416</v>
      </c>
      <c r="AL4453">
        <v>39.204754999999999</v>
      </c>
      <c r="AM4453" t="s">
        <v>1417</v>
      </c>
      <c r="AN4453">
        <v>-121.009748</v>
      </c>
      <c r="AO4453">
        <v>25</v>
      </c>
      <c r="AP4453">
        <v>4200</v>
      </c>
      <c r="AQ4453" t="s">
        <v>131</v>
      </c>
      <c r="AR4453">
        <v>47</v>
      </c>
      <c r="AS4453">
        <v>62</v>
      </c>
      <c r="AT4453">
        <v>0</v>
      </c>
      <c r="BB4453" t="str">
        <f t="shared" si="1751"/>
        <v>1200</v>
      </c>
      <c r="BC4453">
        <v>1</v>
      </c>
      <c r="BD4453" t="str">
        <f t="shared" si="1752"/>
        <v xml:space="preserve">N52156  </v>
      </c>
      <c r="BE4453">
        <v>1</v>
      </c>
      <c r="BG4453">
        <v>0</v>
      </c>
      <c r="BH4453">
        <v>0</v>
      </c>
      <c r="BI4453">
        <v>0</v>
      </c>
      <c r="BJ4453">
        <v>4225</v>
      </c>
      <c r="BK4453">
        <v>25</v>
      </c>
      <c r="BL4453" t="s">
        <v>188</v>
      </c>
      <c r="BM4453">
        <v>1</v>
      </c>
      <c r="BN4453">
        <v>1</v>
      </c>
      <c r="BO4453">
        <v>0</v>
      </c>
      <c r="BP4453">
        <v>0</v>
      </c>
      <c r="BS4453">
        <v>0</v>
      </c>
      <c r="BT4453">
        <v>0</v>
      </c>
      <c r="BU4453">
        <v>0</v>
      </c>
      <c r="CE4453" t="str">
        <f t="shared" si="1763"/>
        <v>15:16:53.291</v>
      </c>
      <c r="CF4453">
        <v>290502791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4</v>
      </c>
      <c r="CY4453">
        <v>7</v>
      </c>
      <c r="CZ4453" t="s">
        <v>133</v>
      </c>
      <c r="DA4453">
        <v>275</v>
      </c>
      <c r="DB4453">
        <v>0</v>
      </c>
      <c r="DC4453" t="s">
        <v>134</v>
      </c>
      <c r="DD4453" t="s">
        <v>135</v>
      </c>
      <c r="DG4453">
        <v>3323289</v>
      </c>
      <c r="DI4453">
        <v>1</v>
      </c>
      <c r="DJ4453">
        <v>0</v>
      </c>
      <c r="DK4453">
        <v>1</v>
      </c>
      <c r="DL4453">
        <v>0</v>
      </c>
      <c r="DM4453">
        <v>0</v>
      </c>
      <c r="DN4453">
        <v>0</v>
      </c>
      <c r="DO4453">
        <v>0</v>
      </c>
      <c r="DP4453">
        <v>0</v>
      </c>
      <c r="DQ4453">
        <v>0</v>
      </c>
      <c r="DR4453">
        <v>0</v>
      </c>
      <c r="DS4453">
        <v>0</v>
      </c>
    </row>
    <row r="4454" spans="1:123" x14ac:dyDescent="0.3">
      <c r="A4454" t="str">
        <f>"05/01/2025 15:16:54.751"</f>
        <v>05/01/2025 15:16:54.751</v>
      </c>
      <c r="C4454" t="str">
        <f t="shared" si="1748"/>
        <v>FFDFD3C0</v>
      </c>
      <c r="D4454" t="s">
        <v>136</v>
      </c>
      <c r="E4454" t="str">
        <f>"20"</f>
        <v>20</v>
      </c>
      <c r="H4454">
        <v>400</v>
      </c>
      <c r="I4454" t="s">
        <v>137</v>
      </c>
      <c r="J4454" t="s">
        <v>138</v>
      </c>
      <c r="K4454">
        <v>0</v>
      </c>
      <c r="L4454">
        <v>3</v>
      </c>
      <c r="M4454">
        <v>0</v>
      </c>
      <c r="N4454">
        <v>2</v>
      </c>
      <c r="O4454">
        <v>0</v>
      </c>
      <c r="P4454">
        <v>1</v>
      </c>
      <c r="Q4454">
        <v>0</v>
      </c>
      <c r="R4454" t="s">
        <v>127</v>
      </c>
      <c r="S4454" t="str">
        <f t="shared" ref="S4454:T4459" si="1764">"15:16:54.000"</f>
        <v>15:16:54.000</v>
      </c>
      <c r="T4454" t="str">
        <f t="shared" si="1764"/>
        <v>15:16:54.000</v>
      </c>
      <c r="U4454" t="str">
        <f t="shared" si="1750"/>
        <v>A68FCB</v>
      </c>
      <c r="V4454">
        <v>0</v>
      </c>
      <c r="W4454">
        <v>0</v>
      </c>
      <c r="X4454">
        <v>2</v>
      </c>
      <c r="Y4454">
        <v>0</v>
      </c>
      <c r="AA4454">
        <v>1</v>
      </c>
      <c r="AB4454">
        <v>8</v>
      </c>
      <c r="AC4454">
        <v>3</v>
      </c>
      <c r="AD4454">
        <v>0</v>
      </c>
      <c r="AE4454">
        <v>9</v>
      </c>
      <c r="AF4454" t="s">
        <v>138</v>
      </c>
      <c r="AG4454">
        <v>0</v>
      </c>
      <c r="AH4454">
        <v>3</v>
      </c>
      <c r="AI4454">
        <v>2</v>
      </c>
      <c r="AJ4454">
        <v>0</v>
      </c>
      <c r="AK4454" t="s">
        <v>1418</v>
      </c>
      <c r="AL4454">
        <v>39.205033999999998</v>
      </c>
      <c r="AM4454" t="s">
        <v>1419</v>
      </c>
      <c r="AN4454">
        <v>-121.00944800000001</v>
      </c>
      <c r="AO4454">
        <v>25</v>
      </c>
      <c r="AP4454">
        <v>4200</v>
      </c>
      <c r="AQ4454" t="s">
        <v>131</v>
      </c>
      <c r="AR4454">
        <v>48</v>
      </c>
      <c r="AS4454">
        <v>62</v>
      </c>
      <c r="AT4454">
        <v>0</v>
      </c>
      <c r="BB4454" t="str">
        <f t="shared" si="1751"/>
        <v>1200</v>
      </c>
      <c r="BC4454">
        <v>1</v>
      </c>
      <c r="BD4454" t="str">
        <f t="shared" si="1752"/>
        <v xml:space="preserve">N52156  </v>
      </c>
      <c r="BE4454">
        <v>1</v>
      </c>
      <c r="BG4454">
        <v>0</v>
      </c>
      <c r="BH4454">
        <v>0</v>
      </c>
      <c r="BI4454">
        <v>0</v>
      </c>
      <c r="BJ4454">
        <v>4225</v>
      </c>
      <c r="BK4454">
        <v>25</v>
      </c>
      <c r="BL4454" t="s">
        <v>188</v>
      </c>
      <c r="BM4454">
        <v>1</v>
      </c>
      <c r="BN4454">
        <v>1</v>
      </c>
      <c r="BO4454">
        <v>0</v>
      </c>
      <c r="BP4454">
        <v>0</v>
      </c>
      <c r="BS4454">
        <v>0</v>
      </c>
      <c r="BT4454">
        <v>0</v>
      </c>
      <c r="BU4454">
        <v>0</v>
      </c>
      <c r="CE4454" t="str">
        <f t="shared" ref="CE4454:CE4459" si="1765">"15:16:54.558"</f>
        <v>15:16:54.558</v>
      </c>
      <c r="CF4454">
        <v>558253655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5</v>
      </c>
      <c r="CY4454">
        <v>7</v>
      </c>
      <c r="CZ4454" t="s">
        <v>133</v>
      </c>
      <c r="DA4454">
        <v>275</v>
      </c>
      <c r="DB4454">
        <v>0</v>
      </c>
      <c r="DC4454" t="s">
        <v>134</v>
      </c>
      <c r="DD4454" t="s">
        <v>135</v>
      </c>
      <c r="DG4454">
        <v>3323290</v>
      </c>
      <c r="DI4454">
        <v>1</v>
      </c>
      <c r="DJ4454">
        <v>0</v>
      </c>
      <c r="DK4454">
        <v>0</v>
      </c>
      <c r="DL4454">
        <v>0</v>
      </c>
      <c r="DM4454">
        <v>0</v>
      </c>
      <c r="DN4454">
        <v>0</v>
      </c>
      <c r="DO4454">
        <v>0</v>
      </c>
      <c r="DP4454">
        <v>0</v>
      </c>
      <c r="DQ4454">
        <v>0</v>
      </c>
      <c r="DR4454">
        <v>0</v>
      </c>
      <c r="DS4454">
        <v>0</v>
      </c>
    </row>
    <row r="4455" spans="1:123" x14ac:dyDescent="0.3">
      <c r="A4455" t="str">
        <f>"05/01/2025 15:16:54.766"</f>
        <v>05/01/2025 15:16:54.766</v>
      </c>
      <c r="C4455" t="str">
        <f t="shared" si="1748"/>
        <v>FFDFD3C0</v>
      </c>
      <c r="D4455" t="s">
        <v>140</v>
      </c>
      <c r="E4455" t="str">
        <f>"13"</f>
        <v>13</v>
      </c>
      <c r="F4455">
        <v>1019</v>
      </c>
      <c r="G4455" t="s">
        <v>141</v>
      </c>
      <c r="J4455" t="s">
        <v>142</v>
      </c>
      <c r="K4455">
        <v>0</v>
      </c>
      <c r="L4455">
        <v>3</v>
      </c>
      <c r="M4455">
        <v>0</v>
      </c>
      <c r="N4455">
        <v>2</v>
      </c>
      <c r="O4455">
        <v>0</v>
      </c>
      <c r="P4455">
        <v>1</v>
      </c>
      <c r="Q4455">
        <v>0</v>
      </c>
      <c r="R4455" t="s">
        <v>127</v>
      </c>
      <c r="S4455" t="str">
        <f t="shared" si="1764"/>
        <v>15:16:54.000</v>
      </c>
      <c r="T4455" t="str">
        <f t="shared" si="1764"/>
        <v>15:16:54.000</v>
      </c>
      <c r="U4455" t="str">
        <f t="shared" si="1750"/>
        <v>A68FCB</v>
      </c>
      <c r="V4455">
        <v>0</v>
      </c>
      <c r="W4455">
        <v>0</v>
      </c>
      <c r="X4455">
        <v>2</v>
      </c>
      <c r="Y4455">
        <v>0</v>
      </c>
      <c r="AA4455">
        <v>1</v>
      </c>
      <c r="AB4455">
        <v>8</v>
      </c>
      <c r="AC4455">
        <v>3</v>
      </c>
      <c r="AD4455">
        <v>0</v>
      </c>
      <c r="AE4455">
        <v>9</v>
      </c>
      <c r="AF4455" t="s">
        <v>138</v>
      </c>
      <c r="AG4455">
        <v>0</v>
      </c>
      <c r="AH4455">
        <v>3</v>
      </c>
      <c r="AI4455">
        <v>2</v>
      </c>
      <c r="AJ4455">
        <v>0</v>
      </c>
      <c r="AK4455" t="s">
        <v>1418</v>
      </c>
      <c r="AL4455">
        <v>39.205033999999998</v>
      </c>
      <c r="AM4455" t="s">
        <v>1419</v>
      </c>
      <c r="AN4455">
        <v>-121.00944800000001</v>
      </c>
      <c r="AO4455">
        <v>25</v>
      </c>
      <c r="AP4455">
        <v>4200</v>
      </c>
      <c r="AQ4455" t="s">
        <v>131</v>
      </c>
      <c r="AR4455">
        <v>48</v>
      </c>
      <c r="AS4455">
        <v>62</v>
      </c>
      <c r="AT4455">
        <v>0</v>
      </c>
      <c r="BB4455" t="str">
        <f t="shared" si="1751"/>
        <v>1200</v>
      </c>
      <c r="BC4455">
        <v>1</v>
      </c>
      <c r="BD4455" t="str">
        <f t="shared" si="1752"/>
        <v xml:space="preserve">N52156  </v>
      </c>
      <c r="BE4455">
        <v>1</v>
      </c>
      <c r="BG4455">
        <v>0</v>
      </c>
      <c r="BH4455">
        <v>0</v>
      </c>
      <c r="BI4455">
        <v>0</v>
      </c>
      <c r="BJ4455">
        <v>4225</v>
      </c>
      <c r="BK4455">
        <v>25</v>
      </c>
      <c r="BL4455" t="s">
        <v>188</v>
      </c>
      <c r="BM4455">
        <v>1</v>
      </c>
      <c r="BN4455">
        <v>1</v>
      </c>
      <c r="BO4455">
        <v>0</v>
      </c>
      <c r="BP4455">
        <v>0</v>
      </c>
      <c r="BS4455">
        <v>0</v>
      </c>
      <c r="BT4455">
        <v>0</v>
      </c>
      <c r="BU4455">
        <v>0</v>
      </c>
      <c r="CE4455" t="str">
        <f t="shared" si="1765"/>
        <v>15:16:54.558</v>
      </c>
      <c r="CF4455">
        <v>558253655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5</v>
      </c>
      <c r="CY4455">
        <v>7</v>
      </c>
      <c r="CZ4455" t="s">
        <v>133</v>
      </c>
      <c r="DA4455">
        <v>275</v>
      </c>
      <c r="DB4455">
        <v>0</v>
      </c>
      <c r="DC4455" t="s">
        <v>134</v>
      </c>
      <c r="DD4455" t="s">
        <v>135</v>
      </c>
      <c r="DG4455">
        <v>3323290</v>
      </c>
      <c r="DI4455">
        <v>1</v>
      </c>
      <c r="DJ4455">
        <v>0</v>
      </c>
      <c r="DK4455">
        <v>1</v>
      </c>
      <c r="DL4455">
        <v>0</v>
      </c>
      <c r="DM4455">
        <v>0</v>
      </c>
      <c r="DN4455">
        <v>0</v>
      </c>
      <c r="DO4455">
        <v>0</v>
      </c>
      <c r="DP4455">
        <v>0</v>
      </c>
      <c r="DQ4455">
        <v>0</v>
      </c>
      <c r="DR4455">
        <v>0</v>
      </c>
      <c r="DS4455">
        <v>0</v>
      </c>
    </row>
    <row r="4456" spans="1:123" x14ac:dyDescent="0.3">
      <c r="A4456" t="str">
        <f>"05/01/2025 15:16:54.767"</f>
        <v>05/01/2025 15:16:54.767</v>
      </c>
      <c r="C4456" t="str">
        <f t="shared" si="1748"/>
        <v>FFDFD3C0</v>
      </c>
      <c r="D4456" t="s">
        <v>124</v>
      </c>
      <c r="E4456" t="str">
        <f>"06"</f>
        <v>06</v>
      </c>
      <c r="F4456">
        <v>2006</v>
      </c>
      <c r="G4456" t="s">
        <v>125</v>
      </c>
      <c r="J4456" t="s">
        <v>126</v>
      </c>
      <c r="K4456">
        <v>0</v>
      </c>
      <c r="L4456">
        <v>3</v>
      </c>
      <c r="M4456">
        <v>0</v>
      </c>
      <c r="N4456">
        <v>2</v>
      </c>
      <c r="O4456">
        <v>0</v>
      </c>
      <c r="P4456">
        <v>1</v>
      </c>
      <c r="Q4456">
        <v>0</v>
      </c>
      <c r="R4456" t="s">
        <v>127</v>
      </c>
      <c r="S4456" t="str">
        <f t="shared" si="1764"/>
        <v>15:16:54.000</v>
      </c>
      <c r="T4456" t="str">
        <f t="shared" si="1764"/>
        <v>15:16:54.000</v>
      </c>
      <c r="U4456" t="str">
        <f t="shared" si="1750"/>
        <v>A68FCB</v>
      </c>
      <c r="V4456">
        <v>0</v>
      </c>
      <c r="W4456">
        <v>0</v>
      </c>
      <c r="X4456">
        <v>2</v>
      </c>
      <c r="Y4456">
        <v>0</v>
      </c>
      <c r="AA4456">
        <v>1</v>
      </c>
      <c r="AB4456">
        <v>8</v>
      </c>
      <c r="AC4456">
        <v>3</v>
      </c>
      <c r="AD4456">
        <v>0</v>
      </c>
      <c r="AE4456">
        <v>9</v>
      </c>
      <c r="AF4456" t="s">
        <v>138</v>
      </c>
      <c r="AG4456">
        <v>0</v>
      </c>
      <c r="AH4456">
        <v>3</v>
      </c>
      <c r="AI4456">
        <v>2</v>
      </c>
      <c r="AJ4456">
        <v>0</v>
      </c>
      <c r="AK4456" t="s">
        <v>1418</v>
      </c>
      <c r="AL4456">
        <v>39.205033999999998</v>
      </c>
      <c r="AM4456" t="s">
        <v>1419</v>
      </c>
      <c r="AN4456">
        <v>-121.00944800000001</v>
      </c>
      <c r="AO4456">
        <v>25</v>
      </c>
      <c r="AP4456">
        <v>4200</v>
      </c>
      <c r="AQ4456" t="s">
        <v>131</v>
      </c>
      <c r="AR4456">
        <v>48</v>
      </c>
      <c r="AS4456">
        <v>62</v>
      </c>
      <c r="AT4456">
        <v>0</v>
      </c>
      <c r="BB4456" t="str">
        <f t="shared" si="1751"/>
        <v>1200</v>
      </c>
      <c r="BC4456">
        <v>1</v>
      </c>
      <c r="BD4456" t="str">
        <f t="shared" si="1752"/>
        <v xml:space="preserve">N52156  </v>
      </c>
      <c r="BE4456">
        <v>1</v>
      </c>
      <c r="BG4456">
        <v>0</v>
      </c>
      <c r="BH4456">
        <v>0</v>
      </c>
      <c r="BI4456">
        <v>0</v>
      </c>
      <c r="BJ4456">
        <v>4225</v>
      </c>
      <c r="BK4456">
        <v>25</v>
      </c>
      <c r="BL4456" t="s">
        <v>188</v>
      </c>
      <c r="BM4456">
        <v>1</v>
      </c>
      <c r="BN4456">
        <v>1</v>
      </c>
      <c r="BO4456">
        <v>0</v>
      </c>
      <c r="BP4456">
        <v>0</v>
      </c>
      <c r="BS4456">
        <v>0</v>
      </c>
      <c r="BT4456">
        <v>0</v>
      </c>
      <c r="BU4456">
        <v>0</v>
      </c>
      <c r="CE4456" t="str">
        <f t="shared" si="1765"/>
        <v>15:16:54.558</v>
      </c>
      <c r="CF4456">
        <v>558253655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5</v>
      </c>
      <c r="CY4456">
        <v>7</v>
      </c>
      <c r="CZ4456" t="s">
        <v>133</v>
      </c>
      <c r="DA4456">
        <v>275</v>
      </c>
      <c r="DB4456">
        <v>0</v>
      </c>
      <c r="DC4456" t="s">
        <v>134</v>
      </c>
      <c r="DD4456" t="s">
        <v>135</v>
      </c>
      <c r="DG4456">
        <v>3323290</v>
      </c>
      <c r="DI4456">
        <v>1</v>
      </c>
      <c r="DJ4456">
        <v>0</v>
      </c>
      <c r="DK4456">
        <v>1</v>
      </c>
      <c r="DL4456">
        <v>0</v>
      </c>
      <c r="DM4456">
        <v>0</v>
      </c>
      <c r="DN4456">
        <v>0</v>
      </c>
      <c r="DO4456">
        <v>0</v>
      </c>
      <c r="DP4456">
        <v>0</v>
      </c>
      <c r="DQ4456">
        <v>0</v>
      </c>
      <c r="DR4456">
        <v>0</v>
      </c>
      <c r="DS4456">
        <v>0</v>
      </c>
    </row>
    <row r="4457" spans="1:123" x14ac:dyDescent="0.3">
      <c r="A4457" t="str">
        <f>"05/01/2025 15:16:54.772"</f>
        <v>05/01/2025 15:16:54.772</v>
      </c>
      <c r="C4457" t="str">
        <f t="shared" si="1748"/>
        <v>FFDFD3C0</v>
      </c>
      <c r="D4457" t="s">
        <v>143</v>
      </c>
      <c r="E4457" t="str">
        <f>"05"</f>
        <v>05</v>
      </c>
      <c r="H4457">
        <v>172</v>
      </c>
      <c r="I4457" t="s">
        <v>141</v>
      </c>
      <c r="J4457" t="s">
        <v>144</v>
      </c>
      <c r="K4457">
        <v>0</v>
      </c>
      <c r="L4457">
        <v>3</v>
      </c>
      <c r="M4457">
        <v>0</v>
      </c>
      <c r="N4457">
        <v>2</v>
      </c>
      <c r="O4457">
        <v>0</v>
      </c>
      <c r="P4457">
        <v>1</v>
      </c>
      <c r="Q4457">
        <v>0</v>
      </c>
      <c r="R4457" t="s">
        <v>127</v>
      </c>
      <c r="S4457" t="str">
        <f t="shared" si="1764"/>
        <v>15:16:54.000</v>
      </c>
      <c r="T4457" t="str">
        <f t="shared" si="1764"/>
        <v>15:16:54.000</v>
      </c>
      <c r="U4457" t="str">
        <f t="shared" si="1750"/>
        <v>A68FCB</v>
      </c>
      <c r="V4457">
        <v>0</v>
      </c>
      <c r="W4457">
        <v>0</v>
      </c>
      <c r="X4457">
        <v>2</v>
      </c>
      <c r="Y4457">
        <v>0</v>
      </c>
      <c r="AA4457">
        <v>1</v>
      </c>
      <c r="AB4457">
        <v>8</v>
      </c>
      <c r="AC4457">
        <v>3</v>
      </c>
      <c r="AD4457">
        <v>0</v>
      </c>
      <c r="AE4457">
        <v>9</v>
      </c>
      <c r="AF4457" t="s">
        <v>138</v>
      </c>
      <c r="AG4457">
        <v>0</v>
      </c>
      <c r="AH4457">
        <v>3</v>
      </c>
      <c r="AI4457">
        <v>2</v>
      </c>
      <c r="AJ4457">
        <v>0</v>
      </c>
      <c r="AK4457" t="s">
        <v>1418</v>
      </c>
      <c r="AL4457">
        <v>39.205033999999998</v>
      </c>
      <c r="AM4457" t="s">
        <v>1419</v>
      </c>
      <c r="AN4457">
        <v>-121.00944800000001</v>
      </c>
      <c r="AO4457">
        <v>25</v>
      </c>
      <c r="AP4457">
        <v>4200</v>
      </c>
      <c r="AQ4457" t="s">
        <v>131</v>
      </c>
      <c r="AR4457">
        <v>48</v>
      </c>
      <c r="AS4457">
        <v>62</v>
      </c>
      <c r="AT4457">
        <v>0</v>
      </c>
      <c r="BB4457" t="str">
        <f t="shared" si="1751"/>
        <v>1200</v>
      </c>
      <c r="BC4457">
        <v>1</v>
      </c>
      <c r="BD4457" t="str">
        <f t="shared" si="1752"/>
        <v xml:space="preserve">N52156  </v>
      </c>
      <c r="BE4457">
        <v>1</v>
      </c>
      <c r="BG4457">
        <v>0</v>
      </c>
      <c r="BH4457">
        <v>0</v>
      </c>
      <c r="BI4457">
        <v>0</v>
      </c>
      <c r="BJ4457">
        <v>4225</v>
      </c>
      <c r="BK4457">
        <v>25</v>
      </c>
      <c r="BL4457" t="s">
        <v>188</v>
      </c>
      <c r="BM4457">
        <v>1</v>
      </c>
      <c r="BN4457">
        <v>1</v>
      </c>
      <c r="BO4457">
        <v>0</v>
      </c>
      <c r="BP4457">
        <v>0</v>
      </c>
      <c r="BS4457">
        <v>0</v>
      </c>
      <c r="BT4457">
        <v>0</v>
      </c>
      <c r="BU4457">
        <v>0</v>
      </c>
      <c r="CE4457" t="str">
        <f t="shared" si="1765"/>
        <v>15:16:54.558</v>
      </c>
      <c r="CF4457">
        <v>558253655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5</v>
      </c>
      <c r="CY4457">
        <v>7</v>
      </c>
      <c r="CZ4457" t="s">
        <v>133</v>
      </c>
      <c r="DA4457">
        <v>275</v>
      </c>
      <c r="DB4457">
        <v>0</v>
      </c>
      <c r="DC4457" t="s">
        <v>134</v>
      </c>
      <c r="DD4457" t="s">
        <v>135</v>
      </c>
      <c r="DG4457">
        <v>3323290</v>
      </c>
      <c r="DI4457">
        <v>1</v>
      </c>
      <c r="DJ4457">
        <v>0</v>
      </c>
      <c r="DK4457">
        <v>1</v>
      </c>
      <c r="DL4457">
        <v>0</v>
      </c>
      <c r="DM4457">
        <v>0</v>
      </c>
      <c r="DN4457">
        <v>0</v>
      </c>
      <c r="DO4457">
        <v>0</v>
      </c>
      <c r="DP4457">
        <v>0</v>
      </c>
      <c r="DQ4457">
        <v>0</v>
      </c>
      <c r="DR4457">
        <v>0</v>
      </c>
      <c r="DS4457">
        <v>0</v>
      </c>
    </row>
    <row r="4458" spans="1:123" x14ac:dyDescent="0.3">
      <c r="A4458" t="str">
        <f>"05/01/2025 15:16:54.785"</f>
        <v>05/01/2025 15:16:54.785</v>
      </c>
      <c r="C4458" t="str">
        <f t="shared" si="1748"/>
        <v>FFDFD3C0</v>
      </c>
      <c r="D4458" t="s">
        <v>145</v>
      </c>
      <c r="E4458" t="str">
        <f>"09"</f>
        <v>09</v>
      </c>
      <c r="H4458">
        <v>51</v>
      </c>
      <c r="I4458" t="s">
        <v>147</v>
      </c>
      <c r="J4458" t="s">
        <v>138</v>
      </c>
      <c r="K4458">
        <v>0</v>
      </c>
      <c r="L4458">
        <v>3</v>
      </c>
      <c r="M4458">
        <v>0</v>
      </c>
      <c r="N4458">
        <v>2</v>
      </c>
      <c r="O4458">
        <v>0</v>
      </c>
      <c r="P4458">
        <v>1</v>
      </c>
      <c r="Q4458">
        <v>0</v>
      </c>
      <c r="R4458" t="s">
        <v>127</v>
      </c>
      <c r="S4458" t="str">
        <f t="shared" si="1764"/>
        <v>15:16:54.000</v>
      </c>
      <c r="T4458" t="str">
        <f t="shared" si="1764"/>
        <v>15:16:54.000</v>
      </c>
      <c r="U4458" t="str">
        <f t="shared" si="1750"/>
        <v>A68FCB</v>
      </c>
      <c r="V4458">
        <v>0</v>
      </c>
      <c r="W4458">
        <v>0</v>
      </c>
      <c r="X4458">
        <v>2</v>
      </c>
      <c r="Y4458">
        <v>0</v>
      </c>
      <c r="AA4458">
        <v>1</v>
      </c>
      <c r="AB4458">
        <v>8</v>
      </c>
      <c r="AC4458">
        <v>3</v>
      </c>
      <c r="AD4458">
        <v>0</v>
      </c>
      <c r="AE4458">
        <v>9</v>
      </c>
      <c r="AF4458" t="s">
        <v>138</v>
      </c>
      <c r="AG4458">
        <v>0</v>
      </c>
      <c r="AH4458">
        <v>3</v>
      </c>
      <c r="AI4458">
        <v>2</v>
      </c>
      <c r="AJ4458">
        <v>0</v>
      </c>
      <c r="AK4458" t="s">
        <v>1418</v>
      </c>
      <c r="AL4458">
        <v>39.205033999999998</v>
      </c>
      <c r="AM4458" t="s">
        <v>1419</v>
      </c>
      <c r="AN4458">
        <v>-121.00944800000001</v>
      </c>
      <c r="AO4458">
        <v>25</v>
      </c>
      <c r="AP4458">
        <v>4200</v>
      </c>
      <c r="AQ4458" t="s">
        <v>131</v>
      </c>
      <c r="AR4458">
        <v>48</v>
      </c>
      <c r="AS4458">
        <v>62</v>
      </c>
      <c r="AT4458">
        <v>0</v>
      </c>
      <c r="BB4458" t="str">
        <f t="shared" si="1751"/>
        <v>1200</v>
      </c>
      <c r="BC4458">
        <v>1</v>
      </c>
      <c r="BD4458" t="str">
        <f t="shared" si="1752"/>
        <v xml:space="preserve">N52156  </v>
      </c>
      <c r="BE4458">
        <v>1</v>
      </c>
      <c r="BG4458">
        <v>0</v>
      </c>
      <c r="BH4458">
        <v>0</v>
      </c>
      <c r="BI4458">
        <v>0</v>
      </c>
      <c r="BJ4458">
        <v>4225</v>
      </c>
      <c r="BK4458">
        <v>25</v>
      </c>
      <c r="BL4458" t="s">
        <v>188</v>
      </c>
      <c r="BM4458">
        <v>1</v>
      </c>
      <c r="BN4458">
        <v>1</v>
      </c>
      <c r="BO4458">
        <v>0</v>
      </c>
      <c r="BP4458">
        <v>0</v>
      </c>
      <c r="BS4458">
        <v>0</v>
      </c>
      <c r="BT4458">
        <v>0</v>
      </c>
      <c r="BU4458">
        <v>0</v>
      </c>
      <c r="CE4458" t="str">
        <f t="shared" si="1765"/>
        <v>15:16:54.558</v>
      </c>
      <c r="CF4458">
        <v>558253655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5</v>
      </c>
      <c r="CY4458">
        <v>7</v>
      </c>
      <c r="CZ4458" t="s">
        <v>133</v>
      </c>
      <c r="DA4458">
        <v>275</v>
      </c>
      <c r="DB4458">
        <v>0</v>
      </c>
      <c r="DC4458" t="s">
        <v>134</v>
      </c>
      <c r="DD4458" t="s">
        <v>135</v>
      </c>
      <c r="DG4458">
        <v>3323290</v>
      </c>
      <c r="DI4458">
        <v>1</v>
      </c>
      <c r="DJ4458">
        <v>0</v>
      </c>
      <c r="DK4458">
        <v>1</v>
      </c>
      <c r="DL4458">
        <v>0</v>
      </c>
      <c r="DM4458">
        <v>0</v>
      </c>
      <c r="DN4458">
        <v>0</v>
      </c>
      <c r="DO4458">
        <v>0</v>
      </c>
      <c r="DP4458">
        <v>0</v>
      </c>
      <c r="DQ4458">
        <v>0</v>
      </c>
      <c r="DR4458">
        <v>0</v>
      </c>
      <c r="DS4458">
        <v>0</v>
      </c>
    </row>
    <row r="4459" spans="1:123" x14ac:dyDescent="0.3">
      <c r="A4459" t="str">
        <f>"05/01/2025 15:16:54.789"</f>
        <v>05/01/2025 15:16:54.789</v>
      </c>
      <c r="C4459" t="str">
        <f t="shared" si="1748"/>
        <v>FFDFD3C0</v>
      </c>
      <c r="D4459" t="s">
        <v>145</v>
      </c>
      <c r="E4459" t="str">
        <f>"05"</f>
        <v>05</v>
      </c>
      <c r="H4459">
        <v>47</v>
      </c>
      <c r="I4459" t="s">
        <v>146</v>
      </c>
      <c r="J4459" t="s">
        <v>138</v>
      </c>
      <c r="K4459">
        <v>0</v>
      </c>
      <c r="L4459">
        <v>3</v>
      </c>
      <c r="M4459">
        <v>0</v>
      </c>
      <c r="N4459">
        <v>2</v>
      </c>
      <c r="O4459">
        <v>0</v>
      </c>
      <c r="P4459">
        <v>1</v>
      </c>
      <c r="Q4459">
        <v>0</v>
      </c>
      <c r="R4459" t="s">
        <v>127</v>
      </c>
      <c r="S4459" t="str">
        <f t="shared" si="1764"/>
        <v>15:16:54.000</v>
      </c>
      <c r="T4459" t="str">
        <f t="shared" si="1764"/>
        <v>15:16:54.000</v>
      </c>
      <c r="U4459" t="str">
        <f t="shared" si="1750"/>
        <v>A68FCB</v>
      </c>
      <c r="V4459">
        <v>0</v>
      </c>
      <c r="W4459">
        <v>0</v>
      </c>
      <c r="X4459">
        <v>2</v>
      </c>
      <c r="Y4459">
        <v>0</v>
      </c>
      <c r="AA4459">
        <v>1</v>
      </c>
      <c r="AB4459">
        <v>8</v>
      </c>
      <c r="AC4459">
        <v>3</v>
      </c>
      <c r="AD4459">
        <v>0</v>
      </c>
      <c r="AE4459">
        <v>9</v>
      </c>
      <c r="AF4459" t="s">
        <v>138</v>
      </c>
      <c r="AG4459">
        <v>0</v>
      </c>
      <c r="AH4459">
        <v>3</v>
      </c>
      <c r="AI4459">
        <v>2</v>
      </c>
      <c r="AJ4459">
        <v>0</v>
      </c>
      <c r="AK4459" t="s">
        <v>1418</v>
      </c>
      <c r="AL4459">
        <v>39.205033999999998</v>
      </c>
      <c r="AM4459" t="s">
        <v>1419</v>
      </c>
      <c r="AN4459">
        <v>-121.00944800000001</v>
      </c>
      <c r="AO4459">
        <v>25</v>
      </c>
      <c r="AP4459">
        <v>4200</v>
      </c>
      <c r="AQ4459" t="s">
        <v>131</v>
      </c>
      <c r="AR4459">
        <v>48</v>
      </c>
      <c r="AS4459">
        <v>62</v>
      </c>
      <c r="AT4459">
        <v>0</v>
      </c>
      <c r="BB4459" t="str">
        <f t="shared" si="1751"/>
        <v>1200</v>
      </c>
      <c r="BC4459">
        <v>1</v>
      </c>
      <c r="BD4459" t="str">
        <f t="shared" si="1752"/>
        <v xml:space="preserve">N52156  </v>
      </c>
      <c r="BE4459">
        <v>1</v>
      </c>
      <c r="BG4459">
        <v>0</v>
      </c>
      <c r="BH4459">
        <v>0</v>
      </c>
      <c r="BI4459">
        <v>0</v>
      </c>
      <c r="BJ4459">
        <v>4225</v>
      </c>
      <c r="BK4459">
        <v>25</v>
      </c>
      <c r="BL4459" t="s">
        <v>188</v>
      </c>
      <c r="BM4459">
        <v>1</v>
      </c>
      <c r="BN4459">
        <v>1</v>
      </c>
      <c r="BO4459">
        <v>0</v>
      </c>
      <c r="BP4459">
        <v>0</v>
      </c>
      <c r="BS4459">
        <v>0</v>
      </c>
      <c r="BT4459">
        <v>0</v>
      </c>
      <c r="BU4459">
        <v>0</v>
      </c>
      <c r="CE4459" t="str">
        <f t="shared" si="1765"/>
        <v>15:16:54.558</v>
      </c>
      <c r="CF4459">
        <v>558253655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5</v>
      </c>
      <c r="CY4459">
        <v>7</v>
      </c>
      <c r="CZ4459" t="s">
        <v>133</v>
      </c>
      <c r="DA4459">
        <v>275</v>
      </c>
      <c r="DB4459">
        <v>0</v>
      </c>
      <c r="DC4459" t="s">
        <v>134</v>
      </c>
      <c r="DD4459" t="s">
        <v>135</v>
      </c>
      <c r="DG4459">
        <v>3323290</v>
      </c>
      <c r="DI4459">
        <v>1</v>
      </c>
      <c r="DJ4459">
        <v>0</v>
      </c>
      <c r="DK4459">
        <v>1</v>
      </c>
      <c r="DL4459">
        <v>0</v>
      </c>
      <c r="DM4459">
        <v>0</v>
      </c>
      <c r="DN4459">
        <v>0</v>
      </c>
      <c r="DO4459">
        <v>0</v>
      </c>
      <c r="DP4459">
        <v>0</v>
      </c>
      <c r="DQ4459">
        <v>0</v>
      </c>
      <c r="DR4459">
        <v>0</v>
      </c>
      <c r="DS4459">
        <v>0</v>
      </c>
    </row>
    <row r="4460" spans="1:123" x14ac:dyDescent="0.3">
      <c r="A4460" t="str">
        <f>"05/01/2025 15:16:55.969"</f>
        <v>05/01/2025 15:16:55.969</v>
      </c>
      <c r="C4460" t="str">
        <f t="shared" si="1748"/>
        <v>FFDFD3C0</v>
      </c>
      <c r="D4460" t="s">
        <v>124</v>
      </c>
      <c r="E4460" t="str">
        <f>"06"</f>
        <v>06</v>
      </c>
      <c r="F4460">
        <v>2006</v>
      </c>
      <c r="G4460" t="s">
        <v>125</v>
      </c>
      <c r="J4460" t="s">
        <v>126</v>
      </c>
      <c r="K4460">
        <v>0</v>
      </c>
      <c r="L4460">
        <v>3</v>
      </c>
      <c r="M4460">
        <v>0</v>
      </c>
      <c r="N4460">
        <v>2</v>
      </c>
      <c r="O4460">
        <v>0</v>
      </c>
      <c r="P4460">
        <v>1</v>
      </c>
      <c r="Q4460">
        <v>0</v>
      </c>
      <c r="R4460" t="s">
        <v>127</v>
      </c>
      <c r="S4460" t="str">
        <f t="shared" ref="S4460:T4465" si="1766">"15:16:55.000"</f>
        <v>15:16:55.000</v>
      </c>
      <c r="T4460" t="str">
        <f t="shared" si="1766"/>
        <v>15:16:55.000</v>
      </c>
      <c r="U4460" t="str">
        <f t="shared" si="1750"/>
        <v>A68FCB</v>
      </c>
      <c r="V4460">
        <v>0</v>
      </c>
      <c r="W4460">
        <v>0</v>
      </c>
      <c r="X4460">
        <v>2</v>
      </c>
      <c r="Y4460">
        <v>0</v>
      </c>
      <c r="AA4460">
        <v>1</v>
      </c>
      <c r="AB4460">
        <v>8</v>
      </c>
      <c r="AC4460">
        <v>3</v>
      </c>
      <c r="AD4460">
        <v>0</v>
      </c>
      <c r="AE4460">
        <v>9</v>
      </c>
      <c r="AF4460" t="s">
        <v>138</v>
      </c>
      <c r="AG4460">
        <v>0</v>
      </c>
      <c r="AH4460">
        <v>3</v>
      </c>
      <c r="AI4460">
        <v>2</v>
      </c>
      <c r="AJ4460">
        <v>0</v>
      </c>
      <c r="AK4460" t="s">
        <v>1420</v>
      </c>
      <c r="AL4460">
        <v>39.205334000000001</v>
      </c>
      <c r="AM4460" t="s">
        <v>1421</v>
      </c>
      <c r="AN4460">
        <v>-121.009169</v>
      </c>
      <c r="AO4460">
        <v>25</v>
      </c>
      <c r="AP4460">
        <v>4200</v>
      </c>
      <c r="AQ4460" t="s">
        <v>131</v>
      </c>
      <c r="AR4460">
        <v>48</v>
      </c>
      <c r="AS4460">
        <v>62</v>
      </c>
      <c r="AT4460">
        <v>0</v>
      </c>
      <c r="BB4460" t="str">
        <f t="shared" si="1751"/>
        <v>1200</v>
      </c>
      <c r="BC4460">
        <v>1</v>
      </c>
      <c r="BD4460" t="str">
        <f t="shared" si="1752"/>
        <v xml:space="preserve">N52156  </v>
      </c>
      <c r="BE4460">
        <v>1</v>
      </c>
      <c r="BG4460">
        <v>0</v>
      </c>
      <c r="BH4460">
        <v>0</v>
      </c>
      <c r="BI4460">
        <v>0</v>
      </c>
      <c r="BJ4460">
        <v>4225</v>
      </c>
      <c r="BK4460">
        <v>25</v>
      </c>
      <c r="BL4460" t="s">
        <v>188</v>
      </c>
      <c r="BM4460">
        <v>1</v>
      </c>
      <c r="BN4460">
        <v>1</v>
      </c>
      <c r="BO4460">
        <v>0</v>
      </c>
      <c r="BP4460">
        <v>0</v>
      </c>
      <c r="BS4460">
        <v>0</v>
      </c>
      <c r="BT4460">
        <v>0</v>
      </c>
      <c r="BU4460">
        <v>0</v>
      </c>
      <c r="CE4460" t="str">
        <f t="shared" ref="CE4460:CE4465" si="1767">"15:16:55.747"</f>
        <v>15:16:55.747</v>
      </c>
      <c r="CF4460">
        <v>747254250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5</v>
      </c>
      <c r="CY4460">
        <v>7</v>
      </c>
      <c r="CZ4460" t="s">
        <v>133</v>
      </c>
      <c r="DA4460">
        <v>275</v>
      </c>
      <c r="DB4460">
        <v>0</v>
      </c>
      <c r="DC4460" t="s">
        <v>134</v>
      </c>
      <c r="DD4460" t="s">
        <v>135</v>
      </c>
      <c r="DG4460">
        <v>3323292</v>
      </c>
      <c r="DI4460">
        <v>1</v>
      </c>
      <c r="DJ4460">
        <v>0</v>
      </c>
      <c r="DK4460">
        <v>0</v>
      </c>
      <c r="DL4460">
        <v>0</v>
      </c>
      <c r="DM4460">
        <v>0</v>
      </c>
      <c r="DN4460">
        <v>0</v>
      </c>
      <c r="DO4460">
        <v>0</v>
      </c>
      <c r="DP4460">
        <v>0</v>
      </c>
      <c r="DQ4460">
        <v>0</v>
      </c>
      <c r="DR4460">
        <v>0</v>
      </c>
      <c r="DS4460">
        <v>0</v>
      </c>
    </row>
    <row r="4461" spans="1:123" x14ac:dyDescent="0.3">
      <c r="A4461" t="str">
        <f>"05/01/2025 15:16:55.968"</f>
        <v>05/01/2025 15:16:55.968</v>
      </c>
      <c r="C4461" t="str">
        <f t="shared" si="1748"/>
        <v>FFDFD3C0</v>
      </c>
      <c r="D4461" t="s">
        <v>140</v>
      </c>
      <c r="E4461" t="str">
        <f>"13"</f>
        <v>13</v>
      </c>
      <c r="F4461">
        <v>1019</v>
      </c>
      <c r="G4461" t="s">
        <v>141</v>
      </c>
      <c r="J4461" t="s">
        <v>142</v>
      </c>
      <c r="K4461">
        <v>0</v>
      </c>
      <c r="L4461">
        <v>3</v>
      </c>
      <c r="M4461">
        <v>0</v>
      </c>
      <c r="N4461">
        <v>2</v>
      </c>
      <c r="O4461">
        <v>0</v>
      </c>
      <c r="P4461">
        <v>1</v>
      </c>
      <c r="Q4461">
        <v>0</v>
      </c>
      <c r="R4461" t="s">
        <v>127</v>
      </c>
      <c r="S4461" t="str">
        <f t="shared" si="1766"/>
        <v>15:16:55.000</v>
      </c>
      <c r="T4461" t="str">
        <f t="shared" si="1766"/>
        <v>15:16:55.000</v>
      </c>
      <c r="U4461" t="str">
        <f t="shared" si="1750"/>
        <v>A68FCB</v>
      </c>
      <c r="V4461">
        <v>0</v>
      </c>
      <c r="W4461">
        <v>0</v>
      </c>
      <c r="X4461">
        <v>2</v>
      </c>
      <c r="Y4461">
        <v>0</v>
      </c>
      <c r="AA4461">
        <v>1</v>
      </c>
      <c r="AB4461">
        <v>8</v>
      </c>
      <c r="AC4461">
        <v>3</v>
      </c>
      <c r="AD4461">
        <v>0</v>
      </c>
      <c r="AE4461">
        <v>9</v>
      </c>
      <c r="AF4461" t="s">
        <v>138</v>
      </c>
      <c r="AG4461">
        <v>0</v>
      </c>
      <c r="AH4461">
        <v>3</v>
      </c>
      <c r="AI4461">
        <v>2</v>
      </c>
      <c r="AJ4461">
        <v>0</v>
      </c>
      <c r="AK4461" t="s">
        <v>1420</v>
      </c>
      <c r="AL4461">
        <v>39.205334000000001</v>
      </c>
      <c r="AM4461" t="s">
        <v>1421</v>
      </c>
      <c r="AN4461">
        <v>-121.009169</v>
      </c>
      <c r="AO4461">
        <v>25</v>
      </c>
      <c r="AP4461">
        <v>4200</v>
      </c>
      <c r="AQ4461" t="s">
        <v>131</v>
      </c>
      <c r="AR4461">
        <v>48</v>
      </c>
      <c r="AS4461">
        <v>62</v>
      </c>
      <c r="AT4461">
        <v>0</v>
      </c>
      <c r="BB4461" t="str">
        <f t="shared" si="1751"/>
        <v>1200</v>
      </c>
      <c r="BC4461">
        <v>1</v>
      </c>
      <c r="BD4461" t="str">
        <f t="shared" si="1752"/>
        <v xml:space="preserve">N52156  </v>
      </c>
      <c r="BE4461">
        <v>1</v>
      </c>
      <c r="BG4461">
        <v>0</v>
      </c>
      <c r="BH4461">
        <v>0</v>
      </c>
      <c r="BI4461">
        <v>0</v>
      </c>
      <c r="BJ4461">
        <v>4225</v>
      </c>
      <c r="BK4461">
        <v>25</v>
      </c>
      <c r="BL4461" t="s">
        <v>188</v>
      </c>
      <c r="BM4461">
        <v>1</v>
      </c>
      <c r="BN4461">
        <v>1</v>
      </c>
      <c r="BO4461">
        <v>0</v>
      </c>
      <c r="BP4461">
        <v>0</v>
      </c>
      <c r="BS4461">
        <v>0</v>
      </c>
      <c r="BT4461">
        <v>0</v>
      </c>
      <c r="BU4461">
        <v>0</v>
      </c>
      <c r="CE4461" t="str">
        <f t="shared" si="1767"/>
        <v>15:16:55.747</v>
      </c>
      <c r="CF4461">
        <v>747254250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5</v>
      </c>
      <c r="CY4461">
        <v>7</v>
      </c>
      <c r="CZ4461" t="s">
        <v>133</v>
      </c>
      <c r="DA4461">
        <v>275</v>
      </c>
      <c r="DB4461">
        <v>0</v>
      </c>
      <c r="DC4461" t="s">
        <v>134</v>
      </c>
      <c r="DD4461" t="s">
        <v>135</v>
      </c>
      <c r="DG4461">
        <v>3323292</v>
      </c>
      <c r="DI4461">
        <v>1</v>
      </c>
      <c r="DJ4461">
        <v>0</v>
      </c>
      <c r="DK4461">
        <v>1</v>
      </c>
      <c r="DL4461">
        <v>0</v>
      </c>
      <c r="DM4461">
        <v>0</v>
      </c>
      <c r="DN4461">
        <v>0</v>
      </c>
      <c r="DO4461">
        <v>0</v>
      </c>
      <c r="DP4461">
        <v>0</v>
      </c>
      <c r="DQ4461">
        <v>0</v>
      </c>
      <c r="DR4461">
        <v>0</v>
      </c>
      <c r="DS4461">
        <v>0</v>
      </c>
    </row>
    <row r="4462" spans="1:123" x14ac:dyDescent="0.3">
      <c r="A4462" t="str">
        <f>"05/01/2025 15:16:55.974"</f>
        <v>05/01/2025 15:16:55.974</v>
      </c>
      <c r="C4462" t="str">
        <f t="shared" si="1748"/>
        <v>FFDFD3C0</v>
      </c>
      <c r="D4462" t="s">
        <v>143</v>
      </c>
      <c r="E4462" t="str">
        <f>"05"</f>
        <v>05</v>
      </c>
      <c r="H4462">
        <v>172</v>
      </c>
      <c r="I4462" t="s">
        <v>141</v>
      </c>
      <c r="J4462" t="s">
        <v>144</v>
      </c>
      <c r="K4462">
        <v>0</v>
      </c>
      <c r="L4462">
        <v>3</v>
      </c>
      <c r="M4462">
        <v>0</v>
      </c>
      <c r="N4462">
        <v>2</v>
      </c>
      <c r="O4462">
        <v>0</v>
      </c>
      <c r="P4462">
        <v>1</v>
      </c>
      <c r="Q4462">
        <v>0</v>
      </c>
      <c r="R4462" t="s">
        <v>127</v>
      </c>
      <c r="S4462" t="str">
        <f t="shared" si="1766"/>
        <v>15:16:55.000</v>
      </c>
      <c r="T4462" t="str">
        <f t="shared" si="1766"/>
        <v>15:16:55.000</v>
      </c>
      <c r="U4462" t="str">
        <f t="shared" si="1750"/>
        <v>A68FCB</v>
      </c>
      <c r="V4462">
        <v>0</v>
      </c>
      <c r="W4462">
        <v>0</v>
      </c>
      <c r="X4462">
        <v>2</v>
      </c>
      <c r="Y4462">
        <v>0</v>
      </c>
      <c r="AA4462">
        <v>1</v>
      </c>
      <c r="AB4462">
        <v>8</v>
      </c>
      <c r="AC4462">
        <v>3</v>
      </c>
      <c r="AD4462">
        <v>0</v>
      </c>
      <c r="AE4462">
        <v>9</v>
      </c>
      <c r="AF4462" t="s">
        <v>138</v>
      </c>
      <c r="AG4462">
        <v>0</v>
      </c>
      <c r="AH4462">
        <v>3</v>
      </c>
      <c r="AI4462">
        <v>2</v>
      </c>
      <c r="AJ4462">
        <v>0</v>
      </c>
      <c r="AK4462" t="s">
        <v>1420</v>
      </c>
      <c r="AL4462">
        <v>39.205334000000001</v>
      </c>
      <c r="AM4462" t="s">
        <v>1421</v>
      </c>
      <c r="AN4462">
        <v>-121.009169</v>
      </c>
      <c r="AO4462">
        <v>25</v>
      </c>
      <c r="AP4462">
        <v>4200</v>
      </c>
      <c r="AQ4462" t="s">
        <v>131</v>
      </c>
      <c r="AR4462">
        <v>48</v>
      </c>
      <c r="AS4462">
        <v>62</v>
      </c>
      <c r="AT4462">
        <v>0</v>
      </c>
      <c r="BB4462" t="str">
        <f t="shared" si="1751"/>
        <v>1200</v>
      </c>
      <c r="BC4462">
        <v>1</v>
      </c>
      <c r="BD4462" t="str">
        <f t="shared" si="1752"/>
        <v xml:space="preserve">N52156  </v>
      </c>
      <c r="BE4462">
        <v>1</v>
      </c>
      <c r="BG4462">
        <v>0</v>
      </c>
      <c r="BH4462">
        <v>0</v>
      </c>
      <c r="BI4462">
        <v>0</v>
      </c>
      <c r="BJ4462">
        <v>4225</v>
      </c>
      <c r="BK4462">
        <v>25</v>
      </c>
      <c r="BL4462" t="s">
        <v>188</v>
      </c>
      <c r="BM4462">
        <v>1</v>
      </c>
      <c r="BN4462">
        <v>1</v>
      </c>
      <c r="BO4462">
        <v>0</v>
      </c>
      <c r="BP4462">
        <v>0</v>
      </c>
      <c r="BS4462">
        <v>0</v>
      </c>
      <c r="BT4462">
        <v>0</v>
      </c>
      <c r="BU4462">
        <v>0</v>
      </c>
      <c r="CE4462" t="str">
        <f t="shared" si="1767"/>
        <v>15:16:55.747</v>
      </c>
      <c r="CF4462">
        <v>747254250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5</v>
      </c>
      <c r="CY4462">
        <v>7</v>
      </c>
      <c r="CZ4462" t="s">
        <v>133</v>
      </c>
      <c r="DA4462">
        <v>275</v>
      </c>
      <c r="DB4462">
        <v>0</v>
      </c>
      <c r="DC4462" t="s">
        <v>134</v>
      </c>
      <c r="DD4462" t="s">
        <v>135</v>
      </c>
      <c r="DG4462">
        <v>3323292</v>
      </c>
      <c r="DI4462">
        <v>1</v>
      </c>
      <c r="DJ4462">
        <v>0</v>
      </c>
      <c r="DK4462">
        <v>1</v>
      </c>
      <c r="DL4462">
        <v>0</v>
      </c>
      <c r="DM4462">
        <v>0</v>
      </c>
      <c r="DN4462">
        <v>0</v>
      </c>
      <c r="DO4462">
        <v>0</v>
      </c>
      <c r="DP4462">
        <v>0</v>
      </c>
      <c r="DQ4462">
        <v>0</v>
      </c>
      <c r="DR4462">
        <v>0</v>
      </c>
      <c r="DS4462">
        <v>0</v>
      </c>
    </row>
    <row r="4463" spans="1:123" x14ac:dyDescent="0.3">
      <c r="A4463" t="str">
        <f>"05/01/2025 15:16:55.987"</f>
        <v>05/01/2025 15:16:55.987</v>
      </c>
      <c r="C4463" t="str">
        <f t="shared" si="1748"/>
        <v>FFDFD3C0</v>
      </c>
      <c r="D4463" t="s">
        <v>145</v>
      </c>
      <c r="E4463" t="str">
        <f>"09"</f>
        <v>09</v>
      </c>
      <c r="H4463">
        <v>51</v>
      </c>
      <c r="I4463" t="s">
        <v>147</v>
      </c>
      <c r="J4463" t="s">
        <v>138</v>
      </c>
      <c r="K4463">
        <v>0</v>
      </c>
      <c r="L4463">
        <v>3</v>
      </c>
      <c r="M4463">
        <v>0</v>
      </c>
      <c r="N4463">
        <v>2</v>
      </c>
      <c r="O4463">
        <v>0</v>
      </c>
      <c r="P4463">
        <v>1</v>
      </c>
      <c r="Q4463">
        <v>0</v>
      </c>
      <c r="R4463" t="s">
        <v>127</v>
      </c>
      <c r="S4463" t="str">
        <f t="shared" si="1766"/>
        <v>15:16:55.000</v>
      </c>
      <c r="T4463" t="str">
        <f t="shared" si="1766"/>
        <v>15:16:55.000</v>
      </c>
      <c r="U4463" t="str">
        <f t="shared" si="1750"/>
        <v>A68FCB</v>
      </c>
      <c r="V4463">
        <v>0</v>
      </c>
      <c r="W4463">
        <v>0</v>
      </c>
      <c r="X4463">
        <v>2</v>
      </c>
      <c r="Y4463">
        <v>0</v>
      </c>
      <c r="AA4463">
        <v>1</v>
      </c>
      <c r="AB4463">
        <v>8</v>
      </c>
      <c r="AC4463">
        <v>3</v>
      </c>
      <c r="AD4463">
        <v>0</v>
      </c>
      <c r="AE4463">
        <v>9</v>
      </c>
      <c r="AF4463" t="s">
        <v>138</v>
      </c>
      <c r="AG4463">
        <v>0</v>
      </c>
      <c r="AH4463">
        <v>3</v>
      </c>
      <c r="AI4463">
        <v>2</v>
      </c>
      <c r="AJ4463">
        <v>0</v>
      </c>
      <c r="AK4463" t="s">
        <v>1420</v>
      </c>
      <c r="AL4463">
        <v>39.205334000000001</v>
      </c>
      <c r="AM4463" t="s">
        <v>1421</v>
      </c>
      <c r="AN4463">
        <v>-121.009169</v>
      </c>
      <c r="AO4463">
        <v>25</v>
      </c>
      <c r="AP4463">
        <v>4200</v>
      </c>
      <c r="AQ4463" t="s">
        <v>131</v>
      </c>
      <c r="AR4463">
        <v>48</v>
      </c>
      <c r="AS4463">
        <v>62</v>
      </c>
      <c r="AT4463">
        <v>0</v>
      </c>
      <c r="BB4463" t="str">
        <f t="shared" si="1751"/>
        <v>1200</v>
      </c>
      <c r="BC4463">
        <v>1</v>
      </c>
      <c r="BD4463" t="str">
        <f t="shared" si="1752"/>
        <v xml:space="preserve">N52156  </v>
      </c>
      <c r="BE4463">
        <v>1</v>
      </c>
      <c r="BG4463">
        <v>0</v>
      </c>
      <c r="BH4463">
        <v>0</v>
      </c>
      <c r="BI4463">
        <v>0</v>
      </c>
      <c r="BJ4463">
        <v>4225</v>
      </c>
      <c r="BK4463">
        <v>25</v>
      </c>
      <c r="BL4463" t="s">
        <v>188</v>
      </c>
      <c r="BM4463">
        <v>1</v>
      </c>
      <c r="BN4463">
        <v>1</v>
      </c>
      <c r="BO4463">
        <v>0</v>
      </c>
      <c r="BP4463">
        <v>0</v>
      </c>
      <c r="BS4463">
        <v>0</v>
      </c>
      <c r="BT4463">
        <v>0</v>
      </c>
      <c r="BU4463">
        <v>0</v>
      </c>
      <c r="CE4463" t="str">
        <f t="shared" si="1767"/>
        <v>15:16:55.747</v>
      </c>
      <c r="CF4463">
        <v>747254250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5</v>
      </c>
      <c r="CY4463">
        <v>7</v>
      </c>
      <c r="CZ4463" t="s">
        <v>133</v>
      </c>
      <c r="DA4463">
        <v>275</v>
      </c>
      <c r="DB4463">
        <v>0</v>
      </c>
      <c r="DC4463" t="s">
        <v>134</v>
      </c>
      <c r="DD4463" t="s">
        <v>135</v>
      </c>
      <c r="DG4463">
        <v>3323292</v>
      </c>
      <c r="DI4463">
        <v>1</v>
      </c>
      <c r="DJ4463">
        <v>0</v>
      </c>
      <c r="DK4463">
        <v>1</v>
      </c>
      <c r="DL4463">
        <v>0</v>
      </c>
      <c r="DM4463">
        <v>0</v>
      </c>
      <c r="DN4463">
        <v>0</v>
      </c>
      <c r="DO4463">
        <v>0</v>
      </c>
      <c r="DP4463">
        <v>0</v>
      </c>
      <c r="DQ4463">
        <v>0</v>
      </c>
      <c r="DR4463">
        <v>0</v>
      </c>
      <c r="DS4463">
        <v>0</v>
      </c>
    </row>
    <row r="4464" spans="1:123" x14ac:dyDescent="0.3">
      <c r="A4464" t="str">
        <f>"05/01/2025 15:16:55.991"</f>
        <v>05/01/2025 15:16:55.991</v>
      </c>
      <c r="C4464" t="str">
        <f t="shared" si="1748"/>
        <v>FFDFD3C0</v>
      </c>
      <c r="D4464" t="s">
        <v>145</v>
      </c>
      <c r="E4464" t="str">
        <f>"05"</f>
        <v>05</v>
      </c>
      <c r="H4464">
        <v>47</v>
      </c>
      <c r="I4464" t="s">
        <v>146</v>
      </c>
      <c r="J4464" t="s">
        <v>138</v>
      </c>
      <c r="K4464">
        <v>0</v>
      </c>
      <c r="L4464">
        <v>3</v>
      </c>
      <c r="M4464">
        <v>0</v>
      </c>
      <c r="N4464">
        <v>2</v>
      </c>
      <c r="O4464">
        <v>0</v>
      </c>
      <c r="P4464">
        <v>1</v>
      </c>
      <c r="Q4464">
        <v>0</v>
      </c>
      <c r="R4464" t="s">
        <v>127</v>
      </c>
      <c r="S4464" t="str">
        <f t="shared" si="1766"/>
        <v>15:16:55.000</v>
      </c>
      <c r="T4464" t="str">
        <f t="shared" si="1766"/>
        <v>15:16:55.000</v>
      </c>
      <c r="U4464" t="str">
        <f t="shared" si="1750"/>
        <v>A68FCB</v>
      </c>
      <c r="V4464">
        <v>0</v>
      </c>
      <c r="W4464">
        <v>0</v>
      </c>
      <c r="X4464">
        <v>2</v>
      </c>
      <c r="Y4464">
        <v>0</v>
      </c>
      <c r="AA4464">
        <v>1</v>
      </c>
      <c r="AB4464">
        <v>8</v>
      </c>
      <c r="AC4464">
        <v>3</v>
      </c>
      <c r="AD4464">
        <v>0</v>
      </c>
      <c r="AE4464">
        <v>9</v>
      </c>
      <c r="AF4464" t="s">
        <v>138</v>
      </c>
      <c r="AG4464">
        <v>0</v>
      </c>
      <c r="AH4464">
        <v>3</v>
      </c>
      <c r="AI4464">
        <v>2</v>
      </c>
      <c r="AJ4464">
        <v>0</v>
      </c>
      <c r="AK4464" t="s">
        <v>1420</v>
      </c>
      <c r="AL4464">
        <v>39.205334000000001</v>
      </c>
      <c r="AM4464" t="s">
        <v>1421</v>
      </c>
      <c r="AN4464">
        <v>-121.009169</v>
      </c>
      <c r="AO4464">
        <v>25</v>
      </c>
      <c r="AP4464">
        <v>4200</v>
      </c>
      <c r="AQ4464" t="s">
        <v>131</v>
      </c>
      <c r="AR4464">
        <v>48</v>
      </c>
      <c r="AS4464">
        <v>62</v>
      </c>
      <c r="AT4464">
        <v>0</v>
      </c>
      <c r="BB4464" t="str">
        <f t="shared" si="1751"/>
        <v>1200</v>
      </c>
      <c r="BC4464">
        <v>1</v>
      </c>
      <c r="BD4464" t="str">
        <f t="shared" si="1752"/>
        <v xml:space="preserve">N52156  </v>
      </c>
      <c r="BE4464">
        <v>1</v>
      </c>
      <c r="BG4464">
        <v>0</v>
      </c>
      <c r="BH4464">
        <v>0</v>
      </c>
      <c r="BI4464">
        <v>0</v>
      </c>
      <c r="BJ4464">
        <v>4225</v>
      </c>
      <c r="BK4464">
        <v>25</v>
      </c>
      <c r="BL4464" t="s">
        <v>188</v>
      </c>
      <c r="BM4464">
        <v>1</v>
      </c>
      <c r="BN4464">
        <v>1</v>
      </c>
      <c r="BO4464">
        <v>0</v>
      </c>
      <c r="BP4464">
        <v>0</v>
      </c>
      <c r="BS4464">
        <v>0</v>
      </c>
      <c r="BT4464">
        <v>0</v>
      </c>
      <c r="BU4464">
        <v>0</v>
      </c>
      <c r="CE4464" t="str">
        <f t="shared" si="1767"/>
        <v>15:16:55.747</v>
      </c>
      <c r="CF4464">
        <v>747254250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5</v>
      </c>
      <c r="CY4464">
        <v>7</v>
      </c>
      <c r="CZ4464" t="s">
        <v>133</v>
      </c>
      <c r="DA4464">
        <v>275</v>
      </c>
      <c r="DB4464">
        <v>0</v>
      </c>
      <c r="DC4464" t="s">
        <v>134</v>
      </c>
      <c r="DD4464" t="s">
        <v>135</v>
      </c>
      <c r="DG4464">
        <v>3323292</v>
      </c>
      <c r="DI4464">
        <v>1</v>
      </c>
      <c r="DJ4464">
        <v>0</v>
      </c>
      <c r="DK4464">
        <v>1</v>
      </c>
      <c r="DL4464">
        <v>0</v>
      </c>
      <c r="DM4464">
        <v>0</v>
      </c>
      <c r="DN4464">
        <v>0</v>
      </c>
      <c r="DO4464">
        <v>0</v>
      </c>
      <c r="DP4464">
        <v>0</v>
      </c>
      <c r="DQ4464">
        <v>0</v>
      </c>
      <c r="DR4464">
        <v>0</v>
      </c>
      <c r="DS4464">
        <v>0</v>
      </c>
    </row>
    <row r="4465" spans="1:123" x14ac:dyDescent="0.3">
      <c r="A4465" t="str">
        <f>"05/01/2025 15:16:56.003"</f>
        <v>05/01/2025 15:16:56.003</v>
      </c>
      <c r="C4465" t="str">
        <f t="shared" si="1748"/>
        <v>FFDFD3C0</v>
      </c>
      <c r="D4465" t="s">
        <v>136</v>
      </c>
      <c r="E4465" t="str">
        <f>"20"</f>
        <v>20</v>
      </c>
      <c r="H4465">
        <v>400</v>
      </c>
      <c r="I4465" t="s">
        <v>137</v>
      </c>
      <c r="J4465" t="s">
        <v>138</v>
      </c>
      <c r="K4465">
        <v>0</v>
      </c>
      <c r="L4465">
        <v>3</v>
      </c>
      <c r="M4465">
        <v>0</v>
      </c>
      <c r="N4465">
        <v>2</v>
      </c>
      <c r="O4465">
        <v>0</v>
      </c>
      <c r="P4465">
        <v>1</v>
      </c>
      <c r="Q4465">
        <v>0</v>
      </c>
      <c r="R4465" t="s">
        <v>127</v>
      </c>
      <c r="S4465" t="str">
        <f t="shared" si="1766"/>
        <v>15:16:55.000</v>
      </c>
      <c r="T4465" t="str">
        <f t="shared" si="1766"/>
        <v>15:16:55.000</v>
      </c>
      <c r="U4465" t="str">
        <f t="shared" si="1750"/>
        <v>A68FCB</v>
      </c>
      <c r="V4465">
        <v>0</v>
      </c>
      <c r="W4465">
        <v>0</v>
      </c>
      <c r="X4465">
        <v>2</v>
      </c>
      <c r="Y4465">
        <v>0</v>
      </c>
      <c r="AA4465">
        <v>1</v>
      </c>
      <c r="AB4465">
        <v>8</v>
      </c>
      <c r="AC4465">
        <v>3</v>
      </c>
      <c r="AD4465">
        <v>0</v>
      </c>
      <c r="AE4465">
        <v>9</v>
      </c>
      <c r="AF4465" t="s">
        <v>138</v>
      </c>
      <c r="AG4465">
        <v>0</v>
      </c>
      <c r="AH4465">
        <v>3</v>
      </c>
      <c r="AI4465">
        <v>2</v>
      </c>
      <c r="AJ4465">
        <v>0</v>
      </c>
      <c r="AK4465" t="s">
        <v>1420</v>
      </c>
      <c r="AL4465">
        <v>39.205334000000001</v>
      </c>
      <c r="AM4465" t="s">
        <v>1421</v>
      </c>
      <c r="AN4465">
        <v>-121.009169</v>
      </c>
      <c r="AO4465">
        <v>25</v>
      </c>
      <c r="AP4465">
        <v>4200</v>
      </c>
      <c r="AQ4465" t="s">
        <v>131</v>
      </c>
      <c r="AR4465">
        <v>48</v>
      </c>
      <c r="AS4465">
        <v>62</v>
      </c>
      <c r="AT4465">
        <v>0</v>
      </c>
      <c r="BB4465" t="str">
        <f t="shared" si="1751"/>
        <v>1200</v>
      </c>
      <c r="BC4465">
        <v>1</v>
      </c>
      <c r="BD4465" t="str">
        <f t="shared" si="1752"/>
        <v xml:space="preserve">N52156  </v>
      </c>
      <c r="BE4465">
        <v>1</v>
      </c>
      <c r="BG4465">
        <v>0</v>
      </c>
      <c r="BH4465">
        <v>0</v>
      </c>
      <c r="BI4465">
        <v>0</v>
      </c>
      <c r="BJ4465">
        <v>4225</v>
      </c>
      <c r="BK4465">
        <v>25</v>
      </c>
      <c r="BL4465" t="s">
        <v>188</v>
      </c>
      <c r="BM4465">
        <v>1</v>
      </c>
      <c r="BN4465">
        <v>1</v>
      </c>
      <c r="BO4465">
        <v>0</v>
      </c>
      <c r="BP4465">
        <v>0</v>
      </c>
      <c r="BS4465">
        <v>0</v>
      </c>
      <c r="BT4465">
        <v>0</v>
      </c>
      <c r="BU4465">
        <v>0</v>
      </c>
      <c r="CE4465" t="str">
        <f t="shared" si="1767"/>
        <v>15:16:55.747</v>
      </c>
      <c r="CF4465">
        <v>747254250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5</v>
      </c>
      <c r="CY4465">
        <v>7</v>
      </c>
      <c r="CZ4465" t="s">
        <v>133</v>
      </c>
      <c r="DA4465">
        <v>275</v>
      </c>
      <c r="DB4465">
        <v>0</v>
      </c>
      <c r="DC4465" t="s">
        <v>134</v>
      </c>
      <c r="DD4465" t="s">
        <v>135</v>
      </c>
      <c r="DG4465">
        <v>3323292</v>
      </c>
      <c r="DI4465">
        <v>1</v>
      </c>
      <c r="DJ4465">
        <v>0</v>
      </c>
      <c r="DK4465">
        <v>1</v>
      </c>
      <c r="DL4465">
        <v>0</v>
      </c>
      <c r="DM4465">
        <v>0</v>
      </c>
      <c r="DN4465">
        <v>0</v>
      </c>
      <c r="DO4465">
        <v>0</v>
      </c>
      <c r="DP4465">
        <v>0</v>
      </c>
      <c r="DQ4465">
        <v>0</v>
      </c>
      <c r="DR4465">
        <v>0</v>
      </c>
      <c r="DS4465">
        <v>0</v>
      </c>
    </row>
    <row r="4466" spans="1:123" x14ac:dyDescent="0.3">
      <c r="A4466" t="str">
        <f>"05/01/2025 15:16:57.020"</f>
        <v>05/01/2025 15:16:57.020</v>
      </c>
      <c r="C4466" t="str">
        <f t="shared" si="1748"/>
        <v>FFDFD3C0</v>
      </c>
      <c r="D4466" t="s">
        <v>140</v>
      </c>
      <c r="E4466" t="str">
        <f>"13"</f>
        <v>13</v>
      </c>
      <c r="F4466">
        <v>1019</v>
      </c>
      <c r="G4466" t="s">
        <v>141</v>
      </c>
      <c r="J4466" t="s">
        <v>142</v>
      </c>
      <c r="K4466">
        <v>0</v>
      </c>
      <c r="L4466">
        <v>3</v>
      </c>
      <c r="M4466">
        <v>0</v>
      </c>
      <c r="N4466">
        <v>2</v>
      </c>
      <c r="O4466">
        <v>0</v>
      </c>
      <c r="P4466">
        <v>1</v>
      </c>
      <c r="Q4466">
        <v>0</v>
      </c>
      <c r="R4466" t="s">
        <v>127</v>
      </c>
      <c r="S4466" t="str">
        <f t="shared" ref="S4466:T4471" si="1768">"15:16:56.000"</f>
        <v>15:16:56.000</v>
      </c>
      <c r="T4466" t="str">
        <f t="shared" si="1768"/>
        <v>15:16:56.000</v>
      </c>
      <c r="U4466" t="str">
        <f t="shared" si="1750"/>
        <v>A68FCB</v>
      </c>
      <c r="V4466">
        <v>0</v>
      </c>
      <c r="W4466">
        <v>0</v>
      </c>
      <c r="X4466">
        <v>2</v>
      </c>
      <c r="Y4466">
        <v>0</v>
      </c>
      <c r="AA4466">
        <v>1</v>
      </c>
      <c r="AB4466">
        <v>8</v>
      </c>
      <c r="AC4466">
        <v>3</v>
      </c>
      <c r="AD4466">
        <v>0</v>
      </c>
      <c r="AE4466">
        <v>9</v>
      </c>
      <c r="AF4466" t="s">
        <v>138</v>
      </c>
      <c r="AG4466">
        <v>0</v>
      </c>
      <c r="AH4466">
        <v>3</v>
      </c>
      <c r="AI4466">
        <v>2</v>
      </c>
      <c r="AJ4466">
        <v>0</v>
      </c>
      <c r="AK4466" t="s">
        <v>1422</v>
      </c>
      <c r="AL4466">
        <v>39.205613</v>
      </c>
      <c r="AM4466" t="s">
        <v>1423</v>
      </c>
      <c r="AN4466">
        <v>-121.00886800000001</v>
      </c>
      <c r="AO4466">
        <v>25</v>
      </c>
      <c r="AP4466">
        <v>4200</v>
      </c>
      <c r="AQ4466" t="s">
        <v>131</v>
      </c>
      <c r="AR4466">
        <v>48</v>
      </c>
      <c r="AS4466">
        <v>61</v>
      </c>
      <c r="AT4466">
        <v>-64</v>
      </c>
      <c r="BB4466" t="str">
        <f t="shared" si="1751"/>
        <v>1200</v>
      </c>
      <c r="BC4466">
        <v>1</v>
      </c>
      <c r="BD4466" t="str">
        <f t="shared" si="1752"/>
        <v xml:space="preserve">N52156  </v>
      </c>
      <c r="BE4466">
        <v>1</v>
      </c>
      <c r="BG4466">
        <v>0</v>
      </c>
      <c r="BH4466">
        <v>0</v>
      </c>
      <c r="BI4466">
        <v>0</v>
      </c>
      <c r="BJ4466">
        <v>4225</v>
      </c>
      <c r="BK4466">
        <v>25</v>
      </c>
      <c r="BL4466" t="s">
        <v>188</v>
      </c>
      <c r="BM4466">
        <v>1</v>
      </c>
      <c r="BN4466">
        <v>1</v>
      </c>
      <c r="BO4466">
        <v>0</v>
      </c>
      <c r="BP4466">
        <v>0</v>
      </c>
      <c r="BS4466">
        <v>0</v>
      </c>
      <c r="BT4466">
        <v>0</v>
      </c>
      <c r="BU4466">
        <v>0</v>
      </c>
      <c r="CE4466" t="str">
        <f t="shared" ref="CE4466:CE4471" si="1769">"15:16:56.822"</f>
        <v>15:16:56.822</v>
      </c>
      <c r="CF4466">
        <v>821754568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5</v>
      </c>
      <c r="CY4466">
        <v>7</v>
      </c>
      <c r="CZ4466" t="s">
        <v>133</v>
      </c>
      <c r="DA4466">
        <v>275</v>
      </c>
      <c r="DB4466">
        <v>0</v>
      </c>
      <c r="DC4466" t="s">
        <v>134</v>
      </c>
      <c r="DD4466" t="s">
        <v>135</v>
      </c>
      <c r="DG4466">
        <v>3323293</v>
      </c>
      <c r="DI4466">
        <v>1</v>
      </c>
      <c r="DJ4466">
        <v>0</v>
      </c>
      <c r="DK4466">
        <v>0</v>
      </c>
      <c r="DL4466">
        <v>0</v>
      </c>
      <c r="DM4466">
        <v>0</v>
      </c>
      <c r="DN4466">
        <v>0</v>
      </c>
      <c r="DO4466">
        <v>0</v>
      </c>
      <c r="DP4466">
        <v>0</v>
      </c>
      <c r="DQ4466">
        <v>0</v>
      </c>
      <c r="DR4466">
        <v>0</v>
      </c>
      <c r="DS4466">
        <v>0</v>
      </c>
    </row>
    <row r="4467" spans="1:123" x14ac:dyDescent="0.3">
      <c r="A4467" t="str">
        <f>"05/01/2025 15:16:57.021"</f>
        <v>05/01/2025 15:16:57.021</v>
      </c>
      <c r="C4467" t="str">
        <f t="shared" si="1748"/>
        <v>FFDFD3C0</v>
      </c>
      <c r="D4467" t="s">
        <v>124</v>
      </c>
      <c r="E4467" t="str">
        <f>"06"</f>
        <v>06</v>
      </c>
      <c r="F4467">
        <v>2006</v>
      </c>
      <c r="G4467" t="s">
        <v>125</v>
      </c>
      <c r="J4467" t="s">
        <v>126</v>
      </c>
      <c r="K4467">
        <v>0</v>
      </c>
      <c r="L4467">
        <v>3</v>
      </c>
      <c r="M4467">
        <v>0</v>
      </c>
      <c r="N4467">
        <v>2</v>
      </c>
      <c r="O4467">
        <v>0</v>
      </c>
      <c r="P4467">
        <v>1</v>
      </c>
      <c r="Q4467">
        <v>0</v>
      </c>
      <c r="R4467" t="s">
        <v>127</v>
      </c>
      <c r="S4467" t="str">
        <f t="shared" si="1768"/>
        <v>15:16:56.000</v>
      </c>
      <c r="T4467" t="str">
        <f t="shared" si="1768"/>
        <v>15:16:56.000</v>
      </c>
      <c r="U4467" t="str">
        <f t="shared" si="1750"/>
        <v>A68FCB</v>
      </c>
      <c r="V4467">
        <v>0</v>
      </c>
      <c r="W4467">
        <v>0</v>
      </c>
      <c r="X4467">
        <v>2</v>
      </c>
      <c r="Y4467">
        <v>0</v>
      </c>
      <c r="AA4467">
        <v>1</v>
      </c>
      <c r="AB4467">
        <v>8</v>
      </c>
      <c r="AC4467">
        <v>3</v>
      </c>
      <c r="AD4467">
        <v>0</v>
      </c>
      <c r="AE4467">
        <v>9</v>
      </c>
      <c r="AF4467" t="s">
        <v>138</v>
      </c>
      <c r="AG4467">
        <v>0</v>
      </c>
      <c r="AH4467">
        <v>3</v>
      </c>
      <c r="AI4467">
        <v>2</v>
      </c>
      <c r="AJ4467">
        <v>0</v>
      </c>
      <c r="AK4467" t="s">
        <v>1422</v>
      </c>
      <c r="AL4467">
        <v>39.205613</v>
      </c>
      <c r="AM4467" t="s">
        <v>1423</v>
      </c>
      <c r="AN4467">
        <v>-121.00886800000001</v>
      </c>
      <c r="AO4467">
        <v>25</v>
      </c>
      <c r="AP4467">
        <v>4200</v>
      </c>
      <c r="AQ4467" t="s">
        <v>131</v>
      </c>
      <c r="AR4467">
        <v>48</v>
      </c>
      <c r="AS4467">
        <v>61</v>
      </c>
      <c r="AT4467">
        <v>-64</v>
      </c>
      <c r="BB4467" t="str">
        <f t="shared" si="1751"/>
        <v>1200</v>
      </c>
      <c r="BC4467">
        <v>1</v>
      </c>
      <c r="BD4467" t="str">
        <f t="shared" si="1752"/>
        <v xml:space="preserve">N52156  </v>
      </c>
      <c r="BE4467">
        <v>1</v>
      </c>
      <c r="BG4467">
        <v>0</v>
      </c>
      <c r="BH4467">
        <v>0</v>
      </c>
      <c r="BI4467">
        <v>0</v>
      </c>
      <c r="BJ4467">
        <v>4225</v>
      </c>
      <c r="BK4467">
        <v>25</v>
      </c>
      <c r="BL4467" t="s">
        <v>188</v>
      </c>
      <c r="BM4467">
        <v>1</v>
      </c>
      <c r="BN4467">
        <v>1</v>
      </c>
      <c r="BO4467">
        <v>0</v>
      </c>
      <c r="BP4467">
        <v>0</v>
      </c>
      <c r="BS4467">
        <v>0</v>
      </c>
      <c r="BT4467">
        <v>0</v>
      </c>
      <c r="BU4467">
        <v>0</v>
      </c>
      <c r="CE4467" t="str">
        <f t="shared" si="1769"/>
        <v>15:16:56.822</v>
      </c>
      <c r="CF4467">
        <v>821754568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5</v>
      </c>
      <c r="CY4467">
        <v>7</v>
      </c>
      <c r="CZ4467" t="s">
        <v>133</v>
      </c>
      <c r="DA4467">
        <v>275</v>
      </c>
      <c r="DB4467">
        <v>0</v>
      </c>
      <c r="DC4467" t="s">
        <v>134</v>
      </c>
      <c r="DD4467" t="s">
        <v>135</v>
      </c>
      <c r="DG4467">
        <v>3323293</v>
      </c>
      <c r="DI4467">
        <v>1</v>
      </c>
      <c r="DJ4467">
        <v>0</v>
      </c>
      <c r="DK4467">
        <v>1</v>
      </c>
      <c r="DL4467">
        <v>0</v>
      </c>
      <c r="DM4467">
        <v>0</v>
      </c>
      <c r="DN4467">
        <v>0</v>
      </c>
      <c r="DO4467">
        <v>0</v>
      </c>
      <c r="DP4467">
        <v>0</v>
      </c>
      <c r="DQ4467">
        <v>0</v>
      </c>
      <c r="DR4467">
        <v>0</v>
      </c>
      <c r="DS4467">
        <v>0</v>
      </c>
    </row>
    <row r="4468" spans="1:123" x14ac:dyDescent="0.3">
      <c r="A4468" t="str">
        <f>"05/01/2025 15:16:57.026"</f>
        <v>05/01/2025 15:16:57.026</v>
      </c>
      <c r="C4468" t="str">
        <f t="shared" si="1748"/>
        <v>FFDFD3C0</v>
      </c>
      <c r="D4468" t="s">
        <v>143</v>
      </c>
      <c r="E4468" t="str">
        <f>"05"</f>
        <v>05</v>
      </c>
      <c r="H4468">
        <v>172</v>
      </c>
      <c r="I4468" t="s">
        <v>141</v>
      </c>
      <c r="J4468" t="s">
        <v>144</v>
      </c>
      <c r="K4468">
        <v>0</v>
      </c>
      <c r="L4468">
        <v>3</v>
      </c>
      <c r="M4468">
        <v>0</v>
      </c>
      <c r="N4468">
        <v>2</v>
      </c>
      <c r="O4468">
        <v>0</v>
      </c>
      <c r="P4468">
        <v>1</v>
      </c>
      <c r="Q4468">
        <v>0</v>
      </c>
      <c r="R4468" t="s">
        <v>127</v>
      </c>
      <c r="S4468" t="str">
        <f t="shared" si="1768"/>
        <v>15:16:56.000</v>
      </c>
      <c r="T4468" t="str">
        <f t="shared" si="1768"/>
        <v>15:16:56.000</v>
      </c>
      <c r="U4468" t="str">
        <f t="shared" si="1750"/>
        <v>A68FCB</v>
      </c>
      <c r="V4468">
        <v>0</v>
      </c>
      <c r="W4468">
        <v>0</v>
      </c>
      <c r="X4468">
        <v>2</v>
      </c>
      <c r="Y4468">
        <v>0</v>
      </c>
      <c r="AA4468">
        <v>1</v>
      </c>
      <c r="AB4468">
        <v>8</v>
      </c>
      <c r="AC4468">
        <v>3</v>
      </c>
      <c r="AD4468">
        <v>0</v>
      </c>
      <c r="AE4468">
        <v>9</v>
      </c>
      <c r="AF4468" t="s">
        <v>138</v>
      </c>
      <c r="AG4468">
        <v>0</v>
      </c>
      <c r="AH4468">
        <v>3</v>
      </c>
      <c r="AI4468">
        <v>2</v>
      </c>
      <c r="AJ4468">
        <v>0</v>
      </c>
      <c r="AK4468" t="s">
        <v>1422</v>
      </c>
      <c r="AL4468">
        <v>39.205613</v>
      </c>
      <c r="AM4468" t="s">
        <v>1423</v>
      </c>
      <c r="AN4468">
        <v>-121.00886800000001</v>
      </c>
      <c r="AO4468">
        <v>25</v>
      </c>
      <c r="AP4468">
        <v>4200</v>
      </c>
      <c r="AQ4468" t="s">
        <v>131</v>
      </c>
      <c r="AR4468">
        <v>48</v>
      </c>
      <c r="AS4468">
        <v>61</v>
      </c>
      <c r="AT4468">
        <v>-64</v>
      </c>
      <c r="BB4468" t="str">
        <f t="shared" si="1751"/>
        <v>1200</v>
      </c>
      <c r="BC4468">
        <v>1</v>
      </c>
      <c r="BD4468" t="str">
        <f t="shared" si="1752"/>
        <v xml:space="preserve">N52156  </v>
      </c>
      <c r="BE4468">
        <v>1</v>
      </c>
      <c r="BG4468">
        <v>0</v>
      </c>
      <c r="BH4468">
        <v>0</v>
      </c>
      <c r="BI4468">
        <v>0</v>
      </c>
      <c r="BJ4468">
        <v>4225</v>
      </c>
      <c r="BK4468">
        <v>25</v>
      </c>
      <c r="BL4468" t="s">
        <v>188</v>
      </c>
      <c r="BM4468">
        <v>1</v>
      </c>
      <c r="BN4468">
        <v>1</v>
      </c>
      <c r="BO4468">
        <v>0</v>
      </c>
      <c r="BP4468">
        <v>0</v>
      </c>
      <c r="BS4468">
        <v>0</v>
      </c>
      <c r="BT4468">
        <v>0</v>
      </c>
      <c r="BU4468">
        <v>0</v>
      </c>
      <c r="CE4468" t="str">
        <f t="shared" si="1769"/>
        <v>15:16:56.822</v>
      </c>
      <c r="CF4468">
        <v>821754568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5</v>
      </c>
      <c r="CY4468">
        <v>7</v>
      </c>
      <c r="CZ4468" t="s">
        <v>133</v>
      </c>
      <c r="DA4468">
        <v>275</v>
      </c>
      <c r="DB4468">
        <v>0</v>
      </c>
      <c r="DC4468" t="s">
        <v>134</v>
      </c>
      <c r="DD4468" t="s">
        <v>135</v>
      </c>
      <c r="DG4468">
        <v>3323293</v>
      </c>
      <c r="DI4468">
        <v>1</v>
      </c>
      <c r="DJ4468">
        <v>0</v>
      </c>
      <c r="DK4468">
        <v>1</v>
      </c>
      <c r="DL4468">
        <v>0</v>
      </c>
      <c r="DM4468">
        <v>0</v>
      </c>
      <c r="DN4468">
        <v>0</v>
      </c>
      <c r="DO4468">
        <v>0</v>
      </c>
      <c r="DP4468">
        <v>0</v>
      </c>
      <c r="DQ4468">
        <v>0</v>
      </c>
      <c r="DR4468">
        <v>0</v>
      </c>
      <c r="DS4468">
        <v>0</v>
      </c>
    </row>
    <row r="4469" spans="1:123" x14ac:dyDescent="0.3">
      <c r="A4469" t="str">
        <f>"05/01/2025 15:16:57.038"</f>
        <v>05/01/2025 15:16:57.038</v>
      </c>
      <c r="C4469" t="str">
        <f t="shared" si="1748"/>
        <v>FFDFD3C0</v>
      </c>
      <c r="D4469" t="s">
        <v>145</v>
      </c>
      <c r="E4469" t="str">
        <f>"09"</f>
        <v>09</v>
      </c>
      <c r="H4469">
        <v>51</v>
      </c>
      <c r="I4469" t="s">
        <v>147</v>
      </c>
      <c r="J4469" t="s">
        <v>138</v>
      </c>
      <c r="K4469">
        <v>0</v>
      </c>
      <c r="L4469">
        <v>3</v>
      </c>
      <c r="M4469">
        <v>0</v>
      </c>
      <c r="N4469">
        <v>2</v>
      </c>
      <c r="O4469">
        <v>0</v>
      </c>
      <c r="P4469">
        <v>1</v>
      </c>
      <c r="Q4469">
        <v>0</v>
      </c>
      <c r="R4469" t="s">
        <v>127</v>
      </c>
      <c r="S4469" t="str">
        <f t="shared" si="1768"/>
        <v>15:16:56.000</v>
      </c>
      <c r="T4469" t="str">
        <f t="shared" si="1768"/>
        <v>15:16:56.000</v>
      </c>
      <c r="U4469" t="str">
        <f t="shared" si="1750"/>
        <v>A68FCB</v>
      </c>
      <c r="V4469">
        <v>0</v>
      </c>
      <c r="W4469">
        <v>0</v>
      </c>
      <c r="X4469">
        <v>2</v>
      </c>
      <c r="Y4469">
        <v>0</v>
      </c>
      <c r="AA4469">
        <v>1</v>
      </c>
      <c r="AB4469">
        <v>8</v>
      </c>
      <c r="AC4469">
        <v>3</v>
      </c>
      <c r="AD4469">
        <v>0</v>
      </c>
      <c r="AE4469">
        <v>9</v>
      </c>
      <c r="AF4469" t="s">
        <v>138</v>
      </c>
      <c r="AG4469">
        <v>0</v>
      </c>
      <c r="AH4469">
        <v>3</v>
      </c>
      <c r="AI4469">
        <v>2</v>
      </c>
      <c r="AJ4469">
        <v>0</v>
      </c>
      <c r="AK4469" t="s">
        <v>1422</v>
      </c>
      <c r="AL4469">
        <v>39.205613</v>
      </c>
      <c r="AM4469" t="s">
        <v>1423</v>
      </c>
      <c r="AN4469">
        <v>-121.00886800000001</v>
      </c>
      <c r="AO4469">
        <v>25</v>
      </c>
      <c r="AP4469">
        <v>4200</v>
      </c>
      <c r="AQ4469" t="s">
        <v>131</v>
      </c>
      <c r="AR4469">
        <v>48</v>
      </c>
      <c r="AS4469">
        <v>61</v>
      </c>
      <c r="AT4469">
        <v>-64</v>
      </c>
      <c r="BB4469" t="str">
        <f t="shared" si="1751"/>
        <v>1200</v>
      </c>
      <c r="BC4469">
        <v>1</v>
      </c>
      <c r="BD4469" t="str">
        <f t="shared" si="1752"/>
        <v xml:space="preserve">N52156  </v>
      </c>
      <c r="BE4469">
        <v>1</v>
      </c>
      <c r="BG4469">
        <v>0</v>
      </c>
      <c r="BH4469">
        <v>0</v>
      </c>
      <c r="BI4469">
        <v>0</v>
      </c>
      <c r="BJ4469">
        <v>4225</v>
      </c>
      <c r="BK4469">
        <v>25</v>
      </c>
      <c r="BL4469" t="s">
        <v>188</v>
      </c>
      <c r="BM4469">
        <v>1</v>
      </c>
      <c r="BN4469">
        <v>1</v>
      </c>
      <c r="BO4469">
        <v>0</v>
      </c>
      <c r="BP4469">
        <v>0</v>
      </c>
      <c r="BS4469">
        <v>0</v>
      </c>
      <c r="BT4469">
        <v>0</v>
      </c>
      <c r="BU4469">
        <v>0</v>
      </c>
      <c r="CE4469" t="str">
        <f t="shared" si="1769"/>
        <v>15:16:56.822</v>
      </c>
      <c r="CF4469">
        <v>821754568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5</v>
      </c>
      <c r="CY4469">
        <v>7</v>
      </c>
      <c r="CZ4469" t="s">
        <v>133</v>
      </c>
      <c r="DA4469">
        <v>275</v>
      </c>
      <c r="DB4469">
        <v>0</v>
      </c>
      <c r="DC4469" t="s">
        <v>134</v>
      </c>
      <c r="DD4469" t="s">
        <v>135</v>
      </c>
      <c r="DG4469">
        <v>3323293</v>
      </c>
      <c r="DI4469">
        <v>1</v>
      </c>
      <c r="DJ4469">
        <v>0</v>
      </c>
      <c r="DK4469">
        <v>1</v>
      </c>
      <c r="DL4469">
        <v>0</v>
      </c>
      <c r="DM4469">
        <v>0</v>
      </c>
      <c r="DN4469">
        <v>0</v>
      </c>
      <c r="DO4469">
        <v>0</v>
      </c>
      <c r="DP4469">
        <v>0</v>
      </c>
      <c r="DQ4469">
        <v>0</v>
      </c>
      <c r="DR4469">
        <v>0</v>
      </c>
      <c r="DS4469">
        <v>0</v>
      </c>
    </row>
    <row r="4470" spans="1:123" x14ac:dyDescent="0.3">
      <c r="A4470" t="str">
        <f>"05/01/2025 15:16:57.043"</f>
        <v>05/01/2025 15:16:57.043</v>
      </c>
      <c r="C4470" t="str">
        <f t="shared" si="1748"/>
        <v>FFDFD3C0</v>
      </c>
      <c r="D4470" t="s">
        <v>145</v>
      </c>
      <c r="E4470" t="str">
        <f>"05"</f>
        <v>05</v>
      </c>
      <c r="H4470">
        <v>47</v>
      </c>
      <c r="I4470" t="s">
        <v>146</v>
      </c>
      <c r="J4470" t="s">
        <v>138</v>
      </c>
      <c r="K4470">
        <v>0</v>
      </c>
      <c r="L4470">
        <v>3</v>
      </c>
      <c r="M4470">
        <v>0</v>
      </c>
      <c r="N4470">
        <v>2</v>
      </c>
      <c r="O4470">
        <v>0</v>
      </c>
      <c r="P4470">
        <v>1</v>
      </c>
      <c r="Q4470">
        <v>0</v>
      </c>
      <c r="R4470" t="s">
        <v>127</v>
      </c>
      <c r="S4470" t="str">
        <f t="shared" si="1768"/>
        <v>15:16:56.000</v>
      </c>
      <c r="T4470" t="str">
        <f t="shared" si="1768"/>
        <v>15:16:56.000</v>
      </c>
      <c r="U4470" t="str">
        <f t="shared" si="1750"/>
        <v>A68FCB</v>
      </c>
      <c r="V4470">
        <v>0</v>
      </c>
      <c r="W4470">
        <v>0</v>
      </c>
      <c r="X4470">
        <v>2</v>
      </c>
      <c r="Y4470">
        <v>0</v>
      </c>
      <c r="AA4470">
        <v>1</v>
      </c>
      <c r="AB4470">
        <v>8</v>
      </c>
      <c r="AC4470">
        <v>3</v>
      </c>
      <c r="AD4470">
        <v>0</v>
      </c>
      <c r="AE4470">
        <v>9</v>
      </c>
      <c r="AF4470" t="s">
        <v>138</v>
      </c>
      <c r="AG4470">
        <v>0</v>
      </c>
      <c r="AH4470">
        <v>3</v>
      </c>
      <c r="AI4470">
        <v>2</v>
      </c>
      <c r="AJ4470">
        <v>0</v>
      </c>
      <c r="AK4470" t="s">
        <v>1422</v>
      </c>
      <c r="AL4470">
        <v>39.205613</v>
      </c>
      <c r="AM4470" t="s">
        <v>1423</v>
      </c>
      <c r="AN4470">
        <v>-121.00886800000001</v>
      </c>
      <c r="AO4470">
        <v>25</v>
      </c>
      <c r="AP4470">
        <v>4200</v>
      </c>
      <c r="AQ4470" t="s">
        <v>131</v>
      </c>
      <c r="AR4470">
        <v>48</v>
      </c>
      <c r="AS4470">
        <v>61</v>
      </c>
      <c r="AT4470">
        <v>-64</v>
      </c>
      <c r="BB4470" t="str">
        <f t="shared" si="1751"/>
        <v>1200</v>
      </c>
      <c r="BC4470">
        <v>1</v>
      </c>
      <c r="BD4470" t="str">
        <f t="shared" si="1752"/>
        <v xml:space="preserve">N52156  </v>
      </c>
      <c r="BE4470">
        <v>1</v>
      </c>
      <c r="BG4470">
        <v>0</v>
      </c>
      <c r="BH4470">
        <v>0</v>
      </c>
      <c r="BI4470">
        <v>0</v>
      </c>
      <c r="BJ4470">
        <v>4225</v>
      </c>
      <c r="BK4470">
        <v>25</v>
      </c>
      <c r="BL4470" t="s">
        <v>188</v>
      </c>
      <c r="BM4470">
        <v>1</v>
      </c>
      <c r="BN4470">
        <v>1</v>
      </c>
      <c r="BO4470">
        <v>0</v>
      </c>
      <c r="BP4470">
        <v>0</v>
      </c>
      <c r="BS4470">
        <v>0</v>
      </c>
      <c r="BT4470">
        <v>0</v>
      </c>
      <c r="BU4470">
        <v>0</v>
      </c>
      <c r="CE4470" t="str">
        <f t="shared" si="1769"/>
        <v>15:16:56.822</v>
      </c>
      <c r="CF4470">
        <v>821754568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5</v>
      </c>
      <c r="CY4470">
        <v>7</v>
      </c>
      <c r="CZ4470" t="s">
        <v>133</v>
      </c>
      <c r="DA4470">
        <v>275</v>
      </c>
      <c r="DB4470">
        <v>0</v>
      </c>
      <c r="DC4470" t="s">
        <v>134</v>
      </c>
      <c r="DD4470" t="s">
        <v>135</v>
      </c>
      <c r="DG4470">
        <v>3323293</v>
      </c>
      <c r="DI4470">
        <v>1</v>
      </c>
      <c r="DJ4470">
        <v>0</v>
      </c>
      <c r="DK4470">
        <v>1</v>
      </c>
      <c r="DL4470">
        <v>0</v>
      </c>
      <c r="DM4470">
        <v>0</v>
      </c>
      <c r="DN4470">
        <v>0</v>
      </c>
      <c r="DO4470">
        <v>0</v>
      </c>
      <c r="DP4470">
        <v>0</v>
      </c>
      <c r="DQ4470">
        <v>0</v>
      </c>
      <c r="DR4470">
        <v>0</v>
      </c>
      <c r="DS4470">
        <v>0</v>
      </c>
    </row>
    <row r="4471" spans="1:123" x14ac:dyDescent="0.3">
      <c r="A4471" t="str">
        <f>"05/01/2025 15:16:57.054"</f>
        <v>05/01/2025 15:16:57.054</v>
      </c>
      <c r="C4471" t="str">
        <f t="shared" si="1748"/>
        <v>FFDFD3C0</v>
      </c>
      <c r="D4471" t="s">
        <v>136</v>
      </c>
      <c r="E4471" t="str">
        <f>"20"</f>
        <v>20</v>
      </c>
      <c r="H4471">
        <v>400</v>
      </c>
      <c r="I4471" t="s">
        <v>137</v>
      </c>
      <c r="J4471" t="s">
        <v>138</v>
      </c>
      <c r="K4471">
        <v>0</v>
      </c>
      <c r="L4471">
        <v>3</v>
      </c>
      <c r="M4471">
        <v>0</v>
      </c>
      <c r="N4471">
        <v>2</v>
      </c>
      <c r="O4471">
        <v>0</v>
      </c>
      <c r="P4471">
        <v>1</v>
      </c>
      <c r="Q4471">
        <v>0</v>
      </c>
      <c r="R4471" t="s">
        <v>127</v>
      </c>
      <c r="S4471" t="str">
        <f t="shared" si="1768"/>
        <v>15:16:56.000</v>
      </c>
      <c r="T4471" t="str">
        <f t="shared" si="1768"/>
        <v>15:16:56.000</v>
      </c>
      <c r="U4471" t="str">
        <f t="shared" si="1750"/>
        <v>A68FCB</v>
      </c>
      <c r="V4471">
        <v>0</v>
      </c>
      <c r="W4471">
        <v>0</v>
      </c>
      <c r="X4471">
        <v>2</v>
      </c>
      <c r="Y4471">
        <v>0</v>
      </c>
      <c r="AA4471">
        <v>1</v>
      </c>
      <c r="AB4471">
        <v>8</v>
      </c>
      <c r="AC4471">
        <v>3</v>
      </c>
      <c r="AD4471">
        <v>0</v>
      </c>
      <c r="AE4471">
        <v>9</v>
      </c>
      <c r="AF4471" t="s">
        <v>138</v>
      </c>
      <c r="AG4471">
        <v>0</v>
      </c>
      <c r="AH4471">
        <v>3</v>
      </c>
      <c r="AI4471">
        <v>2</v>
      </c>
      <c r="AJ4471">
        <v>0</v>
      </c>
      <c r="AK4471" t="s">
        <v>1422</v>
      </c>
      <c r="AL4471">
        <v>39.205613</v>
      </c>
      <c r="AM4471" t="s">
        <v>1423</v>
      </c>
      <c r="AN4471">
        <v>-121.00886800000001</v>
      </c>
      <c r="AO4471">
        <v>25</v>
      </c>
      <c r="AP4471">
        <v>4200</v>
      </c>
      <c r="AQ4471" t="s">
        <v>131</v>
      </c>
      <c r="AR4471">
        <v>48</v>
      </c>
      <c r="AS4471">
        <v>61</v>
      </c>
      <c r="AT4471">
        <v>-64</v>
      </c>
      <c r="BB4471" t="str">
        <f t="shared" si="1751"/>
        <v>1200</v>
      </c>
      <c r="BC4471">
        <v>1</v>
      </c>
      <c r="BD4471" t="str">
        <f t="shared" si="1752"/>
        <v xml:space="preserve">N52156  </v>
      </c>
      <c r="BE4471">
        <v>1</v>
      </c>
      <c r="BG4471">
        <v>0</v>
      </c>
      <c r="BH4471">
        <v>0</v>
      </c>
      <c r="BI4471">
        <v>0</v>
      </c>
      <c r="BJ4471">
        <v>4225</v>
      </c>
      <c r="BK4471">
        <v>25</v>
      </c>
      <c r="BL4471" t="s">
        <v>188</v>
      </c>
      <c r="BM4471">
        <v>1</v>
      </c>
      <c r="BN4471">
        <v>1</v>
      </c>
      <c r="BO4471">
        <v>0</v>
      </c>
      <c r="BP4471">
        <v>0</v>
      </c>
      <c r="BS4471">
        <v>0</v>
      </c>
      <c r="BT4471">
        <v>0</v>
      </c>
      <c r="BU4471">
        <v>0</v>
      </c>
      <c r="CE4471" t="str">
        <f t="shared" si="1769"/>
        <v>15:16:56.822</v>
      </c>
      <c r="CF4471">
        <v>821754568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5</v>
      </c>
      <c r="CY4471">
        <v>7</v>
      </c>
      <c r="CZ4471" t="s">
        <v>133</v>
      </c>
      <c r="DA4471">
        <v>275</v>
      </c>
      <c r="DB4471">
        <v>0</v>
      </c>
      <c r="DC4471" t="s">
        <v>134</v>
      </c>
      <c r="DD4471" t="s">
        <v>135</v>
      </c>
      <c r="DG4471">
        <v>3323293</v>
      </c>
      <c r="DI4471">
        <v>1</v>
      </c>
      <c r="DJ4471">
        <v>0</v>
      </c>
      <c r="DK4471">
        <v>1</v>
      </c>
      <c r="DL4471">
        <v>0</v>
      </c>
      <c r="DM4471">
        <v>0</v>
      </c>
      <c r="DN4471">
        <v>0</v>
      </c>
      <c r="DO4471">
        <v>0</v>
      </c>
      <c r="DP4471">
        <v>0</v>
      </c>
      <c r="DQ4471">
        <v>0</v>
      </c>
      <c r="DR4471">
        <v>0</v>
      </c>
      <c r="DS4471">
        <v>0</v>
      </c>
    </row>
    <row r="4472" spans="1:123" x14ac:dyDescent="0.3">
      <c r="A4472" t="str">
        <f>"05/01/2025 15:16:57.822"</f>
        <v>05/01/2025 15:16:57.822</v>
      </c>
      <c r="C4472" t="str">
        <f t="shared" si="1748"/>
        <v>FFDFD3C0</v>
      </c>
      <c r="D4472" t="s">
        <v>140</v>
      </c>
      <c r="E4472" t="str">
        <f>"13"</f>
        <v>13</v>
      </c>
      <c r="F4472">
        <v>1019</v>
      </c>
      <c r="G4472" t="s">
        <v>141</v>
      </c>
      <c r="J4472" t="s">
        <v>142</v>
      </c>
      <c r="K4472">
        <v>0</v>
      </c>
      <c r="L4472">
        <v>3</v>
      </c>
      <c r="M4472">
        <v>0</v>
      </c>
      <c r="N4472">
        <v>2</v>
      </c>
      <c r="O4472">
        <v>0</v>
      </c>
      <c r="P4472">
        <v>1</v>
      </c>
      <c r="Q4472">
        <v>0</v>
      </c>
      <c r="R4472" t="s">
        <v>127</v>
      </c>
      <c r="S4472" t="str">
        <f t="shared" ref="S4472:T4477" si="1770">"15:16:57.000"</f>
        <v>15:16:57.000</v>
      </c>
      <c r="T4472" t="str">
        <f t="shared" si="1770"/>
        <v>15:16:57.000</v>
      </c>
      <c r="U4472" t="str">
        <f t="shared" si="1750"/>
        <v>A68FCB</v>
      </c>
      <c r="V4472">
        <v>0</v>
      </c>
      <c r="W4472">
        <v>0</v>
      </c>
      <c r="X4472">
        <v>2</v>
      </c>
      <c r="Y4472">
        <v>0</v>
      </c>
      <c r="AA4472">
        <v>1</v>
      </c>
      <c r="AB4472">
        <v>8</v>
      </c>
      <c r="AC4472">
        <v>3</v>
      </c>
      <c r="AD4472">
        <v>0</v>
      </c>
      <c r="AE4472">
        <v>9</v>
      </c>
      <c r="AF4472" t="s">
        <v>138</v>
      </c>
      <c r="AG4472">
        <v>0</v>
      </c>
      <c r="AH4472">
        <v>3</v>
      </c>
      <c r="AI4472">
        <v>2</v>
      </c>
      <c r="AJ4472">
        <v>0</v>
      </c>
      <c r="AK4472" t="s">
        <v>1424</v>
      </c>
      <c r="AL4472">
        <v>39.205914</v>
      </c>
      <c r="AM4472" t="s">
        <v>1425</v>
      </c>
      <c r="AN4472">
        <v>-121.008589</v>
      </c>
      <c r="AO4472">
        <v>25</v>
      </c>
      <c r="AP4472">
        <v>4200</v>
      </c>
      <c r="AQ4472" t="s">
        <v>131</v>
      </c>
      <c r="AR4472">
        <v>48</v>
      </c>
      <c r="AS4472">
        <v>61</v>
      </c>
      <c r="AT4472">
        <v>-64</v>
      </c>
      <c r="BB4472" t="str">
        <f t="shared" si="1751"/>
        <v>1200</v>
      </c>
      <c r="BC4472">
        <v>1</v>
      </c>
      <c r="BD4472" t="str">
        <f t="shared" si="1752"/>
        <v xml:space="preserve">N52156  </v>
      </c>
      <c r="BE4472">
        <v>1</v>
      </c>
      <c r="BG4472">
        <v>0</v>
      </c>
      <c r="BH4472">
        <v>0</v>
      </c>
      <c r="BI4472">
        <v>0</v>
      </c>
      <c r="BJ4472">
        <v>4225</v>
      </c>
      <c r="BK4472">
        <v>25</v>
      </c>
      <c r="BL4472" t="s">
        <v>188</v>
      </c>
      <c r="BM4472">
        <v>1</v>
      </c>
      <c r="BN4472">
        <v>1</v>
      </c>
      <c r="BO4472">
        <v>0</v>
      </c>
      <c r="BP4472">
        <v>0</v>
      </c>
      <c r="BS4472">
        <v>0</v>
      </c>
      <c r="BT4472">
        <v>0</v>
      </c>
      <c r="BU4472">
        <v>0</v>
      </c>
      <c r="CE4472" t="str">
        <f t="shared" ref="CE4472:CE4477" si="1771">"15:16:57.618"</f>
        <v>15:16:57.618</v>
      </c>
      <c r="CF4472">
        <v>617504166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5</v>
      </c>
      <c r="CY4472">
        <v>7</v>
      </c>
      <c r="CZ4472" t="s">
        <v>133</v>
      </c>
      <c r="DA4472">
        <v>275</v>
      </c>
      <c r="DB4472">
        <v>0</v>
      </c>
      <c r="DC4472" t="s">
        <v>134</v>
      </c>
      <c r="DD4472" t="s">
        <v>135</v>
      </c>
      <c r="DG4472">
        <v>3323295</v>
      </c>
      <c r="DI4472">
        <v>1</v>
      </c>
      <c r="DJ4472">
        <v>0</v>
      </c>
      <c r="DK4472">
        <v>0</v>
      </c>
      <c r="DL4472">
        <v>0</v>
      </c>
      <c r="DM4472">
        <v>0</v>
      </c>
      <c r="DN4472">
        <v>0</v>
      </c>
      <c r="DO4472">
        <v>0</v>
      </c>
      <c r="DP4472">
        <v>0</v>
      </c>
      <c r="DQ4472">
        <v>0</v>
      </c>
      <c r="DR4472">
        <v>0</v>
      </c>
      <c r="DS4472">
        <v>0</v>
      </c>
    </row>
    <row r="4473" spans="1:123" x14ac:dyDescent="0.3">
      <c r="A4473" t="str">
        <f>"05/01/2025 15:16:57.822"</f>
        <v>05/01/2025 15:16:57.822</v>
      </c>
      <c r="C4473" t="str">
        <f t="shared" si="1748"/>
        <v>FFDFD3C0</v>
      </c>
      <c r="D4473" t="s">
        <v>124</v>
      </c>
      <c r="E4473" t="str">
        <f>"06"</f>
        <v>06</v>
      </c>
      <c r="F4473">
        <v>2006</v>
      </c>
      <c r="G4473" t="s">
        <v>125</v>
      </c>
      <c r="J4473" t="s">
        <v>126</v>
      </c>
      <c r="K4473">
        <v>0</v>
      </c>
      <c r="L4473">
        <v>3</v>
      </c>
      <c r="M4473">
        <v>0</v>
      </c>
      <c r="N4473">
        <v>2</v>
      </c>
      <c r="O4473">
        <v>0</v>
      </c>
      <c r="P4473">
        <v>1</v>
      </c>
      <c r="Q4473">
        <v>0</v>
      </c>
      <c r="R4473" t="s">
        <v>127</v>
      </c>
      <c r="S4473" t="str">
        <f t="shared" si="1770"/>
        <v>15:16:57.000</v>
      </c>
      <c r="T4473" t="str">
        <f t="shared" si="1770"/>
        <v>15:16:57.000</v>
      </c>
      <c r="U4473" t="str">
        <f t="shared" si="1750"/>
        <v>A68FCB</v>
      </c>
      <c r="V4473">
        <v>0</v>
      </c>
      <c r="W4473">
        <v>0</v>
      </c>
      <c r="X4473">
        <v>2</v>
      </c>
      <c r="Y4473">
        <v>0</v>
      </c>
      <c r="AA4473">
        <v>1</v>
      </c>
      <c r="AB4473">
        <v>8</v>
      </c>
      <c r="AC4473">
        <v>3</v>
      </c>
      <c r="AD4473">
        <v>0</v>
      </c>
      <c r="AE4473">
        <v>9</v>
      </c>
      <c r="AF4473" t="s">
        <v>138</v>
      </c>
      <c r="AG4473">
        <v>0</v>
      </c>
      <c r="AH4473">
        <v>3</v>
      </c>
      <c r="AI4473">
        <v>2</v>
      </c>
      <c r="AJ4473">
        <v>0</v>
      </c>
      <c r="AK4473" t="s">
        <v>1424</v>
      </c>
      <c r="AL4473">
        <v>39.205914</v>
      </c>
      <c r="AM4473" t="s">
        <v>1425</v>
      </c>
      <c r="AN4473">
        <v>-121.008589</v>
      </c>
      <c r="AO4473">
        <v>25</v>
      </c>
      <c r="AP4473">
        <v>4200</v>
      </c>
      <c r="AQ4473" t="s">
        <v>131</v>
      </c>
      <c r="AR4473">
        <v>48</v>
      </c>
      <c r="AS4473">
        <v>61</v>
      </c>
      <c r="AT4473">
        <v>-64</v>
      </c>
      <c r="BB4473" t="str">
        <f t="shared" si="1751"/>
        <v>1200</v>
      </c>
      <c r="BC4473">
        <v>1</v>
      </c>
      <c r="BD4473" t="str">
        <f t="shared" si="1752"/>
        <v xml:space="preserve">N52156  </v>
      </c>
      <c r="BE4473">
        <v>1</v>
      </c>
      <c r="BG4473">
        <v>0</v>
      </c>
      <c r="BH4473">
        <v>0</v>
      </c>
      <c r="BI4473">
        <v>0</v>
      </c>
      <c r="BJ4473">
        <v>4225</v>
      </c>
      <c r="BK4473">
        <v>25</v>
      </c>
      <c r="BL4473" t="s">
        <v>188</v>
      </c>
      <c r="BM4473">
        <v>1</v>
      </c>
      <c r="BN4473">
        <v>1</v>
      </c>
      <c r="BO4473">
        <v>0</v>
      </c>
      <c r="BP4473">
        <v>0</v>
      </c>
      <c r="BS4473">
        <v>0</v>
      </c>
      <c r="BT4473">
        <v>0</v>
      </c>
      <c r="BU4473">
        <v>0</v>
      </c>
      <c r="CE4473" t="str">
        <f t="shared" si="1771"/>
        <v>15:16:57.618</v>
      </c>
      <c r="CF4473">
        <v>617504166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5</v>
      </c>
      <c r="CY4473">
        <v>7</v>
      </c>
      <c r="CZ4473" t="s">
        <v>133</v>
      </c>
      <c r="DA4473">
        <v>275</v>
      </c>
      <c r="DB4473">
        <v>0</v>
      </c>
      <c r="DC4473" t="s">
        <v>134</v>
      </c>
      <c r="DD4473" t="s">
        <v>135</v>
      </c>
      <c r="DG4473">
        <v>3323295</v>
      </c>
      <c r="DI4473">
        <v>1</v>
      </c>
      <c r="DJ4473">
        <v>0</v>
      </c>
      <c r="DK4473">
        <v>1</v>
      </c>
      <c r="DL4473">
        <v>0</v>
      </c>
      <c r="DM4473">
        <v>0</v>
      </c>
      <c r="DN4473">
        <v>0</v>
      </c>
      <c r="DO4473">
        <v>0</v>
      </c>
      <c r="DP4473">
        <v>0</v>
      </c>
      <c r="DQ4473">
        <v>0</v>
      </c>
      <c r="DR4473">
        <v>0</v>
      </c>
      <c r="DS4473">
        <v>0</v>
      </c>
    </row>
    <row r="4474" spans="1:123" x14ac:dyDescent="0.3">
      <c r="A4474" t="str">
        <f>"05/01/2025 15:16:57.827"</f>
        <v>05/01/2025 15:16:57.827</v>
      </c>
      <c r="C4474" t="str">
        <f t="shared" si="1748"/>
        <v>FFDFD3C0</v>
      </c>
      <c r="D4474" t="s">
        <v>143</v>
      </c>
      <c r="E4474" t="str">
        <f>"05"</f>
        <v>05</v>
      </c>
      <c r="H4474">
        <v>172</v>
      </c>
      <c r="I4474" t="s">
        <v>141</v>
      </c>
      <c r="J4474" t="s">
        <v>144</v>
      </c>
      <c r="K4474">
        <v>0</v>
      </c>
      <c r="L4474">
        <v>3</v>
      </c>
      <c r="M4474">
        <v>0</v>
      </c>
      <c r="N4474">
        <v>2</v>
      </c>
      <c r="O4474">
        <v>0</v>
      </c>
      <c r="P4474">
        <v>1</v>
      </c>
      <c r="Q4474">
        <v>0</v>
      </c>
      <c r="R4474" t="s">
        <v>127</v>
      </c>
      <c r="S4474" t="str">
        <f t="shared" si="1770"/>
        <v>15:16:57.000</v>
      </c>
      <c r="T4474" t="str">
        <f t="shared" si="1770"/>
        <v>15:16:57.000</v>
      </c>
      <c r="U4474" t="str">
        <f t="shared" si="1750"/>
        <v>A68FCB</v>
      </c>
      <c r="V4474">
        <v>0</v>
      </c>
      <c r="W4474">
        <v>0</v>
      </c>
      <c r="X4474">
        <v>2</v>
      </c>
      <c r="Y4474">
        <v>0</v>
      </c>
      <c r="AA4474">
        <v>1</v>
      </c>
      <c r="AB4474">
        <v>8</v>
      </c>
      <c r="AC4474">
        <v>3</v>
      </c>
      <c r="AD4474">
        <v>0</v>
      </c>
      <c r="AE4474">
        <v>9</v>
      </c>
      <c r="AF4474" t="s">
        <v>138</v>
      </c>
      <c r="AG4474">
        <v>0</v>
      </c>
      <c r="AH4474">
        <v>3</v>
      </c>
      <c r="AI4474">
        <v>2</v>
      </c>
      <c r="AJ4474">
        <v>0</v>
      </c>
      <c r="AK4474" t="s">
        <v>1424</v>
      </c>
      <c r="AL4474">
        <v>39.205914</v>
      </c>
      <c r="AM4474" t="s">
        <v>1425</v>
      </c>
      <c r="AN4474">
        <v>-121.008589</v>
      </c>
      <c r="AO4474">
        <v>25</v>
      </c>
      <c r="AP4474">
        <v>4200</v>
      </c>
      <c r="AQ4474" t="s">
        <v>131</v>
      </c>
      <c r="AR4474">
        <v>48</v>
      </c>
      <c r="AS4474">
        <v>61</v>
      </c>
      <c r="AT4474">
        <v>-64</v>
      </c>
      <c r="BB4474" t="str">
        <f t="shared" si="1751"/>
        <v>1200</v>
      </c>
      <c r="BC4474">
        <v>1</v>
      </c>
      <c r="BD4474" t="str">
        <f t="shared" si="1752"/>
        <v xml:space="preserve">N52156  </v>
      </c>
      <c r="BE4474">
        <v>1</v>
      </c>
      <c r="BG4474">
        <v>0</v>
      </c>
      <c r="BH4474">
        <v>0</v>
      </c>
      <c r="BI4474">
        <v>0</v>
      </c>
      <c r="BJ4474">
        <v>4225</v>
      </c>
      <c r="BK4474">
        <v>25</v>
      </c>
      <c r="BL4474" t="s">
        <v>188</v>
      </c>
      <c r="BM4474">
        <v>1</v>
      </c>
      <c r="BN4474">
        <v>1</v>
      </c>
      <c r="BO4474">
        <v>0</v>
      </c>
      <c r="BP4474">
        <v>0</v>
      </c>
      <c r="BS4474">
        <v>0</v>
      </c>
      <c r="BT4474">
        <v>0</v>
      </c>
      <c r="BU4474">
        <v>0</v>
      </c>
      <c r="CE4474" t="str">
        <f t="shared" si="1771"/>
        <v>15:16:57.618</v>
      </c>
      <c r="CF4474">
        <v>617504166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5</v>
      </c>
      <c r="CY4474">
        <v>7</v>
      </c>
      <c r="CZ4474" t="s">
        <v>133</v>
      </c>
      <c r="DA4474">
        <v>275</v>
      </c>
      <c r="DB4474">
        <v>0</v>
      </c>
      <c r="DC4474" t="s">
        <v>134</v>
      </c>
      <c r="DD4474" t="s">
        <v>135</v>
      </c>
      <c r="DG4474">
        <v>3323295</v>
      </c>
      <c r="DI4474">
        <v>1</v>
      </c>
      <c r="DJ4474">
        <v>0</v>
      </c>
      <c r="DK4474">
        <v>1</v>
      </c>
      <c r="DL4474">
        <v>0</v>
      </c>
      <c r="DM4474">
        <v>0</v>
      </c>
      <c r="DN4474">
        <v>0</v>
      </c>
      <c r="DO4474">
        <v>0</v>
      </c>
      <c r="DP4474">
        <v>0</v>
      </c>
      <c r="DQ4474">
        <v>0</v>
      </c>
      <c r="DR4474">
        <v>0</v>
      </c>
      <c r="DS4474">
        <v>0</v>
      </c>
    </row>
    <row r="4475" spans="1:123" x14ac:dyDescent="0.3">
      <c r="A4475" t="str">
        <f>"05/01/2025 15:16:57.839"</f>
        <v>05/01/2025 15:16:57.839</v>
      </c>
      <c r="C4475" t="str">
        <f t="shared" si="1748"/>
        <v>FFDFD3C0</v>
      </c>
      <c r="D4475" t="s">
        <v>145</v>
      </c>
      <c r="E4475" t="str">
        <f>"09"</f>
        <v>09</v>
      </c>
      <c r="H4475">
        <v>51</v>
      </c>
      <c r="I4475" t="s">
        <v>147</v>
      </c>
      <c r="J4475" t="s">
        <v>138</v>
      </c>
      <c r="K4475">
        <v>0</v>
      </c>
      <c r="L4475">
        <v>3</v>
      </c>
      <c r="M4475">
        <v>0</v>
      </c>
      <c r="N4475">
        <v>2</v>
      </c>
      <c r="O4475">
        <v>0</v>
      </c>
      <c r="P4475">
        <v>1</v>
      </c>
      <c r="Q4475">
        <v>0</v>
      </c>
      <c r="R4475" t="s">
        <v>127</v>
      </c>
      <c r="S4475" t="str">
        <f t="shared" si="1770"/>
        <v>15:16:57.000</v>
      </c>
      <c r="T4475" t="str">
        <f t="shared" si="1770"/>
        <v>15:16:57.000</v>
      </c>
      <c r="U4475" t="str">
        <f t="shared" si="1750"/>
        <v>A68FCB</v>
      </c>
      <c r="V4475">
        <v>0</v>
      </c>
      <c r="W4475">
        <v>0</v>
      </c>
      <c r="X4475">
        <v>2</v>
      </c>
      <c r="Y4475">
        <v>0</v>
      </c>
      <c r="AA4475">
        <v>1</v>
      </c>
      <c r="AB4475">
        <v>8</v>
      </c>
      <c r="AC4475">
        <v>3</v>
      </c>
      <c r="AD4475">
        <v>0</v>
      </c>
      <c r="AE4475">
        <v>9</v>
      </c>
      <c r="AF4475" t="s">
        <v>138</v>
      </c>
      <c r="AG4475">
        <v>0</v>
      </c>
      <c r="AH4475">
        <v>3</v>
      </c>
      <c r="AI4475">
        <v>2</v>
      </c>
      <c r="AJ4475">
        <v>0</v>
      </c>
      <c r="AK4475" t="s">
        <v>1424</v>
      </c>
      <c r="AL4475">
        <v>39.205914</v>
      </c>
      <c r="AM4475" t="s">
        <v>1425</v>
      </c>
      <c r="AN4475">
        <v>-121.008589</v>
      </c>
      <c r="AO4475">
        <v>25</v>
      </c>
      <c r="AP4475">
        <v>4200</v>
      </c>
      <c r="AQ4475" t="s">
        <v>131</v>
      </c>
      <c r="AR4475">
        <v>48</v>
      </c>
      <c r="AS4475">
        <v>61</v>
      </c>
      <c r="AT4475">
        <v>-64</v>
      </c>
      <c r="BB4475" t="str">
        <f t="shared" si="1751"/>
        <v>1200</v>
      </c>
      <c r="BC4475">
        <v>1</v>
      </c>
      <c r="BD4475" t="str">
        <f t="shared" si="1752"/>
        <v xml:space="preserve">N52156  </v>
      </c>
      <c r="BE4475">
        <v>1</v>
      </c>
      <c r="BG4475">
        <v>0</v>
      </c>
      <c r="BH4475">
        <v>0</v>
      </c>
      <c r="BI4475">
        <v>0</v>
      </c>
      <c r="BJ4475">
        <v>4225</v>
      </c>
      <c r="BK4475">
        <v>25</v>
      </c>
      <c r="BL4475" t="s">
        <v>188</v>
      </c>
      <c r="BM4475">
        <v>1</v>
      </c>
      <c r="BN4475">
        <v>1</v>
      </c>
      <c r="BO4475">
        <v>0</v>
      </c>
      <c r="BP4475">
        <v>0</v>
      </c>
      <c r="BS4475">
        <v>0</v>
      </c>
      <c r="BT4475">
        <v>0</v>
      </c>
      <c r="BU4475">
        <v>0</v>
      </c>
      <c r="CE4475" t="str">
        <f t="shared" si="1771"/>
        <v>15:16:57.618</v>
      </c>
      <c r="CF4475">
        <v>617504166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5</v>
      </c>
      <c r="CY4475">
        <v>7</v>
      </c>
      <c r="CZ4475" t="s">
        <v>133</v>
      </c>
      <c r="DA4475">
        <v>275</v>
      </c>
      <c r="DB4475">
        <v>0</v>
      </c>
      <c r="DC4475" t="s">
        <v>134</v>
      </c>
      <c r="DD4475" t="s">
        <v>135</v>
      </c>
      <c r="DG4475">
        <v>3323295</v>
      </c>
      <c r="DI4475">
        <v>1</v>
      </c>
      <c r="DJ4475">
        <v>0</v>
      </c>
      <c r="DK4475">
        <v>1</v>
      </c>
      <c r="DL4475">
        <v>0</v>
      </c>
      <c r="DM4475">
        <v>0</v>
      </c>
      <c r="DN4475">
        <v>0</v>
      </c>
      <c r="DO4475">
        <v>0</v>
      </c>
      <c r="DP4475">
        <v>0</v>
      </c>
      <c r="DQ4475">
        <v>0</v>
      </c>
      <c r="DR4475">
        <v>0</v>
      </c>
      <c r="DS4475">
        <v>0</v>
      </c>
    </row>
    <row r="4476" spans="1:123" x14ac:dyDescent="0.3">
      <c r="A4476" t="str">
        <f>"05/01/2025 15:16:57.844"</f>
        <v>05/01/2025 15:16:57.844</v>
      </c>
      <c r="C4476" t="str">
        <f t="shared" si="1748"/>
        <v>FFDFD3C0</v>
      </c>
      <c r="D4476" t="s">
        <v>145</v>
      </c>
      <c r="E4476" t="str">
        <f>"05"</f>
        <v>05</v>
      </c>
      <c r="H4476">
        <v>47</v>
      </c>
      <c r="I4476" t="s">
        <v>146</v>
      </c>
      <c r="J4476" t="s">
        <v>138</v>
      </c>
      <c r="K4476">
        <v>0</v>
      </c>
      <c r="L4476">
        <v>3</v>
      </c>
      <c r="M4476">
        <v>0</v>
      </c>
      <c r="N4476">
        <v>2</v>
      </c>
      <c r="O4476">
        <v>0</v>
      </c>
      <c r="P4476">
        <v>1</v>
      </c>
      <c r="Q4476">
        <v>0</v>
      </c>
      <c r="R4476" t="s">
        <v>127</v>
      </c>
      <c r="S4476" t="str">
        <f t="shared" si="1770"/>
        <v>15:16:57.000</v>
      </c>
      <c r="T4476" t="str">
        <f t="shared" si="1770"/>
        <v>15:16:57.000</v>
      </c>
      <c r="U4476" t="str">
        <f t="shared" si="1750"/>
        <v>A68FCB</v>
      </c>
      <c r="V4476">
        <v>0</v>
      </c>
      <c r="W4476">
        <v>0</v>
      </c>
      <c r="X4476">
        <v>2</v>
      </c>
      <c r="Y4476">
        <v>0</v>
      </c>
      <c r="AA4476">
        <v>1</v>
      </c>
      <c r="AB4476">
        <v>8</v>
      </c>
      <c r="AC4476">
        <v>3</v>
      </c>
      <c r="AD4476">
        <v>0</v>
      </c>
      <c r="AE4476">
        <v>9</v>
      </c>
      <c r="AF4476" t="s">
        <v>138</v>
      </c>
      <c r="AG4476">
        <v>0</v>
      </c>
      <c r="AH4476">
        <v>3</v>
      </c>
      <c r="AI4476">
        <v>2</v>
      </c>
      <c r="AJ4476">
        <v>0</v>
      </c>
      <c r="AK4476" t="s">
        <v>1424</v>
      </c>
      <c r="AL4476">
        <v>39.205914</v>
      </c>
      <c r="AM4476" t="s">
        <v>1425</v>
      </c>
      <c r="AN4476">
        <v>-121.008589</v>
      </c>
      <c r="AO4476">
        <v>25</v>
      </c>
      <c r="AP4476">
        <v>4200</v>
      </c>
      <c r="AQ4476" t="s">
        <v>131</v>
      </c>
      <c r="AR4476">
        <v>48</v>
      </c>
      <c r="AS4476">
        <v>61</v>
      </c>
      <c r="AT4476">
        <v>-64</v>
      </c>
      <c r="BB4476" t="str">
        <f t="shared" si="1751"/>
        <v>1200</v>
      </c>
      <c r="BC4476">
        <v>1</v>
      </c>
      <c r="BD4476" t="str">
        <f t="shared" si="1752"/>
        <v xml:space="preserve">N52156  </v>
      </c>
      <c r="BE4476">
        <v>1</v>
      </c>
      <c r="BG4476">
        <v>0</v>
      </c>
      <c r="BH4476">
        <v>0</v>
      </c>
      <c r="BI4476">
        <v>0</v>
      </c>
      <c r="BJ4476">
        <v>4225</v>
      </c>
      <c r="BK4476">
        <v>25</v>
      </c>
      <c r="BL4476" t="s">
        <v>188</v>
      </c>
      <c r="BM4476">
        <v>1</v>
      </c>
      <c r="BN4476">
        <v>1</v>
      </c>
      <c r="BO4476">
        <v>0</v>
      </c>
      <c r="BP4476">
        <v>0</v>
      </c>
      <c r="BS4476">
        <v>0</v>
      </c>
      <c r="BT4476">
        <v>0</v>
      </c>
      <c r="BU4476">
        <v>0</v>
      </c>
      <c r="CE4476" t="str">
        <f t="shared" si="1771"/>
        <v>15:16:57.618</v>
      </c>
      <c r="CF4476">
        <v>617504166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5</v>
      </c>
      <c r="CY4476">
        <v>7</v>
      </c>
      <c r="CZ4476" t="s">
        <v>133</v>
      </c>
      <c r="DA4476">
        <v>275</v>
      </c>
      <c r="DB4476">
        <v>0</v>
      </c>
      <c r="DC4476" t="s">
        <v>134</v>
      </c>
      <c r="DD4476" t="s">
        <v>135</v>
      </c>
      <c r="DG4476">
        <v>3323295</v>
      </c>
      <c r="DI4476">
        <v>1</v>
      </c>
      <c r="DJ4476">
        <v>0</v>
      </c>
      <c r="DK4476">
        <v>1</v>
      </c>
      <c r="DL4476">
        <v>0</v>
      </c>
      <c r="DM4476">
        <v>0</v>
      </c>
      <c r="DN4476">
        <v>0</v>
      </c>
      <c r="DO4476">
        <v>0</v>
      </c>
      <c r="DP4476">
        <v>0</v>
      </c>
      <c r="DQ4476">
        <v>0</v>
      </c>
      <c r="DR4476">
        <v>0</v>
      </c>
      <c r="DS4476">
        <v>0</v>
      </c>
    </row>
    <row r="4477" spans="1:123" x14ac:dyDescent="0.3">
      <c r="A4477" t="str">
        <f>"05/01/2025 15:16:57.856"</f>
        <v>05/01/2025 15:16:57.856</v>
      </c>
      <c r="C4477" t="str">
        <f t="shared" si="1748"/>
        <v>FFDFD3C0</v>
      </c>
      <c r="D4477" t="s">
        <v>136</v>
      </c>
      <c r="E4477" t="str">
        <f>"20"</f>
        <v>20</v>
      </c>
      <c r="H4477">
        <v>400</v>
      </c>
      <c r="I4477" t="s">
        <v>137</v>
      </c>
      <c r="J4477" t="s">
        <v>138</v>
      </c>
      <c r="K4477">
        <v>0</v>
      </c>
      <c r="L4477">
        <v>3</v>
      </c>
      <c r="M4477">
        <v>0</v>
      </c>
      <c r="N4477">
        <v>2</v>
      </c>
      <c r="O4477">
        <v>0</v>
      </c>
      <c r="P4477">
        <v>1</v>
      </c>
      <c r="Q4477">
        <v>0</v>
      </c>
      <c r="R4477" t="s">
        <v>127</v>
      </c>
      <c r="S4477" t="str">
        <f t="shared" si="1770"/>
        <v>15:16:57.000</v>
      </c>
      <c r="T4477" t="str">
        <f t="shared" si="1770"/>
        <v>15:16:57.000</v>
      </c>
      <c r="U4477" t="str">
        <f t="shared" si="1750"/>
        <v>A68FCB</v>
      </c>
      <c r="V4477">
        <v>0</v>
      </c>
      <c r="W4477">
        <v>0</v>
      </c>
      <c r="X4477">
        <v>2</v>
      </c>
      <c r="Y4477">
        <v>0</v>
      </c>
      <c r="AA4477">
        <v>1</v>
      </c>
      <c r="AB4477">
        <v>8</v>
      </c>
      <c r="AC4477">
        <v>3</v>
      </c>
      <c r="AD4477">
        <v>0</v>
      </c>
      <c r="AE4477">
        <v>9</v>
      </c>
      <c r="AF4477" t="s">
        <v>138</v>
      </c>
      <c r="AG4477">
        <v>0</v>
      </c>
      <c r="AH4477">
        <v>3</v>
      </c>
      <c r="AI4477">
        <v>2</v>
      </c>
      <c r="AJ4477">
        <v>0</v>
      </c>
      <c r="AK4477" t="s">
        <v>1424</v>
      </c>
      <c r="AL4477">
        <v>39.205914</v>
      </c>
      <c r="AM4477" t="s">
        <v>1425</v>
      </c>
      <c r="AN4477">
        <v>-121.008589</v>
      </c>
      <c r="AO4477">
        <v>25</v>
      </c>
      <c r="AP4477">
        <v>4200</v>
      </c>
      <c r="AQ4477" t="s">
        <v>131</v>
      </c>
      <c r="AR4477">
        <v>48</v>
      </c>
      <c r="AS4477">
        <v>61</v>
      </c>
      <c r="AT4477">
        <v>-64</v>
      </c>
      <c r="BB4477" t="str">
        <f t="shared" si="1751"/>
        <v>1200</v>
      </c>
      <c r="BC4477">
        <v>1</v>
      </c>
      <c r="BD4477" t="str">
        <f t="shared" si="1752"/>
        <v xml:space="preserve">N52156  </v>
      </c>
      <c r="BE4477">
        <v>1</v>
      </c>
      <c r="BG4477">
        <v>0</v>
      </c>
      <c r="BH4477">
        <v>0</v>
      </c>
      <c r="BI4477">
        <v>0</v>
      </c>
      <c r="BJ4477">
        <v>4225</v>
      </c>
      <c r="BK4477">
        <v>25</v>
      </c>
      <c r="BL4477" t="s">
        <v>188</v>
      </c>
      <c r="BM4477">
        <v>1</v>
      </c>
      <c r="BN4477">
        <v>1</v>
      </c>
      <c r="BO4477">
        <v>0</v>
      </c>
      <c r="BP4477">
        <v>0</v>
      </c>
      <c r="BS4477">
        <v>0</v>
      </c>
      <c r="BT4477">
        <v>0</v>
      </c>
      <c r="BU4477">
        <v>0</v>
      </c>
      <c r="CE4477" t="str">
        <f t="shared" si="1771"/>
        <v>15:16:57.618</v>
      </c>
      <c r="CF4477">
        <v>617504166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5</v>
      </c>
      <c r="CY4477">
        <v>7</v>
      </c>
      <c r="CZ4477" t="s">
        <v>133</v>
      </c>
      <c r="DA4477">
        <v>275</v>
      </c>
      <c r="DB4477">
        <v>0</v>
      </c>
      <c r="DC4477" t="s">
        <v>134</v>
      </c>
      <c r="DD4477" t="s">
        <v>135</v>
      </c>
      <c r="DG4477">
        <v>3323295</v>
      </c>
      <c r="DI4477">
        <v>1</v>
      </c>
      <c r="DJ4477">
        <v>0</v>
      </c>
      <c r="DK4477">
        <v>1</v>
      </c>
      <c r="DL4477">
        <v>0</v>
      </c>
      <c r="DM4477">
        <v>0</v>
      </c>
      <c r="DN4477">
        <v>0</v>
      </c>
      <c r="DO4477">
        <v>0</v>
      </c>
      <c r="DP4477">
        <v>0</v>
      </c>
      <c r="DQ4477">
        <v>0</v>
      </c>
      <c r="DR4477">
        <v>0</v>
      </c>
      <c r="DS4477">
        <v>0</v>
      </c>
    </row>
    <row r="4478" spans="1:123" x14ac:dyDescent="0.3">
      <c r="A4478" t="str">
        <f>"05/01/2025 15:16:59.108"</f>
        <v>05/01/2025 15:16:59.108</v>
      </c>
      <c r="C4478" t="str">
        <f t="shared" si="1748"/>
        <v>FFDFD3C0</v>
      </c>
      <c r="D4478" t="s">
        <v>136</v>
      </c>
      <c r="E4478" t="str">
        <f>"20"</f>
        <v>20</v>
      </c>
      <c r="H4478">
        <v>400</v>
      </c>
      <c r="I4478" t="s">
        <v>137</v>
      </c>
      <c r="J4478" t="s">
        <v>138</v>
      </c>
      <c r="K4478">
        <v>0</v>
      </c>
      <c r="L4478">
        <v>3</v>
      </c>
      <c r="M4478">
        <v>0</v>
      </c>
      <c r="N4478">
        <v>2</v>
      </c>
      <c r="O4478">
        <v>0</v>
      </c>
      <c r="P4478">
        <v>1</v>
      </c>
      <c r="Q4478">
        <v>0</v>
      </c>
      <c r="R4478" t="s">
        <v>127</v>
      </c>
      <c r="S4478" t="str">
        <f t="shared" ref="S4478:T4483" si="1772">"15:16:58.000"</f>
        <v>15:16:58.000</v>
      </c>
      <c r="T4478" t="str">
        <f t="shared" si="1772"/>
        <v>15:16:58.000</v>
      </c>
      <c r="U4478" t="str">
        <f t="shared" si="1750"/>
        <v>A68FCB</v>
      </c>
      <c r="V4478">
        <v>0</v>
      </c>
      <c r="W4478">
        <v>0</v>
      </c>
      <c r="X4478">
        <v>2</v>
      </c>
      <c r="Y4478">
        <v>0</v>
      </c>
      <c r="AA4478">
        <v>1</v>
      </c>
      <c r="AB4478">
        <v>8</v>
      </c>
      <c r="AC4478">
        <v>3</v>
      </c>
      <c r="AD4478">
        <v>0</v>
      </c>
      <c r="AE4478">
        <v>9</v>
      </c>
      <c r="AF4478" t="s">
        <v>138</v>
      </c>
      <c r="AG4478">
        <v>0</v>
      </c>
      <c r="AH4478">
        <v>3</v>
      </c>
      <c r="AI4478">
        <v>2</v>
      </c>
      <c r="AJ4478">
        <v>0</v>
      </c>
      <c r="AK4478" t="s">
        <v>1426</v>
      </c>
      <c r="AL4478">
        <v>39.206214000000003</v>
      </c>
      <c r="AM4478" t="s">
        <v>1427</v>
      </c>
      <c r="AN4478">
        <v>-121.008289</v>
      </c>
      <c r="AO4478">
        <v>25</v>
      </c>
      <c r="AP4478">
        <v>4200</v>
      </c>
      <c r="AQ4478" t="s">
        <v>131</v>
      </c>
      <c r="AR4478">
        <v>48</v>
      </c>
      <c r="AS4478">
        <v>62</v>
      </c>
      <c r="AT4478">
        <v>-64</v>
      </c>
      <c r="BB4478" t="str">
        <f t="shared" si="1751"/>
        <v>1200</v>
      </c>
      <c r="BC4478">
        <v>1</v>
      </c>
      <c r="BD4478" t="str">
        <f t="shared" si="1752"/>
        <v xml:space="preserve">N52156  </v>
      </c>
      <c r="BE4478">
        <v>1</v>
      </c>
      <c r="BG4478">
        <v>0</v>
      </c>
      <c r="BH4478">
        <v>0</v>
      </c>
      <c r="BI4478">
        <v>0</v>
      </c>
      <c r="BJ4478">
        <v>4225</v>
      </c>
      <c r="BK4478">
        <v>25</v>
      </c>
      <c r="BL4478" t="s">
        <v>188</v>
      </c>
      <c r="BM4478">
        <v>1</v>
      </c>
      <c r="BN4478">
        <v>1</v>
      </c>
      <c r="BO4478">
        <v>0</v>
      </c>
      <c r="BP4478">
        <v>0</v>
      </c>
      <c r="BS4478">
        <v>0</v>
      </c>
      <c r="BT4478">
        <v>0</v>
      </c>
      <c r="BU4478">
        <v>0</v>
      </c>
      <c r="CE4478" t="str">
        <f t="shared" ref="CE4478:CE4483" si="1773">"15:16:58.899"</f>
        <v>15:16:58.899</v>
      </c>
      <c r="CF4478">
        <v>899004969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5</v>
      </c>
      <c r="CY4478">
        <v>7</v>
      </c>
      <c r="CZ4478" t="s">
        <v>133</v>
      </c>
      <c r="DA4478">
        <v>275</v>
      </c>
      <c r="DB4478">
        <v>0</v>
      </c>
      <c r="DC4478" t="s">
        <v>134</v>
      </c>
      <c r="DD4478" t="s">
        <v>135</v>
      </c>
      <c r="DG4478">
        <v>3323296</v>
      </c>
      <c r="DI4478">
        <v>1</v>
      </c>
      <c r="DJ4478">
        <v>0</v>
      </c>
      <c r="DK4478">
        <v>0</v>
      </c>
      <c r="DL4478">
        <v>0</v>
      </c>
      <c r="DM4478">
        <v>0</v>
      </c>
      <c r="DN4478">
        <v>0</v>
      </c>
      <c r="DO4478">
        <v>0</v>
      </c>
      <c r="DP4478">
        <v>0</v>
      </c>
      <c r="DQ4478">
        <v>0</v>
      </c>
      <c r="DR4478">
        <v>0</v>
      </c>
      <c r="DS4478">
        <v>0</v>
      </c>
    </row>
    <row r="4479" spans="1:123" x14ac:dyDescent="0.3">
      <c r="A4479" t="str">
        <f>"05/01/2025 15:16:59.096"</f>
        <v>05/01/2025 15:16:59.096</v>
      </c>
      <c r="C4479" t="str">
        <f t="shared" si="1748"/>
        <v>FFDFD3C0</v>
      </c>
      <c r="D4479" t="s">
        <v>145</v>
      </c>
      <c r="E4479" t="str">
        <f>"05"</f>
        <v>05</v>
      </c>
      <c r="H4479">
        <v>47</v>
      </c>
      <c r="I4479" t="s">
        <v>146</v>
      </c>
      <c r="J4479" t="s">
        <v>138</v>
      </c>
      <c r="K4479">
        <v>0</v>
      </c>
      <c r="L4479">
        <v>3</v>
      </c>
      <c r="M4479">
        <v>0</v>
      </c>
      <c r="N4479">
        <v>2</v>
      </c>
      <c r="O4479">
        <v>0</v>
      </c>
      <c r="P4479">
        <v>1</v>
      </c>
      <c r="Q4479">
        <v>0</v>
      </c>
      <c r="R4479" t="s">
        <v>127</v>
      </c>
      <c r="S4479" t="str">
        <f t="shared" si="1772"/>
        <v>15:16:58.000</v>
      </c>
      <c r="T4479" t="str">
        <f t="shared" si="1772"/>
        <v>15:16:58.000</v>
      </c>
      <c r="U4479" t="str">
        <f t="shared" si="1750"/>
        <v>A68FCB</v>
      </c>
      <c r="V4479">
        <v>0</v>
      </c>
      <c r="W4479">
        <v>0</v>
      </c>
      <c r="X4479">
        <v>2</v>
      </c>
      <c r="Y4479">
        <v>0</v>
      </c>
      <c r="AA4479">
        <v>1</v>
      </c>
      <c r="AB4479">
        <v>8</v>
      </c>
      <c r="AC4479">
        <v>3</v>
      </c>
      <c r="AD4479">
        <v>0</v>
      </c>
      <c r="AE4479">
        <v>9</v>
      </c>
      <c r="AF4479" t="s">
        <v>138</v>
      </c>
      <c r="AG4479">
        <v>0</v>
      </c>
      <c r="AH4479">
        <v>3</v>
      </c>
      <c r="AI4479">
        <v>2</v>
      </c>
      <c r="AJ4479">
        <v>0</v>
      </c>
      <c r="AK4479" t="s">
        <v>1426</v>
      </c>
      <c r="AL4479">
        <v>39.206214000000003</v>
      </c>
      <c r="AM4479" t="s">
        <v>1427</v>
      </c>
      <c r="AN4479">
        <v>-121.008289</v>
      </c>
      <c r="AO4479">
        <v>25</v>
      </c>
      <c r="AP4479">
        <v>4200</v>
      </c>
      <c r="AQ4479" t="s">
        <v>131</v>
      </c>
      <c r="AR4479">
        <v>48</v>
      </c>
      <c r="AS4479">
        <v>62</v>
      </c>
      <c r="AT4479">
        <v>-64</v>
      </c>
      <c r="BB4479" t="str">
        <f t="shared" si="1751"/>
        <v>1200</v>
      </c>
      <c r="BC4479">
        <v>1</v>
      </c>
      <c r="BD4479" t="str">
        <f t="shared" si="1752"/>
        <v xml:space="preserve">N52156  </v>
      </c>
      <c r="BE4479">
        <v>1</v>
      </c>
      <c r="BG4479">
        <v>0</v>
      </c>
      <c r="BH4479">
        <v>0</v>
      </c>
      <c r="BI4479">
        <v>0</v>
      </c>
      <c r="BJ4479">
        <v>4225</v>
      </c>
      <c r="BK4479">
        <v>25</v>
      </c>
      <c r="BL4479" t="s">
        <v>188</v>
      </c>
      <c r="BM4479">
        <v>1</v>
      </c>
      <c r="BN4479">
        <v>1</v>
      </c>
      <c r="BO4479">
        <v>0</v>
      </c>
      <c r="BP4479">
        <v>0</v>
      </c>
      <c r="BS4479">
        <v>0</v>
      </c>
      <c r="BT4479">
        <v>0</v>
      </c>
      <c r="BU4479">
        <v>0</v>
      </c>
      <c r="CE4479" t="str">
        <f t="shared" si="1773"/>
        <v>15:16:58.899</v>
      </c>
      <c r="CF4479">
        <v>899004969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5</v>
      </c>
      <c r="CY4479">
        <v>7</v>
      </c>
      <c r="CZ4479" t="s">
        <v>133</v>
      </c>
      <c r="DA4479">
        <v>275</v>
      </c>
      <c r="DB4479">
        <v>0</v>
      </c>
      <c r="DC4479" t="s">
        <v>134</v>
      </c>
      <c r="DD4479" t="s">
        <v>135</v>
      </c>
      <c r="DG4479">
        <v>3323296</v>
      </c>
      <c r="DI4479">
        <v>1</v>
      </c>
      <c r="DJ4479">
        <v>0</v>
      </c>
      <c r="DK4479">
        <v>1</v>
      </c>
      <c r="DL4479">
        <v>0</v>
      </c>
      <c r="DM4479">
        <v>0</v>
      </c>
      <c r="DN4479">
        <v>0</v>
      </c>
      <c r="DO4479">
        <v>0</v>
      </c>
      <c r="DP4479">
        <v>0</v>
      </c>
      <c r="DQ4479">
        <v>0</v>
      </c>
      <c r="DR4479">
        <v>0</v>
      </c>
      <c r="DS4479">
        <v>0</v>
      </c>
    </row>
    <row r="4480" spans="1:123" x14ac:dyDescent="0.3">
      <c r="A4480" t="str">
        <f>"05/01/2025 15:16:59.124"</f>
        <v>05/01/2025 15:16:59.124</v>
      </c>
      <c r="C4480" t="str">
        <f t="shared" si="1748"/>
        <v>FFDFD3C0</v>
      </c>
      <c r="D4480" t="s">
        <v>140</v>
      </c>
      <c r="E4480" t="str">
        <f>"13"</f>
        <v>13</v>
      </c>
      <c r="F4480">
        <v>1019</v>
      </c>
      <c r="G4480" t="s">
        <v>141</v>
      </c>
      <c r="J4480" t="s">
        <v>142</v>
      </c>
      <c r="K4480">
        <v>0</v>
      </c>
      <c r="L4480">
        <v>3</v>
      </c>
      <c r="M4480">
        <v>0</v>
      </c>
      <c r="N4480">
        <v>2</v>
      </c>
      <c r="O4480">
        <v>0</v>
      </c>
      <c r="P4480">
        <v>1</v>
      </c>
      <c r="Q4480">
        <v>0</v>
      </c>
      <c r="R4480" t="s">
        <v>127</v>
      </c>
      <c r="S4480" t="str">
        <f t="shared" si="1772"/>
        <v>15:16:58.000</v>
      </c>
      <c r="T4480" t="str">
        <f t="shared" si="1772"/>
        <v>15:16:58.000</v>
      </c>
      <c r="U4480" t="str">
        <f t="shared" si="1750"/>
        <v>A68FCB</v>
      </c>
      <c r="V4480">
        <v>0</v>
      </c>
      <c r="W4480">
        <v>0</v>
      </c>
      <c r="X4480">
        <v>2</v>
      </c>
      <c r="Y4480">
        <v>0</v>
      </c>
      <c r="AA4480">
        <v>1</v>
      </c>
      <c r="AB4480">
        <v>8</v>
      </c>
      <c r="AC4480">
        <v>3</v>
      </c>
      <c r="AD4480">
        <v>0</v>
      </c>
      <c r="AE4480">
        <v>9</v>
      </c>
      <c r="AF4480" t="s">
        <v>138</v>
      </c>
      <c r="AG4480">
        <v>0</v>
      </c>
      <c r="AH4480">
        <v>3</v>
      </c>
      <c r="AI4480">
        <v>2</v>
      </c>
      <c r="AJ4480">
        <v>0</v>
      </c>
      <c r="AK4480" t="s">
        <v>1426</v>
      </c>
      <c r="AL4480">
        <v>39.206214000000003</v>
      </c>
      <c r="AM4480" t="s">
        <v>1427</v>
      </c>
      <c r="AN4480">
        <v>-121.008289</v>
      </c>
      <c r="AO4480">
        <v>25</v>
      </c>
      <c r="AP4480">
        <v>4200</v>
      </c>
      <c r="AQ4480" t="s">
        <v>131</v>
      </c>
      <c r="AR4480">
        <v>48</v>
      </c>
      <c r="AS4480">
        <v>62</v>
      </c>
      <c r="AT4480">
        <v>-64</v>
      </c>
      <c r="BB4480" t="str">
        <f t="shared" si="1751"/>
        <v>1200</v>
      </c>
      <c r="BC4480">
        <v>1</v>
      </c>
      <c r="BD4480" t="str">
        <f t="shared" si="1752"/>
        <v xml:space="preserve">N52156  </v>
      </c>
      <c r="BE4480">
        <v>1</v>
      </c>
      <c r="BG4480">
        <v>0</v>
      </c>
      <c r="BH4480">
        <v>0</v>
      </c>
      <c r="BI4480">
        <v>0</v>
      </c>
      <c r="BJ4480">
        <v>4225</v>
      </c>
      <c r="BK4480">
        <v>25</v>
      </c>
      <c r="BL4480" t="s">
        <v>188</v>
      </c>
      <c r="BM4480">
        <v>1</v>
      </c>
      <c r="BN4480">
        <v>1</v>
      </c>
      <c r="BO4480">
        <v>0</v>
      </c>
      <c r="BP4480">
        <v>0</v>
      </c>
      <c r="BS4480">
        <v>0</v>
      </c>
      <c r="BT4480">
        <v>0</v>
      </c>
      <c r="BU4480">
        <v>0</v>
      </c>
      <c r="CE4480" t="str">
        <f t="shared" si="1773"/>
        <v>15:16:58.899</v>
      </c>
      <c r="CF4480">
        <v>899004969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5</v>
      </c>
      <c r="CY4480">
        <v>7</v>
      </c>
      <c r="CZ4480" t="s">
        <v>133</v>
      </c>
      <c r="DA4480">
        <v>275</v>
      </c>
      <c r="DB4480">
        <v>0</v>
      </c>
      <c r="DC4480" t="s">
        <v>134</v>
      </c>
      <c r="DD4480" t="s">
        <v>135</v>
      </c>
      <c r="DG4480">
        <v>3323296</v>
      </c>
      <c r="DI4480">
        <v>1</v>
      </c>
      <c r="DJ4480">
        <v>0</v>
      </c>
      <c r="DK4480">
        <v>1</v>
      </c>
      <c r="DL4480">
        <v>0</v>
      </c>
      <c r="DM4480">
        <v>0</v>
      </c>
      <c r="DN4480">
        <v>0</v>
      </c>
      <c r="DO4480">
        <v>0</v>
      </c>
      <c r="DP4480">
        <v>0</v>
      </c>
      <c r="DQ4480">
        <v>0</v>
      </c>
      <c r="DR4480">
        <v>0</v>
      </c>
      <c r="DS4480">
        <v>0</v>
      </c>
    </row>
    <row r="4481" spans="1:123" x14ac:dyDescent="0.3">
      <c r="A4481" t="str">
        <f>"05/01/2025 15:16:59.124"</f>
        <v>05/01/2025 15:16:59.124</v>
      </c>
      <c r="C4481" t="str">
        <f t="shared" si="1748"/>
        <v>FFDFD3C0</v>
      </c>
      <c r="D4481" t="s">
        <v>124</v>
      </c>
      <c r="E4481" t="str">
        <f>"06"</f>
        <v>06</v>
      </c>
      <c r="F4481">
        <v>2006</v>
      </c>
      <c r="G4481" t="s">
        <v>125</v>
      </c>
      <c r="J4481" t="s">
        <v>126</v>
      </c>
      <c r="K4481">
        <v>0</v>
      </c>
      <c r="L4481">
        <v>3</v>
      </c>
      <c r="M4481">
        <v>0</v>
      </c>
      <c r="N4481">
        <v>2</v>
      </c>
      <c r="O4481">
        <v>0</v>
      </c>
      <c r="P4481">
        <v>1</v>
      </c>
      <c r="Q4481">
        <v>0</v>
      </c>
      <c r="R4481" t="s">
        <v>127</v>
      </c>
      <c r="S4481" t="str">
        <f t="shared" si="1772"/>
        <v>15:16:58.000</v>
      </c>
      <c r="T4481" t="str">
        <f t="shared" si="1772"/>
        <v>15:16:58.000</v>
      </c>
      <c r="U4481" t="str">
        <f t="shared" si="1750"/>
        <v>A68FCB</v>
      </c>
      <c r="V4481">
        <v>0</v>
      </c>
      <c r="W4481">
        <v>0</v>
      </c>
      <c r="X4481">
        <v>2</v>
      </c>
      <c r="Y4481">
        <v>0</v>
      </c>
      <c r="AA4481">
        <v>1</v>
      </c>
      <c r="AB4481">
        <v>8</v>
      </c>
      <c r="AC4481">
        <v>3</v>
      </c>
      <c r="AD4481">
        <v>0</v>
      </c>
      <c r="AE4481">
        <v>9</v>
      </c>
      <c r="AF4481" t="s">
        <v>138</v>
      </c>
      <c r="AG4481">
        <v>0</v>
      </c>
      <c r="AH4481">
        <v>3</v>
      </c>
      <c r="AI4481">
        <v>2</v>
      </c>
      <c r="AJ4481">
        <v>0</v>
      </c>
      <c r="AK4481" t="s">
        <v>1426</v>
      </c>
      <c r="AL4481">
        <v>39.206214000000003</v>
      </c>
      <c r="AM4481" t="s">
        <v>1427</v>
      </c>
      <c r="AN4481">
        <v>-121.008289</v>
      </c>
      <c r="AO4481">
        <v>25</v>
      </c>
      <c r="AP4481">
        <v>4200</v>
      </c>
      <c r="AQ4481" t="s">
        <v>131</v>
      </c>
      <c r="AR4481">
        <v>48</v>
      </c>
      <c r="AS4481">
        <v>62</v>
      </c>
      <c r="AT4481">
        <v>-64</v>
      </c>
      <c r="BB4481" t="str">
        <f t="shared" si="1751"/>
        <v>1200</v>
      </c>
      <c r="BC4481">
        <v>1</v>
      </c>
      <c r="BD4481" t="str">
        <f t="shared" si="1752"/>
        <v xml:space="preserve">N52156  </v>
      </c>
      <c r="BE4481">
        <v>1</v>
      </c>
      <c r="BG4481">
        <v>0</v>
      </c>
      <c r="BH4481">
        <v>0</v>
      </c>
      <c r="BI4481">
        <v>0</v>
      </c>
      <c r="BJ4481">
        <v>4225</v>
      </c>
      <c r="BK4481">
        <v>25</v>
      </c>
      <c r="BL4481" t="s">
        <v>188</v>
      </c>
      <c r="BM4481">
        <v>1</v>
      </c>
      <c r="BN4481">
        <v>1</v>
      </c>
      <c r="BO4481">
        <v>0</v>
      </c>
      <c r="BP4481">
        <v>0</v>
      </c>
      <c r="BS4481">
        <v>0</v>
      </c>
      <c r="BT4481">
        <v>0</v>
      </c>
      <c r="BU4481">
        <v>0</v>
      </c>
      <c r="CE4481" t="str">
        <f t="shared" si="1773"/>
        <v>15:16:58.899</v>
      </c>
      <c r="CF4481">
        <v>899004969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5</v>
      </c>
      <c r="CY4481">
        <v>7</v>
      </c>
      <c r="CZ4481" t="s">
        <v>133</v>
      </c>
      <c r="DA4481">
        <v>275</v>
      </c>
      <c r="DB4481">
        <v>0</v>
      </c>
      <c r="DC4481" t="s">
        <v>134</v>
      </c>
      <c r="DD4481" t="s">
        <v>135</v>
      </c>
      <c r="DG4481">
        <v>3323296</v>
      </c>
      <c r="DI4481">
        <v>1</v>
      </c>
      <c r="DJ4481">
        <v>0</v>
      </c>
      <c r="DK4481">
        <v>1</v>
      </c>
      <c r="DL4481">
        <v>0</v>
      </c>
      <c r="DM4481">
        <v>0</v>
      </c>
      <c r="DN4481">
        <v>0</v>
      </c>
      <c r="DO4481">
        <v>0</v>
      </c>
      <c r="DP4481">
        <v>0</v>
      </c>
      <c r="DQ4481">
        <v>0</v>
      </c>
      <c r="DR4481">
        <v>0</v>
      </c>
      <c r="DS4481">
        <v>0</v>
      </c>
    </row>
    <row r="4482" spans="1:123" x14ac:dyDescent="0.3">
      <c r="A4482" t="str">
        <f>"05/01/2025 15:16:59.129"</f>
        <v>05/01/2025 15:16:59.129</v>
      </c>
      <c r="C4482" t="str">
        <f t="shared" ref="C4482:C4545" si="1774">"FFDFD3C0"</f>
        <v>FFDFD3C0</v>
      </c>
      <c r="D4482" t="s">
        <v>143</v>
      </c>
      <c r="E4482" t="str">
        <f>"05"</f>
        <v>05</v>
      </c>
      <c r="H4482">
        <v>172</v>
      </c>
      <c r="I4482" t="s">
        <v>141</v>
      </c>
      <c r="J4482" t="s">
        <v>144</v>
      </c>
      <c r="K4482">
        <v>0</v>
      </c>
      <c r="L4482">
        <v>3</v>
      </c>
      <c r="M4482">
        <v>0</v>
      </c>
      <c r="N4482">
        <v>2</v>
      </c>
      <c r="O4482">
        <v>0</v>
      </c>
      <c r="P4482">
        <v>1</v>
      </c>
      <c r="Q4482">
        <v>0</v>
      </c>
      <c r="R4482" t="s">
        <v>127</v>
      </c>
      <c r="S4482" t="str">
        <f t="shared" si="1772"/>
        <v>15:16:58.000</v>
      </c>
      <c r="T4482" t="str">
        <f t="shared" si="1772"/>
        <v>15:16:58.000</v>
      </c>
      <c r="U4482" t="str">
        <f t="shared" ref="U4482:U4545" si="1775">"A68FCB"</f>
        <v>A68FCB</v>
      </c>
      <c r="V4482">
        <v>0</v>
      </c>
      <c r="W4482">
        <v>0</v>
      </c>
      <c r="X4482">
        <v>2</v>
      </c>
      <c r="Y4482">
        <v>0</v>
      </c>
      <c r="AA4482">
        <v>1</v>
      </c>
      <c r="AB4482">
        <v>8</v>
      </c>
      <c r="AC4482">
        <v>3</v>
      </c>
      <c r="AD4482">
        <v>0</v>
      </c>
      <c r="AE4482">
        <v>9</v>
      </c>
      <c r="AF4482" t="s">
        <v>138</v>
      </c>
      <c r="AG4482">
        <v>0</v>
      </c>
      <c r="AH4482">
        <v>3</v>
      </c>
      <c r="AI4482">
        <v>2</v>
      </c>
      <c r="AJ4482">
        <v>0</v>
      </c>
      <c r="AK4482" t="s">
        <v>1426</v>
      </c>
      <c r="AL4482">
        <v>39.206214000000003</v>
      </c>
      <c r="AM4482" t="s">
        <v>1427</v>
      </c>
      <c r="AN4482">
        <v>-121.008289</v>
      </c>
      <c r="AO4482">
        <v>25</v>
      </c>
      <c r="AP4482">
        <v>4200</v>
      </c>
      <c r="AQ4482" t="s">
        <v>131</v>
      </c>
      <c r="AR4482">
        <v>48</v>
      </c>
      <c r="AS4482">
        <v>62</v>
      </c>
      <c r="AT4482">
        <v>-64</v>
      </c>
      <c r="BB4482" t="str">
        <f t="shared" ref="BB4482:BB4545" si="1776">"1200"</f>
        <v>1200</v>
      </c>
      <c r="BC4482">
        <v>1</v>
      </c>
      <c r="BD4482" t="str">
        <f t="shared" ref="BD4482:BD4545" si="1777">"N52156  "</f>
        <v xml:space="preserve">N52156  </v>
      </c>
      <c r="BE4482">
        <v>1</v>
      </c>
      <c r="BG4482">
        <v>0</v>
      </c>
      <c r="BH4482">
        <v>0</v>
      </c>
      <c r="BI4482">
        <v>0</v>
      </c>
      <c r="BJ4482">
        <v>4225</v>
      </c>
      <c r="BK4482">
        <v>25</v>
      </c>
      <c r="BL4482" t="s">
        <v>188</v>
      </c>
      <c r="BM4482">
        <v>1</v>
      </c>
      <c r="BN4482">
        <v>1</v>
      </c>
      <c r="BO4482">
        <v>0</v>
      </c>
      <c r="BP4482">
        <v>0</v>
      </c>
      <c r="BS4482">
        <v>0</v>
      </c>
      <c r="BT4482">
        <v>0</v>
      </c>
      <c r="BU4482">
        <v>0</v>
      </c>
      <c r="CE4482" t="str">
        <f t="shared" si="1773"/>
        <v>15:16:58.899</v>
      </c>
      <c r="CF4482">
        <v>899004969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5</v>
      </c>
      <c r="CY4482">
        <v>7</v>
      </c>
      <c r="CZ4482" t="s">
        <v>133</v>
      </c>
      <c r="DA4482">
        <v>275</v>
      </c>
      <c r="DB4482">
        <v>0</v>
      </c>
      <c r="DC4482" t="s">
        <v>134</v>
      </c>
      <c r="DD4482" t="s">
        <v>135</v>
      </c>
      <c r="DG4482">
        <v>3323296</v>
      </c>
      <c r="DI4482">
        <v>1</v>
      </c>
      <c r="DJ4482">
        <v>0</v>
      </c>
      <c r="DK4482">
        <v>1</v>
      </c>
      <c r="DL4482">
        <v>0</v>
      </c>
      <c r="DM4482">
        <v>0</v>
      </c>
      <c r="DN4482">
        <v>0</v>
      </c>
      <c r="DO4482">
        <v>0</v>
      </c>
      <c r="DP4482">
        <v>0</v>
      </c>
      <c r="DQ4482">
        <v>0</v>
      </c>
      <c r="DR4482">
        <v>0</v>
      </c>
      <c r="DS4482">
        <v>0</v>
      </c>
    </row>
    <row r="4483" spans="1:123" x14ac:dyDescent="0.3">
      <c r="A4483" t="str">
        <f>"05/01/2025 15:16:59.141"</f>
        <v>05/01/2025 15:16:59.141</v>
      </c>
      <c r="C4483" t="str">
        <f t="shared" si="1774"/>
        <v>FFDFD3C0</v>
      </c>
      <c r="D4483" t="s">
        <v>145</v>
      </c>
      <c r="E4483" t="str">
        <f>"09"</f>
        <v>09</v>
      </c>
      <c r="H4483">
        <v>51</v>
      </c>
      <c r="I4483" t="s">
        <v>147</v>
      </c>
      <c r="J4483" t="s">
        <v>138</v>
      </c>
      <c r="K4483">
        <v>0</v>
      </c>
      <c r="L4483">
        <v>3</v>
      </c>
      <c r="M4483">
        <v>0</v>
      </c>
      <c r="N4483">
        <v>2</v>
      </c>
      <c r="O4483">
        <v>0</v>
      </c>
      <c r="P4483">
        <v>1</v>
      </c>
      <c r="Q4483">
        <v>0</v>
      </c>
      <c r="R4483" t="s">
        <v>127</v>
      </c>
      <c r="S4483" t="str">
        <f t="shared" si="1772"/>
        <v>15:16:58.000</v>
      </c>
      <c r="T4483" t="str">
        <f t="shared" si="1772"/>
        <v>15:16:58.000</v>
      </c>
      <c r="U4483" t="str">
        <f t="shared" si="1775"/>
        <v>A68FCB</v>
      </c>
      <c r="V4483">
        <v>0</v>
      </c>
      <c r="W4483">
        <v>0</v>
      </c>
      <c r="X4483">
        <v>2</v>
      </c>
      <c r="Y4483">
        <v>0</v>
      </c>
      <c r="AA4483">
        <v>1</v>
      </c>
      <c r="AB4483">
        <v>8</v>
      </c>
      <c r="AC4483">
        <v>3</v>
      </c>
      <c r="AD4483">
        <v>0</v>
      </c>
      <c r="AE4483">
        <v>9</v>
      </c>
      <c r="AF4483" t="s">
        <v>138</v>
      </c>
      <c r="AG4483">
        <v>0</v>
      </c>
      <c r="AH4483">
        <v>3</v>
      </c>
      <c r="AI4483">
        <v>2</v>
      </c>
      <c r="AJ4483">
        <v>0</v>
      </c>
      <c r="AK4483" t="s">
        <v>1426</v>
      </c>
      <c r="AL4483">
        <v>39.206214000000003</v>
      </c>
      <c r="AM4483" t="s">
        <v>1427</v>
      </c>
      <c r="AN4483">
        <v>-121.008289</v>
      </c>
      <c r="AO4483">
        <v>25</v>
      </c>
      <c r="AP4483">
        <v>4200</v>
      </c>
      <c r="AQ4483" t="s">
        <v>131</v>
      </c>
      <c r="AR4483">
        <v>48</v>
      </c>
      <c r="AS4483">
        <v>62</v>
      </c>
      <c r="AT4483">
        <v>-64</v>
      </c>
      <c r="BB4483" t="str">
        <f t="shared" si="1776"/>
        <v>1200</v>
      </c>
      <c r="BC4483">
        <v>1</v>
      </c>
      <c r="BD4483" t="str">
        <f t="shared" si="1777"/>
        <v xml:space="preserve">N52156  </v>
      </c>
      <c r="BE4483">
        <v>1</v>
      </c>
      <c r="BG4483">
        <v>0</v>
      </c>
      <c r="BH4483">
        <v>0</v>
      </c>
      <c r="BI4483">
        <v>0</v>
      </c>
      <c r="BJ4483">
        <v>4225</v>
      </c>
      <c r="BK4483">
        <v>25</v>
      </c>
      <c r="BL4483" t="s">
        <v>188</v>
      </c>
      <c r="BM4483">
        <v>1</v>
      </c>
      <c r="BN4483">
        <v>1</v>
      </c>
      <c r="BO4483">
        <v>0</v>
      </c>
      <c r="BP4483">
        <v>0</v>
      </c>
      <c r="BS4483">
        <v>0</v>
      </c>
      <c r="BT4483">
        <v>0</v>
      </c>
      <c r="BU4483">
        <v>0</v>
      </c>
      <c r="CE4483" t="str">
        <f t="shared" si="1773"/>
        <v>15:16:58.899</v>
      </c>
      <c r="CF4483">
        <v>899004969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5</v>
      </c>
      <c r="CY4483">
        <v>7</v>
      </c>
      <c r="CZ4483" t="s">
        <v>133</v>
      </c>
      <c r="DA4483">
        <v>275</v>
      </c>
      <c r="DB4483">
        <v>0</v>
      </c>
      <c r="DC4483" t="s">
        <v>134</v>
      </c>
      <c r="DD4483" t="s">
        <v>135</v>
      </c>
      <c r="DG4483">
        <v>3323296</v>
      </c>
      <c r="DI4483">
        <v>1</v>
      </c>
      <c r="DJ4483">
        <v>0</v>
      </c>
      <c r="DK4483">
        <v>1</v>
      </c>
      <c r="DL4483">
        <v>0</v>
      </c>
      <c r="DM4483">
        <v>0</v>
      </c>
      <c r="DN4483">
        <v>0</v>
      </c>
      <c r="DO4483">
        <v>0</v>
      </c>
      <c r="DP4483">
        <v>0</v>
      </c>
      <c r="DQ4483">
        <v>0</v>
      </c>
      <c r="DR4483">
        <v>0</v>
      </c>
      <c r="DS4483">
        <v>0</v>
      </c>
    </row>
    <row r="4484" spans="1:123" x14ac:dyDescent="0.3">
      <c r="A4484" t="str">
        <f>"05/01/2025 15:17:00.110"</f>
        <v>05/01/2025 15:17:00.110</v>
      </c>
      <c r="C4484" t="str">
        <f t="shared" si="1774"/>
        <v>FFDFD3C0</v>
      </c>
      <c r="D4484" t="s">
        <v>136</v>
      </c>
      <c r="E4484" t="str">
        <f>"20"</f>
        <v>20</v>
      </c>
      <c r="H4484">
        <v>400</v>
      </c>
      <c r="I4484" t="s">
        <v>137</v>
      </c>
      <c r="J4484" t="s">
        <v>138</v>
      </c>
      <c r="K4484">
        <v>0</v>
      </c>
      <c r="L4484">
        <v>3</v>
      </c>
      <c r="M4484">
        <v>0</v>
      </c>
      <c r="N4484">
        <v>2</v>
      </c>
      <c r="O4484">
        <v>0</v>
      </c>
      <c r="P4484">
        <v>1</v>
      </c>
      <c r="Q4484">
        <v>0</v>
      </c>
      <c r="R4484" t="s">
        <v>127</v>
      </c>
      <c r="S4484" t="str">
        <f t="shared" ref="S4484:T4489" si="1778">"15:16:59.000"</f>
        <v>15:16:59.000</v>
      </c>
      <c r="T4484" t="str">
        <f t="shared" si="1778"/>
        <v>15:16:59.000</v>
      </c>
      <c r="U4484" t="str">
        <f t="shared" si="1775"/>
        <v>A68FCB</v>
      </c>
      <c r="V4484">
        <v>0</v>
      </c>
      <c r="W4484">
        <v>0</v>
      </c>
      <c r="X4484">
        <v>2</v>
      </c>
      <c r="Y4484">
        <v>0</v>
      </c>
      <c r="AA4484">
        <v>1</v>
      </c>
      <c r="AB4484">
        <v>8</v>
      </c>
      <c r="AC4484">
        <v>3</v>
      </c>
      <c r="AD4484">
        <v>0</v>
      </c>
      <c r="AE4484">
        <v>9</v>
      </c>
      <c r="AF4484" t="s">
        <v>138</v>
      </c>
      <c r="AG4484">
        <v>0</v>
      </c>
      <c r="AH4484">
        <v>3</v>
      </c>
      <c r="AI4484">
        <v>2</v>
      </c>
      <c r="AJ4484">
        <v>0</v>
      </c>
      <c r="AK4484" t="s">
        <v>1428</v>
      </c>
      <c r="AL4484">
        <v>39.206493000000002</v>
      </c>
      <c r="AM4484" t="s">
        <v>1429</v>
      </c>
      <c r="AN4484">
        <v>-121.00801</v>
      </c>
      <c r="AO4484">
        <v>25</v>
      </c>
      <c r="AP4484">
        <v>4200</v>
      </c>
      <c r="AQ4484" t="s">
        <v>131</v>
      </c>
      <c r="AR4484">
        <v>48</v>
      </c>
      <c r="AS4484">
        <v>63</v>
      </c>
      <c r="AT4484">
        <v>-64</v>
      </c>
      <c r="BB4484" t="str">
        <f t="shared" si="1776"/>
        <v>1200</v>
      </c>
      <c r="BC4484">
        <v>1</v>
      </c>
      <c r="BD4484" t="str">
        <f t="shared" si="1777"/>
        <v xml:space="preserve">N52156  </v>
      </c>
      <c r="BE4484">
        <v>1</v>
      </c>
      <c r="BG4484">
        <v>0</v>
      </c>
      <c r="BH4484">
        <v>0</v>
      </c>
      <c r="BI4484">
        <v>0</v>
      </c>
      <c r="BJ4484">
        <v>4225</v>
      </c>
      <c r="BK4484">
        <v>25</v>
      </c>
      <c r="BL4484" t="s">
        <v>188</v>
      </c>
      <c r="BM4484">
        <v>1</v>
      </c>
      <c r="BN4484">
        <v>1</v>
      </c>
      <c r="BO4484">
        <v>0</v>
      </c>
      <c r="BP4484">
        <v>0</v>
      </c>
      <c r="BS4484">
        <v>0</v>
      </c>
      <c r="BT4484">
        <v>0</v>
      </c>
      <c r="BU4484">
        <v>0</v>
      </c>
      <c r="CE4484" t="str">
        <f t="shared" ref="CE4484:CE4489" si="1779">"15:16:59.902"</f>
        <v>15:16:59.902</v>
      </c>
      <c r="CF4484">
        <v>901505091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5</v>
      </c>
      <c r="CY4484">
        <v>7</v>
      </c>
      <c r="CZ4484" t="s">
        <v>133</v>
      </c>
      <c r="DA4484">
        <v>275</v>
      </c>
      <c r="DB4484">
        <v>0</v>
      </c>
      <c r="DC4484" t="s">
        <v>134</v>
      </c>
      <c r="DD4484" t="s">
        <v>135</v>
      </c>
      <c r="DG4484">
        <v>3323298</v>
      </c>
      <c r="DI4484">
        <v>1</v>
      </c>
      <c r="DJ4484">
        <v>0</v>
      </c>
      <c r="DK4484">
        <v>0</v>
      </c>
      <c r="DL4484">
        <v>0</v>
      </c>
      <c r="DM4484">
        <v>0</v>
      </c>
      <c r="DN4484">
        <v>0</v>
      </c>
      <c r="DO4484">
        <v>0</v>
      </c>
      <c r="DP4484">
        <v>0</v>
      </c>
      <c r="DQ4484">
        <v>0</v>
      </c>
      <c r="DR4484">
        <v>0</v>
      </c>
      <c r="DS4484">
        <v>0</v>
      </c>
    </row>
    <row r="4485" spans="1:123" x14ac:dyDescent="0.3">
      <c r="A4485" t="str">
        <f>"05/01/2025 15:17:00.125"</f>
        <v>05/01/2025 15:17:00.125</v>
      </c>
      <c r="C4485" t="str">
        <f t="shared" si="1774"/>
        <v>FFDFD3C0</v>
      </c>
      <c r="D4485" t="s">
        <v>140</v>
      </c>
      <c r="E4485" t="str">
        <f>"13"</f>
        <v>13</v>
      </c>
      <c r="F4485">
        <v>1019</v>
      </c>
      <c r="G4485" t="s">
        <v>141</v>
      </c>
      <c r="J4485" t="s">
        <v>142</v>
      </c>
      <c r="K4485">
        <v>0</v>
      </c>
      <c r="L4485">
        <v>3</v>
      </c>
      <c r="M4485">
        <v>0</v>
      </c>
      <c r="N4485">
        <v>2</v>
      </c>
      <c r="O4485">
        <v>0</v>
      </c>
      <c r="P4485">
        <v>1</v>
      </c>
      <c r="Q4485">
        <v>0</v>
      </c>
      <c r="R4485" t="s">
        <v>127</v>
      </c>
      <c r="S4485" t="str">
        <f t="shared" si="1778"/>
        <v>15:16:59.000</v>
      </c>
      <c r="T4485" t="str">
        <f t="shared" si="1778"/>
        <v>15:16:59.000</v>
      </c>
      <c r="U4485" t="str">
        <f t="shared" si="1775"/>
        <v>A68FCB</v>
      </c>
      <c r="V4485">
        <v>0</v>
      </c>
      <c r="W4485">
        <v>0</v>
      </c>
      <c r="X4485">
        <v>2</v>
      </c>
      <c r="Y4485">
        <v>0</v>
      </c>
      <c r="AA4485">
        <v>1</v>
      </c>
      <c r="AB4485">
        <v>8</v>
      </c>
      <c r="AC4485">
        <v>3</v>
      </c>
      <c r="AD4485">
        <v>0</v>
      </c>
      <c r="AE4485">
        <v>9</v>
      </c>
      <c r="AF4485" t="s">
        <v>138</v>
      </c>
      <c r="AG4485">
        <v>0</v>
      </c>
      <c r="AH4485">
        <v>3</v>
      </c>
      <c r="AI4485">
        <v>2</v>
      </c>
      <c r="AJ4485">
        <v>0</v>
      </c>
      <c r="AK4485" t="s">
        <v>1428</v>
      </c>
      <c r="AL4485">
        <v>39.206493000000002</v>
      </c>
      <c r="AM4485" t="s">
        <v>1429</v>
      </c>
      <c r="AN4485">
        <v>-121.00801</v>
      </c>
      <c r="AO4485">
        <v>25</v>
      </c>
      <c r="AP4485">
        <v>4200</v>
      </c>
      <c r="AQ4485" t="s">
        <v>131</v>
      </c>
      <c r="AR4485">
        <v>48</v>
      </c>
      <c r="AS4485">
        <v>63</v>
      </c>
      <c r="AT4485">
        <v>-64</v>
      </c>
      <c r="BB4485" t="str">
        <f t="shared" si="1776"/>
        <v>1200</v>
      </c>
      <c r="BC4485">
        <v>1</v>
      </c>
      <c r="BD4485" t="str">
        <f t="shared" si="1777"/>
        <v xml:space="preserve">N52156  </v>
      </c>
      <c r="BE4485">
        <v>1</v>
      </c>
      <c r="BG4485">
        <v>0</v>
      </c>
      <c r="BH4485">
        <v>0</v>
      </c>
      <c r="BI4485">
        <v>0</v>
      </c>
      <c r="BJ4485">
        <v>4225</v>
      </c>
      <c r="BK4485">
        <v>25</v>
      </c>
      <c r="BL4485" t="s">
        <v>188</v>
      </c>
      <c r="BM4485">
        <v>1</v>
      </c>
      <c r="BN4485">
        <v>1</v>
      </c>
      <c r="BO4485">
        <v>0</v>
      </c>
      <c r="BP4485">
        <v>0</v>
      </c>
      <c r="BS4485">
        <v>0</v>
      </c>
      <c r="BT4485">
        <v>0</v>
      </c>
      <c r="BU4485">
        <v>0</v>
      </c>
      <c r="CE4485" t="str">
        <f t="shared" si="1779"/>
        <v>15:16:59.902</v>
      </c>
      <c r="CF4485">
        <v>901505091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5</v>
      </c>
      <c r="CY4485">
        <v>7</v>
      </c>
      <c r="CZ4485" t="s">
        <v>133</v>
      </c>
      <c r="DA4485">
        <v>275</v>
      </c>
      <c r="DB4485">
        <v>0</v>
      </c>
      <c r="DC4485" t="s">
        <v>134</v>
      </c>
      <c r="DD4485" t="s">
        <v>135</v>
      </c>
      <c r="DG4485">
        <v>3323298</v>
      </c>
      <c r="DI4485">
        <v>1</v>
      </c>
      <c r="DJ4485">
        <v>0</v>
      </c>
      <c r="DK4485">
        <v>1</v>
      </c>
      <c r="DL4485">
        <v>0</v>
      </c>
      <c r="DM4485">
        <v>0</v>
      </c>
      <c r="DN4485">
        <v>0</v>
      </c>
      <c r="DO4485">
        <v>0</v>
      </c>
      <c r="DP4485">
        <v>0</v>
      </c>
      <c r="DQ4485">
        <v>0</v>
      </c>
      <c r="DR4485">
        <v>0</v>
      </c>
      <c r="DS4485">
        <v>0</v>
      </c>
    </row>
    <row r="4486" spans="1:123" x14ac:dyDescent="0.3">
      <c r="A4486" t="str">
        <f>"05/01/2025 15:17:00.126"</f>
        <v>05/01/2025 15:17:00.126</v>
      </c>
      <c r="C4486" t="str">
        <f t="shared" si="1774"/>
        <v>FFDFD3C0</v>
      </c>
      <c r="D4486" t="s">
        <v>124</v>
      </c>
      <c r="E4486" t="str">
        <f>"06"</f>
        <v>06</v>
      </c>
      <c r="F4486">
        <v>2006</v>
      </c>
      <c r="G4486" t="s">
        <v>125</v>
      </c>
      <c r="J4486" t="s">
        <v>126</v>
      </c>
      <c r="K4486">
        <v>0</v>
      </c>
      <c r="L4486">
        <v>3</v>
      </c>
      <c r="M4486">
        <v>0</v>
      </c>
      <c r="N4486">
        <v>2</v>
      </c>
      <c r="O4486">
        <v>0</v>
      </c>
      <c r="P4486">
        <v>1</v>
      </c>
      <c r="Q4486">
        <v>0</v>
      </c>
      <c r="R4486" t="s">
        <v>127</v>
      </c>
      <c r="S4486" t="str">
        <f t="shared" si="1778"/>
        <v>15:16:59.000</v>
      </c>
      <c r="T4486" t="str">
        <f t="shared" si="1778"/>
        <v>15:16:59.000</v>
      </c>
      <c r="U4486" t="str">
        <f t="shared" si="1775"/>
        <v>A68FCB</v>
      </c>
      <c r="V4486">
        <v>0</v>
      </c>
      <c r="W4486">
        <v>0</v>
      </c>
      <c r="X4486">
        <v>2</v>
      </c>
      <c r="Y4486">
        <v>0</v>
      </c>
      <c r="AA4486">
        <v>1</v>
      </c>
      <c r="AB4486">
        <v>8</v>
      </c>
      <c r="AC4486">
        <v>3</v>
      </c>
      <c r="AD4486">
        <v>0</v>
      </c>
      <c r="AE4486">
        <v>9</v>
      </c>
      <c r="AF4486" t="s">
        <v>138</v>
      </c>
      <c r="AG4486">
        <v>0</v>
      </c>
      <c r="AH4486">
        <v>3</v>
      </c>
      <c r="AI4486">
        <v>2</v>
      </c>
      <c r="AJ4486">
        <v>0</v>
      </c>
      <c r="AK4486" t="s">
        <v>1428</v>
      </c>
      <c r="AL4486">
        <v>39.206493000000002</v>
      </c>
      <c r="AM4486" t="s">
        <v>1429</v>
      </c>
      <c r="AN4486">
        <v>-121.00801</v>
      </c>
      <c r="AO4486">
        <v>25</v>
      </c>
      <c r="AP4486">
        <v>4200</v>
      </c>
      <c r="AQ4486" t="s">
        <v>131</v>
      </c>
      <c r="AR4486">
        <v>48</v>
      </c>
      <c r="AS4486">
        <v>63</v>
      </c>
      <c r="AT4486">
        <v>-64</v>
      </c>
      <c r="BB4486" t="str">
        <f t="shared" si="1776"/>
        <v>1200</v>
      </c>
      <c r="BC4486">
        <v>1</v>
      </c>
      <c r="BD4486" t="str">
        <f t="shared" si="1777"/>
        <v xml:space="preserve">N52156  </v>
      </c>
      <c r="BE4486">
        <v>1</v>
      </c>
      <c r="BG4486">
        <v>0</v>
      </c>
      <c r="BH4486">
        <v>0</v>
      </c>
      <c r="BI4486">
        <v>0</v>
      </c>
      <c r="BJ4486">
        <v>4225</v>
      </c>
      <c r="BK4486">
        <v>25</v>
      </c>
      <c r="BL4486" t="s">
        <v>188</v>
      </c>
      <c r="BM4486">
        <v>1</v>
      </c>
      <c r="BN4486">
        <v>1</v>
      </c>
      <c r="BO4486">
        <v>0</v>
      </c>
      <c r="BP4486">
        <v>0</v>
      </c>
      <c r="BS4486">
        <v>0</v>
      </c>
      <c r="BT4486">
        <v>0</v>
      </c>
      <c r="BU4486">
        <v>0</v>
      </c>
      <c r="CE4486" t="str">
        <f t="shared" si="1779"/>
        <v>15:16:59.902</v>
      </c>
      <c r="CF4486">
        <v>901505091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5</v>
      </c>
      <c r="CY4486">
        <v>7</v>
      </c>
      <c r="CZ4486" t="s">
        <v>133</v>
      </c>
      <c r="DA4486">
        <v>275</v>
      </c>
      <c r="DB4486">
        <v>0</v>
      </c>
      <c r="DC4486" t="s">
        <v>134</v>
      </c>
      <c r="DD4486" t="s">
        <v>135</v>
      </c>
      <c r="DG4486">
        <v>3323298</v>
      </c>
      <c r="DI4486">
        <v>1</v>
      </c>
      <c r="DJ4486">
        <v>0</v>
      </c>
      <c r="DK4486">
        <v>1</v>
      </c>
      <c r="DL4486">
        <v>0</v>
      </c>
      <c r="DM4486">
        <v>0</v>
      </c>
      <c r="DN4486">
        <v>0</v>
      </c>
      <c r="DO4486">
        <v>0</v>
      </c>
      <c r="DP4486">
        <v>0</v>
      </c>
      <c r="DQ4486">
        <v>0</v>
      </c>
      <c r="DR4486">
        <v>0</v>
      </c>
      <c r="DS4486">
        <v>0</v>
      </c>
    </row>
    <row r="4487" spans="1:123" x14ac:dyDescent="0.3">
      <c r="A4487" t="str">
        <f>"05/01/2025 15:17:00.131"</f>
        <v>05/01/2025 15:17:00.131</v>
      </c>
      <c r="C4487" t="str">
        <f t="shared" si="1774"/>
        <v>FFDFD3C0</v>
      </c>
      <c r="D4487" t="s">
        <v>143</v>
      </c>
      <c r="E4487" t="str">
        <f>"05"</f>
        <v>05</v>
      </c>
      <c r="H4487">
        <v>172</v>
      </c>
      <c r="I4487" t="s">
        <v>141</v>
      </c>
      <c r="J4487" t="s">
        <v>144</v>
      </c>
      <c r="K4487">
        <v>0</v>
      </c>
      <c r="L4487">
        <v>3</v>
      </c>
      <c r="M4487">
        <v>0</v>
      </c>
      <c r="N4487">
        <v>2</v>
      </c>
      <c r="O4487">
        <v>0</v>
      </c>
      <c r="P4487">
        <v>1</v>
      </c>
      <c r="Q4487">
        <v>0</v>
      </c>
      <c r="R4487" t="s">
        <v>127</v>
      </c>
      <c r="S4487" t="str">
        <f t="shared" si="1778"/>
        <v>15:16:59.000</v>
      </c>
      <c r="T4487" t="str">
        <f t="shared" si="1778"/>
        <v>15:16:59.000</v>
      </c>
      <c r="U4487" t="str">
        <f t="shared" si="1775"/>
        <v>A68FCB</v>
      </c>
      <c r="V4487">
        <v>0</v>
      </c>
      <c r="W4487">
        <v>0</v>
      </c>
      <c r="X4487">
        <v>2</v>
      </c>
      <c r="Y4487">
        <v>0</v>
      </c>
      <c r="AA4487">
        <v>1</v>
      </c>
      <c r="AB4487">
        <v>8</v>
      </c>
      <c r="AC4487">
        <v>3</v>
      </c>
      <c r="AD4487">
        <v>0</v>
      </c>
      <c r="AE4487">
        <v>9</v>
      </c>
      <c r="AF4487" t="s">
        <v>138</v>
      </c>
      <c r="AG4487">
        <v>0</v>
      </c>
      <c r="AH4487">
        <v>3</v>
      </c>
      <c r="AI4487">
        <v>2</v>
      </c>
      <c r="AJ4487">
        <v>0</v>
      </c>
      <c r="AK4487" t="s">
        <v>1428</v>
      </c>
      <c r="AL4487">
        <v>39.206493000000002</v>
      </c>
      <c r="AM4487" t="s">
        <v>1429</v>
      </c>
      <c r="AN4487">
        <v>-121.00801</v>
      </c>
      <c r="AO4487">
        <v>25</v>
      </c>
      <c r="AP4487">
        <v>4200</v>
      </c>
      <c r="AQ4487" t="s">
        <v>131</v>
      </c>
      <c r="AR4487">
        <v>48</v>
      </c>
      <c r="AS4487">
        <v>63</v>
      </c>
      <c r="AT4487">
        <v>-64</v>
      </c>
      <c r="BB4487" t="str">
        <f t="shared" si="1776"/>
        <v>1200</v>
      </c>
      <c r="BC4487">
        <v>1</v>
      </c>
      <c r="BD4487" t="str">
        <f t="shared" si="1777"/>
        <v xml:space="preserve">N52156  </v>
      </c>
      <c r="BE4487">
        <v>1</v>
      </c>
      <c r="BG4487">
        <v>0</v>
      </c>
      <c r="BH4487">
        <v>0</v>
      </c>
      <c r="BI4487">
        <v>0</v>
      </c>
      <c r="BJ4487">
        <v>4225</v>
      </c>
      <c r="BK4487">
        <v>25</v>
      </c>
      <c r="BL4487" t="s">
        <v>188</v>
      </c>
      <c r="BM4487">
        <v>1</v>
      </c>
      <c r="BN4487">
        <v>1</v>
      </c>
      <c r="BO4487">
        <v>0</v>
      </c>
      <c r="BP4487">
        <v>0</v>
      </c>
      <c r="BS4487">
        <v>0</v>
      </c>
      <c r="BT4487">
        <v>0</v>
      </c>
      <c r="BU4487">
        <v>0</v>
      </c>
      <c r="CE4487" t="str">
        <f t="shared" si="1779"/>
        <v>15:16:59.902</v>
      </c>
      <c r="CF4487">
        <v>901505091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5</v>
      </c>
      <c r="CY4487">
        <v>7</v>
      </c>
      <c r="CZ4487" t="s">
        <v>133</v>
      </c>
      <c r="DA4487">
        <v>275</v>
      </c>
      <c r="DB4487">
        <v>0</v>
      </c>
      <c r="DC4487" t="s">
        <v>134</v>
      </c>
      <c r="DD4487" t="s">
        <v>135</v>
      </c>
      <c r="DG4487">
        <v>3323298</v>
      </c>
      <c r="DI4487">
        <v>1</v>
      </c>
      <c r="DJ4487">
        <v>0</v>
      </c>
      <c r="DK4487">
        <v>1</v>
      </c>
      <c r="DL4487">
        <v>0</v>
      </c>
      <c r="DM4487">
        <v>0</v>
      </c>
      <c r="DN4487">
        <v>0</v>
      </c>
      <c r="DO4487">
        <v>0</v>
      </c>
      <c r="DP4487">
        <v>0</v>
      </c>
      <c r="DQ4487">
        <v>0</v>
      </c>
      <c r="DR4487">
        <v>0</v>
      </c>
      <c r="DS4487">
        <v>0</v>
      </c>
    </row>
    <row r="4488" spans="1:123" x14ac:dyDescent="0.3">
      <c r="A4488" t="str">
        <f>"05/01/2025 15:17:00.143"</f>
        <v>05/01/2025 15:17:00.143</v>
      </c>
      <c r="C4488" t="str">
        <f t="shared" si="1774"/>
        <v>FFDFD3C0</v>
      </c>
      <c r="D4488" t="s">
        <v>145</v>
      </c>
      <c r="E4488" t="str">
        <f>"09"</f>
        <v>09</v>
      </c>
      <c r="H4488">
        <v>51</v>
      </c>
      <c r="I4488" t="s">
        <v>147</v>
      </c>
      <c r="J4488" t="s">
        <v>138</v>
      </c>
      <c r="K4488">
        <v>0</v>
      </c>
      <c r="L4488">
        <v>3</v>
      </c>
      <c r="M4488">
        <v>0</v>
      </c>
      <c r="N4488">
        <v>2</v>
      </c>
      <c r="O4488">
        <v>0</v>
      </c>
      <c r="P4488">
        <v>1</v>
      </c>
      <c r="Q4488">
        <v>0</v>
      </c>
      <c r="R4488" t="s">
        <v>127</v>
      </c>
      <c r="S4488" t="str">
        <f t="shared" si="1778"/>
        <v>15:16:59.000</v>
      </c>
      <c r="T4488" t="str">
        <f t="shared" si="1778"/>
        <v>15:16:59.000</v>
      </c>
      <c r="U4488" t="str">
        <f t="shared" si="1775"/>
        <v>A68FCB</v>
      </c>
      <c r="V4488">
        <v>0</v>
      </c>
      <c r="W4488">
        <v>0</v>
      </c>
      <c r="X4488">
        <v>2</v>
      </c>
      <c r="Y4488">
        <v>0</v>
      </c>
      <c r="AA4488">
        <v>1</v>
      </c>
      <c r="AB4488">
        <v>8</v>
      </c>
      <c r="AC4488">
        <v>3</v>
      </c>
      <c r="AD4488">
        <v>0</v>
      </c>
      <c r="AE4488">
        <v>9</v>
      </c>
      <c r="AF4488" t="s">
        <v>138</v>
      </c>
      <c r="AG4488">
        <v>0</v>
      </c>
      <c r="AH4488">
        <v>3</v>
      </c>
      <c r="AI4488">
        <v>2</v>
      </c>
      <c r="AJ4488">
        <v>0</v>
      </c>
      <c r="AK4488" t="s">
        <v>1428</v>
      </c>
      <c r="AL4488">
        <v>39.206493000000002</v>
      </c>
      <c r="AM4488" t="s">
        <v>1429</v>
      </c>
      <c r="AN4488">
        <v>-121.00801</v>
      </c>
      <c r="AO4488">
        <v>25</v>
      </c>
      <c r="AP4488">
        <v>4200</v>
      </c>
      <c r="AQ4488" t="s">
        <v>131</v>
      </c>
      <c r="AR4488">
        <v>48</v>
      </c>
      <c r="AS4488">
        <v>63</v>
      </c>
      <c r="AT4488">
        <v>-64</v>
      </c>
      <c r="BB4488" t="str">
        <f t="shared" si="1776"/>
        <v>1200</v>
      </c>
      <c r="BC4488">
        <v>1</v>
      </c>
      <c r="BD4488" t="str">
        <f t="shared" si="1777"/>
        <v xml:space="preserve">N52156  </v>
      </c>
      <c r="BE4488">
        <v>1</v>
      </c>
      <c r="BG4488">
        <v>0</v>
      </c>
      <c r="BH4488">
        <v>0</v>
      </c>
      <c r="BI4488">
        <v>0</v>
      </c>
      <c r="BJ4488">
        <v>4225</v>
      </c>
      <c r="BK4488">
        <v>25</v>
      </c>
      <c r="BL4488" t="s">
        <v>188</v>
      </c>
      <c r="BM4488">
        <v>1</v>
      </c>
      <c r="BN4488">
        <v>1</v>
      </c>
      <c r="BO4488">
        <v>0</v>
      </c>
      <c r="BP4488">
        <v>0</v>
      </c>
      <c r="BS4488">
        <v>0</v>
      </c>
      <c r="BT4488">
        <v>0</v>
      </c>
      <c r="BU4488">
        <v>0</v>
      </c>
      <c r="CE4488" t="str">
        <f t="shared" si="1779"/>
        <v>15:16:59.902</v>
      </c>
      <c r="CF4488">
        <v>901505091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5</v>
      </c>
      <c r="CY4488">
        <v>7</v>
      </c>
      <c r="CZ4488" t="s">
        <v>133</v>
      </c>
      <c r="DA4488">
        <v>275</v>
      </c>
      <c r="DB4488">
        <v>0</v>
      </c>
      <c r="DC4488" t="s">
        <v>134</v>
      </c>
      <c r="DD4488" t="s">
        <v>135</v>
      </c>
      <c r="DG4488">
        <v>3323298</v>
      </c>
      <c r="DI4488">
        <v>1</v>
      </c>
      <c r="DJ4488">
        <v>0</v>
      </c>
      <c r="DK4488">
        <v>1</v>
      </c>
      <c r="DL4488">
        <v>0</v>
      </c>
      <c r="DM4488">
        <v>0</v>
      </c>
      <c r="DN4488">
        <v>0</v>
      </c>
      <c r="DO4488">
        <v>0</v>
      </c>
      <c r="DP4488">
        <v>0</v>
      </c>
      <c r="DQ4488">
        <v>0</v>
      </c>
      <c r="DR4488">
        <v>0</v>
      </c>
      <c r="DS4488">
        <v>0</v>
      </c>
    </row>
    <row r="4489" spans="1:123" x14ac:dyDescent="0.3">
      <c r="A4489" t="str">
        <f>"05/01/2025 15:17:00.149"</f>
        <v>05/01/2025 15:17:00.149</v>
      </c>
      <c r="C4489" t="str">
        <f t="shared" si="1774"/>
        <v>FFDFD3C0</v>
      </c>
      <c r="D4489" t="s">
        <v>145</v>
      </c>
      <c r="E4489" t="str">
        <f>"05"</f>
        <v>05</v>
      </c>
      <c r="H4489">
        <v>47</v>
      </c>
      <c r="I4489" t="s">
        <v>146</v>
      </c>
      <c r="J4489" t="s">
        <v>138</v>
      </c>
      <c r="K4489">
        <v>0</v>
      </c>
      <c r="L4489">
        <v>3</v>
      </c>
      <c r="M4489">
        <v>0</v>
      </c>
      <c r="N4489">
        <v>2</v>
      </c>
      <c r="O4489">
        <v>0</v>
      </c>
      <c r="P4489">
        <v>1</v>
      </c>
      <c r="Q4489">
        <v>0</v>
      </c>
      <c r="R4489" t="s">
        <v>127</v>
      </c>
      <c r="S4489" t="str">
        <f t="shared" si="1778"/>
        <v>15:16:59.000</v>
      </c>
      <c r="T4489" t="str">
        <f t="shared" si="1778"/>
        <v>15:16:59.000</v>
      </c>
      <c r="U4489" t="str">
        <f t="shared" si="1775"/>
        <v>A68FCB</v>
      </c>
      <c r="V4489">
        <v>0</v>
      </c>
      <c r="W4489">
        <v>0</v>
      </c>
      <c r="X4489">
        <v>2</v>
      </c>
      <c r="Y4489">
        <v>0</v>
      </c>
      <c r="AA4489">
        <v>1</v>
      </c>
      <c r="AB4489">
        <v>8</v>
      </c>
      <c r="AC4489">
        <v>3</v>
      </c>
      <c r="AD4489">
        <v>0</v>
      </c>
      <c r="AE4489">
        <v>9</v>
      </c>
      <c r="AF4489" t="s">
        <v>138</v>
      </c>
      <c r="AG4489">
        <v>0</v>
      </c>
      <c r="AH4489">
        <v>3</v>
      </c>
      <c r="AI4489">
        <v>2</v>
      </c>
      <c r="AJ4489">
        <v>0</v>
      </c>
      <c r="AK4489" t="s">
        <v>1428</v>
      </c>
      <c r="AL4489">
        <v>39.206493000000002</v>
      </c>
      <c r="AM4489" t="s">
        <v>1429</v>
      </c>
      <c r="AN4489">
        <v>-121.00801</v>
      </c>
      <c r="AO4489">
        <v>25</v>
      </c>
      <c r="AP4489">
        <v>4200</v>
      </c>
      <c r="AQ4489" t="s">
        <v>131</v>
      </c>
      <c r="AR4489">
        <v>48</v>
      </c>
      <c r="AS4489">
        <v>63</v>
      </c>
      <c r="AT4489">
        <v>-64</v>
      </c>
      <c r="BB4489" t="str">
        <f t="shared" si="1776"/>
        <v>1200</v>
      </c>
      <c r="BC4489">
        <v>1</v>
      </c>
      <c r="BD4489" t="str">
        <f t="shared" si="1777"/>
        <v xml:space="preserve">N52156  </v>
      </c>
      <c r="BE4489">
        <v>1</v>
      </c>
      <c r="BG4489">
        <v>0</v>
      </c>
      <c r="BH4489">
        <v>0</v>
      </c>
      <c r="BI4489">
        <v>0</v>
      </c>
      <c r="BJ4489">
        <v>4225</v>
      </c>
      <c r="BK4489">
        <v>25</v>
      </c>
      <c r="BL4489" t="s">
        <v>188</v>
      </c>
      <c r="BM4489">
        <v>1</v>
      </c>
      <c r="BN4489">
        <v>1</v>
      </c>
      <c r="BO4489">
        <v>0</v>
      </c>
      <c r="BP4489">
        <v>0</v>
      </c>
      <c r="BS4489">
        <v>0</v>
      </c>
      <c r="BT4489">
        <v>0</v>
      </c>
      <c r="BU4489">
        <v>0</v>
      </c>
      <c r="CE4489" t="str">
        <f t="shared" si="1779"/>
        <v>15:16:59.902</v>
      </c>
      <c r="CF4489">
        <v>901505091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5</v>
      </c>
      <c r="CY4489">
        <v>7</v>
      </c>
      <c r="CZ4489" t="s">
        <v>133</v>
      </c>
      <c r="DA4489">
        <v>275</v>
      </c>
      <c r="DB4489">
        <v>0</v>
      </c>
      <c r="DC4489" t="s">
        <v>134</v>
      </c>
      <c r="DD4489" t="s">
        <v>135</v>
      </c>
      <c r="DG4489">
        <v>3323298</v>
      </c>
      <c r="DI4489">
        <v>1</v>
      </c>
      <c r="DJ4489">
        <v>0</v>
      </c>
      <c r="DK4489">
        <v>1</v>
      </c>
      <c r="DL4489">
        <v>0</v>
      </c>
      <c r="DM4489">
        <v>0</v>
      </c>
      <c r="DN4489">
        <v>0</v>
      </c>
      <c r="DO4489">
        <v>0</v>
      </c>
      <c r="DP4489">
        <v>0</v>
      </c>
      <c r="DQ4489">
        <v>0</v>
      </c>
      <c r="DR4489">
        <v>0</v>
      </c>
      <c r="DS4489">
        <v>0</v>
      </c>
    </row>
    <row r="4490" spans="1:123" x14ac:dyDescent="0.3">
      <c r="A4490" t="str">
        <f>"05/01/2025 15:17:00.594"</f>
        <v>05/01/2025 15:17:00.594</v>
      </c>
      <c r="C4490" t="str">
        <f t="shared" si="1774"/>
        <v>FFDFD3C0</v>
      </c>
      <c r="D4490" t="s">
        <v>145</v>
      </c>
      <c r="E4490" t="str">
        <f>"09"</f>
        <v>09</v>
      </c>
      <c r="H4490">
        <v>51</v>
      </c>
      <c r="I4490" t="s">
        <v>147</v>
      </c>
      <c r="J4490" t="s">
        <v>138</v>
      </c>
      <c r="K4490">
        <v>0</v>
      </c>
      <c r="L4490">
        <v>3</v>
      </c>
      <c r="M4490">
        <v>0</v>
      </c>
      <c r="N4490">
        <v>2</v>
      </c>
      <c r="O4490">
        <v>0</v>
      </c>
      <c r="P4490">
        <v>1</v>
      </c>
      <c r="Q4490">
        <v>0</v>
      </c>
      <c r="R4490" t="s">
        <v>127</v>
      </c>
      <c r="S4490" t="str">
        <f t="shared" ref="S4490:T4495" si="1780">"15:17:00.000"</f>
        <v>15:17:00.000</v>
      </c>
      <c r="T4490" t="str">
        <f t="shared" si="1780"/>
        <v>15:17:00.000</v>
      </c>
      <c r="U4490" t="str">
        <f t="shared" si="1775"/>
        <v>A68FCB</v>
      </c>
      <c r="V4490">
        <v>0</v>
      </c>
      <c r="W4490">
        <v>0</v>
      </c>
      <c r="X4490">
        <v>2</v>
      </c>
      <c r="Y4490">
        <v>0</v>
      </c>
      <c r="AA4490">
        <v>1</v>
      </c>
      <c r="AB4490">
        <v>8</v>
      </c>
      <c r="AC4490">
        <v>3</v>
      </c>
      <c r="AD4490">
        <v>0</v>
      </c>
      <c r="AE4490">
        <v>9</v>
      </c>
      <c r="AF4490" t="s">
        <v>138</v>
      </c>
      <c r="AG4490">
        <v>0</v>
      </c>
      <c r="AH4490">
        <v>3</v>
      </c>
      <c r="AI4490">
        <v>2</v>
      </c>
      <c r="AJ4490">
        <v>0</v>
      </c>
      <c r="AK4490" t="s">
        <v>1430</v>
      </c>
      <c r="AL4490">
        <v>39.206772000000001</v>
      </c>
      <c r="AM4490" t="s">
        <v>1431</v>
      </c>
      <c r="AN4490">
        <v>-121.00771</v>
      </c>
      <c r="AO4490">
        <v>25</v>
      </c>
      <c r="AP4490">
        <v>4200</v>
      </c>
      <c r="AQ4490" t="s">
        <v>131</v>
      </c>
      <c r="AR4490">
        <v>46</v>
      </c>
      <c r="AS4490">
        <v>62</v>
      </c>
      <c r="AT4490">
        <v>-64</v>
      </c>
      <c r="BB4490" t="str">
        <f t="shared" si="1776"/>
        <v>1200</v>
      </c>
      <c r="BC4490">
        <v>1</v>
      </c>
      <c r="BD4490" t="str">
        <f t="shared" si="1777"/>
        <v xml:space="preserve">N52156  </v>
      </c>
      <c r="BE4490">
        <v>1</v>
      </c>
      <c r="BG4490">
        <v>0</v>
      </c>
      <c r="BH4490">
        <v>0</v>
      </c>
      <c r="BI4490">
        <v>0</v>
      </c>
      <c r="BJ4490">
        <v>4225</v>
      </c>
      <c r="BK4490">
        <v>25</v>
      </c>
      <c r="BL4490" t="s">
        <v>188</v>
      </c>
      <c r="BM4490">
        <v>1</v>
      </c>
      <c r="BN4490">
        <v>1</v>
      </c>
      <c r="BO4490">
        <v>0</v>
      </c>
      <c r="BP4490">
        <v>0</v>
      </c>
      <c r="BS4490">
        <v>0</v>
      </c>
      <c r="BT4490">
        <v>0</v>
      </c>
      <c r="BU4490">
        <v>0</v>
      </c>
      <c r="CE4490" t="str">
        <f t="shared" ref="CE4490:CE4495" si="1781">"15:17:00.390"</f>
        <v>15:17:00.390</v>
      </c>
      <c r="CF4490">
        <v>389503882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5</v>
      </c>
      <c r="CY4490">
        <v>7</v>
      </c>
      <c r="CZ4490" t="s">
        <v>133</v>
      </c>
      <c r="DA4490">
        <v>275</v>
      </c>
      <c r="DB4490">
        <v>0</v>
      </c>
      <c r="DC4490" t="s">
        <v>134</v>
      </c>
      <c r="DD4490" t="s">
        <v>135</v>
      </c>
      <c r="DG4490">
        <v>3323299</v>
      </c>
      <c r="DI4490">
        <v>1</v>
      </c>
      <c r="DJ4490">
        <v>0</v>
      </c>
      <c r="DK4490">
        <v>0</v>
      </c>
      <c r="DL4490">
        <v>0</v>
      </c>
      <c r="DM4490">
        <v>0</v>
      </c>
      <c r="DN4490">
        <v>0</v>
      </c>
      <c r="DO4490">
        <v>0</v>
      </c>
      <c r="DP4490">
        <v>0</v>
      </c>
      <c r="DQ4490">
        <v>0</v>
      </c>
      <c r="DR4490">
        <v>0</v>
      </c>
      <c r="DS4490">
        <v>0</v>
      </c>
    </row>
    <row r="4491" spans="1:123" x14ac:dyDescent="0.3">
      <c r="A4491" t="str">
        <f>"05/01/2025 15:17:00.599"</f>
        <v>05/01/2025 15:17:00.599</v>
      </c>
      <c r="C4491" t="str">
        <f t="shared" si="1774"/>
        <v>FFDFD3C0</v>
      </c>
      <c r="D4491" t="s">
        <v>145</v>
      </c>
      <c r="E4491" t="str">
        <f>"05"</f>
        <v>05</v>
      </c>
      <c r="H4491">
        <v>47</v>
      </c>
      <c r="I4491" t="s">
        <v>146</v>
      </c>
      <c r="J4491" t="s">
        <v>138</v>
      </c>
      <c r="K4491">
        <v>0</v>
      </c>
      <c r="L4491">
        <v>3</v>
      </c>
      <c r="M4491">
        <v>0</v>
      </c>
      <c r="N4491">
        <v>2</v>
      </c>
      <c r="O4491">
        <v>0</v>
      </c>
      <c r="P4491">
        <v>1</v>
      </c>
      <c r="Q4491">
        <v>0</v>
      </c>
      <c r="R4491" t="s">
        <v>127</v>
      </c>
      <c r="S4491" t="str">
        <f t="shared" si="1780"/>
        <v>15:17:00.000</v>
      </c>
      <c r="T4491" t="str">
        <f t="shared" si="1780"/>
        <v>15:17:00.000</v>
      </c>
      <c r="U4491" t="str">
        <f t="shared" si="1775"/>
        <v>A68FCB</v>
      </c>
      <c r="V4491">
        <v>0</v>
      </c>
      <c r="W4491">
        <v>0</v>
      </c>
      <c r="X4491">
        <v>2</v>
      </c>
      <c r="Y4491">
        <v>0</v>
      </c>
      <c r="AA4491">
        <v>1</v>
      </c>
      <c r="AB4491">
        <v>8</v>
      </c>
      <c r="AC4491">
        <v>3</v>
      </c>
      <c r="AD4491">
        <v>0</v>
      </c>
      <c r="AE4491">
        <v>9</v>
      </c>
      <c r="AF4491" t="s">
        <v>138</v>
      </c>
      <c r="AG4491">
        <v>0</v>
      </c>
      <c r="AH4491">
        <v>3</v>
      </c>
      <c r="AI4491">
        <v>2</v>
      </c>
      <c r="AJ4491">
        <v>0</v>
      </c>
      <c r="AK4491" t="s">
        <v>1430</v>
      </c>
      <c r="AL4491">
        <v>39.206772000000001</v>
      </c>
      <c r="AM4491" t="s">
        <v>1431</v>
      </c>
      <c r="AN4491">
        <v>-121.00771</v>
      </c>
      <c r="AO4491">
        <v>25</v>
      </c>
      <c r="AP4491">
        <v>4200</v>
      </c>
      <c r="AQ4491" t="s">
        <v>131</v>
      </c>
      <c r="AR4491">
        <v>46</v>
      </c>
      <c r="AS4491">
        <v>62</v>
      </c>
      <c r="AT4491">
        <v>-64</v>
      </c>
      <c r="BB4491" t="str">
        <f t="shared" si="1776"/>
        <v>1200</v>
      </c>
      <c r="BC4491">
        <v>1</v>
      </c>
      <c r="BD4491" t="str">
        <f t="shared" si="1777"/>
        <v xml:space="preserve">N52156  </v>
      </c>
      <c r="BE4491">
        <v>1</v>
      </c>
      <c r="BG4491">
        <v>0</v>
      </c>
      <c r="BH4491">
        <v>0</v>
      </c>
      <c r="BI4491">
        <v>0</v>
      </c>
      <c r="BJ4491">
        <v>4225</v>
      </c>
      <c r="BK4491">
        <v>25</v>
      </c>
      <c r="BL4491" t="s">
        <v>188</v>
      </c>
      <c r="BM4491">
        <v>1</v>
      </c>
      <c r="BN4491">
        <v>1</v>
      </c>
      <c r="BO4491">
        <v>0</v>
      </c>
      <c r="BP4491">
        <v>0</v>
      </c>
      <c r="BS4491">
        <v>0</v>
      </c>
      <c r="BT4491">
        <v>0</v>
      </c>
      <c r="BU4491">
        <v>0</v>
      </c>
      <c r="CE4491" t="str">
        <f t="shared" si="1781"/>
        <v>15:17:00.390</v>
      </c>
      <c r="CF4491">
        <v>389503882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5</v>
      </c>
      <c r="CY4491">
        <v>7</v>
      </c>
      <c r="CZ4491" t="s">
        <v>133</v>
      </c>
      <c r="DA4491">
        <v>275</v>
      </c>
      <c r="DB4491">
        <v>0</v>
      </c>
      <c r="DC4491" t="s">
        <v>134</v>
      </c>
      <c r="DD4491" t="s">
        <v>135</v>
      </c>
      <c r="DG4491">
        <v>3323299</v>
      </c>
      <c r="DI4491">
        <v>1</v>
      </c>
      <c r="DJ4491">
        <v>0</v>
      </c>
      <c r="DK4491">
        <v>1</v>
      </c>
      <c r="DL4491">
        <v>0</v>
      </c>
      <c r="DM4491">
        <v>0</v>
      </c>
      <c r="DN4491">
        <v>0</v>
      </c>
      <c r="DO4491">
        <v>0</v>
      </c>
      <c r="DP4491">
        <v>0</v>
      </c>
      <c r="DQ4491">
        <v>0</v>
      </c>
      <c r="DR4491">
        <v>0</v>
      </c>
      <c r="DS4491">
        <v>0</v>
      </c>
    </row>
    <row r="4492" spans="1:123" x14ac:dyDescent="0.3">
      <c r="A4492" t="str">
        <f>"05/01/2025 15:17:00.611"</f>
        <v>05/01/2025 15:17:00.611</v>
      </c>
      <c r="C4492" t="str">
        <f t="shared" si="1774"/>
        <v>FFDFD3C0</v>
      </c>
      <c r="D4492" t="s">
        <v>136</v>
      </c>
      <c r="E4492" t="str">
        <f>"20"</f>
        <v>20</v>
      </c>
      <c r="H4492">
        <v>400</v>
      </c>
      <c r="I4492" t="s">
        <v>137</v>
      </c>
      <c r="J4492" t="s">
        <v>138</v>
      </c>
      <c r="K4492">
        <v>0</v>
      </c>
      <c r="L4492">
        <v>3</v>
      </c>
      <c r="M4492">
        <v>0</v>
      </c>
      <c r="N4492">
        <v>2</v>
      </c>
      <c r="O4492">
        <v>0</v>
      </c>
      <c r="P4492">
        <v>1</v>
      </c>
      <c r="Q4492">
        <v>0</v>
      </c>
      <c r="R4492" t="s">
        <v>127</v>
      </c>
      <c r="S4492" t="str">
        <f t="shared" si="1780"/>
        <v>15:17:00.000</v>
      </c>
      <c r="T4492" t="str">
        <f t="shared" si="1780"/>
        <v>15:17:00.000</v>
      </c>
      <c r="U4492" t="str">
        <f t="shared" si="1775"/>
        <v>A68FCB</v>
      </c>
      <c r="V4492">
        <v>0</v>
      </c>
      <c r="W4492">
        <v>0</v>
      </c>
      <c r="X4492">
        <v>2</v>
      </c>
      <c r="Y4492">
        <v>0</v>
      </c>
      <c r="AA4492">
        <v>1</v>
      </c>
      <c r="AB4492">
        <v>8</v>
      </c>
      <c r="AC4492">
        <v>3</v>
      </c>
      <c r="AD4492">
        <v>0</v>
      </c>
      <c r="AE4492">
        <v>9</v>
      </c>
      <c r="AF4492" t="s">
        <v>138</v>
      </c>
      <c r="AG4492">
        <v>0</v>
      </c>
      <c r="AH4492">
        <v>3</v>
      </c>
      <c r="AI4492">
        <v>2</v>
      </c>
      <c r="AJ4492">
        <v>0</v>
      </c>
      <c r="AK4492" t="s">
        <v>1430</v>
      </c>
      <c r="AL4492">
        <v>39.206772000000001</v>
      </c>
      <c r="AM4492" t="s">
        <v>1431</v>
      </c>
      <c r="AN4492">
        <v>-121.00771</v>
      </c>
      <c r="AO4492">
        <v>25</v>
      </c>
      <c r="AP4492">
        <v>4200</v>
      </c>
      <c r="AQ4492" t="s">
        <v>131</v>
      </c>
      <c r="AR4492">
        <v>46</v>
      </c>
      <c r="AS4492">
        <v>62</v>
      </c>
      <c r="AT4492">
        <v>-64</v>
      </c>
      <c r="BB4492" t="str">
        <f t="shared" si="1776"/>
        <v>1200</v>
      </c>
      <c r="BC4492">
        <v>1</v>
      </c>
      <c r="BD4492" t="str">
        <f t="shared" si="1777"/>
        <v xml:space="preserve">N52156  </v>
      </c>
      <c r="BE4492">
        <v>1</v>
      </c>
      <c r="BG4492">
        <v>0</v>
      </c>
      <c r="BH4492">
        <v>0</v>
      </c>
      <c r="BI4492">
        <v>0</v>
      </c>
      <c r="BJ4492">
        <v>4225</v>
      </c>
      <c r="BK4492">
        <v>25</v>
      </c>
      <c r="BL4492" t="s">
        <v>188</v>
      </c>
      <c r="BM4492">
        <v>1</v>
      </c>
      <c r="BN4492">
        <v>1</v>
      </c>
      <c r="BO4492">
        <v>0</v>
      </c>
      <c r="BP4492">
        <v>0</v>
      </c>
      <c r="BS4492">
        <v>0</v>
      </c>
      <c r="BT4492">
        <v>0</v>
      </c>
      <c r="BU4492">
        <v>0</v>
      </c>
      <c r="CE4492" t="str">
        <f t="shared" si="1781"/>
        <v>15:17:00.390</v>
      </c>
      <c r="CF4492">
        <v>389503882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5</v>
      </c>
      <c r="CY4492">
        <v>7</v>
      </c>
      <c r="CZ4492" t="s">
        <v>133</v>
      </c>
      <c r="DA4492">
        <v>275</v>
      </c>
      <c r="DB4492">
        <v>0</v>
      </c>
      <c r="DC4492" t="s">
        <v>134</v>
      </c>
      <c r="DD4492" t="s">
        <v>135</v>
      </c>
      <c r="DG4492">
        <v>3323299</v>
      </c>
      <c r="DI4492">
        <v>1</v>
      </c>
      <c r="DJ4492">
        <v>0</v>
      </c>
      <c r="DK4492">
        <v>1</v>
      </c>
      <c r="DL4492">
        <v>0</v>
      </c>
      <c r="DM4492">
        <v>0</v>
      </c>
      <c r="DN4492">
        <v>0</v>
      </c>
      <c r="DO4492">
        <v>0</v>
      </c>
      <c r="DP4492">
        <v>0</v>
      </c>
      <c r="DQ4492">
        <v>0</v>
      </c>
      <c r="DR4492">
        <v>0</v>
      </c>
      <c r="DS4492">
        <v>0</v>
      </c>
    </row>
    <row r="4493" spans="1:123" x14ac:dyDescent="0.3">
      <c r="A4493" t="str">
        <f>"05/01/2025 15:17:00.626"</f>
        <v>05/01/2025 15:17:00.626</v>
      </c>
      <c r="C4493" t="str">
        <f t="shared" si="1774"/>
        <v>FFDFD3C0</v>
      </c>
      <c r="D4493" t="s">
        <v>140</v>
      </c>
      <c r="E4493" t="str">
        <f>"13"</f>
        <v>13</v>
      </c>
      <c r="F4493">
        <v>1019</v>
      </c>
      <c r="G4493" t="s">
        <v>141</v>
      </c>
      <c r="J4493" t="s">
        <v>142</v>
      </c>
      <c r="K4493">
        <v>0</v>
      </c>
      <c r="L4493">
        <v>3</v>
      </c>
      <c r="M4493">
        <v>0</v>
      </c>
      <c r="N4493">
        <v>2</v>
      </c>
      <c r="O4493">
        <v>0</v>
      </c>
      <c r="P4493">
        <v>1</v>
      </c>
      <c r="Q4493">
        <v>0</v>
      </c>
      <c r="R4493" t="s">
        <v>127</v>
      </c>
      <c r="S4493" t="str">
        <f t="shared" si="1780"/>
        <v>15:17:00.000</v>
      </c>
      <c r="T4493" t="str">
        <f t="shared" si="1780"/>
        <v>15:17:00.000</v>
      </c>
      <c r="U4493" t="str">
        <f t="shared" si="1775"/>
        <v>A68FCB</v>
      </c>
      <c r="V4493">
        <v>0</v>
      </c>
      <c r="W4493">
        <v>0</v>
      </c>
      <c r="X4493">
        <v>2</v>
      </c>
      <c r="Y4493">
        <v>0</v>
      </c>
      <c r="AA4493">
        <v>1</v>
      </c>
      <c r="AB4493">
        <v>8</v>
      </c>
      <c r="AC4493">
        <v>3</v>
      </c>
      <c r="AD4493">
        <v>0</v>
      </c>
      <c r="AE4493">
        <v>9</v>
      </c>
      <c r="AF4493" t="s">
        <v>138</v>
      </c>
      <c r="AG4493">
        <v>0</v>
      </c>
      <c r="AH4493">
        <v>3</v>
      </c>
      <c r="AI4493">
        <v>2</v>
      </c>
      <c r="AJ4493">
        <v>0</v>
      </c>
      <c r="AK4493" t="s">
        <v>1430</v>
      </c>
      <c r="AL4493">
        <v>39.206772000000001</v>
      </c>
      <c r="AM4493" t="s">
        <v>1431</v>
      </c>
      <c r="AN4493">
        <v>-121.00771</v>
      </c>
      <c r="AO4493">
        <v>25</v>
      </c>
      <c r="AP4493">
        <v>4200</v>
      </c>
      <c r="AQ4493" t="s">
        <v>131</v>
      </c>
      <c r="AR4493">
        <v>46</v>
      </c>
      <c r="AS4493">
        <v>62</v>
      </c>
      <c r="AT4493">
        <v>-64</v>
      </c>
      <c r="BB4493" t="str">
        <f t="shared" si="1776"/>
        <v>1200</v>
      </c>
      <c r="BC4493">
        <v>1</v>
      </c>
      <c r="BD4493" t="str">
        <f t="shared" si="1777"/>
        <v xml:space="preserve">N52156  </v>
      </c>
      <c r="BE4493">
        <v>1</v>
      </c>
      <c r="BG4493">
        <v>0</v>
      </c>
      <c r="BH4493">
        <v>0</v>
      </c>
      <c r="BI4493">
        <v>0</v>
      </c>
      <c r="BJ4493">
        <v>4225</v>
      </c>
      <c r="BK4493">
        <v>25</v>
      </c>
      <c r="BL4493" t="s">
        <v>188</v>
      </c>
      <c r="BM4493">
        <v>1</v>
      </c>
      <c r="BN4493">
        <v>1</v>
      </c>
      <c r="BO4493">
        <v>0</v>
      </c>
      <c r="BP4493">
        <v>0</v>
      </c>
      <c r="BS4493">
        <v>0</v>
      </c>
      <c r="BT4493">
        <v>0</v>
      </c>
      <c r="BU4493">
        <v>0</v>
      </c>
      <c r="CE4493" t="str">
        <f t="shared" si="1781"/>
        <v>15:17:00.390</v>
      </c>
      <c r="CF4493">
        <v>389503882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5</v>
      </c>
      <c r="CY4493">
        <v>7</v>
      </c>
      <c r="CZ4493" t="s">
        <v>133</v>
      </c>
      <c r="DA4493">
        <v>275</v>
      </c>
      <c r="DB4493">
        <v>0</v>
      </c>
      <c r="DC4493" t="s">
        <v>134</v>
      </c>
      <c r="DD4493" t="s">
        <v>135</v>
      </c>
      <c r="DG4493">
        <v>3323299</v>
      </c>
      <c r="DI4493">
        <v>1</v>
      </c>
      <c r="DJ4493">
        <v>0</v>
      </c>
      <c r="DK4493">
        <v>1</v>
      </c>
      <c r="DL4493">
        <v>0</v>
      </c>
      <c r="DM4493">
        <v>0</v>
      </c>
      <c r="DN4493">
        <v>0</v>
      </c>
      <c r="DO4493">
        <v>0</v>
      </c>
      <c r="DP4493">
        <v>0</v>
      </c>
      <c r="DQ4493">
        <v>0</v>
      </c>
      <c r="DR4493">
        <v>0</v>
      </c>
      <c r="DS4493">
        <v>0</v>
      </c>
    </row>
    <row r="4494" spans="1:123" x14ac:dyDescent="0.3">
      <c r="A4494" t="str">
        <f>"05/01/2025 15:17:00.627"</f>
        <v>05/01/2025 15:17:00.627</v>
      </c>
      <c r="C4494" t="str">
        <f t="shared" si="1774"/>
        <v>FFDFD3C0</v>
      </c>
      <c r="D4494" t="s">
        <v>124</v>
      </c>
      <c r="E4494" t="str">
        <f>"06"</f>
        <v>06</v>
      </c>
      <c r="F4494">
        <v>2006</v>
      </c>
      <c r="G4494" t="s">
        <v>125</v>
      </c>
      <c r="J4494" t="s">
        <v>126</v>
      </c>
      <c r="K4494">
        <v>0</v>
      </c>
      <c r="L4494">
        <v>3</v>
      </c>
      <c r="M4494">
        <v>0</v>
      </c>
      <c r="N4494">
        <v>2</v>
      </c>
      <c r="O4494">
        <v>0</v>
      </c>
      <c r="P4494">
        <v>1</v>
      </c>
      <c r="Q4494">
        <v>0</v>
      </c>
      <c r="R4494" t="s">
        <v>127</v>
      </c>
      <c r="S4494" t="str">
        <f t="shared" si="1780"/>
        <v>15:17:00.000</v>
      </c>
      <c r="T4494" t="str">
        <f t="shared" si="1780"/>
        <v>15:17:00.000</v>
      </c>
      <c r="U4494" t="str">
        <f t="shared" si="1775"/>
        <v>A68FCB</v>
      </c>
      <c r="V4494">
        <v>0</v>
      </c>
      <c r="W4494">
        <v>0</v>
      </c>
      <c r="X4494">
        <v>2</v>
      </c>
      <c r="Y4494">
        <v>0</v>
      </c>
      <c r="AA4494">
        <v>1</v>
      </c>
      <c r="AB4494">
        <v>8</v>
      </c>
      <c r="AC4494">
        <v>3</v>
      </c>
      <c r="AD4494">
        <v>0</v>
      </c>
      <c r="AE4494">
        <v>9</v>
      </c>
      <c r="AF4494" t="s">
        <v>138</v>
      </c>
      <c r="AG4494">
        <v>0</v>
      </c>
      <c r="AH4494">
        <v>3</v>
      </c>
      <c r="AI4494">
        <v>2</v>
      </c>
      <c r="AJ4494">
        <v>0</v>
      </c>
      <c r="AK4494" t="s">
        <v>1430</v>
      </c>
      <c r="AL4494">
        <v>39.206772000000001</v>
      </c>
      <c r="AM4494" t="s">
        <v>1431</v>
      </c>
      <c r="AN4494">
        <v>-121.00771</v>
      </c>
      <c r="AO4494">
        <v>25</v>
      </c>
      <c r="AP4494">
        <v>4200</v>
      </c>
      <c r="AQ4494" t="s">
        <v>131</v>
      </c>
      <c r="AR4494">
        <v>46</v>
      </c>
      <c r="AS4494">
        <v>62</v>
      </c>
      <c r="AT4494">
        <v>-64</v>
      </c>
      <c r="BB4494" t="str">
        <f t="shared" si="1776"/>
        <v>1200</v>
      </c>
      <c r="BC4494">
        <v>1</v>
      </c>
      <c r="BD4494" t="str">
        <f t="shared" si="1777"/>
        <v xml:space="preserve">N52156  </v>
      </c>
      <c r="BE4494">
        <v>1</v>
      </c>
      <c r="BG4494">
        <v>0</v>
      </c>
      <c r="BH4494">
        <v>0</v>
      </c>
      <c r="BI4494">
        <v>0</v>
      </c>
      <c r="BJ4494">
        <v>4225</v>
      </c>
      <c r="BK4494">
        <v>25</v>
      </c>
      <c r="BL4494" t="s">
        <v>188</v>
      </c>
      <c r="BM4494">
        <v>1</v>
      </c>
      <c r="BN4494">
        <v>1</v>
      </c>
      <c r="BO4494">
        <v>0</v>
      </c>
      <c r="BP4494">
        <v>0</v>
      </c>
      <c r="BS4494">
        <v>0</v>
      </c>
      <c r="BT4494">
        <v>0</v>
      </c>
      <c r="BU4494">
        <v>0</v>
      </c>
      <c r="CE4494" t="str">
        <f t="shared" si="1781"/>
        <v>15:17:00.390</v>
      </c>
      <c r="CF4494">
        <v>389503882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5</v>
      </c>
      <c r="CY4494">
        <v>7</v>
      </c>
      <c r="CZ4494" t="s">
        <v>133</v>
      </c>
      <c r="DA4494">
        <v>275</v>
      </c>
      <c r="DB4494">
        <v>0</v>
      </c>
      <c r="DC4494" t="s">
        <v>134</v>
      </c>
      <c r="DD4494" t="s">
        <v>135</v>
      </c>
      <c r="DG4494">
        <v>3323299</v>
      </c>
      <c r="DI4494">
        <v>1</v>
      </c>
      <c r="DJ4494">
        <v>0</v>
      </c>
      <c r="DK4494">
        <v>1</v>
      </c>
      <c r="DL4494">
        <v>0</v>
      </c>
      <c r="DM4494">
        <v>0</v>
      </c>
      <c r="DN4494">
        <v>0</v>
      </c>
      <c r="DO4494">
        <v>0</v>
      </c>
      <c r="DP4494">
        <v>0</v>
      </c>
      <c r="DQ4494">
        <v>0</v>
      </c>
      <c r="DR4494">
        <v>0</v>
      </c>
      <c r="DS4494">
        <v>0</v>
      </c>
    </row>
    <row r="4495" spans="1:123" x14ac:dyDescent="0.3">
      <c r="A4495" t="str">
        <f>"05/01/2025 15:17:00.632"</f>
        <v>05/01/2025 15:17:00.632</v>
      </c>
      <c r="C4495" t="str">
        <f t="shared" si="1774"/>
        <v>FFDFD3C0</v>
      </c>
      <c r="D4495" t="s">
        <v>143</v>
      </c>
      <c r="E4495" t="str">
        <f>"05"</f>
        <v>05</v>
      </c>
      <c r="H4495">
        <v>172</v>
      </c>
      <c r="I4495" t="s">
        <v>141</v>
      </c>
      <c r="J4495" t="s">
        <v>144</v>
      </c>
      <c r="K4495">
        <v>0</v>
      </c>
      <c r="L4495">
        <v>3</v>
      </c>
      <c r="M4495">
        <v>0</v>
      </c>
      <c r="N4495">
        <v>2</v>
      </c>
      <c r="O4495">
        <v>0</v>
      </c>
      <c r="P4495">
        <v>1</v>
      </c>
      <c r="Q4495">
        <v>0</v>
      </c>
      <c r="R4495" t="s">
        <v>127</v>
      </c>
      <c r="S4495" t="str">
        <f t="shared" si="1780"/>
        <v>15:17:00.000</v>
      </c>
      <c r="T4495" t="str">
        <f t="shared" si="1780"/>
        <v>15:17:00.000</v>
      </c>
      <c r="U4495" t="str">
        <f t="shared" si="1775"/>
        <v>A68FCB</v>
      </c>
      <c r="V4495">
        <v>0</v>
      </c>
      <c r="W4495">
        <v>0</v>
      </c>
      <c r="X4495">
        <v>2</v>
      </c>
      <c r="Y4495">
        <v>0</v>
      </c>
      <c r="AA4495">
        <v>1</v>
      </c>
      <c r="AB4495">
        <v>8</v>
      </c>
      <c r="AC4495">
        <v>3</v>
      </c>
      <c r="AD4495">
        <v>0</v>
      </c>
      <c r="AE4495">
        <v>9</v>
      </c>
      <c r="AF4495" t="s">
        <v>138</v>
      </c>
      <c r="AG4495">
        <v>0</v>
      </c>
      <c r="AH4495">
        <v>3</v>
      </c>
      <c r="AI4495">
        <v>2</v>
      </c>
      <c r="AJ4495">
        <v>0</v>
      </c>
      <c r="AK4495" t="s">
        <v>1430</v>
      </c>
      <c r="AL4495">
        <v>39.206772000000001</v>
      </c>
      <c r="AM4495" t="s">
        <v>1431</v>
      </c>
      <c r="AN4495">
        <v>-121.00771</v>
      </c>
      <c r="AO4495">
        <v>25</v>
      </c>
      <c r="AP4495">
        <v>4200</v>
      </c>
      <c r="AQ4495" t="s">
        <v>131</v>
      </c>
      <c r="AR4495">
        <v>46</v>
      </c>
      <c r="AS4495">
        <v>62</v>
      </c>
      <c r="AT4495">
        <v>-64</v>
      </c>
      <c r="BB4495" t="str">
        <f t="shared" si="1776"/>
        <v>1200</v>
      </c>
      <c r="BC4495">
        <v>1</v>
      </c>
      <c r="BD4495" t="str">
        <f t="shared" si="1777"/>
        <v xml:space="preserve">N52156  </v>
      </c>
      <c r="BE4495">
        <v>1</v>
      </c>
      <c r="BG4495">
        <v>0</v>
      </c>
      <c r="BH4495">
        <v>0</v>
      </c>
      <c r="BI4495">
        <v>0</v>
      </c>
      <c r="BJ4495">
        <v>4225</v>
      </c>
      <c r="BK4495">
        <v>25</v>
      </c>
      <c r="BL4495" t="s">
        <v>188</v>
      </c>
      <c r="BM4495">
        <v>1</v>
      </c>
      <c r="BN4495">
        <v>1</v>
      </c>
      <c r="BO4495">
        <v>0</v>
      </c>
      <c r="BP4495">
        <v>0</v>
      </c>
      <c r="BS4495">
        <v>0</v>
      </c>
      <c r="BT4495">
        <v>0</v>
      </c>
      <c r="BU4495">
        <v>0</v>
      </c>
      <c r="CE4495" t="str">
        <f t="shared" si="1781"/>
        <v>15:17:00.390</v>
      </c>
      <c r="CF4495">
        <v>389503882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5</v>
      </c>
      <c r="CY4495">
        <v>7</v>
      </c>
      <c r="CZ4495" t="s">
        <v>133</v>
      </c>
      <c r="DA4495">
        <v>275</v>
      </c>
      <c r="DB4495">
        <v>0</v>
      </c>
      <c r="DC4495" t="s">
        <v>134</v>
      </c>
      <c r="DD4495" t="s">
        <v>135</v>
      </c>
      <c r="DG4495">
        <v>3323299</v>
      </c>
      <c r="DI4495">
        <v>1</v>
      </c>
      <c r="DJ4495">
        <v>0</v>
      </c>
      <c r="DK4495">
        <v>1</v>
      </c>
      <c r="DL4495">
        <v>0</v>
      </c>
      <c r="DM4495">
        <v>0</v>
      </c>
      <c r="DN4495">
        <v>0</v>
      </c>
      <c r="DO4495">
        <v>0</v>
      </c>
      <c r="DP4495">
        <v>0</v>
      </c>
      <c r="DQ4495">
        <v>0</v>
      </c>
      <c r="DR4495">
        <v>0</v>
      </c>
      <c r="DS4495">
        <v>0</v>
      </c>
    </row>
    <row r="4496" spans="1:123" x14ac:dyDescent="0.3">
      <c r="A4496" t="str">
        <f>"05/01/2025 15:17:02.002"</f>
        <v>05/01/2025 15:17:02.002</v>
      </c>
      <c r="C4496" t="str">
        <f t="shared" si="1774"/>
        <v>FFDFD3C0</v>
      </c>
      <c r="D4496" t="s">
        <v>145</v>
      </c>
      <c r="E4496" t="str">
        <f>"05"</f>
        <v>05</v>
      </c>
      <c r="H4496">
        <v>47</v>
      </c>
      <c r="I4496" t="s">
        <v>146</v>
      </c>
      <c r="J4496" t="s">
        <v>138</v>
      </c>
      <c r="K4496">
        <v>0</v>
      </c>
      <c r="L4496">
        <v>3</v>
      </c>
      <c r="M4496">
        <v>0</v>
      </c>
      <c r="N4496">
        <v>2</v>
      </c>
      <c r="O4496">
        <v>0</v>
      </c>
      <c r="P4496">
        <v>1</v>
      </c>
      <c r="Q4496">
        <v>0</v>
      </c>
      <c r="R4496" t="s">
        <v>127</v>
      </c>
      <c r="S4496" t="str">
        <f t="shared" ref="S4496:T4501" si="1782">"15:17:01.000"</f>
        <v>15:17:01.000</v>
      </c>
      <c r="T4496" t="str">
        <f t="shared" si="1782"/>
        <v>15:17:01.000</v>
      </c>
      <c r="U4496" t="str">
        <f t="shared" si="1775"/>
        <v>A68FCB</v>
      </c>
      <c r="V4496">
        <v>0</v>
      </c>
      <c r="W4496">
        <v>0</v>
      </c>
      <c r="X4496">
        <v>2</v>
      </c>
      <c r="Y4496">
        <v>0</v>
      </c>
      <c r="AA4496">
        <v>1</v>
      </c>
      <c r="AB4496">
        <v>8</v>
      </c>
      <c r="AC4496">
        <v>3</v>
      </c>
      <c r="AD4496">
        <v>0</v>
      </c>
      <c r="AE4496">
        <v>9</v>
      </c>
      <c r="AF4496" t="s">
        <v>138</v>
      </c>
      <c r="AG4496">
        <v>0</v>
      </c>
      <c r="AH4496">
        <v>3</v>
      </c>
      <c r="AI4496">
        <v>2</v>
      </c>
      <c r="AJ4496">
        <v>0</v>
      </c>
      <c r="AK4496" t="s">
        <v>1432</v>
      </c>
      <c r="AL4496">
        <v>39.207071999999997</v>
      </c>
      <c r="AM4496" t="s">
        <v>1433</v>
      </c>
      <c r="AN4496">
        <v>-121.007409</v>
      </c>
      <c r="AO4496">
        <v>25</v>
      </c>
      <c r="AP4496">
        <v>4200</v>
      </c>
      <c r="AQ4496" t="s">
        <v>131</v>
      </c>
      <c r="AR4496">
        <v>44</v>
      </c>
      <c r="AS4496">
        <v>64</v>
      </c>
      <c r="AT4496">
        <v>-64</v>
      </c>
      <c r="BB4496" t="str">
        <f t="shared" si="1776"/>
        <v>1200</v>
      </c>
      <c r="BC4496">
        <v>1</v>
      </c>
      <c r="BD4496" t="str">
        <f t="shared" si="1777"/>
        <v xml:space="preserve">N52156  </v>
      </c>
      <c r="BE4496">
        <v>1</v>
      </c>
      <c r="BG4496">
        <v>0</v>
      </c>
      <c r="BH4496">
        <v>0</v>
      </c>
      <c r="BI4496">
        <v>0</v>
      </c>
      <c r="BJ4496">
        <v>4225</v>
      </c>
      <c r="BK4496">
        <v>25</v>
      </c>
      <c r="BL4496" t="s">
        <v>188</v>
      </c>
      <c r="BM4496">
        <v>1</v>
      </c>
      <c r="BN4496">
        <v>1</v>
      </c>
      <c r="BO4496">
        <v>0</v>
      </c>
      <c r="BP4496">
        <v>0</v>
      </c>
      <c r="BS4496">
        <v>0</v>
      </c>
      <c r="BT4496">
        <v>0</v>
      </c>
      <c r="BU4496">
        <v>0</v>
      </c>
      <c r="CE4496" t="str">
        <f t="shared" ref="CE4496:CE4501" si="1783">"15:17:01.799"</f>
        <v>15:17:01.799</v>
      </c>
      <c r="CF4496">
        <v>798755075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5</v>
      </c>
      <c r="CY4496">
        <v>7</v>
      </c>
      <c r="CZ4496" t="s">
        <v>133</v>
      </c>
      <c r="DA4496">
        <v>275</v>
      </c>
      <c r="DB4496">
        <v>0</v>
      </c>
      <c r="DC4496" t="s">
        <v>134</v>
      </c>
      <c r="DD4496" t="s">
        <v>135</v>
      </c>
      <c r="DG4496">
        <v>3323301</v>
      </c>
      <c r="DI4496">
        <v>1</v>
      </c>
      <c r="DJ4496">
        <v>0</v>
      </c>
      <c r="DK4496">
        <v>0</v>
      </c>
      <c r="DL4496">
        <v>0</v>
      </c>
      <c r="DM4496">
        <v>0</v>
      </c>
      <c r="DN4496">
        <v>0</v>
      </c>
      <c r="DO4496">
        <v>0</v>
      </c>
      <c r="DP4496">
        <v>0</v>
      </c>
      <c r="DQ4496">
        <v>0</v>
      </c>
      <c r="DR4496">
        <v>0</v>
      </c>
      <c r="DS4496">
        <v>0</v>
      </c>
    </row>
    <row r="4497" spans="1:123" x14ac:dyDescent="0.3">
      <c r="A4497" t="str">
        <f>"05/01/2025 15:17:02.013"</f>
        <v>05/01/2025 15:17:02.013</v>
      </c>
      <c r="C4497" t="str">
        <f t="shared" si="1774"/>
        <v>FFDFD3C0</v>
      </c>
      <c r="D4497" t="s">
        <v>136</v>
      </c>
      <c r="E4497" t="str">
        <f>"20"</f>
        <v>20</v>
      </c>
      <c r="H4497">
        <v>400</v>
      </c>
      <c r="I4497" t="s">
        <v>137</v>
      </c>
      <c r="J4497" t="s">
        <v>138</v>
      </c>
      <c r="K4497">
        <v>0</v>
      </c>
      <c r="L4497">
        <v>3</v>
      </c>
      <c r="M4497">
        <v>0</v>
      </c>
      <c r="N4497">
        <v>2</v>
      </c>
      <c r="O4497">
        <v>0</v>
      </c>
      <c r="P4497">
        <v>1</v>
      </c>
      <c r="Q4497">
        <v>0</v>
      </c>
      <c r="R4497" t="s">
        <v>127</v>
      </c>
      <c r="S4497" t="str">
        <f t="shared" si="1782"/>
        <v>15:17:01.000</v>
      </c>
      <c r="T4497" t="str">
        <f t="shared" si="1782"/>
        <v>15:17:01.000</v>
      </c>
      <c r="U4497" t="str">
        <f t="shared" si="1775"/>
        <v>A68FCB</v>
      </c>
      <c r="V4497">
        <v>0</v>
      </c>
      <c r="W4497">
        <v>0</v>
      </c>
      <c r="X4497">
        <v>2</v>
      </c>
      <c r="Y4497">
        <v>0</v>
      </c>
      <c r="AA4497">
        <v>1</v>
      </c>
      <c r="AB4497">
        <v>8</v>
      </c>
      <c r="AC4497">
        <v>3</v>
      </c>
      <c r="AD4497">
        <v>0</v>
      </c>
      <c r="AE4497">
        <v>9</v>
      </c>
      <c r="AF4497" t="s">
        <v>138</v>
      </c>
      <c r="AG4497">
        <v>0</v>
      </c>
      <c r="AH4497">
        <v>3</v>
      </c>
      <c r="AI4497">
        <v>2</v>
      </c>
      <c r="AJ4497">
        <v>0</v>
      </c>
      <c r="AK4497" t="s">
        <v>1432</v>
      </c>
      <c r="AL4497">
        <v>39.207071999999997</v>
      </c>
      <c r="AM4497" t="s">
        <v>1433</v>
      </c>
      <c r="AN4497">
        <v>-121.007409</v>
      </c>
      <c r="AO4497">
        <v>25</v>
      </c>
      <c r="AP4497">
        <v>4200</v>
      </c>
      <c r="AQ4497" t="s">
        <v>131</v>
      </c>
      <c r="AR4497">
        <v>44</v>
      </c>
      <c r="AS4497">
        <v>64</v>
      </c>
      <c r="AT4497">
        <v>-64</v>
      </c>
      <c r="BB4497" t="str">
        <f t="shared" si="1776"/>
        <v>1200</v>
      </c>
      <c r="BC4497">
        <v>1</v>
      </c>
      <c r="BD4497" t="str">
        <f t="shared" si="1777"/>
        <v xml:space="preserve">N52156  </v>
      </c>
      <c r="BE4497">
        <v>1</v>
      </c>
      <c r="BG4497">
        <v>0</v>
      </c>
      <c r="BH4497">
        <v>0</v>
      </c>
      <c r="BI4497">
        <v>0</v>
      </c>
      <c r="BJ4497">
        <v>4225</v>
      </c>
      <c r="BK4497">
        <v>25</v>
      </c>
      <c r="BL4497" t="s">
        <v>188</v>
      </c>
      <c r="BM4497">
        <v>1</v>
      </c>
      <c r="BN4497">
        <v>1</v>
      </c>
      <c r="BO4497">
        <v>0</v>
      </c>
      <c r="BP4497">
        <v>0</v>
      </c>
      <c r="BS4497">
        <v>0</v>
      </c>
      <c r="BT4497">
        <v>0</v>
      </c>
      <c r="BU4497">
        <v>0</v>
      </c>
      <c r="CE4497" t="str">
        <f t="shared" si="1783"/>
        <v>15:17:01.799</v>
      </c>
      <c r="CF4497">
        <v>798755075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5</v>
      </c>
      <c r="CY4497">
        <v>7</v>
      </c>
      <c r="CZ4497" t="s">
        <v>133</v>
      </c>
      <c r="DA4497">
        <v>275</v>
      </c>
      <c r="DB4497">
        <v>0</v>
      </c>
      <c r="DC4497" t="s">
        <v>134</v>
      </c>
      <c r="DD4497" t="s">
        <v>135</v>
      </c>
      <c r="DG4497">
        <v>3323301</v>
      </c>
      <c r="DI4497">
        <v>1</v>
      </c>
      <c r="DJ4497">
        <v>0</v>
      </c>
      <c r="DK4497">
        <v>1</v>
      </c>
      <c r="DL4497">
        <v>0</v>
      </c>
      <c r="DM4497">
        <v>0</v>
      </c>
      <c r="DN4497">
        <v>0</v>
      </c>
      <c r="DO4497">
        <v>0</v>
      </c>
      <c r="DP4497">
        <v>0</v>
      </c>
      <c r="DQ4497">
        <v>0</v>
      </c>
      <c r="DR4497">
        <v>0</v>
      </c>
      <c r="DS4497">
        <v>0</v>
      </c>
    </row>
    <row r="4498" spans="1:123" x14ac:dyDescent="0.3">
      <c r="A4498" t="str">
        <f>"05/01/2025 15:17:02.029"</f>
        <v>05/01/2025 15:17:02.029</v>
      </c>
      <c r="C4498" t="str">
        <f t="shared" si="1774"/>
        <v>FFDFD3C0</v>
      </c>
      <c r="D4498" t="s">
        <v>140</v>
      </c>
      <c r="E4498" t="str">
        <f>"13"</f>
        <v>13</v>
      </c>
      <c r="F4498">
        <v>1019</v>
      </c>
      <c r="G4498" t="s">
        <v>141</v>
      </c>
      <c r="J4498" t="s">
        <v>142</v>
      </c>
      <c r="K4498">
        <v>0</v>
      </c>
      <c r="L4498">
        <v>3</v>
      </c>
      <c r="M4498">
        <v>0</v>
      </c>
      <c r="N4498">
        <v>2</v>
      </c>
      <c r="O4498">
        <v>0</v>
      </c>
      <c r="P4498">
        <v>1</v>
      </c>
      <c r="Q4498">
        <v>0</v>
      </c>
      <c r="R4498" t="s">
        <v>127</v>
      </c>
      <c r="S4498" t="str">
        <f t="shared" si="1782"/>
        <v>15:17:01.000</v>
      </c>
      <c r="T4498" t="str">
        <f t="shared" si="1782"/>
        <v>15:17:01.000</v>
      </c>
      <c r="U4498" t="str">
        <f t="shared" si="1775"/>
        <v>A68FCB</v>
      </c>
      <c r="V4498">
        <v>0</v>
      </c>
      <c r="W4498">
        <v>0</v>
      </c>
      <c r="X4498">
        <v>2</v>
      </c>
      <c r="Y4498">
        <v>0</v>
      </c>
      <c r="AA4498">
        <v>1</v>
      </c>
      <c r="AB4498">
        <v>8</v>
      </c>
      <c r="AC4498">
        <v>3</v>
      </c>
      <c r="AD4498">
        <v>0</v>
      </c>
      <c r="AE4498">
        <v>9</v>
      </c>
      <c r="AF4498" t="s">
        <v>138</v>
      </c>
      <c r="AG4498">
        <v>0</v>
      </c>
      <c r="AH4498">
        <v>3</v>
      </c>
      <c r="AI4498">
        <v>2</v>
      </c>
      <c r="AJ4498">
        <v>0</v>
      </c>
      <c r="AK4498" t="s">
        <v>1432</v>
      </c>
      <c r="AL4498">
        <v>39.207071999999997</v>
      </c>
      <c r="AM4498" t="s">
        <v>1433</v>
      </c>
      <c r="AN4498">
        <v>-121.007409</v>
      </c>
      <c r="AO4498">
        <v>25</v>
      </c>
      <c r="AP4498">
        <v>4200</v>
      </c>
      <c r="AQ4498" t="s">
        <v>131</v>
      </c>
      <c r="AR4498">
        <v>44</v>
      </c>
      <c r="AS4498">
        <v>64</v>
      </c>
      <c r="AT4498">
        <v>-64</v>
      </c>
      <c r="BB4498" t="str">
        <f t="shared" si="1776"/>
        <v>1200</v>
      </c>
      <c r="BC4498">
        <v>1</v>
      </c>
      <c r="BD4498" t="str">
        <f t="shared" si="1777"/>
        <v xml:space="preserve">N52156  </v>
      </c>
      <c r="BE4498">
        <v>1</v>
      </c>
      <c r="BG4498">
        <v>0</v>
      </c>
      <c r="BH4498">
        <v>0</v>
      </c>
      <c r="BI4498">
        <v>0</v>
      </c>
      <c r="BJ4498">
        <v>4225</v>
      </c>
      <c r="BK4498">
        <v>25</v>
      </c>
      <c r="BL4498" t="s">
        <v>188</v>
      </c>
      <c r="BM4498">
        <v>1</v>
      </c>
      <c r="BN4498">
        <v>1</v>
      </c>
      <c r="BO4498">
        <v>0</v>
      </c>
      <c r="BP4498">
        <v>0</v>
      </c>
      <c r="BS4498">
        <v>0</v>
      </c>
      <c r="BT4498">
        <v>0</v>
      </c>
      <c r="BU4498">
        <v>0</v>
      </c>
      <c r="CE4498" t="str">
        <f t="shared" si="1783"/>
        <v>15:17:01.799</v>
      </c>
      <c r="CF4498">
        <v>798755075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5</v>
      </c>
      <c r="CY4498">
        <v>7</v>
      </c>
      <c r="CZ4498" t="s">
        <v>133</v>
      </c>
      <c r="DA4498">
        <v>275</v>
      </c>
      <c r="DB4498">
        <v>0</v>
      </c>
      <c r="DC4498" t="s">
        <v>134</v>
      </c>
      <c r="DD4498" t="s">
        <v>135</v>
      </c>
      <c r="DG4498">
        <v>3323301</v>
      </c>
      <c r="DI4498">
        <v>1</v>
      </c>
      <c r="DJ4498">
        <v>0</v>
      </c>
      <c r="DK4498">
        <v>1</v>
      </c>
      <c r="DL4498">
        <v>0</v>
      </c>
      <c r="DM4498">
        <v>0</v>
      </c>
      <c r="DN4498">
        <v>0</v>
      </c>
      <c r="DO4498">
        <v>0</v>
      </c>
      <c r="DP4498">
        <v>0</v>
      </c>
      <c r="DQ4498">
        <v>0</v>
      </c>
      <c r="DR4498">
        <v>0</v>
      </c>
      <c r="DS4498">
        <v>0</v>
      </c>
    </row>
    <row r="4499" spans="1:123" x14ac:dyDescent="0.3">
      <c r="A4499" t="str">
        <f>"05/01/2025 15:17:02.030"</f>
        <v>05/01/2025 15:17:02.030</v>
      </c>
      <c r="C4499" t="str">
        <f t="shared" si="1774"/>
        <v>FFDFD3C0</v>
      </c>
      <c r="D4499" t="s">
        <v>124</v>
      </c>
      <c r="E4499" t="str">
        <f>"06"</f>
        <v>06</v>
      </c>
      <c r="F4499">
        <v>2006</v>
      </c>
      <c r="G4499" t="s">
        <v>125</v>
      </c>
      <c r="J4499" t="s">
        <v>126</v>
      </c>
      <c r="K4499">
        <v>0</v>
      </c>
      <c r="L4499">
        <v>3</v>
      </c>
      <c r="M4499">
        <v>0</v>
      </c>
      <c r="N4499">
        <v>2</v>
      </c>
      <c r="O4499">
        <v>0</v>
      </c>
      <c r="P4499">
        <v>1</v>
      </c>
      <c r="Q4499">
        <v>0</v>
      </c>
      <c r="R4499" t="s">
        <v>127</v>
      </c>
      <c r="S4499" t="str">
        <f t="shared" si="1782"/>
        <v>15:17:01.000</v>
      </c>
      <c r="T4499" t="str">
        <f t="shared" si="1782"/>
        <v>15:17:01.000</v>
      </c>
      <c r="U4499" t="str">
        <f t="shared" si="1775"/>
        <v>A68FCB</v>
      </c>
      <c r="V4499">
        <v>0</v>
      </c>
      <c r="W4499">
        <v>0</v>
      </c>
      <c r="X4499">
        <v>2</v>
      </c>
      <c r="Y4499">
        <v>0</v>
      </c>
      <c r="AA4499">
        <v>1</v>
      </c>
      <c r="AB4499">
        <v>8</v>
      </c>
      <c r="AC4499">
        <v>3</v>
      </c>
      <c r="AD4499">
        <v>0</v>
      </c>
      <c r="AE4499">
        <v>9</v>
      </c>
      <c r="AF4499" t="s">
        <v>138</v>
      </c>
      <c r="AG4499">
        <v>0</v>
      </c>
      <c r="AH4499">
        <v>3</v>
      </c>
      <c r="AI4499">
        <v>2</v>
      </c>
      <c r="AJ4499">
        <v>0</v>
      </c>
      <c r="AK4499" t="s">
        <v>1432</v>
      </c>
      <c r="AL4499">
        <v>39.207071999999997</v>
      </c>
      <c r="AM4499" t="s">
        <v>1433</v>
      </c>
      <c r="AN4499">
        <v>-121.007409</v>
      </c>
      <c r="AO4499">
        <v>25</v>
      </c>
      <c r="AP4499">
        <v>4200</v>
      </c>
      <c r="AQ4499" t="s">
        <v>131</v>
      </c>
      <c r="AR4499">
        <v>44</v>
      </c>
      <c r="AS4499">
        <v>64</v>
      </c>
      <c r="AT4499">
        <v>-64</v>
      </c>
      <c r="BB4499" t="str">
        <f t="shared" si="1776"/>
        <v>1200</v>
      </c>
      <c r="BC4499">
        <v>1</v>
      </c>
      <c r="BD4499" t="str">
        <f t="shared" si="1777"/>
        <v xml:space="preserve">N52156  </v>
      </c>
      <c r="BE4499">
        <v>1</v>
      </c>
      <c r="BG4499">
        <v>0</v>
      </c>
      <c r="BH4499">
        <v>0</v>
      </c>
      <c r="BI4499">
        <v>0</v>
      </c>
      <c r="BJ4499">
        <v>4225</v>
      </c>
      <c r="BK4499">
        <v>25</v>
      </c>
      <c r="BL4499" t="s">
        <v>188</v>
      </c>
      <c r="BM4499">
        <v>1</v>
      </c>
      <c r="BN4499">
        <v>1</v>
      </c>
      <c r="BO4499">
        <v>0</v>
      </c>
      <c r="BP4499">
        <v>0</v>
      </c>
      <c r="BS4499">
        <v>0</v>
      </c>
      <c r="BT4499">
        <v>0</v>
      </c>
      <c r="BU4499">
        <v>0</v>
      </c>
      <c r="CE4499" t="str">
        <f t="shared" si="1783"/>
        <v>15:17:01.799</v>
      </c>
      <c r="CF4499">
        <v>798755075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5</v>
      </c>
      <c r="CY4499">
        <v>7</v>
      </c>
      <c r="CZ4499" t="s">
        <v>133</v>
      </c>
      <c r="DA4499">
        <v>275</v>
      </c>
      <c r="DB4499">
        <v>0</v>
      </c>
      <c r="DC4499" t="s">
        <v>134</v>
      </c>
      <c r="DD4499" t="s">
        <v>135</v>
      </c>
      <c r="DG4499">
        <v>3323301</v>
      </c>
      <c r="DI4499">
        <v>1</v>
      </c>
      <c r="DJ4499">
        <v>0</v>
      </c>
      <c r="DK4499">
        <v>1</v>
      </c>
      <c r="DL4499">
        <v>0</v>
      </c>
      <c r="DM4499">
        <v>0</v>
      </c>
      <c r="DN4499">
        <v>0</v>
      </c>
      <c r="DO4499">
        <v>0</v>
      </c>
      <c r="DP4499">
        <v>0</v>
      </c>
      <c r="DQ4499">
        <v>0</v>
      </c>
      <c r="DR4499">
        <v>0</v>
      </c>
      <c r="DS4499">
        <v>0</v>
      </c>
    </row>
    <row r="4500" spans="1:123" x14ac:dyDescent="0.3">
      <c r="A4500" t="str">
        <f>"05/01/2025 15:17:02.034"</f>
        <v>05/01/2025 15:17:02.034</v>
      </c>
      <c r="C4500" t="str">
        <f t="shared" si="1774"/>
        <v>FFDFD3C0</v>
      </c>
      <c r="D4500" t="s">
        <v>143</v>
      </c>
      <c r="E4500" t="str">
        <f>"05"</f>
        <v>05</v>
      </c>
      <c r="H4500">
        <v>172</v>
      </c>
      <c r="I4500" t="s">
        <v>141</v>
      </c>
      <c r="J4500" t="s">
        <v>144</v>
      </c>
      <c r="K4500">
        <v>0</v>
      </c>
      <c r="L4500">
        <v>3</v>
      </c>
      <c r="M4500">
        <v>0</v>
      </c>
      <c r="N4500">
        <v>2</v>
      </c>
      <c r="O4500">
        <v>0</v>
      </c>
      <c r="P4500">
        <v>1</v>
      </c>
      <c r="Q4500">
        <v>0</v>
      </c>
      <c r="R4500" t="s">
        <v>127</v>
      </c>
      <c r="S4500" t="str">
        <f t="shared" si="1782"/>
        <v>15:17:01.000</v>
      </c>
      <c r="T4500" t="str">
        <f t="shared" si="1782"/>
        <v>15:17:01.000</v>
      </c>
      <c r="U4500" t="str">
        <f t="shared" si="1775"/>
        <v>A68FCB</v>
      </c>
      <c r="V4500">
        <v>0</v>
      </c>
      <c r="W4500">
        <v>0</v>
      </c>
      <c r="X4500">
        <v>2</v>
      </c>
      <c r="Y4500">
        <v>0</v>
      </c>
      <c r="AA4500">
        <v>1</v>
      </c>
      <c r="AB4500">
        <v>8</v>
      </c>
      <c r="AC4500">
        <v>3</v>
      </c>
      <c r="AD4500">
        <v>0</v>
      </c>
      <c r="AE4500">
        <v>9</v>
      </c>
      <c r="AF4500" t="s">
        <v>138</v>
      </c>
      <c r="AG4500">
        <v>0</v>
      </c>
      <c r="AH4500">
        <v>3</v>
      </c>
      <c r="AI4500">
        <v>2</v>
      </c>
      <c r="AJ4500">
        <v>0</v>
      </c>
      <c r="AK4500" t="s">
        <v>1432</v>
      </c>
      <c r="AL4500">
        <v>39.207071999999997</v>
      </c>
      <c r="AM4500" t="s">
        <v>1433</v>
      </c>
      <c r="AN4500">
        <v>-121.007409</v>
      </c>
      <c r="AO4500">
        <v>25</v>
      </c>
      <c r="AP4500">
        <v>4200</v>
      </c>
      <c r="AQ4500" t="s">
        <v>131</v>
      </c>
      <c r="AR4500">
        <v>44</v>
      </c>
      <c r="AS4500">
        <v>64</v>
      </c>
      <c r="AT4500">
        <v>-64</v>
      </c>
      <c r="BB4500" t="str">
        <f t="shared" si="1776"/>
        <v>1200</v>
      </c>
      <c r="BC4500">
        <v>1</v>
      </c>
      <c r="BD4500" t="str">
        <f t="shared" si="1777"/>
        <v xml:space="preserve">N52156  </v>
      </c>
      <c r="BE4500">
        <v>1</v>
      </c>
      <c r="BG4500">
        <v>0</v>
      </c>
      <c r="BH4500">
        <v>0</v>
      </c>
      <c r="BI4500">
        <v>0</v>
      </c>
      <c r="BJ4500">
        <v>4225</v>
      </c>
      <c r="BK4500">
        <v>25</v>
      </c>
      <c r="BL4500" t="s">
        <v>188</v>
      </c>
      <c r="BM4500">
        <v>1</v>
      </c>
      <c r="BN4500">
        <v>1</v>
      </c>
      <c r="BO4500">
        <v>0</v>
      </c>
      <c r="BP4500">
        <v>0</v>
      </c>
      <c r="BS4500">
        <v>0</v>
      </c>
      <c r="BT4500">
        <v>0</v>
      </c>
      <c r="BU4500">
        <v>0</v>
      </c>
      <c r="CE4500" t="str">
        <f t="shared" si="1783"/>
        <v>15:17:01.799</v>
      </c>
      <c r="CF4500">
        <v>798755075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5</v>
      </c>
      <c r="CY4500">
        <v>7</v>
      </c>
      <c r="CZ4500" t="s">
        <v>133</v>
      </c>
      <c r="DA4500">
        <v>275</v>
      </c>
      <c r="DB4500">
        <v>0</v>
      </c>
      <c r="DC4500" t="s">
        <v>134</v>
      </c>
      <c r="DD4500" t="s">
        <v>135</v>
      </c>
      <c r="DG4500">
        <v>3323301</v>
      </c>
      <c r="DI4500">
        <v>1</v>
      </c>
      <c r="DJ4500">
        <v>0</v>
      </c>
      <c r="DK4500">
        <v>1</v>
      </c>
      <c r="DL4500">
        <v>0</v>
      </c>
      <c r="DM4500">
        <v>0</v>
      </c>
      <c r="DN4500">
        <v>0</v>
      </c>
      <c r="DO4500">
        <v>0</v>
      </c>
      <c r="DP4500">
        <v>0</v>
      </c>
      <c r="DQ4500">
        <v>0</v>
      </c>
      <c r="DR4500">
        <v>0</v>
      </c>
      <c r="DS4500">
        <v>0</v>
      </c>
    </row>
    <row r="4501" spans="1:123" x14ac:dyDescent="0.3">
      <c r="A4501" t="str">
        <f>"05/01/2025 15:17:02.046"</f>
        <v>05/01/2025 15:17:02.046</v>
      </c>
      <c r="C4501" t="str">
        <f t="shared" si="1774"/>
        <v>FFDFD3C0</v>
      </c>
      <c r="D4501" t="s">
        <v>145</v>
      </c>
      <c r="E4501" t="str">
        <f>"09"</f>
        <v>09</v>
      </c>
      <c r="H4501">
        <v>51</v>
      </c>
      <c r="I4501" t="s">
        <v>147</v>
      </c>
      <c r="J4501" t="s">
        <v>138</v>
      </c>
      <c r="K4501">
        <v>0</v>
      </c>
      <c r="L4501">
        <v>3</v>
      </c>
      <c r="M4501">
        <v>0</v>
      </c>
      <c r="N4501">
        <v>2</v>
      </c>
      <c r="O4501">
        <v>0</v>
      </c>
      <c r="P4501">
        <v>1</v>
      </c>
      <c r="Q4501">
        <v>0</v>
      </c>
      <c r="R4501" t="s">
        <v>127</v>
      </c>
      <c r="S4501" t="str">
        <f t="shared" si="1782"/>
        <v>15:17:01.000</v>
      </c>
      <c r="T4501" t="str">
        <f t="shared" si="1782"/>
        <v>15:17:01.000</v>
      </c>
      <c r="U4501" t="str">
        <f t="shared" si="1775"/>
        <v>A68FCB</v>
      </c>
      <c r="V4501">
        <v>0</v>
      </c>
      <c r="W4501">
        <v>0</v>
      </c>
      <c r="X4501">
        <v>2</v>
      </c>
      <c r="Y4501">
        <v>0</v>
      </c>
      <c r="AA4501">
        <v>1</v>
      </c>
      <c r="AB4501">
        <v>8</v>
      </c>
      <c r="AC4501">
        <v>3</v>
      </c>
      <c r="AD4501">
        <v>0</v>
      </c>
      <c r="AE4501">
        <v>9</v>
      </c>
      <c r="AF4501" t="s">
        <v>138</v>
      </c>
      <c r="AG4501">
        <v>0</v>
      </c>
      <c r="AH4501">
        <v>3</v>
      </c>
      <c r="AI4501">
        <v>2</v>
      </c>
      <c r="AJ4501">
        <v>0</v>
      </c>
      <c r="AK4501" t="s">
        <v>1432</v>
      </c>
      <c r="AL4501">
        <v>39.207071999999997</v>
      </c>
      <c r="AM4501" t="s">
        <v>1433</v>
      </c>
      <c r="AN4501">
        <v>-121.007409</v>
      </c>
      <c r="AO4501">
        <v>25</v>
      </c>
      <c r="AP4501">
        <v>4200</v>
      </c>
      <c r="AQ4501" t="s">
        <v>131</v>
      </c>
      <c r="AR4501">
        <v>44</v>
      </c>
      <c r="AS4501">
        <v>64</v>
      </c>
      <c r="AT4501">
        <v>-64</v>
      </c>
      <c r="BB4501" t="str">
        <f t="shared" si="1776"/>
        <v>1200</v>
      </c>
      <c r="BC4501">
        <v>1</v>
      </c>
      <c r="BD4501" t="str">
        <f t="shared" si="1777"/>
        <v xml:space="preserve">N52156  </v>
      </c>
      <c r="BE4501">
        <v>1</v>
      </c>
      <c r="BG4501">
        <v>0</v>
      </c>
      <c r="BH4501">
        <v>0</v>
      </c>
      <c r="BI4501">
        <v>0</v>
      </c>
      <c r="BJ4501">
        <v>4225</v>
      </c>
      <c r="BK4501">
        <v>25</v>
      </c>
      <c r="BL4501" t="s">
        <v>188</v>
      </c>
      <c r="BM4501">
        <v>1</v>
      </c>
      <c r="BN4501">
        <v>1</v>
      </c>
      <c r="BO4501">
        <v>0</v>
      </c>
      <c r="BP4501">
        <v>0</v>
      </c>
      <c r="BS4501">
        <v>0</v>
      </c>
      <c r="BT4501">
        <v>0</v>
      </c>
      <c r="BU4501">
        <v>0</v>
      </c>
      <c r="CE4501" t="str">
        <f t="shared" si="1783"/>
        <v>15:17:01.799</v>
      </c>
      <c r="CF4501">
        <v>798755075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5</v>
      </c>
      <c r="CY4501">
        <v>7</v>
      </c>
      <c r="CZ4501" t="s">
        <v>133</v>
      </c>
      <c r="DA4501">
        <v>275</v>
      </c>
      <c r="DB4501">
        <v>0</v>
      </c>
      <c r="DC4501" t="s">
        <v>134</v>
      </c>
      <c r="DD4501" t="s">
        <v>135</v>
      </c>
      <c r="DG4501">
        <v>3323301</v>
      </c>
      <c r="DI4501">
        <v>1</v>
      </c>
      <c r="DJ4501">
        <v>0</v>
      </c>
      <c r="DK4501">
        <v>1</v>
      </c>
      <c r="DL4501">
        <v>0</v>
      </c>
      <c r="DM4501">
        <v>0</v>
      </c>
      <c r="DN4501">
        <v>0</v>
      </c>
      <c r="DO4501">
        <v>0</v>
      </c>
      <c r="DP4501">
        <v>0</v>
      </c>
      <c r="DQ4501">
        <v>0</v>
      </c>
      <c r="DR4501">
        <v>0</v>
      </c>
      <c r="DS4501">
        <v>0</v>
      </c>
    </row>
    <row r="4502" spans="1:123" x14ac:dyDescent="0.3">
      <c r="A4502" t="str">
        <f>"05/01/2025 15:17:02.704"</f>
        <v>05/01/2025 15:17:02.704</v>
      </c>
      <c r="C4502" t="str">
        <f t="shared" si="1774"/>
        <v>FFDFD3C0</v>
      </c>
      <c r="D4502" t="s">
        <v>145</v>
      </c>
      <c r="E4502" t="str">
        <f>"05"</f>
        <v>05</v>
      </c>
      <c r="H4502">
        <v>47</v>
      </c>
      <c r="I4502" t="s">
        <v>146</v>
      </c>
      <c r="J4502" t="s">
        <v>138</v>
      </c>
      <c r="K4502">
        <v>0</v>
      </c>
      <c r="L4502">
        <v>3</v>
      </c>
      <c r="M4502">
        <v>0</v>
      </c>
      <c r="N4502">
        <v>2</v>
      </c>
      <c r="O4502">
        <v>0</v>
      </c>
      <c r="P4502">
        <v>1</v>
      </c>
      <c r="Q4502">
        <v>0</v>
      </c>
      <c r="R4502" t="s">
        <v>127</v>
      </c>
      <c r="S4502" t="str">
        <f t="shared" ref="S4502:T4507" si="1784">"15:17:02.000"</f>
        <v>15:17:02.000</v>
      </c>
      <c r="T4502" t="str">
        <f t="shared" si="1784"/>
        <v>15:17:02.000</v>
      </c>
      <c r="U4502" t="str">
        <f t="shared" si="1775"/>
        <v>A68FCB</v>
      </c>
      <c r="V4502">
        <v>0</v>
      </c>
      <c r="W4502">
        <v>0</v>
      </c>
      <c r="X4502">
        <v>2</v>
      </c>
      <c r="Y4502">
        <v>0</v>
      </c>
      <c r="AA4502">
        <v>1</v>
      </c>
      <c r="AB4502">
        <v>8</v>
      </c>
      <c r="AC4502">
        <v>3</v>
      </c>
      <c r="AD4502">
        <v>0</v>
      </c>
      <c r="AE4502">
        <v>9</v>
      </c>
      <c r="AF4502" t="s">
        <v>138</v>
      </c>
      <c r="AG4502">
        <v>0</v>
      </c>
      <c r="AH4502">
        <v>3</v>
      </c>
      <c r="AI4502">
        <v>2</v>
      </c>
      <c r="AJ4502">
        <v>0</v>
      </c>
      <c r="AK4502" t="s">
        <v>1434</v>
      </c>
      <c r="AL4502">
        <v>39.207372999999997</v>
      </c>
      <c r="AM4502" t="s">
        <v>1435</v>
      </c>
      <c r="AN4502">
        <v>-121.00713</v>
      </c>
      <c r="AO4502">
        <v>25</v>
      </c>
      <c r="AP4502">
        <v>4200</v>
      </c>
      <c r="AQ4502" t="s">
        <v>131</v>
      </c>
      <c r="AR4502">
        <v>46</v>
      </c>
      <c r="AS4502">
        <v>64</v>
      </c>
      <c r="AT4502">
        <v>-64</v>
      </c>
      <c r="BB4502" t="str">
        <f t="shared" si="1776"/>
        <v>1200</v>
      </c>
      <c r="BC4502">
        <v>1</v>
      </c>
      <c r="BD4502" t="str">
        <f t="shared" si="1777"/>
        <v xml:space="preserve">N52156  </v>
      </c>
      <c r="BE4502">
        <v>1</v>
      </c>
      <c r="BG4502">
        <v>0</v>
      </c>
      <c r="BH4502">
        <v>0</v>
      </c>
      <c r="BI4502">
        <v>0</v>
      </c>
      <c r="BJ4502">
        <v>4225</v>
      </c>
      <c r="BK4502">
        <v>25</v>
      </c>
      <c r="BL4502" t="s">
        <v>188</v>
      </c>
      <c r="BM4502">
        <v>1</v>
      </c>
      <c r="BN4502">
        <v>1</v>
      </c>
      <c r="BO4502">
        <v>0</v>
      </c>
      <c r="BP4502">
        <v>0</v>
      </c>
      <c r="BS4502">
        <v>0</v>
      </c>
      <c r="BT4502">
        <v>0</v>
      </c>
      <c r="BU4502">
        <v>0</v>
      </c>
      <c r="CE4502" t="str">
        <f t="shared" ref="CE4502:CE4507" si="1785">"15:17:02.494"</f>
        <v>15:17:02.494</v>
      </c>
      <c r="CF4502">
        <v>493754630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4</v>
      </c>
      <c r="CY4502">
        <v>7</v>
      </c>
      <c r="CZ4502" t="s">
        <v>133</v>
      </c>
      <c r="DA4502">
        <v>275</v>
      </c>
      <c r="DB4502">
        <v>0</v>
      </c>
      <c r="DC4502" t="s">
        <v>134</v>
      </c>
      <c r="DD4502" t="s">
        <v>135</v>
      </c>
      <c r="DG4502">
        <v>3323302</v>
      </c>
      <c r="DI4502">
        <v>1</v>
      </c>
      <c r="DJ4502">
        <v>0</v>
      </c>
      <c r="DK4502">
        <v>0</v>
      </c>
      <c r="DL4502">
        <v>0</v>
      </c>
      <c r="DM4502">
        <v>0</v>
      </c>
      <c r="DN4502">
        <v>0</v>
      </c>
      <c r="DO4502">
        <v>0</v>
      </c>
      <c r="DP4502">
        <v>0</v>
      </c>
      <c r="DQ4502">
        <v>0</v>
      </c>
      <c r="DR4502">
        <v>0</v>
      </c>
      <c r="DS4502">
        <v>0</v>
      </c>
    </row>
    <row r="4503" spans="1:123" x14ac:dyDescent="0.3">
      <c r="A4503" t="str">
        <f>"05/01/2025 15:17:02.715"</f>
        <v>05/01/2025 15:17:02.715</v>
      </c>
      <c r="C4503" t="str">
        <f t="shared" si="1774"/>
        <v>FFDFD3C0</v>
      </c>
      <c r="D4503" t="s">
        <v>136</v>
      </c>
      <c r="E4503" t="str">
        <f>"20"</f>
        <v>20</v>
      </c>
      <c r="H4503">
        <v>400</v>
      </c>
      <c r="I4503" t="s">
        <v>137</v>
      </c>
      <c r="J4503" t="s">
        <v>138</v>
      </c>
      <c r="K4503">
        <v>0</v>
      </c>
      <c r="L4503">
        <v>3</v>
      </c>
      <c r="M4503">
        <v>0</v>
      </c>
      <c r="N4503">
        <v>2</v>
      </c>
      <c r="O4503">
        <v>0</v>
      </c>
      <c r="P4503">
        <v>1</v>
      </c>
      <c r="Q4503">
        <v>0</v>
      </c>
      <c r="R4503" t="s">
        <v>127</v>
      </c>
      <c r="S4503" t="str">
        <f t="shared" si="1784"/>
        <v>15:17:02.000</v>
      </c>
      <c r="T4503" t="str">
        <f t="shared" si="1784"/>
        <v>15:17:02.000</v>
      </c>
      <c r="U4503" t="str">
        <f t="shared" si="1775"/>
        <v>A68FCB</v>
      </c>
      <c r="V4503">
        <v>0</v>
      </c>
      <c r="W4503">
        <v>0</v>
      </c>
      <c r="X4503">
        <v>2</v>
      </c>
      <c r="Y4503">
        <v>0</v>
      </c>
      <c r="AA4503">
        <v>1</v>
      </c>
      <c r="AB4503">
        <v>8</v>
      </c>
      <c r="AC4503">
        <v>3</v>
      </c>
      <c r="AD4503">
        <v>0</v>
      </c>
      <c r="AE4503">
        <v>9</v>
      </c>
      <c r="AF4503" t="s">
        <v>138</v>
      </c>
      <c r="AG4503">
        <v>0</v>
      </c>
      <c r="AH4503">
        <v>3</v>
      </c>
      <c r="AI4503">
        <v>2</v>
      </c>
      <c r="AJ4503">
        <v>0</v>
      </c>
      <c r="AK4503" t="s">
        <v>1434</v>
      </c>
      <c r="AL4503">
        <v>39.207372999999997</v>
      </c>
      <c r="AM4503" t="s">
        <v>1435</v>
      </c>
      <c r="AN4503">
        <v>-121.00713</v>
      </c>
      <c r="AO4503">
        <v>25</v>
      </c>
      <c r="AP4503">
        <v>4200</v>
      </c>
      <c r="AQ4503" t="s">
        <v>131</v>
      </c>
      <c r="AR4503">
        <v>46</v>
      </c>
      <c r="AS4503">
        <v>64</v>
      </c>
      <c r="AT4503">
        <v>-64</v>
      </c>
      <c r="BB4503" t="str">
        <f t="shared" si="1776"/>
        <v>1200</v>
      </c>
      <c r="BC4503">
        <v>1</v>
      </c>
      <c r="BD4503" t="str">
        <f t="shared" si="1777"/>
        <v xml:space="preserve">N52156  </v>
      </c>
      <c r="BE4503">
        <v>1</v>
      </c>
      <c r="BG4503">
        <v>0</v>
      </c>
      <c r="BH4503">
        <v>0</v>
      </c>
      <c r="BI4503">
        <v>0</v>
      </c>
      <c r="BJ4503">
        <v>4225</v>
      </c>
      <c r="BK4503">
        <v>25</v>
      </c>
      <c r="BL4503" t="s">
        <v>188</v>
      </c>
      <c r="BM4503">
        <v>1</v>
      </c>
      <c r="BN4503">
        <v>1</v>
      </c>
      <c r="BO4503">
        <v>0</v>
      </c>
      <c r="BP4503">
        <v>0</v>
      </c>
      <c r="BS4503">
        <v>0</v>
      </c>
      <c r="BT4503">
        <v>0</v>
      </c>
      <c r="BU4503">
        <v>0</v>
      </c>
      <c r="CE4503" t="str">
        <f t="shared" si="1785"/>
        <v>15:17:02.494</v>
      </c>
      <c r="CF4503">
        <v>493754630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4</v>
      </c>
      <c r="CY4503">
        <v>7</v>
      </c>
      <c r="CZ4503" t="s">
        <v>133</v>
      </c>
      <c r="DA4503">
        <v>275</v>
      </c>
      <c r="DB4503">
        <v>0</v>
      </c>
      <c r="DC4503" t="s">
        <v>134</v>
      </c>
      <c r="DD4503" t="s">
        <v>135</v>
      </c>
      <c r="DG4503">
        <v>3323302</v>
      </c>
      <c r="DI4503">
        <v>1</v>
      </c>
      <c r="DJ4503">
        <v>0</v>
      </c>
      <c r="DK4503">
        <v>1</v>
      </c>
      <c r="DL4503">
        <v>0</v>
      </c>
      <c r="DM4503">
        <v>0</v>
      </c>
      <c r="DN4503">
        <v>0</v>
      </c>
      <c r="DO4503">
        <v>0</v>
      </c>
      <c r="DP4503">
        <v>0</v>
      </c>
      <c r="DQ4503">
        <v>0</v>
      </c>
      <c r="DR4503">
        <v>0</v>
      </c>
      <c r="DS4503">
        <v>0</v>
      </c>
    </row>
    <row r="4504" spans="1:123" x14ac:dyDescent="0.3">
      <c r="A4504" t="str">
        <f>"05/01/2025 15:17:02.730"</f>
        <v>05/01/2025 15:17:02.730</v>
      </c>
      <c r="C4504" t="str">
        <f t="shared" si="1774"/>
        <v>FFDFD3C0</v>
      </c>
      <c r="D4504" t="s">
        <v>140</v>
      </c>
      <c r="E4504" t="str">
        <f>"13"</f>
        <v>13</v>
      </c>
      <c r="F4504">
        <v>1019</v>
      </c>
      <c r="G4504" t="s">
        <v>141</v>
      </c>
      <c r="J4504" t="s">
        <v>142</v>
      </c>
      <c r="K4504">
        <v>0</v>
      </c>
      <c r="L4504">
        <v>3</v>
      </c>
      <c r="M4504">
        <v>0</v>
      </c>
      <c r="N4504">
        <v>2</v>
      </c>
      <c r="O4504">
        <v>0</v>
      </c>
      <c r="P4504">
        <v>1</v>
      </c>
      <c r="Q4504">
        <v>0</v>
      </c>
      <c r="R4504" t="s">
        <v>127</v>
      </c>
      <c r="S4504" t="str">
        <f t="shared" si="1784"/>
        <v>15:17:02.000</v>
      </c>
      <c r="T4504" t="str">
        <f t="shared" si="1784"/>
        <v>15:17:02.000</v>
      </c>
      <c r="U4504" t="str">
        <f t="shared" si="1775"/>
        <v>A68FCB</v>
      </c>
      <c r="V4504">
        <v>0</v>
      </c>
      <c r="W4504">
        <v>0</v>
      </c>
      <c r="X4504">
        <v>2</v>
      </c>
      <c r="Y4504">
        <v>0</v>
      </c>
      <c r="AA4504">
        <v>1</v>
      </c>
      <c r="AB4504">
        <v>8</v>
      </c>
      <c r="AC4504">
        <v>3</v>
      </c>
      <c r="AD4504">
        <v>0</v>
      </c>
      <c r="AE4504">
        <v>9</v>
      </c>
      <c r="AF4504" t="s">
        <v>138</v>
      </c>
      <c r="AG4504">
        <v>0</v>
      </c>
      <c r="AH4504">
        <v>3</v>
      </c>
      <c r="AI4504">
        <v>2</v>
      </c>
      <c r="AJ4504">
        <v>0</v>
      </c>
      <c r="AK4504" t="s">
        <v>1434</v>
      </c>
      <c r="AL4504">
        <v>39.207372999999997</v>
      </c>
      <c r="AM4504" t="s">
        <v>1435</v>
      </c>
      <c r="AN4504">
        <v>-121.00713</v>
      </c>
      <c r="AO4504">
        <v>25</v>
      </c>
      <c r="AP4504">
        <v>4200</v>
      </c>
      <c r="AQ4504" t="s">
        <v>131</v>
      </c>
      <c r="AR4504">
        <v>46</v>
      </c>
      <c r="AS4504">
        <v>64</v>
      </c>
      <c r="AT4504">
        <v>-64</v>
      </c>
      <c r="BB4504" t="str">
        <f t="shared" si="1776"/>
        <v>1200</v>
      </c>
      <c r="BC4504">
        <v>1</v>
      </c>
      <c r="BD4504" t="str">
        <f t="shared" si="1777"/>
        <v xml:space="preserve">N52156  </v>
      </c>
      <c r="BE4504">
        <v>1</v>
      </c>
      <c r="BG4504">
        <v>0</v>
      </c>
      <c r="BH4504">
        <v>0</v>
      </c>
      <c r="BI4504">
        <v>0</v>
      </c>
      <c r="BJ4504">
        <v>4225</v>
      </c>
      <c r="BK4504">
        <v>25</v>
      </c>
      <c r="BL4504" t="s">
        <v>188</v>
      </c>
      <c r="BM4504">
        <v>1</v>
      </c>
      <c r="BN4504">
        <v>1</v>
      </c>
      <c r="BO4504">
        <v>0</v>
      </c>
      <c r="BP4504">
        <v>0</v>
      </c>
      <c r="BS4504">
        <v>0</v>
      </c>
      <c r="BT4504">
        <v>0</v>
      </c>
      <c r="BU4504">
        <v>0</v>
      </c>
      <c r="CE4504" t="str">
        <f t="shared" si="1785"/>
        <v>15:17:02.494</v>
      </c>
      <c r="CF4504">
        <v>493754630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4</v>
      </c>
      <c r="CY4504">
        <v>7</v>
      </c>
      <c r="CZ4504" t="s">
        <v>133</v>
      </c>
      <c r="DA4504">
        <v>275</v>
      </c>
      <c r="DB4504">
        <v>0</v>
      </c>
      <c r="DC4504" t="s">
        <v>134</v>
      </c>
      <c r="DD4504" t="s">
        <v>135</v>
      </c>
      <c r="DG4504">
        <v>3323302</v>
      </c>
      <c r="DI4504">
        <v>1</v>
      </c>
      <c r="DJ4504">
        <v>0</v>
      </c>
      <c r="DK4504">
        <v>1</v>
      </c>
      <c r="DL4504">
        <v>0</v>
      </c>
      <c r="DM4504">
        <v>0</v>
      </c>
      <c r="DN4504">
        <v>0</v>
      </c>
      <c r="DO4504">
        <v>0</v>
      </c>
      <c r="DP4504">
        <v>0</v>
      </c>
      <c r="DQ4504">
        <v>0</v>
      </c>
      <c r="DR4504">
        <v>0</v>
      </c>
      <c r="DS4504">
        <v>0</v>
      </c>
    </row>
    <row r="4505" spans="1:123" x14ac:dyDescent="0.3">
      <c r="A4505" t="str">
        <f>"05/01/2025 15:17:02.735"</f>
        <v>05/01/2025 15:17:02.735</v>
      </c>
      <c r="C4505" t="str">
        <f t="shared" si="1774"/>
        <v>FFDFD3C0</v>
      </c>
      <c r="D4505" t="s">
        <v>143</v>
      </c>
      <c r="E4505" t="str">
        <f>"05"</f>
        <v>05</v>
      </c>
      <c r="H4505">
        <v>172</v>
      </c>
      <c r="I4505" t="s">
        <v>141</v>
      </c>
      <c r="J4505" t="s">
        <v>144</v>
      </c>
      <c r="K4505">
        <v>0</v>
      </c>
      <c r="L4505">
        <v>3</v>
      </c>
      <c r="M4505">
        <v>0</v>
      </c>
      <c r="N4505">
        <v>2</v>
      </c>
      <c r="O4505">
        <v>0</v>
      </c>
      <c r="P4505">
        <v>1</v>
      </c>
      <c r="Q4505">
        <v>0</v>
      </c>
      <c r="R4505" t="s">
        <v>127</v>
      </c>
      <c r="S4505" t="str">
        <f t="shared" si="1784"/>
        <v>15:17:02.000</v>
      </c>
      <c r="T4505" t="str">
        <f t="shared" si="1784"/>
        <v>15:17:02.000</v>
      </c>
      <c r="U4505" t="str">
        <f t="shared" si="1775"/>
        <v>A68FCB</v>
      </c>
      <c r="V4505">
        <v>0</v>
      </c>
      <c r="W4505">
        <v>0</v>
      </c>
      <c r="X4505">
        <v>2</v>
      </c>
      <c r="Y4505">
        <v>0</v>
      </c>
      <c r="AA4505">
        <v>1</v>
      </c>
      <c r="AB4505">
        <v>8</v>
      </c>
      <c r="AC4505">
        <v>3</v>
      </c>
      <c r="AD4505">
        <v>0</v>
      </c>
      <c r="AE4505">
        <v>9</v>
      </c>
      <c r="AF4505" t="s">
        <v>138</v>
      </c>
      <c r="AG4505">
        <v>0</v>
      </c>
      <c r="AH4505">
        <v>3</v>
      </c>
      <c r="AI4505">
        <v>2</v>
      </c>
      <c r="AJ4505">
        <v>0</v>
      </c>
      <c r="AK4505" t="s">
        <v>1434</v>
      </c>
      <c r="AL4505">
        <v>39.207372999999997</v>
      </c>
      <c r="AM4505" t="s">
        <v>1435</v>
      </c>
      <c r="AN4505">
        <v>-121.00713</v>
      </c>
      <c r="AO4505">
        <v>25</v>
      </c>
      <c r="AP4505">
        <v>4200</v>
      </c>
      <c r="AQ4505" t="s">
        <v>131</v>
      </c>
      <c r="AR4505">
        <v>46</v>
      </c>
      <c r="AS4505">
        <v>64</v>
      </c>
      <c r="AT4505">
        <v>-64</v>
      </c>
      <c r="BB4505" t="str">
        <f t="shared" si="1776"/>
        <v>1200</v>
      </c>
      <c r="BC4505">
        <v>1</v>
      </c>
      <c r="BD4505" t="str">
        <f t="shared" si="1777"/>
        <v xml:space="preserve">N52156  </v>
      </c>
      <c r="BE4505">
        <v>1</v>
      </c>
      <c r="BG4505">
        <v>0</v>
      </c>
      <c r="BH4505">
        <v>0</v>
      </c>
      <c r="BI4505">
        <v>0</v>
      </c>
      <c r="BJ4505">
        <v>4225</v>
      </c>
      <c r="BK4505">
        <v>25</v>
      </c>
      <c r="BL4505" t="s">
        <v>188</v>
      </c>
      <c r="BM4505">
        <v>1</v>
      </c>
      <c r="BN4505">
        <v>1</v>
      </c>
      <c r="BO4505">
        <v>0</v>
      </c>
      <c r="BP4505">
        <v>0</v>
      </c>
      <c r="BS4505">
        <v>0</v>
      </c>
      <c r="BT4505">
        <v>0</v>
      </c>
      <c r="BU4505">
        <v>0</v>
      </c>
      <c r="CE4505" t="str">
        <f t="shared" si="1785"/>
        <v>15:17:02.494</v>
      </c>
      <c r="CF4505">
        <v>493754630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4</v>
      </c>
      <c r="CY4505">
        <v>7</v>
      </c>
      <c r="CZ4505" t="s">
        <v>133</v>
      </c>
      <c r="DA4505">
        <v>275</v>
      </c>
      <c r="DB4505">
        <v>0</v>
      </c>
      <c r="DC4505" t="s">
        <v>134</v>
      </c>
      <c r="DD4505" t="s">
        <v>135</v>
      </c>
      <c r="DG4505">
        <v>3323302</v>
      </c>
      <c r="DI4505">
        <v>1</v>
      </c>
      <c r="DJ4505">
        <v>0</v>
      </c>
      <c r="DK4505">
        <v>1</v>
      </c>
      <c r="DL4505">
        <v>0</v>
      </c>
      <c r="DM4505">
        <v>0</v>
      </c>
      <c r="DN4505">
        <v>0</v>
      </c>
      <c r="DO4505">
        <v>0</v>
      </c>
      <c r="DP4505">
        <v>0</v>
      </c>
      <c r="DQ4505">
        <v>0</v>
      </c>
      <c r="DR4505">
        <v>0</v>
      </c>
      <c r="DS4505">
        <v>0</v>
      </c>
    </row>
    <row r="4506" spans="1:123" x14ac:dyDescent="0.3">
      <c r="A4506" t="str">
        <f>"05/01/2025 15:17:02.730"</f>
        <v>05/01/2025 15:17:02.730</v>
      </c>
      <c r="C4506" t="str">
        <f t="shared" si="1774"/>
        <v>FFDFD3C0</v>
      </c>
      <c r="D4506" t="s">
        <v>124</v>
      </c>
      <c r="E4506" t="str">
        <f>"06"</f>
        <v>06</v>
      </c>
      <c r="F4506">
        <v>2006</v>
      </c>
      <c r="G4506" t="s">
        <v>125</v>
      </c>
      <c r="J4506" t="s">
        <v>126</v>
      </c>
      <c r="K4506">
        <v>0</v>
      </c>
      <c r="L4506">
        <v>3</v>
      </c>
      <c r="M4506">
        <v>0</v>
      </c>
      <c r="N4506">
        <v>2</v>
      </c>
      <c r="O4506">
        <v>0</v>
      </c>
      <c r="P4506">
        <v>1</v>
      </c>
      <c r="Q4506">
        <v>0</v>
      </c>
      <c r="R4506" t="s">
        <v>127</v>
      </c>
      <c r="S4506" t="str">
        <f t="shared" si="1784"/>
        <v>15:17:02.000</v>
      </c>
      <c r="T4506" t="str">
        <f t="shared" si="1784"/>
        <v>15:17:02.000</v>
      </c>
      <c r="U4506" t="str">
        <f t="shared" si="1775"/>
        <v>A68FCB</v>
      </c>
      <c r="V4506">
        <v>0</v>
      </c>
      <c r="W4506">
        <v>0</v>
      </c>
      <c r="X4506">
        <v>2</v>
      </c>
      <c r="Y4506">
        <v>0</v>
      </c>
      <c r="AA4506">
        <v>1</v>
      </c>
      <c r="AB4506">
        <v>8</v>
      </c>
      <c r="AC4506">
        <v>3</v>
      </c>
      <c r="AD4506">
        <v>0</v>
      </c>
      <c r="AE4506">
        <v>9</v>
      </c>
      <c r="AF4506" t="s">
        <v>138</v>
      </c>
      <c r="AG4506">
        <v>0</v>
      </c>
      <c r="AH4506">
        <v>3</v>
      </c>
      <c r="AI4506">
        <v>2</v>
      </c>
      <c r="AJ4506">
        <v>0</v>
      </c>
      <c r="AK4506" t="s">
        <v>1434</v>
      </c>
      <c r="AL4506">
        <v>39.207372999999997</v>
      </c>
      <c r="AM4506" t="s">
        <v>1435</v>
      </c>
      <c r="AN4506">
        <v>-121.00713</v>
      </c>
      <c r="AO4506">
        <v>25</v>
      </c>
      <c r="AP4506">
        <v>4200</v>
      </c>
      <c r="AQ4506" t="s">
        <v>131</v>
      </c>
      <c r="AR4506">
        <v>46</v>
      </c>
      <c r="AS4506">
        <v>64</v>
      </c>
      <c r="AT4506">
        <v>-64</v>
      </c>
      <c r="BB4506" t="str">
        <f t="shared" si="1776"/>
        <v>1200</v>
      </c>
      <c r="BC4506">
        <v>1</v>
      </c>
      <c r="BD4506" t="str">
        <f t="shared" si="1777"/>
        <v xml:space="preserve">N52156  </v>
      </c>
      <c r="BE4506">
        <v>1</v>
      </c>
      <c r="BG4506">
        <v>0</v>
      </c>
      <c r="BH4506">
        <v>0</v>
      </c>
      <c r="BI4506">
        <v>0</v>
      </c>
      <c r="BJ4506">
        <v>4225</v>
      </c>
      <c r="BK4506">
        <v>25</v>
      </c>
      <c r="BL4506" t="s">
        <v>188</v>
      </c>
      <c r="BM4506">
        <v>1</v>
      </c>
      <c r="BN4506">
        <v>1</v>
      </c>
      <c r="BO4506">
        <v>0</v>
      </c>
      <c r="BP4506">
        <v>0</v>
      </c>
      <c r="BS4506">
        <v>0</v>
      </c>
      <c r="BT4506">
        <v>0</v>
      </c>
      <c r="BU4506">
        <v>0</v>
      </c>
      <c r="CE4506" t="str">
        <f t="shared" si="1785"/>
        <v>15:17:02.494</v>
      </c>
      <c r="CF4506">
        <v>493754630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4</v>
      </c>
      <c r="CY4506">
        <v>7</v>
      </c>
      <c r="CZ4506" t="s">
        <v>133</v>
      </c>
      <c r="DA4506">
        <v>275</v>
      </c>
      <c r="DB4506">
        <v>0</v>
      </c>
      <c r="DC4506" t="s">
        <v>134</v>
      </c>
      <c r="DD4506" t="s">
        <v>135</v>
      </c>
      <c r="DG4506">
        <v>3323302</v>
      </c>
      <c r="DI4506">
        <v>1</v>
      </c>
      <c r="DJ4506">
        <v>0</v>
      </c>
      <c r="DK4506">
        <v>1</v>
      </c>
      <c r="DL4506">
        <v>0</v>
      </c>
      <c r="DM4506">
        <v>0</v>
      </c>
      <c r="DN4506">
        <v>0</v>
      </c>
      <c r="DO4506">
        <v>0</v>
      </c>
      <c r="DP4506">
        <v>0</v>
      </c>
      <c r="DQ4506">
        <v>0</v>
      </c>
      <c r="DR4506">
        <v>0</v>
      </c>
      <c r="DS4506">
        <v>0</v>
      </c>
    </row>
    <row r="4507" spans="1:123" x14ac:dyDescent="0.3">
      <c r="A4507" t="str">
        <f>"05/01/2025 15:17:02.748"</f>
        <v>05/01/2025 15:17:02.748</v>
      </c>
      <c r="C4507" t="str">
        <f t="shared" si="1774"/>
        <v>FFDFD3C0</v>
      </c>
      <c r="D4507" t="s">
        <v>145</v>
      </c>
      <c r="E4507" t="str">
        <f>"09"</f>
        <v>09</v>
      </c>
      <c r="H4507">
        <v>51</v>
      </c>
      <c r="I4507" t="s">
        <v>147</v>
      </c>
      <c r="J4507" t="s">
        <v>138</v>
      </c>
      <c r="K4507">
        <v>0</v>
      </c>
      <c r="L4507">
        <v>3</v>
      </c>
      <c r="M4507">
        <v>0</v>
      </c>
      <c r="N4507">
        <v>2</v>
      </c>
      <c r="O4507">
        <v>0</v>
      </c>
      <c r="P4507">
        <v>1</v>
      </c>
      <c r="Q4507">
        <v>0</v>
      </c>
      <c r="R4507" t="s">
        <v>127</v>
      </c>
      <c r="S4507" t="str">
        <f t="shared" si="1784"/>
        <v>15:17:02.000</v>
      </c>
      <c r="T4507" t="str">
        <f t="shared" si="1784"/>
        <v>15:17:02.000</v>
      </c>
      <c r="U4507" t="str">
        <f t="shared" si="1775"/>
        <v>A68FCB</v>
      </c>
      <c r="V4507">
        <v>0</v>
      </c>
      <c r="W4507">
        <v>0</v>
      </c>
      <c r="X4507">
        <v>2</v>
      </c>
      <c r="Y4507">
        <v>0</v>
      </c>
      <c r="AA4507">
        <v>1</v>
      </c>
      <c r="AB4507">
        <v>8</v>
      </c>
      <c r="AC4507">
        <v>3</v>
      </c>
      <c r="AD4507">
        <v>0</v>
      </c>
      <c r="AE4507">
        <v>9</v>
      </c>
      <c r="AF4507" t="s">
        <v>138</v>
      </c>
      <c r="AG4507">
        <v>0</v>
      </c>
      <c r="AH4507">
        <v>3</v>
      </c>
      <c r="AI4507">
        <v>2</v>
      </c>
      <c r="AJ4507">
        <v>0</v>
      </c>
      <c r="AK4507" t="s">
        <v>1434</v>
      </c>
      <c r="AL4507">
        <v>39.207372999999997</v>
      </c>
      <c r="AM4507" t="s">
        <v>1435</v>
      </c>
      <c r="AN4507">
        <v>-121.00713</v>
      </c>
      <c r="AO4507">
        <v>25</v>
      </c>
      <c r="AP4507">
        <v>4200</v>
      </c>
      <c r="AQ4507" t="s">
        <v>131</v>
      </c>
      <c r="AR4507">
        <v>46</v>
      </c>
      <c r="AS4507">
        <v>64</v>
      </c>
      <c r="AT4507">
        <v>-64</v>
      </c>
      <c r="BB4507" t="str">
        <f t="shared" si="1776"/>
        <v>1200</v>
      </c>
      <c r="BC4507">
        <v>1</v>
      </c>
      <c r="BD4507" t="str">
        <f t="shared" si="1777"/>
        <v xml:space="preserve">N52156  </v>
      </c>
      <c r="BE4507">
        <v>1</v>
      </c>
      <c r="BG4507">
        <v>0</v>
      </c>
      <c r="BH4507">
        <v>0</v>
      </c>
      <c r="BI4507">
        <v>0</v>
      </c>
      <c r="BJ4507">
        <v>4225</v>
      </c>
      <c r="BK4507">
        <v>25</v>
      </c>
      <c r="BL4507" t="s">
        <v>188</v>
      </c>
      <c r="BM4507">
        <v>1</v>
      </c>
      <c r="BN4507">
        <v>1</v>
      </c>
      <c r="BO4507">
        <v>0</v>
      </c>
      <c r="BP4507">
        <v>0</v>
      </c>
      <c r="BS4507">
        <v>0</v>
      </c>
      <c r="BT4507">
        <v>0</v>
      </c>
      <c r="BU4507">
        <v>0</v>
      </c>
      <c r="CE4507" t="str">
        <f t="shared" si="1785"/>
        <v>15:17:02.494</v>
      </c>
      <c r="CF4507">
        <v>493754630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4</v>
      </c>
      <c r="CY4507">
        <v>7</v>
      </c>
      <c r="CZ4507" t="s">
        <v>133</v>
      </c>
      <c r="DA4507">
        <v>275</v>
      </c>
      <c r="DB4507">
        <v>0</v>
      </c>
      <c r="DC4507" t="s">
        <v>134</v>
      </c>
      <c r="DD4507" t="s">
        <v>135</v>
      </c>
      <c r="DG4507">
        <v>3323302</v>
      </c>
      <c r="DI4507">
        <v>1</v>
      </c>
      <c r="DJ4507">
        <v>0</v>
      </c>
      <c r="DK4507">
        <v>1</v>
      </c>
      <c r="DL4507">
        <v>0</v>
      </c>
      <c r="DM4507">
        <v>0</v>
      </c>
      <c r="DN4507">
        <v>0</v>
      </c>
      <c r="DO4507">
        <v>0</v>
      </c>
      <c r="DP4507">
        <v>0</v>
      </c>
      <c r="DQ4507">
        <v>0</v>
      </c>
      <c r="DR4507">
        <v>0</v>
      </c>
      <c r="DS4507">
        <v>0</v>
      </c>
    </row>
    <row r="4508" spans="1:123" x14ac:dyDescent="0.3">
      <c r="A4508" t="str">
        <f>"05/01/2025 15:17:03.516"</f>
        <v>05/01/2025 15:17:03.516</v>
      </c>
      <c r="C4508" t="str">
        <f t="shared" si="1774"/>
        <v>FFDFD3C0</v>
      </c>
      <c r="D4508" t="s">
        <v>136</v>
      </c>
      <c r="E4508" t="str">
        <f>"20"</f>
        <v>20</v>
      </c>
      <c r="H4508">
        <v>400</v>
      </c>
      <c r="I4508" t="s">
        <v>137</v>
      </c>
      <c r="J4508" t="s">
        <v>138</v>
      </c>
      <c r="K4508">
        <v>0</v>
      </c>
      <c r="L4508">
        <v>3</v>
      </c>
      <c r="M4508">
        <v>0</v>
      </c>
      <c r="N4508">
        <v>2</v>
      </c>
      <c r="O4508">
        <v>0</v>
      </c>
      <c r="P4508">
        <v>1</v>
      </c>
      <c r="Q4508">
        <v>0</v>
      </c>
      <c r="R4508" t="s">
        <v>127</v>
      </c>
      <c r="S4508" t="str">
        <f t="shared" ref="S4508:T4513" si="1786">"15:17:03.000"</f>
        <v>15:17:03.000</v>
      </c>
      <c r="T4508" t="str">
        <f t="shared" si="1786"/>
        <v>15:17:03.000</v>
      </c>
      <c r="U4508" t="str">
        <f t="shared" si="1775"/>
        <v>A68FCB</v>
      </c>
      <c r="V4508">
        <v>0</v>
      </c>
      <c r="W4508">
        <v>0</v>
      </c>
      <c r="X4508">
        <v>2</v>
      </c>
      <c r="Y4508">
        <v>0</v>
      </c>
      <c r="AA4508">
        <v>1</v>
      </c>
      <c r="AB4508">
        <v>8</v>
      </c>
      <c r="AC4508">
        <v>3</v>
      </c>
      <c r="AD4508">
        <v>0</v>
      </c>
      <c r="AE4508">
        <v>9</v>
      </c>
      <c r="AF4508" t="s">
        <v>138</v>
      </c>
      <c r="AG4508">
        <v>0</v>
      </c>
      <c r="AH4508">
        <v>3</v>
      </c>
      <c r="AI4508">
        <v>2</v>
      </c>
      <c r="AJ4508">
        <v>0</v>
      </c>
      <c r="AK4508" t="s">
        <v>1436</v>
      </c>
      <c r="AL4508">
        <v>39.207673</v>
      </c>
      <c r="AM4508" t="s">
        <v>1437</v>
      </c>
      <c r="AN4508">
        <v>-121.006851</v>
      </c>
      <c r="AO4508">
        <v>25</v>
      </c>
      <c r="AP4508">
        <v>4200</v>
      </c>
      <c r="AQ4508" t="s">
        <v>131</v>
      </c>
      <c r="AR4508">
        <v>46</v>
      </c>
      <c r="AS4508">
        <v>66</v>
      </c>
      <c r="AT4508">
        <v>-128</v>
      </c>
      <c r="BB4508" t="str">
        <f t="shared" si="1776"/>
        <v>1200</v>
      </c>
      <c r="BC4508">
        <v>1</v>
      </c>
      <c r="BD4508" t="str">
        <f t="shared" si="1777"/>
        <v xml:space="preserve">N52156  </v>
      </c>
      <c r="BE4508">
        <v>1</v>
      </c>
      <c r="BG4508">
        <v>0</v>
      </c>
      <c r="BH4508">
        <v>0</v>
      </c>
      <c r="BI4508">
        <v>0</v>
      </c>
      <c r="BJ4508">
        <v>4225</v>
      </c>
      <c r="BK4508">
        <v>25</v>
      </c>
      <c r="BL4508" t="s">
        <v>188</v>
      </c>
      <c r="BM4508">
        <v>1</v>
      </c>
      <c r="BN4508">
        <v>1</v>
      </c>
      <c r="BO4508">
        <v>0</v>
      </c>
      <c r="BP4508">
        <v>0</v>
      </c>
      <c r="BS4508">
        <v>0</v>
      </c>
      <c r="BT4508">
        <v>0</v>
      </c>
      <c r="BU4508">
        <v>0</v>
      </c>
      <c r="CE4508" t="str">
        <f t="shared" ref="CE4508:CE4513" si="1787">"15:17:03.310"</f>
        <v>15:17:03.310</v>
      </c>
      <c r="CF4508">
        <v>309754245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4</v>
      </c>
      <c r="CY4508">
        <v>7</v>
      </c>
      <c r="CZ4508" t="s">
        <v>133</v>
      </c>
      <c r="DA4508">
        <v>275</v>
      </c>
      <c r="DB4508">
        <v>0</v>
      </c>
      <c r="DC4508" t="s">
        <v>134</v>
      </c>
      <c r="DD4508" t="s">
        <v>135</v>
      </c>
      <c r="DG4508">
        <v>3323304</v>
      </c>
      <c r="DI4508">
        <v>1</v>
      </c>
      <c r="DJ4508">
        <v>0</v>
      </c>
      <c r="DK4508">
        <v>0</v>
      </c>
      <c r="DL4508">
        <v>0</v>
      </c>
      <c r="DM4508">
        <v>0</v>
      </c>
      <c r="DN4508">
        <v>0</v>
      </c>
      <c r="DO4508">
        <v>0</v>
      </c>
      <c r="DP4508">
        <v>0</v>
      </c>
      <c r="DQ4508">
        <v>0</v>
      </c>
      <c r="DR4508">
        <v>0</v>
      </c>
      <c r="DS4508">
        <v>0</v>
      </c>
    </row>
    <row r="4509" spans="1:123" x14ac:dyDescent="0.3">
      <c r="A4509" t="str">
        <f>"05/01/2025 15:17:03.532"</f>
        <v>05/01/2025 15:17:03.532</v>
      </c>
      <c r="C4509" t="str">
        <f t="shared" si="1774"/>
        <v>FFDFD3C0</v>
      </c>
      <c r="D4509" t="s">
        <v>124</v>
      </c>
      <c r="E4509" t="str">
        <f>"06"</f>
        <v>06</v>
      </c>
      <c r="F4509">
        <v>2006</v>
      </c>
      <c r="G4509" t="s">
        <v>125</v>
      </c>
      <c r="J4509" t="s">
        <v>126</v>
      </c>
      <c r="K4509">
        <v>0</v>
      </c>
      <c r="L4509">
        <v>3</v>
      </c>
      <c r="M4509">
        <v>0</v>
      </c>
      <c r="N4509">
        <v>2</v>
      </c>
      <c r="O4509">
        <v>0</v>
      </c>
      <c r="P4509">
        <v>1</v>
      </c>
      <c r="Q4509">
        <v>0</v>
      </c>
      <c r="R4509" t="s">
        <v>127</v>
      </c>
      <c r="S4509" t="str">
        <f t="shared" si="1786"/>
        <v>15:17:03.000</v>
      </c>
      <c r="T4509" t="str">
        <f t="shared" si="1786"/>
        <v>15:17:03.000</v>
      </c>
      <c r="U4509" t="str">
        <f t="shared" si="1775"/>
        <v>A68FCB</v>
      </c>
      <c r="V4509">
        <v>0</v>
      </c>
      <c r="W4509">
        <v>0</v>
      </c>
      <c r="X4509">
        <v>2</v>
      </c>
      <c r="Y4509">
        <v>0</v>
      </c>
      <c r="AA4509">
        <v>1</v>
      </c>
      <c r="AB4509">
        <v>8</v>
      </c>
      <c r="AC4509">
        <v>3</v>
      </c>
      <c r="AD4509">
        <v>0</v>
      </c>
      <c r="AE4509">
        <v>9</v>
      </c>
      <c r="AF4509" t="s">
        <v>138</v>
      </c>
      <c r="AG4509">
        <v>0</v>
      </c>
      <c r="AH4509">
        <v>3</v>
      </c>
      <c r="AI4509">
        <v>2</v>
      </c>
      <c r="AJ4509">
        <v>0</v>
      </c>
      <c r="AK4509" t="s">
        <v>1436</v>
      </c>
      <c r="AL4509">
        <v>39.207673</v>
      </c>
      <c r="AM4509" t="s">
        <v>1437</v>
      </c>
      <c r="AN4509">
        <v>-121.006851</v>
      </c>
      <c r="AO4509">
        <v>25</v>
      </c>
      <c r="AP4509">
        <v>4200</v>
      </c>
      <c r="AQ4509" t="s">
        <v>131</v>
      </c>
      <c r="AR4509">
        <v>46</v>
      </c>
      <c r="AS4509">
        <v>66</v>
      </c>
      <c r="AT4509">
        <v>-128</v>
      </c>
      <c r="BB4509" t="str">
        <f t="shared" si="1776"/>
        <v>1200</v>
      </c>
      <c r="BC4509">
        <v>1</v>
      </c>
      <c r="BD4509" t="str">
        <f t="shared" si="1777"/>
        <v xml:space="preserve">N52156  </v>
      </c>
      <c r="BE4509">
        <v>1</v>
      </c>
      <c r="BG4509">
        <v>0</v>
      </c>
      <c r="BH4509">
        <v>0</v>
      </c>
      <c r="BI4509">
        <v>0</v>
      </c>
      <c r="BJ4509">
        <v>4225</v>
      </c>
      <c r="BK4509">
        <v>25</v>
      </c>
      <c r="BL4509" t="s">
        <v>188</v>
      </c>
      <c r="BM4509">
        <v>1</v>
      </c>
      <c r="BN4509">
        <v>1</v>
      </c>
      <c r="BO4509">
        <v>0</v>
      </c>
      <c r="BP4509">
        <v>0</v>
      </c>
      <c r="BS4509">
        <v>0</v>
      </c>
      <c r="BT4509">
        <v>0</v>
      </c>
      <c r="BU4509">
        <v>0</v>
      </c>
      <c r="CE4509" t="str">
        <f t="shared" si="1787"/>
        <v>15:17:03.310</v>
      </c>
      <c r="CF4509">
        <v>309754245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4</v>
      </c>
      <c r="CY4509">
        <v>7</v>
      </c>
      <c r="CZ4509" t="s">
        <v>133</v>
      </c>
      <c r="DA4509">
        <v>275</v>
      </c>
      <c r="DB4509">
        <v>0</v>
      </c>
      <c r="DC4509" t="s">
        <v>134</v>
      </c>
      <c r="DD4509" t="s">
        <v>135</v>
      </c>
      <c r="DG4509">
        <v>3323304</v>
      </c>
      <c r="DI4509">
        <v>1</v>
      </c>
      <c r="DJ4509">
        <v>0</v>
      </c>
      <c r="DK4509">
        <v>1</v>
      </c>
      <c r="DL4509">
        <v>0</v>
      </c>
      <c r="DM4509">
        <v>0</v>
      </c>
      <c r="DN4509">
        <v>0</v>
      </c>
      <c r="DO4509">
        <v>0</v>
      </c>
      <c r="DP4509">
        <v>0</v>
      </c>
      <c r="DQ4509">
        <v>0</v>
      </c>
      <c r="DR4509">
        <v>0</v>
      </c>
      <c r="DS4509">
        <v>0</v>
      </c>
    </row>
    <row r="4510" spans="1:123" x14ac:dyDescent="0.3">
      <c r="A4510" t="str">
        <f>"05/01/2025 15:17:03.532"</f>
        <v>05/01/2025 15:17:03.532</v>
      </c>
      <c r="C4510" t="str">
        <f t="shared" si="1774"/>
        <v>FFDFD3C0</v>
      </c>
      <c r="D4510" t="s">
        <v>140</v>
      </c>
      <c r="E4510" t="str">
        <f>"13"</f>
        <v>13</v>
      </c>
      <c r="F4510">
        <v>1019</v>
      </c>
      <c r="G4510" t="s">
        <v>141</v>
      </c>
      <c r="J4510" t="s">
        <v>142</v>
      </c>
      <c r="K4510">
        <v>0</v>
      </c>
      <c r="L4510">
        <v>3</v>
      </c>
      <c r="M4510">
        <v>0</v>
      </c>
      <c r="N4510">
        <v>2</v>
      </c>
      <c r="O4510">
        <v>0</v>
      </c>
      <c r="P4510">
        <v>1</v>
      </c>
      <c r="Q4510">
        <v>0</v>
      </c>
      <c r="R4510" t="s">
        <v>127</v>
      </c>
      <c r="S4510" t="str">
        <f t="shared" si="1786"/>
        <v>15:17:03.000</v>
      </c>
      <c r="T4510" t="str">
        <f t="shared" si="1786"/>
        <v>15:17:03.000</v>
      </c>
      <c r="U4510" t="str">
        <f t="shared" si="1775"/>
        <v>A68FCB</v>
      </c>
      <c r="V4510">
        <v>0</v>
      </c>
      <c r="W4510">
        <v>0</v>
      </c>
      <c r="X4510">
        <v>2</v>
      </c>
      <c r="Y4510">
        <v>0</v>
      </c>
      <c r="AA4510">
        <v>1</v>
      </c>
      <c r="AB4510">
        <v>8</v>
      </c>
      <c r="AC4510">
        <v>3</v>
      </c>
      <c r="AD4510">
        <v>0</v>
      </c>
      <c r="AE4510">
        <v>9</v>
      </c>
      <c r="AF4510" t="s">
        <v>138</v>
      </c>
      <c r="AG4510">
        <v>0</v>
      </c>
      <c r="AH4510">
        <v>3</v>
      </c>
      <c r="AI4510">
        <v>2</v>
      </c>
      <c r="AJ4510">
        <v>0</v>
      </c>
      <c r="AK4510" t="s">
        <v>1436</v>
      </c>
      <c r="AL4510">
        <v>39.207673</v>
      </c>
      <c r="AM4510" t="s">
        <v>1437</v>
      </c>
      <c r="AN4510">
        <v>-121.006851</v>
      </c>
      <c r="AO4510">
        <v>25</v>
      </c>
      <c r="AP4510">
        <v>4200</v>
      </c>
      <c r="AQ4510" t="s">
        <v>131</v>
      </c>
      <c r="AR4510">
        <v>46</v>
      </c>
      <c r="AS4510">
        <v>66</v>
      </c>
      <c r="AT4510">
        <v>-128</v>
      </c>
      <c r="BB4510" t="str">
        <f t="shared" si="1776"/>
        <v>1200</v>
      </c>
      <c r="BC4510">
        <v>1</v>
      </c>
      <c r="BD4510" t="str">
        <f t="shared" si="1777"/>
        <v xml:space="preserve">N52156  </v>
      </c>
      <c r="BE4510">
        <v>1</v>
      </c>
      <c r="BG4510">
        <v>0</v>
      </c>
      <c r="BH4510">
        <v>0</v>
      </c>
      <c r="BI4510">
        <v>0</v>
      </c>
      <c r="BJ4510">
        <v>4225</v>
      </c>
      <c r="BK4510">
        <v>25</v>
      </c>
      <c r="BL4510" t="s">
        <v>188</v>
      </c>
      <c r="BM4510">
        <v>1</v>
      </c>
      <c r="BN4510">
        <v>1</v>
      </c>
      <c r="BO4510">
        <v>0</v>
      </c>
      <c r="BP4510">
        <v>0</v>
      </c>
      <c r="BS4510">
        <v>0</v>
      </c>
      <c r="BT4510">
        <v>0</v>
      </c>
      <c r="BU4510">
        <v>0</v>
      </c>
      <c r="CE4510" t="str">
        <f t="shared" si="1787"/>
        <v>15:17:03.310</v>
      </c>
      <c r="CF4510">
        <v>309754245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4</v>
      </c>
      <c r="CY4510">
        <v>7</v>
      </c>
      <c r="CZ4510" t="s">
        <v>133</v>
      </c>
      <c r="DA4510">
        <v>275</v>
      </c>
      <c r="DB4510">
        <v>0</v>
      </c>
      <c r="DC4510" t="s">
        <v>134</v>
      </c>
      <c r="DD4510" t="s">
        <v>135</v>
      </c>
      <c r="DG4510">
        <v>3323304</v>
      </c>
      <c r="DI4510">
        <v>1</v>
      </c>
      <c r="DJ4510">
        <v>0</v>
      </c>
      <c r="DK4510">
        <v>1</v>
      </c>
      <c r="DL4510">
        <v>0</v>
      </c>
      <c r="DM4510">
        <v>0</v>
      </c>
      <c r="DN4510">
        <v>0</v>
      </c>
      <c r="DO4510">
        <v>0</v>
      </c>
      <c r="DP4510">
        <v>0</v>
      </c>
      <c r="DQ4510">
        <v>0</v>
      </c>
      <c r="DR4510">
        <v>0</v>
      </c>
      <c r="DS4510">
        <v>0</v>
      </c>
    </row>
    <row r="4511" spans="1:123" x14ac:dyDescent="0.3">
      <c r="A4511" t="str">
        <f>"05/01/2025 15:17:03.537"</f>
        <v>05/01/2025 15:17:03.537</v>
      </c>
      <c r="C4511" t="str">
        <f t="shared" si="1774"/>
        <v>FFDFD3C0</v>
      </c>
      <c r="D4511" t="s">
        <v>143</v>
      </c>
      <c r="E4511" t="str">
        <f>"05"</f>
        <v>05</v>
      </c>
      <c r="H4511">
        <v>172</v>
      </c>
      <c r="I4511" t="s">
        <v>141</v>
      </c>
      <c r="J4511" t="s">
        <v>144</v>
      </c>
      <c r="K4511">
        <v>0</v>
      </c>
      <c r="L4511">
        <v>3</v>
      </c>
      <c r="M4511">
        <v>0</v>
      </c>
      <c r="N4511">
        <v>2</v>
      </c>
      <c r="O4511">
        <v>0</v>
      </c>
      <c r="P4511">
        <v>1</v>
      </c>
      <c r="Q4511">
        <v>0</v>
      </c>
      <c r="R4511" t="s">
        <v>127</v>
      </c>
      <c r="S4511" t="str">
        <f t="shared" si="1786"/>
        <v>15:17:03.000</v>
      </c>
      <c r="T4511" t="str">
        <f t="shared" si="1786"/>
        <v>15:17:03.000</v>
      </c>
      <c r="U4511" t="str">
        <f t="shared" si="1775"/>
        <v>A68FCB</v>
      </c>
      <c r="V4511">
        <v>0</v>
      </c>
      <c r="W4511">
        <v>0</v>
      </c>
      <c r="X4511">
        <v>2</v>
      </c>
      <c r="Y4511">
        <v>0</v>
      </c>
      <c r="AA4511">
        <v>1</v>
      </c>
      <c r="AB4511">
        <v>8</v>
      </c>
      <c r="AC4511">
        <v>3</v>
      </c>
      <c r="AD4511">
        <v>0</v>
      </c>
      <c r="AE4511">
        <v>9</v>
      </c>
      <c r="AF4511" t="s">
        <v>138</v>
      </c>
      <c r="AG4511">
        <v>0</v>
      </c>
      <c r="AH4511">
        <v>3</v>
      </c>
      <c r="AI4511">
        <v>2</v>
      </c>
      <c r="AJ4511">
        <v>0</v>
      </c>
      <c r="AK4511" t="s">
        <v>1436</v>
      </c>
      <c r="AL4511">
        <v>39.207673</v>
      </c>
      <c r="AM4511" t="s">
        <v>1437</v>
      </c>
      <c r="AN4511">
        <v>-121.006851</v>
      </c>
      <c r="AO4511">
        <v>25</v>
      </c>
      <c r="AP4511">
        <v>4200</v>
      </c>
      <c r="AQ4511" t="s">
        <v>131</v>
      </c>
      <c r="AR4511">
        <v>46</v>
      </c>
      <c r="AS4511">
        <v>66</v>
      </c>
      <c r="AT4511">
        <v>-128</v>
      </c>
      <c r="BB4511" t="str">
        <f t="shared" si="1776"/>
        <v>1200</v>
      </c>
      <c r="BC4511">
        <v>1</v>
      </c>
      <c r="BD4511" t="str">
        <f t="shared" si="1777"/>
        <v xml:space="preserve">N52156  </v>
      </c>
      <c r="BE4511">
        <v>1</v>
      </c>
      <c r="BG4511">
        <v>0</v>
      </c>
      <c r="BH4511">
        <v>0</v>
      </c>
      <c r="BI4511">
        <v>0</v>
      </c>
      <c r="BJ4511">
        <v>4225</v>
      </c>
      <c r="BK4511">
        <v>25</v>
      </c>
      <c r="BL4511" t="s">
        <v>188</v>
      </c>
      <c r="BM4511">
        <v>1</v>
      </c>
      <c r="BN4511">
        <v>1</v>
      </c>
      <c r="BO4511">
        <v>0</v>
      </c>
      <c r="BP4511">
        <v>0</v>
      </c>
      <c r="BS4511">
        <v>0</v>
      </c>
      <c r="BT4511">
        <v>0</v>
      </c>
      <c r="BU4511">
        <v>0</v>
      </c>
      <c r="CE4511" t="str">
        <f t="shared" si="1787"/>
        <v>15:17:03.310</v>
      </c>
      <c r="CF4511">
        <v>309754245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4</v>
      </c>
      <c r="CY4511">
        <v>7</v>
      </c>
      <c r="CZ4511" t="s">
        <v>133</v>
      </c>
      <c r="DA4511">
        <v>275</v>
      </c>
      <c r="DB4511">
        <v>0</v>
      </c>
      <c r="DC4511" t="s">
        <v>134</v>
      </c>
      <c r="DD4511" t="s">
        <v>135</v>
      </c>
      <c r="DG4511">
        <v>3323304</v>
      </c>
      <c r="DI4511">
        <v>1</v>
      </c>
      <c r="DJ4511">
        <v>0</v>
      </c>
      <c r="DK4511">
        <v>1</v>
      </c>
      <c r="DL4511">
        <v>0</v>
      </c>
      <c r="DM4511">
        <v>0</v>
      </c>
      <c r="DN4511">
        <v>0</v>
      </c>
      <c r="DO4511">
        <v>0</v>
      </c>
      <c r="DP4511">
        <v>0</v>
      </c>
      <c r="DQ4511">
        <v>0</v>
      </c>
      <c r="DR4511">
        <v>0</v>
      </c>
      <c r="DS4511">
        <v>0</v>
      </c>
    </row>
    <row r="4512" spans="1:123" x14ac:dyDescent="0.3">
      <c r="A4512" t="str">
        <f>"05/01/2025 15:17:03.549"</f>
        <v>05/01/2025 15:17:03.549</v>
      </c>
      <c r="C4512" t="str">
        <f t="shared" si="1774"/>
        <v>FFDFD3C0</v>
      </c>
      <c r="D4512" t="s">
        <v>145</v>
      </c>
      <c r="E4512" t="str">
        <f>"09"</f>
        <v>09</v>
      </c>
      <c r="H4512">
        <v>51</v>
      </c>
      <c r="I4512" t="s">
        <v>147</v>
      </c>
      <c r="J4512" t="s">
        <v>138</v>
      </c>
      <c r="K4512">
        <v>0</v>
      </c>
      <c r="L4512">
        <v>3</v>
      </c>
      <c r="M4512">
        <v>0</v>
      </c>
      <c r="N4512">
        <v>2</v>
      </c>
      <c r="O4512">
        <v>0</v>
      </c>
      <c r="P4512">
        <v>1</v>
      </c>
      <c r="Q4512">
        <v>0</v>
      </c>
      <c r="R4512" t="s">
        <v>127</v>
      </c>
      <c r="S4512" t="str">
        <f t="shared" si="1786"/>
        <v>15:17:03.000</v>
      </c>
      <c r="T4512" t="str">
        <f t="shared" si="1786"/>
        <v>15:17:03.000</v>
      </c>
      <c r="U4512" t="str">
        <f t="shared" si="1775"/>
        <v>A68FCB</v>
      </c>
      <c r="V4512">
        <v>0</v>
      </c>
      <c r="W4512">
        <v>0</v>
      </c>
      <c r="X4512">
        <v>2</v>
      </c>
      <c r="Y4512">
        <v>0</v>
      </c>
      <c r="AA4512">
        <v>1</v>
      </c>
      <c r="AB4512">
        <v>8</v>
      </c>
      <c r="AC4512">
        <v>3</v>
      </c>
      <c r="AD4512">
        <v>0</v>
      </c>
      <c r="AE4512">
        <v>9</v>
      </c>
      <c r="AF4512" t="s">
        <v>138</v>
      </c>
      <c r="AG4512">
        <v>0</v>
      </c>
      <c r="AH4512">
        <v>3</v>
      </c>
      <c r="AI4512">
        <v>2</v>
      </c>
      <c r="AJ4512">
        <v>0</v>
      </c>
      <c r="AK4512" t="s">
        <v>1436</v>
      </c>
      <c r="AL4512">
        <v>39.207673</v>
      </c>
      <c r="AM4512" t="s">
        <v>1437</v>
      </c>
      <c r="AN4512">
        <v>-121.006851</v>
      </c>
      <c r="AO4512">
        <v>25</v>
      </c>
      <c r="AP4512">
        <v>4200</v>
      </c>
      <c r="AQ4512" t="s">
        <v>131</v>
      </c>
      <c r="AR4512">
        <v>46</v>
      </c>
      <c r="AS4512">
        <v>66</v>
      </c>
      <c r="AT4512">
        <v>-128</v>
      </c>
      <c r="BB4512" t="str">
        <f t="shared" si="1776"/>
        <v>1200</v>
      </c>
      <c r="BC4512">
        <v>1</v>
      </c>
      <c r="BD4512" t="str">
        <f t="shared" si="1777"/>
        <v xml:space="preserve">N52156  </v>
      </c>
      <c r="BE4512">
        <v>1</v>
      </c>
      <c r="BG4512">
        <v>0</v>
      </c>
      <c r="BH4512">
        <v>0</v>
      </c>
      <c r="BI4512">
        <v>0</v>
      </c>
      <c r="BJ4512">
        <v>4225</v>
      </c>
      <c r="BK4512">
        <v>25</v>
      </c>
      <c r="BL4512" t="s">
        <v>188</v>
      </c>
      <c r="BM4512">
        <v>1</v>
      </c>
      <c r="BN4512">
        <v>1</v>
      </c>
      <c r="BO4512">
        <v>0</v>
      </c>
      <c r="BP4512">
        <v>0</v>
      </c>
      <c r="BS4512">
        <v>0</v>
      </c>
      <c r="BT4512">
        <v>0</v>
      </c>
      <c r="BU4512">
        <v>0</v>
      </c>
      <c r="CE4512" t="str">
        <f t="shared" si="1787"/>
        <v>15:17:03.310</v>
      </c>
      <c r="CF4512">
        <v>309754245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4</v>
      </c>
      <c r="CY4512">
        <v>7</v>
      </c>
      <c r="CZ4512" t="s">
        <v>133</v>
      </c>
      <c r="DA4512">
        <v>275</v>
      </c>
      <c r="DB4512">
        <v>0</v>
      </c>
      <c r="DC4512" t="s">
        <v>134</v>
      </c>
      <c r="DD4512" t="s">
        <v>135</v>
      </c>
      <c r="DG4512">
        <v>3323304</v>
      </c>
      <c r="DI4512">
        <v>1</v>
      </c>
      <c r="DJ4512">
        <v>0</v>
      </c>
      <c r="DK4512">
        <v>1</v>
      </c>
      <c r="DL4512">
        <v>0</v>
      </c>
      <c r="DM4512">
        <v>0</v>
      </c>
      <c r="DN4512">
        <v>0</v>
      </c>
      <c r="DO4512">
        <v>0</v>
      </c>
      <c r="DP4512">
        <v>0</v>
      </c>
      <c r="DQ4512">
        <v>0</v>
      </c>
      <c r="DR4512">
        <v>0</v>
      </c>
      <c r="DS4512">
        <v>0</v>
      </c>
    </row>
    <row r="4513" spans="1:123" x14ac:dyDescent="0.3">
      <c r="A4513" t="str">
        <f>"05/01/2025 15:17:03.555"</f>
        <v>05/01/2025 15:17:03.555</v>
      </c>
      <c r="C4513" t="str">
        <f t="shared" si="1774"/>
        <v>FFDFD3C0</v>
      </c>
      <c r="D4513" t="s">
        <v>145</v>
      </c>
      <c r="E4513" t="str">
        <f>"05"</f>
        <v>05</v>
      </c>
      <c r="H4513">
        <v>47</v>
      </c>
      <c r="I4513" t="s">
        <v>146</v>
      </c>
      <c r="J4513" t="s">
        <v>138</v>
      </c>
      <c r="K4513">
        <v>0</v>
      </c>
      <c r="L4513">
        <v>3</v>
      </c>
      <c r="M4513">
        <v>0</v>
      </c>
      <c r="N4513">
        <v>2</v>
      </c>
      <c r="O4513">
        <v>0</v>
      </c>
      <c r="P4513">
        <v>1</v>
      </c>
      <c r="Q4513">
        <v>0</v>
      </c>
      <c r="R4513" t="s">
        <v>127</v>
      </c>
      <c r="S4513" t="str">
        <f t="shared" si="1786"/>
        <v>15:17:03.000</v>
      </c>
      <c r="T4513" t="str">
        <f t="shared" si="1786"/>
        <v>15:17:03.000</v>
      </c>
      <c r="U4513" t="str">
        <f t="shared" si="1775"/>
        <v>A68FCB</v>
      </c>
      <c r="V4513">
        <v>0</v>
      </c>
      <c r="W4513">
        <v>0</v>
      </c>
      <c r="X4513">
        <v>2</v>
      </c>
      <c r="Y4513">
        <v>0</v>
      </c>
      <c r="AA4513">
        <v>1</v>
      </c>
      <c r="AB4513">
        <v>8</v>
      </c>
      <c r="AC4513">
        <v>3</v>
      </c>
      <c r="AD4513">
        <v>0</v>
      </c>
      <c r="AE4513">
        <v>9</v>
      </c>
      <c r="AF4513" t="s">
        <v>138</v>
      </c>
      <c r="AG4513">
        <v>0</v>
      </c>
      <c r="AH4513">
        <v>3</v>
      </c>
      <c r="AI4513">
        <v>2</v>
      </c>
      <c r="AJ4513">
        <v>0</v>
      </c>
      <c r="AK4513" t="s">
        <v>1436</v>
      </c>
      <c r="AL4513">
        <v>39.207673</v>
      </c>
      <c r="AM4513" t="s">
        <v>1437</v>
      </c>
      <c r="AN4513">
        <v>-121.006851</v>
      </c>
      <c r="AO4513">
        <v>25</v>
      </c>
      <c r="AP4513">
        <v>4200</v>
      </c>
      <c r="AQ4513" t="s">
        <v>131</v>
      </c>
      <c r="AR4513">
        <v>46</v>
      </c>
      <c r="AS4513">
        <v>66</v>
      </c>
      <c r="AT4513">
        <v>-128</v>
      </c>
      <c r="BB4513" t="str">
        <f t="shared" si="1776"/>
        <v>1200</v>
      </c>
      <c r="BC4513">
        <v>1</v>
      </c>
      <c r="BD4513" t="str">
        <f t="shared" si="1777"/>
        <v xml:space="preserve">N52156  </v>
      </c>
      <c r="BE4513">
        <v>1</v>
      </c>
      <c r="BG4513">
        <v>0</v>
      </c>
      <c r="BH4513">
        <v>0</v>
      </c>
      <c r="BI4513">
        <v>0</v>
      </c>
      <c r="BJ4513">
        <v>4225</v>
      </c>
      <c r="BK4513">
        <v>25</v>
      </c>
      <c r="BL4513" t="s">
        <v>188</v>
      </c>
      <c r="BM4513">
        <v>1</v>
      </c>
      <c r="BN4513">
        <v>1</v>
      </c>
      <c r="BO4513">
        <v>0</v>
      </c>
      <c r="BP4513">
        <v>0</v>
      </c>
      <c r="BS4513">
        <v>0</v>
      </c>
      <c r="BT4513">
        <v>0</v>
      </c>
      <c r="BU4513">
        <v>0</v>
      </c>
      <c r="CE4513" t="str">
        <f t="shared" si="1787"/>
        <v>15:17:03.310</v>
      </c>
      <c r="CF4513">
        <v>309754245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4</v>
      </c>
      <c r="CY4513">
        <v>7</v>
      </c>
      <c r="CZ4513" t="s">
        <v>133</v>
      </c>
      <c r="DA4513">
        <v>275</v>
      </c>
      <c r="DB4513">
        <v>0</v>
      </c>
      <c r="DC4513" t="s">
        <v>134</v>
      </c>
      <c r="DD4513" t="s">
        <v>135</v>
      </c>
      <c r="DG4513">
        <v>3323304</v>
      </c>
      <c r="DI4513">
        <v>1</v>
      </c>
      <c r="DJ4513">
        <v>0</v>
      </c>
      <c r="DK4513">
        <v>1</v>
      </c>
      <c r="DL4513">
        <v>0</v>
      </c>
      <c r="DM4513">
        <v>0</v>
      </c>
      <c r="DN4513">
        <v>0</v>
      </c>
      <c r="DO4513">
        <v>0</v>
      </c>
      <c r="DP4513">
        <v>0</v>
      </c>
      <c r="DQ4513">
        <v>0</v>
      </c>
      <c r="DR4513">
        <v>0</v>
      </c>
      <c r="DS4513">
        <v>0</v>
      </c>
    </row>
    <row r="4514" spans="1:123" x14ac:dyDescent="0.3">
      <c r="A4514" t="str">
        <f>"05/01/2025 15:17:05.019"</f>
        <v>05/01/2025 15:17:05.019</v>
      </c>
      <c r="C4514" t="str">
        <f t="shared" si="1774"/>
        <v>FFDFD3C0</v>
      </c>
      <c r="D4514" t="s">
        <v>136</v>
      </c>
      <c r="E4514" t="str">
        <f>"20"</f>
        <v>20</v>
      </c>
      <c r="H4514">
        <v>400</v>
      </c>
      <c r="I4514" t="s">
        <v>137</v>
      </c>
      <c r="J4514" t="s">
        <v>138</v>
      </c>
      <c r="K4514">
        <v>0</v>
      </c>
      <c r="L4514">
        <v>3</v>
      </c>
      <c r="M4514">
        <v>0</v>
      </c>
      <c r="N4514">
        <v>2</v>
      </c>
      <c r="O4514">
        <v>0</v>
      </c>
      <c r="P4514">
        <v>1</v>
      </c>
      <c r="Q4514">
        <v>0</v>
      </c>
      <c r="R4514" t="s">
        <v>127</v>
      </c>
      <c r="S4514" t="str">
        <f t="shared" ref="S4514:T4519" si="1788">"15:17:04.000"</f>
        <v>15:17:04.000</v>
      </c>
      <c r="T4514" t="str">
        <f t="shared" si="1788"/>
        <v>15:17:04.000</v>
      </c>
      <c r="U4514" t="str">
        <f t="shared" si="1775"/>
        <v>A68FCB</v>
      </c>
      <c r="V4514">
        <v>0</v>
      </c>
      <c r="W4514">
        <v>0</v>
      </c>
      <c r="X4514">
        <v>2</v>
      </c>
      <c r="Y4514">
        <v>0</v>
      </c>
      <c r="AA4514">
        <v>1</v>
      </c>
      <c r="AB4514">
        <v>8</v>
      </c>
      <c r="AC4514">
        <v>3</v>
      </c>
      <c r="AD4514">
        <v>0</v>
      </c>
      <c r="AE4514">
        <v>9</v>
      </c>
      <c r="AF4514" t="s">
        <v>138</v>
      </c>
      <c r="AG4514">
        <v>0</v>
      </c>
      <c r="AH4514">
        <v>3</v>
      </c>
      <c r="AI4514">
        <v>2</v>
      </c>
      <c r="AJ4514">
        <v>0</v>
      </c>
      <c r="AK4514" t="s">
        <v>1438</v>
      </c>
      <c r="AL4514">
        <v>39.207973000000003</v>
      </c>
      <c r="AM4514" t="s">
        <v>1439</v>
      </c>
      <c r="AN4514">
        <v>-121.00659400000001</v>
      </c>
      <c r="AO4514">
        <v>25</v>
      </c>
      <c r="AP4514">
        <v>4200</v>
      </c>
      <c r="AQ4514" t="s">
        <v>131</v>
      </c>
      <c r="AR4514">
        <v>43</v>
      </c>
      <c r="AS4514">
        <v>67</v>
      </c>
      <c r="AT4514">
        <v>-64</v>
      </c>
      <c r="BB4514" t="str">
        <f t="shared" si="1776"/>
        <v>1200</v>
      </c>
      <c r="BC4514">
        <v>1</v>
      </c>
      <c r="BD4514" t="str">
        <f t="shared" si="1777"/>
        <v xml:space="preserve">N52156  </v>
      </c>
      <c r="BE4514">
        <v>1</v>
      </c>
      <c r="BG4514">
        <v>0</v>
      </c>
      <c r="BH4514">
        <v>0</v>
      </c>
      <c r="BI4514">
        <v>0</v>
      </c>
      <c r="BJ4514">
        <v>4225</v>
      </c>
      <c r="BK4514">
        <v>25</v>
      </c>
      <c r="BL4514" t="s">
        <v>188</v>
      </c>
      <c r="BM4514">
        <v>1</v>
      </c>
      <c r="BN4514">
        <v>1</v>
      </c>
      <c r="BO4514">
        <v>0</v>
      </c>
      <c r="BP4514">
        <v>0</v>
      </c>
      <c r="BS4514">
        <v>0</v>
      </c>
      <c r="BT4514">
        <v>0</v>
      </c>
      <c r="BU4514">
        <v>0</v>
      </c>
      <c r="CE4514" t="str">
        <f t="shared" ref="CE4514:CE4519" si="1789">"15:17:04.812"</f>
        <v>15:17:04.812</v>
      </c>
      <c r="CF4514">
        <v>811755696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4</v>
      </c>
      <c r="CY4514">
        <v>7</v>
      </c>
      <c r="CZ4514" t="s">
        <v>133</v>
      </c>
      <c r="DA4514">
        <v>275</v>
      </c>
      <c r="DB4514">
        <v>0</v>
      </c>
      <c r="DC4514" t="s">
        <v>134</v>
      </c>
      <c r="DD4514" t="s">
        <v>135</v>
      </c>
      <c r="DG4514">
        <v>3323305</v>
      </c>
      <c r="DI4514">
        <v>1</v>
      </c>
      <c r="DJ4514">
        <v>0</v>
      </c>
      <c r="DK4514">
        <v>0</v>
      </c>
      <c r="DL4514">
        <v>0</v>
      </c>
      <c r="DM4514">
        <v>0</v>
      </c>
      <c r="DN4514">
        <v>0</v>
      </c>
      <c r="DO4514">
        <v>0</v>
      </c>
      <c r="DP4514">
        <v>0</v>
      </c>
      <c r="DQ4514">
        <v>0</v>
      </c>
      <c r="DR4514">
        <v>0</v>
      </c>
      <c r="DS4514">
        <v>0</v>
      </c>
    </row>
    <row r="4515" spans="1:123" x14ac:dyDescent="0.3">
      <c r="A4515" t="str">
        <f>"05/01/2025 15:17:05.034"</f>
        <v>05/01/2025 15:17:05.034</v>
      </c>
      <c r="C4515" t="str">
        <f t="shared" si="1774"/>
        <v>FFDFD3C0</v>
      </c>
      <c r="D4515" t="s">
        <v>140</v>
      </c>
      <c r="E4515" t="str">
        <f>"13"</f>
        <v>13</v>
      </c>
      <c r="F4515">
        <v>1019</v>
      </c>
      <c r="G4515" t="s">
        <v>141</v>
      </c>
      <c r="J4515" t="s">
        <v>142</v>
      </c>
      <c r="K4515">
        <v>0</v>
      </c>
      <c r="L4515">
        <v>3</v>
      </c>
      <c r="M4515">
        <v>0</v>
      </c>
      <c r="N4515">
        <v>2</v>
      </c>
      <c r="O4515">
        <v>0</v>
      </c>
      <c r="P4515">
        <v>1</v>
      </c>
      <c r="Q4515">
        <v>0</v>
      </c>
      <c r="R4515" t="s">
        <v>127</v>
      </c>
      <c r="S4515" t="str">
        <f t="shared" si="1788"/>
        <v>15:17:04.000</v>
      </c>
      <c r="T4515" t="str">
        <f t="shared" si="1788"/>
        <v>15:17:04.000</v>
      </c>
      <c r="U4515" t="str">
        <f t="shared" si="1775"/>
        <v>A68FCB</v>
      </c>
      <c r="V4515">
        <v>0</v>
      </c>
      <c r="W4515">
        <v>0</v>
      </c>
      <c r="X4515">
        <v>2</v>
      </c>
      <c r="Y4515">
        <v>0</v>
      </c>
      <c r="AA4515">
        <v>1</v>
      </c>
      <c r="AB4515">
        <v>8</v>
      </c>
      <c r="AC4515">
        <v>3</v>
      </c>
      <c r="AD4515">
        <v>0</v>
      </c>
      <c r="AE4515">
        <v>9</v>
      </c>
      <c r="AF4515" t="s">
        <v>138</v>
      </c>
      <c r="AG4515">
        <v>0</v>
      </c>
      <c r="AH4515">
        <v>3</v>
      </c>
      <c r="AI4515">
        <v>2</v>
      </c>
      <c r="AJ4515">
        <v>0</v>
      </c>
      <c r="AK4515" t="s">
        <v>1438</v>
      </c>
      <c r="AL4515">
        <v>39.207973000000003</v>
      </c>
      <c r="AM4515" t="s">
        <v>1439</v>
      </c>
      <c r="AN4515">
        <v>-121.00659400000001</v>
      </c>
      <c r="AO4515">
        <v>25</v>
      </c>
      <c r="AP4515">
        <v>4200</v>
      </c>
      <c r="AQ4515" t="s">
        <v>131</v>
      </c>
      <c r="AR4515">
        <v>43</v>
      </c>
      <c r="AS4515">
        <v>67</v>
      </c>
      <c r="AT4515">
        <v>-64</v>
      </c>
      <c r="BB4515" t="str">
        <f t="shared" si="1776"/>
        <v>1200</v>
      </c>
      <c r="BC4515">
        <v>1</v>
      </c>
      <c r="BD4515" t="str">
        <f t="shared" si="1777"/>
        <v xml:space="preserve">N52156  </v>
      </c>
      <c r="BE4515">
        <v>1</v>
      </c>
      <c r="BG4515">
        <v>0</v>
      </c>
      <c r="BH4515">
        <v>0</v>
      </c>
      <c r="BI4515">
        <v>0</v>
      </c>
      <c r="BJ4515">
        <v>4225</v>
      </c>
      <c r="BK4515">
        <v>25</v>
      </c>
      <c r="BL4515" t="s">
        <v>188</v>
      </c>
      <c r="BM4515">
        <v>1</v>
      </c>
      <c r="BN4515">
        <v>1</v>
      </c>
      <c r="BO4515">
        <v>0</v>
      </c>
      <c r="BP4515">
        <v>0</v>
      </c>
      <c r="BS4515">
        <v>0</v>
      </c>
      <c r="BT4515">
        <v>0</v>
      </c>
      <c r="BU4515">
        <v>0</v>
      </c>
      <c r="CE4515" t="str">
        <f t="shared" si="1789"/>
        <v>15:17:04.812</v>
      </c>
      <c r="CF4515">
        <v>811755696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4</v>
      </c>
      <c r="CY4515">
        <v>7</v>
      </c>
      <c r="CZ4515" t="s">
        <v>133</v>
      </c>
      <c r="DA4515">
        <v>275</v>
      </c>
      <c r="DB4515">
        <v>0</v>
      </c>
      <c r="DC4515" t="s">
        <v>134</v>
      </c>
      <c r="DD4515" t="s">
        <v>135</v>
      </c>
      <c r="DG4515">
        <v>3323305</v>
      </c>
      <c r="DI4515">
        <v>1</v>
      </c>
      <c r="DJ4515">
        <v>0</v>
      </c>
      <c r="DK4515">
        <v>1</v>
      </c>
      <c r="DL4515">
        <v>0</v>
      </c>
      <c r="DM4515">
        <v>0</v>
      </c>
      <c r="DN4515">
        <v>0</v>
      </c>
      <c r="DO4515">
        <v>0</v>
      </c>
      <c r="DP4515">
        <v>0</v>
      </c>
      <c r="DQ4515">
        <v>0</v>
      </c>
      <c r="DR4515">
        <v>0</v>
      </c>
      <c r="DS4515">
        <v>0</v>
      </c>
    </row>
    <row r="4516" spans="1:123" x14ac:dyDescent="0.3">
      <c r="A4516" t="str">
        <f>"05/01/2025 15:17:05.035"</f>
        <v>05/01/2025 15:17:05.035</v>
      </c>
      <c r="C4516" t="str">
        <f t="shared" si="1774"/>
        <v>FFDFD3C0</v>
      </c>
      <c r="D4516" t="s">
        <v>124</v>
      </c>
      <c r="E4516" t="str">
        <f>"06"</f>
        <v>06</v>
      </c>
      <c r="F4516">
        <v>2006</v>
      </c>
      <c r="G4516" t="s">
        <v>125</v>
      </c>
      <c r="J4516" t="s">
        <v>126</v>
      </c>
      <c r="K4516">
        <v>0</v>
      </c>
      <c r="L4516">
        <v>3</v>
      </c>
      <c r="M4516">
        <v>0</v>
      </c>
      <c r="N4516">
        <v>2</v>
      </c>
      <c r="O4516">
        <v>0</v>
      </c>
      <c r="P4516">
        <v>1</v>
      </c>
      <c r="Q4516">
        <v>0</v>
      </c>
      <c r="R4516" t="s">
        <v>127</v>
      </c>
      <c r="S4516" t="str">
        <f t="shared" si="1788"/>
        <v>15:17:04.000</v>
      </c>
      <c r="T4516" t="str">
        <f t="shared" si="1788"/>
        <v>15:17:04.000</v>
      </c>
      <c r="U4516" t="str">
        <f t="shared" si="1775"/>
        <v>A68FCB</v>
      </c>
      <c r="V4516">
        <v>0</v>
      </c>
      <c r="W4516">
        <v>0</v>
      </c>
      <c r="X4516">
        <v>2</v>
      </c>
      <c r="Y4516">
        <v>0</v>
      </c>
      <c r="AA4516">
        <v>1</v>
      </c>
      <c r="AB4516">
        <v>8</v>
      </c>
      <c r="AC4516">
        <v>3</v>
      </c>
      <c r="AD4516">
        <v>0</v>
      </c>
      <c r="AE4516">
        <v>9</v>
      </c>
      <c r="AF4516" t="s">
        <v>138</v>
      </c>
      <c r="AG4516">
        <v>0</v>
      </c>
      <c r="AH4516">
        <v>3</v>
      </c>
      <c r="AI4516">
        <v>2</v>
      </c>
      <c r="AJ4516">
        <v>0</v>
      </c>
      <c r="AK4516" t="s">
        <v>1438</v>
      </c>
      <c r="AL4516">
        <v>39.207973000000003</v>
      </c>
      <c r="AM4516" t="s">
        <v>1439</v>
      </c>
      <c r="AN4516">
        <v>-121.00659400000001</v>
      </c>
      <c r="AO4516">
        <v>25</v>
      </c>
      <c r="AP4516">
        <v>4200</v>
      </c>
      <c r="AQ4516" t="s">
        <v>131</v>
      </c>
      <c r="AR4516">
        <v>43</v>
      </c>
      <c r="AS4516">
        <v>67</v>
      </c>
      <c r="AT4516">
        <v>-64</v>
      </c>
      <c r="BB4516" t="str">
        <f t="shared" si="1776"/>
        <v>1200</v>
      </c>
      <c r="BC4516">
        <v>1</v>
      </c>
      <c r="BD4516" t="str">
        <f t="shared" si="1777"/>
        <v xml:space="preserve">N52156  </v>
      </c>
      <c r="BE4516">
        <v>1</v>
      </c>
      <c r="BG4516">
        <v>0</v>
      </c>
      <c r="BH4516">
        <v>0</v>
      </c>
      <c r="BI4516">
        <v>0</v>
      </c>
      <c r="BJ4516">
        <v>4225</v>
      </c>
      <c r="BK4516">
        <v>25</v>
      </c>
      <c r="BL4516" t="s">
        <v>188</v>
      </c>
      <c r="BM4516">
        <v>1</v>
      </c>
      <c r="BN4516">
        <v>1</v>
      </c>
      <c r="BO4516">
        <v>0</v>
      </c>
      <c r="BP4516">
        <v>0</v>
      </c>
      <c r="BS4516">
        <v>0</v>
      </c>
      <c r="BT4516">
        <v>0</v>
      </c>
      <c r="BU4516">
        <v>0</v>
      </c>
      <c r="CE4516" t="str">
        <f t="shared" si="1789"/>
        <v>15:17:04.812</v>
      </c>
      <c r="CF4516">
        <v>811755696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4</v>
      </c>
      <c r="CY4516">
        <v>7</v>
      </c>
      <c r="CZ4516" t="s">
        <v>133</v>
      </c>
      <c r="DA4516">
        <v>275</v>
      </c>
      <c r="DB4516">
        <v>0</v>
      </c>
      <c r="DC4516" t="s">
        <v>134</v>
      </c>
      <c r="DD4516" t="s">
        <v>135</v>
      </c>
      <c r="DG4516">
        <v>3323305</v>
      </c>
      <c r="DI4516">
        <v>1</v>
      </c>
      <c r="DJ4516">
        <v>0</v>
      </c>
      <c r="DK4516">
        <v>1</v>
      </c>
      <c r="DL4516">
        <v>0</v>
      </c>
      <c r="DM4516">
        <v>0</v>
      </c>
      <c r="DN4516">
        <v>0</v>
      </c>
      <c r="DO4516">
        <v>0</v>
      </c>
      <c r="DP4516">
        <v>0</v>
      </c>
      <c r="DQ4516">
        <v>0</v>
      </c>
      <c r="DR4516">
        <v>0</v>
      </c>
      <c r="DS4516">
        <v>0</v>
      </c>
    </row>
    <row r="4517" spans="1:123" x14ac:dyDescent="0.3">
      <c r="A4517" t="str">
        <f>"05/01/2025 15:17:05.039"</f>
        <v>05/01/2025 15:17:05.039</v>
      </c>
      <c r="C4517" t="str">
        <f t="shared" si="1774"/>
        <v>FFDFD3C0</v>
      </c>
      <c r="D4517" t="s">
        <v>143</v>
      </c>
      <c r="E4517" t="str">
        <f>"05"</f>
        <v>05</v>
      </c>
      <c r="H4517">
        <v>172</v>
      </c>
      <c r="I4517" t="s">
        <v>141</v>
      </c>
      <c r="J4517" t="s">
        <v>144</v>
      </c>
      <c r="K4517">
        <v>0</v>
      </c>
      <c r="L4517">
        <v>3</v>
      </c>
      <c r="M4517">
        <v>0</v>
      </c>
      <c r="N4517">
        <v>2</v>
      </c>
      <c r="O4517">
        <v>0</v>
      </c>
      <c r="P4517">
        <v>1</v>
      </c>
      <c r="Q4517">
        <v>0</v>
      </c>
      <c r="R4517" t="s">
        <v>127</v>
      </c>
      <c r="S4517" t="str">
        <f t="shared" si="1788"/>
        <v>15:17:04.000</v>
      </c>
      <c r="T4517" t="str">
        <f t="shared" si="1788"/>
        <v>15:17:04.000</v>
      </c>
      <c r="U4517" t="str">
        <f t="shared" si="1775"/>
        <v>A68FCB</v>
      </c>
      <c r="V4517">
        <v>0</v>
      </c>
      <c r="W4517">
        <v>0</v>
      </c>
      <c r="X4517">
        <v>2</v>
      </c>
      <c r="Y4517">
        <v>0</v>
      </c>
      <c r="AA4517">
        <v>1</v>
      </c>
      <c r="AB4517">
        <v>8</v>
      </c>
      <c r="AC4517">
        <v>3</v>
      </c>
      <c r="AD4517">
        <v>0</v>
      </c>
      <c r="AE4517">
        <v>9</v>
      </c>
      <c r="AF4517" t="s">
        <v>138</v>
      </c>
      <c r="AG4517">
        <v>0</v>
      </c>
      <c r="AH4517">
        <v>3</v>
      </c>
      <c r="AI4517">
        <v>2</v>
      </c>
      <c r="AJ4517">
        <v>0</v>
      </c>
      <c r="AK4517" t="s">
        <v>1438</v>
      </c>
      <c r="AL4517">
        <v>39.207973000000003</v>
      </c>
      <c r="AM4517" t="s">
        <v>1439</v>
      </c>
      <c r="AN4517">
        <v>-121.00659400000001</v>
      </c>
      <c r="AO4517">
        <v>25</v>
      </c>
      <c r="AP4517">
        <v>4200</v>
      </c>
      <c r="AQ4517" t="s">
        <v>131</v>
      </c>
      <c r="AR4517">
        <v>43</v>
      </c>
      <c r="AS4517">
        <v>67</v>
      </c>
      <c r="AT4517">
        <v>-64</v>
      </c>
      <c r="BB4517" t="str">
        <f t="shared" si="1776"/>
        <v>1200</v>
      </c>
      <c r="BC4517">
        <v>1</v>
      </c>
      <c r="BD4517" t="str">
        <f t="shared" si="1777"/>
        <v xml:space="preserve">N52156  </v>
      </c>
      <c r="BE4517">
        <v>1</v>
      </c>
      <c r="BG4517">
        <v>0</v>
      </c>
      <c r="BH4517">
        <v>0</v>
      </c>
      <c r="BI4517">
        <v>0</v>
      </c>
      <c r="BJ4517">
        <v>4225</v>
      </c>
      <c r="BK4517">
        <v>25</v>
      </c>
      <c r="BL4517" t="s">
        <v>188</v>
      </c>
      <c r="BM4517">
        <v>1</v>
      </c>
      <c r="BN4517">
        <v>1</v>
      </c>
      <c r="BO4517">
        <v>0</v>
      </c>
      <c r="BP4517">
        <v>0</v>
      </c>
      <c r="BS4517">
        <v>0</v>
      </c>
      <c r="BT4517">
        <v>0</v>
      </c>
      <c r="BU4517">
        <v>0</v>
      </c>
      <c r="CE4517" t="str">
        <f t="shared" si="1789"/>
        <v>15:17:04.812</v>
      </c>
      <c r="CF4517">
        <v>811755696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4</v>
      </c>
      <c r="CY4517">
        <v>7</v>
      </c>
      <c r="CZ4517" t="s">
        <v>133</v>
      </c>
      <c r="DA4517">
        <v>275</v>
      </c>
      <c r="DB4517">
        <v>0</v>
      </c>
      <c r="DC4517" t="s">
        <v>134</v>
      </c>
      <c r="DD4517" t="s">
        <v>135</v>
      </c>
      <c r="DG4517">
        <v>3323305</v>
      </c>
      <c r="DI4517">
        <v>1</v>
      </c>
      <c r="DJ4517">
        <v>0</v>
      </c>
      <c r="DK4517">
        <v>1</v>
      </c>
      <c r="DL4517">
        <v>0</v>
      </c>
      <c r="DM4517">
        <v>0</v>
      </c>
      <c r="DN4517">
        <v>0</v>
      </c>
      <c r="DO4517">
        <v>0</v>
      </c>
      <c r="DP4517">
        <v>0</v>
      </c>
      <c r="DQ4517">
        <v>0</v>
      </c>
      <c r="DR4517">
        <v>0</v>
      </c>
      <c r="DS4517">
        <v>0</v>
      </c>
    </row>
    <row r="4518" spans="1:123" x14ac:dyDescent="0.3">
      <c r="A4518" t="str">
        <f>"05/01/2025 15:17:05.052"</f>
        <v>05/01/2025 15:17:05.052</v>
      </c>
      <c r="C4518" t="str">
        <f t="shared" si="1774"/>
        <v>FFDFD3C0</v>
      </c>
      <c r="D4518" t="s">
        <v>145</v>
      </c>
      <c r="E4518" t="str">
        <f>"09"</f>
        <v>09</v>
      </c>
      <c r="H4518">
        <v>51</v>
      </c>
      <c r="I4518" t="s">
        <v>147</v>
      </c>
      <c r="J4518" t="s">
        <v>138</v>
      </c>
      <c r="K4518">
        <v>0</v>
      </c>
      <c r="L4518">
        <v>3</v>
      </c>
      <c r="M4518">
        <v>0</v>
      </c>
      <c r="N4518">
        <v>2</v>
      </c>
      <c r="O4518">
        <v>0</v>
      </c>
      <c r="P4518">
        <v>1</v>
      </c>
      <c r="Q4518">
        <v>0</v>
      </c>
      <c r="R4518" t="s">
        <v>127</v>
      </c>
      <c r="S4518" t="str">
        <f t="shared" si="1788"/>
        <v>15:17:04.000</v>
      </c>
      <c r="T4518" t="str">
        <f t="shared" si="1788"/>
        <v>15:17:04.000</v>
      </c>
      <c r="U4518" t="str">
        <f t="shared" si="1775"/>
        <v>A68FCB</v>
      </c>
      <c r="V4518">
        <v>0</v>
      </c>
      <c r="W4518">
        <v>0</v>
      </c>
      <c r="X4518">
        <v>2</v>
      </c>
      <c r="Y4518">
        <v>0</v>
      </c>
      <c r="AA4518">
        <v>1</v>
      </c>
      <c r="AB4518">
        <v>8</v>
      </c>
      <c r="AC4518">
        <v>3</v>
      </c>
      <c r="AD4518">
        <v>0</v>
      </c>
      <c r="AE4518">
        <v>9</v>
      </c>
      <c r="AF4518" t="s">
        <v>138</v>
      </c>
      <c r="AG4518">
        <v>0</v>
      </c>
      <c r="AH4518">
        <v>3</v>
      </c>
      <c r="AI4518">
        <v>2</v>
      </c>
      <c r="AJ4518">
        <v>0</v>
      </c>
      <c r="AK4518" t="s">
        <v>1438</v>
      </c>
      <c r="AL4518">
        <v>39.207973000000003</v>
      </c>
      <c r="AM4518" t="s">
        <v>1439</v>
      </c>
      <c r="AN4518">
        <v>-121.00659400000001</v>
      </c>
      <c r="AO4518">
        <v>25</v>
      </c>
      <c r="AP4518">
        <v>4200</v>
      </c>
      <c r="AQ4518" t="s">
        <v>131</v>
      </c>
      <c r="AR4518">
        <v>43</v>
      </c>
      <c r="AS4518">
        <v>67</v>
      </c>
      <c r="AT4518">
        <v>-64</v>
      </c>
      <c r="BB4518" t="str">
        <f t="shared" si="1776"/>
        <v>1200</v>
      </c>
      <c r="BC4518">
        <v>1</v>
      </c>
      <c r="BD4518" t="str">
        <f t="shared" si="1777"/>
        <v xml:space="preserve">N52156  </v>
      </c>
      <c r="BE4518">
        <v>1</v>
      </c>
      <c r="BG4518">
        <v>0</v>
      </c>
      <c r="BH4518">
        <v>0</v>
      </c>
      <c r="BI4518">
        <v>0</v>
      </c>
      <c r="BJ4518">
        <v>4225</v>
      </c>
      <c r="BK4518">
        <v>25</v>
      </c>
      <c r="BL4518" t="s">
        <v>188</v>
      </c>
      <c r="BM4518">
        <v>1</v>
      </c>
      <c r="BN4518">
        <v>1</v>
      </c>
      <c r="BO4518">
        <v>0</v>
      </c>
      <c r="BP4518">
        <v>0</v>
      </c>
      <c r="BS4518">
        <v>0</v>
      </c>
      <c r="BT4518">
        <v>0</v>
      </c>
      <c r="BU4518">
        <v>0</v>
      </c>
      <c r="CE4518" t="str">
        <f t="shared" si="1789"/>
        <v>15:17:04.812</v>
      </c>
      <c r="CF4518">
        <v>811755696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4</v>
      </c>
      <c r="CY4518">
        <v>7</v>
      </c>
      <c r="CZ4518" t="s">
        <v>133</v>
      </c>
      <c r="DA4518">
        <v>275</v>
      </c>
      <c r="DB4518">
        <v>0</v>
      </c>
      <c r="DC4518" t="s">
        <v>134</v>
      </c>
      <c r="DD4518" t="s">
        <v>135</v>
      </c>
      <c r="DG4518">
        <v>3323305</v>
      </c>
      <c r="DI4518">
        <v>1</v>
      </c>
      <c r="DJ4518">
        <v>0</v>
      </c>
      <c r="DK4518">
        <v>1</v>
      </c>
      <c r="DL4518">
        <v>0</v>
      </c>
      <c r="DM4518">
        <v>0</v>
      </c>
      <c r="DN4518">
        <v>0</v>
      </c>
      <c r="DO4518">
        <v>0</v>
      </c>
      <c r="DP4518">
        <v>0</v>
      </c>
      <c r="DQ4518">
        <v>0</v>
      </c>
      <c r="DR4518">
        <v>0</v>
      </c>
      <c r="DS4518">
        <v>0</v>
      </c>
    </row>
    <row r="4519" spans="1:123" x14ac:dyDescent="0.3">
      <c r="A4519" t="str">
        <f>"05/01/2025 15:17:05.058"</f>
        <v>05/01/2025 15:17:05.058</v>
      </c>
      <c r="C4519" t="str">
        <f t="shared" si="1774"/>
        <v>FFDFD3C0</v>
      </c>
      <c r="D4519" t="s">
        <v>145</v>
      </c>
      <c r="E4519" t="str">
        <f>"05"</f>
        <v>05</v>
      </c>
      <c r="H4519">
        <v>47</v>
      </c>
      <c r="I4519" t="s">
        <v>146</v>
      </c>
      <c r="J4519" t="s">
        <v>138</v>
      </c>
      <c r="K4519">
        <v>0</v>
      </c>
      <c r="L4519">
        <v>3</v>
      </c>
      <c r="M4519">
        <v>0</v>
      </c>
      <c r="N4519">
        <v>2</v>
      </c>
      <c r="O4519">
        <v>0</v>
      </c>
      <c r="P4519">
        <v>1</v>
      </c>
      <c r="Q4519">
        <v>0</v>
      </c>
      <c r="R4519" t="s">
        <v>127</v>
      </c>
      <c r="S4519" t="str">
        <f t="shared" si="1788"/>
        <v>15:17:04.000</v>
      </c>
      <c r="T4519" t="str">
        <f t="shared" si="1788"/>
        <v>15:17:04.000</v>
      </c>
      <c r="U4519" t="str">
        <f t="shared" si="1775"/>
        <v>A68FCB</v>
      </c>
      <c r="V4519">
        <v>0</v>
      </c>
      <c r="W4519">
        <v>0</v>
      </c>
      <c r="X4519">
        <v>2</v>
      </c>
      <c r="Y4519">
        <v>0</v>
      </c>
      <c r="AA4519">
        <v>1</v>
      </c>
      <c r="AB4519">
        <v>8</v>
      </c>
      <c r="AC4519">
        <v>3</v>
      </c>
      <c r="AD4519">
        <v>0</v>
      </c>
      <c r="AE4519">
        <v>9</v>
      </c>
      <c r="AF4519" t="s">
        <v>138</v>
      </c>
      <c r="AG4519">
        <v>0</v>
      </c>
      <c r="AH4519">
        <v>3</v>
      </c>
      <c r="AI4519">
        <v>2</v>
      </c>
      <c r="AJ4519">
        <v>0</v>
      </c>
      <c r="AK4519" t="s">
        <v>1438</v>
      </c>
      <c r="AL4519">
        <v>39.207973000000003</v>
      </c>
      <c r="AM4519" t="s">
        <v>1439</v>
      </c>
      <c r="AN4519">
        <v>-121.00659400000001</v>
      </c>
      <c r="AO4519">
        <v>25</v>
      </c>
      <c r="AP4519">
        <v>4200</v>
      </c>
      <c r="AQ4519" t="s">
        <v>131</v>
      </c>
      <c r="AR4519">
        <v>43</v>
      </c>
      <c r="AS4519">
        <v>67</v>
      </c>
      <c r="AT4519">
        <v>-64</v>
      </c>
      <c r="BB4519" t="str">
        <f t="shared" si="1776"/>
        <v>1200</v>
      </c>
      <c r="BC4519">
        <v>1</v>
      </c>
      <c r="BD4519" t="str">
        <f t="shared" si="1777"/>
        <v xml:space="preserve">N52156  </v>
      </c>
      <c r="BE4519">
        <v>1</v>
      </c>
      <c r="BG4519">
        <v>0</v>
      </c>
      <c r="BH4519">
        <v>0</v>
      </c>
      <c r="BI4519">
        <v>0</v>
      </c>
      <c r="BJ4519">
        <v>4225</v>
      </c>
      <c r="BK4519">
        <v>25</v>
      </c>
      <c r="BL4519" t="s">
        <v>188</v>
      </c>
      <c r="BM4519">
        <v>1</v>
      </c>
      <c r="BN4519">
        <v>1</v>
      </c>
      <c r="BO4519">
        <v>0</v>
      </c>
      <c r="BP4519">
        <v>0</v>
      </c>
      <c r="BS4519">
        <v>0</v>
      </c>
      <c r="BT4519">
        <v>0</v>
      </c>
      <c r="BU4519">
        <v>0</v>
      </c>
      <c r="CE4519" t="str">
        <f t="shared" si="1789"/>
        <v>15:17:04.812</v>
      </c>
      <c r="CF4519">
        <v>811755696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4</v>
      </c>
      <c r="CY4519">
        <v>7</v>
      </c>
      <c r="CZ4519" t="s">
        <v>133</v>
      </c>
      <c r="DA4519">
        <v>275</v>
      </c>
      <c r="DB4519">
        <v>0</v>
      </c>
      <c r="DC4519" t="s">
        <v>134</v>
      </c>
      <c r="DD4519" t="s">
        <v>135</v>
      </c>
      <c r="DG4519">
        <v>3323305</v>
      </c>
      <c r="DI4519">
        <v>1</v>
      </c>
      <c r="DJ4519">
        <v>0</v>
      </c>
      <c r="DK4519">
        <v>1</v>
      </c>
      <c r="DL4519">
        <v>0</v>
      </c>
      <c r="DM4519">
        <v>0</v>
      </c>
      <c r="DN4519">
        <v>0</v>
      </c>
      <c r="DO4519">
        <v>0</v>
      </c>
      <c r="DP4519">
        <v>0</v>
      </c>
      <c r="DQ4519">
        <v>0</v>
      </c>
      <c r="DR4519">
        <v>0</v>
      </c>
      <c r="DS4519">
        <v>0</v>
      </c>
    </row>
    <row r="4520" spans="1:123" x14ac:dyDescent="0.3">
      <c r="A4520" t="str">
        <f>"05/01/2025 15:17:05.853"</f>
        <v>05/01/2025 15:17:05.853</v>
      </c>
      <c r="C4520" t="str">
        <f t="shared" si="1774"/>
        <v>FFDFD3C0</v>
      </c>
      <c r="D4520" t="s">
        <v>145</v>
      </c>
      <c r="E4520" t="str">
        <f>"09"</f>
        <v>09</v>
      </c>
      <c r="H4520">
        <v>51</v>
      </c>
      <c r="I4520" t="s">
        <v>147</v>
      </c>
      <c r="J4520" t="s">
        <v>138</v>
      </c>
      <c r="K4520">
        <v>0</v>
      </c>
      <c r="L4520">
        <v>3</v>
      </c>
      <c r="M4520">
        <v>0</v>
      </c>
      <c r="N4520">
        <v>2</v>
      </c>
      <c r="O4520">
        <v>0</v>
      </c>
      <c r="P4520">
        <v>1</v>
      </c>
      <c r="Q4520">
        <v>0</v>
      </c>
      <c r="R4520" t="s">
        <v>127</v>
      </c>
      <c r="S4520" t="str">
        <f t="shared" ref="S4520:T4525" si="1790">"15:17:05.000"</f>
        <v>15:17:05.000</v>
      </c>
      <c r="T4520" t="str">
        <f t="shared" si="1790"/>
        <v>15:17:05.000</v>
      </c>
      <c r="U4520" t="str">
        <f t="shared" si="1775"/>
        <v>A68FCB</v>
      </c>
      <c r="V4520">
        <v>0</v>
      </c>
      <c r="W4520">
        <v>0</v>
      </c>
      <c r="X4520">
        <v>2</v>
      </c>
      <c r="Y4520">
        <v>0</v>
      </c>
      <c r="AA4520">
        <v>1</v>
      </c>
      <c r="AB4520">
        <v>8</v>
      </c>
      <c r="AC4520">
        <v>3</v>
      </c>
      <c r="AD4520">
        <v>0</v>
      </c>
      <c r="AE4520">
        <v>9</v>
      </c>
      <c r="AF4520" t="s">
        <v>138</v>
      </c>
      <c r="AG4520">
        <v>0</v>
      </c>
      <c r="AH4520">
        <v>3</v>
      </c>
      <c r="AI4520">
        <v>2</v>
      </c>
      <c r="AJ4520">
        <v>0</v>
      </c>
      <c r="AK4520" t="s">
        <v>1440</v>
      </c>
      <c r="AL4520">
        <v>39.208295</v>
      </c>
      <c r="AM4520" t="s">
        <v>1441</v>
      </c>
      <c r="AN4520">
        <v>-121.006336</v>
      </c>
      <c r="AO4520">
        <v>25</v>
      </c>
      <c r="AP4520">
        <v>4200</v>
      </c>
      <c r="AQ4520" t="s">
        <v>131</v>
      </c>
      <c r="AR4520">
        <v>41</v>
      </c>
      <c r="AS4520">
        <v>69</v>
      </c>
      <c r="AT4520">
        <v>0</v>
      </c>
      <c r="BB4520" t="str">
        <f t="shared" si="1776"/>
        <v>1200</v>
      </c>
      <c r="BC4520">
        <v>1</v>
      </c>
      <c r="BD4520" t="str">
        <f t="shared" si="1777"/>
        <v xml:space="preserve">N52156  </v>
      </c>
      <c r="BE4520">
        <v>1</v>
      </c>
      <c r="BG4520">
        <v>0</v>
      </c>
      <c r="BH4520">
        <v>0</v>
      </c>
      <c r="BI4520">
        <v>0</v>
      </c>
      <c r="BJ4520">
        <v>4225</v>
      </c>
      <c r="BK4520">
        <v>25</v>
      </c>
      <c r="BL4520" t="s">
        <v>188</v>
      </c>
      <c r="BM4520">
        <v>1</v>
      </c>
      <c r="BN4520">
        <v>1</v>
      </c>
      <c r="BO4520">
        <v>0</v>
      </c>
      <c r="BP4520">
        <v>0</v>
      </c>
      <c r="BS4520">
        <v>0</v>
      </c>
      <c r="BT4520">
        <v>0</v>
      </c>
      <c r="BU4520">
        <v>0</v>
      </c>
      <c r="CE4520" t="str">
        <f t="shared" ref="CE4520:CE4525" si="1791">"15:17:05.634"</f>
        <v>15:17:05.634</v>
      </c>
      <c r="CF4520">
        <v>633755348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4</v>
      </c>
      <c r="CY4520">
        <v>7</v>
      </c>
      <c r="CZ4520" t="s">
        <v>133</v>
      </c>
      <c r="DA4520">
        <v>275</v>
      </c>
      <c r="DB4520">
        <v>0</v>
      </c>
      <c r="DC4520" t="s">
        <v>134</v>
      </c>
      <c r="DD4520" t="s">
        <v>135</v>
      </c>
      <c r="DG4520">
        <v>3323307</v>
      </c>
      <c r="DI4520">
        <v>1</v>
      </c>
      <c r="DJ4520">
        <v>0</v>
      </c>
      <c r="DK4520">
        <v>0</v>
      </c>
      <c r="DL4520">
        <v>0</v>
      </c>
      <c r="DM4520">
        <v>0</v>
      </c>
      <c r="DN4520">
        <v>0</v>
      </c>
      <c r="DO4520">
        <v>0</v>
      </c>
      <c r="DP4520">
        <v>0</v>
      </c>
      <c r="DQ4520">
        <v>0</v>
      </c>
      <c r="DR4520">
        <v>0</v>
      </c>
      <c r="DS4520">
        <v>0</v>
      </c>
    </row>
    <row r="4521" spans="1:123" x14ac:dyDescent="0.3">
      <c r="A4521" t="str">
        <f>"05/01/2025 15:17:05.859"</f>
        <v>05/01/2025 15:17:05.859</v>
      </c>
      <c r="C4521" t="str">
        <f t="shared" si="1774"/>
        <v>FFDFD3C0</v>
      </c>
      <c r="D4521" t="s">
        <v>145</v>
      </c>
      <c r="E4521" t="str">
        <f>"05"</f>
        <v>05</v>
      </c>
      <c r="H4521">
        <v>47</v>
      </c>
      <c r="I4521" t="s">
        <v>146</v>
      </c>
      <c r="J4521" t="s">
        <v>138</v>
      </c>
      <c r="K4521">
        <v>0</v>
      </c>
      <c r="L4521">
        <v>3</v>
      </c>
      <c r="M4521">
        <v>0</v>
      </c>
      <c r="N4521">
        <v>2</v>
      </c>
      <c r="O4521">
        <v>0</v>
      </c>
      <c r="P4521">
        <v>1</v>
      </c>
      <c r="Q4521">
        <v>0</v>
      </c>
      <c r="R4521" t="s">
        <v>127</v>
      </c>
      <c r="S4521" t="str">
        <f t="shared" si="1790"/>
        <v>15:17:05.000</v>
      </c>
      <c r="T4521" t="str">
        <f t="shared" si="1790"/>
        <v>15:17:05.000</v>
      </c>
      <c r="U4521" t="str">
        <f t="shared" si="1775"/>
        <v>A68FCB</v>
      </c>
      <c r="V4521">
        <v>0</v>
      </c>
      <c r="W4521">
        <v>0</v>
      </c>
      <c r="X4521">
        <v>2</v>
      </c>
      <c r="Y4521">
        <v>0</v>
      </c>
      <c r="AA4521">
        <v>1</v>
      </c>
      <c r="AB4521">
        <v>8</v>
      </c>
      <c r="AC4521">
        <v>3</v>
      </c>
      <c r="AD4521">
        <v>0</v>
      </c>
      <c r="AE4521">
        <v>9</v>
      </c>
      <c r="AF4521" t="s">
        <v>138</v>
      </c>
      <c r="AG4521">
        <v>0</v>
      </c>
      <c r="AH4521">
        <v>3</v>
      </c>
      <c r="AI4521">
        <v>2</v>
      </c>
      <c r="AJ4521">
        <v>0</v>
      </c>
      <c r="AK4521" t="s">
        <v>1440</v>
      </c>
      <c r="AL4521">
        <v>39.208295</v>
      </c>
      <c r="AM4521" t="s">
        <v>1441</v>
      </c>
      <c r="AN4521">
        <v>-121.006336</v>
      </c>
      <c r="AO4521">
        <v>25</v>
      </c>
      <c r="AP4521">
        <v>4200</v>
      </c>
      <c r="AQ4521" t="s">
        <v>131</v>
      </c>
      <c r="AR4521">
        <v>41</v>
      </c>
      <c r="AS4521">
        <v>69</v>
      </c>
      <c r="AT4521">
        <v>0</v>
      </c>
      <c r="BB4521" t="str">
        <f t="shared" si="1776"/>
        <v>1200</v>
      </c>
      <c r="BC4521">
        <v>1</v>
      </c>
      <c r="BD4521" t="str">
        <f t="shared" si="1777"/>
        <v xml:space="preserve">N52156  </v>
      </c>
      <c r="BE4521">
        <v>1</v>
      </c>
      <c r="BG4521">
        <v>0</v>
      </c>
      <c r="BH4521">
        <v>0</v>
      </c>
      <c r="BI4521">
        <v>0</v>
      </c>
      <c r="BJ4521">
        <v>4225</v>
      </c>
      <c r="BK4521">
        <v>25</v>
      </c>
      <c r="BL4521" t="s">
        <v>188</v>
      </c>
      <c r="BM4521">
        <v>1</v>
      </c>
      <c r="BN4521">
        <v>1</v>
      </c>
      <c r="BO4521">
        <v>0</v>
      </c>
      <c r="BP4521">
        <v>0</v>
      </c>
      <c r="BS4521">
        <v>0</v>
      </c>
      <c r="BT4521">
        <v>0</v>
      </c>
      <c r="BU4521">
        <v>0</v>
      </c>
      <c r="CE4521" t="str">
        <f t="shared" si="1791"/>
        <v>15:17:05.634</v>
      </c>
      <c r="CF4521">
        <v>633755348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4</v>
      </c>
      <c r="CY4521">
        <v>7</v>
      </c>
      <c r="CZ4521" t="s">
        <v>133</v>
      </c>
      <c r="DA4521">
        <v>275</v>
      </c>
      <c r="DB4521">
        <v>0</v>
      </c>
      <c r="DC4521" t="s">
        <v>134</v>
      </c>
      <c r="DD4521" t="s">
        <v>135</v>
      </c>
      <c r="DG4521">
        <v>3323307</v>
      </c>
      <c r="DI4521">
        <v>1</v>
      </c>
      <c r="DJ4521">
        <v>0</v>
      </c>
      <c r="DK4521">
        <v>1</v>
      </c>
      <c r="DL4521">
        <v>0</v>
      </c>
      <c r="DM4521">
        <v>0</v>
      </c>
      <c r="DN4521">
        <v>0</v>
      </c>
      <c r="DO4521">
        <v>0</v>
      </c>
      <c r="DP4521">
        <v>0</v>
      </c>
      <c r="DQ4521">
        <v>0</v>
      </c>
      <c r="DR4521">
        <v>0</v>
      </c>
      <c r="DS4521">
        <v>0</v>
      </c>
    </row>
    <row r="4522" spans="1:123" x14ac:dyDescent="0.3">
      <c r="A4522" t="str">
        <f>"05/01/2025 15:17:05.870"</f>
        <v>05/01/2025 15:17:05.870</v>
      </c>
      <c r="C4522" t="str">
        <f t="shared" si="1774"/>
        <v>FFDFD3C0</v>
      </c>
      <c r="D4522" t="s">
        <v>136</v>
      </c>
      <c r="E4522" t="str">
        <f>"20"</f>
        <v>20</v>
      </c>
      <c r="H4522">
        <v>400</v>
      </c>
      <c r="I4522" t="s">
        <v>137</v>
      </c>
      <c r="J4522" t="s">
        <v>138</v>
      </c>
      <c r="K4522">
        <v>0</v>
      </c>
      <c r="L4522">
        <v>3</v>
      </c>
      <c r="M4522">
        <v>0</v>
      </c>
      <c r="N4522">
        <v>2</v>
      </c>
      <c r="O4522">
        <v>0</v>
      </c>
      <c r="P4522">
        <v>1</v>
      </c>
      <c r="Q4522">
        <v>0</v>
      </c>
      <c r="R4522" t="s">
        <v>127</v>
      </c>
      <c r="S4522" t="str">
        <f t="shared" si="1790"/>
        <v>15:17:05.000</v>
      </c>
      <c r="T4522" t="str">
        <f t="shared" si="1790"/>
        <v>15:17:05.000</v>
      </c>
      <c r="U4522" t="str">
        <f t="shared" si="1775"/>
        <v>A68FCB</v>
      </c>
      <c r="V4522">
        <v>0</v>
      </c>
      <c r="W4522">
        <v>0</v>
      </c>
      <c r="X4522">
        <v>2</v>
      </c>
      <c r="Y4522">
        <v>0</v>
      </c>
      <c r="AA4522">
        <v>1</v>
      </c>
      <c r="AB4522">
        <v>8</v>
      </c>
      <c r="AC4522">
        <v>3</v>
      </c>
      <c r="AD4522">
        <v>0</v>
      </c>
      <c r="AE4522">
        <v>9</v>
      </c>
      <c r="AF4522" t="s">
        <v>138</v>
      </c>
      <c r="AG4522">
        <v>0</v>
      </c>
      <c r="AH4522">
        <v>3</v>
      </c>
      <c r="AI4522">
        <v>2</v>
      </c>
      <c r="AJ4522">
        <v>0</v>
      </c>
      <c r="AK4522" t="s">
        <v>1440</v>
      </c>
      <c r="AL4522">
        <v>39.208295</v>
      </c>
      <c r="AM4522" t="s">
        <v>1441</v>
      </c>
      <c r="AN4522">
        <v>-121.006336</v>
      </c>
      <c r="AO4522">
        <v>25</v>
      </c>
      <c r="AP4522">
        <v>4200</v>
      </c>
      <c r="AQ4522" t="s">
        <v>131</v>
      </c>
      <c r="AR4522">
        <v>41</v>
      </c>
      <c r="AS4522">
        <v>69</v>
      </c>
      <c r="AT4522">
        <v>0</v>
      </c>
      <c r="BB4522" t="str">
        <f t="shared" si="1776"/>
        <v>1200</v>
      </c>
      <c r="BC4522">
        <v>1</v>
      </c>
      <c r="BD4522" t="str">
        <f t="shared" si="1777"/>
        <v xml:space="preserve">N52156  </v>
      </c>
      <c r="BE4522">
        <v>1</v>
      </c>
      <c r="BG4522">
        <v>0</v>
      </c>
      <c r="BH4522">
        <v>0</v>
      </c>
      <c r="BI4522">
        <v>0</v>
      </c>
      <c r="BJ4522">
        <v>4225</v>
      </c>
      <c r="BK4522">
        <v>25</v>
      </c>
      <c r="BL4522" t="s">
        <v>188</v>
      </c>
      <c r="BM4522">
        <v>1</v>
      </c>
      <c r="BN4522">
        <v>1</v>
      </c>
      <c r="BO4522">
        <v>0</v>
      </c>
      <c r="BP4522">
        <v>0</v>
      </c>
      <c r="BS4522">
        <v>0</v>
      </c>
      <c r="BT4522">
        <v>0</v>
      </c>
      <c r="BU4522">
        <v>0</v>
      </c>
      <c r="CE4522" t="str">
        <f t="shared" si="1791"/>
        <v>15:17:05.634</v>
      </c>
      <c r="CF4522">
        <v>633755348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4</v>
      </c>
      <c r="CY4522">
        <v>7</v>
      </c>
      <c r="CZ4522" t="s">
        <v>133</v>
      </c>
      <c r="DA4522">
        <v>275</v>
      </c>
      <c r="DB4522">
        <v>0</v>
      </c>
      <c r="DC4522" t="s">
        <v>134</v>
      </c>
      <c r="DD4522" t="s">
        <v>135</v>
      </c>
      <c r="DG4522">
        <v>3323307</v>
      </c>
      <c r="DI4522">
        <v>1</v>
      </c>
      <c r="DJ4522">
        <v>0</v>
      </c>
      <c r="DK4522">
        <v>1</v>
      </c>
      <c r="DL4522">
        <v>0</v>
      </c>
      <c r="DM4522">
        <v>0</v>
      </c>
      <c r="DN4522">
        <v>0</v>
      </c>
      <c r="DO4522">
        <v>0</v>
      </c>
      <c r="DP4522">
        <v>0</v>
      </c>
      <c r="DQ4522">
        <v>0</v>
      </c>
      <c r="DR4522">
        <v>0</v>
      </c>
      <c r="DS4522">
        <v>0</v>
      </c>
    </row>
    <row r="4523" spans="1:123" x14ac:dyDescent="0.3">
      <c r="A4523" t="str">
        <f>"05/01/2025 15:17:05.886"</f>
        <v>05/01/2025 15:17:05.886</v>
      </c>
      <c r="C4523" t="str">
        <f t="shared" si="1774"/>
        <v>FFDFD3C0</v>
      </c>
      <c r="D4523" t="s">
        <v>140</v>
      </c>
      <c r="E4523" t="str">
        <f>"13"</f>
        <v>13</v>
      </c>
      <c r="F4523">
        <v>1019</v>
      </c>
      <c r="G4523" t="s">
        <v>141</v>
      </c>
      <c r="J4523" t="s">
        <v>142</v>
      </c>
      <c r="K4523">
        <v>0</v>
      </c>
      <c r="L4523">
        <v>3</v>
      </c>
      <c r="M4523">
        <v>0</v>
      </c>
      <c r="N4523">
        <v>2</v>
      </c>
      <c r="O4523">
        <v>0</v>
      </c>
      <c r="P4523">
        <v>1</v>
      </c>
      <c r="Q4523">
        <v>0</v>
      </c>
      <c r="R4523" t="s">
        <v>127</v>
      </c>
      <c r="S4523" t="str">
        <f t="shared" si="1790"/>
        <v>15:17:05.000</v>
      </c>
      <c r="T4523" t="str">
        <f t="shared" si="1790"/>
        <v>15:17:05.000</v>
      </c>
      <c r="U4523" t="str">
        <f t="shared" si="1775"/>
        <v>A68FCB</v>
      </c>
      <c r="V4523">
        <v>0</v>
      </c>
      <c r="W4523">
        <v>0</v>
      </c>
      <c r="X4523">
        <v>2</v>
      </c>
      <c r="Y4523">
        <v>0</v>
      </c>
      <c r="AA4523">
        <v>1</v>
      </c>
      <c r="AB4523">
        <v>8</v>
      </c>
      <c r="AC4523">
        <v>3</v>
      </c>
      <c r="AD4523">
        <v>0</v>
      </c>
      <c r="AE4523">
        <v>9</v>
      </c>
      <c r="AF4523" t="s">
        <v>138</v>
      </c>
      <c r="AG4523">
        <v>0</v>
      </c>
      <c r="AH4523">
        <v>3</v>
      </c>
      <c r="AI4523">
        <v>2</v>
      </c>
      <c r="AJ4523">
        <v>0</v>
      </c>
      <c r="AK4523" t="s">
        <v>1440</v>
      </c>
      <c r="AL4523">
        <v>39.208295</v>
      </c>
      <c r="AM4523" t="s">
        <v>1441</v>
      </c>
      <c r="AN4523">
        <v>-121.006336</v>
      </c>
      <c r="AO4523">
        <v>25</v>
      </c>
      <c r="AP4523">
        <v>4200</v>
      </c>
      <c r="AQ4523" t="s">
        <v>131</v>
      </c>
      <c r="AR4523">
        <v>41</v>
      </c>
      <c r="AS4523">
        <v>69</v>
      </c>
      <c r="AT4523">
        <v>0</v>
      </c>
      <c r="BB4523" t="str">
        <f t="shared" si="1776"/>
        <v>1200</v>
      </c>
      <c r="BC4523">
        <v>1</v>
      </c>
      <c r="BD4523" t="str">
        <f t="shared" si="1777"/>
        <v xml:space="preserve">N52156  </v>
      </c>
      <c r="BE4523">
        <v>1</v>
      </c>
      <c r="BG4523">
        <v>0</v>
      </c>
      <c r="BH4523">
        <v>0</v>
      </c>
      <c r="BI4523">
        <v>0</v>
      </c>
      <c r="BJ4523">
        <v>4225</v>
      </c>
      <c r="BK4523">
        <v>25</v>
      </c>
      <c r="BL4523" t="s">
        <v>188</v>
      </c>
      <c r="BM4523">
        <v>1</v>
      </c>
      <c r="BN4523">
        <v>1</v>
      </c>
      <c r="BO4523">
        <v>0</v>
      </c>
      <c r="BP4523">
        <v>0</v>
      </c>
      <c r="BS4523">
        <v>0</v>
      </c>
      <c r="BT4523">
        <v>0</v>
      </c>
      <c r="BU4523">
        <v>0</v>
      </c>
      <c r="CE4523" t="str">
        <f t="shared" si="1791"/>
        <v>15:17:05.634</v>
      </c>
      <c r="CF4523">
        <v>633755348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4</v>
      </c>
      <c r="CY4523">
        <v>7</v>
      </c>
      <c r="CZ4523" t="s">
        <v>133</v>
      </c>
      <c r="DA4523">
        <v>275</v>
      </c>
      <c r="DB4523">
        <v>0</v>
      </c>
      <c r="DC4523" t="s">
        <v>134</v>
      </c>
      <c r="DD4523" t="s">
        <v>135</v>
      </c>
      <c r="DG4523">
        <v>3323307</v>
      </c>
      <c r="DI4523">
        <v>1</v>
      </c>
      <c r="DJ4523">
        <v>0</v>
      </c>
      <c r="DK4523">
        <v>1</v>
      </c>
      <c r="DL4523">
        <v>0</v>
      </c>
      <c r="DM4523">
        <v>0</v>
      </c>
      <c r="DN4523">
        <v>0</v>
      </c>
      <c r="DO4523">
        <v>0</v>
      </c>
      <c r="DP4523">
        <v>0</v>
      </c>
      <c r="DQ4523">
        <v>0</v>
      </c>
      <c r="DR4523">
        <v>0</v>
      </c>
      <c r="DS4523">
        <v>0</v>
      </c>
    </row>
    <row r="4524" spans="1:123" x14ac:dyDescent="0.3">
      <c r="A4524" t="str">
        <f>"05/01/2025 15:17:05.886"</f>
        <v>05/01/2025 15:17:05.886</v>
      </c>
      <c r="C4524" t="str">
        <f t="shared" si="1774"/>
        <v>FFDFD3C0</v>
      </c>
      <c r="D4524" t="s">
        <v>124</v>
      </c>
      <c r="E4524" t="str">
        <f>"06"</f>
        <v>06</v>
      </c>
      <c r="F4524">
        <v>2006</v>
      </c>
      <c r="G4524" t="s">
        <v>125</v>
      </c>
      <c r="J4524" t="s">
        <v>126</v>
      </c>
      <c r="K4524">
        <v>0</v>
      </c>
      <c r="L4524">
        <v>3</v>
      </c>
      <c r="M4524">
        <v>0</v>
      </c>
      <c r="N4524">
        <v>2</v>
      </c>
      <c r="O4524">
        <v>0</v>
      </c>
      <c r="P4524">
        <v>1</v>
      </c>
      <c r="Q4524">
        <v>0</v>
      </c>
      <c r="R4524" t="s">
        <v>127</v>
      </c>
      <c r="S4524" t="str">
        <f t="shared" si="1790"/>
        <v>15:17:05.000</v>
      </c>
      <c r="T4524" t="str">
        <f t="shared" si="1790"/>
        <v>15:17:05.000</v>
      </c>
      <c r="U4524" t="str">
        <f t="shared" si="1775"/>
        <v>A68FCB</v>
      </c>
      <c r="V4524">
        <v>0</v>
      </c>
      <c r="W4524">
        <v>0</v>
      </c>
      <c r="X4524">
        <v>2</v>
      </c>
      <c r="Y4524">
        <v>0</v>
      </c>
      <c r="AA4524">
        <v>1</v>
      </c>
      <c r="AB4524">
        <v>8</v>
      </c>
      <c r="AC4524">
        <v>3</v>
      </c>
      <c r="AD4524">
        <v>0</v>
      </c>
      <c r="AE4524">
        <v>9</v>
      </c>
      <c r="AF4524" t="s">
        <v>138</v>
      </c>
      <c r="AG4524">
        <v>0</v>
      </c>
      <c r="AH4524">
        <v>3</v>
      </c>
      <c r="AI4524">
        <v>2</v>
      </c>
      <c r="AJ4524">
        <v>0</v>
      </c>
      <c r="AK4524" t="s">
        <v>1440</v>
      </c>
      <c r="AL4524">
        <v>39.208295</v>
      </c>
      <c r="AM4524" t="s">
        <v>1441</v>
      </c>
      <c r="AN4524">
        <v>-121.006336</v>
      </c>
      <c r="AO4524">
        <v>25</v>
      </c>
      <c r="AP4524">
        <v>4200</v>
      </c>
      <c r="AQ4524" t="s">
        <v>131</v>
      </c>
      <c r="AR4524">
        <v>41</v>
      </c>
      <c r="AS4524">
        <v>69</v>
      </c>
      <c r="AT4524">
        <v>0</v>
      </c>
      <c r="BB4524" t="str">
        <f t="shared" si="1776"/>
        <v>1200</v>
      </c>
      <c r="BC4524">
        <v>1</v>
      </c>
      <c r="BD4524" t="str">
        <f t="shared" si="1777"/>
        <v xml:space="preserve">N52156  </v>
      </c>
      <c r="BE4524">
        <v>1</v>
      </c>
      <c r="BG4524">
        <v>0</v>
      </c>
      <c r="BH4524">
        <v>0</v>
      </c>
      <c r="BI4524">
        <v>0</v>
      </c>
      <c r="BJ4524">
        <v>4225</v>
      </c>
      <c r="BK4524">
        <v>25</v>
      </c>
      <c r="BL4524" t="s">
        <v>188</v>
      </c>
      <c r="BM4524">
        <v>1</v>
      </c>
      <c r="BN4524">
        <v>1</v>
      </c>
      <c r="BO4524">
        <v>0</v>
      </c>
      <c r="BP4524">
        <v>0</v>
      </c>
      <c r="BS4524">
        <v>0</v>
      </c>
      <c r="BT4524">
        <v>0</v>
      </c>
      <c r="BU4524">
        <v>0</v>
      </c>
      <c r="CE4524" t="str">
        <f t="shared" si="1791"/>
        <v>15:17:05.634</v>
      </c>
      <c r="CF4524">
        <v>633755348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4</v>
      </c>
      <c r="CY4524">
        <v>7</v>
      </c>
      <c r="CZ4524" t="s">
        <v>133</v>
      </c>
      <c r="DA4524">
        <v>275</v>
      </c>
      <c r="DB4524">
        <v>0</v>
      </c>
      <c r="DC4524" t="s">
        <v>134</v>
      </c>
      <c r="DD4524" t="s">
        <v>135</v>
      </c>
      <c r="DG4524">
        <v>3323307</v>
      </c>
      <c r="DI4524">
        <v>1</v>
      </c>
      <c r="DJ4524">
        <v>0</v>
      </c>
      <c r="DK4524">
        <v>1</v>
      </c>
      <c r="DL4524">
        <v>0</v>
      </c>
      <c r="DM4524">
        <v>0</v>
      </c>
      <c r="DN4524">
        <v>0</v>
      </c>
      <c r="DO4524">
        <v>0</v>
      </c>
      <c r="DP4524">
        <v>0</v>
      </c>
      <c r="DQ4524">
        <v>0</v>
      </c>
      <c r="DR4524">
        <v>0</v>
      </c>
      <c r="DS4524">
        <v>0</v>
      </c>
    </row>
    <row r="4525" spans="1:123" x14ac:dyDescent="0.3">
      <c r="A4525" t="str">
        <f>"05/01/2025 15:17:05.891"</f>
        <v>05/01/2025 15:17:05.891</v>
      </c>
      <c r="C4525" t="str">
        <f t="shared" si="1774"/>
        <v>FFDFD3C0</v>
      </c>
      <c r="D4525" t="s">
        <v>143</v>
      </c>
      <c r="E4525" t="str">
        <f>"05"</f>
        <v>05</v>
      </c>
      <c r="H4525">
        <v>172</v>
      </c>
      <c r="I4525" t="s">
        <v>141</v>
      </c>
      <c r="J4525" t="s">
        <v>144</v>
      </c>
      <c r="K4525">
        <v>0</v>
      </c>
      <c r="L4525">
        <v>3</v>
      </c>
      <c r="M4525">
        <v>0</v>
      </c>
      <c r="N4525">
        <v>2</v>
      </c>
      <c r="O4525">
        <v>0</v>
      </c>
      <c r="P4525">
        <v>1</v>
      </c>
      <c r="Q4525">
        <v>0</v>
      </c>
      <c r="R4525" t="s">
        <v>127</v>
      </c>
      <c r="S4525" t="str">
        <f t="shared" si="1790"/>
        <v>15:17:05.000</v>
      </c>
      <c r="T4525" t="str">
        <f t="shared" si="1790"/>
        <v>15:17:05.000</v>
      </c>
      <c r="U4525" t="str">
        <f t="shared" si="1775"/>
        <v>A68FCB</v>
      </c>
      <c r="V4525">
        <v>0</v>
      </c>
      <c r="W4525">
        <v>0</v>
      </c>
      <c r="X4525">
        <v>2</v>
      </c>
      <c r="Y4525">
        <v>0</v>
      </c>
      <c r="AA4525">
        <v>1</v>
      </c>
      <c r="AB4525">
        <v>8</v>
      </c>
      <c r="AC4525">
        <v>3</v>
      </c>
      <c r="AD4525">
        <v>0</v>
      </c>
      <c r="AE4525">
        <v>9</v>
      </c>
      <c r="AF4525" t="s">
        <v>138</v>
      </c>
      <c r="AG4525">
        <v>0</v>
      </c>
      <c r="AH4525">
        <v>3</v>
      </c>
      <c r="AI4525">
        <v>2</v>
      </c>
      <c r="AJ4525">
        <v>0</v>
      </c>
      <c r="AK4525" t="s">
        <v>1440</v>
      </c>
      <c r="AL4525">
        <v>39.208295</v>
      </c>
      <c r="AM4525" t="s">
        <v>1441</v>
      </c>
      <c r="AN4525">
        <v>-121.006336</v>
      </c>
      <c r="AO4525">
        <v>25</v>
      </c>
      <c r="AP4525">
        <v>4200</v>
      </c>
      <c r="AQ4525" t="s">
        <v>131</v>
      </c>
      <c r="AR4525">
        <v>41</v>
      </c>
      <c r="AS4525">
        <v>69</v>
      </c>
      <c r="AT4525">
        <v>0</v>
      </c>
      <c r="BB4525" t="str">
        <f t="shared" si="1776"/>
        <v>1200</v>
      </c>
      <c r="BC4525">
        <v>1</v>
      </c>
      <c r="BD4525" t="str">
        <f t="shared" si="1777"/>
        <v xml:space="preserve">N52156  </v>
      </c>
      <c r="BE4525">
        <v>1</v>
      </c>
      <c r="BG4525">
        <v>0</v>
      </c>
      <c r="BH4525">
        <v>0</v>
      </c>
      <c r="BI4525">
        <v>0</v>
      </c>
      <c r="BJ4525">
        <v>4225</v>
      </c>
      <c r="BK4525">
        <v>25</v>
      </c>
      <c r="BL4525" t="s">
        <v>188</v>
      </c>
      <c r="BM4525">
        <v>1</v>
      </c>
      <c r="BN4525">
        <v>1</v>
      </c>
      <c r="BO4525">
        <v>0</v>
      </c>
      <c r="BP4525">
        <v>0</v>
      </c>
      <c r="BS4525">
        <v>0</v>
      </c>
      <c r="BT4525">
        <v>0</v>
      </c>
      <c r="BU4525">
        <v>0</v>
      </c>
      <c r="CE4525" t="str">
        <f t="shared" si="1791"/>
        <v>15:17:05.634</v>
      </c>
      <c r="CF4525">
        <v>633755348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4</v>
      </c>
      <c r="CY4525">
        <v>7</v>
      </c>
      <c r="CZ4525" t="s">
        <v>133</v>
      </c>
      <c r="DA4525">
        <v>275</v>
      </c>
      <c r="DB4525">
        <v>0</v>
      </c>
      <c r="DC4525" t="s">
        <v>134</v>
      </c>
      <c r="DD4525" t="s">
        <v>135</v>
      </c>
      <c r="DG4525">
        <v>3323307</v>
      </c>
      <c r="DI4525">
        <v>1</v>
      </c>
      <c r="DJ4525">
        <v>0</v>
      </c>
      <c r="DK4525">
        <v>1</v>
      </c>
      <c r="DL4525">
        <v>0</v>
      </c>
      <c r="DM4525">
        <v>0</v>
      </c>
      <c r="DN4525">
        <v>0</v>
      </c>
      <c r="DO4525">
        <v>0</v>
      </c>
      <c r="DP4525">
        <v>0</v>
      </c>
      <c r="DQ4525">
        <v>0</v>
      </c>
      <c r="DR4525">
        <v>0</v>
      </c>
      <c r="DS4525">
        <v>0</v>
      </c>
    </row>
    <row r="4526" spans="1:123" x14ac:dyDescent="0.3">
      <c r="A4526" t="str">
        <f>"05/01/2025 15:17:06.554"</f>
        <v>05/01/2025 15:17:06.554</v>
      </c>
      <c r="C4526" t="str">
        <f t="shared" si="1774"/>
        <v>FFDFD3C0</v>
      </c>
      <c r="D4526" t="s">
        <v>145</v>
      </c>
      <c r="E4526" t="str">
        <f>"09"</f>
        <v>09</v>
      </c>
      <c r="H4526">
        <v>51</v>
      </c>
      <c r="I4526" t="s">
        <v>147</v>
      </c>
      <c r="J4526" t="s">
        <v>138</v>
      </c>
      <c r="K4526">
        <v>0</v>
      </c>
      <c r="L4526">
        <v>3</v>
      </c>
      <c r="M4526">
        <v>0</v>
      </c>
      <c r="N4526">
        <v>2</v>
      </c>
      <c r="O4526">
        <v>0</v>
      </c>
      <c r="P4526">
        <v>1</v>
      </c>
      <c r="Q4526">
        <v>0</v>
      </c>
      <c r="R4526" t="s">
        <v>127</v>
      </c>
      <c r="S4526" t="str">
        <f t="shared" ref="S4526:T4531" si="1792">"15:17:06.000"</f>
        <v>15:17:06.000</v>
      </c>
      <c r="T4526" t="str">
        <f t="shared" si="1792"/>
        <v>15:17:06.000</v>
      </c>
      <c r="U4526" t="str">
        <f t="shared" si="1775"/>
        <v>A68FCB</v>
      </c>
      <c r="V4526">
        <v>0</v>
      </c>
      <c r="W4526">
        <v>0</v>
      </c>
      <c r="X4526">
        <v>2</v>
      </c>
      <c r="Y4526">
        <v>0</v>
      </c>
      <c r="AA4526">
        <v>1</v>
      </c>
      <c r="AB4526">
        <v>8</v>
      </c>
      <c r="AC4526">
        <v>3</v>
      </c>
      <c r="AD4526">
        <v>0</v>
      </c>
      <c r="AE4526">
        <v>9</v>
      </c>
      <c r="AF4526" t="s">
        <v>138</v>
      </c>
      <c r="AG4526">
        <v>0</v>
      </c>
      <c r="AH4526">
        <v>3</v>
      </c>
      <c r="AI4526">
        <v>2</v>
      </c>
      <c r="AJ4526">
        <v>0</v>
      </c>
      <c r="AK4526" t="s">
        <v>1442</v>
      </c>
      <c r="AL4526">
        <v>39.208596</v>
      </c>
      <c r="AM4526" t="s">
        <v>1443</v>
      </c>
      <c r="AN4526">
        <v>-121.006079</v>
      </c>
      <c r="AO4526">
        <v>25</v>
      </c>
      <c r="AP4526">
        <v>4200</v>
      </c>
      <c r="AQ4526" t="s">
        <v>131</v>
      </c>
      <c r="AR4526">
        <v>39</v>
      </c>
      <c r="AS4526">
        <v>70</v>
      </c>
      <c r="AT4526">
        <v>0</v>
      </c>
      <c r="BB4526" t="str">
        <f t="shared" si="1776"/>
        <v>1200</v>
      </c>
      <c r="BC4526">
        <v>1</v>
      </c>
      <c r="BD4526" t="str">
        <f t="shared" si="1777"/>
        <v xml:space="preserve">N52156  </v>
      </c>
      <c r="BE4526">
        <v>1</v>
      </c>
      <c r="BG4526">
        <v>0</v>
      </c>
      <c r="BH4526">
        <v>0</v>
      </c>
      <c r="BI4526">
        <v>0</v>
      </c>
      <c r="BJ4526">
        <v>4225</v>
      </c>
      <c r="BK4526">
        <v>25</v>
      </c>
      <c r="BL4526" t="s">
        <v>188</v>
      </c>
      <c r="BM4526">
        <v>1</v>
      </c>
      <c r="BN4526">
        <v>1</v>
      </c>
      <c r="BO4526">
        <v>0</v>
      </c>
      <c r="BP4526">
        <v>0</v>
      </c>
      <c r="BS4526">
        <v>0</v>
      </c>
      <c r="BT4526">
        <v>0</v>
      </c>
      <c r="BU4526">
        <v>0</v>
      </c>
      <c r="CE4526" t="str">
        <f t="shared" ref="CE4526:CE4531" si="1793">"15:17:06.343"</f>
        <v>15:17:06.343</v>
      </c>
      <c r="CF4526">
        <v>343004690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4</v>
      </c>
      <c r="CY4526">
        <v>7</v>
      </c>
      <c r="CZ4526" t="s">
        <v>133</v>
      </c>
      <c r="DA4526">
        <v>275</v>
      </c>
      <c r="DB4526">
        <v>0</v>
      </c>
      <c r="DC4526" t="s">
        <v>134</v>
      </c>
      <c r="DD4526" t="s">
        <v>135</v>
      </c>
      <c r="DG4526">
        <v>3323308</v>
      </c>
      <c r="DI4526">
        <v>1</v>
      </c>
      <c r="DJ4526">
        <v>0</v>
      </c>
      <c r="DK4526">
        <v>0</v>
      </c>
      <c r="DL4526">
        <v>0</v>
      </c>
      <c r="DM4526">
        <v>0</v>
      </c>
      <c r="DN4526">
        <v>0</v>
      </c>
      <c r="DO4526">
        <v>0</v>
      </c>
      <c r="DP4526">
        <v>0</v>
      </c>
      <c r="DQ4526">
        <v>0</v>
      </c>
      <c r="DR4526">
        <v>0</v>
      </c>
      <c r="DS4526">
        <v>0</v>
      </c>
    </row>
    <row r="4527" spans="1:123" x14ac:dyDescent="0.3">
      <c r="A4527" t="str">
        <f>"05/01/2025 15:17:06.560"</f>
        <v>05/01/2025 15:17:06.560</v>
      </c>
      <c r="C4527" t="str">
        <f t="shared" si="1774"/>
        <v>FFDFD3C0</v>
      </c>
      <c r="D4527" t="s">
        <v>145</v>
      </c>
      <c r="E4527" t="str">
        <f>"05"</f>
        <v>05</v>
      </c>
      <c r="H4527">
        <v>47</v>
      </c>
      <c r="I4527" t="s">
        <v>146</v>
      </c>
      <c r="J4527" t="s">
        <v>138</v>
      </c>
      <c r="K4527">
        <v>0</v>
      </c>
      <c r="L4527">
        <v>3</v>
      </c>
      <c r="M4527">
        <v>0</v>
      </c>
      <c r="N4527">
        <v>2</v>
      </c>
      <c r="O4527">
        <v>0</v>
      </c>
      <c r="P4527">
        <v>1</v>
      </c>
      <c r="Q4527">
        <v>0</v>
      </c>
      <c r="R4527" t="s">
        <v>127</v>
      </c>
      <c r="S4527" t="str">
        <f t="shared" si="1792"/>
        <v>15:17:06.000</v>
      </c>
      <c r="T4527" t="str">
        <f t="shared" si="1792"/>
        <v>15:17:06.000</v>
      </c>
      <c r="U4527" t="str">
        <f t="shared" si="1775"/>
        <v>A68FCB</v>
      </c>
      <c r="V4527">
        <v>0</v>
      </c>
      <c r="W4527">
        <v>0</v>
      </c>
      <c r="X4527">
        <v>2</v>
      </c>
      <c r="Y4527">
        <v>0</v>
      </c>
      <c r="AA4527">
        <v>1</v>
      </c>
      <c r="AB4527">
        <v>8</v>
      </c>
      <c r="AC4527">
        <v>3</v>
      </c>
      <c r="AD4527">
        <v>0</v>
      </c>
      <c r="AE4527">
        <v>9</v>
      </c>
      <c r="AF4527" t="s">
        <v>138</v>
      </c>
      <c r="AG4527">
        <v>0</v>
      </c>
      <c r="AH4527">
        <v>3</v>
      </c>
      <c r="AI4527">
        <v>2</v>
      </c>
      <c r="AJ4527">
        <v>0</v>
      </c>
      <c r="AK4527" t="s">
        <v>1442</v>
      </c>
      <c r="AL4527">
        <v>39.208596</v>
      </c>
      <c r="AM4527" t="s">
        <v>1443</v>
      </c>
      <c r="AN4527">
        <v>-121.006079</v>
      </c>
      <c r="AO4527">
        <v>25</v>
      </c>
      <c r="AP4527">
        <v>4200</v>
      </c>
      <c r="AQ4527" t="s">
        <v>131</v>
      </c>
      <c r="AR4527">
        <v>39</v>
      </c>
      <c r="AS4527">
        <v>70</v>
      </c>
      <c r="AT4527">
        <v>0</v>
      </c>
      <c r="BB4527" t="str">
        <f t="shared" si="1776"/>
        <v>1200</v>
      </c>
      <c r="BC4527">
        <v>1</v>
      </c>
      <c r="BD4527" t="str">
        <f t="shared" si="1777"/>
        <v xml:space="preserve">N52156  </v>
      </c>
      <c r="BE4527">
        <v>1</v>
      </c>
      <c r="BG4527">
        <v>0</v>
      </c>
      <c r="BH4527">
        <v>0</v>
      </c>
      <c r="BI4527">
        <v>0</v>
      </c>
      <c r="BJ4527">
        <v>4225</v>
      </c>
      <c r="BK4527">
        <v>25</v>
      </c>
      <c r="BL4527" t="s">
        <v>188</v>
      </c>
      <c r="BM4527">
        <v>1</v>
      </c>
      <c r="BN4527">
        <v>1</v>
      </c>
      <c r="BO4527">
        <v>0</v>
      </c>
      <c r="BP4527">
        <v>0</v>
      </c>
      <c r="BS4527">
        <v>0</v>
      </c>
      <c r="BT4527">
        <v>0</v>
      </c>
      <c r="BU4527">
        <v>0</v>
      </c>
      <c r="CE4527" t="str">
        <f t="shared" si="1793"/>
        <v>15:17:06.343</v>
      </c>
      <c r="CF4527">
        <v>343004690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4</v>
      </c>
      <c r="CY4527">
        <v>7</v>
      </c>
      <c r="CZ4527" t="s">
        <v>133</v>
      </c>
      <c r="DA4527">
        <v>275</v>
      </c>
      <c r="DB4527">
        <v>0</v>
      </c>
      <c r="DC4527" t="s">
        <v>134</v>
      </c>
      <c r="DD4527" t="s">
        <v>135</v>
      </c>
      <c r="DG4527">
        <v>3323308</v>
      </c>
      <c r="DI4527">
        <v>1</v>
      </c>
      <c r="DJ4527">
        <v>0</v>
      </c>
      <c r="DK4527">
        <v>1</v>
      </c>
      <c r="DL4527">
        <v>0</v>
      </c>
      <c r="DM4527">
        <v>0</v>
      </c>
      <c r="DN4527">
        <v>0</v>
      </c>
      <c r="DO4527">
        <v>0</v>
      </c>
      <c r="DP4527">
        <v>0</v>
      </c>
      <c r="DQ4527">
        <v>0</v>
      </c>
      <c r="DR4527">
        <v>0</v>
      </c>
      <c r="DS4527">
        <v>0</v>
      </c>
    </row>
    <row r="4528" spans="1:123" x14ac:dyDescent="0.3">
      <c r="A4528" t="str">
        <f>"05/01/2025 15:17:06.571"</f>
        <v>05/01/2025 15:17:06.571</v>
      </c>
      <c r="C4528" t="str">
        <f t="shared" si="1774"/>
        <v>FFDFD3C0</v>
      </c>
      <c r="D4528" t="s">
        <v>136</v>
      </c>
      <c r="E4528" t="str">
        <f>"20"</f>
        <v>20</v>
      </c>
      <c r="H4528">
        <v>400</v>
      </c>
      <c r="I4528" t="s">
        <v>137</v>
      </c>
      <c r="J4528" t="s">
        <v>138</v>
      </c>
      <c r="K4528">
        <v>0</v>
      </c>
      <c r="L4528">
        <v>3</v>
      </c>
      <c r="M4528">
        <v>0</v>
      </c>
      <c r="N4528">
        <v>2</v>
      </c>
      <c r="O4528">
        <v>0</v>
      </c>
      <c r="P4528">
        <v>1</v>
      </c>
      <c r="Q4528">
        <v>0</v>
      </c>
      <c r="R4528" t="s">
        <v>127</v>
      </c>
      <c r="S4528" t="str">
        <f t="shared" si="1792"/>
        <v>15:17:06.000</v>
      </c>
      <c r="T4528" t="str">
        <f t="shared" si="1792"/>
        <v>15:17:06.000</v>
      </c>
      <c r="U4528" t="str">
        <f t="shared" si="1775"/>
        <v>A68FCB</v>
      </c>
      <c r="V4528">
        <v>0</v>
      </c>
      <c r="W4528">
        <v>0</v>
      </c>
      <c r="X4528">
        <v>2</v>
      </c>
      <c r="Y4528">
        <v>0</v>
      </c>
      <c r="AA4528">
        <v>1</v>
      </c>
      <c r="AB4528">
        <v>8</v>
      </c>
      <c r="AC4528">
        <v>3</v>
      </c>
      <c r="AD4528">
        <v>0</v>
      </c>
      <c r="AE4528">
        <v>9</v>
      </c>
      <c r="AF4528" t="s">
        <v>138</v>
      </c>
      <c r="AG4528">
        <v>0</v>
      </c>
      <c r="AH4528">
        <v>3</v>
      </c>
      <c r="AI4528">
        <v>2</v>
      </c>
      <c r="AJ4528">
        <v>0</v>
      </c>
      <c r="AK4528" t="s">
        <v>1442</v>
      </c>
      <c r="AL4528">
        <v>39.208596</v>
      </c>
      <c r="AM4528" t="s">
        <v>1443</v>
      </c>
      <c r="AN4528">
        <v>-121.006079</v>
      </c>
      <c r="AO4528">
        <v>25</v>
      </c>
      <c r="AP4528">
        <v>4200</v>
      </c>
      <c r="AQ4528" t="s">
        <v>131</v>
      </c>
      <c r="AR4528">
        <v>39</v>
      </c>
      <c r="AS4528">
        <v>70</v>
      </c>
      <c r="AT4528">
        <v>0</v>
      </c>
      <c r="BB4528" t="str">
        <f t="shared" si="1776"/>
        <v>1200</v>
      </c>
      <c r="BC4528">
        <v>1</v>
      </c>
      <c r="BD4528" t="str">
        <f t="shared" si="1777"/>
        <v xml:space="preserve">N52156  </v>
      </c>
      <c r="BE4528">
        <v>1</v>
      </c>
      <c r="BG4528">
        <v>0</v>
      </c>
      <c r="BH4528">
        <v>0</v>
      </c>
      <c r="BI4528">
        <v>0</v>
      </c>
      <c r="BJ4528">
        <v>4225</v>
      </c>
      <c r="BK4528">
        <v>25</v>
      </c>
      <c r="BL4528" t="s">
        <v>188</v>
      </c>
      <c r="BM4528">
        <v>1</v>
      </c>
      <c r="BN4528">
        <v>1</v>
      </c>
      <c r="BO4528">
        <v>0</v>
      </c>
      <c r="BP4528">
        <v>0</v>
      </c>
      <c r="BS4528">
        <v>0</v>
      </c>
      <c r="BT4528">
        <v>0</v>
      </c>
      <c r="BU4528">
        <v>0</v>
      </c>
      <c r="CE4528" t="str">
        <f t="shared" si="1793"/>
        <v>15:17:06.343</v>
      </c>
      <c r="CF4528">
        <v>343004690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4</v>
      </c>
      <c r="CY4528">
        <v>7</v>
      </c>
      <c r="CZ4528" t="s">
        <v>133</v>
      </c>
      <c r="DA4528">
        <v>275</v>
      </c>
      <c r="DB4528">
        <v>0</v>
      </c>
      <c r="DC4528" t="s">
        <v>134</v>
      </c>
      <c r="DD4528" t="s">
        <v>135</v>
      </c>
      <c r="DG4528">
        <v>3323308</v>
      </c>
      <c r="DI4528">
        <v>1</v>
      </c>
      <c r="DJ4528">
        <v>0</v>
      </c>
      <c r="DK4528">
        <v>1</v>
      </c>
      <c r="DL4528">
        <v>0</v>
      </c>
      <c r="DM4528">
        <v>0</v>
      </c>
      <c r="DN4528">
        <v>0</v>
      </c>
      <c r="DO4528">
        <v>0</v>
      </c>
      <c r="DP4528">
        <v>0</v>
      </c>
      <c r="DQ4528">
        <v>0</v>
      </c>
      <c r="DR4528">
        <v>0</v>
      </c>
      <c r="DS4528">
        <v>0</v>
      </c>
    </row>
    <row r="4529" spans="1:123" x14ac:dyDescent="0.3">
      <c r="A4529" t="str">
        <f>"05/01/2025 15:17:06.586"</f>
        <v>05/01/2025 15:17:06.586</v>
      </c>
      <c r="C4529" t="str">
        <f t="shared" si="1774"/>
        <v>FFDFD3C0</v>
      </c>
      <c r="D4529" t="s">
        <v>140</v>
      </c>
      <c r="E4529" t="str">
        <f>"13"</f>
        <v>13</v>
      </c>
      <c r="F4529">
        <v>1019</v>
      </c>
      <c r="G4529" t="s">
        <v>141</v>
      </c>
      <c r="J4529" t="s">
        <v>142</v>
      </c>
      <c r="K4529">
        <v>0</v>
      </c>
      <c r="L4529">
        <v>3</v>
      </c>
      <c r="M4529">
        <v>0</v>
      </c>
      <c r="N4529">
        <v>2</v>
      </c>
      <c r="O4529">
        <v>0</v>
      </c>
      <c r="P4529">
        <v>1</v>
      </c>
      <c r="Q4529">
        <v>0</v>
      </c>
      <c r="R4529" t="s">
        <v>127</v>
      </c>
      <c r="S4529" t="str">
        <f t="shared" si="1792"/>
        <v>15:17:06.000</v>
      </c>
      <c r="T4529" t="str">
        <f t="shared" si="1792"/>
        <v>15:17:06.000</v>
      </c>
      <c r="U4529" t="str">
        <f t="shared" si="1775"/>
        <v>A68FCB</v>
      </c>
      <c r="V4529">
        <v>0</v>
      </c>
      <c r="W4529">
        <v>0</v>
      </c>
      <c r="X4529">
        <v>2</v>
      </c>
      <c r="Y4529">
        <v>0</v>
      </c>
      <c r="AA4529">
        <v>1</v>
      </c>
      <c r="AB4529">
        <v>8</v>
      </c>
      <c r="AC4529">
        <v>3</v>
      </c>
      <c r="AD4529">
        <v>0</v>
      </c>
      <c r="AE4529">
        <v>9</v>
      </c>
      <c r="AF4529" t="s">
        <v>138</v>
      </c>
      <c r="AG4529">
        <v>0</v>
      </c>
      <c r="AH4529">
        <v>3</v>
      </c>
      <c r="AI4529">
        <v>2</v>
      </c>
      <c r="AJ4529">
        <v>0</v>
      </c>
      <c r="AK4529" t="s">
        <v>1442</v>
      </c>
      <c r="AL4529">
        <v>39.208596</v>
      </c>
      <c r="AM4529" t="s">
        <v>1443</v>
      </c>
      <c r="AN4529">
        <v>-121.006079</v>
      </c>
      <c r="AO4529">
        <v>25</v>
      </c>
      <c r="AP4529">
        <v>4200</v>
      </c>
      <c r="AQ4529" t="s">
        <v>131</v>
      </c>
      <c r="AR4529">
        <v>39</v>
      </c>
      <c r="AS4529">
        <v>70</v>
      </c>
      <c r="AT4529">
        <v>0</v>
      </c>
      <c r="BB4529" t="str">
        <f t="shared" si="1776"/>
        <v>1200</v>
      </c>
      <c r="BC4529">
        <v>1</v>
      </c>
      <c r="BD4529" t="str">
        <f t="shared" si="1777"/>
        <v xml:space="preserve">N52156  </v>
      </c>
      <c r="BE4529">
        <v>1</v>
      </c>
      <c r="BG4529">
        <v>0</v>
      </c>
      <c r="BH4529">
        <v>0</v>
      </c>
      <c r="BI4529">
        <v>0</v>
      </c>
      <c r="BJ4529">
        <v>4225</v>
      </c>
      <c r="BK4529">
        <v>25</v>
      </c>
      <c r="BL4529" t="s">
        <v>188</v>
      </c>
      <c r="BM4529">
        <v>1</v>
      </c>
      <c r="BN4529">
        <v>1</v>
      </c>
      <c r="BO4529">
        <v>0</v>
      </c>
      <c r="BP4529">
        <v>0</v>
      </c>
      <c r="BS4529">
        <v>0</v>
      </c>
      <c r="BT4529">
        <v>0</v>
      </c>
      <c r="BU4529">
        <v>0</v>
      </c>
      <c r="CE4529" t="str">
        <f t="shared" si="1793"/>
        <v>15:17:06.343</v>
      </c>
      <c r="CF4529">
        <v>343004690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4</v>
      </c>
      <c r="CY4529">
        <v>7</v>
      </c>
      <c r="CZ4529" t="s">
        <v>133</v>
      </c>
      <c r="DA4529">
        <v>275</v>
      </c>
      <c r="DB4529">
        <v>0</v>
      </c>
      <c r="DC4529" t="s">
        <v>134</v>
      </c>
      <c r="DD4529" t="s">
        <v>135</v>
      </c>
      <c r="DG4529">
        <v>3323308</v>
      </c>
      <c r="DI4529">
        <v>1</v>
      </c>
      <c r="DJ4529">
        <v>0</v>
      </c>
      <c r="DK4529">
        <v>1</v>
      </c>
      <c r="DL4529">
        <v>0</v>
      </c>
      <c r="DM4529">
        <v>0</v>
      </c>
      <c r="DN4529">
        <v>0</v>
      </c>
      <c r="DO4529">
        <v>0</v>
      </c>
      <c r="DP4529">
        <v>0</v>
      </c>
      <c r="DQ4529">
        <v>0</v>
      </c>
      <c r="DR4529">
        <v>0</v>
      </c>
      <c r="DS4529">
        <v>0</v>
      </c>
    </row>
    <row r="4530" spans="1:123" x14ac:dyDescent="0.3">
      <c r="A4530" t="str">
        <f>"05/01/2025 15:17:06.588"</f>
        <v>05/01/2025 15:17:06.588</v>
      </c>
      <c r="C4530" t="str">
        <f t="shared" si="1774"/>
        <v>FFDFD3C0</v>
      </c>
      <c r="D4530" t="s">
        <v>124</v>
      </c>
      <c r="E4530" t="str">
        <f>"06"</f>
        <v>06</v>
      </c>
      <c r="F4530">
        <v>2006</v>
      </c>
      <c r="G4530" t="s">
        <v>125</v>
      </c>
      <c r="J4530" t="s">
        <v>126</v>
      </c>
      <c r="K4530">
        <v>0</v>
      </c>
      <c r="L4530">
        <v>3</v>
      </c>
      <c r="M4530">
        <v>0</v>
      </c>
      <c r="N4530">
        <v>2</v>
      </c>
      <c r="O4530">
        <v>0</v>
      </c>
      <c r="P4530">
        <v>1</v>
      </c>
      <c r="Q4530">
        <v>0</v>
      </c>
      <c r="R4530" t="s">
        <v>127</v>
      </c>
      <c r="S4530" t="str">
        <f t="shared" si="1792"/>
        <v>15:17:06.000</v>
      </c>
      <c r="T4530" t="str">
        <f t="shared" si="1792"/>
        <v>15:17:06.000</v>
      </c>
      <c r="U4530" t="str">
        <f t="shared" si="1775"/>
        <v>A68FCB</v>
      </c>
      <c r="V4530">
        <v>0</v>
      </c>
      <c r="W4530">
        <v>0</v>
      </c>
      <c r="X4530">
        <v>2</v>
      </c>
      <c r="Y4530">
        <v>0</v>
      </c>
      <c r="AA4530">
        <v>1</v>
      </c>
      <c r="AB4530">
        <v>8</v>
      </c>
      <c r="AC4530">
        <v>3</v>
      </c>
      <c r="AD4530">
        <v>0</v>
      </c>
      <c r="AE4530">
        <v>9</v>
      </c>
      <c r="AF4530" t="s">
        <v>138</v>
      </c>
      <c r="AG4530">
        <v>0</v>
      </c>
      <c r="AH4530">
        <v>3</v>
      </c>
      <c r="AI4530">
        <v>2</v>
      </c>
      <c r="AJ4530">
        <v>0</v>
      </c>
      <c r="AK4530" t="s">
        <v>1442</v>
      </c>
      <c r="AL4530">
        <v>39.208596</v>
      </c>
      <c r="AM4530" t="s">
        <v>1443</v>
      </c>
      <c r="AN4530">
        <v>-121.006079</v>
      </c>
      <c r="AO4530">
        <v>25</v>
      </c>
      <c r="AP4530">
        <v>4200</v>
      </c>
      <c r="AQ4530" t="s">
        <v>131</v>
      </c>
      <c r="AR4530">
        <v>39</v>
      </c>
      <c r="AS4530">
        <v>70</v>
      </c>
      <c r="AT4530">
        <v>0</v>
      </c>
      <c r="BB4530" t="str">
        <f t="shared" si="1776"/>
        <v>1200</v>
      </c>
      <c r="BC4530">
        <v>1</v>
      </c>
      <c r="BD4530" t="str">
        <f t="shared" si="1777"/>
        <v xml:space="preserve">N52156  </v>
      </c>
      <c r="BE4530">
        <v>1</v>
      </c>
      <c r="BG4530">
        <v>0</v>
      </c>
      <c r="BH4530">
        <v>0</v>
      </c>
      <c r="BI4530">
        <v>0</v>
      </c>
      <c r="BJ4530">
        <v>4225</v>
      </c>
      <c r="BK4530">
        <v>25</v>
      </c>
      <c r="BL4530" t="s">
        <v>188</v>
      </c>
      <c r="BM4530">
        <v>1</v>
      </c>
      <c r="BN4530">
        <v>1</v>
      </c>
      <c r="BO4530">
        <v>0</v>
      </c>
      <c r="BP4530">
        <v>0</v>
      </c>
      <c r="BS4530">
        <v>0</v>
      </c>
      <c r="BT4530">
        <v>0</v>
      </c>
      <c r="BU4530">
        <v>0</v>
      </c>
      <c r="CE4530" t="str">
        <f t="shared" si="1793"/>
        <v>15:17:06.343</v>
      </c>
      <c r="CF4530">
        <v>343004690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4</v>
      </c>
      <c r="CY4530">
        <v>7</v>
      </c>
      <c r="CZ4530" t="s">
        <v>133</v>
      </c>
      <c r="DA4530">
        <v>275</v>
      </c>
      <c r="DB4530">
        <v>0</v>
      </c>
      <c r="DC4530" t="s">
        <v>134</v>
      </c>
      <c r="DD4530" t="s">
        <v>135</v>
      </c>
      <c r="DG4530">
        <v>3323308</v>
      </c>
      <c r="DI4530">
        <v>1</v>
      </c>
      <c r="DJ4530">
        <v>0</v>
      </c>
      <c r="DK4530">
        <v>1</v>
      </c>
      <c r="DL4530">
        <v>0</v>
      </c>
      <c r="DM4530">
        <v>0</v>
      </c>
      <c r="DN4530">
        <v>0</v>
      </c>
      <c r="DO4530">
        <v>0</v>
      </c>
      <c r="DP4530">
        <v>0</v>
      </c>
      <c r="DQ4530">
        <v>0</v>
      </c>
      <c r="DR4530">
        <v>0</v>
      </c>
      <c r="DS4530">
        <v>0</v>
      </c>
    </row>
    <row r="4531" spans="1:123" x14ac:dyDescent="0.3">
      <c r="A4531" t="str">
        <f>"05/01/2025 15:17:06.593"</f>
        <v>05/01/2025 15:17:06.593</v>
      </c>
      <c r="C4531" t="str">
        <f t="shared" si="1774"/>
        <v>FFDFD3C0</v>
      </c>
      <c r="D4531" t="s">
        <v>143</v>
      </c>
      <c r="E4531" t="str">
        <f>"05"</f>
        <v>05</v>
      </c>
      <c r="H4531">
        <v>172</v>
      </c>
      <c r="I4531" t="s">
        <v>141</v>
      </c>
      <c r="J4531" t="s">
        <v>144</v>
      </c>
      <c r="K4531">
        <v>0</v>
      </c>
      <c r="L4531">
        <v>3</v>
      </c>
      <c r="M4531">
        <v>0</v>
      </c>
      <c r="N4531">
        <v>2</v>
      </c>
      <c r="O4531">
        <v>0</v>
      </c>
      <c r="P4531">
        <v>1</v>
      </c>
      <c r="Q4531">
        <v>0</v>
      </c>
      <c r="R4531" t="s">
        <v>127</v>
      </c>
      <c r="S4531" t="str">
        <f t="shared" si="1792"/>
        <v>15:17:06.000</v>
      </c>
      <c r="T4531" t="str">
        <f t="shared" si="1792"/>
        <v>15:17:06.000</v>
      </c>
      <c r="U4531" t="str">
        <f t="shared" si="1775"/>
        <v>A68FCB</v>
      </c>
      <c r="V4531">
        <v>0</v>
      </c>
      <c r="W4531">
        <v>0</v>
      </c>
      <c r="X4531">
        <v>2</v>
      </c>
      <c r="Y4531">
        <v>0</v>
      </c>
      <c r="AA4531">
        <v>1</v>
      </c>
      <c r="AB4531">
        <v>8</v>
      </c>
      <c r="AC4531">
        <v>3</v>
      </c>
      <c r="AD4531">
        <v>0</v>
      </c>
      <c r="AE4531">
        <v>9</v>
      </c>
      <c r="AF4531" t="s">
        <v>138</v>
      </c>
      <c r="AG4531">
        <v>0</v>
      </c>
      <c r="AH4531">
        <v>3</v>
      </c>
      <c r="AI4531">
        <v>2</v>
      </c>
      <c r="AJ4531">
        <v>0</v>
      </c>
      <c r="AK4531" t="s">
        <v>1442</v>
      </c>
      <c r="AL4531">
        <v>39.208596</v>
      </c>
      <c r="AM4531" t="s">
        <v>1443</v>
      </c>
      <c r="AN4531">
        <v>-121.006079</v>
      </c>
      <c r="AO4531">
        <v>25</v>
      </c>
      <c r="AP4531">
        <v>4200</v>
      </c>
      <c r="AQ4531" t="s">
        <v>131</v>
      </c>
      <c r="AR4531">
        <v>39</v>
      </c>
      <c r="AS4531">
        <v>70</v>
      </c>
      <c r="AT4531">
        <v>0</v>
      </c>
      <c r="BB4531" t="str">
        <f t="shared" si="1776"/>
        <v>1200</v>
      </c>
      <c r="BC4531">
        <v>1</v>
      </c>
      <c r="BD4531" t="str">
        <f t="shared" si="1777"/>
        <v xml:space="preserve">N52156  </v>
      </c>
      <c r="BE4531">
        <v>1</v>
      </c>
      <c r="BG4531">
        <v>0</v>
      </c>
      <c r="BH4531">
        <v>0</v>
      </c>
      <c r="BI4531">
        <v>0</v>
      </c>
      <c r="BJ4531">
        <v>4225</v>
      </c>
      <c r="BK4531">
        <v>25</v>
      </c>
      <c r="BL4531" t="s">
        <v>188</v>
      </c>
      <c r="BM4531">
        <v>1</v>
      </c>
      <c r="BN4531">
        <v>1</v>
      </c>
      <c r="BO4531">
        <v>0</v>
      </c>
      <c r="BP4531">
        <v>0</v>
      </c>
      <c r="BS4531">
        <v>0</v>
      </c>
      <c r="BT4531">
        <v>0</v>
      </c>
      <c r="BU4531">
        <v>0</v>
      </c>
      <c r="CE4531" t="str">
        <f t="shared" si="1793"/>
        <v>15:17:06.343</v>
      </c>
      <c r="CF4531">
        <v>343004690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4</v>
      </c>
      <c r="CY4531">
        <v>7</v>
      </c>
      <c r="CZ4531" t="s">
        <v>133</v>
      </c>
      <c r="DA4531">
        <v>275</v>
      </c>
      <c r="DB4531">
        <v>0</v>
      </c>
      <c r="DC4531" t="s">
        <v>134</v>
      </c>
      <c r="DD4531" t="s">
        <v>135</v>
      </c>
      <c r="DG4531">
        <v>3323308</v>
      </c>
      <c r="DI4531">
        <v>1</v>
      </c>
      <c r="DJ4531">
        <v>0</v>
      </c>
      <c r="DK4531">
        <v>1</v>
      </c>
      <c r="DL4531">
        <v>0</v>
      </c>
      <c r="DM4531">
        <v>0</v>
      </c>
      <c r="DN4531">
        <v>0</v>
      </c>
      <c r="DO4531">
        <v>0</v>
      </c>
      <c r="DP4531">
        <v>0</v>
      </c>
      <c r="DQ4531">
        <v>0</v>
      </c>
      <c r="DR4531">
        <v>0</v>
      </c>
      <c r="DS4531">
        <v>0</v>
      </c>
    </row>
    <row r="4532" spans="1:123" x14ac:dyDescent="0.3">
      <c r="A4532" t="str">
        <f>"05/01/2025 15:17:07.588"</f>
        <v>05/01/2025 15:17:07.588</v>
      </c>
      <c r="C4532" t="str">
        <f t="shared" si="1774"/>
        <v>FFDFD3C0</v>
      </c>
      <c r="D4532" t="s">
        <v>140</v>
      </c>
      <c r="E4532" t="str">
        <f>"13"</f>
        <v>13</v>
      </c>
      <c r="F4532">
        <v>1019</v>
      </c>
      <c r="G4532" t="s">
        <v>141</v>
      </c>
      <c r="J4532" t="s">
        <v>142</v>
      </c>
      <c r="K4532">
        <v>0</v>
      </c>
      <c r="L4532">
        <v>3</v>
      </c>
      <c r="M4532">
        <v>0</v>
      </c>
      <c r="N4532">
        <v>2</v>
      </c>
      <c r="O4532">
        <v>0</v>
      </c>
      <c r="P4532">
        <v>1</v>
      </c>
      <c r="Q4532">
        <v>0</v>
      </c>
      <c r="R4532" t="s">
        <v>127</v>
      </c>
      <c r="S4532" t="str">
        <f t="shared" ref="S4532:T4537" si="1794">"15:17:07.000"</f>
        <v>15:17:07.000</v>
      </c>
      <c r="T4532" t="str">
        <f t="shared" si="1794"/>
        <v>15:17:07.000</v>
      </c>
      <c r="U4532" t="str">
        <f t="shared" si="1775"/>
        <v>A68FCB</v>
      </c>
      <c r="V4532">
        <v>0</v>
      </c>
      <c r="W4532">
        <v>0</v>
      </c>
      <c r="X4532">
        <v>2</v>
      </c>
      <c r="Y4532">
        <v>0</v>
      </c>
      <c r="AA4532">
        <v>1</v>
      </c>
      <c r="AB4532">
        <v>8</v>
      </c>
      <c r="AC4532">
        <v>3</v>
      </c>
      <c r="AD4532">
        <v>0</v>
      </c>
      <c r="AE4532">
        <v>9</v>
      </c>
      <c r="AF4532" t="s">
        <v>138</v>
      </c>
      <c r="AG4532">
        <v>0</v>
      </c>
      <c r="AH4532">
        <v>3</v>
      </c>
      <c r="AI4532">
        <v>2</v>
      </c>
      <c r="AJ4532">
        <v>0</v>
      </c>
      <c r="AK4532" t="s">
        <v>1444</v>
      </c>
      <c r="AL4532">
        <v>39.208939000000001</v>
      </c>
      <c r="AM4532" t="s">
        <v>1445</v>
      </c>
      <c r="AN4532">
        <v>-121.005843</v>
      </c>
      <c r="AO4532">
        <v>25</v>
      </c>
      <c r="AP4532">
        <v>4200</v>
      </c>
      <c r="AQ4532" t="s">
        <v>131</v>
      </c>
      <c r="AR4532">
        <v>37</v>
      </c>
      <c r="AS4532">
        <v>71</v>
      </c>
      <c r="AT4532">
        <v>0</v>
      </c>
      <c r="BB4532" t="str">
        <f t="shared" si="1776"/>
        <v>1200</v>
      </c>
      <c r="BC4532">
        <v>1</v>
      </c>
      <c r="BD4532" t="str">
        <f t="shared" si="1777"/>
        <v xml:space="preserve">N52156  </v>
      </c>
      <c r="BE4532">
        <v>1</v>
      </c>
      <c r="BG4532">
        <v>0</v>
      </c>
      <c r="BH4532">
        <v>0</v>
      </c>
      <c r="BI4532">
        <v>0</v>
      </c>
      <c r="BJ4532">
        <v>4225</v>
      </c>
      <c r="BK4532">
        <v>25</v>
      </c>
      <c r="BL4532" t="s">
        <v>188</v>
      </c>
      <c r="BM4532">
        <v>1</v>
      </c>
      <c r="BN4532">
        <v>1</v>
      </c>
      <c r="BO4532">
        <v>0</v>
      </c>
      <c r="BP4532">
        <v>0</v>
      </c>
      <c r="BS4532">
        <v>0</v>
      </c>
      <c r="BT4532">
        <v>0</v>
      </c>
      <c r="BU4532">
        <v>0</v>
      </c>
      <c r="CE4532" t="str">
        <f t="shared" ref="CE4532:CE4537" si="1795">"15:17:07.371"</f>
        <v>15:17:07.371</v>
      </c>
      <c r="CF4532">
        <v>370754867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4</v>
      </c>
      <c r="CY4532">
        <v>7</v>
      </c>
      <c r="CZ4532" t="s">
        <v>133</v>
      </c>
      <c r="DA4532">
        <v>275</v>
      </c>
      <c r="DB4532">
        <v>0</v>
      </c>
      <c r="DC4532" t="s">
        <v>134</v>
      </c>
      <c r="DD4532" t="s">
        <v>135</v>
      </c>
      <c r="DG4532">
        <v>3323310</v>
      </c>
      <c r="DI4532">
        <v>1</v>
      </c>
      <c r="DJ4532">
        <v>0</v>
      </c>
      <c r="DK4532">
        <v>0</v>
      </c>
      <c r="DL4532">
        <v>0</v>
      </c>
      <c r="DM4532">
        <v>0</v>
      </c>
      <c r="DN4532">
        <v>0</v>
      </c>
      <c r="DO4532">
        <v>0</v>
      </c>
      <c r="DP4532">
        <v>0</v>
      </c>
      <c r="DQ4532">
        <v>0</v>
      </c>
      <c r="DR4532">
        <v>0</v>
      </c>
      <c r="DS4532">
        <v>0</v>
      </c>
    </row>
    <row r="4533" spans="1:123" x14ac:dyDescent="0.3">
      <c r="A4533" t="str">
        <f>"05/01/2025 15:17:07.589"</f>
        <v>05/01/2025 15:17:07.589</v>
      </c>
      <c r="C4533" t="str">
        <f t="shared" si="1774"/>
        <v>FFDFD3C0</v>
      </c>
      <c r="D4533" t="s">
        <v>124</v>
      </c>
      <c r="E4533" t="str">
        <f>"06"</f>
        <v>06</v>
      </c>
      <c r="F4533">
        <v>2006</v>
      </c>
      <c r="G4533" t="s">
        <v>125</v>
      </c>
      <c r="J4533" t="s">
        <v>126</v>
      </c>
      <c r="K4533">
        <v>0</v>
      </c>
      <c r="L4533">
        <v>3</v>
      </c>
      <c r="M4533">
        <v>0</v>
      </c>
      <c r="N4533">
        <v>2</v>
      </c>
      <c r="O4533">
        <v>0</v>
      </c>
      <c r="P4533">
        <v>1</v>
      </c>
      <c r="Q4533">
        <v>0</v>
      </c>
      <c r="R4533" t="s">
        <v>127</v>
      </c>
      <c r="S4533" t="str">
        <f t="shared" si="1794"/>
        <v>15:17:07.000</v>
      </c>
      <c r="T4533" t="str">
        <f t="shared" si="1794"/>
        <v>15:17:07.000</v>
      </c>
      <c r="U4533" t="str">
        <f t="shared" si="1775"/>
        <v>A68FCB</v>
      </c>
      <c r="V4533">
        <v>0</v>
      </c>
      <c r="W4533">
        <v>0</v>
      </c>
      <c r="X4533">
        <v>2</v>
      </c>
      <c r="Y4533">
        <v>0</v>
      </c>
      <c r="AA4533">
        <v>1</v>
      </c>
      <c r="AB4533">
        <v>8</v>
      </c>
      <c r="AC4533">
        <v>3</v>
      </c>
      <c r="AD4533">
        <v>0</v>
      </c>
      <c r="AE4533">
        <v>9</v>
      </c>
      <c r="AF4533" t="s">
        <v>138</v>
      </c>
      <c r="AG4533">
        <v>0</v>
      </c>
      <c r="AH4533">
        <v>3</v>
      </c>
      <c r="AI4533">
        <v>2</v>
      </c>
      <c r="AJ4533">
        <v>0</v>
      </c>
      <c r="AK4533" t="s">
        <v>1444</v>
      </c>
      <c r="AL4533">
        <v>39.208939000000001</v>
      </c>
      <c r="AM4533" t="s">
        <v>1445</v>
      </c>
      <c r="AN4533">
        <v>-121.005843</v>
      </c>
      <c r="AO4533">
        <v>25</v>
      </c>
      <c r="AP4533">
        <v>4200</v>
      </c>
      <c r="AQ4533" t="s">
        <v>131</v>
      </c>
      <c r="AR4533">
        <v>37</v>
      </c>
      <c r="AS4533">
        <v>71</v>
      </c>
      <c r="AT4533">
        <v>0</v>
      </c>
      <c r="BB4533" t="str">
        <f t="shared" si="1776"/>
        <v>1200</v>
      </c>
      <c r="BC4533">
        <v>1</v>
      </c>
      <c r="BD4533" t="str">
        <f t="shared" si="1777"/>
        <v xml:space="preserve">N52156  </v>
      </c>
      <c r="BE4533">
        <v>1</v>
      </c>
      <c r="BG4533">
        <v>0</v>
      </c>
      <c r="BH4533">
        <v>0</v>
      </c>
      <c r="BI4533">
        <v>0</v>
      </c>
      <c r="BJ4533">
        <v>4225</v>
      </c>
      <c r="BK4533">
        <v>25</v>
      </c>
      <c r="BL4533" t="s">
        <v>188</v>
      </c>
      <c r="BM4533">
        <v>1</v>
      </c>
      <c r="BN4533">
        <v>1</v>
      </c>
      <c r="BO4533">
        <v>0</v>
      </c>
      <c r="BP4533">
        <v>0</v>
      </c>
      <c r="BS4533">
        <v>0</v>
      </c>
      <c r="BT4533">
        <v>0</v>
      </c>
      <c r="BU4533">
        <v>0</v>
      </c>
      <c r="CE4533" t="str">
        <f t="shared" si="1795"/>
        <v>15:17:07.371</v>
      </c>
      <c r="CF4533">
        <v>370754867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4</v>
      </c>
      <c r="CY4533">
        <v>7</v>
      </c>
      <c r="CZ4533" t="s">
        <v>133</v>
      </c>
      <c r="DA4533">
        <v>275</v>
      </c>
      <c r="DB4533">
        <v>0</v>
      </c>
      <c r="DC4533" t="s">
        <v>134</v>
      </c>
      <c r="DD4533" t="s">
        <v>135</v>
      </c>
      <c r="DG4533">
        <v>3323310</v>
      </c>
      <c r="DI4533">
        <v>1</v>
      </c>
      <c r="DJ4533">
        <v>0</v>
      </c>
      <c r="DK4533">
        <v>1</v>
      </c>
      <c r="DL4533">
        <v>0</v>
      </c>
      <c r="DM4533">
        <v>0</v>
      </c>
      <c r="DN4533">
        <v>0</v>
      </c>
      <c r="DO4533">
        <v>0</v>
      </c>
      <c r="DP4533">
        <v>0</v>
      </c>
      <c r="DQ4533">
        <v>0</v>
      </c>
      <c r="DR4533">
        <v>0</v>
      </c>
      <c r="DS4533">
        <v>0</v>
      </c>
    </row>
    <row r="4534" spans="1:123" x14ac:dyDescent="0.3">
      <c r="A4534" t="str">
        <f>"05/01/2025 15:17:07.594"</f>
        <v>05/01/2025 15:17:07.594</v>
      </c>
      <c r="C4534" t="str">
        <f t="shared" si="1774"/>
        <v>FFDFD3C0</v>
      </c>
      <c r="D4534" t="s">
        <v>143</v>
      </c>
      <c r="E4534" t="str">
        <f>"05"</f>
        <v>05</v>
      </c>
      <c r="H4534">
        <v>172</v>
      </c>
      <c r="I4534" t="s">
        <v>141</v>
      </c>
      <c r="J4534" t="s">
        <v>144</v>
      </c>
      <c r="K4534">
        <v>0</v>
      </c>
      <c r="L4534">
        <v>3</v>
      </c>
      <c r="M4534">
        <v>0</v>
      </c>
      <c r="N4534">
        <v>2</v>
      </c>
      <c r="O4534">
        <v>0</v>
      </c>
      <c r="P4534">
        <v>1</v>
      </c>
      <c r="Q4534">
        <v>0</v>
      </c>
      <c r="R4534" t="s">
        <v>127</v>
      </c>
      <c r="S4534" t="str">
        <f t="shared" si="1794"/>
        <v>15:17:07.000</v>
      </c>
      <c r="T4534" t="str">
        <f t="shared" si="1794"/>
        <v>15:17:07.000</v>
      </c>
      <c r="U4534" t="str">
        <f t="shared" si="1775"/>
        <v>A68FCB</v>
      </c>
      <c r="V4534">
        <v>0</v>
      </c>
      <c r="W4534">
        <v>0</v>
      </c>
      <c r="X4534">
        <v>2</v>
      </c>
      <c r="Y4534">
        <v>0</v>
      </c>
      <c r="AA4534">
        <v>1</v>
      </c>
      <c r="AB4534">
        <v>8</v>
      </c>
      <c r="AC4534">
        <v>3</v>
      </c>
      <c r="AD4534">
        <v>0</v>
      </c>
      <c r="AE4534">
        <v>9</v>
      </c>
      <c r="AF4534" t="s">
        <v>138</v>
      </c>
      <c r="AG4534">
        <v>0</v>
      </c>
      <c r="AH4534">
        <v>3</v>
      </c>
      <c r="AI4534">
        <v>2</v>
      </c>
      <c r="AJ4534">
        <v>0</v>
      </c>
      <c r="AK4534" t="s">
        <v>1444</v>
      </c>
      <c r="AL4534">
        <v>39.208939000000001</v>
      </c>
      <c r="AM4534" t="s">
        <v>1445</v>
      </c>
      <c r="AN4534">
        <v>-121.005843</v>
      </c>
      <c r="AO4534">
        <v>25</v>
      </c>
      <c r="AP4534">
        <v>4200</v>
      </c>
      <c r="AQ4534" t="s">
        <v>131</v>
      </c>
      <c r="AR4534">
        <v>37</v>
      </c>
      <c r="AS4534">
        <v>71</v>
      </c>
      <c r="AT4534">
        <v>0</v>
      </c>
      <c r="BB4534" t="str">
        <f t="shared" si="1776"/>
        <v>1200</v>
      </c>
      <c r="BC4534">
        <v>1</v>
      </c>
      <c r="BD4534" t="str">
        <f t="shared" si="1777"/>
        <v xml:space="preserve">N52156  </v>
      </c>
      <c r="BE4534">
        <v>1</v>
      </c>
      <c r="BG4534">
        <v>0</v>
      </c>
      <c r="BH4534">
        <v>0</v>
      </c>
      <c r="BI4534">
        <v>0</v>
      </c>
      <c r="BJ4534">
        <v>4225</v>
      </c>
      <c r="BK4534">
        <v>25</v>
      </c>
      <c r="BL4534" t="s">
        <v>188</v>
      </c>
      <c r="BM4534">
        <v>1</v>
      </c>
      <c r="BN4534">
        <v>1</v>
      </c>
      <c r="BO4534">
        <v>0</v>
      </c>
      <c r="BP4534">
        <v>0</v>
      </c>
      <c r="BS4534">
        <v>0</v>
      </c>
      <c r="BT4534">
        <v>0</v>
      </c>
      <c r="BU4534">
        <v>0</v>
      </c>
      <c r="CE4534" t="str">
        <f t="shared" si="1795"/>
        <v>15:17:07.371</v>
      </c>
      <c r="CF4534">
        <v>370754867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4</v>
      </c>
      <c r="CY4534">
        <v>7</v>
      </c>
      <c r="CZ4534" t="s">
        <v>133</v>
      </c>
      <c r="DA4534">
        <v>275</v>
      </c>
      <c r="DB4534">
        <v>0</v>
      </c>
      <c r="DC4534" t="s">
        <v>134</v>
      </c>
      <c r="DD4534" t="s">
        <v>135</v>
      </c>
      <c r="DG4534">
        <v>3323310</v>
      </c>
      <c r="DI4534">
        <v>1</v>
      </c>
      <c r="DJ4534">
        <v>0</v>
      </c>
      <c r="DK4534">
        <v>1</v>
      </c>
      <c r="DL4534">
        <v>0</v>
      </c>
      <c r="DM4534">
        <v>0</v>
      </c>
      <c r="DN4534">
        <v>0</v>
      </c>
      <c r="DO4534">
        <v>0</v>
      </c>
      <c r="DP4534">
        <v>0</v>
      </c>
      <c r="DQ4534">
        <v>0</v>
      </c>
      <c r="DR4534">
        <v>0</v>
      </c>
      <c r="DS4534">
        <v>0</v>
      </c>
    </row>
    <row r="4535" spans="1:123" x14ac:dyDescent="0.3">
      <c r="A4535" t="str">
        <f>"05/01/2025 15:17:07.606"</f>
        <v>05/01/2025 15:17:07.606</v>
      </c>
      <c r="C4535" t="str">
        <f t="shared" si="1774"/>
        <v>FFDFD3C0</v>
      </c>
      <c r="D4535" t="s">
        <v>145</v>
      </c>
      <c r="E4535" t="str">
        <f>"09"</f>
        <v>09</v>
      </c>
      <c r="H4535">
        <v>51</v>
      </c>
      <c r="I4535" t="s">
        <v>147</v>
      </c>
      <c r="J4535" t="s">
        <v>138</v>
      </c>
      <c r="K4535">
        <v>0</v>
      </c>
      <c r="L4535">
        <v>3</v>
      </c>
      <c r="M4535">
        <v>0</v>
      </c>
      <c r="N4535">
        <v>2</v>
      </c>
      <c r="O4535">
        <v>0</v>
      </c>
      <c r="P4535">
        <v>1</v>
      </c>
      <c r="Q4535">
        <v>0</v>
      </c>
      <c r="R4535" t="s">
        <v>127</v>
      </c>
      <c r="S4535" t="str">
        <f t="shared" si="1794"/>
        <v>15:17:07.000</v>
      </c>
      <c r="T4535" t="str">
        <f t="shared" si="1794"/>
        <v>15:17:07.000</v>
      </c>
      <c r="U4535" t="str">
        <f t="shared" si="1775"/>
        <v>A68FCB</v>
      </c>
      <c r="V4535">
        <v>0</v>
      </c>
      <c r="W4535">
        <v>0</v>
      </c>
      <c r="X4535">
        <v>2</v>
      </c>
      <c r="Y4535">
        <v>0</v>
      </c>
      <c r="AA4535">
        <v>1</v>
      </c>
      <c r="AB4535">
        <v>8</v>
      </c>
      <c r="AC4535">
        <v>3</v>
      </c>
      <c r="AD4535">
        <v>0</v>
      </c>
      <c r="AE4535">
        <v>9</v>
      </c>
      <c r="AF4535" t="s">
        <v>138</v>
      </c>
      <c r="AG4535">
        <v>0</v>
      </c>
      <c r="AH4535">
        <v>3</v>
      </c>
      <c r="AI4535">
        <v>2</v>
      </c>
      <c r="AJ4535">
        <v>0</v>
      </c>
      <c r="AK4535" t="s">
        <v>1444</v>
      </c>
      <c r="AL4535">
        <v>39.208939000000001</v>
      </c>
      <c r="AM4535" t="s">
        <v>1445</v>
      </c>
      <c r="AN4535">
        <v>-121.005843</v>
      </c>
      <c r="AO4535">
        <v>25</v>
      </c>
      <c r="AP4535">
        <v>4200</v>
      </c>
      <c r="AQ4535" t="s">
        <v>131</v>
      </c>
      <c r="AR4535">
        <v>37</v>
      </c>
      <c r="AS4535">
        <v>71</v>
      </c>
      <c r="AT4535">
        <v>0</v>
      </c>
      <c r="BB4535" t="str">
        <f t="shared" si="1776"/>
        <v>1200</v>
      </c>
      <c r="BC4535">
        <v>1</v>
      </c>
      <c r="BD4535" t="str">
        <f t="shared" si="1777"/>
        <v xml:space="preserve">N52156  </v>
      </c>
      <c r="BE4535">
        <v>1</v>
      </c>
      <c r="BG4535">
        <v>0</v>
      </c>
      <c r="BH4535">
        <v>0</v>
      </c>
      <c r="BI4535">
        <v>0</v>
      </c>
      <c r="BJ4535">
        <v>4225</v>
      </c>
      <c r="BK4535">
        <v>25</v>
      </c>
      <c r="BL4535" t="s">
        <v>188</v>
      </c>
      <c r="BM4535">
        <v>1</v>
      </c>
      <c r="BN4535">
        <v>1</v>
      </c>
      <c r="BO4535">
        <v>0</v>
      </c>
      <c r="BP4535">
        <v>0</v>
      </c>
      <c r="BS4535">
        <v>0</v>
      </c>
      <c r="BT4535">
        <v>0</v>
      </c>
      <c r="BU4535">
        <v>0</v>
      </c>
      <c r="CE4535" t="str">
        <f t="shared" si="1795"/>
        <v>15:17:07.371</v>
      </c>
      <c r="CF4535">
        <v>370754867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4</v>
      </c>
      <c r="CY4535">
        <v>7</v>
      </c>
      <c r="CZ4535" t="s">
        <v>133</v>
      </c>
      <c r="DA4535">
        <v>275</v>
      </c>
      <c r="DB4535">
        <v>0</v>
      </c>
      <c r="DC4535" t="s">
        <v>134</v>
      </c>
      <c r="DD4535" t="s">
        <v>135</v>
      </c>
      <c r="DG4535">
        <v>3323310</v>
      </c>
      <c r="DI4535">
        <v>1</v>
      </c>
      <c r="DJ4535">
        <v>0</v>
      </c>
      <c r="DK4535">
        <v>1</v>
      </c>
      <c r="DL4535">
        <v>0</v>
      </c>
      <c r="DM4535">
        <v>0</v>
      </c>
      <c r="DN4535">
        <v>0</v>
      </c>
      <c r="DO4535">
        <v>0</v>
      </c>
      <c r="DP4535">
        <v>0</v>
      </c>
      <c r="DQ4535">
        <v>0</v>
      </c>
      <c r="DR4535">
        <v>0</v>
      </c>
      <c r="DS4535">
        <v>0</v>
      </c>
    </row>
    <row r="4536" spans="1:123" x14ac:dyDescent="0.3">
      <c r="A4536" t="str">
        <f>"05/01/2025 15:17:07.612"</f>
        <v>05/01/2025 15:17:07.612</v>
      </c>
      <c r="C4536" t="str">
        <f t="shared" si="1774"/>
        <v>FFDFD3C0</v>
      </c>
      <c r="D4536" t="s">
        <v>145</v>
      </c>
      <c r="E4536" t="str">
        <f>"05"</f>
        <v>05</v>
      </c>
      <c r="H4536">
        <v>47</v>
      </c>
      <c r="I4536" t="s">
        <v>146</v>
      </c>
      <c r="J4536" t="s">
        <v>138</v>
      </c>
      <c r="K4536">
        <v>0</v>
      </c>
      <c r="L4536">
        <v>3</v>
      </c>
      <c r="M4536">
        <v>0</v>
      </c>
      <c r="N4536">
        <v>2</v>
      </c>
      <c r="O4536">
        <v>0</v>
      </c>
      <c r="P4536">
        <v>1</v>
      </c>
      <c r="Q4536">
        <v>0</v>
      </c>
      <c r="R4536" t="s">
        <v>127</v>
      </c>
      <c r="S4536" t="str">
        <f t="shared" si="1794"/>
        <v>15:17:07.000</v>
      </c>
      <c r="T4536" t="str">
        <f t="shared" si="1794"/>
        <v>15:17:07.000</v>
      </c>
      <c r="U4536" t="str">
        <f t="shared" si="1775"/>
        <v>A68FCB</v>
      </c>
      <c r="V4536">
        <v>0</v>
      </c>
      <c r="W4536">
        <v>0</v>
      </c>
      <c r="X4536">
        <v>2</v>
      </c>
      <c r="Y4536">
        <v>0</v>
      </c>
      <c r="AA4536">
        <v>1</v>
      </c>
      <c r="AB4536">
        <v>8</v>
      </c>
      <c r="AC4536">
        <v>3</v>
      </c>
      <c r="AD4536">
        <v>0</v>
      </c>
      <c r="AE4536">
        <v>9</v>
      </c>
      <c r="AF4536" t="s">
        <v>138</v>
      </c>
      <c r="AG4536">
        <v>0</v>
      </c>
      <c r="AH4536">
        <v>3</v>
      </c>
      <c r="AI4536">
        <v>2</v>
      </c>
      <c r="AJ4536">
        <v>0</v>
      </c>
      <c r="AK4536" t="s">
        <v>1444</v>
      </c>
      <c r="AL4536">
        <v>39.208939000000001</v>
      </c>
      <c r="AM4536" t="s">
        <v>1445</v>
      </c>
      <c r="AN4536">
        <v>-121.005843</v>
      </c>
      <c r="AO4536">
        <v>25</v>
      </c>
      <c r="AP4536">
        <v>4200</v>
      </c>
      <c r="AQ4536" t="s">
        <v>131</v>
      </c>
      <c r="AR4536">
        <v>37</v>
      </c>
      <c r="AS4536">
        <v>71</v>
      </c>
      <c r="AT4536">
        <v>0</v>
      </c>
      <c r="BB4536" t="str">
        <f t="shared" si="1776"/>
        <v>1200</v>
      </c>
      <c r="BC4536">
        <v>1</v>
      </c>
      <c r="BD4536" t="str">
        <f t="shared" si="1777"/>
        <v xml:space="preserve">N52156  </v>
      </c>
      <c r="BE4536">
        <v>1</v>
      </c>
      <c r="BG4536">
        <v>0</v>
      </c>
      <c r="BH4536">
        <v>0</v>
      </c>
      <c r="BI4536">
        <v>0</v>
      </c>
      <c r="BJ4536">
        <v>4225</v>
      </c>
      <c r="BK4536">
        <v>25</v>
      </c>
      <c r="BL4536" t="s">
        <v>188</v>
      </c>
      <c r="BM4536">
        <v>1</v>
      </c>
      <c r="BN4536">
        <v>1</v>
      </c>
      <c r="BO4536">
        <v>0</v>
      </c>
      <c r="BP4536">
        <v>0</v>
      </c>
      <c r="BS4536">
        <v>0</v>
      </c>
      <c r="BT4536">
        <v>0</v>
      </c>
      <c r="BU4536">
        <v>0</v>
      </c>
      <c r="CE4536" t="str">
        <f t="shared" si="1795"/>
        <v>15:17:07.371</v>
      </c>
      <c r="CF4536">
        <v>370754867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4</v>
      </c>
      <c r="CY4536">
        <v>7</v>
      </c>
      <c r="CZ4536" t="s">
        <v>133</v>
      </c>
      <c r="DA4536">
        <v>275</v>
      </c>
      <c r="DB4536">
        <v>0</v>
      </c>
      <c r="DC4536" t="s">
        <v>134</v>
      </c>
      <c r="DD4536" t="s">
        <v>135</v>
      </c>
      <c r="DG4536">
        <v>3323310</v>
      </c>
      <c r="DI4536">
        <v>1</v>
      </c>
      <c r="DJ4536">
        <v>0</v>
      </c>
      <c r="DK4536">
        <v>1</v>
      </c>
      <c r="DL4536">
        <v>0</v>
      </c>
      <c r="DM4536">
        <v>0</v>
      </c>
      <c r="DN4536">
        <v>0</v>
      </c>
      <c r="DO4536">
        <v>0</v>
      </c>
      <c r="DP4536">
        <v>0</v>
      </c>
      <c r="DQ4536">
        <v>0</v>
      </c>
      <c r="DR4536">
        <v>0</v>
      </c>
      <c r="DS4536">
        <v>0</v>
      </c>
    </row>
    <row r="4537" spans="1:123" x14ac:dyDescent="0.3">
      <c r="A4537" t="str">
        <f>"05/01/2025 15:17:07.623"</f>
        <v>05/01/2025 15:17:07.623</v>
      </c>
      <c r="C4537" t="str">
        <f t="shared" si="1774"/>
        <v>FFDFD3C0</v>
      </c>
      <c r="D4537" t="s">
        <v>136</v>
      </c>
      <c r="E4537" t="str">
        <f>"20"</f>
        <v>20</v>
      </c>
      <c r="H4537">
        <v>400</v>
      </c>
      <c r="I4537" t="s">
        <v>137</v>
      </c>
      <c r="J4537" t="s">
        <v>138</v>
      </c>
      <c r="K4537">
        <v>0</v>
      </c>
      <c r="L4537">
        <v>3</v>
      </c>
      <c r="M4537">
        <v>0</v>
      </c>
      <c r="N4537">
        <v>2</v>
      </c>
      <c r="O4537">
        <v>0</v>
      </c>
      <c r="P4537">
        <v>1</v>
      </c>
      <c r="Q4537">
        <v>0</v>
      </c>
      <c r="R4537" t="s">
        <v>127</v>
      </c>
      <c r="S4537" t="str">
        <f t="shared" si="1794"/>
        <v>15:17:07.000</v>
      </c>
      <c r="T4537" t="str">
        <f t="shared" si="1794"/>
        <v>15:17:07.000</v>
      </c>
      <c r="U4537" t="str">
        <f t="shared" si="1775"/>
        <v>A68FCB</v>
      </c>
      <c r="V4537">
        <v>0</v>
      </c>
      <c r="W4537">
        <v>0</v>
      </c>
      <c r="X4537">
        <v>2</v>
      </c>
      <c r="Y4537">
        <v>0</v>
      </c>
      <c r="AA4537">
        <v>1</v>
      </c>
      <c r="AB4537">
        <v>8</v>
      </c>
      <c r="AC4537">
        <v>3</v>
      </c>
      <c r="AD4537">
        <v>0</v>
      </c>
      <c r="AE4537">
        <v>9</v>
      </c>
      <c r="AF4537" t="s">
        <v>138</v>
      </c>
      <c r="AG4537">
        <v>0</v>
      </c>
      <c r="AH4537">
        <v>3</v>
      </c>
      <c r="AI4537">
        <v>2</v>
      </c>
      <c r="AJ4537">
        <v>0</v>
      </c>
      <c r="AK4537" t="s">
        <v>1444</v>
      </c>
      <c r="AL4537">
        <v>39.208939000000001</v>
      </c>
      <c r="AM4537" t="s">
        <v>1445</v>
      </c>
      <c r="AN4537">
        <v>-121.005843</v>
      </c>
      <c r="AO4537">
        <v>25</v>
      </c>
      <c r="AP4537">
        <v>4200</v>
      </c>
      <c r="AQ4537" t="s">
        <v>131</v>
      </c>
      <c r="AR4537">
        <v>37</v>
      </c>
      <c r="AS4537">
        <v>71</v>
      </c>
      <c r="AT4537">
        <v>0</v>
      </c>
      <c r="BB4537" t="str">
        <f t="shared" si="1776"/>
        <v>1200</v>
      </c>
      <c r="BC4537">
        <v>1</v>
      </c>
      <c r="BD4537" t="str">
        <f t="shared" si="1777"/>
        <v xml:space="preserve">N52156  </v>
      </c>
      <c r="BE4537">
        <v>1</v>
      </c>
      <c r="BG4537">
        <v>0</v>
      </c>
      <c r="BH4537">
        <v>0</v>
      </c>
      <c r="BI4537">
        <v>0</v>
      </c>
      <c r="BJ4537">
        <v>4225</v>
      </c>
      <c r="BK4537">
        <v>25</v>
      </c>
      <c r="BL4537" t="s">
        <v>188</v>
      </c>
      <c r="BM4537">
        <v>1</v>
      </c>
      <c r="BN4537">
        <v>1</v>
      </c>
      <c r="BO4537">
        <v>0</v>
      </c>
      <c r="BP4537">
        <v>0</v>
      </c>
      <c r="BS4537">
        <v>0</v>
      </c>
      <c r="BT4537">
        <v>0</v>
      </c>
      <c r="BU4537">
        <v>0</v>
      </c>
      <c r="CE4537" t="str">
        <f t="shared" si="1795"/>
        <v>15:17:07.371</v>
      </c>
      <c r="CF4537">
        <v>370754867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4</v>
      </c>
      <c r="CY4537">
        <v>7</v>
      </c>
      <c r="CZ4537" t="s">
        <v>133</v>
      </c>
      <c r="DA4537">
        <v>275</v>
      </c>
      <c r="DB4537">
        <v>0</v>
      </c>
      <c r="DC4537" t="s">
        <v>134</v>
      </c>
      <c r="DD4537" t="s">
        <v>135</v>
      </c>
      <c r="DG4537">
        <v>3323310</v>
      </c>
      <c r="DI4537">
        <v>1</v>
      </c>
      <c r="DJ4537">
        <v>0</v>
      </c>
      <c r="DK4537">
        <v>1</v>
      </c>
      <c r="DL4537">
        <v>0</v>
      </c>
      <c r="DM4537">
        <v>0</v>
      </c>
      <c r="DN4537">
        <v>0</v>
      </c>
      <c r="DO4537">
        <v>0</v>
      </c>
      <c r="DP4537">
        <v>0</v>
      </c>
      <c r="DQ4537">
        <v>0</v>
      </c>
      <c r="DR4537">
        <v>0</v>
      </c>
      <c r="DS4537">
        <v>0</v>
      </c>
    </row>
    <row r="4538" spans="1:123" x14ac:dyDescent="0.3">
      <c r="A4538" t="str">
        <f>"05/01/2025 15:17:09.109"</f>
        <v>05/01/2025 15:17:09.109</v>
      </c>
      <c r="C4538" t="str">
        <f t="shared" si="1774"/>
        <v>FFDFD3C0</v>
      </c>
      <c r="D4538" t="s">
        <v>145</v>
      </c>
      <c r="E4538" t="str">
        <f>"09"</f>
        <v>09</v>
      </c>
      <c r="H4538">
        <v>51</v>
      </c>
      <c r="I4538" t="s">
        <v>147</v>
      </c>
      <c r="J4538" t="s">
        <v>138</v>
      </c>
      <c r="K4538">
        <v>0</v>
      </c>
      <c r="L4538">
        <v>3</v>
      </c>
      <c r="M4538">
        <v>0</v>
      </c>
      <c r="N4538">
        <v>2</v>
      </c>
      <c r="O4538">
        <v>0</v>
      </c>
      <c r="P4538">
        <v>1</v>
      </c>
      <c r="Q4538">
        <v>0</v>
      </c>
      <c r="R4538" t="s">
        <v>127</v>
      </c>
      <c r="S4538" t="str">
        <f t="shared" ref="S4538:T4543" si="1796">"15:17:08.000"</f>
        <v>15:17:08.000</v>
      </c>
      <c r="T4538" t="str">
        <f t="shared" si="1796"/>
        <v>15:17:08.000</v>
      </c>
      <c r="U4538" t="str">
        <f t="shared" si="1775"/>
        <v>A68FCB</v>
      </c>
      <c r="V4538">
        <v>0</v>
      </c>
      <c r="W4538">
        <v>0</v>
      </c>
      <c r="X4538">
        <v>2</v>
      </c>
      <c r="Y4538">
        <v>0</v>
      </c>
      <c r="AA4538">
        <v>1</v>
      </c>
      <c r="AB4538">
        <v>8</v>
      </c>
      <c r="AC4538">
        <v>3</v>
      </c>
      <c r="AD4538">
        <v>0</v>
      </c>
      <c r="AE4538">
        <v>9</v>
      </c>
      <c r="AF4538" t="s">
        <v>138</v>
      </c>
      <c r="AG4538">
        <v>0</v>
      </c>
      <c r="AH4538">
        <v>3</v>
      </c>
      <c r="AI4538">
        <v>2</v>
      </c>
      <c r="AJ4538">
        <v>0</v>
      </c>
      <c r="AK4538" t="s">
        <v>1446</v>
      </c>
      <c r="AL4538">
        <v>39.209260999999998</v>
      </c>
      <c r="AM4538" t="s">
        <v>1447</v>
      </c>
      <c r="AN4538">
        <v>-121.005607</v>
      </c>
      <c r="AO4538">
        <v>25</v>
      </c>
      <c r="AP4538">
        <v>4200</v>
      </c>
      <c r="AQ4538" t="s">
        <v>131</v>
      </c>
      <c r="AR4538">
        <v>34</v>
      </c>
      <c r="AS4538">
        <v>73</v>
      </c>
      <c r="AT4538">
        <v>0</v>
      </c>
      <c r="BB4538" t="str">
        <f t="shared" si="1776"/>
        <v>1200</v>
      </c>
      <c r="BC4538">
        <v>1</v>
      </c>
      <c r="BD4538" t="str">
        <f t="shared" si="1777"/>
        <v xml:space="preserve">N52156  </v>
      </c>
      <c r="BE4538">
        <v>1</v>
      </c>
      <c r="BG4538">
        <v>0</v>
      </c>
      <c r="BH4538">
        <v>0</v>
      </c>
      <c r="BI4538">
        <v>0</v>
      </c>
      <c r="BJ4538">
        <v>4225</v>
      </c>
      <c r="BK4538">
        <v>25</v>
      </c>
      <c r="BL4538" t="s">
        <v>188</v>
      </c>
      <c r="BM4538">
        <v>1</v>
      </c>
      <c r="BN4538">
        <v>1</v>
      </c>
      <c r="BO4538">
        <v>0</v>
      </c>
      <c r="BP4538">
        <v>0</v>
      </c>
      <c r="BS4538">
        <v>0</v>
      </c>
      <c r="BT4538">
        <v>0</v>
      </c>
      <c r="BU4538">
        <v>0</v>
      </c>
      <c r="CE4538" t="str">
        <f t="shared" ref="CE4538:CE4543" si="1797">"15:17:08.888"</f>
        <v>15:17:08.888</v>
      </c>
      <c r="CF4538">
        <v>887756350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4</v>
      </c>
      <c r="CY4538">
        <v>7</v>
      </c>
      <c r="CZ4538" t="s">
        <v>133</v>
      </c>
      <c r="DA4538">
        <v>275</v>
      </c>
      <c r="DB4538">
        <v>0</v>
      </c>
      <c r="DC4538" t="s">
        <v>134</v>
      </c>
      <c r="DD4538" t="s">
        <v>135</v>
      </c>
      <c r="DG4538">
        <v>3323311</v>
      </c>
      <c r="DI4538">
        <v>1</v>
      </c>
      <c r="DJ4538">
        <v>0</v>
      </c>
      <c r="DK4538">
        <v>0</v>
      </c>
      <c r="DL4538">
        <v>0</v>
      </c>
      <c r="DM4538">
        <v>0</v>
      </c>
      <c r="DN4538">
        <v>0</v>
      </c>
      <c r="DO4538">
        <v>0</v>
      </c>
      <c r="DP4538">
        <v>0</v>
      </c>
      <c r="DQ4538">
        <v>0</v>
      </c>
      <c r="DR4538">
        <v>0</v>
      </c>
      <c r="DS4538">
        <v>0</v>
      </c>
    </row>
    <row r="4539" spans="1:123" x14ac:dyDescent="0.3">
      <c r="A4539" t="str">
        <f>"05/01/2025 15:17:09.114"</f>
        <v>05/01/2025 15:17:09.114</v>
      </c>
      <c r="C4539" t="str">
        <f t="shared" si="1774"/>
        <v>FFDFD3C0</v>
      </c>
      <c r="D4539" t="s">
        <v>145</v>
      </c>
      <c r="E4539" t="str">
        <f>"05"</f>
        <v>05</v>
      </c>
      <c r="H4539">
        <v>47</v>
      </c>
      <c r="I4539" t="s">
        <v>146</v>
      </c>
      <c r="J4539" t="s">
        <v>138</v>
      </c>
      <c r="K4539">
        <v>0</v>
      </c>
      <c r="L4539">
        <v>3</v>
      </c>
      <c r="M4539">
        <v>0</v>
      </c>
      <c r="N4539">
        <v>2</v>
      </c>
      <c r="O4539">
        <v>0</v>
      </c>
      <c r="P4539">
        <v>1</v>
      </c>
      <c r="Q4539">
        <v>0</v>
      </c>
      <c r="R4539" t="s">
        <v>127</v>
      </c>
      <c r="S4539" t="str">
        <f t="shared" si="1796"/>
        <v>15:17:08.000</v>
      </c>
      <c r="T4539" t="str">
        <f t="shared" si="1796"/>
        <v>15:17:08.000</v>
      </c>
      <c r="U4539" t="str">
        <f t="shared" si="1775"/>
        <v>A68FCB</v>
      </c>
      <c r="V4539">
        <v>0</v>
      </c>
      <c r="W4539">
        <v>0</v>
      </c>
      <c r="X4539">
        <v>2</v>
      </c>
      <c r="Y4539">
        <v>0</v>
      </c>
      <c r="AA4539">
        <v>1</v>
      </c>
      <c r="AB4539">
        <v>8</v>
      </c>
      <c r="AC4539">
        <v>3</v>
      </c>
      <c r="AD4539">
        <v>0</v>
      </c>
      <c r="AE4539">
        <v>9</v>
      </c>
      <c r="AF4539" t="s">
        <v>138</v>
      </c>
      <c r="AG4539">
        <v>0</v>
      </c>
      <c r="AH4539">
        <v>3</v>
      </c>
      <c r="AI4539">
        <v>2</v>
      </c>
      <c r="AJ4539">
        <v>0</v>
      </c>
      <c r="AK4539" t="s">
        <v>1446</v>
      </c>
      <c r="AL4539">
        <v>39.209260999999998</v>
      </c>
      <c r="AM4539" t="s">
        <v>1447</v>
      </c>
      <c r="AN4539">
        <v>-121.005607</v>
      </c>
      <c r="AO4539">
        <v>25</v>
      </c>
      <c r="AP4539">
        <v>4200</v>
      </c>
      <c r="AQ4539" t="s">
        <v>131</v>
      </c>
      <c r="AR4539">
        <v>34</v>
      </c>
      <c r="AS4539">
        <v>73</v>
      </c>
      <c r="AT4539">
        <v>0</v>
      </c>
      <c r="BB4539" t="str">
        <f t="shared" si="1776"/>
        <v>1200</v>
      </c>
      <c r="BC4539">
        <v>1</v>
      </c>
      <c r="BD4539" t="str">
        <f t="shared" si="1777"/>
        <v xml:space="preserve">N52156  </v>
      </c>
      <c r="BE4539">
        <v>1</v>
      </c>
      <c r="BG4539">
        <v>0</v>
      </c>
      <c r="BH4539">
        <v>0</v>
      </c>
      <c r="BI4539">
        <v>0</v>
      </c>
      <c r="BJ4539">
        <v>4225</v>
      </c>
      <c r="BK4539">
        <v>25</v>
      </c>
      <c r="BL4539" t="s">
        <v>188</v>
      </c>
      <c r="BM4539">
        <v>1</v>
      </c>
      <c r="BN4539">
        <v>1</v>
      </c>
      <c r="BO4539">
        <v>0</v>
      </c>
      <c r="BP4539">
        <v>0</v>
      </c>
      <c r="BS4539">
        <v>0</v>
      </c>
      <c r="BT4539">
        <v>0</v>
      </c>
      <c r="BU4539">
        <v>0</v>
      </c>
      <c r="CE4539" t="str">
        <f t="shared" si="1797"/>
        <v>15:17:08.888</v>
      </c>
      <c r="CF4539">
        <v>887756350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4</v>
      </c>
      <c r="CY4539">
        <v>7</v>
      </c>
      <c r="CZ4539" t="s">
        <v>133</v>
      </c>
      <c r="DA4539">
        <v>275</v>
      </c>
      <c r="DB4539">
        <v>0</v>
      </c>
      <c r="DC4539" t="s">
        <v>134</v>
      </c>
      <c r="DD4539" t="s">
        <v>135</v>
      </c>
      <c r="DG4539">
        <v>3323311</v>
      </c>
      <c r="DI4539">
        <v>1</v>
      </c>
      <c r="DJ4539">
        <v>0</v>
      </c>
      <c r="DK4539">
        <v>1</v>
      </c>
      <c r="DL4539">
        <v>0</v>
      </c>
      <c r="DM4539">
        <v>0</v>
      </c>
      <c r="DN4539">
        <v>0</v>
      </c>
      <c r="DO4539">
        <v>0</v>
      </c>
      <c r="DP4539">
        <v>0</v>
      </c>
      <c r="DQ4539">
        <v>0</v>
      </c>
      <c r="DR4539">
        <v>0</v>
      </c>
      <c r="DS4539">
        <v>0</v>
      </c>
    </row>
    <row r="4540" spans="1:123" x14ac:dyDescent="0.3">
      <c r="A4540" t="str">
        <f>"05/01/2025 15:17:09.125"</f>
        <v>05/01/2025 15:17:09.125</v>
      </c>
      <c r="C4540" t="str">
        <f t="shared" si="1774"/>
        <v>FFDFD3C0</v>
      </c>
      <c r="D4540" t="s">
        <v>136</v>
      </c>
      <c r="E4540" t="str">
        <f>"20"</f>
        <v>20</v>
      </c>
      <c r="H4540">
        <v>400</v>
      </c>
      <c r="I4540" t="s">
        <v>137</v>
      </c>
      <c r="J4540" t="s">
        <v>138</v>
      </c>
      <c r="K4540">
        <v>0</v>
      </c>
      <c r="L4540">
        <v>3</v>
      </c>
      <c r="M4540">
        <v>0</v>
      </c>
      <c r="N4540">
        <v>2</v>
      </c>
      <c r="O4540">
        <v>0</v>
      </c>
      <c r="P4540">
        <v>1</v>
      </c>
      <c r="Q4540">
        <v>0</v>
      </c>
      <c r="R4540" t="s">
        <v>127</v>
      </c>
      <c r="S4540" t="str">
        <f t="shared" si="1796"/>
        <v>15:17:08.000</v>
      </c>
      <c r="T4540" t="str">
        <f t="shared" si="1796"/>
        <v>15:17:08.000</v>
      </c>
      <c r="U4540" t="str">
        <f t="shared" si="1775"/>
        <v>A68FCB</v>
      </c>
      <c r="V4540">
        <v>0</v>
      </c>
      <c r="W4540">
        <v>0</v>
      </c>
      <c r="X4540">
        <v>2</v>
      </c>
      <c r="Y4540">
        <v>0</v>
      </c>
      <c r="AA4540">
        <v>1</v>
      </c>
      <c r="AB4540">
        <v>8</v>
      </c>
      <c r="AC4540">
        <v>3</v>
      </c>
      <c r="AD4540">
        <v>0</v>
      </c>
      <c r="AE4540">
        <v>9</v>
      </c>
      <c r="AF4540" t="s">
        <v>138</v>
      </c>
      <c r="AG4540">
        <v>0</v>
      </c>
      <c r="AH4540">
        <v>3</v>
      </c>
      <c r="AI4540">
        <v>2</v>
      </c>
      <c r="AJ4540">
        <v>0</v>
      </c>
      <c r="AK4540" t="s">
        <v>1446</v>
      </c>
      <c r="AL4540">
        <v>39.209260999999998</v>
      </c>
      <c r="AM4540" t="s">
        <v>1447</v>
      </c>
      <c r="AN4540">
        <v>-121.005607</v>
      </c>
      <c r="AO4540">
        <v>25</v>
      </c>
      <c r="AP4540">
        <v>4200</v>
      </c>
      <c r="AQ4540" t="s">
        <v>131</v>
      </c>
      <c r="AR4540">
        <v>34</v>
      </c>
      <c r="AS4540">
        <v>73</v>
      </c>
      <c r="AT4540">
        <v>0</v>
      </c>
      <c r="BB4540" t="str">
        <f t="shared" si="1776"/>
        <v>1200</v>
      </c>
      <c r="BC4540">
        <v>1</v>
      </c>
      <c r="BD4540" t="str">
        <f t="shared" si="1777"/>
        <v xml:space="preserve">N52156  </v>
      </c>
      <c r="BE4540">
        <v>1</v>
      </c>
      <c r="BG4540">
        <v>0</v>
      </c>
      <c r="BH4540">
        <v>0</v>
      </c>
      <c r="BI4540">
        <v>0</v>
      </c>
      <c r="BJ4540">
        <v>4225</v>
      </c>
      <c r="BK4540">
        <v>25</v>
      </c>
      <c r="BL4540" t="s">
        <v>188</v>
      </c>
      <c r="BM4540">
        <v>1</v>
      </c>
      <c r="BN4540">
        <v>1</v>
      </c>
      <c r="BO4540">
        <v>0</v>
      </c>
      <c r="BP4540">
        <v>0</v>
      </c>
      <c r="BS4540">
        <v>0</v>
      </c>
      <c r="BT4540">
        <v>0</v>
      </c>
      <c r="BU4540">
        <v>0</v>
      </c>
      <c r="CE4540" t="str">
        <f t="shared" si="1797"/>
        <v>15:17:08.888</v>
      </c>
      <c r="CF4540">
        <v>887756350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4</v>
      </c>
      <c r="CY4540">
        <v>7</v>
      </c>
      <c r="CZ4540" t="s">
        <v>133</v>
      </c>
      <c r="DA4540">
        <v>275</v>
      </c>
      <c r="DB4540">
        <v>0</v>
      </c>
      <c r="DC4540" t="s">
        <v>134</v>
      </c>
      <c r="DD4540" t="s">
        <v>135</v>
      </c>
      <c r="DG4540">
        <v>3323311</v>
      </c>
      <c r="DI4540">
        <v>1</v>
      </c>
      <c r="DJ4540">
        <v>0</v>
      </c>
      <c r="DK4540">
        <v>1</v>
      </c>
      <c r="DL4540">
        <v>0</v>
      </c>
      <c r="DM4540">
        <v>0</v>
      </c>
      <c r="DN4540">
        <v>0</v>
      </c>
      <c r="DO4540">
        <v>0</v>
      </c>
      <c r="DP4540">
        <v>0</v>
      </c>
      <c r="DQ4540">
        <v>0</v>
      </c>
      <c r="DR4540">
        <v>0</v>
      </c>
      <c r="DS4540">
        <v>0</v>
      </c>
    </row>
    <row r="4541" spans="1:123" x14ac:dyDescent="0.3">
      <c r="A4541" t="str">
        <f>"05/01/2025 15:17:09.140"</f>
        <v>05/01/2025 15:17:09.140</v>
      </c>
      <c r="C4541" t="str">
        <f t="shared" si="1774"/>
        <v>FFDFD3C0</v>
      </c>
      <c r="D4541" t="s">
        <v>140</v>
      </c>
      <c r="E4541" t="str">
        <f>"13"</f>
        <v>13</v>
      </c>
      <c r="F4541">
        <v>1019</v>
      </c>
      <c r="G4541" t="s">
        <v>141</v>
      </c>
      <c r="J4541" t="s">
        <v>142</v>
      </c>
      <c r="K4541">
        <v>0</v>
      </c>
      <c r="L4541">
        <v>3</v>
      </c>
      <c r="M4541">
        <v>0</v>
      </c>
      <c r="N4541">
        <v>2</v>
      </c>
      <c r="O4541">
        <v>0</v>
      </c>
      <c r="P4541">
        <v>1</v>
      </c>
      <c r="Q4541">
        <v>0</v>
      </c>
      <c r="R4541" t="s">
        <v>127</v>
      </c>
      <c r="S4541" t="str">
        <f t="shared" si="1796"/>
        <v>15:17:08.000</v>
      </c>
      <c r="T4541" t="str">
        <f t="shared" si="1796"/>
        <v>15:17:08.000</v>
      </c>
      <c r="U4541" t="str">
        <f t="shared" si="1775"/>
        <v>A68FCB</v>
      </c>
      <c r="V4541">
        <v>0</v>
      </c>
      <c r="W4541">
        <v>0</v>
      </c>
      <c r="X4541">
        <v>2</v>
      </c>
      <c r="Y4541">
        <v>0</v>
      </c>
      <c r="AA4541">
        <v>1</v>
      </c>
      <c r="AB4541">
        <v>8</v>
      </c>
      <c r="AC4541">
        <v>3</v>
      </c>
      <c r="AD4541">
        <v>0</v>
      </c>
      <c r="AE4541">
        <v>9</v>
      </c>
      <c r="AF4541" t="s">
        <v>138</v>
      </c>
      <c r="AG4541">
        <v>0</v>
      </c>
      <c r="AH4541">
        <v>3</v>
      </c>
      <c r="AI4541">
        <v>2</v>
      </c>
      <c r="AJ4541">
        <v>0</v>
      </c>
      <c r="AK4541" t="s">
        <v>1446</v>
      </c>
      <c r="AL4541">
        <v>39.209260999999998</v>
      </c>
      <c r="AM4541" t="s">
        <v>1447</v>
      </c>
      <c r="AN4541">
        <v>-121.005607</v>
      </c>
      <c r="AO4541">
        <v>25</v>
      </c>
      <c r="AP4541">
        <v>4200</v>
      </c>
      <c r="AQ4541" t="s">
        <v>131</v>
      </c>
      <c r="AR4541">
        <v>34</v>
      </c>
      <c r="AS4541">
        <v>73</v>
      </c>
      <c r="AT4541">
        <v>0</v>
      </c>
      <c r="BB4541" t="str">
        <f t="shared" si="1776"/>
        <v>1200</v>
      </c>
      <c r="BC4541">
        <v>1</v>
      </c>
      <c r="BD4541" t="str">
        <f t="shared" si="1777"/>
        <v xml:space="preserve">N52156  </v>
      </c>
      <c r="BE4541">
        <v>1</v>
      </c>
      <c r="BG4541">
        <v>0</v>
      </c>
      <c r="BH4541">
        <v>0</v>
      </c>
      <c r="BI4541">
        <v>0</v>
      </c>
      <c r="BJ4541">
        <v>4225</v>
      </c>
      <c r="BK4541">
        <v>25</v>
      </c>
      <c r="BL4541" t="s">
        <v>188</v>
      </c>
      <c r="BM4541">
        <v>1</v>
      </c>
      <c r="BN4541">
        <v>1</v>
      </c>
      <c r="BO4541">
        <v>0</v>
      </c>
      <c r="BP4541">
        <v>0</v>
      </c>
      <c r="BS4541">
        <v>0</v>
      </c>
      <c r="BT4541">
        <v>0</v>
      </c>
      <c r="BU4541">
        <v>0</v>
      </c>
      <c r="CE4541" t="str">
        <f t="shared" si="1797"/>
        <v>15:17:08.888</v>
      </c>
      <c r="CF4541">
        <v>887756350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4</v>
      </c>
      <c r="CY4541">
        <v>7</v>
      </c>
      <c r="CZ4541" t="s">
        <v>133</v>
      </c>
      <c r="DA4541">
        <v>275</v>
      </c>
      <c r="DB4541">
        <v>0</v>
      </c>
      <c r="DC4541" t="s">
        <v>134</v>
      </c>
      <c r="DD4541" t="s">
        <v>135</v>
      </c>
      <c r="DG4541">
        <v>3323311</v>
      </c>
      <c r="DI4541">
        <v>1</v>
      </c>
      <c r="DJ4541">
        <v>0</v>
      </c>
      <c r="DK4541">
        <v>1</v>
      </c>
      <c r="DL4541">
        <v>0</v>
      </c>
      <c r="DM4541">
        <v>0</v>
      </c>
      <c r="DN4541">
        <v>0</v>
      </c>
      <c r="DO4541">
        <v>0</v>
      </c>
      <c r="DP4541">
        <v>0</v>
      </c>
      <c r="DQ4541">
        <v>0</v>
      </c>
      <c r="DR4541">
        <v>0</v>
      </c>
      <c r="DS4541">
        <v>0</v>
      </c>
    </row>
    <row r="4542" spans="1:123" x14ac:dyDescent="0.3">
      <c r="A4542" t="str">
        <f>"05/01/2025 15:17:09.140"</f>
        <v>05/01/2025 15:17:09.140</v>
      </c>
      <c r="C4542" t="str">
        <f t="shared" si="1774"/>
        <v>FFDFD3C0</v>
      </c>
      <c r="D4542" t="s">
        <v>124</v>
      </c>
      <c r="E4542" t="str">
        <f>"06"</f>
        <v>06</v>
      </c>
      <c r="F4542">
        <v>2006</v>
      </c>
      <c r="G4542" t="s">
        <v>125</v>
      </c>
      <c r="J4542" t="s">
        <v>126</v>
      </c>
      <c r="K4542">
        <v>0</v>
      </c>
      <c r="L4542">
        <v>3</v>
      </c>
      <c r="M4542">
        <v>0</v>
      </c>
      <c r="N4542">
        <v>2</v>
      </c>
      <c r="O4542">
        <v>0</v>
      </c>
      <c r="P4542">
        <v>1</v>
      </c>
      <c r="Q4542">
        <v>0</v>
      </c>
      <c r="R4542" t="s">
        <v>127</v>
      </c>
      <c r="S4542" t="str">
        <f t="shared" si="1796"/>
        <v>15:17:08.000</v>
      </c>
      <c r="T4542" t="str">
        <f t="shared" si="1796"/>
        <v>15:17:08.000</v>
      </c>
      <c r="U4542" t="str">
        <f t="shared" si="1775"/>
        <v>A68FCB</v>
      </c>
      <c r="V4542">
        <v>0</v>
      </c>
      <c r="W4542">
        <v>0</v>
      </c>
      <c r="X4542">
        <v>2</v>
      </c>
      <c r="Y4542">
        <v>0</v>
      </c>
      <c r="AA4542">
        <v>1</v>
      </c>
      <c r="AB4542">
        <v>8</v>
      </c>
      <c r="AC4542">
        <v>3</v>
      </c>
      <c r="AD4542">
        <v>0</v>
      </c>
      <c r="AE4542">
        <v>9</v>
      </c>
      <c r="AF4542" t="s">
        <v>138</v>
      </c>
      <c r="AG4542">
        <v>0</v>
      </c>
      <c r="AH4542">
        <v>3</v>
      </c>
      <c r="AI4542">
        <v>2</v>
      </c>
      <c r="AJ4542">
        <v>0</v>
      </c>
      <c r="AK4542" t="s">
        <v>1446</v>
      </c>
      <c r="AL4542">
        <v>39.209260999999998</v>
      </c>
      <c r="AM4542" t="s">
        <v>1447</v>
      </c>
      <c r="AN4542">
        <v>-121.005607</v>
      </c>
      <c r="AO4542">
        <v>25</v>
      </c>
      <c r="AP4542">
        <v>4200</v>
      </c>
      <c r="AQ4542" t="s">
        <v>131</v>
      </c>
      <c r="AR4542">
        <v>34</v>
      </c>
      <c r="AS4542">
        <v>73</v>
      </c>
      <c r="AT4542">
        <v>0</v>
      </c>
      <c r="BB4542" t="str">
        <f t="shared" si="1776"/>
        <v>1200</v>
      </c>
      <c r="BC4542">
        <v>1</v>
      </c>
      <c r="BD4542" t="str">
        <f t="shared" si="1777"/>
        <v xml:space="preserve">N52156  </v>
      </c>
      <c r="BE4542">
        <v>1</v>
      </c>
      <c r="BG4542">
        <v>0</v>
      </c>
      <c r="BH4542">
        <v>0</v>
      </c>
      <c r="BI4542">
        <v>0</v>
      </c>
      <c r="BJ4542">
        <v>4225</v>
      </c>
      <c r="BK4542">
        <v>25</v>
      </c>
      <c r="BL4542" t="s">
        <v>188</v>
      </c>
      <c r="BM4542">
        <v>1</v>
      </c>
      <c r="BN4542">
        <v>1</v>
      </c>
      <c r="BO4542">
        <v>0</v>
      </c>
      <c r="BP4542">
        <v>0</v>
      </c>
      <c r="BS4542">
        <v>0</v>
      </c>
      <c r="BT4542">
        <v>0</v>
      </c>
      <c r="BU4542">
        <v>0</v>
      </c>
      <c r="CE4542" t="str">
        <f t="shared" si="1797"/>
        <v>15:17:08.888</v>
      </c>
      <c r="CF4542">
        <v>887756350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4</v>
      </c>
      <c r="CY4542">
        <v>7</v>
      </c>
      <c r="CZ4542" t="s">
        <v>133</v>
      </c>
      <c r="DA4542">
        <v>275</v>
      </c>
      <c r="DB4542">
        <v>0</v>
      </c>
      <c r="DC4542" t="s">
        <v>134</v>
      </c>
      <c r="DD4542" t="s">
        <v>135</v>
      </c>
      <c r="DG4542">
        <v>3323311</v>
      </c>
      <c r="DI4542">
        <v>1</v>
      </c>
      <c r="DJ4542">
        <v>0</v>
      </c>
      <c r="DK4542">
        <v>1</v>
      </c>
      <c r="DL4542">
        <v>0</v>
      </c>
      <c r="DM4542">
        <v>0</v>
      </c>
      <c r="DN4542">
        <v>0</v>
      </c>
      <c r="DO4542">
        <v>0</v>
      </c>
      <c r="DP4542">
        <v>0</v>
      </c>
      <c r="DQ4542">
        <v>0</v>
      </c>
      <c r="DR4542">
        <v>0</v>
      </c>
      <c r="DS4542">
        <v>0</v>
      </c>
    </row>
    <row r="4543" spans="1:123" x14ac:dyDescent="0.3">
      <c r="A4543" t="str">
        <f>"05/01/2025 15:17:09.147"</f>
        <v>05/01/2025 15:17:09.147</v>
      </c>
      <c r="C4543" t="str">
        <f t="shared" si="1774"/>
        <v>FFDFD3C0</v>
      </c>
      <c r="D4543" t="s">
        <v>143</v>
      </c>
      <c r="E4543" t="str">
        <f>"05"</f>
        <v>05</v>
      </c>
      <c r="H4543">
        <v>172</v>
      </c>
      <c r="I4543" t="s">
        <v>141</v>
      </c>
      <c r="J4543" t="s">
        <v>144</v>
      </c>
      <c r="K4543">
        <v>0</v>
      </c>
      <c r="L4543">
        <v>3</v>
      </c>
      <c r="M4543">
        <v>0</v>
      </c>
      <c r="N4543">
        <v>2</v>
      </c>
      <c r="O4543">
        <v>0</v>
      </c>
      <c r="P4543">
        <v>1</v>
      </c>
      <c r="Q4543">
        <v>0</v>
      </c>
      <c r="R4543" t="s">
        <v>127</v>
      </c>
      <c r="S4543" t="str">
        <f t="shared" si="1796"/>
        <v>15:17:08.000</v>
      </c>
      <c r="T4543" t="str">
        <f t="shared" si="1796"/>
        <v>15:17:08.000</v>
      </c>
      <c r="U4543" t="str">
        <f t="shared" si="1775"/>
        <v>A68FCB</v>
      </c>
      <c r="V4543">
        <v>0</v>
      </c>
      <c r="W4543">
        <v>0</v>
      </c>
      <c r="X4543">
        <v>2</v>
      </c>
      <c r="Y4543">
        <v>0</v>
      </c>
      <c r="AA4543">
        <v>1</v>
      </c>
      <c r="AB4543">
        <v>8</v>
      </c>
      <c r="AC4543">
        <v>3</v>
      </c>
      <c r="AD4543">
        <v>0</v>
      </c>
      <c r="AE4543">
        <v>9</v>
      </c>
      <c r="AF4543" t="s">
        <v>138</v>
      </c>
      <c r="AG4543">
        <v>0</v>
      </c>
      <c r="AH4543">
        <v>3</v>
      </c>
      <c r="AI4543">
        <v>2</v>
      </c>
      <c r="AJ4543">
        <v>0</v>
      </c>
      <c r="AK4543" t="s">
        <v>1446</v>
      </c>
      <c r="AL4543">
        <v>39.209260999999998</v>
      </c>
      <c r="AM4543" t="s">
        <v>1447</v>
      </c>
      <c r="AN4543">
        <v>-121.005607</v>
      </c>
      <c r="AO4543">
        <v>25</v>
      </c>
      <c r="AP4543">
        <v>4200</v>
      </c>
      <c r="AQ4543" t="s">
        <v>131</v>
      </c>
      <c r="AR4543">
        <v>34</v>
      </c>
      <c r="AS4543">
        <v>73</v>
      </c>
      <c r="AT4543">
        <v>0</v>
      </c>
      <c r="BB4543" t="str">
        <f t="shared" si="1776"/>
        <v>1200</v>
      </c>
      <c r="BC4543">
        <v>1</v>
      </c>
      <c r="BD4543" t="str">
        <f t="shared" si="1777"/>
        <v xml:space="preserve">N52156  </v>
      </c>
      <c r="BE4543">
        <v>1</v>
      </c>
      <c r="BG4543">
        <v>0</v>
      </c>
      <c r="BH4543">
        <v>0</v>
      </c>
      <c r="BI4543">
        <v>0</v>
      </c>
      <c r="BJ4543">
        <v>4225</v>
      </c>
      <c r="BK4543">
        <v>25</v>
      </c>
      <c r="BL4543" t="s">
        <v>188</v>
      </c>
      <c r="BM4543">
        <v>1</v>
      </c>
      <c r="BN4543">
        <v>1</v>
      </c>
      <c r="BO4543">
        <v>0</v>
      </c>
      <c r="BP4543">
        <v>0</v>
      </c>
      <c r="BS4543">
        <v>0</v>
      </c>
      <c r="BT4543">
        <v>0</v>
      </c>
      <c r="BU4543">
        <v>0</v>
      </c>
      <c r="CE4543" t="str">
        <f t="shared" si="1797"/>
        <v>15:17:08.888</v>
      </c>
      <c r="CF4543">
        <v>887756350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4</v>
      </c>
      <c r="CY4543">
        <v>7</v>
      </c>
      <c r="CZ4543" t="s">
        <v>133</v>
      </c>
      <c r="DA4543">
        <v>275</v>
      </c>
      <c r="DB4543">
        <v>0</v>
      </c>
      <c r="DC4543" t="s">
        <v>134</v>
      </c>
      <c r="DD4543" t="s">
        <v>135</v>
      </c>
      <c r="DG4543">
        <v>3323311</v>
      </c>
      <c r="DI4543">
        <v>1</v>
      </c>
      <c r="DJ4543">
        <v>0</v>
      </c>
      <c r="DK4543">
        <v>1</v>
      </c>
      <c r="DL4543">
        <v>0</v>
      </c>
      <c r="DM4543">
        <v>0</v>
      </c>
      <c r="DN4543">
        <v>0</v>
      </c>
      <c r="DO4543">
        <v>0</v>
      </c>
      <c r="DP4543">
        <v>0</v>
      </c>
      <c r="DQ4543">
        <v>0</v>
      </c>
      <c r="DR4543">
        <v>0</v>
      </c>
      <c r="DS4543">
        <v>0</v>
      </c>
    </row>
    <row r="4544" spans="1:123" x14ac:dyDescent="0.3">
      <c r="A4544" t="str">
        <f>"05/01/2025 15:17:09.942"</f>
        <v>05/01/2025 15:17:09.942</v>
      </c>
      <c r="C4544" t="str">
        <f t="shared" si="1774"/>
        <v>FFDFD3C0</v>
      </c>
      <c r="D4544" t="s">
        <v>140</v>
      </c>
      <c r="E4544" t="str">
        <f>"13"</f>
        <v>13</v>
      </c>
      <c r="F4544">
        <v>1019</v>
      </c>
      <c r="G4544" t="s">
        <v>141</v>
      </c>
      <c r="J4544" t="s">
        <v>142</v>
      </c>
      <c r="K4544">
        <v>0</v>
      </c>
      <c r="L4544">
        <v>3</v>
      </c>
      <c r="M4544">
        <v>0</v>
      </c>
      <c r="N4544">
        <v>2</v>
      </c>
      <c r="O4544">
        <v>0</v>
      </c>
      <c r="P4544">
        <v>1</v>
      </c>
      <c r="Q4544">
        <v>0</v>
      </c>
      <c r="R4544" t="s">
        <v>127</v>
      </c>
      <c r="S4544" t="str">
        <f t="shared" ref="S4544:T4549" si="1798">"15:17:09.000"</f>
        <v>15:17:09.000</v>
      </c>
      <c r="T4544" t="str">
        <f t="shared" si="1798"/>
        <v>15:17:09.000</v>
      </c>
      <c r="U4544" t="str">
        <f t="shared" si="1775"/>
        <v>A68FCB</v>
      </c>
      <c r="V4544">
        <v>0</v>
      </c>
      <c r="W4544">
        <v>0</v>
      </c>
      <c r="X4544">
        <v>2</v>
      </c>
      <c r="Y4544">
        <v>0</v>
      </c>
      <c r="AA4544">
        <v>1</v>
      </c>
      <c r="AB4544">
        <v>8</v>
      </c>
      <c r="AC4544">
        <v>3</v>
      </c>
      <c r="AD4544">
        <v>0</v>
      </c>
      <c r="AE4544">
        <v>9</v>
      </c>
      <c r="AF4544" t="s">
        <v>138</v>
      </c>
      <c r="AG4544">
        <v>0</v>
      </c>
      <c r="AH4544">
        <v>3</v>
      </c>
      <c r="AI4544">
        <v>2</v>
      </c>
      <c r="AJ4544">
        <v>0</v>
      </c>
      <c r="AK4544" t="s">
        <v>1448</v>
      </c>
      <c r="AL4544">
        <v>39.209603999999999</v>
      </c>
      <c r="AM4544" t="s">
        <v>1449</v>
      </c>
      <c r="AN4544">
        <v>-121.005414</v>
      </c>
      <c r="AO4544">
        <v>25</v>
      </c>
      <c r="AP4544">
        <v>4200</v>
      </c>
      <c r="AQ4544" t="s">
        <v>131</v>
      </c>
      <c r="AR4544">
        <v>33</v>
      </c>
      <c r="AS4544">
        <v>74</v>
      </c>
      <c r="AT4544">
        <v>0</v>
      </c>
      <c r="BB4544" t="str">
        <f t="shared" si="1776"/>
        <v>1200</v>
      </c>
      <c r="BC4544">
        <v>1</v>
      </c>
      <c r="BD4544" t="str">
        <f t="shared" si="1777"/>
        <v xml:space="preserve">N52156  </v>
      </c>
      <c r="BE4544">
        <v>1</v>
      </c>
      <c r="BG4544">
        <v>0</v>
      </c>
      <c r="BH4544">
        <v>0</v>
      </c>
      <c r="BI4544">
        <v>0</v>
      </c>
      <c r="BJ4544">
        <v>4225</v>
      </c>
      <c r="BK4544">
        <v>25</v>
      </c>
      <c r="BL4544" t="s">
        <v>188</v>
      </c>
      <c r="BM4544">
        <v>1</v>
      </c>
      <c r="BN4544">
        <v>1</v>
      </c>
      <c r="BO4544">
        <v>0</v>
      </c>
      <c r="BP4544">
        <v>0</v>
      </c>
      <c r="BS4544">
        <v>0</v>
      </c>
      <c r="BT4544">
        <v>0</v>
      </c>
      <c r="BU4544">
        <v>0</v>
      </c>
      <c r="CE4544" t="str">
        <f t="shared" ref="CE4544:CE4549" si="1799">"15:17:09.721"</f>
        <v>15:17:09.721</v>
      </c>
      <c r="CF4544">
        <v>720506010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4</v>
      </c>
      <c r="CY4544">
        <v>7</v>
      </c>
      <c r="CZ4544" t="s">
        <v>133</v>
      </c>
      <c r="DA4544">
        <v>275</v>
      </c>
      <c r="DB4544">
        <v>0</v>
      </c>
      <c r="DC4544" t="s">
        <v>134</v>
      </c>
      <c r="DD4544" t="s">
        <v>135</v>
      </c>
      <c r="DG4544">
        <v>3323313</v>
      </c>
      <c r="DI4544">
        <v>1</v>
      </c>
      <c r="DJ4544">
        <v>0</v>
      </c>
      <c r="DK4544">
        <v>0</v>
      </c>
      <c r="DL4544">
        <v>0</v>
      </c>
      <c r="DM4544">
        <v>0</v>
      </c>
      <c r="DN4544">
        <v>0</v>
      </c>
      <c r="DO4544">
        <v>0</v>
      </c>
      <c r="DP4544">
        <v>0</v>
      </c>
      <c r="DQ4544">
        <v>0</v>
      </c>
      <c r="DR4544">
        <v>0</v>
      </c>
      <c r="DS4544">
        <v>0</v>
      </c>
    </row>
    <row r="4545" spans="1:123" x14ac:dyDescent="0.3">
      <c r="A4545" t="str">
        <f>"05/01/2025 15:17:09.942"</f>
        <v>05/01/2025 15:17:09.942</v>
      </c>
      <c r="C4545" t="str">
        <f t="shared" si="1774"/>
        <v>FFDFD3C0</v>
      </c>
      <c r="D4545" t="s">
        <v>124</v>
      </c>
      <c r="E4545" t="str">
        <f>"06"</f>
        <v>06</v>
      </c>
      <c r="F4545">
        <v>2006</v>
      </c>
      <c r="G4545" t="s">
        <v>125</v>
      </c>
      <c r="J4545" t="s">
        <v>126</v>
      </c>
      <c r="K4545">
        <v>0</v>
      </c>
      <c r="L4545">
        <v>3</v>
      </c>
      <c r="M4545">
        <v>0</v>
      </c>
      <c r="N4545">
        <v>2</v>
      </c>
      <c r="O4545">
        <v>0</v>
      </c>
      <c r="P4545">
        <v>1</v>
      </c>
      <c r="Q4545">
        <v>0</v>
      </c>
      <c r="R4545" t="s">
        <v>127</v>
      </c>
      <c r="S4545" t="str">
        <f t="shared" si="1798"/>
        <v>15:17:09.000</v>
      </c>
      <c r="T4545" t="str">
        <f t="shared" si="1798"/>
        <v>15:17:09.000</v>
      </c>
      <c r="U4545" t="str">
        <f t="shared" si="1775"/>
        <v>A68FCB</v>
      </c>
      <c r="V4545">
        <v>0</v>
      </c>
      <c r="W4545">
        <v>0</v>
      </c>
      <c r="X4545">
        <v>2</v>
      </c>
      <c r="Y4545">
        <v>0</v>
      </c>
      <c r="AA4545">
        <v>1</v>
      </c>
      <c r="AB4545">
        <v>8</v>
      </c>
      <c r="AC4545">
        <v>3</v>
      </c>
      <c r="AD4545">
        <v>0</v>
      </c>
      <c r="AE4545">
        <v>9</v>
      </c>
      <c r="AF4545" t="s">
        <v>138</v>
      </c>
      <c r="AG4545">
        <v>0</v>
      </c>
      <c r="AH4545">
        <v>3</v>
      </c>
      <c r="AI4545">
        <v>2</v>
      </c>
      <c r="AJ4545">
        <v>0</v>
      </c>
      <c r="AK4545" t="s">
        <v>1448</v>
      </c>
      <c r="AL4545">
        <v>39.209603999999999</v>
      </c>
      <c r="AM4545" t="s">
        <v>1449</v>
      </c>
      <c r="AN4545">
        <v>-121.005414</v>
      </c>
      <c r="AO4545">
        <v>25</v>
      </c>
      <c r="AP4545">
        <v>4200</v>
      </c>
      <c r="AQ4545" t="s">
        <v>131</v>
      </c>
      <c r="AR4545">
        <v>33</v>
      </c>
      <c r="AS4545">
        <v>74</v>
      </c>
      <c r="AT4545">
        <v>0</v>
      </c>
      <c r="BB4545" t="str">
        <f t="shared" si="1776"/>
        <v>1200</v>
      </c>
      <c r="BC4545">
        <v>1</v>
      </c>
      <c r="BD4545" t="str">
        <f t="shared" si="1777"/>
        <v xml:space="preserve">N52156  </v>
      </c>
      <c r="BE4545">
        <v>1</v>
      </c>
      <c r="BG4545">
        <v>0</v>
      </c>
      <c r="BH4545">
        <v>0</v>
      </c>
      <c r="BI4545">
        <v>0</v>
      </c>
      <c r="BJ4545">
        <v>4225</v>
      </c>
      <c r="BK4545">
        <v>25</v>
      </c>
      <c r="BL4545" t="s">
        <v>188</v>
      </c>
      <c r="BM4545">
        <v>1</v>
      </c>
      <c r="BN4545">
        <v>1</v>
      </c>
      <c r="BO4545">
        <v>0</v>
      </c>
      <c r="BP4545">
        <v>0</v>
      </c>
      <c r="BS4545">
        <v>0</v>
      </c>
      <c r="BT4545">
        <v>0</v>
      </c>
      <c r="BU4545">
        <v>0</v>
      </c>
      <c r="CE4545" t="str">
        <f t="shared" si="1799"/>
        <v>15:17:09.721</v>
      </c>
      <c r="CF4545">
        <v>720506010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4</v>
      </c>
      <c r="CY4545">
        <v>7</v>
      </c>
      <c r="CZ4545" t="s">
        <v>133</v>
      </c>
      <c r="DA4545">
        <v>275</v>
      </c>
      <c r="DB4545">
        <v>0</v>
      </c>
      <c r="DC4545" t="s">
        <v>134</v>
      </c>
      <c r="DD4545" t="s">
        <v>135</v>
      </c>
      <c r="DG4545">
        <v>3323313</v>
      </c>
      <c r="DI4545">
        <v>1</v>
      </c>
      <c r="DJ4545">
        <v>0</v>
      </c>
      <c r="DK4545">
        <v>1</v>
      </c>
      <c r="DL4545">
        <v>0</v>
      </c>
      <c r="DM4545">
        <v>0</v>
      </c>
      <c r="DN4545">
        <v>0</v>
      </c>
      <c r="DO4545">
        <v>0</v>
      </c>
      <c r="DP4545">
        <v>0</v>
      </c>
      <c r="DQ4545">
        <v>0</v>
      </c>
      <c r="DR4545">
        <v>0</v>
      </c>
      <c r="DS4545">
        <v>0</v>
      </c>
    </row>
    <row r="4546" spans="1:123" x14ac:dyDescent="0.3">
      <c r="A4546" t="str">
        <f>"05/01/2025 15:17:09.948"</f>
        <v>05/01/2025 15:17:09.948</v>
      </c>
      <c r="C4546" t="str">
        <f t="shared" ref="C4546:C4609" si="1800">"FFDFD3C0"</f>
        <v>FFDFD3C0</v>
      </c>
      <c r="D4546" t="s">
        <v>143</v>
      </c>
      <c r="E4546" t="str">
        <f>"05"</f>
        <v>05</v>
      </c>
      <c r="H4546">
        <v>172</v>
      </c>
      <c r="I4546" t="s">
        <v>141</v>
      </c>
      <c r="J4546" t="s">
        <v>144</v>
      </c>
      <c r="K4546">
        <v>0</v>
      </c>
      <c r="L4546">
        <v>3</v>
      </c>
      <c r="M4546">
        <v>0</v>
      </c>
      <c r="N4546">
        <v>2</v>
      </c>
      <c r="O4546">
        <v>0</v>
      </c>
      <c r="P4546">
        <v>1</v>
      </c>
      <c r="Q4546">
        <v>0</v>
      </c>
      <c r="R4546" t="s">
        <v>127</v>
      </c>
      <c r="S4546" t="str">
        <f t="shared" si="1798"/>
        <v>15:17:09.000</v>
      </c>
      <c r="T4546" t="str">
        <f t="shared" si="1798"/>
        <v>15:17:09.000</v>
      </c>
      <c r="U4546" t="str">
        <f t="shared" ref="U4546:U4609" si="1801">"A68FCB"</f>
        <v>A68FCB</v>
      </c>
      <c r="V4546">
        <v>0</v>
      </c>
      <c r="W4546">
        <v>0</v>
      </c>
      <c r="X4546">
        <v>2</v>
      </c>
      <c r="Y4546">
        <v>0</v>
      </c>
      <c r="AA4546">
        <v>1</v>
      </c>
      <c r="AB4546">
        <v>8</v>
      </c>
      <c r="AC4546">
        <v>3</v>
      </c>
      <c r="AD4546">
        <v>0</v>
      </c>
      <c r="AE4546">
        <v>9</v>
      </c>
      <c r="AF4546" t="s">
        <v>138</v>
      </c>
      <c r="AG4546">
        <v>0</v>
      </c>
      <c r="AH4546">
        <v>3</v>
      </c>
      <c r="AI4546">
        <v>2</v>
      </c>
      <c r="AJ4546">
        <v>0</v>
      </c>
      <c r="AK4546" t="s">
        <v>1448</v>
      </c>
      <c r="AL4546">
        <v>39.209603999999999</v>
      </c>
      <c r="AM4546" t="s">
        <v>1449</v>
      </c>
      <c r="AN4546">
        <v>-121.005414</v>
      </c>
      <c r="AO4546">
        <v>25</v>
      </c>
      <c r="AP4546">
        <v>4200</v>
      </c>
      <c r="AQ4546" t="s">
        <v>131</v>
      </c>
      <c r="AR4546">
        <v>33</v>
      </c>
      <c r="AS4546">
        <v>74</v>
      </c>
      <c r="AT4546">
        <v>0</v>
      </c>
      <c r="BB4546" t="str">
        <f t="shared" ref="BB4546:BB4609" si="1802">"1200"</f>
        <v>1200</v>
      </c>
      <c r="BC4546">
        <v>1</v>
      </c>
      <c r="BD4546" t="str">
        <f t="shared" ref="BD4546:BD4609" si="1803">"N52156  "</f>
        <v xml:space="preserve">N52156  </v>
      </c>
      <c r="BE4546">
        <v>1</v>
      </c>
      <c r="BG4546">
        <v>0</v>
      </c>
      <c r="BH4546">
        <v>0</v>
      </c>
      <c r="BI4546">
        <v>0</v>
      </c>
      <c r="BJ4546">
        <v>4225</v>
      </c>
      <c r="BK4546">
        <v>25</v>
      </c>
      <c r="BL4546" t="s">
        <v>188</v>
      </c>
      <c r="BM4546">
        <v>1</v>
      </c>
      <c r="BN4546">
        <v>1</v>
      </c>
      <c r="BO4546">
        <v>0</v>
      </c>
      <c r="BP4546">
        <v>0</v>
      </c>
      <c r="BS4546">
        <v>0</v>
      </c>
      <c r="BT4546">
        <v>0</v>
      </c>
      <c r="BU4546">
        <v>0</v>
      </c>
      <c r="CE4546" t="str">
        <f t="shared" si="1799"/>
        <v>15:17:09.721</v>
      </c>
      <c r="CF4546">
        <v>720506010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4</v>
      </c>
      <c r="CY4546">
        <v>7</v>
      </c>
      <c r="CZ4546" t="s">
        <v>133</v>
      </c>
      <c r="DA4546">
        <v>275</v>
      </c>
      <c r="DB4546">
        <v>0</v>
      </c>
      <c r="DC4546" t="s">
        <v>134</v>
      </c>
      <c r="DD4546" t="s">
        <v>135</v>
      </c>
      <c r="DG4546">
        <v>3323313</v>
      </c>
      <c r="DI4546">
        <v>1</v>
      </c>
      <c r="DJ4546">
        <v>0</v>
      </c>
      <c r="DK4546">
        <v>1</v>
      </c>
      <c r="DL4546">
        <v>0</v>
      </c>
      <c r="DM4546">
        <v>0</v>
      </c>
      <c r="DN4546">
        <v>0</v>
      </c>
      <c r="DO4546">
        <v>0</v>
      </c>
      <c r="DP4546">
        <v>0</v>
      </c>
      <c r="DQ4546">
        <v>0</v>
      </c>
      <c r="DR4546">
        <v>0</v>
      </c>
      <c r="DS4546">
        <v>0</v>
      </c>
    </row>
    <row r="4547" spans="1:123" x14ac:dyDescent="0.3">
      <c r="A4547" t="str">
        <f>"05/01/2025 15:17:09.961"</f>
        <v>05/01/2025 15:17:09.961</v>
      </c>
      <c r="C4547" t="str">
        <f t="shared" si="1800"/>
        <v>FFDFD3C0</v>
      </c>
      <c r="D4547" t="s">
        <v>145</v>
      </c>
      <c r="E4547" t="str">
        <f>"09"</f>
        <v>09</v>
      </c>
      <c r="H4547">
        <v>51</v>
      </c>
      <c r="I4547" t="s">
        <v>147</v>
      </c>
      <c r="J4547" t="s">
        <v>138</v>
      </c>
      <c r="K4547">
        <v>0</v>
      </c>
      <c r="L4547">
        <v>3</v>
      </c>
      <c r="M4547">
        <v>0</v>
      </c>
      <c r="N4547">
        <v>2</v>
      </c>
      <c r="O4547">
        <v>0</v>
      </c>
      <c r="P4547">
        <v>1</v>
      </c>
      <c r="Q4547">
        <v>0</v>
      </c>
      <c r="R4547" t="s">
        <v>127</v>
      </c>
      <c r="S4547" t="str">
        <f t="shared" si="1798"/>
        <v>15:17:09.000</v>
      </c>
      <c r="T4547" t="str">
        <f t="shared" si="1798"/>
        <v>15:17:09.000</v>
      </c>
      <c r="U4547" t="str">
        <f t="shared" si="1801"/>
        <v>A68FCB</v>
      </c>
      <c r="V4547">
        <v>0</v>
      </c>
      <c r="W4547">
        <v>0</v>
      </c>
      <c r="X4547">
        <v>2</v>
      </c>
      <c r="Y4547">
        <v>0</v>
      </c>
      <c r="AA4547">
        <v>1</v>
      </c>
      <c r="AB4547">
        <v>8</v>
      </c>
      <c r="AC4547">
        <v>3</v>
      </c>
      <c r="AD4547">
        <v>0</v>
      </c>
      <c r="AE4547">
        <v>9</v>
      </c>
      <c r="AF4547" t="s">
        <v>138</v>
      </c>
      <c r="AG4547">
        <v>0</v>
      </c>
      <c r="AH4547">
        <v>3</v>
      </c>
      <c r="AI4547">
        <v>2</v>
      </c>
      <c r="AJ4547">
        <v>0</v>
      </c>
      <c r="AK4547" t="s">
        <v>1448</v>
      </c>
      <c r="AL4547">
        <v>39.209603999999999</v>
      </c>
      <c r="AM4547" t="s">
        <v>1449</v>
      </c>
      <c r="AN4547">
        <v>-121.005414</v>
      </c>
      <c r="AO4547">
        <v>25</v>
      </c>
      <c r="AP4547">
        <v>4200</v>
      </c>
      <c r="AQ4547" t="s">
        <v>131</v>
      </c>
      <c r="AR4547">
        <v>33</v>
      </c>
      <c r="AS4547">
        <v>74</v>
      </c>
      <c r="AT4547">
        <v>0</v>
      </c>
      <c r="BB4547" t="str">
        <f t="shared" si="1802"/>
        <v>1200</v>
      </c>
      <c r="BC4547">
        <v>1</v>
      </c>
      <c r="BD4547" t="str">
        <f t="shared" si="1803"/>
        <v xml:space="preserve">N52156  </v>
      </c>
      <c r="BE4547">
        <v>1</v>
      </c>
      <c r="BG4547">
        <v>0</v>
      </c>
      <c r="BH4547">
        <v>0</v>
      </c>
      <c r="BI4547">
        <v>0</v>
      </c>
      <c r="BJ4547">
        <v>4225</v>
      </c>
      <c r="BK4547">
        <v>25</v>
      </c>
      <c r="BL4547" t="s">
        <v>188</v>
      </c>
      <c r="BM4547">
        <v>1</v>
      </c>
      <c r="BN4547">
        <v>1</v>
      </c>
      <c r="BO4547">
        <v>0</v>
      </c>
      <c r="BP4547">
        <v>0</v>
      </c>
      <c r="BS4547">
        <v>0</v>
      </c>
      <c r="BT4547">
        <v>0</v>
      </c>
      <c r="BU4547">
        <v>0</v>
      </c>
      <c r="CE4547" t="str">
        <f t="shared" si="1799"/>
        <v>15:17:09.721</v>
      </c>
      <c r="CF4547">
        <v>720506010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4</v>
      </c>
      <c r="CY4547">
        <v>7</v>
      </c>
      <c r="CZ4547" t="s">
        <v>133</v>
      </c>
      <c r="DA4547">
        <v>275</v>
      </c>
      <c r="DB4547">
        <v>0</v>
      </c>
      <c r="DC4547" t="s">
        <v>134</v>
      </c>
      <c r="DD4547" t="s">
        <v>135</v>
      </c>
      <c r="DG4547">
        <v>3323313</v>
      </c>
      <c r="DI4547">
        <v>1</v>
      </c>
      <c r="DJ4547">
        <v>0</v>
      </c>
      <c r="DK4547">
        <v>1</v>
      </c>
      <c r="DL4547">
        <v>0</v>
      </c>
      <c r="DM4547">
        <v>0</v>
      </c>
      <c r="DN4547">
        <v>0</v>
      </c>
      <c r="DO4547">
        <v>0</v>
      </c>
      <c r="DP4547">
        <v>0</v>
      </c>
      <c r="DQ4547">
        <v>0</v>
      </c>
      <c r="DR4547">
        <v>0</v>
      </c>
      <c r="DS4547">
        <v>0</v>
      </c>
    </row>
    <row r="4548" spans="1:123" x14ac:dyDescent="0.3">
      <c r="A4548" t="str">
        <f>"05/01/2025 15:17:09.965"</f>
        <v>05/01/2025 15:17:09.965</v>
      </c>
      <c r="C4548" t="str">
        <f t="shared" si="1800"/>
        <v>FFDFD3C0</v>
      </c>
      <c r="D4548" t="s">
        <v>145</v>
      </c>
      <c r="E4548" t="str">
        <f>"05"</f>
        <v>05</v>
      </c>
      <c r="H4548">
        <v>47</v>
      </c>
      <c r="I4548" t="s">
        <v>146</v>
      </c>
      <c r="J4548" t="s">
        <v>138</v>
      </c>
      <c r="K4548">
        <v>0</v>
      </c>
      <c r="L4548">
        <v>3</v>
      </c>
      <c r="M4548">
        <v>0</v>
      </c>
      <c r="N4548">
        <v>2</v>
      </c>
      <c r="O4548">
        <v>0</v>
      </c>
      <c r="P4548">
        <v>1</v>
      </c>
      <c r="Q4548">
        <v>0</v>
      </c>
      <c r="R4548" t="s">
        <v>127</v>
      </c>
      <c r="S4548" t="str">
        <f t="shared" si="1798"/>
        <v>15:17:09.000</v>
      </c>
      <c r="T4548" t="str">
        <f t="shared" si="1798"/>
        <v>15:17:09.000</v>
      </c>
      <c r="U4548" t="str">
        <f t="shared" si="1801"/>
        <v>A68FCB</v>
      </c>
      <c r="V4548">
        <v>0</v>
      </c>
      <c r="W4548">
        <v>0</v>
      </c>
      <c r="X4548">
        <v>2</v>
      </c>
      <c r="Y4548">
        <v>0</v>
      </c>
      <c r="AA4548">
        <v>1</v>
      </c>
      <c r="AB4548">
        <v>8</v>
      </c>
      <c r="AC4548">
        <v>3</v>
      </c>
      <c r="AD4548">
        <v>0</v>
      </c>
      <c r="AE4548">
        <v>9</v>
      </c>
      <c r="AF4548" t="s">
        <v>138</v>
      </c>
      <c r="AG4548">
        <v>0</v>
      </c>
      <c r="AH4548">
        <v>3</v>
      </c>
      <c r="AI4548">
        <v>2</v>
      </c>
      <c r="AJ4548">
        <v>0</v>
      </c>
      <c r="AK4548" t="s">
        <v>1448</v>
      </c>
      <c r="AL4548">
        <v>39.209603999999999</v>
      </c>
      <c r="AM4548" t="s">
        <v>1449</v>
      </c>
      <c r="AN4548">
        <v>-121.005414</v>
      </c>
      <c r="AO4548">
        <v>25</v>
      </c>
      <c r="AP4548">
        <v>4200</v>
      </c>
      <c r="AQ4548" t="s">
        <v>131</v>
      </c>
      <c r="AR4548">
        <v>33</v>
      </c>
      <c r="AS4548">
        <v>74</v>
      </c>
      <c r="AT4548">
        <v>0</v>
      </c>
      <c r="BB4548" t="str">
        <f t="shared" si="1802"/>
        <v>1200</v>
      </c>
      <c r="BC4548">
        <v>1</v>
      </c>
      <c r="BD4548" t="str">
        <f t="shared" si="1803"/>
        <v xml:space="preserve">N52156  </v>
      </c>
      <c r="BE4548">
        <v>1</v>
      </c>
      <c r="BG4548">
        <v>0</v>
      </c>
      <c r="BH4548">
        <v>0</v>
      </c>
      <c r="BI4548">
        <v>0</v>
      </c>
      <c r="BJ4548">
        <v>4225</v>
      </c>
      <c r="BK4548">
        <v>25</v>
      </c>
      <c r="BL4548" t="s">
        <v>188</v>
      </c>
      <c r="BM4548">
        <v>1</v>
      </c>
      <c r="BN4548">
        <v>1</v>
      </c>
      <c r="BO4548">
        <v>0</v>
      </c>
      <c r="BP4548">
        <v>0</v>
      </c>
      <c r="BS4548">
        <v>0</v>
      </c>
      <c r="BT4548">
        <v>0</v>
      </c>
      <c r="BU4548">
        <v>0</v>
      </c>
      <c r="CE4548" t="str">
        <f t="shared" si="1799"/>
        <v>15:17:09.721</v>
      </c>
      <c r="CF4548">
        <v>720506010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4</v>
      </c>
      <c r="CY4548">
        <v>7</v>
      </c>
      <c r="CZ4548" t="s">
        <v>133</v>
      </c>
      <c r="DA4548">
        <v>275</v>
      </c>
      <c r="DB4548">
        <v>0</v>
      </c>
      <c r="DC4548" t="s">
        <v>134</v>
      </c>
      <c r="DD4548" t="s">
        <v>135</v>
      </c>
      <c r="DG4548">
        <v>3323313</v>
      </c>
      <c r="DI4548">
        <v>1</v>
      </c>
      <c r="DJ4548">
        <v>0</v>
      </c>
      <c r="DK4548">
        <v>1</v>
      </c>
      <c r="DL4548">
        <v>0</v>
      </c>
      <c r="DM4548">
        <v>0</v>
      </c>
      <c r="DN4548">
        <v>0</v>
      </c>
      <c r="DO4548">
        <v>0</v>
      </c>
      <c r="DP4548">
        <v>0</v>
      </c>
      <c r="DQ4548">
        <v>0</v>
      </c>
      <c r="DR4548">
        <v>0</v>
      </c>
      <c r="DS4548">
        <v>0</v>
      </c>
    </row>
    <row r="4549" spans="1:123" x14ac:dyDescent="0.3">
      <c r="A4549" t="str">
        <f>"05/01/2025 15:17:09.977"</f>
        <v>05/01/2025 15:17:09.977</v>
      </c>
      <c r="C4549" t="str">
        <f t="shared" si="1800"/>
        <v>FFDFD3C0</v>
      </c>
      <c r="D4549" t="s">
        <v>136</v>
      </c>
      <c r="E4549" t="str">
        <f>"20"</f>
        <v>20</v>
      </c>
      <c r="H4549">
        <v>400</v>
      </c>
      <c r="I4549" t="s">
        <v>137</v>
      </c>
      <c r="J4549" t="s">
        <v>138</v>
      </c>
      <c r="K4549">
        <v>0</v>
      </c>
      <c r="L4549">
        <v>3</v>
      </c>
      <c r="M4549">
        <v>0</v>
      </c>
      <c r="N4549">
        <v>2</v>
      </c>
      <c r="O4549">
        <v>0</v>
      </c>
      <c r="P4549">
        <v>1</v>
      </c>
      <c r="Q4549">
        <v>0</v>
      </c>
      <c r="R4549" t="s">
        <v>127</v>
      </c>
      <c r="S4549" t="str">
        <f t="shared" si="1798"/>
        <v>15:17:09.000</v>
      </c>
      <c r="T4549" t="str">
        <f t="shared" si="1798"/>
        <v>15:17:09.000</v>
      </c>
      <c r="U4549" t="str">
        <f t="shared" si="1801"/>
        <v>A68FCB</v>
      </c>
      <c r="V4549">
        <v>0</v>
      </c>
      <c r="W4549">
        <v>0</v>
      </c>
      <c r="X4549">
        <v>2</v>
      </c>
      <c r="Y4549">
        <v>0</v>
      </c>
      <c r="AA4549">
        <v>1</v>
      </c>
      <c r="AB4549">
        <v>8</v>
      </c>
      <c r="AC4549">
        <v>3</v>
      </c>
      <c r="AD4549">
        <v>0</v>
      </c>
      <c r="AE4549">
        <v>9</v>
      </c>
      <c r="AF4549" t="s">
        <v>138</v>
      </c>
      <c r="AG4549">
        <v>0</v>
      </c>
      <c r="AH4549">
        <v>3</v>
      </c>
      <c r="AI4549">
        <v>2</v>
      </c>
      <c r="AJ4549">
        <v>0</v>
      </c>
      <c r="AK4549" t="s">
        <v>1448</v>
      </c>
      <c r="AL4549">
        <v>39.209603999999999</v>
      </c>
      <c r="AM4549" t="s">
        <v>1449</v>
      </c>
      <c r="AN4549">
        <v>-121.005414</v>
      </c>
      <c r="AO4549">
        <v>25</v>
      </c>
      <c r="AP4549">
        <v>4200</v>
      </c>
      <c r="AQ4549" t="s">
        <v>131</v>
      </c>
      <c r="AR4549">
        <v>33</v>
      </c>
      <c r="AS4549">
        <v>74</v>
      </c>
      <c r="AT4549">
        <v>0</v>
      </c>
      <c r="BB4549" t="str">
        <f t="shared" si="1802"/>
        <v>1200</v>
      </c>
      <c r="BC4549">
        <v>1</v>
      </c>
      <c r="BD4549" t="str">
        <f t="shared" si="1803"/>
        <v xml:space="preserve">N52156  </v>
      </c>
      <c r="BE4549">
        <v>1</v>
      </c>
      <c r="BG4549">
        <v>0</v>
      </c>
      <c r="BH4549">
        <v>0</v>
      </c>
      <c r="BI4549">
        <v>0</v>
      </c>
      <c r="BJ4549">
        <v>4225</v>
      </c>
      <c r="BK4549">
        <v>25</v>
      </c>
      <c r="BL4549" t="s">
        <v>188</v>
      </c>
      <c r="BM4549">
        <v>1</v>
      </c>
      <c r="BN4549">
        <v>1</v>
      </c>
      <c r="BO4549">
        <v>0</v>
      </c>
      <c r="BP4549">
        <v>0</v>
      </c>
      <c r="BS4549">
        <v>0</v>
      </c>
      <c r="BT4549">
        <v>0</v>
      </c>
      <c r="BU4549">
        <v>0</v>
      </c>
      <c r="CE4549" t="str">
        <f t="shared" si="1799"/>
        <v>15:17:09.721</v>
      </c>
      <c r="CF4549">
        <v>720506010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4</v>
      </c>
      <c r="CY4549">
        <v>7</v>
      </c>
      <c r="CZ4549" t="s">
        <v>133</v>
      </c>
      <c r="DA4549">
        <v>275</v>
      </c>
      <c r="DB4549">
        <v>0</v>
      </c>
      <c r="DC4549" t="s">
        <v>134</v>
      </c>
      <c r="DD4549" t="s">
        <v>135</v>
      </c>
      <c r="DG4549">
        <v>3323313</v>
      </c>
      <c r="DI4549">
        <v>1</v>
      </c>
      <c r="DJ4549">
        <v>0</v>
      </c>
      <c r="DK4549">
        <v>1</v>
      </c>
      <c r="DL4549">
        <v>0</v>
      </c>
      <c r="DM4549">
        <v>0</v>
      </c>
      <c r="DN4549">
        <v>0</v>
      </c>
      <c r="DO4549">
        <v>0</v>
      </c>
      <c r="DP4549">
        <v>0</v>
      </c>
      <c r="DQ4549">
        <v>0</v>
      </c>
      <c r="DR4549">
        <v>0</v>
      </c>
      <c r="DS4549">
        <v>0</v>
      </c>
    </row>
    <row r="4550" spans="1:123" x14ac:dyDescent="0.3">
      <c r="A4550" t="str">
        <f>"05/01/2025 15:17:10.461"</f>
        <v>05/01/2025 15:17:10.461</v>
      </c>
      <c r="C4550" t="str">
        <f t="shared" si="1800"/>
        <v>FFDFD3C0</v>
      </c>
      <c r="D4550" t="s">
        <v>145</v>
      </c>
      <c r="E4550" t="str">
        <f>"09"</f>
        <v>09</v>
      </c>
      <c r="H4550">
        <v>51</v>
      </c>
      <c r="I4550" t="s">
        <v>147</v>
      </c>
      <c r="J4550" t="s">
        <v>138</v>
      </c>
      <c r="K4550">
        <v>0</v>
      </c>
      <c r="L4550">
        <v>3</v>
      </c>
      <c r="M4550">
        <v>0</v>
      </c>
      <c r="N4550">
        <v>2</v>
      </c>
      <c r="O4550">
        <v>0</v>
      </c>
      <c r="P4550">
        <v>1</v>
      </c>
      <c r="Q4550">
        <v>0</v>
      </c>
      <c r="R4550" t="s">
        <v>127</v>
      </c>
      <c r="S4550" t="str">
        <f t="shared" ref="S4550:T4555" si="1804">"15:17:10.000"</f>
        <v>15:17:10.000</v>
      </c>
      <c r="T4550" t="str">
        <f t="shared" si="1804"/>
        <v>15:17:10.000</v>
      </c>
      <c r="U4550" t="str">
        <f t="shared" si="1801"/>
        <v>A68FCB</v>
      </c>
      <c r="V4550">
        <v>0</v>
      </c>
      <c r="W4550">
        <v>0</v>
      </c>
      <c r="X4550">
        <v>2</v>
      </c>
      <c r="Y4550">
        <v>0</v>
      </c>
      <c r="AA4550">
        <v>1</v>
      </c>
      <c r="AB4550">
        <v>8</v>
      </c>
      <c r="AC4550">
        <v>3</v>
      </c>
      <c r="AD4550">
        <v>0</v>
      </c>
      <c r="AE4550">
        <v>9</v>
      </c>
      <c r="AF4550" t="s">
        <v>138</v>
      </c>
      <c r="AG4550">
        <v>0</v>
      </c>
      <c r="AH4550">
        <v>3</v>
      </c>
      <c r="AI4550">
        <v>2</v>
      </c>
      <c r="AJ4550">
        <v>0</v>
      </c>
      <c r="AK4550" t="s">
        <v>1450</v>
      </c>
      <c r="AL4550">
        <v>39.209969000000001</v>
      </c>
      <c r="AM4550" t="s">
        <v>1451</v>
      </c>
      <c r="AN4550">
        <v>-121.00521999999999</v>
      </c>
      <c r="AO4550">
        <v>25</v>
      </c>
      <c r="AP4550">
        <v>4200</v>
      </c>
      <c r="AQ4550" t="s">
        <v>131</v>
      </c>
      <c r="AR4550">
        <v>32</v>
      </c>
      <c r="AS4550">
        <v>75</v>
      </c>
      <c r="AT4550">
        <v>0</v>
      </c>
      <c r="BB4550" t="str">
        <f t="shared" si="1802"/>
        <v>1200</v>
      </c>
      <c r="BC4550">
        <v>1</v>
      </c>
      <c r="BD4550" t="str">
        <f t="shared" si="1803"/>
        <v xml:space="preserve">N52156  </v>
      </c>
      <c r="BE4550">
        <v>1</v>
      </c>
      <c r="BG4550">
        <v>0</v>
      </c>
      <c r="BH4550">
        <v>0</v>
      </c>
      <c r="BI4550">
        <v>0</v>
      </c>
      <c r="BJ4550">
        <v>4225</v>
      </c>
      <c r="BK4550">
        <v>25</v>
      </c>
      <c r="BL4550" t="s">
        <v>188</v>
      </c>
      <c r="BM4550">
        <v>1</v>
      </c>
      <c r="BN4550">
        <v>1</v>
      </c>
      <c r="BO4550">
        <v>0</v>
      </c>
      <c r="BP4550">
        <v>0</v>
      </c>
      <c r="BS4550">
        <v>0</v>
      </c>
      <c r="BT4550">
        <v>0</v>
      </c>
      <c r="BU4550">
        <v>0</v>
      </c>
      <c r="CE4550" t="str">
        <f t="shared" ref="CE4550:CE4555" si="1805">"15:17:10.246"</f>
        <v>15:17:10.246</v>
      </c>
      <c r="CF4550">
        <v>245504901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4</v>
      </c>
      <c r="CY4550">
        <v>7</v>
      </c>
      <c r="CZ4550" t="s">
        <v>133</v>
      </c>
      <c r="DA4550">
        <v>275</v>
      </c>
      <c r="DB4550">
        <v>0</v>
      </c>
      <c r="DC4550" t="s">
        <v>134</v>
      </c>
      <c r="DD4550" t="s">
        <v>135</v>
      </c>
      <c r="DG4550">
        <v>3323314</v>
      </c>
      <c r="DI4550">
        <v>1</v>
      </c>
      <c r="DJ4550">
        <v>0</v>
      </c>
      <c r="DK4550">
        <v>0</v>
      </c>
      <c r="DL4550">
        <v>0</v>
      </c>
      <c r="DM4550">
        <v>0</v>
      </c>
      <c r="DN4550">
        <v>0</v>
      </c>
      <c r="DO4550">
        <v>0</v>
      </c>
      <c r="DP4550">
        <v>0</v>
      </c>
      <c r="DQ4550">
        <v>0</v>
      </c>
      <c r="DR4550">
        <v>0</v>
      </c>
      <c r="DS4550">
        <v>0</v>
      </c>
    </row>
    <row r="4551" spans="1:123" x14ac:dyDescent="0.3">
      <c r="A4551" t="str">
        <f>"05/01/2025 15:17:10.466"</f>
        <v>05/01/2025 15:17:10.466</v>
      </c>
      <c r="C4551" t="str">
        <f t="shared" si="1800"/>
        <v>FFDFD3C0</v>
      </c>
      <c r="D4551" t="s">
        <v>145</v>
      </c>
      <c r="E4551" t="str">
        <f>"05"</f>
        <v>05</v>
      </c>
      <c r="H4551">
        <v>47</v>
      </c>
      <c r="I4551" t="s">
        <v>146</v>
      </c>
      <c r="J4551" t="s">
        <v>138</v>
      </c>
      <c r="K4551">
        <v>0</v>
      </c>
      <c r="L4551">
        <v>3</v>
      </c>
      <c r="M4551">
        <v>0</v>
      </c>
      <c r="N4551">
        <v>2</v>
      </c>
      <c r="O4551">
        <v>0</v>
      </c>
      <c r="P4551">
        <v>1</v>
      </c>
      <c r="Q4551">
        <v>0</v>
      </c>
      <c r="R4551" t="s">
        <v>127</v>
      </c>
      <c r="S4551" t="str">
        <f t="shared" si="1804"/>
        <v>15:17:10.000</v>
      </c>
      <c r="T4551" t="str">
        <f t="shared" si="1804"/>
        <v>15:17:10.000</v>
      </c>
      <c r="U4551" t="str">
        <f t="shared" si="1801"/>
        <v>A68FCB</v>
      </c>
      <c r="V4551">
        <v>0</v>
      </c>
      <c r="W4551">
        <v>0</v>
      </c>
      <c r="X4551">
        <v>2</v>
      </c>
      <c r="Y4551">
        <v>0</v>
      </c>
      <c r="AA4551">
        <v>1</v>
      </c>
      <c r="AB4551">
        <v>8</v>
      </c>
      <c r="AC4551">
        <v>3</v>
      </c>
      <c r="AD4551">
        <v>0</v>
      </c>
      <c r="AE4551">
        <v>9</v>
      </c>
      <c r="AF4551" t="s">
        <v>138</v>
      </c>
      <c r="AG4551">
        <v>0</v>
      </c>
      <c r="AH4551">
        <v>3</v>
      </c>
      <c r="AI4551">
        <v>2</v>
      </c>
      <c r="AJ4551">
        <v>0</v>
      </c>
      <c r="AK4551" t="s">
        <v>1450</v>
      </c>
      <c r="AL4551">
        <v>39.209969000000001</v>
      </c>
      <c r="AM4551" t="s">
        <v>1451</v>
      </c>
      <c r="AN4551">
        <v>-121.00521999999999</v>
      </c>
      <c r="AO4551">
        <v>25</v>
      </c>
      <c r="AP4551">
        <v>4200</v>
      </c>
      <c r="AQ4551" t="s">
        <v>131</v>
      </c>
      <c r="AR4551">
        <v>32</v>
      </c>
      <c r="AS4551">
        <v>75</v>
      </c>
      <c r="AT4551">
        <v>0</v>
      </c>
      <c r="BB4551" t="str">
        <f t="shared" si="1802"/>
        <v>1200</v>
      </c>
      <c r="BC4551">
        <v>1</v>
      </c>
      <c r="BD4551" t="str">
        <f t="shared" si="1803"/>
        <v xml:space="preserve">N52156  </v>
      </c>
      <c r="BE4551">
        <v>1</v>
      </c>
      <c r="BG4551">
        <v>0</v>
      </c>
      <c r="BH4551">
        <v>0</v>
      </c>
      <c r="BI4551">
        <v>0</v>
      </c>
      <c r="BJ4551">
        <v>4225</v>
      </c>
      <c r="BK4551">
        <v>25</v>
      </c>
      <c r="BL4551" t="s">
        <v>188</v>
      </c>
      <c r="BM4551">
        <v>1</v>
      </c>
      <c r="BN4551">
        <v>1</v>
      </c>
      <c r="BO4551">
        <v>0</v>
      </c>
      <c r="BP4551">
        <v>0</v>
      </c>
      <c r="BS4551">
        <v>0</v>
      </c>
      <c r="BT4551">
        <v>0</v>
      </c>
      <c r="BU4551">
        <v>0</v>
      </c>
      <c r="CE4551" t="str">
        <f t="shared" si="1805"/>
        <v>15:17:10.246</v>
      </c>
      <c r="CF4551">
        <v>245504901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4</v>
      </c>
      <c r="CY4551">
        <v>7</v>
      </c>
      <c r="CZ4551" t="s">
        <v>133</v>
      </c>
      <c r="DA4551">
        <v>275</v>
      </c>
      <c r="DB4551">
        <v>0</v>
      </c>
      <c r="DC4551" t="s">
        <v>134</v>
      </c>
      <c r="DD4551" t="s">
        <v>135</v>
      </c>
      <c r="DG4551">
        <v>3323314</v>
      </c>
      <c r="DI4551">
        <v>1</v>
      </c>
      <c r="DJ4551">
        <v>0</v>
      </c>
      <c r="DK4551">
        <v>1</v>
      </c>
      <c r="DL4551">
        <v>0</v>
      </c>
      <c r="DM4551">
        <v>0</v>
      </c>
      <c r="DN4551">
        <v>0</v>
      </c>
      <c r="DO4551">
        <v>0</v>
      </c>
      <c r="DP4551">
        <v>0</v>
      </c>
      <c r="DQ4551">
        <v>0</v>
      </c>
      <c r="DR4551">
        <v>0</v>
      </c>
      <c r="DS4551">
        <v>0</v>
      </c>
    </row>
    <row r="4552" spans="1:123" x14ac:dyDescent="0.3">
      <c r="A4552" t="str">
        <f>"05/01/2025 15:17:10.478"</f>
        <v>05/01/2025 15:17:10.478</v>
      </c>
      <c r="C4552" t="str">
        <f t="shared" si="1800"/>
        <v>FFDFD3C0</v>
      </c>
      <c r="D4552" t="s">
        <v>136</v>
      </c>
      <c r="E4552" t="str">
        <f>"20"</f>
        <v>20</v>
      </c>
      <c r="H4552">
        <v>400</v>
      </c>
      <c r="I4552" t="s">
        <v>137</v>
      </c>
      <c r="J4552" t="s">
        <v>138</v>
      </c>
      <c r="K4552">
        <v>0</v>
      </c>
      <c r="L4552">
        <v>3</v>
      </c>
      <c r="M4552">
        <v>0</v>
      </c>
      <c r="N4552">
        <v>2</v>
      </c>
      <c r="O4552">
        <v>0</v>
      </c>
      <c r="P4552">
        <v>1</v>
      </c>
      <c r="Q4552">
        <v>0</v>
      </c>
      <c r="R4552" t="s">
        <v>127</v>
      </c>
      <c r="S4552" t="str">
        <f t="shared" si="1804"/>
        <v>15:17:10.000</v>
      </c>
      <c r="T4552" t="str">
        <f t="shared" si="1804"/>
        <v>15:17:10.000</v>
      </c>
      <c r="U4552" t="str">
        <f t="shared" si="1801"/>
        <v>A68FCB</v>
      </c>
      <c r="V4552">
        <v>0</v>
      </c>
      <c r="W4552">
        <v>0</v>
      </c>
      <c r="X4552">
        <v>2</v>
      </c>
      <c r="Y4552">
        <v>0</v>
      </c>
      <c r="AA4552">
        <v>1</v>
      </c>
      <c r="AB4552">
        <v>8</v>
      </c>
      <c r="AC4552">
        <v>3</v>
      </c>
      <c r="AD4552">
        <v>0</v>
      </c>
      <c r="AE4552">
        <v>9</v>
      </c>
      <c r="AF4552" t="s">
        <v>138</v>
      </c>
      <c r="AG4552">
        <v>0</v>
      </c>
      <c r="AH4552">
        <v>3</v>
      </c>
      <c r="AI4552">
        <v>2</v>
      </c>
      <c r="AJ4552">
        <v>0</v>
      </c>
      <c r="AK4552" t="s">
        <v>1450</v>
      </c>
      <c r="AL4552">
        <v>39.209969000000001</v>
      </c>
      <c r="AM4552" t="s">
        <v>1451</v>
      </c>
      <c r="AN4552">
        <v>-121.00521999999999</v>
      </c>
      <c r="AO4552">
        <v>25</v>
      </c>
      <c r="AP4552">
        <v>4200</v>
      </c>
      <c r="AQ4552" t="s">
        <v>131</v>
      </c>
      <c r="AR4552">
        <v>32</v>
      </c>
      <c r="AS4552">
        <v>75</v>
      </c>
      <c r="AT4552">
        <v>0</v>
      </c>
      <c r="BB4552" t="str">
        <f t="shared" si="1802"/>
        <v>1200</v>
      </c>
      <c r="BC4552">
        <v>1</v>
      </c>
      <c r="BD4552" t="str">
        <f t="shared" si="1803"/>
        <v xml:space="preserve">N52156  </v>
      </c>
      <c r="BE4552">
        <v>1</v>
      </c>
      <c r="BG4552">
        <v>0</v>
      </c>
      <c r="BH4552">
        <v>0</v>
      </c>
      <c r="BI4552">
        <v>0</v>
      </c>
      <c r="BJ4552">
        <v>4225</v>
      </c>
      <c r="BK4552">
        <v>25</v>
      </c>
      <c r="BL4552" t="s">
        <v>188</v>
      </c>
      <c r="BM4552">
        <v>1</v>
      </c>
      <c r="BN4552">
        <v>1</v>
      </c>
      <c r="BO4552">
        <v>0</v>
      </c>
      <c r="BP4552">
        <v>0</v>
      </c>
      <c r="BS4552">
        <v>0</v>
      </c>
      <c r="BT4552">
        <v>0</v>
      </c>
      <c r="BU4552">
        <v>0</v>
      </c>
      <c r="CE4552" t="str">
        <f t="shared" si="1805"/>
        <v>15:17:10.246</v>
      </c>
      <c r="CF4552">
        <v>245504901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4</v>
      </c>
      <c r="CY4552">
        <v>7</v>
      </c>
      <c r="CZ4552" t="s">
        <v>133</v>
      </c>
      <c r="DA4552">
        <v>275</v>
      </c>
      <c r="DB4552">
        <v>0</v>
      </c>
      <c r="DC4552" t="s">
        <v>134</v>
      </c>
      <c r="DD4552" t="s">
        <v>135</v>
      </c>
      <c r="DG4552">
        <v>3323314</v>
      </c>
      <c r="DI4552">
        <v>1</v>
      </c>
      <c r="DJ4552">
        <v>0</v>
      </c>
      <c r="DK4552">
        <v>1</v>
      </c>
      <c r="DL4552">
        <v>0</v>
      </c>
      <c r="DM4552">
        <v>0</v>
      </c>
      <c r="DN4552">
        <v>0</v>
      </c>
      <c r="DO4552">
        <v>0</v>
      </c>
      <c r="DP4552">
        <v>0</v>
      </c>
      <c r="DQ4552">
        <v>0</v>
      </c>
      <c r="DR4552">
        <v>0</v>
      </c>
      <c r="DS4552">
        <v>0</v>
      </c>
    </row>
    <row r="4553" spans="1:123" x14ac:dyDescent="0.3">
      <c r="A4553" t="str">
        <f>"05/01/2025 15:17:10.493"</f>
        <v>05/01/2025 15:17:10.493</v>
      </c>
      <c r="C4553" t="str">
        <f t="shared" si="1800"/>
        <v>FFDFD3C0</v>
      </c>
      <c r="D4553" t="s">
        <v>140</v>
      </c>
      <c r="E4553" t="str">
        <f>"13"</f>
        <v>13</v>
      </c>
      <c r="F4553">
        <v>1019</v>
      </c>
      <c r="G4553" t="s">
        <v>141</v>
      </c>
      <c r="J4553" t="s">
        <v>142</v>
      </c>
      <c r="K4553">
        <v>0</v>
      </c>
      <c r="L4553">
        <v>3</v>
      </c>
      <c r="M4553">
        <v>0</v>
      </c>
      <c r="N4553">
        <v>2</v>
      </c>
      <c r="O4553">
        <v>0</v>
      </c>
      <c r="P4553">
        <v>1</v>
      </c>
      <c r="Q4553">
        <v>0</v>
      </c>
      <c r="R4553" t="s">
        <v>127</v>
      </c>
      <c r="S4553" t="str">
        <f t="shared" si="1804"/>
        <v>15:17:10.000</v>
      </c>
      <c r="T4553" t="str">
        <f t="shared" si="1804"/>
        <v>15:17:10.000</v>
      </c>
      <c r="U4553" t="str">
        <f t="shared" si="1801"/>
        <v>A68FCB</v>
      </c>
      <c r="V4553">
        <v>0</v>
      </c>
      <c r="W4553">
        <v>0</v>
      </c>
      <c r="X4553">
        <v>2</v>
      </c>
      <c r="Y4553">
        <v>0</v>
      </c>
      <c r="AA4553">
        <v>1</v>
      </c>
      <c r="AB4553">
        <v>8</v>
      </c>
      <c r="AC4553">
        <v>3</v>
      </c>
      <c r="AD4553">
        <v>0</v>
      </c>
      <c r="AE4553">
        <v>9</v>
      </c>
      <c r="AF4553" t="s">
        <v>138</v>
      </c>
      <c r="AG4553">
        <v>0</v>
      </c>
      <c r="AH4553">
        <v>3</v>
      </c>
      <c r="AI4553">
        <v>2</v>
      </c>
      <c r="AJ4553">
        <v>0</v>
      </c>
      <c r="AK4553" t="s">
        <v>1450</v>
      </c>
      <c r="AL4553">
        <v>39.209969000000001</v>
      </c>
      <c r="AM4553" t="s">
        <v>1451</v>
      </c>
      <c r="AN4553">
        <v>-121.00521999999999</v>
      </c>
      <c r="AO4553">
        <v>25</v>
      </c>
      <c r="AP4553">
        <v>4200</v>
      </c>
      <c r="AQ4553" t="s">
        <v>131</v>
      </c>
      <c r="AR4553">
        <v>32</v>
      </c>
      <c r="AS4553">
        <v>75</v>
      </c>
      <c r="AT4553">
        <v>0</v>
      </c>
      <c r="BB4553" t="str">
        <f t="shared" si="1802"/>
        <v>1200</v>
      </c>
      <c r="BC4553">
        <v>1</v>
      </c>
      <c r="BD4553" t="str">
        <f t="shared" si="1803"/>
        <v xml:space="preserve">N52156  </v>
      </c>
      <c r="BE4553">
        <v>1</v>
      </c>
      <c r="BG4553">
        <v>0</v>
      </c>
      <c r="BH4553">
        <v>0</v>
      </c>
      <c r="BI4553">
        <v>0</v>
      </c>
      <c r="BJ4553">
        <v>4225</v>
      </c>
      <c r="BK4553">
        <v>25</v>
      </c>
      <c r="BL4553" t="s">
        <v>188</v>
      </c>
      <c r="BM4553">
        <v>1</v>
      </c>
      <c r="BN4553">
        <v>1</v>
      </c>
      <c r="BO4553">
        <v>0</v>
      </c>
      <c r="BP4553">
        <v>0</v>
      </c>
      <c r="BS4553">
        <v>0</v>
      </c>
      <c r="BT4553">
        <v>0</v>
      </c>
      <c r="BU4553">
        <v>0</v>
      </c>
      <c r="CE4553" t="str">
        <f t="shared" si="1805"/>
        <v>15:17:10.246</v>
      </c>
      <c r="CF4553">
        <v>245504901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4</v>
      </c>
      <c r="CY4553">
        <v>7</v>
      </c>
      <c r="CZ4553" t="s">
        <v>133</v>
      </c>
      <c r="DA4553">
        <v>275</v>
      </c>
      <c r="DB4553">
        <v>0</v>
      </c>
      <c r="DC4553" t="s">
        <v>134</v>
      </c>
      <c r="DD4553" t="s">
        <v>135</v>
      </c>
      <c r="DG4553">
        <v>3323314</v>
      </c>
      <c r="DI4553">
        <v>1</v>
      </c>
      <c r="DJ4553">
        <v>0</v>
      </c>
      <c r="DK4553">
        <v>1</v>
      </c>
      <c r="DL4553">
        <v>0</v>
      </c>
      <c r="DM4553">
        <v>0</v>
      </c>
      <c r="DN4553">
        <v>0</v>
      </c>
      <c r="DO4553">
        <v>0</v>
      </c>
      <c r="DP4553">
        <v>0</v>
      </c>
      <c r="DQ4553">
        <v>0</v>
      </c>
      <c r="DR4553">
        <v>0</v>
      </c>
      <c r="DS4553">
        <v>0</v>
      </c>
    </row>
    <row r="4554" spans="1:123" x14ac:dyDescent="0.3">
      <c r="A4554" t="str">
        <f>"05/01/2025 15:17:10.493"</f>
        <v>05/01/2025 15:17:10.493</v>
      </c>
      <c r="C4554" t="str">
        <f t="shared" si="1800"/>
        <v>FFDFD3C0</v>
      </c>
      <c r="D4554" t="s">
        <v>124</v>
      </c>
      <c r="E4554" t="str">
        <f>"06"</f>
        <v>06</v>
      </c>
      <c r="F4554">
        <v>2006</v>
      </c>
      <c r="G4554" t="s">
        <v>125</v>
      </c>
      <c r="J4554" t="s">
        <v>126</v>
      </c>
      <c r="K4554">
        <v>0</v>
      </c>
      <c r="L4554">
        <v>3</v>
      </c>
      <c r="M4554">
        <v>0</v>
      </c>
      <c r="N4554">
        <v>2</v>
      </c>
      <c r="O4554">
        <v>0</v>
      </c>
      <c r="P4554">
        <v>1</v>
      </c>
      <c r="Q4554">
        <v>0</v>
      </c>
      <c r="R4554" t="s">
        <v>127</v>
      </c>
      <c r="S4554" t="str">
        <f t="shared" si="1804"/>
        <v>15:17:10.000</v>
      </c>
      <c r="T4554" t="str">
        <f t="shared" si="1804"/>
        <v>15:17:10.000</v>
      </c>
      <c r="U4554" t="str">
        <f t="shared" si="1801"/>
        <v>A68FCB</v>
      </c>
      <c r="V4554">
        <v>0</v>
      </c>
      <c r="W4554">
        <v>0</v>
      </c>
      <c r="X4554">
        <v>2</v>
      </c>
      <c r="Y4554">
        <v>0</v>
      </c>
      <c r="AA4554">
        <v>1</v>
      </c>
      <c r="AB4554">
        <v>8</v>
      </c>
      <c r="AC4554">
        <v>3</v>
      </c>
      <c r="AD4554">
        <v>0</v>
      </c>
      <c r="AE4554">
        <v>9</v>
      </c>
      <c r="AF4554" t="s">
        <v>138</v>
      </c>
      <c r="AG4554">
        <v>0</v>
      </c>
      <c r="AH4554">
        <v>3</v>
      </c>
      <c r="AI4554">
        <v>2</v>
      </c>
      <c r="AJ4554">
        <v>0</v>
      </c>
      <c r="AK4554" t="s">
        <v>1450</v>
      </c>
      <c r="AL4554">
        <v>39.209969000000001</v>
      </c>
      <c r="AM4554" t="s">
        <v>1451</v>
      </c>
      <c r="AN4554">
        <v>-121.00521999999999</v>
      </c>
      <c r="AO4554">
        <v>25</v>
      </c>
      <c r="AP4554">
        <v>4200</v>
      </c>
      <c r="AQ4554" t="s">
        <v>131</v>
      </c>
      <c r="AR4554">
        <v>32</v>
      </c>
      <c r="AS4554">
        <v>75</v>
      </c>
      <c r="AT4554">
        <v>0</v>
      </c>
      <c r="BB4554" t="str">
        <f t="shared" si="1802"/>
        <v>1200</v>
      </c>
      <c r="BC4554">
        <v>1</v>
      </c>
      <c r="BD4554" t="str">
        <f t="shared" si="1803"/>
        <v xml:space="preserve">N52156  </v>
      </c>
      <c r="BE4554">
        <v>1</v>
      </c>
      <c r="BG4554">
        <v>0</v>
      </c>
      <c r="BH4554">
        <v>0</v>
      </c>
      <c r="BI4554">
        <v>0</v>
      </c>
      <c r="BJ4554">
        <v>4225</v>
      </c>
      <c r="BK4554">
        <v>25</v>
      </c>
      <c r="BL4554" t="s">
        <v>188</v>
      </c>
      <c r="BM4554">
        <v>1</v>
      </c>
      <c r="BN4554">
        <v>1</v>
      </c>
      <c r="BO4554">
        <v>0</v>
      </c>
      <c r="BP4554">
        <v>0</v>
      </c>
      <c r="BS4554">
        <v>0</v>
      </c>
      <c r="BT4554">
        <v>0</v>
      </c>
      <c r="BU4554">
        <v>0</v>
      </c>
      <c r="CE4554" t="str">
        <f t="shared" si="1805"/>
        <v>15:17:10.246</v>
      </c>
      <c r="CF4554">
        <v>245504901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4</v>
      </c>
      <c r="CY4554">
        <v>7</v>
      </c>
      <c r="CZ4554" t="s">
        <v>133</v>
      </c>
      <c r="DA4554">
        <v>275</v>
      </c>
      <c r="DB4554">
        <v>0</v>
      </c>
      <c r="DC4554" t="s">
        <v>134</v>
      </c>
      <c r="DD4554" t="s">
        <v>135</v>
      </c>
      <c r="DG4554">
        <v>3323314</v>
      </c>
      <c r="DI4554">
        <v>1</v>
      </c>
      <c r="DJ4554">
        <v>0</v>
      </c>
      <c r="DK4554">
        <v>1</v>
      </c>
      <c r="DL4554">
        <v>0</v>
      </c>
      <c r="DM4554">
        <v>0</v>
      </c>
      <c r="DN4554">
        <v>0</v>
      </c>
      <c r="DO4554">
        <v>0</v>
      </c>
      <c r="DP4554">
        <v>0</v>
      </c>
      <c r="DQ4554">
        <v>0</v>
      </c>
      <c r="DR4554">
        <v>0</v>
      </c>
      <c r="DS4554">
        <v>0</v>
      </c>
    </row>
    <row r="4555" spans="1:123" x14ac:dyDescent="0.3">
      <c r="A4555" t="str">
        <f>"05/01/2025 15:17:10.500"</f>
        <v>05/01/2025 15:17:10.500</v>
      </c>
      <c r="C4555" t="str">
        <f t="shared" si="1800"/>
        <v>FFDFD3C0</v>
      </c>
      <c r="D4555" t="s">
        <v>143</v>
      </c>
      <c r="E4555" t="str">
        <f>"05"</f>
        <v>05</v>
      </c>
      <c r="H4555">
        <v>172</v>
      </c>
      <c r="I4555" t="s">
        <v>141</v>
      </c>
      <c r="J4555" t="s">
        <v>144</v>
      </c>
      <c r="K4555">
        <v>0</v>
      </c>
      <c r="L4555">
        <v>3</v>
      </c>
      <c r="M4555">
        <v>0</v>
      </c>
      <c r="N4555">
        <v>2</v>
      </c>
      <c r="O4555">
        <v>0</v>
      </c>
      <c r="P4555">
        <v>1</v>
      </c>
      <c r="Q4555">
        <v>0</v>
      </c>
      <c r="R4555" t="s">
        <v>127</v>
      </c>
      <c r="S4555" t="str">
        <f t="shared" si="1804"/>
        <v>15:17:10.000</v>
      </c>
      <c r="T4555" t="str">
        <f t="shared" si="1804"/>
        <v>15:17:10.000</v>
      </c>
      <c r="U4555" t="str">
        <f t="shared" si="1801"/>
        <v>A68FCB</v>
      </c>
      <c r="V4555">
        <v>0</v>
      </c>
      <c r="W4555">
        <v>0</v>
      </c>
      <c r="X4555">
        <v>2</v>
      </c>
      <c r="Y4555">
        <v>0</v>
      </c>
      <c r="AA4555">
        <v>1</v>
      </c>
      <c r="AB4555">
        <v>8</v>
      </c>
      <c r="AC4555">
        <v>3</v>
      </c>
      <c r="AD4555">
        <v>0</v>
      </c>
      <c r="AE4555">
        <v>9</v>
      </c>
      <c r="AF4555" t="s">
        <v>138</v>
      </c>
      <c r="AG4555">
        <v>0</v>
      </c>
      <c r="AH4555">
        <v>3</v>
      </c>
      <c r="AI4555">
        <v>2</v>
      </c>
      <c r="AJ4555">
        <v>0</v>
      </c>
      <c r="AK4555" t="s">
        <v>1450</v>
      </c>
      <c r="AL4555">
        <v>39.209969000000001</v>
      </c>
      <c r="AM4555" t="s">
        <v>1451</v>
      </c>
      <c r="AN4555">
        <v>-121.00521999999999</v>
      </c>
      <c r="AO4555">
        <v>25</v>
      </c>
      <c r="AP4555">
        <v>4200</v>
      </c>
      <c r="AQ4555" t="s">
        <v>131</v>
      </c>
      <c r="AR4555">
        <v>32</v>
      </c>
      <c r="AS4555">
        <v>75</v>
      </c>
      <c r="AT4555">
        <v>0</v>
      </c>
      <c r="BB4555" t="str">
        <f t="shared" si="1802"/>
        <v>1200</v>
      </c>
      <c r="BC4555">
        <v>1</v>
      </c>
      <c r="BD4555" t="str">
        <f t="shared" si="1803"/>
        <v xml:space="preserve">N52156  </v>
      </c>
      <c r="BE4555">
        <v>1</v>
      </c>
      <c r="BG4555">
        <v>0</v>
      </c>
      <c r="BH4555">
        <v>0</v>
      </c>
      <c r="BI4555">
        <v>0</v>
      </c>
      <c r="BJ4555">
        <v>4225</v>
      </c>
      <c r="BK4555">
        <v>25</v>
      </c>
      <c r="BL4555" t="s">
        <v>188</v>
      </c>
      <c r="BM4555">
        <v>1</v>
      </c>
      <c r="BN4555">
        <v>1</v>
      </c>
      <c r="BO4555">
        <v>0</v>
      </c>
      <c r="BP4555">
        <v>0</v>
      </c>
      <c r="BS4555">
        <v>0</v>
      </c>
      <c r="BT4555">
        <v>0</v>
      </c>
      <c r="BU4555">
        <v>0</v>
      </c>
      <c r="CE4555" t="str">
        <f t="shared" si="1805"/>
        <v>15:17:10.246</v>
      </c>
      <c r="CF4555">
        <v>245504901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4</v>
      </c>
      <c r="CY4555">
        <v>7</v>
      </c>
      <c r="CZ4555" t="s">
        <v>133</v>
      </c>
      <c r="DA4555">
        <v>275</v>
      </c>
      <c r="DB4555">
        <v>0</v>
      </c>
      <c r="DC4555" t="s">
        <v>134</v>
      </c>
      <c r="DD4555" t="s">
        <v>135</v>
      </c>
      <c r="DG4555">
        <v>3323314</v>
      </c>
      <c r="DI4555">
        <v>1</v>
      </c>
      <c r="DJ4555">
        <v>0</v>
      </c>
      <c r="DK4555">
        <v>1</v>
      </c>
      <c r="DL4555">
        <v>0</v>
      </c>
      <c r="DM4555">
        <v>0</v>
      </c>
      <c r="DN4555">
        <v>0</v>
      </c>
      <c r="DO4555">
        <v>0</v>
      </c>
      <c r="DP4555">
        <v>0</v>
      </c>
      <c r="DQ4555">
        <v>0</v>
      </c>
      <c r="DR4555">
        <v>0</v>
      </c>
      <c r="DS4555">
        <v>0</v>
      </c>
    </row>
    <row r="4556" spans="1:123" x14ac:dyDescent="0.3">
      <c r="A4556" t="str">
        <f>"05/01/2025 15:17:11.895"</f>
        <v>05/01/2025 15:17:11.895</v>
      </c>
      <c r="C4556" t="str">
        <f t="shared" si="1800"/>
        <v>FFDFD3C0</v>
      </c>
      <c r="D4556" t="s">
        <v>140</v>
      </c>
      <c r="E4556" t="str">
        <f>"13"</f>
        <v>13</v>
      </c>
      <c r="F4556">
        <v>1019</v>
      </c>
      <c r="G4556" t="s">
        <v>141</v>
      </c>
      <c r="J4556" t="s">
        <v>142</v>
      </c>
      <c r="K4556">
        <v>0</v>
      </c>
      <c r="L4556">
        <v>3</v>
      </c>
      <c r="M4556">
        <v>0</v>
      </c>
      <c r="N4556">
        <v>2</v>
      </c>
      <c r="O4556">
        <v>0</v>
      </c>
      <c r="P4556">
        <v>1</v>
      </c>
      <c r="Q4556">
        <v>0</v>
      </c>
      <c r="R4556" t="s">
        <v>127</v>
      </c>
      <c r="S4556" t="str">
        <f t="shared" ref="S4556:T4561" si="1806">"15:17:11.000"</f>
        <v>15:17:11.000</v>
      </c>
      <c r="T4556" t="str">
        <f t="shared" si="1806"/>
        <v>15:17:11.000</v>
      </c>
      <c r="U4556" t="str">
        <f t="shared" si="1801"/>
        <v>A68FCB</v>
      </c>
      <c r="V4556">
        <v>0</v>
      </c>
      <c r="W4556">
        <v>0</v>
      </c>
      <c r="X4556">
        <v>2</v>
      </c>
      <c r="Y4556">
        <v>0</v>
      </c>
      <c r="AA4556">
        <v>1</v>
      </c>
      <c r="AB4556">
        <v>8</v>
      </c>
      <c r="AC4556">
        <v>3</v>
      </c>
      <c r="AD4556">
        <v>0</v>
      </c>
      <c r="AE4556">
        <v>9</v>
      </c>
      <c r="AF4556" t="s">
        <v>138</v>
      </c>
      <c r="AG4556">
        <v>0</v>
      </c>
      <c r="AH4556">
        <v>3</v>
      </c>
      <c r="AI4556">
        <v>2</v>
      </c>
      <c r="AJ4556">
        <v>0</v>
      </c>
      <c r="AK4556" t="s">
        <v>1452</v>
      </c>
      <c r="AL4556">
        <v>39.210312000000002</v>
      </c>
      <c r="AM4556" t="s">
        <v>1453</v>
      </c>
      <c r="AN4556">
        <v>-121.005027</v>
      </c>
      <c r="AO4556">
        <v>25</v>
      </c>
      <c r="AP4556">
        <v>4200</v>
      </c>
      <c r="AQ4556" t="s">
        <v>131</v>
      </c>
      <c r="AR4556">
        <v>29</v>
      </c>
      <c r="AS4556">
        <v>77</v>
      </c>
      <c r="AT4556">
        <v>0</v>
      </c>
      <c r="BB4556" t="str">
        <f t="shared" si="1802"/>
        <v>1200</v>
      </c>
      <c r="BC4556">
        <v>1</v>
      </c>
      <c r="BD4556" t="str">
        <f t="shared" si="1803"/>
        <v xml:space="preserve">N52156  </v>
      </c>
      <c r="BE4556">
        <v>1</v>
      </c>
      <c r="BG4556">
        <v>0</v>
      </c>
      <c r="BH4556">
        <v>0</v>
      </c>
      <c r="BI4556">
        <v>0</v>
      </c>
      <c r="BJ4556">
        <v>4225</v>
      </c>
      <c r="BK4556">
        <v>25</v>
      </c>
      <c r="BL4556" t="s">
        <v>188</v>
      </c>
      <c r="BM4556">
        <v>1</v>
      </c>
      <c r="BN4556">
        <v>1</v>
      </c>
      <c r="BO4556">
        <v>0</v>
      </c>
      <c r="BP4556">
        <v>0</v>
      </c>
      <c r="BS4556">
        <v>0</v>
      </c>
      <c r="BT4556">
        <v>0</v>
      </c>
      <c r="BU4556">
        <v>0</v>
      </c>
      <c r="CE4556" t="str">
        <f t="shared" ref="CE4556:CE4561" si="1807">"15:17:11.683"</f>
        <v>15:17:11.683</v>
      </c>
      <c r="CF4556">
        <v>682756136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5</v>
      </c>
      <c r="CY4556">
        <v>7</v>
      </c>
      <c r="CZ4556" t="s">
        <v>133</v>
      </c>
      <c r="DA4556">
        <v>275</v>
      </c>
      <c r="DB4556">
        <v>0</v>
      </c>
      <c r="DC4556" t="s">
        <v>134</v>
      </c>
      <c r="DD4556" t="s">
        <v>135</v>
      </c>
      <c r="DG4556">
        <v>3323316</v>
      </c>
      <c r="DI4556">
        <v>1</v>
      </c>
      <c r="DJ4556">
        <v>0</v>
      </c>
      <c r="DK4556">
        <v>0</v>
      </c>
      <c r="DL4556">
        <v>0</v>
      </c>
      <c r="DM4556">
        <v>0</v>
      </c>
      <c r="DN4556">
        <v>0</v>
      </c>
      <c r="DO4556">
        <v>0</v>
      </c>
      <c r="DP4556">
        <v>0</v>
      </c>
      <c r="DQ4556">
        <v>0</v>
      </c>
      <c r="DR4556">
        <v>0</v>
      </c>
      <c r="DS4556">
        <v>0</v>
      </c>
    </row>
    <row r="4557" spans="1:123" x14ac:dyDescent="0.3">
      <c r="A4557" t="str">
        <f>"05/01/2025 15:17:11.895"</f>
        <v>05/01/2025 15:17:11.895</v>
      </c>
      <c r="C4557" t="str">
        <f t="shared" si="1800"/>
        <v>FFDFD3C0</v>
      </c>
      <c r="D4557" t="s">
        <v>124</v>
      </c>
      <c r="E4557" t="str">
        <f>"06"</f>
        <v>06</v>
      </c>
      <c r="F4557">
        <v>2006</v>
      </c>
      <c r="G4557" t="s">
        <v>125</v>
      </c>
      <c r="J4557" t="s">
        <v>126</v>
      </c>
      <c r="K4557">
        <v>0</v>
      </c>
      <c r="L4557">
        <v>3</v>
      </c>
      <c r="M4557">
        <v>0</v>
      </c>
      <c r="N4557">
        <v>2</v>
      </c>
      <c r="O4557">
        <v>0</v>
      </c>
      <c r="P4557">
        <v>1</v>
      </c>
      <c r="Q4557">
        <v>0</v>
      </c>
      <c r="R4557" t="s">
        <v>127</v>
      </c>
      <c r="S4557" t="str">
        <f t="shared" si="1806"/>
        <v>15:17:11.000</v>
      </c>
      <c r="T4557" t="str">
        <f t="shared" si="1806"/>
        <v>15:17:11.000</v>
      </c>
      <c r="U4557" t="str">
        <f t="shared" si="1801"/>
        <v>A68FCB</v>
      </c>
      <c r="V4557">
        <v>0</v>
      </c>
      <c r="W4557">
        <v>0</v>
      </c>
      <c r="X4557">
        <v>2</v>
      </c>
      <c r="Y4557">
        <v>0</v>
      </c>
      <c r="AA4557">
        <v>1</v>
      </c>
      <c r="AB4557">
        <v>8</v>
      </c>
      <c r="AC4557">
        <v>3</v>
      </c>
      <c r="AD4557">
        <v>0</v>
      </c>
      <c r="AE4557">
        <v>9</v>
      </c>
      <c r="AF4557" t="s">
        <v>138</v>
      </c>
      <c r="AG4557">
        <v>0</v>
      </c>
      <c r="AH4557">
        <v>3</v>
      </c>
      <c r="AI4557">
        <v>2</v>
      </c>
      <c r="AJ4557">
        <v>0</v>
      </c>
      <c r="AK4557" t="s">
        <v>1452</v>
      </c>
      <c r="AL4557">
        <v>39.210312000000002</v>
      </c>
      <c r="AM4557" t="s">
        <v>1453</v>
      </c>
      <c r="AN4557">
        <v>-121.005027</v>
      </c>
      <c r="AO4557">
        <v>25</v>
      </c>
      <c r="AP4557">
        <v>4200</v>
      </c>
      <c r="AQ4557" t="s">
        <v>131</v>
      </c>
      <c r="AR4557">
        <v>29</v>
      </c>
      <c r="AS4557">
        <v>77</v>
      </c>
      <c r="AT4557">
        <v>0</v>
      </c>
      <c r="BB4557" t="str">
        <f t="shared" si="1802"/>
        <v>1200</v>
      </c>
      <c r="BC4557">
        <v>1</v>
      </c>
      <c r="BD4557" t="str">
        <f t="shared" si="1803"/>
        <v xml:space="preserve">N52156  </v>
      </c>
      <c r="BE4557">
        <v>1</v>
      </c>
      <c r="BG4557">
        <v>0</v>
      </c>
      <c r="BH4557">
        <v>0</v>
      </c>
      <c r="BI4557">
        <v>0</v>
      </c>
      <c r="BJ4557">
        <v>4225</v>
      </c>
      <c r="BK4557">
        <v>25</v>
      </c>
      <c r="BL4557" t="s">
        <v>188</v>
      </c>
      <c r="BM4557">
        <v>1</v>
      </c>
      <c r="BN4557">
        <v>1</v>
      </c>
      <c r="BO4557">
        <v>0</v>
      </c>
      <c r="BP4557">
        <v>0</v>
      </c>
      <c r="BS4557">
        <v>0</v>
      </c>
      <c r="BT4557">
        <v>0</v>
      </c>
      <c r="BU4557">
        <v>0</v>
      </c>
      <c r="CE4557" t="str">
        <f t="shared" si="1807"/>
        <v>15:17:11.683</v>
      </c>
      <c r="CF4557">
        <v>682756136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5</v>
      </c>
      <c r="CY4557">
        <v>7</v>
      </c>
      <c r="CZ4557" t="s">
        <v>133</v>
      </c>
      <c r="DA4557">
        <v>275</v>
      </c>
      <c r="DB4557">
        <v>0</v>
      </c>
      <c r="DC4557" t="s">
        <v>134</v>
      </c>
      <c r="DD4557" t="s">
        <v>135</v>
      </c>
      <c r="DG4557">
        <v>3323316</v>
      </c>
      <c r="DI4557">
        <v>1</v>
      </c>
      <c r="DJ4557">
        <v>0</v>
      </c>
      <c r="DK4557">
        <v>1</v>
      </c>
      <c r="DL4557">
        <v>0</v>
      </c>
      <c r="DM4557">
        <v>0</v>
      </c>
      <c r="DN4557">
        <v>0</v>
      </c>
      <c r="DO4557">
        <v>0</v>
      </c>
      <c r="DP4557">
        <v>0</v>
      </c>
      <c r="DQ4557">
        <v>0</v>
      </c>
      <c r="DR4557">
        <v>0</v>
      </c>
      <c r="DS4557">
        <v>0</v>
      </c>
    </row>
    <row r="4558" spans="1:123" x14ac:dyDescent="0.3">
      <c r="A4558" t="str">
        <f>"05/01/2025 15:17:11.902"</f>
        <v>05/01/2025 15:17:11.902</v>
      </c>
      <c r="C4558" t="str">
        <f t="shared" si="1800"/>
        <v>FFDFD3C0</v>
      </c>
      <c r="D4558" t="s">
        <v>143</v>
      </c>
      <c r="E4558" t="str">
        <f>"05"</f>
        <v>05</v>
      </c>
      <c r="H4558">
        <v>172</v>
      </c>
      <c r="I4558" t="s">
        <v>141</v>
      </c>
      <c r="J4558" t="s">
        <v>144</v>
      </c>
      <c r="K4558">
        <v>0</v>
      </c>
      <c r="L4558">
        <v>3</v>
      </c>
      <c r="M4558">
        <v>0</v>
      </c>
      <c r="N4558">
        <v>2</v>
      </c>
      <c r="O4558">
        <v>0</v>
      </c>
      <c r="P4558">
        <v>1</v>
      </c>
      <c r="Q4558">
        <v>0</v>
      </c>
      <c r="R4558" t="s">
        <v>127</v>
      </c>
      <c r="S4558" t="str">
        <f t="shared" si="1806"/>
        <v>15:17:11.000</v>
      </c>
      <c r="T4558" t="str">
        <f t="shared" si="1806"/>
        <v>15:17:11.000</v>
      </c>
      <c r="U4558" t="str">
        <f t="shared" si="1801"/>
        <v>A68FCB</v>
      </c>
      <c r="V4558">
        <v>0</v>
      </c>
      <c r="W4558">
        <v>0</v>
      </c>
      <c r="X4558">
        <v>2</v>
      </c>
      <c r="Y4558">
        <v>0</v>
      </c>
      <c r="AA4558">
        <v>1</v>
      </c>
      <c r="AB4558">
        <v>8</v>
      </c>
      <c r="AC4558">
        <v>3</v>
      </c>
      <c r="AD4558">
        <v>0</v>
      </c>
      <c r="AE4558">
        <v>9</v>
      </c>
      <c r="AF4558" t="s">
        <v>138</v>
      </c>
      <c r="AG4558">
        <v>0</v>
      </c>
      <c r="AH4558">
        <v>3</v>
      </c>
      <c r="AI4558">
        <v>2</v>
      </c>
      <c r="AJ4558">
        <v>0</v>
      </c>
      <c r="AK4558" t="s">
        <v>1452</v>
      </c>
      <c r="AL4558">
        <v>39.210312000000002</v>
      </c>
      <c r="AM4558" t="s">
        <v>1453</v>
      </c>
      <c r="AN4558">
        <v>-121.005027</v>
      </c>
      <c r="AO4558">
        <v>25</v>
      </c>
      <c r="AP4558">
        <v>4200</v>
      </c>
      <c r="AQ4558" t="s">
        <v>131</v>
      </c>
      <c r="AR4558">
        <v>29</v>
      </c>
      <c r="AS4558">
        <v>77</v>
      </c>
      <c r="AT4558">
        <v>0</v>
      </c>
      <c r="BB4558" t="str">
        <f t="shared" si="1802"/>
        <v>1200</v>
      </c>
      <c r="BC4558">
        <v>1</v>
      </c>
      <c r="BD4558" t="str">
        <f t="shared" si="1803"/>
        <v xml:space="preserve">N52156  </v>
      </c>
      <c r="BE4558">
        <v>1</v>
      </c>
      <c r="BG4558">
        <v>0</v>
      </c>
      <c r="BH4558">
        <v>0</v>
      </c>
      <c r="BI4558">
        <v>0</v>
      </c>
      <c r="BJ4558">
        <v>4225</v>
      </c>
      <c r="BK4558">
        <v>25</v>
      </c>
      <c r="BL4558" t="s">
        <v>188</v>
      </c>
      <c r="BM4558">
        <v>1</v>
      </c>
      <c r="BN4558">
        <v>1</v>
      </c>
      <c r="BO4558">
        <v>0</v>
      </c>
      <c r="BP4558">
        <v>0</v>
      </c>
      <c r="BS4558">
        <v>0</v>
      </c>
      <c r="BT4558">
        <v>0</v>
      </c>
      <c r="BU4558">
        <v>0</v>
      </c>
      <c r="CE4558" t="str">
        <f t="shared" si="1807"/>
        <v>15:17:11.683</v>
      </c>
      <c r="CF4558">
        <v>682756136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5</v>
      </c>
      <c r="CY4558">
        <v>7</v>
      </c>
      <c r="CZ4558" t="s">
        <v>133</v>
      </c>
      <c r="DA4558">
        <v>275</v>
      </c>
      <c r="DB4558">
        <v>0</v>
      </c>
      <c r="DC4558" t="s">
        <v>134</v>
      </c>
      <c r="DD4558" t="s">
        <v>135</v>
      </c>
      <c r="DG4558">
        <v>3323316</v>
      </c>
      <c r="DI4558">
        <v>1</v>
      </c>
      <c r="DJ4558">
        <v>0</v>
      </c>
      <c r="DK4558">
        <v>1</v>
      </c>
      <c r="DL4558">
        <v>0</v>
      </c>
      <c r="DM4558">
        <v>0</v>
      </c>
      <c r="DN4558">
        <v>0</v>
      </c>
      <c r="DO4558">
        <v>0</v>
      </c>
      <c r="DP4558">
        <v>0</v>
      </c>
      <c r="DQ4558">
        <v>0</v>
      </c>
      <c r="DR4558">
        <v>0</v>
      </c>
      <c r="DS4558">
        <v>0</v>
      </c>
    </row>
    <row r="4559" spans="1:123" x14ac:dyDescent="0.3">
      <c r="A4559" t="str">
        <f>"05/01/2025 15:17:11.914"</f>
        <v>05/01/2025 15:17:11.914</v>
      </c>
      <c r="C4559" t="str">
        <f t="shared" si="1800"/>
        <v>FFDFD3C0</v>
      </c>
      <c r="D4559" t="s">
        <v>145</v>
      </c>
      <c r="E4559" t="str">
        <f>"09"</f>
        <v>09</v>
      </c>
      <c r="H4559">
        <v>51</v>
      </c>
      <c r="I4559" t="s">
        <v>147</v>
      </c>
      <c r="J4559" t="s">
        <v>138</v>
      </c>
      <c r="K4559">
        <v>0</v>
      </c>
      <c r="L4559">
        <v>3</v>
      </c>
      <c r="M4559">
        <v>0</v>
      </c>
      <c r="N4559">
        <v>2</v>
      </c>
      <c r="O4559">
        <v>0</v>
      </c>
      <c r="P4559">
        <v>1</v>
      </c>
      <c r="Q4559">
        <v>0</v>
      </c>
      <c r="R4559" t="s">
        <v>127</v>
      </c>
      <c r="S4559" t="str">
        <f t="shared" si="1806"/>
        <v>15:17:11.000</v>
      </c>
      <c r="T4559" t="str">
        <f t="shared" si="1806"/>
        <v>15:17:11.000</v>
      </c>
      <c r="U4559" t="str">
        <f t="shared" si="1801"/>
        <v>A68FCB</v>
      </c>
      <c r="V4559">
        <v>0</v>
      </c>
      <c r="W4559">
        <v>0</v>
      </c>
      <c r="X4559">
        <v>2</v>
      </c>
      <c r="Y4559">
        <v>0</v>
      </c>
      <c r="AA4559">
        <v>1</v>
      </c>
      <c r="AB4559">
        <v>8</v>
      </c>
      <c r="AC4559">
        <v>3</v>
      </c>
      <c r="AD4559">
        <v>0</v>
      </c>
      <c r="AE4559">
        <v>9</v>
      </c>
      <c r="AF4559" t="s">
        <v>138</v>
      </c>
      <c r="AG4559">
        <v>0</v>
      </c>
      <c r="AH4559">
        <v>3</v>
      </c>
      <c r="AI4559">
        <v>2</v>
      </c>
      <c r="AJ4559">
        <v>0</v>
      </c>
      <c r="AK4559" t="s">
        <v>1452</v>
      </c>
      <c r="AL4559">
        <v>39.210312000000002</v>
      </c>
      <c r="AM4559" t="s">
        <v>1453</v>
      </c>
      <c r="AN4559">
        <v>-121.005027</v>
      </c>
      <c r="AO4559">
        <v>25</v>
      </c>
      <c r="AP4559">
        <v>4200</v>
      </c>
      <c r="AQ4559" t="s">
        <v>131</v>
      </c>
      <c r="AR4559">
        <v>29</v>
      </c>
      <c r="AS4559">
        <v>77</v>
      </c>
      <c r="AT4559">
        <v>0</v>
      </c>
      <c r="BB4559" t="str">
        <f t="shared" si="1802"/>
        <v>1200</v>
      </c>
      <c r="BC4559">
        <v>1</v>
      </c>
      <c r="BD4559" t="str">
        <f t="shared" si="1803"/>
        <v xml:space="preserve">N52156  </v>
      </c>
      <c r="BE4559">
        <v>1</v>
      </c>
      <c r="BG4559">
        <v>0</v>
      </c>
      <c r="BH4559">
        <v>0</v>
      </c>
      <c r="BI4559">
        <v>0</v>
      </c>
      <c r="BJ4559">
        <v>4225</v>
      </c>
      <c r="BK4559">
        <v>25</v>
      </c>
      <c r="BL4559" t="s">
        <v>188</v>
      </c>
      <c r="BM4559">
        <v>1</v>
      </c>
      <c r="BN4559">
        <v>1</v>
      </c>
      <c r="BO4559">
        <v>0</v>
      </c>
      <c r="BP4559">
        <v>0</v>
      </c>
      <c r="BS4559">
        <v>0</v>
      </c>
      <c r="BT4559">
        <v>0</v>
      </c>
      <c r="BU4559">
        <v>0</v>
      </c>
      <c r="CE4559" t="str">
        <f t="shared" si="1807"/>
        <v>15:17:11.683</v>
      </c>
      <c r="CF4559">
        <v>682756136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5</v>
      </c>
      <c r="CY4559">
        <v>7</v>
      </c>
      <c r="CZ4559" t="s">
        <v>133</v>
      </c>
      <c r="DA4559">
        <v>275</v>
      </c>
      <c r="DB4559">
        <v>0</v>
      </c>
      <c r="DC4559" t="s">
        <v>134</v>
      </c>
      <c r="DD4559" t="s">
        <v>135</v>
      </c>
      <c r="DG4559">
        <v>3323316</v>
      </c>
      <c r="DI4559">
        <v>1</v>
      </c>
      <c r="DJ4559">
        <v>0</v>
      </c>
      <c r="DK4559">
        <v>1</v>
      </c>
      <c r="DL4559">
        <v>0</v>
      </c>
      <c r="DM4559">
        <v>0</v>
      </c>
      <c r="DN4559">
        <v>0</v>
      </c>
      <c r="DO4559">
        <v>0</v>
      </c>
      <c r="DP4559">
        <v>0</v>
      </c>
      <c r="DQ4559">
        <v>0</v>
      </c>
      <c r="DR4559">
        <v>0</v>
      </c>
      <c r="DS4559">
        <v>0</v>
      </c>
    </row>
    <row r="4560" spans="1:123" x14ac:dyDescent="0.3">
      <c r="A4560" t="str">
        <f>"05/01/2025 15:17:11.919"</f>
        <v>05/01/2025 15:17:11.919</v>
      </c>
      <c r="C4560" t="str">
        <f t="shared" si="1800"/>
        <v>FFDFD3C0</v>
      </c>
      <c r="D4560" t="s">
        <v>145</v>
      </c>
      <c r="E4560" t="str">
        <f>"05"</f>
        <v>05</v>
      </c>
      <c r="H4560">
        <v>47</v>
      </c>
      <c r="I4560" t="s">
        <v>146</v>
      </c>
      <c r="J4560" t="s">
        <v>138</v>
      </c>
      <c r="K4560">
        <v>0</v>
      </c>
      <c r="L4560">
        <v>3</v>
      </c>
      <c r="M4560">
        <v>0</v>
      </c>
      <c r="N4560">
        <v>2</v>
      </c>
      <c r="O4560">
        <v>0</v>
      </c>
      <c r="P4560">
        <v>1</v>
      </c>
      <c r="Q4560">
        <v>0</v>
      </c>
      <c r="R4560" t="s">
        <v>127</v>
      </c>
      <c r="S4560" t="str">
        <f t="shared" si="1806"/>
        <v>15:17:11.000</v>
      </c>
      <c r="T4560" t="str">
        <f t="shared" si="1806"/>
        <v>15:17:11.000</v>
      </c>
      <c r="U4560" t="str">
        <f t="shared" si="1801"/>
        <v>A68FCB</v>
      </c>
      <c r="V4560">
        <v>0</v>
      </c>
      <c r="W4560">
        <v>0</v>
      </c>
      <c r="X4560">
        <v>2</v>
      </c>
      <c r="Y4560">
        <v>0</v>
      </c>
      <c r="AA4560">
        <v>1</v>
      </c>
      <c r="AB4560">
        <v>8</v>
      </c>
      <c r="AC4560">
        <v>3</v>
      </c>
      <c r="AD4560">
        <v>0</v>
      </c>
      <c r="AE4560">
        <v>9</v>
      </c>
      <c r="AF4560" t="s">
        <v>138</v>
      </c>
      <c r="AG4560">
        <v>0</v>
      </c>
      <c r="AH4560">
        <v>3</v>
      </c>
      <c r="AI4560">
        <v>2</v>
      </c>
      <c r="AJ4560">
        <v>0</v>
      </c>
      <c r="AK4560" t="s">
        <v>1452</v>
      </c>
      <c r="AL4560">
        <v>39.210312000000002</v>
      </c>
      <c r="AM4560" t="s">
        <v>1453</v>
      </c>
      <c r="AN4560">
        <v>-121.005027</v>
      </c>
      <c r="AO4560">
        <v>25</v>
      </c>
      <c r="AP4560">
        <v>4200</v>
      </c>
      <c r="AQ4560" t="s">
        <v>131</v>
      </c>
      <c r="AR4560">
        <v>29</v>
      </c>
      <c r="AS4560">
        <v>77</v>
      </c>
      <c r="AT4560">
        <v>0</v>
      </c>
      <c r="BB4560" t="str">
        <f t="shared" si="1802"/>
        <v>1200</v>
      </c>
      <c r="BC4560">
        <v>1</v>
      </c>
      <c r="BD4560" t="str">
        <f t="shared" si="1803"/>
        <v xml:space="preserve">N52156  </v>
      </c>
      <c r="BE4560">
        <v>1</v>
      </c>
      <c r="BG4560">
        <v>0</v>
      </c>
      <c r="BH4560">
        <v>0</v>
      </c>
      <c r="BI4560">
        <v>0</v>
      </c>
      <c r="BJ4560">
        <v>4225</v>
      </c>
      <c r="BK4560">
        <v>25</v>
      </c>
      <c r="BL4560" t="s">
        <v>188</v>
      </c>
      <c r="BM4560">
        <v>1</v>
      </c>
      <c r="BN4560">
        <v>1</v>
      </c>
      <c r="BO4560">
        <v>0</v>
      </c>
      <c r="BP4560">
        <v>0</v>
      </c>
      <c r="BS4560">
        <v>0</v>
      </c>
      <c r="BT4560">
        <v>0</v>
      </c>
      <c r="BU4560">
        <v>0</v>
      </c>
      <c r="CE4560" t="str">
        <f t="shared" si="1807"/>
        <v>15:17:11.683</v>
      </c>
      <c r="CF4560">
        <v>682756136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5</v>
      </c>
      <c r="CY4560">
        <v>7</v>
      </c>
      <c r="CZ4560" t="s">
        <v>133</v>
      </c>
      <c r="DA4560">
        <v>275</v>
      </c>
      <c r="DB4560">
        <v>0</v>
      </c>
      <c r="DC4560" t="s">
        <v>134</v>
      </c>
      <c r="DD4560" t="s">
        <v>135</v>
      </c>
      <c r="DG4560">
        <v>3323316</v>
      </c>
      <c r="DI4560">
        <v>1</v>
      </c>
      <c r="DJ4560">
        <v>0</v>
      </c>
      <c r="DK4560">
        <v>1</v>
      </c>
      <c r="DL4560">
        <v>0</v>
      </c>
      <c r="DM4560">
        <v>0</v>
      </c>
      <c r="DN4560">
        <v>0</v>
      </c>
      <c r="DO4560">
        <v>0</v>
      </c>
      <c r="DP4560">
        <v>0</v>
      </c>
      <c r="DQ4560">
        <v>0</v>
      </c>
      <c r="DR4560">
        <v>0</v>
      </c>
      <c r="DS4560">
        <v>0</v>
      </c>
    </row>
    <row r="4561" spans="1:123" x14ac:dyDescent="0.3">
      <c r="A4561" t="str">
        <f>"05/01/2025 15:17:11.930"</f>
        <v>05/01/2025 15:17:11.930</v>
      </c>
      <c r="C4561" t="str">
        <f t="shared" si="1800"/>
        <v>FFDFD3C0</v>
      </c>
      <c r="D4561" t="s">
        <v>136</v>
      </c>
      <c r="E4561" t="str">
        <f>"20"</f>
        <v>20</v>
      </c>
      <c r="H4561">
        <v>400</v>
      </c>
      <c r="I4561" t="s">
        <v>137</v>
      </c>
      <c r="J4561" t="s">
        <v>138</v>
      </c>
      <c r="K4561">
        <v>0</v>
      </c>
      <c r="L4561">
        <v>3</v>
      </c>
      <c r="M4561">
        <v>0</v>
      </c>
      <c r="N4561">
        <v>2</v>
      </c>
      <c r="O4561">
        <v>0</v>
      </c>
      <c r="P4561">
        <v>1</v>
      </c>
      <c r="Q4561">
        <v>0</v>
      </c>
      <c r="R4561" t="s">
        <v>127</v>
      </c>
      <c r="S4561" t="str">
        <f t="shared" si="1806"/>
        <v>15:17:11.000</v>
      </c>
      <c r="T4561" t="str">
        <f t="shared" si="1806"/>
        <v>15:17:11.000</v>
      </c>
      <c r="U4561" t="str">
        <f t="shared" si="1801"/>
        <v>A68FCB</v>
      </c>
      <c r="V4561">
        <v>0</v>
      </c>
      <c r="W4561">
        <v>0</v>
      </c>
      <c r="X4561">
        <v>2</v>
      </c>
      <c r="Y4561">
        <v>0</v>
      </c>
      <c r="AA4561">
        <v>1</v>
      </c>
      <c r="AB4561">
        <v>8</v>
      </c>
      <c r="AC4561">
        <v>3</v>
      </c>
      <c r="AD4561">
        <v>0</v>
      </c>
      <c r="AE4561">
        <v>9</v>
      </c>
      <c r="AF4561" t="s">
        <v>138</v>
      </c>
      <c r="AG4561">
        <v>0</v>
      </c>
      <c r="AH4561">
        <v>3</v>
      </c>
      <c r="AI4561">
        <v>2</v>
      </c>
      <c r="AJ4561">
        <v>0</v>
      </c>
      <c r="AK4561" t="s">
        <v>1452</v>
      </c>
      <c r="AL4561">
        <v>39.210312000000002</v>
      </c>
      <c r="AM4561" t="s">
        <v>1453</v>
      </c>
      <c r="AN4561">
        <v>-121.005027</v>
      </c>
      <c r="AO4561">
        <v>25</v>
      </c>
      <c r="AP4561">
        <v>4200</v>
      </c>
      <c r="AQ4561" t="s">
        <v>131</v>
      </c>
      <c r="AR4561">
        <v>29</v>
      </c>
      <c r="AS4561">
        <v>77</v>
      </c>
      <c r="AT4561">
        <v>0</v>
      </c>
      <c r="BB4561" t="str">
        <f t="shared" si="1802"/>
        <v>1200</v>
      </c>
      <c r="BC4561">
        <v>1</v>
      </c>
      <c r="BD4561" t="str">
        <f t="shared" si="1803"/>
        <v xml:space="preserve">N52156  </v>
      </c>
      <c r="BE4561">
        <v>1</v>
      </c>
      <c r="BG4561">
        <v>0</v>
      </c>
      <c r="BH4561">
        <v>0</v>
      </c>
      <c r="BI4561">
        <v>0</v>
      </c>
      <c r="BJ4561">
        <v>4225</v>
      </c>
      <c r="BK4561">
        <v>25</v>
      </c>
      <c r="BL4561" t="s">
        <v>188</v>
      </c>
      <c r="BM4561">
        <v>1</v>
      </c>
      <c r="BN4561">
        <v>1</v>
      </c>
      <c r="BO4561">
        <v>0</v>
      </c>
      <c r="BP4561">
        <v>0</v>
      </c>
      <c r="BS4561">
        <v>0</v>
      </c>
      <c r="BT4561">
        <v>0</v>
      </c>
      <c r="BU4561">
        <v>0</v>
      </c>
      <c r="CE4561" t="str">
        <f t="shared" si="1807"/>
        <v>15:17:11.683</v>
      </c>
      <c r="CF4561">
        <v>682756136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5</v>
      </c>
      <c r="CY4561">
        <v>7</v>
      </c>
      <c r="CZ4561" t="s">
        <v>133</v>
      </c>
      <c r="DA4561">
        <v>275</v>
      </c>
      <c r="DB4561">
        <v>0</v>
      </c>
      <c r="DC4561" t="s">
        <v>134</v>
      </c>
      <c r="DD4561" t="s">
        <v>135</v>
      </c>
      <c r="DG4561">
        <v>3323316</v>
      </c>
      <c r="DI4561">
        <v>1</v>
      </c>
      <c r="DJ4561">
        <v>0</v>
      </c>
      <c r="DK4561">
        <v>1</v>
      </c>
      <c r="DL4561">
        <v>0</v>
      </c>
      <c r="DM4561">
        <v>0</v>
      </c>
      <c r="DN4561">
        <v>0</v>
      </c>
      <c r="DO4561">
        <v>0</v>
      </c>
      <c r="DP4561">
        <v>0</v>
      </c>
      <c r="DQ4561">
        <v>0</v>
      </c>
      <c r="DR4561">
        <v>0</v>
      </c>
      <c r="DS4561">
        <v>0</v>
      </c>
    </row>
    <row r="4562" spans="1:123" x14ac:dyDescent="0.3">
      <c r="A4562" t="str">
        <f>"05/01/2025 15:17:12.631"</f>
        <v>05/01/2025 15:17:12.631</v>
      </c>
      <c r="C4562" t="str">
        <f t="shared" si="1800"/>
        <v>FFDFD3C0</v>
      </c>
      <c r="D4562" t="s">
        <v>136</v>
      </c>
      <c r="E4562" t="str">
        <f>"20"</f>
        <v>20</v>
      </c>
      <c r="H4562">
        <v>400</v>
      </c>
      <c r="I4562" t="s">
        <v>137</v>
      </c>
      <c r="J4562" t="s">
        <v>138</v>
      </c>
      <c r="K4562">
        <v>0</v>
      </c>
      <c r="L4562">
        <v>3</v>
      </c>
      <c r="M4562">
        <v>0</v>
      </c>
      <c r="N4562">
        <v>2</v>
      </c>
      <c r="O4562">
        <v>0</v>
      </c>
      <c r="P4562">
        <v>1</v>
      </c>
      <c r="Q4562">
        <v>0</v>
      </c>
      <c r="R4562" t="s">
        <v>127</v>
      </c>
      <c r="S4562" t="str">
        <f t="shared" ref="S4562:T4567" si="1808">"15:17:12.000"</f>
        <v>15:17:12.000</v>
      </c>
      <c r="T4562" t="str">
        <f t="shared" si="1808"/>
        <v>15:17:12.000</v>
      </c>
      <c r="U4562" t="str">
        <f t="shared" si="1801"/>
        <v>A68FCB</v>
      </c>
      <c r="V4562">
        <v>0</v>
      </c>
      <c r="W4562">
        <v>0</v>
      </c>
      <c r="X4562">
        <v>2</v>
      </c>
      <c r="Y4562">
        <v>0</v>
      </c>
      <c r="AA4562">
        <v>1</v>
      </c>
      <c r="AB4562">
        <v>8</v>
      </c>
      <c r="AC4562">
        <v>3</v>
      </c>
      <c r="AD4562">
        <v>0</v>
      </c>
      <c r="AE4562">
        <v>9</v>
      </c>
      <c r="AF4562" t="s">
        <v>138</v>
      </c>
      <c r="AG4562">
        <v>0</v>
      </c>
      <c r="AH4562">
        <v>3</v>
      </c>
      <c r="AI4562">
        <v>2</v>
      </c>
      <c r="AJ4562">
        <v>0</v>
      </c>
      <c r="AK4562" t="s">
        <v>1454</v>
      </c>
      <c r="AL4562">
        <v>39.210656</v>
      </c>
      <c r="AM4562" t="s">
        <v>1455</v>
      </c>
      <c r="AN4562">
        <v>-121.004856</v>
      </c>
      <c r="AO4562">
        <v>25</v>
      </c>
      <c r="AP4562">
        <v>4200</v>
      </c>
      <c r="AQ4562" t="s">
        <v>131</v>
      </c>
      <c r="AR4562">
        <v>27</v>
      </c>
      <c r="AS4562">
        <v>78</v>
      </c>
      <c r="AT4562">
        <v>0</v>
      </c>
      <c r="BB4562" t="str">
        <f t="shared" si="1802"/>
        <v>1200</v>
      </c>
      <c r="BC4562">
        <v>1</v>
      </c>
      <c r="BD4562" t="str">
        <f t="shared" si="1803"/>
        <v xml:space="preserve">N52156  </v>
      </c>
      <c r="BE4562">
        <v>1</v>
      </c>
      <c r="BG4562">
        <v>0</v>
      </c>
      <c r="BH4562">
        <v>0</v>
      </c>
      <c r="BI4562">
        <v>0</v>
      </c>
      <c r="BJ4562">
        <v>4225</v>
      </c>
      <c r="BK4562">
        <v>25</v>
      </c>
      <c r="BL4562" t="s">
        <v>188</v>
      </c>
      <c r="BM4562">
        <v>1</v>
      </c>
      <c r="BN4562">
        <v>1</v>
      </c>
      <c r="BO4562">
        <v>0</v>
      </c>
      <c r="BP4562">
        <v>0</v>
      </c>
      <c r="BS4562">
        <v>0</v>
      </c>
      <c r="BT4562">
        <v>0</v>
      </c>
      <c r="BU4562">
        <v>0</v>
      </c>
      <c r="CE4562" t="str">
        <f t="shared" ref="CE4562:CE4567" si="1809">"15:17:12.416"</f>
        <v>15:17:12.416</v>
      </c>
      <c r="CF4562">
        <v>416005558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5</v>
      </c>
      <c r="CY4562">
        <v>7</v>
      </c>
      <c r="CZ4562" t="s">
        <v>133</v>
      </c>
      <c r="DA4562">
        <v>275</v>
      </c>
      <c r="DB4562">
        <v>0</v>
      </c>
      <c r="DC4562" t="s">
        <v>134</v>
      </c>
      <c r="DD4562" t="s">
        <v>135</v>
      </c>
      <c r="DG4562">
        <v>3323317</v>
      </c>
      <c r="DI4562">
        <v>1</v>
      </c>
      <c r="DJ4562">
        <v>0</v>
      </c>
      <c r="DK4562">
        <v>0</v>
      </c>
      <c r="DL4562">
        <v>0</v>
      </c>
      <c r="DM4562">
        <v>0</v>
      </c>
      <c r="DN4562">
        <v>0</v>
      </c>
      <c r="DO4562">
        <v>0</v>
      </c>
      <c r="DP4562">
        <v>0</v>
      </c>
      <c r="DQ4562">
        <v>0</v>
      </c>
      <c r="DR4562">
        <v>0</v>
      </c>
      <c r="DS4562">
        <v>0</v>
      </c>
    </row>
    <row r="4563" spans="1:123" x14ac:dyDescent="0.3">
      <c r="A4563" t="str">
        <f>"05/01/2025 15:17:12.646"</f>
        <v>05/01/2025 15:17:12.646</v>
      </c>
      <c r="C4563" t="str">
        <f t="shared" si="1800"/>
        <v>FFDFD3C0</v>
      </c>
      <c r="D4563" t="s">
        <v>140</v>
      </c>
      <c r="E4563" t="str">
        <f>"13"</f>
        <v>13</v>
      </c>
      <c r="F4563">
        <v>1019</v>
      </c>
      <c r="G4563" t="s">
        <v>141</v>
      </c>
      <c r="J4563" t="s">
        <v>142</v>
      </c>
      <c r="K4563">
        <v>0</v>
      </c>
      <c r="L4563">
        <v>3</v>
      </c>
      <c r="M4563">
        <v>0</v>
      </c>
      <c r="N4563">
        <v>2</v>
      </c>
      <c r="O4563">
        <v>0</v>
      </c>
      <c r="P4563">
        <v>1</v>
      </c>
      <c r="Q4563">
        <v>0</v>
      </c>
      <c r="R4563" t="s">
        <v>127</v>
      </c>
      <c r="S4563" t="str">
        <f t="shared" si="1808"/>
        <v>15:17:12.000</v>
      </c>
      <c r="T4563" t="str">
        <f t="shared" si="1808"/>
        <v>15:17:12.000</v>
      </c>
      <c r="U4563" t="str">
        <f t="shared" si="1801"/>
        <v>A68FCB</v>
      </c>
      <c r="V4563">
        <v>0</v>
      </c>
      <c r="W4563">
        <v>0</v>
      </c>
      <c r="X4563">
        <v>2</v>
      </c>
      <c r="Y4563">
        <v>0</v>
      </c>
      <c r="AA4563">
        <v>1</v>
      </c>
      <c r="AB4563">
        <v>8</v>
      </c>
      <c r="AC4563">
        <v>3</v>
      </c>
      <c r="AD4563">
        <v>0</v>
      </c>
      <c r="AE4563">
        <v>9</v>
      </c>
      <c r="AF4563" t="s">
        <v>138</v>
      </c>
      <c r="AG4563">
        <v>0</v>
      </c>
      <c r="AH4563">
        <v>3</v>
      </c>
      <c r="AI4563">
        <v>2</v>
      </c>
      <c r="AJ4563">
        <v>0</v>
      </c>
      <c r="AK4563" t="s">
        <v>1454</v>
      </c>
      <c r="AL4563">
        <v>39.210656</v>
      </c>
      <c r="AM4563" t="s">
        <v>1455</v>
      </c>
      <c r="AN4563">
        <v>-121.004856</v>
      </c>
      <c r="AO4563">
        <v>25</v>
      </c>
      <c r="AP4563">
        <v>4200</v>
      </c>
      <c r="AQ4563" t="s">
        <v>131</v>
      </c>
      <c r="AR4563">
        <v>27</v>
      </c>
      <c r="AS4563">
        <v>78</v>
      </c>
      <c r="AT4563">
        <v>0</v>
      </c>
      <c r="BB4563" t="str">
        <f t="shared" si="1802"/>
        <v>1200</v>
      </c>
      <c r="BC4563">
        <v>1</v>
      </c>
      <c r="BD4563" t="str">
        <f t="shared" si="1803"/>
        <v xml:space="preserve">N52156  </v>
      </c>
      <c r="BE4563">
        <v>1</v>
      </c>
      <c r="BG4563">
        <v>0</v>
      </c>
      <c r="BH4563">
        <v>0</v>
      </c>
      <c r="BI4563">
        <v>0</v>
      </c>
      <c r="BJ4563">
        <v>4225</v>
      </c>
      <c r="BK4563">
        <v>25</v>
      </c>
      <c r="BL4563" t="s">
        <v>188</v>
      </c>
      <c r="BM4563">
        <v>1</v>
      </c>
      <c r="BN4563">
        <v>1</v>
      </c>
      <c r="BO4563">
        <v>0</v>
      </c>
      <c r="BP4563">
        <v>0</v>
      </c>
      <c r="BS4563">
        <v>0</v>
      </c>
      <c r="BT4563">
        <v>0</v>
      </c>
      <c r="BU4563">
        <v>0</v>
      </c>
      <c r="CE4563" t="str">
        <f t="shared" si="1809"/>
        <v>15:17:12.416</v>
      </c>
      <c r="CF4563">
        <v>416005558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5</v>
      </c>
      <c r="CY4563">
        <v>7</v>
      </c>
      <c r="CZ4563" t="s">
        <v>133</v>
      </c>
      <c r="DA4563">
        <v>275</v>
      </c>
      <c r="DB4563">
        <v>0</v>
      </c>
      <c r="DC4563" t="s">
        <v>134</v>
      </c>
      <c r="DD4563" t="s">
        <v>135</v>
      </c>
      <c r="DG4563">
        <v>3323317</v>
      </c>
      <c r="DI4563">
        <v>1</v>
      </c>
      <c r="DJ4563">
        <v>0</v>
      </c>
      <c r="DK4563">
        <v>1</v>
      </c>
      <c r="DL4563">
        <v>0</v>
      </c>
      <c r="DM4563">
        <v>0</v>
      </c>
      <c r="DN4563">
        <v>0</v>
      </c>
      <c r="DO4563">
        <v>0</v>
      </c>
      <c r="DP4563">
        <v>0</v>
      </c>
      <c r="DQ4563">
        <v>0</v>
      </c>
      <c r="DR4563">
        <v>0</v>
      </c>
      <c r="DS4563">
        <v>0</v>
      </c>
    </row>
    <row r="4564" spans="1:123" x14ac:dyDescent="0.3">
      <c r="A4564" t="str">
        <f>"05/01/2025 15:17:12.647"</f>
        <v>05/01/2025 15:17:12.647</v>
      </c>
      <c r="C4564" t="str">
        <f t="shared" si="1800"/>
        <v>FFDFD3C0</v>
      </c>
      <c r="D4564" t="s">
        <v>124</v>
      </c>
      <c r="E4564" t="str">
        <f>"06"</f>
        <v>06</v>
      </c>
      <c r="F4564">
        <v>2006</v>
      </c>
      <c r="G4564" t="s">
        <v>125</v>
      </c>
      <c r="J4564" t="s">
        <v>126</v>
      </c>
      <c r="K4564">
        <v>0</v>
      </c>
      <c r="L4564">
        <v>3</v>
      </c>
      <c r="M4564">
        <v>0</v>
      </c>
      <c r="N4564">
        <v>2</v>
      </c>
      <c r="O4564">
        <v>0</v>
      </c>
      <c r="P4564">
        <v>1</v>
      </c>
      <c r="Q4564">
        <v>0</v>
      </c>
      <c r="R4564" t="s">
        <v>127</v>
      </c>
      <c r="S4564" t="str">
        <f t="shared" si="1808"/>
        <v>15:17:12.000</v>
      </c>
      <c r="T4564" t="str">
        <f t="shared" si="1808"/>
        <v>15:17:12.000</v>
      </c>
      <c r="U4564" t="str">
        <f t="shared" si="1801"/>
        <v>A68FCB</v>
      </c>
      <c r="V4564">
        <v>0</v>
      </c>
      <c r="W4564">
        <v>0</v>
      </c>
      <c r="X4564">
        <v>2</v>
      </c>
      <c r="Y4564">
        <v>0</v>
      </c>
      <c r="AA4564">
        <v>1</v>
      </c>
      <c r="AB4564">
        <v>8</v>
      </c>
      <c r="AC4564">
        <v>3</v>
      </c>
      <c r="AD4564">
        <v>0</v>
      </c>
      <c r="AE4564">
        <v>9</v>
      </c>
      <c r="AF4564" t="s">
        <v>138</v>
      </c>
      <c r="AG4564">
        <v>0</v>
      </c>
      <c r="AH4564">
        <v>3</v>
      </c>
      <c r="AI4564">
        <v>2</v>
      </c>
      <c r="AJ4564">
        <v>0</v>
      </c>
      <c r="AK4564" t="s">
        <v>1454</v>
      </c>
      <c r="AL4564">
        <v>39.210656</v>
      </c>
      <c r="AM4564" t="s">
        <v>1455</v>
      </c>
      <c r="AN4564">
        <v>-121.004856</v>
      </c>
      <c r="AO4564">
        <v>25</v>
      </c>
      <c r="AP4564">
        <v>4200</v>
      </c>
      <c r="AQ4564" t="s">
        <v>131</v>
      </c>
      <c r="AR4564">
        <v>27</v>
      </c>
      <c r="AS4564">
        <v>78</v>
      </c>
      <c r="AT4564">
        <v>0</v>
      </c>
      <c r="BB4564" t="str">
        <f t="shared" si="1802"/>
        <v>1200</v>
      </c>
      <c r="BC4564">
        <v>1</v>
      </c>
      <c r="BD4564" t="str">
        <f t="shared" si="1803"/>
        <v xml:space="preserve">N52156  </v>
      </c>
      <c r="BE4564">
        <v>1</v>
      </c>
      <c r="BG4564">
        <v>0</v>
      </c>
      <c r="BH4564">
        <v>0</v>
      </c>
      <c r="BI4564">
        <v>0</v>
      </c>
      <c r="BJ4564">
        <v>4225</v>
      </c>
      <c r="BK4564">
        <v>25</v>
      </c>
      <c r="BL4564" t="s">
        <v>188</v>
      </c>
      <c r="BM4564">
        <v>1</v>
      </c>
      <c r="BN4564">
        <v>1</v>
      </c>
      <c r="BO4564">
        <v>0</v>
      </c>
      <c r="BP4564">
        <v>0</v>
      </c>
      <c r="BS4564">
        <v>0</v>
      </c>
      <c r="BT4564">
        <v>0</v>
      </c>
      <c r="BU4564">
        <v>0</v>
      </c>
      <c r="CE4564" t="str">
        <f t="shared" si="1809"/>
        <v>15:17:12.416</v>
      </c>
      <c r="CF4564">
        <v>416005558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5</v>
      </c>
      <c r="CY4564">
        <v>7</v>
      </c>
      <c r="CZ4564" t="s">
        <v>133</v>
      </c>
      <c r="DA4564">
        <v>275</v>
      </c>
      <c r="DB4564">
        <v>0</v>
      </c>
      <c r="DC4564" t="s">
        <v>134</v>
      </c>
      <c r="DD4564" t="s">
        <v>135</v>
      </c>
      <c r="DG4564">
        <v>3323317</v>
      </c>
      <c r="DI4564">
        <v>1</v>
      </c>
      <c r="DJ4564">
        <v>0</v>
      </c>
      <c r="DK4564">
        <v>1</v>
      </c>
      <c r="DL4564">
        <v>0</v>
      </c>
      <c r="DM4564">
        <v>0</v>
      </c>
      <c r="DN4564">
        <v>0</v>
      </c>
      <c r="DO4564">
        <v>0</v>
      </c>
      <c r="DP4564">
        <v>0</v>
      </c>
      <c r="DQ4564">
        <v>0</v>
      </c>
      <c r="DR4564">
        <v>0</v>
      </c>
      <c r="DS4564">
        <v>0</v>
      </c>
    </row>
    <row r="4565" spans="1:123" x14ac:dyDescent="0.3">
      <c r="A4565" t="str">
        <f>"05/01/2025 15:17:12.653"</f>
        <v>05/01/2025 15:17:12.653</v>
      </c>
      <c r="C4565" t="str">
        <f t="shared" si="1800"/>
        <v>FFDFD3C0</v>
      </c>
      <c r="D4565" t="s">
        <v>143</v>
      </c>
      <c r="E4565" t="str">
        <f>"05"</f>
        <v>05</v>
      </c>
      <c r="H4565">
        <v>172</v>
      </c>
      <c r="I4565" t="s">
        <v>141</v>
      </c>
      <c r="J4565" t="s">
        <v>144</v>
      </c>
      <c r="K4565">
        <v>0</v>
      </c>
      <c r="L4565">
        <v>3</v>
      </c>
      <c r="M4565">
        <v>0</v>
      </c>
      <c r="N4565">
        <v>2</v>
      </c>
      <c r="O4565">
        <v>0</v>
      </c>
      <c r="P4565">
        <v>1</v>
      </c>
      <c r="Q4565">
        <v>0</v>
      </c>
      <c r="R4565" t="s">
        <v>127</v>
      </c>
      <c r="S4565" t="str">
        <f t="shared" si="1808"/>
        <v>15:17:12.000</v>
      </c>
      <c r="T4565" t="str">
        <f t="shared" si="1808"/>
        <v>15:17:12.000</v>
      </c>
      <c r="U4565" t="str">
        <f t="shared" si="1801"/>
        <v>A68FCB</v>
      </c>
      <c r="V4565">
        <v>0</v>
      </c>
      <c r="W4565">
        <v>0</v>
      </c>
      <c r="X4565">
        <v>2</v>
      </c>
      <c r="Y4565">
        <v>0</v>
      </c>
      <c r="AA4565">
        <v>1</v>
      </c>
      <c r="AB4565">
        <v>8</v>
      </c>
      <c r="AC4565">
        <v>3</v>
      </c>
      <c r="AD4565">
        <v>0</v>
      </c>
      <c r="AE4565">
        <v>9</v>
      </c>
      <c r="AF4565" t="s">
        <v>138</v>
      </c>
      <c r="AG4565">
        <v>0</v>
      </c>
      <c r="AH4565">
        <v>3</v>
      </c>
      <c r="AI4565">
        <v>2</v>
      </c>
      <c r="AJ4565">
        <v>0</v>
      </c>
      <c r="AK4565" t="s">
        <v>1454</v>
      </c>
      <c r="AL4565">
        <v>39.210656</v>
      </c>
      <c r="AM4565" t="s">
        <v>1455</v>
      </c>
      <c r="AN4565">
        <v>-121.004856</v>
      </c>
      <c r="AO4565">
        <v>25</v>
      </c>
      <c r="AP4565">
        <v>4200</v>
      </c>
      <c r="AQ4565" t="s">
        <v>131</v>
      </c>
      <c r="AR4565">
        <v>27</v>
      </c>
      <c r="AS4565">
        <v>78</v>
      </c>
      <c r="AT4565">
        <v>0</v>
      </c>
      <c r="BB4565" t="str">
        <f t="shared" si="1802"/>
        <v>1200</v>
      </c>
      <c r="BC4565">
        <v>1</v>
      </c>
      <c r="BD4565" t="str">
        <f t="shared" si="1803"/>
        <v xml:space="preserve">N52156  </v>
      </c>
      <c r="BE4565">
        <v>1</v>
      </c>
      <c r="BG4565">
        <v>0</v>
      </c>
      <c r="BH4565">
        <v>0</v>
      </c>
      <c r="BI4565">
        <v>0</v>
      </c>
      <c r="BJ4565">
        <v>4225</v>
      </c>
      <c r="BK4565">
        <v>25</v>
      </c>
      <c r="BL4565" t="s">
        <v>188</v>
      </c>
      <c r="BM4565">
        <v>1</v>
      </c>
      <c r="BN4565">
        <v>1</v>
      </c>
      <c r="BO4565">
        <v>0</v>
      </c>
      <c r="BP4565">
        <v>0</v>
      </c>
      <c r="BS4565">
        <v>0</v>
      </c>
      <c r="BT4565">
        <v>0</v>
      </c>
      <c r="BU4565">
        <v>0</v>
      </c>
      <c r="CE4565" t="str">
        <f t="shared" si="1809"/>
        <v>15:17:12.416</v>
      </c>
      <c r="CF4565">
        <v>416005558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5</v>
      </c>
      <c r="CY4565">
        <v>7</v>
      </c>
      <c r="CZ4565" t="s">
        <v>133</v>
      </c>
      <c r="DA4565">
        <v>275</v>
      </c>
      <c r="DB4565">
        <v>0</v>
      </c>
      <c r="DC4565" t="s">
        <v>134</v>
      </c>
      <c r="DD4565" t="s">
        <v>135</v>
      </c>
      <c r="DG4565">
        <v>3323317</v>
      </c>
      <c r="DI4565">
        <v>1</v>
      </c>
      <c r="DJ4565">
        <v>0</v>
      </c>
      <c r="DK4565">
        <v>1</v>
      </c>
      <c r="DL4565">
        <v>0</v>
      </c>
      <c r="DM4565">
        <v>0</v>
      </c>
      <c r="DN4565">
        <v>0</v>
      </c>
      <c r="DO4565">
        <v>0</v>
      </c>
      <c r="DP4565">
        <v>0</v>
      </c>
      <c r="DQ4565">
        <v>0</v>
      </c>
      <c r="DR4565">
        <v>0</v>
      </c>
      <c r="DS4565">
        <v>0</v>
      </c>
    </row>
    <row r="4566" spans="1:123" x14ac:dyDescent="0.3">
      <c r="A4566" t="str">
        <f>"05/01/2025 15:17:12.665"</f>
        <v>05/01/2025 15:17:12.665</v>
      </c>
      <c r="C4566" t="str">
        <f t="shared" si="1800"/>
        <v>FFDFD3C0</v>
      </c>
      <c r="D4566" t="s">
        <v>145</v>
      </c>
      <c r="E4566" t="str">
        <f>"09"</f>
        <v>09</v>
      </c>
      <c r="H4566">
        <v>51</v>
      </c>
      <c r="I4566" t="s">
        <v>147</v>
      </c>
      <c r="J4566" t="s">
        <v>138</v>
      </c>
      <c r="K4566">
        <v>0</v>
      </c>
      <c r="L4566">
        <v>3</v>
      </c>
      <c r="M4566">
        <v>0</v>
      </c>
      <c r="N4566">
        <v>2</v>
      </c>
      <c r="O4566">
        <v>0</v>
      </c>
      <c r="P4566">
        <v>1</v>
      </c>
      <c r="Q4566">
        <v>0</v>
      </c>
      <c r="R4566" t="s">
        <v>127</v>
      </c>
      <c r="S4566" t="str">
        <f t="shared" si="1808"/>
        <v>15:17:12.000</v>
      </c>
      <c r="T4566" t="str">
        <f t="shared" si="1808"/>
        <v>15:17:12.000</v>
      </c>
      <c r="U4566" t="str">
        <f t="shared" si="1801"/>
        <v>A68FCB</v>
      </c>
      <c r="V4566">
        <v>0</v>
      </c>
      <c r="W4566">
        <v>0</v>
      </c>
      <c r="X4566">
        <v>2</v>
      </c>
      <c r="Y4566">
        <v>0</v>
      </c>
      <c r="AA4566">
        <v>1</v>
      </c>
      <c r="AB4566">
        <v>8</v>
      </c>
      <c r="AC4566">
        <v>3</v>
      </c>
      <c r="AD4566">
        <v>0</v>
      </c>
      <c r="AE4566">
        <v>9</v>
      </c>
      <c r="AF4566" t="s">
        <v>138</v>
      </c>
      <c r="AG4566">
        <v>0</v>
      </c>
      <c r="AH4566">
        <v>3</v>
      </c>
      <c r="AI4566">
        <v>2</v>
      </c>
      <c r="AJ4566">
        <v>0</v>
      </c>
      <c r="AK4566" t="s">
        <v>1454</v>
      </c>
      <c r="AL4566">
        <v>39.210656</v>
      </c>
      <c r="AM4566" t="s">
        <v>1455</v>
      </c>
      <c r="AN4566">
        <v>-121.004856</v>
      </c>
      <c r="AO4566">
        <v>25</v>
      </c>
      <c r="AP4566">
        <v>4200</v>
      </c>
      <c r="AQ4566" t="s">
        <v>131</v>
      </c>
      <c r="AR4566">
        <v>27</v>
      </c>
      <c r="AS4566">
        <v>78</v>
      </c>
      <c r="AT4566">
        <v>0</v>
      </c>
      <c r="BB4566" t="str">
        <f t="shared" si="1802"/>
        <v>1200</v>
      </c>
      <c r="BC4566">
        <v>1</v>
      </c>
      <c r="BD4566" t="str">
        <f t="shared" si="1803"/>
        <v xml:space="preserve">N52156  </v>
      </c>
      <c r="BE4566">
        <v>1</v>
      </c>
      <c r="BG4566">
        <v>0</v>
      </c>
      <c r="BH4566">
        <v>0</v>
      </c>
      <c r="BI4566">
        <v>0</v>
      </c>
      <c r="BJ4566">
        <v>4225</v>
      </c>
      <c r="BK4566">
        <v>25</v>
      </c>
      <c r="BL4566" t="s">
        <v>188</v>
      </c>
      <c r="BM4566">
        <v>1</v>
      </c>
      <c r="BN4566">
        <v>1</v>
      </c>
      <c r="BO4566">
        <v>0</v>
      </c>
      <c r="BP4566">
        <v>0</v>
      </c>
      <c r="BS4566">
        <v>0</v>
      </c>
      <c r="BT4566">
        <v>0</v>
      </c>
      <c r="BU4566">
        <v>0</v>
      </c>
      <c r="CE4566" t="str">
        <f t="shared" si="1809"/>
        <v>15:17:12.416</v>
      </c>
      <c r="CF4566">
        <v>416005558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5</v>
      </c>
      <c r="CY4566">
        <v>7</v>
      </c>
      <c r="CZ4566" t="s">
        <v>133</v>
      </c>
      <c r="DA4566">
        <v>275</v>
      </c>
      <c r="DB4566">
        <v>0</v>
      </c>
      <c r="DC4566" t="s">
        <v>134</v>
      </c>
      <c r="DD4566" t="s">
        <v>135</v>
      </c>
      <c r="DG4566">
        <v>3323317</v>
      </c>
      <c r="DI4566">
        <v>1</v>
      </c>
      <c r="DJ4566">
        <v>0</v>
      </c>
      <c r="DK4566">
        <v>1</v>
      </c>
      <c r="DL4566">
        <v>0</v>
      </c>
      <c r="DM4566">
        <v>0</v>
      </c>
      <c r="DN4566">
        <v>0</v>
      </c>
      <c r="DO4566">
        <v>0</v>
      </c>
      <c r="DP4566">
        <v>0</v>
      </c>
      <c r="DQ4566">
        <v>0</v>
      </c>
      <c r="DR4566">
        <v>0</v>
      </c>
      <c r="DS4566">
        <v>0</v>
      </c>
    </row>
    <row r="4567" spans="1:123" x14ac:dyDescent="0.3">
      <c r="A4567" t="str">
        <f>"05/01/2025 15:17:12.670"</f>
        <v>05/01/2025 15:17:12.670</v>
      </c>
      <c r="C4567" t="str">
        <f t="shared" si="1800"/>
        <v>FFDFD3C0</v>
      </c>
      <c r="D4567" t="s">
        <v>145</v>
      </c>
      <c r="E4567" t="str">
        <f>"05"</f>
        <v>05</v>
      </c>
      <c r="H4567">
        <v>47</v>
      </c>
      <c r="I4567" t="s">
        <v>146</v>
      </c>
      <c r="J4567" t="s">
        <v>138</v>
      </c>
      <c r="K4567">
        <v>0</v>
      </c>
      <c r="L4567">
        <v>3</v>
      </c>
      <c r="M4567">
        <v>0</v>
      </c>
      <c r="N4567">
        <v>2</v>
      </c>
      <c r="O4567">
        <v>0</v>
      </c>
      <c r="P4567">
        <v>1</v>
      </c>
      <c r="Q4567">
        <v>0</v>
      </c>
      <c r="R4567" t="s">
        <v>127</v>
      </c>
      <c r="S4567" t="str">
        <f t="shared" si="1808"/>
        <v>15:17:12.000</v>
      </c>
      <c r="T4567" t="str">
        <f t="shared" si="1808"/>
        <v>15:17:12.000</v>
      </c>
      <c r="U4567" t="str">
        <f t="shared" si="1801"/>
        <v>A68FCB</v>
      </c>
      <c r="V4567">
        <v>0</v>
      </c>
      <c r="W4567">
        <v>0</v>
      </c>
      <c r="X4567">
        <v>2</v>
      </c>
      <c r="Y4567">
        <v>0</v>
      </c>
      <c r="AA4567">
        <v>1</v>
      </c>
      <c r="AB4567">
        <v>8</v>
      </c>
      <c r="AC4567">
        <v>3</v>
      </c>
      <c r="AD4567">
        <v>0</v>
      </c>
      <c r="AE4567">
        <v>9</v>
      </c>
      <c r="AF4567" t="s">
        <v>138</v>
      </c>
      <c r="AG4567">
        <v>0</v>
      </c>
      <c r="AH4567">
        <v>3</v>
      </c>
      <c r="AI4567">
        <v>2</v>
      </c>
      <c r="AJ4567">
        <v>0</v>
      </c>
      <c r="AK4567" t="s">
        <v>1454</v>
      </c>
      <c r="AL4567">
        <v>39.210656</v>
      </c>
      <c r="AM4567" t="s">
        <v>1455</v>
      </c>
      <c r="AN4567">
        <v>-121.004856</v>
      </c>
      <c r="AO4567">
        <v>25</v>
      </c>
      <c r="AP4567">
        <v>4200</v>
      </c>
      <c r="AQ4567" t="s">
        <v>131</v>
      </c>
      <c r="AR4567">
        <v>27</v>
      </c>
      <c r="AS4567">
        <v>78</v>
      </c>
      <c r="AT4567">
        <v>0</v>
      </c>
      <c r="BB4567" t="str">
        <f t="shared" si="1802"/>
        <v>1200</v>
      </c>
      <c r="BC4567">
        <v>1</v>
      </c>
      <c r="BD4567" t="str">
        <f t="shared" si="1803"/>
        <v xml:space="preserve">N52156  </v>
      </c>
      <c r="BE4567">
        <v>1</v>
      </c>
      <c r="BG4567">
        <v>0</v>
      </c>
      <c r="BH4567">
        <v>0</v>
      </c>
      <c r="BI4567">
        <v>0</v>
      </c>
      <c r="BJ4567">
        <v>4225</v>
      </c>
      <c r="BK4567">
        <v>25</v>
      </c>
      <c r="BL4567" t="s">
        <v>188</v>
      </c>
      <c r="BM4567">
        <v>1</v>
      </c>
      <c r="BN4567">
        <v>1</v>
      </c>
      <c r="BO4567">
        <v>0</v>
      </c>
      <c r="BP4567">
        <v>0</v>
      </c>
      <c r="BS4567">
        <v>0</v>
      </c>
      <c r="BT4567">
        <v>0</v>
      </c>
      <c r="BU4567">
        <v>0</v>
      </c>
      <c r="CE4567" t="str">
        <f t="shared" si="1809"/>
        <v>15:17:12.416</v>
      </c>
      <c r="CF4567">
        <v>416005558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5</v>
      </c>
      <c r="CY4567">
        <v>7</v>
      </c>
      <c r="CZ4567" t="s">
        <v>133</v>
      </c>
      <c r="DA4567">
        <v>275</v>
      </c>
      <c r="DB4567">
        <v>0</v>
      </c>
      <c r="DC4567" t="s">
        <v>134</v>
      </c>
      <c r="DD4567" t="s">
        <v>135</v>
      </c>
      <c r="DG4567">
        <v>3323317</v>
      </c>
      <c r="DI4567">
        <v>1</v>
      </c>
      <c r="DJ4567">
        <v>0</v>
      </c>
      <c r="DK4567">
        <v>1</v>
      </c>
      <c r="DL4567">
        <v>0</v>
      </c>
      <c r="DM4567">
        <v>0</v>
      </c>
      <c r="DN4567">
        <v>0</v>
      </c>
      <c r="DO4567">
        <v>0</v>
      </c>
      <c r="DP4567">
        <v>0</v>
      </c>
      <c r="DQ4567">
        <v>0</v>
      </c>
      <c r="DR4567">
        <v>0</v>
      </c>
      <c r="DS4567">
        <v>0</v>
      </c>
    </row>
    <row r="4568" spans="1:123" x14ac:dyDescent="0.3">
      <c r="A4568" t="str">
        <f>"05/01/2025 15:17:13.655"</f>
        <v>05/01/2025 15:17:13.655</v>
      </c>
      <c r="C4568" t="str">
        <f t="shared" si="1800"/>
        <v>FFDFD3C0</v>
      </c>
      <c r="D4568" t="s">
        <v>143</v>
      </c>
      <c r="E4568" t="str">
        <f>"05"</f>
        <v>05</v>
      </c>
      <c r="H4568">
        <v>172</v>
      </c>
      <c r="I4568" t="s">
        <v>141</v>
      </c>
      <c r="J4568" t="s">
        <v>144</v>
      </c>
      <c r="K4568">
        <v>0</v>
      </c>
      <c r="L4568">
        <v>3</v>
      </c>
      <c r="M4568">
        <v>0</v>
      </c>
      <c r="N4568">
        <v>2</v>
      </c>
      <c r="O4568">
        <v>0</v>
      </c>
      <c r="P4568">
        <v>1</v>
      </c>
      <c r="Q4568">
        <v>0</v>
      </c>
      <c r="R4568" t="s">
        <v>127</v>
      </c>
      <c r="S4568" t="str">
        <f t="shared" ref="S4568:T4573" si="1810">"15:17:13.000"</f>
        <v>15:17:13.000</v>
      </c>
      <c r="T4568" t="str">
        <f t="shared" si="1810"/>
        <v>15:17:13.000</v>
      </c>
      <c r="U4568" t="str">
        <f t="shared" si="1801"/>
        <v>A68FCB</v>
      </c>
      <c r="V4568">
        <v>0</v>
      </c>
      <c r="W4568">
        <v>0</v>
      </c>
      <c r="X4568">
        <v>2</v>
      </c>
      <c r="Y4568">
        <v>0</v>
      </c>
      <c r="AA4568">
        <v>1</v>
      </c>
      <c r="AB4568">
        <v>8</v>
      </c>
      <c r="AC4568">
        <v>3</v>
      </c>
      <c r="AD4568">
        <v>0</v>
      </c>
      <c r="AE4568">
        <v>9</v>
      </c>
      <c r="AF4568" t="s">
        <v>138</v>
      </c>
      <c r="AG4568">
        <v>0</v>
      </c>
      <c r="AH4568">
        <v>3</v>
      </c>
      <c r="AI4568">
        <v>2</v>
      </c>
      <c r="AJ4568">
        <v>0</v>
      </c>
      <c r="AK4568" t="s">
        <v>1456</v>
      </c>
      <c r="AL4568">
        <v>39.211019999999998</v>
      </c>
      <c r="AM4568" t="s">
        <v>1457</v>
      </c>
      <c r="AN4568">
        <v>-121.004684</v>
      </c>
      <c r="AO4568">
        <v>25</v>
      </c>
      <c r="AP4568">
        <v>4200</v>
      </c>
      <c r="AQ4568" t="s">
        <v>131</v>
      </c>
      <c r="AR4568">
        <v>26</v>
      </c>
      <c r="AS4568">
        <v>79</v>
      </c>
      <c r="AT4568">
        <v>0</v>
      </c>
      <c r="BB4568" t="str">
        <f t="shared" si="1802"/>
        <v>1200</v>
      </c>
      <c r="BC4568">
        <v>1</v>
      </c>
      <c r="BD4568" t="str">
        <f t="shared" si="1803"/>
        <v xml:space="preserve">N52156  </v>
      </c>
      <c r="BE4568">
        <v>1</v>
      </c>
      <c r="BG4568">
        <v>0</v>
      </c>
      <c r="BH4568">
        <v>0</v>
      </c>
      <c r="BI4568">
        <v>0</v>
      </c>
      <c r="BJ4568">
        <v>4225</v>
      </c>
      <c r="BK4568">
        <v>25</v>
      </c>
      <c r="BL4568" t="s">
        <v>188</v>
      </c>
      <c r="BM4568">
        <v>1</v>
      </c>
      <c r="BN4568">
        <v>1</v>
      </c>
      <c r="BO4568">
        <v>0</v>
      </c>
      <c r="BP4568">
        <v>0</v>
      </c>
      <c r="BS4568">
        <v>0</v>
      </c>
      <c r="BT4568">
        <v>0</v>
      </c>
      <c r="BU4568">
        <v>0</v>
      </c>
      <c r="CE4568" t="str">
        <f t="shared" ref="CE4568:CE4573" si="1811">"15:17:13.457"</f>
        <v>15:17:13.457</v>
      </c>
      <c r="CF4568">
        <v>457255761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4</v>
      </c>
      <c r="CY4568">
        <v>7</v>
      </c>
      <c r="CZ4568" t="s">
        <v>133</v>
      </c>
      <c r="DA4568">
        <v>275</v>
      </c>
      <c r="DB4568">
        <v>0</v>
      </c>
      <c r="DC4568" t="s">
        <v>134</v>
      </c>
      <c r="DD4568" t="s">
        <v>135</v>
      </c>
      <c r="DG4568">
        <v>3323319</v>
      </c>
      <c r="DI4568">
        <v>1</v>
      </c>
      <c r="DJ4568">
        <v>0</v>
      </c>
      <c r="DK4568">
        <v>0</v>
      </c>
      <c r="DL4568">
        <v>0</v>
      </c>
      <c r="DM4568">
        <v>0</v>
      </c>
      <c r="DN4568">
        <v>0</v>
      </c>
      <c r="DO4568">
        <v>0</v>
      </c>
      <c r="DP4568">
        <v>0</v>
      </c>
      <c r="DQ4568">
        <v>0</v>
      </c>
      <c r="DR4568">
        <v>0</v>
      </c>
      <c r="DS4568">
        <v>0</v>
      </c>
    </row>
    <row r="4569" spans="1:123" x14ac:dyDescent="0.3">
      <c r="A4569" t="str">
        <f>"05/01/2025 15:17:13.667"</f>
        <v>05/01/2025 15:17:13.667</v>
      </c>
      <c r="C4569" t="str">
        <f t="shared" si="1800"/>
        <v>FFDFD3C0</v>
      </c>
      <c r="D4569" t="s">
        <v>145</v>
      </c>
      <c r="E4569" t="str">
        <f>"09"</f>
        <v>09</v>
      </c>
      <c r="H4569">
        <v>51</v>
      </c>
      <c r="I4569" t="s">
        <v>147</v>
      </c>
      <c r="J4569" t="s">
        <v>138</v>
      </c>
      <c r="K4569">
        <v>0</v>
      </c>
      <c r="L4569">
        <v>3</v>
      </c>
      <c r="M4569">
        <v>0</v>
      </c>
      <c r="N4569">
        <v>2</v>
      </c>
      <c r="O4569">
        <v>0</v>
      </c>
      <c r="P4569">
        <v>1</v>
      </c>
      <c r="Q4569">
        <v>0</v>
      </c>
      <c r="R4569" t="s">
        <v>127</v>
      </c>
      <c r="S4569" t="str">
        <f t="shared" si="1810"/>
        <v>15:17:13.000</v>
      </c>
      <c r="T4569" t="str">
        <f t="shared" si="1810"/>
        <v>15:17:13.000</v>
      </c>
      <c r="U4569" t="str">
        <f t="shared" si="1801"/>
        <v>A68FCB</v>
      </c>
      <c r="V4569">
        <v>0</v>
      </c>
      <c r="W4569">
        <v>0</v>
      </c>
      <c r="X4569">
        <v>2</v>
      </c>
      <c r="Y4569">
        <v>0</v>
      </c>
      <c r="AA4569">
        <v>1</v>
      </c>
      <c r="AB4569">
        <v>8</v>
      </c>
      <c r="AC4569">
        <v>3</v>
      </c>
      <c r="AD4569">
        <v>0</v>
      </c>
      <c r="AE4569">
        <v>9</v>
      </c>
      <c r="AF4569" t="s">
        <v>138</v>
      </c>
      <c r="AG4569">
        <v>0</v>
      </c>
      <c r="AH4569">
        <v>3</v>
      </c>
      <c r="AI4569">
        <v>2</v>
      </c>
      <c r="AJ4569">
        <v>0</v>
      </c>
      <c r="AK4569" t="s">
        <v>1456</v>
      </c>
      <c r="AL4569">
        <v>39.211019999999998</v>
      </c>
      <c r="AM4569" t="s">
        <v>1457</v>
      </c>
      <c r="AN4569">
        <v>-121.004684</v>
      </c>
      <c r="AO4569">
        <v>25</v>
      </c>
      <c r="AP4569">
        <v>4200</v>
      </c>
      <c r="AQ4569" t="s">
        <v>131</v>
      </c>
      <c r="AR4569">
        <v>26</v>
      </c>
      <c r="AS4569">
        <v>79</v>
      </c>
      <c r="AT4569">
        <v>0</v>
      </c>
      <c r="BB4569" t="str">
        <f t="shared" si="1802"/>
        <v>1200</v>
      </c>
      <c r="BC4569">
        <v>1</v>
      </c>
      <c r="BD4569" t="str">
        <f t="shared" si="1803"/>
        <v xml:space="preserve">N52156  </v>
      </c>
      <c r="BE4569">
        <v>1</v>
      </c>
      <c r="BG4569">
        <v>0</v>
      </c>
      <c r="BH4569">
        <v>0</v>
      </c>
      <c r="BI4569">
        <v>0</v>
      </c>
      <c r="BJ4569">
        <v>4225</v>
      </c>
      <c r="BK4569">
        <v>25</v>
      </c>
      <c r="BL4569" t="s">
        <v>188</v>
      </c>
      <c r="BM4569">
        <v>1</v>
      </c>
      <c r="BN4569">
        <v>1</v>
      </c>
      <c r="BO4569">
        <v>0</v>
      </c>
      <c r="BP4569">
        <v>0</v>
      </c>
      <c r="BS4569">
        <v>0</v>
      </c>
      <c r="BT4569">
        <v>0</v>
      </c>
      <c r="BU4569">
        <v>0</v>
      </c>
      <c r="CE4569" t="str">
        <f t="shared" si="1811"/>
        <v>15:17:13.457</v>
      </c>
      <c r="CF4569">
        <v>457255761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4</v>
      </c>
      <c r="CY4569">
        <v>7</v>
      </c>
      <c r="CZ4569" t="s">
        <v>133</v>
      </c>
      <c r="DA4569">
        <v>275</v>
      </c>
      <c r="DB4569">
        <v>0</v>
      </c>
      <c r="DC4569" t="s">
        <v>134</v>
      </c>
      <c r="DD4569" t="s">
        <v>135</v>
      </c>
      <c r="DG4569">
        <v>3323319</v>
      </c>
      <c r="DI4569">
        <v>1</v>
      </c>
      <c r="DJ4569">
        <v>0</v>
      </c>
      <c r="DK4569">
        <v>1</v>
      </c>
      <c r="DL4569">
        <v>0</v>
      </c>
      <c r="DM4569">
        <v>0</v>
      </c>
      <c r="DN4569">
        <v>0</v>
      </c>
      <c r="DO4569">
        <v>0</v>
      </c>
      <c r="DP4569">
        <v>0</v>
      </c>
      <c r="DQ4569">
        <v>0</v>
      </c>
      <c r="DR4569">
        <v>0</v>
      </c>
      <c r="DS4569">
        <v>0</v>
      </c>
    </row>
    <row r="4570" spans="1:123" x14ac:dyDescent="0.3">
      <c r="A4570" t="str">
        <f>"05/01/2025 15:17:13.672"</f>
        <v>05/01/2025 15:17:13.672</v>
      </c>
      <c r="C4570" t="str">
        <f t="shared" si="1800"/>
        <v>FFDFD3C0</v>
      </c>
      <c r="D4570" t="s">
        <v>145</v>
      </c>
      <c r="E4570" t="str">
        <f>"05"</f>
        <v>05</v>
      </c>
      <c r="H4570">
        <v>47</v>
      </c>
      <c r="I4570" t="s">
        <v>146</v>
      </c>
      <c r="J4570" t="s">
        <v>138</v>
      </c>
      <c r="K4570">
        <v>0</v>
      </c>
      <c r="L4570">
        <v>3</v>
      </c>
      <c r="M4570">
        <v>0</v>
      </c>
      <c r="N4570">
        <v>2</v>
      </c>
      <c r="O4570">
        <v>0</v>
      </c>
      <c r="P4570">
        <v>1</v>
      </c>
      <c r="Q4570">
        <v>0</v>
      </c>
      <c r="R4570" t="s">
        <v>127</v>
      </c>
      <c r="S4570" t="str">
        <f t="shared" si="1810"/>
        <v>15:17:13.000</v>
      </c>
      <c r="T4570" t="str">
        <f t="shared" si="1810"/>
        <v>15:17:13.000</v>
      </c>
      <c r="U4570" t="str">
        <f t="shared" si="1801"/>
        <v>A68FCB</v>
      </c>
      <c r="V4570">
        <v>0</v>
      </c>
      <c r="W4570">
        <v>0</v>
      </c>
      <c r="X4570">
        <v>2</v>
      </c>
      <c r="Y4570">
        <v>0</v>
      </c>
      <c r="AA4570">
        <v>1</v>
      </c>
      <c r="AB4570">
        <v>8</v>
      </c>
      <c r="AC4570">
        <v>3</v>
      </c>
      <c r="AD4570">
        <v>0</v>
      </c>
      <c r="AE4570">
        <v>9</v>
      </c>
      <c r="AF4570" t="s">
        <v>138</v>
      </c>
      <c r="AG4570">
        <v>0</v>
      </c>
      <c r="AH4570">
        <v>3</v>
      </c>
      <c r="AI4570">
        <v>2</v>
      </c>
      <c r="AJ4570">
        <v>0</v>
      </c>
      <c r="AK4570" t="s">
        <v>1456</v>
      </c>
      <c r="AL4570">
        <v>39.211019999999998</v>
      </c>
      <c r="AM4570" t="s">
        <v>1457</v>
      </c>
      <c r="AN4570">
        <v>-121.004684</v>
      </c>
      <c r="AO4570">
        <v>25</v>
      </c>
      <c r="AP4570">
        <v>4200</v>
      </c>
      <c r="AQ4570" t="s">
        <v>131</v>
      </c>
      <c r="AR4570">
        <v>26</v>
      </c>
      <c r="AS4570">
        <v>79</v>
      </c>
      <c r="AT4570">
        <v>0</v>
      </c>
      <c r="BB4570" t="str">
        <f t="shared" si="1802"/>
        <v>1200</v>
      </c>
      <c r="BC4570">
        <v>1</v>
      </c>
      <c r="BD4570" t="str">
        <f t="shared" si="1803"/>
        <v xml:space="preserve">N52156  </v>
      </c>
      <c r="BE4570">
        <v>1</v>
      </c>
      <c r="BG4570">
        <v>0</v>
      </c>
      <c r="BH4570">
        <v>0</v>
      </c>
      <c r="BI4570">
        <v>0</v>
      </c>
      <c r="BJ4570">
        <v>4225</v>
      </c>
      <c r="BK4570">
        <v>25</v>
      </c>
      <c r="BL4570" t="s">
        <v>188</v>
      </c>
      <c r="BM4570">
        <v>1</v>
      </c>
      <c r="BN4570">
        <v>1</v>
      </c>
      <c r="BO4570">
        <v>0</v>
      </c>
      <c r="BP4570">
        <v>0</v>
      </c>
      <c r="BS4570">
        <v>0</v>
      </c>
      <c r="BT4570">
        <v>0</v>
      </c>
      <c r="BU4570">
        <v>0</v>
      </c>
      <c r="CE4570" t="str">
        <f t="shared" si="1811"/>
        <v>15:17:13.457</v>
      </c>
      <c r="CF4570">
        <v>457255761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4</v>
      </c>
      <c r="CY4570">
        <v>7</v>
      </c>
      <c r="CZ4570" t="s">
        <v>133</v>
      </c>
      <c r="DA4570">
        <v>275</v>
      </c>
      <c r="DB4570">
        <v>0</v>
      </c>
      <c r="DC4570" t="s">
        <v>134</v>
      </c>
      <c r="DD4570" t="s">
        <v>135</v>
      </c>
      <c r="DG4570">
        <v>3323319</v>
      </c>
      <c r="DI4570">
        <v>1</v>
      </c>
      <c r="DJ4570">
        <v>0</v>
      </c>
      <c r="DK4570">
        <v>1</v>
      </c>
      <c r="DL4570">
        <v>0</v>
      </c>
      <c r="DM4570">
        <v>0</v>
      </c>
      <c r="DN4570">
        <v>0</v>
      </c>
      <c r="DO4570">
        <v>0</v>
      </c>
      <c r="DP4570">
        <v>0</v>
      </c>
      <c r="DQ4570">
        <v>0</v>
      </c>
      <c r="DR4570">
        <v>0</v>
      </c>
      <c r="DS4570">
        <v>0</v>
      </c>
    </row>
    <row r="4571" spans="1:123" x14ac:dyDescent="0.3">
      <c r="A4571" t="str">
        <f>"05/01/2025 15:17:13.683"</f>
        <v>05/01/2025 15:17:13.683</v>
      </c>
      <c r="C4571" t="str">
        <f t="shared" si="1800"/>
        <v>FFDFD3C0</v>
      </c>
      <c r="D4571" t="s">
        <v>136</v>
      </c>
      <c r="E4571" t="str">
        <f>"20"</f>
        <v>20</v>
      </c>
      <c r="H4571">
        <v>400</v>
      </c>
      <c r="I4571" t="s">
        <v>137</v>
      </c>
      <c r="J4571" t="s">
        <v>138</v>
      </c>
      <c r="K4571">
        <v>0</v>
      </c>
      <c r="L4571">
        <v>3</v>
      </c>
      <c r="M4571">
        <v>0</v>
      </c>
      <c r="N4571">
        <v>2</v>
      </c>
      <c r="O4571">
        <v>0</v>
      </c>
      <c r="P4571">
        <v>1</v>
      </c>
      <c r="Q4571">
        <v>0</v>
      </c>
      <c r="R4571" t="s">
        <v>127</v>
      </c>
      <c r="S4571" t="str">
        <f t="shared" si="1810"/>
        <v>15:17:13.000</v>
      </c>
      <c r="T4571" t="str">
        <f t="shared" si="1810"/>
        <v>15:17:13.000</v>
      </c>
      <c r="U4571" t="str">
        <f t="shared" si="1801"/>
        <v>A68FCB</v>
      </c>
      <c r="V4571">
        <v>0</v>
      </c>
      <c r="W4571">
        <v>0</v>
      </c>
      <c r="X4571">
        <v>2</v>
      </c>
      <c r="Y4571">
        <v>0</v>
      </c>
      <c r="AA4571">
        <v>1</v>
      </c>
      <c r="AB4571">
        <v>8</v>
      </c>
      <c r="AC4571">
        <v>3</v>
      </c>
      <c r="AD4571">
        <v>0</v>
      </c>
      <c r="AE4571">
        <v>9</v>
      </c>
      <c r="AF4571" t="s">
        <v>138</v>
      </c>
      <c r="AG4571">
        <v>0</v>
      </c>
      <c r="AH4571">
        <v>3</v>
      </c>
      <c r="AI4571">
        <v>2</v>
      </c>
      <c r="AJ4571">
        <v>0</v>
      </c>
      <c r="AK4571" t="s">
        <v>1456</v>
      </c>
      <c r="AL4571">
        <v>39.211019999999998</v>
      </c>
      <c r="AM4571" t="s">
        <v>1457</v>
      </c>
      <c r="AN4571">
        <v>-121.004684</v>
      </c>
      <c r="AO4571">
        <v>25</v>
      </c>
      <c r="AP4571">
        <v>4200</v>
      </c>
      <c r="AQ4571" t="s">
        <v>131</v>
      </c>
      <c r="AR4571">
        <v>26</v>
      </c>
      <c r="AS4571">
        <v>79</v>
      </c>
      <c r="AT4571">
        <v>0</v>
      </c>
      <c r="BB4571" t="str">
        <f t="shared" si="1802"/>
        <v>1200</v>
      </c>
      <c r="BC4571">
        <v>1</v>
      </c>
      <c r="BD4571" t="str">
        <f t="shared" si="1803"/>
        <v xml:space="preserve">N52156  </v>
      </c>
      <c r="BE4571">
        <v>1</v>
      </c>
      <c r="BG4571">
        <v>0</v>
      </c>
      <c r="BH4571">
        <v>0</v>
      </c>
      <c r="BI4571">
        <v>0</v>
      </c>
      <c r="BJ4571">
        <v>4225</v>
      </c>
      <c r="BK4571">
        <v>25</v>
      </c>
      <c r="BL4571" t="s">
        <v>188</v>
      </c>
      <c r="BM4571">
        <v>1</v>
      </c>
      <c r="BN4571">
        <v>1</v>
      </c>
      <c r="BO4571">
        <v>0</v>
      </c>
      <c r="BP4571">
        <v>0</v>
      </c>
      <c r="BS4571">
        <v>0</v>
      </c>
      <c r="BT4571">
        <v>0</v>
      </c>
      <c r="BU4571">
        <v>0</v>
      </c>
      <c r="CE4571" t="str">
        <f t="shared" si="1811"/>
        <v>15:17:13.457</v>
      </c>
      <c r="CF4571">
        <v>457255761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4</v>
      </c>
      <c r="CY4571">
        <v>7</v>
      </c>
      <c r="CZ4571" t="s">
        <v>133</v>
      </c>
      <c r="DA4571">
        <v>275</v>
      </c>
      <c r="DB4571">
        <v>0</v>
      </c>
      <c r="DC4571" t="s">
        <v>134</v>
      </c>
      <c r="DD4571" t="s">
        <v>135</v>
      </c>
      <c r="DG4571">
        <v>3323319</v>
      </c>
      <c r="DI4571">
        <v>1</v>
      </c>
      <c r="DJ4571">
        <v>0</v>
      </c>
      <c r="DK4571">
        <v>1</v>
      </c>
      <c r="DL4571">
        <v>0</v>
      </c>
      <c r="DM4571">
        <v>0</v>
      </c>
      <c r="DN4571">
        <v>0</v>
      </c>
      <c r="DO4571">
        <v>0</v>
      </c>
      <c r="DP4571">
        <v>0</v>
      </c>
      <c r="DQ4571">
        <v>0</v>
      </c>
      <c r="DR4571">
        <v>0</v>
      </c>
      <c r="DS4571">
        <v>0</v>
      </c>
    </row>
    <row r="4572" spans="1:123" x14ac:dyDescent="0.3">
      <c r="A4572" t="str">
        <f>"05/01/2025 15:17:13.698"</f>
        <v>05/01/2025 15:17:13.698</v>
      </c>
      <c r="C4572" t="str">
        <f t="shared" si="1800"/>
        <v>FFDFD3C0</v>
      </c>
      <c r="D4572" t="s">
        <v>140</v>
      </c>
      <c r="E4572" t="str">
        <f>"13"</f>
        <v>13</v>
      </c>
      <c r="F4572">
        <v>1019</v>
      </c>
      <c r="G4572" t="s">
        <v>141</v>
      </c>
      <c r="J4572" t="s">
        <v>142</v>
      </c>
      <c r="K4572">
        <v>0</v>
      </c>
      <c r="L4572">
        <v>3</v>
      </c>
      <c r="M4572">
        <v>0</v>
      </c>
      <c r="N4572">
        <v>2</v>
      </c>
      <c r="O4572">
        <v>0</v>
      </c>
      <c r="P4572">
        <v>1</v>
      </c>
      <c r="Q4572">
        <v>0</v>
      </c>
      <c r="R4572" t="s">
        <v>127</v>
      </c>
      <c r="S4572" t="str">
        <f t="shared" si="1810"/>
        <v>15:17:13.000</v>
      </c>
      <c r="T4572" t="str">
        <f t="shared" si="1810"/>
        <v>15:17:13.000</v>
      </c>
      <c r="U4572" t="str">
        <f t="shared" si="1801"/>
        <v>A68FCB</v>
      </c>
      <c r="V4572">
        <v>0</v>
      </c>
      <c r="W4572">
        <v>0</v>
      </c>
      <c r="X4572">
        <v>2</v>
      </c>
      <c r="Y4572">
        <v>0</v>
      </c>
      <c r="AA4572">
        <v>1</v>
      </c>
      <c r="AB4572">
        <v>8</v>
      </c>
      <c r="AC4572">
        <v>3</v>
      </c>
      <c r="AD4572">
        <v>0</v>
      </c>
      <c r="AE4572">
        <v>9</v>
      </c>
      <c r="AF4572" t="s">
        <v>138</v>
      </c>
      <c r="AG4572">
        <v>0</v>
      </c>
      <c r="AH4572">
        <v>3</v>
      </c>
      <c r="AI4572">
        <v>2</v>
      </c>
      <c r="AJ4572">
        <v>0</v>
      </c>
      <c r="AK4572" t="s">
        <v>1456</v>
      </c>
      <c r="AL4572">
        <v>39.211019999999998</v>
      </c>
      <c r="AM4572" t="s">
        <v>1457</v>
      </c>
      <c r="AN4572">
        <v>-121.004684</v>
      </c>
      <c r="AO4572">
        <v>25</v>
      </c>
      <c r="AP4572">
        <v>4200</v>
      </c>
      <c r="AQ4572" t="s">
        <v>131</v>
      </c>
      <c r="AR4572">
        <v>26</v>
      </c>
      <c r="AS4572">
        <v>79</v>
      </c>
      <c r="AT4572">
        <v>0</v>
      </c>
      <c r="BB4572" t="str">
        <f t="shared" si="1802"/>
        <v>1200</v>
      </c>
      <c r="BC4572">
        <v>1</v>
      </c>
      <c r="BD4572" t="str">
        <f t="shared" si="1803"/>
        <v xml:space="preserve">N52156  </v>
      </c>
      <c r="BE4572">
        <v>1</v>
      </c>
      <c r="BG4572">
        <v>0</v>
      </c>
      <c r="BH4572">
        <v>0</v>
      </c>
      <c r="BI4572">
        <v>0</v>
      </c>
      <c r="BJ4572">
        <v>4225</v>
      </c>
      <c r="BK4572">
        <v>25</v>
      </c>
      <c r="BL4572" t="s">
        <v>188</v>
      </c>
      <c r="BM4572">
        <v>1</v>
      </c>
      <c r="BN4572">
        <v>1</v>
      </c>
      <c r="BO4572">
        <v>0</v>
      </c>
      <c r="BP4572">
        <v>0</v>
      </c>
      <c r="BS4572">
        <v>0</v>
      </c>
      <c r="BT4572">
        <v>0</v>
      </c>
      <c r="BU4572">
        <v>0</v>
      </c>
      <c r="CE4572" t="str">
        <f t="shared" si="1811"/>
        <v>15:17:13.457</v>
      </c>
      <c r="CF4572">
        <v>457255761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4</v>
      </c>
      <c r="CY4572">
        <v>7</v>
      </c>
      <c r="CZ4572" t="s">
        <v>133</v>
      </c>
      <c r="DA4572">
        <v>275</v>
      </c>
      <c r="DB4572">
        <v>0</v>
      </c>
      <c r="DC4572" t="s">
        <v>134</v>
      </c>
      <c r="DD4572" t="s">
        <v>135</v>
      </c>
      <c r="DG4572">
        <v>3323319</v>
      </c>
      <c r="DI4572">
        <v>1</v>
      </c>
      <c r="DJ4572">
        <v>0</v>
      </c>
      <c r="DK4572">
        <v>1</v>
      </c>
      <c r="DL4572">
        <v>0</v>
      </c>
      <c r="DM4572">
        <v>0</v>
      </c>
      <c r="DN4572">
        <v>0</v>
      </c>
      <c r="DO4572">
        <v>0</v>
      </c>
      <c r="DP4572">
        <v>0</v>
      </c>
      <c r="DQ4572">
        <v>0</v>
      </c>
      <c r="DR4572">
        <v>0</v>
      </c>
      <c r="DS4572">
        <v>0</v>
      </c>
    </row>
    <row r="4573" spans="1:123" x14ac:dyDescent="0.3">
      <c r="A4573" t="str">
        <f>"05/01/2025 15:17:13.698"</f>
        <v>05/01/2025 15:17:13.698</v>
      </c>
      <c r="C4573" t="str">
        <f t="shared" si="1800"/>
        <v>FFDFD3C0</v>
      </c>
      <c r="D4573" t="s">
        <v>124</v>
      </c>
      <c r="E4573" t="str">
        <f>"06"</f>
        <v>06</v>
      </c>
      <c r="F4573">
        <v>2006</v>
      </c>
      <c r="G4573" t="s">
        <v>125</v>
      </c>
      <c r="J4573" t="s">
        <v>126</v>
      </c>
      <c r="K4573">
        <v>0</v>
      </c>
      <c r="L4573">
        <v>3</v>
      </c>
      <c r="M4573">
        <v>0</v>
      </c>
      <c r="N4573">
        <v>2</v>
      </c>
      <c r="O4573">
        <v>0</v>
      </c>
      <c r="P4573">
        <v>1</v>
      </c>
      <c r="Q4573">
        <v>0</v>
      </c>
      <c r="R4573" t="s">
        <v>127</v>
      </c>
      <c r="S4573" t="str">
        <f t="shared" si="1810"/>
        <v>15:17:13.000</v>
      </c>
      <c r="T4573" t="str">
        <f t="shared" si="1810"/>
        <v>15:17:13.000</v>
      </c>
      <c r="U4573" t="str">
        <f t="shared" si="1801"/>
        <v>A68FCB</v>
      </c>
      <c r="V4573">
        <v>0</v>
      </c>
      <c r="W4573">
        <v>0</v>
      </c>
      <c r="X4573">
        <v>2</v>
      </c>
      <c r="Y4573">
        <v>0</v>
      </c>
      <c r="AA4573">
        <v>1</v>
      </c>
      <c r="AB4573">
        <v>8</v>
      </c>
      <c r="AC4573">
        <v>3</v>
      </c>
      <c r="AD4573">
        <v>0</v>
      </c>
      <c r="AE4573">
        <v>9</v>
      </c>
      <c r="AF4573" t="s">
        <v>138</v>
      </c>
      <c r="AG4573">
        <v>0</v>
      </c>
      <c r="AH4573">
        <v>3</v>
      </c>
      <c r="AI4573">
        <v>2</v>
      </c>
      <c r="AJ4573">
        <v>0</v>
      </c>
      <c r="AK4573" t="s">
        <v>1456</v>
      </c>
      <c r="AL4573">
        <v>39.211019999999998</v>
      </c>
      <c r="AM4573" t="s">
        <v>1457</v>
      </c>
      <c r="AN4573">
        <v>-121.004684</v>
      </c>
      <c r="AO4573">
        <v>25</v>
      </c>
      <c r="AP4573">
        <v>4200</v>
      </c>
      <c r="AQ4573" t="s">
        <v>131</v>
      </c>
      <c r="AR4573">
        <v>26</v>
      </c>
      <c r="AS4573">
        <v>79</v>
      </c>
      <c r="AT4573">
        <v>0</v>
      </c>
      <c r="BB4573" t="str">
        <f t="shared" si="1802"/>
        <v>1200</v>
      </c>
      <c r="BC4573">
        <v>1</v>
      </c>
      <c r="BD4573" t="str">
        <f t="shared" si="1803"/>
        <v xml:space="preserve">N52156  </v>
      </c>
      <c r="BE4573">
        <v>1</v>
      </c>
      <c r="BG4573">
        <v>0</v>
      </c>
      <c r="BH4573">
        <v>0</v>
      </c>
      <c r="BI4573">
        <v>0</v>
      </c>
      <c r="BJ4573">
        <v>4225</v>
      </c>
      <c r="BK4573">
        <v>25</v>
      </c>
      <c r="BL4573" t="s">
        <v>188</v>
      </c>
      <c r="BM4573">
        <v>1</v>
      </c>
      <c r="BN4573">
        <v>1</v>
      </c>
      <c r="BO4573">
        <v>0</v>
      </c>
      <c r="BP4573">
        <v>0</v>
      </c>
      <c r="BS4573">
        <v>0</v>
      </c>
      <c r="BT4573">
        <v>0</v>
      </c>
      <c r="BU4573">
        <v>0</v>
      </c>
      <c r="CE4573" t="str">
        <f t="shared" si="1811"/>
        <v>15:17:13.457</v>
      </c>
      <c r="CF4573">
        <v>457255761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4</v>
      </c>
      <c r="CY4573">
        <v>7</v>
      </c>
      <c r="CZ4573" t="s">
        <v>133</v>
      </c>
      <c r="DA4573">
        <v>275</v>
      </c>
      <c r="DB4573">
        <v>0</v>
      </c>
      <c r="DC4573" t="s">
        <v>134</v>
      </c>
      <c r="DD4573" t="s">
        <v>135</v>
      </c>
      <c r="DG4573">
        <v>3323319</v>
      </c>
      <c r="DI4573">
        <v>1</v>
      </c>
      <c r="DJ4573">
        <v>0</v>
      </c>
      <c r="DK4573">
        <v>1</v>
      </c>
      <c r="DL4573">
        <v>0</v>
      </c>
      <c r="DM4573">
        <v>0</v>
      </c>
      <c r="DN4573">
        <v>0</v>
      </c>
      <c r="DO4573">
        <v>0</v>
      </c>
      <c r="DP4573">
        <v>0</v>
      </c>
      <c r="DQ4573">
        <v>0</v>
      </c>
      <c r="DR4573">
        <v>0</v>
      </c>
      <c r="DS4573">
        <v>0</v>
      </c>
    </row>
    <row r="4574" spans="1:123" x14ac:dyDescent="0.3">
      <c r="A4574" t="str">
        <f>"05/01/2025 15:17:14.800"</f>
        <v>05/01/2025 15:17:14.800</v>
      </c>
      <c r="C4574" t="str">
        <f t="shared" si="1800"/>
        <v>FFDFD3C0</v>
      </c>
      <c r="D4574" t="s">
        <v>140</v>
      </c>
      <c r="E4574" t="str">
        <f>"13"</f>
        <v>13</v>
      </c>
      <c r="F4574">
        <v>1019</v>
      </c>
      <c r="G4574" t="s">
        <v>141</v>
      </c>
      <c r="J4574" t="s">
        <v>142</v>
      </c>
      <c r="K4574">
        <v>0</v>
      </c>
      <c r="L4574">
        <v>3</v>
      </c>
      <c r="M4574">
        <v>0</v>
      </c>
      <c r="N4574">
        <v>2</v>
      </c>
      <c r="O4574">
        <v>0</v>
      </c>
      <c r="P4574">
        <v>1</v>
      </c>
      <c r="Q4574">
        <v>0</v>
      </c>
      <c r="R4574" t="s">
        <v>127</v>
      </c>
      <c r="S4574" t="str">
        <f t="shared" ref="S4574:T4579" si="1812">"15:17:14.000"</f>
        <v>15:17:14.000</v>
      </c>
      <c r="T4574" t="str">
        <f t="shared" si="1812"/>
        <v>15:17:14.000</v>
      </c>
      <c r="U4574" t="str">
        <f t="shared" si="1801"/>
        <v>A68FCB</v>
      </c>
      <c r="V4574">
        <v>0</v>
      </c>
      <c r="W4574">
        <v>0</v>
      </c>
      <c r="X4574">
        <v>2</v>
      </c>
      <c r="Y4574">
        <v>0</v>
      </c>
      <c r="AA4574">
        <v>1</v>
      </c>
      <c r="AB4574">
        <v>8</v>
      </c>
      <c r="AC4574">
        <v>3</v>
      </c>
      <c r="AD4574">
        <v>0</v>
      </c>
      <c r="AE4574">
        <v>9</v>
      </c>
      <c r="AF4574" t="s">
        <v>138</v>
      </c>
      <c r="AG4574">
        <v>0</v>
      </c>
      <c r="AH4574">
        <v>3</v>
      </c>
      <c r="AI4574">
        <v>2</v>
      </c>
      <c r="AJ4574">
        <v>0</v>
      </c>
      <c r="AK4574" t="s">
        <v>1458</v>
      </c>
      <c r="AL4574">
        <v>39.211407000000001</v>
      </c>
      <c r="AM4574" t="s">
        <v>1459</v>
      </c>
      <c r="AN4574">
        <v>-121.00453400000001</v>
      </c>
      <c r="AO4574">
        <v>25</v>
      </c>
      <c r="AP4574">
        <v>4200</v>
      </c>
      <c r="AQ4574" t="s">
        <v>131</v>
      </c>
      <c r="AR4574">
        <v>24</v>
      </c>
      <c r="AS4574">
        <v>80</v>
      </c>
      <c r="AT4574">
        <v>0</v>
      </c>
      <c r="BB4574" t="str">
        <f t="shared" si="1802"/>
        <v>1200</v>
      </c>
      <c r="BC4574">
        <v>1</v>
      </c>
      <c r="BD4574" t="str">
        <f t="shared" si="1803"/>
        <v xml:space="preserve">N52156  </v>
      </c>
      <c r="BE4574">
        <v>1</v>
      </c>
      <c r="BG4574">
        <v>0</v>
      </c>
      <c r="BH4574">
        <v>0</v>
      </c>
      <c r="BI4574">
        <v>0</v>
      </c>
      <c r="BJ4574">
        <v>4225</v>
      </c>
      <c r="BK4574">
        <v>25</v>
      </c>
      <c r="BL4574" t="s">
        <v>188</v>
      </c>
      <c r="BM4574">
        <v>1</v>
      </c>
      <c r="BN4574">
        <v>1</v>
      </c>
      <c r="BO4574">
        <v>0</v>
      </c>
      <c r="BP4574">
        <v>0</v>
      </c>
      <c r="BS4574">
        <v>0</v>
      </c>
      <c r="BT4574">
        <v>0</v>
      </c>
      <c r="BU4574">
        <v>0</v>
      </c>
      <c r="CE4574" t="str">
        <f t="shared" ref="CE4574:CE4579" si="1813">"15:17:14.599"</f>
        <v>15:17:14.599</v>
      </c>
      <c r="CF4574">
        <v>599256229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4</v>
      </c>
      <c r="CY4574">
        <v>7</v>
      </c>
      <c r="CZ4574" t="s">
        <v>133</v>
      </c>
      <c r="DA4574">
        <v>275</v>
      </c>
      <c r="DB4574">
        <v>0</v>
      </c>
      <c r="DC4574" t="s">
        <v>134</v>
      </c>
      <c r="DD4574" t="s">
        <v>135</v>
      </c>
      <c r="DG4574">
        <v>3323320</v>
      </c>
      <c r="DI4574">
        <v>1</v>
      </c>
      <c r="DJ4574">
        <v>0</v>
      </c>
      <c r="DK4574">
        <v>0</v>
      </c>
      <c r="DL4574">
        <v>0</v>
      </c>
      <c r="DM4574">
        <v>0</v>
      </c>
      <c r="DN4574">
        <v>0</v>
      </c>
      <c r="DO4574">
        <v>0</v>
      </c>
      <c r="DP4574">
        <v>0</v>
      </c>
      <c r="DQ4574">
        <v>0</v>
      </c>
      <c r="DR4574">
        <v>0</v>
      </c>
      <c r="DS4574">
        <v>0</v>
      </c>
    </row>
    <row r="4575" spans="1:123" x14ac:dyDescent="0.3">
      <c r="A4575" t="str">
        <f>"05/01/2025 15:17:14.800"</f>
        <v>05/01/2025 15:17:14.800</v>
      </c>
      <c r="C4575" t="str">
        <f t="shared" si="1800"/>
        <v>FFDFD3C0</v>
      </c>
      <c r="D4575" t="s">
        <v>124</v>
      </c>
      <c r="E4575" t="str">
        <f>"06"</f>
        <v>06</v>
      </c>
      <c r="F4575">
        <v>2006</v>
      </c>
      <c r="G4575" t="s">
        <v>125</v>
      </c>
      <c r="J4575" t="s">
        <v>126</v>
      </c>
      <c r="K4575">
        <v>0</v>
      </c>
      <c r="L4575">
        <v>3</v>
      </c>
      <c r="M4575">
        <v>0</v>
      </c>
      <c r="N4575">
        <v>2</v>
      </c>
      <c r="O4575">
        <v>0</v>
      </c>
      <c r="P4575">
        <v>1</v>
      </c>
      <c r="Q4575">
        <v>0</v>
      </c>
      <c r="R4575" t="s">
        <v>127</v>
      </c>
      <c r="S4575" t="str">
        <f t="shared" si="1812"/>
        <v>15:17:14.000</v>
      </c>
      <c r="T4575" t="str">
        <f t="shared" si="1812"/>
        <v>15:17:14.000</v>
      </c>
      <c r="U4575" t="str">
        <f t="shared" si="1801"/>
        <v>A68FCB</v>
      </c>
      <c r="V4575">
        <v>0</v>
      </c>
      <c r="W4575">
        <v>0</v>
      </c>
      <c r="X4575">
        <v>2</v>
      </c>
      <c r="Y4575">
        <v>0</v>
      </c>
      <c r="AA4575">
        <v>1</v>
      </c>
      <c r="AB4575">
        <v>8</v>
      </c>
      <c r="AC4575">
        <v>3</v>
      </c>
      <c r="AD4575">
        <v>0</v>
      </c>
      <c r="AE4575">
        <v>9</v>
      </c>
      <c r="AF4575" t="s">
        <v>138</v>
      </c>
      <c r="AG4575">
        <v>0</v>
      </c>
      <c r="AH4575">
        <v>3</v>
      </c>
      <c r="AI4575">
        <v>2</v>
      </c>
      <c r="AJ4575">
        <v>0</v>
      </c>
      <c r="AK4575" t="s">
        <v>1458</v>
      </c>
      <c r="AL4575">
        <v>39.211407000000001</v>
      </c>
      <c r="AM4575" t="s">
        <v>1459</v>
      </c>
      <c r="AN4575">
        <v>-121.00453400000001</v>
      </c>
      <c r="AO4575">
        <v>25</v>
      </c>
      <c r="AP4575">
        <v>4200</v>
      </c>
      <c r="AQ4575" t="s">
        <v>131</v>
      </c>
      <c r="AR4575">
        <v>24</v>
      </c>
      <c r="AS4575">
        <v>80</v>
      </c>
      <c r="AT4575">
        <v>0</v>
      </c>
      <c r="BB4575" t="str">
        <f t="shared" si="1802"/>
        <v>1200</v>
      </c>
      <c r="BC4575">
        <v>1</v>
      </c>
      <c r="BD4575" t="str">
        <f t="shared" si="1803"/>
        <v xml:space="preserve">N52156  </v>
      </c>
      <c r="BE4575">
        <v>1</v>
      </c>
      <c r="BG4575">
        <v>0</v>
      </c>
      <c r="BH4575">
        <v>0</v>
      </c>
      <c r="BI4575">
        <v>0</v>
      </c>
      <c r="BJ4575">
        <v>4225</v>
      </c>
      <c r="BK4575">
        <v>25</v>
      </c>
      <c r="BL4575" t="s">
        <v>188</v>
      </c>
      <c r="BM4575">
        <v>1</v>
      </c>
      <c r="BN4575">
        <v>1</v>
      </c>
      <c r="BO4575">
        <v>0</v>
      </c>
      <c r="BP4575">
        <v>0</v>
      </c>
      <c r="BS4575">
        <v>0</v>
      </c>
      <c r="BT4575">
        <v>0</v>
      </c>
      <c r="BU4575">
        <v>0</v>
      </c>
      <c r="CE4575" t="str">
        <f t="shared" si="1813"/>
        <v>15:17:14.599</v>
      </c>
      <c r="CF4575">
        <v>599256229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4</v>
      </c>
      <c r="CY4575">
        <v>7</v>
      </c>
      <c r="CZ4575" t="s">
        <v>133</v>
      </c>
      <c r="DA4575">
        <v>275</v>
      </c>
      <c r="DB4575">
        <v>0</v>
      </c>
      <c r="DC4575" t="s">
        <v>134</v>
      </c>
      <c r="DD4575" t="s">
        <v>135</v>
      </c>
      <c r="DG4575">
        <v>3323320</v>
      </c>
      <c r="DI4575">
        <v>1</v>
      </c>
      <c r="DJ4575">
        <v>0</v>
      </c>
      <c r="DK4575">
        <v>1</v>
      </c>
      <c r="DL4575">
        <v>0</v>
      </c>
      <c r="DM4575">
        <v>0</v>
      </c>
      <c r="DN4575">
        <v>0</v>
      </c>
      <c r="DO4575">
        <v>0</v>
      </c>
      <c r="DP4575">
        <v>0</v>
      </c>
      <c r="DQ4575">
        <v>0</v>
      </c>
      <c r="DR4575">
        <v>0</v>
      </c>
      <c r="DS4575">
        <v>0</v>
      </c>
    </row>
    <row r="4576" spans="1:123" x14ac:dyDescent="0.3">
      <c r="A4576" t="str">
        <f>"05/01/2025 15:17:14.807"</f>
        <v>05/01/2025 15:17:14.807</v>
      </c>
      <c r="C4576" t="str">
        <f t="shared" si="1800"/>
        <v>FFDFD3C0</v>
      </c>
      <c r="D4576" t="s">
        <v>143</v>
      </c>
      <c r="E4576" t="str">
        <f>"05"</f>
        <v>05</v>
      </c>
      <c r="H4576">
        <v>172</v>
      </c>
      <c r="I4576" t="s">
        <v>141</v>
      </c>
      <c r="J4576" t="s">
        <v>144</v>
      </c>
      <c r="K4576">
        <v>0</v>
      </c>
      <c r="L4576">
        <v>3</v>
      </c>
      <c r="M4576">
        <v>0</v>
      </c>
      <c r="N4576">
        <v>2</v>
      </c>
      <c r="O4576">
        <v>0</v>
      </c>
      <c r="P4576">
        <v>1</v>
      </c>
      <c r="Q4576">
        <v>0</v>
      </c>
      <c r="R4576" t="s">
        <v>127</v>
      </c>
      <c r="S4576" t="str">
        <f t="shared" si="1812"/>
        <v>15:17:14.000</v>
      </c>
      <c r="T4576" t="str">
        <f t="shared" si="1812"/>
        <v>15:17:14.000</v>
      </c>
      <c r="U4576" t="str">
        <f t="shared" si="1801"/>
        <v>A68FCB</v>
      </c>
      <c r="V4576">
        <v>0</v>
      </c>
      <c r="W4576">
        <v>0</v>
      </c>
      <c r="X4576">
        <v>2</v>
      </c>
      <c r="Y4576">
        <v>0</v>
      </c>
      <c r="AA4576">
        <v>1</v>
      </c>
      <c r="AB4576">
        <v>8</v>
      </c>
      <c r="AC4576">
        <v>3</v>
      </c>
      <c r="AD4576">
        <v>0</v>
      </c>
      <c r="AE4576">
        <v>9</v>
      </c>
      <c r="AF4576" t="s">
        <v>138</v>
      </c>
      <c r="AG4576">
        <v>0</v>
      </c>
      <c r="AH4576">
        <v>3</v>
      </c>
      <c r="AI4576">
        <v>2</v>
      </c>
      <c r="AJ4576">
        <v>0</v>
      </c>
      <c r="AK4576" t="s">
        <v>1458</v>
      </c>
      <c r="AL4576">
        <v>39.211407000000001</v>
      </c>
      <c r="AM4576" t="s">
        <v>1459</v>
      </c>
      <c r="AN4576">
        <v>-121.00453400000001</v>
      </c>
      <c r="AO4576">
        <v>25</v>
      </c>
      <c r="AP4576">
        <v>4200</v>
      </c>
      <c r="AQ4576" t="s">
        <v>131</v>
      </c>
      <c r="AR4576">
        <v>24</v>
      </c>
      <c r="AS4576">
        <v>80</v>
      </c>
      <c r="AT4576">
        <v>0</v>
      </c>
      <c r="BB4576" t="str">
        <f t="shared" si="1802"/>
        <v>1200</v>
      </c>
      <c r="BC4576">
        <v>1</v>
      </c>
      <c r="BD4576" t="str">
        <f t="shared" si="1803"/>
        <v xml:space="preserve">N52156  </v>
      </c>
      <c r="BE4576">
        <v>1</v>
      </c>
      <c r="BG4576">
        <v>0</v>
      </c>
      <c r="BH4576">
        <v>0</v>
      </c>
      <c r="BI4576">
        <v>0</v>
      </c>
      <c r="BJ4576">
        <v>4225</v>
      </c>
      <c r="BK4576">
        <v>25</v>
      </c>
      <c r="BL4576" t="s">
        <v>188</v>
      </c>
      <c r="BM4576">
        <v>1</v>
      </c>
      <c r="BN4576">
        <v>1</v>
      </c>
      <c r="BO4576">
        <v>0</v>
      </c>
      <c r="BP4576">
        <v>0</v>
      </c>
      <c r="BS4576">
        <v>0</v>
      </c>
      <c r="BT4576">
        <v>0</v>
      </c>
      <c r="BU4576">
        <v>0</v>
      </c>
      <c r="CE4576" t="str">
        <f t="shared" si="1813"/>
        <v>15:17:14.599</v>
      </c>
      <c r="CF4576">
        <v>599256229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4</v>
      </c>
      <c r="CY4576">
        <v>7</v>
      </c>
      <c r="CZ4576" t="s">
        <v>133</v>
      </c>
      <c r="DA4576">
        <v>275</v>
      </c>
      <c r="DB4576">
        <v>0</v>
      </c>
      <c r="DC4576" t="s">
        <v>134</v>
      </c>
      <c r="DD4576" t="s">
        <v>135</v>
      </c>
      <c r="DG4576">
        <v>3323320</v>
      </c>
      <c r="DI4576">
        <v>1</v>
      </c>
      <c r="DJ4576">
        <v>0</v>
      </c>
      <c r="DK4576">
        <v>1</v>
      </c>
      <c r="DL4576">
        <v>0</v>
      </c>
      <c r="DM4576">
        <v>0</v>
      </c>
      <c r="DN4576">
        <v>0</v>
      </c>
      <c r="DO4576">
        <v>0</v>
      </c>
      <c r="DP4576">
        <v>0</v>
      </c>
      <c r="DQ4576">
        <v>0</v>
      </c>
      <c r="DR4576">
        <v>0</v>
      </c>
      <c r="DS4576">
        <v>0</v>
      </c>
    </row>
    <row r="4577" spans="1:123" x14ac:dyDescent="0.3">
      <c r="A4577" t="str">
        <f>"05/01/2025 15:17:14.819"</f>
        <v>05/01/2025 15:17:14.819</v>
      </c>
      <c r="C4577" t="str">
        <f t="shared" si="1800"/>
        <v>FFDFD3C0</v>
      </c>
      <c r="D4577" t="s">
        <v>145</v>
      </c>
      <c r="E4577" t="str">
        <f>"09"</f>
        <v>09</v>
      </c>
      <c r="H4577">
        <v>51</v>
      </c>
      <c r="I4577" t="s">
        <v>147</v>
      </c>
      <c r="J4577" t="s">
        <v>138</v>
      </c>
      <c r="K4577">
        <v>0</v>
      </c>
      <c r="L4577">
        <v>3</v>
      </c>
      <c r="M4577">
        <v>0</v>
      </c>
      <c r="N4577">
        <v>2</v>
      </c>
      <c r="O4577">
        <v>0</v>
      </c>
      <c r="P4577">
        <v>1</v>
      </c>
      <c r="Q4577">
        <v>0</v>
      </c>
      <c r="R4577" t="s">
        <v>127</v>
      </c>
      <c r="S4577" t="str">
        <f t="shared" si="1812"/>
        <v>15:17:14.000</v>
      </c>
      <c r="T4577" t="str">
        <f t="shared" si="1812"/>
        <v>15:17:14.000</v>
      </c>
      <c r="U4577" t="str">
        <f t="shared" si="1801"/>
        <v>A68FCB</v>
      </c>
      <c r="V4577">
        <v>0</v>
      </c>
      <c r="W4577">
        <v>0</v>
      </c>
      <c r="X4577">
        <v>2</v>
      </c>
      <c r="Y4577">
        <v>0</v>
      </c>
      <c r="AA4577">
        <v>1</v>
      </c>
      <c r="AB4577">
        <v>8</v>
      </c>
      <c r="AC4577">
        <v>3</v>
      </c>
      <c r="AD4577">
        <v>0</v>
      </c>
      <c r="AE4577">
        <v>9</v>
      </c>
      <c r="AF4577" t="s">
        <v>138</v>
      </c>
      <c r="AG4577">
        <v>0</v>
      </c>
      <c r="AH4577">
        <v>3</v>
      </c>
      <c r="AI4577">
        <v>2</v>
      </c>
      <c r="AJ4577">
        <v>0</v>
      </c>
      <c r="AK4577" t="s">
        <v>1458</v>
      </c>
      <c r="AL4577">
        <v>39.211407000000001</v>
      </c>
      <c r="AM4577" t="s">
        <v>1459</v>
      </c>
      <c r="AN4577">
        <v>-121.00453400000001</v>
      </c>
      <c r="AO4577">
        <v>25</v>
      </c>
      <c r="AP4577">
        <v>4200</v>
      </c>
      <c r="AQ4577" t="s">
        <v>131</v>
      </c>
      <c r="AR4577">
        <v>24</v>
      </c>
      <c r="AS4577">
        <v>80</v>
      </c>
      <c r="AT4577">
        <v>0</v>
      </c>
      <c r="BB4577" t="str">
        <f t="shared" si="1802"/>
        <v>1200</v>
      </c>
      <c r="BC4577">
        <v>1</v>
      </c>
      <c r="BD4577" t="str">
        <f t="shared" si="1803"/>
        <v xml:space="preserve">N52156  </v>
      </c>
      <c r="BE4577">
        <v>1</v>
      </c>
      <c r="BG4577">
        <v>0</v>
      </c>
      <c r="BH4577">
        <v>0</v>
      </c>
      <c r="BI4577">
        <v>0</v>
      </c>
      <c r="BJ4577">
        <v>4225</v>
      </c>
      <c r="BK4577">
        <v>25</v>
      </c>
      <c r="BL4577" t="s">
        <v>188</v>
      </c>
      <c r="BM4577">
        <v>1</v>
      </c>
      <c r="BN4577">
        <v>1</v>
      </c>
      <c r="BO4577">
        <v>0</v>
      </c>
      <c r="BP4577">
        <v>0</v>
      </c>
      <c r="BS4577">
        <v>0</v>
      </c>
      <c r="BT4577">
        <v>0</v>
      </c>
      <c r="BU4577">
        <v>0</v>
      </c>
      <c r="CE4577" t="str">
        <f t="shared" si="1813"/>
        <v>15:17:14.599</v>
      </c>
      <c r="CF4577">
        <v>599256229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4</v>
      </c>
      <c r="CY4577">
        <v>7</v>
      </c>
      <c r="CZ4577" t="s">
        <v>133</v>
      </c>
      <c r="DA4577">
        <v>275</v>
      </c>
      <c r="DB4577">
        <v>0</v>
      </c>
      <c r="DC4577" t="s">
        <v>134</v>
      </c>
      <c r="DD4577" t="s">
        <v>135</v>
      </c>
      <c r="DG4577">
        <v>3323320</v>
      </c>
      <c r="DI4577">
        <v>1</v>
      </c>
      <c r="DJ4577">
        <v>0</v>
      </c>
      <c r="DK4577">
        <v>1</v>
      </c>
      <c r="DL4577">
        <v>0</v>
      </c>
      <c r="DM4577">
        <v>0</v>
      </c>
      <c r="DN4577">
        <v>0</v>
      </c>
      <c r="DO4577">
        <v>0</v>
      </c>
      <c r="DP4577">
        <v>0</v>
      </c>
      <c r="DQ4577">
        <v>0</v>
      </c>
      <c r="DR4577">
        <v>0</v>
      </c>
      <c r="DS4577">
        <v>0</v>
      </c>
    </row>
    <row r="4578" spans="1:123" x14ac:dyDescent="0.3">
      <c r="A4578" t="str">
        <f>"05/01/2025 15:17:14.824"</f>
        <v>05/01/2025 15:17:14.824</v>
      </c>
      <c r="C4578" t="str">
        <f t="shared" si="1800"/>
        <v>FFDFD3C0</v>
      </c>
      <c r="D4578" t="s">
        <v>145</v>
      </c>
      <c r="E4578" t="str">
        <f>"05"</f>
        <v>05</v>
      </c>
      <c r="H4578">
        <v>47</v>
      </c>
      <c r="I4578" t="s">
        <v>146</v>
      </c>
      <c r="J4578" t="s">
        <v>138</v>
      </c>
      <c r="K4578">
        <v>0</v>
      </c>
      <c r="L4578">
        <v>3</v>
      </c>
      <c r="M4578">
        <v>0</v>
      </c>
      <c r="N4578">
        <v>2</v>
      </c>
      <c r="O4578">
        <v>0</v>
      </c>
      <c r="P4578">
        <v>1</v>
      </c>
      <c r="Q4578">
        <v>0</v>
      </c>
      <c r="R4578" t="s">
        <v>127</v>
      </c>
      <c r="S4578" t="str">
        <f t="shared" si="1812"/>
        <v>15:17:14.000</v>
      </c>
      <c r="T4578" t="str">
        <f t="shared" si="1812"/>
        <v>15:17:14.000</v>
      </c>
      <c r="U4578" t="str">
        <f t="shared" si="1801"/>
        <v>A68FCB</v>
      </c>
      <c r="V4578">
        <v>0</v>
      </c>
      <c r="W4578">
        <v>0</v>
      </c>
      <c r="X4578">
        <v>2</v>
      </c>
      <c r="Y4578">
        <v>0</v>
      </c>
      <c r="AA4578">
        <v>1</v>
      </c>
      <c r="AB4578">
        <v>8</v>
      </c>
      <c r="AC4578">
        <v>3</v>
      </c>
      <c r="AD4578">
        <v>0</v>
      </c>
      <c r="AE4578">
        <v>9</v>
      </c>
      <c r="AF4578" t="s">
        <v>138</v>
      </c>
      <c r="AG4578">
        <v>0</v>
      </c>
      <c r="AH4578">
        <v>3</v>
      </c>
      <c r="AI4578">
        <v>2</v>
      </c>
      <c r="AJ4578">
        <v>0</v>
      </c>
      <c r="AK4578" t="s">
        <v>1458</v>
      </c>
      <c r="AL4578">
        <v>39.211407000000001</v>
      </c>
      <c r="AM4578" t="s">
        <v>1459</v>
      </c>
      <c r="AN4578">
        <v>-121.00453400000001</v>
      </c>
      <c r="AO4578">
        <v>25</v>
      </c>
      <c r="AP4578">
        <v>4200</v>
      </c>
      <c r="AQ4578" t="s">
        <v>131</v>
      </c>
      <c r="AR4578">
        <v>24</v>
      </c>
      <c r="AS4578">
        <v>80</v>
      </c>
      <c r="AT4578">
        <v>0</v>
      </c>
      <c r="BB4578" t="str">
        <f t="shared" si="1802"/>
        <v>1200</v>
      </c>
      <c r="BC4578">
        <v>1</v>
      </c>
      <c r="BD4578" t="str">
        <f t="shared" si="1803"/>
        <v xml:space="preserve">N52156  </v>
      </c>
      <c r="BE4578">
        <v>1</v>
      </c>
      <c r="BG4578">
        <v>0</v>
      </c>
      <c r="BH4578">
        <v>0</v>
      </c>
      <c r="BI4578">
        <v>0</v>
      </c>
      <c r="BJ4578">
        <v>4225</v>
      </c>
      <c r="BK4578">
        <v>25</v>
      </c>
      <c r="BL4578" t="s">
        <v>188</v>
      </c>
      <c r="BM4578">
        <v>1</v>
      </c>
      <c r="BN4578">
        <v>1</v>
      </c>
      <c r="BO4578">
        <v>0</v>
      </c>
      <c r="BP4578">
        <v>0</v>
      </c>
      <c r="BS4578">
        <v>0</v>
      </c>
      <c r="BT4578">
        <v>0</v>
      </c>
      <c r="BU4578">
        <v>0</v>
      </c>
      <c r="CE4578" t="str">
        <f t="shared" si="1813"/>
        <v>15:17:14.599</v>
      </c>
      <c r="CF4578">
        <v>599256229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4</v>
      </c>
      <c r="CY4578">
        <v>7</v>
      </c>
      <c r="CZ4578" t="s">
        <v>133</v>
      </c>
      <c r="DA4578">
        <v>275</v>
      </c>
      <c r="DB4578">
        <v>0</v>
      </c>
      <c r="DC4578" t="s">
        <v>134</v>
      </c>
      <c r="DD4578" t="s">
        <v>135</v>
      </c>
      <c r="DG4578">
        <v>3323320</v>
      </c>
      <c r="DI4578">
        <v>1</v>
      </c>
      <c r="DJ4578">
        <v>0</v>
      </c>
      <c r="DK4578">
        <v>1</v>
      </c>
      <c r="DL4578">
        <v>0</v>
      </c>
      <c r="DM4578">
        <v>0</v>
      </c>
      <c r="DN4578">
        <v>0</v>
      </c>
      <c r="DO4578">
        <v>0</v>
      </c>
      <c r="DP4578">
        <v>0</v>
      </c>
      <c r="DQ4578">
        <v>0</v>
      </c>
      <c r="DR4578">
        <v>0</v>
      </c>
      <c r="DS4578">
        <v>0</v>
      </c>
    </row>
    <row r="4579" spans="1:123" x14ac:dyDescent="0.3">
      <c r="A4579" t="str">
        <f>"05/01/2025 15:17:14.834"</f>
        <v>05/01/2025 15:17:14.834</v>
      </c>
      <c r="C4579" t="str">
        <f t="shared" si="1800"/>
        <v>FFDFD3C0</v>
      </c>
      <c r="D4579" t="s">
        <v>136</v>
      </c>
      <c r="E4579" t="str">
        <f>"20"</f>
        <v>20</v>
      </c>
      <c r="H4579">
        <v>400</v>
      </c>
      <c r="I4579" t="s">
        <v>137</v>
      </c>
      <c r="J4579" t="s">
        <v>138</v>
      </c>
      <c r="K4579">
        <v>0</v>
      </c>
      <c r="L4579">
        <v>3</v>
      </c>
      <c r="M4579">
        <v>0</v>
      </c>
      <c r="N4579">
        <v>2</v>
      </c>
      <c r="O4579">
        <v>0</v>
      </c>
      <c r="P4579">
        <v>1</v>
      </c>
      <c r="Q4579">
        <v>0</v>
      </c>
      <c r="R4579" t="s">
        <v>127</v>
      </c>
      <c r="S4579" t="str">
        <f t="shared" si="1812"/>
        <v>15:17:14.000</v>
      </c>
      <c r="T4579" t="str">
        <f t="shared" si="1812"/>
        <v>15:17:14.000</v>
      </c>
      <c r="U4579" t="str">
        <f t="shared" si="1801"/>
        <v>A68FCB</v>
      </c>
      <c r="V4579">
        <v>0</v>
      </c>
      <c r="W4579">
        <v>0</v>
      </c>
      <c r="X4579">
        <v>2</v>
      </c>
      <c r="Y4579">
        <v>0</v>
      </c>
      <c r="AA4579">
        <v>1</v>
      </c>
      <c r="AB4579">
        <v>8</v>
      </c>
      <c r="AC4579">
        <v>3</v>
      </c>
      <c r="AD4579">
        <v>0</v>
      </c>
      <c r="AE4579">
        <v>9</v>
      </c>
      <c r="AF4579" t="s">
        <v>138</v>
      </c>
      <c r="AG4579">
        <v>0</v>
      </c>
      <c r="AH4579">
        <v>3</v>
      </c>
      <c r="AI4579">
        <v>2</v>
      </c>
      <c r="AJ4579">
        <v>0</v>
      </c>
      <c r="AK4579" t="s">
        <v>1458</v>
      </c>
      <c r="AL4579">
        <v>39.211407000000001</v>
      </c>
      <c r="AM4579" t="s">
        <v>1459</v>
      </c>
      <c r="AN4579">
        <v>-121.00453400000001</v>
      </c>
      <c r="AO4579">
        <v>25</v>
      </c>
      <c r="AP4579">
        <v>4200</v>
      </c>
      <c r="AQ4579" t="s">
        <v>131</v>
      </c>
      <c r="AR4579">
        <v>24</v>
      </c>
      <c r="AS4579">
        <v>80</v>
      </c>
      <c r="AT4579">
        <v>0</v>
      </c>
      <c r="BB4579" t="str">
        <f t="shared" si="1802"/>
        <v>1200</v>
      </c>
      <c r="BC4579">
        <v>1</v>
      </c>
      <c r="BD4579" t="str">
        <f t="shared" si="1803"/>
        <v xml:space="preserve">N52156  </v>
      </c>
      <c r="BE4579">
        <v>1</v>
      </c>
      <c r="BG4579">
        <v>0</v>
      </c>
      <c r="BH4579">
        <v>0</v>
      </c>
      <c r="BI4579">
        <v>0</v>
      </c>
      <c r="BJ4579">
        <v>4225</v>
      </c>
      <c r="BK4579">
        <v>25</v>
      </c>
      <c r="BL4579" t="s">
        <v>188</v>
      </c>
      <c r="BM4579">
        <v>1</v>
      </c>
      <c r="BN4579">
        <v>1</v>
      </c>
      <c r="BO4579">
        <v>0</v>
      </c>
      <c r="BP4579">
        <v>0</v>
      </c>
      <c r="BS4579">
        <v>0</v>
      </c>
      <c r="BT4579">
        <v>0</v>
      </c>
      <c r="BU4579">
        <v>0</v>
      </c>
      <c r="CE4579" t="str">
        <f t="shared" si="1813"/>
        <v>15:17:14.599</v>
      </c>
      <c r="CF4579">
        <v>599256229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4</v>
      </c>
      <c r="CY4579">
        <v>7</v>
      </c>
      <c r="CZ4579" t="s">
        <v>133</v>
      </c>
      <c r="DA4579">
        <v>275</v>
      </c>
      <c r="DB4579">
        <v>0</v>
      </c>
      <c r="DC4579" t="s">
        <v>134</v>
      </c>
      <c r="DD4579" t="s">
        <v>135</v>
      </c>
      <c r="DG4579">
        <v>3323320</v>
      </c>
      <c r="DI4579">
        <v>1</v>
      </c>
      <c r="DJ4579">
        <v>0</v>
      </c>
      <c r="DK4579">
        <v>1</v>
      </c>
      <c r="DL4579">
        <v>0</v>
      </c>
      <c r="DM4579">
        <v>0</v>
      </c>
      <c r="DN4579">
        <v>0</v>
      </c>
      <c r="DO4579">
        <v>0</v>
      </c>
      <c r="DP4579">
        <v>0</v>
      </c>
      <c r="DQ4579">
        <v>0</v>
      </c>
      <c r="DR4579">
        <v>0</v>
      </c>
      <c r="DS4579">
        <v>0</v>
      </c>
    </row>
    <row r="4580" spans="1:123" x14ac:dyDescent="0.3">
      <c r="A4580" t="str">
        <f>"05/01/2025 15:17:16.053"</f>
        <v>05/01/2025 15:17:16.053</v>
      </c>
      <c r="C4580" t="str">
        <f t="shared" si="1800"/>
        <v>FFDFD3C0</v>
      </c>
      <c r="D4580" t="s">
        <v>124</v>
      </c>
      <c r="E4580" t="str">
        <f>"06"</f>
        <v>06</v>
      </c>
      <c r="F4580">
        <v>2006</v>
      </c>
      <c r="G4580" t="s">
        <v>125</v>
      </c>
      <c r="J4580" t="s">
        <v>126</v>
      </c>
      <c r="K4580">
        <v>0</v>
      </c>
      <c r="L4580">
        <v>3</v>
      </c>
      <c r="M4580">
        <v>0</v>
      </c>
      <c r="N4580">
        <v>2</v>
      </c>
      <c r="O4580">
        <v>0</v>
      </c>
      <c r="P4580">
        <v>1</v>
      </c>
      <c r="Q4580">
        <v>0</v>
      </c>
      <c r="R4580" t="s">
        <v>127</v>
      </c>
      <c r="S4580" t="str">
        <f t="shared" ref="S4580:T4585" si="1814">"15:17:15.000"</f>
        <v>15:17:15.000</v>
      </c>
      <c r="T4580" t="str">
        <f t="shared" si="1814"/>
        <v>15:17:15.000</v>
      </c>
      <c r="U4580" t="str">
        <f t="shared" si="1801"/>
        <v>A68FCB</v>
      </c>
      <c r="V4580">
        <v>0</v>
      </c>
      <c r="W4580">
        <v>0</v>
      </c>
      <c r="X4580">
        <v>2</v>
      </c>
      <c r="Y4580">
        <v>0</v>
      </c>
      <c r="AA4580">
        <v>1</v>
      </c>
      <c r="AB4580">
        <v>8</v>
      </c>
      <c r="AC4580">
        <v>3</v>
      </c>
      <c r="AD4580">
        <v>0</v>
      </c>
      <c r="AE4580">
        <v>9</v>
      </c>
      <c r="AF4580" t="s">
        <v>138</v>
      </c>
      <c r="AG4580">
        <v>0</v>
      </c>
      <c r="AH4580">
        <v>3</v>
      </c>
      <c r="AI4580">
        <v>2</v>
      </c>
      <c r="AJ4580">
        <v>0</v>
      </c>
      <c r="AK4580" t="s">
        <v>1460</v>
      </c>
      <c r="AL4580">
        <v>39.211770999999999</v>
      </c>
      <c r="AM4580" t="s">
        <v>1461</v>
      </c>
      <c r="AN4580">
        <v>-121.004384</v>
      </c>
      <c r="AO4580">
        <v>25</v>
      </c>
      <c r="AP4580">
        <v>4200</v>
      </c>
      <c r="AQ4580" t="s">
        <v>131</v>
      </c>
      <c r="AR4580">
        <v>22</v>
      </c>
      <c r="AS4580">
        <v>81</v>
      </c>
      <c r="AT4580">
        <v>0</v>
      </c>
      <c r="BB4580" t="str">
        <f t="shared" si="1802"/>
        <v>1200</v>
      </c>
      <c r="BC4580">
        <v>1</v>
      </c>
      <c r="BD4580" t="str">
        <f t="shared" si="1803"/>
        <v xml:space="preserve">N52156  </v>
      </c>
      <c r="BE4580">
        <v>1</v>
      </c>
      <c r="BG4580">
        <v>0</v>
      </c>
      <c r="BH4580">
        <v>0</v>
      </c>
      <c r="BI4580">
        <v>0</v>
      </c>
      <c r="BJ4580">
        <v>4225</v>
      </c>
      <c r="BK4580">
        <v>25</v>
      </c>
      <c r="BL4580" t="s">
        <v>188</v>
      </c>
      <c r="BM4580">
        <v>1</v>
      </c>
      <c r="BN4580">
        <v>1</v>
      </c>
      <c r="BO4580">
        <v>0</v>
      </c>
      <c r="BP4580">
        <v>0</v>
      </c>
      <c r="BS4580">
        <v>0</v>
      </c>
      <c r="BT4580">
        <v>0</v>
      </c>
      <c r="BU4580">
        <v>0</v>
      </c>
      <c r="CE4580" t="str">
        <f t="shared" ref="CE4580:CE4585" si="1815">"15:17:15.844"</f>
        <v>15:17:15.844</v>
      </c>
      <c r="CF4580">
        <v>844006973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5</v>
      </c>
      <c r="CY4580">
        <v>7</v>
      </c>
      <c r="CZ4580" t="s">
        <v>133</v>
      </c>
      <c r="DA4580">
        <v>275</v>
      </c>
      <c r="DB4580">
        <v>0</v>
      </c>
      <c r="DC4580" t="s">
        <v>134</v>
      </c>
      <c r="DD4580" t="s">
        <v>135</v>
      </c>
      <c r="DG4580">
        <v>3323322</v>
      </c>
      <c r="DI4580">
        <v>1</v>
      </c>
      <c r="DJ4580">
        <v>0</v>
      </c>
      <c r="DK4580">
        <v>0</v>
      </c>
      <c r="DL4580">
        <v>0</v>
      </c>
      <c r="DM4580">
        <v>0</v>
      </c>
      <c r="DN4580">
        <v>0</v>
      </c>
      <c r="DO4580">
        <v>0</v>
      </c>
      <c r="DP4580">
        <v>0</v>
      </c>
      <c r="DQ4580">
        <v>0</v>
      </c>
      <c r="DR4580">
        <v>0</v>
      </c>
      <c r="DS4580">
        <v>0</v>
      </c>
    </row>
    <row r="4581" spans="1:123" x14ac:dyDescent="0.3">
      <c r="A4581" t="str">
        <f>"05/01/2025 15:17:16.052"</f>
        <v>05/01/2025 15:17:16.052</v>
      </c>
      <c r="C4581" t="str">
        <f t="shared" si="1800"/>
        <v>FFDFD3C0</v>
      </c>
      <c r="D4581" t="s">
        <v>140</v>
      </c>
      <c r="E4581" t="str">
        <f>"13"</f>
        <v>13</v>
      </c>
      <c r="F4581">
        <v>1019</v>
      </c>
      <c r="G4581" t="s">
        <v>141</v>
      </c>
      <c r="J4581" t="s">
        <v>142</v>
      </c>
      <c r="K4581">
        <v>0</v>
      </c>
      <c r="L4581">
        <v>3</v>
      </c>
      <c r="M4581">
        <v>0</v>
      </c>
      <c r="N4581">
        <v>2</v>
      </c>
      <c r="O4581">
        <v>0</v>
      </c>
      <c r="P4581">
        <v>1</v>
      </c>
      <c r="Q4581">
        <v>0</v>
      </c>
      <c r="R4581" t="s">
        <v>127</v>
      </c>
      <c r="S4581" t="str">
        <f t="shared" si="1814"/>
        <v>15:17:15.000</v>
      </c>
      <c r="T4581" t="str">
        <f t="shared" si="1814"/>
        <v>15:17:15.000</v>
      </c>
      <c r="U4581" t="str">
        <f t="shared" si="1801"/>
        <v>A68FCB</v>
      </c>
      <c r="V4581">
        <v>0</v>
      </c>
      <c r="W4581">
        <v>0</v>
      </c>
      <c r="X4581">
        <v>2</v>
      </c>
      <c r="Y4581">
        <v>0</v>
      </c>
      <c r="AA4581">
        <v>1</v>
      </c>
      <c r="AB4581">
        <v>8</v>
      </c>
      <c r="AC4581">
        <v>3</v>
      </c>
      <c r="AD4581">
        <v>0</v>
      </c>
      <c r="AE4581">
        <v>9</v>
      </c>
      <c r="AF4581" t="s">
        <v>138</v>
      </c>
      <c r="AG4581">
        <v>0</v>
      </c>
      <c r="AH4581">
        <v>3</v>
      </c>
      <c r="AI4581">
        <v>2</v>
      </c>
      <c r="AJ4581">
        <v>0</v>
      </c>
      <c r="AK4581" t="s">
        <v>1460</v>
      </c>
      <c r="AL4581">
        <v>39.211770999999999</v>
      </c>
      <c r="AM4581" t="s">
        <v>1461</v>
      </c>
      <c r="AN4581">
        <v>-121.004384</v>
      </c>
      <c r="AO4581">
        <v>25</v>
      </c>
      <c r="AP4581">
        <v>4200</v>
      </c>
      <c r="AQ4581" t="s">
        <v>131</v>
      </c>
      <c r="AR4581">
        <v>22</v>
      </c>
      <c r="AS4581">
        <v>81</v>
      </c>
      <c r="AT4581">
        <v>0</v>
      </c>
      <c r="BB4581" t="str">
        <f t="shared" si="1802"/>
        <v>1200</v>
      </c>
      <c r="BC4581">
        <v>1</v>
      </c>
      <c r="BD4581" t="str">
        <f t="shared" si="1803"/>
        <v xml:space="preserve">N52156  </v>
      </c>
      <c r="BE4581">
        <v>1</v>
      </c>
      <c r="BG4581">
        <v>0</v>
      </c>
      <c r="BH4581">
        <v>0</v>
      </c>
      <c r="BI4581">
        <v>0</v>
      </c>
      <c r="BJ4581">
        <v>4225</v>
      </c>
      <c r="BK4581">
        <v>25</v>
      </c>
      <c r="BL4581" t="s">
        <v>188</v>
      </c>
      <c r="BM4581">
        <v>1</v>
      </c>
      <c r="BN4581">
        <v>1</v>
      </c>
      <c r="BO4581">
        <v>0</v>
      </c>
      <c r="BP4581">
        <v>0</v>
      </c>
      <c r="BS4581">
        <v>0</v>
      </c>
      <c r="BT4581">
        <v>0</v>
      </c>
      <c r="BU4581">
        <v>0</v>
      </c>
      <c r="CE4581" t="str">
        <f t="shared" si="1815"/>
        <v>15:17:15.844</v>
      </c>
      <c r="CF4581">
        <v>844006973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5</v>
      </c>
      <c r="CY4581">
        <v>7</v>
      </c>
      <c r="CZ4581" t="s">
        <v>133</v>
      </c>
      <c r="DA4581">
        <v>275</v>
      </c>
      <c r="DB4581">
        <v>0</v>
      </c>
      <c r="DC4581" t="s">
        <v>134</v>
      </c>
      <c r="DD4581" t="s">
        <v>135</v>
      </c>
      <c r="DG4581">
        <v>3323322</v>
      </c>
      <c r="DI4581">
        <v>1</v>
      </c>
      <c r="DJ4581">
        <v>0</v>
      </c>
      <c r="DK4581">
        <v>1</v>
      </c>
      <c r="DL4581">
        <v>0</v>
      </c>
      <c r="DM4581">
        <v>0</v>
      </c>
      <c r="DN4581">
        <v>0</v>
      </c>
      <c r="DO4581">
        <v>0</v>
      </c>
      <c r="DP4581">
        <v>0</v>
      </c>
      <c r="DQ4581">
        <v>0</v>
      </c>
      <c r="DR4581">
        <v>0</v>
      </c>
      <c r="DS4581">
        <v>0</v>
      </c>
    </row>
    <row r="4582" spans="1:123" x14ac:dyDescent="0.3">
      <c r="A4582" t="str">
        <f>"05/01/2025 15:17:16.059"</f>
        <v>05/01/2025 15:17:16.059</v>
      </c>
      <c r="C4582" t="str">
        <f t="shared" si="1800"/>
        <v>FFDFD3C0</v>
      </c>
      <c r="D4582" t="s">
        <v>143</v>
      </c>
      <c r="E4582" t="str">
        <f>"05"</f>
        <v>05</v>
      </c>
      <c r="H4582">
        <v>172</v>
      </c>
      <c r="I4582" t="s">
        <v>141</v>
      </c>
      <c r="J4582" t="s">
        <v>144</v>
      </c>
      <c r="K4582">
        <v>0</v>
      </c>
      <c r="L4582">
        <v>3</v>
      </c>
      <c r="M4582">
        <v>0</v>
      </c>
      <c r="N4582">
        <v>2</v>
      </c>
      <c r="O4582">
        <v>0</v>
      </c>
      <c r="P4582">
        <v>1</v>
      </c>
      <c r="Q4582">
        <v>0</v>
      </c>
      <c r="R4582" t="s">
        <v>127</v>
      </c>
      <c r="S4582" t="str">
        <f t="shared" si="1814"/>
        <v>15:17:15.000</v>
      </c>
      <c r="T4582" t="str">
        <f t="shared" si="1814"/>
        <v>15:17:15.000</v>
      </c>
      <c r="U4582" t="str">
        <f t="shared" si="1801"/>
        <v>A68FCB</v>
      </c>
      <c r="V4582">
        <v>0</v>
      </c>
      <c r="W4582">
        <v>0</v>
      </c>
      <c r="X4582">
        <v>2</v>
      </c>
      <c r="Y4582">
        <v>0</v>
      </c>
      <c r="AA4582">
        <v>1</v>
      </c>
      <c r="AB4582">
        <v>8</v>
      </c>
      <c r="AC4582">
        <v>3</v>
      </c>
      <c r="AD4582">
        <v>0</v>
      </c>
      <c r="AE4582">
        <v>9</v>
      </c>
      <c r="AF4582" t="s">
        <v>138</v>
      </c>
      <c r="AG4582">
        <v>0</v>
      </c>
      <c r="AH4582">
        <v>3</v>
      </c>
      <c r="AI4582">
        <v>2</v>
      </c>
      <c r="AJ4582">
        <v>0</v>
      </c>
      <c r="AK4582" t="s">
        <v>1460</v>
      </c>
      <c r="AL4582">
        <v>39.211770999999999</v>
      </c>
      <c r="AM4582" t="s">
        <v>1461</v>
      </c>
      <c r="AN4582">
        <v>-121.004384</v>
      </c>
      <c r="AO4582">
        <v>25</v>
      </c>
      <c r="AP4582">
        <v>4200</v>
      </c>
      <c r="AQ4582" t="s">
        <v>131</v>
      </c>
      <c r="AR4582">
        <v>22</v>
      </c>
      <c r="AS4582">
        <v>81</v>
      </c>
      <c r="AT4582">
        <v>0</v>
      </c>
      <c r="BB4582" t="str">
        <f t="shared" si="1802"/>
        <v>1200</v>
      </c>
      <c r="BC4582">
        <v>1</v>
      </c>
      <c r="BD4582" t="str">
        <f t="shared" si="1803"/>
        <v xml:space="preserve">N52156  </v>
      </c>
      <c r="BE4582">
        <v>1</v>
      </c>
      <c r="BG4582">
        <v>0</v>
      </c>
      <c r="BH4582">
        <v>0</v>
      </c>
      <c r="BI4582">
        <v>0</v>
      </c>
      <c r="BJ4582">
        <v>4225</v>
      </c>
      <c r="BK4582">
        <v>25</v>
      </c>
      <c r="BL4582" t="s">
        <v>188</v>
      </c>
      <c r="BM4582">
        <v>1</v>
      </c>
      <c r="BN4582">
        <v>1</v>
      </c>
      <c r="BO4582">
        <v>0</v>
      </c>
      <c r="BP4582">
        <v>0</v>
      </c>
      <c r="BS4582">
        <v>0</v>
      </c>
      <c r="BT4582">
        <v>0</v>
      </c>
      <c r="BU4582">
        <v>0</v>
      </c>
      <c r="CE4582" t="str">
        <f t="shared" si="1815"/>
        <v>15:17:15.844</v>
      </c>
      <c r="CF4582">
        <v>844006973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5</v>
      </c>
      <c r="CY4582">
        <v>7</v>
      </c>
      <c r="CZ4582" t="s">
        <v>133</v>
      </c>
      <c r="DA4582">
        <v>275</v>
      </c>
      <c r="DB4582">
        <v>0</v>
      </c>
      <c r="DC4582" t="s">
        <v>134</v>
      </c>
      <c r="DD4582" t="s">
        <v>135</v>
      </c>
      <c r="DG4582">
        <v>3323322</v>
      </c>
      <c r="DI4582">
        <v>1</v>
      </c>
      <c r="DJ4582">
        <v>0</v>
      </c>
      <c r="DK4582">
        <v>1</v>
      </c>
      <c r="DL4582">
        <v>0</v>
      </c>
      <c r="DM4582">
        <v>0</v>
      </c>
      <c r="DN4582">
        <v>0</v>
      </c>
      <c r="DO4582">
        <v>0</v>
      </c>
      <c r="DP4582">
        <v>0</v>
      </c>
      <c r="DQ4582">
        <v>0</v>
      </c>
      <c r="DR4582">
        <v>0</v>
      </c>
      <c r="DS4582">
        <v>0</v>
      </c>
    </row>
    <row r="4583" spans="1:123" x14ac:dyDescent="0.3">
      <c r="A4583" t="str">
        <f>"05/01/2025 15:17:16.072"</f>
        <v>05/01/2025 15:17:16.072</v>
      </c>
      <c r="C4583" t="str">
        <f t="shared" si="1800"/>
        <v>FFDFD3C0</v>
      </c>
      <c r="D4583" t="s">
        <v>145</v>
      </c>
      <c r="E4583" t="str">
        <f>"09"</f>
        <v>09</v>
      </c>
      <c r="H4583">
        <v>51</v>
      </c>
      <c r="I4583" t="s">
        <v>147</v>
      </c>
      <c r="J4583" t="s">
        <v>138</v>
      </c>
      <c r="K4583">
        <v>0</v>
      </c>
      <c r="L4583">
        <v>3</v>
      </c>
      <c r="M4583">
        <v>0</v>
      </c>
      <c r="N4583">
        <v>2</v>
      </c>
      <c r="O4583">
        <v>0</v>
      </c>
      <c r="P4583">
        <v>1</v>
      </c>
      <c r="Q4583">
        <v>0</v>
      </c>
      <c r="R4583" t="s">
        <v>127</v>
      </c>
      <c r="S4583" t="str">
        <f t="shared" si="1814"/>
        <v>15:17:15.000</v>
      </c>
      <c r="T4583" t="str">
        <f t="shared" si="1814"/>
        <v>15:17:15.000</v>
      </c>
      <c r="U4583" t="str">
        <f t="shared" si="1801"/>
        <v>A68FCB</v>
      </c>
      <c r="V4583">
        <v>0</v>
      </c>
      <c r="W4583">
        <v>0</v>
      </c>
      <c r="X4583">
        <v>2</v>
      </c>
      <c r="Y4583">
        <v>0</v>
      </c>
      <c r="AA4583">
        <v>1</v>
      </c>
      <c r="AB4583">
        <v>8</v>
      </c>
      <c r="AC4583">
        <v>3</v>
      </c>
      <c r="AD4583">
        <v>0</v>
      </c>
      <c r="AE4583">
        <v>9</v>
      </c>
      <c r="AF4583" t="s">
        <v>138</v>
      </c>
      <c r="AG4583">
        <v>0</v>
      </c>
      <c r="AH4583">
        <v>3</v>
      </c>
      <c r="AI4583">
        <v>2</v>
      </c>
      <c r="AJ4583">
        <v>0</v>
      </c>
      <c r="AK4583" t="s">
        <v>1460</v>
      </c>
      <c r="AL4583">
        <v>39.211770999999999</v>
      </c>
      <c r="AM4583" t="s">
        <v>1461</v>
      </c>
      <c r="AN4583">
        <v>-121.004384</v>
      </c>
      <c r="AO4583">
        <v>25</v>
      </c>
      <c r="AP4583">
        <v>4200</v>
      </c>
      <c r="AQ4583" t="s">
        <v>131</v>
      </c>
      <c r="AR4583">
        <v>22</v>
      </c>
      <c r="AS4583">
        <v>81</v>
      </c>
      <c r="AT4583">
        <v>0</v>
      </c>
      <c r="BB4583" t="str">
        <f t="shared" si="1802"/>
        <v>1200</v>
      </c>
      <c r="BC4583">
        <v>1</v>
      </c>
      <c r="BD4583" t="str">
        <f t="shared" si="1803"/>
        <v xml:space="preserve">N52156  </v>
      </c>
      <c r="BE4583">
        <v>1</v>
      </c>
      <c r="BG4583">
        <v>0</v>
      </c>
      <c r="BH4583">
        <v>0</v>
      </c>
      <c r="BI4583">
        <v>0</v>
      </c>
      <c r="BJ4583">
        <v>4225</v>
      </c>
      <c r="BK4583">
        <v>25</v>
      </c>
      <c r="BL4583" t="s">
        <v>188</v>
      </c>
      <c r="BM4583">
        <v>1</v>
      </c>
      <c r="BN4583">
        <v>1</v>
      </c>
      <c r="BO4583">
        <v>0</v>
      </c>
      <c r="BP4583">
        <v>0</v>
      </c>
      <c r="BS4583">
        <v>0</v>
      </c>
      <c r="BT4583">
        <v>0</v>
      </c>
      <c r="BU4583">
        <v>0</v>
      </c>
      <c r="CE4583" t="str">
        <f t="shared" si="1815"/>
        <v>15:17:15.844</v>
      </c>
      <c r="CF4583">
        <v>844006973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5</v>
      </c>
      <c r="CY4583">
        <v>7</v>
      </c>
      <c r="CZ4583" t="s">
        <v>133</v>
      </c>
      <c r="DA4583">
        <v>275</v>
      </c>
      <c r="DB4583">
        <v>0</v>
      </c>
      <c r="DC4583" t="s">
        <v>134</v>
      </c>
      <c r="DD4583" t="s">
        <v>135</v>
      </c>
      <c r="DG4583">
        <v>3323322</v>
      </c>
      <c r="DI4583">
        <v>1</v>
      </c>
      <c r="DJ4583">
        <v>0</v>
      </c>
      <c r="DK4583">
        <v>1</v>
      </c>
      <c r="DL4583">
        <v>0</v>
      </c>
      <c r="DM4583">
        <v>0</v>
      </c>
      <c r="DN4583">
        <v>0</v>
      </c>
      <c r="DO4583">
        <v>0</v>
      </c>
      <c r="DP4583">
        <v>0</v>
      </c>
      <c r="DQ4583">
        <v>0</v>
      </c>
      <c r="DR4583">
        <v>0</v>
      </c>
      <c r="DS4583">
        <v>0</v>
      </c>
    </row>
    <row r="4584" spans="1:123" x14ac:dyDescent="0.3">
      <c r="A4584" t="str">
        <f>"05/01/2025 15:17:16.077"</f>
        <v>05/01/2025 15:17:16.077</v>
      </c>
      <c r="C4584" t="str">
        <f t="shared" si="1800"/>
        <v>FFDFD3C0</v>
      </c>
      <c r="D4584" t="s">
        <v>145</v>
      </c>
      <c r="E4584" t="str">
        <f>"05"</f>
        <v>05</v>
      </c>
      <c r="H4584">
        <v>47</v>
      </c>
      <c r="I4584" t="s">
        <v>146</v>
      </c>
      <c r="J4584" t="s">
        <v>138</v>
      </c>
      <c r="K4584">
        <v>0</v>
      </c>
      <c r="L4584">
        <v>3</v>
      </c>
      <c r="M4584">
        <v>0</v>
      </c>
      <c r="N4584">
        <v>2</v>
      </c>
      <c r="O4584">
        <v>0</v>
      </c>
      <c r="P4584">
        <v>1</v>
      </c>
      <c r="Q4584">
        <v>0</v>
      </c>
      <c r="R4584" t="s">
        <v>127</v>
      </c>
      <c r="S4584" t="str">
        <f t="shared" si="1814"/>
        <v>15:17:15.000</v>
      </c>
      <c r="T4584" t="str">
        <f t="shared" si="1814"/>
        <v>15:17:15.000</v>
      </c>
      <c r="U4584" t="str">
        <f t="shared" si="1801"/>
        <v>A68FCB</v>
      </c>
      <c r="V4584">
        <v>0</v>
      </c>
      <c r="W4584">
        <v>0</v>
      </c>
      <c r="X4584">
        <v>2</v>
      </c>
      <c r="Y4584">
        <v>0</v>
      </c>
      <c r="AA4584">
        <v>1</v>
      </c>
      <c r="AB4584">
        <v>8</v>
      </c>
      <c r="AC4584">
        <v>3</v>
      </c>
      <c r="AD4584">
        <v>0</v>
      </c>
      <c r="AE4584">
        <v>9</v>
      </c>
      <c r="AF4584" t="s">
        <v>138</v>
      </c>
      <c r="AG4584">
        <v>0</v>
      </c>
      <c r="AH4584">
        <v>3</v>
      </c>
      <c r="AI4584">
        <v>2</v>
      </c>
      <c r="AJ4584">
        <v>0</v>
      </c>
      <c r="AK4584" t="s">
        <v>1460</v>
      </c>
      <c r="AL4584">
        <v>39.211770999999999</v>
      </c>
      <c r="AM4584" t="s">
        <v>1461</v>
      </c>
      <c r="AN4584">
        <v>-121.004384</v>
      </c>
      <c r="AO4584">
        <v>25</v>
      </c>
      <c r="AP4584">
        <v>4200</v>
      </c>
      <c r="AQ4584" t="s">
        <v>131</v>
      </c>
      <c r="AR4584">
        <v>22</v>
      </c>
      <c r="AS4584">
        <v>81</v>
      </c>
      <c r="AT4584">
        <v>0</v>
      </c>
      <c r="BB4584" t="str">
        <f t="shared" si="1802"/>
        <v>1200</v>
      </c>
      <c r="BC4584">
        <v>1</v>
      </c>
      <c r="BD4584" t="str">
        <f t="shared" si="1803"/>
        <v xml:space="preserve">N52156  </v>
      </c>
      <c r="BE4584">
        <v>1</v>
      </c>
      <c r="BG4584">
        <v>0</v>
      </c>
      <c r="BH4584">
        <v>0</v>
      </c>
      <c r="BI4584">
        <v>0</v>
      </c>
      <c r="BJ4584">
        <v>4225</v>
      </c>
      <c r="BK4584">
        <v>25</v>
      </c>
      <c r="BL4584" t="s">
        <v>188</v>
      </c>
      <c r="BM4584">
        <v>1</v>
      </c>
      <c r="BN4584">
        <v>1</v>
      </c>
      <c r="BO4584">
        <v>0</v>
      </c>
      <c r="BP4584">
        <v>0</v>
      </c>
      <c r="BS4584">
        <v>0</v>
      </c>
      <c r="BT4584">
        <v>0</v>
      </c>
      <c r="BU4584">
        <v>0</v>
      </c>
      <c r="CE4584" t="str">
        <f t="shared" si="1815"/>
        <v>15:17:15.844</v>
      </c>
      <c r="CF4584">
        <v>844006973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5</v>
      </c>
      <c r="CY4584">
        <v>7</v>
      </c>
      <c r="CZ4584" t="s">
        <v>133</v>
      </c>
      <c r="DA4584">
        <v>275</v>
      </c>
      <c r="DB4584">
        <v>0</v>
      </c>
      <c r="DC4584" t="s">
        <v>134</v>
      </c>
      <c r="DD4584" t="s">
        <v>135</v>
      </c>
      <c r="DG4584">
        <v>3323322</v>
      </c>
      <c r="DI4584">
        <v>1</v>
      </c>
      <c r="DJ4584">
        <v>0</v>
      </c>
      <c r="DK4584">
        <v>1</v>
      </c>
      <c r="DL4584">
        <v>0</v>
      </c>
      <c r="DM4584">
        <v>0</v>
      </c>
      <c r="DN4584">
        <v>0</v>
      </c>
      <c r="DO4584">
        <v>0</v>
      </c>
      <c r="DP4584">
        <v>0</v>
      </c>
      <c r="DQ4584">
        <v>0</v>
      </c>
      <c r="DR4584">
        <v>0</v>
      </c>
      <c r="DS4584">
        <v>0</v>
      </c>
    </row>
    <row r="4585" spans="1:123" x14ac:dyDescent="0.3">
      <c r="A4585" t="str">
        <f>"05/01/2025 15:17:16.087"</f>
        <v>05/01/2025 15:17:16.087</v>
      </c>
      <c r="C4585" t="str">
        <f t="shared" si="1800"/>
        <v>FFDFD3C0</v>
      </c>
      <c r="D4585" t="s">
        <v>136</v>
      </c>
      <c r="E4585" t="str">
        <f>"20"</f>
        <v>20</v>
      </c>
      <c r="H4585">
        <v>400</v>
      </c>
      <c r="I4585" t="s">
        <v>137</v>
      </c>
      <c r="J4585" t="s">
        <v>138</v>
      </c>
      <c r="K4585">
        <v>0</v>
      </c>
      <c r="L4585">
        <v>3</v>
      </c>
      <c r="M4585">
        <v>0</v>
      </c>
      <c r="N4585">
        <v>2</v>
      </c>
      <c r="O4585">
        <v>0</v>
      </c>
      <c r="P4585">
        <v>1</v>
      </c>
      <c r="Q4585">
        <v>0</v>
      </c>
      <c r="R4585" t="s">
        <v>127</v>
      </c>
      <c r="S4585" t="str">
        <f t="shared" si="1814"/>
        <v>15:17:15.000</v>
      </c>
      <c r="T4585" t="str">
        <f t="shared" si="1814"/>
        <v>15:17:15.000</v>
      </c>
      <c r="U4585" t="str">
        <f t="shared" si="1801"/>
        <v>A68FCB</v>
      </c>
      <c r="V4585">
        <v>0</v>
      </c>
      <c r="W4585">
        <v>0</v>
      </c>
      <c r="X4585">
        <v>2</v>
      </c>
      <c r="Y4585">
        <v>0</v>
      </c>
      <c r="AA4585">
        <v>1</v>
      </c>
      <c r="AB4585">
        <v>8</v>
      </c>
      <c r="AC4585">
        <v>3</v>
      </c>
      <c r="AD4585">
        <v>0</v>
      </c>
      <c r="AE4585">
        <v>9</v>
      </c>
      <c r="AF4585" t="s">
        <v>138</v>
      </c>
      <c r="AG4585">
        <v>0</v>
      </c>
      <c r="AH4585">
        <v>3</v>
      </c>
      <c r="AI4585">
        <v>2</v>
      </c>
      <c r="AJ4585">
        <v>0</v>
      </c>
      <c r="AK4585" t="s">
        <v>1460</v>
      </c>
      <c r="AL4585">
        <v>39.211770999999999</v>
      </c>
      <c r="AM4585" t="s">
        <v>1461</v>
      </c>
      <c r="AN4585">
        <v>-121.004384</v>
      </c>
      <c r="AO4585">
        <v>25</v>
      </c>
      <c r="AP4585">
        <v>4200</v>
      </c>
      <c r="AQ4585" t="s">
        <v>131</v>
      </c>
      <c r="AR4585">
        <v>22</v>
      </c>
      <c r="AS4585">
        <v>81</v>
      </c>
      <c r="AT4585">
        <v>0</v>
      </c>
      <c r="BB4585" t="str">
        <f t="shared" si="1802"/>
        <v>1200</v>
      </c>
      <c r="BC4585">
        <v>1</v>
      </c>
      <c r="BD4585" t="str">
        <f t="shared" si="1803"/>
        <v xml:space="preserve">N52156  </v>
      </c>
      <c r="BE4585">
        <v>1</v>
      </c>
      <c r="BG4585">
        <v>0</v>
      </c>
      <c r="BH4585">
        <v>0</v>
      </c>
      <c r="BI4585">
        <v>0</v>
      </c>
      <c r="BJ4585">
        <v>4225</v>
      </c>
      <c r="BK4585">
        <v>25</v>
      </c>
      <c r="BL4585" t="s">
        <v>188</v>
      </c>
      <c r="BM4585">
        <v>1</v>
      </c>
      <c r="BN4585">
        <v>1</v>
      </c>
      <c r="BO4585">
        <v>0</v>
      </c>
      <c r="BP4585">
        <v>0</v>
      </c>
      <c r="BS4585">
        <v>0</v>
      </c>
      <c r="BT4585">
        <v>0</v>
      </c>
      <c r="BU4585">
        <v>0</v>
      </c>
      <c r="CE4585" t="str">
        <f t="shared" si="1815"/>
        <v>15:17:15.844</v>
      </c>
      <c r="CF4585">
        <v>844006973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5</v>
      </c>
      <c r="CY4585">
        <v>7</v>
      </c>
      <c r="CZ4585" t="s">
        <v>133</v>
      </c>
      <c r="DA4585">
        <v>275</v>
      </c>
      <c r="DB4585">
        <v>0</v>
      </c>
      <c r="DC4585" t="s">
        <v>134</v>
      </c>
      <c r="DD4585" t="s">
        <v>135</v>
      </c>
      <c r="DG4585">
        <v>3323322</v>
      </c>
      <c r="DI4585">
        <v>1</v>
      </c>
      <c r="DJ4585">
        <v>0</v>
      </c>
      <c r="DK4585">
        <v>1</v>
      </c>
      <c r="DL4585">
        <v>0</v>
      </c>
      <c r="DM4585">
        <v>0</v>
      </c>
      <c r="DN4585">
        <v>0</v>
      </c>
      <c r="DO4585">
        <v>0</v>
      </c>
      <c r="DP4585">
        <v>0</v>
      </c>
      <c r="DQ4585">
        <v>0</v>
      </c>
      <c r="DR4585">
        <v>0</v>
      </c>
      <c r="DS4585">
        <v>0</v>
      </c>
    </row>
    <row r="4586" spans="1:123" x14ac:dyDescent="0.3">
      <c r="A4586" t="str">
        <f>"05/01/2025 15:17:17.028"</f>
        <v>05/01/2025 15:17:17.028</v>
      </c>
      <c r="C4586" t="str">
        <f t="shared" si="1800"/>
        <v>FFDFD3C0</v>
      </c>
      <c r="D4586" t="s">
        <v>145</v>
      </c>
      <c r="E4586" t="str">
        <f>"05"</f>
        <v>05</v>
      </c>
      <c r="H4586">
        <v>47</v>
      </c>
      <c r="I4586" t="s">
        <v>146</v>
      </c>
      <c r="J4586" t="s">
        <v>138</v>
      </c>
      <c r="K4586">
        <v>0</v>
      </c>
      <c r="L4586">
        <v>3</v>
      </c>
      <c r="M4586">
        <v>0</v>
      </c>
      <c r="N4586">
        <v>2</v>
      </c>
      <c r="O4586">
        <v>0</v>
      </c>
      <c r="P4586">
        <v>1</v>
      </c>
      <c r="Q4586">
        <v>0</v>
      </c>
      <c r="R4586" t="s">
        <v>127</v>
      </c>
      <c r="S4586" t="str">
        <f t="shared" ref="S4586:T4591" si="1816">"15:17:16.000"</f>
        <v>15:17:16.000</v>
      </c>
      <c r="T4586" t="str">
        <f t="shared" si="1816"/>
        <v>15:17:16.000</v>
      </c>
      <c r="U4586" t="str">
        <f t="shared" si="1801"/>
        <v>A68FCB</v>
      </c>
      <c r="V4586">
        <v>0</v>
      </c>
      <c r="W4586">
        <v>0</v>
      </c>
      <c r="X4586">
        <v>2</v>
      </c>
      <c r="Y4586">
        <v>0</v>
      </c>
      <c r="AA4586">
        <v>1</v>
      </c>
      <c r="AB4586">
        <v>8</v>
      </c>
      <c r="AC4586">
        <v>3</v>
      </c>
      <c r="AD4586">
        <v>0</v>
      </c>
      <c r="AE4586">
        <v>9</v>
      </c>
      <c r="AF4586" t="s">
        <v>138</v>
      </c>
      <c r="AG4586">
        <v>0</v>
      </c>
      <c r="AH4586">
        <v>3</v>
      </c>
      <c r="AI4586">
        <v>2</v>
      </c>
      <c r="AJ4586">
        <v>0</v>
      </c>
      <c r="AK4586" t="s">
        <v>1462</v>
      </c>
      <c r="AL4586">
        <v>39.212158000000002</v>
      </c>
      <c r="AM4586" t="s">
        <v>1463</v>
      </c>
      <c r="AN4586">
        <v>-121.004233</v>
      </c>
      <c r="AO4586">
        <v>25</v>
      </c>
      <c r="AP4586">
        <v>4200</v>
      </c>
      <c r="AQ4586" t="s">
        <v>131</v>
      </c>
      <c r="AR4586">
        <v>22</v>
      </c>
      <c r="AS4586">
        <v>81</v>
      </c>
      <c r="AT4586">
        <v>0</v>
      </c>
      <c r="BB4586" t="str">
        <f t="shared" si="1802"/>
        <v>1200</v>
      </c>
      <c r="BC4586">
        <v>1</v>
      </c>
      <c r="BD4586" t="str">
        <f t="shared" si="1803"/>
        <v xml:space="preserve">N52156  </v>
      </c>
      <c r="BE4586">
        <v>1</v>
      </c>
      <c r="BG4586">
        <v>0</v>
      </c>
      <c r="BH4586">
        <v>0</v>
      </c>
      <c r="BI4586">
        <v>0</v>
      </c>
      <c r="BJ4586">
        <v>4225</v>
      </c>
      <c r="BK4586">
        <v>25</v>
      </c>
      <c r="BL4586" t="s">
        <v>188</v>
      </c>
      <c r="BM4586">
        <v>1</v>
      </c>
      <c r="BN4586">
        <v>1</v>
      </c>
      <c r="BO4586">
        <v>0</v>
      </c>
      <c r="BP4586">
        <v>0</v>
      </c>
      <c r="BS4586">
        <v>0</v>
      </c>
      <c r="BT4586">
        <v>0</v>
      </c>
      <c r="BU4586">
        <v>0</v>
      </c>
      <c r="CE4586" t="str">
        <f t="shared" ref="CE4586:CE4591" si="1817">"15:17:16.795"</f>
        <v>15:17:16.795</v>
      </c>
      <c r="CF4586">
        <v>794756955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5</v>
      </c>
      <c r="CY4586">
        <v>7</v>
      </c>
      <c r="CZ4586" t="s">
        <v>133</v>
      </c>
      <c r="DA4586">
        <v>275</v>
      </c>
      <c r="DB4586">
        <v>0</v>
      </c>
      <c r="DC4586" t="s">
        <v>134</v>
      </c>
      <c r="DD4586" t="s">
        <v>135</v>
      </c>
      <c r="DG4586">
        <v>3323323</v>
      </c>
      <c r="DI4586">
        <v>1</v>
      </c>
      <c r="DJ4586">
        <v>0</v>
      </c>
      <c r="DK4586">
        <v>0</v>
      </c>
      <c r="DL4586">
        <v>0</v>
      </c>
      <c r="DM4586">
        <v>0</v>
      </c>
      <c r="DN4586">
        <v>0</v>
      </c>
      <c r="DO4586">
        <v>0</v>
      </c>
      <c r="DP4586">
        <v>0</v>
      </c>
      <c r="DQ4586">
        <v>0</v>
      </c>
      <c r="DR4586">
        <v>0</v>
      </c>
      <c r="DS4586">
        <v>0</v>
      </c>
    </row>
    <row r="4587" spans="1:123" x14ac:dyDescent="0.3">
      <c r="A4587" t="str">
        <f>"05/01/2025 15:17:17.023"</f>
        <v>05/01/2025 15:17:17.023</v>
      </c>
      <c r="C4587" t="str">
        <f t="shared" si="1800"/>
        <v>FFDFD3C0</v>
      </c>
      <c r="D4587" t="s">
        <v>145</v>
      </c>
      <c r="E4587" t="str">
        <f>"09"</f>
        <v>09</v>
      </c>
      <c r="H4587">
        <v>51</v>
      </c>
      <c r="I4587" t="s">
        <v>147</v>
      </c>
      <c r="J4587" t="s">
        <v>138</v>
      </c>
      <c r="K4587">
        <v>0</v>
      </c>
      <c r="L4587">
        <v>3</v>
      </c>
      <c r="M4587">
        <v>0</v>
      </c>
      <c r="N4587">
        <v>2</v>
      </c>
      <c r="O4587">
        <v>0</v>
      </c>
      <c r="P4587">
        <v>1</v>
      </c>
      <c r="Q4587">
        <v>0</v>
      </c>
      <c r="R4587" t="s">
        <v>127</v>
      </c>
      <c r="S4587" t="str">
        <f t="shared" si="1816"/>
        <v>15:17:16.000</v>
      </c>
      <c r="T4587" t="str">
        <f t="shared" si="1816"/>
        <v>15:17:16.000</v>
      </c>
      <c r="U4587" t="str">
        <f t="shared" si="1801"/>
        <v>A68FCB</v>
      </c>
      <c r="V4587">
        <v>0</v>
      </c>
      <c r="W4587">
        <v>0</v>
      </c>
      <c r="X4587">
        <v>2</v>
      </c>
      <c r="Y4587">
        <v>0</v>
      </c>
      <c r="AA4587">
        <v>1</v>
      </c>
      <c r="AB4587">
        <v>8</v>
      </c>
      <c r="AC4587">
        <v>3</v>
      </c>
      <c r="AD4587">
        <v>0</v>
      </c>
      <c r="AE4587">
        <v>9</v>
      </c>
      <c r="AF4587" t="s">
        <v>138</v>
      </c>
      <c r="AG4587">
        <v>0</v>
      </c>
      <c r="AH4587">
        <v>3</v>
      </c>
      <c r="AI4587">
        <v>2</v>
      </c>
      <c r="AJ4587">
        <v>0</v>
      </c>
      <c r="AK4587" t="s">
        <v>1462</v>
      </c>
      <c r="AL4587">
        <v>39.212158000000002</v>
      </c>
      <c r="AM4587" t="s">
        <v>1463</v>
      </c>
      <c r="AN4587">
        <v>-121.004233</v>
      </c>
      <c r="AO4587">
        <v>25</v>
      </c>
      <c r="AP4587">
        <v>4200</v>
      </c>
      <c r="AQ4587" t="s">
        <v>131</v>
      </c>
      <c r="AR4587">
        <v>22</v>
      </c>
      <c r="AS4587">
        <v>81</v>
      </c>
      <c r="AT4587">
        <v>0</v>
      </c>
      <c r="BB4587" t="str">
        <f t="shared" si="1802"/>
        <v>1200</v>
      </c>
      <c r="BC4587">
        <v>1</v>
      </c>
      <c r="BD4587" t="str">
        <f t="shared" si="1803"/>
        <v xml:space="preserve">N52156  </v>
      </c>
      <c r="BE4587">
        <v>1</v>
      </c>
      <c r="BG4587">
        <v>0</v>
      </c>
      <c r="BH4587">
        <v>0</v>
      </c>
      <c r="BI4587">
        <v>0</v>
      </c>
      <c r="BJ4587">
        <v>4225</v>
      </c>
      <c r="BK4587">
        <v>25</v>
      </c>
      <c r="BL4587" t="s">
        <v>188</v>
      </c>
      <c r="BM4587">
        <v>1</v>
      </c>
      <c r="BN4587">
        <v>1</v>
      </c>
      <c r="BO4587">
        <v>0</v>
      </c>
      <c r="BP4587">
        <v>0</v>
      </c>
      <c r="BS4587">
        <v>0</v>
      </c>
      <c r="BT4587">
        <v>0</v>
      </c>
      <c r="BU4587">
        <v>0</v>
      </c>
      <c r="CE4587" t="str">
        <f t="shared" si="1817"/>
        <v>15:17:16.795</v>
      </c>
      <c r="CF4587">
        <v>794756955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5</v>
      </c>
      <c r="CY4587">
        <v>7</v>
      </c>
      <c r="CZ4587" t="s">
        <v>133</v>
      </c>
      <c r="DA4587">
        <v>275</v>
      </c>
      <c r="DB4587">
        <v>0</v>
      </c>
      <c r="DC4587" t="s">
        <v>134</v>
      </c>
      <c r="DD4587" t="s">
        <v>135</v>
      </c>
      <c r="DG4587">
        <v>3323323</v>
      </c>
      <c r="DI4587">
        <v>1</v>
      </c>
      <c r="DJ4587">
        <v>0</v>
      </c>
      <c r="DK4587">
        <v>1</v>
      </c>
      <c r="DL4587">
        <v>0</v>
      </c>
      <c r="DM4587">
        <v>0</v>
      </c>
      <c r="DN4587">
        <v>0</v>
      </c>
      <c r="DO4587">
        <v>0</v>
      </c>
      <c r="DP4587">
        <v>0</v>
      </c>
      <c r="DQ4587">
        <v>0</v>
      </c>
      <c r="DR4587">
        <v>0</v>
      </c>
      <c r="DS4587">
        <v>0</v>
      </c>
    </row>
    <row r="4588" spans="1:123" x14ac:dyDescent="0.3">
      <c r="A4588" t="str">
        <f>"05/01/2025 15:17:17.038"</f>
        <v>05/01/2025 15:17:17.038</v>
      </c>
      <c r="C4588" t="str">
        <f t="shared" si="1800"/>
        <v>FFDFD3C0</v>
      </c>
      <c r="D4588" t="s">
        <v>136</v>
      </c>
      <c r="E4588" t="str">
        <f>"20"</f>
        <v>20</v>
      </c>
      <c r="H4588">
        <v>400</v>
      </c>
      <c r="I4588" t="s">
        <v>137</v>
      </c>
      <c r="J4588" t="s">
        <v>138</v>
      </c>
      <c r="K4588">
        <v>0</v>
      </c>
      <c r="L4588">
        <v>3</v>
      </c>
      <c r="M4588">
        <v>0</v>
      </c>
      <c r="N4588">
        <v>2</v>
      </c>
      <c r="O4588">
        <v>0</v>
      </c>
      <c r="P4588">
        <v>1</v>
      </c>
      <c r="Q4588">
        <v>0</v>
      </c>
      <c r="R4588" t="s">
        <v>127</v>
      </c>
      <c r="S4588" t="str">
        <f t="shared" si="1816"/>
        <v>15:17:16.000</v>
      </c>
      <c r="T4588" t="str">
        <f t="shared" si="1816"/>
        <v>15:17:16.000</v>
      </c>
      <c r="U4588" t="str">
        <f t="shared" si="1801"/>
        <v>A68FCB</v>
      </c>
      <c r="V4588">
        <v>0</v>
      </c>
      <c r="W4588">
        <v>0</v>
      </c>
      <c r="X4588">
        <v>2</v>
      </c>
      <c r="Y4588">
        <v>0</v>
      </c>
      <c r="AA4588">
        <v>1</v>
      </c>
      <c r="AB4588">
        <v>8</v>
      </c>
      <c r="AC4588">
        <v>3</v>
      </c>
      <c r="AD4588">
        <v>0</v>
      </c>
      <c r="AE4588">
        <v>9</v>
      </c>
      <c r="AF4588" t="s">
        <v>138</v>
      </c>
      <c r="AG4588">
        <v>0</v>
      </c>
      <c r="AH4588">
        <v>3</v>
      </c>
      <c r="AI4588">
        <v>2</v>
      </c>
      <c r="AJ4588">
        <v>0</v>
      </c>
      <c r="AK4588" t="s">
        <v>1462</v>
      </c>
      <c r="AL4588">
        <v>39.212158000000002</v>
      </c>
      <c r="AM4588" t="s">
        <v>1463</v>
      </c>
      <c r="AN4588">
        <v>-121.004233</v>
      </c>
      <c r="AO4588">
        <v>25</v>
      </c>
      <c r="AP4588">
        <v>4200</v>
      </c>
      <c r="AQ4588" t="s">
        <v>131</v>
      </c>
      <c r="AR4588">
        <v>22</v>
      </c>
      <c r="AS4588">
        <v>81</v>
      </c>
      <c r="AT4588">
        <v>0</v>
      </c>
      <c r="BB4588" t="str">
        <f t="shared" si="1802"/>
        <v>1200</v>
      </c>
      <c r="BC4588">
        <v>1</v>
      </c>
      <c r="BD4588" t="str">
        <f t="shared" si="1803"/>
        <v xml:space="preserve">N52156  </v>
      </c>
      <c r="BE4588">
        <v>1</v>
      </c>
      <c r="BG4588">
        <v>0</v>
      </c>
      <c r="BH4588">
        <v>0</v>
      </c>
      <c r="BI4588">
        <v>0</v>
      </c>
      <c r="BJ4588">
        <v>4225</v>
      </c>
      <c r="BK4588">
        <v>25</v>
      </c>
      <c r="BL4588" t="s">
        <v>188</v>
      </c>
      <c r="BM4588">
        <v>1</v>
      </c>
      <c r="BN4588">
        <v>1</v>
      </c>
      <c r="BO4588">
        <v>0</v>
      </c>
      <c r="BP4588">
        <v>0</v>
      </c>
      <c r="BS4588">
        <v>0</v>
      </c>
      <c r="BT4588">
        <v>0</v>
      </c>
      <c r="BU4588">
        <v>0</v>
      </c>
      <c r="CE4588" t="str">
        <f t="shared" si="1817"/>
        <v>15:17:16.795</v>
      </c>
      <c r="CF4588">
        <v>794756955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5</v>
      </c>
      <c r="CY4588">
        <v>7</v>
      </c>
      <c r="CZ4588" t="s">
        <v>133</v>
      </c>
      <c r="DA4588">
        <v>275</v>
      </c>
      <c r="DB4588">
        <v>0</v>
      </c>
      <c r="DC4588" t="s">
        <v>134</v>
      </c>
      <c r="DD4588" t="s">
        <v>135</v>
      </c>
      <c r="DG4588">
        <v>3323323</v>
      </c>
      <c r="DI4588">
        <v>1</v>
      </c>
      <c r="DJ4588">
        <v>0</v>
      </c>
      <c r="DK4588">
        <v>1</v>
      </c>
      <c r="DL4588">
        <v>0</v>
      </c>
      <c r="DM4588">
        <v>0</v>
      </c>
      <c r="DN4588">
        <v>0</v>
      </c>
      <c r="DO4588">
        <v>0</v>
      </c>
      <c r="DP4588">
        <v>0</v>
      </c>
      <c r="DQ4588">
        <v>0</v>
      </c>
      <c r="DR4588">
        <v>0</v>
      </c>
      <c r="DS4588">
        <v>0</v>
      </c>
    </row>
    <row r="4589" spans="1:123" x14ac:dyDescent="0.3">
      <c r="A4589" t="str">
        <f>"05/01/2025 15:17:17.053"</f>
        <v>05/01/2025 15:17:17.053</v>
      </c>
      <c r="C4589" t="str">
        <f t="shared" si="1800"/>
        <v>FFDFD3C0</v>
      </c>
      <c r="D4589" t="s">
        <v>140</v>
      </c>
      <c r="E4589" t="str">
        <f>"13"</f>
        <v>13</v>
      </c>
      <c r="F4589">
        <v>1019</v>
      </c>
      <c r="G4589" t="s">
        <v>141</v>
      </c>
      <c r="J4589" t="s">
        <v>142</v>
      </c>
      <c r="K4589">
        <v>0</v>
      </c>
      <c r="L4589">
        <v>3</v>
      </c>
      <c r="M4589">
        <v>0</v>
      </c>
      <c r="N4589">
        <v>2</v>
      </c>
      <c r="O4589">
        <v>0</v>
      </c>
      <c r="P4589">
        <v>1</v>
      </c>
      <c r="Q4589">
        <v>0</v>
      </c>
      <c r="R4589" t="s">
        <v>127</v>
      </c>
      <c r="S4589" t="str">
        <f t="shared" si="1816"/>
        <v>15:17:16.000</v>
      </c>
      <c r="T4589" t="str">
        <f t="shared" si="1816"/>
        <v>15:17:16.000</v>
      </c>
      <c r="U4589" t="str">
        <f t="shared" si="1801"/>
        <v>A68FCB</v>
      </c>
      <c r="V4589">
        <v>0</v>
      </c>
      <c r="W4589">
        <v>0</v>
      </c>
      <c r="X4589">
        <v>2</v>
      </c>
      <c r="Y4589">
        <v>0</v>
      </c>
      <c r="AA4589">
        <v>1</v>
      </c>
      <c r="AB4589">
        <v>8</v>
      </c>
      <c r="AC4589">
        <v>3</v>
      </c>
      <c r="AD4589">
        <v>0</v>
      </c>
      <c r="AE4589">
        <v>9</v>
      </c>
      <c r="AF4589" t="s">
        <v>138</v>
      </c>
      <c r="AG4589">
        <v>0</v>
      </c>
      <c r="AH4589">
        <v>3</v>
      </c>
      <c r="AI4589">
        <v>2</v>
      </c>
      <c r="AJ4589">
        <v>0</v>
      </c>
      <c r="AK4589" t="s">
        <v>1462</v>
      </c>
      <c r="AL4589">
        <v>39.212158000000002</v>
      </c>
      <c r="AM4589" t="s">
        <v>1463</v>
      </c>
      <c r="AN4589">
        <v>-121.004233</v>
      </c>
      <c r="AO4589">
        <v>25</v>
      </c>
      <c r="AP4589">
        <v>4200</v>
      </c>
      <c r="AQ4589" t="s">
        <v>131</v>
      </c>
      <c r="AR4589">
        <v>22</v>
      </c>
      <c r="AS4589">
        <v>81</v>
      </c>
      <c r="AT4589">
        <v>0</v>
      </c>
      <c r="BB4589" t="str">
        <f t="shared" si="1802"/>
        <v>1200</v>
      </c>
      <c r="BC4589">
        <v>1</v>
      </c>
      <c r="BD4589" t="str">
        <f t="shared" si="1803"/>
        <v xml:space="preserve">N52156  </v>
      </c>
      <c r="BE4589">
        <v>1</v>
      </c>
      <c r="BG4589">
        <v>0</v>
      </c>
      <c r="BH4589">
        <v>0</v>
      </c>
      <c r="BI4589">
        <v>0</v>
      </c>
      <c r="BJ4589">
        <v>4225</v>
      </c>
      <c r="BK4589">
        <v>25</v>
      </c>
      <c r="BL4589" t="s">
        <v>188</v>
      </c>
      <c r="BM4589">
        <v>1</v>
      </c>
      <c r="BN4589">
        <v>1</v>
      </c>
      <c r="BO4589">
        <v>0</v>
      </c>
      <c r="BP4589">
        <v>0</v>
      </c>
      <c r="BS4589">
        <v>0</v>
      </c>
      <c r="BT4589">
        <v>0</v>
      </c>
      <c r="BU4589">
        <v>0</v>
      </c>
      <c r="CE4589" t="str">
        <f t="shared" si="1817"/>
        <v>15:17:16.795</v>
      </c>
      <c r="CF4589">
        <v>794756955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5</v>
      </c>
      <c r="CY4589">
        <v>7</v>
      </c>
      <c r="CZ4589" t="s">
        <v>133</v>
      </c>
      <c r="DA4589">
        <v>275</v>
      </c>
      <c r="DB4589">
        <v>0</v>
      </c>
      <c r="DC4589" t="s">
        <v>134</v>
      </c>
      <c r="DD4589" t="s">
        <v>135</v>
      </c>
      <c r="DG4589">
        <v>3323323</v>
      </c>
      <c r="DI4589">
        <v>1</v>
      </c>
      <c r="DJ4589">
        <v>0</v>
      </c>
      <c r="DK4589">
        <v>1</v>
      </c>
      <c r="DL4589">
        <v>0</v>
      </c>
      <c r="DM4589">
        <v>0</v>
      </c>
      <c r="DN4589">
        <v>0</v>
      </c>
      <c r="DO4589">
        <v>0</v>
      </c>
      <c r="DP4589">
        <v>0</v>
      </c>
      <c r="DQ4589">
        <v>0</v>
      </c>
      <c r="DR4589">
        <v>0</v>
      </c>
      <c r="DS4589">
        <v>0</v>
      </c>
    </row>
    <row r="4590" spans="1:123" x14ac:dyDescent="0.3">
      <c r="A4590" t="str">
        <f>"05/01/2025 15:17:17.055"</f>
        <v>05/01/2025 15:17:17.055</v>
      </c>
      <c r="C4590" t="str">
        <f t="shared" si="1800"/>
        <v>FFDFD3C0</v>
      </c>
      <c r="D4590" t="s">
        <v>124</v>
      </c>
      <c r="E4590" t="str">
        <f>"06"</f>
        <v>06</v>
      </c>
      <c r="F4590">
        <v>2006</v>
      </c>
      <c r="G4590" t="s">
        <v>125</v>
      </c>
      <c r="J4590" t="s">
        <v>126</v>
      </c>
      <c r="K4590">
        <v>0</v>
      </c>
      <c r="L4590">
        <v>3</v>
      </c>
      <c r="M4590">
        <v>0</v>
      </c>
      <c r="N4590">
        <v>2</v>
      </c>
      <c r="O4590">
        <v>0</v>
      </c>
      <c r="P4590">
        <v>1</v>
      </c>
      <c r="Q4590">
        <v>0</v>
      </c>
      <c r="R4590" t="s">
        <v>127</v>
      </c>
      <c r="S4590" t="str">
        <f t="shared" si="1816"/>
        <v>15:17:16.000</v>
      </c>
      <c r="T4590" t="str">
        <f t="shared" si="1816"/>
        <v>15:17:16.000</v>
      </c>
      <c r="U4590" t="str">
        <f t="shared" si="1801"/>
        <v>A68FCB</v>
      </c>
      <c r="V4590">
        <v>0</v>
      </c>
      <c r="W4590">
        <v>0</v>
      </c>
      <c r="X4590">
        <v>2</v>
      </c>
      <c r="Y4590">
        <v>0</v>
      </c>
      <c r="AA4590">
        <v>1</v>
      </c>
      <c r="AB4590">
        <v>8</v>
      </c>
      <c r="AC4590">
        <v>3</v>
      </c>
      <c r="AD4590">
        <v>0</v>
      </c>
      <c r="AE4590">
        <v>9</v>
      </c>
      <c r="AF4590" t="s">
        <v>138</v>
      </c>
      <c r="AG4590">
        <v>0</v>
      </c>
      <c r="AH4590">
        <v>3</v>
      </c>
      <c r="AI4590">
        <v>2</v>
      </c>
      <c r="AJ4590">
        <v>0</v>
      </c>
      <c r="AK4590" t="s">
        <v>1462</v>
      </c>
      <c r="AL4590">
        <v>39.212158000000002</v>
      </c>
      <c r="AM4590" t="s">
        <v>1463</v>
      </c>
      <c r="AN4590">
        <v>-121.004233</v>
      </c>
      <c r="AO4590">
        <v>25</v>
      </c>
      <c r="AP4590">
        <v>4200</v>
      </c>
      <c r="AQ4590" t="s">
        <v>131</v>
      </c>
      <c r="AR4590">
        <v>22</v>
      </c>
      <c r="AS4590">
        <v>81</v>
      </c>
      <c r="AT4590">
        <v>0</v>
      </c>
      <c r="BB4590" t="str">
        <f t="shared" si="1802"/>
        <v>1200</v>
      </c>
      <c r="BC4590">
        <v>1</v>
      </c>
      <c r="BD4590" t="str">
        <f t="shared" si="1803"/>
        <v xml:space="preserve">N52156  </v>
      </c>
      <c r="BE4590">
        <v>1</v>
      </c>
      <c r="BG4590">
        <v>0</v>
      </c>
      <c r="BH4590">
        <v>0</v>
      </c>
      <c r="BI4590">
        <v>0</v>
      </c>
      <c r="BJ4590">
        <v>4225</v>
      </c>
      <c r="BK4590">
        <v>25</v>
      </c>
      <c r="BL4590" t="s">
        <v>188</v>
      </c>
      <c r="BM4590">
        <v>1</v>
      </c>
      <c r="BN4590">
        <v>1</v>
      </c>
      <c r="BO4590">
        <v>0</v>
      </c>
      <c r="BP4590">
        <v>0</v>
      </c>
      <c r="BS4590">
        <v>0</v>
      </c>
      <c r="BT4590">
        <v>0</v>
      </c>
      <c r="BU4590">
        <v>0</v>
      </c>
      <c r="CE4590" t="str">
        <f t="shared" si="1817"/>
        <v>15:17:16.795</v>
      </c>
      <c r="CF4590">
        <v>794756955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5</v>
      </c>
      <c r="CY4590">
        <v>7</v>
      </c>
      <c r="CZ4590" t="s">
        <v>133</v>
      </c>
      <c r="DA4590">
        <v>275</v>
      </c>
      <c r="DB4590">
        <v>0</v>
      </c>
      <c r="DC4590" t="s">
        <v>134</v>
      </c>
      <c r="DD4590" t="s">
        <v>135</v>
      </c>
      <c r="DG4590">
        <v>3323323</v>
      </c>
      <c r="DI4590">
        <v>1</v>
      </c>
      <c r="DJ4590">
        <v>0</v>
      </c>
      <c r="DK4590">
        <v>1</v>
      </c>
      <c r="DL4590">
        <v>0</v>
      </c>
      <c r="DM4590">
        <v>0</v>
      </c>
      <c r="DN4590">
        <v>0</v>
      </c>
      <c r="DO4590">
        <v>0</v>
      </c>
      <c r="DP4590">
        <v>0</v>
      </c>
      <c r="DQ4590">
        <v>0</v>
      </c>
      <c r="DR4590">
        <v>0</v>
      </c>
      <c r="DS4590">
        <v>0</v>
      </c>
    </row>
    <row r="4591" spans="1:123" x14ac:dyDescent="0.3">
      <c r="A4591" t="str">
        <f>"05/01/2025 15:17:17.061"</f>
        <v>05/01/2025 15:17:17.061</v>
      </c>
      <c r="C4591" t="str">
        <f t="shared" si="1800"/>
        <v>FFDFD3C0</v>
      </c>
      <c r="D4591" t="s">
        <v>143</v>
      </c>
      <c r="E4591" t="str">
        <f>"05"</f>
        <v>05</v>
      </c>
      <c r="H4591">
        <v>172</v>
      </c>
      <c r="I4591" t="s">
        <v>141</v>
      </c>
      <c r="J4591" t="s">
        <v>144</v>
      </c>
      <c r="K4591">
        <v>0</v>
      </c>
      <c r="L4591">
        <v>3</v>
      </c>
      <c r="M4591">
        <v>0</v>
      </c>
      <c r="N4591">
        <v>2</v>
      </c>
      <c r="O4591">
        <v>0</v>
      </c>
      <c r="P4591">
        <v>1</v>
      </c>
      <c r="Q4591">
        <v>0</v>
      </c>
      <c r="R4591" t="s">
        <v>127</v>
      </c>
      <c r="S4591" t="str">
        <f t="shared" si="1816"/>
        <v>15:17:16.000</v>
      </c>
      <c r="T4591" t="str">
        <f t="shared" si="1816"/>
        <v>15:17:16.000</v>
      </c>
      <c r="U4591" t="str">
        <f t="shared" si="1801"/>
        <v>A68FCB</v>
      </c>
      <c r="V4591">
        <v>0</v>
      </c>
      <c r="W4591">
        <v>0</v>
      </c>
      <c r="X4591">
        <v>2</v>
      </c>
      <c r="Y4591">
        <v>0</v>
      </c>
      <c r="AA4591">
        <v>1</v>
      </c>
      <c r="AB4591">
        <v>8</v>
      </c>
      <c r="AC4591">
        <v>3</v>
      </c>
      <c r="AD4591">
        <v>0</v>
      </c>
      <c r="AE4591">
        <v>9</v>
      </c>
      <c r="AF4591" t="s">
        <v>138</v>
      </c>
      <c r="AG4591">
        <v>0</v>
      </c>
      <c r="AH4591">
        <v>3</v>
      </c>
      <c r="AI4591">
        <v>2</v>
      </c>
      <c r="AJ4591">
        <v>0</v>
      </c>
      <c r="AK4591" t="s">
        <v>1462</v>
      </c>
      <c r="AL4591">
        <v>39.212158000000002</v>
      </c>
      <c r="AM4591" t="s">
        <v>1463</v>
      </c>
      <c r="AN4591">
        <v>-121.004233</v>
      </c>
      <c r="AO4591">
        <v>25</v>
      </c>
      <c r="AP4591">
        <v>4200</v>
      </c>
      <c r="AQ4591" t="s">
        <v>131</v>
      </c>
      <c r="AR4591">
        <v>22</v>
      </c>
      <c r="AS4591">
        <v>81</v>
      </c>
      <c r="AT4591">
        <v>0</v>
      </c>
      <c r="BB4591" t="str">
        <f t="shared" si="1802"/>
        <v>1200</v>
      </c>
      <c r="BC4591">
        <v>1</v>
      </c>
      <c r="BD4591" t="str">
        <f t="shared" si="1803"/>
        <v xml:space="preserve">N52156  </v>
      </c>
      <c r="BE4591">
        <v>1</v>
      </c>
      <c r="BG4591">
        <v>0</v>
      </c>
      <c r="BH4591">
        <v>0</v>
      </c>
      <c r="BI4591">
        <v>0</v>
      </c>
      <c r="BJ4591">
        <v>4225</v>
      </c>
      <c r="BK4591">
        <v>25</v>
      </c>
      <c r="BL4591" t="s">
        <v>188</v>
      </c>
      <c r="BM4591">
        <v>1</v>
      </c>
      <c r="BN4591">
        <v>1</v>
      </c>
      <c r="BO4591">
        <v>0</v>
      </c>
      <c r="BP4591">
        <v>0</v>
      </c>
      <c r="BS4591">
        <v>0</v>
      </c>
      <c r="BT4591">
        <v>0</v>
      </c>
      <c r="BU4591">
        <v>0</v>
      </c>
      <c r="CE4591" t="str">
        <f t="shared" si="1817"/>
        <v>15:17:16.795</v>
      </c>
      <c r="CF4591">
        <v>794756955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5</v>
      </c>
      <c r="CY4591">
        <v>7</v>
      </c>
      <c r="CZ4591" t="s">
        <v>133</v>
      </c>
      <c r="DA4591">
        <v>275</v>
      </c>
      <c r="DB4591">
        <v>0</v>
      </c>
      <c r="DC4591" t="s">
        <v>134</v>
      </c>
      <c r="DD4591" t="s">
        <v>135</v>
      </c>
      <c r="DG4591">
        <v>3323323</v>
      </c>
      <c r="DI4591">
        <v>1</v>
      </c>
      <c r="DJ4591">
        <v>0</v>
      </c>
      <c r="DK4591">
        <v>1</v>
      </c>
      <c r="DL4591">
        <v>0</v>
      </c>
      <c r="DM4591">
        <v>0</v>
      </c>
      <c r="DN4591">
        <v>0</v>
      </c>
      <c r="DO4591">
        <v>0</v>
      </c>
      <c r="DP4591">
        <v>0</v>
      </c>
      <c r="DQ4591">
        <v>0</v>
      </c>
      <c r="DR4591">
        <v>0</v>
      </c>
      <c r="DS4591">
        <v>0</v>
      </c>
    </row>
    <row r="4592" spans="1:123" x14ac:dyDescent="0.3">
      <c r="A4592" t="str">
        <f>"05/01/2025 15:17:17.855"</f>
        <v>05/01/2025 15:17:17.855</v>
      </c>
      <c r="C4592" t="str">
        <f t="shared" si="1800"/>
        <v>FFDFD3C0</v>
      </c>
      <c r="D4592" t="s">
        <v>140</v>
      </c>
      <c r="E4592" t="str">
        <f>"13"</f>
        <v>13</v>
      </c>
      <c r="F4592">
        <v>1019</v>
      </c>
      <c r="G4592" t="s">
        <v>141</v>
      </c>
      <c r="J4592" t="s">
        <v>142</v>
      </c>
      <c r="K4592">
        <v>0</v>
      </c>
      <c r="L4592">
        <v>3</v>
      </c>
      <c r="M4592">
        <v>0</v>
      </c>
      <c r="N4592">
        <v>2</v>
      </c>
      <c r="O4592">
        <v>0</v>
      </c>
      <c r="P4592">
        <v>1</v>
      </c>
      <c r="Q4592">
        <v>0</v>
      </c>
      <c r="R4592" t="s">
        <v>127</v>
      </c>
      <c r="S4592" t="str">
        <f t="shared" ref="S4592:T4597" si="1818">"15:17:17.000"</f>
        <v>15:17:17.000</v>
      </c>
      <c r="T4592" t="str">
        <f t="shared" si="1818"/>
        <v>15:17:17.000</v>
      </c>
      <c r="U4592" t="str">
        <f t="shared" si="1801"/>
        <v>A68FCB</v>
      </c>
      <c r="V4592">
        <v>0</v>
      </c>
      <c r="W4592">
        <v>0</v>
      </c>
      <c r="X4592">
        <v>2</v>
      </c>
      <c r="Y4592">
        <v>0</v>
      </c>
      <c r="AA4592">
        <v>1</v>
      </c>
      <c r="AB4592">
        <v>8</v>
      </c>
      <c r="AC4592">
        <v>3</v>
      </c>
      <c r="AD4592">
        <v>0</v>
      </c>
      <c r="AE4592">
        <v>9</v>
      </c>
      <c r="AF4592" t="s">
        <v>138</v>
      </c>
      <c r="AG4592">
        <v>0</v>
      </c>
      <c r="AH4592">
        <v>3</v>
      </c>
      <c r="AI4592">
        <v>2</v>
      </c>
      <c r="AJ4592">
        <v>0</v>
      </c>
      <c r="AK4592" t="s">
        <v>1464</v>
      </c>
      <c r="AL4592">
        <v>39.212522999999997</v>
      </c>
      <c r="AM4592" t="s">
        <v>1465</v>
      </c>
      <c r="AN4592">
        <v>-121.004105</v>
      </c>
      <c r="AO4592">
        <v>25</v>
      </c>
      <c r="AP4592">
        <v>4200</v>
      </c>
      <c r="AQ4592" t="s">
        <v>131</v>
      </c>
      <c r="AR4592">
        <v>23</v>
      </c>
      <c r="AS4592">
        <v>81</v>
      </c>
      <c r="AT4592">
        <v>0</v>
      </c>
      <c r="BB4592" t="str">
        <f t="shared" si="1802"/>
        <v>1200</v>
      </c>
      <c r="BC4592">
        <v>1</v>
      </c>
      <c r="BD4592" t="str">
        <f t="shared" si="1803"/>
        <v xml:space="preserve">N52156  </v>
      </c>
      <c r="BE4592">
        <v>1</v>
      </c>
      <c r="BG4592">
        <v>0</v>
      </c>
      <c r="BH4592">
        <v>0</v>
      </c>
      <c r="BI4592">
        <v>0</v>
      </c>
      <c r="BJ4592">
        <v>4225</v>
      </c>
      <c r="BK4592">
        <v>25</v>
      </c>
      <c r="BL4592" t="s">
        <v>188</v>
      </c>
      <c r="BM4592">
        <v>1</v>
      </c>
      <c r="BN4592">
        <v>1</v>
      </c>
      <c r="BO4592">
        <v>0</v>
      </c>
      <c r="BP4592">
        <v>0</v>
      </c>
      <c r="BS4592">
        <v>0</v>
      </c>
      <c r="BT4592">
        <v>0</v>
      </c>
      <c r="BU4592">
        <v>0</v>
      </c>
      <c r="CE4592" t="str">
        <f t="shared" ref="CE4592:CE4597" si="1819">"15:17:17.643"</f>
        <v>15:17:17.643</v>
      </c>
      <c r="CF4592">
        <v>642756633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5</v>
      </c>
      <c r="CY4592">
        <v>7</v>
      </c>
      <c r="CZ4592" t="s">
        <v>133</v>
      </c>
      <c r="DA4592">
        <v>275</v>
      </c>
      <c r="DB4592">
        <v>0</v>
      </c>
      <c r="DC4592" t="s">
        <v>134</v>
      </c>
      <c r="DD4592" t="s">
        <v>135</v>
      </c>
      <c r="DG4592">
        <v>3323325</v>
      </c>
      <c r="DI4592">
        <v>1</v>
      </c>
      <c r="DJ4592">
        <v>0</v>
      </c>
      <c r="DK4592">
        <v>0</v>
      </c>
      <c r="DL4592">
        <v>0</v>
      </c>
      <c r="DM4592">
        <v>0</v>
      </c>
      <c r="DN4592">
        <v>0</v>
      </c>
      <c r="DO4592">
        <v>0</v>
      </c>
      <c r="DP4592">
        <v>0</v>
      </c>
      <c r="DQ4592">
        <v>0</v>
      </c>
      <c r="DR4592">
        <v>0</v>
      </c>
      <c r="DS4592">
        <v>0</v>
      </c>
    </row>
    <row r="4593" spans="1:123" x14ac:dyDescent="0.3">
      <c r="A4593" t="str">
        <f>"05/01/2025 15:17:17.856"</f>
        <v>05/01/2025 15:17:17.856</v>
      </c>
      <c r="C4593" t="str">
        <f t="shared" si="1800"/>
        <v>FFDFD3C0</v>
      </c>
      <c r="D4593" t="s">
        <v>124</v>
      </c>
      <c r="E4593" t="str">
        <f>"06"</f>
        <v>06</v>
      </c>
      <c r="F4593">
        <v>2006</v>
      </c>
      <c r="G4593" t="s">
        <v>125</v>
      </c>
      <c r="J4593" t="s">
        <v>126</v>
      </c>
      <c r="K4593">
        <v>0</v>
      </c>
      <c r="L4593">
        <v>3</v>
      </c>
      <c r="M4593">
        <v>0</v>
      </c>
      <c r="N4593">
        <v>2</v>
      </c>
      <c r="O4593">
        <v>0</v>
      </c>
      <c r="P4593">
        <v>1</v>
      </c>
      <c r="Q4593">
        <v>0</v>
      </c>
      <c r="R4593" t="s">
        <v>127</v>
      </c>
      <c r="S4593" t="str">
        <f t="shared" si="1818"/>
        <v>15:17:17.000</v>
      </c>
      <c r="T4593" t="str">
        <f t="shared" si="1818"/>
        <v>15:17:17.000</v>
      </c>
      <c r="U4593" t="str">
        <f t="shared" si="1801"/>
        <v>A68FCB</v>
      </c>
      <c r="V4593">
        <v>0</v>
      </c>
      <c r="W4593">
        <v>0</v>
      </c>
      <c r="X4593">
        <v>2</v>
      </c>
      <c r="Y4593">
        <v>0</v>
      </c>
      <c r="AA4593">
        <v>1</v>
      </c>
      <c r="AB4593">
        <v>8</v>
      </c>
      <c r="AC4593">
        <v>3</v>
      </c>
      <c r="AD4593">
        <v>0</v>
      </c>
      <c r="AE4593">
        <v>9</v>
      </c>
      <c r="AF4593" t="s">
        <v>138</v>
      </c>
      <c r="AG4593">
        <v>0</v>
      </c>
      <c r="AH4593">
        <v>3</v>
      </c>
      <c r="AI4593">
        <v>2</v>
      </c>
      <c r="AJ4593">
        <v>0</v>
      </c>
      <c r="AK4593" t="s">
        <v>1464</v>
      </c>
      <c r="AL4593">
        <v>39.212522999999997</v>
      </c>
      <c r="AM4593" t="s">
        <v>1465</v>
      </c>
      <c r="AN4593">
        <v>-121.004105</v>
      </c>
      <c r="AO4593">
        <v>25</v>
      </c>
      <c r="AP4593">
        <v>4200</v>
      </c>
      <c r="AQ4593" t="s">
        <v>131</v>
      </c>
      <c r="AR4593">
        <v>23</v>
      </c>
      <c r="AS4593">
        <v>81</v>
      </c>
      <c r="AT4593">
        <v>0</v>
      </c>
      <c r="BB4593" t="str">
        <f t="shared" si="1802"/>
        <v>1200</v>
      </c>
      <c r="BC4593">
        <v>1</v>
      </c>
      <c r="BD4593" t="str">
        <f t="shared" si="1803"/>
        <v xml:space="preserve">N52156  </v>
      </c>
      <c r="BE4593">
        <v>1</v>
      </c>
      <c r="BG4593">
        <v>0</v>
      </c>
      <c r="BH4593">
        <v>0</v>
      </c>
      <c r="BI4593">
        <v>0</v>
      </c>
      <c r="BJ4593">
        <v>4225</v>
      </c>
      <c r="BK4593">
        <v>25</v>
      </c>
      <c r="BL4593" t="s">
        <v>188</v>
      </c>
      <c r="BM4593">
        <v>1</v>
      </c>
      <c r="BN4593">
        <v>1</v>
      </c>
      <c r="BO4593">
        <v>0</v>
      </c>
      <c r="BP4593">
        <v>0</v>
      </c>
      <c r="BS4593">
        <v>0</v>
      </c>
      <c r="BT4593">
        <v>0</v>
      </c>
      <c r="BU4593">
        <v>0</v>
      </c>
      <c r="CE4593" t="str">
        <f t="shared" si="1819"/>
        <v>15:17:17.643</v>
      </c>
      <c r="CF4593">
        <v>642756633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5</v>
      </c>
      <c r="CY4593">
        <v>7</v>
      </c>
      <c r="CZ4593" t="s">
        <v>133</v>
      </c>
      <c r="DA4593">
        <v>275</v>
      </c>
      <c r="DB4593">
        <v>0</v>
      </c>
      <c r="DC4593" t="s">
        <v>134</v>
      </c>
      <c r="DD4593" t="s">
        <v>135</v>
      </c>
      <c r="DG4593">
        <v>3323325</v>
      </c>
      <c r="DI4593">
        <v>1</v>
      </c>
      <c r="DJ4593">
        <v>0</v>
      </c>
      <c r="DK4593">
        <v>1</v>
      </c>
      <c r="DL4593">
        <v>0</v>
      </c>
      <c r="DM4593">
        <v>0</v>
      </c>
      <c r="DN4593">
        <v>0</v>
      </c>
      <c r="DO4593">
        <v>0</v>
      </c>
      <c r="DP4593">
        <v>0</v>
      </c>
      <c r="DQ4593">
        <v>0</v>
      </c>
      <c r="DR4593">
        <v>0</v>
      </c>
      <c r="DS4593">
        <v>0</v>
      </c>
    </row>
    <row r="4594" spans="1:123" x14ac:dyDescent="0.3">
      <c r="A4594" t="str">
        <f>"05/01/2025 15:17:17.862"</f>
        <v>05/01/2025 15:17:17.862</v>
      </c>
      <c r="C4594" t="str">
        <f t="shared" si="1800"/>
        <v>FFDFD3C0</v>
      </c>
      <c r="D4594" t="s">
        <v>143</v>
      </c>
      <c r="E4594" t="str">
        <f>"05"</f>
        <v>05</v>
      </c>
      <c r="H4594">
        <v>172</v>
      </c>
      <c r="I4594" t="s">
        <v>141</v>
      </c>
      <c r="J4594" t="s">
        <v>144</v>
      </c>
      <c r="K4594">
        <v>0</v>
      </c>
      <c r="L4594">
        <v>3</v>
      </c>
      <c r="M4594">
        <v>0</v>
      </c>
      <c r="N4594">
        <v>2</v>
      </c>
      <c r="O4594">
        <v>0</v>
      </c>
      <c r="P4594">
        <v>1</v>
      </c>
      <c r="Q4594">
        <v>0</v>
      </c>
      <c r="R4594" t="s">
        <v>127</v>
      </c>
      <c r="S4594" t="str">
        <f t="shared" si="1818"/>
        <v>15:17:17.000</v>
      </c>
      <c r="T4594" t="str">
        <f t="shared" si="1818"/>
        <v>15:17:17.000</v>
      </c>
      <c r="U4594" t="str">
        <f t="shared" si="1801"/>
        <v>A68FCB</v>
      </c>
      <c r="V4594">
        <v>0</v>
      </c>
      <c r="W4594">
        <v>0</v>
      </c>
      <c r="X4594">
        <v>2</v>
      </c>
      <c r="Y4594">
        <v>0</v>
      </c>
      <c r="AA4594">
        <v>1</v>
      </c>
      <c r="AB4594">
        <v>8</v>
      </c>
      <c r="AC4594">
        <v>3</v>
      </c>
      <c r="AD4594">
        <v>0</v>
      </c>
      <c r="AE4594">
        <v>9</v>
      </c>
      <c r="AF4594" t="s">
        <v>138</v>
      </c>
      <c r="AG4594">
        <v>0</v>
      </c>
      <c r="AH4594">
        <v>3</v>
      </c>
      <c r="AI4594">
        <v>2</v>
      </c>
      <c r="AJ4594">
        <v>0</v>
      </c>
      <c r="AK4594" t="s">
        <v>1464</v>
      </c>
      <c r="AL4594">
        <v>39.212522999999997</v>
      </c>
      <c r="AM4594" t="s">
        <v>1465</v>
      </c>
      <c r="AN4594">
        <v>-121.004105</v>
      </c>
      <c r="AO4594">
        <v>25</v>
      </c>
      <c r="AP4594">
        <v>4200</v>
      </c>
      <c r="AQ4594" t="s">
        <v>131</v>
      </c>
      <c r="AR4594">
        <v>23</v>
      </c>
      <c r="AS4594">
        <v>81</v>
      </c>
      <c r="AT4594">
        <v>0</v>
      </c>
      <c r="BB4594" t="str">
        <f t="shared" si="1802"/>
        <v>1200</v>
      </c>
      <c r="BC4594">
        <v>1</v>
      </c>
      <c r="BD4594" t="str">
        <f t="shared" si="1803"/>
        <v xml:space="preserve">N52156  </v>
      </c>
      <c r="BE4594">
        <v>1</v>
      </c>
      <c r="BG4594">
        <v>0</v>
      </c>
      <c r="BH4594">
        <v>0</v>
      </c>
      <c r="BI4594">
        <v>0</v>
      </c>
      <c r="BJ4594">
        <v>4225</v>
      </c>
      <c r="BK4594">
        <v>25</v>
      </c>
      <c r="BL4594" t="s">
        <v>188</v>
      </c>
      <c r="BM4594">
        <v>1</v>
      </c>
      <c r="BN4594">
        <v>1</v>
      </c>
      <c r="BO4594">
        <v>0</v>
      </c>
      <c r="BP4594">
        <v>0</v>
      </c>
      <c r="BS4594">
        <v>0</v>
      </c>
      <c r="BT4594">
        <v>0</v>
      </c>
      <c r="BU4594">
        <v>0</v>
      </c>
      <c r="CE4594" t="str">
        <f t="shared" si="1819"/>
        <v>15:17:17.643</v>
      </c>
      <c r="CF4594">
        <v>642756633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5</v>
      </c>
      <c r="CY4594">
        <v>7</v>
      </c>
      <c r="CZ4594" t="s">
        <v>133</v>
      </c>
      <c r="DA4594">
        <v>275</v>
      </c>
      <c r="DB4594">
        <v>0</v>
      </c>
      <c r="DC4594" t="s">
        <v>134</v>
      </c>
      <c r="DD4594" t="s">
        <v>135</v>
      </c>
      <c r="DG4594">
        <v>3323325</v>
      </c>
      <c r="DI4594">
        <v>1</v>
      </c>
      <c r="DJ4594">
        <v>0</v>
      </c>
      <c r="DK4594">
        <v>1</v>
      </c>
      <c r="DL4594">
        <v>0</v>
      </c>
      <c r="DM4594">
        <v>0</v>
      </c>
      <c r="DN4594">
        <v>0</v>
      </c>
      <c r="DO4594">
        <v>0</v>
      </c>
      <c r="DP4594">
        <v>0</v>
      </c>
      <c r="DQ4594">
        <v>0</v>
      </c>
      <c r="DR4594">
        <v>0</v>
      </c>
      <c r="DS4594">
        <v>0</v>
      </c>
    </row>
    <row r="4595" spans="1:123" x14ac:dyDescent="0.3">
      <c r="A4595" t="str">
        <f>"05/01/2025 15:17:17.875"</f>
        <v>05/01/2025 15:17:17.875</v>
      </c>
      <c r="C4595" t="str">
        <f t="shared" si="1800"/>
        <v>FFDFD3C0</v>
      </c>
      <c r="D4595" t="s">
        <v>145</v>
      </c>
      <c r="E4595" t="str">
        <f>"09"</f>
        <v>09</v>
      </c>
      <c r="H4595">
        <v>51</v>
      </c>
      <c r="I4595" t="s">
        <v>147</v>
      </c>
      <c r="J4595" t="s">
        <v>138</v>
      </c>
      <c r="K4595">
        <v>0</v>
      </c>
      <c r="L4595">
        <v>3</v>
      </c>
      <c r="M4595">
        <v>0</v>
      </c>
      <c r="N4595">
        <v>2</v>
      </c>
      <c r="O4595">
        <v>0</v>
      </c>
      <c r="P4595">
        <v>1</v>
      </c>
      <c r="Q4595">
        <v>0</v>
      </c>
      <c r="R4595" t="s">
        <v>127</v>
      </c>
      <c r="S4595" t="str">
        <f t="shared" si="1818"/>
        <v>15:17:17.000</v>
      </c>
      <c r="T4595" t="str">
        <f t="shared" si="1818"/>
        <v>15:17:17.000</v>
      </c>
      <c r="U4595" t="str">
        <f t="shared" si="1801"/>
        <v>A68FCB</v>
      </c>
      <c r="V4595">
        <v>0</v>
      </c>
      <c r="W4595">
        <v>0</v>
      </c>
      <c r="X4595">
        <v>2</v>
      </c>
      <c r="Y4595">
        <v>0</v>
      </c>
      <c r="AA4595">
        <v>1</v>
      </c>
      <c r="AB4595">
        <v>8</v>
      </c>
      <c r="AC4595">
        <v>3</v>
      </c>
      <c r="AD4595">
        <v>0</v>
      </c>
      <c r="AE4595">
        <v>9</v>
      </c>
      <c r="AF4595" t="s">
        <v>138</v>
      </c>
      <c r="AG4595">
        <v>0</v>
      </c>
      <c r="AH4595">
        <v>3</v>
      </c>
      <c r="AI4595">
        <v>2</v>
      </c>
      <c r="AJ4595">
        <v>0</v>
      </c>
      <c r="AK4595" t="s">
        <v>1464</v>
      </c>
      <c r="AL4595">
        <v>39.212522999999997</v>
      </c>
      <c r="AM4595" t="s">
        <v>1465</v>
      </c>
      <c r="AN4595">
        <v>-121.004105</v>
      </c>
      <c r="AO4595">
        <v>25</v>
      </c>
      <c r="AP4595">
        <v>4200</v>
      </c>
      <c r="AQ4595" t="s">
        <v>131</v>
      </c>
      <c r="AR4595">
        <v>23</v>
      </c>
      <c r="AS4595">
        <v>81</v>
      </c>
      <c r="AT4595">
        <v>0</v>
      </c>
      <c r="BB4595" t="str">
        <f t="shared" si="1802"/>
        <v>1200</v>
      </c>
      <c r="BC4595">
        <v>1</v>
      </c>
      <c r="BD4595" t="str">
        <f t="shared" si="1803"/>
        <v xml:space="preserve">N52156  </v>
      </c>
      <c r="BE4595">
        <v>1</v>
      </c>
      <c r="BG4595">
        <v>0</v>
      </c>
      <c r="BH4595">
        <v>0</v>
      </c>
      <c r="BI4595">
        <v>0</v>
      </c>
      <c r="BJ4595">
        <v>4225</v>
      </c>
      <c r="BK4595">
        <v>25</v>
      </c>
      <c r="BL4595" t="s">
        <v>188</v>
      </c>
      <c r="BM4595">
        <v>1</v>
      </c>
      <c r="BN4595">
        <v>1</v>
      </c>
      <c r="BO4595">
        <v>0</v>
      </c>
      <c r="BP4595">
        <v>0</v>
      </c>
      <c r="BS4595">
        <v>0</v>
      </c>
      <c r="BT4595">
        <v>0</v>
      </c>
      <c r="BU4595">
        <v>0</v>
      </c>
      <c r="CE4595" t="str">
        <f t="shared" si="1819"/>
        <v>15:17:17.643</v>
      </c>
      <c r="CF4595">
        <v>642756633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5</v>
      </c>
      <c r="CY4595">
        <v>7</v>
      </c>
      <c r="CZ4595" t="s">
        <v>133</v>
      </c>
      <c r="DA4595">
        <v>275</v>
      </c>
      <c r="DB4595">
        <v>0</v>
      </c>
      <c r="DC4595" t="s">
        <v>134</v>
      </c>
      <c r="DD4595" t="s">
        <v>135</v>
      </c>
      <c r="DG4595">
        <v>3323325</v>
      </c>
      <c r="DI4595">
        <v>1</v>
      </c>
      <c r="DJ4595">
        <v>0</v>
      </c>
      <c r="DK4595">
        <v>1</v>
      </c>
      <c r="DL4595">
        <v>0</v>
      </c>
      <c r="DM4595">
        <v>0</v>
      </c>
      <c r="DN4595">
        <v>0</v>
      </c>
      <c r="DO4595">
        <v>0</v>
      </c>
      <c r="DP4595">
        <v>0</v>
      </c>
      <c r="DQ4595">
        <v>0</v>
      </c>
      <c r="DR4595">
        <v>0</v>
      </c>
      <c r="DS4595">
        <v>0</v>
      </c>
    </row>
    <row r="4596" spans="1:123" x14ac:dyDescent="0.3">
      <c r="A4596" t="str">
        <f>"05/01/2025 15:17:17.879"</f>
        <v>05/01/2025 15:17:17.879</v>
      </c>
      <c r="C4596" t="str">
        <f t="shared" si="1800"/>
        <v>FFDFD3C0</v>
      </c>
      <c r="D4596" t="s">
        <v>145</v>
      </c>
      <c r="E4596" t="str">
        <f>"05"</f>
        <v>05</v>
      </c>
      <c r="H4596">
        <v>47</v>
      </c>
      <c r="I4596" t="s">
        <v>146</v>
      </c>
      <c r="J4596" t="s">
        <v>138</v>
      </c>
      <c r="K4596">
        <v>0</v>
      </c>
      <c r="L4596">
        <v>3</v>
      </c>
      <c r="M4596">
        <v>0</v>
      </c>
      <c r="N4596">
        <v>2</v>
      </c>
      <c r="O4596">
        <v>0</v>
      </c>
      <c r="P4596">
        <v>1</v>
      </c>
      <c r="Q4596">
        <v>0</v>
      </c>
      <c r="R4596" t="s">
        <v>127</v>
      </c>
      <c r="S4596" t="str">
        <f t="shared" si="1818"/>
        <v>15:17:17.000</v>
      </c>
      <c r="T4596" t="str">
        <f t="shared" si="1818"/>
        <v>15:17:17.000</v>
      </c>
      <c r="U4596" t="str">
        <f t="shared" si="1801"/>
        <v>A68FCB</v>
      </c>
      <c r="V4596">
        <v>0</v>
      </c>
      <c r="W4596">
        <v>0</v>
      </c>
      <c r="X4596">
        <v>2</v>
      </c>
      <c r="Y4596">
        <v>0</v>
      </c>
      <c r="AA4596">
        <v>1</v>
      </c>
      <c r="AB4596">
        <v>8</v>
      </c>
      <c r="AC4596">
        <v>3</v>
      </c>
      <c r="AD4596">
        <v>0</v>
      </c>
      <c r="AE4596">
        <v>9</v>
      </c>
      <c r="AF4596" t="s">
        <v>138</v>
      </c>
      <c r="AG4596">
        <v>0</v>
      </c>
      <c r="AH4596">
        <v>3</v>
      </c>
      <c r="AI4596">
        <v>2</v>
      </c>
      <c r="AJ4596">
        <v>0</v>
      </c>
      <c r="AK4596" t="s">
        <v>1464</v>
      </c>
      <c r="AL4596">
        <v>39.212522999999997</v>
      </c>
      <c r="AM4596" t="s">
        <v>1465</v>
      </c>
      <c r="AN4596">
        <v>-121.004105</v>
      </c>
      <c r="AO4596">
        <v>25</v>
      </c>
      <c r="AP4596">
        <v>4200</v>
      </c>
      <c r="AQ4596" t="s">
        <v>131</v>
      </c>
      <c r="AR4596">
        <v>23</v>
      </c>
      <c r="AS4596">
        <v>81</v>
      </c>
      <c r="AT4596">
        <v>0</v>
      </c>
      <c r="BB4596" t="str">
        <f t="shared" si="1802"/>
        <v>1200</v>
      </c>
      <c r="BC4596">
        <v>1</v>
      </c>
      <c r="BD4596" t="str">
        <f t="shared" si="1803"/>
        <v xml:space="preserve">N52156  </v>
      </c>
      <c r="BE4596">
        <v>1</v>
      </c>
      <c r="BG4596">
        <v>0</v>
      </c>
      <c r="BH4596">
        <v>0</v>
      </c>
      <c r="BI4596">
        <v>0</v>
      </c>
      <c r="BJ4596">
        <v>4225</v>
      </c>
      <c r="BK4596">
        <v>25</v>
      </c>
      <c r="BL4596" t="s">
        <v>188</v>
      </c>
      <c r="BM4596">
        <v>1</v>
      </c>
      <c r="BN4596">
        <v>1</v>
      </c>
      <c r="BO4596">
        <v>0</v>
      </c>
      <c r="BP4596">
        <v>0</v>
      </c>
      <c r="BS4596">
        <v>0</v>
      </c>
      <c r="BT4596">
        <v>0</v>
      </c>
      <c r="BU4596">
        <v>0</v>
      </c>
      <c r="CE4596" t="str">
        <f t="shared" si="1819"/>
        <v>15:17:17.643</v>
      </c>
      <c r="CF4596">
        <v>642756633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5</v>
      </c>
      <c r="CY4596">
        <v>7</v>
      </c>
      <c r="CZ4596" t="s">
        <v>133</v>
      </c>
      <c r="DA4596">
        <v>275</v>
      </c>
      <c r="DB4596">
        <v>0</v>
      </c>
      <c r="DC4596" t="s">
        <v>134</v>
      </c>
      <c r="DD4596" t="s">
        <v>135</v>
      </c>
      <c r="DG4596">
        <v>3323325</v>
      </c>
      <c r="DI4596">
        <v>1</v>
      </c>
      <c r="DJ4596">
        <v>0</v>
      </c>
      <c r="DK4596">
        <v>1</v>
      </c>
      <c r="DL4596">
        <v>0</v>
      </c>
      <c r="DM4596">
        <v>0</v>
      </c>
      <c r="DN4596">
        <v>0</v>
      </c>
      <c r="DO4596">
        <v>0</v>
      </c>
      <c r="DP4596">
        <v>0</v>
      </c>
      <c r="DQ4596">
        <v>0</v>
      </c>
      <c r="DR4596">
        <v>0</v>
      </c>
      <c r="DS4596">
        <v>0</v>
      </c>
    </row>
    <row r="4597" spans="1:123" x14ac:dyDescent="0.3">
      <c r="A4597" t="str">
        <f>"05/01/2025 15:17:17.890"</f>
        <v>05/01/2025 15:17:17.890</v>
      </c>
      <c r="C4597" t="str">
        <f t="shared" si="1800"/>
        <v>FFDFD3C0</v>
      </c>
      <c r="D4597" t="s">
        <v>136</v>
      </c>
      <c r="E4597" t="str">
        <f>"20"</f>
        <v>20</v>
      </c>
      <c r="H4597">
        <v>400</v>
      </c>
      <c r="I4597" t="s">
        <v>137</v>
      </c>
      <c r="J4597" t="s">
        <v>138</v>
      </c>
      <c r="K4597">
        <v>0</v>
      </c>
      <c r="L4597">
        <v>3</v>
      </c>
      <c r="M4597">
        <v>0</v>
      </c>
      <c r="N4597">
        <v>2</v>
      </c>
      <c r="O4597">
        <v>0</v>
      </c>
      <c r="P4597">
        <v>1</v>
      </c>
      <c r="Q4597">
        <v>0</v>
      </c>
      <c r="R4597" t="s">
        <v>127</v>
      </c>
      <c r="S4597" t="str">
        <f t="shared" si="1818"/>
        <v>15:17:17.000</v>
      </c>
      <c r="T4597" t="str">
        <f t="shared" si="1818"/>
        <v>15:17:17.000</v>
      </c>
      <c r="U4597" t="str">
        <f t="shared" si="1801"/>
        <v>A68FCB</v>
      </c>
      <c r="V4597">
        <v>0</v>
      </c>
      <c r="W4597">
        <v>0</v>
      </c>
      <c r="X4597">
        <v>2</v>
      </c>
      <c r="Y4597">
        <v>0</v>
      </c>
      <c r="AA4597">
        <v>1</v>
      </c>
      <c r="AB4597">
        <v>8</v>
      </c>
      <c r="AC4597">
        <v>3</v>
      </c>
      <c r="AD4597">
        <v>0</v>
      </c>
      <c r="AE4597">
        <v>9</v>
      </c>
      <c r="AF4597" t="s">
        <v>138</v>
      </c>
      <c r="AG4597">
        <v>0</v>
      </c>
      <c r="AH4597">
        <v>3</v>
      </c>
      <c r="AI4597">
        <v>2</v>
      </c>
      <c r="AJ4597">
        <v>0</v>
      </c>
      <c r="AK4597" t="s">
        <v>1464</v>
      </c>
      <c r="AL4597">
        <v>39.212522999999997</v>
      </c>
      <c r="AM4597" t="s">
        <v>1465</v>
      </c>
      <c r="AN4597">
        <v>-121.004105</v>
      </c>
      <c r="AO4597">
        <v>25</v>
      </c>
      <c r="AP4597">
        <v>4200</v>
      </c>
      <c r="AQ4597" t="s">
        <v>131</v>
      </c>
      <c r="AR4597">
        <v>23</v>
      </c>
      <c r="AS4597">
        <v>81</v>
      </c>
      <c r="AT4597">
        <v>0</v>
      </c>
      <c r="BB4597" t="str">
        <f t="shared" si="1802"/>
        <v>1200</v>
      </c>
      <c r="BC4597">
        <v>1</v>
      </c>
      <c r="BD4597" t="str">
        <f t="shared" si="1803"/>
        <v xml:space="preserve">N52156  </v>
      </c>
      <c r="BE4597">
        <v>1</v>
      </c>
      <c r="BG4597">
        <v>0</v>
      </c>
      <c r="BH4597">
        <v>0</v>
      </c>
      <c r="BI4597">
        <v>0</v>
      </c>
      <c r="BJ4597">
        <v>4225</v>
      </c>
      <c r="BK4597">
        <v>25</v>
      </c>
      <c r="BL4597" t="s">
        <v>188</v>
      </c>
      <c r="BM4597">
        <v>1</v>
      </c>
      <c r="BN4597">
        <v>1</v>
      </c>
      <c r="BO4597">
        <v>0</v>
      </c>
      <c r="BP4597">
        <v>0</v>
      </c>
      <c r="BS4597">
        <v>0</v>
      </c>
      <c r="BT4597">
        <v>0</v>
      </c>
      <c r="BU4597">
        <v>0</v>
      </c>
      <c r="CE4597" t="str">
        <f t="shared" si="1819"/>
        <v>15:17:17.643</v>
      </c>
      <c r="CF4597">
        <v>642756633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5</v>
      </c>
      <c r="CY4597">
        <v>7</v>
      </c>
      <c r="CZ4597" t="s">
        <v>133</v>
      </c>
      <c r="DA4597">
        <v>275</v>
      </c>
      <c r="DB4597">
        <v>0</v>
      </c>
      <c r="DC4597" t="s">
        <v>134</v>
      </c>
      <c r="DD4597" t="s">
        <v>135</v>
      </c>
      <c r="DG4597">
        <v>3323325</v>
      </c>
      <c r="DI4597">
        <v>1</v>
      </c>
      <c r="DJ4597">
        <v>0</v>
      </c>
      <c r="DK4597">
        <v>1</v>
      </c>
      <c r="DL4597">
        <v>0</v>
      </c>
      <c r="DM4597">
        <v>0</v>
      </c>
      <c r="DN4597">
        <v>0</v>
      </c>
      <c r="DO4597">
        <v>0</v>
      </c>
      <c r="DP4597">
        <v>0</v>
      </c>
      <c r="DQ4597">
        <v>0</v>
      </c>
      <c r="DR4597">
        <v>0</v>
      </c>
      <c r="DS4597">
        <v>0</v>
      </c>
    </row>
    <row r="4598" spans="1:123" x14ac:dyDescent="0.3">
      <c r="A4598" t="str">
        <f>"05/01/2025 15:17:18.626"</f>
        <v>05/01/2025 15:17:18.626</v>
      </c>
      <c r="C4598" t="str">
        <f t="shared" si="1800"/>
        <v>FFDFD3C0</v>
      </c>
      <c r="D4598" t="s">
        <v>145</v>
      </c>
      <c r="E4598" t="str">
        <f>"09"</f>
        <v>09</v>
      </c>
      <c r="H4598">
        <v>51</v>
      </c>
      <c r="I4598" t="s">
        <v>147</v>
      </c>
      <c r="J4598" t="s">
        <v>138</v>
      </c>
      <c r="K4598">
        <v>0</v>
      </c>
      <c r="L4598">
        <v>3</v>
      </c>
      <c r="M4598">
        <v>0</v>
      </c>
      <c r="N4598">
        <v>2</v>
      </c>
      <c r="O4598">
        <v>0</v>
      </c>
      <c r="P4598">
        <v>1</v>
      </c>
      <c r="Q4598">
        <v>0</v>
      </c>
      <c r="R4598" t="s">
        <v>127</v>
      </c>
      <c r="S4598" t="str">
        <f t="shared" ref="S4598:T4603" si="1820">"15:17:18.000"</f>
        <v>15:17:18.000</v>
      </c>
      <c r="T4598" t="str">
        <f t="shared" si="1820"/>
        <v>15:17:18.000</v>
      </c>
      <c r="U4598" t="str">
        <f t="shared" si="1801"/>
        <v>A68FCB</v>
      </c>
      <c r="V4598">
        <v>0</v>
      </c>
      <c r="W4598">
        <v>0</v>
      </c>
      <c r="X4598">
        <v>2</v>
      </c>
      <c r="Y4598">
        <v>0</v>
      </c>
      <c r="AA4598">
        <v>1</v>
      </c>
      <c r="AB4598">
        <v>8</v>
      </c>
      <c r="AC4598">
        <v>3</v>
      </c>
      <c r="AD4598">
        <v>0</v>
      </c>
      <c r="AE4598">
        <v>9</v>
      </c>
      <c r="AF4598" t="s">
        <v>138</v>
      </c>
      <c r="AG4598">
        <v>0</v>
      </c>
      <c r="AH4598">
        <v>3</v>
      </c>
      <c r="AI4598">
        <v>2</v>
      </c>
      <c r="AJ4598">
        <v>0</v>
      </c>
      <c r="AK4598" t="s">
        <v>1466</v>
      </c>
      <c r="AL4598">
        <v>39.21293</v>
      </c>
      <c r="AM4598" t="s">
        <v>1467</v>
      </c>
      <c r="AN4598">
        <v>-121.00397599999999</v>
      </c>
      <c r="AO4598">
        <v>25</v>
      </c>
      <c r="AP4598">
        <v>4200</v>
      </c>
      <c r="AQ4598" t="s">
        <v>131</v>
      </c>
      <c r="AR4598">
        <v>23</v>
      </c>
      <c r="AS4598">
        <v>80</v>
      </c>
      <c r="AT4598">
        <v>-64</v>
      </c>
      <c r="BB4598" t="str">
        <f t="shared" si="1802"/>
        <v>1200</v>
      </c>
      <c r="BC4598">
        <v>1</v>
      </c>
      <c r="BD4598" t="str">
        <f t="shared" si="1803"/>
        <v xml:space="preserve">N52156  </v>
      </c>
      <c r="BE4598">
        <v>1</v>
      </c>
      <c r="BG4598">
        <v>0</v>
      </c>
      <c r="BH4598">
        <v>0</v>
      </c>
      <c r="BI4598">
        <v>0</v>
      </c>
      <c r="BJ4598">
        <v>4225</v>
      </c>
      <c r="BK4598">
        <v>25</v>
      </c>
      <c r="BL4598" t="s">
        <v>188</v>
      </c>
      <c r="BM4598">
        <v>1</v>
      </c>
      <c r="BN4598">
        <v>1</v>
      </c>
      <c r="BO4598">
        <v>0</v>
      </c>
      <c r="BP4598">
        <v>0</v>
      </c>
      <c r="BS4598">
        <v>0</v>
      </c>
      <c r="BT4598">
        <v>0</v>
      </c>
      <c r="BU4598">
        <v>0</v>
      </c>
      <c r="CE4598" t="str">
        <f t="shared" ref="CE4598:CE4603" si="1821">"15:17:18.403"</f>
        <v>15:17:18.403</v>
      </c>
      <c r="CF4598">
        <v>402506369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4</v>
      </c>
      <c r="CY4598">
        <v>7</v>
      </c>
      <c r="CZ4598" t="s">
        <v>133</v>
      </c>
      <c r="DA4598">
        <v>275</v>
      </c>
      <c r="DB4598">
        <v>0</v>
      </c>
      <c r="DC4598" t="s">
        <v>134</v>
      </c>
      <c r="DD4598" t="s">
        <v>135</v>
      </c>
      <c r="DG4598">
        <v>3323327</v>
      </c>
      <c r="DI4598">
        <v>1</v>
      </c>
      <c r="DJ4598">
        <v>0</v>
      </c>
      <c r="DK4598">
        <v>0</v>
      </c>
      <c r="DL4598">
        <v>0</v>
      </c>
      <c r="DM4598">
        <v>0</v>
      </c>
      <c r="DN4598">
        <v>0</v>
      </c>
      <c r="DO4598">
        <v>0</v>
      </c>
      <c r="DP4598">
        <v>0</v>
      </c>
      <c r="DQ4598">
        <v>0</v>
      </c>
      <c r="DR4598">
        <v>0</v>
      </c>
      <c r="DS4598">
        <v>0</v>
      </c>
    </row>
    <row r="4599" spans="1:123" x14ac:dyDescent="0.3">
      <c r="A4599" t="str">
        <f>"05/01/2025 15:17:18.630"</f>
        <v>05/01/2025 15:17:18.630</v>
      </c>
      <c r="C4599" t="str">
        <f t="shared" si="1800"/>
        <v>FFDFD3C0</v>
      </c>
      <c r="D4599" t="s">
        <v>145</v>
      </c>
      <c r="E4599" t="str">
        <f>"05"</f>
        <v>05</v>
      </c>
      <c r="H4599">
        <v>47</v>
      </c>
      <c r="I4599" t="s">
        <v>146</v>
      </c>
      <c r="J4599" t="s">
        <v>138</v>
      </c>
      <c r="K4599">
        <v>0</v>
      </c>
      <c r="L4599">
        <v>3</v>
      </c>
      <c r="M4599">
        <v>0</v>
      </c>
      <c r="N4599">
        <v>2</v>
      </c>
      <c r="O4599">
        <v>0</v>
      </c>
      <c r="P4599">
        <v>1</v>
      </c>
      <c r="Q4599">
        <v>0</v>
      </c>
      <c r="R4599" t="s">
        <v>127</v>
      </c>
      <c r="S4599" t="str">
        <f t="shared" si="1820"/>
        <v>15:17:18.000</v>
      </c>
      <c r="T4599" t="str">
        <f t="shared" si="1820"/>
        <v>15:17:18.000</v>
      </c>
      <c r="U4599" t="str">
        <f t="shared" si="1801"/>
        <v>A68FCB</v>
      </c>
      <c r="V4599">
        <v>0</v>
      </c>
      <c r="W4599">
        <v>0</v>
      </c>
      <c r="X4599">
        <v>2</v>
      </c>
      <c r="Y4599">
        <v>0</v>
      </c>
      <c r="AA4599">
        <v>1</v>
      </c>
      <c r="AB4599">
        <v>8</v>
      </c>
      <c r="AC4599">
        <v>3</v>
      </c>
      <c r="AD4599">
        <v>0</v>
      </c>
      <c r="AE4599">
        <v>9</v>
      </c>
      <c r="AF4599" t="s">
        <v>138</v>
      </c>
      <c r="AG4599">
        <v>0</v>
      </c>
      <c r="AH4599">
        <v>3</v>
      </c>
      <c r="AI4599">
        <v>2</v>
      </c>
      <c r="AJ4599">
        <v>0</v>
      </c>
      <c r="AK4599" t="s">
        <v>1466</v>
      </c>
      <c r="AL4599">
        <v>39.21293</v>
      </c>
      <c r="AM4599" t="s">
        <v>1467</v>
      </c>
      <c r="AN4599">
        <v>-121.00397599999999</v>
      </c>
      <c r="AO4599">
        <v>25</v>
      </c>
      <c r="AP4599">
        <v>4200</v>
      </c>
      <c r="AQ4599" t="s">
        <v>131</v>
      </c>
      <c r="AR4599">
        <v>23</v>
      </c>
      <c r="AS4599">
        <v>80</v>
      </c>
      <c r="AT4599">
        <v>-64</v>
      </c>
      <c r="BB4599" t="str">
        <f t="shared" si="1802"/>
        <v>1200</v>
      </c>
      <c r="BC4599">
        <v>1</v>
      </c>
      <c r="BD4599" t="str">
        <f t="shared" si="1803"/>
        <v xml:space="preserve">N52156  </v>
      </c>
      <c r="BE4599">
        <v>1</v>
      </c>
      <c r="BG4599">
        <v>0</v>
      </c>
      <c r="BH4599">
        <v>0</v>
      </c>
      <c r="BI4599">
        <v>0</v>
      </c>
      <c r="BJ4599">
        <v>4225</v>
      </c>
      <c r="BK4599">
        <v>25</v>
      </c>
      <c r="BL4599" t="s">
        <v>188</v>
      </c>
      <c r="BM4599">
        <v>1</v>
      </c>
      <c r="BN4599">
        <v>1</v>
      </c>
      <c r="BO4599">
        <v>0</v>
      </c>
      <c r="BP4599">
        <v>0</v>
      </c>
      <c r="BS4599">
        <v>0</v>
      </c>
      <c r="BT4599">
        <v>0</v>
      </c>
      <c r="BU4599">
        <v>0</v>
      </c>
      <c r="CE4599" t="str">
        <f t="shared" si="1821"/>
        <v>15:17:18.403</v>
      </c>
      <c r="CF4599">
        <v>402506369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4</v>
      </c>
      <c r="CY4599">
        <v>7</v>
      </c>
      <c r="CZ4599" t="s">
        <v>133</v>
      </c>
      <c r="DA4599">
        <v>275</v>
      </c>
      <c r="DB4599">
        <v>0</v>
      </c>
      <c r="DC4599" t="s">
        <v>134</v>
      </c>
      <c r="DD4599" t="s">
        <v>135</v>
      </c>
      <c r="DG4599">
        <v>3323327</v>
      </c>
      <c r="DI4599">
        <v>1</v>
      </c>
      <c r="DJ4599">
        <v>0</v>
      </c>
      <c r="DK4599">
        <v>1</v>
      </c>
      <c r="DL4599">
        <v>0</v>
      </c>
      <c r="DM4599">
        <v>0</v>
      </c>
      <c r="DN4599">
        <v>0</v>
      </c>
      <c r="DO4599">
        <v>0</v>
      </c>
      <c r="DP4599">
        <v>0</v>
      </c>
      <c r="DQ4599">
        <v>0</v>
      </c>
      <c r="DR4599">
        <v>0</v>
      </c>
      <c r="DS4599">
        <v>0</v>
      </c>
    </row>
    <row r="4600" spans="1:123" x14ac:dyDescent="0.3">
      <c r="A4600" t="str">
        <f>"05/01/2025 15:17:18.641"</f>
        <v>05/01/2025 15:17:18.641</v>
      </c>
      <c r="C4600" t="str">
        <f t="shared" si="1800"/>
        <v>FFDFD3C0</v>
      </c>
      <c r="D4600" t="s">
        <v>136</v>
      </c>
      <c r="E4600" t="str">
        <f>"20"</f>
        <v>20</v>
      </c>
      <c r="H4600">
        <v>400</v>
      </c>
      <c r="I4600" t="s">
        <v>137</v>
      </c>
      <c r="J4600" t="s">
        <v>138</v>
      </c>
      <c r="K4600">
        <v>0</v>
      </c>
      <c r="L4600">
        <v>3</v>
      </c>
      <c r="M4600">
        <v>0</v>
      </c>
      <c r="N4600">
        <v>2</v>
      </c>
      <c r="O4600">
        <v>0</v>
      </c>
      <c r="P4600">
        <v>1</v>
      </c>
      <c r="Q4600">
        <v>0</v>
      </c>
      <c r="R4600" t="s">
        <v>127</v>
      </c>
      <c r="S4600" t="str">
        <f t="shared" si="1820"/>
        <v>15:17:18.000</v>
      </c>
      <c r="T4600" t="str">
        <f t="shared" si="1820"/>
        <v>15:17:18.000</v>
      </c>
      <c r="U4600" t="str">
        <f t="shared" si="1801"/>
        <v>A68FCB</v>
      </c>
      <c r="V4600">
        <v>0</v>
      </c>
      <c r="W4600">
        <v>0</v>
      </c>
      <c r="X4600">
        <v>2</v>
      </c>
      <c r="Y4600">
        <v>0</v>
      </c>
      <c r="AA4600">
        <v>1</v>
      </c>
      <c r="AB4600">
        <v>8</v>
      </c>
      <c r="AC4600">
        <v>3</v>
      </c>
      <c r="AD4600">
        <v>0</v>
      </c>
      <c r="AE4600">
        <v>9</v>
      </c>
      <c r="AF4600" t="s">
        <v>138</v>
      </c>
      <c r="AG4600">
        <v>0</v>
      </c>
      <c r="AH4600">
        <v>3</v>
      </c>
      <c r="AI4600">
        <v>2</v>
      </c>
      <c r="AJ4600">
        <v>0</v>
      </c>
      <c r="AK4600" t="s">
        <v>1466</v>
      </c>
      <c r="AL4600">
        <v>39.21293</v>
      </c>
      <c r="AM4600" t="s">
        <v>1467</v>
      </c>
      <c r="AN4600">
        <v>-121.00397599999999</v>
      </c>
      <c r="AO4600">
        <v>25</v>
      </c>
      <c r="AP4600">
        <v>4200</v>
      </c>
      <c r="AQ4600" t="s">
        <v>131</v>
      </c>
      <c r="AR4600">
        <v>23</v>
      </c>
      <c r="AS4600">
        <v>80</v>
      </c>
      <c r="AT4600">
        <v>-64</v>
      </c>
      <c r="BB4600" t="str">
        <f t="shared" si="1802"/>
        <v>1200</v>
      </c>
      <c r="BC4600">
        <v>1</v>
      </c>
      <c r="BD4600" t="str">
        <f t="shared" si="1803"/>
        <v xml:space="preserve">N52156  </v>
      </c>
      <c r="BE4600">
        <v>1</v>
      </c>
      <c r="BG4600">
        <v>0</v>
      </c>
      <c r="BH4600">
        <v>0</v>
      </c>
      <c r="BI4600">
        <v>0</v>
      </c>
      <c r="BJ4600">
        <v>4225</v>
      </c>
      <c r="BK4600">
        <v>25</v>
      </c>
      <c r="BL4600" t="s">
        <v>188</v>
      </c>
      <c r="BM4600">
        <v>1</v>
      </c>
      <c r="BN4600">
        <v>1</v>
      </c>
      <c r="BO4600">
        <v>0</v>
      </c>
      <c r="BP4600">
        <v>0</v>
      </c>
      <c r="BS4600">
        <v>0</v>
      </c>
      <c r="BT4600">
        <v>0</v>
      </c>
      <c r="BU4600">
        <v>0</v>
      </c>
      <c r="CE4600" t="str">
        <f t="shared" si="1821"/>
        <v>15:17:18.403</v>
      </c>
      <c r="CF4600">
        <v>402506369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4</v>
      </c>
      <c r="CY4600">
        <v>7</v>
      </c>
      <c r="CZ4600" t="s">
        <v>133</v>
      </c>
      <c r="DA4600">
        <v>275</v>
      </c>
      <c r="DB4600">
        <v>0</v>
      </c>
      <c r="DC4600" t="s">
        <v>134</v>
      </c>
      <c r="DD4600" t="s">
        <v>135</v>
      </c>
      <c r="DG4600">
        <v>3323327</v>
      </c>
      <c r="DI4600">
        <v>1</v>
      </c>
      <c r="DJ4600">
        <v>0</v>
      </c>
      <c r="DK4600">
        <v>1</v>
      </c>
      <c r="DL4600">
        <v>0</v>
      </c>
      <c r="DM4600">
        <v>0</v>
      </c>
      <c r="DN4600">
        <v>0</v>
      </c>
      <c r="DO4600">
        <v>0</v>
      </c>
      <c r="DP4600">
        <v>0</v>
      </c>
      <c r="DQ4600">
        <v>0</v>
      </c>
      <c r="DR4600">
        <v>0</v>
      </c>
      <c r="DS4600">
        <v>0</v>
      </c>
    </row>
    <row r="4601" spans="1:123" x14ac:dyDescent="0.3">
      <c r="A4601" t="str">
        <f>"05/01/2025 15:17:18.656"</f>
        <v>05/01/2025 15:17:18.656</v>
      </c>
      <c r="C4601" t="str">
        <f t="shared" si="1800"/>
        <v>FFDFD3C0</v>
      </c>
      <c r="D4601" t="s">
        <v>140</v>
      </c>
      <c r="E4601" t="str">
        <f>"13"</f>
        <v>13</v>
      </c>
      <c r="F4601">
        <v>1019</v>
      </c>
      <c r="G4601" t="s">
        <v>141</v>
      </c>
      <c r="J4601" t="s">
        <v>142</v>
      </c>
      <c r="K4601">
        <v>0</v>
      </c>
      <c r="L4601">
        <v>3</v>
      </c>
      <c r="M4601">
        <v>0</v>
      </c>
      <c r="N4601">
        <v>2</v>
      </c>
      <c r="O4601">
        <v>0</v>
      </c>
      <c r="P4601">
        <v>1</v>
      </c>
      <c r="Q4601">
        <v>0</v>
      </c>
      <c r="R4601" t="s">
        <v>127</v>
      </c>
      <c r="S4601" t="str">
        <f t="shared" si="1820"/>
        <v>15:17:18.000</v>
      </c>
      <c r="T4601" t="str">
        <f t="shared" si="1820"/>
        <v>15:17:18.000</v>
      </c>
      <c r="U4601" t="str">
        <f t="shared" si="1801"/>
        <v>A68FCB</v>
      </c>
      <c r="V4601">
        <v>0</v>
      </c>
      <c r="W4601">
        <v>0</v>
      </c>
      <c r="X4601">
        <v>2</v>
      </c>
      <c r="Y4601">
        <v>0</v>
      </c>
      <c r="AA4601">
        <v>1</v>
      </c>
      <c r="AB4601">
        <v>8</v>
      </c>
      <c r="AC4601">
        <v>3</v>
      </c>
      <c r="AD4601">
        <v>0</v>
      </c>
      <c r="AE4601">
        <v>9</v>
      </c>
      <c r="AF4601" t="s">
        <v>138</v>
      </c>
      <c r="AG4601">
        <v>0</v>
      </c>
      <c r="AH4601">
        <v>3</v>
      </c>
      <c r="AI4601">
        <v>2</v>
      </c>
      <c r="AJ4601">
        <v>0</v>
      </c>
      <c r="AK4601" t="s">
        <v>1466</v>
      </c>
      <c r="AL4601">
        <v>39.21293</v>
      </c>
      <c r="AM4601" t="s">
        <v>1467</v>
      </c>
      <c r="AN4601">
        <v>-121.00397599999999</v>
      </c>
      <c r="AO4601">
        <v>25</v>
      </c>
      <c r="AP4601">
        <v>4200</v>
      </c>
      <c r="AQ4601" t="s">
        <v>131</v>
      </c>
      <c r="AR4601">
        <v>23</v>
      </c>
      <c r="AS4601">
        <v>80</v>
      </c>
      <c r="AT4601">
        <v>-64</v>
      </c>
      <c r="BB4601" t="str">
        <f t="shared" si="1802"/>
        <v>1200</v>
      </c>
      <c r="BC4601">
        <v>1</v>
      </c>
      <c r="BD4601" t="str">
        <f t="shared" si="1803"/>
        <v xml:space="preserve">N52156  </v>
      </c>
      <c r="BE4601">
        <v>1</v>
      </c>
      <c r="BG4601">
        <v>0</v>
      </c>
      <c r="BH4601">
        <v>0</v>
      </c>
      <c r="BI4601">
        <v>0</v>
      </c>
      <c r="BJ4601">
        <v>4225</v>
      </c>
      <c r="BK4601">
        <v>25</v>
      </c>
      <c r="BL4601" t="s">
        <v>188</v>
      </c>
      <c r="BM4601">
        <v>1</v>
      </c>
      <c r="BN4601">
        <v>1</v>
      </c>
      <c r="BO4601">
        <v>0</v>
      </c>
      <c r="BP4601">
        <v>0</v>
      </c>
      <c r="BS4601">
        <v>0</v>
      </c>
      <c r="BT4601">
        <v>0</v>
      </c>
      <c r="BU4601">
        <v>0</v>
      </c>
      <c r="CE4601" t="str">
        <f t="shared" si="1821"/>
        <v>15:17:18.403</v>
      </c>
      <c r="CF4601">
        <v>402506369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4</v>
      </c>
      <c r="CY4601">
        <v>7</v>
      </c>
      <c r="CZ4601" t="s">
        <v>133</v>
      </c>
      <c r="DA4601">
        <v>275</v>
      </c>
      <c r="DB4601">
        <v>0</v>
      </c>
      <c r="DC4601" t="s">
        <v>134</v>
      </c>
      <c r="DD4601" t="s">
        <v>135</v>
      </c>
      <c r="DG4601">
        <v>3323327</v>
      </c>
      <c r="DI4601">
        <v>1</v>
      </c>
      <c r="DJ4601">
        <v>0</v>
      </c>
      <c r="DK4601">
        <v>1</v>
      </c>
      <c r="DL4601">
        <v>0</v>
      </c>
      <c r="DM4601">
        <v>0</v>
      </c>
      <c r="DN4601">
        <v>0</v>
      </c>
      <c r="DO4601">
        <v>0</v>
      </c>
      <c r="DP4601">
        <v>0</v>
      </c>
      <c r="DQ4601">
        <v>0</v>
      </c>
      <c r="DR4601">
        <v>0</v>
      </c>
      <c r="DS4601">
        <v>0</v>
      </c>
    </row>
    <row r="4602" spans="1:123" x14ac:dyDescent="0.3">
      <c r="A4602" t="str">
        <f>"05/01/2025 15:17:18.657"</f>
        <v>05/01/2025 15:17:18.657</v>
      </c>
      <c r="C4602" t="str">
        <f t="shared" si="1800"/>
        <v>FFDFD3C0</v>
      </c>
      <c r="D4602" t="s">
        <v>124</v>
      </c>
      <c r="E4602" t="str">
        <f>"06"</f>
        <v>06</v>
      </c>
      <c r="F4602">
        <v>2006</v>
      </c>
      <c r="G4602" t="s">
        <v>125</v>
      </c>
      <c r="J4602" t="s">
        <v>126</v>
      </c>
      <c r="K4602">
        <v>0</v>
      </c>
      <c r="L4602">
        <v>3</v>
      </c>
      <c r="M4602">
        <v>0</v>
      </c>
      <c r="N4602">
        <v>2</v>
      </c>
      <c r="O4602">
        <v>0</v>
      </c>
      <c r="P4602">
        <v>1</v>
      </c>
      <c r="Q4602">
        <v>0</v>
      </c>
      <c r="R4602" t="s">
        <v>127</v>
      </c>
      <c r="S4602" t="str">
        <f t="shared" si="1820"/>
        <v>15:17:18.000</v>
      </c>
      <c r="T4602" t="str">
        <f t="shared" si="1820"/>
        <v>15:17:18.000</v>
      </c>
      <c r="U4602" t="str">
        <f t="shared" si="1801"/>
        <v>A68FCB</v>
      </c>
      <c r="V4602">
        <v>0</v>
      </c>
      <c r="W4602">
        <v>0</v>
      </c>
      <c r="X4602">
        <v>2</v>
      </c>
      <c r="Y4602">
        <v>0</v>
      </c>
      <c r="AA4602">
        <v>1</v>
      </c>
      <c r="AB4602">
        <v>8</v>
      </c>
      <c r="AC4602">
        <v>3</v>
      </c>
      <c r="AD4602">
        <v>0</v>
      </c>
      <c r="AE4602">
        <v>9</v>
      </c>
      <c r="AF4602" t="s">
        <v>138</v>
      </c>
      <c r="AG4602">
        <v>0</v>
      </c>
      <c r="AH4602">
        <v>3</v>
      </c>
      <c r="AI4602">
        <v>2</v>
      </c>
      <c r="AJ4602">
        <v>0</v>
      </c>
      <c r="AK4602" t="s">
        <v>1466</v>
      </c>
      <c r="AL4602">
        <v>39.21293</v>
      </c>
      <c r="AM4602" t="s">
        <v>1467</v>
      </c>
      <c r="AN4602">
        <v>-121.00397599999999</v>
      </c>
      <c r="AO4602">
        <v>25</v>
      </c>
      <c r="AP4602">
        <v>4200</v>
      </c>
      <c r="AQ4602" t="s">
        <v>131</v>
      </c>
      <c r="AR4602">
        <v>23</v>
      </c>
      <c r="AS4602">
        <v>80</v>
      </c>
      <c r="AT4602">
        <v>-64</v>
      </c>
      <c r="BB4602" t="str">
        <f t="shared" si="1802"/>
        <v>1200</v>
      </c>
      <c r="BC4602">
        <v>1</v>
      </c>
      <c r="BD4602" t="str">
        <f t="shared" si="1803"/>
        <v xml:space="preserve">N52156  </v>
      </c>
      <c r="BE4602">
        <v>1</v>
      </c>
      <c r="BG4602">
        <v>0</v>
      </c>
      <c r="BH4602">
        <v>0</v>
      </c>
      <c r="BI4602">
        <v>0</v>
      </c>
      <c r="BJ4602">
        <v>4225</v>
      </c>
      <c r="BK4602">
        <v>25</v>
      </c>
      <c r="BL4602" t="s">
        <v>188</v>
      </c>
      <c r="BM4602">
        <v>1</v>
      </c>
      <c r="BN4602">
        <v>1</v>
      </c>
      <c r="BO4602">
        <v>0</v>
      </c>
      <c r="BP4602">
        <v>0</v>
      </c>
      <c r="BS4602">
        <v>0</v>
      </c>
      <c r="BT4602">
        <v>0</v>
      </c>
      <c r="BU4602">
        <v>0</v>
      </c>
      <c r="CE4602" t="str">
        <f t="shared" si="1821"/>
        <v>15:17:18.403</v>
      </c>
      <c r="CF4602">
        <v>402506369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4</v>
      </c>
      <c r="CY4602">
        <v>7</v>
      </c>
      <c r="CZ4602" t="s">
        <v>133</v>
      </c>
      <c r="DA4602">
        <v>275</v>
      </c>
      <c r="DB4602">
        <v>0</v>
      </c>
      <c r="DC4602" t="s">
        <v>134</v>
      </c>
      <c r="DD4602" t="s">
        <v>135</v>
      </c>
      <c r="DG4602">
        <v>3323327</v>
      </c>
      <c r="DI4602">
        <v>1</v>
      </c>
      <c r="DJ4602">
        <v>0</v>
      </c>
      <c r="DK4602">
        <v>1</v>
      </c>
      <c r="DL4602">
        <v>0</v>
      </c>
      <c r="DM4602">
        <v>0</v>
      </c>
      <c r="DN4602">
        <v>0</v>
      </c>
      <c r="DO4602">
        <v>0</v>
      </c>
      <c r="DP4602">
        <v>0</v>
      </c>
      <c r="DQ4602">
        <v>0</v>
      </c>
      <c r="DR4602">
        <v>0</v>
      </c>
      <c r="DS4602">
        <v>0</v>
      </c>
    </row>
    <row r="4603" spans="1:123" x14ac:dyDescent="0.3">
      <c r="A4603" t="str">
        <f>"05/01/2025 15:17:18.663"</f>
        <v>05/01/2025 15:17:18.663</v>
      </c>
      <c r="C4603" t="str">
        <f t="shared" si="1800"/>
        <v>FFDFD3C0</v>
      </c>
      <c r="D4603" t="s">
        <v>143</v>
      </c>
      <c r="E4603" t="str">
        <f>"05"</f>
        <v>05</v>
      </c>
      <c r="H4603">
        <v>172</v>
      </c>
      <c r="I4603" t="s">
        <v>141</v>
      </c>
      <c r="J4603" t="s">
        <v>144</v>
      </c>
      <c r="K4603">
        <v>0</v>
      </c>
      <c r="L4603">
        <v>3</v>
      </c>
      <c r="M4603">
        <v>0</v>
      </c>
      <c r="N4603">
        <v>2</v>
      </c>
      <c r="O4603">
        <v>0</v>
      </c>
      <c r="P4603">
        <v>1</v>
      </c>
      <c r="Q4603">
        <v>0</v>
      </c>
      <c r="R4603" t="s">
        <v>127</v>
      </c>
      <c r="S4603" t="str">
        <f t="shared" si="1820"/>
        <v>15:17:18.000</v>
      </c>
      <c r="T4603" t="str">
        <f t="shared" si="1820"/>
        <v>15:17:18.000</v>
      </c>
      <c r="U4603" t="str">
        <f t="shared" si="1801"/>
        <v>A68FCB</v>
      </c>
      <c r="V4603">
        <v>0</v>
      </c>
      <c r="W4603">
        <v>0</v>
      </c>
      <c r="X4603">
        <v>2</v>
      </c>
      <c r="Y4603">
        <v>0</v>
      </c>
      <c r="AA4603">
        <v>1</v>
      </c>
      <c r="AB4603">
        <v>8</v>
      </c>
      <c r="AC4603">
        <v>3</v>
      </c>
      <c r="AD4603">
        <v>0</v>
      </c>
      <c r="AE4603">
        <v>9</v>
      </c>
      <c r="AF4603" t="s">
        <v>138</v>
      </c>
      <c r="AG4603">
        <v>0</v>
      </c>
      <c r="AH4603">
        <v>3</v>
      </c>
      <c r="AI4603">
        <v>2</v>
      </c>
      <c r="AJ4603">
        <v>0</v>
      </c>
      <c r="AK4603" t="s">
        <v>1466</v>
      </c>
      <c r="AL4603">
        <v>39.21293</v>
      </c>
      <c r="AM4603" t="s">
        <v>1467</v>
      </c>
      <c r="AN4603">
        <v>-121.00397599999999</v>
      </c>
      <c r="AO4603">
        <v>25</v>
      </c>
      <c r="AP4603">
        <v>4200</v>
      </c>
      <c r="AQ4603" t="s">
        <v>131</v>
      </c>
      <c r="AR4603">
        <v>23</v>
      </c>
      <c r="AS4603">
        <v>80</v>
      </c>
      <c r="AT4603">
        <v>-64</v>
      </c>
      <c r="BB4603" t="str">
        <f t="shared" si="1802"/>
        <v>1200</v>
      </c>
      <c r="BC4603">
        <v>1</v>
      </c>
      <c r="BD4603" t="str">
        <f t="shared" si="1803"/>
        <v xml:space="preserve">N52156  </v>
      </c>
      <c r="BE4603">
        <v>1</v>
      </c>
      <c r="BG4603">
        <v>0</v>
      </c>
      <c r="BH4603">
        <v>0</v>
      </c>
      <c r="BI4603">
        <v>0</v>
      </c>
      <c r="BJ4603">
        <v>4225</v>
      </c>
      <c r="BK4603">
        <v>25</v>
      </c>
      <c r="BL4603" t="s">
        <v>188</v>
      </c>
      <c r="BM4603">
        <v>1</v>
      </c>
      <c r="BN4603">
        <v>1</v>
      </c>
      <c r="BO4603">
        <v>0</v>
      </c>
      <c r="BP4603">
        <v>0</v>
      </c>
      <c r="BS4603">
        <v>0</v>
      </c>
      <c r="BT4603">
        <v>0</v>
      </c>
      <c r="BU4603">
        <v>0</v>
      </c>
      <c r="CE4603" t="str">
        <f t="shared" si="1821"/>
        <v>15:17:18.403</v>
      </c>
      <c r="CF4603">
        <v>402506369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4</v>
      </c>
      <c r="CY4603">
        <v>7</v>
      </c>
      <c r="CZ4603" t="s">
        <v>133</v>
      </c>
      <c r="DA4603">
        <v>275</v>
      </c>
      <c r="DB4603">
        <v>0</v>
      </c>
      <c r="DC4603" t="s">
        <v>134</v>
      </c>
      <c r="DD4603" t="s">
        <v>135</v>
      </c>
      <c r="DG4603">
        <v>3323327</v>
      </c>
      <c r="DI4603">
        <v>1</v>
      </c>
      <c r="DJ4603">
        <v>0</v>
      </c>
      <c r="DK4603">
        <v>1</v>
      </c>
      <c r="DL4603">
        <v>0</v>
      </c>
      <c r="DM4603">
        <v>0</v>
      </c>
      <c r="DN4603">
        <v>0</v>
      </c>
      <c r="DO4603">
        <v>0</v>
      </c>
      <c r="DP4603">
        <v>0</v>
      </c>
      <c r="DQ4603">
        <v>0</v>
      </c>
      <c r="DR4603">
        <v>0</v>
      </c>
      <c r="DS4603">
        <v>0</v>
      </c>
    </row>
    <row r="4604" spans="1:123" x14ac:dyDescent="0.3">
      <c r="A4604" t="str">
        <f>"05/01/2025 15:17:20.109"</f>
        <v>05/01/2025 15:17:20.109</v>
      </c>
      <c r="C4604" t="str">
        <f t="shared" si="1800"/>
        <v>FFDFD3C0</v>
      </c>
      <c r="D4604" t="s">
        <v>140</v>
      </c>
      <c r="E4604" t="str">
        <f>"13"</f>
        <v>13</v>
      </c>
      <c r="F4604">
        <v>1019</v>
      </c>
      <c r="G4604" t="s">
        <v>141</v>
      </c>
      <c r="J4604" t="s">
        <v>142</v>
      </c>
      <c r="K4604">
        <v>0</v>
      </c>
      <c r="L4604">
        <v>3</v>
      </c>
      <c r="M4604">
        <v>0</v>
      </c>
      <c r="N4604">
        <v>2</v>
      </c>
      <c r="O4604">
        <v>0</v>
      </c>
      <c r="P4604">
        <v>1</v>
      </c>
      <c r="Q4604">
        <v>0</v>
      </c>
      <c r="R4604" t="s">
        <v>127</v>
      </c>
      <c r="S4604" t="str">
        <f t="shared" ref="S4604:T4609" si="1822">"15:17:19.000"</f>
        <v>15:17:19.000</v>
      </c>
      <c r="T4604" t="str">
        <f t="shared" si="1822"/>
        <v>15:17:19.000</v>
      </c>
      <c r="U4604" t="str">
        <f t="shared" si="1801"/>
        <v>A68FCB</v>
      </c>
      <c r="V4604">
        <v>0</v>
      </c>
      <c r="W4604">
        <v>0</v>
      </c>
      <c r="X4604">
        <v>2</v>
      </c>
      <c r="Y4604">
        <v>0</v>
      </c>
      <c r="AA4604">
        <v>1</v>
      </c>
      <c r="AB4604">
        <v>8</v>
      </c>
      <c r="AC4604">
        <v>3</v>
      </c>
      <c r="AD4604">
        <v>0</v>
      </c>
      <c r="AE4604">
        <v>9</v>
      </c>
      <c r="AF4604" t="s">
        <v>138</v>
      </c>
      <c r="AG4604">
        <v>0</v>
      </c>
      <c r="AH4604">
        <v>3</v>
      </c>
      <c r="AI4604">
        <v>2</v>
      </c>
      <c r="AJ4604">
        <v>0</v>
      </c>
      <c r="AK4604" t="s">
        <v>1468</v>
      </c>
      <c r="AL4604">
        <v>39.213295000000002</v>
      </c>
      <c r="AM4604" t="s">
        <v>1469</v>
      </c>
      <c r="AN4604">
        <v>-121.003804</v>
      </c>
      <c r="AO4604">
        <v>25</v>
      </c>
      <c r="AP4604">
        <v>4200</v>
      </c>
      <c r="AQ4604" t="s">
        <v>131</v>
      </c>
      <c r="AR4604">
        <v>26</v>
      </c>
      <c r="AS4604">
        <v>79</v>
      </c>
      <c r="AT4604">
        <v>-64</v>
      </c>
      <c r="BB4604" t="str">
        <f t="shared" si="1802"/>
        <v>1200</v>
      </c>
      <c r="BC4604">
        <v>1</v>
      </c>
      <c r="BD4604" t="str">
        <f t="shared" si="1803"/>
        <v xml:space="preserve">N52156  </v>
      </c>
      <c r="BE4604">
        <v>1</v>
      </c>
      <c r="BG4604">
        <v>0</v>
      </c>
      <c r="BH4604">
        <v>0</v>
      </c>
      <c r="BI4604">
        <v>0</v>
      </c>
      <c r="BJ4604">
        <v>4225</v>
      </c>
      <c r="BK4604">
        <v>25</v>
      </c>
      <c r="BL4604" t="s">
        <v>188</v>
      </c>
      <c r="BM4604">
        <v>1</v>
      </c>
      <c r="BN4604">
        <v>1</v>
      </c>
      <c r="BO4604">
        <v>0</v>
      </c>
      <c r="BP4604">
        <v>0</v>
      </c>
      <c r="BS4604">
        <v>0</v>
      </c>
      <c r="BT4604">
        <v>0</v>
      </c>
      <c r="BU4604">
        <v>0</v>
      </c>
      <c r="CE4604" t="str">
        <f t="shared" ref="CE4604:CE4609" si="1823">"15:17:19.854"</f>
        <v>15:17:19.854</v>
      </c>
      <c r="CF4604">
        <v>854007662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4</v>
      </c>
      <c r="CY4604">
        <v>7</v>
      </c>
      <c r="CZ4604" t="s">
        <v>133</v>
      </c>
      <c r="DA4604">
        <v>275</v>
      </c>
      <c r="DB4604">
        <v>0</v>
      </c>
      <c r="DC4604" t="s">
        <v>134</v>
      </c>
      <c r="DD4604" t="s">
        <v>135</v>
      </c>
      <c r="DG4604">
        <v>3323329</v>
      </c>
      <c r="DI4604">
        <v>1</v>
      </c>
      <c r="DJ4604">
        <v>0</v>
      </c>
      <c r="DK4604">
        <v>0</v>
      </c>
      <c r="DL4604">
        <v>0</v>
      </c>
      <c r="DM4604">
        <v>0</v>
      </c>
      <c r="DN4604">
        <v>0</v>
      </c>
      <c r="DO4604">
        <v>0</v>
      </c>
      <c r="DP4604">
        <v>0</v>
      </c>
      <c r="DQ4604">
        <v>0</v>
      </c>
      <c r="DR4604">
        <v>0</v>
      </c>
      <c r="DS4604">
        <v>0</v>
      </c>
    </row>
    <row r="4605" spans="1:123" x14ac:dyDescent="0.3">
      <c r="A4605" t="str">
        <f>"05/01/2025 15:17:20.110"</f>
        <v>05/01/2025 15:17:20.110</v>
      </c>
      <c r="C4605" t="str">
        <f t="shared" si="1800"/>
        <v>FFDFD3C0</v>
      </c>
      <c r="D4605" t="s">
        <v>124</v>
      </c>
      <c r="E4605" t="str">
        <f>"06"</f>
        <v>06</v>
      </c>
      <c r="F4605">
        <v>2006</v>
      </c>
      <c r="G4605" t="s">
        <v>125</v>
      </c>
      <c r="J4605" t="s">
        <v>126</v>
      </c>
      <c r="K4605">
        <v>0</v>
      </c>
      <c r="L4605">
        <v>3</v>
      </c>
      <c r="M4605">
        <v>0</v>
      </c>
      <c r="N4605">
        <v>2</v>
      </c>
      <c r="O4605">
        <v>0</v>
      </c>
      <c r="P4605">
        <v>1</v>
      </c>
      <c r="Q4605">
        <v>0</v>
      </c>
      <c r="R4605" t="s">
        <v>127</v>
      </c>
      <c r="S4605" t="str">
        <f t="shared" si="1822"/>
        <v>15:17:19.000</v>
      </c>
      <c r="T4605" t="str">
        <f t="shared" si="1822"/>
        <v>15:17:19.000</v>
      </c>
      <c r="U4605" t="str">
        <f t="shared" si="1801"/>
        <v>A68FCB</v>
      </c>
      <c r="V4605">
        <v>0</v>
      </c>
      <c r="W4605">
        <v>0</v>
      </c>
      <c r="X4605">
        <v>2</v>
      </c>
      <c r="Y4605">
        <v>0</v>
      </c>
      <c r="AA4605">
        <v>1</v>
      </c>
      <c r="AB4605">
        <v>8</v>
      </c>
      <c r="AC4605">
        <v>3</v>
      </c>
      <c r="AD4605">
        <v>0</v>
      </c>
      <c r="AE4605">
        <v>9</v>
      </c>
      <c r="AF4605" t="s">
        <v>138</v>
      </c>
      <c r="AG4605">
        <v>0</v>
      </c>
      <c r="AH4605">
        <v>3</v>
      </c>
      <c r="AI4605">
        <v>2</v>
      </c>
      <c r="AJ4605">
        <v>0</v>
      </c>
      <c r="AK4605" t="s">
        <v>1468</v>
      </c>
      <c r="AL4605">
        <v>39.213295000000002</v>
      </c>
      <c r="AM4605" t="s">
        <v>1469</v>
      </c>
      <c r="AN4605">
        <v>-121.003804</v>
      </c>
      <c r="AO4605">
        <v>25</v>
      </c>
      <c r="AP4605">
        <v>4200</v>
      </c>
      <c r="AQ4605" t="s">
        <v>131</v>
      </c>
      <c r="AR4605">
        <v>26</v>
      </c>
      <c r="AS4605">
        <v>79</v>
      </c>
      <c r="AT4605">
        <v>-64</v>
      </c>
      <c r="BB4605" t="str">
        <f t="shared" si="1802"/>
        <v>1200</v>
      </c>
      <c r="BC4605">
        <v>1</v>
      </c>
      <c r="BD4605" t="str">
        <f t="shared" si="1803"/>
        <v xml:space="preserve">N52156  </v>
      </c>
      <c r="BE4605">
        <v>1</v>
      </c>
      <c r="BG4605">
        <v>0</v>
      </c>
      <c r="BH4605">
        <v>0</v>
      </c>
      <c r="BI4605">
        <v>0</v>
      </c>
      <c r="BJ4605">
        <v>4225</v>
      </c>
      <c r="BK4605">
        <v>25</v>
      </c>
      <c r="BL4605" t="s">
        <v>188</v>
      </c>
      <c r="BM4605">
        <v>1</v>
      </c>
      <c r="BN4605">
        <v>1</v>
      </c>
      <c r="BO4605">
        <v>0</v>
      </c>
      <c r="BP4605">
        <v>0</v>
      </c>
      <c r="BS4605">
        <v>0</v>
      </c>
      <c r="BT4605">
        <v>0</v>
      </c>
      <c r="BU4605">
        <v>0</v>
      </c>
      <c r="CE4605" t="str">
        <f t="shared" si="1823"/>
        <v>15:17:19.854</v>
      </c>
      <c r="CF4605">
        <v>854007662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4</v>
      </c>
      <c r="CY4605">
        <v>7</v>
      </c>
      <c r="CZ4605" t="s">
        <v>133</v>
      </c>
      <c r="DA4605">
        <v>275</v>
      </c>
      <c r="DB4605">
        <v>0</v>
      </c>
      <c r="DC4605" t="s">
        <v>134</v>
      </c>
      <c r="DD4605" t="s">
        <v>135</v>
      </c>
      <c r="DG4605">
        <v>3323329</v>
      </c>
      <c r="DI4605">
        <v>1</v>
      </c>
      <c r="DJ4605">
        <v>0</v>
      </c>
      <c r="DK4605">
        <v>1</v>
      </c>
      <c r="DL4605">
        <v>0</v>
      </c>
      <c r="DM4605">
        <v>0</v>
      </c>
      <c r="DN4605">
        <v>0</v>
      </c>
      <c r="DO4605">
        <v>0</v>
      </c>
      <c r="DP4605">
        <v>0</v>
      </c>
      <c r="DQ4605">
        <v>0</v>
      </c>
      <c r="DR4605">
        <v>0</v>
      </c>
      <c r="DS4605">
        <v>0</v>
      </c>
    </row>
    <row r="4606" spans="1:123" x14ac:dyDescent="0.3">
      <c r="A4606" t="str">
        <f>"05/01/2025 15:17:20.116"</f>
        <v>05/01/2025 15:17:20.116</v>
      </c>
      <c r="C4606" t="str">
        <f t="shared" si="1800"/>
        <v>FFDFD3C0</v>
      </c>
      <c r="D4606" t="s">
        <v>143</v>
      </c>
      <c r="E4606" t="str">
        <f>"05"</f>
        <v>05</v>
      </c>
      <c r="H4606">
        <v>172</v>
      </c>
      <c r="I4606" t="s">
        <v>141</v>
      </c>
      <c r="J4606" t="s">
        <v>144</v>
      </c>
      <c r="K4606">
        <v>0</v>
      </c>
      <c r="L4606">
        <v>3</v>
      </c>
      <c r="M4606">
        <v>0</v>
      </c>
      <c r="N4606">
        <v>2</v>
      </c>
      <c r="O4606">
        <v>0</v>
      </c>
      <c r="P4606">
        <v>1</v>
      </c>
      <c r="Q4606">
        <v>0</v>
      </c>
      <c r="R4606" t="s">
        <v>127</v>
      </c>
      <c r="S4606" t="str">
        <f t="shared" si="1822"/>
        <v>15:17:19.000</v>
      </c>
      <c r="T4606" t="str">
        <f t="shared" si="1822"/>
        <v>15:17:19.000</v>
      </c>
      <c r="U4606" t="str">
        <f t="shared" si="1801"/>
        <v>A68FCB</v>
      </c>
      <c r="V4606">
        <v>0</v>
      </c>
      <c r="W4606">
        <v>0</v>
      </c>
      <c r="X4606">
        <v>2</v>
      </c>
      <c r="Y4606">
        <v>0</v>
      </c>
      <c r="AA4606">
        <v>1</v>
      </c>
      <c r="AB4606">
        <v>8</v>
      </c>
      <c r="AC4606">
        <v>3</v>
      </c>
      <c r="AD4606">
        <v>0</v>
      </c>
      <c r="AE4606">
        <v>9</v>
      </c>
      <c r="AF4606" t="s">
        <v>138</v>
      </c>
      <c r="AG4606">
        <v>0</v>
      </c>
      <c r="AH4606">
        <v>3</v>
      </c>
      <c r="AI4606">
        <v>2</v>
      </c>
      <c r="AJ4606">
        <v>0</v>
      </c>
      <c r="AK4606" t="s">
        <v>1468</v>
      </c>
      <c r="AL4606">
        <v>39.213295000000002</v>
      </c>
      <c r="AM4606" t="s">
        <v>1469</v>
      </c>
      <c r="AN4606">
        <v>-121.003804</v>
      </c>
      <c r="AO4606">
        <v>25</v>
      </c>
      <c r="AP4606">
        <v>4200</v>
      </c>
      <c r="AQ4606" t="s">
        <v>131</v>
      </c>
      <c r="AR4606">
        <v>26</v>
      </c>
      <c r="AS4606">
        <v>79</v>
      </c>
      <c r="AT4606">
        <v>-64</v>
      </c>
      <c r="BB4606" t="str">
        <f t="shared" si="1802"/>
        <v>1200</v>
      </c>
      <c r="BC4606">
        <v>1</v>
      </c>
      <c r="BD4606" t="str">
        <f t="shared" si="1803"/>
        <v xml:space="preserve">N52156  </v>
      </c>
      <c r="BE4606">
        <v>1</v>
      </c>
      <c r="BG4606">
        <v>0</v>
      </c>
      <c r="BH4606">
        <v>0</v>
      </c>
      <c r="BI4606">
        <v>0</v>
      </c>
      <c r="BJ4606">
        <v>4225</v>
      </c>
      <c r="BK4606">
        <v>25</v>
      </c>
      <c r="BL4606" t="s">
        <v>188</v>
      </c>
      <c r="BM4606">
        <v>1</v>
      </c>
      <c r="BN4606">
        <v>1</v>
      </c>
      <c r="BO4606">
        <v>0</v>
      </c>
      <c r="BP4606">
        <v>0</v>
      </c>
      <c r="BS4606">
        <v>0</v>
      </c>
      <c r="BT4606">
        <v>0</v>
      </c>
      <c r="BU4606">
        <v>0</v>
      </c>
      <c r="CE4606" t="str">
        <f t="shared" si="1823"/>
        <v>15:17:19.854</v>
      </c>
      <c r="CF4606">
        <v>854007662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4</v>
      </c>
      <c r="CY4606">
        <v>7</v>
      </c>
      <c r="CZ4606" t="s">
        <v>133</v>
      </c>
      <c r="DA4606">
        <v>275</v>
      </c>
      <c r="DB4606">
        <v>0</v>
      </c>
      <c r="DC4606" t="s">
        <v>134</v>
      </c>
      <c r="DD4606" t="s">
        <v>135</v>
      </c>
      <c r="DG4606">
        <v>3323329</v>
      </c>
      <c r="DI4606">
        <v>1</v>
      </c>
      <c r="DJ4606">
        <v>0</v>
      </c>
      <c r="DK4606">
        <v>1</v>
      </c>
      <c r="DL4606">
        <v>0</v>
      </c>
      <c r="DM4606">
        <v>0</v>
      </c>
      <c r="DN4606">
        <v>0</v>
      </c>
      <c r="DO4606">
        <v>0</v>
      </c>
      <c r="DP4606">
        <v>0</v>
      </c>
      <c r="DQ4606">
        <v>0</v>
      </c>
      <c r="DR4606">
        <v>0</v>
      </c>
      <c r="DS4606">
        <v>0</v>
      </c>
    </row>
    <row r="4607" spans="1:123" x14ac:dyDescent="0.3">
      <c r="A4607" t="str">
        <f>"05/01/2025 15:17:20.130"</f>
        <v>05/01/2025 15:17:20.130</v>
      </c>
      <c r="C4607" t="str">
        <f t="shared" si="1800"/>
        <v>FFDFD3C0</v>
      </c>
      <c r="D4607" t="s">
        <v>145</v>
      </c>
      <c r="E4607" t="str">
        <f>"09"</f>
        <v>09</v>
      </c>
      <c r="H4607">
        <v>51</v>
      </c>
      <c r="I4607" t="s">
        <v>147</v>
      </c>
      <c r="J4607" t="s">
        <v>138</v>
      </c>
      <c r="K4607">
        <v>0</v>
      </c>
      <c r="L4607">
        <v>3</v>
      </c>
      <c r="M4607">
        <v>0</v>
      </c>
      <c r="N4607">
        <v>2</v>
      </c>
      <c r="O4607">
        <v>0</v>
      </c>
      <c r="P4607">
        <v>1</v>
      </c>
      <c r="Q4607">
        <v>0</v>
      </c>
      <c r="R4607" t="s">
        <v>127</v>
      </c>
      <c r="S4607" t="str">
        <f t="shared" si="1822"/>
        <v>15:17:19.000</v>
      </c>
      <c r="T4607" t="str">
        <f t="shared" si="1822"/>
        <v>15:17:19.000</v>
      </c>
      <c r="U4607" t="str">
        <f t="shared" si="1801"/>
        <v>A68FCB</v>
      </c>
      <c r="V4607">
        <v>0</v>
      </c>
      <c r="W4607">
        <v>0</v>
      </c>
      <c r="X4607">
        <v>2</v>
      </c>
      <c r="Y4607">
        <v>0</v>
      </c>
      <c r="AA4607">
        <v>1</v>
      </c>
      <c r="AB4607">
        <v>8</v>
      </c>
      <c r="AC4607">
        <v>3</v>
      </c>
      <c r="AD4607">
        <v>0</v>
      </c>
      <c r="AE4607">
        <v>9</v>
      </c>
      <c r="AF4607" t="s">
        <v>138</v>
      </c>
      <c r="AG4607">
        <v>0</v>
      </c>
      <c r="AH4607">
        <v>3</v>
      </c>
      <c r="AI4607">
        <v>2</v>
      </c>
      <c r="AJ4607">
        <v>0</v>
      </c>
      <c r="AK4607" t="s">
        <v>1468</v>
      </c>
      <c r="AL4607">
        <v>39.213295000000002</v>
      </c>
      <c r="AM4607" t="s">
        <v>1469</v>
      </c>
      <c r="AN4607">
        <v>-121.003804</v>
      </c>
      <c r="AO4607">
        <v>25</v>
      </c>
      <c r="AP4607">
        <v>4200</v>
      </c>
      <c r="AQ4607" t="s">
        <v>131</v>
      </c>
      <c r="AR4607">
        <v>26</v>
      </c>
      <c r="AS4607">
        <v>79</v>
      </c>
      <c r="AT4607">
        <v>-64</v>
      </c>
      <c r="BB4607" t="str">
        <f t="shared" si="1802"/>
        <v>1200</v>
      </c>
      <c r="BC4607">
        <v>1</v>
      </c>
      <c r="BD4607" t="str">
        <f t="shared" si="1803"/>
        <v xml:space="preserve">N52156  </v>
      </c>
      <c r="BE4607">
        <v>1</v>
      </c>
      <c r="BG4607">
        <v>0</v>
      </c>
      <c r="BH4607">
        <v>0</v>
      </c>
      <c r="BI4607">
        <v>0</v>
      </c>
      <c r="BJ4607">
        <v>4225</v>
      </c>
      <c r="BK4607">
        <v>25</v>
      </c>
      <c r="BL4607" t="s">
        <v>188</v>
      </c>
      <c r="BM4607">
        <v>1</v>
      </c>
      <c r="BN4607">
        <v>1</v>
      </c>
      <c r="BO4607">
        <v>0</v>
      </c>
      <c r="BP4607">
        <v>0</v>
      </c>
      <c r="BS4607">
        <v>0</v>
      </c>
      <c r="BT4607">
        <v>0</v>
      </c>
      <c r="BU4607">
        <v>0</v>
      </c>
      <c r="CE4607" t="str">
        <f t="shared" si="1823"/>
        <v>15:17:19.854</v>
      </c>
      <c r="CF4607">
        <v>854007662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4</v>
      </c>
      <c r="CY4607">
        <v>7</v>
      </c>
      <c r="CZ4607" t="s">
        <v>133</v>
      </c>
      <c r="DA4607">
        <v>275</v>
      </c>
      <c r="DB4607">
        <v>0</v>
      </c>
      <c r="DC4607" t="s">
        <v>134</v>
      </c>
      <c r="DD4607" t="s">
        <v>135</v>
      </c>
      <c r="DG4607">
        <v>3323329</v>
      </c>
      <c r="DI4607">
        <v>1</v>
      </c>
      <c r="DJ4607">
        <v>0</v>
      </c>
      <c r="DK4607">
        <v>1</v>
      </c>
      <c r="DL4607">
        <v>0</v>
      </c>
      <c r="DM4607">
        <v>0</v>
      </c>
      <c r="DN4607">
        <v>0</v>
      </c>
      <c r="DO4607">
        <v>0</v>
      </c>
      <c r="DP4607">
        <v>0</v>
      </c>
      <c r="DQ4607">
        <v>0</v>
      </c>
      <c r="DR4607">
        <v>0</v>
      </c>
      <c r="DS4607">
        <v>0</v>
      </c>
    </row>
    <row r="4608" spans="1:123" x14ac:dyDescent="0.3">
      <c r="A4608" t="str">
        <f>"05/01/2025 15:17:20.132"</f>
        <v>05/01/2025 15:17:20.132</v>
      </c>
      <c r="C4608" t="str">
        <f t="shared" si="1800"/>
        <v>FFDFD3C0</v>
      </c>
      <c r="D4608" t="s">
        <v>145</v>
      </c>
      <c r="E4608" t="str">
        <f>"05"</f>
        <v>05</v>
      </c>
      <c r="H4608">
        <v>47</v>
      </c>
      <c r="I4608" t="s">
        <v>146</v>
      </c>
      <c r="J4608" t="s">
        <v>138</v>
      </c>
      <c r="K4608">
        <v>0</v>
      </c>
      <c r="L4608">
        <v>3</v>
      </c>
      <c r="M4608">
        <v>0</v>
      </c>
      <c r="N4608">
        <v>2</v>
      </c>
      <c r="O4608">
        <v>0</v>
      </c>
      <c r="P4608">
        <v>1</v>
      </c>
      <c r="Q4608">
        <v>0</v>
      </c>
      <c r="R4608" t="s">
        <v>127</v>
      </c>
      <c r="S4608" t="str">
        <f t="shared" si="1822"/>
        <v>15:17:19.000</v>
      </c>
      <c r="T4608" t="str">
        <f t="shared" si="1822"/>
        <v>15:17:19.000</v>
      </c>
      <c r="U4608" t="str">
        <f t="shared" si="1801"/>
        <v>A68FCB</v>
      </c>
      <c r="V4608">
        <v>0</v>
      </c>
      <c r="W4608">
        <v>0</v>
      </c>
      <c r="X4608">
        <v>2</v>
      </c>
      <c r="Y4608">
        <v>0</v>
      </c>
      <c r="AA4608">
        <v>1</v>
      </c>
      <c r="AB4608">
        <v>8</v>
      </c>
      <c r="AC4608">
        <v>3</v>
      </c>
      <c r="AD4608">
        <v>0</v>
      </c>
      <c r="AE4608">
        <v>9</v>
      </c>
      <c r="AF4608" t="s">
        <v>138</v>
      </c>
      <c r="AG4608">
        <v>0</v>
      </c>
      <c r="AH4608">
        <v>3</v>
      </c>
      <c r="AI4608">
        <v>2</v>
      </c>
      <c r="AJ4608">
        <v>0</v>
      </c>
      <c r="AK4608" t="s">
        <v>1468</v>
      </c>
      <c r="AL4608">
        <v>39.213295000000002</v>
      </c>
      <c r="AM4608" t="s">
        <v>1469</v>
      </c>
      <c r="AN4608">
        <v>-121.003804</v>
      </c>
      <c r="AO4608">
        <v>25</v>
      </c>
      <c r="AP4608">
        <v>4200</v>
      </c>
      <c r="AQ4608" t="s">
        <v>131</v>
      </c>
      <c r="AR4608">
        <v>26</v>
      </c>
      <c r="AS4608">
        <v>79</v>
      </c>
      <c r="AT4608">
        <v>-64</v>
      </c>
      <c r="BB4608" t="str">
        <f t="shared" si="1802"/>
        <v>1200</v>
      </c>
      <c r="BC4608">
        <v>1</v>
      </c>
      <c r="BD4608" t="str">
        <f t="shared" si="1803"/>
        <v xml:space="preserve">N52156  </v>
      </c>
      <c r="BE4608">
        <v>1</v>
      </c>
      <c r="BG4608">
        <v>0</v>
      </c>
      <c r="BH4608">
        <v>0</v>
      </c>
      <c r="BI4608">
        <v>0</v>
      </c>
      <c r="BJ4608">
        <v>4225</v>
      </c>
      <c r="BK4608">
        <v>25</v>
      </c>
      <c r="BL4608" t="s">
        <v>188</v>
      </c>
      <c r="BM4608">
        <v>1</v>
      </c>
      <c r="BN4608">
        <v>1</v>
      </c>
      <c r="BO4608">
        <v>0</v>
      </c>
      <c r="BP4608">
        <v>0</v>
      </c>
      <c r="BS4608">
        <v>0</v>
      </c>
      <c r="BT4608">
        <v>0</v>
      </c>
      <c r="BU4608">
        <v>0</v>
      </c>
      <c r="CE4608" t="str">
        <f t="shared" si="1823"/>
        <v>15:17:19.854</v>
      </c>
      <c r="CF4608">
        <v>854007662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4</v>
      </c>
      <c r="CY4608">
        <v>7</v>
      </c>
      <c r="CZ4608" t="s">
        <v>133</v>
      </c>
      <c r="DA4608">
        <v>275</v>
      </c>
      <c r="DB4608">
        <v>0</v>
      </c>
      <c r="DC4608" t="s">
        <v>134</v>
      </c>
      <c r="DD4608" t="s">
        <v>135</v>
      </c>
      <c r="DG4608">
        <v>3323329</v>
      </c>
      <c r="DI4608">
        <v>1</v>
      </c>
      <c r="DJ4608">
        <v>0</v>
      </c>
      <c r="DK4608">
        <v>1</v>
      </c>
      <c r="DL4608">
        <v>0</v>
      </c>
      <c r="DM4608">
        <v>0</v>
      </c>
      <c r="DN4608">
        <v>0</v>
      </c>
      <c r="DO4608">
        <v>0</v>
      </c>
      <c r="DP4608">
        <v>0</v>
      </c>
      <c r="DQ4608">
        <v>0</v>
      </c>
      <c r="DR4608">
        <v>0</v>
      </c>
      <c r="DS4608">
        <v>0</v>
      </c>
    </row>
    <row r="4609" spans="1:123" x14ac:dyDescent="0.3">
      <c r="A4609" t="str">
        <f>"05/01/2025 15:17:20.143"</f>
        <v>05/01/2025 15:17:20.143</v>
      </c>
      <c r="C4609" t="str">
        <f t="shared" si="1800"/>
        <v>FFDFD3C0</v>
      </c>
      <c r="D4609" t="s">
        <v>136</v>
      </c>
      <c r="E4609" t="str">
        <f>"20"</f>
        <v>20</v>
      </c>
      <c r="H4609">
        <v>400</v>
      </c>
      <c r="I4609" t="s">
        <v>137</v>
      </c>
      <c r="J4609" t="s">
        <v>138</v>
      </c>
      <c r="K4609">
        <v>0</v>
      </c>
      <c r="L4609">
        <v>3</v>
      </c>
      <c r="M4609">
        <v>0</v>
      </c>
      <c r="N4609">
        <v>2</v>
      </c>
      <c r="O4609">
        <v>0</v>
      </c>
      <c r="P4609">
        <v>1</v>
      </c>
      <c r="Q4609">
        <v>0</v>
      </c>
      <c r="R4609" t="s">
        <v>127</v>
      </c>
      <c r="S4609" t="str">
        <f t="shared" si="1822"/>
        <v>15:17:19.000</v>
      </c>
      <c r="T4609" t="str">
        <f t="shared" si="1822"/>
        <v>15:17:19.000</v>
      </c>
      <c r="U4609" t="str">
        <f t="shared" si="1801"/>
        <v>A68FCB</v>
      </c>
      <c r="V4609">
        <v>0</v>
      </c>
      <c r="W4609">
        <v>0</v>
      </c>
      <c r="X4609">
        <v>2</v>
      </c>
      <c r="Y4609">
        <v>0</v>
      </c>
      <c r="AA4609">
        <v>1</v>
      </c>
      <c r="AB4609">
        <v>8</v>
      </c>
      <c r="AC4609">
        <v>3</v>
      </c>
      <c r="AD4609">
        <v>0</v>
      </c>
      <c r="AE4609">
        <v>9</v>
      </c>
      <c r="AF4609" t="s">
        <v>138</v>
      </c>
      <c r="AG4609">
        <v>0</v>
      </c>
      <c r="AH4609">
        <v>3</v>
      </c>
      <c r="AI4609">
        <v>2</v>
      </c>
      <c r="AJ4609">
        <v>0</v>
      </c>
      <c r="AK4609" t="s">
        <v>1468</v>
      </c>
      <c r="AL4609">
        <v>39.213295000000002</v>
      </c>
      <c r="AM4609" t="s">
        <v>1469</v>
      </c>
      <c r="AN4609">
        <v>-121.003804</v>
      </c>
      <c r="AO4609">
        <v>25</v>
      </c>
      <c r="AP4609">
        <v>4200</v>
      </c>
      <c r="AQ4609" t="s">
        <v>131</v>
      </c>
      <c r="AR4609">
        <v>26</v>
      </c>
      <c r="AS4609">
        <v>79</v>
      </c>
      <c r="AT4609">
        <v>-64</v>
      </c>
      <c r="BB4609" t="str">
        <f t="shared" si="1802"/>
        <v>1200</v>
      </c>
      <c r="BC4609">
        <v>1</v>
      </c>
      <c r="BD4609" t="str">
        <f t="shared" si="1803"/>
        <v xml:space="preserve">N52156  </v>
      </c>
      <c r="BE4609">
        <v>1</v>
      </c>
      <c r="BG4609">
        <v>0</v>
      </c>
      <c r="BH4609">
        <v>0</v>
      </c>
      <c r="BI4609">
        <v>0</v>
      </c>
      <c r="BJ4609">
        <v>4225</v>
      </c>
      <c r="BK4609">
        <v>25</v>
      </c>
      <c r="BL4609" t="s">
        <v>188</v>
      </c>
      <c r="BM4609">
        <v>1</v>
      </c>
      <c r="BN4609">
        <v>1</v>
      </c>
      <c r="BO4609">
        <v>0</v>
      </c>
      <c r="BP4609">
        <v>0</v>
      </c>
      <c r="BS4609">
        <v>0</v>
      </c>
      <c r="BT4609">
        <v>0</v>
      </c>
      <c r="BU4609">
        <v>0</v>
      </c>
      <c r="CE4609" t="str">
        <f t="shared" si="1823"/>
        <v>15:17:19.854</v>
      </c>
      <c r="CF4609">
        <v>854007662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4</v>
      </c>
      <c r="CY4609">
        <v>7</v>
      </c>
      <c r="CZ4609" t="s">
        <v>133</v>
      </c>
      <c r="DA4609">
        <v>275</v>
      </c>
      <c r="DB4609">
        <v>0</v>
      </c>
      <c r="DC4609" t="s">
        <v>134</v>
      </c>
      <c r="DD4609" t="s">
        <v>135</v>
      </c>
      <c r="DG4609">
        <v>3323329</v>
      </c>
      <c r="DI4609">
        <v>1</v>
      </c>
      <c r="DJ4609">
        <v>0</v>
      </c>
      <c r="DK4609">
        <v>1</v>
      </c>
      <c r="DL4609">
        <v>0</v>
      </c>
      <c r="DM4609">
        <v>0</v>
      </c>
      <c r="DN4609">
        <v>0</v>
      </c>
      <c r="DO4609">
        <v>0</v>
      </c>
      <c r="DP4609">
        <v>0</v>
      </c>
      <c r="DQ4609">
        <v>0</v>
      </c>
      <c r="DR4609">
        <v>0</v>
      </c>
      <c r="DS4609">
        <v>0</v>
      </c>
    </row>
    <row r="4610" spans="1:123" x14ac:dyDescent="0.3">
      <c r="A4610" t="str">
        <f>"05/01/2025 15:17:21.045"</f>
        <v>05/01/2025 15:17:21.045</v>
      </c>
      <c r="C4610" t="str">
        <f t="shared" ref="C4610:C4673" si="1824">"FFDFD3C0"</f>
        <v>FFDFD3C0</v>
      </c>
      <c r="D4610" t="s">
        <v>136</v>
      </c>
      <c r="E4610" t="str">
        <f>"20"</f>
        <v>20</v>
      </c>
      <c r="H4610">
        <v>400</v>
      </c>
      <c r="I4610" t="s">
        <v>137</v>
      </c>
      <c r="J4610" t="s">
        <v>138</v>
      </c>
      <c r="K4610">
        <v>0</v>
      </c>
      <c r="L4610">
        <v>3</v>
      </c>
      <c r="M4610">
        <v>0</v>
      </c>
      <c r="N4610">
        <v>2</v>
      </c>
      <c r="O4610">
        <v>0</v>
      </c>
      <c r="P4610">
        <v>1</v>
      </c>
      <c r="Q4610">
        <v>0</v>
      </c>
      <c r="R4610" t="s">
        <v>127</v>
      </c>
      <c r="S4610" t="str">
        <f t="shared" ref="S4610:T4615" si="1825">"15:17:20.000"</f>
        <v>15:17:20.000</v>
      </c>
      <c r="T4610" t="str">
        <f t="shared" si="1825"/>
        <v>15:17:20.000</v>
      </c>
      <c r="U4610" t="str">
        <f t="shared" ref="U4610:U4673" si="1826">"A68FCB"</f>
        <v>A68FCB</v>
      </c>
      <c r="V4610">
        <v>0</v>
      </c>
      <c r="W4610">
        <v>0</v>
      </c>
      <c r="X4610">
        <v>2</v>
      </c>
      <c r="Y4610">
        <v>0</v>
      </c>
      <c r="AA4610">
        <v>1</v>
      </c>
      <c r="AB4610">
        <v>8</v>
      </c>
      <c r="AC4610">
        <v>3</v>
      </c>
      <c r="AD4610">
        <v>0</v>
      </c>
      <c r="AE4610">
        <v>9</v>
      </c>
      <c r="AF4610" t="s">
        <v>138</v>
      </c>
      <c r="AG4610">
        <v>0</v>
      </c>
      <c r="AH4610">
        <v>3</v>
      </c>
      <c r="AI4610">
        <v>2</v>
      </c>
      <c r="AJ4610">
        <v>0</v>
      </c>
      <c r="AK4610" t="s">
        <v>1470</v>
      </c>
      <c r="AL4610">
        <v>39.213638000000003</v>
      </c>
      <c r="AM4610" t="s">
        <v>1471</v>
      </c>
      <c r="AN4610">
        <v>-121.003654</v>
      </c>
      <c r="AO4610">
        <v>25</v>
      </c>
      <c r="AP4610">
        <v>4200</v>
      </c>
      <c r="AQ4610" t="s">
        <v>131</v>
      </c>
      <c r="AR4610">
        <v>28</v>
      </c>
      <c r="AS4610">
        <v>78</v>
      </c>
      <c r="AT4610">
        <v>-64</v>
      </c>
      <c r="BB4610" t="str">
        <f t="shared" ref="BB4610:BB4673" si="1827">"1200"</f>
        <v>1200</v>
      </c>
      <c r="BC4610">
        <v>1</v>
      </c>
      <c r="BD4610" t="str">
        <f t="shared" ref="BD4610:BD4673" si="1828">"N52156  "</f>
        <v xml:space="preserve">N52156  </v>
      </c>
      <c r="BE4610">
        <v>1</v>
      </c>
      <c r="BG4610">
        <v>0</v>
      </c>
      <c r="BH4610">
        <v>0</v>
      </c>
      <c r="BI4610">
        <v>0</v>
      </c>
      <c r="BJ4610">
        <v>4225</v>
      </c>
      <c r="BK4610">
        <v>25</v>
      </c>
      <c r="BL4610" t="s">
        <v>188</v>
      </c>
      <c r="BM4610">
        <v>1</v>
      </c>
      <c r="BN4610">
        <v>1</v>
      </c>
      <c r="BO4610">
        <v>0</v>
      </c>
      <c r="BP4610">
        <v>0</v>
      </c>
      <c r="BS4610">
        <v>0</v>
      </c>
      <c r="BT4610">
        <v>0</v>
      </c>
      <c r="BU4610">
        <v>0</v>
      </c>
      <c r="CE4610" t="str">
        <f t="shared" ref="CE4610:CE4615" si="1829">"15:17:20.822"</f>
        <v>15:17:20.822</v>
      </c>
      <c r="CF4610">
        <v>822007681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4</v>
      </c>
      <c r="CY4610">
        <v>7</v>
      </c>
      <c r="CZ4610" t="s">
        <v>133</v>
      </c>
      <c r="DA4610">
        <v>275</v>
      </c>
      <c r="DB4610">
        <v>0</v>
      </c>
      <c r="DC4610" t="s">
        <v>134</v>
      </c>
      <c r="DD4610" t="s">
        <v>135</v>
      </c>
      <c r="DG4610">
        <v>3323330</v>
      </c>
      <c r="DI4610">
        <v>1</v>
      </c>
      <c r="DJ4610">
        <v>0</v>
      </c>
      <c r="DK4610">
        <v>0</v>
      </c>
      <c r="DL4610">
        <v>0</v>
      </c>
      <c r="DM4610">
        <v>0</v>
      </c>
      <c r="DN4610">
        <v>0</v>
      </c>
      <c r="DO4610">
        <v>0</v>
      </c>
      <c r="DP4610">
        <v>0</v>
      </c>
      <c r="DQ4610">
        <v>0</v>
      </c>
      <c r="DR4610">
        <v>0</v>
      </c>
      <c r="DS4610">
        <v>0</v>
      </c>
    </row>
    <row r="4611" spans="1:123" x14ac:dyDescent="0.3">
      <c r="A4611" t="str">
        <f>"05/01/2025 15:17:21.061"</f>
        <v>05/01/2025 15:17:21.061</v>
      </c>
      <c r="C4611" t="str">
        <f t="shared" si="1824"/>
        <v>FFDFD3C0</v>
      </c>
      <c r="D4611" t="s">
        <v>140</v>
      </c>
      <c r="E4611" t="str">
        <f>"13"</f>
        <v>13</v>
      </c>
      <c r="F4611">
        <v>1019</v>
      </c>
      <c r="G4611" t="s">
        <v>141</v>
      </c>
      <c r="J4611" t="s">
        <v>142</v>
      </c>
      <c r="K4611">
        <v>0</v>
      </c>
      <c r="L4611">
        <v>3</v>
      </c>
      <c r="M4611">
        <v>0</v>
      </c>
      <c r="N4611">
        <v>2</v>
      </c>
      <c r="O4611">
        <v>0</v>
      </c>
      <c r="P4611">
        <v>1</v>
      </c>
      <c r="Q4611">
        <v>0</v>
      </c>
      <c r="R4611" t="s">
        <v>127</v>
      </c>
      <c r="S4611" t="str">
        <f t="shared" si="1825"/>
        <v>15:17:20.000</v>
      </c>
      <c r="T4611" t="str">
        <f t="shared" si="1825"/>
        <v>15:17:20.000</v>
      </c>
      <c r="U4611" t="str">
        <f t="shared" si="1826"/>
        <v>A68FCB</v>
      </c>
      <c r="V4611">
        <v>0</v>
      </c>
      <c r="W4611">
        <v>0</v>
      </c>
      <c r="X4611">
        <v>2</v>
      </c>
      <c r="Y4611">
        <v>0</v>
      </c>
      <c r="AA4611">
        <v>1</v>
      </c>
      <c r="AB4611">
        <v>8</v>
      </c>
      <c r="AC4611">
        <v>3</v>
      </c>
      <c r="AD4611">
        <v>0</v>
      </c>
      <c r="AE4611">
        <v>9</v>
      </c>
      <c r="AF4611" t="s">
        <v>138</v>
      </c>
      <c r="AG4611">
        <v>0</v>
      </c>
      <c r="AH4611">
        <v>3</v>
      </c>
      <c r="AI4611">
        <v>2</v>
      </c>
      <c r="AJ4611">
        <v>0</v>
      </c>
      <c r="AK4611" t="s">
        <v>1470</v>
      </c>
      <c r="AL4611">
        <v>39.213638000000003</v>
      </c>
      <c r="AM4611" t="s">
        <v>1471</v>
      </c>
      <c r="AN4611">
        <v>-121.003654</v>
      </c>
      <c r="AO4611">
        <v>25</v>
      </c>
      <c r="AP4611">
        <v>4200</v>
      </c>
      <c r="AQ4611" t="s">
        <v>131</v>
      </c>
      <c r="AR4611">
        <v>28</v>
      </c>
      <c r="AS4611">
        <v>78</v>
      </c>
      <c r="AT4611">
        <v>-64</v>
      </c>
      <c r="BB4611" t="str">
        <f t="shared" si="1827"/>
        <v>1200</v>
      </c>
      <c r="BC4611">
        <v>1</v>
      </c>
      <c r="BD4611" t="str">
        <f t="shared" si="1828"/>
        <v xml:space="preserve">N52156  </v>
      </c>
      <c r="BE4611">
        <v>1</v>
      </c>
      <c r="BG4611">
        <v>0</v>
      </c>
      <c r="BH4611">
        <v>0</v>
      </c>
      <c r="BI4611">
        <v>0</v>
      </c>
      <c r="BJ4611">
        <v>4225</v>
      </c>
      <c r="BK4611">
        <v>25</v>
      </c>
      <c r="BL4611" t="s">
        <v>188</v>
      </c>
      <c r="BM4611">
        <v>1</v>
      </c>
      <c r="BN4611">
        <v>1</v>
      </c>
      <c r="BO4611">
        <v>0</v>
      </c>
      <c r="BP4611">
        <v>0</v>
      </c>
      <c r="BS4611">
        <v>0</v>
      </c>
      <c r="BT4611">
        <v>0</v>
      </c>
      <c r="BU4611">
        <v>0</v>
      </c>
      <c r="CE4611" t="str">
        <f t="shared" si="1829"/>
        <v>15:17:20.822</v>
      </c>
      <c r="CF4611">
        <v>822007681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4</v>
      </c>
      <c r="CY4611">
        <v>7</v>
      </c>
      <c r="CZ4611" t="s">
        <v>133</v>
      </c>
      <c r="DA4611">
        <v>275</v>
      </c>
      <c r="DB4611">
        <v>0</v>
      </c>
      <c r="DC4611" t="s">
        <v>134</v>
      </c>
      <c r="DD4611" t="s">
        <v>135</v>
      </c>
      <c r="DG4611">
        <v>3323330</v>
      </c>
      <c r="DI4611">
        <v>1</v>
      </c>
      <c r="DJ4611">
        <v>0</v>
      </c>
      <c r="DK4611">
        <v>1</v>
      </c>
      <c r="DL4611">
        <v>0</v>
      </c>
      <c r="DM4611">
        <v>0</v>
      </c>
      <c r="DN4611">
        <v>0</v>
      </c>
      <c r="DO4611">
        <v>0</v>
      </c>
      <c r="DP4611">
        <v>0</v>
      </c>
      <c r="DQ4611">
        <v>0</v>
      </c>
      <c r="DR4611">
        <v>0</v>
      </c>
      <c r="DS4611">
        <v>0</v>
      </c>
    </row>
    <row r="4612" spans="1:123" x14ac:dyDescent="0.3">
      <c r="A4612" t="str">
        <f>"05/01/2025 15:17:21.061"</f>
        <v>05/01/2025 15:17:21.061</v>
      </c>
      <c r="C4612" t="str">
        <f t="shared" si="1824"/>
        <v>FFDFD3C0</v>
      </c>
      <c r="D4612" t="s">
        <v>124</v>
      </c>
      <c r="E4612" t="str">
        <f>"06"</f>
        <v>06</v>
      </c>
      <c r="F4612">
        <v>2006</v>
      </c>
      <c r="G4612" t="s">
        <v>125</v>
      </c>
      <c r="J4612" t="s">
        <v>126</v>
      </c>
      <c r="K4612">
        <v>0</v>
      </c>
      <c r="L4612">
        <v>3</v>
      </c>
      <c r="M4612">
        <v>0</v>
      </c>
      <c r="N4612">
        <v>2</v>
      </c>
      <c r="O4612">
        <v>0</v>
      </c>
      <c r="P4612">
        <v>1</v>
      </c>
      <c r="Q4612">
        <v>0</v>
      </c>
      <c r="R4612" t="s">
        <v>127</v>
      </c>
      <c r="S4612" t="str">
        <f t="shared" si="1825"/>
        <v>15:17:20.000</v>
      </c>
      <c r="T4612" t="str">
        <f t="shared" si="1825"/>
        <v>15:17:20.000</v>
      </c>
      <c r="U4612" t="str">
        <f t="shared" si="1826"/>
        <v>A68FCB</v>
      </c>
      <c r="V4612">
        <v>0</v>
      </c>
      <c r="W4612">
        <v>0</v>
      </c>
      <c r="X4612">
        <v>2</v>
      </c>
      <c r="Y4612">
        <v>0</v>
      </c>
      <c r="AA4612">
        <v>1</v>
      </c>
      <c r="AB4612">
        <v>8</v>
      </c>
      <c r="AC4612">
        <v>3</v>
      </c>
      <c r="AD4612">
        <v>0</v>
      </c>
      <c r="AE4612">
        <v>9</v>
      </c>
      <c r="AF4612" t="s">
        <v>138</v>
      </c>
      <c r="AG4612">
        <v>0</v>
      </c>
      <c r="AH4612">
        <v>3</v>
      </c>
      <c r="AI4612">
        <v>2</v>
      </c>
      <c r="AJ4612">
        <v>0</v>
      </c>
      <c r="AK4612" t="s">
        <v>1470</v>
      </c>
      <c r="AL4612">
        <v>39.213638000000003</v>
      </c>
      <c r="AM4612" t="s">
        <v>1471</v>
      </c>
      <c r="AN4612">
        <v>-121.003654</v>
      </c>
      <c r="AO4612">
        <v>25</v>
      </c>
      <c r="AP4612">
        <v>4200</v>
      </c>
      <c r="AQ4612" t="s">
        <v>131</v>
      </c>
      <c r="AR4612">
        <v>28</v>
      </c>
      <c r="AS4612">
        <v>78</v>
      </c>
      <c r="AT4612">
        <v>-64</v>
      </c>
      <c r="BB4612" t="str">
        <f t="shared" si="1827"/>
        <v>1200</v>
      </c>
      <c r="BC4612">
        <v>1</v>
      </c>
      <c r="BD4612" t="str">
        <f t="shared" si="1828"/>
        <v xml:space="preserve">N52156  </v>
      </c>
      <c r="BE4612">
        <v>1</v>
      </c>
      <c r="BG4612">
        <v>0</v>
      </c>
      <c r="BH4612">
        <v>0</v>
      </c>
      <c r="BI4612">
        <v>0</v>
      </c>
      <c r="BJ4612">
        <v>4225</v>
      </c>
      <c r="BK4612">
        <v>25</v>
      </c>
      <c r="BL4612" t="s">
        <v>188</v>
      </c>
      <c r="BM4612">
        <v>1</v>
      </c>
      <c r="BN4612">
        <v>1</v>
      </c>
      <c r="BO4612">
        <v>0</v>
      </c>
      <c r="BP4612">
        <v>0</v>
      </c>
      <c r="BS4612">
        <v>0</v>
      </c>
      <c r="BT4612">
        <v>0</v>
      </c>
      <c r="BU4612">
        <v>0</v>
      </c>
      <c r="CE4612" t="str">
        <f t="shared" si="1829"/>
        <v>15:17:20.822</v>
      </c>
      <c r="CF4612">
        <v>822007681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4</v>
      </c>
      <c r="CY4612">
        <v>7</v>
      </c>
      <c r="CZ4612" t="s">
        <v>133</v>
      </c>
      <c r="DA4612">
        <v>275</v>
      </c>
      <c r="DB4612">
        <v>0</v>
      </c>
      <c r="DC4612" t="s">
        <v>134</v>
      </c>
      <c r="DD4612" t="s">
        <v>135</v>
      </c>
      <c r="DG4612">
        <v>3323330</v>
      </c>
      <c r="DI4612">
        <v>1</v>
      </c>
      <c r="DJ4612">
        <v>0</v>
      </c>
      <c r="DK4612">
        <v>1</v>
      </c>
      <c r="DL4612">
        <v>0</v>
      </c>
      <c r="DM4612">
        <v>0</v>
      </c>
      <c r="DN4612">
        <v>0</v>
      </c>
      <c r="DO4612">
        <v>0</v>
      </c>
      <c r="DP4612">
        <v>0</v>
      </c>
      <c r="DQ4612">
        <v>0</v>
      </c>
      <c r="DR4612">
        <v>0</v>
      </c>
      <c r="DS4612">
        <v>0</v>
      </c>
    </row>
    <row r="4613" spans="1:123" x14ac:dyDescent="0.3">
      <c r="A4613" t="str">
        <f>"05/01/2025 15:17:21.068"</f>
        <v>05/01/2025 15:17:21.068</v>
      </c>
      <c r="C4613" t="str">
        <f t="shared" si="1824"/>
        <v>FFDFD3C0</v>
      </c>
      <c r="D4613" t="s">
        <v>143</v>
      </c>
      <c r="E4613" t="str">
        <f>"05"</f>
        <v>05</v>
      </c>
      <c r="H4613">
        <v>172</v>
      </c>
      <c r="I4613" t="s">
        <v>141</v>
      </c>
      <c r="J4613" t="s">
        <v>144</v>
      </c>
      <c r="K4613">
        <v>0</v>
      </c>
      <c r="L4613">
        <v>3</v>
      </c>
      <c r="M4613">
        <v>0</v>
      </c>
      <c r="N4613">
        <v>2</v>
      </c>
      <c r="O4613">
        <v>0</v>
      </c>
      <c r="P4613">
        <v>1</v>
      </c>
      <c r="Q4613">
        <v>0</v>
      </c>
      <c r="R4613" t="s">
        <v>127</v>
      </c>
      <c r="S4613" t="str">
        <f t="shared" si="1825"/>
        <v>15:17:20.000</v>
      </c>
      <c r="T4613" t="str">
        <f t="shared" si="1825"/>
        <v>15:17:20.000</v>
      </c>
      <c r="U4613" t="str">
        <f t="shared" si="1826"/>
        <v>A68FCB</v>
      </c>
      <c r="V4613">
        <v>0</v>
      </c>
      <c r="W4613">
        <v>0</v>
      </c>
      <c r="X4613">
        <v>2</v>
      </c>
      <c r="Y4613">
        <v>0</v>
      </c>
      <c r="AA4613">
        <v>1</v>
      </c>
      <c r="AB4613">
        <v>8</v>
      </c>
      <c r="AC4613">
        <v>3</v>
      </c>
      <c r="AD4613">
        <v>0</v>
      </c>
      <c r="AE4613">
        <v>9</v>
      </c>
      <c r="AF4613" t="s">
        <v>138</v>
      </c>
      <c r="AG4613">
        <v>0</v>
      </c>
      <c r="AH4613">
        <v>3</v>
      </c>
      <c r="AI4613">
        <v>2</v>
      </c>
      <c r="AJ4613">
        <v>0</v>
      </c>
      <c r="AK4613" t="s">
        <v>1470</v>
      </c>
      <c r="AL4613">
        <v>39.213638000000003</v>
      </c>
      <c r="AM4613" t="s">
        <v>1471</v>
      </c>
      <c r="AN4613">
        <v>-121.003654</v>
      </c>
      <c r="AO4613">
        <v>25</v>
      </c>
      <c r="AP4613">
        <v>4200</v>
      </c>
      <c r="AQ4613" t="s">
        <v>131</v>
      </c>
      <c r="AR4613">
        <v>28</v>
      </c>
      <c r="AS4613">
        <v>78</v>
      </c>
      <c r="AT4613">
        <v>-64</v>
      </c>
      <c r="BB4613" t="str">
        <f t="shared" si="1827"/>
        <v>1200</v>
      </c>
      <c r="BC4613">
        <v>1</v>
      </c>
      <c r="BD4613" t="str">
        <f t="shared" si="1828"/>
        <v xml:space="preserve">N52156  </v>
      </c>
      <c r="BE4613">
        <v>1</v>
      </c>
      <c r="BG4613">
        <v>0</v>
      </c>
      <c r="BH4613">
        <v>0</v>
      </c>
      <c r="BI4613">
        <v>0</v>
      </c>
      <c r="BJ4613">
        <v>4225</v>
      </c>
      <c r="BK4613">
        <v>25</v>
      </c>
      <c r="BL4613" t="s">
        <v>188</v>
      </c>
      <c r="BM4613">
        <v>1</v>
      </c>
      <c r="BN4613">
        <v>1</v>
      </c>
      <c r="BO4613">
        <v>0</v>
      </c>
      <c r="BP4613">
        <v>0</v>
      </c>
      <c r="BS4613">
        <v>0</v>
      </c>
      <c r="BT4613">
        <v>0</v>
      </c>
      <c r="BU4613">
        <v>0</v>
      </c>
      <c r="CE4613" t="str">
        <f t="shared" si="1829"/>
        <v>15:17:20.822</v>
      </c>
      <c r="CF4613">
        <v>822007681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4</v>
      </c>
      <c r="CY4613">
        <v>7</v>
      </c>
      <c r="CZ4613" t="s">
        <v>133</v>
      </c>
      <c r="DA4613">
        <v>275</v>
      </c>
      <c r="DB4613">
        <v>0</v>
      </c>
      <c r="DC4613" t="s">
        <v>134</v>
      </c>
      <c r="DD4613" t="s">
        <v>135</v>
      </c>
      <c r="DG4613">
        <v>3323330</v>
      </c>
      <c r="DI4613">
        <v>1</v>
      </c>
      <c r="DJ4613">
        <v>0</v>
      </c>
      <c r="DK4613">
        <v>1</v>
      </c>
      <c r="DL4613">
        <v>0</v>
      </c>
      <c r="DM4613">
        <v>0</v>
      </c>
      <c r="DN4613">
        <v>0</v>
      </c>
      <c r="DO4613">
        <v>0</v>
      </c>
      <c r="DP4613">
        <v>0</v>
      </c>
      <c r="DQ4613">
        <v>0</v>
      </c>
      <c r="DR4613">
        <v>0</v>
      </c>
      <c r="DS4613">
        <v>0</v>
      </c>
    </row>
    <row r="4614" spans="1:123" x14ac:dyDescent="0.3">
      <c r="A4614" t="str">
        <f>"05/01/2025 15:17:21.081"</f>
        <v>05/01/2025 15:17:21.081</v>
      </c>
      <c r="C4614" t="str">
        <f t="shared" si="1824"/>
        <v>FFDFD3C0</v>
      </c>
      <c r="D4614" t="s">
        <v>145</v>
      </c>
      <c r="E4614" t="str">
        <f>"09"</f>
        <v>09</v>
      </c>
      <c r="H4614">
        <v>51</v>
      </c>
      <c r="I4614" t="s">
        <v>147</v>
      </c>
      <c r="J4614" t="s">
        <v>138</v>
      </c>
      <c r="K4614">
        <v>0</v>
      </c>
      <c r="L4614">
        <v>3</v>
      </c>
      <c r="M4614">
        <v>0</v>
      </c>
      <c r="N4614">
        <v>2</v>
      </c>
      <c r="O4614">
        <v>0</v>
      </c>
      <c r="P4614">
        <v>1</v>
      </c>
      <c r="Q4614">
        <v>0</v>
      </c>
      <c r="R4614" t="s">
        <v>127</v>
      </c>
      <c r="S4614" t="str">
        <f t="shared" si="1825"/>
        <v>15:17:20.000</v>
      </c>
      <c r="T4614" t="str">
        <f t="shared" si="1825"/>
        <v>15:17:20.000</v>
      </c>
      <c r="U4614" t="str">
        <f t="shared" si="1826"/>
        <v>A68FCB</v>
      </c>
      <c r="V4614">
        <v>0</v>
      </c>
      <c r="W4614">
        <v>0</v>
      </c>
      <c r="X4614">
        <v>2</v>
      </c>
      <c r="Y4614">
        <v>0</v>
      </c>
      <c r="AA4614">
        <v>1</v>
      </c>
      <c r="AB4614">
        <v>8</v>
      </c>
      <c r="AC4614">
        <v>3</v>
      </c>
      <c r="AD4614">
        <v>0</v>
      </c>
      <c r="AE4614">
        <v>9</v>
      </c>
      <c r="AF4614" t="s">
        <v>138</v>
      </c>
      <c r="AG4614">
        <v>0</v>
      </c>
      <c r="AH4614">
        <v>3</v>
      </c>
      <c r="AI4614">
        <v>2</v>
      </c>
      <c r="AJ4614">
        <v>0</v>
      </c>
      <c r="AK4614" t="s">
        <v>1470</v>
      </c>
      <c r="AL4614">
        <v>39.213638000000003</v>
      </c>
      <c r="AM4614" t="s">
        <v>1471</v>
      </c>
      <c r="AN4614">
        <v>-121.003654</v>
      </c>
      <c r="AO4614">
        <v>25</v>
      </c>
      <c r="AP4614">
        <v>4200</v>
      </c>
      <c r="AQ4614" t="s">
        <v>131</v>
      </c>
      <c r="AR4614">
        <v>28</v>
      </c>
      <c r="AS4614">
        <v>78</v>
      </c>
      <c r="AT4614">
        <v>-64</v>
      </c>
      <c r="BB4614" t="str">
        <f t="shared" si="1827"/>
        <v>1200</v>
      </c>
      <c r="BC4614">
        <v>1</v>
      </c>
      <c r="BD4614" t="str">
        <f t="shared" si="1828"/>
        <v xml:space="preserve">N52156  </v>
      </c>
      <c r="BE4614">
        <v>1</v>
      </c>
      <c r="BG4614">
        <v>0</v>
      </c>
      <c r="BH4614">
        <v>0</v>
      </c>
      <c r="BI4614">
        <v>0</v>
      </c>
      <c r="BJ4614">
        <v>4225</v>
      </c>
      <c r="BK4614">
        <v>25</v>
      </c>
      <c r="BL4614" t="s">
        <v>188</v>
      </c>
      <c r="BM4614">
        <v>1</v>
      </c>
      <c r="BN4614">
        <v>1</v>
      </c>
      <c r="BO4614">
        <v>0</v>
      </c>
      <c r="BP4614">
        <v>0</v>
      </c>
      <c r="BS4614">
        <v>0</v>
      </c>
      <c r="BT4614">
        <v>0</v>
      </c>
      <c r="BU4614">
        <v>0</v>
      </c>
      <c r="CE4614" t="str">
        <f t="shared" si="1829"/>
        <v>15:17:20.822</v>
      </c>
      <c r="CF4614">
        <v>822007681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4</v>
      </c>
      <c r="CY4614">
        <v>7</v>
      </c>
      <c r="CZ4614" t="s">
        <v>133</v>
      </c>
      <c r="DA4614">
        <v>275</v>
      </c>
      <c r="DB4614">
        <v>0</v>
      </c>
      <c r="DC4614" t="s">
        <v>134</v>
      </c>
      <c r="DD4614" t="s">
        <v>135</v>
      </c>
      <c r="DG4614">
        <v>3323330</v>
      </c>
      <c r="DI4614">
        <v>1</v>
      </c>
      <c r="DJ4614">
        <v>0</v>
      </c>
      <c r="DK4614">
        <v>1</v>
      </c>
      <c r="DL4614">
        <v>0</v>
      </c>
      <c r="DM4614">
        <v>0</v>
      </c>
      <c r="DN4614">
        <v>0</v>
      </c>
      <c r="DO4614">
        <v>0</v>
      </c>
      <c r="DP4614">
        <v>0</v>
      </c>
      <c r="DQ4614">
        <v>0</v>
      </c>
      <c r="DR4614">
        <v>0</v>
      </c>
      <c r="DS4614">
        <v>0</v>
      </c>
    </row>
    <row r="4615" spans="1:123" x14ac:dyDescent="0.3">
      <c r="A4615" t="str">
        <f>"05/01/2025 15:17:21.084"</f>
        <v>05/01/2025 15:17:21.084</v>
      </c>
      <c r="C4615" t="str">
        <f t="shared" si="1824"/>
        <v>FFDFD3C0</v>
      </c>
      <c r="D4615" t="s">
        <v>145</v>
      </c>
      <c r="E4615" t="str">
        <f>"05"</f>
        <v>05</v>
      </c>
      <c r="H4615">
        <v>47</v>
      </c>
      <c r="I4615" t="s">
        <v>146</v>
      </c>
      <c r="J4615" t="s">
        <v>138</v>
      </c>
      <c r="K4615">
        <v>0</v>
      </c>
      <c r="L4615">
        <v>3</v>
      </c>
      <c r="M4615">
        <v>0</v>
      </c>
      <c r="N4615">
        <v>2</v>
      </c>
      <c r="O4615">
        <v>0</v>
      </c>
      <c r="P4615">
        <v>1</v>
      </c>
      <c r="Q4615">
        <v>0</v>
      </c>
      <c r="R4615" t="s">
        <v>127</v>
      </c>
      <c r="S4615" t="str">
        <f t="shared" si="1825"/>
        <v>15:17:20.000</v>
      </c>
      <c r="T4615" t="str">
        <f t="shared" si="1825"/>
        <v>15:17:20.000</v>
      </c>
      <c r="U4615" t="str">
        <f t="shared" si="1826"/>
        <v>A68FCB</v>
      </c>
      <c r="V4615">
        <v>0</v>
      </c>
      <c r="W4615">
        <v>0</v>
      </c>
      <c r="X4615">
        <v>2</v>
      </c>
      <c r="Y4615">
        <v>0</v>
      </c>
      <c r="AA4615">
        <v>1</v>
      </c>
      <c r="AB4615">
        <v>8</v>
      </c>
      <c r="AC4615">
        <v>3</v>
      </c>
      <c r="AD4615">
        <v>0</v>
      </c>
      <c r="AE4615">
        <v>9</v>
      </c>
      <c r="AF4615" t="s">
        <v>138</v>
      </c>
      <c r="AG4615">
        <v>0</v>
      </c>
      <c r="AH4615">
        <v>3</v>
      </c>
      <c r="AI4615">
        <v>2</v>
      </c>
      <c r="AJ4615">
        <v>0</v>
      </c>
      <c r="AK4615" t="s">
        <v>1470</v>
      </c>
      <c r="AL4615">
        <v>39.213638000000003</v>
      </c>
      <c r="AM4615" t="s">
        <v>1471</v>
      </c>
      <c r="AN4615">
        <v>-121.003654</v>
      </c>
      <c r="AO4615">
        <v>25</v>
      </c>
      <c r="AP4615">
        <v>4200</v>
      </c>
      <c r="AQ4615" t="s">
        <v>131</v>
      </c>
      <c r="AR4615">
        <v>28</v>
      </c>
      <c r="AS4615">
        <v>78</v>
      </c>
      <c r="AT4615">
        <v>-64</v>
      </c>
      <c r="BB4615" t="str">
        <f t="shared" si="1827"/>
        <v>1200</v>
      </c>
      <c r="BC4615">
        <v>1</v>
      </c>
      <c r="BD4615" t="str">
        <f t="shared" si="1828"/>
        <v xml:space="preserve">N52156  </v>
      </c>
      <c r="BE4615">
        <v>1</v>
      </c>
      <c r="BG4615">
        <v>0</v>
      </c>
      <c r="BH4615">
        <v>0</v>
      </c>
      <c r="BI4615">
        <v>0</v>
      </c>
      <c r="BJ4615">
        <v>4225</v>
      </c>
      <c r="BK4615">
        <v>25</v>
      </c>
      <c r="BL4615" t="s">
        <v>188</v>
      </c>
      <c r="BM4615">
        <v>1</v>
      </c>
      <c r="BN4615">
        <v>1</v>
      </c>
      <c r="BO4615">
        <v>0</v>
      </c>
      <c r="BP4615">
        <v>0</v>
      </c>
      <c r="BS4615">
        <v>0</v>
      </c>
      <c r="BT4615">
        <v>0</v>
      </c>
      <c r="BU4615">
        <v>0</v>
      </c>
      <c r="CE4615" t="str">
        <f t="shared" si="1829"/>
        <v>15:17:20.822</v>
      </c>
      <c r="CF4615">
        <v>822007681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4</v>
      </c>
      <c r="CY4615">
        <v>7</v>
      </c>
      <c r="CZ4615" t="s">
        <v>133</v>
      </c>
      <c r="DA4615">
        <v>275</v>
      </c>
      <c r="DB4615">
        <v>0</v>
      </c>
      <c r="DC4615" t="s">
        <v>134</v>
      </c>
      <c r="DD4615" t="s">
        <v>135</v>
      </c>
      <c r="DG4615">
        <v>3323330</v>
      </c>
      <c r="DI4615">
        <v>1</v>
      </c>
      <c r="DJ4615">
        <v>0</v>
      </c>
      <c r="DK4615">
        <v>1</v>
      </c>
      <c r="DL4615">
        <v>0</v>
      </c>
      <c r="DM4615">
        <v>0</v>
      </c>
      <c r="DN4615">
        <v>0</v>
      </c>
      <c r="DO4615">
        <v>0</v>
      </c>
      <c r="DP4615">
        <v>0</v>
      </c>
      <c r="DQ4615">
        <v>0</v>
      </c>
      <c r="DR4615">
        <v>0</v>
      </c>
      <c r="DS4615">
        <v>0</v>
      </c>
    </row>
    <row r="4616" spans="1:123" x14ac:dyDescent="0.3">
      <c r="A4616" t="str">
        <f>"05/01/2025 15:17:22.083"</f>
        <v>05/01/2025 15:17:22.083</v>
      </c>
      <c r="C4616" t="str">
        <f t="shared" si="1824"/>
        <v>FFDFD3C0</v>
      </c>
      <c r="D4616" t="s">
        <v>145</v>
      </c>
      <c r="E4616" t="str">
        <f>"09"</f>
        <v>09</v>
      </c>
      <c r="H4616">
        <v>51</v>
      </c>
      <c r="I4616" t="s">
        <v>147</v>
      </c>
      <c r="J4616" t="s">
        <v>138</v>
      </c>
      <c r="K4616">
        <v>0</v>
      </c>
      <c r="L4616">
        <v>3</v>
      </c>
      <c r="M4616">
        <v>0</v>
      </c>
      <c r="N4616">
        <v>2</v>
      </c>
      <c r="O4616">
        <v>0</v>
      </c>
      <c r="P4616">
        <v>1</v>
      </c>
      <c r="Q4616">
        <v>0</v>
      </c>
      <c r="R4616" t="s">
        <v>127</v>
      </c>
      <c r="S4616" t="str">
        <f t="shared" ref="S4616:T4621" si="1830">"15:17:21.000"</f>
        <v>15:17:21.000</v>
      </c>
      <c r="T4616" t="str">
        <f t="shared" si="1830"/>
        <v>15:17:21.000</v>
      </c>
      <c r="U4616" t="str">
        <f t="shared" si="1826"/>
        <v>A68FCB</v>
      </c>
      <c r="V4616">
        <v>0</v>
      </c>
      <c r="W4616">
        <v>0</v>
      </c>
      <c r="X4616">
        <v>2</v>
      </c>
      <c r="Y4616">
        <v>0</v>
      </c>
      <c r="AA4616">
        <v>1</v>
      </c>
      <c r="AB4616">
        <v>8</v>
      </c>
      <c r="AC4616">
        <v>3</v>
      </c>
      <c r="AD4616">
        <v>0</v>
      </c>
      <c r="AE4616">
        <v>9</v>
      </c>
      <c r="AF4616" t="s">
        <v>138</v>
      </c>
      <c r="AG4616">
        <v>0</v>
      </c>
      <c r="AH4616">
        <v>3</v>
      </c>
      <c r="AI4616">
        <v>2</v>
      </c>
      <c r="AJ4616">
        <v>0</v>
      </c>
      <c r="AK4616" t="s">
        <v>1472</v>
      </c>
      <c r="AL4616">
        <v>39.214024999999999</v>
      </c>
      <c r="AM4616" t="s">
        <v>1473</v>
      </c>
      <c r="AN4616">
        <v>-121.00348200000001</v>
      </c>
      <c r="AO4616">
        <v>25</v>
      </c>
      <c r="AP4616">
        <v>4200</v>
      </c>
      <c r="AQ4616" t="s">
        <v>131</v>
      </c>
      <c r="AR4616">
        <v>28</v>
      </c>
      <c r="AS4616">
        <v>78</v>
      </c>
      <c r="AT4616">
        <v>-128</v>
      </c>
      <c r="BB4616" t="str">
        <f t="shared" si="1827"/>
        <v>1200</v>
      </c>
      <c r="BC4616">
        <v>1</v>
      </c>
      <c r="BD4616" t="str">
        <f t="shared" si="1828"/>
        <v xml:space="preserve">N52156  </v>
      </c>
      <c r="BE4616">
        <v>1</v>
      </c>
      <c r="BG4616">
        <v>0</v>
      </c>
      <c r="BH4616">
        <v>0</v>
      </c>
      <c r="BI4616">
        <v>0</v>
      </c>
      <c r="BJ4616">
        <v>4225</v>
      </c>
      <c r="BK4616">
        <v>25</v>
      </c>
      <c r="BL4616" t="s">
        <v>188</v>
      </c>
      <c r="BM4616">
        <v>1</v>
      </c>
      <c r="BN4616">
        <v>1</v>
      </c>
      <c r="BO4616">
        <v>0</v>
      </c>
      <c r="BP4616">
        <v>0</v>
      </c>
      <c r="BS4616">
        <v>0</v>
      </c>
      <c r="BT4616">
        <v>0</v>
      </c>
      <c r="BU4616">
        <v>0</v>
      </c>
      <c r="CE4616" t="str">
        <f t="shared" ref="CE4616:CE4621" si="1831">"15:17:21.877"</f>
        <v>15:17:21.877</v>
      </c>
      <c r="CF4616">
        <v>877257911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4</v>
      </c>
      <c r="CY4616">
        <v>7</v>
      </c>
      <c r="CZ4616" t="s">
        <v>133</v>
      </c>
      <c r="DA4616">
        <v>275</v>
      </c>
      <c r="DB4616">
        <v>0</v>
      </c>
      <c r="DC4616" t="s">
        <v>134</v>
      </c>
      <c r="DD4616" t="s">
        <v>135</v>
      </c>
      <c r="DG4616">
        <v>3323332</v>
      </c>
      <c r="DI4616">
        <v>1</v>
      </c>
      <c r="DJ4616">
        <v>0</v>
      </c>
      <c r="DK4616">
        <v>0</v>
      </c>
      <c r="DL4616">
        <v>0</v>
      </c>
      <c r="DM4616">
        <v>0</v>
      </c>
      <c r="DN4616">
        <v>0</v>
      </c>
      <c r="DO4616">
        <v>0</v>
      </c>
      <c r="DP4616">
        <v>0</v>
      </c>
      <c r="DQ4616">
        <v>0</v>
      </c>
      <c r="DR4616">
        <v>0</v>
      </c>
      <c r="DS4616">
        <v>0</v>
      </c>
    </row>
    <row r="4617" spans="1:123" x14ac:dyDescent="0.3">
      <c r="A4617" t="str">
        <f>"05/01/2025 15:17:22.086"</f>
        <v>05/01/2025 15:17:22.086</v>
      </c>
      <c r="C4617" t="str">
        <f t="shared" si="1824"/>
        <v>FFDFD3C0</v>
      </c>
      <c r="D4617" t="s">
        <v>145</v>
      </c>
      <c r="E4617" t="str">
        <f>"05"</f>
        <v>05</v>
      </c>
      <c r="H4617">
        <v>47</v>
      </c>
      <c r="I4617" t="s">
        <v>146</v>
      </c>
      <c r="J4617" t="s">
        <v>138</v>
      </c>
      <c r="K4617">
        <v>0</v>
      </c>
      <c r="L4617">
        <v>3</v>
      </c>
      <c r="M4617">
        <v>0</v>
      </c>
      <c r="N4617">
        <v>2</v>
      </c>
      <c r="O4617">
        <v>0</v>
      </c>
      <c r="P4617">
        <v>1</v>
      </c>
      <c r="Q4617">
        <v>0</v>
      </c>
      <c r="R4617" t="s">
        <v>127</v>
      </c>
      <c r="S4617" t="str">
        <f t="shared" si="1830"/>
        <v>15:17:21.000</v>
      </c>
      <c r="T4617" t="str">
        <f t="shared" si="1830"/>
        <v>15:17:21.000</v>
      </c>
      <c r="U4617" t="str">
        <f t="shared" si="1826"/>
        <v>A68FCB</v>
      </c>
      <c r="V4617">
        <v>0</v>
      </c>
      <c r="W4617">
        <v>0</v>
      </c>
      <c r="X4617">
        <v>2</v>
      </c>
      <c r="Y4617">
        <v>0</v>
      </c>
      <c r="AA4617">
        <v>1</v>
      </c>
      <c r="AB4617">
        <v>8</v>
      </c>
      <c r="AC4617">
        <v>3</v>
      </c>
      <c r="AD4617">
        <v>0</v>
      </c>
      <c r="AE4617">
        <v>9</v>
      </c>
      <c r="AF4617" t="s">
        <v>138</v>
      </c>
      <c r="AG4617">
        <v>0</v>
      </c>
      <c r="AH4617">
        <v>3</v>
      </c>
      <c r="AI4617">
        <v>2</v>
      </c>
      <c r="AJ4617">
        <v>0</v>
      </c>
      <c r="AK4617" t="s">
        <v>1472</v>
      </c>
      <c r="AL4617">
        <v>39.214024999999999</v>
      </c>
      <c r="AM4617" t="s">
        <v>1473</v>
      </c>
      <c r="AN4617">
        <v>-121.00348200000001</v>
      </c>
      <c r="AO4617">
        <v>25</v>
      </c>
      <c r="AP4617">
        <v>4200</v>
      </c>
      <c r="AQ4617" t="s">
        <v>131</v>
      </c>
      <c r="AR4617">
        <v>28</v>
      </c>
      <c r="AS4617">
        <v>78</v>
      </c>
      <c r="AT4617">
        <v>-128</v>
      </c>
      <c r="BB4617" t="str">
        <f t="shared" si="1827"/>
        <v>1200</v>
      </c>
      <c r="BC4617">
        <v>1</v>
      </c>
      <c r="BD4617" t="str">
        <f t="shared" si="1828"/>
        <v xml:space="preserve">N52156  </v>
      </c>
      <c r="BE4617">
        <v>1</v>
      </c>
      <c r="BG4617">
        <v>0</v>
      </c>
      <c r="BH4617">
        <v>0</v>
      </c>
      <c r="BI4617">
        <v>0</v>
      </c>
      <c r="BJ4617">
        <v>4225</v>
      </c>
      <c r="BK4617">
        <v>25</v>
      </c>
      <c r="BL4617" t="s">
        <v>188</v>
      </c>
      <c r="BM4617">
        <v>1</v>
      </c>
      <c r="BN4617">
        <v>1</v>
      </c>
      <c r="BO4617">
        <v>0</v>
      </c>
      <c r="BP4617">
        <v>0</v>
      </c>
      <c r="BS4617">
        <v>0</v>
      </c>
      <c r="BT4617">
        <v>0</v>
      </c>
      <c r="BU4617">
        <v>0</v>
      </c>
      <c r="CE4617" t="str">
        <f t="shared" si="1831"/>
        <v>15:17:21.877</v>
      </c>
      <c r="CF4617">
        <v>877257911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4</v>
      </c>
      <c r="CY4617">
        <v>7</v>
      </c>
      <c r="CZ4617" t="s">
        <v>133</v>
      </c>
      <c r="DA4617">
        <v>275</v>
      </c>
      <c r="DB4617">
        <v>0</v>
      </c>
      <c r="DC4617" t="s">
        <v>134</v>
      </c>
      <c r="DD4617" t="s">
        <v>135</v>
      </c>
      <c r="DG4617">
        <v>3323332</v>
      </c>
      <c r="DI4617">
        <v>1</v>
      </c>
      <c r="DJ4617">
        <v>0</v>
      </c>
      <c r="DK4617">
        <v>1</v>
      </c>
      <c r="DL4617">
        <v>0</v>
      </c>
      <c r="DM4617">
        <v>0</v>
      </c>
      <c r="DN4617">
        <v>0</v>
      </c>
      <c r="DO4617">
        <v>0</v>
      </c>
      <c r="DP4617">
        <v>0</v>
      </c>
      <c r="DQ4617">
        <v>0</v>
      </c>
      <c r="DR4617">
        <v>0</v>
      </c>
      <c r="DS4617">
        <v>0</v>
      </c>
    </row>
    <row r="4618" spans="1:123" x14ac:dyDescent="0.3">
      <c r="A4618" t="str">
        <f>"05/01/2025 15:17:22.096"</f>
        <v>05/01/2025 15:17:22.096</v>
      </c>
      <c r="C4618" t="str">
        <f t="shared" si="1824"/>
        <v>FFDFD3C0</v>
      </c>
      <c r="D4618" t="s">
        <v>136</v>
      </c>
      <c r="E4618" t="str">
        <f>"20"</f>
        <v>20</v>
      </c>
      <c r="H4618">
        <v>400</v>
      </c>
      <c r="I4618" t="s">
        <v>137</v>
      </c>
      <c r="J4618" t="s">
        <v>138</v>
      </c>
      <c r="K4618">
        <v>0</v>
      </c>
      <c r="L4618">
        <v>3</v>
      </c>
      <c r="M4618">
        <v>0</v>
      </c>
      <c r="N4618">
        <v>2</v>
      </c>
      <c r="O4618">
        <v>0</v>
      </c>
      <c r="P4618">
        <v>1</v>
      </c>
      <c r="Q4618">
        <v>0</v>
      </c>
      <c r="R4618" t="s">
        <v>127</v>
      </c>
      <c r="S4618" t="str">
        <f t="shared" si="1830"/>
        <v>15:17:21.000</v>
      </c>
      <c r="T4618" t="str">
        <f t="shared" si="1830"/>
        <v>15:17:21.000</v>
      </c>
      <c r="U4618" t="str">
        <f t="shared" si="1826"/>
        <v>A68FCB</v>
      </c>
      <c r="V4618">
        <v>0</v>
      </c>
      <c r="W4618">
        <v>0</v>
      </c>
      <c r="X4618">
        <v>2</v>
      </c>
      <c r="Y4618">
        <v>0</v>
      </c>
      <c r="AA4618">
        <v>1</v>
      </c>
      <c r="AB4618">
        <v>8</v>
      </c>
      <c r="AC4618">
        <v>3</v>
      </c>
      <c r="AD4618">
        <v>0</v>
      </c>
      <c r="AE4618">
        <v>9</v>
      </c>
      <c r="AF4618" t="s">
        <v>138</v>
      </c>
      <c r="AG4618">
        <v>0</v>
      </c>
      <c r="AH4618">
        <v>3</v>
      </c>
      <c r="AI4618">
        <v>2</v>
      </c>
      <c r="AJ4618">
        <v>0</v>
      </c>
      <c r="AK4618" t="s">
        <v>1472</v>
      </c>
      <c r="AL4618">
        <v>39.214024999999999</v>
      </c>
      <c r="AM4618" t="s">
        <v>1473</v>
      </c>
      <c r="AN4618">
        <v>-121.00348200000001</v>
      </c>
      <c r="AO4618">
        <v>25</v>
      </c>
      <c r="AP4618">
        <v>4200</v>
      </c>
      <c r="AQ4618" t="s">
        <v>131</v>
      </c>
      <c r="AR4618">
        <v>28</v>
      </c>
      <c r="AS4618">
        <v>78</v>
      </c>
      <c r="AT4618">
        <v>-128</v>
      </c>
      <c r="BB4618" t="str">
        <f t="shared" si="1827"/>
        <v>1200</v>
      </c>
      <c r="BC4618">
        <v>1</v>
      </c>
      <c r="BD4618" t="str">
        <f t="shared" si="1828"/>
        <v xml:space="preserve">N52156  </v>
      </c>
      <c r="BE4618">
        <v>1</v>
      </c>
      <c r="BG4618">
        <v>0</v>
      </c>
      <c r="BH4618">
        <v>0</v>
      </c>
      <c r="BI4618">
        <v>0</v>
      </c>
      <c r="BJ4618">
        <v>4225</v>
      </c>
      <c r="BK4618">
        <v>25</v>
      </c>
      <c r="BL4618" t="s">
        <v>188</v>
      </c>
      <c r="BM4618">
        <v>1</v>
      </c>
      <c r="BN4618">
        <v>1</v>
      </c>
      <c r="BO4618">
        <v>0</v>
      </c>
      <c r="BP4618">
        <v>0</v>
      </c>
      <c r="BS4618">
        <v>0</v>
      </c>
      <c r="BT4618">
        <v>0</v>
      </c>
      <c r="BU4618">
        <v>0</v>
      </c>
      <c r="CE4618" t="str">
        <f t="shared" si="1831"/>
        <v>15:17:21.877</v>
      </c>
      <c r="CF4618">
        <v>877257911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4</v>
      </c>
      <c r="CY4618">
        <v>7</v>
      </c>
      <c r="CZ4618" t="s">
        <v>133</v>
      </c>
      <c r="DA4618">
        <v>275</v>
      </c>
      <c r="DB4618">
        <v>0</v>
      </c>
      <c r="DC4618" t="s">
        <v>134</v>
      </c>
      <c r="DD4618" t="s">
        <v>135</v>
      </c>
      <c r="DG4618">
        <v>3323332</v>
      </c>
      <c r="DI4618">
        <v>1</v>
      </c>
      <c r="DJ4618">
        <v>0</v>
      </c>
      <c r="DK4618">
        <v>1</v>
      </c>
      <c r="DL4618">
        <v>0</v>
      </c>
      <c r="DM4618">
        <v>0</v>
      </c>
      <c r="DN4618">
        <v>0</v>
      </c>
      <c r="DO4618">
        <v>0</v>
      </c>
      <c r="DP4618">
        <v>0</v>
      </c>
      <c r="DQ4618">
        <v>0</v>
      </c>
      <c r="DR4618">
        <v>0</v>
      </c>
      <c r="DS4618">
        <v>0</v>
      </c>
    </row>
    <row r="4619" spans="1:123" x14ac:dyDescent="0.3">
      <c r="A4619" t="str">
        <f>"05/01/2025 15:17:22.113"</f>
        <v>05/01/2025 15:17:22.113</v>
      </c>
      <c r="C4619" t="str">
        <f t="shared" si="1824"/>
        <v>FFDFD3C0</v>
      </c>
      <c r="D4619" t="s">
        <v>140</v>
      </c>
      <c r="E4619" t="str">
        <f>"13"</f>
        <v>13</v>
      </c>
      <c r="F4619">
        <v>1019</v>
      </c>
      <c r="G4619" t="s">
        <v>141</v>
      </c>
      <c r="J4619" t="s">
        <v>142</v>
      </c>
      <c r="K4619">
        <v>0</v>
      </c>
      <c r="L4619">
        <v>3</v>
      </c>
      <c r="M4619">
        <v>0</v>
      </c>
      <c r="N4619">
        <v>2</v>
      </c>
      <c r="O4619">
        <v>0</v>
      </c>
      <c r="P4619">
        <v>1</v>
      </c>
      <c r="Q4619">
        <v>0</v>
      </c>
      <c r="R4619" t="s">
        <v>127</v>
      </c>
      <c r="S4619" t="str">
        <f t="shared" si="1830"/>
        <v>15:17:21.000</v>
      </c>
      <c r="T4619" t="str">
        <f t="shared" si="1830"/>
        <v>15:17:21.000</v>
      </c>
      <c r="U4619" t="str">
        <f t="shared" si="1826"/>
        <v>A68FCB</v>
      </c>
      <c r="V4619">
        <v>0</v>
      </c>
      <c r="W4619">
        <v>0</v>
      </c>
      <c r="X4619">
        <v>2</v>
      </c>
      <c r="Y4619">
        <v>0</v>
      </c>
      <c r="AA4619">
        <v>1</v>
      </c>
      <c r="AB4619">
        <v>8</v>
      </c>
      <c r="AC4619">
        <v>3</v>
      </c>
      <c r="AD4619">
        <v>0</v>
      </c>
      <c r="AE4619">
        <v>9</v>
      </c>
      <c r="AF4619" t="s">
        <v>138</v>
      </c>
      <c r="AG4619">
        <v>0</v>
      </c>
      <c r="AH4619">
        <v>3</v>
      </c>
      <c r="AI4619">
        <v>2</v>
      </c>
      <c r="AJ4619">
        <v>0</v>
      </c>
      <c r="AK4619" t="s">
        <v>1472</v>
      </c>
      <c r="AL4619">
        <v>39.214024999999999</v>
      </c>
      <c r="AM4619" t="s">
        <v>1473</v>
      </c>
      <c r="AN4619">
        <v>-121.00348200000001</v>
      </c>
      <c r="AO4619">
        <v>25</v>
      </c>
      <c r="AP4619">
        <v>4200</v>
      </c>
      <c r="AQ4619" t="s">
        <v>131</v>
      </c>
      <c r="AR4619">
        <v>28</v>
      </c>
      <c r="AS4619">
        <v>78</v>
      </c>
      <c r="AT4619">
        <v>-128</v>
      </c>
      <c r="BB4619" t="str">
        <f t="shared" si="1827"/>
        <v>1200</v>
      </c>
      <c r="BC4619">
        <v>1</v>
      </c>
      <c r="BD4619" t="str">
        <f t="shared" si="1828"/>
        <v xml:space="preserve">N52156  </v>
      </c>
      <c r="BE4619">
        <v>1</v>
      </c>
      <c r="BG4619">
        <v>0</v>
      </c>
      <c r="BH4619">
        <v>0</v>
      </c>
      <c r="BI4619">
        <v>0</v>
      </c>
      <c r="BJ4619">
        <v>4225</v>
      </c>
      <c r="BK4619">
        <v>25</v>
      </c>
      <c r="BL4619" t="s">
        <v>188</v>
      </c>
      <c r="BM4619">
        <v>1</v>
      </c>
      <c r="BN4619">
        <v>1</v>
      </c>
      <c r="BO4619">
        <v>0</v>
      </c>
      <c r="BP4619">
        <v>0</v>
      </c>
      <c r="BS4619">
        <v>0</v>
      </c>
      <c r="BT4619">
        <v>0</v>
      </c>
      <c r="BU4619">
        <v>0</v>
      </c>
      <c r="CE4619" t="str">
        <f t="shared" si="1831"/>
        <v>15:17:21.877</v>
      </c>
      <c r="CF4619">
        <v>877257911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4</v>
      </c>
      <c r="CY4619">
        <v>7</v>
      </c>
      <c r="CZ4619" t="s">
        <v>133</v>
      </c>
      <c r="DA4619">
        <v>275</v>
      </c>
      <c r="DB4619">
        <v>0</v>
      </c>
      <c r="DC4619" t="s">
        <v>134</v>
      </c>
      <c r="DD4619" t="s">
        <v>135</v>
      </c>
      <c r="DG4619">
        <v>3323332</v>
      </c>
      <c r="DI4619">
        <v>1</v>
      </c>
      <c r="DJ4619">
        <v>0</v>
      </c>
      <c r="DK4619">
        <v>1</v>
      </c>
      <c r="DL4619">
        <v>0</v>
      </c>
      <c r="DM4619">
        <v>0</v>
      </c>
      <c r="DN4619">
        <v>0</v>
      </c>
      <c r="DO4619">
        <v>0</v>
      </c>
      <c r="DP4619">
        <v>0</v>
      </c>
      <c r="DQ4619">
        <v>0</v>
      </c>
      <c r="DR4619">
        <v>0</v>
      </c>
      <c r="DS4619">
        <v>0</v>
      </c>
    </row>
    <row r="4620" spans="1:123" x14ac:dyDescent="0.3">
      <c r="A4620" t="str">
        <f>"05/01/2025 15:17:22.113"</f>
        <v>05/01/2025 15:17:22.113</v>
      </c>
      <c r="C4620" t="str">
        <f t="shared" si="1824"/>
        <v>FFDFD3C0</v>
      </c>
      <c r="D4620" t="s">
        <v>124</v>
      </c>
      <c r="E4620" t="str">
        <f>"06"</f>
        <v>06</v>
      </c>
      <c r="F4620">
        <v>2006</v>
      </c>
      <c r="G4620" t="s">
        <v>125</v>
      </c>
      <c r="J4620" t="s">
        <v>126</v>
      </c>
      <c r="K4620">
        <v>0</v>
      </c>
      <c r="L4620">
        <v>3</v>
      </c>
      <c r="M4620">
        <v>0</v>
      </c>
      <c r="N4620">
        <v>2</v>
      </c>
      <c r="O4620">
        <v>0</v>
      </c>
      <c r="P4620">
        <v>1</v>
      </c>
      <c r="Q4620">
        <v>0</v>
      </c>
      <c r="R4620" t="s">
        <v>127</v>
      </c>
      <c r="S4620" t="str">
        <f t="shared" si="1830"/>
        <v>15:17:21.000</v>
      </c>
      <c r="T4620" t="str">
        <f t="shared" si="1830"/>
        <v>15:17:21.000</v>
      </c>
      <c r="U4620" t="str">
        <f t="shared" si="1826"/>
        <v>A68FCB</v>
      </c>
      <c r="V4620">
        <v>0</v>
      </c>
      <c r="W4620">
        <v>0</v>
      </c>
      <c r="X4620">
        <v>2</v>
      </c>
      <c r="Y4620">
        <v>0</v>
      </c>
      <c r="AA4620">
        <v>1</v>
      </c>
      <c r="AB4620">
        <v>8</v>
      </c>
      <c r="AC4620">
        <v>3</v>
      </c>
      <c r="AD4620">
        <v>0</v>
      </c>
      <c r="AE4620">
        <v>9</v>
      </c>
      <c r="AF4620" t="s">
        <v>138</v>
      </c>
      <c r="AG4620">
        <v>0</v>
      </c>
      <c r="AH4620">
        <v>3</v>
      </c>
      <c r="AI4620">
        <v>2</v>
      </c>
      <c r="AJ4620">
        <v>0</v>
      </c>
      <c r="AK4620" t="s">
        <v>1472</v>
      </c>
      <c r="AL4620">
        <v>39.214024999999999</v>
      </c>
      <c r="AM4620" t="s">
        <v>1473</v>
      </c>
      <c r="AN4620">
        <v>-121.00348200000001</v>
      </c>
      <c r="AO4620">
        <v>25</v>
      </c>
      <c r="AP4620">
        <v>4200</v>
      </c>
      <c r="AQ4620" t="s">
        <v>131</v>
      </c>
      <c r="AR4620">
        <v>28</v>
      </c>
      <c r="AS4620">
        <v>78</v>
      </c>
      <c r="AT4620">
        <v>-128</v>
      </c>
      <c r="BB4620" t="str">
        <f t="shared" si="1827"/>
        <v>1200</v>
      </c>
      <c r="BC4620">
        <v>1</v>
      </c>
      <c r="BD4620" t="str">
        <f t="shared" si="1828"/>
        <v xml:space="preserve">N52156  </v>
      </c>
      <c r="BE4620">
        <v>1</v>
      </c>
      <c r="BG4620">
        <v>0</v>
      </c>
      <c r="BH4620">
        <v>0</v>
      </c>
      <c r="BI4620">
        <v>0</v>
      </c>
      <c r="BJ4620">
        <v>4225</v>
      </c>
      <c r="BK4620">
        <v>25</v>
      </c>
      <c r="BL4620" t="s">
        <v>188</v>
      </c>
      <c r="BM4620">
        <v>1</v>
      </c>
      <c r="BN4620">
        <v>1</v>
      </c>
      <c r="BO4620">
        <v>0</v>
      </c>
      <c r="BP4620">
        <v>0</v>
      </c>
      <c r="BS4620">
        <v>0</v>
      </c>
      <c r="BT4620">
        <v>0</v>
      </c>
      <c r="BU4620">
        <v>0</v>
      </c>
      <c r="CE4620" t="str">
        <f t="shared" si="1831"/>
        <v>15:17:21.877</v>
      </c>
      <c r="CF4620">
        <v>877257911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4</v>
      </c>
      <c r="CY4620">
        <v>7</v>
      </c>
      <c r="CZ4620" t="s">
        <v>133</v>
      </c>
      <c r="DA4620">
        <v>275</v>
      </c>
      <c r="DB4620">
        <v>0</v>
      </c>
      <c r="DC4620" t="s">
        <v>134</v>
      </c>
      <c r="DD4620" t="s">
        <v>135</v>
      </c>
      <c r="DG4620">
        <v>3323332</v>
      </c>
      <c r="DI4620">
        <v>1</v>
      </c>
      <c r="DJ4620">
        <v>0</v>
      </c>
      <c r="DK4620">
        <v>1</v>
      </c>
      <c r="DL4620">
        <v>0</v>
      </c>
      <c r="DM4620">
        <v>0</v>
      </c>
      <c r="DN4620">
        <v>0</v>
      </c>
      <c r="DO4620">
        <v>0</v>
      </c>
      <c r="DP4620">
        <v>0</v>
      </c>
      <c r="DQ4620">
        <v>0</v>
      </c>
      <c r="DR4620">
        <v>0</v>
      </c>
      <c r="DS4620">
        <v>0</v>
      </c>
    </row>
    <row r="4621" spans="1:123" x14ac:dyDescent="0.3">
      <c r="A4621" t="str">
        <f>"05/01/2025 15:17:22.120"</f>
        <v>05/01/2025 15:17:22.120</v>
      </c>
      <c r="C4621" t="str">
        <f t="shared" si="1824"/>
        <v>FFDFD3C0</v>
      </c>
      <c r="D4621" t="s">
        <v>143</v>
      </c>
      <c r="E4621" t="str">
        <f>"05"</f>
        <v>05</v>
      </c>
      <c r="H4621">
        <v>172</v>
      </c>
      <c r="I4621" t="s">
        <v>141</v>
      </c>
      <c r="J4621" t="s">
        <v>144</v>
      </c>
      <c r="K4621">
        <v>0</v>
      </c>
      <c r="L4621">
        <v>3</v>
      </c>
      <c r="M4621">
        <v>0</v>
      </c>
      <c r="N4621">
        <v>2</v>
      </c>
      <c r="O4621">
        <v>0</v>
      </c>
      <c r="P4621">
        <v>1</v>
      </c>
      <c r="Q4621">
        <v>0</v>
      </c>
      <c r="R4621" t="s">
        <v>127</v>
      </c>
      <c r="S4621" t="str">
        <f t="shared" si="1830"/>
        <v>15:17:21.000</v>
      </c>
      <c r="T4621" t="str">
        <f t="shared" si="1830"/>
        <v>15:17:21.000</v>
      </c>
      <c r="U4621" t="str">
        <f t="shared" si="1826"/>
        <v>A68FCB</v>
      </c>
      <c r="V4621">
        <v>0</v>
      </c>
      <c r="W4621">
        <v>0</v>
      </c>
      <c r="X4621">
        <v>2</v>
      </c>
      <c r="Y4621">
        <v>0</v>
      </c>
      <c r="AA4621">
        <v>1</v>
      </c>
      <c r="AB4621">
        <v>8</v>
      </c>
      <c r="AC4621">
        <v>3</v>
      </c>
      <c r="AD4621">
        <v>0</v>
      </c>
      <c r="AE4621">
        <v>9</v>
      </c>
      <c r="AF4621" t="s">
        <v>138</v>
      </c>
      <c r="AG4621">
        <v>0</v>
      </c>
      <c r="AH4621">
        <v>3</v>
      </c>
      <c r="AI4621">
        <v>2</v>
      </c>
      <c r="AJ4621">
        <v>0</v>
      </c>
      <c r="AK4621" t="s">
        <v>1472</v>
      </c>
      <c r="AL4621">
        <v>39.214024999999999</v>
      </c>
      <c r="AM4621" t="s">
        <v>1473</v>
      </c>
      <c r="AN4621">
        <v>-121.00348200000001</v>
      </c>
      <c r="AO4621">
        <v>25</v>
      </c>
      <c r="AP4621">
        <v>4200</v>
      </c>
      <c r="AQ4621" t="s">
        <v>131</v>
      </c>
      <c r="AR4621">
        <v>28</v>
      </c>
      <c r="AS4621">
        <v>78</v>
      </c>
      <c r="AT4621">
        <v>-128</v>
      </c>
      <c r="BB4621" t="str">
        <f t="shared" si="1827"/>
        <v>1200</v>
      </c>
      <c r="BC4621">
        <v>1</v>
      </c>
      <c r="BD4621" t="str">
        <f t="shared" si="1828"/>
        <v xml:space="preserve">N52156  </v>
      </c>
      <c r="BE4621">
        <v>1</v>
      </c>
      <c r="BG4621">
        <v>0</v>
      </c>
      <c r="BH4621">
        <v>0</v>
      </c>
      <c r="BI4621">
        <v>0</v>
      </c>
      <c r="BJ4621">
        <v>4225</v>
      </c>
      <c r="BK4621">
        <v>25</v>
      </c>
      <c r="BL4621" t="s">
        <v>188</v>
      </c>
      <c r="BM4621">
        <v>1</v>
      </c>
      <c r="BN4621">
        <v>1</v>
      </c>
      <c r="BO4621">
        <v>0</v>
      </c>
      <c r="BP4621">
        <v>0</v>
      </c>
      <c r="BS4621">
        <v>0</v>
      </c>
      <c r="BT4621">
        <v>0</v>
      </c>
      <c r="BU4621">
        <v>0</v>
      </c>
      <c r="CE4621" t="str">
        <f t="shared" si="1831"/>
        <v>15:17:21.877</v>
      </c>
      <c r="CF4621">
        <v>877257911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4</v>
      </c>
      <c r="CY4621">
        <v>7</v>
      </c>
      <c r="CZ4621" t="s">
        <v>133</v>
      </c>
      <c r="DA4621">
        <v>275</v>
      </c>
      <c r="DB4621">
        <v>0</v>
      </c>
      <c r="DC4621" t="s">
        <v>134</v>
      </c>
      <c r="DD4621" t="s">
        <v>135</v>
      </c>
      <c r="DG4621">
        <v>3323332</v>
      </c>
      <c r="DI4621">
        <v>1</v>
      </c>
      <c r="DJ4621">
        <v>0</v>
      </c>
      <c r="DK4621">
        <v>1</v>
      </c>
      <c r="DL4621">
        <v>0</v>
      </c>
      <c r="DM4621">
        <v>0</v>
      </c>
      <c r="DN4621">
        <v>0</v>
      </c>
      <c r="DO4621">
        <v>0</v>
      </c>
      <c r="DP4621">
        <v>0</v>
      </c>
      <c r="DQ4621">
        <v>0</v>
      </c>
      <c r="DR4621">
        <v>0</v>
      </c>
      <c r="DS4621">
        <v>0</v>
      </c>
    </row>
    <row r="4622" spans="1:123" x14ac:dyDescent="0.3">
      <c r="A4622" t="str">
        <f>"05/01/2025 15:17:22.463"</f>
        <v>05/01/2025 15:17:22.463</v>
      </c>
      <c r="C4622" t="str">
        <f t="shared" si="1824"/>
        <v>FFDFD3C0</v>
      </c>
      <c r="D4622" t="s">
        <v>140</v>
      </c>
      <c r="E4622" t="str">
        <f>"13"</f>
        <v>13</v>
      </c>
      <c r="F4622">
        <v>1019</v>
      </c>
      <c r="G4622" t="s">
        <v>141</v>
      </c>
      <c r="J4622" t="s">
        <v>142</v>
      </c>
      <c r="K4622">
        <v>0</v>
      </c>
      <c r="L4622">
        <v>3</v>
      </c>
      <c r="M4622">
        <v>0</v>
      </c>
      <c r="N4622">
        <v>2</v>
      </c>
      <c r="O4622">
        <v>0</v>
      </c>
      <c r="P4622">
        <v>1</v>
      </c>
      <c r="Q4622">
        <v>0</v>
      </c>
      <c r="R4622" t="s">
        <v>127</v>
      </c>
      <c r="S4622" t="str">
        <f t="shared" ref="S4622:T4627" si="1832">"15:17:22.000"</f>
        <v>15:17:22.000</v>
      </c>
      <c r="T4622" t="str">
        <f t="shared" si="1832"/>
        <v>15:17:22.000</v>
      </c>
      <c r="U4622" t="str">
        <f t="shared" si="1826"/>
        <v>A68FCB</v>
      </c>
      <c r="V4622">
        <v>0</v>
      </c>
      <c r="W4622">
        <v>0</v>
      </c>
      <c r="X4622">
        <v>2</v>
      </c>
      <c r="Y4622">
        <v>0</v>
      </c>
      <c r="AA4622">
        <v>1</v>
      </c>
      <c r="AB4622">
        <v>8</v>
      </c>
      <c r="AC4622">
        <v>3</v>
      </c>
      <c r="AD4622">
        <v>0</v>
      </c>
      <c r="AE4622">
        <v>9</v>
      </c>
      <c r="AF4622" t="s">
        <v>138</v>
      </c>
      <c r="AG4622">
        <v>0</v>
      </c>
      <c r="AH4622">
        <v>3</v>
      </c>
      <c r="AI4622">
        <v>2</v>
      </c>
      <c r="AJ4622">
        <v>0</v>
      </c>
      <c r="AK4622" t="s">
        <v>1474</v>
      </c>
      <c r="AL4622">
        <v>39.214388999999997</v>
      </c>
      <c r="AM4622" t="s">
        <v>1475</v>
      </c>
      <c r="AN4622">
        <v>-121.003311</v>
      </c>
      <c r="AO4622">
        <v>25</v>
      </c>
      <c r="AP4622">
        <v>4200</v>
      </c>
      <c r="AQ4622" t="s">
        <v>131</v>
      </c>
      <c r="AR4622">
        <v>28</v>
      </c>
      <c r="AS4622">
        <v>78</v>
      </c>
      <c r="AT4622">
        <v>-128</v>
      </c>
      <c r="BB4622" t="str">
        <f t="shared" si="1827"/>
        <v>1200</v>
      </c>
      <c r="BC4622">
        <v>1</v>
      </c>
      <c r="BD4622" t="str">
        <f t="shared" si="1828"/>
        <v xml:space="preserve">N52156  </v>
      </c>
      <c r="BE4622">
        <v>1</v>
      </c>
      <c r="BG4622">
        <v>0</v>
      </c>
      <c r="BH4622">
        <v>0</v>
      </c>
      <c r="BI4622">
        <v>0</v>
      </c>
      <c r="BJ4622">
        <v>4225</v>
      </c>
      <c r="BK4622">
        <v>25</v>
      </c>
      <c r="BL4622" t="s">
        <v>188</v>
      </c>
      <c r="BM4622">
        <v>1</v>
      </c>
      <c r="BN4622">
        <v>1</v>
      </c>
      <c r="BO4622">
        <v>0</v>
      </c>
      <c r="BP4622">
        <v>0</v>
      </c>
      <c r="BS4622">
        <v>0</v>
      </c>
      <c r="BT4622">
        <v>0</v>
      </c>
      <c r="BU4622">
        <v>0</v>
      </c>
      <c r="CE4622" t="str">
        <f t="shared" ref="CE4622:CE4627" si="1833">"15:17:22.254"</f>
        <v>15:17:22.254</v>
      </c>
      <c r="CF4622">
        <v>253756376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4</v>
      </c>
      <c r="CY4622">
        <v>7</v>
      </c>
      <c r="CZ4622" t="s">
        <v>133</v>
      </c>
      <c r="DA4622">
        <v>275</v>
      </c>
      <c r="DB4622">
        <v>0</v>
      </c>
      <c r="DC4622" t="s">
        <v>134</v>
      </c>
      <c r="DD4622" t="s">
        <v>135</v>
      </c>
      <c r="DG4622">
        <v>3323333</v>
      </c>
      <c r="DI4622">
        <v>1</v>
      </c>
      <c r="DJ4622">
        <v>0</v>
      </c>
      <c r="DK4622">
        <v>0</v>
      </c>
      <c r="DL4622">
        <v>0</v>
      </c>
      <c r="DM4622">
        <v>0</v>
      </c>
      <c r="DN4622">
        <v>0</v>
      </c>
      <c r="DO4622">
        <v>0</v>
      </c>
      <c r="DP4622">
        <v>0</v>
      </c>
      <c r="DQ4622">
        <v>0</v>
      </c>
      <c r="DR4622">
        <v>0</v>
      </c>
      <c r="DS4622">
        <v>0</v>
      </c>
    </row>
    <row r="4623" spans="1:123" x14ac:dyDescent="0.3">
      <c r="A4623" t="str">
        <f>"05/01/2025 15:17:22.463"</f>
        <v>05/01/2025 15:17:22.463</v>
      </c>
      <c r="C4623" t="str">
        <f t="shared" si="1824"/>
        <v>FFDFD3C0</v>
      </c>
      <c r="D4623" t="s">
        <v>124</v>
      </c>
      <c r="E4623" t="str">
        <f>"06"</f>
        <v>06</v>
      </c>
      <c r="F4623">
        <v>2006</v>
      </c>
      <c r="G4623" t="s">
        <v>125</v>
      </c>
      <c r="J4623" t="s">
        <v>126</v>
      </c>
      <c r="K4623">
        <v>0</v>
      </c>
      <c r="L4623">
        <v>3</v>
      </c>
      <c r="M4623">
        <v>0</v>
      </c>
      <c r="N4623">
        <v>2</v>
      </c>
      <c r="O4623">
        <v>0</v>
      </c>
      <c r="P4623">
        <v>1</v>
      </c>
      <c r="Q4623">
        <v>0</v>
      </c>
      <c r="R4623" t="s">
        <v>127</v>
      </c>
      <c r="S4623" t="str">
        <f t="shared" si="1832"/>
        <v>15:17:22.000</v>
      </c>
      <c r="T4623" t="str">
        <f t="shared" si="1832"/>
        <v>15:17:22.000</v>
      </c>
      <c r="U4623" t="str">
        <f t="shared" si="1826"/>
        <v>A68FCB</v>
      </c>
      <c r="V4623">
        <v>0</v>
      </c>
      <c r="W4623">
        <v>0</v>
      </c>
      <c r="X4623">
        <v>2</v>
      </c>
      <c r="Y4623">
        <v>0</v>
      </c>
      <c r="AA4623">
        <v>1</v>
      </c>
      <c r="AB4623">
        <v>8</v>
      </c>
      <c r="AC4623">
        <v>3</v>
      </c>
      <c r="AD4623">
        <v>0</v>
      </c>
      <c r="AE4623">
        <v>9</v>
      </c>
      <c r="AF4623" t="s">
        <v>138</v>
      </c>
      <c r="AG4623">
        <v>0</v>
      </c>
      <c r="AH4623">
        <v>3</v>
      </c>
      <c r="AI4623">
        <v>2</v>
      </c>
      <c r="AJ4623">
        <v>0</v>
      </c>
      <c r="AK4623" t="s">
        <v>1474</v>
      </c>
      <c r="AL4623">
        <v>39.214388999999997</v>
      </c>
      <c r="AM4623" t="s">
        <v>1475</v>
      </c>
      <c r="AN4623">
        <v>-121.003311</v>
      </c>
      <c r="AO4623">
        <v>25</v>
      </c>
      <c r="AP4623">
        <v>4200</v>
      </c>
      <c r="AQ4623" t="s">
        <v>131</v>
      </c>
      <c r="AR4623">
        <v>28</v>
      </c>
      <c r="AS4623">
        <v>78</v>
      </c>
      <c r="AT4623">
        <v>-128</v>
      </c>
      <c r="BB4623" t="str">
        <f t="shared" si="1827"/>
        <v>1200</v>
      </c>
      <c r="BC4623">
        <v>1</v>
      </c>
      <c r="BD4623" t="str">
        <f t="shared" si="1828"/>
        <v xml:space="preserve">N52156  </v>
      </c>
      <c r="BE4623">
        <v>1</v>
      </c>
      <c r="BG4623">
        <v>0</v>
      </c>
      <c r="BH4623">
        <v>0</v>
      </c>
      <c r="BI4623">
        <v>0</v>
      </c>
      <c r="BJ4623">
        <v>4225</v>
      </c>
      <c r="BK4623">
        <v>25</v>
      </c>
      <c r="BL4623" t="s">
        <v>188</v>
      </c>
      <c r="BM4623">
        <v>1</v>
      </c>
      <c r="BN4623">
        <v>1</v>
      </c>
      <c r="BO4623">
        <v>0</v>
      </c>
      <c r="BP4623">
        <v>0</v>
      </c>
      <c r="BS4623">
        <v>0</v>
      </c>
      <c r="BT4623">
        <v>0</v>
      </c>
      <c r="BU4623">
        <v>0</v>
      </c>
      <c r="CE4623" t="str">
        <f t="shared" si="1833"/>
        <v>15:17:22.254</v>
      </c>
      <c r="CF4623">
        <v>253756376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4</v>
      </c>
      <c r="CY4623">
        <v>7</v>
      </c>
      <c r="CZ4623" t="s">
        <v>133</v>
      </c>
      <c r="DA4623">
        <v>275</v>
      </c>
      <c r="DB4623">
        <v>0</v>
      </c>
      <c r="DC4623" t="s">
        <v>134</v>
      </c>
      <c r="DD4623" t="s">
        <v>135</v>
      </c>
      <c r="DG4623">
        <v>3323333</v>
      </c>
      <c r="DI4623">
        <v>1</v>
      </c>
      <c r="DJ4623">
        <v>0</v>
      </c>
      <c r="DK4623">
        <v>1</v>
      </c>
      <c r="DL4623">
        <v>0</v>
      </c>
      <c r="DM4623">
        <v>0</v>
      </c>
      <c r="DN4623">
        <v>0</v>
      </c>
      <c r="DO4623">
        <v>0</v>
      </c>
      <c r="DP4623">
        <v>0</v>
      </c>
      <c r="DQ4623">
        <v>0</v>
      </c>
      <c r="DR4623">
        <v>0</v>
      </c>
      <c r="DS4623">
        <v>0</v>
      </c>
    </row>
    <row r="4624" spans="1:123" x14ac:dyDescent="0.3">
      <c r="A4624" t="str">
        <f>"05/01/2025 15:17:22.470"</f>
        <v>05/01/2025 15:17:22.470</v>
      </c>
      <c r="C4624" t="str">
        <f t="shared" si="1824"/>
        <v>FFDFD3C0</v>
      </c>
      <c r="D4624" t="s">
        <v>143</v>
      </c>
      <c r="E4624" t="str">
        <f>"05"</f>
        <v>05</v>
      </c>
      <c r="H4624">
        <v>172</v>
      </c>
      <c r="I4624" t="s">
        <v>141</v>
      </c>
      <c r="J4624" t="s">
        <v>144</v>
      </c>
      <c r="K4624">
        <v>0</v>
      </c>
      <c r="L4624">
        <v>3</v>
      </c>
      <c r="M4624">
        <v>0</v>
      </c>
      <c r="N4624">
        <v>2</v>
      </c>
      <c r="O4624">
        <v>0</v>
      </c>
      <c r="P4624">
        <v>1</v>
      </c>
      <c r="Q4624">
        <v>0</v>
      </c>
      <c r="R4624" t="s">
        <v>127</v>
      </c>
      <c r="S4624" t="str">
        <f t="shared" si="1832"/>
        <v>15:17:22.000</v>
      </c>
      <c r="T4624" t="str">
        <f t="shared" si="1832"/>
        <v>15:17:22.000</v>
      </c>
      <c r="U4624" t="str">
        <f t="shared" si="1826"/>
        <v>A68FCB</v>
      </c>
      <c r="V4624">
        <v>0</v>
      </c>
      <c r="W4624">
        <v>0</v>
      </c>
      <c r="X4624">
        <v>2</v>
      </c>
      <c r="Y4624">
        <v>0</v>
      </c>
      <c r="AA4624">
        <v>1</v>
      </c>
      <c r="AB4624">
        <v>8</v>
      </c>
      <c r="AC4624">
        <v>3</v>
      </c>
      <c r="AD4624">
        <v>0</v>
      </c>
      <c r="AE4624">
        <v>9</v>
      </c>
      <c r="AF4624" t="s">
        <v>138</v>
      </c>
      <c r="AG4624">
        <v>0</v>
      </c>
      <c r="AH4624">
        <v>3</v>
      </c>
      <c r="AI4624">
        <v>2</v>
      </c>
      <c r="AJ4624">
        <v>0</v>
      </c>
      <c r="AK4624" t="s">
        <v>1474</v>
      </c>
      <c r="AL4624">
        <v>39.214388999999997</v>
      </c>
      <c r="AM4624" t="s">
        <v>1475</v>
      </c>
      <c r="AN4624">
        <v>-121.003311</v>
      </c>
      <c r="AO4624">
        <v>25</v>
      </c>
      <c r="AP4624">
        <v>4200</v>
      </c>
      <c r="AQ4624" t="s">
        <v>131</v>
      </c>
      <c r="AR4624">
        <v>28</v>
      </c>
      <c r="AS4624">
        <v>78</v>
      </c>
      <c r="AT4624">
        <v>-128</v>
      </c>
      <c r="BB4624" t="str">
        <f t="shared" si="1827"/>
        <v>1200</v>
      </c>
      <c r="BC4624">
        <v>1</v>
      </c>
      <c r="BD4624" t="str">
        <f t="shared" si="1828"/>
        <v xml:space="preserve">N52156  </v>
      </c>
      <c r="BE4624">
        <v>1</v>
      </c>
      <c r="BG4624">
        <v>0</v>
      </c>
      <c r="BH4624">
        <v>0</v>
      </c>
      <c r="BI4624">
        <v>0</v>
      </c>
      <c r="BJ4624">
        <v>4225</v>
      </c>
      <c r="BK4624">
        <v>25</v>
      </c>
      <c r="BL4624" t="s">
        <v>188</v>
      </c>
      <c r="BM4624">
        <v>1</v>
      </c>
      <c r="BN4624">
        <v>1</v>
      </c>
      <c r="BO4624">
        <v>0</v>
      </c>
      <c r="BP4624">
        <v>0</v>
      </c>
      <c r="BS4624">
        <v>0</v>
      </c>
      <c r="BT4624">
        <v>0</v>
      </c>
      <c r="BU4624">
        <v>0</v>
      </c>
      <c r="CE4624" t="str">
        <f t="shared" si="1833"/>
        <v>15:17:22.254</v>
      </c>
      <c r="CF4624">
        <v>253756376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4</v>
      </c>
      <c r="CY4624">
        <v>7</v>
      </c>
      <c r="CZ4624" t="s">
        <v>133</v>
      </c>
      <c r="DA4624">
        <v>275</v>
      </c>
      <c r="DB4624">
        <v>0</v>
      </c>
      <c r="DC4624" t="s">
        <v>134</v>
      </c>
      <c r="DD4624" t="s">
        <v>135</v>
      </c>
      <c r="DG4624">
        <v>3323333</v>
      </c>
      <c r="DI4624">
        <v>1</v>
      </c>
      <c r="DJ4624">
        <v>0</v>
      </c>
      <c r="DK4624">
        <v>1</v>
      </c>
      <c r="DL4624">
        <v>0</v>
      </c>
      <c r="DM4624">
        <v>0</v>
      </c>
      <c r="DN4624">
        <v>0</v>
      </c>
      <c r="DO4624">
        <v>0</v>
      </c>
      <c r="DP4624">
        <v>0</v>
      </c>
      <c r="DQ4624">
        <v>0</v>
      </c>
      <c r="DR4624">
        <v>0</v>
      </c>
      <c r="DS4624">
        <v>0</v>
      </c>
    </row>
    <row r="4625" spans="1:123" x14ac:dyDescent="0.3">
      <c r="A4625" t="str">
        <f>"05/01/2025 15:17:22.483"</f>
        <v>05/01/2025 15:17:22.483</v>
      </c>
      <c r="C4625" t="str">
        <f t="shared" si="1824"/>
        <v>FFDFD3C0</v>
      </c>
      <c r="D4625" t="s">
        <v>145</v>
      </c>
      <c r="E4625" t="str">
        <f>"09"</f>
        <v>09</v>
      </c>
      <c r="H4625">
        <v>51</v>
      </c>
      <c r="I4625" t="s">
        <v>147</v>
      </c>
      <c r="J4625" t="s">
        <v>138</v>
      </c>
      <c r="K4625">
        <v>0</v>
      </c>
      <c r="L4625">
        <v>3</v>
      </c>
      <c r="M4625">
        <v>0</v>
      </c>
      <c r="N4625">
        <v>2</v>
      </c>
      <c r="O4625">
        <v>0</v>
      </c>
      <c r="P4625">
        <v>1</v>
      </c>
      <c r="Q4625">
        <v>0</v>
      </c>
      <c r="R4625" t="s">
        <v>127</v>
      </c>
      <c r="S4625" t="str">
        <f t="shared" si="1832"/>
        <v>15:17:22.000</v>
      </c>
      <c r="T4625" t="str">
        <f t="shared" si="1832"/>
        <v>15:17:22.000</v>
      </c>
      <c r="U4625" t="str">
        <f t="shared" si="1826"/>
        <v>A68FCB</v>
      </c>
      <c r="V4625">
        <v>0</v>
      </c>
      <c r="W4625">
        <v>0</v>
      </c>
      <c r="X4625">
        <v>2</v>
      </c>
      <c r="Y4625">
        <v>0</v>
      </c>
      <c r="AA4625">
        <v>1</v>
      </c>
      <c r="AB4625">
        <v>8</v>
      </c>
      <c r="AC4625">
        <v>3</v>
      </c>
      <c r="AD4625">
        <v>0</v>
      </c>
      <c r="AE4625">
        <v>9</v>
      </c>
      <c r="AF4625" t="s">
        <v>138</v>
      </c>
      <c r="AG4625">
        <v>0</v>
      </c>
      <c r="AH4625">
        <v>3</v>
      </c>
      <c r="AI4625">
        <v>2</v>
      </c>
      <c r="AJ4625">
        <v>0</v>
      </c>
      <c r="AK4625" t="s">
        <v>1474</v>
      </c>
      <c r="AL4625">
        <v>39.214388999999997</v>
      </c>
      <c r="AM4625" t="s">
        <v>1475</v>
      </c>
      <c r="AN4625">
        <v>-121.003311</v>
      </c>
      <c r="AO4625">
        <v>25</v>
      </c>
      <c r="AP4625">
        <v>4200</v>
      </c>
      <c r="AQ4625" t="s">
        <v>131</v>
      </c>
      <c r="AR4625">
        <v>28</v>
      </c>
      <c r="AS4625">
        <v>78</v>
      </c>
      <c r="AT4625">
        <v>-128</v>
      </c>
      <c r="BB4625" t="str">
        <f t="shared" si="1827"/>
        <v>1200</v>
      </c>
      <c r="BC4625">
        <v>1</v>
      </c>
      <c r="BD4625" t="str">
        <f t="shared" si="1828"/>
        <v xml:space="preserve">N52156  </v>
      </c>
      <c r="BE4625">
        <v>1</v>
      </c>
      <c r="BG4625">
        <v>0</v>
      </c>
      <c r="BH4625">
        <v>0</v>
      </c>
      <c r="BI4625">
        <v>0</v>
      </c>
      <c r="BJ4625">
        <v>4225</v>
      </c>
      <c r="BK4625">
        <v>25</v>
      </c>
      <c r="BL4625" t="s">
        <v>188</v>
      </c>
      <c r="BM4625">
        <v>1</v>
      </c>
      <c r="BN4625">
        <v>1</v>
      </c>
      <c r="BO4625">
        <v>0</v>
      </c>
      <c r="BP4625">
        <v>0</v>
      </c>
      <c r="BS4625">
        <v>0</v>
      </c>
      <c r="BT4625">
        <v>0</v>
      </c>
      <c r="BU4625">
        <v>0</v>
      </c>
      <c r="CE4625" t="str">
        <f t="shared" si="1833"/>
        <v>15:17:22.254</v>
      </c>
      <c r="CF4625">
        <v>253756376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4</v>
      </c>
      <c r="CY4625">
        <v>7</v>
      </c>
      <c r="CZ4625" t="s">
        <v>133</v>
      </c>
      <c r="DA4625">
        <v>275</v>
      </c>
      <c r="DB4625">
        <v>0</v>
      </c>
      <c r="DC4625" t="s">
        <v>134</v>
      </c>
      <c r="DD4625" t="s">
        <v>135</v>
      </c>
      <c r="DG4625">
        <v>3323333</v>
      </c>
      <c r="DI4625">
        <v>1</v>
      </c>
      <c r="DJ4625">
        <v>0</v>
      </c>
      <c r="DK4625">
        <v>1</v>
      </c>
      <c r="DL4625">
        <v>0</v>
      </c>
      <c r="DM4625">
        <v>0</v>
      </c>
      <c r="DN4625">
        <v>0</v>
      </c>
      <c r="DO4625">
        <v>0</v>
      </c>
      <c r="DP4625">
        <v>0</v>
      </c>
      <c r="DQ4625">
        <v>0</v>
      </c>
      <c r="DR4625">
        <v>0</v>
      </c>
      <c r="DS4625">
        <v>0</v>
      </c>
    </row>
    <row r="4626" spans="1:123" x14ac:dyDescent="0.3">
      <c r="A4626" t="str">
        <f>"05/01/2025 15:17:22.487"</f>
        <v>05/01/2025 15:17:22.487</v>
      </c>
      <c r="C4626" t="str">
        <f t="shared" si="1824"/>
        <v>FFDFD3C0</v>
      </c>
      <c r="D4626" t="s">
        <v>145</v>
      </c>
      <c r="E4626" t="str">
        <f>"05"</f>
        <v>05</v>
      </c>
      <c r="H4626">
        <v>47</v>
      </c>
      <c r="I4626" t="s">
        <v>146</v>
      </c>
      <c r="J4626" t="s">
        <v>138</v>
      </c>
      <c r="K4626">
        <v>0</v>
      </c>
      <c r="L4626">
        <v>3</v>
      </c>
      <c r="M4626">
        <v>0</v>
      </c>
      <c r="N4626">
        <v>2</v>
      </c>
      <c r="O4626">
        <v>0</v>
      </c>
      <c r="P4626">
        <v>1</v>
      </c>
      <c r="Q4626">
        <v>0</v>
      </c>
      <c r="R4626" t="s">
        <v>127</v>
      </c>
      <c r="S4626" t="str">
        <f t="shared" si="1832"/>
        <v>15:17:22.000</v>
      </c>
      <c r="T4626" t="str">
        <f t="shared" si="1832"/>
        <v>15:17:22.000</v>
      </c>
      <c r="U4626" t="str">
        <f t="shared" si="1826"/>
        <v>A68FCB</v>
      </c>
      <c r="V4626">
        <v>0</v>
      </c>
      <c r="W4626">
        <v>0</v>
      </c>
      <c r="X4626">
        <v>2</v>
      </c>
      <c r="Y4626">
        <v>0</v>
      </c>
      <c r="AA4626">
        <v>1</v>
      </c>
      <c r="AB4626">
        <v>8</v>
      </c>
      <c r="AC4626">
        <v>3</v>
      </c>
      <c r="AD4626">
        <v>0</v>
      </c>
      <c r="AE4626">
        <v>9</v>
      </c>
      <c r="AF4626" t="s">
        <v>138</v>
      </c>
      <c r="AG4626">
        <v>0</v>
      </c>
      <c r="AH4626">
        <v>3</v>
      </c>
      <c r="AI4626">
        <v>2</v>
      </c>
      <c r="AJ4626">
        <v>0</v>
      </c>
      <c r="AK4626" t="s">
        <v>1474</v>
      </c>
      <c r="AL4626">
        <v>39.214388999999997</v>
      </c>
      <c r="AM4626" t="s">
        <v>1475</v>
      </c>
      <c r="AN4626">
        <v>-121.003311</v>
      </c>
      <c r="AO4626">
        <v>25</v>
      </c>
      <c r="AP4626">
        <v>4200</v>
      </c>
      <c r="AQ4626" t="s">
        <v>131</v>
      </c>
      <c r="AR4626">
        <v>28</v>
      </c>
      <c r="AS4626">
        <v>78</v>
      </c>
      <c r="AT4626">
        <v>-128</v>
      </c>
      <c r="BB4626" t="str">
        <f t="shared" si="1827"/>
        <v>1200</v>
      </c>
      <c r="BC4626">
        <v>1</v>
      </c>
      <c r="BD4626" t="str">
        <f t="shared" si="1828"/>
        <v xml:space="preserve">N52156  </v>
      </c>
      <c r="BE4626">
        <v>1</v>
      </c>
      <c r="BG4626">
        <v>0</v>
      </c>
      <c r="BH4626">
        <v>0</v>
      </c>
      <c r="BI4626">
        <v>0</v>
      </c>
      <c r="BJ4626">
        <v>4225</v>
      </c>
      <c r="BK4626">
        <v>25</v>
      </c>
      <c r="BL4626" t="s">
        <v>188</v>
      </c>
      <c r="BM4626">
        <v>1</v>
      </c>
      <c r="BN4626">
        <v>1</v>
      </c>
      <c r="BO4626">
        <v>0</v>
      </c>
      <c r="BP4626">
        <v>0</v>
      </c>
      <c r="BS4626">
        <v>0</v>
      </c>
      <c r="BT4626">
        <v>0</v>
      </c>
      <c r="BU4626">
        <v>0</v>
      </c>
      <c r="CE4626" t="str">
        <f t="shared" si="1833"/>
        <v>15:17:22.254</v>
      </c>
      <c r="CF4626">
        <v>253756376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4</v>
      </c>
      <c r="CY4626">
        <v>7</v>
      </c>
      <c r="CZ4626" t="s">
        <v>133</v>
      </c>
      <c r="DA4626">
        <v>275</v>
      </c>
      <c r="DB4626">
        <v>0</v>
      </c>
      <c r="DC4626" t="s">
        <v>134</v>
      </c>
      <c r="DD4626" t="s">
        <v>135</v>
      </c>
      <c r="DG4626">
        <v>3323333</v>
      </c>
      <c r="DI4626">
        <v>1</v>
      </c>
      <c r="DJ4626">
        <v>0</v>
      </c>
      <c r="DK4626">
        <v>1</v>
      </c>
      <c r="DL4626">
        <v>0</v>
      </c>
      <c r="DM4626">
        <v>0</v>
      </c>
      <c r="DN4626">
        <v>0</v>
      </c>
      <c r="DO4626">
        <v>0</v>
      </c>
      <c r="DP4626">
        <v>0</v>
      </c>
      <c r="DQ4626">
        <v>0</v>
      </c>
      <c r="DR4626">
        <v>0</v>
      </c>
      <c r="DS4626">
        <v>0</v>
      </c>
    </row>
    <row r="4627" spans="1:123" x14ac:dyDescent="0.3">
      <c r="A4627" t="str">
        <f>"05/01/2025 15:17:22.497"</f>
        <v>05/01/2025 15:17:22.497</v>
      </c>
      <c r="C4627" t="str">
        <f t="shared" si="1824"/>
        <v>FFDFD3C0</v>
      </c>
      <c r="D4627" t="s">
        <v>136</v>
      </c>
      <c r="E4627" t="str">
        <f>"20"</f>
        <v>20</v>
      </c>
      <c r="H4627">
        <v>400</v>
      </c>
      <c r="I4627" t="s">
        <v>137</v>
      </c>
      <c r="J4627" t="s">
        <v>138</v>
      </c>
      <c r="K4627">
        <v>0</v>
      </c>
      <c r="L4627">
        <v>3</v>
      </c>
      <c r="M4627">
        <v>0</v>
      </c>
      <c r="N4627">
        <v>2</v>
      </c>
      <c r="O4627">
        <v>0</v>
      </c>
      <c r="P4627">
        <v>1</v>
      </c>
      <c r="Q4627">
        <v>0</v>
      </c>
      <c r="R4627" t="s">
        <v>127</v>
      </c>
      <c r="S4627" t="str">
        <f t="shared" si="1832"/>
        <v>15:17:22.000</v>
      </c>
      <c r="T4627" t="str">
        <f t="shared" si="1832"/>
        <v>15:17:22.000</v>
      </c>
      <c r="U4627" t="str">
        <f t="shared" si="1826"/>
        <v>A68FCB</v>
      </c>
      <c r="V4627">
        <v>0</v>
      </c>
      <c r="W4627">
        <v>0</v>
      </c>
      <c r="X4627">
        <v>2</v>
      </c>
      <c r="Y4627">
        <v>0</v>
      </c>
      <c r="AA4627">
        <v>1</v>
      </c>
      <c r="AB4627">
        <v>8</v>
      </c>
      <c r="AC4627">
        <v>3</v>
      </c>
      <c r="AD4627">
        <v>0</v>
      </c>
      <c r="AE4627">
        <v>9</v>
      </c>
      <c r="AF4627" t="s">
        <v>138</v>
      </c>
      <c r="AG4627">
        <v>0</v>
      </c>
      <c r="AH4627">
        <v>3</v>
      </c>
      <c r="AI4627">
        <v>2</v>
      </c>
      <c r="AJ4627">
        <v>0</v>
      </c>
      <c r="AK4627" t="s">
        <v>1474</v>
      </c>
      <c r="AL4627">
        <v>39.214388999999997</v>
      </c>
      <c r="AM4627" t="s">
        <v>1475</v>
      </c>
      <c r="AN4627">
        <v>-121.003311</v>
      </c>
      <c r="AO4627">
        <v>25</v>
      </c>
      <c r="AP4627">
        <v>4200</v>
      </c>
      <c r="AQ4627" t="s">
        <v>131</v>
      </c>
      <c r="AR4627">
        <v>28</v>
      </c>
      <c r="AS4627">
        <v>78</v>
      </c>
      <c r="AT4627">
        <v>-128</v>
      </c>
      <c r="BB4627" t="str">
        <f t="shared" si="1827"/>
        <v>1200</v>
      </c>
      <c r="BC4627">
        <v>1</v>
      </c>
      <c r="BD4627" t="str">
        <f t="shared" si="1828"/>
        <v xml:space="preserve">N52156  </v>
      </c>
      <c r="BE4627">
        <v>1</v>
      </c>
      <c r="BG4627">
        <v>0</v>
      </c>
      <c r="BH4627">
        <v>0</v>
      </c>
      <c r="BI4627">
        <v>0</v>
      </c>
      <c r="BJ4627">
        <v>4225</v>
      </c>
      <c r="BK4627">
        <v>25</v>
      </c>
      <c r="BL4627" t="s">
        <v>188</v>
      </c>
      <c r="BM4627">
        <v>1</v>
      </c>
      <c r="BN4627">
        <v>1</v>
      </c>
      <c r="BO4627">
        <v>0</v>
      </c>
      <c r="BP4627">
        <v>0</v>
      </c>
      <c r="BS4627">
        <v>0</v>
      </c>
      <c r="BT4627">
        <v>0</v>
      </c>
      <c r="BU4627">
        <v>0</v>
      </c>
      <c r="CE4627" t="str">
        <f t="shared" si="1833"/>
        <v>15:17:22.254</v>
      </c>
      <c r="CF4627">
        <v>253756376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4</v>
      </c>
      <c r="CY4627">
        <v>7</v>
      </c>
      <c r="CZ4627" t="s">
        <v>133</v>
      </c>
      <c r="DA4627">
        <v>275</v>
      </c>
      <c r="DB4627">
        <v>0</v>
      </c>
      <c r="DC4627" t="s">
        <v>134</v>
      </c>
      <c r="DD4627" t="s">
        <v>135</v>
      </c>
      <c r="DG4627">
        <v>3323333</v>
      </c>
      <c r="DI4627">
        <v>1</v>
      </c>
      <c r="DJ4627">
        <v>0</v>
      </c>
      <c r="DK4627">
        <v>1</v>
      </c>
      <c r="DL4627">
        <v>0</v>
      </c>
      <c r="DM4627">
        <v>0</v>
      </c>
      <c r="DN4627">
        <v>0</v>
      </c>
      <c r="DO4627">
        <v>0</v>
      </c>
      <c r="DP4627">
        <v>0</v>
      </c>
      <c r="DQ4627">
        <v>0</v>
      </c>
      <c r="DR4627">
        <v>0</v>
      </c>
      <c r="DS4627">
        <v>0</v>
      </c>
    </row>
    <row r="4628" spans="1:123" x14ac:dyDescent="0.3">
      <c r="A4628" t="str">
        <f>"05/01/2025 15:17:24.116"</f>
        <v>05/01/2025 15:17:24.116</v>
      </c>
      <c r="C4628" t="str">
        <f t="shared" si="1824"/>
        <v>FFDFD3C0</v>
      </c>
      <c r="D4628" t="s">
        <v>124</v>
      </c>
      <c r="E4628" t="str">
        <f>"06"</f>
        <v>06</v>
      </c>
      <c r="F4628">
        <v>2006</v>
      </c>
      <c r="G4628" t="s">
        <v>125</v>
      </c>
      <c r="J4628" t="s">
        <v>126</v>
      </c>
      <c r="K4628">
        <v>0</v>
      </c>
      <c r="L4628">
        <v>3</v>
      </c>
      <c r="M4628">
        <v>0</v>
      </c>
      <c r="N4628">
        <v>2</v>
      </c>
      <c r="O4628">
        <v>0</v>
      </c>
      <c r="P4628">
        <v>1</v>
      </c>
      <c r="Q4628">
        <v>0</v>
      </c>
      <c r="R4628" t="s">
        <v>127</v>
      </c>
      <c r="S4628" t="str">
        <f t="shared" ref="S4628:T4633" si="1834">"15:17:23.000"</f>
        <v>15:17:23.000</v>
      </c>
      <c r="T4628" t="str">
        <f t="shared" si="1834"/>
        <v>15:17:23.000</v>
      </c>
      <c r="U4628" t="str">
        <f t="shared" si="1826"/>
        <v>A68FCB</v>
      </c>
      <c r="V4628">
        <v>0</v>
      </c>
      <c r="W4628">
        <v>0</v>
      </c>
      <c r="X4628">
        <v>2</v>
      </c>
      <c r="Y4628">
        <v>0</v>
      </c>
      <c r="AA4628">
        <v>1</v>
      </c>
      <c r="AB4628">
        <v>8</v>
      </c>
      <c r="AC4628">
        <v>3</v>
      </c>
      <c r="AD4628">
        <v>0</v>
      </c>
      <c r="AE4628">
        <v>9</v>
      </c>
      <c r="AF4628" t="s">
        <v>138</v>
      </c>
      <c r="AG4628">
        <v>0</v>
      </c>
      <c r="AH4628">
        <v>3</v>
      </c>
      <c r="AI4628">
        <v>2</v>
      </c>
      <c r="AJ4628">
        <v>0</v>
      </c>
      <c r="AK4628" t="s">
        <v>1476</v>
      </c>
      <c r="AL4628">
        <v>39.214733000000003</v>
      </c>
      <c r="AM4628" t="s">
        <v>1477</v>
      </c>
      <c r="AN4628">
        <v>-121.003139</v>
      </c>
      <c r="AO4628">
        <v>25</v>
      </c>
      <c r="AP4628">
        <v>4200</v>
      </c>
      <c r="AQ4628" t="s">
        <v>131</v>
      </c>
      <c r="AR4628">
        <v>30</v>
      </c>
      <c r="AS4628">
        <v>77</v>
      </c>
      <c r="AT4628">
        <v>-128</v>
      </c>
      <c r="BB4628" t="str">
        <f t="shared" si="1827"/>
        <v>1200</v>
      </c>
      <c r="BC4628">
        <v>1</v>
      </c>
      <c r="BD4628" t="str">
        <f t="shared" si="1828"/>
        <v xml:space="preserve">N52156  </v>
      </c>
      <c r="BE4628">
        <v>1</v>
      </c>
      <c r="BG4628">
        <v>0</v>
      </c>
      <c r="BH4628">
        <v>0</v>
      </c>
      <c r="BI4628">
        <v>0</v>
      </c>
      <c r="BJ4628">
        <v>4225</v>
      </c>
      <c r="BK4628">
        <v>25</v>
      </c>
      <c r="BL4628" t="s">
        <v>188</v>
      </c>
      <c r="BM4628">
        <v>1</v>
      </c>
      <c r="BN4628">
        <v>1</v>
      </c>
      <c r="BO4628">
        <v>0</v>
      </c>
      <c r="BP4628">
        <v>0</v>
      </c>
      <c r="BS4628">
        <v>0</v>
      </c>
      <c r="BT4628">
        <v>0</v>
      </c>
      <c r="BU4628">
        <v>0</v>
      </c>
      <c r="CE4628" t="str">
        <f t="shared" ref="CE4628:CE4633" si="1835">"15:17:23.913"</f>
        <v>15:17:23.913</v>
      </c>
      <c r="CF4628">
        <v>913008216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4</v>
      </c>
      <c r="CY4628">
        <v>7</v>
      </c>
      <c r="CZ4628" t="s">
        <v>133</v>
      </c>
      <c r="DA4628">
        <v>275</v>
      </c>
      <c r="DB4628">
        <v>0</v>
      </c>
      <c r="DC4628" t="s">
        <v>134</v>
      </c>
      <c r="DD4628" t="s">
        <v>135</v>
      </c>
      <c r="DG4628">
        <v>3323335</v>
      </c>
      <c r="DI4628">
        <v>1</v>
      </c>
      <c r="DJ4628">
        <v>0</v>
      </c>
      <c r="DK4628">
        <v>0</v>
      </c>
      <c r="DL4628">
        <v>0</v>
      </c>
      <c r="DM4628">
        <v>0</v>
      </c>
      <c r="DN4628">
        <v>0</v>
      </c>
      <c r="DO4628">
        <v>0</v>
      </c>
      <c r="DP4628">
        <v>0</v>
      </c>
      <c r="DQ4628">
        <v>0</v>
      </c>
      <c r="DR4628">
        <v>0</v>
      </c>
      <c r="DS4628">
        <v>0</v>
      </c>
    </row>
    <row r="4629" spans="1:123" x14ac:dyDescent="0.3">
      <c r="A4629" t="str">
        <f>"05/01/2025 15:17:24.123"</f>
        <v>05/01/2025 15:17:24.123</v>
      </c>
      <c r="C4629" t="str">
        <f t="shared" si="1824"/>
        <v>FFDFD3C0</v>
      </c>
      <c r="D4629" t="s">
        <v>143</v>
      </c>
      <c r="E4629" t="str">
        <f>"05"</f>
        <v>05</v>
      </c>
      <c r="H4629">
        <v>172</v>
      </c>
      <c r="I4629" t="s">
        <v>141</v>
      </c>
      <c r="J4629" t="s">
        <v>144</v>
      </c>
      <c r="K4629">
        <v>0</v>
      </c>
      <c r="L4629">
        <v>3</v>
      </c>
      <c r="M4629">
        <v>0</v>
      </c>
      <c r="N4629">
        <v>2</v>
      </c>
      <c r="O4629">
        <v>0</v>
      </c>
      <c r="P4629">
        <v>1</v>
      </c>
      <c r="Q4629">
        <v>0</v>
      </c>
      <c r="R4629" t="s">
        <v>127</v>
      </c>
      <c r="S4629" t="str">
        <f t="shared" si="1834"/>
        <v>15:17:23.000</v>
      </c>
      <c r="T4629" t="str">
        <f t="shared" si="1834"/>
        <v>15:17:23.000</v>
      </c>
      <c r="U4629" t="str">
        <f t="shared" si="1826"/>
        <v>A68FCB</v>
      </c>
      <c r="V4629">
        <v>0</v>
      </c>
      <c r="W4629">
        <v>0</v>
      </c>
      <c r="X4629">
        <v>2</v>
      </c>
      <c r="Y4629">
        <v>0</v>
      </c>
      <c r="AA4629">
        <v>1</v>
      </c>
      <c r="AB4629">
        <v>8</v>
      </c>
      <c r="AC4629">
        <v>3</v>
      </c>
      <c r="AD4629">
        <v>0</v>
      </c>
      <c r="AE4629">
        <v>9</v>
      </c>
      <c r="AF4629" t="s">
        <v>138</v>
      </c>
      <c r="AG4629">
        <v>0</v>
      </c>
      <c r="AH4629">
        <v>3</v>
      </c>
      <c r="AI4629">
        <v>2</v>
      </c>
      <c r="AJ4629">
        <v>0</v>
      </c>
      <c r="AK4629" t="s">
        <v>1476</v>
      </c>
      <c r="AL4629">
        <v>39.214733000000003</v>
      </c>
      <c r="AM4629" t="s">
        <v>1477</v>
      </c>
      <c r="AN4629">
        <v>-121.003139</v>
      </c>
      <c r="AO4629">
        <v>25</v>
      </c>
      <c r="AP4629">
        <v>4200</v>
      </c>
      <c r="AQ4629" t="s">
        <v>131</v>
      </c>
      <c r="AR4629">
        <v>30</v>
      </c>
      <c r="AS4629">
        <v>77</v>
      </c>
      <c r="AT4629">
        <v>-128</v>
      </c>
      <c r="BB4629" t="str">
        <f t="shared" si="1827"/>
        <v>1200</v>
      </c>
      <c r="BC4629">
        <v>1</v>
      </c>
      <c r="BD4629" t="str">
        <f t="shared" si="1828"/>
        <v xml:space="preserve">N52156  </v>
      </c>
      <c r="BE4629">
        <v>1</v>
      </c>
      <c r="BG4629">
        <v>0</v>
      </c>
      <c r="BH4629">
        <v>0</v>
      </c>
      <c r="BI4629">
        <v>0</v>
      </c>
      <c r="BJ4629">
        <v>4225</v>
      </c>
      <c r="BK4629">
        <v>25</v>
      </c>
      <c r="BL4629" t="s">
        <v>188</v>
      </c>
      <c r="BM4629">
        <v>1</v>
      </c>
      <c r="BN4629">
        <v>1</v>
      </c>
      <c r="BO4629">
        <v>0</v>
      </c>
      <c r="BP4629">
        <v>0</v>
      </c>
      <c r="BS4629">
        <v>0</v>
      </c>
      <c r="BT4629">
        <v>0</v>
      </c>
      <c r="BU4629">
        <v>0</v>
      </c>
      <c r="CE4629" t="str">
        <f t="shared" si="1835"/>
        <v>15:17:23.913</v>
      </c>
      <c r="CF4629">
        <v>913008216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4</v>
      </c>
      <c r="CY4629">
        <v>7</v>
      </c>
      <c r="CZ4629" t="s">
        <v>133</v>
      </c>
      <c r="DA4629">
        <v>275</v>
      </c>
      <c r="DB4629">
        <v>0</v>
      </c>
      <c r="DC4629" t="s">
        <v>134</v>
      </c>
      <c r="DD4629" t="s">
        <v>135</v>
      </c>
      <c r="DG4629">
        <v>3323335</v>
      </c>
      <c r="DI4629">
        <v>1</v>
      </c>
      <c r="DJ4629">
        <v>0</v>
      </c>
      <c r="DK4629">
        <v>1</v>
      </c>
      <c r="DL4629">
        <v>0</v>
      </c>
      <c r="DM4629">
        <v>0</v>
      </c>
      <c r="DN4629">
        <v>0</v>
      </c>
      <c r="DO4629">
        <v>0</v>
      </c>
      <c r="DP4629">
        <v>0</v>
      </c>
      <c r="DQ4629">
        <v>0</v>
      </c>
      <c r="DR4629">
        <v>0</v>
      </c>
      <c r="DS4629">
        <v>0</v>
      </c>
    </row>
    <row r="4630" spans="1:123" x14ac:dyDescent="0.3">
      <c r="A4630" t="str">
        <f>"05/01/2025 15:17:24.138"</f>
        <v>05/01/2025 15:17:24.138</v>
      </c>
      <c r="C4630" t="str">
        <f t="shared" si="1824"/>
        <v>FFDFD3C0</v>
      </c>
      <c r="D4630" t="s">
        <v>145</v>
      </c>
      <c r="E4630" t="str">
        <f>"09"</f>
        <v>09</v>
      </c>
      <c r="H4630">
        <v>51</v>
      </c>
      <c r="I4630" t="s">
        <v>147</v>
      </c>
      <c r="J4630" t="s">
        <v>138</v>
      </c>
      <c r="K4630">
        <v>0</v>
      </c>
      <c r="L4630">
        <v>3</v>
      </c>
      <c r="M4630">
        <v>0</v>
      </c>
      <c r="N4630">
        <v>2</v>
      </c>
      <c r="O4630">
        <v>0</v>
      </c>
      <c r="P4630">
        <v>1</v>
      </c>
      <c r="Q4630">
        <v>0</v>
      </c>
      <c r="R4630" t="s">
        <v>127</v>
      </c>
      <c r="S4630" t="str">
        <f t="shared" si="1834"/>
        <v>15:17:23.000</v>
      </c>
      <c r="T4630" t="str">
        <f t="shared" si="1834"/>
        <v>15:17:23.000</v>
      </c>
      <c r="U4630" t="str">
        <f t="shared" si="1826"/>
        <v>A68FCB</v>
      </c>
      <c r="V4630">
        <v>0</v>
      </c>
      <c r="W4630">
        <v>0</v>
      </c>
      <c r="X4630">
        <v>2</v>
      </c>
      <c r="Y4630">
        <v>0</v>
      </c>
      <c r="AA4630">
        <v>1</v>
      </c>
      <c r="AB4630">
        <v>8</v>
      </c>
      <c r="AC4630">
        <v>3</v>
      </c>
      <c r="AD4630">
        <v>0</v>
      </c>
      <c r="AE4630">
        <v>9</v>
      </c>
      <c r="AF4630" t="s">
        <v>138</v>
      </c>
      <c r="AG4630">
        <v>0</v>
      </c>
      <c r="AH4630">
        <v>3</v>
      </c>
      <c r="AI4630">
        <v>2</v>
      </c>
      <c r="AJ4630">
        <v>0</v>
      </c>
      <c r="AK4630" t="s">
        <v>1476</v>
      </c>
      <c r="AL4630">
        <v>39.214733000000003</v>
      </c>
      <c r="AM4630" t="s">
        <v>1477</v>
      </c>
      <c r="AN4630">
        <v>-121.003139</v>
      </c>
      <c r="AO4630">
        <v>25</v>
      </c>
      <c r="AP4630">
        <v>4200</v>
      </c>
      <c r="AQ4630" t="s">
        <v>131</v>
      </c>
      <c r="AR4630">
        <v>30</v>
      </c>
      <c r="AS4630">
        <v>77</v>
      </c>
      <c r="AT4630">
        <v>-128</v>
      </c>
      <c r="BB4630" t="str">
        <f t="shared" si="1827"/>
        <v>1200</v>
      </c>
      <c r="BC4630">
        <v>1</v>
      </c>
      <c r="BD4630" t="str">
        <f t="shared" si="1828"/>
        <v xml:space="preserve">N52156  </v>
      </c>
      <c r="BE4630">
        <v>1</v>
      </c>
      <c r="BG4630">
        <v>0</v>
      </c>
      <c r="BH4630">
        <v>0</v>
      </c>
      <c r="BI4630">
        <v>0</v>
      </c>
      <c r="BJ4630">
        <v>4225</v>
      </c>
      <c r="BK4630">
        <v>25</v>
      </c>
      <c r="BL4630" t="s">
        <v>188</v>
      </c>
      <c r="BM4630">
        <v>1</v>
      </c>
      <c r="BN4630">
        <v>1</v>
      </c>
      <c r="BO4630">
        <v>0</v>
      </c>
      <c r="BP4630">
        <v>0</v>
      </c>
      <c r="BS4630">
        <v>0</v>
      </c>
      <c r="BT4630">
        <v>0</v>
      </c>
      <c r="BU4630">
        <v>0</v>
      </c>
      <c r="CE4630" t="str">
        <f t="shared" si="1835"/>
        <v>15:17:23.913</v>
      </c>
      <c r="CF4630">
        <v>913008216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4</v>
      </c>
      <c r="CY4630">
        <v>7</v>
      </c>
      <c r="CZ4630" t="s">
        <v>133</v>
      </c>
      <c r="DA4630">
        <v>275</v>
      </c>
      <c r="DB4630">
        <v>0</v>
      </c>
      <c r="DC4630" t="s">
        <v>134</v>
      </c>
      <c r="DD4630" t="s">
        <v>135</v>
      </c>
      <c r="DG4630">
        <v>3323335</v>
      </c>
      <c r="DI4630">
        <v>1</v>
      </c>
      <c r="DJ4630">
        <v>0</v>
      </c>
      <c r="DK4630">
        <v>1</v>
      </c>
      <c r="DL4630">
        <v>0</v>
      </c>
      <c r="DM4630">
        <v>0</v>
      </c>
      <c r="DN4630">
        <v>0</v>
      </c>
      <c r="DO4630">
        <v>0</v>
      </c>
      <c r="DP4630">
        <v>0</v>
      </c>
      <c r="DQ4630">
        <v>0</v>
      </c>
      <c r="DR4630">
        <v>0</v>
      </c>
      <c r="DS4630">
        <v>0</v>
      </c>
    </row>
    <row r="4631" spans="1:123" x14ac:dyDescent="0.3">
      <c r="A4631" t="str">
        <f>"05/01/2025 15:17:24.140"</f>
        <v>05/01/2025 15:17:24.140</v>
      </c>
      <c r="C4631" t="str">
        <f t="shared" si="1824"/>
        <v>FFDFD3C0</v>
      </c>
      <c r="D4631" t="s">
        <v>145</v>
      </c>
      <c r="E4631" t="str">
        <f>"05"</f>
        <v>05</v>
      </c>
      <c r="H4631">
        <v>47</v>
      </c>
      <c r="I4631" t="s">
        <v>146</v>
      </c>
      <c r="J4631" t="s">
        <v>138</v>
      </c>
      <c r="K4631">
        <v>0</v>
      </c>
      <c r="L4631">
        <v>3</v>
      </c>
      <c r="M4631">
        <v>0</v>
      </c>
      <c r="N4631">
        <v>2</v>
      </c>
      <c r="O4631">
        <v>0</v>
      </c>
      <c r="P4631">
        <v>1</v>
      </c>
      <c r="Q4631">
        <v>0</v>
      </c>
      <c r="R4631" t="s">
        <v>127</v>
      </c>
      <c r="S4631" t="str">
        <f t="shared" si="1834"/>
        <v>15:17:23.000</v>
      </c>
      <c r="T4631" t="str">
        <f t="shared" si="1834"/>
        <v>15:17:23.000</v>
      </c>
      <c r="U4631" t="str">
        <f t="shared" si="1826"/>
        <v>A68FCB</v>
      </c>
      <c r="V4631">
        <v>0</v>
      </c>
      <c r="W4631">
        <v>0</v>
      </c>
      <c r="X4631">
        <v>2</v>
      </c>
      <c r="Y4631">
        <v>0</v>
      </c>
      <c r="AA4631">
        <v>1</v>
      </c>
      <c r="AB4631">
        <v>8</v>
      </c>
      <c r="AC4631">
        <v>3</v>
      </c>
      <c r="AD4631">
        <v>0</v>
      </c>
      <c r="AE4631">
        <v>9</v>
      </c>
      <c r="AF4631" t="s">
        <v>138</v>
      </c>
      <c r="AG4631">
        <v>0</v>
      </c>
      <c r="AH4631">
        <v>3</v>
      </c>
      <c r="AI4631">
        <v>2</v>
      </c>
      <c r="AJ4631">
        <v>0</v>
      </c>
      <c r="AK4631" t="s">
        <v>1476</v>
      </c>
      <c r="AL4631">
        <v>39.214733000000003</v>
      </c>
      <c r="AM4631" t="s">
        <v>1477</v>
      </c>
      <c r="AN4631">
        <v>-121.003139</v>
      </c>
      <c r="AO4631">
        <v>25</v>
      </c>
      <c r="AP4631">
        <v>4200</v>
      </c>
      <c r="AQ4631" t="s">
        <v>131</v>
      </c>
      <c r="AR4631">
        <v>30</v>
      </c>
      <c r="AS4631">
        <v>77</v>
      </c>
      <c r="AT4631">
        <v>-128</v>
      </c>
      <c r="BB4631" t="str">
        <f t="shared" si="1827"/>
        <v>1200</v>
      </c>
      <c r="BC4631">
        <v>1</v>
      </c>
      <c r="BD4631" t="str">
        <f t="shared" si="1828"/>
        <v xml:space="preserve">N52156  </v>
      </c>
      <c r="BE4631">
        <v>1</v>
      </c>
      <c r="BG4631">
        <v>0</v>
      </c>
      <c r="BH4631">
        <v>0</v>
      </c>
      <c r="BI4631">
        <v>0</v>
      </c>
      <c r="BJ4631">
        <v>4225</v>
      </c>
      <c r="BK4631">
        <v>25</v>
      </c>
      <c r="BL4631" t="s">
        <v>188</v>
      </c>
      <c r="BM4631">
        <v>1</v>
      </c>
      <c r="BN4631">
        <v>1</v>
      </c>
      <c r="BO4631">
        <v>0</v>
      </c>
      <c r="BP4631">
        <v>0</v>
      </c>
      <c r="BS4631">
        <v>0</v>
      </c>
      <c r="BT4631">
        <v>0</v>
      </c>
      <c r="BU4631">
        <v>0</v>
      </c>
      <c r="CE4631" t="str">
        <f t="shared" si="1835"/>
        <v>15:17:23.913</v>
      </c>
      <c r="CF4631">
        <v>913008216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4</v>
      </c>
      <c r="CY4631">
        <v>7</v>
      </c>
      <c r="CZ4631" t="s">
        <v>133</v>
      </c>
      <c r="DA4631">
        <v>275</v>
      </c>
      <c r="DB4631">
        <v>0</v>
      </c>
      <c r="DC4631" t="s">
        <v>134</v>
      </c>
      <c r="DD4631" t="s">
        <v>135</v>
      </c>
      <c r="DG4631">
        <v>3323335</v>
      </c>
      <c r="DI4631">
        <v>1</v>
      </c>
      <c r="DJ4631">
        <v>0</v>
      </c>
      <c r="DK4631">
        <v>1</v>
      </c>
      <c r="DL4631">
        <v>0</v>
      </c>
      <c r="DM4631">
        <v>0</v>
      </c>
      <c r="DN4631">
        <v>0</v>
      </c>
      <c r="DO4631">
        <v>0</v>
      </c>
      <c r="DP4631">
        <v>0</v>
      </c>
      <c r="DQ4631">
        <v>0</v>
      </c>
      <c r="DR4631">
        <v>0</v>
      </c>
      <c r="DS4631">
        <v>0</v>
      </c>
    </row>
    <row r="4632" spans="1:123" x14ac:dyDescent="0.3">
      <c r="A4632" t="str">
        <f>"05/01/2025 15:17:24.150"</f>
        <v>05/01/2025 15:17:24.150</v>
      </c>
      <c r="C4632" t="str">
        <f t="shared" si="1824"/>
        <v>FFDFD3C0</v>
      </c>
      <c r="D4632" t="s">
        <v>136</v>
      </c>
      <c r="E4632" t="str">
        <f>"20"</f>
        <v>20</v>
      </c>
      <c r="H4632">
        <v>400</v>
      </c>
      <c r="I4632" t="s">
        <v>137</v>
      </c>
      <c r="J4632" t="s">
        <v>138</v>
      </c>
      <c r="K4632">
        <v>0</v>
      </c>
      <c r="L4632">
        <v>3</v>
      </c>
      <c r="M4632">
        <v>0</v>
      </c>
      <c r="N4632">
        <v>2</v>
      </c>
      <c r="O4632">
        <v>0</v>
      </c>
      <c r="P4632">
        <v>1</v>
      </c>
      <c r="Q4632">
        <v>0</v>
      </c>
      <c r="R4632" t="s">
        <v>127</v>
      </c>
      <c r="S4632" t="str">
        <f t="shared" si="1834"/>
        <v>15:17:23.000</v>
      </c>
      <c r="T4632" t="str">
        <f t="shared" si="1834"/>
        <v>15:17:23.000</v>
      </c>
      <c r="U4632" t="str">
        <f t="shared" si="1826"/>
        <v>A68FCB</v>
      </c>
      <c r="V4632">
        <v>0</v>
      </c>
      <c r="W4632">
        <v>0</v>
      </c>
      <c r="X4632">
        <v>2</v>
      </c>
      <c r="Y4632">
        <v>0</v>
      </c>
      <c r="AA4632">
        <v>1</v>
      </c>
      <c r="AB4632">
        <v>8</v>
      </c>
      <c r="AC4632">
        <v>3</v>
      </c>
      <c r="AD4632">
        <v>0</v>
      </c>
      <c r="AE4632">
        <v>9</v>
      </c>
      <c r="AF4632" t="s">
        <v>138</v>
      </c>
      <c r="AG4632">
        <v>0</v>
      </c>
      <c r="AH4632">
        <v>3</v>
      </c>
      <c r="AI4632">
        <v>2</v>
      </c>
      <c r="AJ4632">
        <v>0</v>
      </c>
      <c r="AK4632" t="s">
        <v>1476</v>
      </c>
      <c r="AL4632">
        <v>39.214733000000003</v>
      </c>
      <c r="AM4632" t="s">
        <v>1477</v>
      </c>
      <c r="AN4632">
        <v>-121.003139</v>
      </c>
      <c r="AO4632">
        <v>25</v>
      </c>
      <c r="AP4632">
        <v>4200</v>
      </c>
      <c r="AQ4632" t="s">
        <v>131</v>
      </c>
      <c r="AR4632">
        <v>30</v>
      </c>
      <c r="AS4632">
        <v>77</v>
      </c>
      <c r="AT4632">
        <v>-128</v>
      </c>
      <c r="BB4632" t="str">
        <f t="shared" si="1827"/>
        <v>1200</v>
      </c>
      <c r="BC4632">
        <v>1</v>
      </c>
      <c r="BD4632" t="str">
        <f t="shared" si="1828"/>
        <v xml:space="preserve">N52156  </v>
      </c>
      <c r="BE4632">
        <v>1</v>
      </c>
      <c r="BG4632">
        <v>0</v>
      </c>
      <c r="BH4632">
        <v>0</v>
      </c>
      <c r="BI4632">
        <v>0</v>
      </c>
      <c r="BJ4632">
        <v>4225</v>
      </c>
      <c r="BK4632">
        <v>25</v>
      </c>
      <c r="BL4632" t="s">
        <v>188</v>
      </c>
      <c r="BM4632">
        <v>1</v>
      </c>
      <c r="BN4632">
        <v>1</v>
      </c>
      <c r="BO4632">
        <v>0</v>
      </c>
      <c r="BP4632">
        <v>0</v>
      </c>
      <c r="BS4632">
        <v>0</v>
      </c>
      <c r="BT4632">
        <v>0</v>
      </c>
      <c r="BU4632">
        <v>0</v>
      </c>
      <c r="CE4632" t="str">
        <f t="shared" si="1835"/>
        <v>15:17:23.913</v>
      </c>
      <c r="CF4632">
        <v>913008216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4</v>
      </c>
      <c r="CY4632">
        <v>7</v>
      </c>
      <c r="CZ4632" t="s">
        <v>133</v>
      </c>
      <c r="DA4632">
        <v>275</v>
      </c>
      <c r="DB4632">
        <v>0</v>
      </c>
      <c r="DC4632" t="s">
        <v>134</v>
      </c>
      <c r="DD4632" t="s">
        <v>135</v>
      </c>
      <c r="DG4632">
        <v>3323335</v>
      </c>
      <c r="DI4632">
        <v>1</v>
      </c>
      <c r="DJ4632">
        <v>0</v>
      </c>
      <c r="DK4632">
        <v>1</v>
      </c>
      <c r="DL4632">
        <v>0</v>
      </c>
      <c r="DM4632">
        <v>0</v>
      </c>
      <c r="DN4632">
        <v>0</v>
      </c>
      <c r="DO4632">
        <v>0</v>
      </c>
      <c r="DP4632">
        <v>0</v>
      </c>
      <c r="DQ4632">
        <v>0</v>
      </c>
      <c r="DR4632">
        <v>0</v>
      </c>
      <c r="DS4632">
        <v>0</v>
      </c>
    </row>
    <row r="4633" spans="1:123" x14ac:dyDescent="0.3">
      <c r="A4633" t="str">
        <f>"05/01/2025 15:17:24.166"</f>
        <v>05/01/2025 15:17:24.166</v>
      </c>
      <c r="C4633" t="str">
        <f t="shared" si="1824"/>
        <v>FFDFD3C0</v>
      </c>
      <c r="D4633" t="s">
        <v>140</v>
      </c>
      <c r="E4633" t="str">
        <f>"13"</f>
        <v>13</v>
      </c>
      <c r="F4633">
        <v>1019</v>
      </c>
      <c r="G4633" t="s">
        <v>141</v>
      </c>
      <c r="J4633" t="s">
        <v>142</v>
      </c>
      <c r="K4633">
        <v>0</v>
      </c>
      <c r="L4633">
        <v>3</v>
      </c>
      <c r="M4633">
        <v>0</v>
      </c>
      <c r="N4633">
        <v>2</v>
      </c>
      <c r="O4633">
        <v>0</v>
      </c>
      <c r="P4633">
        <v>1</v>
      </c>
      <c r="Q4633">
        <v>0</v>
      </c>
      <c r="R4633" t="s">
        <v>127</v>
      </c>
      <c r="S4633" t="str">
        <f t="shared" si="1834"/>
        <v>15:17:23.000</v>
      </c>
      <c r="T4633" t="str">
        <f t="shared" si="1834"/>
        <v>15:17:23.000</v>
      </c>
      <c r="U4633" t="str">
        <f t="shared" si="1826"/>
        <v>A68FCB</v>
      </c>
      <c r="V4633">
        <v>0</v>
      </c>
      <c r="W4633">
        <v>0</v>
      </c>
      <c r="X4633">
        <v>2</v>
      </c>
      <c r="Y4633">
        <v>0</v>
      </c>
      <c r="AA4633">
        <v>1</v>
      </c>
      <c r="AB4633">
        <v>8</v>
      </c>
      <c r="AC4633">
        <v>3</v>
      </c>
      <c r="AD4633">
        <v>0</v>
      </c>
      <c r="AE4633">
        <v>9</v>
      </c>
      <c r="AF4633" t="s">
        <v>138</v>
      </c>
      <c r="AG4633">
        <v>0</v>
      </c>
      <c r="AH4633">
        <v>3</v>
      </c>
      <c r="AI4633">
        <v>2</v>
      </c>
      <c r="AJ4633">
        <v>0</v>
      </c>
      <c r="AK4633" t="s">
        <v>1476</v>
      </c>
      <c r="AL4633">
        <v>39.214733000000003</v>
      </c>
      <c r="AM4633" t="s">
        <v>1477</v>
      </c>
      <c r="AN4633">
        <v>-121.003139</v>
      </c>
      <c r="AO4633">
        <v>25</v>
      </c>
      <c r="AP4633">
        <v>4200</v>
      </c>
      <c r="AQ4633" t="s">
        <v>131</v>
      </c>
      <c r="AR4633">
        <v>30</v>
      </c>
      <c r="AS4633">
        <v>77</v>
      </c>
      <c r="AT4633">
        <v>-128</v>
      </c>
      <c r="BB4633" t="str">
        <f t="shared" si="1827"/>
        <v>1200</v>
      </c>
      <c r="BC4633">
        <v>1</v>
      </c>
      <c r="BD4633" t="str">
        <f t="shared" si="1828"/>
        <v xml:space="preserve">N52156  </v>
      </c>
      <c r="BE4633">
        <v>1</v>
      </c>
      <c r="BG4633">
        <v>0</v>
      </c>
      <c r="BH4633">
        <v>0</v>
      </c>
      <c r="BI4633">
        <v>0</v>
      </c>
      <c r="BJ4633">
        <v>4225</v>
      </c>
      <c r="BK4633">
        <v>25</v>
      </c>
      <c r="BL4633" t="s">
        <v>188</v>
      </c>
      <c r="BM4633">
        <v>1</v>
      </c>
      <c r="BN4633">
        <v>1</v>
      </c>
      <c r="BO4633">
        <v>0</v>
      </c>
      <c r="BP4633">
        <v>0</v>
      </c>
      <c r="BS4633">
        <v>0</v>
      </c>
      <c r="BT4633">
        <v>0</v>
      </c>
      <c r="BU4633">
        <v>0</v>
      </c>
      <c r="CE4633" t="str">
        <f t="shared" si="1835"/>
        <v>15:17:23.913</v>
      </c>
      <c r="CF4633">
        <v>913008216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4</v>
      </c>
      <c r="CY4633">
        <v>7</v>
      </c>
      <c r="CZ4633" t="s">
        <v>133</v>
      </c>
      <c r="DA4633">
        <v>275</v>
      </c>
      <c r="DB4633">
        <v>0</v>
      </c>
      <c r="DC4633" t="s">
        <v>134</v>
      </c>
      <c r="DD4633" t="s">
        <v>135</v>
      </c>
      <c r="DG4633">
        <v>3323335</v>
      </c>
      <c r="DI4633">
        <v>1</v>
      </c>
      <c r="DJ4633">
        <v>0</v>
      </c>
      <c r="DK4633">
        <v>1</v>
      </c>
      <c r="DL4633">
        <v>0</v>
      </c>
      <c r="DM4633">
        <v>0</v>
      </c>
      <c r="DN4633">
        <v>0</v>
      </c>
      <c r="DO4633">
        <v>0</v>
      </c>
      <c r="DP4633">
        <v>0</v>
      </c>
      <c r="DQ4633">
        <v>0</v>
      </c>
      <c r="DR4633">
        <v>0</v>
      </c>
      <c r="DS4633">
        <v>0</v>
      </c>
    </row>
    <row r="4634" spans="1:123" x14ac:dyDescent="0.3">
      <c r="A4634" t="str">
        <f>"05/01/2025 15:17:25.091"</f>
        <v>05/01/2025 15:17:25.091</v>
      </c>
      <c r="C4634" t="str">
        <f t="shared" si="1824"/>
        <v>FFDFD3C0</v>
      </c>
      <c r="D4634" t="s">
        <v>145</v>
      </c>
      <c r="E4634" t="str">
        <f>"05"</f>
        <v>05</v>
      </c>
      <c r="H4634">
        <v>47</v>
      </c>
      <c r="I4634" t="s">
        <v>146</v>
      </c>
      <c r="J4634" t="s">
        <v>138</v>
      </c>
      <c r="K4634">
        <v>0</v>
      </c>
      <c r="L4634">
        <v>3</v>
      </c>
      <c r="M4634">
        <v>0</v>
      </c>
      <c r="N4634">
        <v>2</v>
      </c>
      <c r="O4634">
        <v>0</v>
      </c>
      <c r="P4634">
        <v>1</v>
      </c>
      <c r="Q4634">
        <v>0</v>
      </c>
      <c r="R4634" t="s">
        <v>127</v>
      </c>
      <c r="S4634" t="str">
        <f t="shared" ref="S4634:T4639" si="1836">"15:17:24.000"</f>
        <v>15:17:24.000</v>
      </c>
      <c r="T4634" t="str">
        <f t="shared" si="1836"/>
        <v>15:17:24.000</v>
      </c>
      <c r="U4634" t="str">
        <f t="shared" si="1826"/>
        <v>A68FCB</v>
      </c>
      <c r="V4634">
        <v>0</v>
      </c>
      <c r="W4634">
        <v>0</v>
      </c>
      <c r="X4634">
        <v>2</v>
      </c>
      <c r="Y4634">
        <v>0</v>
      </c>
      <c r="AA4634">
        <v>1</v>
      </c>
      <c r="AB4634">
        <v>8</v>
      </c>
      <c r="AC4634">
        <v>3</v>
      </c>
      <c r="AD4634">
        <v>0</v>
      </c>
      <c r="AE4634">
        <v>9</v>
      </c>
      <c r="AF4634" t="s">
        <v>138</v>
      </c>
      <c r="AG4634">
        <v>0</v>
      </c>
      <c r="AH4634">
        <v>3</v>
      </c>
      <c r="AI4634">
        <v>2</v>
      </c>
      <c r="AJ4634">
        <v>0</v>
      </c>
      <c r="AK4634" t="s">
        <v>1478</v>
      </c>
      <c r="AL4634">
        <v>39.215097</v>
      </c>
      <c r="AM4634" t="s">
        <v>1479</v>
      </c>
      <c r="AN4634">
        <v>-121.002967</v>
      </c>
      <c r="AO4634">
        <v>25</v>
      </c>
      <c r="AP4634">
        <v>4200</v>
      </c>
      <c r="AQ4634" t="s">
        <v>131</v>
      </c>
      <c r="AR4634">
        <v>31</v>
      </c>
      <c r="AS4634">
        <v>76</v>
      </c>
      <c r="AT4634">
        <v>-192</v>
      </c>
      <c r="BB4634" t="str">
        <f t="shared" si="1827"/>
        <v>1200</v>
      </c>
      <c r="BC4634">
        <v>1</v>
      </c>
      <c r="BD4634" t="str">
        <f t="shared" si="1828"/>
        <v xml:space="preserve">N52156  </v>
      </c>
      <c r="BE4634">
        <v>1</v>
      </c>
      <c r="BG4634">
        <v>0</v>
      </c>
      <c r="BH4634">
        <v>0</v>
      </c>
      <c r="BI4634">
        <v>0</v>
      </c>
      <c r="BJ4634">
        <v>4200</v>
      </c>
      <c r="BK4634">
        <v>0</v>
      </c>
      <c r="BL4634" t="s">
        <v>188</v>
      </c>
      <c r="BM4634">
        <v>1</v>
      </c>
      <c r="BN4634">
        <v>1</v>
      </c>
      <c r="BO4634">
        <v>0</v>
      </c>
      <c r="BP4634">
        <v>0</v>
      </c>
      <c r="BS4634">
        <v>0</v>
      </c>
      <c r="BT4634">
        <v>0</v>
      </c>
      <c r="BU4634">
        <v>0</v>
      </c>
      <c r="CE4634" t="str">
        <f t="shared" ref="CE4634:CE4639" si="1837">"15:17:24.898"</f>
        <v>15:17:24.898</v>
      </c>
      <c r="CF4634">
        <v>898008311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4</v>
      </c>
      <c r="CY4634">
        <v>7</v>
      </c>
      <c r="CZ4634" t="s">
        <v>133</v>
      </c>
      <c r="DA4634">
        <v>275</v>
      </c>
      <c r="DB4634">
        <v>0</v>
      </c>
      <c r="DC4634" t="s">
        <v>134</v>
      </c>
      <c r="DD4634" t="s">
        <v>135</v>
      </c>
      <c r="DG4634">
        <v>3323336</v>
      </c>
      <c r="DI4634">
        <v>1</v>
      </c>
      <c r="DJ4634">
        <v>0</v>
      </c>
      <c r="DK4634">
        <v>0</v>
      </c>
      <c r="DL4634">
        <v>0</v>
      </c>
      <c r="DM4634">
        <v>0</v>
      </c>
      <c r="DN4634">
        <v>0</v>
      </c>
      <c r="DO4634">
        <v>0</v>
      </c>
      <c r="DP4634">
        <v>0</v>
      </c>
      <c r="DQ4634">
        <v>0</v>
      </c>
      <c r="DR4634">
        <v>0</v>
      </c>
      <c r="DS4634">
        <v>0</v>
      </c>
    </row>
    <row r="4635" spans="1:123" x14ac:dyDescent="0.3">
      <c r="A4635" t="str">
        <f>"05/01/2025 15:17:25.102"</f>
        <v>05/01/2025 15:17:25.102</v>
      </c>
      <c r="C4635" t="str">
        <f t="shared" si="1824"/>
        <v>FFDFD3C0</v>
      </c>
      <c r="D4635" t="s">
        <v>136</v>
      </c>
      <c r="E4635" t="str">
        <f>"20"</f>
        <v>20</v>
      </c>
      <c r="H4635">
        <v>400</v>
      </c>
      <c r="I4635" t="s">
        <v>137</v>
      </c>
      <c r="J4635" t="s">
        <v>138</v>
      </c>
      <c r="K4635">
        <v>0</v>
      </c>
      <c r="L4635">
        <v>3</v>
      </c>
      <c r="M4635">
        <v>0</v>
      </c>
      <c r="N4635">
        <v>2</v>
      </c>
      <c r="O4635">
        <v>0</v>
      </c>
      <c r="P4635">
        <v>1</v>
      </c>
      <c r="Q4635">
        <v>0</v>
      </c>
      <c r="R4635" t="s">
        <v>127</v>
      </c>
      <c r="S4635" t="str">
        <f t="shared" si="1836"/>
        <v>15:17:24.000</v>
      </c>
      <c r="T4635" t="str">
        <f t="shared" si="1836"/>
        <v>15:17:24.000</v>
      </c>
      <c r="U4635" t="str">
        <f t="shared" si="1826"/>
        <v>A68FCB</v>
      </c>
      <c r="V4635">
        <v>0</v>
      </c>
      <c r="W4635">
        <v>0</v>
      </c>
      <c r="X4635">
        <v>2</v>
      </c>
      <c r="Y4635">
        <v>0</v>
      </c>
      <c r="AA4635">
        <v>1</v>
      </c>
      <c r="AB4635">
        <v>8</v>
      </c>
      <c r="AC4635">
        <v>3</v>
      </c>
      <c r="AD4635">
        <v>0</v>
      </c>
      <c r="AE4635">
        <v>9</v>
      </c>
      <c r="AF4635" t="s">
        <v>138</v>
      </c>
      <c r="AG4635">
        <v>0</v>
      </c>
      <c r="AH4635">
        <v>3</v>
      </c>
      <c r="AI4635">
        <v>2</v>
      </c>
      <c r="AJ4635">
        <v>0</v>
      </c>
      <c r="AK4635" t="s">
        <v>1478</v>
      </c>
      <c r="AL4635">
        <v>39.215097</v>
      </c>
      <c r="AM4635" t="s">
        <v>1479</v>
      </c>
      <c r="AN4635">
        <v>-121.002967</v>
      </c>
      <c r="AO4635">
        <v>25</v>
      </c>
      <c r="AP4635">
        <v>4200</v>
      </c>
      <c r="AQ4635" t="s">
        <v>131</v>
      </c>
      <c r="AR4635">
        <v>31</v>
      </c>
      <c r="AS4635">
        <v>76</v>
      </c>
      <c r="AT4635">
        <v>-192</v>
      </c>
      <c r="BB4635" t="str">
        <f t="shared" si="1827"/>
        <v>1200</v>
      </c>
      <c r="BC4635">
        <v>1</v>
      </c>
      <c r="BD4635" t="str">
        <f t="shared" si="1828"/>
        <v xml:space="preserve">N52156  </v>
      </c>
      <c r="BE4635">
        <v>1</v>
      </c>
      <c r="BG4635">
        <v>0</v>
      </c>
      <c r="BH4635">
        <v>0</v>
      </c>
      <c r="BI4635">
        <v>0</v>
      </c>
      <c r="BJ4635">
        <v>4200</v>
      </c>
      <c r="BK4635">
        <v>0</v>
      </c>
      <c r="BL4635" t="s">
        <v>188</v>
      </c>
      <c r="BM4635">
        <v>1</v>
      </c>
      <c r="BN4635">
        <v>1</v>
      </c>
      <c r="BO4635">
        <v>0</v>
      </c>
      <c r="BP4635">
        <v>0</v>
      </c>
      <c r="BS4635">
        <v>0</v>
      </c>
      <c r="BT4635">
        <v>0</v>
      </c>
      <c r="BU4635">
        <v>0</v>
      </c>
      <c r="CE4635" t="str">
        <f t="shared" si="1837"/>
        <v>15:17:24.898</v>
      </c>
      <c r="CF4635">
        <v>898008311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4</v>
      </c>
      <c r="CY4635">
        <v>7</v>
      </c>
      <c r="CZ4635" t="s">
        <v>133</v>
      </c>
      <c r="DA4635">
        <v>275</v>
      </c>
      <c r="DB4635">
        <v>0</v>
      </c>
      <c r="DC4635" t="s">
        <v>134</v>
      </c>
      <c r="DD4635" t="s">
        <v>135</v>
      </c>
      <c r="DG4635">
        <v>3323336</v>
      </c>
      <c r="DI4635">
        <v>1</v>
      </c>
      <c r="DJ4635">
        <v>0</v>
      </c>
      <c r="DK4635">
        <v>1</v>
      </c>
      <c r="DL4635">
        <v>0</v>
      </c>
      <c r="DM4635">
        <v>0</v>
      </c>
      <c r="DN4635">
        <v>0</v>
      </c>
      <c r="DO4635">
        <v>0</v>
      </c>
      <c r="DP4635">
        <v>0</v>
      </c>
      <c r="DQ4635">
        <v>0</v>
      </c>
      <c r="DR4635">
        <v>0</v>
      </c>
      <c r="DS4635">
        <v>0</v>
      </c>
    </row>
    <row r="4636" spans="1:123" x14ac:dyDescent="0.3">
      <c r="A4636" t="str">
        <f>"05/01/2025 15:17:25.117"</f>
        <v>05/01/2025 15:17:25.117</v>
      </c>
      <c r="C4636" t="str">
        <f t="shared" si="1824"/>
        <v>FFDFD3C0</v>
      </c>
      <c r="D4636" t="s">
        <v>140</v>
      </c>
      <c r="E4636" t="str">
        <f>"13"</f>
        <v>13</v>
      </c>
      <c r="F4636">
        <v>1019</v>
      </c>
      <c r="G4636" t="s">
        <v>141</v>
      </c>
      <c r="J4636" t="s">
        <v>142</v>
      </c>
      <c r="K4636">
        <v>0</v>
      </c>
      <c r="L4636">
        <v>3</v>
      </c>
      <c r="M4636">
        <v>0</v>
      </c>
      <c r="N4636">
        <v>2</v>
      </c>
      <c r="O4636">
        <v>0</v>
      </c>
      <c r="P4636">
        <v>1</v>
      </c>
      <c r="Q4636">
        <v>0</v>
      </c>
      <c r="R4636" t="s">
        <v>127</v>
      </c>
      <c r="S4636" t="str">
        <f t="shared" si="1836"/>
        <v>15:17:24.000</v>
      </c>
      <c r="T4636" t="str">
        <f t="shared" si="1836"/>
        <v>15:17:24.000</v>
      </c>
      <c r="U4636" t="str">
        <f t="shared" si="1826"/>
        <v>A68FCB</v>
      </c>
      <c r="V4636">
        <v>0</v>
      </c>
      <c r="W4636">
        <v>0</v>
      </c>
      <c r="X4636">
        <v>2</v>
      </c>
      <c r="Y4636">
        <v>0</v>
      </c>
      <c r="AA4636">
        <v>1</v>
      </c>
      <c r="AB4636">
        <v>8</v>
      </c>
      <c r="AC4636">
        <v>3</v>
      </c>
      <c r="AD4636">
        <v>0</v>
      </c>
      <c r="AE4636">
        <v>9</v>
      </c>
      <c r="AF4636" t="s">
        <v>138</v>
      </c>
      <c r="AG4636">
        <v>0</v>
      </c>
      <c r="AH4636">
        <v>3</v>
      </c>
      <c r="AI4636">
        <v>2</v>
      </c>
      <c r="AJ4636">
        <v>0</v>
      </c>
      <c r="AK4636" t="s">
        <v>1478</v>
      </c>
      <c r="AL4636">
        <v>39.215097</v>
      </c>
      <c r="AM4636" t="s">
        <v>1479</v>
      </c>
      <c r="AN4636">
        <v>-121.002967</v>
      </c>
      <c r="AO4636">
        <v>25</v>
      </c>
      <c r="AP4636">
        <v>4200</v>
      </c>
      <c r="AQ4636" t="s">
        <v>131</v>
      </c>
      <c r="AR4636">
        <v>31</v>
      </c>
      <c r="AS4636">
        <v>76</v>
      </c>
      <c r="AT4636">
        <v>-192</v>
      </c>
      <c r="BB4636" t="str">
        <f t="shared" si="1827"/>
        <v>1200</v>
      </c>
      <c r="BC4636">
        <v>1</v>
      </c>
      <c r="BD4636" t="str">
        <f t="shared" si="1828"/>
        <v xml:space="preserve">N52156  </v>
      </c>
      <c r="BE4636">
        <v>1</v>
      </c>
      <c r="BG4636">
        <v>0</v>
      </c>
      <c r="BH4636">
        <v>0</v>
      </c>
      <c r="BI4636">
        <v>0</v>
      </c>
      <c r="BJ4636">
        <v>4200</v>
      </c>
      <c r="BK4636">
        <v>0</v>
      </c>
      <c r="BL4636" t="s">
        <v>188</v>
      </c>
      <c r="BM4636">
        <v>1</v>
      </c>
      <c r="BN4636">
        <v>1</v>
      </c>
      <c r="BO4636">
        <v>0</v>
      </c>
      <c r="BP4636">
        <v>0</v>
      </c>
      <c r="BS4636">
        <v>0</v>
      </c>
      <c r="BT4636">
        <v>0</v>
      </c>
      <c r="BU4636">
        <v>0</v>
      </c>
      <c r="CE4636" t="str">
        <f t="shared" si="1837"/>
        <v>15:17:24.898</v>
      </c>
      <c r="CF4636">
        <v>898008311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4</v>
      </c>
      <c r="CY4636">
        <v>7</v>
      </c>
      <c r="CZ4636" t="s">
        <v>133</v>
      </c>
      <c r="DA4636">
        <v>275</v>
      </c>
      <c r="DB4636">
        <v>0</v>
      </c>
      <c r="DC4636" t="s">
        <v>134</v>
      </c>
      <c r="DD4636" t="s">
        <v>135</v>
      </c>
      <c r="DG4636">
        <v>3323336</v>
      </c>
      <c r="DI4636">
        <v>1</v>
      </c>
      <c r="DJ4636">
        <v>0</v>
      </c>
      <c r="DK4636">
        <v>1</v>
      </c>
      <c r="DL4636">
        <v>0</v>
      </c>
      <c r="DM4636">
        <v>0</v>
      </c>
      <c r="DN4636">
        <v>0</v>
      </c>
      <c r="DO4636">
        <v>0</v>
      </c>
      <c r="DP4636">
        <v>0</v>
      </c>
      <c r="DQ4636">
        <v>0</v>
      </c>
      <c r="DR4636">
        <v>0</v>
      </c>
      <c r="DS4636">
        <v>0</v>
      </c>
    </row>
    <row r="4637" spans="1:123" x14ac:dyDescent="0.3">
      <c r="A4637" t="str">
        <f>"05/01/2025 15:17:25.118"</f>
        <v>05/01/2025 15:17:25.118</v>
      </c>
      <c r="C4637" t="str">
        <f t="shared" si="1824"/>
        <v>FFDFD3C0</v>
      </c>
      <c r="D4637" t="s">
        <v>124</v>
      </c>
      <c r="E4637" t="str">
        <f>"06"</f>
        <v>06</v>
      </c>
      <c r="F4637">
        <v>2006</v>
      </c>
      <c r="G4637" t="s">
        <v>125</v>
      </c>
      <c r="J4637" t="s">
        <v>126</v>
      </c>
      <c r="K4637">
        <v>0</v>
      </c>
      <c r="L4637">
        <v>3</v>
      </c>
      <c r="M4637">
        <v>0</v>
      </c>
      <c r="N4637">
        <v>2</v>
      </c>
      <c r="O4637">
        <v>0</v>
      </c>
      <c r="P4637">
        <v>1</v>
      </c>
      <c r="Q4637">
        <v>0</v>
      </c>
      <c r="R4637" t="s">
        <v>127</v>
      </c>
      <c r="S4637" t="str">
        <f t="shared" si="1836"/>
        <v>15:17:24.000</v>
      </c>
      <c r="T4637" t="str">
        <f t="shared" si="1836"/>
        <v>15:17:24.000</v>
      </c>
      <c r="U4637" t="str">
        <f t="shared" si="1826"/>
        <v>A68FCB</v>
      </c>
      <c r="V4637">
        <v>0</v>
      </c>
      <c r="W4637">
        <v>0</v>
      </c>
      <c r="X4637">
        <v>2</v>
      </c>
      <c r="Y4637">
        <v>0</v>
      </c>
      <c r="AA4637">
        <v>1</v>
      </c>
      <c r="AB4637">
        <v>8</v>
      </c>
      <c r="AC4637">
        <v>3</v>
      </c>
      <c r="AD4637">
        <v>0</v>
      </c>
      <c r="AE4637">
        <v>9</v>
      </c>
      <c r="AF4637" t="s">
        <v>138</v>
      </c>
      <c r="AG4637">
        <v>0</v>
      </c>
      <c r="AH4637">
        <v>3</v>
      </c>
      <c r="AI4637">
        <v>2</v>
      </c>
      <c r="AJ4637">
        <v>0</v>
      </c>
      <c r="AK4637" t="s">
        <v>1478</v>
      </c>
      <c r="AL4637">
        <v>39.215097</v>
      </c>
      <c r="AM4637" t="s">
        <v>1479</v>
      </c>
      <c r="AN4637">
        <v>-121.002967</v>
      </c>
      <c r="AO4637">
        <v>25</v>
      </c>
      <c r="AP4637">
        <v>4200</v>
      </c>
      <c r="AQ4637" t="s">
        <v>131</v>
      </c>
      <c r="AR4637">
        <v>31</v>
      </c>
      <c r="AS4637">
        <v>76</v>
      </c>
      <c r="AT4637">
        <v>-192</v>
      </c>
      <c r="BB4637" t="str">
        <f t="shared" si="1827"/>
        <v>1200</v>
      </c>
      <c r="BC4637">
        <v>1</v>
      </c>
      <c r="BD4637" t="str">
        <f t="shared" si="1828"/>
        <v xml:space="preserve">N52156  </v>
      </c>
      <c r="BE4637">
        <v>1</v>
      </c>
      <c r="BG4637">
        <v>0</v>
      </c>
      <c r="BH4637">
        <v>0</v>
      </c>
      <c r="BI4637">
        <v>0</v>
      </c>
      <c r="BJ4637">
        <v>4200</v>
      </c>
      <c r="BK4637">
        <v>0</v>
      </c>
      <c r="BL4637" t="s">
        <v>188</v>
      </c>
      <c r="BM4637">
        <v>1</v>
      </c>
      <c r="BN4637">
        <v>1</v>
      </c>
      <c r="BO4637">
        <v>0</v>
      </c>
      <c r="BP4637">
        <v>0</v>
      </c>
      <c r="BS4637">
        <v>0</v>
      </c>
      <c r="BT4637">
        <v>0</v>
      </c>
      <c r="BU4637">
        <v>0</v>
      </c>
      <c r="CE4637" t="str">
        <f t="shared" si="1837"/>
        <v>15:17:24.898</v>
      </c>
      <c r="CF4637">
        <v>898008311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4</v>
      </c>
      <c r="CY4637">
        <v>7</v>
      </c>
      <c r="CZ4637" t="s">
        <v>133</v>
      </c>
      <c r="DA4637">
        <v>275</v>
      </c>
      <c r="DB4637">
        <v>0</v>
      </c>
      <c r="DC4637" t="s">
        <v>134</v>
      </c>
      <c r="DD4637" t="s">
        <v>135</v>
      </c>
      <c r="DG4637">
        <v>3323336</v>
      </c>
      <c r="DI4637">
        <v>1</v>
      </c>
      <c r="DJ4637">
        <v>0</v>
      </c>
      <c r="DK4637">
        <v>1</v>
      </c>
      <c r="DL4637">
        <v>0</v>
      </c>
      <c r="DM4637">
        <v>0</v>
      </c>
      <c r="DN4637">
        <v>0</v>
      </c>
      <c r="DO4637">
        <v>0</v>
      </c>
      <c r="DP4637">
        <v>0</v>
      </c>
      <c r="DQ4637">
        <v>0</v>
      </c>
      <c r="DR4637">
        <v>0</v>
      </c>
      <c r="DS4637">
        <v>0</v>
      </c>
    </row>
    <row r="4638" spans="1:123" x14ac:dyDescent="0.3">
      <c r="A4638" t="str">
        <f>"05/01/2025 15:17:25.125"</f>
        <v>05/01/2025 15:17:25.125</v>
      </c>
      <c r="C4638" t="str">
        <f t="shared" si="1824"/>
        <v>FFDFD3C0</v>
      </c>
      <c r="D4638" t="s">
        <v>143</v>
      </c>
      <c r="E4638" t="str">
        <f>"05"</f>
        <v>05</v>
      </c>
      <c r="H4638">
        <v>172</v>
      </c>
      <c r="I4638" t="s">
        <v>141</v>
      </c>
      <c r="J4638" t="s">
        <v>144</v>
      </c>
      <c r="K4638">
        <v>0</v>
      </c>
      <c r="L4638">
        <v>3</v>
      </c>
      <c r="M4638">
        <v>0</v>
      </c>
      <c r="N4638">
        <v>2</v>
      </c>
      <c r="O4638">
        <v>0</v>
      </c>
      <c r="P4638">
        <v>1</v>
      </c>
      <c r="Q4638">
        <v>0</v>
      </c>
      <c r="R4638" t="s">
        <v>127</v>
      </c>
      <c r="S4638" t="str">
        <f t="shared" si="1836"/>
        <v>15:17:24.000</v>
      </c>
      <c r="T4638" t="str">
        <f t="shared" si="1836"/>
        <v>15:17:24.000</v>
      </c>
      <c r="U4638" t="str">
        <f t="shared" si="1826"/>
        <v>A68FCB</v>
      </c>
      <c r="V4638">
        <v>0</v>
      </c>
      <c r="W4638">
        <v>0</v>
      </c>
      <c r="X4638">
        <v>2</v>
      </c>
      <c r="Y4638">
        <v>0</v>
      </c>
      <c r="AA4638">
        <v>1</v>
      </c>
      <c r="AB4638">
        <v>8</v>
      </c>
      <c r="AC4638">
        <v>3</v>
      </c>
      <c r="AD4638">
        <v>0</v>
      </c>
      <c r="AE4638">
        <v>9</v>
      </c>
      <c r="AF4638" t="s">
        <v>138</v>
      </c>
      <c r="AG4638">
        <v>0</v>
      </c>
      <c r="AH4638">
        <v>3</v>
      </c>
      <c r="AI4638">
        <v>2</v>
      </c>
      <c r="AJ4638">
        <v>0</v>
      </c>
      <c r="AK4638" t="s">
        <v>1478</v>
      </c>
      <c r="AL4638">
        <v>39.215097</v>
      </c>
      <c r="AM4638" t="s">
        <v>1479</v>
      </c>
      <c r="AN4638">
        <v>-121.002967</v>
      </c>
      <c r="AO4638">
        <v>25</v>
      </c>
      <c r="AP4638">
        <v>4200</v>
      </c>
      <c r="AQ4638" t="s">
        <v>131</v>
      </c>
      <c r="AR4638">
        <v>31</v>
      </c>
      <c r="AS4638">
        <v>76</v>
      </c>
      <c r="AT4638">
        <v>-192</v>
      </c>
      <c r="BB4638" t="str">
        <f t="shared" si="1827"/>
        <v>1200</v>
      </c>
      <c r="BC4638">
        <v>1</v>
      </c>
      <c r="BD4638" t="str">
        <f t="shared" si="1828"/>
        <v xml:space="preserve">N52156  </v>
      </c>
      <c r="BE4638">
        <v>1</v>
      </c>
      <c r="BG4638">
        <v>0</v>
      </c>
      <c r="BH4638">
        <v>0</v>
      </c>
      <c r="BI4638">
        <v>0</v>
      </c>
      <c r="BJ4638">
        <v>4200</v>
      </c>
      <c r="BK4638">
        <v>0</v>
      </c>
      <c r="BL4638" t="s">
        <v>188</v>
      </c>
      <c r="BM4638">
        <v>1</v>
      </c>
      <c r="BN4638">
        <v>1</v>
      </c>
      <c r="BO4638">
        <v>0</v>
      </c>
      <c r="BP4638">
        <v>0</v>
      </c>
      <c r="BS4638">
        <v>0</v>
      </c>
      <c r="BT4638">
        <v>0</v>
      </c>
      <c r="BU4638">
        <v>0</v>
      </c>
      <c r="CE4638" t="str">
        <f t="shared" si="1837"/>
        <v>15:17:24.898</v>
      </c>
      <c r="CF4638">
        <v>898008311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4</v>
      </c>
      <c r="CY4638">
        <v>7</v>
      </c>
      <c r="CZ4638" t="s">
        <v>133</v>
      </c>
      <c r="DA4638">
        <v>275</v>
      </c>
      <c r="DB4638">
        <v>0</v>
      </c>
      <c r="DC4638" t="s">
        <v>134</v>
      </c>
      <c r="DD4638" t="s">
        <v>135</v>
      </c>
      <c r="DG4638">
        <v>3323336</v>
      </c>
      <c r="DI4638">
        <v>1</v>
      </c>
      <c r="DJ4638">
        <v>0</v>
      </c>
      <c r="DK4638">
        <v>1</v>
      </c>
      <c r="DL4638">
        <v>0</v>
      </c>
      <c r="DM4638">
        <v>0</v>
      </c>
      <c r="DN4638">
        <v>0</v>
      </c>
      <c r="DO4638">
        <v>0</v>
      </c>
      <c r="DP4638">
        <v>0</v>
      </c>
      <c r="DQ4638">
        <v>0</v>
      </c>
      <c r="DR4638">
        <v>0</v>
      </c>
      <c r="DS4638">
        <v>0</v>
      </c>
    </row>
    <row r="4639" spans="1:123" x14ac:dyDescent="0.3">
      <c r="A4639" t="str">
        <f>"05/01/2025 15:17:25.139"</f>
        <v>05/01/2025 15:17:25.139</v>
      </c>
      <c r="C4639" t="str">
        <f t="shared" si="1824"/>
        <v>FFDFD3C0</v>
      </c>
      <c r="D4639" t="s">
        <v>145</v>
      </c>
      <c r="E4639" t="str">
        <f>"09"</f>
        <v>09</v>
      </c>
      <c r="H4639">
        <v>51</v>
      </c>
      <c r="I4639" t="s">
        <v>147</v>
      </c>
      <c r="J4639" t="s">
        <v>138</v>
      </c>
      <c r="K4639">
        <v>0</v>
      </c>
      <c r="L4639">
        <v>3</v>
      </c>
      <c r="M4639">
        <v>0</v>
      </c>
      <c r="N4639">
        <v>2</v>
      </c>
      <c r="O4639">
        <v>0</v>
      </c>
      <c r="P4639">
        <v>1</v>
      </c>
      <c r="Q4639">
        <v>0</v>
      </c>
      <c r="R4639" t="s">
        <v>127</v>
      </c>
      <c r="S4639" t="str">
        <f t="shared" si="1836"/>
        <v>15:17:24.000</v>
      </c>
      <c r="T4639" t="str">
        <f t="shared" si="1836"/>
        <v>15:17:24.000</v>
      </c>
      <c r="U4639" t="str">
        <f t="shared" si="1826"/>
        <v>A68FCB</v>
      </c>
      <c r="V4639">
        <v>0</v>
      </c>
      <c r="W4639">
        <v>0</v>
      </c>
      <c r="X4639">
        <v>2</v>
      </c>
      <c r="Y4639">
        <v>0</v>
      </c>
      <c r="AA4639">
        <v>1</v>
      </c>
      <c r="AB4639">
        <v>8</v>
      </c>
      <c r="AC4639">
        <v>3</v>
      </c>
      <c r="AD4639">
        <v>0</v>
      </c>
      <c r="AE4639">
        <v>9</v>
      </c>
      <c r="AF4639" t="s">
        <v>138</v>
      </c>
      <c r="AG4639">
        <v>0</v>
      </c>
      <c r="AH4639">
        <v>3</v>
      </c>
      <c r="AI4639">
        <v>2</v>
      </c>
      <c r="AJ4639">
        <v>0</v>
      </c>
      <c r="AK4639" t="s">
        <v>1478</v>
      </c>
      <c r="AL4639">
        <v>39.215097</v>
      </c>
      <c r="AM4639" t="s">
        <v>1479</v>
      </c>
      <c r="AN4639">
        <v>-121.002967</v>
      </c>
      <c r="AO4639">
        <v>25</v>
      </c>
      <c r="AP4639">
        <v>4200</v>
      </c>
      <c r="AQ4639" t="s">
        <v>131</v>
      </c>
      <c r="AR4639">
        <v>31</v>
      </c>
      <c r="AS4639">
        <v>76</v>
      </c>
      <c r="AT4639">
        <v>-192</v>
      </c>
      <c r="BB4639" t="str">
        <f t="shared" si="1827"/>
        <v>1200</v>
      </c>
      <c r="BC4639">
        <v>1</v>
      </c>
      <c r="BD4639" t="str">
        <f t="shared" si="1828"/>
        <v xml:space="preserve">N52156  </v>
      </c>
      <c r="BE4639">
        <v>1</v>
      </c>
      <c r="BG4639">
        <v>0</v>
      </c>
      <c r="BH4639">
        <v>0</v>
      </c>
      <c r="BI4639">
        <v>0</v>
      </c>
      <c r="BJ4639">
        <v>4200</v>
      </c>
      <c r="BK4639">
        <v>0</v>
      </c>
      <c r="BL4639" t="s">
        <v>188</v>
      </c>
      <c r="BM4639">
        <v>1</v>
      </c>
      <c r="BN4639">
        <v>1</v>
      </c>
      <c r="BO4639">
        <v>0</v>
      </c>
      <c r="BP4639">
        <v>0</v>
      </c>
      <c r="BS4639">
        <v>0</v>
      </c>
      <c r="BT4639">
        <v>0</v>
      </c>
      <c r="BU4639">
        <v>0</v>
      </c>
      <c r="CE4639" t="str">
        <f t="shared" si="1837"/>
        <v>15:17:24.898</v>
      </c>
      <c r="CF4639">
        <v>898008311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4</v>
      </c>
      <c r="CY4639">
        <v>7</v>
      </c>
      <c r="CZ4639" t="s">
        <v>133</v>
      </c>
      <c r="DA4639">
        <v>275</v>
      </c>
      <c r="DB4639">
        <v>0</v>
      </c>
      <c r="DC4639" t="s">
        <v>134</v>
      </c>
      <c r="DD4639" t="s">
        <v>135</v>
      </c>
      <c r="DG4639">
        <v>3323336</v>
      </c>
      <c r="DI4639">
        <v>1</v>
      </c>
      <c r="DJ4639">
        <v>0</v>
      </c>
      <c r="DK4639">
        <v>1</v>
      </c>
      <c r="DL4639">
        <v>0</v>
      </c>
      <c r="DM4639">
        <v>0</v>
      </c>
      <c r="DN4639">
        <v>0</v>
      </c>
      <c r="DO4639">
        <v>0</v>
      </c>
      <c r="DP4639">
        <v>0</v>
      </c>
      <c r="DQ4639">
        <v>0</v>
      </c>
      <c r="DR4639">
        <v>0</v>
      </c>
      <c r="DS4639">
        <v>0</v>
      </c>
    </row>
    <row r="4640" spans="1:123" x14ac:dyDescent="0.3">
      <c r="A4640" t="str">
        <f>"05/01/2025 15:17:26.177"</f>
        <v>05/01/2025 15:17:26.177</v>
      </c>
      <c r="C4640" t="str">
        <f t="shared" si="1824"/>
        <v>FFDFD3C0</v>
      </c>
      <c r="D4640" t="s">
        <v>143</v>
      </c>
      <c r="E4640" t="str">
        <f>"05"</f>
        <v>05</v>
      </c>
      <c r="H4640">
        <v>172</v>
      </c>
      <c r="I4640" t="s">
        <v>141</v>
      </c>
      <c r="J4640" t="s">
        <v>144</v>
      </c>
      <c r="K4640">
        <v>0</v>
      </c>
      <c r="L4640">
        <v>3</v>
      </c>
      <c r="M4640">
        <v>0</v>
      </c>
      <c r="N4640">
        <v>2</v>
      </c>
      <c r="O4640">
        <v>0</v>
      </c>
      <c r="P4640">
        <v>1</v>
      </c>
      <c r="Q4640">
        <v>0</v>
      </c>
      <c r="R4640" t="s">
        <v>127</v>
      </c>
      <c r="S4640" t="str">
        <f t="shared" ref="S4640:T4645" si="1838">"15:17:25.000"</f>
        <v>15:17:25.000</v>
      </c>
      <c r="T4640" t="str">
        <f t="shared" si="1838"/>
        <v>15:17:25.000</v>
      </c>
      <c r="U4640" t="str">
        <f t="shared" si="1826"/>
        <v>A68FCB</v>
      </c>
      <c r="V4640">
        <v>0</v>
      </c>
      <c r="W4640">
        <v>0</v>
      </c>
      <c r="X4640">
        <v>2</v>
      </c>
      <c r="Y4640">
        <v>0</v>
      </c>
      <c r="AA4640">
        <v>1</v>
      </c>
      <c r="AB4640">
        <v>8</v>
      </c>
      <c r="AC4640">
        <v>3</v>
      </c>
      <c r="AD4640">
        <v>0</v>
      </c>
      <c r="AE4640">
        <v>9</v>
      </c>
      <c r="AF4640" t="s">
        <v>138</v>
      </c>
      <c r="AG4640">
        <v>0</v>
      </c>
      <c r="AH4640">
        <v>3</v>
      </c>
      <c r="AI4640">
        <v>2</v>
      </c>
      <c r="AJ4640">
        <v>0</v>
      </c>
      <c r="AK4640" t="s">
        <v>1480</v>
      </c>
      <c r="AL4640">
        <v>39.215462000000002</v>
      </c>
      <c r="AM4640" t="s">
        <v>1481</v>
      </c>
      <c r="AN4640">
        <v>-121.002796</v>
      </c>
      <c r="AO4640">
        <v>25</v>
      </c>
      <c r="AP4640">
        <v>4200</v>
      </c>
      <c r="AQ4640" t="s">
        <v>131</v>
      </c>
      <c r="AR4640">
        <v>31</v>
      </c>
      <c r="AS4640">
        <v>76</v>
      </c>
      <c r="AT4640">
        <v>-192</v>
      </c>
      <c r="BB4640" t="str">
        <f t="shared" si="1827"/>
        <v>1200</v>
      </c>
      <c r="BC4640">
        <v>1</v>
      </c>
      <c r="BD4640" t="str">
        <f t="shared" si="1828"/>
        <v xml:space="preserve">N52156  </v>
      </c>
      <c r="BE4640">
        <v>1</v>
      </c>
      <c r="BG4640">
        <v>0</v>
      </c>
      <c r="BH4640">
        <v>0</v>
      </c>
      <c r="BI4640">
        <v>0</v>
      </c>
      <c r="BJ4640">
        <v>4200</v>
      </c>
      <c r="BK4640">
        <v>0</v>
      </c>
      <c r="BL4640" t="s">
        <v>188</v>
      </c>
      <c r="BM4640">
        <v>1</v>
      </c>
      <c r="BN4640">
        <v>1</v>
      </c>
      <c r="BO4640">
        <v>0</v>
      </c>
      <c r="BP4640">
        <v>0</v>
      </c>
      <c r="BS4640">
        <v>0</v>
      </c>
      <c r="BT4640">
        <v>0</v>
      </c>
      <c r="BU4640">
        <v>0</v>
      </c>
      <c r="CE4640" t="str">
        <f t="shared" ref="CE4640:CE4645" si="1839">"15:17:25.961"</f>
        <v>15:17:25.961</v>
      </c>
      <c r="CF4640">
        <v>961258560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4</v>
      </c>
      <c r="CY4640">
        <v>7</v>
      </c>
      <c r="CZ4640" t="s">
        <v>133</v>
      </c>
      <c r="DA4640">
        <v>275</v>
      </c>
      <c r="DB4640">
        <v>0</v>
      </c>
      <c r="DC4640" t="s">
        <v>134</v>
      </c>
      <c r="DD4640" t="s">
        <v>135</v>
      </c>
      <c r="DG4640">
        <v>3323338</v>
      </c>
      <c r="DI4640">
        <v>1</v>
      </c>
      <c r="DJ4640">
        <v>0</v>
      </c>
      <c r="DK4640">
        <v>0</v>
      </c>
      <c r="DL4640">
        <v>0</v>
      </c>
      <c r="DM4640">
        <v>0</v>
      </c>
      <c r="DN4640">
        <v>0</v>
      </c>
      <c r="DO4640">
        <v>0</v>
      </c>
      <c r="DP4640">
        <v>0</v>
      </c>
      <c r="DQ4640">
        <v>0</v>
      </c>
      <c r="DR4640">
        <v>0</v>
      </c>
      <c r="DS4640">
        <v>0</v>
      </c>
    </row>
    <row r="4641" spans="1:123" x14ac:dyDescent="0.3">
      <c r="A4641" t="str">
        <f>"05/01/2025 15:17:26.190"</f>
        <v>05/01/2025 15:17:26.190</v>
      </c>
      <c r="C4641" t="str">
        <f t="shared" si="1824"/>
        <v>FFDFD3C0</v>
      </c>
      <c r="D4641" t="s">
        <v>145</v>
      </c>
      <c r="E4641" t="str">
        <f>"09"</f>
        <v>09</v>
      </c>
      <c r="H4641">
        <v>51</v>
      </c>
      <c r="I4641" t="s">
        <v>147</v>
      </c>
      <c r="J4641" t="s">
        <v>138</v>
      </c>
      <c r="K4641">
        <v>0</v>
      </c>
      <c r="L4641">
        <v>3</v>
      </c>
      <c r="M4641">
        <v>0</v>
      </c>
      <c r="N4641">
        <v>2</v>
      </c>
      <c r="O4641">
        <v>0</v>
      </c>
      <c r="P4641">
        <v>1</v>
      </c>
      <c r="Q4641">
        <v>0</v>
      </c>
      <c r="R4641" t="s">
        <v>127</v>
      </c>
      <c r="S4641" t="str">
        <f t="shared" si="1838"/>
        <v>15:17:25.000</v>
      </c>
      <c r="T4641" t="str">
        <f t="shared" si="1838"/>
        <v>15:17:25.000</v>
      </c>
      <c r="U4641" t="str">
        <f t="shared" si="1826"/>
        <v>A68FCB</v>
      </c>
      <c r="V4641">
        <v>0</v>
      </c>
      <c r="W4641">
        <v>0</v>
      </c>
      <c r="X4641">
        <v>2</v>
      </c>
      <c r="Y4641">
        <v>0</v>
      </c>
      <c r="AA4641">
        <v>1</v>
      </c>
      <c r="AB4641">
        <v>8</v>
      </c>
      <c r="AC4641">
        <v>3</v>
      </c>
      <c r="AD4641">
        <v>0</v>
      </c>
      <c r="AE4641">
        <v>9</v>
      </c>
      <c r="AF4641" t="s">
        <v>138</v>
      </c>
      <c r="AG4641">
        <v>0</v>
      </c>
      <c r="AH4641">
        <v>3</v>
      </c>
      <c r="AI4641">
        <v>2</v>
      </c>
      <c r="AJ4641">
        <v>0</v>
      </c>
      <c r="AK4641" t="s">
        <v>1480</v>
      </c>
      <c r="AL4641">
        <v>39.215462000000002</v>
      </c>
      <c r="AM4641" t="s">
        <v>1481</v>
      </c>
      <c r="AN4641">
        <v>-121.002796</v>
      </c>
      <c r="AO4641">
        <v>25</v>
      </c>
      <c r="AP4641">
        <v>4200</v>
      </c>
      <c r="AQ4641" t="s">
        <v>131</v>
      </c>
      <c r="AR4641">
        <v>31</v>
      </c>
      <c r="AS4641">
        <v>76</v>
      </c>
      <c r="AT4641">
        <v>-192</v>
      </c>
      <c r="BB4641" t="str">
        <f t="shared" si="1827"/>
        <v>1200</v>
      </c>
      <c r="BC4641">
        <v>1</v>
      </c>
      <c r="BD4641" t="str">
        <f t="shared" si="1828"/>
        <v xml:space="preserve">N52156  </v>
      </c>
      <c r="BE4641">
        <v>1</v>
      </c>
      <c r="BG4641">
        <v>0</v>
      </c>
      <c r="BH4641">
        <v>0</v>
      </c>
      <c r="BI4641">
        <v>0</v>
      </c>
      <c r="BJ4641">
        <v>4200</v>
      </c>
      <c r="BK4641">
        <v>0</v>
      </c>
      <c r="BL4641" t="s">
        <v>188</v>
      </c>
      <c r="BM4641">
        <v>1</v>
      </c>
      <c r="BN4641">
        <v>1</v>
      </c>
      <c r="BO4641">
        <v>0</v>
      </c>
      <c r="BP4641">
        <v>0</v>
      </c>
      <c r="BS4641">
        <v>0</v>
      </c>
      <c r="BT4641">
        <v>0</v>
      </c>
      <c r="BU4641">
        <v>0</v>
      </c>
      <c r="CE4641" t="str">
        <f t="shared" si="1839"/>
        <v>15:17:25.961</v>
      </c>
      <c r="CF4641">
        <v>961258560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4</v>
      </c>
      <c r="CY4641">
        <v>7</v>
      </c>
      <c r="CZ4641" t="s">
        <v>133</v>
      </c>
      <c r="DA4641">
        <v>275</v>
      </c>
      <c r="DB4641">
        <v>0</v>
      </c>
      <c r="DC4641" t="s">
        <v>134</v>
      </c>
      <c r="DD4641" t="s">
        <v>135</v>
      </c>
      <c r="DG4641">
        <v>3323338</v>
      </c>
      <c r="DI4641">
        <v>1</v>
      </c>
      <c r="DJ4641">
        <v>0</v>
      </c>
      <c r="DK4641">
        <v>1</v>
      </c>
      <c r="DL4641">
        <v>0</v>
      </c>
      <c r="DM4641">
        <v>0</v>
      </c>
      <c r="DN4641">
        <v>0</v>
      </c>
      <c r="DO4641">
        <v>0</v>
      </c>
      <c r="DP4641">
        <v>0</v>
      </c>
      <c r="DQ4641">
        <v>0</v>
      </c>
      <c r="DR4641">
        <v>0</v>
      </c>
      <c r="DS4641">
        <v>0</v>
      </c>
    </row>
    <row r="4642" spans="1:123" x14ac:dyDescent="0.3">
      <c r="A4642" t="str">
        <f>"05/01/2025 15:17:26.193"</f>
        <v>05/01/2025 15:17:26.193</v>
      </c>
      <c r="C4642" t="str">
        <f t="shared" si="1824"/>
        <v>FFDFD3C0</v>
      </c>
      <c r="D4642" t="s">
        <v>145</v>
      </c>
      <c r="E4642" t="str">
        <f>"05"</f>
        <v>05</v>
      </c>
      <c r="H4642">
        <v>47</v>
      </c>
      <c r="I4642" t="s">
        <v>146</v>
      </c>
      <c r="J4642" t="s">
        <v>138</v>
      </c>
      <c r="K4642">
        <v>0</v>
      </c>
      <c r="L4642">
        <v>3</v>
      </c>
      <c r="M4642">
        <v>0</v>
      </c>
      <c r="N4642">
        <v>2</v>
      </c>
      <c r="O4642">
        <v>0</v>
      </c>
      <c r="P4642">
        <v>1</v>
      </c>
      <c r="Q4642">
        <v>0</v>
      </c>
      <c r="R4642" t="s">
        <v>127</v>
      </c>
      <c r="S4642" t="str">
        <f t="shared" si="1838"/>
        <v>15:17:25.000</v>
      </c>
      <c r="T4642" t="str">
        <f t="shared" si="1838"/>
        <v>15:17:25.000</v>
      </c>
      <c r="U4642" t="str">
        <f t="shared" si="1826"/>
        <v>A68FCB</v>
      </c>
      <c r="V4642">
        <v>0</v>
      </c>
      <c r="W4642">
        <v>0</v>
      </c>
      <c r="X4642">
        <v>2</v>
      </c>
      <c r="Y4642">
        <v>0</v>
      </c>
      <c r="AA4642">
        <v>1</v>
      </c>
      <c r="AB4642">
        <v>8</v>
      </c>
      <c r="AC4642">
        <v>3</v>
      </c>
      <c r="AD4642">
        <v>0</v>
      </c>
      <c r="AE4642">
        <v>9</v>
      </c>
      <c r="AF4642" t="s">
        <v>138</v>
      </c>
      <c r="AG4642">
        <v>0</v>
      </c>
      <c r="AH4642">
        <v>3</v>
      </c>
      <c r="AI4642">
        <v>2</v>
      </c>
      <c r="AJ4642">
        <v>0</v>
      </c>
      <c r="AK4642" t="s">
        <v>1480</v>
      </c>
      <c r="AL4642">
        <v>39.215462000000002</v>
      </c>
      <c r="AM4642" t="s">
        <v>1481</v>
      </c>
      <c r="AN4642">
        <v>-121.002796</v>
      </c>
      <c r="AO4642">
        <v>25</v>
      </c>
      <c r="AP4642">
        <v>4200</v>
      </c>
      <c r="AQ4642" t="s">
        <v>131</v>
      </c>
      <c r="AR4642">
        <v>31</v>
      </c>
      <c r="AS4642">
        <v>76</v>
      </c>
      <c r="AT4642">
        <v>-192</v>
      </c>
      <c r="BB4642" t="str">
        <f t="shared" si="1827"/>
        <v>1200</v>
      </c>
      <c r="BC4642">
        <v>1</v>
      </c>
      <c r="BD4642" t="str">
        <f t="shared" si="1828"/>
        <v xml:space="preserve">N52156  </v>
      </c>
      <c r="BE4642">
        <v>1</v>
      </c>
      <c r="BG4642">
        <v>0</v>
      </c>
      <c r="BH4642">
        <v>0</v>
      </c>
      <c r="BI4642">
        <v>0</v>
      </c>
      <c r="BJ4642">
        <v>4200</v>
      </c>
      <c r="BK4642">
        <v>0</v>
      </c>
      <c r="BL4642" t="s">
        <v>188</v>
      </c>
      <c r="BM4642">
        <v>1</v>
      </c>
      <c r="BN4642">
        <v>1</v>
      </c>
      <c r="BO4642">
        <v>0</v>
      </c>
      <c r="BP4642">
        <v>0</v>
      </c>
      <c r="BS4642">
        <v>0</v>
      </c>
      <c r="BT4642">
        <v>0</v>
      </c>
      <c r="BU4642">
        <v>0</v>
      </c>
      <c r="CE4642" t="str">
        <f t="shared" si="1839"/>
        <v>15:17:25.961</v>
      </c>
      <c r="CF4642">
        <v>961258560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4</v>
      </c>
      <c r="CY4642">
        <v>7</v>
      </c>
      <c r="CZ4642" t="s">
        <v>133</v>
      </c>
      <c r="DA4642">
        <v>275</v>
      </c>
      <c r="DB4642">
        <v>0</v>
      </c>
      <c r="DC4642" t="s">
        <v>134</v>
      </c>
      <c r="DD4642" t="s">
        <v>135</v>
      </c>
      <c r="DG4642">
        <v>3323338</v>
      </c>
      <c r="DI4642">
        <v>1</v>
      </c>
      <c r="DJ4642">
        <v>0</v>
      </c>
      <c r="DK4642">
        <v>1</v>
      </c>
      <c r="DL4642">
        <v>0</v>
      </c>
      <c r="DM4642">
        <v>0</v>
      </c>
      <c r="DN4642">
        <v>0</v>
      </c>
      <c r="DO4642">
        <v>0</v>
      </c>
      <c r="DP4642">
        <v>0</v>
      </c>
      <c r="DQ4642">
        <v>0</v>
      </c>
      <c r="DR4642">
        <v>0</v>
      </c>
      <c r="DS4642">
        <v>0</v>
      </c>
    </row>
    <row r="4643" spans="1:123" x14ac:dyDescent="0.3">
      <c r="A4643" t="str">
        <f>"05/01/2025 15:17:26.204"</f>
        <v>05/01/2025 15:17:26.204</v>
      </c>
      <c r="C4643" t="str">
        <f t="shared" si="1824"/>
        <v>FFDFD3C0</v>
      </c>
      <c r="D4643" t="s">
        <v>136</v>
      </c>
      <c r="E4643" t="str">
        <f>"20"</f>
        <v>20</v>
      </c>
      <c r="H4643">
        <v>400</v>
      </c>
      <c r="I4643" t="s">
        <v>137</v>
      </c>
      <c r="J4643" t="s">
        <v>138</v>
      </c>
      <c r="K4643">
        <v>0</v>
      </c>
      <c r="L4643">
        <v>3</v>
      </c>
      <c r="M4643">
        <v>0</v>
      </c>
      <c r="N4643">
        <v>2</v>
      </c>
      <c r="O4643">
        <v>0</v>
      </c>
      <c r="P4643">
        <v>1</v>
      </c>
      <c r="Q4643">
        <v>0</v>
      </c>
      <c r="R4643" t="s">
        <v>127</v>
      </c>
      <c r="S4643" t="str">
        <f t="shared" si="1838"/>
        <v>15:17:25.000</v>
      </c>
      <c r="T4643" t="str">
        <f t="shared" si="1838"/>
        <v>15:17:25.000</v>
      </c>
      <c r="U4643" t="str">
        <f t="shared" si="1826"/>
        <v>A68FCB</v>
      </c>
      <c r="V4643">
        <v>0</v>
      </c>
      <c r="W4643">
        <v>0</v>
      </c>
      <c r="X4643">
        <v>2</v>
      </c>
      <c r="Y4643">
        <v>0</v>
      </c>
      <c r="AA4643">
        <v>1</v>
      </c>
      <c r="AB4643">
        <v>8</v>
      </c>
      <c r="AC4643">
        <v>3</v>
      </c>
      <c r="AD4643">
        <v>0</v>
      </c>
      <c r="AE4643">
        <v>9</v>
      </c>
      <c r="AF4643" t="s">
        <v>138</v>
      </c>
      <c r="AG4643">
        <v>0</v>
      </c>
      <c r="AH4643">
        <v>3</v>
      </c>
      <c r="AI4643">
        <v>2</v>
      </c>
      <c r="AJ4643">
        <v>0</v>
      </c>
      <c r="AK4643" t="s">
        <v>1480</v>
      </c>
      <c r="AL4643">
        <v>39.215462000000002</v>
      </c>
      <c r="AM4643" t="s">
        <v>1481</v>
      </c>
      <c r="AN4643">
        <v>-121.002796</v>
      </c>
      <c r="AO4643">
        <v>25</v>
      </c>
      <c r="AP4643">
        <v>4200</v>
      </c>
      <c r="AQ4643" t="s">
        <v>131</v>
      </c>
      <c r="AR4643">
        <v>31</v>
      </c>
      <c r="AS4643">
        <v>76</v>
      </c>
      <c r="AT4643">
        <v>-192</v>
      </c>
      <c r="BB4643" t="str">
        <f t="shared" si="1827"/>
        <v>1200</v>
      </c>
      <c r="BC4643">
        <v>1</v>
      </c>
      <c r="BD4643" t="str">
        <f t="shared" si="1828"/>
        <v xml:space="preserve">N52156  </v>
      </c>
      <c r="BE4643">
        <v>1</v>
      </c>
      <c r="BG4643">
        <v>0</v>
      </c>
      <c r="BH4643">
        <v>0</v>
      </c>
      <c r="BI4643">
        <v>0</v>
      </c>
      <c r="BJ4643">
        <v>4200</v>
      </c>
      <c r="BK4643">
        <v>0</v>
      </c>
      <c r="BL4643" t="s">
        <v>188</v>
      </c>
      <c r="BM4643">
        <v>1</v>
      </c>
      <c r="BN4643">
        <v>1</v>
      </c>
      <c r="BO4643">
        <v>0</v>
      </c>
      <c r="BP4643">
        <v>0</v>
      </c>
      <c r="BS4643">
        <v>0</v>
      </c>
      <c r="BT4643">
        <v>0</v>
      </c>
      <c r="BU4643">
        <v>0</v>
      </c>
      <c r="CE4643" t="str">
        <f t="shared" si="1839"/>
        <v>15:17:25.961</v>
      </c>
      <c r="CF4643">
        <v>961258560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4</v>
      </c>
      <c r="CY4643">
        <v>7</v>
      </c>
      <c r="CZ4643" t="s">
        <v>133</v>
      </c>
      <c r="DA4643">
        <v>275</v>
      </c>
      <c r="DB4643">
        <v>0</v>
      </c>
      <c r="DC4643" t="s">
        <v>134</v>
      </c>
      <c r="DD4643" t="s">
        <v>135</v>
      </c>
      <c r="DG4643">
        <v>3323338</v>
      </c>
      <c r="DI4643">
        <v>1</v>
      </c>
      <c r="DJ4643">
        <v>0</v>
      </c>
      <c r="DK4643">
        <v>1</v>
      </c>
      <c r="DL4643">
        <v>0</v>
      </c>
      <c r="DM4643">
        <v>0</v>
      </c>
      <c r="DN4643">
        <v>0</v>
      </c>
      <c r="DO4643">
        <v>0</v>
      </c>
      <c r="DP4643">
        <v>0</v>
      </c>
      <c r="DQ4643">
        <v>0</v>
      </c>
      <c r="DR4643">
        <v>0</v>
      </c>
      <c r="DS4643">
        <v>0</v>
      </c>
    </row>
    <row r="4644" spans="1:123" x14ac:dyDescent="0.3">
      <c r="A4644" t="str">
        <f>"05/01/2025 15:17:26.220"</f>
        <v>05/01/2025 15:17:26.220</v>
      </c>
      <c r="C4644" t="str">
        <f t="shared" si="1824"/>
        <v>FFDFD3C0</v>
      </c>
      <c r="D4644" t="s">
        <v>124</v>
      </c>
      <c r="E4644" t="str">
        <f>"06"</f>
        <v>06</v>
      </c>
      <c r="F4644">
        <v>2006</v>
      </c>
      <c r="G4644" t="s">
        <v>125</v>
      </c>
      <c r="J4644" t="s">
        <v>126</v>
      </c>
      <c r="K4644">
        <v>0</v>
      </c>
      <c r="L4644">
        <v>3</v>
      </c>
      <c r="M4644">
        <v>0</v>
      </c>
      <c r="N4644">
        <v>2</v>
      </c>
      <c r="O4644">
        <v>0</v>
      </c>
      <c r="P4644">
        <v>1</v>
      </c>
      <c r="Q4644">
        <v>0</v>
      </c>
      <c r="R4644" t="s">
        <v>127</v>
      </c>
      <c r="S4644" t="str">
        <f t="shared" si="1838"/>
        <v>15:17:25.000</v>
      </c>
      <c r="T4644" t="str">
        <f t="shared" si="1838"/>
        <v>15:17:25.000</v>
      </c>
      <c r="U4644" t="str">
        <f t="shared" si="1826"/>
        <v>A68FCB</v>
      </c>
      <c r="V4644">
        <v>0</v>
      </c>
      <c r="W4644">
        <v>0</v>
      </c>
      <c r="X4644">
        <v>2</v>
      </c>
      <c r="Y4644">
        <v>0</v>
      </c>
      <c r="AA4644">
        <v>1</v>
      </c>
      <c r="AB4644">
        <v>8</v>
      </c>
      <c r="AC4644">
        <v>3</v>
      </c>
      <c r="AD4644">
        <v>0</v>
      </c>
      <c r="AE4644">
        <v>9</v>
      </c>
      <c r="AF4644" t="s">
        <v>138</v>
      </c>
      <c r="AG4644">
        <v>0</v>
      </c>
      <c r="AH4644">
        <v>3</v>
      </c>
      <c r="AI4644">
        <v>2</v>
      </c>
      <c r="AJ4644">
        <v>0</v>
      </c>
      <c r="AK4644" t="s">
        <v>1480</v>
      </c>
      <c r="AL4644">
        <v>39.215462000000002</v>
      </c>
      <c r="AM4644" t="s">
        <v>1481</v>
      </c>
      <c r="AN4644">
        <v>-121.002796</v>
      </c>
      <c r="AO4644">
        <v>25</v>
      </c>
      <c r="AP4644">
        <v>4200</v>
      </c>
      <c r="AQ4644" t="s">
        <v>131</v>
      </c>
      <c r="AR4644">
        <v>31</v>
      </c>
      <c r="AS4644">
        <v>76</v>
      </c>
      <c r="AT4644">
        <v>-192</v>
      </c>
      <c r="BB4644" t="str">
        <f t="shared" si="1827"/>
        <v>1200</v>
      </c>
      <c r="BC4644">
        <v>1</v>
      </c>
      <c r="BD4644" t="str">
        <f t="shared" si="1828"/>
        <v xml:space="preserve">N52156  </v>
      </c>
      <c r="BE4644">
        <v>1</v>
      </c>
      <c r="BG4644">
        <v>0</v>
      </c>
      <c r="BH4644">
        <v>0</v>
      </c>
      <c r="BI4644">
        <v>0</v>
      </c>
      <c r="BJ4644">
        <v>4200</v>
      </c>
      <c r="BK4644">
        <v>0</v>
      </c>
      <c r="BL4644" t="s">
        <v>188</v>
      </c>
      <c r="BM4644">
        <v>1</v>
      </c>
      <c r="BN4644">
        <v>1</v>
      </c>
      <c r="BO4644">
        <v>0</v>
      </c>
      <c r="BP4644">
        <v>0</v>
      </c>
      <c r="BS4644">
        <v>0</v>
      </c>
      <c r="BT4644">
        <v>0</v>
      </c>
      <c r="BU4644">
        <v>0</v>
      </c>
      <c r="CE4644" t="str">
        <f t="shared" si="1839"/>
        <v>15:17:25.961</v>
      </c>
      <c r="CF4644">
        <v>961258560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4</v>
      </c>
      <c r="CY4644">
        <v>7</v>
      </c>
      <c r="CZ4644" t="s">
        <v>133</v>
      </c>
      <c r="DA4644">
        <v>275</v>
      </c>
      <c r="DB4644">
        <v>0</v>
      </c>
      <c r="DC4644" t="s">
        <v>134</v>
      </c>
      <c r="DD4644" t="s">
        <v>135</v>
      </c>
      <c r="DG4644">
        <v>3323338</v>
      </c>
      <c r="DI4644">
        <v>1</v>
      </c>
      <c r="DJ4644">
        <v>0</v>
      </c>
      <c r="DK4644">
        <v>1</v>
      </c>
      <c r="DL4644">
        <v>0</v>
      </c>
      <c r="DM4644">
        <v>0</v>
      </c>
      <c r="DN4644">
        <v>0</v>
      </c>
      <c r="DO4644">
        <v>0</v>
      </c>
      <c r="DP4644">
        <v>0</v>
      </c>
      <c r="DQ4644">
        <v>0</v>
      </c>
      <c r="DR4644">
        <v>0</v>
      </c>
      <c r="DS4644">
        <v>0</v>
      </c>
    </row>
    <row r="4645" spans="1:123" x14ac:dyDescent="0.3">
      <c r="A4645" t="str">
        <f>"05/01/2025 15:17:26.220"</f>
        <v>05/01/2025 15:17:26.220</v>
      </c>
      <c r="C4645" t="str">
        <f t="shared" si="1824"/>
        <v>FFDFD3C0</v>
      </c>
      <c r="D4645" t="s">
        <v>140</v>
      </c>
      <c r="E4645" t="str">
        <f>"13"</f>
        <v>13</v>
      </c>
      <c r="F4645">
        <v>1019</v>
      </c>
      <c r="G4645" t="s">
        <v>141</v>
      </c>
      <c r="J4645" t="s">
        <v>142</v>
      </c>
      <c r="K4645">
        <v>0</v>
      </c>
      <c r="L4645">
        <v>3</v>
      </c>
      <c r="M4645">
        <v>0</v>
      </c>
      <c r="N4645">
        <v>2</v>
      </c>
      <c r="O4645">
        <v>0</v>
      </c>
      <c r="P4645">
        <v>1</v>
      </c>
      <c r="Q4645">
        <v>0</v>
      </c>
      <c r="R4645" t="s">
        <v>127</v>
      </c>
      <c r="S4645" t="str">
        <f t="shared" si="1838"/>
        <v>15:17:25.000</v>
      </c>
      <c r="T4645" t="str">
        <f t="shared" si="1838"/>
        <v>15:17:25.000</v>
      </c>
      <c r="U4645" t="str">
        <f t="shared" si="1826"/>
        <v>A68FCB</v>
      </c>
      <c r="V4645">
        <v>0</v>
      </c>
      <c r="W4645">
        <v>0</v>
      </c>
      <c r="X4645">
        <v>2</v>
      </c>
      <c r="Y4645">
        <v>0</v>
      </c>
      <c r="AA4645">
        <v>1</v>
      </c>
      <c r="AB4645">
        <v>8</v>
      </c>
      <c r="AC4645">
        <v>3</v>
      </c>
      <c r="AD4645">
        <v>0</v>
      </c>
      <c r="AE4645">
        <v>9</v>
      </c>
      <c r="AF4645" t="s">
        <v>138</v>
      </c>
      <c r="AG4645">
        <v>0</v>
      </c>
      <c r="AH4645">
        <v>3</v>
      </c>
      <c r="AI4645">
        <v>2</v>
      </c>
      <c r="AJ4645">
        <v>0</v>
      </c>
      <c r="AK4645" t="s">
        <v>1480</v>
      </c>
      <c r="AL4645">
        <v>39.215462000000002</v>
      </c>
      <c r="AM4645" t="s">
        <v>1481</v>
      </c>
      <c r="AN4645">
        <v>-121.002796</v>
      </c>
      <c r="AO4645">
        <v>25</v>
      </c>
      <c r="AP4645">
        <v>4200</v>
      </c>
      <c r="AQ4645" t="s">
        <v>131</v>
      </c>
      <c r="AR4645">
        <v>31</v>
      </c>
      <c r="AS4645">
        <v>76</v>
      </c>
      <c r="AT4645">
        <v>-192</v>
      </c>
      <c r="BB4645" t="str">
        <f t="shared" si="1827"/>
        <v>1200</v>
      </c>
      <c r="BC4645">
        <v>1</v>
      </c>
      <c r="BD4645" t="str">
        <f t="shared" si="1828"/>
        <v xml:space="preserve">N52156  </v>
      </c>
      <c r="BE4645">
        <v>1</v>
      </c>
      <c r="BG4645">
        <v>0</v>
      </c>
      <c r="BH4645">
        <v>0</v>
      </c>
      <c r="BI4645">
        <v>0</v>
      </c>
      <c r="BJ4645">
        <v>4200</v>
      </c>
      <c r="BK4645">
        <v>0</v>
      </c>
      <c r="BL4645" t="s">
        <v>188</v>
      </c>
      <c r="BM4645">
        <v>1</v>
      </c>
      <c r="BN4645">
        <v>1</v>
      </c>
      <c r="BO4645">
        <v>0</v>
      </c>
      <c r="BP4645">
        <v>0</v>
      </c>
      <c r="BS4645">
        <v>0</v>
      </c>
      <c r="BT4645">
        <v>0</v>
      </c>
      <c r="BU4645">
        <v>0</v>
      </c>
      <c r="CE4645" t="str">
        <f t="shared" si="1839"/>
        <v>15:17:25.961</v>
      </c>
      <c r="CF4645">
        <v>961258560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4</v>
      </c>
      <c r="CY4645">
        <v>7</v>
      </c>
      <c r="CZ4645" t="s">
        <v>133</v>
      </c>
      <c r="DA4645">
        <v>275</v>
      </c>
      <c r="DB4645">
        <v>0</v>
      </c>
      <c r="DC4645" t="s">
        <v>134</v>
      </c>
      <c r="DD4645" t="s">
        <v>135</v>
      </c>
      <c r="DG4645">
        <v>3323338</v>
      </c>
      <c r="DI4645">
        <v>1</v>
      </c>
      <c r="DJ4645">
        <v>0</v>
      </c>
      <c r="DK4645">
        <v>1</v>
      </c>
      <c r="DL4645">
        <v>0</v>
      </c>
      <c r="DM4645">
        <v>0</v>
      </c>
      <c r="DN4645">
        <v>0</v>
      </c>
      <c r="DO4645">
        <v>0</v>
      </c>
      <c r="DP4645">
        <v>0</v>
      </c>
      <c r="DQ4645">
        <v>0</v>
      </c>
      <c r="DR4645">
        <v>0</v>
      </c>
      <c r="DS4645">
        <v>0</v>
      </c>
    </row>
    <row r="4646" spans="1:123" x14ac:dyDescent="0.3">
      <c r="A4646" t="str">
        <f>"05/01/2025 15:17:26.591"</f>
        <v>05/01/2025 15:17:26.591</v>
      </c>
      <c r="C4646" t="str">
        <f t="shared" si="1824"/>
        <v>FFDFD3C0</v>
      </c>
      <c r="D4646" t="s">
        <v>145</v>
      </c>
      <c r="E4646" t="str">
        <f>"09"</f>
        <v>09</v>
      </c>
      <c r="H4646">
        <v>51</v>
      </c>
      <c r="I4646" t="s">
        <v>147</v>
      </c>
      <c r="J4646" t="s">
        <v>138</v>
      </c>
      <c r="K4646">
        <v>0</v>
      </c>
      <c r="L4646">
        <v>3</v>
      </c>
      <c r="M4646">
        <v>0</v>
      </c>
      <c r="N4646">
        <v>2</v>
      </c>
      <c r="O4646">
        <v>0</v>
      </c>
      <c r="P4646">
        <v>1</v>
      </c>
      <c r="Q4646">
        <v>0</v>
      </c>
      <c r="R4646" t="s">
        <v>127</v>
      </c>
      <c r="S4646" t="str">
        <f t="shared" ref="S4646:T4651" si="1840">"15:17:26.000"</f>
        <v>15:17:26.000</v>
      </c>
      <c r="T4646" t="str">
        <f t="shared" si="1840"/>
        <v>15:17:26.000</v>
      </c>
      <c r="U4646" t="str">
        <f t="shared" si="1826"/>
        <v>A68FCB</v>
      </c>
      <c r="V4646">
        <v>0</v>
      </c>
      <c r="W4646">
        <v>0</v>
      </c>
      <c r="X4646">
        <v>2</v>
      </c>
      <c r="Y4646">
        <v>0</v>
      </c>
      <c r="AA4646">
        <v>1</v>
      </c>
      <c r="AB4646">
        <v>8</v>
      </c>
      <c r="AC4646">
        <v>3</v>
      </c>
      <c r="AD4646">
        <v>0</v>
      </c>
      <c r="AE4646">
        <v>9</v>
      </c>
      <c r="AF4646" t="s">
        <v>138</v>
      </c>
      <c r="AG4646">
        <v>0</v>
      </c>
      <c r="AH4646">
        <v>3</v>
      </c>
      <c r="AI4646">
        <v>2</v>
      </c>
      <c r="AJ4646">
        <v>0</v>
      </c>
      <c r="AK4646" t="s">
        <v>1482</v>
      </c>
      <c r="AL4646">
        <v>39.215806000000001</v>
      </c>
      <c r="AM4646" t="s">
        <v>1483</v>
      </c>
      <c r="AN4646">
        <v>-121.00258100000001</v>
      </c>
      <c r="AO4646">
        <v>25</v>
      </c>
      <c r="AP4646">
        <v>4200</v>
      </c>
      <c r="AQ4646" t="s">
        <v>131</v>
      </c>
      <c r="AR4646">
        <v>31</v>
      </c>
      <c r="AS4646">
        <v>76</v>
      </c>
      <c r="AT4646">
        <v>-192</v>
      </c>
      <c r="BB4646" t="str">
        <f t="shared" si="1827"/>
        <v>1200</v>
      </c>
      <c r="BC4646">
        <v>1</v>
      </c>
      <c r="BD4646" t="str">
        <f t="shared" si="1828"/>
        <v xml:space="preserve">N52156  </v>
      </c>
      <c r="BE4646">
        <v>1</v>
      </c>
      <c r="BG4646">
        <v>0</v>
      </c>
      <c r="BH4646">
        <v>0</v>
      </c>
      <c r="BI4646">
        <v>0</v>
      </c>
      <c r="BJ4646">
        <v>4200</v>
      </c>
      <c r="BK4646">
        <v>0</v>
      </c>
      <c r="BL4646" t="s">
        <v>188</v>
      </c>
      <c r="BM4646">
        <v>1</v>
      </c>
      <c r="BN4646">
        <v>1</v>
      </c>
      <c r="BO4646">
        <v>0</v>
      </c>
      <c r="BP4646">
        <v>0</v>
      </c>
      <c r="BS4646">
        <v>0</v>
      </c>
      <c r="BT4646">
        <v>0</v>
      </c>
      <c r="BU4646">
        <v>0</v>
      </c>
      <c r="CE4646" t="str">
        <f t="shared" ref="CE4646:CE4651" si="1841">"15:17:26.355"</f>
        <v>15:17:26.355</v>
      </c>
      <c r="CF4646">
        <v>354507091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4</v>
      </c>
      <c r="CY4646">
        <v>7</v>
      </c>
      <c r="CZ4646" t="s">
        <v>133</v>
      </c>
      <c r="DA4646">
        <v>275</v>
      </c>
      <c r="DB4646">
        <v>0</v>
      </c>
      <c r="DC4646" t="s">
        <v>134</v>
      </c>
      <c r="DD4646" t="s">
        <v>135</v>
      </c>
      <c r="DG4646">
        <v>3323339</v>
      </c>
      <c r="DI4646">
        <v>1</v>
      </c>
      <c r="DJ4646">
        <v>0</v>
      </c>
      <c r="DK4646">
        <v>0</v>
      </c>
      <c r="DL4646">
        <v>0</v>
      </c>
      <c r="DM4646">
        <v>0</v>
      </c>
      <c r="DN4646">
        <v>0</v>
      </c>
      <c r="DO4646">
        <v>0</v>
      </c>
      <c r="DP4646">
        <v>0</v>
      </c>
      <c r="DQ4646">
        <v>0</v>
      </c>
      <c r="DR4646">
        <v>0</v>
      </c>
      <c r="DS4646">
        <v>0</v>
      </c>
    </row>
    <row r="4647" spans="1:123" x14ac:dyDescent="0.3">
      <c r="A4647" t="str">
        <f>"05/01/2025 15:17:26.594"</f>
        <v>05/01/2025 15:17:26.594</v>
      </c>
      <c r="C4647" t="str">
        <f t="shared" si="1824"/>
        <v>FFDFD3C0</v>
      </c>
      <c r="D4647" t="s">
        <v>145</v>
      </c>
      <c r="E4647" t="str">
        <f>"05"</f>
        <v>05</v>
      </c>
      <c r="H4647">
        <v>47</v>
      </c>
      <c r="I4647" t="s">
        <v>146</v>
      </c>
      <c r="J4647" t="s">
        <v>138</v>
      </c>
      <c r="K4647">
        <v>0</v>
      </c>
      <c r="L4647">
        <v>3</v>
      </c>
      <c r="M4647">
        <v>0</v>
      </c>
      <c r="N4647">
        <v>2</v>
      </c>
      <c r="O4647">
        <v>0</v>
      </c>
      <c r="P4647">
        <v>1</v>
      </c>
      <c r="Q4647">
        <v>0</v>
      </c>
      <c r="R4647" t="s">
        <v>127</v>
      </c>
      <c r="S4647" t="str">
        <f t="shared" si="1840"/>
        <v>15:17:26.000</v>
      </c>
      <c r="T4647" t="str">
        <f t="shared" si="1840"/>
        <v>15:17:26.000</v>
      </c>
      <c r="U4647" t="str">
        <f t="shared" si="1826"/>
        <v>A68FCB</v>
      </c>
      <c r="V4647">
        <v>0</v>
      </c>
      <c r="W4647">
        <v>0</v>
      </c>
      <c r="X4647">
        <v>2</v>
      </c>
      <c r="Y4647">
        <v>0</v>
      </c>
      <c r="AA4647">
        <v>1</v>
      </c>
      <c r="AB4647">
        <v>8</v>
      </c>
      <c r="AC4647">
        <v>3</v>
      </c>
      <c r="AD4647">
        <v>0</v>
      </c>
      <c r="AE4647">
        <v>9</v>
      </c>
      <c r="AF4647" t="s">
        <v>138</v>
      </c>
      <c r="AG4647">
        <v>0</v>
      </c>
      <c r="AH4647">
        <v>3</v>
      </c>
      <c r="AI4647">
        <v>2</v>
      </c>
      <c r="AJ4647">
        <v>0</v>
      </c>
      <c r="AK4647" t="s">
        <v>1482</v>
      </c>
      <c r="AL4647">
        <v>39.215806000000001</v>
      </c>
      <c r="AM4647" t="s">
        <v>1483</v>
      </c>
      <c r="AN4647">
        <v>-121.00258100000001</v>
      </c>
      <c r="AO4647">
        <v>25</v>
      </c>
      <c r="AP4647">
        <v>4200</v>
      </c>
      <c r="AQ4647" t="s">
        <v>131</v>
      </c>
      <c r="AR4647">
        <v>31</v>
      </c>
      <c r="AS4647">
        <v>76</v>
      </c>
      <c r="AT4647">
        <v>-192</v>
      </c>
      <c r="BB4647" t="str">
        <f t="shared" si="1827"/>
        <v>1200</v>
      </c>
      <c r="BC4647">
        <v>1</v>
      </c>
      <c r="BD4647" t="str">
        <f t="shared" si="1828"/>
        <v xml:space="preserve">N52156  </v>
      </c>
      <c r="BE4647">
        <v>1</v>
      </c>
      <c r="BG4647">
        <v>0</v>
      </c>
      <c r="BH4647">
        <v>0</v>
      </c>
      <c r="BI4647">
        <v>0</v>
      </c>
      <c r="BJ4647">
        <v>4200</v>
      </c>
      <c r="BK4647">
        <v>0</v>
      </c>
      <c r="BL4647" t="s">
        <v>188</v>
      </c>
      <c r="BM4647">
        <v>1</v>
      </c>
      <c r="BN4647">
        <v>1</v>
      </c>
      <c r="BO4647">
        <v>0</v>
      </c>
      <c r="BP4647">
        <v>0</v>
      </c>
      <c r="BS4647">
        <v>0</v>
      </c>
      <c r="BT4647">
        <v>0</v>
      </c>
      <c r="BU4647">
        <v>0</v>
      </c>
      <c r="CE4647" t="str">
        <f t="shared" si="1841"/>
        <v>15:17:26.355</v>
      </c>
      <c r="CF4647">
        <v>354507091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4</v>
      </c>
      <c r="CY4647">
        <v>7</v>
      </c>
      <c r="CZ4647" t="s">
        <v>133</v>
      </c>
      <c r="DA4647">
        <v>275</v>
      </c>
      <c r="DB4647">
        <v>0</v>
      </c>
      <c r="DC4647" t="s">
        <v>134</v>
      </c>
      <c r="DD4647" t="s">
        <v>135</v>
      </c>
      <c r="DG4647">
        <v>3323339</v>
      </c>
      <c r="DI4647">
        <v>1</v>
      </c>
      <c r="DJ4647">
        <v>0</v>
      </c>
      <c r="DK4647">
        <v>1</v>
      </c>
      <c r="DL4647">
        <v>0</v>
      </c>
      <c r="DM4647">
        <v>0</v>
      </c>
      <c r="DN4647">
        <v>0</v>
      </c>
      <c r="DO4647">
        <v>0</v>
      </c>
      <c r="DP4647">
        <v>0</v>
      </c>
      <c r="DQ4647">
        <v>0</v>
      </c>
      <c r="DR4647">
        <v>0</v>
      </c>
      <c r="DS4647">
        <v>0</v>
      </c>
    </row>
    <row r="4648" spans="1:123" x14ac:dyDescent="0.3">
      <c r="A4648" t="str">
        <f>"05/01/2025 15:17:26.604"</f>
        <v>05/01/2025 15:17:26.604</v>
      </c>
      <c r="C4648" t="str">
        <f t="shared" si="1824"/>
        <v>FFDFD3C0</v>
      </c>
      <c r="D4648" t="s">
        <v>136</v>
      </c>
      <c r="E4648" t="str">
        <f>"20"</f>
        <v>20</v>
      </c>
      <c r="H4648">
        <v>400</v>
      </c>
      <c r="I4648" t="s">
        <v>137</v>
      </c>
      <c r="J4648" t="s">
        <v>138</v>
      </c>
      <c r="K4648">
        <v>0</v>
      </c>
      <c r="L4648">
        <v>3</v>
      </c>
      <c r="M4648">
        <v>0</v>
      </c>
      <c r="N4648">
        <v>2</v>
      </c>
      <c r="O4648">
        <v>0</v>
      </c>
      <c r="P4648">
        <v>1</v>
      </c>
      <c r="Q4648">
        <v>0</v>
      </c>
      <c r="R4648" t="s">
        <v>127</v>
      </c>
      <c r="S4648" t="str">
        <f t="shared" si="1840"/>
        <v>15:17:26.000</v>
      </c>
      <c r="T4648" t="str">
        <f t="shared" si="1840"/>
        <v>15:17:26.000</v>
      </c>
      <c r="U4648" t="str">
        <f t="shared" si="1826"/>
        <v>A68FCB</v>
      </c>
      <c r="V4648">
        <v>0</v>
      </c>
      <c r="W4648">
        <v>0</v>
      </c>
      <c r="X4648">
        <v>2</v>
      </c>
      <c r="Y4648">
        <v>0</v>
      </c>
      <c r="AA4648">
        <v>1</v>
      </c>
      <c r="AB4648">
        <v>8</v>
      </c>
      <c r="AC4648">
        <v>3</v>
      </c>
      <c r="AD4648">
        <v>0</v>
      </c>
      <c r="AE4648">
        <v>9</v>
      </c>
      <c r="AF4648" t="s">
        <v>138</v>
      </c>
      <c r="AG4648">
        <v>0</v>
      </c>
      <c r="AH4648">
        <v>3</v>
      </c>
      <c r="AI4648">
        <v>2</v>
      </c>
      <c r="AJ4648">
        <v>0</v>
      </c>
      <c r="AK4648" t="s">
        <v>1482</v>
      </c>
      <c r="AL4648">
        <v>39.215806000000001</v>
      </c>
      <c r="AM4648" t="s">
        <v>1483</v>
      </c>
      <c r="AN4648">
        <v>-121.00258100000001</v>
      </c>
      <c r="AO4648">
        <v>25</v>
      </c>
      <c r="AP4648">
        <v>4200</v>
      </c>
      <c r="AQ4648" t="s">
        <v>131</v>
      </c>
      <c r="AR4648">
        <v>31</v>
      </c>
      <c r="AS4648">
        <v>76</v>
      </c>
      <c r="AT4648">
        <v>-192</v>
      </c>
      <c r="BB4648" t="str">
        <f t="shared" si="1827"/>
        <v>1200</v>
      </c>
      <c r="BC4648">
        <v>1</v>
      </c>
      <c r="BD4648" t="str">
        <f t="shared" si="1828"/>
        <v xml:space="preserve">N52156  </v>
      </c>
      <c r="BE4648">
        <v>1</v>
      </c>
      <c r="BG4648">
        <v>0</v>
      </c>
      <c r="BH4648">
        <v>0</v>
      </c>
      <c r="BI4648">
        <v>0</v>
      </c>
      <c r="BJ4648">
        <v>4200</v>
      </c>
      <c r="BK4648">
        <v>0</v>
      </c>
      <c r="BL4648" t="s">
        <v>188</v>
      </c>
      <c r="BM4648">
        <v>1</v>
      </c>
      <c r="BN4648">
        <v>1</v>
      </c>
      <c r="BO4648">
        <v>0</v>
      </c>
      <c r="BP4648">
        <v>0</v>
      </c>
      <c r="BS4648">
        <v>0</v>
      </c>
      <c r="BT4648">
        <v>0</v>
      </c>
      <c r="BU4648">
        <v>0</v>
      </c>
      <c r="CE4648" t="str">
        <f t="shared" si="1841"/>
        <v>15:17:26.355</v>
      </c>
      <c r="CF4648">
        <v>354507091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4</v>
      </c>
      <c r="CY4648">
        <v>7</v>
      </c>
      <c r="CZ4648" t="s">
        <v>133</v>
      </c>
      <c r="DA4648">
        <v>275</v>
      </c>
      <c r="DB4648">
        <v>0</v>
      </c>
      <c r="DC4648" t="s">
        <v>134</v>
      </c>
      <c r="DD4648" t="s">
        <v>135</v>
      </c>
      <c r="DG4648">
        <v>3323339</v>
      </c>
      <c r="DI4648">
        <v>1</v>
      </c>
      <c r="DJ4648">
        <v>0</v>
      </c>
      <c r="DK4648">
        <v>1</v>
      </c>
      <c r="DL4648">
        <v>0</v>
      </c>
      <c r="DM4648">
        <v>0</v>
      </c>
      <c r="DN4648">
        <v>0</v>
      </c>
      <c r="DO4648">
        <v>0</v>
      </c>
      <c r="DP4648">
        <v>0</v>
      </c>
      <c r="DQ4648">
        <v>0</v>
      </c>
      <c r="DR4648">
        <v>0</v>
      </c>
      <c r="DS4648">
        <v>0</v>
      </c>
    </row>
    <row r="4649" spans="1:123" x14ac:dyDescent="0.3">
      <c r="A4649" t="str">
        <f>"05/01/2025 15:17:26.621"</f>
        <v>05/01/2025 15:17:26.621</v>
      </c>
      <c r="C4649" t="str">
        <f t="shared" si="1824"/>
        <v>FFDFD3C0</v>
      </c>
      <c r="D4649" t="s">
        <v>124</v>
      </c>
      <c r="E4649" t="str">
        <f>"06"</f>
        <v>06</v>
      </c>
      <c r="F4649">
        <v>2006</v>
      </c>
      <c r="G4649" t="s">
        <v>125</v>
      </c>
      <c r="J4649" t="s">
        <v>126</v>
      </c>
      <c r="K4649">
        <v>0</v>
      </c>
      <c r="L4649">
        <v>3</v>
      </c>
      <c r="M4649">
        <v>0</v>
      </c>
      <c r="N4649">
        <v>2</v>
      </c>
      <c r="O4649">
        <v>0</v>
      </c>
      <c r="P4649">
        <v>1</v>
      </c>
      <c r="Q4649">
        <v>0</v>
      </c>
      <c r="R4649" t="s">
        <v>127</v>
      </c>
      <c r="S4649" t="str">
        <f t="shared" si="1840"/>
        <v>15:17:26.000</v>
      </c>
      <c r="T4649" t="str">
        <f t="shared" si="1840"/>
        <v>15:17:26.000</v>
      </c>
      <c r="U4649" t="str">
        <f t="shared" si="1826"/>
        <v>A68FCB</v>
      </c>
      <c r="V4649">
        <v>0</v>
      </c>
      <c r="W4649">
        <v>0</v>
      </c>
      <c r="X4649">
        <v>2</v>
      </c>
      <c r="Y4649">
        <v>0</v>
      </c>
      <c r="AA4649">
        <v>1</v>
      </c>
      <c r="AB4649">
        <v>8</v>
      </c>
      <c r="AC4649">
        <v>3</v>
      </c>
      <c r="AD4649">
        <v>0</v>
      </c>
      <c r="AE4649">
        <v>9</v>
      </c>
      <c r="AF4649" t="s">
        <v>138</v>
      </c>
      <c r="AG4649">
        <v>0</v>
      </c>
      <c r="AH4649">
        <v>3</v>
      </c>
      <c r="AI4649">
        <v>2</v>
      </c>
      <c r="AJ4649">
        <v>0</v>
      </c>
      <c r="AK4649" t="s">
        <v>1482</v>
      </c>
      <c r="AL4649">
        <v>39.215806000000001</v>
      </c>
      <c r="AM4649" t="s">
        <v>1483</v>
      </c>
      <c r="AN4649">
        <v>-121.00258100000001</v>
      </c>
      <c r="AO4649">
        <v>25</v>
      </c>
      <c r="AP4649">
        <v>4200</v>
      </c>
      <c r="AQ4649" t="s">
        <v>131</v>
      </c>
      <c r="AR4649">
        <v>31</v>
      </c>
      <c r="AS4649">
        <v>76</v>
      </c>
      <c r="AT4649">
        <v>-192</v>
      </c>
      <c r="BB4649" t="str">
        <f t="shared" si="1827"/>
        <v>1200</v>
      </c>
      <c r="BC4649">
        <v>1</v>
      </c>
      <c r="BD4649" t="str">
        <f t="shared" si="1828"/>
        <v xml:space="preserve">N52156  </v>
      </c>
      <c r="BE4649">
        <v>1</v>
      </c>
      <c r="BG4649">
        <v>0</v>
      </c>
      <c r="BH4649">
        <v>0</v>
      </c>
      <c r="BI4649">
        <v>0</v>
      </c>
      <c r="BJ4649">
        <v>4200</v>
      </c>
      <c r="BK4649">
        <v>0</v>
      </c>
      <c r="BL4649" t="s">
        <v>188</v>
      </c>
      <c r="BM4649">
        <v>1</v>
      </c>
      <c r="BN4649">
        <v>1</v>
      </c>
      <c r="BO4649">
        <v>0</v>
      </c>
      <c r="BP4649">
        <v>0</v>
      </c>
      <c r="BS4649">
        <v>0</v>
      </c>
      <c r="BT4649">
        <v>0</v>
      </c>
      <c r="BU4649">
        <v>0</v>
      </c>
      <c r="CE4649" t="str">
        <f t="shared" si="1841"/>
        <v>15:17:26.355</v>
      </c>
      <c r="CF4649">
        <v>354507091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4</v>
      </c>
      <c r="CY4649">
        <v>7</v>
      </c>
      <c r="CZ4649" t="s">
        <v>133</v>
      </c>
      <c r="DA4649">
        <v>275</v>
      </c>
      <c r="DB4649">
        <v>0</v>
      </c>
      <c r="DC4649" t="s">
        <v>134</v>
      </c>
      <c r="DD4649" t="s">
        <v>135</v>
      </c>
      <c r="DG4649">
        <v>3323339</v>
      </c>
      <c r="DI4649">
        <v>1</v>
      </c>
      <c r="DJ4649">
        <v>0</v>
      </c>
      <c r="DK4649">
        <v>1</v>
      </c>
      <c r="DL4649">
        <v>0</v>
      </c>
      <c r="DM4649">
        <v>0</v>
      </c>
      <c r="DN4649">
        <v>0</v>
      </c>
      <c r="DO4649">
        <v>0</v>
      </c>
      <c r="DP4649">
        <v>0</v>
      </c>
      <c r="DQ4649">
        <v>0</v>
      </c>
      <c r="DR4649">
        <v>0</v>
      </c>
      <c r="DS4649">
        <v>0</v>
      </c>
    </row>
    <row r="4650" spans="1:123" x14ac:dyDescent="0.3">
      <c r="A4650" t="str">
        <f>"05/01/2025 15:17:26.620"</f>
        <v>05/01/2025 15:17:26.620</v>
      </c>
      <c r="C4650" t="str">
        <f t="shared" si="1824"/>
        <v>FFDFD3C0</v>
      </c>
      <c r="D4650" t="s">
        <v>140</v>
      </c>
      <c r="E4650" t="str">
        <f>"13"</f>
        <v>13</v>
      </c>
      <c r="F4650">
        <v>1019</v>
      </c>
      <c r="G4650" t="s">
        <v>141</v>
      </c>
      <c r="J4650" t="s">
        <v>142</v>
      </c>
      <c r="K4650">
        <v>0</v>
      </c>
      <c r="L4650">
        <v>3</v>
      </c>
      <c r="M4650">
        <v>0</v>
      </c>
      <c r="N4650">
        <v>2</v>
      </c>
      <c r="O4650">
        <v>0</v>
      </c>
      <c r="P4650">
        <v>1</v>
      </c>
      <c r="Q4650">
        <v>0</v>
      </c>
      <c r="R4650" t="s">
        <v>127</v>
      </c>
      <c r="S4650" t="str">
        <f t="shared" si="1840"/>
        <v>15:17:26.000</v>
      </c>
      <c r="T4650" t="str">
        <f t="shared" si="1840"/>
        <v>15:17:26.000</v>
      </c>
      <c r="U4650" t="str">
        <f t="shared" si="1826"/>
        <v>A68FCB</v>
      </c>
      <c r="V4650">
        <v>0</v>
      </c>
      <c r="W4650">
        <v>0</v>
      </c>
      <c r="X4650">
        <v>2</v>
      </c>
      <c r="Y4650">
        <v>0</v>
      </c>
      <c r="AA4650">
        <v>1</v>
      </c>
      <c r="AB4650">
        <v>8</v>
      </c>
      <c r="AC4650">
        <v>3</v>
      </c>
      <c r="AD4650">
        <v>0</v>
      </c>
      <c r="AE4650">
        <v>9</v>
      </c>
      <c r="AF4650" t="s">
        <v>138</v>
      </c>
      <c r="AG4650">
        <v>0</v>
      </c>
      <c r="AH4650">
        <v>3</v>
      </c>
      <c r="AI4650">
        <v>2</v>
      </c>
      <c r="AJ4650">
        <v>0</v>
      </c>
      <c r="AK4650" t="s">
        <v>1482</v>
      </c>
      <c r="AL4650">
        <v>39.215806000000001</v>
      </c>
      <c r="AM4650" t="s">
        <v>1483</v>
      </c>
      <c r="AN4650">
        <v>-121.00258100000001</v>
      </c>
      <c r="AO4650">
        <v>25</v>
      </c>
      <c r="AP4650">
        <v>4200</v>
      </c>
      <c r="AQ4650" t="s">
        <v>131</v>
      </c>
      <c r="AR4650">
        <v>31</v>
      </c>
      <c r="AS4650">
        <v>76</v>
      </c>
      <c r="AT4650">
        <v>-192</v>
      </c>
      <c r="BB4650" t="str">
        <f t="shared" si="1827"/>
        <v>1200</v>
      </c>
      <c r="BC4650">
        <v>1</v>
      </c>
      <c r="BD4650" t="str">
        <f t="shared" si="1828"/>
        <v xml:space="preserve">N52156  </v>
      </c>
      <c r="BE4650">
        <v>1</v>
      </c>
      <c r="BG4650">
        <v>0</v>
      </c>
      <c r="BH4650">
        <v>0</v>
      </c>
      <c r="BI4650">
        <v>0</v>
      </c>
      <c r="BJ4650">
        <v>4200</v>
      </c>
      <c r="BK4650">
        <v>0</v>
      </c>
      <c r="BL4650" t="s">
        <v>188</v>
      </c>
      <c r="BM4650">
        <v>1</v>
      </c>
      <c r="BN4650">
        <v>1</v>
      </c>
      <c r="BO4650">
        <v>0</v>
      </c>
      <c r="BP4650">
        <v>0</v>
      </c>
      <c r="BS4650">
        <v>0</v>
      </c>
      <c r="BT4650">
        <v>0</v>
      </c>
      <c r="BU4650">
        <v>0</v>
      </c>
      <c r="CE4650" t="str">
        <f t="shared" si="1841"/>
        <v>15:17:26.355</v>
      </c>
      <c r="CF4650">
        <v>354507091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4</v>
      </c>
      <c r="CY4650">
        <v>7</v>
      </c>
      <c r="CZ4650" t="s">
        <v>133</v>
      </c>
      <c r="DA4650">
        <v>275</v>
      </c>
      <c r="DB4650">
        <v>0</v>
      </c>
      <c r="DC4650" t="s">
        <v>134</v>
      </c>
      <c r="DD4650" t="s">
        <v>135</v>
      </c>
      <c r="DG4650">
        <v>3323339</v>
      </c>
      <c r="DI4650">
        <v>1</v>
      </c>
      <c r="DJ4650">
        <v>0</v>
      </c>
      <c r="DK4650">
        <v>1</v>
      </c>
      <c r="DL4650">
        <v>0</v>
      </c>
      <c r="DM4650">
        <v>0</v>
      </c>
      <c r="DN4650">
        <v>0</v>
      </c>
      <c r="DO4650">
        <v>0</v>
      </c>
      <c r="DP4650">
        <v>0</v>
      </c>
      <c r="DQ4650">
        <v>0</v>
      </c>
      <c r="DR4650">
        <v>0</v>
      </c>
      <c r="DS4650">
        <v>0</v>
      </c>
    </row>
    <row r="4651" spans="1:123" x14ac:dyDescent="0.3">
      <c r="A4651" t="str">
        <f>"05/01/2025 15:17:26.628"</f>
        <v>05/01/2025 15:17:26.628</v>
      </c>
      <c r="C4651" t="str">
        <f t="shared" si="1824"/>
        <v>FFDFD3C0</v>
      </c>
      <c r="D4651" t="s">
        <v>143</v>
      </c>
      <c r="E4651" t="str">
        <f>"05"</f>
        <v>05</v>
      </c>
      <c r="H4651">
        <v>172</v>
      </c>
      <c r="I4651" t="s">
        <v>141</v>
      </c>
      <c r="J4651" t="s">
        <v>144</v>
      </c>
      <c r="K4651">
        <v>0</v>
      </c>
      <c r="L4651">
        <v>3</v>
      </c>
      <c r="M4651">
        <v>0</v>
      </c>
      <c r="N4651">
        <v>2</v>
      </c>
      <c r="O4651">
        <v>0</v>
      </c>
      <c r="P4651">
        <v>1</v>
      </c>
      <c r="Q4651">
        <v>0</v>
      </c>
      <c r="R4651" t="s">
        <v>127</v>
      </c>
      <c r="S4651" t="str">
        <f t="shared" si="1840"/>
        <v>15:17:26.000</v>
      </c>
      <c r="T4651" t="str">
        <f t="shared" si="1840"/>
        <v>15:17:26.000</v>
      </c>
      <c r="U4651" t="str">
        <f t="shared" si="1826"/>
        <v>A68FCB</v>
      </c>
      <c r="V4651">
        <v>0</v>
      </c>
      <c r="W4651">
        <v>0</v>
      </c>
      <c r="X4651">
        <v>2</v>
      </c>
      <c r="Y4651">
        <v>0</v>
      </c>
      <c r="AA4651">
        <v>1</v>
      </c>
      <c r="AB4651">
        <v>8</v>
      </c>
      <c r="AC4651">
        <v>3</v>
      </c>
      <c r="AD4651">
        <v>0</v>
      </c>
      <c r="AE4651">
        <v>9</v>
      </c>
      <c r="AF4651" t="s">
        <v>138</v>
      </c>
      <c r="AG4651">
        <v>0</v>
      </c>
      <c r="AH4651">
        <v>3</v>
      </c>
      <c r="AI4651">
        <v>2</v>
      </c>
      <c r="AJ4651">
        <v>0</v>
      </c>
      <c r="AK4651" t="s">
        <v>1482</v>
      </c>
      <c r="AL4651">
        <v>39.215806000000001</v>
      </c>
      <c r="AM4651" t="s">
        <v>1483</v>
      </c>
      <c r="AN4651">
        <v>-121.00258100000001</v>
      </c>
      <c r="AO4651">
        <v>25</v>
      </c>
      <c r="AP4651">
        <v>4200</v>
      </c>
      <c r="AQ4651" t="s">
        <v>131</v>
      </c>
      <c r="AR4651">
        <v>31</v>
      </c>
      <c r="AS4651">
        <v>76</v>
      </c>
      <c r="AT4651">
        <v>-192</v>
      </c>
      <c r="BB4651" t="str">
        <f t="shared" si="1827"/>
        <v>1200</v>
      </c>
      <c r="BC4651">
        <v>1</v>
      </c>
      <c r="BD4651" t="str">
        <f t="shared" si="1828"/>
        <v xml:space="preserve">N52156  </v>
      </c>
      <c r="BE4651">
        <v>1</v>
      </c>
      <c r="BG4651">
        <v>0</v>
      </c>
      <c r="BH4651">
        <v>0</v>
      </c>
      <c r="BI4651">
        <v>0</v>
      </c>
      <c r="BJ4651">
        <v>4200</v>
      </c>
      <c r="BK4651">
        <v>0</v>
      </c>
      <c r="BL4651" t="s">
        <v>188</v>
      </c>
      <c r="BM4651">
        <v>1</v>
      </c>
      <c r="BN4651">
        <v>1</v>
      </c>
      <c r="BO4651">
        <v>0</v>
      </c>
      <c r="BP4651">
        <v>0</v>
      </c>
      <c r="BS4651">
        <v>0</v>
      </c>
      <c r="BT4651">
        <v>0</v>
      </c>
      <c r="BU4651">
        <v>0</v>
      </c>
      <c r="CE4651" t="str">
        <f t="shared" si="1841"/>
        <v>15:17:26.355</v>
      </c>
      <c r="CF4651">
        <v>354507091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4</v>
      </c>
      <c r="CY4651">
        <v>7</v>
      </c>
      <c r="CZ4651" t="s">
        <v>133</v>
      </c>
      <c r="DA4651">
        <v>275</v>
      </c>
      <c r="DB4651">
        <v>0</v>
      </c>
      <c r="DC4651" t="s">
        <v>134</v>
      </c>
      <c r="DD4651" t="s">
        <v>135</v>
      </c>
      <c r="DG4651">
        <v>3323339</v>
      </c>
      <c r="DI4651">
        <v>1</v>
      </c>
      <c r="DJ4651">
        <v>0</v>
      </c>
      <c r="DK4651">
        <v>1</v>
      </c>
      <c r="DL4651">
        <v>0</v>
      </c>
      <c r="DM4651">
        <v>0</v>
      </c>
      <c r="DN4651">
        <v>0</v>
      </c>
      <c r="DO4651">
        <v>0</v>
      </c>
      <c r="DP4651">
        <v>0</v>
      </c>
      <c r="DQ4651">
        <v>0</v>
      </c>
      <c r="DR4651">
        <v>0</v>
      </c>
      <c r="DS4651">
        <v>0</v>
      </c>
    </row>
    <row r="4652" spans="1:123" x14ac:dyDescent="0.3">
      <c r="A4652" t="str">
        <f>"05/01/2025 15:17:28.030"</f>
        <v>05/01/2025 15:17:28.030</v>
      </c>
      <c r="C4652" t="str">
        <f t="shared" si="1824"/>
        <v>FFDFD3C0</v>
      </c>
      <c r="D4652" t="s">
        <v>143</v>
      </c>
      <c r="E4652" t="str">
        <f>"05"</f>
        <v>05</v>
      </c>
      <c r="H4652">
        <v>172</v>
      </c>
      <c r="I4652" t="s">
        <v>141</v>
      </c>
      <c r="J4652" t="s">
        <v>144</v>
      </c>
      <c r="K4652">
        <v>0</v>
      </c>
      <c r="L4652">
        <v>3</v>
      </c>
      <c r="M4652">
        <v>0</v>
      </c>
      <c r="N4652">
        <v>2</v>
      </c>
      <c r="O4652">
        <v>0</v>
      </c>
      <c r="P4652">
        <v>1</v>
      </c>
      <c r="Q4652">
        <v>0</v>
      </c>
      <c r="R4652" t="s">
        <v>127</v>
      </c>
      <c r="S4652" t="str">
        <f t="shared" ref="S4652:T4657" si="1842">"15:17:27.000"</f>
        <v>15:17:27.000</v>
      </c>
      <c r="T4652" t="str">
        <f t="shared" si="1842"/>
        <v>15:17:27.000</v>
      </c>
      <c r="U4652" t="str">
        <f t="shared" si="1826"/>
        <v>A68FCB</v>
      </c>
      <c r="V4652">
        <v>0</v>
      </c>
      <c r="W4652">
        <v>0</v>
      </c>
      <c r="X4652">
        <v>2</v>
      </c>
      <c r="Y4652">
        <v>0</v>
      </c>
      <c r="AA4652">
        <v>1</v>
      </c>
      <c r="AB4652">
        <v>8</v>
      </c>
      <c r="AC4652">
        <v>3</v>
      </c>
      <c r="AD4652">
        <v>0</v>
      </c>
      <c r="AE4652">
        <v>9</v>
      </c>
      <c r="AF4652" t="s">
        <v>138</v>
      </c>
      <c r="AG4652">
        <v>0</v>
      </c>
      <c r="AH4652">
        <v>3</v>
      </c>
      <c r="AI4652">
        <v>2</v>
      </c>
      <c r="AJ4652">
        <v>0</v>
      </c>
      <c r="AK4652" t="s">
        <v>1484</v>
      </c>
      <c r="AL4652">
        <v>39.216169999999998</v>
      </c>
      <c r="AM4652" t="s">
        <v>1485</v>
      </c>
      <c r="AN4652">
        <v>-121.002388</v>
      </c>
      <c r="AO4652">
        <v>25</v>
      </c>
      <c r="AP4652">
        <v>4200</v>
      </c>
      <c r="AQ4652" t="s">
        <v>131</v>
      </c>
      <c r="AR4652">
        <v>31</v>
      </c>
      <c r="AS4652">
        <v>76</v>
      </c>
      <c r="AT4652">
        <v>-192</v>
      </c>
      <c r="BB4652" t="str">
        <f t="shared" si="1827"/>
        <v>1200</v>
      </c>
      <c r="BC4652">
        <v>1</v>
      </c>
      <c r="BD4652" t="str">
        <f t="shared" si="1828"/>
        <v xml:space="preserve">N52156  </v>
      </c>
      <c r="BE4652">
        <v>1</v>
      </c>
      <c r="BG4652">
        <v>0</v>
      </c>
      <c r="BH4652">
        <v>0</v>
      </c>
      <c r="BI4652">
        <v>0</v>
      </c>
      <c r="BJ4652">
        <v>4200</v>
      </c>
      <c r="BK4652">
        <v>0</v>
      </c>
      <c r="BL4652" t="s">
        <v>188</v>
      </c>
      <c r="BM4652">
        <v>1</v>
      </c>
      <c r="BN4652">
        <v>1</v>
      </c>
      <c r="BO4652">
        <v>0</v>
      </c>
      <c r="BP4652">
        <v>0</v>
      </c>
      <c r="BS4652">
        <v>0</v>
      </c>
      <c r="BT4652">
        <v>0</v>
      </c>
      <c r="BU4652">
        <v>0</v>
      </c>
      <c r="CE4652" t="str">
        <f t="shared" ref="CE4652:CE4657" si="1843">"15:17:27.822"</f>
        <v>15:17:27.822</v>
      </c>
      <c r="CF4652">
        <v>822258417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4</v>
      </c>
      <c r="CY4652">
        <v>7</v>
      </c>
      <c r="CZ4652" t="s">
        <v>133</v>
      </c>
      <c r="DA4652">
        <v>275</v>
      </c>
      <c r="DB4652">
        <v>0</v>
      </c>
      <c r="DC4652" t="s">
        <v>134</v>
      </c>
      <c r="DD4652" t="s">
        <v>135</v>
      </c>
      <c r="DG4652">
        <v>3323341</v>
      </c>
      <c r="DI4652">
        <v>1</v>
      </c>
      <c r="DJ4652">
        <v>0</v>
      </c>
      <c r="DK4652">
        <v>0</v>
      </c>
      <c r="DL4652">
        <v>0</v>
      </c>
      <c r="DM4652">
        <v>0</v>
      </c>
      <c r="DN4652">
        <v>0</v>
      </c>
      <c r="DO4652">
        <v>0</v>
      </c>
      <c r="DP4652">
        <v>0</v>
      </c>
      <c r="DQ4652">
        <v>0</v>
      </c>
      <c r="DR4652">
        <v>0</v>
      </c>
      <c r="DS4652">
        <v>0</v>
      </c>
    </row>
    <row r="4653" spans="1:123" x14ac:dyDescent="0.3">
      <c r="A4653" t="str">
        <f>"05/01/2025 15:17:28.043"</f>
        <v>05/01/2025 15:17:28.043</v>
      </c>
      <c r="C4653" t="str">
        <f t="shared" si="1824"/>
        <v>FFDFD3C0</v>
      </c>
      <c r="D4653" t="s">
        <v>145</v>
      </c>
      <c r="E4653" t="str">
        <f>"09"</f>
        <v>09</v>
      </c>
      <c r="H4653">
        <v>51</v>
      </c>
      <c r="I4653" t="s">
        <v>147</v>
      </c>
      <c r="J4653" t="s">
        <v>138</v>
      </c>
      <c r="K4653">
        <v>0</v>
      </c>
      <c r="L4653">
        <v>3</v>
      </c>
      <c r="M4653">
        <v>0</v>
      </c>
      <c r="N4653">
        <v>2</v>
      </c>
      <c r="O4653">
        <v>0</v>
      </c>
      <c r="P4653">
        <v>1</v>
      </c>
      <c r="Q4653">
        <v>0</v>
      </c>
      <c r="R4653" t="s">
        <v>127</v>
      </c>
      <c r="S4653" t="str">
        <f t="shared" si="1842"/>
        <v>15:17:27.000</v>
      </c>
      <c r="T4653" t="str">
        <f t="shared" si="1842"/>
        <v>15:17:27.000</v>
      </c>
      <c r="U4653" t="str">
        <f t="shared" si="1826"/>
        <v>A68FCB</v>
      </c>
      <c r="V4653">
        <v>0</v>
      </c>
      <c r="W4653">
        <v>0</v>
      </c>
      <c r="X4653">
        <v>2</v>
      </c>
      <c r="Y4653">
        <v>0</v>
      </c>
      <c r="AA4653">
        <v>1</v>
      </c>
      <c r="AB4653">
        <v>8</v>
      </c>
      <c r="AC4653">
        <v>3</v>
      </c>
      <c r="AD4653">
        <v>0</v>
      </c>
      <c r="AE4653">
        <v>9</v>
      </c>
      <c r="AF4653" t="s">
        <v>138</v>
      </c>
      <c r="AG4653">
        <v>0</v>
      </c>
      <c r="AH4653">
        <v>3</v>
      </c>
      <c r="AI4653">
        <v>2</v>
      </c>
      <c r="AJ4653">
        <v>0</v>
      </c>
      <c r="AK4653" t="s">
        <v>1484</v>
      </c>
      <c r="AL4653">
        <v>39.216169999999998</v>
      </c>
      <c r="AM4653" t="s">
        <v>1485</v>
      </c>
      <c r="AN4653">
        <v>-121.002388</v>
      </c>
      <c r="AO4653">
        <v>25</v>
      </c>
      <c r="AP4653">
        <v>4200</v>
      </c>
      <c r="AQ4653" t="s">
        <v>131</v>
      </c>
      <c r="AR4653">
        <v>31</v>
      </c>
      <c r="AS4653">
        <v>76</v>
      </c>
      <c r="AT4653">
        <v>-192</v>
      </c>
      <c r="BB4653" t="str">
        <f t="shared" si="1827"/>
        <v>1200</v>
      </c>
      <c r="BC4653">
        <v>1</v>
      </c>
      <c r="BD4653" t="str">
        <f t="shared" si="1828"/>
        <v xml:space="preserve">N52156  </v>
      </c>
      <c r="BE4653">
        <v>1</v>
      </c>
      <c r="BG4653">
        <v>0</v>
      </c>
      <c r="BH4653">
        <v>0</v>
      </c>
      <c r="BI4653">
        <v>0</v>
      </c>
      <c r="BJ4653">
        <v>4200</v>
      </c>
      <c r="BK4653">
        <v>0</v>
      </c>
      <c r="BL4653" t="s">
        <v>188</v>
      </c>
      <c r="BM4653">
        <v>1</v>
      </c>
      <c r="BN4653">
        <v>1</v>
      </c>
      <c r="BO4653">
        <v>0</v>
      </c>
      <c r="BP4653">
        <v>0</v>
      </c>
      <c r="BS4653">
        <v>0</v>
      </c>
      <c r="BT4653">
        <v>0</v>
      </c>
      <c r="BU4653">
        <v>0</v>
      </c>
      <c r="CE4653" t="str">
        <f t="shared" si="1843"/>
        <v>15:17:27.822</v>
      </c>
      <c r="CF4653">
        <v>822258417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4</v>
      </c>
      <c r="CY4653">
        <v>7</v>
      </c>
      <c r="CZ4653" t="s">
        <v>133</v>
      </c>
      <c r="DA4653">
        <v>275</v>
      </c>
      <c r="DB4653">
        <v>0</v>
      </c>
      <c r="DC4653" t="s">
        <v>134</v>
      </c>
      <c r="DD4653" t="s">
        <v>135</v>
      </c>
      <c r="DG4653">
        <v>3323341</v>
      </c>
      <c r="DI4653">
        <v>1</v>
      </c>
      <c r="DJ4653">
        <v>0</v>
      </c>
      <c r="DK4653">
        <v>1</v>
      </c>
      <c r="DL4653">
        <v>0</v>
      </c>
      <c r="DM4653">
        <v>0</v>
      </c>
      <c r="DN4653">
        <v>0</v>
      </c>
      <c r="DO4653">
        <v>0</v>
      </c>
      <c r="DP4653">
        <v>0</v>
      </c>
      <c r="DQ4653">
        <v>0</v>
      </c>
      <c r="DR4653">
        <v>0</v>
      </c>
      <c r="DS4653">
        <v>0</v>
      </c>
    </row>
    <row r="4654" spans="1:123" x14ac:dyDescent="0.3">
      <c r="A4654" t="str">
        <f>"05/01/2025 15:17:28.046"</f>
        <v>05/01/2025 15:17:28.046</v>
      </c>
      <c r="C4654" t="str">
        <f t="shared" si="1824"/>
        <v>FFDFD3C0</v>
      </c>
      <c r="D4654" t="s">
        <v>145</v>
      </c>
      <c r="E4654" t="str">
        <f>"05"</f>
        <v>05</v>
      </c>
      <c r="H4654">
        <v>47</v>
      </c>
      <c r="I4654" t="s">
        <v>146</v>
      </c>
      <c r="J4654" t="s">
        <v>138</v>
      </c>
      <c r="K4654">
        <v>0</v>
      </c>
      <c r="L4654">
        <v>3</v>
      </c>
      <c r="M4654">
        <v>0</v>
      </c>
      <c r="N4654">
        <v>2</v>
      </c>
      <c r="O4654">
        <v>0</v>
      </c>
      <c r="P4654">
        <v>1</v>
      </c>
      <c r="Q4654">
        <v>0</v>
      </c>
      <c r="R4654" t="s">
        <v>127</v>
      </c>
      <c r="S4654" t="str">
        <f t="shared" si="1842"/>
        <v>15:17:27.000</v>
      </c>
      <c r="T4654" t="str">
        <f t="shared" si="1842"/>
        <v>15:17:27.000</v>
      </c>
      <c r="U4654" t="str">
        <f t="shared" si="1826"/>
        <v>A68FCB</v>
      </c>
      <c r="V4654">
        <v>0</v>
      </c>
      <c r="W4654">
        <v>0</v>
      </c>
      <c r="X4654">
        <v>2</v>
      </c>
      <c r="Y4654">
        <v>0</v>
      </c>
      <c r="AA4654">
        <v>1</v>
      </c>
      <c r="AB4654">
        <v>8</v>
      </c>
      <c r="AC4654">
        <v>3</v>
      </c>
      <c r="AD4654">
        <v>0</v>
      </c>
      <c r="AE4654">
        <v>9</v>
      </c>
      <c r="AF4654" t="s">
        <v>138</v>
      </c>
      <c r="AG4654">
        <v>0</v>
      </c>
      <c r="AH4654">
        <v>3</v>
      </c>
      <c r="AI4654">
        <v>2</v>
      </c>
      <c r="AJ4654">
        <v>0</v>
      </c>
      <c r="AK4654" t="s">
        <v>1484</v>
      </c>
      <c r="AL4654">
        <v>39.216169999999998</v>
      </c>
      <c r="AM4654" t="s">
        <v>1485</v>
      </c>
      <c r="AN4654">
        <v>-121.002388</v>
      </c>
      <c r="AO4654">
        <v>25</v>
      </c>
      <c r="AP4654">
        <v>4200</v>
      </c>
      <c r="AQ4654" t="s">
        <v>131</v>
      </c>
      <c r="AR4654">
        <v>31</v>
      </c>
      <c r="AS4654">
        <v>76</v>
      </c>
      <c r="AT4654">
        <v>-192</v>
      </c>
      <c r="BB4654" t="str">
        <f t="shared" si="1827"/>
        <v>1200</v>
      </c>
      <c r="BC4654">
        <v>1</v>
      </c>
      <c r="BD4654" t="str">
        <f t="shared" si="1828"/>
        <v xml:space="preserve">N52156  </v>
      </c>
      <c r="BE4654">
        <v>1</v>
      </c>
      <c r="BG4654">
        <v>0</v>
      </c>
      <c r="BH4654">
        <v>0</v>
      </c>
      <c r="BI4654">
        <v>0</v>
      </c>
      <c r="BJ4654">
        <v>4200</v>
      </c>
      <c r="BK4654">
        <v>0</v>
      </c>
      <c r="BL4654" t="s">
        <v>188</v>
      </c>
      <c r="BM4654">
        <v>1</v>
      </c>
      <c r="BN4654">
        <v>1</v>
      </c>
      <c r="BO4654">
        <v>0</v>
      </c>
      <c r="BP4654">
        <v>0</v>
      </c>
      <c r="BS4654">
        <v>0</v>
      </c>
      <c r="BT4654">
        <v>0</v>
      </c>
      <c r="BU4654">
        <v>0</v>
      </c>
      <c r="CE4654" t="str">
        <f t="shared" si="1843"/>
        <v>15:17:27.822</v>
      </c>
      <c r="CF4654">
        <v>822258417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4</v>
      </c>
      <c r="CY4654">
        <v>7</v>
      </c>
      <c r="CZ4654" t="s">
        <v>133</v>
      </c>
      <c r="DA4654">
        <v>275</v>
      </c>
      <c r="DB4654">
        <v>0</v>
      </c>
      <c r="DC4654" t="s">
        <v>134</v>
      </c>
      <c r="DD4654" t="s">
        <v>135</v>
      </c>
      <c r="DG4654">
        <v>3323341</v>
      </c>
      <c r="DI4654">
        <v>1</v>
      </c>
      <c r="DJ4654">
        <v>0</v>
      </c>
      <c r="DK4654">
        <v>1</v>
      </c>
      <c r="DL4654">
        <v>0</v>
      </c>
      <c r="DM4654">
        <v>0</v>
      </c>
      <c r="DN4654">
        <v>0</v>
      </c>
      <c r="DO4654">
        <v>0</v>
      </c>
      <c r="DP4654">
        <v>0</v>
      </c>
      <c r="DQ4654">
        <v>0</v>
      </c>
      <c r="DR4654">
        <v>0</v>
      </c>
      <c r="DS4654">
        <v>0</v>
      </c>
    </row>
    <row r="4655" spans="1:123" x14ac:dyDescent="0.3">
      <c r="A4655" t="str">
        <f>"05/01/2025 15:17:28.057"</f>
        <v>05/01/2025 15:17:28.057</v>
      </c>
      <c r="C4655" t="str">
        <f t="shared" si="1824"/>
        <v>FFDFD3C0</v>
      </c>
      <c r="D4655" t="s">
        <v>136</v>
      </c>
      <c r="E4655" t="str">
        <f>"20"</f>
        <v>20</v>
      </c>
      <c r="H4655">
        <v>400</v>
      </c>
      <c r="I4655" t="s">
        <v>137</v>
      </c>
      <c r="J4655" t="s">
        <v>138</v>
      </c>
      <c r="K4655">
        <v>0</v>
      </c>
      <c r="L4655">
        <v>3</v>
      </c>
      <c r="M4655">
        <v>0</v>
      </c>
      <c r="N4655">
        <v>2</v>
      </c>
      <c r="O4655">
        <v>0</v>
      </c>
      <c r="P4655">
        <v>1</v>
      </c>
      <c r="Q4655">
        <v>0</v>
      </c>
      <c r="R4655" t="s">
        <v>127</v>
      </c>
      <c r="S4655" t="str">
        <f t="shared" si="1842"/>
        <v>15:17:27.000</v>
      </c>
      <c r="T4655" t="str">
        <f t="shared" si="1842"/>
        <v>15:17:27.000</v>
      </c>
      <c r="U4655" t="str">
        <f t="shared" si="1826"/>
        <v>A68FCB</v>
      </c>
      <c r="V4655">
        <v>0</v>
      </c>
      <c r="W4655">
        <v>0</v>
      </c>
      <c r="X4655">
        <v>2</v>
      </c>
      <c r="Y4655">
        <v>0</v>
      </c>
      <c r="AA4655">
        <v>1</v>
      </c>
      <c r="AB4655">
        <v>8</v>
      </c>
      <c r="AC4655">
        <v>3</v>
      </c>
      <c r="AD4655">
        <v>0</v>
      </c>
      <c r="AE4655">
        <v>9</v>
      </c>
      <c r="AF4655" t="s">
        <v>138</v>
      </c>
      <c r="AG4655">
        <v>0</v>
      </c>
      <c r="AH4655">
        <v>3</v>
      </c>
      <c r="AI4655">
        <v>2</v>
      </c>
      <c r="AJ4655">
        <v>0</v>
      </c>
      <c r="AK4655" t="s">
        <v>1484</v>
      </c>
      <c r="AL4655">
        <v>39.216169999999998</v>
      </c>
      <c r="AM4655" t="s">
        <v>1485</v>
      </c>
      <c r="AN4655">
        <v>-121.002388</v>
      </c>
      <c r="AO4655">
        <v>25</v>
      </c>
      <c r="AP4655">
        <v>4200</v>
      </c>
      <c r="AQ4655" t="s">
        <v>131</v>
      </c>
      <c r="AR4655">
        <v>31</v>
      </c>
      <c r="AS4655">
        <v>76</v>
      </c>
      <c r="AT4655">
        <v>-192</v>
      </c>
      <c r="BB4655" t="str">
        <f t="shared" si="1827"/>
        <v>1200</v>
      </c>
      <c r="BC4655">
        <v>1</v>
      </c>
      <c r="BD4655" t="str">
        <f t="shared" si="1828"/>
        <v xml:space="preserve">N52156  </v>
      </c>
      <c r="BE4655">
        <v>1</v>
      </c>
      <c r="BG4655">
        <v>0</v>
      </c>
      <c r="BH4655">
        <v>0</v>
      </c>
      <c r="BI4655">
        <v>0</v>
      </c>
      <c r="BJ4655">
        <v>4200</v>
      </c>
      <c r="BK4655">
        <v>0</v>
      </c>
      <c r="BL4655" t="s">
        <v>188</v>
      </c>
      <c r="BM4655">
        <v>1</v>
      </c>
      <c r="BN4655">
        <v>1</v>
      </c>
      <c r="BO4655">
        <v>0</v>
      </c>
      <c r="BP4655">
        <v>0</v>
      </c>
      <c r="BS4655">
        <v>0</v>
      </c>
      <c r="BT4655">
        <v>0</v>
      </c>
      <c r="BU4655">
        <v>0</v>
      </c>
      <c r="CE4655" t="str">
        <f t="shared" si="1843"/>
        <v>15:17:27.822</v>
      </c>
      <c r="CF4655">
        <v>822258417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4</v>
      </c>
      <c r="CY4655">
        <v>7</v>
      </c>
      <c r="CZ4655" t="s">
        <v>133</v>
      </c>
      <c r="DA4655">
        <v>275</v>
      </c>
      <c r="DB4655">
        <v>0</v>
      </c>
      <c r="DC4655" t="s">
        <v>134</v>
      </c>
      <c r="DD4655" t="s">
        <v>135</v>
      </c>
      <c r="DG4655">
        <v>3323341</v>
      </c>
      <c r="DI4655">
        <v>1</v>
      </c>
      <c r="DJ4655">
        <v>0</v>
      </c>
      <c r="DK4655">
        <v>1</v>
      </c>
      <c r="DL4655">
        <v>0</v>
      </c>
      <c r="DM4655">
        <v>0</v>
      </c>
      <c r="DN4655">
        <v>0</v>
      </c>
      <c r="DO4655">
        <v>0</v>
      </c>
      <c r="DP4655">
        <v>0</v>
      </c>
      <c r="DQ4655">
        <v>0</v>
      </c>
      <c r="DR4655">
        <v>0</v>
      </c>
      <c r="DS4655">
        <v>0</v>
      </c>
    </row>
    <row r="4656" spans="1:123" x14ac:dyDescent="0.3">
      <c r="A4656" t="str">
        <f>"05/01/2025 15:17:28.073"</f>
        <v>05/01/2025 15:17:28.073</v>
      </c>
      <c r="C4656" t="str">
        <f t="shared" si="1824"/>
        <v>FFDFD3C0</v>
      </c>
      <c r="D4656" t="s">
        <v>124</v>
      </c>
      <c r="E4656" t="str">
        <f>"06"</f>
        <v>06</v>
      </c>
      <c r="F4656">
        <v>2006</v>
      </c>
      <c r="G4656" t="s">
        <v>125</v>
      </c>
      <c r="J4656" t="s">
        <v>126</v>
      </c>
      <c r="K4656">
        <v>0</v>
      </c>
      <c r="L4656">
        <v>3</v>
      </c>
      <c r="M4656">
        <v>0</v>
      </c>
      <c r="N4656">
        <v>2</v>
      </c>
      <c r="O4656">
        <v>0</v>
      </c>
      <c r="P4656">
        <v>1</v>
      </c>
      <c r="Q4656">
        <v>0</v>
      </c>
      <c r="R4656" t="s">
        <v>127</v>
      </c>
      <c r="S4656" t="str">
        <f t="shared" si="1842"/>
        <v>15:17:27.000</v>
      </c>
      <c r="T4656" t="str">
        <f t="shared" si="1842"/>
        <v>15:17:27.000</v>
      </c>
      <c r="U4656" t="str">
        <f t="shared" si="1826"/>
        <v>A68FCB</v>
      </c>
      <c r="V4656">
        <v>0</v>
      </c>
      <c r="W4656">
        <v>0</v>
      </c>
      <c r="X4656">
        <v>2</v>
      </c>
      <c r="Y4656">
        <v>0</v>
      </c>
      <c r="AA4656">
        <v>1</v>
      </c>
      <c r="AB4656">
        <v>8</v>
      </c>
      <c r="AC4656">
        <v>3</v>
      </c>
      <c r="AD4656">
        <v>0</v>
      </c>
      <c r="AE4656">
        <v>9</v>
      </c>
      <c r="AF4656" t="s">
        <v>138</v>
      </c>
      <c r="AG4656">
        <v>0</v>
      </c>
      <c r="AH4656">
        <v>3</v>
      </c>
      <c r="AI4656">
        <v>2</v>
      </c>
      <c r="AJ4656">
        <v>0</v>
      </c>
      <c r="AK4656" t="s">
        <v>1484</v>
      </c>
      <c r="AL4656">
        <v>39.216169999999998</v>
      </c>
      <c r="AM4656" t="s">
        <v>1485</v>
      </c>
      <c r="AN4656">
        <v>-121.002388</v>
      </c>
      <c r="AO4656">
        <v>25</v>
      </c>
      <c r="AP4656">
        <v>4200</v>
      </c>
      <c r="AQ4656" t="s">
        <v>131</v>
      </c>
      <c r="AR4656">
        <v>31</v>
      </c>
      <c r="AS4656">
        <v>76</v>
      </c>
      <c r="AT4656">
        <v>-192</v>
      </c>
      <c r="BB4656" t="str">
        <f t="shared" si="1827"/>
        <v>1200</v>
      </c>
      <c r="BC4656">
        <v>1</v>
      </c>
      <c r="BD4656" t="str">
        <f t="shared" si="1828"/>
        <v xml:space="preserve">N52156  </v>
      </c>
      <c r="BE4656">
        <v>1</v>
      </c>
      <c r="BG4656">
        <v>0</v>
      </c>
      <c r="BH4656">
        <v>0</v>
      </c>
      <c r="BI4656">
        <v>0</v>
      </c>
      <c r="BJ4656">
        <v>4200</v>
      </c>
      <c r="BK4656">
        <v>0</v>
      </c>
      <c r="BL4656" t="s">
        <v>188</v>
      </c>
      <c r="BM4656">
        <v>1</v>
      </c>
      <c r="BN4656">
        <v>1</v>
      </c>
      <c r="BO4656">
        <v>0</v>
      </c>
      <c r="BP4656">
        <v>0</v>
      </c>
      <c r="BS4656">
        <v>0</v>
      </c>
      <c r="BT4656">
        <v>0</v>
      </c>
      <c r="BU4656">
        <v>0</v>
      </c>
      <c r="CE4656" t="str">
        <f t="shared" si="1843"/>
        <v>15:17:27.822</v>
      </c>
      <c r="CF4656">
        <v>822258417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4</v>
      </c>
      <c r="CY4656">
        <v>7</v>
      </c>
      <c r="CZ4656" t="s">
        <v>133</v>
      </c>
      <c r="DA4656">
        <v>275</v>
      </c>
      <c r="DB4656">
        <v>0</v>
      </c>
      <c r="DC4656" t="s">
        <v>134</v>
      </c>
      <c r="DD4656" t="s">
        <v>135</v>
      </c>
      <c r="DG4656">
        <v>3323341</v>
      </c>
      <c r="DI4656">
        <v>1</v>
      </c>
      <c r="DJ4656">
        <v>0</v>
      </c>
      <c r="DK4656">
        <v>1</v>
      </c>
      <c r="DL4656">
        <v>0</v>
      </c>
      <c r="DM4656">
        <v>0</v>
      </c>
      <c r="DN4656">
        <v>0</v>
      </c>
      <c r="DO4656">
        <v>0</v>
      </c>
      <c r="DP4656">
        <v>0</v>
      </c>
      <c r="DQ4656">
        <v>0</v>
      </c>
      <c r="DR4656">
        <v>0</v>
      </c>
      <c r="DS4656">
        <v>0</v>
      </c>
    </row>
    <row r="4657" spans="1:123" x14ac:dyDescent="0.3">
      <c r="A4657" t="str">
        <f>"05/01/2025 15:17:28.073"</f>
        <v>05/01/2025 15:17:28.073</v>
      </c>
      <c r="C4657" t="str">
        <f t="shared" si="1824"/>
        <v>FFDFD3C0</v>
      </c>
      <c r="D4657" t="s">
        <v>140</v>
      </c>
      <c r="E4657" t="str">
        <f>"13"</f>
        <v>13</v>
      </c>
      <c r="F4657">
        <v>1019</v>
      </c>
      <c r="G4657" t="s">
        <v>141</v>
      </c>
      <c r="J4657" t="s">
        <v>142</v>
      </c>
      <c r="K4657">
        <v>0</v>
      </c>
      <c r="L4657">
        <v>3</v>
      </c>
      <c r="M4657">
        <v>0</v>
      </c>
      <c r="N4657">
        <v>2</v>
      </c>
      <c r="O4657">
        <v>0</v>
      </c>
      <c r="P4657">
        <v>1</v>
      </c>
      <c r="Q4657">
        <v>0</v>
      </c>
      <c r="R4657" t="s">
        <v>127</v>
      </c>
      <c r="S4657" t="str">
        <f t="shared" si="1842"/>
        <v>15:17:27.000</v>
      </c>
      <c r="T4657" t="str">
        <f t="shared" si="1842"/>
        <v>15:17:27.000</v>
      </c>
      <c r="U4657" t="str">
        <f t="shared" si="1826"/>
        <v>A68FCB</v>
      </c>
      <c r="V4657">
        <v>0</v>
      </c>
      <c r="W4657">
        <v>0</v>
      </c>
      <c r="X4657">
        <v>2</v>
      </c>
      <c r="Y4657">
        <v>0</v>
      </c>
      <c r="AA4657">
        <v>1</v>
      </c>
      <c r="AB4657">
        <v>8</v>
      </c>
      <c r="AC4657">
        <v>3</v>
      </c>
      <c r="AD4657">
        <v>0</v>
      </c>
      <c r="AE4657">
        <v>9</v>
      </c>
      <c r="AF4657" t="s">
        <v>138</v>
      </c>
      <c r="AG4657">
        <v>0</v>
      </c>
      <c r="AH4657">
        <v>3</v>
      </c>
      <c r="AI4657">
        <v>2</v>
      </c>
      <c r="AJ4657">
        <v>0</v>
      </c>
      <c r="AK4657" t="s">
        <v>1484</v>
      </c>
      <c r="AL4657">
        <v>39.216169999999998</v>
      </c>
      <c r="AM4657" t="s">
        <v>1485</v>
      </c>
      <c r="AN4657">
        <v>-121.002388</v>
      </c>
      <c r="AO4657">
        <v>25</v>
      </c>
      <c r="AP4657">
        <v>4200</v>
      </c>
      <c r="AQ4657" t="s">
        <v>131</v>
      </c>
      <c r="AR4657">
        <v>31</v>
      </c>
      <c r="AS4657">
        <v>76</v>
      </c>
      <c r="AT4657">
        <v>-192</v>
      </c>
      <c r="BB4657" t="str">
        <f t="shared" si="1827"/>
        <v>1200</v>
      </c>
      <c r="BC4657">
        <v>1</v>
      </c>
      <c r="BD4657" t="str">
        <f t="shared" si="1828"/>
        <v xml:space="preserve">N52156  </v>
      </c>
      <c r="BE4657">
        <v>1</v>
      </c>
      <c r="BG4657">
        <v>0</v>
      </c>
      <c r="BH4657">
        <v>0</v>
      </c>
      <c r="BI4657">
        <v>0</v>
      </c>
      <c r="BJ4657">
        <v>4200</v>
      </c>
      <c r="BK4657">
        <v>0</v>
      </c>
      <c r="BL4657" t="s">
        <v>188</v>
      </c>
      <c r="BM4657">
        <v>1</v>
      </c>
      <c r="BN4657">
        <v>1</v>
      </c>
      <c r="BO4657">
        <v>0</v>
      </c>
      <c r="BP4657">
        <v>0</v>
      </c>
      <c r="BS4657">
        <v>0</v>
      </c>
      <c r="BT4657">
        <v>0</v>
      </c>
      <c r="BU4657">
        <v>0</v>
      </c>
      <c r="CE4657" t="str">
        <f t="shared" si="1843"/>
        <v>15:17:27.822</v>
      </c>
      <c r="CF4657">
        <v>822258417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4</v>
      </c>
      <c r="CY4657">
        <v>7</v>
      </c>
      <c r="CZ4657" t="s">
        <v>133</v>
      </c>
      <c r="DA4657">
        <v>275</v>
      </c>
      <c r="DB4657">
        <v>0</v>
      </c>
      <c r="DC4657" t="s">
        <v>134</v>
      </c>
      <c r="DD4657" t="s">
        <v>135</v>
      </c>
      <c r="DG4657">
        <v>3323341</v>
      </c>
      <c r="DI4657">
        <v>1</v>
      </c>
      <c r="DJ4657">
        <v>0</v>
      </c>
      <c r="DK4657">
        <v>1</v>
      </c>
      <c r="DL4657">
        <v>0</v>
      </c>
      <c r="DM4657">
        <v>0</v>
      </c>
      <c r="DN4657">
        <v>0</v>
      </c>
      <c r="DO4657">
        <v>0</v>
      </c>
      <c r="DP4657">
        <v>0</v>
      </c>
      <c r="DQ4657">
        <v>0</v>
      </c>
      <c r="DR4657">
        <v>0</v>
      </c>
      <c r="DS4657">
        <v>0</v>
      </c>
    </row>
    <row r="4658" spans="1:123" x14ac:dyDescent="0.3">
      <c r="A4658" t="str">
        <f>"05/01/2025 15:17:28.430"</f>
        <v>05/01/2025 15:17:28.430</v>
      </c>
      <c r="C4658" t="str">
        <f t="shared" si="1824"/>
        <v>FFDFD3C0</v>
      </c>
      <c r="D4658" t="s">
        <v>143</v>
      </c>
      <c r="E4658" t="str">
        <f>"05"</f>
        <v>05</v>
      </c>
      <c r="H4658">
        <v>172</v>
      </c>
      <c r="I4658" t="s">
        <v>141</v>
      </c>
      <c r="J4658" t="s">
        <v>144</v>
      </c>
      <c r="K4658">
        <v>0</v>
      </c>
      <c r="L4658">
        <v>3</v>
      </c>
      <c r="M4658">
        <v>0</v>
      </c>
      <c r="N4658">
        <v>2</v>
      </c>
      <c r="O4658">
        <v>0</v>
      </c>
      <c r="P4658">
        <v>1</v>
      </c>
      <c r="Q4658">
        <v>0</v>
      </c>
      <c r="R4658" t="s">
        <v>127</v>
      </c>
      <c r="S4658" t="str">
        <f t="shared" ref="S4658:T4663" si="1844">"15:17:28.000"</f>
        <v>15:17:28.000</v>
      </c>
      <c r="T4658" t="str">
        <f t="shared" si="1844"/>
        <v>15:17:28.000</v>
      </c>
      <c r="U4658" t="str">
        <f t="shared" si="1826"/>
        <v>A68FCB</v>
      </c>
      <c r="V4658">
        <v>0</v>
      </c>
      <c r="W4658">
        <v>0</v>
      </c>
      <c r="X4658">
        <v>2</v>
      </c>
      <c r="Y4658">
        <v>0</v>
      </c>
      <c r="AA4658">
        <v>1</v>
      </c>
      <c r="AB4658">
        <v>8</v>
      </c>
      <c r="AC4658">
        <v>3</v>
      </c>
      <c r="AD4658">
        <v>0</v>
      </c>
      <c r="AE4658">
        <v>9</v>
      </c>
      <c r="AF4658" t="s">
        <v>138</v>
      </c>
      <c r="AG4658">
        <v>0</v>
      </c>
      <c r="AH4658">
        <v>3</v>
      </c>
      <c r="AI4658">
        <v>2</v>
      </c>
      <c r="AJ4658">
        <v>0</v>
      </c>
      <c r="AK4658" t="s">
        <v>1486</v>
      </c>
      <c r="AL4658">
        <v>39.216535</v>
      </c>
      <c r="AM4658" t="s">
        <v>1487</v>
      </c>
      <c r="AN4658">
        <v>-121.002216</v>
      </c>
      <c r="AO4658">
        <v>25</v>
      </c>
      <c r="AP4658">
        <v>4100</v>
      </c>
      <c r="AQ4658" t="s">
        <v>131</v>
      </c>
      <c r="AR4658">
        <v>31</v>
      </c>
      <c r="AS4658">
        <v>76</v>
      </c>
      <c r="AT4658">
        <v>-256</v>
      </c>
      <c r="BB4658" t="str">
        <f t="shared" si="1827"/>
        <v>1200</v>
      </c>
      <c r="BC4658">
        <v>1</v>
      </c>
      <c r="BD4658" t="str">
        <f t="shared" si="1828"/>
        <v xml:space="preserve">N52156  </v>
      </c>
      <c r="BE4658">
        <v>1</v>
      </c>
      <c r="BG4658">
        <v>0</v>
      </c>
      <c r="BH4658">
        <v>0</v>
      </c>
      <c r="BI4658">
        <v>0</v>
      </c>
      <c r="BJ4658">
        <v>4200</v>
      </c>
      <c r="BK4658">
        <v>100</v>
      </c>
      <c r="BL4658" t="s">
        <v>188</v>
      </c>
      <c r="BM4658">
        <v>1</v>
      </c>
      <c r="BN4658">
        <v>1</v>
      </c>
      <c r="BO4658">
        <v>0</v>
      </c>
      <c r="BP4658">
        <v>0</v>
      </c>
      <c r="BS4658">
        <v>0</v>
      </c>
      <c r="BT4658">
        <v>0</v>
      </c>
      <c r="BU4658">
        <v>0</v>
      </c>
      <c r="CE4658" t="str">
        <f t="shared" ref="CE4658:CE4663" si="1845">"15:17:28.224"</f>
        <v>15:17:28.224</v>
      </c>
      <c r="CF4658">
        <v>223756962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4</v>
      </c>
      <c r="CY4658">
        <v>7</v>
      </c>
      <c r="CZ4658" t="s">
        <v>133</v>
      </c>
      <c r="DA4658">
        <v>275</v>
      </c>
      <c r="DB4658">
        <v>0</v>
      </c>
      <c r="DC4658" t="s">
        <v>134</v>
      </c>
      <c r="DD4658" t="s">
        <v>135</v>
      </c>
      <c r="DG4658">
        <v>3323342</v>
      </c>
      <c r="DI4658">
        <v>1</v>
      </c>
      <c r="DJ4658">
        <v>0</v>
      </c>
      <c r="DK4658">
        <v>0</v>
      </c>
      <c r="DL4658">
        <v>0</v>
      </c>
      <c r="DM4658">
        <v>0</v>
      </c>
      <c r="DN4658">
        <v>0</v>
      </c>
      <c r="DO4658">
        <v>0</v>
      </c>
      <c r="DP4658">
        <v>0</v>
      </c>
      <c r="DQ4658">
        <v>0</v>
      </c>
      <c r="DR4658">
        <v>0</v>
      </c>
      <c r="DS4658">
        <v>0</v>
      </c>
    </row>
    <row r="4659" spans="1:123" x14ac:dyDescent="0.3">
      <c r="A4659" t="str">
        <f>"05/01/2025 15:17:28.443"</f>
        <v>05/01/2025 15:17:28.443</v>
      </c>
      <c r="C4659" t="str">
        <f t="shared" si="1824"/>
        <v>FFDFD3C0</v>
      </c>
      <c r="D4659" t="s">
        <v>145</v>
      </c>
      <c r="E4659" t="str">
        <f>"09"</f>
        <v>09</v>
      </c>
      <c r="H4659">
        <v>51</v>
      </c>
      <c r="I4659" t="s">
        <v>147</v>
      </c>
      <c r="J4659" t="s">
        <v>138</v>
      </c>
      <c r="K4659">
        <v>0</v>
      </c>
      <c r="L4659">
        <v>3</v>
      </c>
      <c r="M4659">
        <v>0</v>
      </c>
      <c r="N4659">
        <v>2</v>
      </c>
      <c r="O4659">
        <v>0</v>
      </c>
      <c r="P4659">
        <v>1</v>
      </c>
      <c r="Q4659">
        <v>0</v>
      </c>
      <c r="R4659" t="s">
        <v>127</v>
      </c>
      <c r="S4659" t="str">
        <f t="shared" si="1844"/>
        <v>15:17:28.000</v>
      </c>
      <c r="T4659" t="str">
        <f t="shared" si="1844"/>
        <v>15:17:28.000</v>
      </c>
      <c r="U4659" t="str">
        <f t="shared" si="1826"/>
        <v>A68FCB</v>
      </c>
      <c r="V4659">
        <v>0</v>
      </c>
      <c r="W4659">
        <v>0</v>
      </c>
      <c r="X4659">
        <v>2</v>
      </c>
      <c r="Y4659">
        <v>0</v>
      </c>
      <c r="AA4659">
        <v>1</v>
      </c>
      <c r="AB4659">
        <v>8</v>
      </c>
      <c r="AC4659">
        <v>3</v>
      </c>
      <c r="AD4659">
        <v>0</v>
      </c>
      <c r="AE4659">
        <v>9</v>
      </c>
      <c r="AF4659" t="s">
        <v>138</v>
      </c>
      <c r="AG4659">
        <v>0</v>
      </c>
      <c r="AH4659">
        <v>3</v>
      </c>
      <c r="AI4659">
        <v>2</v>
      </c>
      <c r="AJ4659">
        <v>0</v>
      </c>
      <c r="AK4659" t="s">
        <v>1486</v>
      </c>
      <c r="AL4659">
        <v>39.216535</v>
      </c>
      <c r="AM4659" t="s">
        <v>1487</v>
      </c>
      <c r="AN4659">
        <v>-121.002216</v>
      </c>
      <c r="AO4659">
        <v>25</v>
      </c>
      <c r="AP4659">
        <v>4100</v>
      </c>
      <c r="AQ4659" t="s">
        <v>131</v>
      </c>
      <c r="AR4659">
        <v>31</v>
      </c>
      <c r="AS4659">
        <v>76</v>
      </c>
      <c r="AT4659">
        <v>-256</v>
      </c>
      <c r="BB4659" t="str">
        <f t="shared" si="1827"/>
        <v>1200</v>
      </c>
      <c r="BC4659">
        <v>1</v>
      </c>
      <c r="BD4659" t="str">
        <f t="shared" si="1828"/>
        <v xml:space="preserve">N52156  </v>
      </c>
      <c r="BE4659">
        <v>1</v>
      </c>
      <c r="BG4659">
        <v>0</v>
      </c>
      <c r="BH4659">
        <v>0</v>
      </c>
      <c r="BI4659">
        <v>0</v>
      </c>
      <c r="BJ4659">
        <v>4200</v>
      </c>
      <c r="BK4659">
        <v>100</v>
      </c>
      <c r="BL4659" t="s">
        <v>188</v>
      </c>
      <c r="BM4659">
        <v>1</v>
      </c>
      <c r="BN4659">
        <v>1</v>
      </c>
      <c r="BO4659">
        <v>0</v>
      </c>
      <c r="BP4659">
        <v>0</v>
      </c>
      <c r="BS4659">
        <v>0</v>
      </c>
      <c r="BT4659">
        <v>0</v>
      </c>
      <c r="BU4659">
        <v>0</v>
      </c>
      <c r="CE4659" t="str">
        <f t="shared" si="1845"/>
        <v>15:17:28.224</v>
      </c>
      <c r="CF4659">
        <v>223756962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4</v>
      </c>
      <c r="CY4659">
        <v>7</v>
      </c>
      <c r="CZ4659" t="s">
        <v>133</v>
      </c>
      <c r="DA4659">
        <v>275</v>
      </c>
      <c r="DB4659">
        <v>0</v>
      </c>
      <c r="DC4659" t="s">
        <v>134</v>
      </c>
      <c r="DD4659" t="s">
        <v>135</v>
      </c>
      <c r="DG4659">
        <v>3323342</v>
      </c>
      <c r="DI4659">
        <v>1</v>
      </c>
      <c r="DJ4659">
        <v>0</v>
      </c>
      <c r="DK4659">
        <v>1</v>
      </c>
      <c r="DL4659">
        <v>0</v>
      </c>
      <c r="DM4659">
        <v>0</v>
      </c>
      <c r="DN4659">
        <v>0</v>
      </c>
      <c r="DO4659">
        <v>0</v>
      </c>
      <c r="DP4659">
        <v>0</v>
      </c>
      <c r="DQ4659">
        <v>0</v>
      </c>
      <c r="DR4659">
        <v>0</v>
      </c>
      <c r="DS4659">
        <v>0</v>
      </c>
    </row>
    <row r="4660" spans="1:123" x14ac:dyDescent="0.3">
      <c r="A4660" t="str">
        <f>"05/01/2025 15:17:28.447"</f>
        <v>05/01/2025 15:17:28.447</v>
      </c>
      <c r="C4660" t="str">
        <f t="shared" si="1824"/>
        <v>FFDFD3C0</v>
      </c>
      <c r="D4660" t="s">
        <v>145</v>
      </c>
      <c r="E4660" t="str">
        <f>"05"</f>
        <v>05</v>
      </c>
      <c r="H4660">
        <v>47</v>
      </c>
      <c r="I4660" t="s">
        <v>146</v>
      </c>
      <c r="J4660" t="s">
        <v>138</v>
      </c>
      <c r="K4660">
        <v>0</v>
      </c>
      <c r="L4660">
        <v>3</v>
      </c>
      <c r="M4660">
        <v>0</v>
      </c>
      <c r="N4660">
        <v>2</v>
      </c>
      <c r="O4660">
        <v>0</v>
      </c>
      <c r="P4660">
        <v>1</v>
      </c>
      <c r="Q4660">
        <v>0</v>
      </c>
      <c r="R4660" t="s">
        <v>127</v>
      </c>
      <c r="S4660" t="str">
        <f t="shared" si="1844"/>
        <v>15:17:28.000</v>
      </c>
      <c r="T4660" t="str">
        <f t="shared" si="1844"/>
        <v>15:17:28.000</v>
      </c>
      <c r="U4660" t="str">
        <f t="shared" si="1826"/>
        <v>A68FCB</v>
      </c>
      <c r="V4660">
        <v>0</v>
      </c>
      <c r="W4660">
        <v>0</v>
      </c>
      <c r="X4660">
        <v>2</v>
      </c>
      <c r="Y4660">
        <v>0</v>
      </c>
      <c r="AA4660">
        <v>1</v>
      </c>
      <c r="AB4660">
        <v>8</v>
      </c>
      <c r="AC4660">
        <v>3</v>
      </c>
      <c r="AD4660">
        <v>0</v>
      </c>
      <c r="AE4660">
        <v>9</v>
      </c>
      <c r="AF4660" t="s">
        <v>138</v>
      </c>
      <c r="AG4660">
        <v>0</v>
      </c>
      <c r="AH4660">
        <v>3</v>
      </c>
      <c r="AI4660">
        <v>2</v>
      </c>
      <c r="AJ4660">
        <v>0</v>
      </c>
      <c r="AK4660" t="s">
        <v>1486</v>
      </c>
      <c r="AL4660">
        <v>39.216535</v>
      </c>
      <c r="AM4660" t="s">
        <v>1487</v>
      </c>
      <c r="AN4660">
        <v>-121.002216</v>
      </c>
      <c r="AO4660">
        <v>25</v>
      </c>
      <c r="AP4660">
        <v>4100</v>
      </c>
      <c r="AQ4660" t="s">
        <v>131</v>
      </c>
      <c r="AR4660">
        <v>31</v>
      </c>
      <c r="AS4660">
        <v>76</v>
      </c>
      <c r="AT4660">
        <v>-256</v>
      </c>
      <c r="BB4660" t="str">
        <f t="shared" si="1827"/>
        <v>1200</v>
      </c>
      <c r="BC4660">
        <v>1</v>
      </c>
      <c r="BD4660" t="str">
        <f t="shared" si="1828"/>
        <v xml:space="preserve">N52156  </v>
      </c>
      <c r="BE4660">
        <v>1</v>
      </c>
      <c r="BG4660">
        <v>0</v>
      </c>
      <c r="BH4660">
        <v>0</v>
      </c>
      <c r="BI4660">
        <v>0</v>
      </c>
      <c r="BJ4660">
        <v>4200</v>
      </c>
      <c r="BK4660">
        <v>100</v>
      </c>
      <c r="BL4660" t="s">
        <v>188</v>
      </c>
      <c r="BM4660">
        <v>1</v>
      </c>
      <c r="BN4660">
        <v>1</v>
      </c>
      <c r="BO4660">
        <v>0</v>
      </c>
      <c r="BP4660">
        <v>0</v>
      </c>
      <c r="BS4660">
        <v>0</v>
      </c>
      <c r="BT4660">
        <v>0</v>
      </c>
      <c r="BU4660">
        <v>0</v>
      </c>
      <c r="CE4660" t="str">
        <f t="shared" si="1845"/>
        <v>15:17:28.224</v>
      </c>
      <c r="CF4660">
        <v>223756962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4</v>
      </c>
      <c r="CY4660">
        <v>7</v>
      </c>
      <c r="CZ4660" t="s">
        <v>133</v>
      </c>
      <c r="DA4660">
        <v>275</v>
      </c>
      <c r="DB4660">
        <v>0</v>
      </c>
      <c r="DC4660" t="s">
        <v>134</v>
      </c>
      <c r="DD4660" t="s">
        <v>135</v>
      </c>
      <c r="DG4660">
        <v>3323342</v>
      </c>
      <c r="DI4660">
        <v>1</v>
      </c>
      <c r="DJ4660">
        <v>0</v>
      </c>
      <c r="DK4660">
        <v>1</v>
      </c>
      <c r="DL4660">
        <v>0</v>
      </c>
      <c r="DM4660">
        <v>0</v>
      </c>
      <c r="DN4660">
        <v>0</v>
      </c>
      <c r="DO4660">
        <v>0</v>
      </c>
      <c r="DP4660">
        <v>0</v>
      </c>
      <c r="DQ4660">
        <v>0</v>
      </c>
      <c r="DR4660">
        <v>0</v>
      </c>
      <c r="DS4660">
        <v>0</v>
      </c>
    </row>
    <row r="4661" spans="1:123" x14ac:dyDescent="0.3">
      <c r="A4661" t="str">
        <f>"05/01/2025 15:17:28.458"</f>
        <v>05/01/2025 15:17:28.458</v>
      </c>
      <c r="C4661" t="str">
        <f t="shared" si="1824"/>
        <v>FFDFD3C0</v>
      </c>
      <c r="D4661" t="s">
        <v>136</v>
      </c>
      <c r="E4661" t="str">
        <f>"20"</f>
        <v>20</v>
      </c>
      <c r="H4661">
        <v>400</v>
      </c>
      <c r="I4661" t="s">
        <v>137</v>
      </c>
      <c r="J4661" t="s">
        <v>138</v>
      </c>
      <c r="K4661">
        <v>0</v>
      </c>
      <c r="L4661">
        <v>3</v>
      </c>
      <c r="M4661">
        <v>0</v>
      </c>
      <c r="N4661">
        <v>2</v>
      </c>
      <c r="O4661">
        <v>0</v>
      </c>
      <c r="P4661">
        <v>1</v>
      </c>
      <c r="Q4661">
        <v>0</v>
      </c>
      <c r="R4661" t="s">
        <v>127</v>
      </c>
      <c r="S4661" t="str">
        <f t="shared" si="1844"/>
        <v>15:17:28.000</v>
      </c>
      <c r="T4661" t="str">
        <f t="shared" si="1844"/>
        <v>15:17:28.000</v>
      </c>
      <c r="U4661" t="str">
        <f t="shared" si="1826"/>
        <v>A68FCB</v>
      </c>
      <c r="V4661">
        <v>0</v>
      </c>
      <c r="W4661">
        <v>0</v>
      </c>
      <c r="X4661">
        <v>2</v>
      </c>
      <c r="Y4661">
        <v>0</v>
      </c>
      <c r="AA4661">
        <v>1</v>
      </c>
      <c r="AB4661">
        <v>8</v>
      </c>
      <c r="AC4661">
        <v>3</v>
      </c>
      <c r="AD4661">
        <v>0</v>
      </c>
      <c r="AE4661">
        <v>9</v>
      </c>
      <c r="AF4661" t="s">
        <v>138</v>
      </c>
      <c r="AG4661">
        <v>0</v>
      </c>
      <c r="AH4661">
        <v>3</v>
      </c>
      <c r="AI4661">
        <v>2</v>
      </c>
      <c r="AJ4661">
        <v>0</v>
      </c>
      <c r="AK4661" t="s">
        <v>1486</v>
      </c>
      <c r="AL4661">
        <v>39.216535</v>
      </c>
      <c r="AM4661" t="s">
        <v>1487</v>
      </c>
      <c r="AN4661">
        <v>-121.002216</v>
      </c>
      <c r="AO4661">
        <v>25</v>
      </c>
      <c r="AP4661">
        <v>4100</v>
      </c>
      <c r="AQ4661" t="s">
        <v>131</v>
      </c>
      <c r="AR4661">
        <v>31</v>
      </c>
      <c r="AS4661">
        <v>76</v>
      </c>
      <c r="AT4661">
        <v>-256</v>
      </c>
      <c r="BB4661" t="str">
        <f t="shared" si="1827"/>
        <v>1200</v>
      </c>
      <c r="BC4661">
        <v>1</v>
      </c>
      <c r="BD4661" t="str">
        <f t="shared" si="1828"/>
        <v xml:space="preserve">N52156  </v>
      </c>
      <c r="BE4661">
        <v>1</v>
      </c>
      <c r="BG4661">
        <v>0</v>
      </c>
      <c r="BH4661">
        <v>0</v>
      </c>
      <c r="BI4661">
        <v>0</v>
      </c>
      <c r="BJ4661">
        <v>4200</v>
      </c>
      <c r="BK4661">
        <v>100</v>
      </c>
      <c r="BL4661" t="s">
        <v>188</v>
      </c>
      <c r="BM4661">
        <v>1</v>
      </c>
      <c r="BN4661">
        <v>1</v>
      </c>
      <c r="BO4661">
        <v>0</v>
      </c>
      <c r="BP4661">
        <v>0</v>
      </c>
      <c r="BS4661">
        <v>0</v>
      </c>
      <c r="BT4661">
        <v>0</v>
      </c>
      <c r="BU4661">
        <v>0</v>
      </c>
      <c r="CE4661" t="str">
        <f t="shared" si="1845"/>
        <v>15:17:28.224</v>
      </c>
      <c r="CF4661">
        <v>223756962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4</v>
      </c>
      <c r="CY4661">
        <v>7</v>
      </c>
      <c r="CZ4661" t="s">
        <v>133</v>
      </c>
      <c r="DA4661">
        <v>275</v>
      </c>
      <c r="DB4661">
        <v>0</v>
      </c>
      <c r="DC4661" t="s">
        <v>134</v>
      </c>
      <c r="DD4661" t="s">
        <v>135</v>
      </c>
      <c r="DG4661">
        <v>3323342</v>
      </c>
      <c r="DI4661">
        <v>1</v>
      </c>
      <c r="DJ4661">
        <v>0</v>
      </c>
      <c r="DK4661">
        <v>1</v>
      </c>
      <c r="DL4661">
        <v>0</v>
      </c>
      <c r="DM4661">
        <v>0</v>
      </c>
      <c r="DN4661">
        <v>0</v>
      </c>
      <c r="DO4661">
        <v>0</v>
      </c>
      <c r="DP4661">
        <v>0</v>
      </c>
      <c r="DQ4661">
        <v>0</v>
      </c>
      <c r="DR4661">
        <v>0</v>
      </c>
      <c r="DS4661">
        <v>0</v>
      </c>
    </row>
    <row r="4662" spans="1:123" x14ac:dyDescent="0.3">
      <c r="A4662" t="str">
        <f>"05/01/2025 15:17:28.473"</f>
        <v>05/01/2025 15:17:28.473</v>
      </c>
      <c r="C4662" t="str">
        <f t="shared" si="1824"/>
        <v>FFDFD3C0</v>
      </c>
      <c r="D4662" t="s">
        <v>140</v>
      </c>
      <c r="E4662" t="str">
        <f>"13"</f>
        <v>13</v>
      </c>
      <c r="F4662">
        <v>1019</v>
      </c>
      <c r="G4662" t="s">
        <v>141</v>
      </c>
      <c r="J4662" t="s">
        <v>142</v>
      </c>
      <c r="K4662">
        <v>0</v>
      </c>
      <c r="L4662">
        <v>3</v>
      </c>
      <c r="M4662">
        <v>0</v>
      </c>
      <c r="N4662">
        <v>2</v>
      </c>
      <c r="O4662">
        <v>0</v>
      </c>
      <c r="P4662">
        <v>1</v>
      </c>
      <c r="Q4662">
        <v>0</v>
      </c>
      <c r="R4662" t="s">
        <v>127</v>
      </c>
      <c r="S4662" t="str">
        <f t="shared" si="1844"/>
        <v>15:17:28.000</v>
      </c>
      <c r="T4662" t="str">
        <f t="shared" si="1844"/>
        <v>15:17:28.000</v>
      </c>
      <c r="U4662" t="str">
        <f t="shared" si="1826"/>
        <v>A68FCB</v>
      </c>
      <c r="V4662">
        <v>0</v>
      </c>
      <c r="W4662">
        <v>0</v>
      </c>
      <c r="X4662">
        <v>2</v>
      </c>
      <c r="Y4662">
        <v>0</v>
      </c>
      <c r="AA4662">
        <v>1</v>
      </c>
      <c r="AB4662">
        <v>8</v>
      </c>
      <c r="AC4662">
        <v>3</v>
      </c>
      <c r="AD4662">
        <v>0</v>
      </c>
      <c r="AE4662">
        <v>9</v>
      </c>
      <c r="AF4662" t="s">
        <v>138</v>
      </c>
      <c r="AG4662">
        <v>0</v>
      </c>
      <c r="AH4662">
        <v>3</v>
      </c>
      <c r="AI4662">
        <v>2</v>
      </c>
      <c r="AJ4662">
        <v>0</v>
      </c>
      <c r="AK4662" t="s">
        <v>1486</v>
      </c>
      <c r="AL4662">
        <v>39.216535</v>
      </c>
      <c r="AM4662" t="s">
        <v>1487</v>
      </c>
      <c r="AN4662">
        <v>-121.002216</v>
      </c>
      <c r="AO4662">
        <v>25</v>
      </c>
      <c r="AP4662">
        <v>4100</v>
      </c>
      <c r="AQ4662" t="s">
        <v>131</v>
      </c>
      <c r="AR4662">
        <v>31</v>
      </c>
      <c r="AS4662">
        <v>76</v>
      </c>
      <c r="AT4662">
        <v>-256</v>
      </c>
      <c r="BB4662" t="str">
        <f t="shared" si="1827"/>
        <v>1200</v>
      </c>
      <c r="BC4662">
        <v>1</v>
      </c>
      <c r="BD4662" t="str">
        <f t="shared" si="1828"/>
        <v xml:space="preserve">N52156  </v>
      </c>
      <c r="BE4662">
        <v>1</v>
      </c>
      <c r="BG4662">
        <v>0</v>
      </c>
      <c r="BH4662">
        <v>0</v>
      </c>
      <c r="BI4662">
        <v>0</v>
      </c>
      <c r="BJ4662">
        <v>4200</v>
      </c>
      <c r="BK4662">
        <v>100</v>
      </c>
      <c r="BL4662" t="s">
        <v>188</v>
      </c>
      <c r="BM4662">
        <v>1</v>
      </c>
      <c r="BN4662">
        <v>1</v>
      </c>
      <c r="BO4662">
        <v>0</v>
      </c>
      <c r="BP4662">
        <v>0</v>
      </c>
      <c r="BS4662">
        <v>0</v>
      </c>
      <c r="BT4662">
        <v>0</v>
      </c>
      <c r="BU4662">
        <v>0</v>
      </c>
      <c r="CE4662" t="str">
        <f t="shared" si="1845"/>
        <v>15:17:28.224</v>
      </c>
      <c r="CF4662">
        <v>223756962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4</v>
      </c>
      <c r="CY4662">
        <v>7</v>
      </c>
      <c r="CZ4662" t="s">
        <v>133</v>
      </c>
      <c r="DA4662">
        <v>275</v>
      </c>
      <c r="DB4662">
        <v>0</v>
      </c>
      <c r="DC4662" t="s">
        <v>134</v>
      </c>
      <c r="DD4662" t="s">
        <v>135</v>
      </c>
      <c r="DG4662">
        <v>3323342</v>
      </c>
      <c r="DI4662">
        <v>1</v>
      </c>
      <c r="DJ4662">
        <v>0</v>
      </c>
      <c r="DK4662">
        <v>1</v>
      </c>
      <c r="DL4662">
        <v>0</v>
      </c>
      <c r="DM4662">
        <v>0</v>
      </c>
      <c r="DN4662">
        <v>0</v>
      </c>
      <c r="DO4662">
        <v>0</v>
      </c>
      <c r="DP4662">
        <v>0</v>
      </c>
      <c r="DQ4662">
        <v>0</v>
      </c>
      <c r="DR4662">
        <v>0</v>
      </c>
      <c r="DS4662">
        <v>0</v>
      </c>
    </row>
    <row r="4663" spans="1:123" x14ac:dyDescent="0.3">
      <c r="A4663" t="str">
        <f>"05/01/2025 15:17:28.474"</f>
        <v>05/01/2025 15:17:28.474</v>
      </c>
      <c r="C4663" t="str">
        <f t="shared" si="1824"/>
        <v>FFDFD3C0</v>
      </c>
      <c r="D4663" t="s">
        <v>124</v>
      </c>
      <c r="E4663" t="str">
        <f>"06"</f>
        <v>06</v>
      </c>
      <c r="F4663">
        <v>2006</v>
      </c>
      <c r="G4663" t="s">
        <v>125</v>
      </c>
      <c r="J4663" t="s">
        <v>126</v>
      </c>
      <c r="K4663">
        <v>0</v>
      </c>
      <c r="L4663">
        <v>3</v>
      </c>
      <c r="M4663">
        <v>0</v>
      </c>
      <c r="N4663">
        <v>2</v>
      </c>
      <c r="O4663">
        <v>0</v>
      </c>
      <c r="P4663">
        <v>1</v>
      </c>
      <c r="Q4663">
        <v>0</v>
      </c>
      <c r="R4663" t="s">
        <v>127</v>
      </c>
      <c r="S4663" t="str">
        <f t="shared" si="1844"/>
        <v>15:17:28.000</v>
      </c>
      <c r="T4663" t="str">
        <f t="shared" si="1844"/>
        <v>15:17:28.000</v>
      </c>
      <c r="U4663" t="str">
        <f t="shared" si="1826"/>
        <v>A68FCB</v>
      </c>
      <c r="V4663">
        <v>0</v>
      </c>
      <c r="W4663">
        <v>0</v>
      </c>
      <c r="X4663">
        <v>2</v>
      </c>
      <c r="Y4663">
        <v>0</v>
      </c>
      <c r="AA4663">
        <v>1</v>
      </c>
      <c r="AB4663">
        <v>8</v>
      </c>
      <c r="AC4663">
        <v>3</v>
      </c>
      <c r="AD4663">
        <v>0</v>
      </c>
      <c r="AE4663">
        <v>9</v>
      </c>
      <c r="AF4663" t="s">
        <v>138</v>
      </c>
      <c r="AG4663">
        <v>0</v>
      </c>
      <c r="AH4663">
        <v>3</v>
      </c>
      <c r="AI4663">
        <v>2</v>
      </c>
      <c r="AJ4663">
        <v>0</v>
      </c>
      <c r="AK4663" t="s">
        <v>1486</v>
      </c>
      <c r="AL4663">
        <v>39.216535</v>
      </c>
      <c r="AM4663" t="s">
        <v>1487</v>
      </c>
      <c r="AN4663">
        <v>-121.002216</v>
      </c>
      <c r="AO4663">
        <v>25</v>
      </c>
      <c r="AP4663">
        <v>4100</v>
      </c>
      <c r="AQ4663" t="s">
        <v>131</v>
      </c>
      <c r="AR4663">
        <v>31</v>
      </c>
      <c r="AS4663">
        <v>76</v>
      </c>
      <c r="AT4663">
        <v>-256</v>
      </c>
      <c r="BB4663" t="str">
        <f t="shared" si="1827"/>
        <v>1200</v>
      </c>
      <c r="BC4663">
        <v>1</v>
      </c>
      <c r="BD4663" t="str">
        <f t="shared" si="1828"/>
        <v xml:space="preserve">N52156  </v>
      </c>
      <c r="BE4663">
        <v>1</v>
      </c>
      <c r="BG4663">
        <v>0</v>
      </c>
      <c r="BH4663">
        <v>0</v>
      </c>
      <c r="BI4663">
        <v>0</v>
      </c>
      <c r="BJ4663">
        <v>4200</v>
      </c>
      <c r="BK4663">
        <v>100</v>
      </c>
      <c r="BL4663" t="s">
        <v>188</v>
      </c>
      <c r="BM4663">
        <v>1</v>
      </c>
      <c r="BN4663">
        <v>1</v>
      </c>
      <c r="BO4663">
        <v>0</v>
      </c>
      <c r="BP4663">
        <v>0</v>
      </c>
      <c r="BS4663">
        <v>0</v>
      </c>
      <c r="BT4663">
        <v>0</v>
      </c>
      <c r="BU4663">
        <v>0</v>
      </c>
      <c r="CE4663" t="str">
        <f t="shared" si="1845"/>
        <v>15:17:28.224</v>
      </c>
      <c r="CF4663">
        <v>223756962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4</v>
      </c>
      <c r="CY4663">
        <v>7</v>
      </c>
      <c r="CZ4663" t="s">
        <v>133</v>
      </c>
      <c r="DA4663">
        <v>275</v>
      </c>
      <c r="DB4663">
        <v>0</v>
      </c>
      <c r="DC4663" t="s">
        <v>134</v>
      </c>
      <c r="DD4663" t="s">
        <v>135</v>
      </c>
      <c r="DG4663">
        <v>3323342</v>
      </c>
      <c r="DI4663">
        <v>1</v>
      </c>
      <c r="DJ4663">
        <v>0</v>
      </c>
      <c r="DK4663">
        <v>1</v>
      </c>
      <c r="DL4663">
        <v>0</v>
      </c>
      <c r="DM4663">
        <v>0</v>
      </c>
      <c r="DN4663">
        <v>0</v>
      </c>
      <c r="DO4663">
        <v>0</v>
      </c>
      <c r="DP4663">
        <v>0</v>
      </c>
      <c r="DQ4663">
        <v>0</v>
      </c>
      <c r="DR4663">
        <v>0</v>
      </c>
      <c r="DS4663">
        <v>0</v>
      </c>
    </row>
    <row r="4664" spans="1:123" x14ac:dyDescent="0.3">
      <c r="A4664" t="str">
        <f>"05/01/2025 15:17:30.110"</f>
        <v>05/01/2025 15:17:30.110</v>
      </c>
      <c r="C4664" t="str">
        <f t="shared" si="1824"/>
        <v>FFDFD3C0</v>
      </c>
      <c r="D4664" t="s">
        <v>136</v>
      </c>
      <c r="E4664" t="str">
        <f>"20"</f>
        <v>20</v>
      </c>
      <c r="H4664">
        <v>400</v>
      </c>
      <c r="I4664" t="s">
        <v>137</v>
      </c>
      <c r="J4664" t="s">
        <v>138</v>
      </c>
      <c r="K4664">
        <v>0</v>
      </c>
      <c r="L4664">
        <v>3</v>
      </c>
      <c r="M4664">
        <v>0</v>
      </c>
      <c r="N4664">
        <v>2</v>
      </c>
      <c r="O4664">
        <v>0</v>
      </c>
      <c r="P4664">
        <v>1</v>
      </c>
      <c r="Q4664">
        <v>0</v>
      </c>
      <c r="R4664" t="s">
        <v>127</v>
      </c>
      <c r="S4664" t="str">
        <f t="shared" ref="S4664:T4669" si="1846">"15:17:29.000"</f>
        <v>15:17:29.000</v>
      </c>
      <c r="T4664" t="str">
        <f t="shared" si="1846"/>
        <v>15:17:29.000</v>
      </c>
      <c r="U4664" t="str">
        <f t="shared" si="1826"/>
        <v>A68FCB</v>
      </c>
      <c r="V4664">
        <v>0</v>
      </c>
      <c r="W4664">
        <v>0</v>
      </c>
      <c r="X4664">
        <v>2</v>
      </c>
      <c r="Y4664">
        <v>0</v>
      </c>
      <c r="AA4664">
        <v>1</v>
      </c>
      <c r="AB4664">
        <v>8</v>
      </c>
      <c r="AC4664">
        <v>3</v>
      </c>
      <c r="AD4664">
        <v>0</v>
      </c>
      <c r="AE4664">
        <v>9</v>
      </c>
      <c r="AF4664" t="s">
        <v>138</v>
      </c>
      <c r="AG4664">
        <v>0</v>
      </c>
      <c r="AH4664">
        <v>3</v>
      </c>
      <c r="AI4664">
        <v>2</v>
      </c>
      <c r="AJ4664">
        <v>0</v>
      </c>
      <c r="AK4664" t="s">
        <v>1488</v>
      </c>
      <c r="AL4664">
        <v>39.216878000000001</v>
      </c>
      <c r="AM4664" t="s">
        <v>1489</v>
      </c>
      <c r="AN4664">
        <v>-121.00202299999999</v>
      </c>
      <c r="AO4664">
        <v>25</v>
      </c>
      <c r="AP4664">
        <v>4100</v>
      </c>
      <c r="AQ4664" t="s">
        <v>131</v>
      </c>
      <c r="AR4664">
        <v>30</v>
      </c>
      <c r="AS4664">
        <v>76</v>
      </c>
      <c r="AT4664">
        <v>-256</v>
      </c>
      <c r="BB4664" t="str">
        <f t="shared" si="1827"/>
        <v>1200</v>
      </c>
      <c r="BC4664">
        <v>1</v>
      </c>
      <c r="BD4664" t="str">
        <f t="shared" si="1828"/>
        <v xml:space="preserve">N52156  </v>
      </c>
      <c r="BE4664">
        <v>1</v>
      </c>
      <c r="BG4664">
        <v>0</v>
      </c>
      <c r="BH4664">
        <v>0</v>
      </c>
      <c r="BI4664">
        <v>0</v>
      </c>
      <c r="BJ4664">
        <v>4200</v>
      </c>
      <c r="BK4664">
        <v>100</v>
      </c>
      <c r="BL4664" t="s">
        <v>188</v>
      </c>
      <c r="BM4664">
        <v>1</v>
      </c>
      <c r="BN4664">
        <v>1</v>
      </c>
      <c r="BO4664">
        <v>0</v>
      </c>
      <c r="BP4664">
        <v>0</v>
      </c>
      <c r="BS4664">
        <v>0</v>
      </c>
      <c r="BT4664">
        <v>0</v>
      </c>
      <c r="BU4664">
        <v>0</v>
      </c>
      <c r="CE4664" t="str">
        <f t="shared" ref="CE4664:CE4669" si="1847">"15:17:29.896"</f>
        <v>15:17:29.896</v>
      </c>
      <c r="CF4664">
        <v>895758838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4</v>
      </c>
      <c r="CY4664">
        <v>7</v>
      </c>
      <c r="CZ4664" t="s">
        <v>133</v>
      </c>
      <c r="DA4664">
        <v>275</v>
      </c>
      <c r="DB4664">
        <v>0</v>
      </c>
      <c r="DC4664" t="s">
        <v>134</v>
      </c>
      <c r="DD4664" t="s">
        <v>135</v>
      </c>
      <c r="DG4664">
        <v>3323345</v>
      </c>
      <c r="DI4664">
        <v>1</v>
      </c>
      <c r="DJ4664">
        <v>0</v>
      </c>
      <c r="DK4664">
        <v>0</v>
      </c>
      <c r="DL4664">
        <v>0</v>
      </c>
      <c r="DM4664">
        <v>0</v>
      </c>
      <c r="DN4664">
        <v>0</v>
      </c>
      <c r="DO4664">
        <v>0</v>
      </c>
      <c r="DP4664">
        <v>0</v>
      </c>
      <c r="DQ4664">
        <v>0</v>
      </c>
      <c r="DR4664">
        <v>0</v>
      </c>
      <c r="DS4664">
        <v>0</v>
      </c>
    </row>
    <row r="4665" spans="1:123" x14ac:dyDescent="0.3">
      <c r="A4665" t="str">
        <f>"05/01/2025 15:17:30.126"</f>
        <v>05/01/2025 15:17:30.126</v>
      </c>
      <c r="C4665" t="str">
        <f t="shared" si="1824"/>
        <v>FFDFD3C0</v>
      </c>
      <c r="D4665" t="s">
        <v>140</v>
      </c>
      <c r="E4665" t="str">
        <f>"13"</f>
        <v>13</v>
      </c>
      <c r="F4665">
        <v>1019</v>
      </c>
      <c r="G4665" t="s">
        <v>141</v>
      </c>
      <c r="J4665" t="s">
        <v>142</v>
      </c>
      <c r="K4665">
        <v>0</v>
      </c>
      <c r="L4665">
        <v>3</v>
      </c>
      <c r="M4665">
        <v>0</v>
      </c>
      <c r="N4665">
        <v>2</v>
      </c>
      <c r="O4665">
        <v>0</v>
      </c>
      <c r="P4665">
        <v>1</v>
      </c>
      <c r="Q4665">
        <v>0</v>
      </c>
      <c r="R4665" t="s">
        <v>127</v>
      </c>
      <c r="S4665" t="str">
        <f t="shared" si="1846"/>
        <v>15:17:29.000</v>
      </c>
      <c r="T4665" t="str">
        <f t="shared" si="1846"/>
        <v>15:17:29.000</v>
      </c>
      <c r="U4665" t="str">
        <f t="shared" si="1826"/>
        <v>A68FCB</v>
      </c>
      <c r="V4665">
        <v>0</v>
      </c>
      <c r="W4665">
        <v>0</v>
      </c>
      <c r="X4665">
        <v>2</v>
      </c>
      <c r="Y4665">
        <v>0</v>
      </c>
      <c r="AA4665">
        <v>1</v>
      </c>
      <c r="AB4665">
        <v>8</v>
      </c>
      <c r="AC4665">
        <v>3</v>
      </c>
      <c r="AD4665">
        <v>0</v>
      </c>
      <c r="AE4665">
        <v>9</v>
      </c>
      <c r="AF4665" t="s">
        <v>138</v>
      </c>
      <c r="AG4665">
        <v>0</v>
      </c>
      <c r="AH4665">
        <v>3</v>
      </c>
      <c r="AI4665">
        <v>2</v>
      </c>
      <c r="AJ4665">
        <v>0</v>
      </c>
      <c r="AK4665" t="s">
        <v>1488</v>
      </c>
      <c r="AL4665">
        <v>39.216878000000001</v>
      </c>
      <c r="AM4665" t="s">
        <v>1489</v>
      </c>
      <c r="AN4665">
        <v>-121.00202299999999</v>
      </c>
      <c r="AO4665">
        <v>25</v>
      </c>
      <c r="AP4665">
        <v>4100</v>
      </c>
      <c r="AQ4665" t="s">
        <v>131</v>
      </c>
      <c r="AR4665">
        <v>30</v>
      </c>
      <c r="AS4665">
        <v>76</v>
      </c>
      <c r="AT4665">
        <v>-256</v>
      </c>
      <c r="BB4665" t="str">
        <f t="shared" si="1827"/>
        <v>1200</v>
      </c>
      <c r="BC4665">
        <v>1</v>
      </c>
      <c r="BD4665" t="str">
        <f t="shared" si="1828"/>
        <v xml:space="preserve">N52156  </v>
      </c>
      <c r="BE4665">
        <v>1</v>
      </c>
      <c r="BG4665">
        <v>0</v>
      </c>
      <c r="BH4665">
        <v>0</v>
      </c>
      <c r="BI4665">
        <v>0</v>
      </c>
      <c r="BJ4665">
        <v>4200</v>
      </c>
      <c r="BK4665">
        <v>100</v>
      </c>
      <c r="BL4665" t="s">
        <v>188</v>
      </c>
      <c r="BM4665">
        <v>1</v>
      </c>
      <c r="BN4665">
        <v>1</v>
      </c>
      <c r="BO4665">
        <v>0</v>
      </c>
      <c r="BP4665">
        <v>0</v>
      </c>
      <c r="BS4665">
        <v>0</v>
      </c>
      <c r="BT4665">
        <v>0</v>
      </c>
      <c r="BU4665">
        <v>0</v>
      </c>
      <c r="CE4665" t="str">
        <f t="shared" si="1847"/>
        <v>15:17:29.896</v>
      </c>
      <c r="CF4665">
        <v>895758838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4</v>
      </c>
      <c r="CY4665">
        <v>7</v>
      </c>
      <c r="CZ4665" t="s">
        <v>133</v>
      </c>
      <c r="DA4665">
        <v>275</v>
      </c>
      <c r="DB4665">
        <v>0</v>
      </c>
      <c r="DC4665" t="s">
        <v>134</v>
      </c>
      <c r="DD4665" t="s">
        <v>135</v>
      </c>
      <c r="DG4665">
        <v>3323345</v>
      </c>
      <c r="DI4665">
        <v>1</v>
      </c>
      <c r="DJ4665">
        <v>0</v>
      </c>
      <c r="DK4665">
        <v>1</v>
      </c>
      <c r="DL4665">
        <v>0</v>
      </c>
      <c r="DM4665">
        <v>0</v>
      </c>
      <c r="DN4665">
        <v>0</v>
      </c>
      <c r="DO4665">
        <v>0</v>
      </c>
      <c r="DP4665">
        <v>0</v>
      </c>
      <c r="DQ4665">
        <v>0</v>
      </c>
      <c r="DR4665">
        <v>0</v>
      </c>
      <c r="DS4665">
        <v>0</v>
      </c>
    </row>
    <row r="4666" spans="1:123" x14ac:dyDescent="0.3">
      <c r="A4666" t="str">
        <f>"05/01/2025 15:17:30.127"</f>
        <v>05/01/2025 15:17:30.127</v>
      </c>
      <c r="C4666" t="str">
        <f t="shared" si="1824"/>
        <v>FFDFD3C0</v>
      </c>
      <c r="D4666" t="s">
        <v>124</v>
      </c>
      <c r="E4666" t="str">
        <f>"06"</f>
        <v>06</v>
      </c>
      <c r="F4666">
        <v>2006</v>
      </c>
      <c r="G4666" t="s">
        <v>125</v>
      </c>
      <c r="J4666" t="s">
        <v>126</v>
      </c>
      <c r="K4666">
        <v>0</v>
      </c>
      <c r="L4666">
        <v>3</v>
      </c>
      <c r="M4666">
        <v>0</v>
      </c>
      <c r="N4666">
        <v>2</v>
      </c>
      <c r="O4666">
        <v>0</v>
      </c>
      <c r="P4666">
        <v>1</v>
      </c>
      <c r="Q4666">
        <v>0</v>
      </c>
      <c r="R4666" t="s">
        <v>127</v>
      </c>
      <c r="S4666" t="str">
        <f t="shared" si="1846"/>
        <v>15:17:29.000</v>
      </c>
      <c r="T4666" t="str">
        <f t="shared" si="1846"/>
        <v>15:17:29.000</v>
      </c>
      <c r="U4666" t="str">
        <f t="shared" si="1826"/>
        <v>A68FCB</v>
      </c>
      <c r="V4666">
        <v>0</v>
      </c>
      <c r="W4666">
        <v>0</v>
      </c>
      <c r="X4666">
        <v>2</v>
      </c>
      <c r="Y4666">
        <v>0</v>
      </c>
      <c r="AA4666">
        <v>1</v>
      </c>
      <c r="AB4666">
        <v>8</v>
      </c>
      <c r="AC4666">
        <v>3</v>
      </c>
      <c r="AD4666">
        <v>0</v>
      </c>
      <c r="AE4666">
        <v>9</v>
      </c>
      <c r="AF4666" t="s">
        <v>138</v>
      </c>
      <c r="AG4666">
        <v>0</v>
      </c>
      <c r="AH4666">
        <v>3</v>
      </c>
      <c r="AI4666">
        <v>2</v>
      </c>
      <c r="AJ4666">
        <v>0</v>
      </c>
      <c r="AK4666" t="s">
        <v>1488</v>
      </c>
      <c r="AL4666">
        <v>39.216878000000001</v>
      </c>
      <c r="AM4666" t="s">
        <v>1489</v>
      </c>
      <c r="AN4666">
        <v>-121.00202299999999</v>
      </c>
      <c r="AO4666">
        <v>25</v>
      </c>
      <c r="AP4666">
        <v>4100</v>
      </c>
      <c r="AQ4666" t="s">
        <v>131</v>
      </c>
      <c r="AR4666">
        <v>30</v>
      </c>
      <c r="AS4666">
        <v>76</v>
      </c>
      <c r="AT4666">
        <v>-256</v>
      </c>
      <c r="BB4666" t="str">
        <f t="shared" si="1827"/>
        <v>1200</v>
      </c>
      <c r="BC4666">
        <v>1</v>
      </c>
      <c r="BD4666" t="str">
        <f t="shared" si="1828"/>
        <v xml:space="preserve">N52156  </v>
      </c>
      <c r="BE4666">
        <v>1</v>
      </c>
      <c r="BG4666">
        <v>0</v>
      </c>
      <c r="BH4666">
        <v>0</v>
      </c>
      <c r="BI4666">
        <v>0</v>
      </c>
      <c r="BJ4666">
        <v>4200</v>
      </c>
      <c r="BK4666">
        <v>100</v>
      </c>
      <c r="BL4666" t="s">
        <v>188</v>
      </c>
      <c r="BM4666">
        <v>1</v>
      </c>
      <c r="BN4666">
        <v>1</v>
      </c>
      <c r="BO4666">
        <v>0</v>
      </c>
      <c r="BP4666">
        <v>0</v>
      </c>
      <c r="BS4666">
        <v>0</v>
      </c>
      <c r="BT4666">
        <v>0</v>
      </c>
      <c r="BU4666">
        <v>0</v>
      </c>
      <c r="CE4666" t="str">
        <f t="shared" si="1847"/>
        <v>15:17:29.896</v>
      </c>
      <c r="CF4666">
        <v>895758838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4</v>
      </c>
      <c r="CY4666">
        <v>7</v>
      </c>
      <c r="CZ4666" t="s">
        <v>133</v>
      </c>
      <c r="DA4666">
        <v>275</v>
      </c>
      <c r="DB4666">
        <v>0</v>
      </c>
      <c r="DC4666" t="s">
        <v>134</v>
      </c>
      <c r="DD4666" t="s">
        <v>135</v>
      </c>
      <c r="DG4666">
        <v>3323345</v>
      </c>
      <c r="DI4666">
        <v>1</v>
      </c>
      <c r="DJ4666">
        <v>0</v>
      </c>
      <c r="DK4666">
        <v>1</v>
      </c>
      <c r="DL4666">
        <v>0</v>
      </c>
      <c r="DM4666">
        <v>0</v>
      </c>
      <c r="DN4666">
        <v>0</v>
      </c>
      <c r="DO4666">
        <v>0</v>
      </c>
      <c r="DP4666">
        <v>0</v>
      </c>
      <c r="DQ4666">
        <v>0</v>
      </c>
      <c r="DR4666">
        <v>0</v>
      </c>
      <c r="DS4666">
        <v>0</v>
      </c>
    </row>
    <row r="4667" spans="1:123" x14ac:dyDescent="0.3">
      <c r="A4667" t="str">
        <f>"05/01/2025 15:17:30.133"</f>
        <v>05/01/2025 15:17:30.133</v>
      </c>
      <c r="C4667" t="str">
        <f t="shared" si="1824"/>
        <v>FFDFD3C0</v>
      </c>
      <c r="D4667" t="s">
        <v>143</v>
      </c>
      <c r="E4667" t="str">
        <f>"05"</f>
        <v>05</v>
      </c>
      <c r="H4667">
        <v>172</v>
      </c>
      <c r="I4667" t="s">
        <v>141</v>
      </c>
      <c r="J4667" t="s">
        <v>144</v>
      </c>
      <c r="K4667">
        <v>0</v>
      </c>
      <c r="L4667">
        <v>3</v>
      </c>
      <c r="M4667">
        <v>0</v>
      </c>
      <c r="N4667">
        <v>2</v>
      </c>
      <c r="O4667">
        <v>0</v>
      </c>
      <c r="P4667">
        <v>1</v>
      </c>
      <c r="Q4667">
        <v>0</v>
      </c>
      <c r="R4667" t="s">
        <v>127</v>
      </c>
      <c r="S4667" t="str">
        <f t="shared" si="1846"/>
        <v>15:17:29.000</v>
      </c>
      <c r="T4667" t="str">
        <f t="shared" si="1846"/>
        <v>15:17:29.000</v>
      </c>
      <c r="U4667" t="str">
        <f t="shared" si="1826"/>
        <v>A68FCB</v>
      </c>
      <c r="V4667">
        <v>0</v>
      </c>
      <c r="W4667">
        <v>0</v>
      </c>
      <c r="X4667">
        <v>2</v>
      </c>
      <c r="Y4667">
        <v>0</v>
      </c>
      <c r="AA4667">
        <v>1</v>
      </c>
      <c r="AB4667">
        <v>8</v>
      </c>
      <c r="AC4667">
        <v>3</v>
      </c>
      <c r="AD4667">
        <v>0</v>
      </c>
      <c r="AE4667">
        <v>9</v>
      </c>
      <c r="AF4667" t="s">
        <v>138</v>
      </c>
      <c r="AG4667">
        <v>0</v>
      </c>
      <c r="AH4667">
        <v>3</v>
      </c>
      <c r="AI4667">
        <v>2</v>
      </c>
      <c r="AJ4667">
        <v>0</v>
      </c>
      <c r="AK4667" t="s">
        <v>1488</v>
      </c>
      <c r="AL4667">
        <v>39.216878000000001</v>
      </c>
      <c r="AM4667" t="s">
        <v>1489</v>
      </c>
      <c r="AN4667">
        <v>-121.00202299999999</v>
      </c>
      <c r="AO4667">
        <v>25</v>
      </c>
      <c r="AP4667">
        <v>4100</v>
      </c>
      <c r="AQ4667" t="s">
        <v>131</v>
      </c>
      <c r="AR4667">
        <v>30</v>
      </c>
      <c r="AS4667">
        <v>76</v>
      </c>
      <c r="AT4667">
        <v>-256</v>
      </c>
      <c r="BB4667" t="str">
        <f t="shared" si="1827"/>
        <v>1200</v>
      </c>
      <c r="BC4667">
        <v>1</v>
      </c>
      <c r="BD4667" t="str">
        <f t="shared" si="1828"/>
        <v xml:space="preserve">N52156  </v>
      </c>
      <c r="BE4667">
        <v>1</v>
      </c>
      <c r="BG4667">
        <v>0</v>
      </c>
      <c r="BH4667">
        <v>0</v>
      </c>
      <c r="BI4667">
        <v>0</v>
      </c>
      <c r="BJ4667">
        <v>4200</v>
      </c>
      <c r="BK4667">
        <v>100</v>
      </c>
      <c r="BL4667" t="s">
        <v>188</v>
      </c>
      <c r="BM4667">
        <v>1</v>
      </c>
      <c r="BN4667">
        <v>1</v>
      </c>
      <c r="BO4667">
        <v>0</v>
      </c>
      <c r="BP4667">
        <v>0</v>
      </c>
      <c r="BS4667">
        <v>0</v>
      </c>
      <c r="BT4667">
        <v>0</v>
      </c>
      <c r="BU4667">
        <v>0</v>
      </c>
      <c r="CE4667" t="str">
        <f t="shared" si="1847"/>
        <v>15:17:29.896</v>
      </c>
      <c r="CF4667">
        <v>895758838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4</v>
      </c>
      <c r="CY4667">
        <v>7</v>
      </c>
      <c r="CZ4667" t="s">
        <v>133</v>
      </c>
      <c r="DA4667">
        <v>275</v>
      </c>
      <c r="DB4667">
        <v>0</v>
      </c>
      <c r="DC4667" t="s">
        <v>134</v>
      </c>
      <c r="DD4667" t="s">
        <v>135</v>
      </c>
      <c r="DG4667">
        <v>3323345</v>
      </c>
      <c r="DI4667">
        <v>1</v>
      </c>
      <c r="DJ4667">
        <v>0</v>
      </c>
      <c r="DK4667">
        <v>1</v>
      </c>
      <c r="DL4667">
        <v>0</v>
      </c>
      <c r="DM4667">
        <v>0</v>
      </c>
      <c r="DN4667">
        <v>0</v>
      </c>
      <c r="DO4667">
        <v>0</v>
      </c>
      <c r="DP4667">
        <v>0</v>
      </c>
      <c r="DQ4667">
        <v>0</v>
      </c>
      <c r="DR4667">
        <v>0</v>
      </c>
      <c r="DS4667">
        <v>0</v>
      </c>
    </row>
    <row r="4668" spans="1:123" x14ac:dyDescent="0.3">
      <c r="A4668" t="str">
        <f>"05/01/2025 15:17:30.147"</f>
        <v>05/01/2025 15:17:30.147</v>
      </c>
      <c r="C4668" t="str">
        <f t="shared" si="1824"/>
        <v>FFDFD3C0</v>
      </c>
      <c r="D4668" t="s">
        <v>145</v>
      </c>
      <c r="E4668" t="str">
        <f>"09"</f>
        <v>09</v>
      </c>
      <c r="H4668">
        <v>51</v>
      </c>
      <c r="I4668" t="s">
        <v>147</v>
      </c>
      <c r="J4668" t="s">
        <v>138</v>
      </c>
      <c r="K4668">
        <v>0</v>
      </c>
      <c r="L4668">
        <v>3</v>
      </c>
      <c r="M4668">
        <v>0</v>
      </c>
      <c r="N4668">
        <v>2</v>
      </c>
      <c r="O4668">
        <v>0</v>
      </c>
      <c r="P4668">
        <v>1</v>
      </c>
      <c r="Q4668">
        <v>0</v>
      </c>
      <c r="R4668" t="s">
        <v>127</v>
      </c>
      <c r="S4668" t="str">
        <f t="shared" si="1846"/>
        <v>15:17:29.000</v>
      </c>
      <c r="T4668" t="str">
        <f t="shared" si="1846"/>
        <v>15:17:29.000</v>
      </c>
      <c r="U4668" t="str">
        <f t="shared" si="1826"/>
        <v>A68FCB</v>
      </c>
      <c r="V4668">
        <v>0</v>
      </c>
      <c r="W4668">
        <v>0</v>
      </c>
      <c r="X4668">
        <v>2</v>
      </c>
      <c r="Y4668">
        <v>0</v>
      </c>
      <c r="AA4668">
        <v>1</v>
      </c>
      <c r="AB4668">
        <v>8</v>
      </c>
      <c r="AC4668">
        <v>3</v>
      </c>
      <c r="AD4668">
        <v>0</v>
      </c>
      <c r="AE4668">
        <v>9</v>
      </c>
      <c r="AF4668" t="s">
        <v>138</v>
      </c>
      <c r="AG4668">
        <v>0</v>
      </c>
      <c r="AH4668">
        <v>3</v>
      </c>
      <c r="AI4668">
        <v>2</v>
      </c>
      <c r="AJ4668">
        <v>0</v>
      </c>
      <c r="AK4668" t="s">
        <v>1488</v>
      </c>
      <c r="AL4668">
        <v>39.216878000000001</v>
      </c>
      <c r="AM4668" t="s">
        <v>1489</v>
      </c>
      <c r="AN4668">
        <v>-121.00202299999999</v>
      </c>
      <c r="AO4668">
        <v>25</v>
      </c>
      <c r="AP4668">
        <v>4100</v>
      </c>
      <c r="AQ4668" t="s">
        <v>131</v>
      </c>
      <c r="AR4668">
        <v>30</v>
      </c>
      <c r="AS4668">
        <v>76</v>
      </c>
      <c r="AT4668">
        <v>-256</v>
      </c>
      <c r="BB4668" t="str">
        <f t="shared" si="1827"/>
        <v>1200</v>
      </c>
      <c r="BC4668">
        <v>1</v>
      </c>
      <c r="BD4668" t="str">
        <f t="shared" si="1828"/>
        <v xml:space="preserve">N52156  </v>
      </c>
      <c r="BE4668">
        <v>1</v>
      </c>
      <c r="BG4668">
        <v>0</v>
      </c>
      <c r="BH4668">
        <v>0</v>
      </c>
      <c r="BI4668">
        <v>0</v>
      </c>
      <c r="BJ4668">
        <v>4200</v>
      </c>
      <c r="BK4668">
        <v>100</v>
      </c>
      <c r="BL4668" t="s">
        <v>188</v>
      </c>
      <c r="BM4668">
        <v>1</v>
      </c>
      <c r="BN4668">
        <v>1</v>
      </c>
      <c r="BO4668">
        <v>0</v>
      </c>
      <c r="BP4668">
        <v>0</v>
      </c>
      <c r="BS4668">
        <v>0</v>
      </c>
      <c r="BT4668">
        <v>0</v>
      </c>
      <c r="BU4668">
        <v>0</v>
      </c>
      <c r="CE4668" t="str">
        <f t="shared" si="1847"/>
        <v>15:17:29.896</v>
      </c>
      <c r="CF4668">
        <v>895758838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4</v>
      </c>
      <c r="CY4668">
        <v>7</v>
      </c>
      <c r="CZ4668" t="s">
        <v>133</v>
      </c>
      <c r="DA4668">
        <v>275</v>
      </c>
      <c r="DB4668">
        <v>0</v>
      </c>
      <c r="DC4668" t="s">
        <v>134</v>
      </c>
      <c r="DD4668" t="s">
        <v>135</v>
      </c>
      <c r="DG4668">
        <v>3323345</v>
      </c>
      <c r="DI4668">
        <v>1</v>
      </c>
      <c r="DJ4668">
        <v>0</v>
      </c>
      <c r="DK4668">
        <v>1</v>
      </c>
      <c r="DL4668">
        <v>0</v>
      </c>
      <c r="DM4668">
        <v>0</v>
      </c>
      <c r="DN4668">
        <v>0</v>
      </c>
      <c r="DO4668">
        <v>0</v>
      </c>
      <c r="DP4668">
        <v>0</v>
      </c>
      <c r="DQ4668">
        <v>0</v>
      </c>
      <c r="DR4668">
        <v>0</v>
      </c>
      <c r="DS4668">
        <v>0</v>
      </c>
    </row>
    <row r="4669" spans="1:123" x14ac:dyDescent="0.3">
      <c r="A4669" t="str">
        <f>"05/01/2025 15:17:30.149"</f>
        <v>05/01/2025 15:17:30.149</v>
      </c>
      <c r="C4669" t="str">
        <f t="shared" si="1824"/>
        <v>FFDFD3C0</v>
      </c>
      <c r="D4669" t="s">
        <v>145</v>
      </c>
      <c r="E4669" t="str">
        <f>"05"</f>
        <v>05</v>
      </c>
      <c r="H4669">
        <v>47</v>
      </c>
      <c r="I4669" t="s">
        <v>146</v>
      </c>
      <c r="J4669" t="s">
        <v>138</v>
      </c>
      <c r="K4669">
        <v>0</v>
      </c>
      <c r="L4669">
        <v>3</v>
      </c>
      <c r="M4669">
        <v>0</v>
      </c>
      <c r="N4669">
        <v>2</v>
      </c>
      <c r="O4669">
        <v>0</v>
      </c>
      <c r="P4669">
        <v>1</v>
      </c>
      <c r="Q4669">
        <v>0</v>
      </c>
      <c r="R4669" t="s">
        <v>127</v>
      </c>
      <c r="S4669" t="str">
        <f t="shared" si="1846"/>
        <v>15:17:29.000</v>
      </c>
      <c r="T4669" t="str">
        <f t="shared" si="1846"/>
        <v>15:17:29.000</v>
      </c>
      <c r="U4669" t="str">
        <f t="shared" si="1826"/>
        <v>A68FCB</v>
      </c>
      <c r="V4669">
        <v>0</v>
      </c>
      <c r="W4669">
        <v>0</v>
      </c>
      <c r="X4669">
        <v>2</v>
      </c>
      <c r="Y4669">
        <v>0</v>
      </c>
      <c r="AA4669">
        <v>1</v>
      </c>
      <c r="AB4669">
        <v>8</v>
      </c>
      <c r="AC4669">
        <v>3</v>
      </c>
      <c r="AD4669">
        <v>0</v>
      </c>
      <c r="AE4669">
        <v>9</v>
      </c>
      <c r="AF4669" t="s">
        <v>138</v>
      </c>
      <c r="AG4669">
        <v>0</v>
      </c>
      <c r="AH4669">
        <v>3</v>
      </c>
      <c r="AI4669">
        <v>2</v>
      </c>
      <c r="AJ4669">
        <v>0</v>
      </c>
      <c r="AK4669" t="s">
        <v>1488</v>
      </c>
      <c r="AL4669">
        <v>39.216878000000001</v>
      </c>
      <c r="AM4669" t="s">
        <v>1489</v>
      </c>
      <c r="AN4669">
        <v>-121.00202299999999</v>
      </c>
      <c r="AO4669">
        <v>25</v>
      </c>
      <c r="AP4669">
        <v>4100</v>
      </c>
      <c r="AQ4669" t="s">
        <v>131</v>
      </c>
      <c r="AR4669">
        <v>30</v>
      </c>
      <c r="AS4669">
        <v>76</v>
      </c>
      <c r="AT4669">
        <v>-256</v>
      </c>
      <c r="BB4669" t="str">
        <f t="shared" si="1827"/>
        <v>1200</v>
      </c>
      <c r="BC4669">
        <v>1</v>
      </c>
      <c r="BD4669" t="str">
        <f t="shared" si="1828"/>
        <v xml:space="preserve">N52156  </v>
      </c>
      <c r="BE4669">
        <v>1</v>
      </c>
      <c r="BG4669">
        <v>0</v>
      </c>
      <c r="BH4669">
        <v>0</v>
      </c>
      <c r="BI4669">
        <v>0</v>
      </c>
      <c r="BJ4669">
        <v>4200</v>
      </c>
      <c r="BK4669">
        <v>100</v>
      </c>
      <c r="BL4669" t="s">
        <v>188</v>
      </c>
      <c r="BM4669">
        <v>1</v>
      </c>
      <c r="BN4669">
        <v>1</v>
      </c>
      <c r="BO4669">
        <v>0</v>
      </c>
      <c r="BP4669">
        <v>0</v>
      </c>
      <c r="BS4669">
        <v>0</v>
      </c>
      <c r="BT4669">
        <v>0</v>
      </c>
      <c r="BU4669">
        <v>0</v>
      </c>
      <c r="CE4669" t="str">
        <f t="shared" si="1847"/>
        <v>15:17:29.896</v>
      </c>
      <c r="CF4669">
        <v>895758838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4</v>
      </c>
      <c r="CY4669">
        <v>7</v>
      </c>
      <c r="CZ4669" t="s">
        <v>133</v>
      </c>
      <c r="DA4669">
        <v>275</v>
      </c>
      <c r="DB4669">
        <v>0</v>
      </c>
      <c r="DC4669" t="s">
        <v>134</v>
      </c>
      <c r="DD4669" t="s">
        <v>135</v>
      </c>
      <c r="DG4669">
        <v>3323345</v>
      </c>
      <c r="DI4669">
        <v>1</v>
      </c>
      <c r="DJ4669">
        <v>0</v>
      </c>
      <c r="DK4669">
        <v>1</v>
      </c>
      <c r="DL4669">
        <v>0</v>
      </c>
      <c r="DM4669">
        <v>0</v>
      </c>
      <c r="DN4669">
        <v>0</v>
      </c>
      <c r="DO4669">
        <v>0</v>
      </c>
      <c r="DP4669">
        <v>0</v>
      </c>
      <c r="DQ4669">
        <v>0</v>
      </c>
      <c r="DR4669">
        <v>0</v>
      </c>
      <c r="DS4669">
        <v>0</v>
      </c>
    </row>
    <row r="4670" spans="1:123" x14ac:dyDescent="0.3">
      <c r="A4670" t="str">
        <f>"05/01/2025 15:17:30.911"</f>
        <v>05/01/2025 15:17:30.911</v>
      </c>
      <c r="C4670" t="str">
        <f t="shared" si="1824"/>
        <v>FFDFD3C0</v>
      </c>
      <c r="D4670" t="s">
        <v>136</v>
      </c>
      <c r="E4670" t="str">
        <f>"20"</f>
        <v>20</v>
      </c>
      <c r="H4670">
        <v>400</v>
      </c>
      <c r="I4670" t="s">
        <v>137</v>
      </c>
      <c r="J4670" t="s">
        <v>138</v>
      </c>
      <c r="K4670">
        <v>0</v>
      </c>
      <c r="L4670">
        <v>3</v>
      </c>
      <c r="M4670">
        <v>0</v>
      </c>
      <c r="N4670">
        <v>2</v>
      </c>
      <c r="O4670">
        <v>0</v>
      </c>
      <c r="P4670">
        <v>1</v>
      </c>
      <c r="Q4670">
        <v>0</v>
      </c>
      <c r="R4670" t="s">
        <v>127</v>
      </c>
      <c r="S4670" t="str">
        <f t="shared" ref="S4670:T4675" si="1848">"15:17:30.000"</f>
        <v>15:17:30.000</v>
      </c>
      <c r="T4670" t="str">
        <f t="shared" si="1848"/>
        <v>15:17:30.000</v>
      </c>
      <c r="U4670" t="str">
        <f t="shared" si="1826"/>
        <v>A68FCB</v>
      </c>
      <c r="V4670">
        <v>0</v>
      </c>
      <c r="W4670">
        <v>0</v>
      </c>
      <c r="X4670">
        <v>2</v>
      </c>
      <c r="Y4670">
        <v>0</v>
      </c>
      <c r="AA4670">
        <v>1</v>
      </c>
      <c r="AB4670">
        <v>8</v>
      </c>
      <c r="AC4670">
        <v>3</v>
      </c>
      <c r="AD4670">
        <v>0</v>
      </c>
      <c r="AE4670">
        <v>9</v>
      </c>
      <c r="AF4670" t="s">
        <v>138</v>
      </c>
      <c r="AG4670">
        <v>0</v>
      </c>
      <c r="AH4670">
        <v>3</v>
      </c>
      <c r="AI4670">
        <v>2</v>
      </c>
      <c r="AJ4670">
        <v>0</v>
      </c>
      <c r="AK4670" t="s">
        <v>1490</v>
      </c>
      <c r="AL4670">
        <v>39.217243000000003</v>
      </c>
      <c r="AM4670" t="s">
        <v>1491</v>
      </c>
      <c r="AN4670">
        <v>-121.00183</v>
      </c>
      <c r="AO4670">
        <v>25</v>
      </c>
      <c r="AP4670">
        <v>4100</v>
      </c>
      <c r="AQ4670" t="s">
        <v>131</v>
      </c>
      <c r="AR4670">
        <v>30</v>
      </c>
      <c r="AS4670">
        <v>77</v>
      </c>
      <c r="AT4670">
        <v>-256</v>
      </c>
      <c r="BB4670" t="str">
        <f t="shared" si="1827"/>
        <v>1200</v>
      </c>
      <c r="BC4670">
        <v>1</v>
      </c>
      <c r="BD4670" t="str">
        <f t="shared" si="1828"/>
        <v xml:space="preserve">N52156  </v>
      </c>
      <c r="BE4670">
        <v>1</v>
      </c>
      <c r="BG4670">
        <v>0</v>
      </c>
      <c r="BH4670">
        <v>0</v>
      </c>
      <c r="BI4670">
        <v>0</v>
      </c>
      <c r="BJ4670">
        <v>4200</v>
      </c>
      <c r="BK4670">
        <v>100</v>
      </c>
      <c r="BL4670" t="s">
        <v>188</v>
      </c>
      <c r="BM4670">
        <v>1</v>
      </c>
      <c r="BN4670">
        <v>1</v>
      </c>
      <c r="BO4670">
        <v>0</v>
      </c>
      <c r="BP4670">
        <v>0</v>
      </c>
      <c r="BS4670">
        <v>0</v>
      </c>
      <c r="BT4670">
        <v>0</v>
      </c>
      <c r="BU4670">
        <v>0</v>
      </c>
      <c r="CE4670" t="str">
        <f t="shared" ref="CE4670:CE4675" si="1849">"15:17:30.706"</f>
        <v>15:17:30.706</v>
      </c>
      <c r="CF4670">
        <v>705758440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4</v>
      </c>
      <c r="CY4670">
        <v>7</v>
      </c>
      <c r="CZ4670" t="s">
        <v>133</v>
      </c>
      <c r="DA4670">
        <v>275</v>
      </c>
      <c r="DB4670">
        <v>0</v>
      </c>
      <c r="DC4670" t="s">
        <v>134</v>
      </c>
      <c r="DD4670" t="s">
        <v>135</v>
      </c>
      <c r="DG4670">
        <v>3323346</v>
      </c>
      <c r="DI4670">
        <v>1</v>
      </c>
      <c r="DJ4670">
        <v>0</v>
      </c>
      <c r="DK4670">
        <v>0</v>
      </c>
      <c r="DL4670">
        <v>0</v>
      </c>
      <c r="DM4670">
        <v>0</v>
      </c>
      <c r="DN4670">
        <v>0</v>
      </c>
      <c r="DO4670">
        <v>0</v>
      </c>
      <c r="DP4670">
        <v>0</v>
      </c>
      <c r="DQ4670">
        <v>0</v>
      </c>
      <c r="DR4670">
        <v>0</v>
      </c>
      <c r="DS4670">
        <v>0</v>
      </c>
    </row>
    <row r="4671" spans="1:123" x14ac:dyDescent="0.3">
      <c r="A4671" t="str">
        <f>"05/01/2025 15:17:30.928"</f>
        <v>05/01/2025 15:17:30.928</v>
      </c>
      <c r="C4671" t="str">
        <f t="shared" si="1824"/>
        <v>FFDFD3C0</v>
      </c>
      <c r="D4671" t="s">
        <v>124</v>
      </c>
      <c r="E4671" t="str">
        <f>"06"</f>
        <v>06</v>
      </c>
      <c r="F4671">
        <v>2006</v>
      </c>
      <c r="G4671" t="s">
        <v>125</v>
      </c>
      <c r="J4671" t="s">
        <v>126</v>
      </c>
      <c r="K4671">
        <v>0</v>
      </c>
      <c r="L4671">
        <v>3</v>
      </c>
      <c r="M4671">
        <v>0</v>
      </c>
      <c r="N4671">
        <v>2</v>
      </c>
      <c r="O4671">
        <v>0</v>
      </c>
      <c r="P4671">
        <v>1</v>
      </c>
      <c r="Q4671">
        <v>0</v>
      </c>
      <c r="R4671" t="s">
        <v>127</v>
      </c>
      <c r="S4671" t="str">
        <f t="shared" si="1848"/>
        <v>15:17:30.000</v>
      </c>
      <c r="T4671" t="str">
        <f t="shared" si="1848"/>
        <v>15:17:30.000</v>
      </c>
      <c r="U4671" t="str">
        <f t="shared" si="1826"/>
        <v>A68FCB</v>
      </c>
      <c r="V4671">
        <v>0</v>
      </c>
      <c r="W4671">
        <v>0</v>
      </c>
      <c r="X4671">
        <v>2</v>
      </c>
      <c r="Y4671">
        <v>0</v>
      </c>
      <c r="AA4671">
        <v>1</v>
      </c>
      <c r="AB4671">
        <v>8</v>
      </c>
      <c r="AC4671">
        <v>3</v>
      </c>
      <c r="AD4671">
        <v>0</v>
      </c>
      <c r="AE4671">
        <v>9</v>
      </c>
      <c r="AF4671" t="s">
        <v>138</v>
      </c>
      <c r="AG4671">
        <v>0</v>
      </c>
      <c r="AH4671">
        <v>3</v>
      </c>
      <c r="AI4671">
        <v>2</v>
      </c>
      <c r="AJ4671">
        <v>0</v>
      </c>
      <c r="AK4671" t="s">
        <v>1490</v>
      </c>
      <c r="AL4671">
        <v>39.217243000000003</v>
      </c>
      <c r="AM4671" t="s">
        <v>1491</v>
      </c>
      <c r="AN4671">
        <v>-121.00183</v>
      </c>
      <c r="AO4671">
        <v>25</v>
      </c>
      <c r="AP4671">
        <v>4100</v>
      </c>
      <c r="AQ4671" t="s">
        <v>131</v>
      </c>
      <c r="AR4671">
        <v>30</v>
      </c>
      <c r="AS4671">
        <v>77</v>
      </c>
      <c r="AT4671">
        <v>-256</v>
      </c>
      <c r="BB4671" t="str">
        <f t="shared" si="1827"/>
        <v>1200</v>
      </c>
      <c r="BC4671">
        <v>1</v>
      </c>
      <c r="BD4671" t="str">
        <f t="shared" si="1828"/>
        <v xml:space="preserve">N52156  </v>
      </c>
      <c r="BE4671">
        <v>1</v>
      </c>
      <c r="BG4671">
        <v>0</v>
      </c>
      <c r="BH4671">
        <v>0</v>
      </c>
      <c r="BI4671">
        <v>0</v>
      </c>
      <c r="BJ4671">
        <v>4200</v>
      </c>
      <c r="BK4671">
        <v>100</v>
      </c>
      <c r="BL4671" t="s">
        <v>188</v>
      </c>
      <c r="BM4671">
        <v>1</v>
      </c>
      <c r="BN4671">
        <v>1</v>
      </c>
      <c r="BO4671">
        <v>0</v>
      </c>
      <c r="BP4671">
        <v>0</v>
      </c>
      <c r="BS4671">
        <v>0</v>
      </c>
      <c r="BT4671">
        <v>0</v>
      </c>
      <c r="BU4671">
        <v>0</v>
      </c>
      <c r="CE4671" t="str">
        <f t="shared" si="1849"/>
        <v>15:17:30.706</v>
      </c>
      <c r="CF4671">
        <v>705758440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4</v>
      </c>
      <c r="CY4671">
        <v>7</v>
      </c>
      <c r="CZ4671" t="s">
        <v>133</v>
      </c>
      <c r="DA4671">
        <v>275</v>
      </c>
      <c r="DB4671">
        <v>0</v>
      </c>
      <c r="DC4671" t="s">
        <v>134</v>
      </c>
      <c r="DD4671" t="s">
        <v>135</v>
      </c>
      <c r="DG4671">
        <v>3323346</v>
      </c>
      <c r="DI4671">
        <v>1</v>
      </c>
      <c r="DJ4671">
        <v>0</v>
      </c>
      <c r="DK4671">
        <v>1</v>
      </c>
      <c r="DL4671">
        <v>0</v>
      </c>
      <c r="DM4671">
        <v>0</v>
      </c>
      <c r="DN4671">
        <v>0</v>
      </c>
      <c r="DO4671">
        <v>0</v>
      </c>
      <c r="DP4671">
        <v>0</v>
      </c>
      <c r="DQ4671">
        <v>0</v>
      </c>
      <c r="DR4671">
        <v>0</v>
      </c>
      <c r="DS4671">
        <v>0</v>
      </c>
    </row>
    <row r="4672" spans="1:123" x14ac:dyDescent="0.3">
      <c r="A4672" t="str">
        <f>"05/01/2025 15:17:30.927"</f>
        <v>05/01/2025 15:17:30.927</v>
      </c>
      <c r="C4672" t="str">
        <f t="shared" si="1824"/>
        <v>FFDFD3C0</v>
      </c>
      <c r="D4672" t="s">
        <v>140</v>
      </c>
      <c r="E4672" t="str">
        <f>"13"</f>
        <v>13</v>
      </c>
      <c r="F4672">
        <v>1019</v>
      </c>
      <c r="G4672" t="s">
        <v>141</v>
      </c>
      <c r="J4672" t="s">
        <v>142</v>
      </c>
      <c r="K4672">
        <v>0</v>
      </c>
      <c r="L4672">
        <v>3</v>
      </c>
      <c r="M4672">
        <v>0</v>
      </c>
      <c r="N4672">
        <v>2</v>
      </c>
      <c r="O4672">
        <v>0</v>
      </c>
      <c r="P4672">
        <v>1</v>
      </c>
      <c r="Q4672">
        <v>0</v>
      </c>
      <c r="R4672" t="s">
        <v>127</v>
      </c>
      <c r="S4672" t="str">
        <f t="shared" si="1848"/>
        <v>15:17:30.000</v>
      </c>
      <c r="T4672" t="str">
        <f t="shared" si="1848"/>
        <v>15:17:30.000</v>
      </c>
      <c r="U4672" t="str">
        <f t="shared" si="1826"/>
        <v>A68FCB</v>
      </c>
      <c r="V4672">
        <v>0</v>
      </c>
      <c r="W4672">
        <v>0</v>
      </c>
      <c r="X4672">
        <v>2</v>
      </c>
      <c r="Y4672">
        <v>0</v>
      </c>
      <c r="AA4672">
        <v>1</v>
      </c>
      <c r="AB4672">
        <v>8</v>
      </c>
      <c r="AC4672">
        <v>3</v>
      </c>
      <c r="AD4672">
        <v>0</v>
      </c>
      <c r="AE4672">
        <v>9</v>
      </c>
      <c r="AF4672" t="s">
        <v>138</v>
      </c>
      <c r="AG4672">
        <v>0</v>
      </c>
      <c r="AH4672">
        <v>3</v>
      </c>
      <c r="AI4672">
        <v>2</v>
      </c>
      <c r="AJ4672">
        <v>0</v>
      </c>
      <c r="AK4672" t="s">
        <v>1490</v>
      </c>
      <c r="AL4672">
        <v>39.217243000000003</v>
      </c>
      <c r="AM4672" t="s">
        <v>1491</v>
      </c>
      <c r="AN4672">
        <v>-121.00183</v>
      </c>
      <c r="AO4672">
        <v>25</v>
      </c>
      <c r="AP4672">
        <v>4100</v>
      </c>
      <c r="AQ4672" t="s">
        <v>131</v>
      </c>
      <c r="AR4672">
        <v>30</v>
      </c>
      <c r="AS4672">
        <v>77</v>
      </c>
      <c r="AT4672">
        <v>-256</v>
      </c>
      <c r="BB4672" t="str">
        <f t="shared" si="1827"/>
        <v>1200</v>
      </c>
      <c r="BC4672">
        <v>1</v>
      </c>
      <c r="BD4672" t="str">
        <f t="shared" si="1828"/>
        <v xml:space="preserve">N52156  </v>
      </c>
      <c r="BE4672">
        <v>1</v>
      </c>
      <c r="BG4672">
        <v>0</v>
      </c>
      <c r="BH4672">
        <v>0</v>
      </c>
      <c r="BI4672">
        <v>0</v>
      </c>
      <c r="BJ4672">
        <v>4200</v>
      </c>
      <c r="BK4672">
        <v>100</v>
      </c>
      <c r="BL4672" t="s">
        <v>188</v>
      </c>
      <c r="BM4672">
        <v>1</v>
      </c>
      <c r="BN4672">
        <v>1</v>
      </c>
      <c r="BO4672">
        <v>0</v>
      </c>
      <c r="BP4672">
        <v>0</v>
      </c>
      <c r="BS4672">
        <v>0</v>
      </c>
      <c r="BT4672">
        <v>0</v>
      </c>
      <c r="BU4672">
        <v>0</v>
      </c>
      <c r="CE4672" t="str">
        <f t="shared" si="1849"/>
        <v>15:17:30.706</v>
      </c>
      <c r="CF4672">
        <v>705758440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4</v>
      </c>
      <c r="CY4672">
        <v>7</v>
      </c>
      <c r="CZ4672" t="s">
        <v>133</v>
      </c>
      <c r="DA4672">
        <v>275</v>
      </c>
      <c r="DB4672">
        <v>0</v>
      </c>
      <c r="DC4672" t="s">
        <v>134</v>
      </c>
      <c r="DD4672" t="s">
        <v>135</v>
      </c>
      <c r="DG4672">
        <v>3323346</v>
      </c>
      <c r="DI4672">
        <v>1</v>
      </c>
      <c r="DJ4672">
        <v>0</v>
      </c>
      <c r="DK4672">
        <v>1</v>
      </c>
      <c r="DL4672">
        <v>0</v>
      </c>
      <c r="DM4672">
        <v>0</v>
      </c>
      <c r="DN4672">
        <v>0</v>
      </c>
      <c r="DO4672">
        <v>0</v>
      </c>
      <c r="DP4672">
        <v>0</v>
      </c>
      <c r="DQ4672">
        <v>0</v>
      </c>
      <c r="DR4672">
        <v>0</v>
      </c>
      <c r="DS4672">
        <v>0</v>
      </c>
    </row>
    <row r="4673" spans="1:123" x14ac:dyDescent="0.3">
      <c r="A4673" t="str">
        <f>"05/01/2025 15:17:30.934"</f>
        <v>05/01/2025 15:17:30.934</v>
      </c>
      <c r="C4673" t="str">
        <f t="shared" si="1824"/>
        <v>FFDFD3C0</v>
      </c>
      <c r="D4673" t="s">
        <v>143</v>
      </c>
      <c r="E4673" t="str">
        <f>"05"</f>
        <v>05</v>
      </c>
      <c r="H4673">
        <v>172</v>
      </c>
      <c r="I4673" t="s">
        <v>141</v>
      </c>
      <c r="J4673" t="s">
        <v>144</v>
      </c>
      <c r="K4673">
        <v>0</v>
      </c>
      <c r="L4673">
        <v>3</v>
      </c>
      <c r="M4673">
        <v>0</v>
      </c>
      <c r="N4673">
        <v>2</v>
      </c>
      <c r="O4673">
        <v>0</v>
      </c>
      <c r="P4673">
        <v>1</v>
      </c>
      <c r="Q4673">
        <v>0</v>
      </c>
      <c r="R4673" t="s">
        <v>127</v>
      </c>
      <c r="S4673" t="str">
        <f t="shared" si="1848"/>
        <v>15:17:30.000</v>
      </c>
      <c r="T4673" t="str">
        <f t="shared" si="1848"/>
        <v>15:17:30.000</v>
      </c>
      <c r="U4673" t="str">
        <f t="shared" si="1826"/>
        <v>A68FCB</v>
      </c>
      <c r="V4673">
        <v>0</v>
      </c>
      <c r="W4673">
        <v>0</v>
      </c>
      <c r="X4673">
        <v>2</v>
      </c>
      <c r="Y4673">
        <v>0</v>
      </c>
      <c r="AA4673">
        <v>1</v>
      </c>
      <c r="AB4673">
        <v>8</v>
      </c>
      <c r="AC4673">
        <v>3</v>
      </c>
      <c r="AD4673">
        <v>0</v>
      </c>
      <c r="AE4673">
        <v>9</v>
      </c>
      <c r="AF4673" t="s">
        <v>138</v>
      </c>
      <c r="AG4673">
        <v>0</v>
      </c>
      <c r="AH4673">
        <v>3</v>
      </c>
      <c r="AI4673">
        <v>2</v>
      </c>
      <c r="AJ4673">
        <v>0</v>
      </c>
      <c r="AK4673" t="s">
        <v>1490</v>
      </c>
      <c r="AL4673">
        <v>39.217243000000003</v>
      </c>
      <c r="AM4673" t="s">
        <v>1491</v>
      </c>
      <c r="AN4673">
        <v>-121.00183</v>
      </c>
      <c r="AO4673">
        <v>25</v>
      </c>
      <c r="AP4673">
        <v>4100</v>
      </c>
      <c r="AQ4673" t="s">
        <v>131</v>
      </c>
      <c r="AR4673">
        <v>30</v>
      </c>
      <c r="AS4673">
        <v>77</v>
      </c>
      <c r="AT4673">
        <v>-256</v>
      </c>
      <c r="BB4673" t="str">
        <f t="shared" si="1827"/>
        <v>1200</v>
      </c>
      <c r="BC4673">
        <v>1</v>
      </c>
      <c r="BD4673" t="str">
        <f t="shared" si="1828"/>
        <v xml:space="preserve">N52156  </v>
      </c>
      <c r="BE4673">
        <v>1</v>
      </c>
      <c r="BG4673">
        <v>0</v>
      </c>
      <c r="BH4673">
        <v>0</v>
      </c>
      <c r="BI4673">
        <v>0</v>
      </c>
      <c r="BJ4673">
        <v>4200</v>
      </c>
      <c r="BK4673">
        <v>100</v>
      </c>
      <c r="BL4673" t="s">
        <v>188</v>
      </c>
      <c r="BM4673">
        <v>1</v>
      </c>
      <c r="BN4673">
        <v>1</v>
      </c>
      <c r="BO4673">
        <v>0</v>
      </c>
      <c r="BP4673">
        <v>0</v>
      </c>
      <c r="BS4673">
        <v>0</v>
      </c>
      <c r="BT4673">
        <v>0</v>
      </c>
      <c r="BU4673">
        <v>0</v>
      </c>
      <c r="CE4673" t="str">
        <f t="shared" si="1849"/>
        <v>15:17:30.706</v>
      </c>
      <c r="CF4673">
        <v>705758440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4</v>
      </c>
      <c r="CY4673">
        <v>7</v>
      </c>
      <c r="CZ4673" t="s">
        <v>133</v>
      </c>
      <c r="DA4673">
        <v>275</v>
      </c>
      <c r="DB4673">
        <v>0</v>
      </c>
      <c r="DC4673" t="s">
        <v>134</v>
      </c>
      <c r="DD4673" t="s">
        <v>135</v>
      </c>
      <c r="DG4673">
        <v>3323346</v>
      </c>
      <c r="DI4673">
        <v>1</v>
      </c>
      <c r="DJ4673">
        <v>0</v>
      </c>
      <c r="DK4673">
        <v>1</v>
      </c>
      <c r="DL4673">
        <v>0</v>
      </c>
      <c r="DM4673">
        <v>0</v>
      </c>
      <c r="DN4673">
        <v>0</v>
      </c>
      <c r="DO4673">
        <v>0</v>
      </c>
      <c r="DP4673">
        <v>0</v>
      </c>
      <c r="DQ4673">
        <v>0</v>
      </c>
      <c r="DR4673">
        <v>0</v>
      </c>
      <c r="DS4673">
        <v>0</v>
      </c>
    </row>
    <row r="4674" spans="1:123" x14ac:dyDescent="0.3">
      <c r="A4674" t="str">
        <f>"05/01/2025 15:17:30.948"</f>
        <v>05/01/2025 15:17:30.948</v>
      </c>
      <c r="C4674" t="str">
        <f t="shared" ref="C4674:C4737" si="1850">"FFDFD3C0"</f>
        <v>FFDFD3C0</v>
      </c>
      <c r="D4674" t="s">
        <v>145</v>
      </c>
      <c r="E4674" t="str">
        <f>"09"</f>
        <v>09</v>
      </c>
      <c r="H4674">
        <v>51</v>
      </c>
      <c r="I4674" t="s">
        <v>147</v>
      </c>
      <c r="J4674" t="s">
        <v>138</v>
      </c>
      <c r="K4674">
        <v>0</v>
      </c>
      <c r="L4674">
        <v>3</v>
      </c>
      <c r="M4674">
        <v>0</v>
      </c>
      <c r="N4674">
        <v>2</v>
      </c>
      <c r="O4674">
        <v>0</v>
      </c>
      <c r="P4674">
        <v>1</v>
      </c>
      <c r="Q4674">
        <v>0</v>
      </c>
      <c r="R4674" t="s">
        <v>127</v>
      </c>
      <c r="S4674" t="str">
        <f t="shared" si="1848"/>
        <v>15:17:30.000</v>
      </c>
      <c r="T4674" t="str">
        <f t="shared" si="1848"/>
        <v>15:17:30.000</v>
      </c>
      <c r="U4674" t="str">
        <f t="shared" ref="U4674:U4737" si="1851">"A68FCB"</f>
        <v>A68FCB</v>
      </c>
      <c r="V4674">
        <v>0</v>
      </c>
      <c r="W4674">
        <v>0</v>
      </c>
      <c r="X4674">
        <v>2</v>
      </c>
      <c r="Y4674">
        <v>0</v>
      </c>
      <c r="AA4674">
        <v>1</v>
      </c>
      <c r="AB4674">
        <v>8</v>
      </c>
      <c r="AC4674">
        <v>3</v>
      </c>
      <c r="AD4674">
        <v>0</v>
      </c>
      <c r="AE4674">
        <v>9</v>
      </c>
      <c r="AF4674" t="s">
        <v>138</v>
      </c>
      <c r="AG4674">
        <v>0</v>
      </c>
      <c r="AH4674">
        <v>3</v>
      </c>
      <c r="AI4674">
        <v>2</v>
      </c>
      <c r="AJ4674">
        <v>0</v>
      </c>
      <c r="AK4674" t="s">
        <v>1490</v>
      </c>
      <c r="AL4674">
        <v>39.217243000000003</v>
      </c>
      <c r="AM4674" t="s">
        <v>1491</v>
      </c>
      <c r="AN4674">
        <v>-121.00183</v>
      </c>
      <c r="AO4674">
        <v>25</v>
      </c>
      <c r="AP4674">
        <v>4100</v>
      </c>
      <c r="AQ4674" t="s">
        <v>131</v>
      </c>
      <c r="AR4674">
        <v>30</v>
      </c>
      <c r="AS4674">
        <v>77</v>
      </c>
      <c r="AT4674">
        <v>-256</v>
      </c>
      <c r="BB4674" t="str">
        <f t="shared" ref="BB4674:BB4737" si="1852">"1200"</f>
        <v>1200</v>
      </c>
      <c r="BC4674">
        <v>1</v>
      </c>
      <c r="BD4674" t="str">
        <f t="shared" ref="BD4674:BD4737" si="1853">"N52156  "</f>
        <v xml:space="preserve">N52156  </v>
      </c>
      <c r="BE4674">
        <v>1</v>
      </c>
      <c r="BG4674">
        <v>0</v>
      </c>
      <c r="BH4674">
        <v>0</v>
      </c>
      <c r="BI4674">
        <v>0</v>
      </c>
      <c r="BJ4674">
        <v>4200</v>
      </c>
      <c r="BK4674">
        <v>100</v>
      </c>
      <c r="BL4674" t="s">
        <v>188</v>
      </c>
      <c r="BM4674">
        <v>1</v>
      </c>
      <c r="BN4674">
        <v>1</v>
      </c>
      <c r="BO4674">
        <v>0</v>
      </c>
      <c r="BP4674">
        <v>0</v>
      </c>
      <c r="BS4674">
        <v>0</v>
      </c>
      <c r="BT4674">
        <v>0</v>
      </c>
      <c r="BU4674">
        <v>0</v>
      </c>
      <c r="CE4674" t="str">
        <f t="shared" si="1849"/>
        <v>15:17:30.706</v>
      </c>
      <c r="CF4674">
        <v>705758440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4</v>
      </c>
      <c r="CY4674">
        <v>7</v>
      </c>
      <c r="CZ4674" t="s">
        <v>133</v>
      </c>
      <c r="DA4674">
        <v>275</v>
      </c>
      <c r="DB4674">
        <v>0</v>
      </c>
      <c r="DC4674" t="s">
        <v>134</v>
      </c>
      <c r="DD4674" t="s">
        <v>135</v>
      </c>
      <c r="DG4674">
        <v>3323346</v>
      </c>
      <c r="DI4674">
        <v>1</v>
      </c>
      <c r="DJ4674">
        <v>0</v>
      </c>
      <c r="DK4674">
        <v>1</v>
      </c>
      <c r="DL4674">
        <v>0</v>
      </c>
      <c r="DM4674">
        <v>0</v>
      </c>
      <c r="DN4674">
        <v>0</v>
      </c>
      <c r="DO4674">
        <v>0</v>
      </c>
      <c r="DP4674">
        <v>0</v>
      </c>
      <c r="DQ4674">
        <v>0</v>
      </c>
      <c r="DR4674">
        <v>0</v>
      </c>
      <c r="DS4674">
        <v>0</v>
      </c>
    </row>
    <row r="4675" spans="1:123" x14ac:dyDescent="0.3">
      <c r="A4675" t="str">
        <f>"05/01/2025 15:17:30.951"</f>
        <v>05/01/2025 15:17:30.951</v>
      </c>
      <c r="C4675" t="str">
        <f t="shared" si="1850"/>
        <v>FFDFD3C0</v>
      </c>
      <c r="D4675" t="s">
        <v>145</v>
      </c>
      <c r="E4675" t="str">
        <f>"05"</f>
        <v>05</v>
      </c>
      <c r="H4675">
        <v>47</v>
      </c>
      <c r="I4675" t="s">
        <v>146</v>
      </c>
      <c r="J4675" t="s">
        <v>138</v>
      </c>
      <c r="K4675">
        <v>0</v>
      </c>
      <c r="L4675">
        <v>3</v>
      </c>
      <c r="M4675">
        <v>0</v>
      </c>
      <c r="N4675">
        <v>2</v>
      </c>
      <c r="O4675">
        <v>0</v>
      </c>
      <c r="P4675">
        <v>1</v>
      </c>
      <c r="Q4675">
        <v>0</v>
      </c>
      <c r="R4675" t="s">
        <v>127</v>
      </c>
      <c r="S4675" t="str">
        <f t="shared" si="1848"/>
        <v>15:17:30.000</v>
      </c>
      <c r="T4675" t="str">
        <f t="shared" si="1848"/>
        <v>15:17:30.000</v>
      </c>
      <c r="U4675" t="str">
        <f t="shared" si="1851"/>
        <v>A68FCB</v>
      </c>
      <c r="V4675">
        <v>0</v>
      </c>
      <c r="W4675">
        <v>0</v>
      </c>
      <c r="X4675">
        <v>2</v>
      </c>
      <c r="Y4675">
        <v>0</v>
      </c>
      <c r="AA4675">
        <v>1</v>
      </c>
      <c r="AB4675">
        <v>8</v>
      </c>
      <c r="AC4675">
        <v>3</v>
      </c>
      <c r="AD4675">
        <v>0</v>
      </c>
      <c r="AE4675">
        <v>9</v>
      </c>
      <c r="AF4675" t="s">
        <v>138</v>
      </c>
      <c r="AG4675">
        <v>0</v>
      </c>
      <c r="AH4675">
        <v>3</v>
      </c>
      <c r="AI4675">
        <v>2</v>
      </c>
      <c r="AJ4675">
        <v>0</v>
      </c>
      <c r="AK4675" t="s">
        <v>1490</v>
      </c>
      <c r="AL4675">
        <v>39.217243000000003</v>
      </c>
      <c r="AM4675" t="s">
        <v>1491</v>
      </c>
      <c r="AN4675">
        <v>-121.00183</v>
      </c>
      <c r="AO4675">
        <v>25</v>
      </c>
      <c r="AP4675">
        <v>4100</v>
      </c>
      <c r="AQ4675" t="s">
        <v>131</v>
      </c>
      <c r="AR4675">
        <v>30</v>
      </c>
      <c r="AS4675">
        <v>77</v>
      </c>
      <c r="AT4675">
        <v>-256</v>
      </c>
      <c r="BB4675" t="str">
        <f t="shared" si="1852"/>
        <v>1200</v>
      </c>
      <c r="BC4675">
        <v>1</v>
      </c>
      <c r="BD4675" t="str">
        <f t="shared" si="1853"/>
        <v xml:space="preserve">N52156  </v>
      </c>
      <c r="BE4675">
        <v>1</v>
      </c>
      <c r="BG4675">
        <v>0</v>
      </c>
      <c r="BH4675">
        <v>0</v>
      </c>
      <c r="BI4675">
        <v>0</v>
      </c>
      <c r="BJ4675">
        <v>4200</v>
      </c>
      <c r="BK4675">
        <v>100</v>
      </c>
      <c r="BL4675" t="s">
        <v>188</v>
      </c>
      <c r="BM4675">
        <v>1</v>
      </c>
      <c r="BN4675">
        <v>1</v>
      </c>
      <c r="BO4675">
        <v>0</v>
      </c>
      <c r="BP4675">
        <v>0</v>
      </c>
      <c r="BS4675">
        <v>0</v>
      </c>
      <c r="BT4675">
        <v>0</v>
      </c>
      <c r="BU4675">
        <v>0</v>
      </c>
      <c r="CE4675" t="str">
        <f t="shared" si="1849"/>
        <v>15:17:30.706</v>
      </c>
      <c r="CF4675">
        <v>705758440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4</v>
      </c>
      <c r="CY4675">
        <v>7</v>
      </c>
      <c r="CZ4675" t="s">
        <v>133</v>
      </c>
      <c r="DA4675">
        <v>275</v>
      </c>
      <c r="DB4675">
        <v>0</v>
      </c>
      <c r="DC4675" t="s">
        <v>134</v>
      </c>
      <c r="DD4675" t="s">
        <v>135</v>
      </c>
      <c r="DG4675">
        <v>3323346</v>
      </c>
      <c r="DI4675">
        <v>1</v>
      </c>
      <c r="DJ4675">
        <v>0</v>
      </c>
      <c r="DK4675">
        <v>1</v>
      </c>
      <c r="DL4675">
        <v>0</v>
      </c>
      <c r="DM4675">
        <v>0</v>
      </c>
      <c r="DN4675">
        <v>0</v>
      </c>
      <c r="DO4675">
        <v>0</v>
      </c>
      <c r="DP4675">
        <v>0</v>
      </c>
      <c r="DQ4675">
        <v>0</v>
      </c>
      <c r="DR4675">
        <v>0</v>
      </c>
      <c r="DS4675">
        <v>0</v>
      </c>
    </row>
    <row r="4676" spans="1:123" x14ac:dyDescent="0.3">
      <c r="A4676" t="str">
        <f>"05/01/2025 15:17:31.813"</f>
        <v>05/01/2025 15:17:31.813</v>
      </c>
      <c r="C4676" t="str">
        <f t="shared" si="1850"/>
        <v>FFDFD3C0</v>
      </c>
      <c r="D4676" t="s">
        <v>136</v>
      </c>
      <c r="E4676" t="str">
        <f>"20"</f>
        <v>20</v>
      </c>
      <c r="H4676">
        <v>400</v>
      </c>
      <c r="I4676" t="s">
        <v>137</v>
      </c>
      <c r="J4676" t="s">
        <v>138</v>
      </c>
      <c r="K4676">
        <v>0</v>
      </c>
      <c r="L4676">
        <v>3</v>
      </c>
      <c r="M4676">
        <v>0</v>
      </c>
      <c r="N4676">
        <v>2</v>
      </c>
      <c r="O4676">
        <v>0</v>
      </c>
      <c r="P4676">
        <v>1</v>
      </c>
      <c r="Q4676">
        <v>0</v>
      </c>
      <c r="R4676" t="s">
        <v>127</v>
      </c>
      <c r="S4676" t="str">
        <f t="shared" ref="S4676:T4681" si="1854">"15:17:31.000"</f>
        <v>15:17:31.000</v>
      </c>
      <c r="T4676" t="str">
        <f t="shared" si="1854"/>
        <v>15:17:31.000</v>
      </c>
      <c r="U4676" t="str">
        <f t="shared" si="1851"/>
        <v>A68FCB</v>
      </c>
      <c r="V4676">
        <v>0</v>
      </c>
      <c r="W4676">
        <v>0</v>
      </c>
      <c r="X4676">
        <v>2</v>
      </c>
      <c r="Y4676">
        <v>0</v>
      </c>
      <c r="AA4676">
        <v>1</v>
      </c>
      <c r="AB4676">
        <v>8</v>
      </c>
      <c r="AC4676">
        <v>3</v>
      </c>
      <c r="AD4676">
        <v>0</v>
      </c>
      <c r="AE4676">
        <v>9</v>
      </c>
      <c r="AF4676" t="s">
        <v>138</v>
      </c>
      <c r="AG4676">
        <v>0</v>
      </c>
      <c r="AH4676">
        <v>3</v>
      </c>
      <c r="AI4676">
        <v>2</v>
      </c>
      <c r="AJ4676">
        <v>0</v>
      </c>
      <c r="AK4676" t="s">
        <v>1492</v>
      </c>
      <c r="AL4676">
        <v>39.217607999999998</v>
      </c>
      <c r="AM4676" t="s">
        <v>1493</v>
      </c>
      <c r="AN4676">
        <v>-121.00165800000001</v>
      </c>
      <c r="AO4676">
        <v>25</v>
      </c>
      <c r="AP4676">
        <v>4100</v>
      </c>
      <c r="AQ4676" t="s">
        <v>131</v>
      </c>
      <c r="AR4676">
        <v>29</v>
      </c>
      <c r="AS4676">
        <v>78</v>
      </c>
      <c r="AT4676">
        <v>-256</v>
      </c>
      <c r="BB4676" t="str">
        <f t="shared" si="1852"/>
        <v>1200</v>
      </c>
      <c r="BC4676">
        <v>1</v>
      </c>
      <c r="BD4676" t="str">
        <f t="shared" si="1853"/>
        <v xml:space="preserve">N52156  </v>
      </c>
      <c r="BE4676">
        <v>1</v>
      </c>
      <c r="BG4676">
        <v>0</v>
      </c>
      <c r="BH4676">
        <v>0</v>
      </c>
      <c r="BI4676">
        <v>0</v>
      </c>
      <c r="BJ4676">
        <v>4200</v>
      </c>
      <c r="BK4676">
        <v>100</v>
      </c>
      <c r="BL4676" t="s">
        <v>188</v>
      </c>
      <c r="BM4676">
        <v>1</v>
      </c>
      <c r="BN4676">
        <v>1</v>
      </c>
      <c r="BO4676">
        <v>0</v>
      </c>
      <c r="BP4676">
        <v>0</v>
      </c>
      <c r="BS4676">
        <v>0</v>
      </c>
      <c r="BT4676">
        <v>0</v>
      </c>
      <c r="BU4676">
        <v>0</v>
      </c>
      <c r="CE4676" t="str">
        <f t="shared" ref="CE4676:CE4681" si="1855">"15:17:31.582"</f>
        <v>15:17:31.582</v>
      </c>
      <c r="CF4676">
        <v>582258236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4</v>
      </c>
      <c r="CY4676">
        <v>7</v>
      </c>
      <c r="CZ4676" t="s">
        <v>133</v>
      </c>
      <c r="DA4676">
        <v>275</v>
      </c>
      <c r="DB4676">
        <v>0</v>
      </c>
      <c r="DC4676" t="s">
        <v>134</v>
      </c>
      <c r="DD4676" t="s">
        <v>135</v>
      </c>
      <c r="DG4676">
        <v>3323348</v>
      </c>
      <c r="DI4676">
        <v>1</v>
      </c>
      <c r="DJ4676">
        <v>0</v>
      </c>
      <c r="DK4676">
        <v>0</v>
      </c>
      <c r="DL4676">
        <v>0</v>
      </c>
      <c r="DM4676">
        <v>0</v>
      </c>
      <c r="DN4676">
        <v>0</v>
      </c>
      <c r="DO4676">
        <v>0</v>
      </c>
      <c r="DP4676">
        <v>0</v>
      </c>
      <c r="DQ4676">
        <v>0</v>
      </c>
      <c r="DR4676">
        <v>0</v>
      </c>
      <c r="DS4676">
        <v>0</v>
      </c>
    </row>
    <row r="4677" spans="1:123" x14ac:dyDescent="0.3">
      <c r="A4677" t="str">
        <f>"05/01/2025 15:17:31.830"</f>
        <v>05/01/2025 15:17:31.830</v>
      </c>
      <c r="C4677" t="str">
        <f t="shared" si="1850"/>
        <v>FFDFD3C0</v>
      </c>
      <c r="D4677" t="s">
        <v>124</v>
      </c>
      <c r="E4677" t="str">
        <f>"06"</f>
        <v>06</v>
      </c>
      <c r="F4677">
        <v>2006</v>
      </c>
      <c r="G4677" t="s">
        <v>125</v>
      </c>
      <c r="J4677" t="s">
        <v>126</v>
      </c>
      <c r="K4677">
        <v>0</v>
      </c>
      <c r="L4677">
        <v>3</v>
      </c>
      <c r="M4677">
        <v>0</v>
      </c>
      <c r="N4677">
        <v>2</v>
      </c>
      <c r="O4677">
        <v>0</v>
      </c>
      <c r="P4677">
        <v>1</v>
      </c>
      <c r="Q4677">
        <v>0</v>
      </c>
      <c r="R4677" t="s">
        <v>127</v>
      </c>
      <c r="S4677" t="str">
        <f t="shared" si="1854"/>
        <v>15:17:31.000</v>
      </c>
      <c r="T4677" t="str">
        <f t="shared" si="1854"/>
        <v>15:17:31.000</v>
      </c>
      <c r="U4677" t="str">
        <f t="shared" si="1851"/>
        <v>A68FCB</v>
      </c>
      <c r="V4677">
        <v>0</v>
      </c>
      <c r="W4677">
        <v>0</v>
      </c>
      <c r="X4677">
        <v>2</v>
      </c>
      <c r="Y4677">
        <v>0</v>
      </c>
      <c r="AA4677">
        <v>1</v>
      </c>
      <c r="AB4677">
        <v>8</v>
      </c>
      <c r="AC4677">
        <v>3</v>
      </c>
      <c r="AD4677">
        <v>0</v>
      </c>
      <c r="AE4677">
        <v>9</v>
      </c>
      <c r="AF4677" t="s">
        <v>138</v>
      </c>
      <c r="AG4677">
        <v>0</v>
      </c>
      <c r="AH4677">
        <v>3</v>
      </c>
      <c r="AI4677">
        <v>2</v>
      </c>
      <c r="AJ4677">
        <v>0</v>
      </c>
      <c r="AK4677" t="s">
        <v>1492</v>
      </c>
      <c r="AL4677">
        <v>39.217607999999998</v>
      </c>
      <c r="AM4677" t="s">
        <v>1493</v>
      </c>
      <c r="AN4677">
        <v>-121.00165800000001</v>
      </c>
      <c r="AO4677">
        <v>25</v>
      </c>
      <c r="AP4677">
        <v>4100</v>
      </c>
      <c r="AQ4677" t="s">
        <v>131</v>
      </c>
      <c r="AR4677">
        <v>29</v>
      </c>
      <c r="AS4677">
        <v>78</v>
      </c>
      <c r="AT4677">
        <v>-256</v>
      </c>
      <c r="BB4677" t="str">
        <f t="shared" si="1852"/>
        <v>1200</v>
      </c>
      <c r="BC4677">
        <v>1</v>
      </c>
      <c r="BD4677" t="str">
        <f t="shared" si="1853"/>
        <v xml:space="preserve">N52156  </v>
      </c>
      <c r="BE4677">
        <v>1</v>
      </c>
      <c r="BG4677">
        <v>0</v>
      </c>
      <c r="BH4677">
        <v>0</v>
      </c>
      <c r="BI4677">
        <v>0</v>
      </c>
      <c r="BJ4677">
        <v>4200</v>
      </c>
      <c r="BK4677">
        <v>100</v>
      </c>
      <c r="BL4677" t="s">
        <v>188</v>
      </c>
      <c r="BM4677">
        <v>1</v>
      </c>
      <c r="BN4677">
        <v>1</v>
      </c>
      <c r="BO4677">
        <v>0</v>
      </c>
      <c r="BP4677">
        <v>0</v>
      </c>
      <c r="BS4677">
        <v>0</v>
      </c>
      <c r="BT4677">
        <v>0</v>
      </c>
      <c r="BU4677">
        <v>0</v>
      </c>
      <c r="CE4677" t="str">
        <f t="shared" si="1855"/>
        <v>15:17:31.582</v>
      </c>
      <c r="CF4677">
        <v>582258236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4</v>
      </c>
      <c r="CY4677">
        <v>7</v>
      </c>
      <c r="CZ4677" t="s">
        <v>133</v>
      </c>
      <c r="DA4677">
        <v>275</v>
      </c>
      <c r="DB4677">
        <v>0</v>
      </c>
      <c r="DC4677" t="s">
        <v>134</v>
      </c>
      <c r="DD4677" t="s">
        <v>135</v>
      </c>
      <c r="DG4677">
        <v>3323348</v>
      </c>
      <c r="DI4677">
        <v>1</v>
      </c>
      <c r="DJ4677">
        <v>0</v>
      </c>
      <c r="DK4677">
        <v>1</v>
      </c>
      <c r="DL4677">
        <v>0</v>
      </c>
      <c r="DM4677">
        <v>0</v>
      </c>
      <c r="DN4677">
        <v>0</v>
      </c>
      <c r="DO4677">
        <v>0</v>
      </c>
      <c r="DP4677">
        <v>0</v>
      </c>
      <c r="DQ4677">
        <v>0</v>
      </c>
      <c r="DR4677">
        <v>0</v>
      </c>
      <c r="DS4677">
        <v>0</v>
      </c>
    </row>
    <row r="4678" spans="1:123" x14ac:dyDescent="0.3">
      <c r="A4678" t="str">
        <f>"05/01/2025 15:17:31.829"</f>
        <v>05/01/2025 15:17:31.829</v>
      </c>
      <c r="C4678" t="str">
        <f t="shared" si="1850"/>
        <v>FFDFD3C0</v>
      </c>
      <c r="D4678" t="s">
        <v>140</v>
      </c>
      <c r="E4678" t="str">
        <f>"13"</f>
        <v>13</v>
      </c>
      <c r="F4678">
        <v>1019</v>
      </c>
      <c r="G4678" t="s">
        <v>141</v>
      </c>
      <c r="J4678" t="s">
        <v>142</v>
      </c>
      <c r="K4678">
        <v>0</v>
      </c>
      <c r="L4678">
        <v>3</v>
      </c>
      <c r="M4678">
        <v>0</v>
      </c>
      <c r="N4678">
        <v>2</v>
      </c>
      <c r="O4678">
        <v>0</v>
      </c>
      <c r="P4678">
        <v>1</v>
      </c>
      <c r="Q4678">
        <v>0</v>
      </c>
      <c r="R4678" t="s">
        <v>127</v>
      </c>
      <c r="S4678" t="str">
        <f t="shared" si="1854"/>
        <v>15:17:31.000</v>
      </c>
      <c r="T4678" t="str">
        <f t="shared" si="1854"/>
        <v>15:17:31.000</v>
      </c>
      <c r="U4678" t="str">
        <f t="shared" si="1851"/>
        <v>A68FCB</v>
      </c>
      <c r="V4678">
        <v>0</v>
      </c>
      <c r="W4678">
        <v>0</v>
      </c>
      <c r="X4678">
        <v>2</v>
      </c>
      <c r="Y4678">
        <v>0</v>
      </c>
      <c r="AA4678">
        <v>1</v>
      </c>
      <c r="AB4678">
        <v>8</v>
      </c>
      <c r="AC4678">
        <v>3</v>
      </c>
      <c r="AD4678">
        <v>0</v>
      </c>
      <c r="AE4678">
        <v>9</v>
      </c>
      <c r="AF4678" t="s">
        <v>138</v>
      </c>
      <c r="AG4678">
        <v>0</v>
      </c>
      <c r="AH4678">
        <v>3</v>
      </c>
      <c r="AI4678">
        <v>2</v>
      </c>
      <c r="AJ4678">
        <v>0</v>
      </c>
      <c r="AK4678" t="s">
        <v>1492</v>
      </c>
      <c r="AL4678">
        <v>39.217607999999998</v>
      </c>
      <c r="AM4678" t="s">
        <v>1493</v>
      </c>
      <c r="AN4678">
        <v>-121.00165800000001</v>
      </c>
      <c r="AO4678">
        <v>25</v>
      </c>
      <c r="AP4678">
        <v>4100</v>
      </c>
      <c r="AQ4678" t="s">
        <v>131</v>
      </c>
      <c r="AR4678">
        <v>29</v>
      </c>
      <c r="AS4678">
        <v>78</v>
      </c>
      <c r="AT4678">
        <v>-256</v>
      </c>
      <c r="BB4678" t="str">
        <f t="shared" si="1852"/>
        <v>1200</v>
      </c>
      <c r="BC4678">
        <v>1</v>
      </c>
      <c r="BD4678" t="str">
        <f t="shared" si="1853"/>
        <v xml:space="preserve">N52156  </v>
      </c>
      <c r="BE4678">
        <v>1</v>
      </c>
      <c r="BG4678">
        <v>0</v>
      </c>
      <c r="BH4678">
        <v>0</v>
      </c>
      <c r="BI4678">
        <v>0</v>
      </c>
      <c r="BJ4678">
        <v>4200</v>
      </c>
      <c r="BK4678">
        <v>100</v>
      </c>
      <c r="BL4678" t="s">
        <v>188</v>
      </c>
      <c r="BM4678">
        <v>1</v>
      </c>
      <c r="BN4678">
        <v>1</v>
      </c>
      <c r="BO4678">
        <v>0</v>
      </c>
      <c r="BP4678">
        <v>0</v>
      </c>
      <c r="BS4678">
        <v>0</v>
      </c>
      <c r="BT4678">
        <v>0</v>
      </c>
      <c r="BU4678">
        <v>0</v>
      </c>
      <c r="CE4678" t="str">
        <f t="shared" si="1855"/>
        <v>15:17:31.582</v>
      </c>
      <c r="CF4678">
        <v>582258236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4</v>
      </c>
      <c r="CY4678">
        <v>7</v>
      </c>
      <c r="CZ4678" t="s">
        <v>133</v>
      </c>
      <c r="DA4678">
        <v>275</v>
      </c>
      <c r="DB4678">
        <v>0</v>
      </c>
      <c r="DC4678" t="s">
        <v>134</v>
      </c>
      <c r="DD4678" t="s">
        <v>135</v>
      </c>
      <c r="DG4678">
        <v>3323348</v>
      </c>
      <c r="DI4678">
        <v>1</v>
      </c>
      <c r="DJ4678">
        <v>0</v>
      </c>
      <c r="DK4678">
        <v>1</v>
      </c>
      <c r="DL4678">
        <v>0</v>
      </c>
      <c r="DM4678">
        <v>0</v>
      </c>
      <c r="DN4678">
        <v>0</v>
      </c>
      <c r="DO4678">
        <v>0</v>
      </c>
      <c r="DP4678">
        <v>0</v>
      </c>
      <c r="DQ4678">
        <v>0</v>
      </c>
      <c r="DR4678">
        <v>0</v>
      </c>
      <c r="DS4678">
        <v>0</v>
      </c>
    </row>
    <row r="4679" spans="1:123" x14ac:dyDescent="0.3">
      <c r="A4679" t="str">
        <f>"05/01/2025 15:17:31.836"</f>
        <v>05/01/2025 15:17:31.836</v>
      </c>
      <c r="C4679" t="str">
        <f t="shared" si="1850"/>
        <v>FFDFD3C0</v>
      </c>
      <c r="D4679" t="s">
        <v>143</v>
      </c>
      <c r="E4679" t="str">
        <f>"05"</f>
        <v>05</v>
      </c>
      <c r="H4679">
        <v>172</v>
      </c>
      <c r="I4679" t="s">
        <v>141</v>
      </c>
      <c r="J4679" t="s">
        <v>144</v>
      </c>
      <c r="K4679">
        <v>0</v>
      </c>
      <c r="L4679">
        <v>3</v>
      </c>
      <c r="M4679">
        <v>0</v>
      </c>
      <c r="N4679">
        <v>2</v>
      </c>
      <c r="O4679">
        <v>0</v>
      </c>
      <c r="P4679">
        <v>1</v>
      </c>
      <c r="Q4679">
        <v>0</v>
      </c>
      <c r="R4679" t="s">
        <v>127</v>
      </c>
      <c r="S4679" t="str">
        <f t="shared" si="1854"/>
        <v>15:17:31.000</v>
      </c>
      <c r="T4679" t="str">
        <f t="shared" si="1854"/>
        <v>15:17:31.000</v>
      </c>
      <c r="U4679" t="str">
        <f t="shared" si="1851"/>
        <v>A68FCB</v>
      </c>
      <c r="V4679">
        <v>0</v>
      </c>
      <c r="W4679">
        <v>0</v>
      </c>
      <c r="X4679">
        <v>2</v>
      </c>
      <c r="Y4679">
        <v>0</v>
      </c>
      <c r="AA4679">
        <v>1</v>
      </c>
      <c r="AB4679">
        <v>8</v>
      </c>
      <c r="AC4679">
        <v>3</v>
      </c>
      <c r="AD4679">
        <v>0</v>
      </c>
      <c r="AE4679">
        <v>9</v>
      </c>
      <c r="AF4679" t="s">
        <v>138</v>
      </c>
      <c r="AG4679">
        <v>0</v>
      </c>
      <c r="AH4679">
        <v>3</v>
      </c>
      <c r="AI4679">
        <v>2</v>
      </c>
      <c r="AJ4679">
        <v>0</v>
      </c>
      <c r="AK4679" t="s">
        <v>1492</v>
      </c>
      <c r="AL4679">
        <v>39.217607999999998</v>
      </c>
      <c r="AM4679" t="s">
        <v>1493</v>
      </c>
      <c r="AN4679">
        <v>-121.00165800000001</v>
      </c>
      <c r="AO4679">
        <v>25</v>
      </c>
      <c r="AP4679">
        <v>4100</v>
      </c>
      <c r="AQ4679" t="s">
        <v>131</v>
      </c>
      <c r="AR4679">
        <v>29</v>
      </c>
      <c r="AS4679">
        <v>78</v>
      </c>
      <c r="AT4679">
        <v>-256</v>
      </c>
      <c r="BB4679" t="str">
        <f t="shared" si="1852"/>
        <v>1200</v>
      </c>
      <c r="BC4679">
        <v>1</v>
      </c>
      <c r="BD4679" t="str">
        <f t="shared" si="1853"/>
        <v xml:space="preserve">N52156  </v>
      </c>
      <c r="BE4679">
        <v>1</v>
      </c>
      <c r="BG4679">
        <v>0</v>
      </c>
      <c r="BH4679">
        <v>0</v>
      </c>
      <c r="BI4679">
        <v>0</v>
      </c>
      <c r="BJ4679">
        <v>4200</v>
      </c>
      <c r="BK4679">
        <v>100</v>
      </c>
      <c r="BL4679" t="s">
        <v>188</v>
      </c>
      <c r="BM4679">
        <v>1</v>
      </c>
      <c r="BN4679">
        <v>1</v>
      </c>
      <c r="BO4679">
        <v>0</v>
      </c>
      <c r="BP4679">
        <v>0</v>
      </c>
      <c r="BS4679">
        <v>0</v>
      </c>
      <c r="BT4679">
        <v>0</v>
      </c>
      <c r="BU4679">
        <v>0</v>
      </c>
      <c r="CE4679" t="str">
        <f t="shared" si="1855"/>
        <v>15:17:31.582</v>
      </c>
      <c r="CF4679">
        <v>582258236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4</v>
      </c>
      <c r="CY4679">
        <v>7</v>
      </c>
      <c r="CZ4679" t="s">
        <v>133</v>
      </c>
      <c r="DA4679">
        <v>275</v>
      </c>
      <c r="DB4679">
        <v>0</v>
      </c>
      <c r="DC4679" t="s">
        <v>134</v>
      </c>
      <c r="DD4679" t="s">
        <v>135</v>
      </c>
      <c r="DG4679">
        <v>3323348</v>
      </c>
      <c r="DI4679">
        <v>1</v>
      </c>
      <c r="DJ4679">
        <v>0</v>
      </c>
      <c r="DK4679">
        <v>1</v>
      </c>
      <c r="DL4679">
        <v>0</v>
      </c>
      <c r="DM4679">
        <v>0</v>
      </c>
      <c r="DN4679">
        <v>0</v>
      </c>
      <c r="DO4679">
        <v>0</v>
      </c>
      <c r="DP4679">
        <v>0</v>
      </c>
      <c r="DQ4679">
        <v>0</v>
      </c>
      <c r="DR4679">
        <v>0</v>
      </c>
      <c r="DS4679">
        <v>0</v>
      </c>
    </row>
    <row r="4680" spans="1:123" x14ac:dyDescent="0.3">
      <c r="A4680" t="str">
        <f>"05/01/2025 15:17:31.850"</f>
        <v>05/01/2025 15:17:31.850</v>
      </c>
      <c r="C4680" t="str">
        <f t="shared" si="1850"/>
        <v>FFDFD3C0</v>
      </c>
      <c r="D4680" t="s">
        <v>145</v>
      </c>
      <c r="E4680" t="str">
        <f>"09"</f>
        <v>09</v>
      </c>
      <c r="H4680">
        <v>51</v>
      </c>
      <c r="I4680" t="s">
        <v>147</v>
      </c>
      <c r="J4680" t="s">
        <v>138</v>
      </c>
      <c r="K4680">
        <v>0</v>
      </c>
      <c r="L4680">
        <v>3</v>
      </c>
      <c r="M4680">
        <v>0</v>
      </c>
      <c r="N4680">
        <v>2</v>
      </c>
      <c r="O4680">
        <v>0</v>
      </c>
      <c r="P4680">
        <v>1</v>
      </c>
      <c r="Q4680">
        <v>0</v>
      </c>
      <c r="R4680" t="s">
        <v>127</v>
      </c>
      <c r="S4680" t="str">
        <f t="shared" si="1854"/>
        <v>15:17:31.000</v>
      </c>
      <c r="T4680" t="str">
        <f t="shared" si="1854"/>
        <v>15:17:31.000</v>
      </c>
      <c r="U4680" t="str">
        <f t="shared" si="1851"/>
        <v>A68FCB</v>
      </c>
      <c r="V4680">
        <v>0</v>
      </c>
      <c r="W4680">
        <v>0</v>
      </c>
      <c r="X4680">
        <v>2</v>
      </c>
      <c r="Y4680">
        <v>0</v>
      </c>
      <c r="AA4680">
        <v>1</v>
      </c>
      <c r="AB4680">
        <v>8</v>
      </c>
      <c r="AC4680">
        <v>3</v>
      </c>
      <c r="AD4680">
        <v>0</v>
      </c>
      <c r="AE4680">
        <v>9</v>
      </c>
      <c r="AF4680" t="s">
        <v>138</v>
      </c>
      <c r="AG4680">
        <v>0</v>
      </c>
      <c r="AH4680">
        <v>3</v>
      </c>
      <c r="AI4680">
        <v>2</v>
      </c>
      <c r="AJ4680">
        <v>0</v>
      </c>
      <c r="AK4680" t="s">
        <v>1492</v>
      </c>
      <c r="AL4680">
        <v>39.217607999999998</v>
      </c>
      <c r="AM4680" t="s">
        <v>1493</v>
      </c>
      <c r="AN4680">
        <v>-121.00165800000001</v>
      </c>
      <c r="AO4680">
        <v>25</v>
      </c>
      <c r="AP4680">
        <v>4100</v>
      </c>
      <c r="AQ4680" t="s">
        <v>131</v>
      </c>
      <c r="AR4680">
        <v>29</v>
      </c>
      <c r="AS4680">
        <v>78</v>
      </c>
      <c r="AT4680">
        <v>-256</v>
      </c>
      <c r="BB4680" t="str">
        <f t="shared" si="1852"/>
        <v>1200</v>
      </c>
      <c r="BC4680">
        <v>1</v>
      </c>
      <c r="BD4680" t="str">
        <f t="shared" si="1853"/>
        <v xml:space="preserve">N52156  </v>
      </c>
      <c r="BE4680">
        <v>1</v>
      </c>
      <c r="BG4680">
        <v>0</v>
      </c>
      <c r="BH4680">
        <v>0</v>
      </c>
      <c r="BI4680">
        <v>0</v>
      </c>
      <c r="BJ4680">
        <v>4200</v>
      </c>
      <c r="BK4680">
        <v>100</v>
      </c>
      <c r="BL4680" t="s">
        <v>188</v>
      </c>
      <c r="BM4680">
        <v>1</v>
      </c>
      <c r="BN4680">
        <v>1</v>
      </c>
      <c r="BO4680">
        <v>0</v>
      </c>
      <c r="BP4680">
        <v>0</v>
      </c>
      <c r="BS4680">
        <v>0</v>
      </c>
      <c r="BT4680">
        <v>0</v>
      </c>
      <c r="BU4680">
        <v>0</v>
      </c>
      <c r="CE4680" t="str">
        <f t="shared" si="1855"/>
        <v>15:17:31.582</v>
      </c>
      <c r="CF4680">
        <v>582258236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4</v>
      </c>
      <c r="CY4680">
        <v>7</v>
      </c>
      <c r="CZ4680" t="s">
        <v>133</v>
      </c>
      <c r="DA4680">
        <v>275</v>
      </c>
      <c r="DB4680">
        <v>0</v>
      </c>
      <c r="DC4680" t="s">
        <v>134</v>
      </c>
      <c r="DD4680" t="s">
        <v>135</v>
      </c>
      <c r="DG4680">
        <v>3323348</v>
      </c>
      <c r="DI4680">
        <v>1</v>
      </c>
      <c r="DJ4680">
        <v>0</v>
      </c>
      <c r="DK4680">
        <v>1</v>
      </c>
      <c r="DL4680">
        <v>0</v>
      </c>
      <c r="DM4680">
        <v>0</v>
      </c>
      <c r="DN4680">
        <v>0</v>
      </c>
      <c r="DO4680">
        <v>0</v>
      </c>
      <c r="DP4680">
        <v>0</v>
      </c>
      <c r="DQ4680">
        <v>0</v>
      </c>
      <c r="DR4680">
        <v>0</v>
      </c>
      <c r="DS4680">
        <v>0</v>
      </c>
    </row>
    <row r="4681" spans="1:123" x14ac:dyDescent="0.3">
      <c r="A4681" t="str">
        <f>"05/01/2025 15:17:31.852"</f>
        <v>05/01/2025 15:17:31.852</v>
      </c>
      <c r="C4681" t="str">
        <f t="shared" si="1850"/>
        <v>FFDFD3C0</v>
      </c>
      <c r="D4681" t="s">
        <v>145</v>
      </c>
      <c r="E4681" t="str">
        <f>"05"</f>
        <v>05</v>
      </c>
      <c r="H4681">
        <v>47</v>
      </c>
      <c r="I4681" t="s">
        <v>146</v>
      </c>
      <c r="J4681" t="s">
        <v>138</v>
      </c>
      <c r="K4681">
        <v>0</v>
      </c>
      <c r="L4681">
        <v>3</v>
      </c>
      <c r="M4681">
        <v>0</v>
      </c>
      <c r="N4681">
        <v>2</v>
      </c>
      <c r="O4681">
        <v>0</v>
      </c>
      <c r="P4681">
        <v>1</v>
      </c>
      <c r="Q4681">
        <v>0</v>
      </c>
      <c r="R4681" t="s">
        <v>127</v>
      </c>
      <c r="S4681" t="str">
        <f t="shared" si="1854"/>
        <v>15:17:31.000</v>
      </c>
      <c r="T4681" t="str">
        <f t="shared" si="1854"/>
        <v>15:17:31.000</v>
      </c>
      <c r="U4681" t="str">
        <f t="shared" si="1851"/>
        <v>A68FCB</v>
      </c>
      <c r="V4681">
        <v>0</v>
      </c>
      <c r="W4681">
        <v>0</v>
      </c>
      <c r="X4681">
        <v>2</v>
      </c>
      <c r="Y4681">
        <v>0</v>
      </c>
      <c r="AA4681">
        <v>1</v>
      </c>
      <c r="AB4681">
        <v>8</v>
      </c>
      <c r="AC4681">
        <v>3</v>
      </c>
      <c r="AD4681">
        <v>0</v>
      </c>
      <c r="AE4681">
        <v>9</v>
      </c>
      <c r="AF4681" t="s">
        <v>138</v>
      </c>
      <c r="AG4681">
        <v>0</v>
      </c>
      <c r="AH4681">
        <v>3</v>
      </c>
      <c r="AI4681">
        <v>2</v>
      </c>
      <c r="AJ4681">
        <v>0</v>
      </c>
      <c r="AK4681" t="s">
        <v>1492</v>
      </c>
      <c r="AL4681">
        <v>39.217607999999998</v>
      </c>
      <c r="AM4681" t="s">
        <v>1493</v>
      </c>
      <c r="AN4681">
        <v>-121.00165800000001</v>
      </c>
      <c r="AO4681">
        <v>25</v>
      </c>
      <c r="AP4681">
        <v>4100</v>
      </c>
      <c r="AQ4681" t="s">
        <v>131</v>
      </c>
      <c r="AR4681">
        <v>29</v>
      </c>
      <c r="AS4681">
        <v>78</v>
      </c>
      <c r="AT4681">
        <v>-256</v>
      </c>
      <c r="BB4681" t="str">
        <f t="shared" si="1852"/>
        <v>1200</v>
      </c>
      <c r="BC4681">
        <v>1</v>
      </c>
      <c r="BD4681" t="str">
        <f t="shared" si="1853"/>
        <v xml:space="preserve">N52156  </v>
      </c>
      <c r="BE4681">
        <v>1</v>
      </c>
      <c r="BG4681">
        <v>0</v>
      </c>
      <c r="BH4681">
        <v>0</v>
      </c>
      <c r="BI4681">
        <v>0</v>
      </c>
      <c r="BJ4681">
        <v>4200</v>
      </c>
      <c r="BK4681">
        <v>100</v>
      </c>
      <c r="BL4681" t="s">
        <v>188</v>
      </c>
      <c r="BM4681">
        <v>1</v>
      </c>
      <c r="BN4681">
        <v>1</v>
      </c>
      <c r="BO4681">
        <v>0</v>
      </c>
      <c r="BP4681">
        <v>0</v>
      </c>
      <c r="BS4681">
        <v>0</v>
      </c>
      <c r="BT4681">
        <v>0</v>
      </c>
      <c r="BU4681">
        <v>0</v>
      </c>
      <c r="CE4681" t="str">
        <f t="shared" si="1855"/>
        <v>15:17:31.582</v>
      </c>
      <c r="CF4681">
        <v>582258236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4</v>
      </c>
      <c r="CY4681">
        <v>7</v>
      </c>
      <c r="CZ4681" t="s">
        <v>133</v>
      </c>
      <c r="DA4681">
        <v>275</v>
      </c>
      <c r="DB4681">
        <v>0</v>
      </c>
      <c r="DC4681" t="s">
        <v>134</v>
      </c>
      <c r="DD4681" t="s">
        <v>135</v>
      </c>
      <c r="DG4681">
        <v>3323348</v>
      </c>
      <c r="DI4681">
        <v>1</v>
      </c>
      <c r="DJ4681">
        <v>0</v>
      </c>
      <c r="DK4681">
        <v>1</v>
      </c>
      <c r="DL4681">
        <v>0</v>
      </c>
      <c r="DM4681">
        <v>0</v>
      </c>
      <c r="DN4681">
        <v>0</v>
      </c>
      <c r="DO4681">
        <v>0</v>
      </c>
      <c r="DP4681">
        <v>0</v>
      </c>
      <c r="DQ4681">
        <v>0</v>
      </c>
      <c r="DR4681">
        <v>0</v>
      </c>
      <c r="DS4681">
        <v>0</v>
      </c>
    </row>
    <row r="4682" spans="1:123" x14ac:dyDescent="0.3">
      <c r="A4682" t="str">
        <f>"05/01/2025 15:17:33.015"</f>
        <v>05/01/2025 15:17:33.015</v>
      </c>
      <c r="C4682" t="str">
        <f t="shared" si="1850"/>
        <v>FFDFD3C0</v>
      </c>
      <c r="D4682" t="s">
        <v>136</v>
      </c>
      <c r="E4682" t="str">
        <f>"20"</f>
        <v>20</v>
      </c>
      <c r="H4682">
        <v>400</v>
      </c>
      <c r="I4682" t="s">
        <v>137</v>
      </c>
      <c r="J4682" t="s">
        <v>138</v>
      </c>
      <c r="K4682">
        <v>0</v>
      </c>
      <c r="L4682">
        <v>3</v>
      </c>
      <c r="M4682">
        <v>0</v>
      </c>
      <c r="N4682">
        <v>2</v>
      </c>
      <c r="O4682">
        <v>0</v>
      </c>
      <c r="P4682">
        <v>1</v>
      </c>
      <c r="Q4682">
        <v>0</v>
      </c>
      <c r="R4682" t="s">
        <v>127</v>
      </c>
      <c r="S4682" t="str">
        <f t="shared" ref="S4682:T4687" si="1856">"15:17:32.000"</f>
        <v>15:17:32.000</v>
      </c>
      <c r="T4682" t="str">
        <f t="shared" si="1856"/>
        <v>15:17:32.000</v>
      </c>
      <c r="U4682" t="str">
        <f t="shared" si="1851"/>
        <v>A68FCB</v>
      </c>
      <c r="V4682">
        <v>0</v>
      </c>
      <c r="W4682">
        <v>0</v>
      </c>
      <c r="X4682">
        <v>2</v>
      </c>
      <c r="Y4682">
        <v>0</v>
      </c>
      <c r="AA4682">
        <v>1</v>
      </c>
      <c r="AB4682">
        <v>8</v>
      </c>
      <c r="AC4682">
        <v>3</v>
      </c>
      <c r="AD4682">
        <v>0</v>
      </c>
      <c r="AE4682">
        <v>9</v>
      </c>
      <c r="AF4682" t="s">
        <v>138</v>
      </c>
      <c r="AG4682">
        <v>0</v>
      </c>
      <c r="AH4682">
        <v>3</v>
      </c>
      <c r="AI4682">
        <v>2</v>
      </c>
      <c r="AJ4682">
        <v>0</v>
      </c>
      <c r="AK4682" t="s">
        <v>1494</v>
      </c>
      <c r="AL4682">
        <v>39.217973000000001</v>
      </c>
      <c r="AM4682" t="s">
        <v>1495</v>
      </c>
      <c r="AN4682">
        <v>-121.001465</v>
      </c>
      <c r="AO4682">
        <v>25</v>
      </c>
      <c r="AP4682">
        <v>4100</v>
      </c>
      <c r="AQ4682" t="s">
        <v>131</v>
      </c>
      <c r="AR4682">
        <v>28</v>
      </c>
      <c r="AS4682">
        <v>79</v>
      </c>
      <c r="AT4682">
        <v>-256</v>
      </c>
      <c r="BB4682" t="str">
        <f t="shared" si="1852"/>
        <v>1200</v>
      </c>
      <c r="BC4682">
        <v>1</v>
      </c>
      <c r="BD4682" t="str">
        <f t="shared" si="1853"/>
        <v xml:space="preserve">N52156  </v>
      </c>
      <c r="BE4682">
        <v>1</v>
      </c>
      <c r="BG4682">
        <v>0</v>
      </c>
      <c r="BH4682">
        <v>0</v>
      </c>
      <c r="BI4682">
        <v>0</v>
      </c>
      <c r="BJ4682">
        <v>4175</v>
      </c>
      <c r="BK4682">
        <v>75</v>
      </c>
      <c r="BL4682" t="s">
        <v>188</v>
      </c>
      <c r="BM4682">
        <v>1</v>
      </c>
      <c r="BN4682">
        <v>1</v>
      </c>
      <c r="BO4682">
        <v>0</v>
      </c>
      <c r="BP4682">
        <v>0</v>
      </c>
      <c r="BS4682">
        <v>0</v>
      </c>
      <c r="BT4682">
        <v>0</v>
      </c>
      <c r="BU4682">
        <v>0</v>
      </c>
      <c r="CE4682" t="str">
        <f t="shared" ref="CE4682:CE4687" si="1857">"15:17:32.801"</f>
        <v>15:17:32.801</v>
      </c>
      <c r="CF4682">
        <v>800758905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4</v>
      </c>
      <c r="CY4682">
        <v>7</v>
      </c>
      <c r="CZ4682" t="s">
        <v>133</v>
      </c>
      <c r="DA4682">
        <v>275</v>
      </c>
      <c r="DB4682">
        <v>0</v>
      </c>
      <c r="DC4682" t="s">
        <v>134</v>
      </c>
      <c r="DD4682" t="s">
        <v>135</v>
      </c>
      <c r="DG4682">
        <v>3323349</v>
      </c>
      <c r="DI4682">
        <v>1</v>
      </c>
      <c r="DJ4682">
        <v>0</v>
      </c>
      <c r="DK4682">
        <v>0</v>
      </c>
      <c r="DL4682">
        <v>0</v>
      </c>
      <c r="DM4682">
        <v>0</v>
      </c>
      <c r="DN4682">
        <v>0</v>
      </c>
      <c r="DO4682">
        <v>0</v>
      </c>
      <c r="DP4682">
        <v>0</v>
      </c>
      <c r="DQ4682">
        <v>0</v>
      </c>
      <c r="DR4682">
        <v>0</v>
      </c>
      <c r="DS4682">
        <v>0</v>
      </c>
    </row>
    <row r="4683" spans="1:123" x14ac:dyDescent="0.3">
      <c r="A4683" t="str">
        <f>"05/01/2025 15:17:33.031"</f>
        <v>05/01/2025 15:17:33.031</v>
      </c>
      <c r="C4683" t="str">
        <f t="shared" si="1850"/>
        <v>FFDFD3C0</v>
      </c>
      <c r="D4683" t="s">
        <v>140</v>
      </c>
      <c r="E4683" t="str">
        <f>"13"</f>
        <v>13</v>
      </c>
      <c r="F4683">
        <v>1019</v>
      </c>
      <c r="G4683" t="s">
        <v>141</v>
      </c>
      <c r="J4683" t="s">
        <v>142</v>
      </c>
      <c r="K4683">
        <v>0</v>
      </c>
      <c r="L4683">
        <v>3</v>
      </c>
      <c r="M4683">
        <v>0</v>
      </c>
      <c r="N4683">
        <v>2</v>
      </c>
      <c r="O4683">
        <v>0</v>
      </c>
      <c r="P4683">
        <v>1</v>
      </c>
      <c r="Q4683">
        <v>0</v>
      </c>
      <c r="R4683" t="s">
        <v>127</v>
      </c>
      <c r="S4683" t="str">
        <f t="shared" si="1856"/>
        <v>15:17:32.000</v>
      </c>
      <c r="T4683" t="str">
        <f t="shared" si="1856"/>
        <v>15:17:32.000</v>
      </c>
      <c r="U4683" t="str">
        <f t="shared" si="1851"/>
        <v>A68FCB</v>
      </c>
      <c r="V4683">
        <v>0</v>
      </c>
      <c r="W4683">
        <v>0</v>
      </c>
      <c r="X4683">
        <v>2</v>
      </c>
      <c r="Y4683">
        <v>0</v>
      </c>
      <c r="AA4683">
        <v>1</v>
      </c>
      <c r="AB4683">
        <v>8</v>
      </c>
      <c r="AC4683">
        <v>3</v>
      </c>
      <c r="AD4683">
        <v>0</v>
      </c>
      <c r="AE4683">
        <v>9</v>
      </c>
      <c r="AF4683" t="s">
        <v>138</v>
      </c>
      <c r="AG4683">
        <v>0</v>
      </c>
      <c r="AH4683">
        <v>3</v>
      </c>
      <c r="AI4683">
        <v>2</v>
      </c>
      <c r="AJ4683">
        <v>0</v>
      </c>
      <c r="AK4683" t="s">
        <v>1494</v>
      </c>
      <c r="AL4683">
        <v>39.217973000000001</v>
      </c>
      <c r="AM4683" t="s">
        <v>1495</v>
      </c>
      <c r="AN4683">
        <v>-121.001465</v>
      </c>
      <c r="AO4683">
        <v>25</v>
      </c>
      <c r="AP4683">
        <v>4100</v>
      </c>
      <c r="AQ4683" t="s">
        <v>131</v>
      </c>
      <c r="AR4683">
        <v>28</v>
      </c>
      <c r="AS4683">
        <v>79</v>
      </c>
      <c r="AT4683">
        <v>-256</v>
      </c>
      <c r="BB4683" t="str">
        <f t="shared" si="1852"/>
        <v>1200</v>
      </c>
      <c r="BC4683">
        <v>1</v>
      </c>
      <c r="BD4683" t="str">
        <f t="shared" si="1853"/>
        <v xml:space="preserve">N52156  </v>
      </c>
      <c r="BE4683">
        <v>1</v>
      </c>
      <c r="BG4683">
        <v>0</v>
      </c>
      <c r="BH4683">
        <v>0</v>
      </c>
      <c r="BI4683">
        <v>0</v>
      </c>
      <c r="BJ4683">
        <v>4175</v>
      </c>
      <c r="BK4683">
        <v>75</v>
      </c>
      <c r="BL4683" t="s">
        <v>188</v>
      </c>
      <c r="BM4683">
        <v>1</v>
      </c>
      <c r="BN4683">
        <v>1</v>
      </c>
      <c r="BO4683">
        <v>0</v>
      </c>
      <c r="BP4683">
        <v>0</v>
      </c>
      <c r="BS4683">
        <v>0</v>
      </c>
      <c r="BT4683">
        <v>0</v>
      </c>
      <c r="BU4683">
        <v>0</v>
      </c>
      <c r="CE4683" t="str">
        <f t="shared" si="1857"/>
        <v>15:17:32.801</v>
      </c>
      <c r="CF4683">
        <v>800758905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4</v>
      </c>
      <c r="CY4683">
        <v>7</v>
      </c>
      <c r="CZ4683" t="s">
        <v>133</v>
      </c>
      <c r="DA4683">
        <v>275</v>
      </c>
      <c r="DB4683">
        <v>0</v>
      </c>
      <c r="DC4683" t="s">
        <v>134</v>
      </c>
      <c r="DD4683" t="s">
        <v>135</v>
      </c>
      <c r="DG4683">
        <v>3323349</v>
      </c>
      <c r="DI4683">
        <v>1</v>
      </c>
      <c r="DJ4683">
        <v>0</v>
      </c>
      <c r="DK4683">
        <v>1</v>
      </c>
      <c r="DL4683">
        <v>0</v>
      </c>
      <c r="DM4683">
        <v>0</v>
      </c>
      <c r="DN4683">
        <v>0</v>
      </c>
      <c r="DO4683">
        <v>0</v>
      </c>
      <c r="DP4683">
        <v>0</v>
      </c>
      <c r="DQ4683">
        <v>0</v>
      </c>
      <c r="DR4683">
        <v>0</v>
      </c>
      <c r="DS4683">
        <v>0</v>
      </c>
    </row>
    <row r="4684" spans="1:123" x14ac:dyDescent="0.3">
      <c r="A4684" t="str">
        <f>"05/01/2025 15:17:33.031"</f>
        <v>05/01/2025 15:17:33.031</v>
      </c>
      <c r="C4684" t="str">
        <f t="shared" si="1850"/>
        <v>FFDFD3C0</v>
      </c>
      <c r="D4684" t="s">
        <v>124</v>
      </c>
      <c r="E4684" t="str">
        <f>"06"</f>
        <v>06</v>
      </c>
      <c r="F4684">
        <v>2006</v>
      </c>
      <c r="G4684" t="s">
        <v>125</v>
      </c>
      <c r="J4684" t="s">
        <v>126</v>
      </c>
      <c r="K4684">
        <v>0</v>
      </c>
      <c r="L4684">
        <v>3</v>
      </c>
      <c r="M4684">
        <v>0</v>
      </c>
      <c r="N4684">
        <v>2</v>
      </c>
      <c r="O4684">
        <v>0</v>
      </c>
      <c r="P4684">
        <v>1</v>
      </c>
      <c r="Q4684">
        <v>0</v>
      </c>
      <c r="R4684" t="s">
        <v>127</v>
      </c>
      <c r="S4684" t="str">
        <f t="shared" si="1856"/>
        <v>15:17:32.000</v>
      </c>
      <c r="T4684" t="str">
        <f t="shared" si="1856"/>
        <v>15:17:32.000</v>
      </c>
      <c r="U4684" t="str">
        <f t="shared" si="1851"/>
        <v>A68FCB</v>
      </c>
      <c r="V4684">
        <v>0</v>
      </c>
      <c r="W4684">
        <v>0</v>
      </c>
      <c r="X4684">
        <v>2</v>
      </c>
      <c r="Y4684">
        <v>0</v>
      </c>
      <c r="AA4684">
        <v>1</v>
      </c>
      <c r="AB4684">
        <v>8</v>
      </c>
      <c r="AC4684">
        <v>3</v>
      </c>
      <c r="AD4684">
        <v>0</v>
      </c>
      <c r="AE4684">
        <v>9</v>
      </c>
      <c r="AF4684" t="s">
        <v>138</v>
      </c>
      <c r="AG4684">
        <v>0</v>
      </c>
      <c r="AH4684">
        <v>3</v>
      </c>
      <c r="AI4684">
        <v>2</v>
      </c>
      <c r="AJ4684">
        <v>0</v>
      </c>
      <c r="AK4684" t="s">
        <v>1494</v>
      </c>
      <c r="AL4684">
        <v>39.217973000000001</v>
      </c>
      <c r="AM4684" t="s">
        <v>1495</v>
      </c>
      <c r="AN4684">
        <v>-121.001465</v>
      </c>
      <c r="AO4684">
        <v>25</v>
      </c>
      <c r="AP4684">
        <v>4100</v>
      </c>
      <c r="AQ4684" t="s">
        <v>131</v>
      </c>
      <c r="AR4684">
        <v>28</v>
      </c>
      <c r="AS4684">
        <v>79</v>
      </c>
      <c r="AT4684">
        <v>-256</v>
      </c>
      <c r="BB4684" t="str">
        <f t="shared" si="1852"/>
        <v>1200</v>
      </c>
      <c r="BC4684">
        <v>1</v>
      </c>
      <c r="BD4684" t="str">
        <f t="shared" si="1853"/>
        <v xml:space="preserve">N52156  </v>
      </c>
      <c r="BE4684">
        <v>1</v>
      </c>
      <c r="BG4684">
        <v>0</v>
      </c>
      <c r="BH4684">
        <v>0</v>
      </c>
      <c r="BI4684">
        <v>0</v>
      </c>
      <c r="BJ4684">
        <v>4175</v>
      </c>
      <c r="BK4684">
        <v>75</v>
      </c>
      <c r="BL4684" t="s">
        <v>188</v>
      </c>
      <c r="BM4684">
        <v>1</v>
      </c>
      <c r="BN4684">
        <v>1</v>
      </c>
      <c r="BO4684">
        <v>0</v>
      </c>
      <c r="BP4684">
        <v>0</v>
      </c>
      <c r="BS4684">
        <v>0</v>
      </c>
      <c r="BT4684">
        <v>0</v>
      </c>
      <c r="BU4684">
        <v>0</v>
      </c>
      <c r="CE4684" t="str">
        <f t="shared" si="1857"/>
        <v>15:17:32.801</v>
      </c>
      <c r="CF4684">
        <v>800758905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4</v>
      </c>
      <c r="CY4684">
        <v>7</v>
      </c>
      <c r="CZ4684" t="s">
        <v>133</v>
      </c>
      <c r="DA4684">
        <v>275</v>
      </c>
      <c r="DB4684">
        <v>0</v>
      </c>
      <c r="DC4684" t="s">
        <v>134</v>
      </c>
      <c r="DD4684" t="s">
        <v>135</v>
      </c>
      <c r="DG4684">
        <v>3323349</v>
      </c>
      <c r="DI4684">
        <v>1</v>
      </c>
      <c r="DJ4684">
        <v>0</v>
      </c>
      <c r="DK4684">
        <v>1</v>
      </c>
      <c r="DL4684">
        <v>0</v>
      </c>
      <c r="DM4684">
        <v>0</v>
      </c>
      <c r="DN4684">
        <v>0</v>
      </c>
      <c r="DO4684">
        <v>0</v>
      </c>
      <c r="DP4684">
        <v>0</v>
      </c>
      <c r="DQ4684">
        <v>0</v>
      </c>
      <c r="DR4684">
        <v>0</v>
      </c>
      <c r="DS4684">
        <v>0</v>
      </c>
    </row>
    <row r="4685" spans="1:123" x14ac:dyDescent="0.3">
      <c r="A4685" t="str">
        <f>"05/01/2025 15:17:33.039"</f>
        <v>05/01/2025 15:17:33.039</v>
      </c>
      <c r="C4685" t="str">
        <f t="shared" si="1850"/>
        <v>FFDFD3C0</v>
      </c>
      <c r="D4685" t="s">
        <v>143</v>
      </c>
      <c r="E4685" t="str">
        <f>"05"</f>
        <v>05</v>
      </c>
      <c r="H4685">
        <v>172</v>
      </c>
      <c r="I4685" t="s">
        <v>141</v>
      </c>
      <c r="J4685" t="s">
        <v>144</v>
      </c>
      <c r="K4685">
        <v>0</v>
      </c>
      <c r="L4685">
        <v>3</v>
      </c>
      <c r="M4685">
        <v>0</v>
      </c>
      <c r="N4685">
        <v>2</v>
      </c>
      <c r="O4685">
        <v>0</v>
      </c>
      <c r="P4685">
        <v>1</v>
      </c>
      <c r="Q4685">
        <v>0</v>
      </c>
      <c r="R4685" t="s">
        <v>127</v>
      </c>
      <c r="S4685" t="str">
        <f t="shared" si="1856"/>
        <v>15:17:32.000</v>
      </c>
      <c r="T4685" t="str">
        <f t="shared" si="1856"/>
        <v>15:17:32.000</v>
      </c>
      <c r="U4685" t="str">
        <f t="shared" si="1851"/>
        <v>A68FCB</v>
      </c>
      <c r="V4685">
        <v>0</v>
      </c>
      <c r="W4685">
        <v>0</v>
      </c>
      <c r="X4685">
        <v>2</v>
      </c>
      <c r="Y4685">
        <v>0</v>
      </c>
      <c r="AA4685">
        <v>1</v>
      </c>
      <c r="AB4685">
        <v>8</v>
      </c>
      <c r="AC4685">
        <v>3</v>
      </c>
      <c r="AD4685">
        <v>0</v>
      </c>
      <c r="AE4685">
        <v>9</v>
      </c>
      <c r="AF4685" t="s">
        <v>138</v>
      </c>
      <c r="AG4685">
        <v>0</v>
      </c>
      <c r="AH4685">
        <v>3</v>
      </c>
      <c r="AI4685">
        <v>2</v>
      </c>
      <c r="AJ4685">
        <v>0</v>
      </c>
      <c r="AK4685" t="s">
        <v>1494</v>
      </c>
      <c r="AL4685">
        <v>39.217973000000001</v>
      </c>
      <c r="AM4685" t="s">
        <v>1495</v>
      </c>
      <c r="AN4685">
        <v>-121.001465</v>
      </c>
      <c r="AO4685">
        <v>25</v>
      </c>
      <c r="AP4685">
        <v>4100</v>
      </c>
      <c r="AQ4685" t="s">
        <v>131</v>
      </c>
      <c r="AR4685">
        <v>28</v>
      </c>
      <c r="AS4685">
        <v>79</v>
      </c>
      <c r="AT4685">
        <v>-256</v>
      </c>
      <c r="BB4685" t="str">
        <f t="shared" si="1852"/>
        <v>1200</v>
      </c>
      <c r="BC4685">
        <v>1</v>
      </c>
      <c r="BD4685" t="str">
        <f t="shared" si="1853"/>
        <v xml:space="preserve">N52156  </v>
      </c>
      <c r="BE4685">
        <v>1</v>
      </c>
      <c r="BG4685">
        <v>0</v>
      </c>
      <c r="BH4685">
        <v>0</v>
      </c>
      <c r="BI4685">
        <v>0</v>
      </c>
      <c r="BJ4685">
        <v>4175</v>
      </c>
      <c r="BK4685">
        <v>75</v>
      </c>
      <c r="BL4685" t="s">
        <v>188</v>
      </c>
      <c r="BM4685">
        <v>1</v>
      </c>
      <c r="BN4685">
        <v>1</v>
      </c>
      <c r="BO4685">
        <v>0</v>
      </c>
      <c r="BP4685">
        <v>0</v>
      </c>
      <c r="BS4685">
        <v>0</v>
      </c>
      <c r="BT4685">
        <v>0</v>
      </c>
      <c r="BU4685">
        <v>0</v>
      </c>
      <c r="CE4685" t="str">
        <f t="shared" si="1857"/>
        <v>15:17:32.801</v>
      </c>
      <c r="CF4685">
        <v>800758905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4</v>
      </c>
      <c r="CY4685">
        <v>7</v>
      </c>
      <c r="CZ4685" t="s">
        <v>133</v>
      </c>
      <c r="DA4685">
        <v>275</v>
      </c>
      <c r="DB4685">
        <v>0</v>
      </c>
      <c r="DC4685" t="s">
        <v>134</v>
      </c>
      <c r="DD4685" t="s">
        <v>135</v>
      </c>
      <c r="DG4685">
        <v>3323349</v>
      </c>
      <c r="DI4685">
        <v>1</v>
      </c>
      <c r="DJ4685">
        <v>0</v>
      </c>
      <c r="DK4685">
        <v>1</v>
      </c>
      <c r="DL4685">
        <v>0</v>
      </c>
      <c r="DM4685">
        <v>0</v>
      </c>
      <c r="DN4685">
        <v>0</v>
      </c>
      <c r="DO4685">
        <v>0</v>
      </c>
      <c r="DP4685">
        <v>0</v>
      </c>
      <c r="DQ4685">
        <v>0</v>
      </c>
      <c r="DR4685">
        <v>0</v>
      </c>
      <c r="DS4685">
        <v>0</v>
      </c>
    </row>
    <row r="4686" spans="1:123" x14ac:dyDescent="0.3">
      <c r="A4686" t="str">
        <f>"05/01/2025 15:17:33.052"</f>
        <v>05/01/2025 15:17:33.052</v>
      </c>
      <c r="C4686" t="str">
        <f t="shared" si="1850"/>
        <v>FFDFD3C0</v>
      </c>
      <c r="D4686" t="s">
        <v>145</v>
      </c>
      <c r="E4686" t="str">
        <f>"09"</f>
        <v>09</v>
      </c>
      <c r="H4686">
        <v>51</v>
      </c>
      <c r="I4686" t="s">
        <v>147</v>
      </c>
      <c r="J4686" t="s">
        <v>138</v>
      </c>
      <c r="K4686">
        <v>0</v>
      </c>
      <c r="L4686">
        <v>3</v>
      </c>
      <c r="M4686">
        <v>0</v>
      </c>
      <c r="N4686">
        <v>2</v>
      </c>
      <c r="O4686">
        <v>0</v>
      </c>
      <c r="P4686">
        <v>1</v>
      </c>
      <c r="Q4686">
        <v>0</v>
      </c>
      <c r="R4686" t="s">
        <v>127</v>
      </c>
      <c r="S4686" t="str">
        <f t="shared" si="1856"/>
        <v>15:17:32.000</v>
      </c>
      <c r="T4686" t="str">
        <f t="shared" si="1856"/>
        <v>15:17:32.000</v>
      </c>
      <c r="U4686" t="str">
        <f t="shared" si="1851"/>
        <v>A68FCB</v>
      </c>
      <c r="V4686">
        <v>0</v>
      </c>
      <c r="W4686">
        <v>0</v>
      </c>
      <c r="X4686">
        <v>2</v>
      </c>
      <c r="Y4686">
        <v>0</v>
      </c>
      <c r="AA4686">
        <v>1</v>
      </c>
      <c r="AB4686">
        <v>8</v>
      </c>
      <c r="AC4686">
        <v>3</v>
      </c>
      <c r="AD4686">
        <v>0</v>
      </c>
      <c r="AE4686">
        <v>9</v>
      </c>
      <c r="AF4686" t="s">
        <v>138</v>
      </c>
      <c r="AG4686">
        <v>0</v>
      </c>
      <c r="AH4686">
        <v>3</v>
      </c>
      <c r="AI4686">
        <v>2</v>
      </c>
      <c r="AJ4686">
        <v>0</v>
      </c>
      <c r="AK4686" t="s">
        <v>1494</v>
      </c>
      <c r="AL4686">
        <v>39.217973000000001</v>
      </c>
      <c r="AM4686" t="s">
        <v>1495</v>
      </c>
      <c r="AN4686">
        <v>-121.001465</v>
      </c>
      <c r="AO4686">
        <v>25</v>
      </c>
      <c r="AP4686">
        <v>4100</v>
      </c>
      <c r="AQ4686" t="s">
        <v>131</v>
      </c>
      <c r="AR4686">
        <v>28</v>
      </c>
      <c r="AS4686">
        <v>79</v>
      </c>
      <c r="AT4686">
        <v>-256</v>
      </c>
      <c r="BB4686" t="str">
        <f t="shared" si="1852"/>
        <v>1200</v>
      </c>
      <c r="BC4686">
        <v>1</v>
      </c>
      <c r="BD4686" t="str">
        <f t="shared" si="1853"/>
        <v xml:space="preserve">N52156  </v>
      </c>
      <c r="BE4686">
        <v>1</v>
      </c>
      <c r="BG4686">
        <v>0</v>
      </c>
      <c r="BH4686">
        <v>0</v>
      </c>
      <c r="BI4686">
        <v>0</v>
      </c>
      <c r="BJ4686">
        <v>4175</v>
      </c>
      <c r="BK4686">
        <v>75</v>
      </c>
      <c r="BL4686" t="s">
        <v>188</v>
      </c>
      <c r="BM4686">
        <v>1</v>
      </c>
      <c r="BN4686">
        <v>1</v>
      </c>
      <c r="BO4686">
        <v>0</v>
      </c>
      <c r="BP4686">
        <v>0</v>
      </c>
      <c r="BS4686">
        <v>0</v>
      </c>
      <c r="BT4686">
        <v>0</v>
      </c>
      <c r="BU4686">
        <v>0</v>
      </c>
      <c r="CE4686" t="str">
        <f t="shared" si="1857"/>
        <v>15:17:32.801</v>
      </c>
      <c r="CF4686">
        <v>800758905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4</v>
      </c>
      <c r="CY4686">
        <v>7</v>
      </c>
      <c r="CZ4686" t="s">
        <v>133</v>
      </c>
      <c r="DA4686">
        <v>275</v>
      </c>
      <c r="DB4686">
        <v>0</v>
      </c>
      <c r="DC4686" t="s">
        <v>134</v>
      </c>
      <c r="DD4686" t="s">
        <v>135</v>
      </c>
      <c r="DG4686">
        <v>3323349</v>
      </c>
      <c r="DI4686">
        <v>1</v>
      </c>
      <c r="DJ4686">
        <v>0</v>
      </c>
      <c r="DK4686">
        <v>1</v>
      </c>
      <c r="DL4686">
        <v>0</v>
      </c>
      <c r="DM4686">
        <v>0</v>
      </c>
      <c r="DN4686">
        <v>0</v>
      </c>
      <c r="DO4686">
        <v>0</v>
      </c>
      <c r="DP4686">
        <v>0</v>
      </c>
      <c r="DQ4686">
        <v>0</v>
      </c>
      <c r="DR4686">
        <v>0</v>
      </c>
      <c r="DS4686">
        <v>0</v>
      </c>
    </row>
    <row r="4687" spans="1:123" x14ac:dyDescent="0.3">
      <c r="A4687" t="str">
        <f>"05/01/2025 15:17:33.055"</f>
        <v>05/01/2025 15:17:33.055</v>
      </c>
      <c r="C4687" t="str">
        <f t="shared" si="1850"/>
        <v>FFDFD3C0</v>
      </c>
      <c r="D4687" t="s">
        <v>145</v>
      </c>
      <c r="E4687" t="str">
        <f>"05"</f>
        <v>05</v>
      </c>
      <c r="H4687">
        <v>47</v>
      </c>
      <c r="I4687" t="s">
        <v>146</v>
      </c>
      <c r="J4687" t="s">
        <v>138</v>
      </c>
      <c r="K4687">
        <v>0</v>
      </c>
      <c r="L4687">
        <v>3</v>
      </c>
      <c r="M4687">
        <v>0</v>
      </c>
      <c r="N4687">
        <v>2</v>
      </c>
      <c r="O4687">
        <v>0</v>
      </c>
      <c r="P4687">
        <v>1</v>
      </c>
      <c r="Q4687">
        <v>0</v>
      </c>
      <c r="R4687" t="s">
        <v>127</v>
      </c>
      <c r="S4687" t="str">
        <f t="shared" si="1856"/>
        <v>15:17:32.000</v>
      </c>
      <c r="T4687" t="str">
        <f t="shared" si="1856"/>
        <v>15:17:32.000</v>
      </c>
      <c r="U4687" t="str">
        <f t="shared" si="1851"/>
        <v>A68FCB</v>
      </c>
      <c r="V4687">
        <v>0</v>
      </c>
      <c r="W4687">
        <v>0</v>
      </c>
      <c r="X4687">
        <v>2</v>
      </c>
      <c r="Y4687">
        <v>0</v>
      </c>
      <c r="AA4687">
        <v>1</v>
      </c>
      <c r="AB4687">
        <v>8</v>
      </c>
      <c r="AC4687">
        <v>3</v>
      </c>
      <c r="AD4687">
        <v>0</v>
      </c>
      <c r="AE4687">
        <v>9</v>
      </c>
      <c r="AF4687" t="s">
        <v>138</v>
      </c>
      <c r="AG4687">
        <v>0</v>
      </c>
      <c r="AH4687">
        <v>3</v>
      </c>
      <c r="AI4687">
        <v>2</v>
      </c>
      <c r="AJ4687">
        <v>0</v>
      </c>
      <c r="AK4687" t="s">
        <v>1494</v>
      </c>
      <c r="AL4687">
        <v>39.217973000000001</v>
      </c>
      <c r="AM4687" t="s">
        <v>1495</v>
      </c>
      <c r="AN4687">
        <v>-121.001465</v>
      </c>
      <c r="AO4687">
        <v>25</v>
      </c>
      <c r="AP4687">
        <v>4100</v>
      </c>
      <c r="AQ4687" t="s">
        <v>131</v>
      </c>
      <c r="AR4687">
        <v>28</v>
      </c>
      <c r="AS4687">
        <v>79</v>
      </c>
      <c r="AT4687">
        <v>-256</v>
      </c>
      <c r="BB4687" t="str">
        <f t="shared" si="1852"/>
        <v>1200</v>
      </c>
      <c r="BC4687">
        <v>1</v>
      </c>
      <c r="BD4687" t="str">
        <f t="shared" si="1853"/>
        <v xml:space="preserve">N52156  </v>
      </c>
      <c r="BE4687">
        <v>1</v>
      </c>
      <c r="BG4687">
        <v>0</v>
      </c>
      <c r="BH4687">
        <v>0</v>
      </c>
      <c r="BI4687">
        <v>0</v>
      </c>
      <c r="BJ4687">
        <v>4175</v>
      </c>
      <c r="BK4687">
        <v>75</v>
      </c>
      <c r="BL4687" t="s">
        <v>188</v>
      </c>
      <c r="BM4687">
        <v>1</v>
      </c>
      <c r="BN4687">
        <v>1</v>
      </c>
      <c r="BO4687">
        <v>0</v>
      </c>
      <c r="BP4687">
        <v>0</v>
      </c>
      <c r="BS4687">
        <v>0</v>
      </c>
      <c r="BT4687">
        <v>0</v>
      </c>
      <c r="BU4687">
        <v>0</v>
      </c>
      <c r="CE4687" t="str">
        <f t="shared" si="1857"/>
        <v>15:17:32.801</v>
      </c>
      <c r="CF4687">
        <v>800758905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4</v>
      </c>
      <c r="CY4687">
        <v>7</v>
      </c>
      <c r="CZ4687" t="s">
        <v>133</v>
      </c>
      <c r="DA4687">
        <v>275</v>
      </c>
      <c r="DB4687">
        <v>0</v>
      </c>
      <c r="DC4687" t="s">
        <v>134</v>
      </c>
      <c r="DD4687" t="s">
        <v>135</v>
      </c>
      <c r="DG4687">
        <v>3323349</v>
      </c>
      <c r="DI4687">
        <v>1</v>
      </c>
      <c r="DJ4687">
        <v>0</v>
      </c>
      <c r="DK4687">
        <v>1</v>
      </c>
      <c r="DL4687">
        <v>0</v>
      </c>
      <c r="DM4687">
        <v>0</v>
      </c>
      <c r="DN4687">
        <v>0</v>
      </c>
      <c r="DO4687">
        <v>0</v>
      </c>
      <c r="DP4687">
        <v>0</v>
      </c>
      <c r="DQ4687">
        <v>0</v>
      </c>
      <c r="DR4687">
        <v>0</v>
      </c>
      <c r="DS4687">
        <v>0</v>
      </c>
    </row>
    <row r="4688" spans="1:123" x14ac:dyDescent="0.3">
      <c r="A4688" t="str">
        <f>"05/01/2025 15:17:33.882"</f>
        <v>05/01/2025 15:17:33.882</v>
      </c>
      <c r="C4688" t="str">
        <f t="shared" si="1850"/>
        <v>FFDFD3C0</v>
      </c>
      <c r="D4688" t="s">
        <v>140</v>
      </c>
      <c r="E4688" t="str">
        <f>"13"</f>
        <v>13</v>
      </c>
      <c r="F4688">
        <v>1019</v>
      </c>
      <c r="G4688" t="s">
        <v>141</v>
      </c>
      <c r="J4688" t="s">
        <v>142</v>
      </c>
      <c r="K4688">
        <v>0</v>
      </c>
      <c r="L4688">
        <v>3</v>
      </c>
      <c r="M4688">
        <v>0</v>
      </c>
      <c r="N4688">
        <v>2</v>
      </c>
      <c r="O4688">
        <v>0</v>
      </c>
      <c r="P4688">
        <v>1</v>
      </c>
      <c r="Q4688">
        <v>0</v>
      </c>
      <c r="R4688" t="s">
        <v>127</v>
      </c>
      <c r="S4688" t="str">
        <f t="shared" ref="S4688:T4693" si="1858">"15:17:33.000"</f>
        <v>15:17:33.000</v>
      </c>
      <c r="T4688" t="str">
        <f t="shared" si="1858"/>
        <v>15:17:33.000</v>
      </c>
      <c r="U4688" t="str">
        <f t="shared" si="1851"/>
        <v>A68FCB</v>
      </c>
      <c r="V4688">
        <v>0</v>
      </c>
      <c r="W4688">
        <v>0</v>
      </c>
      <c r="X4688">
        <v>2</v>
      </c>
      <c r="Y4688">
        <v>0</v>
      </c>
      <c r="AA4688">
        <v>1</v>
      </c>
      <c r="AB4688">
        <v>8</v>
      </c>
      <c r="AC4688">
        <v>3</v>
      </c>
      <c r="AD4688">
        <v>0</v>
      </c>
      <c r="AE4688">
        <v>9</v>
      </c>
      <c r="AF4688" t="s">
        <v>138</v>
      </c>
      <c r="AG4688">
        <v>0</v>
      </c>
      <c r="AH4688">
        <v>3</v>
      </c>
      <c r="AI4688">
        <v>2</v>
      </c>
      <c r="AJ4688">
        <v>0</v>
      </c>
      <c r="AK4688" t="s">
        <v>1496</v>
      </c>
      <c r="AL4688">
        <v>39.218338000000003</v>
      </c>
      <c r="AM4688" t="s">
        <v>1497</v>
      </c>
      <c r="AN4688">
        <v>-121.001294</v>
      </c>
      <c r="AO4688">
        <v>25</v>
      </c>
      <c r="AP4688">
        <v>4100</v>
      </c>
      <c r="AQ4688" t="s">
        <v>131</v>
      </c>
      <c r="AR4688">
        <v>27</v>
      </c>
      <c r="AS4688">
        <v>80</v>
      </c>
      <c r="AT4688">
        <v>-256</v>
      </c>
      <c r="BB4688" t="str">
        <f t="shared" si="1852"/>
        <v>1200</v>
      </c>
      <c r="BC4688">
        <v>1</v>
      </c>
      <c r="BD4688" t="str">
        <f t="shared" si="1853"/>
        <v xml:space="preserve">N52156  </v>
      </c>
      <c r="BE4688">
        <v>1</v>
      </c>
      <c r="BG4688">
        <v>0</v>
      </c>
      <c r="BH4688">
        <v>0</v>
      </c>
      <c r="BI4688">
        <v>0</v>
      </c>
      <c r="BJ4688">
        <v>4175</v>
      </c>
      <c r="BK4688">
        <v>75</v>
      </c>
      <c r="BL4688" t="s">
        <v>188</v>
      </c>
      <c r="BM4688">
        <v>1</v>
      </c>
      <c r="BN4688">
        <v>1</v>
      </c>
      <c r="BO4688">
        <v>0</v>
      </c>
      <c r="BP4688">
        <v>0</v>
      </c>
      <c r="BS4688">
        <v>0</v>
      </c>
      <c r="BT4688">
        <v>0</v>
      </c>
      <c r="BU4688">
        <v>0</v>
      </c>
      <c r="CE4688" t="str">
        <f t="shared" ref="CE4688:CE4693" si="1859">"15:17:33.682"</f>
        <v>15:17:33.682</v>
      </c>
      <c r="CF4688">
        <v>681508966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4</v>
      </c>
      <c r="CY4688">
        <v>7</v>
      </c>
      <c r="CZ4688" t="s">
        <v>133</v>
      </c>
      <c r="DA4688">
        <v>275</v>
      </c>
      <c r="DB4688">
        <v>0</v>
      </c>
      <c r="DC4688" t="s">
        <v>134</v>
      </c>
      <c r="DD4688" t="s">
        <v>135</v>
      </c>
      <c r="DG4688">
        <v>3323351</v>
      </c>
      <c r="DI4688">
        <v>1</v>
      </c>
      <c r="DJ4688">
        <v>0</v>
      </c>
      <c r="DK4688">
        <v>0</v>
      </c>
      <c r="DL4688">
        <v>0</v>
      </c>
      <c r="DM4688">
        <v>0</v>
      </c>
      <c r="DN4688">
        <v>0</v>
      </c>
      <c r="DO4688">
        <v>0</v>
      </c>
      <c r="DP4688">
        <v>0</v>
      </c>
      <c r="DQ4688">
        <v>0</v>
      </c>
      <c r="DR4688">
        <v>0</v>
      </c>
      <c r="DS4688">
        <v>0</v>
      </c>
    </row>
    <row r="4689" spans="1:123" x14ac:dyDescent="0.3">
      <c r="A4689" t="str">
        <f>"05/01/2025 15:17:33.883"</f>
        <v>05/01/2025 15:17:33.883</v>
      </c>
      <c r="C4689" t="str">
        <f t="shared" si="1850"/>
        <v>FFDFD3C0</v>
      </c>
      <c r="D4689" t="s">
        <v>124</v>
      </c>
      <c r="E4689" t="str">
        <f>"06"</f>
        <v>06</v>
      </c>
      <c r="F4689">
        <v>2006</v>
      </c>
      <c r="G4689" t="s">
        <v>125</v>
      </c>
      <c r="J4689" t="s">
        <v>126</v>
      </c>
      <c r="K4689">
        <v>0</v>
      </c>
      <c r="L4689">
        <v>3</v>
      </c>
      <c r="M4689">
        <v>0</v>
      </c>
      <c r="N4689">
        <v>2</v>
      </c>
      <c r="O4689">
        <v>0</v>
      </c>
      <c r="P4689">
        <v>1</v>
      </c>
      <c r="Q4689">
        <v>0</v>
      </c>
      <c r="R4689" t="s">
        <v>127</v>
      </c>
      <c r="S4689" t="str">
        <f t="shared" si="1858"/>
        <v>15:17:33.000</v>
      </c>
      <c r="T4689" t="str">
        <f t="shared" si="1858"/>
        <v>15:17:33.000</v>
      </c>
      <c r="U4689" t="str">
        <f t="shared" si="1851"/>
        <v>A68FCB</v>
      </c>
      <c r="V4689">
        <v>0</v>
      </c>
      <c r="W4689">
        <v>0</v>
      </c>
      <c r="X4689">
        <v>2</v>
      </c>
      <c r="Y4689">
        <v>0</v>
      </c>
      <c r="AA4689">
        <v>1</v>
      </c>
      <c r="AB4689">
        <v>8</v>
      </c>
      <c r="AC4689">
        <v>3</v>
      </c>
      <c r="AD4689">
        <v>0</v>
      </c>
      <c r="AE4689">
        <v>9</v>
      </c>
      <c r="AF4689" t="s">
        <v>138</v>
      </c>
      <c r="AG4689">
        <v>0</v>
      </c>
      <c r="AH4689">
        <v>3</v>
      </c>
      <c r="AI4689">
        <v>2</v>
      </c>
      <c r="AJ4689">
        <v>0</v>
      </c>
      <c r="AK4689" t="s">
        <v>1496</v>
      </c>
      <c r="AL4689">
        <v>39.218338000000003</v>
      </c>
      <c r="AM4689" t="s">
        <v>1497</v>
      </c>
      <c r="AN4689">
        <v>-121.001294</v>
      </c>
      <c r="AO4689">
        <v>25</v>
      </c>
      <c r="AP4689">
        <v>4100</v>
      </c>
      <c r="AQ4689" t="s">
        <v>131</v>
      </c>
      <c r="AR4689">
        <v>27</v>
      </c>
      <c r="AS4689">
        <v>80</v>
      </c>
      <c r="AT4689">
        <v>-256</v>
      </c>
      <c r="BB4689" t="str">
        <f t="shared" si="1852"/>
        <v>1200</v>
      </c>
      <c r="BC4689">
        <v>1</v>
      </c>
      <c r="BD4689" t="str">
        <f t="shared" si="1853"/>
        <v xml:space="preserve">N52156  </v>
      </c>
      <c r="BE4689">
        <v>1</v>
      </c>
      <c r="BG4689">
        <v>0</v>
      </c>
      <c r="BH4689">
        <v>0</v>
      </c>
      <c r="BI4689">
        <v>0</v>
      </c>
      <c r="BJ4689">
        <v>4175</v>
      </c>
      <c r="BK4689">
        <v>75</v>
      </c>
      <c r="BL4689" t="s">
        <v>188</v>
      </c>
      <c r="BM4689">
        <v>1</v>
      </c>
      <c r="BN4689">
        <v>1</v>
      </c>
      <c r="BO4689">
        <v>0</v>
      </c>
      <c r="BP4689">
        <v>0</v>
      </c>
      <c r="BS4689">
        <v>0</v>
      </c>
      <c r="BT4689">
        <v>0</v>
      </c>
      <c r="BU4689">
        <v>0</v>
      </c>
      <c r="CE4689" t="str">
        <f t="shared" si="1859"/>
        <v>15:17:33.682</v>
      </c>
      <c r="CF4689">
        <v>681508966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4</v>
      </c>
      <c r="CY4689">
        <v>7</v>
      </c>
      <c r="CZ4689" t="s">
        <v>133</v>
      </c>
      <c r="DA4689">
        <v>275</v>
      </c>
      <c r="DB4689">
        <v>0</v>
      </c>
      <c r="DC4689" t="s">
        <v>134</v>
      </c>
      <c r="DD4689" t="s">
        <v>135</v>
      </c>
      <c r="DG4689">
        <v>3323351</v>
      </c>
      <c r="DI4689">
        <v>1</v>
      </c>
      <c r="DJ4689">
        <v>0</v>
      </c>
      <c r="DK4689">
        <v>1</v>
      </c>
      <c r="DL4689">
        <v>0</v>
      </c>
      <c r="DM4689">
        <v>0</v>
      </c>
      <c r="DN4689">
        <v>0</v>
      </c>
      <c r="DO4689">
        <v>0</v>
      </c>
      <c r="DP4689">
        <v>0</v>
      </c>
      <c r="DQ4689">
        <v>0</v>
      </c>
      <c r="DR4689">
        <v>0</v>
      </c>
      <c r="DS4689">
        <v>0</v>
      </c>
    </row>
    <row r="4690" spans="1:123" x14ac:dyDescent="0.3">
      <c r="A4690" t="str">
        <f>"05/01/2025 15:17:33.889"</f>
        <v>05/01/2025 15:17:33.889</v>
      </c>
      <c r="C4690" t="str">
        <f t="shared" si="1850"/>
        <v>FFDFD3C0</v>
      </c>
      <c r="D4690" t="s">
        <v>143</v>
      </c>
      <c r="E4690" t="str">
        <f>"05"</f>
        <v>05</v>
      </c>
      <c r="H4690">
        <v>172</v>
      </c>
      <c r="I4690" t="s">
        <v>141</v>
      </c>
      <c r="J4690" t="s">
        <v>144</v>
      </c>
      <c r="K4690">
        <v>0</v>
      </c>
      <c r="L4690">
        <v>3</v>
      </c>
      <c r="M4690">
        <v>0</v>
      </c>
      <c r="N4690">
        <v>2</v>
      </c>
      <c r="O4690">
        <v>0</v>
      </c>
      <c r="P4690">
        <v>1</v>
      </c>
      <c r="Q4690">
        <v>0</v>
      </c>
      <c r="R4690" t="s">
        <v>127</v>
      </c>
      <c r="S4690" t="str">
        <f t="shared" si="1858"/>
        <v>15:17:33.000</v>
      </c>
      <c r="T4690" t="str">
        <f t="shared" si="1858"/>
        <v>15:17:33.000</v>
      </c>
      <c r="U4690" t="str">
        <f t="shared" si="1851"/>
        <v>A68FCB</v>
      </c>
      <c r="V4690">
        <v>0</v>
      </c>
      <c r="W4690">
        <v>0</v>
      </c>
      <c r="X4690">
        <v>2</v>
      </c>
      <c r="Y4690">
        <v>0</v>
      </c>
      <c r="AA4690">
        <v>1</v>
      </c>
      <c r="AB4690">
        <v>8</v>
      </c>
      <c r="AC4690">
        <v>3</v>
      </c>
      <c r="AD4690">
        <v>0</v>
      </c>
      <c r="AE4690">
        <v>9</v>
      </c>
      <c r="AF4690" t="s">
        <v>138</v>
      </c>
      <c r="AG4690">
        <v>0</v>
      </c>
      <c r="AH4690">
        <v>3</v>
      </c>
      <c r="AI4690">
        <v>2</v>
      </c>
      <c r="AJ4690">
        <v>0</v>
      </c>
      <c r="AK4690" t="s">
        <v>1496</v>
      </c>
      <c r="AL4690">
        <v>39.218338000000003</v>
      </c>
      <c r="AM4690" t="s">
        <v>1497</v>
      </c>
      <c r="AN4690">
        <v>-121.001294</v>
      </c>
      <c r="AO4690">
        <v>25</v>
      </c>
      <c r="AP4690">
        <v>4100</v>
      </c>
      <c r="AQ4690" t="s">
        <v>131</v>
      </c>
      <c r="AR4690">
        <v>27</v>
      </c>
      <c r="AS4690">
        <v>80</v>
      </c>
      <c r="AT4690">
        <v>-256</v>
      </c>
      <c r="BB4690" t="str">
        <f t="shared" si="1852"/>
        <v>1200</v>
      </c>
      <c r="BC4690">
        <v>1</v>
      </c>
      <c r="BD4690" t="str">
        <f t="shared" si="1853"/>
        <v xml:space="preserve">N52156  </v>
      </c>
      <c r="BE4690">
        <v>1</v>
      </c>
      <c r="BG4690">
        <v>0</v>
      </c>
      <c r="BH4690">
        <v>0</v>
      </c>
      <c r="BI4690">
        <v>0</v>
      </c>
      <c r="BJ4690">
        <v>4175</v>
      </c>
      <c r="BK4690">
        <v>75</v>
      </c>
      <c r="BL4690" t="s">
        <v>188</v>
      </c>
      <c r="BM4690">
        <v>1</v>
      </c>
      <c r="BN4690">
        <v>1</v>
      </c>
      <c r="BO4690">
        <v>0</v>
      </c>
      <c r="BP4690">
        <v>0</v>
      </c>
      <c r="BS4690">
        <v>0</v>
      </c>
      <c r="BT4690">
        <v>0</v>
      </c>
      <c r="BU4690">
        <v>0</v>
      </c>
      <c r="CE4690" t="str">
        <f t="shared" si="1859"/>
        <v>15:17:33.682</v>
      </c>
      <c r="CF4690">
        <v>681508966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4</v>
      </c>
      <c r="CY4690">
        <v>7</v>
      </c>
      <c r="CZ4690" t="s">
        <v>133</v>
      </c>
      <c r="DA4690">
        <v>275</v>
      </c>
      <c r="DB4690">
        <v>0</v>
      </c>
      <c r="DC4690" t="s">
        <v>134</v>
      </c>
      <c r="DD4690" t="s">
        <v>135</v>
      </c>
      <c r="DG4690">
        <v>3323351</v>
      </c>
      <c r="DI4690">
        <v>1</v>
      </c>
      <c r="DJ4690">
        <v>0</v>
      </c>
      <c r="DK4690">
        <v>1</v>
      </c>
      <c r="DL4690">
        <v>0</v>
      </c>
      <c r="DM4690">
        <v>0</v>
      </c>
      <c r="DN4690">
        <v>0</v>
      </c>
      <c r="DO4690">
        <v>0</v>
      </c>
      <c r="DP4690">
        <v>0</v>
      </c>
      <c r="DQ4690">
        <v>0</v>
      </c>
      <c r="DR4690">
        <v>0</v>
      </c>
      <c r="DS4690">
        <v>0</v>
      </c>
    </row>
    <row r="4691" spans="1:123" x14ac:dyDescent="0.3">
      <c r="A4691" t="str">
        <f>"05/01/2025 15:17:33.904"</f>
        <v>05/01/2025 15:17:33.904</v>
      </c>
      <c r="C4691" t="str">
        <f t="shared" si="1850"/>
        <v>FFDFD3C0</v>
      </c>
      <c r="D4691" t="s">
        <v>145</v>
      </c>
      <c r="E4691" t="str">
        <f>"09"</f>
        <v>09</v>
      </c>
      <c r="H4691">
        <v>51</v>
      </c>
      <c r="I4691" t="s">
        <v>147</v>
      </c>
      <c r="J4691" t="s">
        <v>138</v>
      </c>
      <c r="K4691">
        <v>0</v>
      </c>
      <c r="L4691">
        <v>3</v>
      </c>
      <c r="M4691">
        <v>0</v>
      </c>
      <c r="N4691">
        <v>2</v>
      </c>
      <c r="O4691">
        <v>0</v>
      </c>
      <c r="P4691">
        <v>1</v>
      </c>
      <c r="Q4691">
        <v>0</v>
      </c>
      <c r="R4691" t="s">
        <v>127</v>
      </c>
      <c r="S4691" t="str">
        <f t="shared" si="1858"/>
        <v>15:17:33.000</v>
      </c>
      <c r="T4691" t="str">
        <f t="shared" si="1858"/>
        <v>15:17:33.000</v>
      </c>
      <c r="U4691" t="str">
        <f t="shared" si="1851"/>
        <v>A68FCB</v>
      </c>
      <c r="V4691">
        <v>0</v>
      </c>
      <c r="W4691">
        <v>0</v>
      </c>
      <c r="X4691">
        <v>2</v>
      </c>
      <c r="Y4691">
        <v>0</v>
      </c>
      <c r="AA4691">
        <v>1</v>
      </c>
      <c r="AB4691">
        <v>8</v>
      </c>
      <c r="AC4691">
        <v>3</v>
      </c>
      <c r="AD4691">
        <v>0</v>
      </c>
      <c r="AE4691">
        <v>9</v>
      </c>
      <c r="AF4691" t="s">
        <v>138</v>
      </c>
      <c r="AG4691">
        <v>0</v>
      </c>
      <c r="AH4691">
        <v>3</v>
      </c>
      <c r="AI4691">
        <v>2</v>
      </c>
      <c r="AJ4691">
        <v>0</v>
      </c>
      <c r="AK4691" t="s">
        <v>1496</v>
      </c>
      <c r="AL4691">
        <v>39.218338000000003</v>
      </c>
      <c r="AM4691" t="s">
        <v>1497</v>
      </c>
      <c r="AN4691">
        <v>-121.001294</v>
      </c>
      <c r="AO4691">
        <v>25</v>
      </c>
      <c r="AP4691">
        <v>4100</v>
      </c>
      <c r="AQ4691" t="s">
        <v>131</v>
      </c>
      <c r="AR4691">
        <v>27</v>
      </c>
      <c r="AS4691">
        <v>80</v>
      </c>
      <c r="AT4691">
        <v>-256</v>
      </c>
      <c r="BB4691" t="str">
        <f t="shared" si="1852"/>
        <v>1200</v>
      </c>
      <c r="BC4691">
        <v>1</v>
      </c>
      <c r="BD4691" t="str">
        <f t="shared" si="1853"/>
        <v xml:space="preserve">N52156  </v>
      </c>
      <c r="BE4691">
        <v>1</v>
      </c>
      <c r="BG4691">
        <v>0</v>
      </c>
      <c r="BH4691">
        <v>0</v>
      </c>
      <c r="BI4691">
        <v>0</v>
      </c>
      <c r="BJ4691">
        <v>4175</v>
      </c>
      <c r="BK4691">
        <v>75</v>
      </c>
      <c r="BL4691" t="s">
        <v>188</v>
      </c>
      <c r="BM4691">
        <v>1</v>
      </c>
      <c r="BN4691">
        <v>1</v>
      </c>
      <c r="BO4691">
        <v>0</v>
      </c>
      <c r="BP4691">
        <v>0</v>
      </c>
      <c r="BS4691">
        <v>0</v>
      </c>
      <c r="BT4691">
        <v>0</v>
      </c>
      <c r="BU4691">
        <v>0</v>
      </c>
      <c r="CE4691" t="str">
        <f t="shared" si="1859"/>
        <v>15:17:33.682</v>
      </c>
      <c r="CF4691">
        <v>681508966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4</v>
      </c>
      <c r="CY4691">
        <v>7</v>
      </c>
      <c r="CZ4691" t="s">
        <v>133</v>
      </c>
      <c r="DA4691">
        <v>275</v>
      </c>
      <c r="DB4691">
        <v>0</v>
      </c>
      <c r="DC4691" t="s">
        <v>134</v>
      </c>
      <c r="DD4691" t="s">
        <v>135</v>
      </c>
      <c r="DG4691">
        <v>3323351</v>
      </c>
      <c r="DI4691">
        <v>1</v>
      </c>
      <c r="DJ4691">
        <v>0</v>
      </c>
      <c r="DK4691">
        <v>1</v>
      </c>
      <c r="DL4691">
        <v>0</v>
      </c>
      <c r="DM4691">
        <v>0</v>
      </c>
      <c r="DN4691">
        <v>0</v>
      </c>
      <c r="DO4691">
        <v>0</v>
      </c>
      <c r="DP4691">
        <v>0</v>
      </c>
      <c r="DQ4691">
        <v>0</v>
      </c>
      <c r="DR4691">
        <v>0</v>
      </c>
      <c r="DS4691">
        <v>0</v>
      </c>
    </row>
    <row r="4692" spans="1:123" x14ac:dyDescent="0.3">
      <c r="A4692" t="str">
        <f>"05/01/2025 15:17:33.907"</f>
        <v>05/01/2025 15:17:33.907</v>
      </c>
      <c r="C4692" t="str">
        <f t="shared" si="1850"/>
        <v>FFDFD3C0</v>
      </c>
      <c r="D4692" t="s">
        <v>145</v>
      </c>
      <c r="E4692" t="str">
        <f>"05"</f>
        <v>05</v>
      </c>
      <c r="H4692">
        <v>47</v>
      </c>
      <c r="I4692" t="s">
        <v>146</v>
      </c>
      <c r="J4692" t="s">
        <v>138</v>
      </c>
      <c r="K4692">
        <v>0</v>
      </c>
      <c r="L4692">
        <v>3</v>
      </c>
      <c r="M4692">
        <v>0</v>
      </c>
      <c r="N4692">
        <v>2</v>
      </c>
      <c r="O4692">
        <v>0</v>
      </c>
      <c r="P4692">
        <v>1</v>
      </c>
      <c r="Q4692">
        <v>0</v>
      </c>
      <c r="R4692" t="s">
        <v>127</v>
      </c>
      <c r="S4692" t="str">
        <f t="shared" si="1858"/>
        <v>15:17:33.000</v>
      </c>
      <c r="T4692" t="str">
        <f t="shared" si="1858"/>
        <v>15:17:33.000</v>
      </c>
      <c r="U4692" t="str">
        <f t="shared" si="1851"/>
        <v>A68FCB</v>
      </c>
      <c r="V4692">
        <v>0</v>
      </c>
      <c r="W4692">
        <v>0</v>
      </c>
      <c r="X4692">
        <v>2</v>
      </c>
      <c r="Y4692">
        <v>0</v>
      </c>
      <c r="AA4692">
        <v>1</v>
      </c>
      <c r="AB4692">
        <v>8</v>
      </c>
      <c r="AC4692">
        <v>3</v>
      </c>
      <c r="AD4692">
        <v>0</v>
      </c>
      <c r="AE4692">
        <v>9</v>
      </c>
      <c r="AF4692" t="s">
        <v>138</v>
      </c>
      <c r="AG4692">
        <v>0</v>
      </c>
      <c r="AH4692">
        <v>3</v>
      </c>
      <c r="AI4692">
        <v>2</v>
      </c>
      <c r="AJ4692">
        <v>0</v>
      </c>
      <c r="AK4692" t="s">
        <v>1496</v>
      </c>
      <c r="AL4692">
        <v>39.218338000000003</v>
      </c>
      <c r="AM4692" t="s">
        <v>1497</v>
      </c>
      <c r="AN4692">
        <v>-121.001294</v>
      </c>
      <c r="AO4692">
        <v>25</v>
      </c>
      <c r="AP4692">
        <v>4100</v>
      </c>
      <c r="AQ4692" t="s">
        <v>131</v>
      </c>
      <c r="AR4692">
        <v>27</v>
      </c>
      <c r="AS4692">
        <v>80</v>
      </c>
      <c r="AT4692">
        <v>-256</v>
      </c>
      <c r="BB4692" t="str">
        <f t="shared" si="1852"/>
        <v>1200</v>
      </c>
      <c r="BC4692">
        <v>1</v>
      </c>
      <c r="BD4692" t="str">
        <f t="shared" si="1853"/>
        <v xml:space="preserve">N52156  </v>
      </c>
      <c r="BE4692">
        <v>1</v>
      </c>
      <c r="BG4692">
        <v>0</v>
      </c>
      <c r="BH4692">
        <v>0</v>
      </c>
      <c r="BI4692">
        <v>0</v>
      </c>
      <c r="BJ4692">
        <v>4175</v>
      </c>
      <c r="BK4692">
        <v>75</v>
      </c>
      <c r="BL4692" t="s">
        <v>188</v>
      </c>
      <c r="BM4692">
        <v>1</v>
      </c>
      <c r="BN4692">
        <v>1</v>
      </c>
      <c r="BO4692">
        <v>0</v>
      </c>
      <c r="BP4692">
        <v>0</v>
      </c>
      <c r="BS4692">
        <v>0</v>
      </c>
      <c r="BT4692">
        <v>0</v>
      </c>
      <c r="BU4692">
        <v>0</v>
      </c>
      <c r="CE4692" t="str">
        <f t="shared" si="1859"/>
        <v>15:17:33.682</v>
      </c>
      <c r="CF4692">
        <v>681508966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4</v>
      </c>
      <c r="CY4692">
        <v>7</v>
      </c>
      <c r="CZ4692" t="s">
        <v>133</v>
      </c>
      <c r="DA4692">
        <v>275</v>
      </c>
      <c r="DB4692">
        <v>0</v>
      </c>
      <c r="DC4692" t="s">
        <v>134</v>
      </c>
      <c r="DD4692" t="s">
        <v>135</v>
      </c>
      <c r="DG4692">
        <v>3323351</v>
      </c>
      <c r="DI4692">
        <v>1</v>
      </c>
      <c r="DJ4692">
        <v>0</v>
      </c>
      <c r="DK4692">
        <v>1</v>
      </c>
      <c r="DL4692">
        <v>0</v>
      </c>
      <c r="DM4692">
        <v>0</v>
      </c>
      <c r="DN4692">
        <v>0</v>
      </c>
      <c r="DO4692">
        <v>0</v>
      </c>
      <c r="DP4692">
        <v>0</v>
      </c>
      <c r="DQ4692">
        <v>0</v>
      </c>
      <c r="DR4692">
        <v>0</v>
      </c>
      <c r="DS4692">
        <v>0</v>
      </c>
    </row>
    <row r="4693" spans="1:123" x14ac:dyDescent="0.3">
      <c r="A4693" t="str">
        <f>"05/01/2025 15:17:33.916"</f>
        <v>05/01/2025 15:17:33.916</v>
      </c>
      <c r="C4693" t="str">
        <f t="shared" si="1850"/>
        <v>FFDFD3C0</v>
      </c>
      <c r="D4693" t="s">
        <v>136</v>
      </c>
      <c r="E4693" t="str">
        <f>"20"</f>
        <v>20</v>
      </c>
      <c r="H4693">
        <v>400</v>
      </c>
      <c r="I4693" t="s">
        <v>137</v>
      </c>
      <c r="J4693" t="s">
        <v>138</v>
      </c>
      <c r="K4693">
        <v>0</v>
      </c>
      <c r="L4693">
        <v>3</v>
      </c>
      <c r="M4693">
        <v>0</v>
      </c>
      <c r="N4693">
        <v>2</v>
      </c>
      <c r="O4693">
        <v>0</v>
      </c>
      <c r="P4693">
        <v>1</v>
      </c>
      <c r="Q4693">
        <v>0</v>
      </c>
      <c r="R4693" t="s">
        <v>127</v>
      </c>
      <c r="S4693" t="str">
        <f t="shared" si="1858"/>
        <v>15:17:33.000</v>
      </c>
      <c r="T4693" t="str">
        <f t="shared" si="1858"/>
        <v>15:17:33.000</v>
      </c>
      <c r="U4693" t="str">
        <f t="shared" si="1851"/>
        <v>A68FCB</v>
      </c>
      <c r="V4693">
        <v>0</v>
      </c>
      <c r="W4693">
        <v>0</v>
      </c>
      <c r="X4693">
        <v>2</v>
      </c>
      <c r="Y4693">
        <v>0</v>
      </c>
      <c r="AA4693">
        <v>1</v>
      </c>
      <c r="AB4693">
        <v>8</v>
      </c>
      <c r="AC4693">
        <v>3</v>
      </c>
      <c r="AD4693">
        <v>0</v>
      </c>
      <c r="AE4693">
        <v>9</v>
      </c>
      <c r="AF4693" t="s">
        <v>138</v>
      </c>
      <c r="AG4693">
        <v>0</v>
      </c>
      <c r="AH4693">
        <v>3</v>
      </c>
      <c r="AI4693">
        <v>2</v>
      </c>
      <c r="AJ4693">
        <v>0</v>
      </c>
      <c r="AK4693" t="s">
        <v>1496</v>
      </c>
      <c r="AL4693">
        <v>39.218338000000003</v>
      </c>
      <c r="AM4693" t="s">
        <v>1497</v>
      </c>
      <c r="AN4693">
        <v>-121.001294</v>
      </c>
      <c r="AO4693">
        <v>25</v>
      </c>
      <c r="AP4693">
        <v>4100</v>
      </c>
      <c r="AQ4693" t="s">
        <v>131</v>
      </c>
      <c r="AR4693">
        <v>27</v>
      </c>
      <c r="AS4693">
        <v>80</v>
      </c>
      <c r="AT4693">
        <v>-256</v>
      </c>
      <c r="BB4693" t="str">
        <f t="shared" si="1852"/>
        <v>1200</v>
      </c>
      <c r="BC4693">
        <v>1</v>
      </c>
      <c r="BD4693" t="str">
        <f t="shared" si="1853"/>
        <v xml:space="preserve">N52156  </v>
      </c>
      <c r="BE4693">
        <v>1</v>
      </c>
      <c r="BG4693">
        <v>0</v>
      </c>
      <c r="BH4693">
        <v>0</v>
      </c>
      <c r="BI4693">
        <v>0</v>
      </c>
      <c r="BJ4693">
        <v>4175</v>
      </c>
      <c r="BK4693">
        <v>75</v>
      </c>
      <c r="BL4693" t="s">
        <v>188</v>
      </c>
      <c r="BM4693">
        <v>1</v>
      </c>
      <c r="BN4693">
        <v>1</v>
      </c>
      <c r="BO4693">
        <v>0</v>
      </c>
      <c r="BP4693">
        <v>0</v>
      </c>
      <c r="BS4693">
        <v>0</v>
      </c>
      <c r="BT4693">
        <v>0</v>
      </c>
      <c r="BU4693">
        <v>0</v>
      </c>
      <c r="CE4693" t="str">
        <f t="shared" si="1859"/>
        <v>15:17:33.682</v>
      </c>
      <c r="CF4693">
        <v>681508966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4</v>
      </c>
      <c r="CY4693">
        <v>7</v>
      </c>
      <c r="CZ4693" t="s">
        <v>133</v>
      </c>
      <c r="DA4693">
        <v>275</v>
      </c>
      <c r="DB4693">
        <v>0</v>
      </c>
      <c r="DC4693" t="s">
        <v>134</v>
      </c>
      <c r="DD4693" t="s">
        <v>135</v>
      </c>
      <c r="DG4693">
        <v>3323351</v>
      </c>
      <c r="DI4693">
        <v>1</v>
      </c>
      <c r="DJ4693">
        <v>0</v>
      </c>
      <c r="DK4693">
        <v>1</v>
      </c>
      <c r="DL4693">
        <v>0</v>
      </c>
      <c r="DM4693">
        <v>0</v>
      </c>
      <c r="DN4693">
        <v>0</v>
      </c>
      <c r="DO4693">
        <v>0</v>
      </c>
      <c r="DP4693">
        <v>0</v>
      </c>
      <c r="DQ4693">
        <v>0</v>
      </c>
      <c r="DR4693">
        <v>0</v>
      </c>
      <c r="DS4693">
        <v>0</v>
      </c>
    </row>
    <row r="4694" spans="1:123" x14ac:dyDescent="0.3">
      <c r="A4694" t="str">
        <f>"05/01/2025 15:17:34.508"</f>
        <v>05/01/2025 15:17:34.508</v>
      </c>
      <c r="C4694" t="str">
        <f t="shared" si="1850"/>
        <v>FFDFD3C0</v>
      </c>
      <c r="D4694" t="s">
        <v>145</v>
      </c>
      <c r="E4694" t="str">
        <f>"05"</f>
        <v>05</v>
      </c>
      <c r="H4694">
        <v>47</v>
      </c>
      <c r="I4694" t="s">
        <v>146</v>
      </c>
      <c r="J4694" t="s">
        <v>138</v>
      </c>
      <c r="K4694">
        <v>0</v>
      </c>
      <c r="L4694">
        <v>3</v>
      </c>
      <c r="M4694">
        <v>0</v>
      </c>
      <c r="N4694">
        <v>2</v>
      </c>
      <c r="O4694">
        <v>0</v>
      </c>
      <c r="P4694">
        <v>1</v>
      </c>
      <c r="Q4694">
        <v>0</v>
      </c>
      <c r="R4694" t="s">
        <v>127</v>
      </c>
      <c r="S4694" t="str">
        <f t="shared" ref="S4694:T4699" si="1860">"15:17:34.000"</f>
        <v>15:17:34.000</v>
      </c>
      <c r="T4694" t="str">
        <f t="shared" si="1860"/>
        <v>15:17:34.000</v>
      </c>
      <c r="U4694" t="str">
        <f t="shared" si="1851"/>
        <v>A68FCB</v>
      </c>
      <c r="V4694">
        <v>0</v>
      </c>
      <c r="W4694">
        <v>0</v>
      </c>
      <c r="X4694">
        <v>2</v>
      </c>
      <c r="Y4694">
        <v>0</v>
      </c>
      <c r="AA4694">
        <v>1</v>
      </c>
      <c r="AB4694">
        <v>8</v>
      </c>
      <c r="AC4694">
        <v>3</v>
      </c>
      <c r="AD4694">
        <v>0</v>
      </c>
      <c r="AE4694">
        <v>9</v>
      </c>
      <c r="AF4694" t="s">
        <v>138</v>
      </c>
      <c r="AG4694">
        <v>0</v>
      </c>
      <c r="AH4694">
        <v>3</v>
      </c>
      <c r="AI4694">
        <v>2</v>
      </c>
      <c r="AJ4694">
        <v>0</v>
      </c>
      <c r="AK4694" t="s">
        <v>1498</v>
      </c>
      <c r="AL4694">
        <v>39.218702</v>
      </c>
      <c r="AM4694" t="s">
        <v>1499</v>
      </c>
      <c r="AN4694">
        <v>-121.001122</v>
      </c>
      <c r="AO4694">
        <v>25</v>
      </c>
      <c r="AP4694">
        <v>4100</v>
      </c>
      <c r="AQ4694" t="s">
        <v>131</v>
      </c>
      <c r="AR4694">
        <v>26</v>
      </c>
      <c r="AS4694">
        <v>81</v>
      </c>
      <c r="AT4694">
        <v>-320</v>
      </c>
      <c r="BB4694" t="str">
        <f t="shared" si="1852"/>
        <v>1200</v>
      </c>
      <c r="BC4694">
        <v>1</v>
      </c>
      <c r="BD4694" t="str">
        <f t="shared" si="1853"/>
        <v xml:space="preserve">N52156  </v>
      </c>
      <c r="BE4694">
        <v>1</v>
      </c>
      <c r="BG4694">
        <v>0</v>
      </c>
      <c r="BH4694">
        <v>0</v>
      </c>
      <c r="BI4694">
        <v>0</v>
      </c>
      <c r="BJ4694">
        <v>4175</v>
      </c>
      <c r="BK4694">
        <v>75</v>
      </c>
      <c r="BL4694" t="s">
        <v>188</v>
      </c>
      <c r="BM4694">
        <v>1</v>
      </c>
      <c r="BN4694">
        <v>1</v>
      </c>
      <c r="BO4694">
        <v>0</v>
      </c>
      <c r="BP4694">
        <v>0</v>
      </c>
      <c r="BS4694">
        <v>0</v>
      </c>
      <c r="BT4694">
        <v>0</v>
      </c>
      <c r="BU4694">
        <v>0</v>
      </c>
      <c r="CE4694" t="str">
        <f t="shared" ref="CE4694:CE4699" si="1861">"15:17:34.309"</f>
        <v>15:17:34.309</v>
      </c>
      <c r="CF4694">
        <v>308508120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4</v>
      </c>
      <c r="CY4694">
        <v>7</v>
      </c>
      <c r="CZ4694" t="s">
        <v>133</v>
      </c>
      <c r="DA4694">
        <v>275</v>
      </c>
      <c r="DB4694">
        <v>0</v>
      </c>
      <c r="DC4694" t="s">
        <v>134</v>
      </c>
      <c r="DD4694" t="s">
        <v>135</v>
      </c>
      <c r="DG4694">
        <v>3323352</v>
      </c>
      <c r="DI4694">
        <v>1</v>
      </c>
      <c r="DJ4694">
        <v>0</v>
      </c>
      <c r="DK4694">
        <v>0</v>
      </c>
      <c r="DL4694">
        <v>0</v>
      </c>
      <c r="DM4694">
        <v>0</v>
      </c>
      <c r="DN4694">
        <v>0</v>
      </c>
      <c r="DO4694">
        <v>0</v>
      </c>
      <c r="DP4694">
        <v>0</v>
      </c>
      <c r="DQ4694">
        <v>0</v>
      </c>
      <c r="DR4694">
        <v>0</v>
      </c>
      <c r="DS4694">
        <v>0</v>
      </c>
    </row>
    <row r="4695" spans="1:123" x14ac:dyDescent="0.3">
      <c r="A4695" t="str">
        <f>"05/01/2025 15:17:34.517"</f>
        <v>05/01/2025 15:17:34.517</v>
      </c>
      <c r="C4695" t="str">
        <f t="shared" si="1850"/>
        <v>FFDFD3C0</v>
      </c>
      <c r="D4695" t="s">
        <v>136</v>
      </c>
      <c r="E4695" t="str">
        <f>"20"</f>
        <v>20</v>
      </c>
      <c r="H4695">
        <v>400</v>
      </c>
      <c r="I4695" t="s">
        <v>137</v>
      </c>
      <c r="J4695" t="s">
        <v>138</v>
      </c>
      <c r="K4695">
        <v>0</v>
      </c>
      <c r="L4695">
        <v>3</v>
      </c>
      <c r="M4695">
        <v>0</v>
      </c>
      <c r="N4695">
        <v>2</v>
      </c>
      <c r="O4695">
        <v>0</v>
      </c>
      <c r="P4695">
        <v>1</v>
      </c>
      <c r="Q4695">
        <v>0</v>
      </c>
      <c r="R4695" t="s">
        <v>127</v>
      </c>
      <c r="S4695" t="str">
        <f t="shared" si="1860"/>
        <v>15:17:34.000</v>
      </c>
      <c r="T4695" t="str">
        <f t="shared" si="1860"/>
        <v>15:17:34.000</v>
      </c>
      <c r="U4695" t="str">
        <f t="shared" si="1851"/>
        <v>A68FCB</v>
      </c>
      <c r="V4695">
        <v>0</v>
      </c>
      <c r="W4695">
        <v>0</v>
      </c>
      <c r="X4695">
        <v>2</v>
      </c>
      <c r="Y4695">
        <v>0</v>
      </c>
      <c r="AA4695">
        <v>1</v>
      </c>
      <c r="AB4695">
        <v>8</v>
      </c>
      <c r="AC4695">
        <v>3</v>
      </c>
      <c r="AD4695">
        <v>0</v>
      </c>
      <c r="AE4695">
        <v>9</v>
      </c>
      <c r="AF4695" t="s">
        <v>138</v>
      </c>
      <c r="AG4695">
        <v>0</v>
      </c>
      <c r="AH4695">
        <v>3</v>
      </c>
      <c r="AI4695">
        <v>2</v>
      </c>
      <c r="AJ4695">
        <v>0</v>
      </c>
      <c r="AK4695" t="s">
        <v>1498</v>
      </c>
      <c r="AL4695">
        <v>39.218702</v>
      </c>
      <c r="AM4695" t="s">
        <v>1499</v>
      </c>
      <c r="AN4695">
        <v>-121.001122</v>
      </c>
      <c r="AO4695">
        <v>25</v>
      </c>
      <c r="AP4695">
        <v>4100</v>
      </c>
      <c r="AQ4695" t="s">
        <v>131</v>
      </c>
      <c r="AR4695">
        <v>26</v>
      </c>
      <c r="AS4695">
        <v>81</v>
      </c>
      <c r="AT4695">
        <v>-320</v>
      </c>
      <c r="BB4695" t="str">
        <f t="shared" si="1852"/>
        <v>1200</v>
      </c>
      <c r="BC4695">
        <v>1</v>
      </c>
      <c r="BD4695" t="str">
        <f t="shared" si="1853"/>
        <v xml:space="preserve">N52156  </v>
      </c>
      <c r="BE4695">
        <v>1</v>
      </c>
      <c r="BG4695">
        <v>0</v>
      </c>
      <c r="BH4695">
        <v>0</v>
      </c>
      <c r="BI4695">
        <v>0</v>
      </c>
      <c r="BJ4695">
        <v>4175</v>
      </c>
      <c r="BK4695">
        <v>75</v>
      </c>
      <c r="BL4695" t="s">
        <v>188</v>
      </c>
      <c r="BM4695">
        <v>1</v>
      </c>
      <c r="BN4695">
        <v>1</v>
      </c>
      <c r="BO4695">
        <v>0</v>
      </c>
      <c r="BP4695">
        <v>0</v>
      </c>
      <c r="BS4695">
        <v>0</v>
      </c>
      <c r="BT4695">
        <v>0</v>
      </c>
      <c r="BU4695">
        <v>0</v>
      </c>
      <c r="CE4695" t="str">
        <f t="shared" si="1861"/>
        <v>15:17:34.309</v>
      </c>
      <c r="CF4695">
        <v>308508120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4</v>
      </c>
      <c r="CY4695">
        <v>7</v>
      </c>
      <c r="CZ4695" t="s">
        <v>133</v>
      </c>
      <c r="DA4695">
        <v>275</v>
      </c>
      <c r="DB4695">
        <v>0</v>
      </c>
      <c r="DC4695" t="s">
        <v>134</v>
      </c>
      <c r="DD4695" t="s">
        <v>135</v>
      </c>
      <c r="DG4695">
        <v>3323352</v>
      </c>
      <c r="DI4695">
        <v>1</v>
      </c>
      <c r="DJ4695">
        <v>0</v>
      </c>
      <c r="DK4695">
        <v>1</v>
      </c>
      <c r="DL4695">
        <v>0</v>
      </c>
      <c r="DM4695">
        <v>0</v>
      </c>
      <c r="DN4695">
        <v>0</v>
      </c>
      <c r="DO4695">
        <v>0</v>
      </c>
      <c r="DP4695">
        <v>0</v>
      </c>
      <c r="DQ4695">
        <v>0</v>
      </c>
      <c r="DR4695">
        <v>0</v>
      </c>
      <c r="DS4695">
        <v>0</v>
      </c>
    </row>
    <row r="4696" spans="1:123" x14ac:dyDescent="0.3">
      <c r="A4696" t="str">
        <f>"05/01/2025 15:17:34.533"</f>
        <v>05/01/2025 15:17:34.533</v>
      </c>
      <c r="C4696" t="str">
        <f t="shared" si="1850"/>
        <v>FFDFD3C0</v>
      </c>
      <c r="D4696" t="s">
        <v>140</v>
      </c>
      <c r="E4696" t="str">
        <f>"13"</f>
        <v>13</v>
      </c>
      <c r="F4696">
        <v>1019</v>
      </c>
      <c r="G4696" t="s">
        <v>141</v>
      </c>
      <c r="J4696" t="s">
        <v>142</v>
      </c>
      <c r="K4696">
        <v>0</v>
      </c>
      <c r="L4696">
        <v>3</v>
      </c>
      <c r="M4696">
        <v>0</v>
      </c>
      <c r="N4696">
        <v>2</v>
      </c>
      <c r="O4696">
        <v>0</v>
      </c>
      <c r="P4696">
        <v>1</v>
      </c>
      <c r="Q4696">
        <v>0</v>
      </c>
      <c r="R4696" t="s">
        <v>127</v>
      </c>
      <c r="S4696" t="str">
        <f t="shared" si="1860"/>
        <v>15:17:34.000</v>
      </c>
      <c r="T4696" t="str">
        <f t="shared" si="1860"/>
        <v>15:17:34.000</v>
      </c>
      <c r="U4696" t="str">
        <f t="shared" si="1851"/>
        <v>A68FCB</v>
      </c>
      <c r="V4696">
        <v>0</v>
      </c>
      <c r="W4696">
        <v>0</v>
      </c>
      <c r="X4696">
        <v>2</v>
      </c>
      <c r="Y4696">
        <v>0</v>
      </c>
      <c r="AA4696">
        <v>1</v>
      </c>
      <c r="AB4696">
        <v>8</v>
      </c>
      <c r="AC4696">
        <v>3</v>
      </c>
      <c r="AD4696">
        <v>0</v>
      </c>
      <c r="AE4696">
        <v>9</v>
      </c>
      <c r="AF4696" t="s">
        <v>138</v>
      </c>
      <c r="AG4696">
        <v>0</v>
      </c>
      <c r="AH4696">
        <v>3</v>
      </c>
      <c r="AI4696">
        <v>2</v>
      </c>
      <c r="AJ4696">
        <v>0</v>
      </c>
      <c r="AK4696" t="s">
        <v>1498</v>
      </c>
      <c r="AL4696">
        <v>39.218702</v>
      </c>
      <c r="AM4696" t="s">
        <v>1499</v>
      </c>
      <c r="AN4696">
        <v>-121.001122</v>
      </c>
      <c r="AO4696">
        <v>25</v>
      </c>
      <c r="AP4696">
        <v>4100</v>
      </c>
      <c r="AQ4696" t="s">
        <v>131</v>
      </c>
      <c r="AR4696">
        <v>26</v>
      </c>
      <c r="AS4696">
        <v>81</v>
      </c>
      <c r="AT4696">
        <v>-320</v>
      </c>
      <c r="BB4696" t="str">
        <f t="shared" si="1852"/>
        <v>1200</v>
      </c>
      <c r="BC4696">
        <v>1</v>
      </c>
      <c r="BD4696" t="str">
        <f t="shared" si="1853"/>
        <v xml:space="preserve">N52156  </v>
      </c>
      <c r="BE4696">
        <v>1</v>
      </c>
      <c r="BG4696">
        <v>0</v>
      </c>
      <c r="BH4696">
        <v>0</v>
      </c>
      <c r="BI4696">
        <v>0</v>
      </c>
      <c r="BJ4696">
        <v>4175</v>
      </c>
      <c r="BK4696">
        <v>75</v>
      </c>
      <c r="BL4696" t="s">
        <v>188</v>
      </c>
      <c r="BM4696">
        <v>1</v>
      </c>
      <c r="BN4696">
        <v>1</v>
      </c>
      <c r="BO4696">
        <v>0</v>
      </c>
      <c r="BP4696">
        <v>0</v>
      </c>
      <c r="BS4696">
        <v>0</v>
      </c>
      <c r="BT4696">
        <v>0</v>
      </c>
      <c r="BU4696">
        <v>0</v>
      </c>
      <c r="CE4696" t="str">
        <f t="shared" si="1861"/>
        <v>15:17:34.309</v>
      </c>
      <c r="CF4696">
        <v>308508120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4</v>
      </c>
      <c r="CY4696">
        <v>7</v>
      </c>
      <c r="CZ4696" t="s">
        <v>133</v>
      </c>
      <c r="DA4696">
        <v>275</v>
      </c>
      <c r="DB4696">
        <v>0</v>
      </c>
      <c r="DC4696" t="s">
        <v>134</v>
      </c>
      <c r="DD4696" t="s">
        <v>135</v>
      </c>
      <c r="DG4696">
        <v>3323352</v>
      </c>
      <c r="DI4696">
        <v>1</v>
      </c>
      <c r="DJ4696">
        <v>0</v>
      </c>
      <c r="DK4696">
        <v>1</v>
      </c>
      <c r="DL4696">
        <v>0</v>
      </c>
      <c r="DM4696">
        <v>0</v>
      </c>
      <c r="DN4696">
        <v>0</v>
      </c>
      <c r="DO4696">
        <v>0</v>
      </c>
      <c r="DP4696">
        <v>0</v>
      </c>
      <c r="DQ4696">
        <v>0</v>
      </c>
      <c r="DR4696">
        <v>0</v>
      </c>
      <c r="DS4696">
        <v>0</v>
      </c>
    </row>
    <row r="4697" spans="1:123" x14ac:dyDescent="0.3">
      <c r="A4697" t="str">
        <f>"05/01/2025 15:17:34.534"</f>
        <v>05/01/2025 15:17:34.534</v>
      </c>
      <c r="C4697" t="str">
        <f t="shared" si="1850"/>
        <v>FFDFD3C0</v>
      </c>
      <c r="D4697" t="s">
        <v>124</v>
      </c>
      <c r="E4697" t="str">
        <f>"06"</f>
        <v>06</v>
      </c>
      <c r="F4697">
        <v>2006</v>
      </c>
      <c r="G4697" t="s">
        <v>125</v>
      </c>
      <c r="J4697" t="s">
        <v>126</v>
      </c>
      <c r="K4697">
        <v>0</v>
      </c>
      <c r="L4697">
        <v>3</v>
      </c>
      <c r="M4697">
        <v>0</v>
      </c>
      <c r="N4697">
        <v>2</v>
      </c>
      <c r="O4697">
        <v>0</v>
      </c>
      <c r="P4697">
        <v>1</v>
      </c>
      <c r="Q4697">
        <v>0</v>
      </c>
      <c r="R4697" t="s">
        <v>127</v>
      </c>
      <c r="S4697" t="str">
        <f t="shared" si="1860"/>
        <v>15:17:34.000</v>
      </c>
      <c r="T4697" t="str">
        <f t="shared" si="1860"/>
        <v>15:17:34.000</v>
      </c>
      <c r="U4697" t="str">
        <f t="shared" si="1851"/>
        <v>A68FCB</v>
      </c>
      <c r="V4697">
        <v>0</v>
      </c>
      <c r="W4697">
        <v>0</v>
      </c>
      <c r="X4697">
        <v>2</v>
      </c>
      <c r="Y4697">
        <v>0</v>
      </c>
      <c r="AA4697">
        <v>1</v>
      </c>
      <c r="AB4697">
        <v>8</v>
      </c>
      <c r="AC4697">
        <v>3</v>
      </c>
      <c r="AD4697">
        <v>0</v>
      </c>
      <c r="AE4697">
        <v>9</v>
      </c>
      <c r="AF4697" t="s">
        <v>138</v>
      </c>
      <c r="AG4697">
        <v>0</v>
      </c>
      <c r="AH4697">
        <v>3</v>
      </c>
      <c r="AI4697">
        <v>2</v>
      </c>
      <c r="AJ4697">
        <v>0</v>
      </c>
      <c r="AK4697" t="s">
        <v>1498</v>
      </c>
      <c r="AL4697">
        <v>39.218702</v>
      </c>
      <c r="AM4697" t="s">
        <v>1499</v>
      </c>
      <c r="AN4697">
        <v>-121.001122</v>
      </c>
      <c r="AO4697">
        <v>25</v>
      </c>
      <c r="AP4697">
        <v>4100</v>
      </c>
      <c r="AQ4697" t="s">
        <v>131</v>
      </c>
      <c r="AR4697">
        <v>26</v>
      </c>
      <c r="AS4697">
        <v>81</v>
      </c>
      <c r="AT4697">
        <v>-320</v>
      </c>
      <c r="BB4697" t="str">
        <f t="shared" si="1852"/>
        <v>1200</v>
      </c>
      <c r="BC4697">
        <v>1</v>
      </c>
      <c r="BD4697" t="str">
        <f t="shared" si="1853"/>
        <v xml:space="preserve">N52156  </v>
      </c>
      <c r="BE4697">
        <v>1</v>
      </c>
      <c r="BG4697">
        <v>0</v>
      </c>
      <c r="BH4697">
        <v>0</v>
      </c>
      <c r="BI4697">
        <v>0</v>
      </c>
      <c r="BJ4697">
        <v>4175</v>
      </c>
      <c r="BK4697">
        <v>75</v>
      </c>
      <c r="BL4697" t="s">
        <v>188</v>
      </c>
      <c r="BM4697">
        <v>1</v>
      </c>
      <c r="BN4697">
        <v>1</v>
      </c>
      <c r="BO4697">
        <v>0</v>
      </c>
      <c r="BP4697">
        <v>0</v>
      </c>
      <c r="BS4697">
        <v>0</v>
      </c>
      <c r="BT4697">
        <v>0</v>
      </c>
      <c r="BU4697">
        <v>0</v>
      </c>
      <c r="CE4697" t="str">
        <f t="shared" si="1861"/>
        <v>15:17:34.309</v>
      </c>
      <c r="CF4697">
        <v>308508120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4</v>
      </c>
      <c r="CY4697">
        <v>7</v>
      </c>
      <c r="CZ4697" t="s">
        <v>133</v>
      </c>
      <c r="DA4697">
        <v>275</v>
      </c>
      <c r="DB4697">
        <v>0</v>
      </c>
      <c r="DC4697" t="s">
        <v>134</v>
      </c>
      <c r="DD4697" t="s">
        <v>135</v>
      </c>
      <c r="DG4697">
        <v>3323352</v>
      </c>
      <c r="DI4697">
        <v>1</v>
      </c>
      <c r="DJ4697">
        <v>0</v>
      </c>
      <c r="DK4697">
        <v>1</v>
      </c>
      <c r="DL4697">
        <v>0</v>
      </c>
      <c r="DM4697">
        <v>0</v>
      </c>
      <c r="DN4697">
        <v>0</v>
      </c>
      <c r="DO4697">
        <v>0</v>
      </c>
      <c r="DP4697">
        <v>0</v>
      </c>
      <c r="DQ4697">
        <v>0</v>
      </c>
      <c r="DR4697">
        <v>0</v>
      </c>
      <c r="DS4697">
        <v>0</v>
      </c>
    </row>
    <row r="4698" spans="1:123" x14ac:dyDescent="0.3">
      <c r="A4698" t="str">
        <f>"05/01/2025 15:17:34.541"</f>
        <v>05/01/2025 15:17:34.541</v>
      </c>
      <c r="C4698" t="str">
        <f t="shared" si="1850"/>
        <v>FFDFD3C0</v>
      </c>
      <c r="D4698" t="s">
        <v>143</v>
      </c>
      <c r="E4698" t="str">
        <f>"05"</f>
        <v>05</v>
      </c>
      <c r="H4698">
        <v>172</v>
      </c>
      <c r="I4698" t="s">
        <v>141</v>
      </c>
      <c r="J4698" t="s">
        <v>144</v>
      </c>
      <c r="K4698">
        <v>0</v>
      </c>
      <c r="L4698">
        <v>3</v>
      </c>
      <c r="M4698">
        <v>0</v>
      </c>
      <c r="N4698">
        <v>2</v>
      </c>
      <c r="O4698">
        <v>0</v>
      </c>
      <c r="P4698">
        <v>1</v>
      </c>
      <c r="Q4698">
        <v>0</v>
      </c>
      <c r="R4698" t="s">
        <v>127</v>
      </c>
      <c r="S4698" t="str">
        <f t="shared" si="1860"/>
        <v>15:17:34.000</v>
      </c>
      <c r="T4698" t="str">
        <f t="shared" si="1860"/>
        <v>15:17:34.000</v>
      </c>
      <c r="U4698" t="str">
        <f t="shared" si="1851"/>
        <v>A68FCB</v>
      </c>
      <c r="V4698">
        <v>0</v>
      </c>
      <c r="W4698">
        <v>0</v>
      </c>
      <c r="X4698">
        <v>2</v>
      </c>
      <c r="Y4698">
        <v>0</v>
      </c>
      <c r="AA4698">
        <v>1</v>
      </c>
      <c r="AB4698">
        <v>8</v>
      </c>
      <c r="AC4698">
        <v>3</v>
      </c>
      <c r="AD4698">
        <v>0</v>
      </c>
      <c r="AE4698">
        <v>9</v>
      </c>
      <c r="AF4698" t="s">
        <v>138</v>
      </c>
      <c r="AG4698">
        <v>0</v>
      </c>
      <c r="AH4698">
        <v>3</v>
      </c>
      <c r="AI4698">
        <v>2</v>
      </c>
      <c r="AJ4698">
        <v>0</v>
      </c>
      <c r="AK4698" t="s">
        <v>1498</v>
      </c>
      <c r="AL4698">
        <v>39.218702</v>
      </c>
      <c r="AM4698" t="s">
        <v>1499</v>
      </c>
      <c r="AN4698">
        <v>-121.001122</v>
      </c>
      <c r="AO4698">
        <v>25</v>
      </c>
      <c r="AP4698">
        <v>4100</v>
      </c>
      <c r="AQ4698" t="s">
        <v>131</v>
      </c>
      <c r="AR4698">
        <v>26</v>
      </c>
      <c r="AS4698">
        <v>81</v>
      </c>
      <c r="AT4698">
        <v>-320</v>
      </c>
      <c r="BB4698" t="str">
        <f t="shared" si="1852"/>
        <v>1200</v>
      </c>
      <c r="BC4698">
        <v>1</v>
      </c>
      <c r="BD4698" t="str">
        <f t="shared" si="1853"/>
        <v xml:space="preserve">N52156  </v>
      </c>
      <c r="BE4698">
        <v>1</v>
      </c>
      <c r="BG4698">
        <v>0</v>
      </c>
      <c r="BH4698">
        <v>0</v>
      </c>
      <c r="BI4698">
        <v>0</v>
      </c>
      <c r="BJ4698">
        <v>4175</v>
      </c>
      <c r="BK4698">
        <v>75</v>
      </c>
      <c r="BL4698" t="s">
        <v>188</v>
      </c>
      <c r="BM4698">
        <v>1</v>
      </c>
      <c r="BN4698">
        <v>1</v>
      </c>
      <c r="BO4698">
        <v>0</v>
      </c>
      <c r="BP4698">
        <v>0</v>
      </c>
      <c r="BS4698">
        <v>0</v>
      </c>
      <c r="BT4698">
        <v>0</v>
      </c>
      <c r="BU4698">
        <v>0</v>
      </c>
      <c r="CE4698" t="str">
        <f t="shared" si="1861"/>
        <v>15:17:34.309</v>
      </c>
      <c r="CF4698">
        <v>308508120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4</v>
      </c>
      <c r="CY4698">
        <v>7</v>
      </c>
      <c r="CZ4698" t="s">
        <v>133</v>
      </c>
      <c r="DA4698">
        <v>275</v>
      </c>
      <c r="DB4698">
        <v>0</v>
      </c>
      <c r="DC4698" t="s">
        <v>134</v>
      </c>
      <c r="DD4698" t="s">
        <v>135</v>
      </c>
      <c r="DG4698">
        <v>3323352</v>
      </c>
      <c r="DI4698">
        <v>1</v>
      </c>
      <c r="DJ4698">
        <v>0</v>
      </c>
      <c r="DK4698">
        <v>1</v>
      </c>
      <c r="DL4698">
        <v>0</v>
      </c>
      <c r="DM4698">
        <v>0</v>
      </c>
      <c r="DN4698">
        <v>0</v>
      </c>
      <c r="DO4698">
        <v>0</v>
      </c>
      <c r="DP4698">
        <v>0</v>
      </c>
      <c r="DQ4698">
        <v>0</v>
      </c>
      <c r="DR4698">
        <v>0</v>
      </c>
      <c r="DS4698">
        <v>0</v>
      </c>
    </row>
    <row r="4699" spans="1:123" x14ac:dyDescent="0.3">
      <c r="A4699" t="str">
        <f>"05/01/2025 15:17:34.555"</f>
        <v>05/01/2025 15:17:34.555</v>
      </c>
      <c r="C4699" t="str">
        <f t="shared" si="1850"/>
        <v>FFDFD3C0</v>
      </c>
      <c r="D4699" t="s">
        <v>145</v>
      </c>
      <c r="E4699" t="str">
        <f>"09"</f>
        <v>09</v>
      </c>
      <c r="H4699">
        <v>51</v>
      </c>
      <c r="I4699" t="s">
        <v>147</v>
      </c>
      <c r="J4699" t="s">
        <v>138</v>
      </c>
      <c r="K4699">
        <v>0</v>
      </c>
      <c r="L4699">
        <v>3</v>
      </c>
      <c r="M4699">
        <v>0</v>
      </c>
      <c r="N4699">
        <v>2</v>
      </c>
      <c r="O4699">
        <v>0</v>
      </c>
      <c r="P4699">
        <v>1</v>
      </c>
      <c r="Q4699">
        <v>0</v>
      </c>
      <c r="R4699" t="s">
        <v>127</v>
      </c>
      <c r="S4699" t="str">
        <f t="shared" si="1860"/>
        <v>15:17:34.000</v>
      </c>
      <c r="T4699" t="str">
        <f t="shared" si="1860"/>
        <v>15:17:34.000</v>
      </c>
      <c r="U4699" t="str">
        <f t="shared" si="1851"/>
        <v>A68FCB</v>
      </c>
      <c r="V4699">
        <v>0</v>
      </c>
      <c r="W4699">
        <v>0</v>
      </c>
      <c r="X4699">
        <v>2</v>
      </c>
      <c r="Y4699">
        <v>0</v>
      </c>
      <c r="AA4699">
        <v>1</v>
      </c>
      <c r="AB4699">
        <v>8</v>
      </c>
      <c r="AC4699">
        <v>3</v>
      </c>
      <c r="AD4699">
        <v>0</v>
      </c>
      <c r="AE4699">
        <v>9</v>
      </c>
      <c r="AF4699" t="s">
        <v>138</v>
      </c>
      <c r="AG4699">
        <v>0</v>
      </c>
      <c r="AH4699">
        <v>3</v>
      </c>
      <c r="AI4699">
        <v>2</v>
      </c>
      <c r="AJ4699">
        <v>0</v>
      </c>
      <c r="AK4699" t="s">
        <v>1498</v>
      </c>
      <c r="AL4699">
        <v>39.218702</v>
      </c>
      <c r="AM4699" t="s">
        <v>1499</v>
      </c>
      <c r="AN4699">
        <v>-121.001122</v>
      </c>
      <c r="AO4699">
        <v>25</v>
      </c>
      <c r="AP4699">
        <v>4100</v>
      </c>
      <c r="AQ4699" t="s">
        <v>131</v>
      </c>
      <c r="AR4699">
        <v>26</v>
      </c>
      <c r="AS4699">
        <v>81</v>
      </c>
      <c r="AT4699">
        <v>-320</v>
      </c>
      <c r="BB4699" t="str">
        <f t="shared" si="1852"/>
        <v>1200</v>
      </c>
      <c r="BC4699">
        <v>1</v>
      </c>
      <c r="BD4699" t="str">
        <f t="shared" si="1853"/>
        <v xml:space="preserve">N52156  </v>
      </c>
      <c r="BE4699">
        <v>1</v>
      </c>
      <c r="BG4699">
        <v>0</v>
      </c>
      <c r="BH4699">
        <v>0</v>
      </c>
      <c r="BI4699">
        <v>0</v>
      </c>
      <c r="BJ4699">
        <v>4175</v>
      </c>
      <c r="BK4699">
        <v>75</v>
      </c>
      <c r="BL4699" t="s">
        <v>188</v>
      </c>
      <c r="BM4699">
        <v>1</v>
      </c>
      <c r="BN4699">
        <v>1</v>
      </c>
      <c r="BO4699">
        <v>0</v>
      </c>
      <c r="BP4699">
        <v>0</v>
      </c>
      <c r="BS4699">
        <v>0</v>
      </c>
      <c r="BT4699">
        <v>0</v>
      </c>
      <c r="BU4699">
        <v>0</v>
      </c>
      <c r="CE4699" t="str">
        <f t="shared" si="1861"/>
        <v>15:17:34.309</v>
      </c>
      <c r="CF4699">
        <v>308508120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4</v>
      </c>
      <c r="CY4699">
        <v>7</v>
      </c>
      <c r="CZ4699" t="s">
        <v>133</v>
      </c>
      <c r="DA4699">
        <v>275</v>
      </c>
      <c r="DB4699">
        <v>0</v>
      </c>
      <c r="DC4699" t="s">
        <v>134</v>
      </c>
      <c r="DD4699" t="s">
        <v>135</v>
      </c>
      <c r="DG4699">
        <v>3323352</v>
      </c>
      <c r="DI4699">
        <v>1</v>
      </c>
      <c r="DJ4699">
        <v>0</v>
      </c>
      <c r="DK4699">
        <v>1</v>
      </c>
      <c r="DL4699">
        <v>0</v>
      </c>
      <c r="DM4699">
        <v>0</v>
      </c>
      <c r="DN4699">
        <v>0</v>
      </c>
      <c r="DO4699">
        <v>0</v>
      </c>
      <c r="DP4699">
        <v>0</v>
      </c>
      <c r="DQ4699">
        <v>0</v>
      </c>
      <c r="DR4699">
        <v>0</v>
      </c>
      <c r="DS4699">
        <v>0</v>
      </c>
    </row>
    <row r="4700" spans="1:123" x14ac:dyDescent="0.3">
      <c r="A4700" t="str">
        <f>"05/01/2025 15:17:35.993"</f>
        <v>05/01/2025 15:17:35.993</v>
      </c>
      <c r="C4700" t="str">
        <f t="shared" si="1850"/>
        <v>FFDFD3C0</v>
      </c>
      <c r="D4700" t="s">
        <v>143</v>
      </c>
      <c r="E4700" t="str">
        <f>"05"</f>
        <v>05</v>
      </c>
      <c r="H4700">
        <v>172</v>
      </c>
      <c r="I4700" t="s">
        <v>141</v>
      </c>
      <c r="J4700" t="s">
        <v>144</v>
      </c>
      <c r="K4700">
        <v>0</v>
      </c>
      <c r="L4700">
        <v>3</v>
      </c>
      <c r="M4700">
        <v>0</v>
      </c>
      <c r="N4700">
        <v>2</v>
      </c>
      <c r="O4700">
        <v>0</v>
      </c>
      <c r="P4700">
        <v>1</v>
      </c>
      <c r="Q4700">
        <v>0</v>
      </c>
      <c r="R4700" t="s">
        <v>127</v>
      </c>
      <c r="S4700" t="str">
        <f t="shared" ref="S4700:T4705" si="1862">"15:17:35.000"</f>
        <v>15:17:35.000</v>
      </c>
      <c r="T4700" t="str">
        <f t="shared" si="1862"/>
        <v>15:17:35.000</v>
      </c>
      <c r="U4700" t="str">
        <f t="shared" si="1851"/>
        <v>A68FCB</v>
      </c>
      <c r="V4700">
        <v>0</v>
      </c>
      <c r="W4700">
        <v>0</v>
      </c>
      <c r="X4700">
        <v>2</v>
      </c>
      <c r="Y4700">
        <v>0</v>
      </c>
      <c r="AA4700">
        <v>1</v>
      </c>
      <c r="AB4700">
        <v>8</v>
      </c>
      <c r="AC4700">
        <v>3</v>
      </c>
      <c r="AD4700">
        <v>0</v>
      </c>
      <c r="AE4700">
        <v>9</v>
      </c>
      <c r="AF4700" t="s">
        <v>138</v>
      </c>
      <c r="AG4700">
        <v>0</v>
      </c>
      <c r="AH4700">
        <v>3</v>
      </c>
      <c r="AI4700">
        <v>2</v>
      </c>
      <c r="AJ4700">
        <v>0</v>
      </c>
      <c r="AK4700" t="s">
        <v>1500</v>
      </c>
      <c r="AL4700">
        <v>39.219088999999997</v>
      </c>
      <c r="AM4700" t="s">
        <v>1501</v>
      </c>
      <c r="AN4700">
        <v>-121.00099299999999</v>
      </c>
      <c r="AO4700">
        <v>25</v>
      </c>
      <c r="AP4700">
        <v>4100</v>
      </c>
      <c r="AQ4700" t="s">
        <v>131</v>
      </c>
      <c r="AR4700">
        <v>22</v>
      </c>
      <c r="AS4700">
        <v>83</v>
      </c>
      <c r="AT4700">
        <v>-256</v>
      </c>
      <c r="BB4700" t="str">
        <f t="shared" si="1852"/>
        <v>1200</v>
      </c>
      <c r="BC4700">
        <v>1</v>
      </c>
      <c r="BD4700" t="str">
        <f t="shared" si="1853"/>
        <v xml:space="preserve">N52156  </v>
      </c>
      <c r="BE4700">
        <v>1</v>
      </c>
      <c r="BG4700">
        <v>0</v>
      </c>
      <c r="BH4700">
        <v>0</v>
      </c>
      <c r="BI4700">
        <v>0</v>
      </c>
      <c r="BJ4700">
        <v>4175</v>
      </c>
      <c r="BK4700">
        <v>75</v>
      </c>
      <c r="BL4700" t="s">
        <v>188</v>
      </c>
      <c r="BM4700">
        <v>1</v>
      </c>
      <c r="BN4700">
        <v>1</v>
      </c>
      <c r="BO4700">
        <v>0</v>
      </c>
      <c r="BP4700">
        <v>0</v>
      </c>
      <c r="BS4700">
        <v>0</v>
      </c>
      <c r="BT4700">
        <v>0</v>
      </c>
      <c r="BU4700">
        <v>0</v>
      </c>
      <c r="CE4700" t="str">
        <f t="shared" ref="CE4700:CE4705" si="1863">"15:17:35.793"</f>
        <v>15:17:35.793</v>
      </c>
      <c r="CF4700">
        <v>792759480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4</v>
      </c>
      <c r="CY4700">
        <v>7</v>
      </c>
      <c r="CZ4700" t="s">
        <v>133</v>
      </c>
      <c r="DA4700">
        <v>275</v>
      </c>
      <c r="DB4700">
        <v>0</v>
      </c>
      <c r="DC4700" t="s">
        <v>134</v>
      </c>
      <c r="DD4700" t="s">
        <v>135</v>
      </c>
      <c r="DG4700">
        <v>3323354</v>
      </c>
      <c r="DI4700">
        <v>1</v>
      </c>
      <c r="DJ4700">
        <v>0</v>
      </c>
      <c r="DK4700">
        <v>0</v>
      </c>
      <c r="DL4700">
        <v>0</v>
      </c>
      <c r="DM4700">
        <v>0</v>
      </c>
      <c r="DN4700">
        <v>0</v>
      </c>
      <c r="DO4700">
        <v>0</v>
      </c>
      <c r="DP4700">
        <v>0</v>
      </c>
      <c r="DQ4700">
        <v>0</v>
      </c>
      <c r="DR4700">
        <v>0</v>
      </c>
      <c r="DS4700">
        <v>0</v>
      </c>
    </row>
    <row r="4701" spans="1:123" x14ac:dyDescent="0.3">
      <c r="A4701" t="str">
        <f>"05/01/2025 15:17:36.007"</f>
        <v>05/01/2025 15:17:36.007</v>
      </c>
      <c r="C4701" t="str">
        <f t="shared" si="1850"/>
        <v>FFDFD3C0</v>
      </c>
      <c r="D4701" t="s">
        <v>145</v>
      </c>
      <c r="E4701" t="str">
        <f>"09"</f>
        <v>09</v>
      </c>
      <c r="H4701">
        <v>51</v>
      </c>
      <c r="I4701" t="s">
        <v>147</v>
      </c>
      <c r="J4701" t="s">
        <v>138</v>
      </c>
      <c r="K4701">
        <v>0</v>
      </c>
      <c r="L4701">
        <v>3</v>
      </c>
      <c r="M4701">
        <v>0</v>
      </c>
      <c r="N4701">
        <v>2</v>
      </c>
      <c r="O4701">
        <v>0</v>
      </c>
      <c r="P4701">
        <v>1</v>
      </c>
      <c r="Q4701">
        <v>0</v>
      </c>
      <c r="R4701" t="s">
        <v>127</v>
      </c>
      <c r="S4701" t="str">
        <f t="shared" si="1862"/>
        <v>15:17:35.000</v>
      </c>
      <c r="T4701" t="str">
        <f t="shared" si="1862"/>
        <v>15:17:35.000</v>
      </c>
      <c r="U4701" t="str">
        <f t="shared" si="1851"/>
        <v>A68FCB</v>
      </c>
      <c r="V4701">
        <v>0</v>
      </c>
      <c r="W4701">
        <v>0</v>
      </c>
      <c r="X4701">
        <v>2</v>
      </c>
      <c r="Y4701">
        <v>0</v>
      </c>
      <c r="AA4701">
        <v>1</v>
      </c>
      <c r="AB4701">
        <v>8</v>
      </c>
      <c r="AC4701">
        <v>3</v>
      </c>
      <c r="AD4701">
        <v>0</v>
      </c>
      <c r="AE4701">
        <v>9</v>
      </c>
      <c r="AF4701" t="s">
        <v>138</v>
      </c>
      <c r="AG4701">
        <v>0</v>
      </c>
      <c r="AH4701">
        <v>3</v>
      </c>
      <c r="AI4701">
        <v>2</v>
      </c>
      <c r="AJ4701">
        <v>0</v>
      </c>
      <c r="AK4701" t="s">
        <v>1500</v>
      </c>
      <c r="AL4701">
        <v>39.219088999999997</v>
      </c>
      <c r="AM4701" t="s">
        <v>1501</v>
      </c>
      <c r="AN4701">
        <v>-121.00099299999999</v>
      </c>
      <c r="AO4701">
        <v>25</v>
      </c>
      <c r="AP4701">
        <v>4100</v>
      </c>
      <c r="AQ4701" t="s">
        <v>131</v>
      </c>
      <c r="AR4701">
        <v>22</v>
      </c>
      <c r="AS4701">
        <v>83</v>
      </c>
      <c r="AT4701">
        <v>-256</v>
      </c>
      <c r="BB4701" t="str">
        <f t="shared" si="1852"/>
        <v>1200</v>
      </c>
      <c r="BC4701">
        <v>1</v>
      </c>
      <c r="BD4701" t="str">
        <f t="shared" si="1853"/>
        <v xml:space="preserve">N52156  </v>
      </c>
      <c r="BE4701">
        <v>1</v>
      </c>
      <c r="BG4701">
        <v>0</v>
      </c>
      <c r="BH4701">
        <v>0</v>
      </c>
      <c r="BI4701">
        <v>0</v>
      </c>
      <c r="BJ4701">
        <v>4175</v>
      </c>
      <c r="BK4701">
        <v>75</v>
      </c>
      <c r="BL4701" t="s">
        <v>188</v>
      </c>
      <c r="BM4701">
        <v>1</v>
      </c>
      <c r="BN4701">
        <v>1</v>
      </c>
      <c r="BO4701">
        <v>0</v>
      </c>
      <c r="BP4701">
        <v>0</v>
      </c>
      <c r="BS4701">
        <v>0</v>
      </c>
      <c r="BT4701">
        <v>0</v>
      </c>
      <c r="BU4701">
        <v>0</v>
      </c>
      <c r="CE4701" t="str">
        <f t="shared" si="1863"/>
        <v>15:17:35.793</v>
      </c>
      <c r="CF4701">
        <v>792759480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4</v>
      </c>
      <c r="CY4701">
        <v>7</v>
      </c>
      <c r="CZ4701" t="s">
        <v>133</v>
      </c>
      <c r="DA4701">
        <v>275</v>
      </c>
      <c r="DB4701">
        <v>0</v>
      </c>
      <c r="DC4701" t="s">
        <v>134</v>
      </c>
      <c r="DD4701" t="s">
        <v>135</v>
      </c>
      <c r="DG4701">
        <v>3323354</v>
      </c>
      <c r="DI4701">
        <v>1</v>
      </c>
      <c r="DJ4701">
        <v>0</v>
      </c>
      <c r="DK4701">
        <v>1</v>
      </c>
      <c r="DL4701">
        <v>0</v>
      </c>
      <c r="DM4701">
        <v>0</v>
      </c>
      <c r="DN4701">
        <v>0</v>
      </c>
      <c r="DO4701">
        <v>0</v>
      </c>
      <c r="DP4701">
        <v>0</v>
      </c>
      <c r="DQ4701">
        <v>0</v>
      </c>
      <c r="DR4701">
        <v>0</v>
      </c>
      <c r="DS4701">
        <v>0</v>
      </c>
    </row>
    <row r="4702" spans="1:123" x14ac:dyDescent="0.3">
      <c r="A4702" t="str">
        <f>"05/01/2025 15:17:36.010"</f>
        <v>05/01/2025 15:17:36.010</v>
      </c>
      <c r="C4702" t="str">
        <f t="shared" si="1850"/>
        <v>FFDFD3C0</v>
      </c>
      <c r="D4702" t="s">
        <v>145</v>
      </c>
      <c r="E4702" t="str">
        <f>"05"</f>
        <v>05</v>
      </c>
      <c r="H4702">
        <v>47</v>
      </c>
      <c r="I4702" t="s">
        <v>146</v>
      </c>
      <c r="J4702" t="s">
        <v>138</v>
      </c>
      <c r="K4702">
        <v>0</v>
      </c>
      <c r="L4702">
        <v>3</v>
      </c>
      <c r="M4702">
        <v>0</v>
      </c>
      <c r="N4702">
        <v>2</v>
      </c>
      <c r="O4702">
        <v>0</v>
      </c>
      <c r="P4702">
        <v>1</v>
      </c>
      <c r="Q4702">
        <v>0</v>
      </c>
      <c r="R4702" t="s">
        <v>127</v>
      </c>
      <c r="S4702" t="str">
        <f t="shared" si="1862"/>
        <v>15:17:35.000</v>
      </c>
      <c r="T4702" t="str">
        <f t="shared" si="1862"/>
        <v>15:17:35.000</v>
      </c>
      <c r="U4702" t="str">
        <f t="shared" si="1851"/>
        <v>A68FCB</v>
      </c>
      <c r="V4702">
        <v>0</v>
      </c>
      <c r="W4702">
        <v>0</v>
      </c>
      <c r="X4702">
        <v>2</v>
      </c>
      <c r="Y4702">
        <v>0</v>
      </c>
      <c r="AA4702">
        <v>1</v>
      </c>
      <c r="AB4702">
        <v>8</v>
      </c>
      <c r="AC4702">
        <v>3</v>
      </c>
      <c r="AD4702">
        <v>0</v>
      </c>
      <c r="AE4702">
        <v>9</v>
      </c>
      <c r="AF4702" t="s">
        <v>138</v>
      </c>
      <c r="AG4702">
        <v>0</v>
      </c>
      <c r="AH4702">
        <v>3</v>
      </c>
      <c r="AI4702">
        <v>2</v>
      </c>
      <c r="AJ4702">
        <v>0</v>
      </c>
      <c r="AK4702" t="s">
        <v>1500</v>
      </c>
      <c r="AL4702">
        <v>39.219088999999997</v>
      </c>
      <c r="AM4702" t="s">
        <v>1501</v>
      </c>
      <c r="AN4702">
        <v>-121.00099299999999</v>
      </c>
      <c r="AO4702">
        <v>25</v>
      </c>
      <c r="AP4702">
        <v>4100</v>
      </c>
      <c r="AQ4702" t="s">
        <v>131</v>
      </c>
      <c r="AR4702">
        <v>22</v>
      </c>
      <c r="AS4702">
        <v>83</v>
      </c>
      <c r="AT4702">
        <v>-256</v>
      </c>
      <c r="BB4702" t="str">
        <f t="shared" si="1852"/>
        <v>1200</v>
      </c>
      <c r="BC4702">
        <v>1</v>
      </c>
      <c r="BD4702" t="str">
        <f t="shared" si="1853"/>
        <v xml:space="preserve">N52156  </v>
      </c>
      <c r="BE4702">
        <v>1</v>
      </c>
      <c r="BG4702">
        <v>0</v>
      </c>
      <c r="BH4702">
        <v>0</v>
      </c>
      <c r="BI4702">
        <v>0</v>
      </c>
      <c r="BJ4702">
        <v>4175</v>
      </c>
      <c r="BK4702">
        <v>75</v>
      </c>
      <c r="BL4702" t="s">
        <v>188</v>
      </c>
      <c r="BM4702">
        <v>1</v>
      </c>
      <c r="BN4702">
        <v>1</v>
      </c>
      <c r="BO4702">
        <v>0</v>
      </c>
      <c r="BP4702">
        <v>0</v>
      </c>
      <c r="BS4702">
        <v>0</v>
      </c>
      <c r="BT4702">
        <v>0</v>
      </c>
      <c r="BU4702">
        <v>0</v>
      </c>
      <c r="CE4702" t="str">
        <f t="shared" si="1863"/>
        <v>15:17:35.793</v>
      </c>
      <c r="CF4702">
        <v>792759480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4</v>
      </c>
      <c r="CY4702">
        <v>7</v>
      </c>
      <c r="CZ4702" t="s">
        <v>133</v>
      </c>
      <c r="DA4702">
        <v>275</v>
      </c>
      <c r="DB4702">
        <v>0</v>
      </c>
      <c r="DC4702" t="s">
        <v>134</v>
      </c>
      <c r="DD4702" t="s">
        <v>135</v>
      </c>
      <c r="DG4702">
        <v>3323354</v>
      </c>
      <c r="DI4702">
        <v>1</v>
      </c>
      <c r="DJ4702">
        <v>0</v>
      </c>
      <c r="DK4702">
        <v>1</v>
      </c>
      <c r="DL4702">
        <v>0</v>
      </c>
      <c r="DM4702">
        <v>0</v>
      </c>
      <c r="DN4702">
        <v>0</v>
      </c>
      <c r="DO4702">
        <v>0</v>
      </c>
      <c r="DP4702">
        <v>0</v>
      </c>
      <c r="DQ4702">
        <v>0</v>
      </c>
      <c r="DR4702">
        <v>0</v>
      </c>
      <c r="DS4702">
        <v>0</v>
      </c>
    </row>
    <row r="4703" spans="1:123" x14ac:dyDescent="0.3">
      <c r="A4703" t="str">
        <f>"05/01/2025 15:17:36.020"</f>
        <v>05/01/2025 15:17:36.020</v>
      </c>
      <c r="C4703" t="str">
        <f t="shared" si="1850"/>
        <v>FFDFD3C0</v>
      </c>
      <c r="D4703" t="s">
        <v>136</v>
      </c>
      <c r="E4703" t="str">
        <f>"20"</f>
        <v>20</v>
      </c>
      <c r="H4703">
        <v>400</v>
      </c>
      <c r="I4703" t="s">
        <v>137</v>
      </c>
      <c r="J4703" t="s">
        <v>138</v>
      </c>
      <c r="K4703">
        <v>0</v>
      </c>
      <c r="L4703">
        <v>3</v>
      </c>
      <c r="M4703">
        <v>0</v>
      </c>
      <c r="N4703">
        <v>2</v>
      </c>
      <c r="O4703">
        <v>0</v>
      </c>
      <c r="P4703">
        <v>1</v>
      </c>
      <c r="Q4703">
        <v>0</v>
      </c>
      <c r="R4703" t="s">
        <v>127</v>
      </c>
      <c r="S4703" t="str">
        <f t="shared" si="1862"/>
        <v>15:17:35.000</v>
      </c>
      <c r="T4703" t="str">
        <f t="shared" si="1862"/>
        <v>15:17:35.000</v>
      </c>
      <c r="U4703" t="str">
        <f t="shared" si="1851"/>
        <v>A68FCB</v>
      </c>
      <c r="V4703">
        <v>0</v>
      </c>
      <c r="W4703">
        <v>0</v>
      </c>
      <c r="X4703">
        <v>2</v>
      </c>
      <c r="Y4703">
        <v>0</v>
      </c>
      <c r="AA4703">
        <v>1</v>
      </c>
      <c r="AB4703">
        <v>8</v>
      </c>
      <c r="AC4703">
        <v>3</v>
      </c>
      <c r="AD4703">
        <v>0</v>
      </c>
      <c r="AE4703">
        <v>9</v>
      </c>
      <c r="AF4703" t="s">
        <v>138</v>
      </c>
      <c r="AG4703">
        <v>0</v>
      </c>
      <c r="AH4703">
        <v>3</v>
      </c>
      <c r="AI4703">
        <v>2</v>
      </c>
      <c r="AJ4703">
        <v>0</v>
      </c>
      <c r="AK4703" t="s">
        <v>1500</v>
      </c>
      <c r="AL4703">
        <v>39.219088999999997</v>
      </c>
      <c r="AM4703" t="s">
        <v>1501</v>
      </c>
      <c r="AN4703">
        <v>-121.00099299999999</v>
      </c>
      <c r="AO4703">
        <v>25</v>
      </c>
      <c r="AP4703">
        <v>4100</v>
      </c>
      <c r="AQ4703" t="s">
        <v>131</v>
      </c>
      <c r="AR4703">
        <v>22</v>
      </c>
      <c r="AS4703">
        <v>83</v>
      </c>
      <c r="AT4703">
        <v>-256</v>
      </c>
      <c r="BB4703" t="str">
        <f t="shared" si="1852"/>
        <v>1200</v>
      </c>
      <c r="BC4703">
        <v>1</v>
      </c>
      <c r="BD4703" t="str">
        <f t="shared" si="1853"/>
        <v xml:space="preserve">N52156  </v>
      </c>
      <c r="BE4703">
        <v>1</v>
      </c>
      <c r="BG4703">
        <v>0</v>
      </c>
      <c r="BH4703">
        <v>0</v>
      </c>
      <c r="BI4703">
        <v>0</v>
      </c>
      <c r="BJ4703">
        <v>4175</v>
      </c>
      <c r="BK4703">
        <v>75</v>
      </c>
      <c r="BL4703" t="s">
        <v>188</v>
      </c>
      <c r="BM4703">
        <v>1</v>
      </c>
      <c r="BN4703">
        <v>1</v>
      </c>
      <c r="BO4703">
        <v>0</v>
      </c>
      <c r="BP4703">
        <v>0</v>
      </c>
      <c r="BS4703">
        <v>0</v>
      </c>
      <c r="BT4703">
        <v>0</v>
      </c>
      <c r="BU4703">
        <v>0</v>
      </c>
      <c r="CE4703" t="str">
        <f t="shared" si="1863"/>
        <v>15:17:35.793</v>
      </c>
      <c r="CF4703">
        <v>792759480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4</v>
      </c>
      <c r="CY4703">
        <v>7</v>
      </c>
      <c r="CZ4703" t="s">
        <v>133</v>
      </c>
      <c r="DA4703">
        <v>275</v>
      </c>
      <c r="DB4703">
        <v>0</v>
      </c>
      <c r="DC4703" t="s">
        <v>134</v>
      </c>
      <c r="DD4703" t="s">
        <v>135</v>
      </c>
      <c r="DG4703">
        <v>3323354</v>
      </c>
      <c r="DI4703">
        <v>1</v>
      </c>
      <c r="DJ4703">
        <v>0</v>
      </c>
      <c r="DK4703">
        <v>1</v>
      </c>
      <c r="DL4703">
        <v>0</v>
      </c>
      <c r="DM4703">
        <v>0</v>
      </c>
      <c r="DN4703">
        <v>0</v>
      </c>
      <c r="DO4703">
        <v>0</v>
      </c>
      <c r="DP4703">
        <v>0</v>
      </c>
      <c r="DQ4703">
        <v>0</v>
      </c>
      <c r="DR4703">
        <v>0</v>
      </c>
      <c r="DS4703">
        <v>0</v>
      </c>
    </row>
    <row r="4704" spans="1:123" x14ac:dyDescent="0.3">
      <c r="A4704" t="str">
        <f>"05/01/2025 15:17:36.035"</f>
        <v>05/01/2025 15:17:36.035</v>
      </c>
      <c r="C4704" t="str">
        <f t="shared" si="1850"/>
        <v>FFDFD3C0</v>
      </c>
      <c r="D4704" t="s">
        <v>140</v>
      </c>
      <c r="E4704" t="str">
        <f>"13"</f>
        <v>13</v>
      </c>
      <c r="F4704">
        <v>1019</v>
      </c>
      <c r="G4704" t="s">
        <v>141</v>
      </c>
      <c r="J4704" t="s">
        <v>142</v>
      </c>
      <c r="K4704">
        <v>0</v>
      </c>
      <c r="L4704">
        <v>3</v>
      </c>
      <c r="M4704">
        <v>0</v>
      </c>
      <c r="N4704">
        <v>2</v>
      </c>
      <c r="O4704">
        <v>0</v>
      </c>
      <c r="P4704">
        <v>1</v>
      </c>
      <c r="Q4704">
        <v>0</v>
      </c>
      <c r="R4704" t="s">
        <v>127</v>
      </c>
      <c r="S4704" t="str">
        <f t="shared" si="1862"/>
        <v>15:17:35.000</v>
      </c>
      <c r="T4704" t="str">
        <f t="shared" si="1862"/>
        <v>15:17:35.000</v>
      </c>
      <c r="U4704" t="str">
        <f t="shared" si="1851"/>
        <v>A68FCB</v>
      </c>
      <c r="V4704">
        <v>0</v>
      </c>
      <c r="W4704">
        <v>0</v>
      </c>
      <c r="X4704">
        <v>2</v>
      </c>
      <c r="Y4704">
        <v>0</v>
      </c>
      <c r="AA4704">
        <v>1</v>
      </c>
      <c r="AB4704">
        <v>8</v>
      </c>
      <c r="AC4704">
        <v>3</v>
      </c>
      <c r="AD4704">
        <v>0</v>
      </c>
      <c r="AE4704">
        <v>9</v>
      </c>
      <c r="AF4704" t="s">
        <v>138</v>
      </c>
      <c r="AG4704">
        <v>0</v>
      </c>
      <c r="AH4704">
        <v>3</v>
      </c>
      <c r="AI4704">
        <v>2</v>
      </c>
      <c r="AJ4704">
        <v>0</v>
      </c>
      <c r="AK4704" t="s">
        <v>1500</v>
      </c>
      <c r="AL4704">
        <v>39.219088999999997</v>
      </c>
      <c r="AM4704" t="s">
        <v>1501</v>
      </c>
      <c r="AN4704">
        <v>-121.00099299999999</v>
      </c>
      <c r="AO4704">
        <v>25</v>
      </c>
      <c r="AP4704">
        <v>4100</v>
      </c>
      <c r="AQ4704" t="s">
        <v>131</v>
      </c>
      <c r="AR4704">
        <v>22</v>
      </c>
      <c r="AS4704">
        <v>83</v>
      </c>
      <c r="AT4704">
        <v>-256</v>
      </c>
      <c r="BB4704" t="str">
        <f t="shared" si="1852"/>
        <v>1200</v>
      </c>
      <c r="BC4704">
        <v>1</v>
      </c>
      <c r="BD4704" t="str">
        <f t="shared" si="1853"/>
        <v xml:space="preserve">N52156  </v>
      </c>
      <c r="BE4704">
        <v>1</v>
      </c>
      <c r="BG4704">
        <v>0</v>
      </c>
      <c r="BH4704">
        <v>0</v>
      </c>
      <c r="BI4704">
        <v>0</v>
      </c>
      <c r="BJ4704">
        <v>4175</v>
      </c>
      <c r="BK4704">
        <v>75</v>
      </c>
      <c r="BL4704" t="s">
        <v>188</v>
      </c>
      <c r="BM4704">
        <v>1</v>
      </c>
      <c r="BN4704">
        <v>1</v>
      </c>
      <c r="BO4704">
        <v>0</v>
      </c>
      <c r="BP4704">
        <v>0</v>
      </c>
      <c r="BS4704">
        <v>0</v>
      </c>
      <c r="BT4704">
        <v>0</v>
      </c>
      <c r="BU4704">
        <v>0</v>
      </c>
      <c r="CE4704" t="str">
        <f t="shared" si="1863"/>
        <v>15:17:35.793</v>
      </c>
      <c r="CF4704">
        <v>792759480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4</v>
      </c>
      <c r="CY4704">
        <v>7</v>
      </c>
      <c r="CZ4704" t="s">
        <v>133</v>
      </c>
      <c r="DA4704">
        <v>275</v>
      </c>
      <c r="DB4704">
        <v>0</v>
      </c>
      <c r="DC4704" t="s">
        <v>134</v>
      </c>
      <c r="DD4704" t="s">
        <v>135</v>
      </c>
      <c r="DG4704">
        <v>3323354</v>
      </c>
      <c r="DI4704">
        <v>1</v>
      </c>
      <c r="DJ4704">
        <v>0</v>
      </c>
      <c r="DK4704">
        <v>1</v>
      </c>
      <c r="DL4704">
        <v>0</v>
      </c>
      <c r="DM4704">
        <v>0</v>
      </c>
      <c r="DN4704">
        <v>0</v>
      </c>
      <c r="DO4704">
        <v>0</v>
      </c>
      <c r="DP4704">
        <v>0</v>
      </c>
      <c r="DQ4704">
        <v>0</v>
      </c>
      <c r="DR4704">
        <v>0</v>
      </c>
      <c r="DS4704">
        <v>0</v>
      </c>
    </row>
    <row r="4705" spans="1:123" x14ac:dyDescent="0.3">
      <c r="A4705" t="str">
        <f>"05/01/2025 15:17:36.037"</f>
        <v>05/01/2025 15:17:36.037</v>
      </c>
      <c r="C4705" t="str">
        <f t="shared" si="1850"/>
        <v>FFDFD3C0</v>
      </c>
      <c r="D4705" t="s">
        <v>124</v>
      </c>
      <c r="E4705" t="str">
        <f>"06"</f>
        <v>06</v>
      </c>
      <c r="F4705">
        <v>2006</v>
      </c>
      <c r="G4705" t="s">
        <v>125</v>
      </c>
      <c r="J4705" t="s">
        <v>126</v>
      </c>
      <c r="K4705">
        <v>0</v>
      </c>
      <c r="L4705">
        <v>3</v>
      </c>
      <c r="M4705">
        <v>0</v>
      </c>
      <c r="N4705">
        <v>2</v>
      </c>
      <c r="O4705">
        <v>0</v>
      </c>
      <c r="P4705">
        <v>1</v>
      </c>
      <c r="Q4705">
        <v>0</v>
      </c>
      <c r="R4705" t="s">
        <v>127</v>
      </c>
      <c r="S4705" t="str">
        <f t="shared" si="1862"/>
        <v>15:17:35.000</v>
      </c>
      <c r="T4705" t="str">
        <f t="shared" si="1862"/>
        <v>15:17:35.000</v>
      </c>
      <c r="U4705" t="str">
        <f t="shared" si="1851"/>
        <v>A68FCB</v>
      </c>
      <c r="V4705">
        <v>0</v>
      </c>
      <c r="W4705">
        <v>0</v>
      </c>
      <c r="X4705">
        <v>2</v>
      </c>
      <c r="Y4705">
        <v>0</v>
      </c>
      <c r="AA4705">
        <v>1</v>
      </c>
      <c r="AB4705">
        <v>8</v>
      </c>
      <c r="AC4705">
        <v>3</v>
      </c>
      <c r="AD4705">
        <v>0</v>
      </c>
      <c r="AE4705">
        <v>9</v>
      </c>
      <c r="AF4705" t="s">
        <v>138</v>
      </c>
      <c r="AG4705">
        <v>0</v>
      </c>
      <c r="AH4705">
        <v>3</v>
      </c>
      <c r="AI4705">
        <v>2</v>
      </c>
      <c r="AJ4705">
        <v>0</v>
      </c>
      <c r="AK4705" t="s">
        <v>1500</v>
      </c>
      <c r="AL4705">
        <v>39.219088999999997</v>
      </c>
      <c r="AM4705" t="s">
        <v>1501</v>
      </c>
      <c r="AN4705">
        <v>-121.00099299999999</v>
      </c>
      <c r="AO4705">
        <v>25</v>
      </c>
      <c r="AP4705">
        <v>4100</v>
      </c>
      <c r="AQ4705" t="s">
        <v>131</v>
      </c>
      <c r="AR4705">
        <v>22</v>
      </c>
      <c r="AS4705">
        <v>83</v>
      </c>
      <c r="AT4705">
        <v>-256</v>
      </c>
      <c r="BB4705" t="str">
        <f t="shared" si="1852"/>
        <v>1200</v>
      </c>
      <c r="BC4705">
        <v>1</v>
      </c>
      <c r="BD4705" t="str">
        <f t="shared" si="1853"/>
        <v xml:space="preserve">N52156  </v>
      </c>
      <c r="BE4705">
        <v>1</v>
      </c>
      <c r="BG4705">
        <v>0</v>
      </c>
      <c r="BH4705">
        <v>0</v>
      </c>
      <c r="BI4705">
        <v>0</v>
      </c>
      <c r="BJ4705">
        <v>4175</v>
      </c>
      <c r="BK4705">
        <v>75</v>
      </c>
      <c r="BL4705" t="s">
        <v>188</v>
      </c>
      <c r="BM4705">
        <v>1</v>
      </c>
      <c r="BN4705">
        <v>1</v>
      </c>
      <c r="BO4705">
        <v>0</v>
      </c>
      <c r="BP4705">
        <v>0</v>
      </c>
      <c r="BS4705">
        <v>0</v>
      </c>
      <c r="BT4705">
        <v>0</v>
      </c>
      <c r="BU4705">
        <v>0</v>
      </c>
      <c r="CE4705" t="str">
        <f t="shared" si="1863"/>
        <v>15:17:35.793</v>
      </c>
      <c r="CF4705">
        <v>792759480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4</v>
      </c>
      <c r="CY4705">
        <v>7</v>
      </c>
      <c r="CZ4705" t="s">
        <v>133</v>
      </c>
      <c r="DA4705">
        <v>275</v>
      </c>
      <c r="DB4705">
        <v>0</v>
      </c>
      <c r="DC4705" t="s">
        <v>134</v>
      </c>
      <c r="DD4705" t="s">
        <v>135</v>
      </c>
      <c r="DG4705">
        <v>3323354</v>
      </c>
      <c r="DI4705">
        <v>1</v>
      </c>
      <c r="DJ4705">
        <v>0</v>
      </c>
      <c r="DK4705">
        <v>1</v>
      </c>
      <c r="DL4705">
        <v>0</v>
      </c>
      <c r="DM4705">
        <v>0</v>
      </c>
      <c r="DN4705">
        <v>0</v>
      </c>
      <c r="DO4705">
        <v>0</v>
      </c>
      <c r="DP4705">
        <v>0</v>
      </c>
      <c r="DQ4705">
        <v>0</v>
      </c>
      <c r="DR4705">
        <v>0</v>
      </c>
      <c r="DS4705">
        <v>0</v>
      </c>
    </row>
    <row r="4706" spans="1:123" x14ac:dyDescent="0.3">
      <c r="A4706" t="str">
        <f>"05/01/2025 15:17:36.844"</f>
        <v>05/01/2025 15:17:36.844</v>
      </c>
      <c r="C4706" t="str">
        <f t="shared" si="1850"/>
        <v>FFDFD3C0</v>
      </c>
      <c r="D4706" t="s">
        <v>143</v>
      </c>
      <c r="E4706" t="str">
        <f>"05"</f>
        <v>05</v>
      </c>
      <c r="H4706">
        <v>172</v>
      </c>
      <c r="I4706" t="s">
        <v>141</v>
      </c>
      <c r="J4706" t="s">
        <v>144</v>
      </c>
      <c r="K4706">
        <v>0</v>
      </c>
      <c r="L4706">
        <v>3</v>
      </c>
      <c r="M4706">
        <v>0</v>
      </c>
      <c r="N4706">
        <v>2</v>
      </c>
      <c r="O4706">
        <v>0</v>
      </c>
      <c r="P4706">
        <v>1</v>
      </c>
      <c r="Q4706">
        <v>0</v>
      </c>
      <c r="R4706" t="s">
        <v>127</v>
      </c>
      <c r="S4706" t="str">
        <f t="shared" ref="S4706:T4711" si="1864">"15:17:36.000"</f>
        <v>15:17:36.000</v>
      </c>
      <c r="T4706" t="str">
        <f t="shared" si="1864"/>
        <v>15:17:36.000</v>
      </c>
      <c r="U4706" t="str">
        <f t="shared" si="1851"/>
        <v>A68FCB</v>
      </c>
      <c r="V4706">
        <v>0</v>
      </c>
      <c r="W4706">
        <v>0</v>
      </c>
      <c r="X4706">
        <v>2</v>
      </c>
      <c r="Y4706">
        <v>0</v>
      </c>
      <c r="AA4706">
        <v>1</v>
      </c>
      <c r="AB4706">
        <v>8</v>
      </c>
      <c r="AC4706">
        <v>3</v>
      </c>
      <c r="AD4706">
        <v>0</v>
      </c>
      <c r="AE4706">
        <v>9</v>
      </c>
      <c r="AF4706" t="s">
        <v>138</v>
      </c>
      <c r="AG4706">
        <v>0</v>
      </c>
      <c r="AH4706">
        <v>3</v>
      </c>
      <c r="AI4706">
        <v>2</v>
      </c>
      <c r="AJ4706">
        <v>0</v>
      </c>
      <c r="AK4706" t="s">
        <v>1502</v>
      </c>
      <c r="AL4706">
        <v>39.219453000000001</v>
      </c>
      <c r="AM4706" t="s">
        <v>1503</v>
      </c>
      <c r="AN4706">
        <v>-121.000843</v>
      </c>
      <c r="AO4706">
        <v>25</v>
      </c>
      <c r="AP4706">
        <v>4100</v>
      </c>
      <c r="AQ4706" t="s">
        <v>131</v>
      </c>
      <c r="AR4706">
        <v>20</v>
      </c>
      <c r="AS4706">
        <v>83</v>
      </c>
      <c r="AT4706">
        <v>-256</v>
      </c>
      <c r="BB4706" t="str">
        <f t="shared" si="1852"/>
        <v>1200</v>
      </c>
      <c r="BC4706">
        <v>1</v>
      </c>
      <c r="BD4706" t="str">
        <f t="shared" si="1853"/>
        <v xml:space="preserve">N52156  </v>
      </c>
      <c r="BE4706">
        <v>1</v>
      </c>
      <c r="BG4706">
        <v>0</v>
      </c>
      <c r="BH4706">
        <v>0</v>
      </c>
      <c r="BI4706">
        <v>0</v>
      </c>
      <c r="BJ4706">
        <v>4175</v>
      </c>
      <c r="BK4706">
        <v>75</v>
      </c>
      <c r="BL4706" t="s">
        <v>188</v>
      </c>
      <c r="BM4706">
        <v>1</v>
      </c>
      <c r="BN4706">
        <v>1</v>
      </c>
      <c r="BO4706">
        <v>0</v>
      </c>
      <c r="BP4706">
        <v>0</v>
      </c>
      <c r="BS4706">
        <v>0</v>
      </c>
      <c r="BT4706">
        <v>0</v>
      </c>
      <c r="BU4706">
        <v>0</v>
      </c>
      <c r="CE4706" t="str">
        <f t="shared" ref="CE4706:CE4711" si="1865">"15:17:36.629"</f>
        <v>15:17:36.629</v>
      </c>
      <c r="CF4706">
        <v>628509174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4</v>
      </c>
      <c r="CY4706">
        <v>7</v>
      </c>
      <c r="CZ4706" t="s">
        <v>133</v>
      </c>
      <c r="DA4706">
        <v>275</v>
      </c>
      <c r="DB4706">
        <v>0</v>
      </c>
      <c r="DC4706" t="s">
        <v>134</v>
      </c>
      <c r="DD4706" t="s">
        <v>135</v>
      </c>
      <c r="DG4706">
        <v>3323356</v>
      </c>
      <c r="DI4706">
        <v>1</v>
      </c>
      <c r="DJ4706">
        <v>0</v>
      </c>
      <c r="DK4706">
        <v>0</v>
      </c>
      <c r="DL4706">
        <v>0</v>
      </c>
      <c r="DM4706">
        <v>0</v>
      </c>
      <c r="DN4706">
        <v>0</v>
      </c>
      <c r="DO4706">
        <v>0</v>
      </c>
      <c r="DP4706">
        <v>0</v>
      </c>
      <c r="DQ4706">
        <v>0</v>
      </c>
      <c r="DR4706">
        <v>0</v>
      </c>
      <c r="DS4706">
        <v>0</v>
      </c>
    </row>
    <row r="4707" spans="1:123" x14ac:dyDescent="0.3">
      <c r="A4707" t="str">
        <f>"05/01/2025 15:17:36.858"</f>
        <v>05/01/2025 15:17:36.858</v>
      </c>
      <c r="C4707" t="str">
        <f t="shared" si="1850"/>
        <v>FFDFD3C0</v>
      </c>
      <c r="D4707" t="s">
        <v>145</v>
      </c>
      <c r="E4707" t="str">
        <f>"09"</f>
        <v>09</v>
      </c>
      <c r="H4707">
        <v>51</v>
      </c>
      <c r="I4707" t="s">
        <v>147</v>
      </c>
      <c r="J4707" t="s">
        <v>138</v>
      </c>
      <c r="K4707">
        <v>0</v>
      </c>
      <c r="L4707">
        <v>3</v>
      </c>
      <c r="M4707">
        <v>0</v>
      </c>
      <c r="N4707">
        <v>2</v>
      </c>
      <c r="O4707">
        <v>0</v>
      </c>
      <c r="P4707">
        <v>1</v>
      </c>
      <c r="Q4707">
        <v>0</v>
      </c>
      <c r="R4707" t="s">
        <v>127</v>
      </c>
      <c r="S4707" t="str">
        <f t="shared" si="1864"/>
        <v>15:17:36.000</v>
      </c>
      <c r="T4707" t="str">
        <f t="shared" si="1864"/>
        <v>15:17:36.000</v>
      </c>
      <c r="U4707" t="str">
        <f t="shared" si="1851"/>
        <v>A68FCB</v>
      </c>
      <c r="V4707">
        <v>0</v>
      </c>
      <c r="W4707">
        <v>0</v>
      </c>
      <c r="X4707">
        <v>2</v>
      </c>
      <c r="Y4707">
        <v>0</v>
      </c>
      <c r="AA4707">
        <v>1</v>
      </c>
      <c r="AB4707">
        <v>8</v>
      </c>
      <c r="AC4707">
        <v>3</v>
      </c>
      <c r="AD4707">
        <v>0</v>
      </c>
      <c r="AE4707">
        <v>9</v>
      </c>
      <c r="AF4707" t="s">
        <v>138</v>
      </c>
      <c r="AG4707">
        <v>0</v>
      </c>
      <c r="AH4707">
        <v>3</v>
      </c>
      <c r="AI4707">
        <v>2</v>
      </c>
      <c r="AJ4707">
        <v>0</v>
      </c>
      <c r="AK4707" t="s">
        <v>1502</v>
      </c>
      <c r="AL4707">
        <v>39.219453000000001</v>
      </c>
      <c r="AM4707" t="s">
        <v>1503</v>
      </c>
      <c r="AN4707">
        <v>-121.000843</v>
      </c>
      <c r="AO4707">
        <v>25</v>
      </c>
      <c r="AP4707">
        <v>4100</v>
      </c>
      <c r="AQ4707" t="s">
        <v>131</v>
      </c>
      <c r="AR4707">
        <v>20</v>
      </c>
      <c r="AS4707">
        <v>83</v>
      </c>
      <c r="AT4707">
        <v>-256</v>
      </c>
      <c r="BB4707" t="str">
        <f t="shared" si="1852"/>
        <v>1200</v>
      </c>
      <c r="BC4707">
        <v>1</v>
      </c>
      <c r="BD4707" t="str">
        <f t="shared" si="1853"/>
        <v xml:space="preserve">N52156  </v>
      </c>
      <c r="BE4707">
        <v>1</v>
      </c>
      <c r="BG4707">
        <v>0</v>
      </c>
      <c r="BH4707">
        <v>0</v>
      </c>
      <c r="BI4707">
        <v>0</v>
      </c>
      <c r="BJ4707">
        <v>4175</v>
      </c>
      <c r="BK4707">
        <v>75</v>
      </c>
      <c r="BL4707" t="s">
        <v>188</v>
      </c>
      <c r="BM4707">
        <v>1</v>
      </c>
      <c r="BN4707">
        <v>1</v>
      </c>
      <c r="BO4707">
        <v>0</v>
      </c>
      <c r="BP4707">
        <v>0</v>
      </c>
      <c r="BS4707">
        <v>0</v>
      </c>
      <c r="BT4707">
        <v>0</v>
      </c>
      <c r="BU4707">
        <v>0</v>
      </c>
      <c r="CE4707" t="str">
        <f t="shared" si="1865"/>
        <v>15:17:36.629</v>
      </c>
      <c r="CF4707">
        <v>628509174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4</v>
      </c>
      <c r="CY4707">
        <v>7</v>
      </c>
      <c r="CZ4707" t="s">
        <v>133</v>
      </c>
      <c r="DA4707">
        <v>275</v>
      </c>
      <c r="DB4707">
        <v>0</v>
      </c>
      <c r="DC4707" t="s">
        <v>134</v>
      </c>
      <c r="DD4707" t="s">
        <v>135</v>
      </c>
      <c r="DG4707">
        <v>3323356</v>
      </c>
      <c r="DI4707">
        <v>1</v>
      </c>
      <c r="DJ4707">
        <v>0</v>
      </c>
      <c r="DK4707">
        <v>1</v>
      </c>
      <c r="DL4707">
        <v>0</v>
      </c>
      <c r="DM4707">
        <v>0</v>
      </c>
      <c r="DN4707">
        <v>0</v>
      </c>
      <c r="DO4707">
        <v>0</v>
      </c>
      <c r="DP4707">
        <v>0</v>
      </c>
      <c r="DQ4707">
        <v>0</v>
      </c>
      <c r="DR4707">
        <v>0</v>
      </c>
      <c r="DS4707">
        <v>0</v>
      </c>
    </row>
    <row r="4708" spans="1:123" x14ac:dyDescent="0.3">
      <c r="A4708" t="str">
        <f>"05/01/2025 15:17:36.862"</f>
        <v>05/01/2025 15:17:36.862</v>
      </c>
      <c r="C4708" t="str">
        <f t="shared" si="1850"/>
        <v>FFDFD3C0</v>
      </c>
      <c r="D4708" t="s">
        <v>145</v>
      </c>
      <c r="E4708" t="str">
        <f>"05"</f>
        <v>05</v>
      </c>
      <c r="H4708">
        <v>47</v>
      </c>
      <c r="I4708" t="s">
        <v>146</v>
      </c>
      <c r="J4708" t="s">
        <v>138</v>
      </c>
      <c r="K4708">
        <v>0</v>
      </c>
      <c r="L4708">
        <v>3</v>
      </c>
      <c r="M4708">
        <v>0</v>
      </c>
      <c r="N4708">
        <v>2</v>
      </c>
      <c r="O4708">
        <v>0</v>
      </c>
      <c r="P4708">
        <v>1</v>
      </c>
      <c r="Q4708">
        <v>0</v>
      </c>
      <c r="R4708" t="s">
        <v>127</v>
      </c>
      <c r="S4708" t="str">
        <f t="shared" si="1864"/>
        <v>15:17:36.000</v>
      </c>
      <c r="T4708" t="str">
        <f t="shared" si="1864"/>
        <v>15:17:36.000</v>
      </c>
      <c r="U4708" t="str">
        <f t="shared" si="1851"/>
        <v>A68FCB</v>
      </c>
      <c r="V4708">
        <v>0</v>
      </c>
      <c r="W4708">
        <v>0</v>
      </c>
      <c r="X4708">
        <v>2</v>
      </c>
      <c r="Y4708">
        <v>0</v>
      </c>
      <c r="AA4708">
        <v>1</v>
      </c>
      <c r="AB4708">
        <v>8</v>
      </c>
      <c r="AC4708">
        <v>3</v>
      </c>
      <c r="AD4708">
        <v>0</v>
      </c>
      <c r="AE4708">
        <v>9</v>
      </c>
      <c r="AF4708" t="s">
        <v>138</v>
      </c>
      <c r="AG4708">
        <v>0</v>
      </c>
      <c r="AH4708">
        <v>3</v>
      </c>
      <c r="AI4708">
        <v>2</v>
      </c>
      <c r="AJ4708">
        <v>0</v>
      </c>
      <c r="AK4708" t="s">
        <v>1502</v>
      </c>
      <c r="AL4708">
        <v>39.219453000000001</v>
      </c>
      <c r="AM4708" t="s">
        <v>1503</v>
      </c>
      <c r="AN4708">
        <v>-121.000843</v>
      </c>
      <c r="AO4708">
        <v>25</v>
      </c>
      <c r="AP4708">
        <v>4100</v>
      </c>
      <c r="AQ4708" t="s">
        <v>131</v>
      </c>
      <c r="AR4708">
        <v>20</v>
      </c>
      <c r="AS4708">
        <v>83</v>
      </c>
      <c r="AT4708">
        <v>-256</v>
      </c>
      <c r="BB4708" t="str">
        <f t="shared" si="1852"/>
        <v>1200</v>
      </c>
      <c r="BC4708">
        <v>1</v>
      </c>
      <c r="BD4708" t="str">
        <f t="shared" si="1853"/>
        <v xml:space="preserve">N52156  </v>
      </c>
      <c r="BE4708">
        <v>1</v>
      </c>
      <c r="BG4708">
        <v>0</v>
      </c>
      <c r="BH4708">
        <v>0</v>
      </c>
      <c r="BI4708">
        <v>0</v>
      </c>
      <c r="BJ4708">
        <v>4175</v>
      </c>
      <c r="BK4708">
        <v>75</v>
      </c>
      <c r="BL4708" t="s">
        <v>188</v>
      </c>
      <c r="BM4708">
        <v>1</v>
      </c>
      <c r="BN4708">
        <v>1</v>
      </c>
      <c r="BO4708">
        <v>0</v>
      </c>
      <c r="BP4708">
        <v>0</v>
      </c>
      <c r="BS4708">
        <v>0</v>
      </c>
      <c r="BT4708">
        <v>0</v>
      </c>
      <c r="BU4708">
        <v>0</v>
      </c>
      <c r="CE4708" t="str">
        <f t="shared" si="1865"/>
        <v>15:17:36.629</v>
      </c>
      <c r="CF4708">
        <v>628509174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4</v>
      </c>
      <c r="CY4708">
        <v>7</v>
      </c>
      <c r="CZ4708" t="s">
        <v>133</v>
      </c>
      <c r="DA4708">
        <v>275</v>
      </c>
      <c r="DB4708">
        <v>0</v>
      </c>
      <c r="DC4708" t="s">
        <v>134</v>
      </c>
      <c r="DD4708" t="s">
        <v>135</v>
      </c>
      <c r="DG4708">
        <v>3323356</v>
      </c>
      <c r="DI4708">
        <v>1</v>
      </c>
      <c r="DJ4708">
        <v>0</v>
      </c>
      <c r="DK4708">
        <v>1</v>
      </c>
      <c r="DL4708">
        <v>0</v>
      </c>
      <c r="DM4708">
        <v>0</v>
      </c>
      <c r="DN4708">
        <v>0</v>
      </c>
      <c r="DO4708">
        <v>0</v>
      </c>
      <c r="DP4708">
        <v>0</v>
      </c>
      <c r="DQ4708">
        <v>0</v>
      </c>
      <c r="DR4708">
        <v>0</v>
      </c>
      <c r="DS4708">
        <v>0</v>
      </c>
    </row>
    <row r="4709" spans="1:123" x14ac:dyDescent="0.3">
      <c r="A4709" t="str">
        <f>"05/01/2025 15:17:36.871"</f>
        <v>05/01/2025 15:17:36.871</v>
      </c>
      <c r="C4709" t="str">
        <f t="shared" si="1850"/>
        <v>FFDFD3C0</v>
      </c>
      <c r="D4709" t="s">
        <v>136</v>
      </c>
      <c r="E4709" t="str">
        <f>"20"</f>
        <v>20</v>
      </c>
      <c r="H4709">
        <v>400</v>
      </c>
      <c r="I4709" t="s">
        <v>137</v>
      </c>
      <c r="J4709" t="s">
        <v>138</v>
      </c>
      <c r="K4709">
        <v>0</v>
      </c>
      <c r="L4709">
        <v>3</v>
      </c>
      <c r="M4709">
        <v>0</v>
      </c>
      <c r="N4709">
        <v>2</v>
      </c>
      <c r="O4709">
        <v>0</v>
      </c>
      <c r="P4709">
        <v>1</v>
      </c>
      <c r="Q4709">
        <v>0</v>
      </c>
      <c r="R4709" t="s">
        <v>127</v>
      </c>
      <c r="S4709" t="str">
        <f t="shared" si="1864"/>
        <v>15:17:36.000</v>
      </c>
      <c r="T4709" t="str">
        <f t="shared" si="1864"/>
        <v>15:17:36.000</v>
      </c>
      <c r="U4709" t="str">
        <f t="shared" si="1851"/>
        <v>A68FCB</v>
      </c>
      <c r="V4709">
        <v>0</v>
      </c>
      <c r="W4709">
        <v>0</v>
      </c>
      <c r="X4709">
        <v>2</v>
      </c>
      <c r="Y4709">
        <v>0</v>
      </c>
      <c r="AA4709">
        <v>1</v>
      </c>
      <c r="AB4709">
        <v>8</v>
      </c>
      <c r="AC4709">
        <v>3</v>
      </c>
      <c r="AD4709">
        <v>0</v>
      </c>
      <c r="AE4709">
        <v>9</v>
      </c>
      <c r="AF4709" t="s">
        <v>138</v>
      </c>
      <c r="AG4709">
        <v>0</v>
      </c>
      <c r="AH4709">
        <v>3</v>
      </c>
      <c r="AI4709">
        <v>2</v>
      </c>
      <c r="AJ4709">
        <v>0</v>
      </c>
      <c r="AK4709" t="s">
        <v>1502</v>
      </c>
      <c r="AL4709">
        <v>39.219453000000001</v>
      </c>
      <c r="AM4709" t="s">
        <v>1503</v>
      </c>
      <c r="AN4709">
        <v>-121.000843</v>
      </c>
      <c r="AO4709">
        <v>25</v>
      </c>
      <c r="AP4709">
        <v>4100</v>
      </c>
      <c r="AQ4709" t="s">
        <v>131</v>
      </c>
      <c r="AR4709">
        <v>20</v>
      </c>
      <c r="AS4709">
        <v>83</v>
      </c>
      <c r="AT4709">
        <v>-256</v>
      </c>
      <c r="BB4709" t="str">
        <f t="shared" si="1852"/>
        <v>1200</v>
      </c>
      <c r="BC4709">
        <v>1</v>
      </c>
      <c r="BD4709" t="str">
        <f t="shared" si="1853"/>
        <v xml:space="preserve">N52156  </v>
      </c>
      <c r="BE4709">
        <v>1</v>
      </c>
      <c r="BG4709">
        <v>0</v>
      </c>
      <c r="BH4709">
        <v>0</v>
      </c>
      <c r="BI4709">
        <v>0</v>
      </c>
      <c r="BJ4709">
        <v>4175</v>
      </c>
      <c r="BK4709">
        <v>75</v>
      </c>
      <c r="BL4709" t="s">
        <v>188</v>
      </c>
      <c r="BM4709">
        <v>1</v>
      </c>
      <c r="BN4709">
        <v>1</v>
      </c>
      <c r="BO4709">
        <v>0</v>
      </c>
      <c r="BP4709">
        <v>0</v>
      </c>
      <c r="BS4709">
        <v>0</v>
      </c>
      <c r="BT4709">
        <v>0</v>
      </c>
      <c r="BU4709">
        <v>0</v>
      </c>
      <c r="CE4709" t="str">
        <f t="shared" si="1865"/>
        <v>15:17:36.629</v>
      </c>
      <c r="CF4709">
        <v>628509174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4</v>
      </c>
      <c r="CY4709">
        <v>7</v>
      </c>
      <c r="CZ4709" t="s">
        <v>133</v>
      </c>
      <c r="DA4709">
        <v>275</v>
      </c>
      <c r="DB4709">
        <v>0</v>
      </c>
      <c r="DC4709" t="s">
        <v>134</v>
      </c>
      <c r="DD4709" t="s">
        <v>135</v>
      </c>
      <c r="DG4709">
        <v>3323356</v>
      </c>
      <c r="DI4709">
        <v>1</v>
      </c>
      <c r="DJ4709">
        <v>0</v>
      </c>
      <c r="DK4709">
        <v>1</v>
      </c>
      <c r="DL4709">
        <v>0</v>
      </c>
      <c r="DM4709">
        <v>0</v>
      </c>
      <c r="DN4709">
        <v>0</v>
      </c>
      <c r="DO4709">
        <v>0</v>
      </c>
      <c r="DP4709">
        <v>0</v>
      </c>
      <c r="DQ4709">
        <v>0</v>
      </c>
      <c r="DR4709">
        <v>0</v>
      </c>
      <c r="DS4709">
        <v>0</v>
      </c>
    </row>
    <row r="4710" spans="1:123" x14ac:dyDescent="0.3">
      <c r="A4710" t="str">
        <f>"05/01/2025 15:17:36.887"</f>
        <v>05/01/2025 15:17:36.887</v>
      </c>
      <c r="C4710" t="str">
        <f t="shared" si="1850"/>
        <v>FFDFD3C0</v>
      </c>
      <c r="D4710" t="s">
        <v>140</v>
      </c>
      <c r="E4710" t="str">
        <f>"13"</f>
        <v>13</v>
      </c>
      <c r="F4710">
        <v>1019</v>
      </c>
      <c r="G4710" t="s">
        <v>141</v>
      </c>
      <c r="J4710" t="s">
        <v>142</v>
      </c>
      <c r="K4710">
        <v>0</v>
      </c>
      <c r="L4710">
        <v>3</v>
      </c>
      <c r="M4710">
        <v>0</v>
      </c>
      <c r="N4710">
        <v>2</v>
      </c>
      <c r="O4710">
        <v>0</v>
      </c>
      <c r="P4710">
        <v>1</v>
      </c>
      <c r="Q4710">
        <v>0</v>
      </c>
      <c r="R4710" t="s">
        <v>127</v>
      </c>
      <c r="S4710" t="str">
        <f t="shared" si="1864"/>
        <v>15:17:36.000</v>
      </c>
      <c r="T4710" t="str">
        <f t="shared" si="1864"/>
        <v>15:17:36.000</v>
      </c>
      <c r="U4710" t="str">
        <f t="shared" si="1851"/>
        <v>A68FCB</v>
      </c>
      <c r="V4710">
        <v>0</v>
      </c>
      <c r="W4710">
        <v>0</v>
      </c>
      <c r="X4710">
        <v>2</v>
      </c>
      <c r="Y4710">
        <v>0</v>
      </c>
      <c r="AA4710">
        <v>1</v>
      </c>
      <c r="AB4710">
        <v>8</v>
      </c>
      <c r="AC4710">
        <v>3</v>
      </c>
      <c r="AD4710">
        <v>0</v>
      </c>
      <c r="AE4710">
        <v>9</v>
      </c>
      <c r="AF4710" t="s">
        <v>138</v>
      </c>
      <c r="AG4710">
        <v>0</v>
      </c>
      <c r="AH4710">
        <v>3</v>
      </c>
      <c r="AI4710">
        <v>2</v>
      </c>
      <c r="AJ4710">
        <v>0</v>
      </c>
      <c r="AK4710" t="s">
        <v>1502</v>
      </c>
      <c r="AL4710">
        <v>39.219453000000001</v>
      </c>
      <c r="AM4710" t="s">
        <v>1503</v>
      </c>
      <c r="AN4710">
        <v>-121.000843</v>
      </c>
      <c r="AO4710">
        <v>25</v>
      </c>
      <c r="AP4710">
        <v>4100</v>
      </c>
      <c r="AQ4710" t="s">
        <v>131</v>
      </c>
      <c r="AR4710">
        <v>20</v>
      </c>
      <c r="AS4710">
        <v>83</v>
      </c>
      <c r="AT4710">
        <v>-256</v>
      </c>
      <c r="BB4710" t="str">
        <f t="shared" si="1852"/>
        <v>1200</v>
      </c>
      <c r="BC4710">
        <v>1</v>
      </c>
      <c r="BD4710" t="str">
        <f t="shared" si="1853"/>
        <v xml:space="preserve">N52156  </v>
      </c>
      <c r="BE4710">
        <v>1</v>
      </c>
      <c r="BG4710">
        <v>0</v>
      </c>
      <c r="BH4710">
        <v>0</v>
      </c>
      <c r="BI4710">
        <v>0</v>
      </c>
      <c r="BJ4710">
        <v>4175</v>
      </c>
      <c r="BK4710">
        <v>75</v>
      </c>
      <c r="BL4710" t="s">
        <v>188</v>
      </c>
      <c r="BM4710">
        <v>1</v>
      </c>
      <c r="BN4710">
        <v>1</v>
      </c>
      <c r="BO4710">
        <v>0</v>
      </c>
      <c r="BP4710">
        <v>0</v>
      </c>
      <c r="BS4710">
        <v>0</v>
      </c>
      <c r="BT4710">
        <v>0</v>
      </c>
      <c r="BU4710">
        <v>0</v>
      </c>
      <c r="CE4710" t="str">
        <f t="shared" si="1865"/>
        <v>15:17:36.629</v>
      </c>
      <c r="CF4710">
        <v>628509174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4</v>
      </c>
      <c r="CY4710">
        <v>7</v>
      </c>
      <c r="CZ4710" t="s">
        <v>133</v>
      </c>
      <c r="DA4710">
        <v>275</v>
      </c>
      <c r="DB4710">
        <v>0</v>
      </c>
      <c r="DC4710" t="s">
        <v>134</v>
      </c>
      <c r="DD4710" t="s">
        <v>135</v>
      </c>
      <c r="DG4710">
        <v>3323356</v>
      </c>
      <c r="DI4710">
        <v>1</v>
      </c>
      <c r="DJ4710">
        <v>0</v>
      </c>
      <c r="DK4710">
        <v>1</v>
      </c>
      <c r="DL4710">
        <v>0</v>
      </c>
      <c r="DM4710">
        <v>0</v>
      </c>
      <c r="DN4710">
        <v>0</v>
      </c>
      <c r="DO4710">
        <v>0</v>
      </c>
      <c r="DP4710">
        <v>0</v>
      </c>
      <c r="DQ4710">
        <v>0</v>
      </c>
      <c r="DR4710">
        <v>0</v>
      </c>
      <c r="DS4710">
        <v>0</v>
      </c>
    </row>
    <row r="4711" spans="1:123" x14ac:dyDescent="0.3">
      <c r="A4711" t="str">
        <f>"05/01/2025 15:17:36.889"</f>
        <v>05/01/2025 15:17:36.889</v>
      </c>
      <c r="C4711" t="str">
        <f t="shared" si="1850"/>
        <v>FFDFD3C0</v>
      </c>
      <c r="D4711" t="s">
        <v>124</v>
      </c>
      <c r="E4711" t="str">
        <f>"06"</f>
        <v>06</v>
      </c>
      <c r="F4711">
        <v>2006</v>
      </c>
      <c r="G4711" t="s">
        <v>125</v>
      </c>
      <c r="J4711" t="s">
        <v>126</v>
      </c>
      <c r="K4711">
        <v>0</v>
      </c>
      <c r="L4711">
        <v>3</v>
      </c>
      <c r="M4711">
        <v>0</v>
      </c>
      <c r="N4711">
        <v>2</v>
      </c>
      <c r="O4711">
        <v>0</v>
      </c>
      <c r="P4711">
        <v>1</v>
      </c>
      <c r="Q4711">
        <v>0</v>
      </c>
      <c r="R4711" t="s">
        <v>127</v>
      </c>
      <c r="S4711" t="str">
        <f t="shared" si="1864"/>
        <v>15:17:36.000</v>
      </c>
      <c r="T4711" t="str">
        <f t="shared" si="1864"/>
        <v>15:17:36.000</v>
      </c>
      <c r="U4711" t="str">
        <f t="shared" si="1851"/>
        <v>A68FCB</v>
      </c>
      <c r="V4711">
        <v>0</v>
      </c>
      <c r="W4711">
        <v>0</v>
      </c>
      <c r="X4711">
        <v>2</v>
      </c>
      <c r="Y4711">
        <v>0</v>
      </c>
      <c r="AA4711">
        <v>1</v>
      </c>
      <c r="AB4711">
        <v>8</v>
      </c>
      <c r="AC4711">
        <v>3</v>
      </c>
      <c r="AD4711">
        <v>0</v>
      </c>
      <c r="AE4711">
        <v>9</v>
      </c>
      <c r="AF4711" t="s">
        <v>138</v>
      </c>
      <c r="AG4711">
        <v>0</v>
      </c>
      <c r="AH4711">
        <v>3</v>
      </c>
      <c r="AI4711">
        <v>2</v>
      </c>
      <c r="AJ4711">
        <v>0</v>
      </c>
      <c r="AK4711" t="s">
        <v>1502</v>
      </c>
      <c r="AL4711">
        <v>39.219453000000001</v>
      </c>
      <c r="AM4711" t="s">
        <v>1503</v>
      </c>
      <c r="AN4711">
        <v>-121.000843</v>
      </c>
      <c r="AO4711">
        <v>25</v>
      </c>
      <c r="AP4711">
        <v>4100</v>
      </c>
      <c r="AQ4711" t="s">
        <v>131</v>
      </c>
      <c r="AR4711">
        <v>20</v>
      </c>
      <c r="AS4711">
        <v>83</v>
      </c>
      <c r="AT4711">
        <v>-256</v>
      </c>
      <c r="BB4711" t="str">
        <f t="shared" si="1852"/>
        <v>1200</v>
      </c>
      <c r="BC4711">
        <v>1</v>
      </c>
      <c r="BD4711" t="str">
        <f t="shared" si="1853"/>
        <v xml:space="preserve">N52156  </v>
      </c>
      <c r="BE4711">
        <v>1</v>
      </c>
      <c r="BG4711">
        <v>0</v>
      </c>
      <c r="BH4711">
        <v>0</v>
      </c>
      <c r="BI4711">
        <v>0</v>
      </c>
      <c r="BJ4711">
        <v>4175</v>
      </c>
      <c r="BK4711">
        <v>75</v>
      </c>
      <c r="BL4711" t="s">
        <v>188</v>
      </c>
      <c r="BM4711">
        <v>1</v>
      </c>
      <c r="BN4711">
        <v>1</v>
      </c>
      <c r="BO4711">
        <v>0</v>
      </c>
      <c r="BP4711">
        <v>0</v>
      </c>
      <c r="BS4711">
        <v>0</v>
      </c>
      <c r="BT4711">
        <v>0</v>
      </c>
      <c r="BU4711">
        <v>0</v>
      </c>
      <c r="CE4711" t="str">
        <f t="shared" si="1865"/>
        <v>15:17:36.629</v>
      </c>
      <c r="CF4711">
        <v>628509174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4</v>
      </c>
      <c r="CY4711">
        <v>7</v>
      </c>
      <c r="CZ4711" t="s">
        <v>133</v>
      </c>
      <c r="DA4711">
        <v>275</v>
      </c>
      <c r="DB4711">
        <v>0</v>
      </c>
      <c r="DC4711" t="s">
        <v>134</v>
      </c>
      <c r="DD4711" t="s">
        <v>135</v>
      </c>
      <c r="DG4711">
        <v>3323356</v>
      </c>
      <c r="DI4711">
        <v>1</v>
      </c>
      <c r="DJ4711">
        <v>0</v>
      </c>
      <c r="DK4711">
        <v>1</v>
      </c>
      <c r="DL4711">
        <v>0</v>
      </c>
      <c r="DM4711">
        <v>0</v>
      </c>
      <c r="DN4711">
        <v>0</v>
      </c>
      <c r="DO4711">
        <v>0</v>
      </c>
      <c r="DP4711">
        <v>0</v>
      </c>
      <c r="DQ4711">
        <v>0</v>
      </c>
      <c r="DR4711">
        <v>0</v>
      </c>
      <c r="DS4711">
        <v>0</v>
      </c>
    </row>
    <row r="4712" spans="1:123" x14ac:dyDescent="0.3">
      <c r="A4712" t="str">
        <f>"05/01/2025 15:17:37.522"</f>
        <v>05/01/2025 15:17:37.522</v>
      </c>
      <c r="C4712" t="str">
        <f t="shared" si="1850"/>
        <v>FFDFD3C0</v>
      </c>
      <c r="D4712" t="s">
        <v>136</v>
      </c>
      <c r="E4712" t="str">
        <f>"20"</f>
        <v>20</v>
      </c>
      <c r="H4712">
        <v>400</v>
      </c>
      <c r="I4712" t="s">
        <v>137</v>
      </c>
      <c r="J4712" t="s">
        <v>138</v>
      </c>
      <c r="K4712">
        <v>0</v>
      </c>
      <c r="L4712">
        <v>3</v>
      </c>
      <c r="M4712">
        <v>0</v>
      </c>
      <c r="N4712">
        <v>2</v>
      </c>
      <c r="O4712">
        <v>0</v>
      </c>
      <c r="P4712">
        <v>1</v>
      </c>
      <c r="Q4712">
        <v>0</v>
      </c>
      <c r="R4712" t="s">
        <v>127</v>
      </c>
      <c r="S4712" t="str">
        <f t="shared" ref="S4712:T4717" si="1866">"15:17:37.000"</f>
        <v>15:17:37.000</v>
      </c>
      <c r="T4712" t="str">
        <f t="shared" si="1866"/>
        <v>15:17:37.000</v>
      </c>
      <c r="U4712" t="str">
        <f t="shared" si="1851"/>
        <v>A68FCB</v>
      </c>
      <c r="V4712">
        <v>0</v>
      </c>
      <c r="W4712">
        <v>0</v>
      </c>
      <c r="X4712">
        <v>2</v>
      </c>
      <c r="Y4712">
        <v>0</v>
      </c>
      <c r="AA4712">
        <v>1</v>
      </c>
      <c r="AB4712">
        <v>8</v>
      </c>
      <c r="AC4712">
        <v>3</v>
      </c>
      <c r="AD4712">
        <v>0</v>
      </c>
      <c r="AE4712">
        <v>9</v>
      </c>
      <c r="AF4712" t="s">
        <v>138</v>
      </c>
      <c r="AG4712">
        <v>0</v>
      </c>
      <c r="AH4712">
        <v>3</v>
      </c>
      <c r="AI4712">
        <v>2</v>
      </c>
      <c r="AJ4712">
        <v>0</v>
      </c>
      <c r="AK4712" t="s">
        <v>1504</v>
      </c>
      <c r="AL4712">
        <v>39.219839999999998</v>
      </c>
      <c r="AM4712" t="s">
        <v>1505</v>
      </c>
      <c r="AN4712">
        <v>-121.000736</v>
      </c>
      <c r="AO4712">
        <v>25</v>
      </c>
      <c r="AP4712">
        <v>4100</v>
      </c>
      <c r="AQ4712" t="s">
        <v>131</v>
      </c>
      <c r="AR4712">
        <v>17</v>
      </c>
      <c r="AS4712">
        <v>84</v>
      </c>
      <c r="AT4712">
        <v>-256</v>
      </c>
      <c r="BB4712" t="str">
        <f t="shared" si="1852"/>
        <v>1200</v>
      </c>
      <c r="BC4712">
        <v>1</v>
      </c>
      <c r="BD4712" t="str">
        <f t="shared" si="1853"/>
        <v xml:space="preserve">N52156  </v>
      </c>
      <c r="BE4712">
        <v>1</v>
      </c>
      <c r="BG4712">
        <v>0</v>
      </c>
      <c r="BH4712">
        <v>0</v>
      </c>
      <c r="BI4712">
        <v>0</v>
      </c>
      <c r="BJ4712">
        <v>4150</v>
      </c>
      <c r="BK4712">
        <v>50</v>
      </c>
      <c r="BL4712" t="s">
        <v>188</v>
      </c>
      <c r="BM4712">
        <v>1</v>
      </c>
      <c r="BN4712">
        <v>1</v>
      </c>
      <c r="BO4712">
        <v>0</v>
      </c>
      <c r="BP4712">
        <v>0</v>
      </c>
      <c r="BS4712">
        <v>0</v>
      </c>
      <c r="BT4712">
        <v>0</v>
      </c>
      <c r="BU4712">
        <v>0</v>
      </c>
      <c r="CE4712" t="str">
        <f t="shared" ref="CE4712:CE4717" si="1867">"15:17:37.316"</f>
        <v>15:17:37.316</v>
      </c>
      <c r="CF4712">
        <v>315758435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4</v>
      </c>
      <c r="CY4712">
        <v>7</v>
      </c>
      <c r="CZ4712" t="s">
        <v>133</v>
      </c>
      <c r="DA4712">
        <v>275</v>
      </c>
      <c r="DB4712">
        <v>0</v>
      </c>
      <c r="DC4712" t="s">
        <v>134</v>
      </c>
      <c r="DD4712" t="s">
        <v>135</v>
      </c>
      <c r="DG4712">
        <v>3323358</v>
      </c>
      <c r="DI4712">
        <v>1</v>
      </c>
      <c r="DJ4712">
        <v>0</v>
      </c>
      <c r="DK4712">
        <v>0</v>
      </c>
      <c r="DL4712">
        <v>0</v>
      </c>
      <c r="DM4712">
        <v>0</v>
      </c>
      <c r="DN4712">
        <v>0</v>
      </c>
      <c r="DO4712">
        <v>0</v>
      </c>
      <c r="DP4712">
        <v>0</v>
      </c>
      <c r="DQ4712">
        <v>0</v>
      </c>
      <c r="DR4712">
        <v>0</v>
      </c>
      <c r="DS4712">
        <v>0</v>
      </c>
    </row>
    <row r="4713" spans="1:123" x14ac:dyDescent="0.3">
      <c r="A4713" t="str">
        <f>"05/01/2025 15:17:37.538"</f>
        <v>05/01/2025 15:17:37.538</v>
      </c>
      <c r="C4713" t="str">
        <f t="shared" si="1850"/>
        <v>FFDFD3C0</v>
      </c>
      <c r="D4713" t="s">
        <v>140</v>
      </c>
      <c r="E4713" t="str">
        <f>"13"</f>
        <v>13</v>
      </c>
      <c r="F4713">
        <v>1019</v>
      </c>
      <c r="G4713" t="s">
        <v>141</v>
      </c>
      <c r="J4713" t="s">
        <v>142</v>
      </c>
      <c r="K4713">
        <v>0</v>
      </c>
      <c r="L4713">
        <v>3</v>
      </c>
      <c r="M4713">
        <v>0</v>
      </c>
      <c r="N4713">
        <v>2</v>
      </c>
      <c r="O4713">
        <v>0</v>
      </c>
      <c r="P4713">
        <v>1</v>
      </c>
      <c r="Q4713">
        <v>0</v>
      </c>
      <c r="R4713" t="s">
        <v>127</v>
      </c>
      <c r="S4713" t="str">
        <f t="shared" si="1866"/>
        <v>15:17:37.000</v>
      </c>
      <c r="T4713" t="str">
        <f t="shared" si="1866"/>
        <v>15:17:37.000</v>
      </c>
      <c r="U4713" t="str">
        <f t="shared" si="1851"/>
        <v>A68FCB</v>
      </c>
      <c r="V4713">
        <v>0</v>
      </c>
      <c r="W4713">
        <v>0</v>
      </c>
      <c r="X4713">
        <v>2</v>
      </c>
      <c r="Y4713">
        <v>0</v>
      </c>
      <c r="AA4713">
        <v>1</v>
      </c>
      <c r="AB4713">
        <v>8</v>
      </c>
      <c r="AC4713">
        <v>3</v>
      </c>
      <c r="AD4713">
        <v>0</v>
      </c>
      <c r="AE4713">
        <v>9</v>
      </c>
      <c r="AF4713" t="s">
        <v>138</v>
      </c>
      <c r="AG4713">
        <v>0</v>
      </c>
      <c r="AH4713">
        <v>3</v>
      </c>
      <c r="AI4713">
        <v>2</v>
      </c>
      <c r="AJ4713">
        <v>0</v>
      </c>
      <c r="AK4713" t="s">
        <v>1504</v>
      </c>
      <c r="AL4713">
        <v>39.219839999999998</v>
      </c>
      <c r="AM4713" t="s">
        <v>1505</v>
      </c>
      <c r="AN4713">
        <v>-121.000736</v>
      </c>
      <c r="AO4713">
        <v>25</v>
      </c>
      <c r="AP4713">
        <v>4100</v>
      </c>
      <c r="AQ4713" t="s">
        <v>131</v>
      </c>
      <c r="AR4713">
        <v>17</v>
      </c>
      <c r="AS4713">
        <v>84</v>
      </c>
      <c r="AT4713">
        <v>-256</v>
      </c>
      <c r="BB4713" t="str">
        <f t="shared" si="1852"/>
        <v>1200</v>
      </c>
      <c r="BC4713">
        <v>1</v>
      </c>
      <c r="BD4713" t="str">
        <f t="shared" si="1853"/>
        <v xml:space="preserve">N52156  </v>
      </c>
      <c r="BE4713">
        <v>1</v>
      </c>
      <c r="BG4713">
        <v>0</v>
      </c>
      <c r="BH4713">
        <v>0</v>
      </c>
      <c r="BI4713">
        <v>0</v>
      </c>
      <c r="BJ4713">
        <v>4150</v>
      </c>
      <c r="BK4713">
        <v>50</v>
      </c>
      <c r="BL4713" t="s">
        <v>188</v>
      </c>
      <c r="BM4713">
        <v>1</v>
      </c>
      <c r="BN4713">
        <v>1</v>
      </c>
      <c r="BO4713">
        <v>0</v>
      </c>
      <c r="BP4713">
        <v>0</v>
      </c>
      <c r="BS4713">
        <v>0</v>
      </c>
      <c r="BT4713">
        <v>0</v>
      </c>
      <c r="BU4713">
        <v>0</v>
      </c>
      <c r="CE4713" t="str">
        <f t="shared" si="1867"/>
        <v>15:17:37.316</v>
      </c>
      <c r="CF4713">
        <v>315758435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4</v>
      </c>
      <c r="CY4713">
        <v>7</v>
      </c>
      <c r="CZ4713" t="s">
        <v>133</v>
      </c>
      <c r="DA4713">
        <v>275</v>
      </c>
      <c r="DB4713">
        <v>0</v>
      </c>
      <c r="DC4713" t="s">
        <v>134</v>
      </c>
      <c r="DD4713" t="s">
        <v>135</v>
      </c>
      <c r="DG4713">
        <v>3323358</v>
      </c>
      <c r="DI4713">
        <v>1</v>
      </c>
      <c r="DJ4713">
        <v>0</v>
      </c>
      <c r="DK4713">
        <v>1</v>
      </c>
      <c r="DL4713">
        <v>0</v>
      </c>
      <c r="DM4713">
        <v>0</v>
      </c>
      <c r="DN4713">
        <v>0</v>
      </c>
      <c r="DO4713">
        <v>0</v>
      </c>
      <c r="DP4713">
        <v>0</v>
      </c>
      <c r="DQ4713">
        <v>0</v>
      </c>
      <c r="DR4713">
        <v>0</v>
      </c>
      <c r="DS4713">
        <v>0</v>
      </c>
    </row>
    <row r="4714" spans="1:123" x14ac:dyDescent="0.3">
      <c r="A4714" t="str">
        <f>"05/01/2025 15:17:37.540"</f>
        <v>05/01/2025 15:17:37.540</v>
      </c>
      <c r="C4714" t="str">
        <f t="shared" si="1850"/>
        <v>FFDFD3C0</v>
      </c>
      <c r="D4714" t="s">
        <v>124</v>
      </c>
      <c r="E4714" t="str">
        <f>"06"</f>
        <v>06</v>
      </c>
      <c r="F4714">
        <v>2006</v>
      </c>
      <c r="G4714" t="s">
        <v>125</v>
      </c>
      <c r="J4714" t="s">
        <v>126</v>
      </c>
      <c r="K4714">
        <v>0</v>
      </c>
      <c r="L4714">
        <v>3</v>
      </c>
      <c r="M4714">
        <v>0</v>
      </c>
      <c r="N4714">
        <v>2</v>
      </c>
      <c r="O4714">
        <v>0</v>
      </c>
      <c r="P4714">
        <v>1</v>
      </c>
      <c r="Q4714">
        <v>0</v>
      </c>
      <c r="R4714" t="s">
        <v>127</v>
      </c>
      <c r="S4714" t="str">
        <f t="shared" si="1866"/>
        <v>15:17:37.000</v>
      </c>
      <c r="T4714" t="str">
        <f t="shared" si="1866"/>
        <v>15:17:37.000</v>
      </c>
      <c r="U4714" t="str">
        <f t="shared" si="1851"/>
        <v>A68FCB</v>
      </c>
      <c r="V4714">
        <v>0</v>
      </c>
      <c r="W4714">
        <v>0</v>
      </c>
      <c r="X4714">
        <v>2</v>
      </c>
      <c r="Y4714">
        <v>0</v>
      </c>
      <c r="AA4714">
        <v>1</v>
      </c>
      <c r="AB4714">
        <v>8</v>
      </c>
      <c r="AC4714">
        <v>3</v>
      </c>
      <c r="AD4714">
        <v>0</v>
      </c>
      <c r="AE4714">
        <v>9</v>
      </c>
      <c r="AF4714" t="s">
        <v>138</v>
      </c>
      <c r="AG4714">
        <v>0</v>
      </c>
      <c r="AH4714">
        <v>3</v>
      </c>
      <c r="AI4714">
        <v>2</v>
      </c>
      <c r="AJ4714">
        <v>0</v>
      </c>
      <c r="AK4714" t="s">
        <v>1504</v>
      </c>
      <c r="AL4714">
        <v>39.219839999999998</v>
      </c>
      <c r="AM4714" t="s">
        <v>1505</v>
      </c>
      <c r="AN4714">
        <v>-121.000736</v>
      </c>
      <c r="AO4714">
        <v>25</v>
      </c>
      <c r="AP4714">
        <v>4100</v>
      </c>
      <c r="AQ4714" t="s">
        <v>131</v>
      </c>
      <c r="AR4714">
        <v>17</v>
      </c>
      <c r="AS4714">
        <v>84</v>
      </c>
      <c r="AT4714">
        <v>-256</v>
      </c>
      <c r="BB4714" t="str">
        <f t="shared" si="1852"/>
        <v>1200</v>
      </c>
      <c r="BC4714">
        <v>1</v>
      </c>
      <c r="BD4714" t="str">
        <f t="shared" si="1853"/>
        <v xml:space="preserve">N52156  </v>
      </c>
      <c r="BE4714">
        <v>1</v>
      </c>
      <c r="BG4714">
        <v>0</v>
      </c>
      <c r="BH4714">
        <v>0</v>
      </c>
      <c r="BI4714">
        <v>0</v>
      </c>
      <c r="BJ4714">
        <v>4150</v>
      </c>
      <c r="BK4714">
        <v>50</v>
      </c>
      <c r="BL4714" t="s">
        <v>188</v>
      </c>
      <c r="BM4714">
        <v>1</v>
      </c>
      <c r="BN4714">
        <v>1</v>
      </c>
      <c r="BO4714">
        <v>0</v>
      </c>
      <c r="BP4714">
        <v>0</v>
      </c>
      <c r="BS4714">
        <v>0</v>
      </c>
      <c r="BT4714">
        <v>0</v>
      </c>
      <c r="BU4714">
        <v>0</v>
      </c>
      <c r="CE4714" t="str">
        <f t="shared" si="1867"/>
        <v>15:17:37.316</v>
      </c>
      <c r="CF4714">
        <v>315758435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4</v>
      </c>
      <c r="CY4714">
        <v>7</v>
      </c>
      <c r="CZ4714" t="s">
        <v>133</v>
      </c>
      <c r="DA4714">
        <v>275</v>
      </c>
      <c r="DB4714">
        <v>0</v>
      </c>
      <c r="DC4714" t="s">
        <v>134</v>
      </c>
      <c r="DD4714" t="s">
        <v>135</v>
      </c>
      <c r="DG4714">
        <v>3323358</v>
      </c>
      <c r="DI4714">
        <v>1</v>
      </c>
      <c r="DJ4714">
        <v>0</v>
      </c>
      <c r="DK4714">
        <v>1</v>
      </c>
      <c r="DL4714">
        <v>0</v>
      </c>
      <c r="DM4714">
        <v>0</v>
      </c>
      <c r="DN4714">
        <v>0</v>
      </c>
      <c r="DO4714">
        <v>0</v>
      </c>
      <c r="DP4714">
        <v>0</v>
      </c>
      <c r="DQ4714">
        <v>0</v>
      </c>
      <c r="DR4714">
        <v>0</v>
      </c>
      <c r="DS4714">
        <v>0</v>
      </c>
    </row>
    <row r="4715" spans="1:123" x14ac:dyDescent="0.3">
      <c r="A4715" t="str">
        <f>"05/01/2025 15:17:37.545"</f>
        <v>05/01/2025 15:17:37.545</v>
      </c>
      <c r="C4715" t="str">
        <f t="shared" si="1850"/>
        <v>FFDFD3C0</v>
      </c>
      <c r="D4715" t="s">
        <v>143</v>
      </c>
      <c r="E4715" t="str">
        <f>"05"</f>
        <v>05</v>
      </c>
      <c r="H4715">
        <v>172</v>
      </c>
      <c r="I4715" t="s">
        <v>141</v>
      </c>
      <c r="J4715" t="s">
        <v>144</v>
      </c>
      <c r="K4715">
        <v>0</v>
      </c>
      <c r="L4715">
        <v>3</v>
      </c>
      <c r="M4715">
        <v>0</v>
      </c>
      <c r="N4715">
        <v>2</v>
      </c>
      <c r="O4715">
        <v>0</v>
      </c>
      <c r="P4715">
        <v>1</v>
      </c>
      <c r="Q4715">
        <v>0</v>
      </c>
      <c r="R4715" t="s">
        <v>127</v>
      </c>
      <c r="S4715" t="str">
        <f t="shared" si="1866"/>
        <v>15:17:37.000</v>
      </c>
      <c r="T4715" t="str">
        <f t="shared" si="1866"/>
        <v>15:17:37.000</v>
      </c>
      <c r="U4715" t="str">
        <f t="shared" si="1851"/>
        <v>A68FCB</v>
      </c>
      <c r="V4715">
        <v>0</v>
      </c>
      <c r="W4715">
        <v>0</v>
      </c>
      <c r="X4715">
        <v>2</v>
      </c>
      <c r="Y4715">
        <v>0</v>
      </c>
      <c r="AA4715">
        <v>1</v>
      </c>
      <c r="AB4715">
        <v>8</v>
      </c>
      <c r="AC4715">
        <v>3</v>
      </c>
      <c r="AD4715">
        <v>0</v>
      </c>
      <c r="AE4715">
        <v>9</v>
      </c>
      <c r="AF4715" t="s">
        <v>138</v>
      </c>
      <c r="AG4715">
        <v>0</v>
      </c>
      <c r="AH4715">
        <v>3</v>
      </c>
      <c r="AI4715">
        <v>2</v>
      </c>
      <c r="AJ4715">
        <v>0</v>
      </c>
      <c r="AK4715" t="s">
        <v>1504</v>
      </c>
      <c r="AL4715">
        <v>39.219839999999998</v>
      </c>
      <c r="AM4715" t="s">
        <v>1505</v>
      </c>
      <c r="AN4715">
        <v>-121.000736</v>
      </c>
      <c r="AO4715">
        <v>25</v>
      </c>
      <c r="AP4715">
        <v>4100</v>
      </c>
      <c r="AQ4715" t="s">
        <v>131</v>
      </c>
      <c r="AR4715">
        <v>17</v>
      </c>
      <c r="AS4715">
        <v>84</v>
      </c>
      <c r="AT4715">
        <v>-256</v>
      </c>
      <c r="BB4715" t="str">
        <f t="shared" si="1852"/>
        <v>1200</v>
      </c>
      <c r="BC4715">
        <v>1</v>
      </c>
      <c r="BD4715" t="str">
        <f t="shared" si="1853"/>
        <v xml:space="preserve">N52156  </v>
      </c>
      <c r="BE4715">
        <v>1</v>
      </c>
      <c r="BG4715">
        <v>0</v>
      </c>
      <c r="BH4715">
        <v>0</v>
      </c>
      <c r="BI4715">
        <v>0</v>
      </c>
      <c r="BJ4715">
        <v>4150</v>
      </c>
      <c r="BK4715">
        <v>50</v>
      </c>
      <c r="BL4715" t="s">
        <v>188</v>
      </c>
      <c r="BM4715">
        <v>1</v>
      </c>
      <c r="BN4715">
        <v>1</v>
      </c>
      <c r="BO4715">
        <v>0</v>
      </c>
      <c r="BP4715">
        <v>0</v>
      </c>
      <c r="BS4715">
        <v>0</v>
      </c>
      <c r="BT4715">
        <v>0</v>
      </c>
      <c r="BU4715">
        <v>0</v>
      </c>
      <c r="CE4715" t="str">
        <f t="shared" si="1867"/>
        <v>15:17:37.316</v>
      </c>
      <c r="CF4715">
        <v>315758435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4</v>
      </c>
      <c r="CY4715">
        <v>7</v>
      </c>
      <c r="CZ4715" t="s">
        <v>133</v>
      </c>
      <c r="DA4715">
        <v>275</v>
      </c>
      <c r="DB4715">
        <v>0</v>
      </c>
      <c r="DC4715" t="s">
        <v>134</v>
      </c>
      <c r="DD4715" t="s">
        <v>135</v>
      </c>
      <c r="DG4715">
        <v>3323358</v>
      </c>
      <c r="DI4715">
        <v>1</v>
      </c>
      <c r="DJ4715">
        <v>0</v>
      </c>
      <c r="DK4715">
        <v>1</v>
      </c>
      <c r="DL4715">
        <v>0</v>
      </c>
      <c r="DM4715">
        <v>0</v>
      </c>
      <c r="DN4715">
        <v>0</v>
      </c>
      <c r="DO4715">
        <v>0</v>
      </c>
      <c r="DP4715">
        <v>0</v>
      </c>
      <c r="DQ4715">
        <v>0</v>
      </c>
      <c r="DR4715">
        <v>0</v>
      </c>
      <c r="DS4715">
        <v>0</v>
      </c>
    </row>
    <row r="4716" spans="1:123" x14ac:dyDescent="0.3">
      <c r="A4716" t="str">
        <f>"05/01/2025 15:17:37.560"</f>
        <v>05/01/2025 15:17:37.560</v>
      </c>
      <c r="C4716" t="str">
        <f t="shared" si="1850"/>
        <v>FFDFD3C0</v>
      </c>
      <c r="D4716" t="s">
        <v>145</v>
      </c>
      <c r="E4716" t="str">
        <f>"09"</f>
        <v>09</v>
      </c>
      <c r="H4716">
        <v>51</v>
      </c>
      <c r="I4716" t="s">
        <v>147</v>
      </c>
      <c r="J4716" t="s">
        <v>138</v>
      </c>
      <c r="K4716">
        <v>0</v>
      </c>
      <c r="L4716">
        <v>3</v>
      </c>
      <c r="M4716">
        <v>0</v>
      </c>
      <c r="N4716">
        <v>2</v>
      </c>
      <c r="O4716">
        <v>0</v>
      </c>
      <c r="P4716">
        <v>1</v>
      </c>
      <c r="Q4716">
        <v>0</v>
      </c>
      <c r="R4716" t="s">
        <v>127</v>
      </c>
      <c r="S4716" t="str">
        <f t="shared" si="1866"/>
        <v>15:17:37.000</v>
      </c>
      <c r="T4716" t="str">
        <f t="shared" si="1866"/>
        <v>15:17:37.000</v>
      </c>
      <c r="U4716" t="str">
        <f t="shared" si="1851"/>
        <v>A68FCB</v>
      </c>
      <c r="V4716">
        <v>0</v>
      </c>
      <c r="W4716">
        <v>0</v>
      </c>
      <c r="X4716">
        <v>2</v>
      </c>
      <c r="Y4716">
        <v>0</v>
      </c>
      <c r="AA4716">
        <v>1</v>
      </c>
      <c r="AB4716">
        <v>8</v>
      </c>
      <c r="AC4716">
        <v>3</v>
      </c>
      <c r="AD4716">
        <v>0</v>
      </c>
      <c r="AE4716">
        <v>9</v>
      </c>
      <c r="AF4716" t="s">
        <v>138</v>
      </c>
      <c r="AG4716">
        <v>0</v>
      </c>
      <c r="AH4716">
        <v>3</v>
      </c>
      <c r="AI4716">
        <v>2</v>
      </c>
      <c r="AJ4716">
        <v>0</v>
      </c>
      <c r="AK4716" t="s">
        <v>1504</v>
      </c>
      <c r="AL4716">
        <v>39.219839999999998</v>
      </c>
      <c r="AM4716" t="s">
        <v>1505</v>
      </c>
      <c r="AN4716">
        <v>-121.000736</v>
      </c>
      <c r="AO4716">
        <v>25</v>
      </c>
      <c r="AP4716">
        <v>4100</v>
      </c>
      <c r="AQ4716" t="s">
        <v>131</v>
      </c>
      <c r="AR4716">
        <v>17</v>
      </c>
      <c r="AS4716">
        <v>84</v>
      </c>
      <c r="AT4716">
        <v>-256</v>
      </c>
      <c r="BB4716" t="str">
        <f t="shared" si="1852"/>
        <v>1200</v>
      </c>
      <c r="BC4716">
        <v>1</v>
      </c>
      <c r="BD4716" t="str">
        <f t="shared" si="1853"/>
        <v xml:space="preserve">N52156  </v>
      </c>
      <c r="BE4716">
        <v>1</v>
      </c>
      <c r="BG4716">
        <v>0</v>
      </c>
      <c r="BH4716">
        <v>0</v>
      </c>
      <c r="BI4716">
        <v>0</v>
      </c>
      <c r="BJ4716">
        <v>4150</v>
      </c>
      <c r="BK4716">
        <v>50</v>
      </c>
      <c r="BL4716" t="s">
        <v>188</v>
      </c>
      <c r="BM4716">
        <v>1</v>
      </c>
      <c r="BN4716">
        <v>1</v>
      </c>
      <c r="BO4716">
        <v>0</v>
      </c>
      <c r="BP4716">
        <v>0</v>
      </c>
      <c r="BS4716">
        <v>0</v>
      </c>
      <c r="BT4716">
        <v>0</v>
      </c>
      <c r="BU4716">
        <v>0</v>
      </c>
      <c r="CE4716" t="str">
        <f t="shared" si="1867"/>
        <v>15:17:37.316</v>
      </c>
      <c r="CF4716">
        <v>315758435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4</v>
      </c>
      <c r="CY4716">
        <v>7</v>
      </c>
      <c r="CZ4716" t="s">
        <v>133</v>
      </c>
      <c r="DA4716">
        <v>275</v>
      </c>
      <c r="DB4716">
        <v>0</v>
      </c>
      <c r="DC4716" t="s">
        <v>134</v>
      </c>
      <c r="DD4716" t="s">
        <v>135</v>
      </c>
      <c r="DG4716">
        <v>3323358</v>
      </c>
      <c r="DI4716">
        <v>1</v>
      </c>
      <c r="DJ4716">
        <v>0</v>
      </c>
      <c r="DK4716">
        <v>1</v>
      </c>
      <c r="DL4716">
        <v>0</v>
      </c>
      <c r="DM4716">
        <v>0</v>
      </c>
      <c r="DN4716">
        <v>0</v>
      </c>
      <c r="DO4716">
        <v>0</v>
      </c>
      <c r="DP4716">
        <v>0</v>
      </c>
      <c r="DQ4716">
        <v>0</v>
      </c>
      <c r="DR4716">
        <v>0</v>
      </c>
      <c r="DS4716">
        <v>0</v>
      </c>
    </row>
    <row r="4717" spans="1:123" x14ac:dyDescent="0.3">
      <c r="A4717" t="str">
        <f>"05/01/2025 15:17:37.563"</f>
        <v>05/01/2025 15:17:37.563</v>
      </c>
      <c r="C4717" t="str">
        <f t="shared" si="1850"/>
        <v>FFDFD3C0</v>
      </c>
      <c r="D4717" t="s">
        <v>145</v>
      </c>
      <c r="E4717" t="str">
        <f>"05"</f>
        <v>05</v>
      </c>
      <c r="H4717">
        <v>47</v>
      </c>
      <c r="I4717" t="s">
        <v>146</v>
      </c>
      <c r="J4717" t="s">
        <v>138</v>
      </c>
      <c r="K4717">
        <v>0</v>
      </c>
      <c r="L4717">
        <v>3</v>
      </c>
      <c r="M4717">
        <v>0</v>
      </c>
      <c r="N4717">
        <v>2</v>
      </c>
      <c r="O4717">
        <v>0</v>
      </c>
      <c r="P4717">
        <v>1</v>
      </c>
      <c r="Q4717">
        <v>0</v>
      </c>
      <c r="R4717" t="s">
        <v>127</v>
      </c>
      <c r="S4717" t="str">
        <f t="shared" si="1866"/>
        <v>15:17:37.000</v>
      </c>
      <c r="T4717" t="str">
        <f t="shared" si="1866"/>
        <v>15:17:37.000</v>
      </c>
      <c r="U4717" t="str">
        <f t="shared" si="1851"/>
        <v>A68FCB</v>
      </c>
      <c r="V4717">
        <v>0</v>
      </c>
      <c r="W4717">
        <v>0</v>
      </c>
      <c r="X4717">
        <v>2</v>
      </c>
      <c r="Y4717">
        <v>0</v>
      </c>
      <c r="AA4717">
        <v>1</v>
      </c>
      <c r="AB4717">
        <v>8</v>
      </c>
      <c r="AC4717">
        <v>3</v>
      </c>
      <c r="AD4717">
        <v>0</v>
      </c>
      <c r="AE4717">
        <v>9</v>
      </c>
      <c r="AF4717" t="s">
        <v>138</v>
      </c>
      <c r="AG4717">
        <v>0</v>
      </c>
      <c r="AH4717">
        <v>3</v>
      </c>
      <c r="AI4717">
        <v>2</v>
      </c>
      <c r="AJ4717">
        <v>0</v>
      </c>
      <c r="AK4717" t="s">
        <v>1504</v>
      </c>
      <c r="AL4717">
        <v>39.219839999999998</v>
      </c>
      <c r="AM4717" t="s">
        <v>1505</v>
      </c>
      <c r="AN4717">
        <v>-121.000736</v>
      </c>
      <c r="AO4717">
        <v>25</v>
      </c>
      <c r="AP4717">
        <v>4100</v>
      </c>
      <c r="AQ4717" t="s">
        <v>131</v>
      </c>
      <c r="AR4717">
        <v>17</v>
      </c>
      <c r="AS4717">
        <v>84</v>
      </c>
      <c r="AT4717">
        <v>-256</v>
      </c>
      <c r="BB4717" t="str">
        <f t="shared" si="1852"/>
        <v>1200</v>
      </c>
      <c r="BC4717">
        <v>1</v>
      </c>
      <c r="BD4717" t="str">
        <f t="shared" si="1853"/>
        <v xml:space="preserve">N52156  </v>
      </c>
      <c r="BE4717">
        <v>1</v>
      </c>
      <c r="BG4717">
        <v>0</v>
      </c>
      <c r="BH4717">
        <v>0</v>
      </c>
      <c r="BI4717">
        <v>0</v>
      </c>
      <c r="BJ4717">
        <v>4150</v>
      </c>
      <c r="BK4717">
        <v>50</v>
      </c>
      <c r="BL4717" t="s">
        <v>188</v>
      </c>
      <c r="BM4717">
        <v>1</v>
      </c>
      <c r="BN4717">
        <v>1</v>
      </c>
      <c r="BO4717">
        <v>0</v>
      </c>
      <c r="BP4717">
        <v>0</v>
      </c>
      <c r="BS4717">
        <v>0</v>
      </c>
      <c r="BT4717">
        <v>0</v>
      </c>
      <c r="BU4717">
        <v>0</v>
      </c>
      <c r="CE4717" t="str">
        <f t="shared" si="1867"/>
        <v>15:17:37.316</v>
      </c>
      <c r="CF4717">
        <v>315758435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4</v>
      </c>
      <c r="CY4717">
        <v>7</v>
      </c>
      <c r="CZ4717" t="s">
        <v>133</v>
      </c>
      <c r="DA4717">
        <v>275</v>
      </c>
      <c r="DB4717">
        <v>0</v>
      </c>
      <c r="DC4717" t="s">
        <v>134</v>
      </c>
      <c r="DD4717" t="s">
        <v>135</v>
      </c>
      <c r="DG4717">
        <v>3323358</v>
      </c>
      <c r="DI4717">
        <v>1</v>
      </c>
      <c r="DJ4717">
        <v>0</v>
      </c>
      <c r="DK4717">
        <v>1</v>
      </c>
      <c r="DL4717">
        <v>0</v>
      </c>
      <c r="DM4717">
        <v>0</v>
      </c>
      <c r="DN4717">
        <v>0</v>
      </c>
      <c r="DO4717">
        <v>0</v>
      </c>
      <c r="DP4717">
        <v>0</v>
      </c>
      <c r="DQ4717">
        <v>0</v>
      </c>
      <c r="DR4717">
        <v>0</v>
      </c>
      <c r="DS4717">
        <v>0</v>
      </c>
    </row>
    <row r="4718" spans="1:123" x14ac:dyDescent="0.3">
      <c r="A4718" t="str">
        <f>"05/01/2025 15:17:39.175"</f>
        <v>05/01/2025 15:17:39.175</v>
      </c>
      <c r="C4718" t="str">
        <f t="shared" si="1850"/>
        <v>FFDFD3C0</v>
      </c>
      <c r="D4718" t="s">
        <v>136</v>
      </c>
      <c r="E4718" t="str">
        <f>"20"</f>
        <v>20</v>
      </c>
      <c r="H4718">
        <v>400</v>
      </c>
      <c r="I4718" t="s">
        <v>137</v>
      </c>
      <c r="J4718" t="s">
        <v>138</v>
      </c>
      <c r="K4718">
        <v>0</v>
      </c>
      <c r="L4718">
        <v>3</v>
      </c>
      <c r="M4718">
        <v>0</v>
      </c>
      <c r="N4718">
        <v>2</v>
      </c>
      <c r="O4718">
        <v>0</v>
      </c>
      <c r="P4718">
        <v>1</v>
      </c>
      <c r="Q4718">
        <v>0</v>
      </c>
      <c r="R4718" t="s">
        <v>127</v>
      </c>
      <c r="S4718" t="str">
        <f t="shared" ref="S4718:T4723" si="1868">"15:17:38.000"</f>
        <v>15:17:38.000</v>
      </c>
      <c r="T4718" t="str">
        <f t="shared" si="1868"/>
        <v>15:17:38.000</v>
      </c>
      <c r="U4718" t="str">
        <f t="shared" si="1851"/>
        <v>A68FCB</v>
      </c>
      <c r="V4718">
        <v>0</v>
      </c>
      <c r="W4718">
        <v>0</v>
      </c>
      <c r="X4718">
        <v>2</v>
      </c>
      <c r="Y4718">
        <v>0</v>
      </c>
      <c r="AA4718">
        <v>1</v>
      </c>
      <c r="AB4718">
        <v>8</v>
      </c>
      <c r="AC4718">
        <v>3</v>
      </c>
      <c r="AD4718">
        <v>0</v>
      </c>
      <c r="AE4718">
        <v>9</v>
      </c>
      <c r="AF4718" t="s">
        <v>138</v>
      </c>
      <c r="AG4718">
        <v>0</v>
      </c>
      <c r="AH4718">
        <v>3</v>
      </c>
      <c r="AI4718">
        <v>2</v>
      </c>
      <c r="AJ4718">
        <v>0</v>
      </c>
      <c r="AK4718" t="s">
        <v>1506</v>
      </c>
      <c r="AL4718">
        <v>39.220247000000001</v>
      </c>
      <c r="AM4718" t="s">
        <v>1507</v>
      </c>
      <c r="AN4718">
        <v>-121.00062800000001</v>
      </c>
      <c r="AO4718">
        <v>25</v>
      </c>
      <c r="AP4718">
        <v>4100</v>
      </c>
      <c r="AQ4718" t="s">
        <v>131</v>
      </c>
      <c r="AR4718">
        <v>13</v>
      </c>
      <c r="AS4718">
        <v>86</v>
      </c>
      <c r="AT4718">
        <v>-256</v>
      </c>
      <c r="BB4718" t="str">
        <f t="shared" si="1852"/>
        <v>1200</v>
      </c>
      <c r="BC4718">
        <v>1</v>
      </c>
      <c r="BD4718" t="str">
        <f t="shared" si="1853"/>
        <v xml:space="preserve">N52156  </v>
      </c>
      <c r="BE4718">
        <v>1</v>
      </c>
      <c r="BG4718">
        <v>0</v>
      </c>
      <c r="BH4718">
        <v>0</v>
      </c>
      <c r="BI4718">
        <v>0</v>
      </c>
      <c r="BJ4718">
        <v>4150</v>
      </c>
      <c r="BK4718">
        <v>50</v>
      </c>
      <c r="BL4718" t="s">
        <v>188</v>
      </c>
      <c r="BM4718">
        <v>1</v>
      </c>
      <c r="BN4718">
        <v>1</v>
      </c>
      <c r="BO4718">
        <v>0</v>
      </c>
      <c r="BP4718">
        <v>0</v>
      </c>
      <c r="BS4718">
        <v>0</v>
      </c>
      <c r="BT4718">
        <v>0</v>
      </c>
      <c r="BU4718">
        <v>0</v>
      </c>
      <c r="CE4718" t="str">
        <f t="shared" ref="CE4718:CE4723" si="1869">"15:17:38.961"</f>
        <v>15:17:38.961</v>
      </c>
      <c r="CF4718">
        <v>960760222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4</v>
      </c>
      <c r="CY4718">
        <v>7</v>
      </c>
      <c r="CZ4718" t="s">
        <v>133</v>
      </c>
      <c r="DA4718">
        <v>275</v>
      </c>
      <c r="DB4718">
        <v>0</v>
      </c>
      <c r="DC4718" t="s">
        <v>134</v>
      </c>
      <c r="DD4718" t="s">
        <v>135</v>
      </c>
      <c r="DG4718">
        <v>3323360</v>
      </c>
      <c r="DI4718">
        <v>1</v>
      </c>
      <c r="DJ4718">
        <v>0</v>
      </c>
      <c r="DK4718">
        <v>0</v>
      </c>
      <c r="DL4718">
        <v>0</v>
      </c>
      <c r="DM4718">
        <v>0</v>
      </c>
      <c r="DN4718">
        <v>0</v>
      </c>
      <c r="DO4718">
        <v>0</v>
      </c>
      <c r="DP4718">
        <v>0</v>
      </c>
      <c r="DQ4718">
        <v>0</v>
      </c>
      <c r="DR4718">
        <v>0</v>
      </c>
      <c r="DS4718">
        <v>0</v>
      </c>
    </row>
    <row r="4719" spans="1:123" x14ac:dyDescent="0.3">
      <c r="A4719" t="str">
        <f>"05/01/2025 15:17:39.190"</f>
        <v>05/01/2025 15:17:39.190</v>
      </c>
      <c r="C4719" t="str">
        <f t="shared" si="1850"/>
        <v>FFDFD3C0</v>
      </c>
      <c r="D4719" t="s">
        <v>140</v>
      </c>
      <c r="E4719" t="str">
        <f>"13"</f>
        <v>13</v>
      </c>
      <c r="F4719">
        <v>1019</v>
      </c>
      <c r="G4719" t="s">
        <v>141</v>
      </c>
      <c r="J4719" t="s">
        <v>142</v>
      </c>
      <c r="K4719">
        <v>0</v>
      </c>
      <c r="L4719">
        <v>3</v>
      </c>
      <c r="M4719">
        <v>0</v>
      </c>
      <c r="N4719">
        <v>2</v>
      </c>
      <c r="O4719">
        <v>0</v>
      </c>
      <c r="P4719">
        <v>1</v>
      </c>
      <c r="Q4719">
        <v>0</v>
      </c>
      <c r="R4719" t="s">
        <v>127</v>
      </c>
      <c r="S4719" t="str">
        <f t="shared" si="1868"/>
        <v>15:17:38.000</v>
      </c>
      <c r="T4719" t="str">
        <f t="shared" si="1868"/>
        <v>15:17:38.000</v>
      </c>
      <c r="U4719" t="str">
        <f t="shared" si="1851"/>
        <v>A68FCB</v>
      </c>
      <c r="V4719">
        <v>0</v>
      </c>
      <c r="W4719">
        <v>0</v>
      </c>
      <c r="X4719">
        <v>2</v>
      </c>
      <c r="Y4719">
        <v>0</v>
      </c>
      <c r="AA4719">
        <v>1</v>
      </c>
      <c r="AB4719">
        <v>8</v>
      </c>
      <c r="AC4719">
        <v>3</v>
      </c>
      <c r="AD4719">
        <v>0</v>
      </c>
      <c r="AE4719">
        <v>9</v>
      </c>
      <c r="AF4719" t="s">
        <v>138</v>
      </c>
      <c r="AG4719">
        <v>0</v>
      </c>
      <c r="AH4719">
        <v>3</v>
      </c>
      <c r="AI4719">
        <v>2</v>
      </c>
      <c r="AJ4719">
        <v>0</v>
      </c>
      <c r="AK4719" t="s">
        <v>1506</v>
      </c>
      <c r="AL4719">
        <v>39.220247000000001</v>
      </c>
      <c r="AM4719" t="s">
        <v>1507</v>
      </c>
      <c r="AN4719">
        <v>-121.00062800000001</v>
      </c>
      <c r="AO4719">
        <v>25</v>
      </c>
      <c r="AP4719">
        <v>4100</v>
      </c>
      <c r="AQ4719" t="s">
        <v>131</v>
      </c>
      <c r="AR4719">
        <v>13</v>
      </c>
      <c r="AS4719">
        <v>86</v>
      </c>
      <c r="AT4719">
        <v>-256</v>
      </c>
      <c r="BB4719" t="str">
        <f t="shared" si="1852"/>
        <v>1200</v>
      </c>
      <c r="BC4719">
        <v>1</v>
      </c>
      <c r="BD4719" t="str">
        <f t="shared" si="1853"/>
        <v xml:space="preserve">N52156  </v>
      </c>
      <c r="BE4719">
        <v>1</v>
      </c>
      <c r="BG4719">
        <v>0</v>
      </c>
      <c r="BH4719">
        <v>0</v>
      </c>
      <c r="BI4719">
        <v>0</v>
      </c>
      <c r="BJ4719">
        <v>4150</v>
      </c>
      <c r="BK4719">
        <v>50</v>
      </c>
      <c r="BL4719" t="s">
        <v>188</v>
      </c>
      <c r="BM4719">
        <v>1</v>
      </c>
      <c r="BN4719">
        <v>1</v>
      </c>
      <c r="BO4719">
        <v>0</v>
      </c>
      <c r="BP4719">
        <v>0</v>
      </c>
      <c r="BS4719">
        <v>0</v>
      </c>
      <c r="BT4719">
        <v>0</v>
      </c>
      <c r="BU4719">
        <v>0</v>
      </c>
      <c r="CE4719" t="str">
        <f t="shared" si="1869"/>
        <v>15:17:38.961</v>
      </c>
      <c r="CF4719">
        <v>960760222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4</v>
      </c>
      <c r="CY4719">
        <v>7</v>
      </c>
      <c r="CZ4719" t="s">
        <v>133</v>
      </c>
      <c r="DA4719">
        <v>275</v>
      </c>
      <c r="DB4719">
        <v>0</v>
      </c>
      <c r="DC4719" t="s">
        <v>134</v>
      </c>
      <c r="DD4719" t="s">
        <v>135</v>
      </c>
      <c r="DG4719">
        <v>3323360</v>
      </c>
      <c r="DI4719">
        <v>1</v>
      </c>
      <c r="DJ4719">
        <v>0</v>
      </c>
      <c r="DK4719">
        <v>1</v>
      </c>
      <c r="DL4719">
        <v>0</v>
      </c>
      <c r="DM4719">
        <v>0</v>
      </c>
      <c r="DN4719">
        <v>0</v>
      </c>
      <c r="DO4719">
        <v>0</v>
      </c>
      <c r="DP4719">
        <v>0</v>
      </c>
      <c r="DQ4719">
        <v>0</v>
      </c>
      <c r="DR4719">
        <v>0</v>
      </c>
      <c r="DS4719">
        <v>0</v>
      </c>
    </row>
    <row r="4720" spans="1:123" x14ac:dyDescent="0.3">
      <c r="A4720" t="str">
        <f>"05/01/2025 15:17:39.193"</f>
        <v>05/01/2025 15:17:39.193</v>
      </c>
      <c r="C4720" t="str">
        <f t="shared" si="1850"/>
        <v>FFDFD3C0</v>
      </c>
      <c r="D4720" t="s">
        <v>124</v>
      </c>
      <c r="E4720" t="str">
        <f>"06"</f>
        <v>06</v>
      </c>
      <c r="F4720">
        <v>2006</v>
      </c>
      <c r="G4720" t="s">
        <v>125</v>
      </c>
      <c r="J4720" t="s">
        <v>126</v>
      </c>
      <c r="K4720">
        <v>0</v>
      </c>
      <c r="L4720">
        <v>3</v>
      </c>
      <c r="M4720">
        <v>0</v>
      </c>
      <c r="N4720">
        <v>2</v>
      </c>
      <c r="O4720">
        <v>0</v>
      </c>
      <c r="P4720">
        <v>1</v>
      </c>
      <c r="Q4720">
        <v>0</v>
      </c>
      <c r="R4720" t="s">
        <v>127</v>
      </c>
      <c r="S4720" t="str">
        <f t="shared" si="1868"/>
        <v>15:17:38.000</v>
      </c>
      <c r="T4720" t="str">
        <f t="shared" si="1868"/>
        <v>15:17:38.000</v>
      </c>
      <c r="U4720" t="str">
        <f t="shared" si="1851"/>
        <v>A68FCB</v>
      </c>
      <c r="V4720">
        <v>0</v>
      </c>
      <c r="W4720">
        <v>0</v>
      </c>
      <c r="X4720">
        <v>2</v>
      </c>
      <c r="Y4720">
        <v>0</v>
      </c>
      <c r="AA4720">
        <v>1</v>
      </c>
      <c r="AB4720">
        <v>8</v>
      </c>
      <c r="AC4720">
        <v>3</v>
      </c>
      <c r="AD4720">
        <v>0</v>
      </c>
      <c r="AE4720">
        <v>9</v>
      </c>
      <c r="AF4720" t="s">
        <v>138</v>
      </c>
      <c r="AG4720">
        <v>0</v>
      </c>
      <c r="AH4720">
        <v>3</v>
      </c>
      <c r="AI4720">
        <v>2</v>
      </c>
      <c r="AJ4720">
        <v>0</v>
      </c>
      <c r="AK4720" t="s">
        <v>1506</v>
      </c>
      <c r="AL4720">
        <v>39.220247000000001</v>
      </c>
      <c r="AM4720" t="s">
        <v>1507</v>
      </c>
      <c r="AN4720">
        <v>-121.00062800000001</v>
      </c>
      <c r="AO4720">
        <v>25</v>
      </c>
      <c r="AP4720">
        <v>4100</v>
      </c>
      <c r="AQ4720" t="s">
        <v>131</v>
      </c>
      <c r="AR4720">
        <v>13</v>
      </c>
      <c r="AS4720">
        <v>86</v>
      </c>
      <c r="AT4720">
        <v>-256</v>
      </c>
      <c r="BB4720" t="str">
        <f t="shared" si="1852"/>
        <v>1200</v>
      </c>
      <c r="BC4720">
        <v>1</v>
      </c>
      <c r="BD4720" t="str">
        <f t="shared" si="1853"/>
        <v xml:space="preserve">N52156  </v>
      </c>
      <c r="BE4720">
        <v>1</v>
      </c>
      <c r="BG4720">
        <v>0</v>
      </c>
      <c r="BH4720">
        <v>0</v>
      </c>
      <c r="BI4720">
        <v>0</v>
      </c>
      <c r="BJ4720">
        <v>4150</v>
      </c>
      <c r="BK4720">
        <v>50</v>
      </c>
      <c r="BL4720" t="s">
        <v>188</v>
      </c>
      <c r="BM4720">
        <v>1</v>
      </c>
      <c r="BN4720">
        <v>1</v>
      </c>
      <c r="BO4720">
        <v>0</v>
      </c>
      <c r="BP4720">
        <v>0</v>
      </c>
      <c r="BS4720">
        <v>0</v>
      </c>
      <c r="BT4720">
        <v>0</v>
      </c>
      <c r="BU4720">
        <v>0</v>
      </c>
      <c r="CE4720" t="str">
        <f t="shared" si="1869"/>
        <v>15:17:38.961</v>
      </c>
      <c r="CF4720">
        <v>960760222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4</v>
      </c>
      <c r="CY4720">
        <v>7</v>
      </c>
      <c r="CZ4720" t="s">
        <v>133</v>
      </c>
      <c r="DA4720">
        <v>275</v>
      </c>
      <c r="DB4720">
        <v>0</v>
      </c>
      <c r="DC4720" t="s">
        <v>134</v>
      </c>
      <c r="DD4720" t="s">
        <v>135</v>
      </c>
      <c r="DG4720">
        <v>3323360</v>
      </c>
      <c r="DI4720">
        <v>1</v>
      </c>
      <c r="DJ4720">
        <v>0</v>
      </c>
      <c r="DK4720">
        <v>1</v>
      </c>
      <c r="DL4720">
        <v>0</v>
      </c>
      <c r="DM4720">
        <v>0</v>
      </c>
      <c r="DN4720">
        <v>0</v>
      </c>
      <c r="DO4720">
        <v>0</v>
      </c>
      <c r="DP4720">
        <v>0</v>
      </c>
      <c r="DQ4720">
        <v>0</v>
      </c>
      <c r="DR4720">
        <v>0</v>
      </c>
      <c r="DS4720">
        <v>0</v>
      </c>
    </row>
    <row r="4721" spans="1:123" x14ac:dyDescent="0.3">
      <c r="A4721" t="str">
        <f>"05/01/2025 15:17:39.197"</f>
        <v>05/01/2025 15:17:39.197</v>
      </c>
      <c r="C4721" t="str">
        <f t="shared" si="1850"/>
        <v>FFDFD3C0</v>
      </c>
      <c r="D4721" t="s">
        <v>143</v>
      </c>
      <c r="E4721" t="str">
        <f>"05"</f>
        <v>05</v>
      </c>
      <c r="H4721">
        <v>172</v>
      </c>
      <c r="I4721" t="s">
        <v>141</v>
      </c>
      <c r="J4721" t="s">
        <v>144</v>
      </c>
      <c r="K4721">
        <v>0</v>
      </c>
      <c r="L4721">
        <v>3</v>
      </c>
      <c r="M4721">
        <v>0</v>
      </c>
      <c r="N4721">
        <v>2</v>
      </c>
      <c r="O4721">
        <v>0</v>
      </c>
      <c r="P4721">
        <v>1</v>
      </c>
      <c r="Q4721">
        <v>0</v>
      </c>
      <c r="R4721" t="s">
        <v>127</v>
      </c>
      <c r="S4721" t="str">
        <f t="shared" si="1868"/>
        <v>15:17:38.000</v>
      </c>
      <c r="T4721" t="str">
        <f t="shared" si="1868"/>
        <v>15:17:38.000</v>
      </c>
      <c r="U4721" t="str">
        <f t="shared" si="1851"/>
        <v>A68FCB</v>
      </c>
      <c r="V4721">
        <v>0</v>
      </c>
      <c r="W4721">
        <v>0</v>
      </c>
      <c r="X4721">
        <v>2</v>
      </c>
      <c r="Y4721">
        <v>0</v>
      </c>
      <c r="AA4721">
        <v>1</v>
      </c>
      <c r="AB4721">
        <v>8</v>
      </c>
      <c r="AC4721">
        <v>3</v>
      </c>
      <c r="AD4721">
        <v>0</v>
      </c>
      <c r="AE4721">
        <v>9</v>
      </c>
      <c r="AF4721" t="s">
        <v>138</v>
      </c>
      <c r="AG4721">
        <v>0</v>
      </c>
      <c r="AH4721">
        <v>3</v>
      </c>
      <c r="AI4721">
        <v>2</v>
      </c>
      <c r="AJ4721">
        <v>0</v>
      </c>
      <c r="AK4721" t="s">
        <v>1506</v>
      </c>
      <c r="AL4721">
        <v>39.220247000000001</v>
      </c>
      <c r="AM4721" t="s">
        <v>1507</v>
      </c>
      <c r="AN4721">
        <v>-121.00062800000001</v>
      </c>
      <c r="AO4721">
        <v>25</v>
      </c>
      <c r="AP4721">
        <v>4100</v>
      </c>
      <c r="AQ4721" t="s">
        <v>131</v>
      </c>
      <c r="AR4721">
        <v>13</v>
      </c>
      <c r="AS4721">
        <v>86</v>
      </c>
      <c r="AT4721">
        <v>-256</v>
      </c>
      <c r="BB4721" t="str">
        <f t="shared" si="1852"/>
        <v>1200</v>
      </c>
      <c r="BC4721">
        <v>1</v>
      </c>
      <c r="BD4721" t="str">
        <f t="shared" si="1853"/>
        <v xml:space="preserve">N52156  </v>
      </c>
      <c r="BE4721">
        <v>1</v>
      </c>
      <c r="BG4721">
        <v>0</v>
      </c>
      <c r="BH4721">
        <v>0</v>
      </c>
      <c r="BI4721">
        <v>0</v>
      </c>
      <c r="BJ4721">
        <v>4150</v>
      </c>
      <c r="BK4721">
        <v>50</v>
      </c>
      <c r="BL4721" t="s">
        <v>188</v>
      </c>
      <c r="BM4721">
        <v>1</v>
      </c>
      <c r="BN4721">
        <v>1</v>
      </c>
      <c r="BO4721">
        <v>0</v>
      </c>
      <c r="BP4721">
        <v>0</v>
      </c>
      <c r="BS4721">
        <v>0</v>
      </c>
      <c r="BT4721">
        <v>0</v>
      </c>
      <c r="BU4721">
        <v>0</v>
      </c>
      <c r="CE4721" t="str">
        <f t="shared" si="1869"/>
        <v>15:17:38.961</v>
      </c>
      <c r="CF4721">
        <v>960760222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4</v>
      </c>
      <c r="CY4721">
        <v>7</v>
      </c>
      <c r="CZ4721" t="s">
        <v>133</v>
      </c>
      <c r="DA4721">
        <v>275</v>
      </c>
      <c r="DB4721">
        <v>0</v>
      </c>
      <c r="DC4721" t="s">
        <v>134</v>
      </c>
      <c r="DD4721" t="s">
        <v>135</v>
      </c>
      <c r="DG4721">
        <v>3323360</v>
      </c>
      <c r="DI4721">
        <v>1</v>
      </c>
      <c r="DJ4721">
        <v>0</v>
      </c>
      <c r="DK4721">
        <v>1</v>
      </c>
      <c r="DL4721">
        <v>0</v>
      </c>
      <c r="DM4721">
        <v>0</v>
      </c>
      <c r="DN4721">
        <v>0</v>
      </c>
      <c r="DO4721">
        <v>0</v>
      </c>
      <c r="DP4721">
        <v>0</v>
      </c>
      <c r="DQ4721">
        <v>0</v>
      </c>
      <c r="DR4721">
        <v>0</v>
      </c>
      <c r="DS4721">
        <v>0</v>
      </c>
    </row>
    <row r="4722" spans="1:123" x14ac:dyDescent="0.3">
      <c r="A4722" t="str">
        <f>"05/01/2025 15:17:39.212"</f>
        <v>05/01/2025 15:17:39.212</v>
      </c>
      <c r="C4722" t="str">
        <f t="shared" si="1850"/>
        <v>FFDFD3C0</v>
      </c>
      <c r="D4722" t="s">
        <v>145</v>
      </c>
      <c r="E4722" t="str">
        <f>"09"</f>
        <v>09</v>
      </c>
      <c r="H4722">
        <v>51</v>
      </c>
      <c r="I4722" t="s">
        <v>147</v>
      </c>
      <c r="J4722" t="s">
        <v>138</v>
      </c>
      <c r="K4722">
        <v>0</v>
      </c>
      <c r="L4722">
        <v>3</v>
      </c>
      <c r="M4722">
        <v>0</v>
      </c>
      <c r="N4722">
        <v>2</v>
      </c>
      <c r="O4722">
        <v>0</v>
      </c>
      <c r="P4722">
        <v>1</v>
      </c>
      <c r="Q4722">
        <v>0</v>
      </c>
      <c r="R4722" t="s">
        <v>127</v>
      </c>
      <c r="S4722" t="str">
        <f t="shared" si="1868"/>
        <v>15:17:38.000</v>
      </c>
      <c r="T4722" t="str">
        <f t="shared" si="1868"/>
        <v>15:17:38.000</v>
      </c>
      <c r="U4722" t="str">
        <f t="shared" si="1851"/>
        <v>A68FCB</v>
      </c>
      <c r="V4722">
        <v>0</v>
      </c>
      <c r="W4722">
        <v>0</v>
      </c>
      <c r="X4722">
        <v>2</v>
      </c>
      <c r="Y4722">
        <v>0</v>
      </c>
      <c r="AA4722">
        <v>1</v>
      </c>
      <c r="AB4722">
        <v>8</v>
      </c>
      <c r="AC4722">
        <v>3</v>
      </c>
      <c r="AD4722">
        <v>0</v>
      </c>
      <c r="AE4722">
        <v>9</v>
      </c>
      <c r="AF4722" t="s">
        <v>138</v>
      </c>
      <c r="AG4722">
        <v>0</v>
      </c>
      <c r="AH4722">
        <v>3</v>
      </c>
      <c r="AI4722">
        <v>2</v>
      </c>
      <c r="AJ4722">
        <v>0</v>
      </c>
      <c r="AK4722" t="s">
        <v>1506</v>
      </c>
      <c r="AL4722">
        <v>39.220247000000001</v>
      </c>
      <c r="AM4722" t="s">
        <v>1507</v>
      </c>
      <c r="AN4722">
        <v>-121.00062800000001</v>
      </c>
      <c r="AO4722">
        <v>25</v>
      </c>
      <c r="AP4722">
        <v>4100</v>
      </c>
      <c r="AQ4722" t="s">
        <v>131</v>
      </c>
      <c r="AR4722">
        <v>13</v>
      </c>
      <c r="AS4722">
        <v>86</v>
      </c>
      <c r="AT4722">
        <v>-256</v>
      </c>
      <c r="BB4722" t="str">
        <f t="shared" si="1852"/>
        <v>1200</v>
      </c>
      <c r="BC4722">
        <v>1</v>
      </c>
      <c r="BD4722" t="str">
        <f t="shared" si="1853"/>
        <v xml:space="preserve">N52156  </v>
      </c>
      <c r="BE4722">
        <v>1</v>
      </c>
      <c r="BG4722">
        <v>0</v>
      </c>
      <c r="BH4722">
        <v>0</v>
      </c>
      <c r="BI4722">
        <v>0</v>
      </c>
      <c r="BJ4722">
        <v>4150</v>
      </c>
      <c r="BK4722">
        <v>50</v>
      </c>
      <c r="BL4722" t="s">
        <v>188</v>
      </c>
      <c r="BM4722">
        <v>1</v>
      </c>
      <c r="BN4722">
        <v>1</v>
      </c>
      <c r="BO4722">
        <v>0</v>
      </c>
      <c r="BP4722">
        <v>0</v>
      </c>
      <c r="BS4722">
        <v>0</v>
      </c>
      <c r="BT4722">
        <v>0</v>
      </c>
      <c r="BU4722">
        <v>0</v>
      </c>
      <c r="CE4722" t="str">
        <f t="shared" si="1869"/>
        <v>15:17:38.961</v>
      </c>
      <c r="CF4722">
        <v>960760222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4</v>
      </c>
      <c r="CY4722">
        <v>7</v>
      </c>
      <c r="CZ4722" t="s">
        <v>133</v>
      </c>
      <c r="DA4722">
        <v>275</v>
      </c>
      <c r="DB4722">
        <v>0</v>
      </c>
      <c r="DC4722" t="s">
        <v>134</v>
      </c>
      <c r="DD4722" t="s">
        <v>135</v>
      </c>
      <c r="DG4722">
        <v>3323360</v>
      </c>
      <c r="DI4722">
        <v>1</v>
      </c>
      <c r="DJ4722">
        <v>0</v>
      </c>
      <c r="DK4722">
        <v>1</v>
      </c>
      <c r="DL4722">
        <v>0</v>
      </c>
      <c r="DM4722">
        <v>0</v>
      </c>
      <c r="DN4722">
        <v>0</v>
      </c>
      <c r="DO4722">
        <v>0</v>
      </c>
      <c r="DP4722">
        <v>0</v>
      </c>
      <c r="DQ4722">
        <v>0</v>
      </c>
      <c r="DR4722">
        <v>0</v>
      </c>
      <c r="DS4722">
        <v>0</v>
      </c>
    </row>
    <row r="4723" spans="1:123" x14ac:dyDescent="0.3">
      <c r="A4723" t="str">
        <f>"05/01/2025 15:17:39.216"</f>
        <v>05/01/2025 15:17:39.216</v>
      </c>
      <c r="C4723" t="str">
        <f t="shared" si="1850"/>
        <v>FFDFD3C0</v>
      </c>
      <c r="D4723" t="s">
        <v>145</v>
      </c>
      <c r="E4723" t="str">
        <f>"05"</f>
        <v>05</v>
      </c>
      <c r="H4723">
        <v>47</v>
      </c>
      <c r="I4723" t="s">
        <v>146</v>
      </c>
      <c r="J4723" t="s">
        <v>138</v>
      </c>
      <c r="K4723">
        <v>0</v>
      </c>
      <c r="L4723">
        <v>3</v>
      </c>
      <c r="M4723">
        <v>0</v>
      </c>
      <c r="N4723">
        <v>2</v>
      </c>
      <c r="O4723">
        <v>0</v>
      </c>
      <c r="P4723">
        <v>1</v>
      </c>
      <c r="Q4723">
        <v>0</v>
      </c>
      <c r="R4723" t="s">
        <v>127</v>
      </c>
      <c r="S4723" t="str">
        <f t="shared" si="1868"/>
        <v>15:17:38.000</v>
      </c>
      <c r="T4723" t="str">
        <f t="shared" si="1868"/>
        <v>15:17:38.000</v>
      </c>
      <c r="U4723" t="str">
        <f t="shared" si="1851"/>
        <v>A68FCB</v>
      </c>
      <c r="V4723">
        <v>0</v>
      </c>
      <c r="W4723">
        <v>0</v>
      </c>
      <c r="X4723">
        <v>2</v>
      </c>
      <c r="Y4723">
        <v>0</v>
      </c>
      <c r="AA4723">
        <v>1</v>
      </c>
      <c r="AB4723">
        <v>8</v>
      </c>
      <c r="AC4723">
        <v>3</v>
      </c>
      <c r="AD4723">
        <v>0</v>
      </c>
      <c r="AE4723">
        <v>9</v>
      </c>
      <c r="AF4723" t="s">
        <v>138</v>
      </c>
      <c r="AG4723">
        <v>0</v>
      </c>
      <c r="AH4723">
        <v>3</v>
      </c>
      <c r="AI4723">
        <v>2</v>
      </c>
      <c r="AJ4723">
        <v>0</v>
      </c>
      <c r="AK4723" t="s">
        <v>1506</v>
      </c>
      <c r="AL4723">
        <v>39.220247000000001</v>
      </c>
      <c r="AM4723" t="s">
        <v>1507</v>
      </c>
      <c r="AN4723">
        <v>-121.00062800000001</v>
      </c>
      <c r="AO4723">
        <v>25</v>
      </c>
      <c r="AP4723">
        <v>4100</v>
      </c>
      <c r="AQ4723" t="s">
        <v>131</v>
      </c>
      <c r="AR4723">
        <v>13</v>
      </c>
      <c r="AS4723">
        <v>86</v>
      </c>
      <c r="AT4723">
        <v>-256</v>
      </c>
      <c r="BB4723" t="str">
        <f t="shared" si="1852"/>
        <v>1200</v>
      </c>
      <c r="BC4723">
        <v>1</v>
      </c>
      <c r="BD4723" t="str">
        <f t="shared" si="1853"/>
        <v xml:space="preserve">N52156  </v>
      </c>
      <c r="BE4723">
        <v>1</v>
      </c>
      <c r="BG4723">
        <v>0</v>
      </c>
      <c r="BH4723">
        <v>0</v>
      </c>
      <c r="BI4723">
        <v>0</v>
      </c>
      <c r="BJ4723">
        <v>4150</v>
      </c>
      <c r="BK4723">
        <v>50</v>
      </c>
      <c r="BL4723" t="s">
        <v>188</v>
      </c>
      <c r="BM4723">
        <v>1</v>
      </c>
      <c r="BN4723">
        <v>1</v>
      </c>
      <c r="BO4723">
        <v>0</v>
      </c>
      <c r="BP4723">
        <v>0</v>
      </c>
      <c r="BS4723">
        <v>0</v>
      </c>
      <c r="BT4723">
        <v>0</v>
      </c>
      <c r="BU4723">
        <v>0</v>
      </c>
      <c r="CE4723" t="str">
        <f t="shared" si="1869"/>
        <v>15:17:38.961</v>
      </c>
      <c r="CF4723">
        <v>960760222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4</v>
      </c>
      <c r="CY4723">
        <v>7</v>
      </c>
      <c r="CZ4723" t="s">
        <v>133</v>
      </c>
      <c r="DA4723">
        <v>275</v>
      </c>
      <c r="DB4723">
        <v>0</v>
      </c>
      <c r="DC4723" t="s">
        <v>134</v>
      </c>
      <c r="DD4723" t="s">
        <v>135</v>
      </c>
      <c r="DG4723">
        <v>3323360</v>
      </c>
      <c r="DI4723">
        <v>1</v>
      </c>
      <c r="DJ4723">
        <v>0</v>
      </c>
      <c r="DK4723">
        <v>1</v>
      </c>
      <c r="DL4723">
        <v>0</v>
      </c>
      <c r="DM4723">
        <v>0</v>
      </c>
      <c r="DN4723">
        <v>0</v>
      </c>
      <c r="DO4723">
        <v>0</v>
      </c>
      <c r="DP4723">
        <v>0</v>
      </c>
      <c r="DQ4723">
        <v>0</v>
      </c>
      <c r="DR4723">
        <v>0</v>
      </c>
      <c r="DS4723">
        <v>0</v>
      </c>
    </row>
    <row r="4724" spans="1:123" x14ac:dyDescent="0.3">
      <c r="A4724" t="str">
        <f>"05/01/2025 15:17:40.077"</f>
        <v>05/01/2025 15:17:40.077</v>
      </c>
      <c r="C4724" t="str">
        <f t="shared" si="1850"/>
        <v>FFDFD3C0</v>
      </c>
      <c r="D4724" t="s">
        <v>136</v>
      </c>
      <c r="E4724" t="str">
        <f>"20"</f>
        <v>20</v>
      </c>
      <c r="H4724">
        <v>400</v>
      </c>
      <c r="I4724" t="s">
        <v>137</v>
      </c>
      <c r="J4724" t="s">
        <v>138</v>
      </c>
      <c r="K4724">
        <v>0</v>
      </c>
      <c r="L4724">
        <v>3</v>
      </c>
      <c r="M4724">
        <v>0</v>
      </c>
      <c r="N4724">
        <v>2</v>
      </c>
      <c r="O4724">
        <v>0</v>
      </c>
      <c r="P4724">
        <v>1</v>
      </c>
      <c r="Q4724">
        <v>0</v>
      </c>
      <c r="R4724" t="s">
        <v>127</v>
      </c>
      <c r="S4724" t="str">
        <f t="shared" ref="S4724:T4729" si="1870">"15:17:39.000"</f>
        <v>15:17:39.000</v>
      </c>
      <c r="T4724" t="str">
        <f t="shared" si="1870"/>
        <v>15:17:39.000</v>
      </c>
      <c r="U4724" t="str">
        <f t="shared" si="1851"/>
        <v>A68FCB</v>
      </c>
      <c r="V4724">
        <v>0</v>
      </c>
      <c r="W4724">
        <v>0</v>
      </c>
      <c r="X4724">
        <v>2</v>
      </c>
      <c r="Y4724">
        <v>0</v>
      </c>
      <c r="AA4724">
        <v>1</v>
      </c>
      <c r="AB4724">
        <v>8</v>
      </c>
      <c r="AC4724">
        <v>3</v>
      </c>
      <c r="AD4724">
        <v>0</v>
      </c>
      <c r="AE4724">
        <v>9</v>
      </c>
      <c r="AF4724" t="s">
        <v>138</v>
      </c>
      <c r="AG4724">
        <v>0</v>
      </c>
      <c r="AH4724">
        <v>3</v>
      </c>
      <c r="AI4724">
        <v>2</v>
      </c>
      <c r="AJ4724">
        <v>0</v>
      </c>
      <c r="AK4724" t="s">
        <v>1508</v>
      </c>
      <c r="AL4724">
        <v>39.220655000000001</v>
      </c>
      <c r="AM4724" t="s">
        <v>1509</v>
      </c>
      <c r="AN4724">
        <v>-121.00054299999999</v>
      </c>
      <c r="AO4724">
        <v>25</v>
      </c>
      <c r="AP4724">
        <v>4100</v>
      </c>
      <c r="AQ4724" t="s">
        <v>131</v>
      </c>
      <c r="AR4724">
        <v>10</v>
      </c>
      <c r="AS4724">
        <v>87</v>
      </c>
      <c r="AT4724">
        <v>-192</v>
      </c>
      <c r="BB4724" t="str">
        <f t="shared" si="1852"/>
        <v>1200</v>
      </c>
      <c r="BC4724">
        <v>1</v>
      </c>
      <c r="BD4724" t="str">
        <f t="shared" si="1853"/>
        <v xml:space="preserve">N52156  </v>
      </c>
      <c r="BE4724">
        <v>1</v>
      </c>
      <c r="BG4724">
        <v>0</v>
      </c>
      <c r="BH4724">
        <v>0</v>
      </c>
      <c r="BI4724">
        <v>0</v>
      </c>
      <c r="BJ4724">
        <v>4150</v>
      </c>
      <c r="BK4724">
        <v>50</v>
      </c>
      <c r="BL4724" t="s">
        <v>188</v>
      </c>
      <c r="BM4724">
        <v>1</v>
      </c>
      <c r="BN4724">
        <v>1</v>
      </c>
      <c r="BO4724">
        <v>0</v>
      </c>
      <c r="BP4724">
        <v>0</v>
      </c>
      <c r="BS4724">
        <v>0</v>
      </c>
      <c r="BT4724">
        <v>0</v>
      </c>
      <c r="BU4724">
        <v>0</v>
      </c>
      <c r="CE4724" t="str">
        <f t="shared" ref="CE4724:CE4729" si="1871">"15:17:39.850"</f>
        <v>15:17:39.850</v>
      </c>
      <c r="CF4724">
        <v>850259990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4</v>
      </c>
      <c r="CY4724">
        <v>7</v>
      </c>
      <c r="CZ4724" t="s">
        <v>133</v>
      </c>
      <c r="DA4724">
        <v>275</v>
      </c>
      <c r="DB4724">
        <v>0</v>
      </c>
      <c r="DC4724" t="s">
        <v>134</v>
      </c>
      <c r="DD4724" t="s">
        <v>135</v>
      </c>
      <c r="DG4724">
        <v>3323363</v>
      </c>
      <c r="DI4724">
        <v>1</v>
      </c>
      <c r="DJ4724">
        <v>0</v>
      </c>
      <c r="DK4724">
        <v>0</v>
      </c>
      <c r="DL4724">
        <v>0</v>
      </c>
      <c r="DM4724">
        <v>0</v>
      </c>
      <c r="DN4724">
        <v>0</v>
      </c>
      <c r="DO4724">
        <v>0</v>
      </c>
      <c r="DP4724">
        <v>0</v>
      </c>
      <c r="DQ4724">
        <v>0</v>
      </c>
      <c r="DR4724">
        <v>0</v>
      </c>
      <c r="DS4724">
        <v>0</v>
      </c>
    </row>
    <row r="4725" spans="1:123" x14ac:dyDescent="0.3">
      <c r="A4725" t="str">
        <f>"05/01/2025 15:17:40.094"</f>
        <v>05/01/2025 15:17:40.094</v>
      </c>
      <c r="C4725" t="str">
        <f t="shared" si="1850"/>
        <v>FFDFD3C0</v>
      </c>
      <c r="D4725" t="s">
        <v>124</v>
      </c>
      <c r="E4725" t="str">
        <f>"06"</f>
        <v>06</v>
      </c>
      <c r="F4725">
        <v>2006</v>
      </c>
      <c r="G4725" t="s">
        <v>125</v>
      </c>
      <c r="J4725" t="s">
        <v>126</v>
      </c>
      <c r="K4725">
        <v>0</v>
      </c>
      <c r="L4725">
        <v>3</v>
      </c>
      <c r="M4725">
        <v>0</v>
      </c>
      <c r="N4725">
        <v>2</v>
      </c>
      <c r="O4725">
        <v>0</v>
      </c>
      <c r="P4725">
        <v>1</v>
      </c>
      <c r="Q4725">
        <v>0</v>
      </c>
      <c r="R4725" t="s">
        <v>127</v>
      </c>
      <c r="S4725" t="str">
        <f t="shared" si="1870"/>
        <v>15:17:39.000</v>
      </c>
      <c r="T4725" t="str">
        <f t="shared" si="1870"/>
        <v>15:17:39.000</v>
      </c>
      <c r="U4725" t="str">
        <f t="shared" si="1851"/>
        <v>A68FCB</v>
      </c>
      <c r="V4725">
        <v>0</v>
      </c>
      <c r="W4725">
        <v>0</v>
      </c>
      <c r="X4725">
        <v>2</v>
      </c>
      <c r="Y4725">
        <v>0</v>
      </c>
      <c r="AA4725">
        <v>1</v>
      </c>
      <c r="AB4725">
        <v>8</v>
      </c>
      <c r="AC4725">
        <v>3</v>
      </c>
      <c r="AD4725">
        <v>0</v>
      </c>
      <c r="AE4725">
        <v>9</v>
      </c>
      <c r="AF4725" t="s">
        <v>138</v>
      </c>
      <c r="AG4725">
        <v>0</v>
      </c>
      <c r="AH4725">
        <v>3</v>
      </c>
      <c r="AI4725">
        <v>2</v>
      </c>
      <c r="AJ4725">
        <v>0</v>
      </c>
      <c r="AK4725" t="s">
        <v>1508</v>
      </c>
      <c r="AL4725">
        <v>39.220655000000001</v>
      </c>
      <c r="AM4725" t="s">
        <v>1509</v>
      </c>
      <c r="AN4725">
        <v>-121.00054299999999</v>
      </c>
      <c r="AO4725">
        <v>25</v>
      </c>
      <c r="AP4725">
        <v>4100</v>
      </c>
      <c r="AQ4725" t="s">
        <v>131</v>
      </c>
      <c r="AR4725">
        <v>10</v>
      </c>
      <c r="AS4725">
        <v>87</v>
      </c>
      <c r="AT4725">
        <v>-192</v>
      </c>
      <c r="BB4725" t="str">
        <f t="shared" si="1852"/>
        <v>1200</v>
      </c>
      <c r="BC4725">
        <v>1</v>
      </c>
      <c r="BD4725" t="str">
        <f t="shared" si="1853"/>
        <v xml:space="preserve">N52156  </v>
      </c>
      <c r="BE4725">
        <v>1</v>
      </c>
      <c r="BG4725">
        <v>0</v>
      </c>
      <c r="BH4725">
        <v>0</v>
      </c>
      <c r="BI4725">
        <v>0</v>
      </c>
      <c r="BJ4725">
        <v>4150</v>
      </c>
      <c r="BK4725">
        <v>50</v>
      </c>
      <c r="BL4725" t="s">
        <v>188</v>
      </c>
      <c r="BM4725">
        <v>1</v>
      </c>
      <c r="BN4725">
        <v>1</v>
      </c>
      <c r="BO4725">
        <v>0</v>
      </c>
      <c r="BP4725">
        <v>0</v>
      </c>
      <c r="BS4725">
        <v>0</v>
      </c>
      <c r="BT4725">
        <v>0</v>
      </c>
      <c r="BU4725">
        <v>0</v>
      </c>
      <c r="CE4725" t="str">
        <f t="shared" si="1871"/>
        <v>15:17:39.850</v>
      </c>
      <c r="CF4725">
        <v>850259990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4</v>
      </c>
      <c r="CY4725">
        <v>7</v>
      </c>
      <c r="CZ4725" t="s">
        <v>133</v>
      </c>
      <c r="DA4725">
        <v>275</v>
      </c>
      <c r="DB4725">
        <v>0</v>
      </c>
      <c r="DC4725" t="s">
        <v>134</v>
      </c>
      <c r="DD4725" t="s">
        <v>135</v>
      </c>
      <c r="DG4725">
        <v>3323363</v>
      </c>
      <c r="DI4725">
        <v>1</v>
      </c>
      <c r="DJ4725">
        <v>0</v>
      </c>
      <c r="DK4725">
        <v>1</v>
      </c>
      <c r="DL4725">
        <v>0</v>
      </c>
      <c r="DM4725">
        <v>0</v>
      </c>
      <c r="DN4725">
        <v>0</v>
      </c>
      <c r="DO4725">
        <v>0</v>
      </c>
      <c r="DP4725">
        <v>0</v>
      </c>
      <c r="DQ4725">
        <v>0</v>
      </c>
      <c r="DR4725">
        <v>0</v>
      </c>
      <c r="DS4725">
        <v>0</v>
      </c>
    </row>
    <row r="4726" spans="1:123" x14ac:dyDescent="0.3">
      <c r="A4726" t="str">
        <f>"05/01/2025 15:17:40.092"</f>
        <v>05/01/2025 15:17:40.092</v>
      </c>
      <c r="C4726" t="str">
        <f t="shared" si="1850"/>
        <v>FFDFD3C0</v>
      </c>
      <c r="D4726" t="s">
        <v>140</v>
      </c>
      <c r="E4726" t="str">
        <f>"13"</f>
        <v>13</v>
      </c>
      <c r="F4726">
        <v>1019</v>
      </c>
      <c r="G4726" t="s">
        <v>141</v>
      </c>
      <c r="J4726" t="s">
        <v>142</v>
      </c>
      <c r="K4726">
        <v>0</v>
      </c>
      <c r="L4726">
        <v>3</v>
      </c>
      <c r="M4726">
        <v>0</v>
      </c>
      <c r="N4726">
        <v>2</v>
      </c>
      <c r="O4726">
        <v>0</v>
      </c>
      <c r="P4726">
        <v>1</v>
      </c>
      <c r="Q4726">
        <v>0</v>
      </c>
      <c r="R4726" t="s">
        <v>127</v>
      </c>
      <c r="S4726" t="str">
        <f t="shared" si="1870"/>
        <v>15:17:39.000</v>
      </c>
      <c r="T4726" t="str">
        <f t="shared" si="1870"/>
        <v>15:17:39.000</v>
      </c>
      <c r="U4726" t="str">
        <f t="shared" si="1851"/>
        <v>A68FCB</v>
      </c>
      <c r="V4726">
        <v>0</v>
      </c>
      <c r="W4726">
        <v>0</v>
      </c>
      <c r="X4726">
        <v>2</v>
      </c>
      <c r="Y4726">
        <v>0</v>
      </c>
      <c r="AA4726">
        <v>1</v>
      </c>
      <c r="AB4726">
        <v>8</v>
      </c>
      <c r="AC4726">
        <v>3</v>
      </c>
      <c r="AD4726">
        <v>0</v>
      </c>
      <c r="AE4726">
        <v>9</v>
      </c>
      <c r="AF4726" t="s">
        <v>138</v>
      </c>
      <c r="AG4726">
        <v>0</v>
      </c>
      <c r="AH4726">
        <v>3</v>
      </c>
      <c r="AI4726">
        <v>2</v>
      </c>
      <c r="AJ4726">
        <v>0</v>
      </c>
      <c r="AK4726" t="s">
        <v>1508</v>
      </c>
      <c r="AL4726">
        <v>39.220655000000001</v>
      </c>
      <c r="AM4726" t="s">
        <v>1509</v>
      </c>
      <c r="AN4726">
        <v>-121.00054299999999</v>
      </c>
      <c r="AO4726">
        <v>25</v>
      </c>
      <c r="AP4726">
        <v>4100</v>
      </c>
      <c r="AQ4726" t="s">
        <v>131</v>
      </c>
      <c r="AR4726">
        <v>10</v>
      </c>
      <c r="AS4726">
        <v>87</v>
      </c>
      <c r="AT4726">
        <v>-192</v>
      </c>
      <c r="BB4726" t="str">
        <f t="shared" si="1852"/>
        <v>1200</v>
      </c>
      <c r="BC4726">
        <v>1</v>
      </c>
      <c r="BD4726" t="str">
        <f t="shared" si="1853"/>
        <v xml:space="preserve">N52156  </v>
      </c>
      <c r="BE4726">
        <v>1</v>
      </c>
      <c r="BG4726">
        <v>0</v>
      </c>
      <c r="BH4726">
        <v>0</v>
      </c>
      <c r="BI4726">
        <v>0</v>
      </c>
      <c r="BJ4726">
        <v>4150</v>
      </c>
      <c r="BK4726">
        <v>50</v>
      </c>
      <c r="BL4726" t="s">
        <v>188</v>
      </c>
      <c r="BM4726">
        <v>1</v>
      </c>
      <c r="BN4726">
        <v>1</v>
      </c>
      <c r="BO4726">
        <v>0</v>
      </c>
      <c r="BP4726">
        <v>0</v>
      </c>
      <c r="BS4726">
        <v>0</v>
      </c>
      <c r="BT4726">
        <v>0</v>
      </c>
      <c r="BU4726">
        <v>0</v>
      </c>
      <c r="CE4726" t="str">
        <f t="shared" si="1871"/>
        <v>15:17:39.850</v>
      </c>
      <c r="CF4726">
        <v>850259990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4</v>
      </c>
      <c r="CY4726">
        <v>7</v>
      </c>
      <c r="CZ4726" t="s">
        <v>133</v>
      </c>
      <c r="DA4726">
        <v>275</v>
      </c>
      <c r="DB4726">
        <v>0</v>
      </c>
      <c r="DC4726" t="s">
        <v>134</v>
      </c>
      <c r="DD4726" t="s">
        <v>135</v>
      </c>
      <c r="DG4726">
        <v>3323363</v>
      </c>
      <c r="DI4726">
        <v>1</v>
      </c>
      <c r="DJ4726">
        <v>0</v>
      </c>
      <c r="DK4726">
        <v>1</v>
      </c>
      <c r="DL4726">
        <v>0</v>
      </c>
      <c r="DM4726">
        <v>0</v>
      </c>
      <c r="DN4726">
        <v>0</v>
      </c>
      <c r="DO4726">
        <v>0</v>
      </c>
      <c r="DP4726">
        <v>0</v>
      </c>
      <c r="DQ4726">
        <v>0</v>
      </c>
      <c r="DR4726">
        <v>0</v>
      </c>
      <c r="DS4726">
        <v>0</v>
      </c>
    </row>
    <row r="4727" spans="1:123" x14ac:dyDescent="0.3">
      <c r="A4727" t="str">
        <f>"05/01/2025 15:17:40.099"</f>
        <v>05/01/2025 15:17:40.099</v>
      </c>
      <c r="C4727" t="str">
        <f t="shared" si="1850"/>
        <v>FFDFD3C0</v>
      </c>
      <c r="D4727" t="s">
        <v>143</v>
      </c>
      <c r="E4727" t="str">
        <f>"05"</f>
        <v>05</v>
      </c>
      <c r="H4727">
        <v>172</v>
      </c>
      <c r="I4727" t="s">
        <v>141</v>
      </c>
      <c r="J4727" t="s">
        <v>144</v>
      </c>
      <c r="K4727">
        <v>0</v>
      </c>
      <c r="L4727">
        <v>3</v>
      </c>
      <c r="M4727">
        <v>0</v>
      </c>
      <c r="N4727">
        <v>2</v>
      </c>
      <c r="O4727">
        <v>0</v>
      </c>
      <c r="P4727">
        <v>1</v>
      </c>
      <c r="Q4727">
        <v>0</v>
      </c>
      <c r="R4727" t="s">
        <v>127</v>
      </c>
      <c r="S4727" t="str">
        <f t="shared" si="1870"/>
        <v>15:17:39.000</v>
      </c>
      <c r="T4727" t="str">
        <f t="shared" si="1870"/>
        <v>15:17:39.000</v>
      </c>
      <c r="U4727" t="str">
        <f t="shared" si="1851"/>
        <v>A68FCB</v>
      </c>
      <c r="V4727">
        <v>0</v>
      </c>
      <c r="W4727">
        <v>0</v>
      </c>
      <c r="X4727">
        <v>2</v>
      </c>
      <c r="Y4727">
        <v>0</v>
      </c>
      <c r="AA4727">
        <v>1</v>
      </c>
      <c r="AB4727">
        <v>8</v>
      </c>
      <c r="AC4727">
        <v>3</v>
      </c>
      <c r="AD4727">
        <v>0</v>
      </c>
      <c r="AE4727">
        <v>9</v>
      </c>
      <c r="AF4727" t="s">
        <v>138</v>
      </c>
      <c r="AG4727">
        <v>0</v>
      </c>
      <c r="AH4727">
        <v>3</v>
      </c>
      <c r="AI4727">
        <v>2</v>
      </c>
      <c r="AJ4727">
        <v>0</v>
      </c>
      <c r="AK4727" t="s">
        <v>1508</v>
      </c>
      <c r="AL4727">
        <v>39.220655000000001</v>
      </c>
      <c r="AM4727" t="s">
        <v>1509</v>
      </c>
      <c r="AN4727">
        <v>-121.00054299999999</v>
      </c>
      <c r="AO4727">
        <v>25</v>
      </c>
      <c r="AP4727">
        <v>4100</v>
      </c>
      <c r="AQ4727" t="s">
        <v>131</v>
      </c>
      <c r="AR4727">
        <v>10</v>
      </c>
      <c r="AS4727">
        <v>87</v>
      </c>
      <c r="AT4727">
        <v>-192</v>
      </c>
      <c r="BB4727" t="str">
        <f t="shared" si="1852"/>
        <v>1200</v>
      </c>
      <c r="BC4727">
        <v>1</v>
      </c>
      <c r="BD4727" t="str">
        <f t="shared" si="1853"/>
        <v xml:space="preserve">N52156  </v>
      </c>
      <c r="BE4727">
        <v>1</v>
      </c>
      <c r="BG4727">
        <v>0</v>
      </c>
      <c r="BH4727">
        <v>0</v>
      </c>
      <c r="BI4727">
        <v>0</v>
      </c>
      <c r="BJ4727">
        <v>4150</v>
      </c>
      <c r="BK4727">
        <v>50</v>
      </c>
      <c r="BL4727" t="s">
        <v>188</v>
      </c>
      <c r="BM4727">
        <v>1</v>
      </c>
      <c r="BN4727">
        <v>1</v>
      </c>
      <c r="BO4727">
        <v>0</v>
      </c>
      <c r="BP4727">
        <v>0</v>
      </c>
      <c r="BS4727">
        <v>0</v>
      </c>
      <c r="BT4727">
        <v>0</v>
      </c>
      <c r="BU4727">
        <v>0</v>
      </c>
      <c r="CE4727" t="str">
        <f t="shared" si="1871"/>
        <v>15:17:39.850</v>
      </c>
      <c r="CF4727">
        <v>850259990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4</v>
      </c>
      <c r="CY4727">
        <v>7</v>
      </c>
      <c r="CZ4727" t="s">
        <v>133</v>
      </c>
      <c r="DA4727">
        <v>275</v>
      </c>
      <c r="DB4727">
        <v>0</v>
      </c>
      <c r="DC4727" t="s">
        <v>134</v>
      </c>
      <c r="DD4727" t="s">
        <v>135</v>
      </c>
      <c r="DG4727">
        <v>3323363</v>
      </c>
      <c r="DI4727">
        <v>1</v>
      </c>
      <c r="DJ4727">
        <v>0</v>
      </c>
      <c r="DK4727">
        <v>1</v>
      </c>
      <c r="DL4727">
        <v>0</v>
      </c>
      <c r="DM4727">
        <v>0</v>
      </c>
      <c r="DN4727">
        <v>0</v>
      </c>
      <c r="DO4727">
        <v>0</v>
      </c>
      <c r="DP4727">
        <v>0</v>
      </c>
      <c r="DQ4727">
        <v>0</v>
      </c>
      <c r="DR4727">
        <v>0</v>
      </c>
      <c r="DS4727">
        <v>0</v>
      </c>
    </row>
    <row r="4728" spans="1:123" x14ac:dyDescent="0.3">
      <c r="A4728" t="str">
        <f>"05/01/2025 15:17:40.113"</f>
        <v>05/01/2025 15:17:40.113</v>
      </c>
      <c r="C4728" t="str">
        <f t="shared" si="1850"/>
        <v>FFDFD3C0</v>
      </c>
      <c r="D4728" t="s">
        <v>145</v>
      </c>
      <c r="E4728" t="str">
        <f>"09"</f>
        <v>09</v>
      </c>
      <c r="H4728">
        <v>51</v>
      </c>
      <c r="I4728" t="s">
        <v>147</v>
      </c>
      <c r="J4728" t="s">
        <v>138</v>
      </c>
      <c r="K4728">
        <v>0</v>
      </c>
      <c r="L4728">
        <v>3</v>
      </c>
      <c r="M4728">
        <v>0</v>
      </c>
      <c r="N4728">
        <v>2</v>
      </c>
      <c r="O4728">
        <v>0</v>
      </c>
      <c r="P4728">
        <v>1</v>
      </c>
      <c r="Q4728">
        <v>0</v>
      </c>
      <c r="R4728" t="s">
        <v>127</v>
      </c>
      <c r="S4728" t="str">
        <f t="shared" si="1870"/>
        <v>15:17:39.000</v>
      </c>
      <c r="T4728" t="str">
        <f t="shared" si="1870"/>
        <v>15:17:39.000</v>
      </c>
      <c r="U4728" t="str">
        <f t="shared" si="1851"/>
        <v>A68FCB</v>
      </c>
      <c r="V4728">
        <v>0</v>
      </c>
      <c r="W4728">
        <v>0</v>
      </c>
      <c r="X4728">
        <v>2</v>
      </c>
      <c r="Y4728">
        <v>0</v>
      </c>
      <c r="AA4728">
        <v>1</v>
      </c>
      <c r="AB4728">
        <v>8</v>
      </c>
      <c r="AC4728">
        <v>3</v>
      </c>
      <c r="AD4728">
        <v>0</v>
      </c>
      <c r="AE4728">
        <v>9</v>
      </c>
      <c r="AF4728" t="s">
        <v>138</v>
      </c>
      <c r="AG4728">
        <v>0</v>
      </c>
      <c r="AH4728">
        <v>3</v>
      </c>
      <c r="AI4728">
        <v>2</v>
      </c>
      <c r="AJ4728">
        <v>0</v>
      </c>
      <c r="AK4728" t="s">
        <v>1508</v>
      </c>
      <c r="AL4728">
        <v>39.220655000000001</v>
      </c>
      <c r="AM4728" t="s">
        <v>1509</v>
      </c>
      <c r="AN4728">
        <v>-121.00054299999999</v>
      </c>
      <c r="AO4728">
        <v>25</v>
      </c>
      <c r="AP4728">
        <v>4100</v>
      </c>
      <c r="AQ4728" t="s">
        <v>131</v>
      </c>
      <c r="AR4728">
        <v>10</v>
      </c>
      <c r="AS4728">
        <v>87</v>
      </c>
      <c r="AT4728">
        <v>-192</v>
      </c>
      <c r="BB4728" t="str">
        <f t="shared" si="1852"/>
        <v>1200</v>
      </c>
      <c r="BC4728">
        <v>1</v>
      </c>
      <c r="BD4728" t="str">
        <f t="shared" si="1853"/>
        <v xml:space="preserve">N52156  </v>
      </c>
      <c r="BE4728">
        <v>1</v>
      </c>
      <c r="BG4728">
        <v>0</v>
      </c>
      <c r="BH4728">
        <v>0</v>
      </c>
      <c r="BI4728">
        <v>0</v>
      </c>
      <c r="BJ4728">
        <v>4150</v>
      </c>
      <c r="BK4728">
        <v>50</v>
      </c>
      <c r="BL4728" t="s">
        <v>188</v>
      </c>
      <c r="BM4728">
        <v>1</v>
      </c>
      <c r="BN4728">
        <v>1</v>
      </c>
      <c r="BO4728">
        <v>0</v>
      </c>
      <c r="BP4728">
        <v>0</v>
      </c>
      <c r="BS4728">
        <v>0</v>
      </c>
      <c r="BT4728">
        <v>0</v>
      </c>
      <c r="BU4728">
        <v>0</v>
      </c>
      <c r="CE4728" t="str">
        <f t="shared" si="1871"/>
        <v>15:17:39.850</v>
      </c>
      <c r="CF4728">
        <v>850259990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4</v>
      </c>
      <c r="CY4728">
        <v>7</v>
      </c>
      <c r="CZ4728" t="s">
        <v>133</v>
      </c>
      <c r="DA4728">
        <v>275</v>
      </c>
      <c r="DB4728">
        <v>0</v>
      </c>
      <c r="DC4728" t="s">
        <v>134</v>
      </c>
      <c r="DD4728" t="s">
        <v>135</v>
      </c>
      <c r="DG4728">
        <v>3323363</v>
      </c>
      <c r="DI4728">
        <v>1</v>
      </c>
      <c r="DJ4728">
        <v>0</v>
      </c>
      <c r="DK4728">
        <v>1</v>
      </c>
      <c r="DL4728">
        <v>0</v>
      </c>
      <c r="DM4728">
        <v>0</v>
      </c>
      <c r="DN4728">
        <v>0</v>
      </c>
      <c r="DO4728">
        <v>0</v>
      </c>
      <c r="DP4728">
        <v>0</v>
      </c>
      <c r="DQ4728">
        <v>0</v>
      </c>
      <c r="DR4728">
        <v>0</v>
      </c>
      <c r="DS4728">
        <v>0</v>
      </c>
    </row>
    <row r="4729" spans="1:123" x14ac:dyDescent="0.3">
      <c r="A4729" t="str">
        <f>"05/01/2025 15:17:40.118"</f>
        <v>05/01/2025 15:17:40.118</v>
      </c>
      <c r="C4729" t="str">
        <f t="shared" si="1850"/>
        <v>FFDFD3C0</v>
      </c>
      <c r="D4729" t="s">
        <v>145</v>
      </c>
      <c r="E4729" t="str">
        <f>"05"</f>
        <v>05</v>
      </c>
      <c r="H4729">
        <v>47</v>
      </c>
      <c r="I4729" t="s">
        <v>146</v>
      </c>
      <c r="J4729" t="s">
        <v>138</v>
      </c>
      <c r="K4729">
        <v>0</v>
      </c>
      <c r="L4729">
        <v>3</v>
      </c>
      <c r="M4729">
        <v>0</v>
      </c>
      <c r="N4729">
        <v>2</v>
      </c>
      <c r="O4729">
        <v>0</v>
      </c>
      <c r="P4729">
        <v>1</v>
      </c>
      <c r="Q4729">
        <v>0</v>
      </c>
      <c r="R4729" t="s">
        <v>127</v>
      </c>
      <c r="S4729" t="str">
        <f t="shared" si="1870"/>
        <v>15:17:39.000</v>
      </c>
      <c r="T4729" t="str">
        <f t="shared" si="1870"/>
        <v>15:17:39.000</v>
      </c>
      <c r="U4729" t="str">
        <f t="shared" si="1851"/>
        <v>A68FCB</v>
      </c>
      <c r="V4729">
        <v>0</v>
      </c>
      <c r="W4729">
        <v>0</v>
      </c>
      <c r="X4729">
        <v>2</v>
      </c>
      <c r="Y4729">
        <v>0</v>
      </c>
      <c r="AA4729">
        <v>1</v>
      </c>
      <c r="AB4729">
        <v>8</v>
      </c>
      <c r="AC4729">
        <v>3</v>
      </c>
      <c r="AD4729">
        <v>0</v>
      </c>
      <c r="AE4729">
        <v>9</v>
      </c>
      <c r="AF4729" t="s">
        <v>138</v>
      </c>
      <c r="AG4729">
        <v>0</v>
      </c>
      <c r="AH4729">
        <v>3</v>
      </c>
      <c r="AI4729">
        <v>2</v>
      </c>
      <c r="AJ4729">
        <v>0</v>
      </c>
      <c r="AK4729" t="s">
        <v>1508</v>
      </c>
      <c r="AL4729">
        <v>39.220655000000001</v>
      </c>
      <c r="AM4729" t="s">
        <v>1509</v>
      </c>
      <c r="AN4729">
        <v>-121.00054299999999</v>
      </c>
      <c r="AO4729">
        <v>25</v>
      </c>
      <c r="AP4729">
        <v>4100</v>
      </c>
      <c r="AQ4729" t="s">
        <v>131</v>
      </c>
      <c r="AR4729">
        <v>10</v>
      </c>
      <c r="AS4729">
        <v>87</v>
      </c>
      <c r="AT4729">
        <v>-192</v>
      </c>
      <c r="BB4729" t="str">
        <f t="shared" si="1852"/>
        <v>1200</v>
      </c>
      <c r="BC4729">
        <v>1</v>
      </c>
      <c r="BD4729" t="str">
        <f t="shared" si="1853"/>
        <v xml:space="preserve">N52156  </v>
      </c>
      <c r="BE4729">
        <v>1</v>
      </c>
      <c r="BG4729">
        <v>0</v>
      </c>
      <c r="BH4729">
        <v>0</v>
      </c>
      <c r="BI4729">
        <v>0</v>
      </c>
      <c r="BJ4729">
        <v>4150</v>
      </c>
      <c r="BK4729">
        <v>50</v>
      </c>
      <c r="BL4729" t="s">
        <v>188</v>
      </c>
      <c r="BM4729">
        <v>1</v>
      </c>
      <c r="BN4729">
        <v>1</v>
      </c>
      <c r="BO4729">
        <v>0</v>
      </c>
      <c r="BP4729">
        <v>0</v>
      </c>
      <c r="BS4729">
        <v>0</v>
      </c>
      <c r="BT4729">
        <v>0</v>
      </c>
      <c r="BU4729">
        <v>0</v>
      </c>
      <c r="CE4729" t="str">
        <f t="shared" si="1871"/>
        <v>15:17:39.850</v>
      </c>
      <c r="CF4729">
        <v>850259990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4</v>
      </c>
      <c r="CY4729">
        <v>7</v>
      </c>
      <c r="CZ4729" t="s">
        <v>133</v>
      </c>
      <c r="DA4729">
        <v>275</v>
      </c>
      <c r="DB4729">
        <v>0</v>
      </c>
      <c r="DC4729" t="s">
        <v>134</v>
      </c>
      <c r="DD4729" t="s">
        <v>135</v>
      </c>
      <c r="DG4729">
        <v>3323363</v>
      </c>
      <c r="DI4729">
        <v>1</v>
      </c>
      <c r="DJ4729">
        <v>0</v>
      </c>
      <c r="DK4729">
        <v>1</v>
      </c>
      <c r="DL4729">
        <v>0</v>
      </c>
      <c r="DM4729">
        <v>0</v>
      </c>
      <c r="DN4729">
        <v>0</v>
      </c>
      <c r="DO4729">
        <v>0</v>
      </c>
      <c r="DP4729">
        <v>0</v>
      </c>
      <c r="DQ4729">
        <v>0</v>
      </c>
      <c r="DR4729">
        <v>0</v>
      </c>
      <c r="DS4729">
        <v>0</v>
      </c>
    </row>
    <row r="4730" spans="1:123" x14ac:dyDescent="0.3">
      <c r="A4730" t="str">
        <f>"05/01/2025 15:17:40.500"</f>
        <v>05/01/2025 15:17:40.500</v>
      </c>
      <c r="C4730" t="str">
        <f t="shared" si="1850"/>
        <v>FFDFD3C0</v>
      </c>
      <c r="D4730" t="s">
        <v>143</v>
      </c>
      <c r="E4730" t="str">
        <f>"05"</f>
        <v>05</v>
      </c>
      <c r="H4730">
        <v>172</v>
      </c>
      <c r="I4730" t="s">
        <v>141</v>
      </c>
      <c r="J4730" t="s">
        <v>144</v>
      </c>
      <c r="K4730">
        <v>0</v>
      </c>
      <c r="L4730">
        <v>3</v>
      </c>
      <c r="M4730">
        <v>0</v>
      </c>
      <c r="N4730">
        <v>2</v>
      </c>
      <c r="O4730">
        <v>0</v>
      </c>
      <c r="P4730">
        <v>1</v>
      </c>
      <c r="Q4730">
        <v>0</v>
      </c>
      <c r="R4730" t="s">
        <v>127</v>
      </c>
      <c r="S4730" t="str">
        <f t="shared" ref="S4730:T4735" si="1872">"15:17:40.000"</f>
        <v>15:17:40.000</v>
      </c>
      <c r="T4730" t="str">
        <f t="shared" si="1872"/>
        <v>15:17:40.000</v>
      </c>
      <c r="U4730" t="str">
        <f t="shared" si="1851"/>
        <v>A68FCB</v>
      </c>
      <c r="V4730">
        <v>0</v>
      </c>
      <c r="W4730">
        <v>0</v>
      </c>
      <c r="X4730">
        <v>2</v>
      </c>
      <c r="Y4730">
        <v>0</v>
      </c>
      <c r="AA4730">
        <v>1</v>
      </c>
      <c r="AB4730">
        <v>8</v>
      </c>
      <c r="AC4730">
        <v>3</v>
      </c>
      <c r="AD4730">
        <v>0</v>
      </c>
      <c r="AE4730">
        <v>9</v>
      </c>
      <c r="AF4730" t="s">
        <v>138</v>
      </c>
      <c r="AG4730">
        <v>0</v>
      </c>
      <c r="AH4730">
        <v>3</v>
      </c>
      <c r="AI4730">
        <v>2</v>
      </c>
      <c r="AJ4730">
        <v>0</v>
      </c>
      <c r="AK4730" t="s">
        <v>1510</v>
      </c>
      <c r="AL4730">
        <v>39.221063000000001</v>
      </c>
      <c r="AM4730" t="s">
        <v>1511</v>
      </c>
      <c r="AN4730">
        <v>-121.000478</v>
      </c>
      <c r="AO4730">
        <v>25</v>
      </c>
      <c r="AP4730">
        <v>4100</v>
      </c>
      <c r="AQ4730" t="s">
        <v>131</v>
      </c>
      <c r="AR4730">
        <v>8</v>
      </c>
      <c r="AS4730">
        <v>87</v>
      </c>
      <c r="AT4730">
        <v>-192</v>
      </c>
      <c r="BB4730" t="str">
        <f t="shared" si="1852"/>
        <v>1200</v>
      </c>
      <c r="BC4730">
        <v>1</v>
      </c>
      <c r="BD4730" t="str">
        <f t="shared" si="1853"/>
        <v xml:space="preserve">N52156  </v>
      </c>
      <c r="BE4730">
        <v>1</v>
      </c>
      <c r="BG4730">
        <v>0</v>
      </c>
      <c r="BH4730">
        <v>0</v>
      </c>
      <c r="BI4730">
        <v>0</v>
      </c>
      <c r="BJ4730">
        <v>4150</v>
      </c>
      <c r="BK4730">
        <v>50</v>
      </c>
      <c r="BL4730" t="s">
        <v>188</v>
      </c>
      <c r="BM4730">
        <v>1</v>
      </c>
      <c r="BN4730">
        <v>1</v>
      </c>
      <c r="BO4730">
        <v>0</v>
      </c>
      <c r="BP4730">
        <v>0</v>
      </c>
      <c r="BS4730">
        <v>0</v>
      </c>
      <c r="BT4730">
        <v>0</v>
      </c>
      <c r="BU4730">
        <v>0</v>
      </c>
      <c r="CE4730" t="str">
        <f t="shared" ref="CE4730:CE4735" si="1873">"15:17:40.305"</f>
        <v>15:17:40.305</v>
      </c>
      <c r="CF4730">
        <v>304758737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4</v>
      </c>
      <c r="CY4730">
        <v>7</v>
      </c>
      <c r="CZ4730" t="s">
        <v>133</v>
      </c>
      <c r="DA4730">
        <v>275</v>
      </c>
      <c r="DB4730">
        <v>0</v>
      </c>
      <c r="DC4730" t="s">
        <v>134</v>
      </c>
      <c r="DD4730" t="s">
        <v>135</v>
      </c>
      <c r="DG4730">
        <v>3323364</v>
      </c>
      <c r="DI4730">
        <v>1</v>
      </c>
      <c r="DJ4730">
        <v>0</v>
      </c>
      <c r="DK4730">
        <v>0</v>
      </c>
      <c r="DL4730">
        <v>0</v>
      </c>
      <c r="DM4730">
        <v>0</v>
      </c>
      <c r="DN4730">
        <v>0</v>
      </c>
      <c r="DO4730">
        <v>0</v>
      </c>
      <c r="DP4730">
        <v>0</v>
      </c>
      <c r="DQ4730">
        <v>0</v>
      </c>
      <c r="DR4730">
        <v>0</v>
      </c>
      <c r="DS4730">
        <v>0</v>
      </c>
    </row>
    <row r="4731" spans="1:123" x14ac:dyDescent="0.3">
      <c r="A4731" t="str">
        <f>"05/01/2025 15:17:40.514"</f>
        <v>05/01/2025 15:17:40.514</v>
      </c>
      <c r="C4731" t="str">
        <f t="shared" si="1850"/>
        <v>FFDFD3C0</v>
      </c>
      <c r="D4731" t="s">
        <v>145</v>
      </c>
      <c r="E4731" t="str">
        <f>"09"</f>
        <v>09</v>
      </c>
      <c r="H4731">
        <v>51</v>
      </c>
      <c r="I4731" t="s">
        <v>147</v>
      </c>
      <c r="J4731" t="s">
        <v>138</v>
      </c>
      <c r="K4731">
        <v>0</v>
      </c>
      <c r="L4731">
        <v>3</v>
      </c>
      <c r="M4731">
        <v>0</v>
      </c>
      <c r="N4731">
        <v>2</v>
      </c>
      <c r="O4731">
        <v>0</v>
      </c>
      <c r="P4731">
        <v>1</v>
      </c>
      <c r="Q4731">
        <v>0</v>
      </c>
      <c r="R4731" t="s">
        <v>127</v>
      </c>
      <c r="S4731" t="str">
        <f t="shared" si="1872"/>
        <v>15:17:40.000</v>
      </c>
      <c r="T4731" t="str">
        <f t="shared" si="1872"/>
        <v>15:17:40.000</v>
      </c>
      <c r="U4731" t="str">
        <f t="shared" si="1851"/>
        <v>A68FCB</v>
      </c>
      <c r="V4731">
        <v>0</v>
      </c>
      <c r="W4731">
        <v>0</v>
      </c>
      <c r="X4731">
        <v>2</v>
      </c>
      <c r="Y4731">
        <v>0</v>
      </c>
      <c r="AA4731">
        <v>1</v>
      </c>
      <c r="AB4731">
        <v>8</v>
      </c>
      <c r="AC4731">
        <v>3</v>
      </c>
      <c r="AD4731">
        <v>0</v>
      </c>
      <c r="AE4731">
        <v>9</v>
      </c>
      <c r="AF4731" t="s">
        <v>138</v>
      </c>
      <c r="AG4731">
        <v>0</v>
      </c>
      <c r="AH4731">
        <v>3</v>
      </c>
      <c r="AI4731">
        <v>2</v>
      </c>
      <c r="AJ4731">
        <v>0</v>
      </c>
      <c r="AK4731" t="s">
        <v>1510</v>
      </c>
      <c r="AL4731">
        <v>39.221063000000001</v>
      </c>
      <c r="AM4731" t="s">
        <v>1511</v>
      </c>
      <c r="AN4731">
        <v>-121.000478</v>
      </c>
      <c r="AO4731">
        <v>25</v>
      </c>
      <c r="AP4731">
        <v>4100</v>
      </c>
      <c r="AQ4731" t="s">
        <v>131</v>
      </c>
      <c r="AR4731">
        <v>8</v>
      </c>
      <c r="AS4731">
        <v>87</v>
      </c>
      <c r="AT4731">
        <v>-192</v>
      </c>
      <c r="BB4731" t="str">
        <f t="shared" si="1852"/>
        <v>1200</v>
      </c>
      <c r="BC4731">
        <v>1</v>
      </c>
      <c r="BD4731" t="str">
        <f t="shared" si="1853"/>
        <v xml:space="preserve">N52156  </v>
      </c>
      <c r="BE4731">
        <v>1</v>
      </c>
      <c r="BG4731">
        <v>0</v>
      </c>
      <c r="BH4731">
        <v>0</v>
      </c>
      <c r="BI4731">
        <v>0</v>
      </c>
      <c r="BJ4731">
        <v>4150</v>
      </c>
      <c r="BK4731">
        <v>50</v>
      </c>
      <c r="BL4731" t="s">
        <v>188</v>
      </c>
      <c r="BM4731">
        <v>1</v>
      </c>
      <c r="BN4731">
        <v>1</v>
      </c>
      <c r="BO4731">
        <v>0</v>
      </c>
      <c r="BP4731">
        <v>0</v>
      </c>
      <c r="BS4731">
        <v>0</v>
      </c>
      <c r="BT4731">
        <v>0</v>
      </c>
      <c r="BU4731">
        <v>0</v>
      </c>
      <c r="CE4731" t="str">
        <f t="shared" si="1873"/>
        <v>15:17:40.305</v>
      </c>
      <c r="CF4731">
        <v>304758737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4</v>
      </c>
      <c r="CY4731">
        <v>7</v>
      </c>
      <c r="CZ4731" t="s">
        <v>133</v>
      </c>
      <c r="DA4731">
        <v>275</v>
      </c>
      <c r="DB4731">
        <v>0</v>
      </c>
      <c r="DC4731" t="s">
        <v>134</v>
      </c>
      <c r="DD4731" t="s">
        <v>135</v>
      </c>
      <c r="DG4731">
        <v>3323364</v>
      </c>
      <c r="DI4731">
        <v>1</v>
      </c>
      <c r="DJ4731">
        <v>0</v>
      </c>
      <c r="DK4731">
        <v>1</v>
      </c>
      <c r="DL4731">
        <v>0</v>
      </c>
      <c r="DM4731">
        <v>0</v>
      </c>
      <c r="DN4731">
        <v>0</v>
      </c>
      <c r="DO4731">
        <v>0</v>
      </c>
      <c r="DP4731">
        <v>0</v>
      </c>
      <c r="DQ4731">
        <v>0</v>
      </c>
      <c r="DR4731">
        <v>0</v>
      </c>
      <c r="DS4731">
        <v>0</v>
      </c>
    </row>
    <row r="4732" spans="1:123" x14ac:dyDescent="0.3">
      <c r="A4732" t="str">
        <f>"05/01/2025 15:17:40.518"</f>
        <v>05/01/2025 15:17:40.518</v>
      </c>
      <c r="C4732" t="str">
        <f t="shared" si="1850"/>
        <v>FFDFD3C0</v>
      </c>
      <c r="D4732" t="s">
        <v>145</v>
      </c>
      <c r="E4732" t="str">
        <f>"05"</f>
        <v>05</v>
      </c>
      <c r="H4732">
        <v>47</v>
      </c>
      <c r="I4732" t="s">
        <v>146</v>
      </c>
      <c r="J4732" t="s">
        <v>138</v>
      </c>
      <c r="K4732">
        <v>0</v>
      </c>
      <c r="L4732">
        <v>3</v>
      </c>
      <c r="M4732">
        <v>0</v>
      </c>
      <c r="N4732">
        <v>2</v>
      </c>
      <c r="O4732">
        <v>0</v>
      </c>
      <c r="P4732">
        <v>1</v>
      </c>
      <c r="Q4732">
        <v>0</v>
      </c>
      <c r="R4732" t="s">
        <v>127</v>
      </c>
      <c r="S4732" t="str">
        <f t="shared" si="1872"/>
        <v>15:17:40.000</v>
      </c>
      <c r="T4732" t="str">
        <f t="shared" si="1872"/>
        <v>15:17:40.000</v>
      </c>
      <c r="U4732" t="str">
        <f t="shared" si="1851"/>
        <v>A68FCB</v>
      </c>
      <c r="V4732">
        <v>0</v>
      </c>
      <c r="W4732">
        <v>0</v>
      </c>
      <c r="X4732">
        <v>2</v>
      </c>
      <c r="Y4732">
        <v>0</v>
      </c>
      <c r="AA4732">
        <v>1</v>
      </c>
      <c r="AB4732">
        <v>8</v>
      </c>
      <c r="AC4732">
        <v>3</v>
      </c>
      <c r="AD4732">
        <v>0</v>
      </c>
      <c r="AE4732">
        <v>9</v>
      </c>
      <c r="AF4732" t="s">
        <v>138</v>
      </c>
      <c r="AG4732">
        <v>0</v>
      </c>
      <c r="AH4732">
        <v>3</v>
      </c>
      <c r="AI4732">
        <v>2</v>
      </c>
      <c r="AJ4732">
        <v>0</v>
      </c>
      <c r="AK4732" t="s">
        <v>1510</v>
      </c>
      <c r="AL4732">
        <v>39.221063000000001</v>
      </c>
      <c r="AM4732" t="s">
        <v>1511</v>
      </c>
      <c r="AN4732">
        <v>-121.000478</v>
      </c>
      <c r="AO4732">
        <v>25</v>
      </c>
      <c r="AP4732">
        <v>4100</v>
      </c>
      <c r="AQ4732" t="s">
        <v>131</v>
      </c>
      <c r="AR4732">
        <v>8</v>
      </c>
      <c r="AS4732">
        <v>87</v>
      </c>
      <c r="AT4732">
        <v>-192</v>
      </c>
      <c r="BB4732" t="str">
        <f t="shared" si="1852"/>
        <v>1200</v>
      </c>
      <c r="BC4732">
        <v>1</v>
      </c>
      <c r="BD4732" t="str">
        <f t="shared" si="1853"/>
        <v xml:space="preserve">N52156  </v>
      </c>
      <c r="BE4732">
        <v>1</v>
      </c>
      <c r="BG4732">
        <v>0</v>
      </c>
      <c r="BH4732">
        <v>0</v>
      </c>
      <c r="BI4732">
        <v>0</v>
      </c>
      <c r="BJ4732">
        <v>4150</v>
      </c>
      <c r="BK4732">
        <v>50</v>
      </c>
      <c r="BL4732" t="s">
        <v>188</v>
      </c>
      <c r="BM4732">
        <v>1</v>
      </c>
      <c r="BN4732">
        <v>1</v>
      </c>
      <c r="BO4732">
        <v>0</v>
      </c>
      <c r="BP4732">
        <v>0</v>
      </c>
      <c r="BS4732">
        <v>0</v>
      </c>
      <c r="BT4732">
        <v>0</v>
      </c>
      <c r="BU4732">
        <v>0</v>
      </c>
      <c r="CE4732" t="str">
        <f t="shared" si="1873"/>
        <v>15:17:40.305</v>
      </c>
      <c r="CF4732">
        <v>304758737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4</v>
      </c>
      <c r="CY4732">
        <v>7</v>
      </c>
      <c r="CZ4732" t="s">
        <v>133</v>
      </c>
      <c r="DA4732">
        <v>275</v>
      </c>
      <c r="DB4732">
        <v>0</v>
      </c>
      <c r="DC4732" t="s">
        <v>134</v>
      </c>
      <c r="DD4732" t="s">
        <v>135</v>
      </c>
      <c r="DG4732">
        <v>3323364</v>
      </c>
      <c r="DI4732">
        <v>1</v>
      </c>
      <c r="DJ4732">
        <v>0</v>
      </c>
      <c r="DK4732">
        <v>1</v>
      </c>
      <c r="DL4732">
        <v>0</v>
      </c>
      <c r="DM4732">
        <v>0</v>
      </c>
      <c r="DN4732">
        <v>0</v>
      </c>
      <c r="DO4732">
        <v>0</v>
      </c>
      <c r="DP4732">
        <v>0</v>
      </c>
      <c r="DQ4732">
        <v>0</v>
      </c>
      <c r="DR4732">
        <v>0</v>
      </c>
      <c r="DS4732">
        <v>0</v>
      </c>
    </row>
    <row r="4733" spans="1:123" x14ac:dyDescent="0.3">
      <c r="A4733" t="str">
        <f>"05/01/2025 15:17:40.527"</f>
        <v>05/01/2025 15:17:40.527</v>
      </c>
      <c r="C4733" t="str">
        <f t="shared" si="1850"/>
        <v>FFDFD3C0</v>
      </c>
      <c r="D4733" t="s">
        <v>136</v>
      </c>
      <c r="E4733" t="str">
        <f>"20"</f>
        <v>20</v>
      </c>
      <c r="H4733">
        <v>400</v>
      </c>
      <c r="I4733" t="s">
        <v>137</v>
      </c>
      <c r="J4733" t="s">
        <v>138</v>
      </c>
      <c r="K4733">
        <v>0</v>
      </c>
      <c r="L4733">
        <v>3</v>
      </c>
      <c r="M4733">
        <v>0</v>
      </c>
      <c r="N4733">
        <v>2</v>
      </c>
      <c r="O4733">
        <v>0</v>
      </c>
      <c r="P4733">
        <v>1</v>
      </c>
      <c r="Q4733">
        <v>0</v>
      </c>
      <c r="R4733" t="s">
        <v>127</v>
      </c>
      <c r="S4733" t="str">
        <f t="shared" si="1872"/>
        <v>15:17:40.000</v>
      </c>
      <c r="T4733" t="str">
        <f t="shared" si="1872"/>
        <v>15:17:40.000</v>
      </c>
      <c r="U4733" t="str">
        <f t="shared" si="1851"/>
        <v>A68FCB</v>
      </c>
      <c r="V4733">
        <v>0</v>
      </c>
      <c r="W4733">
        <v>0</v>
      </c>
      <c r="X4733">
        <v>2</v>
      </c>
      <c r="Y4733">
        <v>0</v>
      </c>
      <c r="AA4733">
        <v>1</v>
      </c>
      <c r="AB4733">
        <v>8</v>
      </c>
      <c r="AC4733">
        <v>3</v>
      </c>
      <c r="AD4733">
        <v>0</v>
      </c>
      <c r="AE4733">
        <v>9</v>
      </c>
      <c r="AF4733" t="s">
        <v>138</v>
      </c>
      <c r="AG4733">
        <v>0</v>
      </c>
      <c r="AH4733">
        <v>3</v>
      </c>
      <c r="AI4733">
        <v>2</v>
      </c>
      <c r="AJ4733">
        <v>0</v>
      </c>
      <c r="AK4733" t="s">
        <v>1510</v>
      </c>
      <c r="AL4733">
        <v>39.221063000000001</v>
      </c>
      <c r="AM4733" t="s">
        <v>1511</v>
      </c>
      <c r="AN4733">
        <v>-121.000478</v>
      </c>
      <c r="AO4733">
        <v>25</v>
      </c>
      <c r="AP4733">
        <v>4100</v>
      </c>
      <c r="AQ4733" t="s">
        <v>131</v>
      </c>
      <c r="AR4733">
        <v>8</v>
      </c>
      <c r="AS4733">
        <v>87</v>
      </c>
      <c r="AT4733">
        <v>-192</v>
      </c>
      <c r="BB4733" t="str">
        <f t="shared" si="1852"/>
        <v>1200</v>
      </c>
      <c r="BC4733">
        <v>1</v>
      </c>
      <c r="BD4733" t="str">
        <f t="shared" si="1853"/>
        <v xml:space="preserve">N52156  </v>
      </c>
      <c r="BE4733">
        <v>1</v>
      </c>
      <c r="BG4733">
        <v>0</v>
      </c>
      <c r="BH4733">
        <v>0</v>
      </c>
      <c r="BI4733">
        <v>0</v>
      </c>
      <c r="BJ4733">
        <v>4150</v>
      </c>
      <c r="BK4733">
        <v>50</v>
      </c>
      <c r="BL4733" t="s">
        <v>188</v>
      </c>
      <c r="BM4733">
        <v>1</v>
      </c>
      <c r="BN4733">
        <v>1</v>
      </c>
      <c r="BO4733">
        <v>0</v>
      </c>
      <c r="BP4733">
        <v>0</v>
      </c>
      <c r="BS4733">
        <v>0</v>
      </c>
      <c r="BT4733">
        <v>0</v>
      </c>
      <c r="BU4733">
        <v>0</v>
      </c>
      <c r="CE4733" t="str">
        <f t="shared" si="1873"/>
        <v>15:17:40.305</v>
      </c>
      <c r="CF4733">
        <v>304758737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4</v>
      </c>
      <c r="CY4733">
        <v>7</v>
      </c>
      <c r="CZ4733" t="s">
        <v>133</v>
      </c>
      <c r="DA4733">
        <v>275</v>
      </c>
      <c r="DB4733">
        <v>0</v>
      </c>
      <c r="DC4733" t="s">
        <v>134</v>
      </c>
      <c r="DD4733" t="s">
        <v>135</v>
      </c>
      <c r="DG4733">
        <v>3323364</v>
      </c>
      <c r="DI4733">
        <v>1</v>
      </c>
      <c r="DJ4733">
        <v>0</v>
      </c>
      <c r="DK4733">
        <v>1</v>
      </c>
      <c r="DL4733">
        <v>0</v>
      </c>
      <c r="DM4733">
        <v>0</v>
      </c>
      <c r="DN4733">
        <v>0</v>
      </c>
      <c r="DO4733">
        <v>0</v>
      </c>
      <c r="DP4733">
        <v>0</v>
      </c>
      <c r="DQ4733">
        <v>0</v>
      </c>
      <c r="DR4733">
        <v>0</v>
      </c>
      <c r="DS4733">
        <v>0</v>
      </c>
    </row>
    <row r="4734" spans="1:123" x14ac:dyDescent="0.3">
      <c r="A4734" t="str">
        <f>"05/01/2025 15:17:40.543"</f>
        <v>05/01/2025 15:17:40.543</v>
      </c>
      <c r="C4734" t="str">
        <f t="shared" si="1850"/>
        <v>FFDFD3C0</v>
      </c>
      <c r="D4734" t="s">
        <v>140</v>
      </c>
      <c r="E4734" t="str">
        <f>"13"</f>
        <v>13</v>
      </c>
      <c r="F4734">
        <v>1019</v>
      </c>
      <c r="G4734" t="s">
        <v>141</v>
      </c>
      <c r="J4734" t="s">
        <v>142</v>
      </c>
      <c r="K4734">
        <v>0</v>
      </c>
      <c r="L4734">
        <v>3</v>
      </c>
      <c r="M4734">
        <v>0</v>
      </c>
      <c r="N4734">
        <v>2</v>
      </c>
      <c r="O4734">
        <v>0</v>
      </c>
      <c r="P4734">
        <v>1</v>
      </c>
      <c r="Q4734">
        <v>0</v>
      </c>
      <c r="R4734" t="s">
        <v>127</v>
      </c>
      <c r="S4734" t="str">
        <f t="shared" si="1872"/>
        <v>15:17:40.000</v>
      </c>
      <c r="T4734" t="str">
        <f t="shared" si="1872"/>
        <v>15:17:40.000</v>
      </c>
      <c r="U4734" t="str">
        <f t="shared" si="1851"/>
        <v>A68FCB</v>
      </c>
      <c r="V4734">
        <v>0</v>
      </c>
      <c r="W4734">
        <v>0</v>
      </c>
      <c r="X4734">
        <v>2</v>
      </c>
      <c r="Y4734">
        <v>0</v>
      </c>
      <c r="AA4734">
        <v>1</v>
      </c>
      <c r="AB4734">
        <v>8</v>
      </c>
      <c r="AC4734">
        <v>3</v>
      </c>
      <c r="AD4734">
        <v>0</v>
      </c>
      <c r="AE4734">
        <v>9</v>
      </c>
      <c r="AF4734" t="s">
        <v>138</v>
      </c>
      <c r="AG4734">
        <v>0</v>
      </c>
      <c r="AH4734">
        <v>3</v>
      </c>
      <c r="AI4734">
        <v>2</v>
      </c>
      <c r="AJ4734">
        <v>0</v>
      </c>
      <c r="AK4734" t="s">
        <v>1510</v>
      </c>
      <c r="AL4734">
        <v>39.221063000000001</v>
      </c>
      <c r="AM4734" t="s">
        <v>1511</v>
      </c>
      <c r="AN4734">
        <v>-121.000478</v>
      </c>
      <c r="AO4734">
        <v>25</v>
      </c>
      <c r="AP4734">
        <v>4100</v>
      </c>
      <c r="AQ4734" t="s">
        <v>131</v>
      </c>
      <c r="AR4734">
        <v>8</v>
      </c>
      <c r="AS4734">
        <v>87</v>
      </c>
      <c r="AT4734">
        <v>-192</v>
      </c>
      <c r="BB4734" t="str">
        <f t="shared" si="1852"/>
        <v>1200</v>
      </c>
      <c r="BC4734">
        <v>1</v>
      </c>
      <c r="BD4734" t="str">
        <f t="shared" si="1853"/>
        <v xml:space="preserve">N52156  </v>
      </c>
      <c r="BE4734">
        <v>1</v>
      </c>
      <c r="BG4734">
        <v>0</v>
      </c>
      <c r="BH4734">
        <v>0</v>
      </c>
      <c r="BI4734">
        <v>0</v>
      </c>
      <c r="BJ4734">
        <v>4150</v>
      </c>
      <c r="BK4734">
        <v>50</v>
      </c>
      <c r="BL4734" t="s">
        <v>188</v>
      </c>
      <c r="BM4734">
        <v>1</v>
      </c>
      <c r="BN4734">
        <v>1</v>
      </c>
      <c r="BO4734">
        <v>0</v>
      </c>
      <c r="BP4734">
        <v>0</v>
      </c>
      <c r="BS4734">
        <v>0</v>
      </c>
      <c r="BT4734">
        <v>0</v>
      </c>
      <c r="BU4734">
        <v>0</v>
      </c>
      <c r="CE4734" t="str">
        <f t="shared" si="1873"/>
        <v>15:17:40.305</v>
      </c>
      <c r="CF4734">
        <v>304758737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4</v>
      </c>
      <c r="CY4734">
        <v>7</v>
      </c>
      <c r="CZ4734" t="s">
        <v>133</v>
      </c>
      <c r="DA4734">
        <v>275</v>
      </c>
      <c r="DB4734">
        <v>0</v>
      </c>
      <c r="DC4734" t="s">
        <v>134</v>
      </c>
      <c r="DD4734" t="s">
        <v>135</v>
      </c>
      <c r="DG4734">
        <v>3323364</v>
      </c>
      <c r="DI4734">
        <v>1</v>
      </c>
      <c r="DJ4734">
        <v>0</v>
      </c>
      <c r="DK4734">
        <v>1</v>
      </c>
      <c r="DL4734">
        <v>0</v>
      </c>
      <c r="DM4734">
        <v>0</v>
      </c>
      <c r="DN4734">
        <v>0</v>
      </c>
      <c r="DO4734">
        <v>0</v>
      </c>
      <c r="DP4734">
        <v>0</v>
      </c>
      <c r="DQ4734">
        <v>0</v>
      </c>
      <c r="DR4734">
        <v>0</v>
      </c>
      <c r="DS4734">
        <v>0</v>
      </c>
    </row>
    <row r="4735" spans="1:123" x14ac:dyDescent="0.3">
      <c r="A4735" t="str">
        <f>"05/01/2025 15:17:40.545"</f>
        <v>05/01/2025 15:17:40.545</v>
      </c>
      <c r="C4735" t="str">
        <f t="shared" si="1850"/>
        <v>FFDFD3C0</v>
      </c>
      <c r="D4735" t="s">
        <v>124</v>
      </c>
      <c r="E4735" t="str">
        <f>"06"</f>
        <v>06</v>
      </c>
      <c r="F4735">
        <v>2006</v>
      </c>
      <c r="G4735" t="s">
        <v>125</v>
      </c>
      <c r="J4735" t="s">
        <v>126</v>
      </c>
      <c r="K4735">
        <v>0</v>
      </c>
      <c r="L4735">
        <v>3</v>
      </c>
      <c r="M4735">
        <v>0</v>
      </c>
      <c r="N4735">
        <v>2</v>
      </c>
      <c r="O4735">
        <v>0</v>
      </c>
      <c r="P4735">
        <v>1</v>
      </c>
      <c r="Q4735">
        <v>0</v>
      </c>
      <c r="R4735" t="s">
        <v>127</v>
      </c>
      <c r="S4735" t="str">
        <f t="shared" si="1872"/>
        <v>15:17:40.000</v>
      </c>
      <c r="T4735" t="str">
        <f t="shared" si="1872"/>
        <v>15:17:40.000</v>
      </c>
      <c r="U4735" t="str">
        <f t="shared" si="1851"/>
        <v>A68FCB</v>
      </c>
      <c r="V4735">
        <v>0</v>
      </c>
      <c r="W4735">
        <v>0</v>
      </c>
      <c r="X4735">
        <v>2</v>
      </c>
      <c r="Y4735">
        <v>0</v>
      </c>
      <c r="AA4735">
        <v>1</v>
      </c>
      <c r="AB4735">
        <v>8</v>
      </c>
      <c r="AC4735">
        <v>3</v>
      </c>
      <c r="AD4735">
        <v>0</v>
      </c>
      <c r="AE4735">
        <v>9</v>
      </c>
      <c r="AF4735" t="s">
        <v>138</v>
      </c>
      <c r="AG4735">
        <v>0</v>
      </c>
      <c r="AH4735">
        <v>3</v>
      </c>
      <c r="AI4735">
        <v>2</v>
      </c>
      <c r="AJ4735">
        <v>0</v>
      </c>
      <c r="AK4735" t="s">
        <v>1510</v>
      </c>
      <c r="AL4735">
        <v>39.221063000000001</v>
      </c>
      <c r="AM4735" t="s">
        <v>1511</v>
      </c>
      <c r="AN4735">
        <v>-121.000478</v>
      </c>
      <c r="AO4735">
        <v>25</v>
      </c>
      <c r="AP4735">
        <v>4100</v>
      </c>
      <c r="AQ4735" t="s">
        <v>131</v>
      </c>
      <c r="AR4735">
        <v>8</v>
      </c>
      <c r="AS4735">
        <v>87</v>
      </c>
      <c r="AT4735">
        <v>-192</v>
      </c>
      <c r="BB4735" t="str">
        <f t="shared" si="1852"/>
        <v>1200</v>
      </c>
      <c r="BC4735">
        <v>1</v>
      </c>
      <c r="BD4735" t="str">
        <f t="shared" si="1853"/>
        <v xml:space="preserve">N52156  </v>
      </c>
      <c r="BE4735">
        <v>1</v>
      </c>
      <c r="BG4735">
        <v>0</v>
      </c>
      <c r="BH4735">
        <v>0</v>
      </c>
      <c r="BI4735">
        <v>0</v>
      </c>
      <c r="BJ4735">
        <v>4150</v>
      </c>
      <c r="BK4735">
        <v>50</v>
      </c>
      <c r="BL4735" t="s">
        <v>188</v>
      </c>
      <c r="BM4735">
        <v>1</v>
      </c>
      <c r="BN4735">
        <v>1</v>
      </c>
      <c r="BO4735">
        <v>0</v>
      </c>
      <c r="BP4735">
        <v>0</v>
      </c>
      <c r="BS4735">
        <v>0</v>
      </c>
      <c r="BT4735">
        <v>0</v>
      </c>
      <c r="BU4735">
        <v>0</v>
      </c>
      <c r="CE4735" t="str">
        <f t="shared" si="1873"/>
        <v>15:17:40.305</v>
      </c>
      <c r="CF4735">
        <v>304758737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4</v>
      </c>
      <c r="CY4735">
        <v>7</v>
      </c>
      <c r="CZ4735" t="s">
        <v>133</v>
      </c>
      <c r="DA4735">
        <v>275</v>
      </c>
      <c r="DB4735">
        <v>0</v>
      </c>
      <c r="DC4735" t="s">
        <v>134</v>
      </c>
      <c r="DD4735" t="s">
        <v>135</v>
      </c>
      <c r="DG4735">
        <v>3323364</v>
      </c>
      <c r="DI4735">
        <v>1</v>
      </c>
      <c r="DJ4735">
        <v>0</v>
      </c>
      <c r="DK4735">
        <v>1</v>
      </c>
      <c r="DL4735">
        <v>0</v>
      </c>
      <c r="DM4735">
        <v>0</v>
      </c>
      <c r="DN4735">
        <v>0</v>
      </c>
      <c r="DO4735">
        <v>0</v>
      </c>
      <c r="DP4735">
        <v>0</v>
      </c>
      <c r="DQ4735">
        <v>0</v>
      </c>
      <c r="DR4735">
        <v>0</v>
      </c>
      <c r="DS4735">
        <v>0</v>
      </c>
    </row>
    <row r="4736" spans="1:123" x14ac:dyDescent="0.3">
      <c r="A4736" t="str">
        <f>"05/01/2025 15:17:41.394"</f>
        <v>05/01/2025 15:17:41.394</v>
      </c>
      <c r="C4736" t="str">
        <f t="shared" si="1850"/>
        <v>FFDFD3C0</v>
      </c>
      <c r="D4736" t="s">
        <v>140</v>
      </c>
      <c r="E4736" t="str">
        <f>"13"</f>
        <v>13</v>
      </c>
      <c r="F4736">
        <v>1019</v>
      </c>
      <c r="G4736" t="s">
        <v>141</v>
      </c>
      <c r="J4736" t="s">
        <v>142</v>
      </c>
      <c r="K4736">
        <v>0</v>
      </c>
      <c r="L4736">
        <v>3</v>
      </c>
      <c r="M4736">
        <v>0</v>
      </c>
      <c r="N4736">
        <v>2</v>
      </c>
      <c r="O4736">
        <v>0</v>
      </c>
      <c r="P4736">
        <v>1</v>
      </c>
      <c r="Q4736">
        <v>0</v>
      </c>
      <c r="R4736" t="s">
        <v>127</v>
      </c>
      <c r="S4736" t="str">
        <f t="shared" ref="S4736:T4741" si="1874">"15:17:41.000"</f>
        <v>15:17:41.000</v>
      </c>
      <c r="T4736" t="str">
        <f t="shared" si="1874"/>
        <v>15:17:41.000</v>
      </c>
      <c r="U4736" t="str">
        <f t="shared" si="1851"/>
        <v>A68FCB</v>
      </c>
      <c r="V4736">
        <v>0</v>
      </c>
      <c r="W4736">
        <v>0</v>
      </c>
      <c r="X4736">
        <v>2</v>
      </c>
      <c r="Y4736">
        <v>0</v>
      </c>
      <c r="AA4736">
        <v>1</v>
      </c>
      <c r="AB4736">
        <v>8</v>
      </c>
      <c r="AC4736">
        <v>3</v>
      </c>
      <c r="AD4736">
        <v>0</v>
      </c>
      <c r="AE4736">
        <v>9</v>
      </c>
      <c r="AF4736" t="s">
        <v>138</v>
      </c>
      <c r="AG4736">
        <v>0</v>
      </c>
      <c r="AH4736">
        <v>3</v>
      </c>
      <c r="AI4736">
        <v>2</v>
      </c>
      <c r="AJ4736">
        <v>0</v>
      </c>
      <c r="AK4736" t="s">
        <v>1512</v>
      </c>
      <c r="AL4736">
        <v>39.221469999999997</v>
      </c>
      <c r="AM4736" t="s">
        <v>1513</v>
      </c>
      <c r="AN4736">
        <v>-121.000435</v>
      </c>
      <c r="AO4736">
        <v>25</v>
      </c>
      <c r="AP4736">
        <v>4100</v>
      </c>
      <c r="AQ4736" t="s">
        <v>131</v>
      </c>
      <c r="AR4736">
        <v>6</v>
      </c>
      <c r="AS4736">
        <v>88</v>
      </c>
      <c r="AT4736">
        <v>-128</v>
      </c>
      <c r="BB4736" t="str">
        <f t="shared" si="1852"/>
        <v>1200</v>
      </c>
      <c r="BC4736">
        <v>1</v>
      </c>
      <c r="BD4736" t="str">
        <f t="shared" si="1853"/>
        <v xml:space="preserve">N52156  </v>
      </c>
      <c r="BE4736">
        <v>1</v>
      </c>
      <c r="BG4736">
        <v>0</v>
      </c>
      <c r="BH4736">
        <v>0</v>
      </c>
      <c r="BI4736">
        <v>0</v>
      </c>
      <c r="BJ4736">
        <v>4150</v>
      </c>
      <c r="BK4736">
        <v>50</v>
      </c>
      <c r="BL4736" t="s">
        <v>188</v>
      </c>
      <c r="BM4736">
        <v>1</v>
      </c>
      <c r="BN4736">
        <v>1</v>
      </c>
      <c r="BO4736">
        <v>0</v>
      </c>
      <c r="BP4736">
        <v>0</v>
      </c>
      <c r="BS4736">
        <v>0</v>
      </c>
      <c r="BT4736">
        <v>0</v>
      </c>
      <c r="BU4736">
        <v>0</v>
      </c>
      <c r="CE4736" t="str">
        <f t="shared" ref="CE4736:CE4741" si="1875">"15:17:41.196"</f>
        <v>15:17:41.196</v>
      </c>
      <c r="CF4736">
        <v>195508495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3</v>
      </c>
      <c r="CY4736">
        <v>7</v>
      </c>
      <c r="CZ4736" t="s">
        <v>133</v>
      </c>
      <c r="DA4736">
        <v>275</v>
      </c>
      <c r="DB4736">
        <v>0</v>
      </c>
      <c r="DC4736" t="s">
        <v>134</v>
      </c>
      <c r="DD4736" t="s">
        <v>135</v>
      </c>
      <c r="DG4736">
        <v>3323366</v>
      </c>
      <c r="DI4736">
        <v>1</v>
      </c>
      <c r="DJ4736">
        <v>0</v>
      </c>
      <c r="DK4736">
        <v>0</v>
      </c>
      <c r="DL4736">
        <v>0</v>
      </c>
      <c r="DM4736">
        <v>0</v>
      </c>
      <c r="DN4736">
        <v>0</v>
      </c>
      <c r="DO4736">
        <v>0</v>
      </c>
      <c r="DP4736">
        <v>0</v>
      </c>
      <c r="DQ4736">
        <v>0</v>
      </c>
      <c r="DR4736">
        <v>0</v>
      </c>
      <c r="DS4736">
        <v>0</v>
      </c>
    </row>
    <row r="4737" spans="1:123" x14ac:dyDescent="0.3">
      <c r="A4737" t="str">
        <f>"05/01/2025 15:17:41.396"</f>
        <v>05/01/2025 15:17:41.396</v>
      </c>
      <c r="C4737" t="str">
        <f t="shared" si="1850"/>
        <v>FFDFD3C0</v>
      </c>
      <c r="D4737" t="s">
        <v>124</v>
      </c>
      <c r="E4737" t="str">
        <f>"06"</f>
        <v>06</v>
      </c>
      <c r="F4737">
        <v>2006</v>
      </c>
      <c r="G4737" t="s">
        <v>125</v>
      </c>
      <c r="J4737" t="s">
        <v>126</v>
      </c>
      <c r="K4737">
        <v>0</v>
      </c>
      <c r="L4737">
        <v>3</v>
      </c>
      <c r="M4737">
        <v>0</v>
      </c>
      <c r="N4737">
        <v>2</v>
      </c>
      <c r="O4737">
        <v>0</v>
      </c>
      <c r="P4737">
        <v>1</v>
      </c>
      <c r="Q4737">
        <v>0</v>
      </c>
      <c r="R4737" t="s">
        <v>127</v>
      </c>
      <c r="S4737" t="str">
        <f t="shared" si="1874"/>
        <v>15:17:41.000</v>
      </c>
      <c r="T4737" t="str">
        <f t="shared" si="1874"/>
        <v>15:17:41.000</v>
      </c>
      <c r="U4737" t="str">
        <f t="shared" si="1851"/>
        <v>A68FCB</v>
      </c>
      <c r="V4737">
        <v>0</v>
      </c>
      <c r="W4737">
        <v>0</v>
      </c>
      <c r="X4737">
        <v>2</v>
      </c>
      <c r="Y4737">
        <v>0</v>
      </c>
      <c r="AA4737">
        <v>1</v>
      </c>
      <c r="AB4737">
        <v>8</v>
      </c>
      <c r="AC4737">
        <v>3</v>
      </c>
      <c r="AD4737">
        <v>0</v>
      </c>
      <c r="AE4737">
        <v>9</v>
      </c>
      <c r="AF4737" t="s">
        <v>138</v>
      </c>
      <c r="AG4737">
        <v>0</v>
      </c>
      <c r="AH4737">
        <v>3</v>
      </c>
      <c r="AI4737">
        <v>2</v>
      </c>
      <c r="AJ4737">
        <v>0</v>
      </c>
      <c r="AK4737" t="s">
        <v>1512</v>
      </c>
      <c r="AL4737">
        <v>39.221469999999997</v>
      </c>
      <c r="AM4737" t="s">
        <v>1513</v>
      </c>
      <c r="AN4737">
        <v>-121.000435</v>
      </c>
      <c r="AO4737">
        <v>25</v>
      </c>
      <c r="AP4737">
        <v>4100</v>
      </c>
      <c r="AQ4737" t="s">
        <v>131</v>
      </c>
      <c r="AR4737">
        <v>6</v>
      </c>
      <c r="AS4737">
        <v>88</v>
      </c>
      <c r="AT4737">
        <v>-128</v>
      </c>
      <c r="BB4737" t="str">
        <f t="shared" si="1852"/>
        <v>1200</v>
      </c>
      <c r="BC4737">
        <v>1</v>
      </c>
      <c r="BD4737" t="str">
        <f t="shared" si="1853"/>
        <v xml:space="preserve">N52156  </v>
      </c>
      <c r="BE4737">
        <v>1</v>
      </c>
      <c r="BG4737">
        <v>0</v>
      </c>
      <c r="BH4737">
        <v>0</v>
      </c>
      <c r="BI4737">
        <v>0</v>
      </c>
      <c r="BJ4737">
        <v>4150</v>
      </c>
      <c r="BK4737">
        <v>50</v>
      </c>
      <c r="BL4737" t="s">
        <v>188</v>
      </c>
      <c r="BM4737">
        <v>1</v>
      </c>
      <c r="BN4737">
        <v>1</v>
      </c>
      <c r="BO4737">
        <v>0</v>
      </c>
      <c r="BP4737">
        <v>0</v>
      </c>
      <c r="BS4737">
        <v>0</v>
      </c>
      <c r="BT4737">
        <v>0</v>
      </c>
      <c r="BU4737">
        <v>0</v>
      </c>
      <c r="CE4737" t="str">
        <f t="shared" si="1875"/>
        <v>15:17:41.196</v>
      </c>
      <c r="CF4737">
        <v>195508495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3</v>
      </c>
      <c r="CY4737">
        <v>7</v>
      </c>
      <c r="CZ4737" t="s">
        <v>133</v>
      </c>
      <c r="DA4737">
        <v>275</v>
      </c>
      <c r="DB4737">
        <v>0</v>
      </c>
      <c r="DC4737" t="s">
        <v>134</v>
      </c>
      <c r="DD4737" t="s">
        <v>135</v>
      </c>
      <c r="DG4737">
        <v>3323366</v>
      </c>
      <c r="DI4737">
        <v>1</v>
      </c>
      <c r="DJ4737">
        <v>0</v>
      </c>
      <c r="DK4737">
        <v>1</v>
      </c>
      <c r="DL4737">
        <v>0</v>
      </c>
      <c r="DM4737">
        <v>0</v>
      </c>
      <c r="DN4737">
        <v>0</v>
      </c>
      <c r="DO4737">
        <v>0</v>
      </c>
      <c r="DP4737">
        <v>0</v>
      </c>
      <c r="DQ4737">
        <v>0</v>
      </c>
      <c r="DR4737">
        <v>0</v>
      </c>
      <c r="DS4737">
        <v>0</v>
      </c>
    </row>
    <row r="4738" spans="1:123" x14ac:dyDescent="0.3">
      <c r="A4738" t="str">
        <f>"05/01/2025 15:17:41.402"</f>
        <v>05/01/2025 15:17:41.402</v>
      </c>
      <c r="C4738" t="str">
        <f t="shared" ref="C4738:C4801" si="1876">"FFDFD3C0"</f>
        <v>FFDFD3C0</v>
      </c>
      <c r="D4738" t="s">
        <v>143</v>
      </c>
      <c r="E4738" t="str">
        <f>"05"</f>
        <v>05</v>
      </c>
      <c r="H4738">
        <v>172</v>
      </c>
      <c r="I4738" t="s">
        <v>141</v>
      </c>
      <c r="J4738" t="s">
        <v>144</v>
      </c>
      <c r="K4738">
        <v>0</v>
      </c>
      <c r="L4738">
        <v>3</v>
      </c>
      <c r="M4738">
        <v>0</v>
      </c>
      <c r="N4738">
        <v>2</v>
      </c>
      <c r="O4738">
        <v>0</v>
      </c>
      <c r="P4738">
        <v>1</v>
      </c>
      <c r="Q4738">
        <v>0</v>
      </c>
      <c r="R4738" t="s">
        <v>127</v>
      </c>
      <c r="S4738" t="str">
        <f t="shared" si="1874"/>
        <v>15:17:41.000</v>
      </c>
      <c r="T4738" t="str">
        <f t="shared" si="1874"/>
        <v>15:17:41.000</v>
      </c>
      <c r="U4738" t="str">
        <f t="shared" ref="U4738:U4801" si="1877">"A68FCB"</f>
        <v>A68FCB</v>
      </c>
      <c r="V4738">
        <v>0</v>
      </c>
      <c r="W4738">
        <v>0</v>
      </c>
      <c r="X4738">
        <v>2</v>
      </c>
      <c r="Y4738">
        <v>0</v>
      </c>
      <c r="AA4738">
        <v>1</v>
      </c>
      <c r="AB4738">
        <v>8</v>
      </c>
      <c r="AC4738">
        <v>3</v>
      </c>
      <c r="AD4738">
        <v>0</v>
      </c>
      <c r="AE4738">
        <v>9</v>
      </c>
      <c r="AF4738" t="s">
        <v>138</v>
      </c>
      <c r="AG4738">
        <v>0</v>
      </c>
      <c r="AH4738">
        <v>3</v>
      </c>
      <c r="AI4738">
        <v>2</v>
      </c>
      <c r="AJ4738">
        <v>0</v>
      </c>
      <c r="AK4738" t="s">
        <v>1512</v>
      </c>
      <c r="AL4738">
        <v>39.221469999999997</v>
      </c>
      <c r="AM4738" t="s">
        <v>1513</v>
      </c>
      <c r="AN4738">
        <v>-121.000435</v>
      </c>
      <c r="AO4738">
        <v>25</v>
      </c>
      <c r="AP4738">
        <v>4100</v>
      </c>
      <c r="AQ4738" t="s">
        <v>131</v>
      </c>
      <c r="AR4738">
        <v>6</v>
      </c>
      <c r="AS4738">
        <v>88</v>
      </c>
      <c r="AT4738">
        <v>-128</v>
      </c>
      <c r="BB4738" t="str">
        <f t="shared" ref="BB4738:BB4801" si="1878">"1200"</f>
        <v>1200</v>
      </c>
      <c r="BC4738">
        <v>1</v>
      </c>
      <c r="BD4738" t="str">
        <f t="shared" ref="BD4738:BD4801" si="1879">"N52156  "</f>
        <v xml:space="preserve">N52156  </v>
      </c>
      <c r="BE4738">
        <v>1</v>
      </c>
      <c r="BG4738">
        <v>0</v>
      </c>
      <c r="BH4738">
        <v>0</v>
      </c>
      <c r="BI4738">
        <v>0</v>
      </c>
      <c r="BJ4738">
        <v>4150</v>
      </c>
      <c r="BK4738">
        <v>50</v>
      </c>
      <c r="BL4738" t="s">
        <v>188</v>
      </c>
      <c r="BM4738">
        <v>1</v>
      </c>
      <c r="BN4738">
        <v>1</v>
      </c>
      <c r="BO4738">
        <v>0</v>
      </c>
      <c r="BP4738">
        <v>0</v>
      </c>
      <c r="BS4738">
        <v>0</v>
      </c>
      <c r="BT4738">
        <v>0</v>
      </c>
      <c r="BU4738">
        <v>0</v>
      </c>
      <c r="CE4738" t="str">
        <f t="shared" si="1875"/>
        <v>15:17:41.196</v>
      </c>
      <c r="CF4738">
        <v>195508495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3</v>
      </c>
      <c r="CY4738">
        <v>7</v>
      </c>
      <c r="CZ4738" t="s">
        <v>133</v>
      </c>
      <c r="DA4738">
        <v>275</v>
      </c>
      <c r="DB4738">
        <v>0</v>
      </c>
      <c r="DC4738" t="s">
        <v>134</v>
      </c>
      <c r="DD4738" t="s">
        <v>135</v>
      </c>
      <c r="DG4738">
        <v>3323366</v>
      </c>
      <c r="DI4738">
        <v>1</v>
      </c>
      <c r="DJ4738">
        <v>0</v>
      </c>
      <c r="DK4738">
        <v>1</v>
      </c>
      <c r="DL4738">
        <v>0</v>
      </c>
      <c r="DM4738">
        <v>0</v>
      </c>
      <c r="DN4738">
        <v>0</v>
      </c>
      <c r="DO4738">
        <v>0</v>
      </c>
      <c r="DP4738">
        <v>0</v>
      </c>
      <c r="DQ4738">
        <v>0</v>
      </c>
      <c r="DR4738">
        <v>0</v>
      </c>
      <c r="DS4738">
        <v>0</v>
      </c>
    </row>
    <row r="4739" spans="1:123" x14ac:dyDescent="0.3">
      <c r="A4739" t="str">
        <f>"05/01/2025 15:17:41.416"</f>
        <v>05/01/2025 15:17:41.416</v>
      </c>
      <c r="C4739" t="str">
        <f t="shared" si="1876"/>
        <v>FFDFD3C0</v>
      </c>
      <c r="D4739" t="s">
        <v>145</v>
      </c>
      <c r="E4739" t="str">
        <f>"09"</f>
        <v>09</v>
      </c>
      <c r="H4739">
        <v>51</v>
      </c>
      <c r="I4739" t="s">
        <v>147</v>
      </c>
      <c r="J4739" t="s">
        <v>138</v>
      </c>
      <c r="K4739">
        <v>0</v>
      </c>
      <c r="L4739">
        <v>3</v>
      </c>
      <c r="M4739">
        <v>0</v>
      </c>
      <c r="N4739">
        <v>2</v>
      </c>
      <c r="O4739">
        <v>0</v>
      </c>
      <c r="P4739">
        <v>1</v>
      </c>
      <c r="Q4739">
        <v>0</v>
      </c>
      <c r="R4739" t="s">
        <v>127</v>
      </c>
      <c r="S4739" t="str">
        <f t="shared" si="1874"/>
        <v>15:17:41.000</v>
      </c>
      <c r="T4739" t="str">
        <f t="shared" si="1874"/>
        <v>15:17:41.000</v>
      </c>
      <c r="U4739" t="str">
        <f t="shared" si="1877"/>
        <v>A68FCB</v>
      </c>
      <c r="V4739">
        <v>0</v>
      </c>
      <c r="W4739">
        <v>0</v>
      </c>
      <c r="X4739">
        <v>2</v>
      </c>
      <c r="Y4739">
        <v>0</v>
      </c>
      <c r="AA4739">
        <v>1</v>
      </c>
      <c r="AB4739">
        <v>8</v>
      </c>
      <c r="AC4739">
        <v>3</v>
      </c>
      <c r="AD4739">
        <v>0</v>
      </c>
      <c r="AE4739">
        <v>9</v>
      </c>
      <c r="AF4739" t="s">
        <v>138</v>
      </c>
      <c r="AG4739">
        <v>0</v>
      </c>
      <c r="AH4739">
        <v>3</v>
      </c>
      <c r="AI4739">
        <v>2</v>
      </c>
      <c r="AJ4739">
        <v>0</v>
      </c>
      <c r="AK4739" t="s">
        <v>1512</v>
      </c>
      <c r="AL4739">
        <v>39.221469999999997</v>
      </c>
      <c r="AM4739" t="s">
        <v>1513</v>
      </c>
      <c r="AN4739">
        <v>-121.000435</v>
      </c>
      <c r="AO4739">
        <v>25</v>
      </c>
      <c r="AP4739">
        <v>4100</v>
      </c>
      <c r="AQ4739" t="s">
        <v>131</v>
      </c>
      <c r="AR4739">
        <v>6</v>
      </c>
      <c r="AS4739">
        <v>88</v>
      </c>
      <c r="AT4739">
        <v>-128</v>
      </c>
      <c r="BB4739" t="str">
        <f t="shared" si="1878"/>
        <v>1200</v>
      </c>
      <c r="BC4739">
        <v>1</v>
      </c>
      <c r="BD4739" t="str">
        <f t="shared" si="1879"/>
        <v xml:space="preserve">N52156  </v>
      </c>
      <c r="BE4739">
        <v>1</v>
      </c>
      <c r="BG4739">
        <v>0</v>
      </c>
      <c r="BH4739">
        <v>0</v>
      </c>
      <c r="BI4739">
        <v>0</v>
      </c>
      <c r="BJ4739">
        <v>4150</v>
      </c>
      <c r="BK4739">
        <v>50</v>
      </c>
      <c r="BL4739" t="s">
        <v>188</v>
      </c>
      <c r="BM4739">
        <v>1</v>
      </c>
      <c r="BN4739">
        <v>1</v>
      </c>
      <c r="BO4739">
        <v>0</v>
      </c>
      <c r="BP4739">
        <v>0</v>
      </c>
      <c r="BS4739">
        <v>0</v>
      </c>
      <c r="BT4739">
        <v>0</v>
      </c>
      <c r="BU4739">
        <v>0</v>
      </c>
      <c r="CE4739" t="str">
        <f t="shared" si="1875"/>
        <v>15:17:41.196</v>
      </c>
      <c r="CF4739">
        <v>195508495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3</v>
      </c>
      <c r="CY4739">
        <v>7</v>
      </c>
      <c r="CZ4739" t="s">
        <v>133</v>
      </c>
      <c r="DA4739">
        <v>275</v>
      </c>
      <c r="DB4739">
        <v>0</v>
      </c>
      <c r="DC4739" t="s">
        <v>134</v>
      </c>
      <c r="DD4739" t="s">
        <v>135</v>
      </c>
      <c r="DG4739">
        <v>3323366</v>
      </c>
      <c r="DI4739">
        <v>1</v>
      </c>
      <c r="DJ4739">
        <v>0</v>
      </c>
      <c r="DK4739">
        <v>1</v>
      </c>
      <c r="DL4739">
        <v>0</v>
      </c>
      <c r="DM4739">
        <v>0</v>
      </c>
      <c r="DN4739">
        <v>0</v>
      </c>
      <c r="DO4739">
        <v>0</v>
      </c>
      <c r="DP4739">
        <v>0</v>
      </c>
      <c r="DQ4739">
        <v>0</v>
      </c>
      <c r="DR4739">
        <v>0</v>
      </c>
      <c r="DS4739">
        <v>0</v>
      </c>
    </row>
    <row r="4740" spans="1:123" x14ac:dyDescent="0.3">
      <c r="A4740" t="str">
        <f>"05/01/2025 15:17:41.420"</f>
        <v>05/01/2025 15:17:41.420</v>
      </c>
      <c r="C4740" t="str">
        <f t="shared" si="1876"/>
        <v>FFDFD3C0</v>
      </c>
      <c r="D4740" t="s">
        <v>145</v>
      </c>
      <c r="E4740" t="str">
        <f>"05"</f>
        <v>05</v>
      </c>
      <c r="H4740">
        <v>47</v>
      </c>
      <c r="I4740" t="s">
        <v>146</v>
      </c>
      <c r="J4740" t="s">
        <v>138</v>
      </c>
      <c r="K4740">
        <v>0</v>
      </c>
      <c r="L4740">
        <v>3</v>
      </c>
      <c r="M4740">
        <v>0</v>
      </c>
      <c r="N4740">
        <v>2</v>
      </c>
      <c r="O4740">
        <v>0</v>
      </c>
      <c r="P4740">
        <v>1</v>
      </c>
      <c r="Q4740">
        <v>0</v>
      </c>
      <c r="R4740" t="s">
        <v>127</v>
      </c>
      <c r="S4740" t="str">
        <f t="shared" si="1874"/>
        <v>15:17:41.000</v>
      </c>
      <c r="T4740" t="str">
        <f t="shared" si="1874"/>
        <v>15:17:41.000</v>
      </c>
      <c r="U4740" t="str">
        <f t="shared" si="1877"/>
        <v>A68FCB</v>
      </c>
      <c r="V4740">
        <v>0</v>
      </c>
      <c r="W4740">
        <v>0</v>
      </c>
      <c r="X4740">
        <v>2</v>
      </c>
      <c r="Y4740">
        <v>0</v>
      </c>
      <c r="AA4740">
        <v>1</v>
      </c>
      <c r="AB4740">
        <v>8</v>
      </c>
      <c r="AC4740">
        <v>3</v>
      </c>
      <c r="AD4740">
        <v>0</v>
      </c>
      <c r="AE4740">
        <v>9</v>
      </c>
      <c r="AF4740" t="s">
        <v>138</v>
      </c>
      <c r="AG4740">
        <v>0</v>
      </c>
      <c r="AH4740">
        <v>3</v>
      </c>
      <c r="AI4740">
        <v>2</v>
      </c>
      <c r="AJ4740">
        <v>0</v>
      </c>
      <c r="AK4740" t="s">
        <v>1512</v>
      </c>
      <c r="AL4740">
        <v>39.221469999999997</v>
      </c>
      <c r="AM4740" t="s">
        <v>1513</v>
      </c>
      <c r="AN4740">
        <v>-121.000435</v>
      </c>
      <c r="AO4740">
        <v>25</v>
      </c>
      <c r="AP4740">
        <v>4100</v>
      </c>
      <c r="AQ4740" t="s">
        <v>131</v>
      </c>
      <c r="AR4740">
        <v>6</v>
      </c>
      <c r="AS4740">
        <v>88</v>
      </c>
      <c r="AT4740">
        <v>-128</v>
      </c>
      <c r="BB4740" t="str">
        <f t="shared" si="1878"/>
        <v>1200</v>
      </c>
      <c r="BC4740">
        <v>1</v>
      </c>
      <c r="BD4740" t="str">
        <f t="shared" si="1879"/>
        <v xml:space="preserve">N52156  </v>
      </c>
      <c r="BE4740">
        <v>1</v>
      </c>
      <c r="BG4740">
        <v>0</v>
      </c>
      <c r="BH4740">
        <v>0</v>
      </c>
      <c r="BI4740">
        <v>0</v>
      </c>
      <c r="BJ4740">
        <v>4150</v>
      </c>
      <c r="BK4740">
        <v>50</v>
      </c>
      <c r="BL4740" t="s">
        <v>188</v>
      </c>
      <c r="BM4740">
        <v>1</v>
      </c>
      <c r="BN4740">
        <v>1</v>
      </c>
      <c r="BO4740">
        <v>0</v>
      </c>
      <c r="BP4740">
        <v>0</v>
      </c>
      <c r="BS4740">
        <v>0</v>
      </c>
      <c r="BT4740">
        <v>0</v>
      </c>
      <c r="BU4740">
        <v>0</v>
      </c>
      <c r="CE4740" t="str">
        <f t="shared" si="1875"/>
        <v>15:17:41.196</v>
      </c>
      <c r="CF4740">
        <v>195508495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3</v>
      </c>
      <c r="CY4740">
        <v>7</v>
      </c>
      <c r="CZ4740" t="s">
        <v>133</v>
      </c>
      <c r="DA4740">
        <v>275</v>
      </c>
      <c r="DB4740">
        <v>0</v>
      </c>
      <c r="DC4740" t="s">
        <v>134</v>
      </c>
      <c r="DD4740" t="s">
        <v>135</v>
      </c>
      <c r="DG4740">
        <v>3323366</v>
      </c>
      <c r="DI4740">
        <v>1</v>
      </c>
      <c r="DJ4740">
        <v>0</v>
      </c>
      <c r="DK4740">
        <v>1</v>
      </c>
      <c r="DL4740">
        <v>0</v>
      </c>
      <c r="DM4740">
        <v>0</v>
      </c>
      <c r="DN4740">
        <v>0</v>
      </c>
      <c r="DO4740">
        <v>0</v>
      </c>
      <c r="DP4740">
        <v>0</v>
      </c>
      <c r="DQ4740">
        <v>0</v>
      </c>
      <c r="DR4740">
        <v>0</v>
      </c>
      <c r="DS4740">
        <v>0</v>
      </c>
    </row>
    <row r="4741" spans="1:123" x14ac:dyDescent="0.3">
      <c r="A4741" t="str">
        <f>"05/01/2025 15:17:41.429"</f>
        <v>05/01/2025 15:17:41.429</v>
      </c>
      <c r="C4741" t="str">
        <f t="shared" si="1876"/>
        <v>FFDFD3C0</v>
      </c>
      <c r="D4741" t="s">
        <v>136</v>
      </c>
      <c r="E4741" t="str">
        <f>"20"</f>
        <v>20</v>
      </c>
      <c r="H4741">
        <v>400</v>
      </c>
      <c r="I4741" t="s">
        <v>137</v>
      </c>
      <c r="J4741" t="s">
        <v>138</v>
      </c>
      <c r="K4741">
        <v>0</v>
      </c>
      <c r="L4741">
        <v>3</v>
      </c>
      <c r="M4741">
        <v>0</v>
      </c>
      <c r="N4741">
        <v>2</v>
      </c>
      <c r="O4741">
        <v>0</v>
      </c>
      <c r="P4741">
        <v>1</v>
      </c>
      <c r="Q4741">
        <v>0</v>
      </c>
      <c r="R4741" t="s">
        <v>127</v>
      </c>
      <c r="S4741" t="str">
        <f t="shared" si="1874"/>
        <v>15:17:41.000</v>
      </c>
      <c r="T4741" t="str">
        <f t="shared" si="1874"/>
        <v>15:17:41.000</v>
      </c>
      <c r="U4741" t="str">
        <f t="shared" si="1877"/>
        <v>A68FCB</v>
      </c>
      <c r="V4741">
        <v>0</v>
      </c>
      <c r="W4741">
        <v>0</v>
      </c>
      <c r="X4741">
        <v>2</v>
      </c>
      <c r="Y4741">
        <v>0</v>
      </c>
      <c r="AA4741">
        <v>1</v>
      </c>
      <c r="AB4741">
        <v>8</v>
      </c>
      <c r="AC4741">
        <v>3</v>
      </c>
      <c r="AD4741">
        <v>0</v>
      </c>
      <c r="AE4741">
        <v>9</v>
      </c>
      <c r="AF4741" t="s">
        <v>138</v>
      </c>
      <c r="AG4741">
        <v>0</v>
      </c>
      <c r="AH4741">
        <v>3</v>
      </c>
      <c r="AI4741">
        <v>2</v>
      </c>
      <c r="AJ4741">
        <v>0</v>
      </c>
      <c r="AK4741" t="s">
        <v>1512</v>
      </c>
      <c r="AL4741">
        <v>39.221469999999997</v>
      </c>
      <c r="AM4741" t="s">
        <v>1513</v>
      </c>
      <c r="AN4741">
        <v>-121.000435</v>
      </c>
      <c r="AO4741">
        <v>25</v>
      </c>
      <c r="AP4741">
        <v>4100</v>
      </c>
      <c r="AQ4741" t="s">
        <v>131</v>
      </c>
      <c r="AR4741">
        <v>6</v>
      </c>
      <c r="AS4741">
        <v>88</v>
      </c>
      <c r="AT4741">
        <v>-128</v>
      </c>
      <c r="BB4741" t="str">
        <f t="shared" si="1878"/>
        <v>1200</v>
      </c>
      <c r="BC4741">
        <v>1</v>
      </c>
      <c r="BD4741" t="str">
        <f t="shared" si="1879"/>
        <v xml:space="preserve">N52156  </v>
      </c>
      <c r="BE4741">
        <v>1</v>
      </c>
      <c r="BG4741">
        <v>0</v>
      </c>
      <c r="BH4741">
        <v>0</v>
      </c>
      <c r="BI4741">
        <v>0</v>
      </c>
      <c r="BJ4741">
        <v>4150</v>
      </c>
      <c r="BK4741">
        <v>50</v>
      </c>
      <c r="BL4741" t="s">
        <v>188</v>
      </c>
      <c r="BM4741">
        <v>1</v>
      </c>
      <c r="BN4741">
        <v>1</v>
      </c>
      <c r="BO4741">
        <v>0</v>
      </c>
      <c r="BP4741">
        <v>0</v>
      </c>
      <c r="BS4741">
        <v>0</v>
      </c>
      <c r="BT4741">
        <v>0</v>
      </c>
      <c r="BU4741">
        <v>0</v>
      </c>
      <c r="CE4741" t="str">
        <f t="shared" si="1875"/>
        <v>15:17:41.196</v>
      </c>
      <c r="CF4741">
        <v>195508495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3</v>
      </c>
      <c r="CY4741">
        <v>7</v>
      </c>
      <c r="CZ4741" t="s">
        <v>133</v>
      </c>
      <c r="DA4741">
        <v>275</v>
      </c>
      <c r="DB4741">
        <v>0</v>
      </c>
      <c r="DC4741" t="s">
        <v>134</v>
      </c>
      <c r="DD4741" t="s">
        <v>135</v>
      </c>
      <c r="DG4741">
        <v>3323366</v>
      </c>
      <c r="DI4741">
        <v>1</v>
      </c>
      <c r="DJ4741">
        <v>0</v>
      </c>
      <c r="DK4741">
        <v>1</v>
      </c>
      <c r="DL4741">
        <v>0</v>
      </c>
      <c r="DM4741">
        <v>0</v>
      </c>
      <c r="DN4741">
        <v>0</v>
      </c>
      <c r="DO4741">
        <v>0</v>
      </c>
      <c r="DP4741">
        <v>0</v>
      </c>
      <c r="DQ4741">
        <v>0</v>
      </c>
      <c r="DR4741">
        <v>0</v>
      </c>
      <c r="DS4741">
        <v>0</v>
      </c>
    </row>
    <row r="4742" spans="1:123" x14ac:dyDescent="0.3">
      <c r="A4742" t="str">
        <f>"05/01/2025 15:17:42.868"</f>
        <v>05/01/2025 15:17:42.868</v>
      </c>
      <c r="C4742" t="str">
        <f t="shared" si="1876"/>
        <v>FFDFD3C0</v>
      </c>
      <c r="D4742" t="s">
        <v>145</v>
      </c>
      <c r="E4742" t="str">
        <f>"09"</f>
        <v>09</v>
      </c>
      <c r="H4742">
        <v>51</v>
      </c>
      <c r="I4742" t="s">
        <v>147</v>
      </c>
      <c r="J4742" t="s">
        <v>138</v>
      </c>
      <c r="K4742">
        <v>0</v>
      </c>
      <c r="L4742">
        <v>3</v>
      </c>
      <c r="M4742">
        <v>0</v>
      </c>
      <c r="N4742">
        <v>2</v>
      </c>
      <c r="O4742">
        <v>0</v>
      </c>
      <c r="P4742">
        <v>1</v>
      </c>
      <c r="Q4742">
        <v>0</v>
      </c>
      <c r="R4742" t="s">
        <v>127</v>
      </c>
      <c r="S4742" t="str">
        <f t="shared" ref="S4742:T4747" si="1880">"15:17:42.000"</f>
        <v>15:17:42.000</v>
      </c>
      <c r="T4742" t="str">
        <f t="shared" si="1880"/>
        <v>15:17:42.000</v>
      </c>
      <c r="U4742" t="str">
        <f t="shared" si="1877"/>
        <v>A68FCB</v>
      </c>
      <c r="V4742">
        <v>0</v>
      </c>
      <c r="W4742">
        <v>0</v>
      </c>
      <c r="X4742">
        <v>2</v>
      </c>
      <c r="Y4742">
        <v>0</v>
      </c>
      <c r="AA4742">
        <v>1</v>
      </c>
      <c r="AB4742">
        <v>8</v>
      </c>
      <c r="AC4742">
        <v>3</v>
      </c>
      <c r="AD4742">
        <v>0</v>
      </c>
      <c r="AE4742">
        <v>9</v>
      </c>
      <c r="AF4742" t="s">
        <v>138</v>
      </c>
      <c r="AG4742">
        <v>0</v>
      </c>
      <c r="AH4742">
        <v>3</v>
      </c>
      <c r="AI4742">
        <v>2</v>
      </c>
      <c r="AJ4742">
        <v>0</v>
      </c>
      <c r="AK4742" t="s">
        <v>1514</v>
      </c>
      <c r="AL4742">
        <v>39.221857</v>
      </c>
      <c r="AM4742" t="s">
        <v>1515</v>
      </c>
      <c r="AN4742">
        <v>-121.000371</v>
      </c>
      <c r="AO4742">
        <v>25</v>
      </c>
      <c r="AP4742">
        <v>4100</v>
      </c>
      <c r="AQ4742" t="s">
        <v>131</v>
      </c>
      <c r="AR4742">
        <v>4</v>
      </c>
      <c r="AS4742">
        <v>89</v>
      </c>
      <c r="AT4742">
        <v>-128</v>
      </c>
      <c r="BB4742" t="str">
        <f t="shared" si="1878"/>
        <v>1200</v>
      </c>
      <c r="BC4742">
        <v>1</v>
      </c>
      <c r="BD4742" t="str">
        <f t="shared" si="1879"/>
        <v xml:space="preserve">N52156  </v>
      </c>
      <c r="BE4742">
        <v>1</v>
      </c>
      <c r="BG4742">
        <v>0</v>
      </c>
      <c r="BH4742">
        <v>0</v>
      </c>
      <c r="BI4742">
        <v>0</v>
      </c>
      <c r="BJ4742">
        <v>4150</v>
      </c>
      <c r="BK4742">
        <v>50</v>
      </c>
      <c r="BL4742" t="s">
        <v>188</v>
      </c>
      <c r="BM4742">
        <v>1</v>
      </c>
      <c r="BN4742">
        <v>1</v>
      </c>
      <c r="BO4742">
        <v>0</v>
      </c>
      <c r="BP4742">
        <v>0</v>
      </c>
      <c r="BS4742">
        <v>0</v>
      </c>
      <c r="BT4742">
        <v>0</v>
      </c>
      <c r="BU4742">
        <v>0</v>
      </c>
      <c r="CE4742" t="str">
        <f t="shared" ref="CE4742:CE4747" si="1881">"15:17:42.659"</f>
        <v>15:17:42.659</v>
      </c>
      <c r="CF4742">
        <v>659259799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3</v>
      </c>
      <c r="CY4742">
        <v>7</v>
      </c>
      <c r="CZ4742" t="s">
        <v>133</v>
      </c>
      <c r="DA4742">
        <v>275</v>
      </c>
      <c r="DB4742">
        <v>0</v>
      </c>
      <c r="DC4742" t="s">
        <v>134</v>
      </c>
      <c r="DD4742" t="s">
        <v>135</v>
      </c>
      <c r="DG4742">
        <v>3323368</v>
      </c>
      <c r="DI4742">
        <v>1</v>
      </c>
      <c r="DJ4742">
        <v>0</v>
      </c>
      <c r="DK4742">
        <v>0</v>
      </c>
      <c r="DL4742">
        <v>0</v>
      </c>
      <c r="DM4742">
        <v>0</v>
      </c>
      <c r="DN4742">
        <v>0</v>
      </c>
      <c r="DO4742">
        <v>0</v>
      </c>
      <c r="DP4742">
        <v>0</v>
      </c>
      <c r="DQ4742">
        <v>0</v>
      </c>
      <c r="DR4742">
        <v>0</v>
      </c>
      <c r="DS4742">
        <v>0</v>
      </c>
    </row>
    <row r="4743" spans="1:123" x14ac:dyDescent="0.3">
      <c r="A4743" t="str">
        <f>"05/01/2025 15:17:42.872"</f>
        <v>05/01/2025 15:17:42.872</v>
      </c>
      <c r="C4743" t="str">
        <f t="shared" si="1876"/>
        <v>FFDFD3C0</v>
      </c>
      <c r="D4743" t="s">
        <v>145</v>
      </c>
      <c r="E4743" t="str">
        <f>"05"</f>
        <v>05</v>
      </c>
      <c r="H4743">
        <v>47</v>
      </c>
      <c r="I4743" t="s">
        <v>146</v>
      </c>
      <c r="J4743" t="s">
        <v>138</v>
      </c>
      <c r="K4743">
        <v>0</v>
      </c>
      <c r="L4743">
        <v>3</v>
      </c>
      <c r="M4743">
        <v>0</v>
      </c>
      <c r="N4743">
        <v>2</v>
      </c>
      <c r="O4743">
        <v>0</v>
      </c>
      <c r="P4743">
        <v>1</v>
      </c>
      <c r="Q4743">
        <v>0</v>
      </c>
      <c r="R4743" t="s">
        <v>127</v>
      </c>
      <c r="S4743" t="str">
        <f t="shared" si="1880"/>
        <v>15:17:42.000</v>
      </c>
      <c r="T4743" t="str">
        <f t="shared" si="1880"/>
        <v>15:17:42.000</v>
      </c>
      <c r="U4743" t="str">
        <f t="shared" si="1877"/>
        <v>A68FCB</v>
      </c>
      <c r="V4743">
        <v>0</v>
      </c>
      <c r="W4743">
        <v>0</v>
      </c>
      <c r="X4743">
        <v>2</v>
      </c>
      <c r="Y4743">
        <v>0</v>
      </c>
      <c r="AA4743">
        <v>1</v>
      </c>
      <c r="AB4743">
        <v>8</v>
      </c>
      <c r="AC4743">
        <v>3</v>
      </c>
      <c r="AD4743">
        <v>0</v>
      </c>
      <c r="AE4743">
        <v>9</v>
      </c>
      <c r="AF4743" t="s">
        <v>138</v>
      </c>
      <c r="AG4743">
        <v>0</v>
      </c>
      <c r="AH4743">
        <v>3</v>
      </c>
      <c r="AI4743">
        <v>2</v>
      </c>
      <c r="AJ4743">
        <v>0</v>
      </c>
      <c r="AK4743" t="s">
        <v>1514</v>
      </c>
      <c r="AL4743">
        <v>39.221857</v>
      </c>
      <c r="AM4743" t="s">
        <v>1515</v>
      </c>
      <c r="AN4743">
        <v>-121.000371</v>
      </c>
      <c r="AO4743">
        <v>25</v>
      </c>
      <c r="AP4743">
        <v>4100</v>
      </c>
      <c r="AQ4743" t="s">
        <v>131</v>
      </c>
      <c r="AR4743">
        <v>4</v>
      </c>
      <c r="AS4743">
        <v>89</v>
      </c>
      <c r="AT4743">
        <v>-128</v>
      </c>
      <c r="BB4743" t="str">
        <f t="shared" si="1878"/>
        <v>1200</v>
      </c>
      <c r="BC4743">
        <v>1</v>
      </c>
      <c r="BD4743" t="str">
        <f t="shared" si="1879"/>
        <v xml:space="preserve">N52156  </v>
      </c>
      <c r="BE4743">
        <v>1</v>
      </c>
      <c r="BG4743">
        <v>0</v>
      </c>
      <c r="BH4743">
        <v>0</v>
      </c>
      <c r="BI4743">
        <v>0</v>
      </c>
      <c r="BJ4743">
        <v>4150</v>
      </c>
      <c r="BK4743">
        <v>50</v>
      </c>
      <c r="BL4743" t="s">
        <v>188</v>
      </c>
      <c r="BM4743">
        <v>1</v>
      </c>
      <c r="BN4743">
        <v>1</v>
      </c>
      <c r="BO4743">
        <v>0</v>
      </c>
      <c r="BP4743">
        <v>0</v>
      </c>
      <c r="BS4743">
        <v>0</v>
      </c>
      <c r="BT4743">
        <v>0</v>
      </c>
      <c r="BU4743">
        <v>0</v>
      </c>
      <c r="CE4743" t="str">
        <f t="shared" si="1881"/>
        <v>15:17:42.659</v>
      </c>
      <c r="CF4743">
        <v>659259799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3</v>
      </c>
      <c r="CY4743">
        <v>7</v>
      </c>
      <c r="CZ4743" t="s">
        <v>133</v>
      </c>
      <c r="DA4743">
        <v>275</v>
      </c>
      <c r="DB4743">
        <v>0</v>
      </c>
      <c r="DC4743" t="s">
        <v>134</v>
      </c>
      <c r="DD4743" t="s">
        <v>135</v>
      </c>
      <c r="DG4743">
        <v>3323368</v>
      </c>
      <c r="DI4743">
        <v>1</v>
      </c>
      <c r="DJ4743">
        <v>0</v>
      </c>
      <c r="DK4743">
        <v>1</v>
      </c>
      <c r="DL4743">
        <v>0</v>
      </c>
      <c r="DM4743">
        <v>0</v>
      </c>
      <c r="DN4743">
        <v>0</v>
      </c>
      <c r="DO4743">
        <v>0</v>
      </c>
      <c r="DP4743">
        <v>0</v>
      </c>
      <c r="DQ4743">
        <v>0</v>
      </c>
      <c r="DR4743">
        <v>0</v>
      </c>
      <c r="DS4743">
        <v>0</v>
      </c>
    </row>
    <row r="4744" spans="1:123" x14ac:dyDescent="0.3">
      <c r="A4744" t="str">
        <f>"05/01/2025 15:17:42.882"</f>
        <v>05/01/2025 15:17:42.882</v>
      </c>
      <c r="C4744" t="str">
        <f t="shared" si="1876"/>
        <v>FFDFD3C0</v>
      </c>
      <c r="D4744" t="s">
        <v>136</v>
      </c>
      <c r="E4744" t="str">
        <f>"20"</f>
        <v>20</v>
      </c>
      <c r="H4744">
        <v>400</v>
      </c>
      <c r="I4744" t="s">
        <v>137</v>
      </c>
      <c r="J4744" t="s">
        <v>138</v>
      </c>
      <c r="K4744">
        <v>0</v>
      </c>
      <c r="L4744">
        <v>3</v>
      </c>
      <c r="M4744">
        <v>0</v>
      </c>
      <c r="N4744">
        <v>2</v>
      </c>
      <c r="O4744">
        <v>0</v>
      </c>
      <c r="P4744">
        <v>1</v>
      </c>
      <c r="Q4744">
        <v>0</v>
      </c>
      <c r="R4744" t="s">
        <v>127</v>
      </c>
      <c r="S4744" t="str">
        <f t="shared" si="1880"/>
        <v>15:17:42.000</v>
      </c>
      <c r="T4744" t="str">
        <f t="shared" si="1880"/>
        <v>15:17:42.000</v>
      </c>
      <c r="U4744" t="str">
        <f t="shared" si="1877"/>
        <v>A68FCB</v>
      </c>
      <c r="V4744">
        <v>0</v>
      </c>
      <c r="W4744">
        <v>0</v>
      </c>
      <c r="X4744">
        <v>2</v>
      </c>
      <c r="Y4744">
        <v>0</v>
      </c>
      <c r="AA4744">
        <v>1</v>
      </c>
      <c r="AB4744">
        <v>8</v>
      </c>
      <c r="AC4744">
        <v>3</v>
      </c>
      <c r="AD4744">
        <v>0</v>
      </c>
      <c r="AE4744">
        <v>9</v>
      </c>
      <c r="AF4744" t="s">
        <v>138</v>
      </c>
      <c r="AG4744">
        <v>0</v>
      </c>
      <c r="AH4744">
        <v>3</v>
      </c>
      <c r="AI4744">
        <v>2</v>
      </c>
      <c r="AJ4744">
        <v>0</v>
      </c>
      <c r="AK4744" t="s">
        <v>1514</v>
      </c>
      <c r="AL4744">
        <v>39.221857</v>
      </c>
      <c r="AM4744" t="s">
        <v>1515</v>
      </c>
      <c r="AN4744">
        <v>-121.000371</v>
      </c>
      <c r="AO4744">
        <v>25</v>
      </c>
      <c r="AP4744">
        <v>4100</v>
      </c>
      <c r="AQ4744" t="s">
        <v>131</v>
      </c>
      <c r="AR4744">
        <v>4</v>
      </c>
      <c r="AS4744">
        <v>89</v>
      </c>
      <c r="AT4744">
        <v>-128</v>
      </c>
      <c r="BB4744" t="str">
        <f t="shared" si="1878"/>
        <v>1200</v>
      </c>
      <c r="BC4744">
        <v>1</v>
      </c>
      <c r="BD4744" t="str">
        <f t="shared" si="1879"/>
        <v xml:space="preserve">N52156  </v>
      </c>
      <c r="BE4744">
        <v>1</v>
      </c>
      <c r="BG4744">
        <v>0</v>
      </c>
      <c r="BH4744">
        <v>0</v>
      </c>
      <c r="BI4744">
        <v>0</v>
      </c>
      <c r="BJ4744">
        <v>4150</v>
      </c>
      <c r="BK4744">
        <v>50</v>
      </c>
      <c r="BL4744" t="s">
        <v>188</v>
      </c>
      <c r="BM4744">
        <v>1</v>
      </c>
      <c r="BN4744">
        <v>1</v>
      </c>
      <c r="BO4744">
        <v>0</v>
      </c>
      <c r="BP4744">
        <v>0</v>
      </c>
      <c r="BS4744">
        <v>0</v>
      </c>
      <c r="BT4744">
        <v>0</v>
      </c>
      <c r="BU4744">
        <v>0</v>
      </c>
      <c r="CE4744" t="str">
        <f t="shared" si="1881"/>
        <v>15:17:42.659</v>
      </c>
      <c r="CF4744">
        <v>659259799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3</v>
      </c>
      <c r="CY4744">
        <v>7</v>
      </c>
      <c r="CZ4744" t="s">
        <v>133</v>
      </c>
      <c r="DA4744">
        <v>275</v>
      </c>
      <c r="DB4744">
        <v>0</v>
      </c>
      <c r="DC4744" t="s">
        <v>134</v>
      </c>
      <c r="DD4744" t="s">
        <v>135</v>
      </c>
      <c r="DG4744">
        <v>3323368</v>
      </c>
      <c r="DI4744">
        <v>1</v>
      </c>
      <c r="DJ4744">
        <v>0</v>
      </c>
      <c r="DK4744">
        <v>1</v>
      </c>
      <c r="DL4744">
        <v>0</v>
      </c>
      <c r="DM4744">
        <v>0</v>
      </c>
      <c r="DN4744">
        <v>0</v>
      </c>
      <c r="DO4744">
        <v>0</v>
      </c>
      <c r="DP4744">
        <v>0</v>
      </c>
      <c r="DQ4744">
        <v>0</v>
      </c>
      <c r="DR4744">
        <v>0</v>
      </c>
      <c r="DS4744">
        <v>0</v>
      </c>
    </row>
    <row r="4745" spans="1:123" x14ac:dyDescent="0.3">
      <c r="A4745" t="str">
        <f>"05/01/2025 15:17:42.897"</f>
        <v>05/01/2025 15:17:42.897</v>
      </c>
      <c r="C4745" t="str">
        <f t="shared" si="1876"/>
        <v>FFDFD3C0</v>
      </c>
      <c r="D4745" t="s">
        <v>140</v>
      </c>
      <c r="E4745" t="str">
        <f>"13"</f>
        <v>13</v>
      </c>
      <c r="F4745">
        <v>1019</v>
      </c>
      <c r="G4745" t="s">
        <v>141</v>
      </c>
      <c r="J4745" t="s">
        <v>142</v>
      </c>
      <c r="K4745">
        <v>0</v>
      </c>
      <c r="L4745">
        <v>3</v>
      </c>
      <c r="M4745">
        <v>0</v>
      </c>
      <c r="N4745">
        <v>2</v>
      </c>
      <c r="O4745">
        <v>0</v>
      </c>
      <c r="P4745">
        <v>1</v>
      </c>
      <c r="Q4745">
        <v>0</v>
      </c>
      <c r="R4745" t="s">
        <v>127</v>
      </c>
      <c r="S4745" t="str">
        <f t="shared" si="1880"/>
        <v>15:17:42.000</v>
      </c>
      <c r="T4745" t="str">
        <f t="shared" si="1880"/>
        <v>15:17:42.000</v>
      </c>
      <c r="U4745" t="str">
        <f t="shared" si="1877"/>
        <v>A68FCB</v>
      </c>
      <c r="V4745">
        <v>0</v>
      </c>
      <c r="W4745">
        <v>0</v>
      </c>
      <c r="X4745">
        <v>2</v>
      </c>
      <c r="Y4745">
        <v>0</v>
      </c>
      <c r="AA4745">
        <v>1</v>
      </c>
      <c r="AB4745">
        <v>8</v>
      </c>
      <c r="AC4745">
        <v>3</v>
      </c>
      <c r="AD4745">
        <v>0</v>
      </c>
      <c r="AE4745">
        <v>9</v>
      </c>
      <c r="AF4745" t="s">
        <v>138</v>
      </c>
      <c r="AG4745">
        <v>0</v>
      </c>
      <c r="AH4745">
        <v>3</v>
      </c>
      <c r="AI4745">
        <v>2</v>
      </c>
      <c r="AJ4745">
        <v>0</v>
      </c>
      <c r="AK4745" t="s">
        <v>1514</v>
      </c>
      <c r="AL4745">
        <v>39.221857</v>
      </c>
      <c r="AM4745" t="s">
        <v>1515</v>
      </c>
      <c r="AN4745">
        <v>-121.000371</v>
      </c>
      <c r="AO4745">
        <v>25</v>
      </c>
      <c r="AP4745">
        <v>4100</v>
      </c>
      <c r="AQ4745" t="s">
        <v>131</v>
      </c>
      <c r="AR4745">
        <v>4</v>
      </c>
      <c r="AS4745">
        <v>89</v>
      </c>
      <c r="AT4745">
        <v>-128</v>
      </c>
      <c r="BB4745" t="str">
        <f t="shared" si="1878"/>
        <v>1200</v>
      </c>
      <c r="BC4745">
        <v>1</v>
      </c>
      <c r="BD4745" t="str">
        <f t="shared" si="1879"/>
        <v xml:space="preserve">N52156  </v>
      </c>
      <c r="BE4745">
        <v>1</v>
      </c>
      <c r="BG4745">
        <v>0</v>
      </c>
      <c r="BH4745">
        <v>0</v>
      </c>
      <c r="BI4745">
        <v>0</v>
      </c>
      <c r="BJ4745">
        <v>4150</v>
      </c>
      <c r="BK4745">
        <v>50</v>
      </c>
      <c r="BL4745" t="s">
        <v>188</v>
      </c>
      <c r="BM4745">
        <v>1</v>
      </c>
      <c r="BN4745">
        <v>1</v>
      </c>
      <c r="BO4745">
        <v>0</v>
      </c>
      <c r="BP4745">
        <v>0</v>
      </c>
      <c r="BS4745">
        <v>0</v>
      </c>
      <c r="BT4745">
        <v>0</v>
      </c>
      <c r="BU4745">
        <v>0</v>
      </c>
      <c r="CE4745" t="str">
        <f t="shared" si="1881"/>
        <v>15:17:42.659</v>
      </c>
      <c r="CF4745">
        <v>659259799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3</v>
      </c>
      <c r="CY4745">
        <v>7</v>
      </c>
      <c r="CZ4745" t="s">
        <v>133</v>
      </c>
      <c r="DA4745">
        <v>275</v>
      </c>
      <c r="DB4745">
        <v>0</v>
      </c>
      <c r="DC4745" t="s">
        <v>134</v>
      </c>
      <c r="DD4745" t="s">
        <v>135</v>
      </c>
      <c r="DG4745">
        <v>3323368</v>
      </c>
      <c r="DI4745">
        <v>1</v>
      </c>
      <c r="DJ4745">
        <v>0</v>
      </c>
      <c r="DK4745">
        <v>1</v>
      </c>
      <c r="DL4745">
        <v>0</v>
      </c>
      <c r="DM4745">
        <v>0</v>
      </c>
      <c r="DN4745">
        <v>0</v>
      </c>
      <c r="DO4745">
        <v>0</v>
      </c>
      <c r="DP4745">
        <v>0</v>
      </c>
      <c r="DQ4745">
        <v>0</v>
      </c>
      <c r="DR4745">
        <v>0</v>
      </c>
      <c r="DS4745">
        <v>0</v>
      </c>
    </row>
    <row r="4746" spans="1:123" x14ac:dyDescent="0.3">
      <c r="A4746" t="str">
        <f>"05/01/2025 15:17:42.899"</f>
        <v>05/01/2025 15:17:42.899</v>
      </c>
      <c r="C4746" t="str">
        <f t="shared" si="1876"/>
        <v>FFDFD3C0</v>
      </c>
      <c r="D4746" t="s">
        <v>124</v>
      </c>
      <c r="E4746" t="str">
        <f>"06"</f>
        <v>06</v>
      </c>
      <c r="F4746">
        <v>2006</v>
      </c>
      <c r="G4746" t="s">
        <v>125</v>
      </c>
      <c r="J4746" t="s">
        <v>126</v>
      </c>
      <c r="K4746">
        <v>0</v>
      </c>
      <c r="L4746">
        <v>3</v>
      </c>
      <c r="M4746">
        <v>0</v>
      </c>
      <c r="N4746">
        <v>2</v>
      </c>
      <c r="O4746">
        <v>0</v>
      </c>
      <c r="P4746">
        <v>1</v>
      </c>
      <c r="Q4746">
        <v>0</v>
      </c>
      <c r="R4746" t="s">
        <v>127</v>
      </c>
      <c r="S4746" t="str">
        <f t="shared" si="1880"/>
        <v>15:17:42.000</v>
      </c>
      <c r="T4746" t="str">
        <f t="shared" si="1880"/>
        <v>15:17:42.000</v>
      </c>
      <c r="U4746" t="str">
        <f t="shared" si="1877"/>
        <v>A68FCB</v>
      </c>
      <c r="V4746">
        <v>0</v>
      </c>
      <c r="W4746">
        <v>0</v>
      </c>
      <c r="X4746">
        <v>2</v>
      </c>
      <c r="Y4746">
        <v>0</v>
      </c>
      <c r="AA4746">
        <v>1</v>
      </c>
      <c r="AB4746">
        <v>8</v>
      </c>
      <c r="AC4746">
        <v>3</v>
      </c>
      <c r="AD4746">
        <v>0</v>
      </c>
      <c r="AE4746">
        <v>9</v>
      </c>
      <c r="AF4746" t="s">
        <v>138</v>
      </c>
      <c r="AG4746">
        <v>0</v>
      </c>
      <c r="AH4746">
        <v>3</v>
      </c>
      <c r="AI4746">
        <v>2</v>
      </c>
      <c r="AJ4746">
        <v>0</v>
      </c>
      <c r="AK4746" t="s">
        <v>1514</v>
      </c>
      <c r="AL4746">
        <v>39.221857</v>
      </c>
      <c r="AM4746" t="s">
        <v>1515</v>
      </c>
      <c r="AN4746">
        <v>-121.000371</v>
      </c>
      <c r="AO4746">
        <v>25</v>
      </c>
      <c r="AP4746">
        <v>4100</v>
      </c>
      <c r="AQ4746" t="s">
        <v>131</v>
      </c>
      <c r="AR4746">
        <v>4</v>
      </c>
      <c r="AS4746">
        <v>89</v>
      </c>
      <c r="AT4746">
        <v>-128</v>
      </c>
      <c r="BB4746" t="str">
        <f t="shared" si="1878"/>
        <v>1200</v>
      </c>
      <c r="BC4746">
        <v>1</v>
      </c>
      <c r="BD4746" t="str">
        <f t="shared" si="1879"/>
        <v xml:space="preserve">N52156  </v>
      </c>
      <c r="BE4746">
        <v>1</v>
      </c>
      <c r="BG4746">
        <v>0</v>
      </c>
      <c r="BH4746">
        <v>0</v>
      </c>
      <c r="BI4746">
        <v>0</v>
      </c>
      <c r="BJ4746">
        <v>4150</v>
      </c>
      <c r="BK4746">
        <v>50</v>
      </c>
      <c r="BL4746" t="s">
        <v>188</v>
      </c>
      <c r="BM4746">
        <v>1</v>
      </c>
      <c r="BN4746">
        <v>1</v>
      </c>
      <c r="BO4746">
        <v>0</v>
      </c>
      <c r="BP4746">
        <v>0</v>
      </c>
      <c r="BS4746">
        <v>0</v>
      </c>
      <c r="BT4746">
        <v>0</v>
      </c>
      <c r="BU4746">
        <v>0</v>
      </c>
      <c r="CE4746" t="str">
        <f t="shared" si="1881"/>
        <v>15:17:42.659</v>
      </c>
      <c r="CF4746">
        <v>659259799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3</v>
      </c>
      <c r="CY4746">
        <v>7</v>
      </c>
      <c r="CZ4746" t="s">
        <v>133</v>
      </c>
      <c r="DA4746">
        <v>275</v>
      </c>
      <c r="DB4746">
        <v>0</v>
      </c>
      <c r="DC4746" t="s">
        <v>134</v>
      </c>
      <c r="DD4746" t="s">
        <v>135</v>
      </c>
      <c r="DG4746">
        <v>3323368</v>
      </c>
      <c r="DI4746">
        <v>1</v>
      </c>
      <c r="DJ4746">
        <v>0</v>
      </c>
      <c r="DK4746">
        <v>1</v>
      </c>
      <c r="DL4746">
        <v>0</v>
      </c>
      <c r="DM4746">
        <v>0</v>
      </c>
      <c r="DN4746">
        <v>0</v>
      </c>
      <c r="DO4746">
        <v>0</v>
      </c>
      <c r="DP4746">
        <v>0</v>
      </c>
      <c r="DQ4746">
        <v>0</v>
      </c>
      <c r="DR4746">
        <v>0</v>
      </c>
      <c r="DS4746">
        <v>0</v>
      </c>
    </row>
    <row r="4747" spans="1:123" x14ac:dyDescent="0.3">
      <c r="A4747" t="str">
        <f>"05/01/2025 15:17:42.905"</f>
        <v>05/01/2025 15:17:42.905</v>
      </c>
      <c r="C4747" t="str">
        <f t="shared" si="1876"/>
        <v>FFDFD3C0</v>
      </c>
      <c r="D4747" t="s">
        <v>143</v>
      </c>
      <c r="E4747" t="str">
        <f>"05"</f>
        <v>05</v>
      </c>
      <c r="H4747">
        <v>172</v>
      </c>
      <c r="I4747" t="s">
        <v>141</v>
      </c>
      <c r="J4747" t="s">
        <v>144</v>
      </c>
      <c r="K4747">
        <v>0</v>
      </c>
      <c r="L4747">
        <v>3</v>
      </c>
      <c r="M4747">
        <v>0</v>
      </c>
      <c r="N4747">
        <v>2</v>
      </c>
      <c r="O4747">
        <v>0</v>
      </c>
      <c r="P4747">
        <v>1</v>
      </c>
      <c r="Q4747">
        <v>0</v>
      </c>
      <c r="R4747" t="s">
        <v>127</v>
      </c>
      <c r="S4747" t="str">
        <f t="shared" si="1880"/>
        <v>15:17:42.000</v>
      </c>
      <c r="T4747" t="str">
        <f t="shared" si="1880"/>
        <v>15:17:42.000</v>
      </c>
      <c r="U4747" t="str">
        <f t="shared" si="1877"/>
        <v>A68FCB</v>
      </c>
      <c r="V4747">
        <v>0</v>
      </c>
      <c r="W4747">
        <v>0</v>
      </c>
      <c r="X4747">
        <v>2</v>
      </c>
      <c r="Y4747">
        <v>0</v>
      </c>
      <c r="AA4747">
        <v>1</v>
      </c>
      <c r="AB4747">
        <v>8</v>
      </c>
      <c r="AC4747">
        <v>3</v>
      </c>
      <c r="AD4747">
        <v>0</v>
      </c>
      <c r="AE4747">
        <v>9</v>
      </c>
      <c r="AF4747" t="s">
        <v>138</v>
      </c>
      <c r="AG4747">
        <v>0</v>
      </c>
      <c r="AH4747">
        <v>3</v>
      </c>
      <c r="AI4747">
        <v>2</v>
      </c>
      <c r="AJ4747">
        <v>0</v>
      </c>
      <c r="AK4747" t="s">
        <v>1514</v>
      </c>
      <c r="AL4747">
        <v>39.221857</v>
      </c>
      <c r="AM4747" t="s">
        <v>1515</v>
      </c>
      <c r="AN4747">
        <v>-121.000371</v>
      </c>
      <c r="AO4747">
        <v>25</v>
      </c>
      <c r="AP4747">
        <v>4100</v>
      </c>
      <c r="AQ4747" t="s">
        <v>131</v>
      </c>
      <c r="AR4747">
        <v>4</v>
      </c>
      <c r="AS4747">
        <v>89</v>
      </c>
      <c r="AT4747">
        <v>-128</v>
      </c>
      <c r="BB4747" t="str">
        <f t="shared" si="1878"/>
        <v>1200</v>
      </c>
      <c r="BC4747">
        <v>1</v>
      </c>
      <c r="BD4747" t="str">
        <f t="shared" si="1879"/>
        <v xml:space="preserve">N52156  </v>
      </c>
      <c r="BE4747">
        <v>1</v>
      </c>
      <c r="BG4747">
        <v>0</v>
      </c>
      <c r="BH4747">
        <v>0</v>
      </c>
      <c r="BI4747">
        <v>0</v>
      </c>
      <c r="BJ4747">
        <v>4150</v>
      </c>
      <c r="BK4747">
        <v>50</v>
      </c>
      <c r="BL4747" t="s">
        <v>188</v>
      </c>
      <c r="BM4747">
        <v>1</v>
      </c>
      <c r="BN4747">
        <v>1</v>
      </c>
      <c r="BO4747">
        <v>0</v>
      </c>
      <c r="BP4747">
        <v>0</v>
      </c>
      <c r="BS4747">
        <v>0</v>
      </c>
      <c r="BT4747">
        <v>0</v>
      </c>
      <c r="BU4747">
        <v>0</v>
      </c>
      <c r="CE4747" t="str">
        <f t="shared" si="1881"/>
        <v>15:17:42.659</v>
      </c>
      <c r="CF4747">
        <v>659259799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3</v>
      </c>
      <c r="CY4747">
        <v>7</v>
      </c>
      <c r="CZ4747" t="s">
        <v>133</v>
      </c>
      <c r="DA4747">
        <v>275</v>
      </c>
      <c r="DB4747">
        <v>0</v>
      </c>
      <c r="DC4747" t="s">
        <v>134</v>
      </c>
      <c r="DD4747" t="s">
        <v>135</v>
      </c>
      <c r="DG4747">
        <v>3323368</v>
      </c>
      <c r="DI4747">
        <v>1</v>
      </c>
      <c r="DJ4747">
        <v>0</v>
      </c>
      <c r="DK4747">
        <v>1</v>
      </c>
      <c r="DL4747">
        <v>0</v>
      </c>
      <c r="DM4747">
        <v>0</v>
      </c>
      <c r="DN4747">
        <v>0</v>
      </c>
      <c r="DO4747">
        <v>0</v>
      </c>
      <c r="DP4747">
        <v>0</v>
      </c>
      <c r="DQ4747">
        <v>0</v>
      </c>
      <c r="DR4747">
        <v>0</v>
      </c>
      <c r="DS4747">
        <v>0</v>
      </c>
    </row>
    <row r="4748" spans="1:123" x14ac:dyDescent="0.3">
      <c r="A4748" t="str">
        <f>"05/01/2025 15:17:44.149"</f>
        <v>05/01/2025 15:17:44.149</v>
      </c>
      <c r="C4748" t="str">
        <f t="shared" si="1876"/>
        <v>FFDFD3C0</v>
      </c>
      <c r="D4748" t="s">
        <v>140</v>
      </c>
      <c r="E4748" t="str">
        <f>"13"</f>
        <v>13</v>
      </c>
      <c r="F4748">
        <v>1019</v>
      </c>
      <c r="G4748" t="s">
        <v>141</v>
      </c>
      <c r="J4748" t="s">
        <v>142</v>
      </c>
      <c r="K4748">
        <v>0</v>
      </c>
      <c r="L4748">
        <v>3</v>
      </c>
      <c r="M4748">
        <v>0</v>
      </c>
      <c r="N4748">
        <v>2</v>
      </c>
      <c r="O4748">
        <v>0</v>
      </c>
      <c r="P4748">
        <v>1</v>
      </c>
      <c r="Q4748">
        <v>0</v>
      </c>
      <c r="R4748" t="s">
        <v>127</v>
      </c>
      <c r="S4748" t="str">
        <f t="shared" ref="S4748:T4753" si="1882">"15:17:43.000"</f>
        <v>15:17:43.000</v>
      </c>
      <c r="T4748" t="str">
        <f t="shared" si="1882"/>
        <v>15:17:43.000</v>
      </c>
      <c r="U4748" t="str">
        <f t="shared" si="1877"/>
        <v>A68FCB</v>
      </c>
      <c r="V4748">
        <v>0</v>
      </c>
      <c r="W4748">
        <v>0</v>
      </c>
      <c r="X4748">
        <v>2</v>
      </c>
      <c r="Y4748">
        <v>0</v>
      </c>
      <c r="AA4748">
        <v>1</v>
      </c>
      <c r="AB4748">
        <v>8</v>
      </c>
      <c r="AC4748">
        <v>3</v>
      </c>
      <c r="AD4748">
        <v>0</v>
      </c>
      <c r="AE4748">
        <v>9</v>
      </c>
      <c r="AF4748" t="s">
        <v>138</v>
      </c>
      <c r="AG4748">
        <v>0</v>
      </c>
      <c r="AH4748">
        <v>3</v>
      </c>
      <c r="AI4748">
        <v>2</v>
      </c>
      <c r="AJ4748">
        <v>0</v>
      </c>
      <c r="AK4748" t="s">
        <v>1516</v>
      </c>
      <c r="AL4748">
        <v>39.222285999999997</v>
      </c>
      <c r="AM4748" t="s">
        <v>1515</v>
      </c>
      <c r="AN4748">
        <v>-121.000371</v>
      </c>
      <c r="AO4748">
        <v>25</v>
      </c>
      <c r="AP4748">
        <v>4100</v>
      </c>
      <c r="AQ4748" t="s">
        <v>131</v>
      </c>
      <c r="AR4748">
        <v>1</v>
      </c>
      <c r="AS4748">
        <v>88</v>
      </c>
      <c r="AT4748">
        <v>-128</v>
      </c>
      <c r="BB4748" t="str">
        <f t="shared" si="1878"/>
        <v>1200</v>
      </c>
      <c r="BC4748">
        <v>1</v>
      </c>
      <c r="BD4748" t="str">
        <f t="shared" si="1879"/>
        <v xml:space="preserve">N52156  </v>
      </c>
      <c r="BE4748">
        <v>1</v>
      </c>
      <c r="BG4748">
        <v>0</v>
      </c>
      <c r="BH4748">
        <v>0</v>
      </c>
      <c r="BI4748">
        <v>0</v>
      </c>
      <c r="BJ4748">
        <v>4150</v>
      </c>
      <c r="BK4748">
        <v>50</v>
      </c>
      <c r="BL4748" t="s">
        <v>188</v>
      </c>
      <c r="BM4748">
        <v>1</v>
      </c>
      <c r="BN4748">
        <v>1</v>
      </c>
      <c r="BO4748">
        <v>0</v>
      </c>
      <c r="BP4748">
        <v>0</v>
      </c>
      <c r="BS4748">
        <v>0</v>
      </c>
      <c r="BT4748">
        <v>0</v>
      </c>
      <c r="BU4748">
        <v>0</v>
      </c>
      <c r="CE4748" t="str">
        <f t="shared" ref="CE4748:CE4753" si="1883">"15:17:43.951"</f>
        <v>15:17:43.951</v>
      </c>
      <c r="CF4748">
        <v>950760660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3</v>
      </c>
      <c r="CY4748">
        <v>7</v>
      </c>
      <c r="CZ4748" t="s">
        <v>133</v>
      </c>
      <c r="DA4748">
        <v>275</v>
      </c>
      <c r="DB4748">
        <v>0</v>
      </c>
      <c r="DC4748" t="s">
        <v>134</v>
      </c>
      <c r="DD4748" t="s">
        <v>135</v>
      </c>
      <c r="DG4748">
        <v>3323372</v>
      </c>
      <c r="DI4748">
        <v>1</v>
      </c>
      <c r="DJ4748">
        <v>0</v>
      </c>
      <c r="DK4748">
        <v>0</v>
      </c>
      <c r="DL4748">
        <v>0</v>
      </c>
      <c r="DM4748">
        <v>0</v>
      </c>
      <c r="DN4748">
        <v>0</v>
      </c>
      <c r="DO4748">
        <v>0</v>
      </c>
      <c r="DP4748">
        <v>0</v>
      </c>
      <c r="DQ4748">
        <v>0</v>
      </c>
      <c r="DR4748">
        <v>0</v>
      </c>
      <c r="DS4748">
        <v>0</v>
      </c>
    </row>
    <row r="4749" spans="1:123" x14ac:dyDescent="0.3">
      <c r="A4749" t="str">
        <f>"05/01/2025 15:17:44.152"</f>
        <v>05/01/2025 15:17:44.152</v>
      </c>
      <c r="C4749" t="str">
        <f t="shared" si="1876"/>
        <v>FFDFD3C0</v>
      </c>
      <c r="D4749" t="s">
        <v>124</v>
      </c>
      <c r="E4749" t="str">
        <f>"06"</f>
        <v>06</v>
      </c>
      <c r="F4749">
        <v>2006</v>
      </c>
      <c r="G4749" t="s">
        <v>125</v>
      </c>
      <c r="J4749" t="s">
        <v>126</v>
      </c>
      <c r="K4749">
        <v>0</v>
      </c>
      <c r="L4749">
        <v>3</v>
      </c>
      <c r="M4749">
        <v>0</v>
      </c>
      <c r="N4749">
        <v>2</v>
      </c>
      <c r="O4749">
        <v>0</v>
      </c>
      <c r="P4749">
        <v>1</v>
      </c>
      <c r="Q4749">
        <v>0</v>
      </c>
      <c r="R4749" t="s">
        <v>127</v>
      </c>
      <c r="S4749" t="str">
        <f t="shared" si="1882"/>
        <v>15:17:43.000</v>
      </c>
      <c r="T4749" t="str">
        <f t="shared" si="1882"/>
        <v>15:17:43.000</v>
      </c>
      <c r="U4749" t="str">
        <f t="shared" si="1877"/>
        <v>A68FCB</v>
      </c>
      <c r="V4749">
        <v>0</v>
      </c>
      <c r="W4749">
        <v>0</v>
      </c>
      <c r="X4749">
        <v>2</v>
      </c>
      <c r="Y4749">
        <v>0</v>
      </c>
      <c r="AA4749">
        <v>1</v>
      </c>
      <c r="AB4749">
        <v>8</v>
      </c>
      <c r="AC4749">
        <v>3</v>
      </c>
      <c r="AD4749">
        <v>0</v>
      </c>
      <c r="AE4749">
        <v>9</v>
      </c>
      <c r="AF4749" t="s">
        <v>138</v>
      </c>
      <c r="AG4749">
        <v>0</v>
      </c>
      <c r="AH4749">
        <v>3</v>
      </c>
      <c r="AI4749">
        <v>2</v>
      </c>
      <c r="AJ4749">
        <v>0</v>
      </c>
      <c r="AK4749" t="s">
        <v>1516</v>
      </c>
      <c r="AL4749">
        <v>39.222285999999997</v>
      </c>
      <c r="AM4749" t="s">
        <v>1515</v>
      </c>
      <c r="AN4749">
        <v>-121.000371</v>
      </c>
      <c r="AO4749">
        <v>25</v>
      </c>
      <c r="AP4749">
        <v>4100</v>
      </c>
      <c r="AQ4749" t="s">
        <v>131</v>
      </c>
      <c r="AR4749">
        <v>1</v>
      </c>
      <c r="AS4749">
        <v>88</v>
      </c>
      <c r="AT4749">
        <v>-128</v>
      </c>
      <c r="BB4749" t="str">
        <f t="shared" si="1878"/>
        <v>1200</v>
      </c>
      <c r="BC4749">
        <v>1</v>
      </c>
      <c r="BD4749" t="str">
        <f t="shared" si="1879"/>
        <v xml:space="preserve">N52156  </v>
      </c>
      <c r="BE4749">
        <v>1</v>
      </c>
      <c r="BG4749">
        <v>0</v>
      </c>
      <c r="BH4749">
        <v>0</v>
      </c>
      <c r="BI4749">
        <v>0</v>
      </c>
      <c r="BJ4749">
        <v>4150</v>
      </c>
      <c r="BK4749">
        <v>50</v>
      </c>
      <c r="BL4749" t="s">
        <v>188</v>
      </c>
      <c r="BM4749">
        <v>1</v>
      </c>
      <c r="BN4749">
        <v>1</v>
      </c>
      <c r="BO4749">
        <v>0</v>
      </c>
      <c r="BP4749">
        <v>0</v>
      </c>
      <c r="BS4749">
        <v>0</v>
      </c>
      <c r="BT4749">
        <v>0</v>
      </c>
      <c r="BU4749">
        <v>0</v>
      </c>
      <c r="CE4749" t="str">
        <f t="shared" si="1883"/>
        <v>15:17:43.951</v>
      </c>
      <c r="CF4749">
        <v>950760660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3</v>
      </c>
      <c r="CY4749">
        <v>7</v>
      </c>
      <c r="CZ4749" t="s">
        <v>133</v>
      </c>
      <c r="DA4749">
        <v>275</v>
      </c>
      <c r="DB4749">
        <v>0</v>
      </c>
      <c r="DC4749" t="s">
        <v>134</v>
      </c>
      <c r="DD4749" t="s">
        <v>135</v>
      </c>
      <c r="DG4749">
        <v>3323372</v>
      </c>
      <c r="DI4749">
        <v>1</v>
      </c>
      <c r="DJ4749">
        <v>0</v>
      </c>
      <c r="DK4749">
        <v>1</v>
      </c>
      <c r="DL4749">
        <v>0</v>
      </c>
      <c r="DM4749">
        <v>0</v>
      </c>
      <c r="DN4749">
        <v>0</v>
      </c>
      <c r="DO4749">
        <v>0</v>
      </c>
      <c r="DP4749">
        <v>0</v>
      </c>
      <c r="DQ4749">
        <v>0</v>
      </c>
      <c r="DR4749">
        <v>0</v>
      </c>
      <c r="DS4749">
        <v>0</v>
      </c>
    </row>
    <row r="4750" spans="1:123" x14ac:dyDescent="0.3">
      <c r="A4750" t="str">
        <f>"05/01/2025 15:17:44.157"</f>
        <v>05/01/2025 15:17:44.157</v>
      </c>
      <c r="C4750" t="str">
        <f t="shared" si="1876"/>
        <v>FFDFD3C0</v>
      </c>
      <c r="D4750" t="s">
        <v>143</v>
      </c>
      <c r="E4750" t="str">
        <f>"05"</f>
        <v>05</v>
      </c>
      <c r="H4750">
        <v>172</v>
      </c>
      <c r="I4750" t="s">
        <v>141</v>
      </c>
      <c r="J4750" t="s">
        <v>144</v>
      </c>
      <c r="K4750">
        <v>0</v>
      </c>
      <c r="L4750">
        <v>3</v>
      </c>
      <c r="M4750">
        <v>0</v>
      </c>
      <c r="N4750">
        <v>2</v>
      </c>
      <c r="O4750">
        <v>0</v>
      </c>
      <c r="P4750">
        <v>1</v>
      </c>
      <c r="Q4750">
        <v>0</v>
      </c>
      <c r="R4750" t="s">
        <v>127</v>
      </c>
      <c r="S4750" t="str">
        <f t="shared" si="1882"/>
        <v>15:17:43.000</v>
      </c>
      <c r="T4750" t="str">
        <f t="shared" si="1882"/>
        <v>15:17:43.000</v>
      </c>
      <c r="U4750" t="str">
        <f t="shared" si="1877"/>
        <v>A68FCB</v>
      </c>
      <c r="V4750">
        <v>0</v>
      </c>
      <c r="W4750">
        <v>0</v>
      </c>
      <c r="X4750">
        <v>2</v>
      </c>
      <c r="Y4750">
        <v>0</v>
      </c>
      <c r="AA4750">
        <v>1</v>
      </c>
      <c r="AB4750">
        <v>8</v>
      </c>
      <c r="AC4750">
        <v>3</v>
      </c>
      <c r="AD4750">
        <v>0</v>
      </c>
      <c r="AE4750">
        <v>9</v>
      </c>
      <c r="AF4750" t="s">
        <v>138</v>
      </c>
      <c r="AG4750">
        <v>0</v>
      </c>
      <c r="AH4750">
        <v>3</v>
      </c>
      <c r="AI4750">
        <v>2</v>
      </c>
      <c r="AJ4750">
        <v>0</v>
      </c>
      <c r="AK4750" t="s">
        <v>1516</v>
      </c>
      <c r="AL4750">
        <v>39.222285999999997</v>
      </c>
      <c r="AM4750" t="s">
        <v>1515</v>
      </c>
      <c r="AN4750">
        <v>-121.000371</v>
      </c>
      <c r="AO4750">
        <v>25</v>
      </c>
      <c r="AP4750">
        <v>4100</v>
      </c>
      <c r="AQ4750" t="s">
        <v>131</v>
      </c>
      <c r="AR4750">
        <v>1</v>
      </c>
      <c r="AS4750">
        <v>88</v>
      </c>
      <c r="AT4750">
        <v>-128</v>
      </c>
      <c r="BB4750" t="str">
        <f t="shared" si="1878"/>
        <v>1200</v>
      </c>
      <c r="BC4750">
        <v>1</v>
      </c>
      <c r="BD4750" t="str">
        <f t="shared" si="1879"/>
        <v xml:space="preserve">N52156  </v>
      </c>
      <c r="BE4750">
        <v>1</v>
      </c>
      <c r="BG4750">
        <v>0</v>
      </c>
      <c r="BH4750">
        <v>0</v>
      </c>
      <c r="BI4750">
        <v>0</v>
      </c>
      <c r="BJ4750">
        <v>4150</v>
      </c>
      <c r="BK4750">
        <v>50</v>
      </c>
      <c r="BL4750" t="s">
        <v>188</v>
      </c>
      <c r="BM4750">
        <v>1</v>
      </c>
      <c r="BN4750">
        <v>1</v>
      </c>
      <c r="BO4750">
        <v>0</v>
      </c>
      <c r="BP4750">
        <v>0</v>
      </c>
      <c r="BS4750">
        <v>0</v>
      </c>
      <c r="BT4750">
        <v>0</v>
      </c>
      <c r="BU4750">
        <v>0</v>
      </c>
      <c r="CE4750" t="str">
        <f t="shared" si="1883"/>
        <v>15:17:43.951</v>
      </c>
      <c r="CF4750">
        <v>950760660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3</v>
      </c>
      <c r="CY4750">
        <v>7</v>
      </c>
      <c r="CZ4750" t="s">
        <v>133</v>
      </c>
      <c r="DA4750">
        <v>275</v>
      </c>
      <c r="DB4750">
        <v>0</v>
      </c>
      <c r="DC4750" t="s">
        <v>134</v>
      </c>
      <c r="DD4750" t="s">
        <v>135</v>
      </c>
      <c r="DG4750">
        <v>3323372</v>
      </c>
      <c r="DI4750">
        <v>1</v>
      </c>
      <c r="DJ4750">
        <v>0</v>
      </c>
      <c r="DK4750">
        <v>1</v>
      </c>
      <c r="DL4750">
        <v>0</v>
      </c>
      <c r="DM4750">
        <v>0</v>
      </c>
      <c r="DN4750">
        <v>0</v>
      </c>
      <c r="DO4750">
        <v>0</v>
      </c>
      <c r="DP4750">
        <v>0</v>
      </c>
      <c r="DQ4750">
        <v>0</v>
      </c>
      <c r="DR4750">
        <v>0</v>
      </c>
      <c r="DS4750">
        <v>0</v>
      </c>
    </row>
    <row r="4751" spans="1:123" x14ac:dyDescent="0.3">
      <c r="A4751" t="str">
        <f>"05/01/2025 15:17:44.170"</f>
        <v>05/01/2025 15:17:44.170</v>
      </c>
      <c r="C4751" t="str">
        <f t="shared" si="1876"/>
        <v>FFDFD3C0</v>
      </c>
      <c r="D4751" t="s">
        <v>145</v>
      </c>
      <c r="E4751" t="str">
        <f>"09"</f>
        <v>09</v>
      </c>
      <c r="H4751">
        <v>51</v>
      </c>
      <c r="I4751" t="s">
        <v>147</v>
      </c>
      <c r="J4751" t="s">
        <v>138</v>
      </c>
      <c r="K4751">
        <v>0</v>
      </c>
      <c r="L4751">
        <v>3</v>
      </c>
      <c r="M4751">
        <v>0</v>
      </c>
      <c r="N4751">
        <v>2</v>
      </c>
      <c r="O4751">
        <v>0</v>
      </c>
      <c r="P4751">
        <v>1</v>
      </c>
      <c r="Q4751">
        <v>0</v>
      </c>
      <c r="R4751" t="s">
        <v>127</v>
      </c>
      <c r="S4751" t="str">
        <f t="shared" si="1882"/>
        <v>15:17:43.000</v>
      </c>
      <c r="T4751" t="str">
        <f t="shared" si="1882"/>
        <v>15:17:43.000</v>
      </c>
      <c r="U4751" t="str">
        <f t="shared" si="1877"/>
        <v>A68FCB</v>
      </c>
      <c r="V4751">
        <v>0</v>
      </c>
      <c r="W4751">
        <v>0</v>
      </c>
      <c r="X4751">
        <v>2</v>
      </c>
      <c r="Y4751">
        <v>0</v>
      </c>
      <c r="AA4751">
        <v>1</v>
      </c>
      <c r="AB4751">
        <v>8</v>
      </c>
      <c r="AC4751">
        <v>3</v>
      </c>
      <c r="AD4751">
        <v>0</v>
      </c>
      <c r="AE4751">
        <v>9</v>
      </c>
      <c r="AF4751" t="s">
        <v>138</v>
      </c>
      <c r="AG4751">
        <v>0</v>
      </c>
      <c r="AH4751">
        <v>3</v>
      </c>
      <c r="AI4751">
        <v>2</v>
      </c>
      <c r="AJ4751">
        <v>0</v>
      </c>
      <c r="AK4751" t="s">
        <v>1516</v>
      </c>
      <c r="AL4751">
        <v>39.222285999999997</v>
      </c>
      <c r="AM4751" t="s">
        <v>1515</v>
      </c>
      <c r="AN4751">
        <v>-121.000371</v>
      </c>
      <c r="AO4751">
        <v>25</v>
      </c>
      <c r="AP4751">
        <v>4100</v>
      </c>
      <c r="AQ4751" t="s">
        <v>131</v>
      </c>
      <c r="AR4751">
        <v>1</v>
      </c>
      <c r="AS4751">
        <v>88</v>
      </c>
      <c r="AT4751">
        <v>-128</v>
      </c>
      <c r="BB4751" t="str">
        <f t="shared" si="1878"/>
        <v>1200</v>
      </c>
      <c r="BC4751">
        <v>1</v>
      </c>
      <c r="BD4751" t="str">
        <f t="shared" si="1879"/>
        <v xml:space="preserve">N52156  </v>
      </c>
      <c r="BE4751">
        <v>1</v>
      </c>
      <c r="BG4751">
        <v>0</v>
      </c>
      <c r="BH4751">
        <v>0</v>
      </c>
      <c r="BI4751">
        <v>0</v>
      </c>
      <c r="BJ4751">
        <v>4150</v>
      </c>
      <c r="BK4751">
        <v>50</v>
      </c>
      <c r="BL4751" t="s">
        <v>188</v>
      </c>
      <c r="BM4751">
        <v>1</v>
      </c>
      <c r="BN4751">
        <v>1</v>
      </c>
      <c r="BO4751">
        <v>0</v>
      </c>
      <c r="BP4751">
        <v>0</v>
      </c>
      <c r="BS4751">
        <v>0</v>
      </c>
      <c r="BT4751">
        <v>0</v>
      </c>
      <c r="BU4751">
        <v>0</v>
      </c>
      <c r="CE4751" t="str">
        <f t="shared" si="1883"/>
        <v>15:17:43.951</v>
      </c>
      <c r="CF4751">
        <v>950760660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3</v>
      </c>
      <c r="CY4751">
        <v>7</v>
      </c>
      <c r="CZ4751" t="s">
        <v>133</v>
      </c>
      <c r="DA4751">
        <v>275</v>
      </c>
      <c r="DB4751">
        <v>0</v>
      </c>
      <c r="DC4751" t="s">
        <v>134</v>
      </c>
      <c r="DD4751" t="s">
        <v>135</v>
      </c>
      <c r="DG4751">
        <v>3323372</v>
      </c>
      <c r="DI4751">
        <v>1</v>
      </c>
      <c r="DJ4751">
        <v>0</v>
      </c>
      <c r="DK4751">
        <v>1</v>
      </c>
      <c r="DL4751">
        <v>0</v>
      </c>
      <c r="DM4751">
        <v>0</v>
      </c>
      <c r="DN4751">
        <v>0</v>
      </c>
      <c r="DO4751">
        <v>0</v>
      </c>
      <c r="DP4751">
        <v>0</v>
      </c>
      <c r="DQ4751">
        <v>0</v>
      </c>
      <c r="DR4751">
        <v>0</v>
      </c>
      <c r="DS4751">
        <v>0</v>
      </c>
    </row>
    <row r="4752" spans="1:123" x14ac:dyDescent="0.3">
      <c r="A4752" t="str">
        <f>"05/01/2025 15:17:44.175"</f>
        <v>05/01/2025 15:17:44.175</v>
      </c>
      <c r="C4752" t="str">
        <f t="shared" si="1876"/>
        <v>FFDFD3C0</v>
      </c>
      <c r="D4752" t="s">
        <v>145</v>
      </c>
      <c r="E4752" t="str">
        <f>"05"</f>
        <v>05</v>
      </c>
      <c r="H4752">
        <v>47</v>
      </c>
      <c r="I4752" t="s">
        <v>146</v>
      </c>
      <c r="J4752" t="s">
        <v>138</v>
      </c>
      <c r="K4752">
        <v>0</v>
      </c>
      <c r="L4752">
        <v>3</v>
      </c>
      <c r="M4752">
        <v>0</v>
      </c>
      <c r="N4752">
        <v>2</v>
      </c>
      <c r="O4752">
        <v>0</v>
      </c>
      <c r="P4752">
        <v>1</v>
      </c>
      <c r="Q4752">
        <v>0</v>
      </c>
      <c r="R4752" t="s">
        <v>127</v>
      </c>
      <c r="S4752" t="str">
        <f t="shared" si="1882"/>
        <v>15:17:43.000</v>
      </c>
      <c r="T4752" t="str">
        <f t="shared" si="1882"/>
        <v>15:17:43.000</v>
      </c>
      <c r="U4752" t="str">
        <f t="shared" si="1877"/>
        <v>A68FCB</v>
      </c>
      <c r="V4752">
        <v>0</v>
      </c>
      <c r="W4752">
        <v>0</v>
      </c>
      <c r="X4752">
        <v>2</v>
      </c>
      <c r="Y4752">
        <v>0</v>
      </c>
      <c r="AA4752">
        <v>1</v>
      </c>
      <c r="AB4752">
        <v>8</v>
      </c>
      <c r="AC4752">
        <v>3</v>
      </c>
      <c r="AD4752">
        <v>0</v>
      </c>
      <c r="AE4752">
        <v>9</v>
      </c>
      <c r="AF4752" t="s">
        <v>138</v>
      </c>
      <c r="AG4752">
        <v>0</v>
      </c>
      <c r="AH4752">
        <v>3</v>
      </c>
      <c r="AI4752">
        <v>2</v>
      </c>
      <c r="AJ4752">
        <v>0</v>
      </c>
      <c r="AK4752" t="s">
        <v>1516</v>
      </c>
      <c r="AL4752">
        <v>39.222285999999997</v>
      </c>
      <c r="AM4752" t="s">
        <v>1515</v>
      </c>
      <c r="AN4752">
        <v>-121.000371</v>
      </c>
      <c r="AO4752">
        <v>25</v>
      </c>
      <c r="AP4752">
        <v>4100</v>
      </c>
      <c r="AQ4752" t="s">
        <v>131</v>
      </c>
      <c r="AR4752">
        <v>1</v>
      </c>
      <c r="AS4752">
        <v>88</v>
      </c>
      <c r="AT4752">
        <v>-128</v>
      </c>
      <c r="BB4752" t="str">
        <f t="shared" si="1878"/>
        <v>1200</v>
      </c>
      <c r="BC4752">
        <v>1</v>
      </c>
      <c r="BD4752" t="str">
        <f t="shared" si="1879"/>
        <v xml:space="preserve">N52156  </v>
      </c>
      <c r="BE4752">
        <v>1</v>
      </c>
      <c r="BG4752">
        <v>0</v>
      </c>
      <c r="BH4752">
        <v>0</v>
      </c>
      <c r="BI4752">
        <v>0</v>
      </c>
      <c r="BJ4752">
        <v>4150</v>
      </c>
      <c r="BK4752">
        <v>50</v>
      </c>
      <c r="BL4752" t="s">
        <v>188</v>
      </c>
      <c r="BM4752">
        <v>1</v>
      </c>
      <c r="BN4752">
        <v>1</v>
      </c>
      <c r="BO4752">
        <v>0</v>
      </c>
      <c r="BP4752">
        <v>0</v>
      </c>
      <c r="BS4752">
        <v>0</v>
      </c>
      <c r="BT4752">
        <v>0</v>
      </c>
      <c r="BU4752">
        <v>0</v>
      </c>
      <c r="CE4752" t="str">
        <f t="shared" si="1883"/>
        <v>15:17:43.951</v>
      </c>
      <c r="CF4752">
        <v>950760660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3</v>
      </c>
      <c r="CY4752">
        <v>7</v>
      </c>
      <c r="CZ4752" t="s">
        <v>133</v>
      </c>
      <c r="DA4752">
        <v>275</v>
      </c>
      <c r="DB4752">
        <v>0</v>
      </c>
      <c r="DC4752" t="s">
        <v>134</v>
      </c>
      <c r="DD4752" t="s">
        <v>135</v>
      </c>
      <c r="DG4752">
        <v>3323372</v>
      </c>
      <c r="DI4752">
        <v>1</v>
      </c>
      <c r="DJ4752">
        <v>0</v>
      </c>
      <c r="DK4752">
        <v>1</v>
      </c>
      <c r="DL4752">
        <v>0</v>
      </c>
      <c r="DM4752">
        <v>0</v>
      </c>
      <c r="DN4752">
        <v>0</v>
      </c>
      <c r="DO4752">
        <v>0</v>
      </c>
      <c r="DP4752">
        <v>0</v>
      </c>
      <c r="DQ4752">
        <v>0</v>
      </c>
      <c r="DR4752">
        <v>0</v>
      </c>
      <c r="DS4752">
        <v>0</v>
      </c>
    </row>
    <row r="4753" spans="1:123" x14ac:dyDescent="0.3">
      <c r="A4753" t="str">
        <f>"05/01/2025 15:17:44.184"</f>
        <v>05/01/2025 15:17:44.184</v>
      </c>
      <c r="C4753" t="str">
        <f t="shared" si="1876"/>
        <v>FFDFD3C0</v>
      </c>
      <c r="D4753" t="s">
        <v>136</v>
      </c>
      <c r="E4753" t="str">
        <f>"20"</f>
        <v>20</v>
      </c>
      <c r="H4753">
        <v>400</v>
      </c>
      <c r="I4753" t="s">
        <v>137</v>
      </c>
      <c r="J4753" t="s">
        <v>138</v>
      </c>
      <c r="K4753">
        <v>0</v>
      </c>
      <c r="L4753">
        <v>3</v>
      </c>
      <c r="M4753">
        <v>0</v>
      </c>
      <c r="N4753">
        <v>2</v>
      </c>
      <c r="O4753">
        <v>0</v>
      </c>
      <c r="P4753">
        <v>1</v>
      </c>
      <c r="Q4753">
        <v>0</v>
      </c>
      <c r="R4753" t="s">
        <v>127</v>
      </c>
      <c r="S4753" t="str">
        <f t="shared" si="1882"/>
        <v>15:17:43.000</v>
      </c>
      <c r="T4753" t="str">
        <f t="shared" si="1882"/>
        <v>15:17:43.000</v>
      </c>
      <c r="U4753" t="str">
        <f t="shared" si="1877"/>
        <v>A68FCB</v>
      </c>
      <c r="V4753">
        <v>0</v>
      </c>
      <c r="W4753">
        <v>0</v>
      </c>
      <c r="X4753">
        <v>2</v>
      </c>
      <c r="Y4753">
        <v>0</v>
      </c>
      <c r="AA4753">
        <v>1</v>
      </c>
      <c r="AB4753">
        <v>8</v>
      </c>
      <c r="AC4753">
        <v>3</v>
      </c>
      <c r="AD4753">
        <v>0</v>
      </c>
      <c r="AE4753">
        <v>9</v>
      </c>
      <c r="AF4753" t="s">
        <v>138</v>
      </c>
      <c r="AG4753">
        <v>0</v>
      </c>
      <c r="AH4753">
        <v>3</v>
      </c>
      <c r="AI4753">
        <v>2</v>
      </c>
      <c r="AJ4753">
        <v>0</v>
      </c>
      <c r="AK4753" t="s">
        <v>1516</v>
      </c>
      <c r="AL4753">
        <v>39.222285999999997</v>
      </c>
      <c r="AM4753" t="s">
        <v>1515</v>
      </c>
      <c r="AN4753">
        <v>-121.000371</v>
      </c>
      <c r="AO4753">
        <v>25</v>
      </c>
      <c r="AP4753">
        <v>4100</v>
      </c>
      <c r="AQ4753" t="s">
        <v>131</v>
      </c>
      <c r="AR4753">
        <v>1</v>
      </c>
      <c r="AS4753">
        <v>88</v>
      </c>
      <c r="AT4753">
        <v>-128</v>
      </c>
      <c r="BB4753" t="str">
        <f t="shared" si="1878"/>
        <v>1200</v>
      </c>
      <c r="BC4753">
        <v>1</v>
      </c>
      <c r="BD4753" t="str">
        <f t="shared" si="1879"/>
        <v xml:space="preserve">N52156  </v>
      </c>
      <c r="BE4753">
        <v>1</v>
      </c>
      <c r="BG4753">
        <v>0</v>
      </c>
      <c r="BH4753">
        <v>0</v>
      </c>
      <c r="BI4753">
        <v>0</v>
      </c>
      <c r="BJ4753">
        <v>4150</v>
      </c>
      <c r="BK4753">
        <v>50</v>
      </c>
      <c r="BL4753" t="s">
        <v>188</v>
      </c>
      <c r="BM4753">
        <v>1</v>
      </c>
      <c r="BN4753">
        <v>1</v>
      </c>
      <c r="BO4753">
        <v>0</v>
      </c>
      <c r="BP4753">
        <v>0</v>
      </c>
      <c r="BS4753">
        <v>0</v>
      </c>
      <c r="BT4753">
        <v>0</v>
      </c>
      <c r="BU4753">
        <v>0</v>
      </c>
      <c r="CE4753" t="str">
        <f t="shared" si="1883"/>
        <v>15:17:43.951</v>
      </c>
      <c r="CF4753">
        <v>950760660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3</v>
      </c>
      <c r="CY4753">
        <v>7</v>
      </c>
      <c r="CZ4753" t="s">
        <v>133</v>
      </c>
      <c r="DA4753">
        <v>275</v>
      </c>
      <c r="DB4753">
        <v>0</v>
      </c>
      <c r="DC4753" t="s">
        <v>134</v>
      </c>
      <c r="DD4753" t="s">
        <v>135</v>
      </c>
      <c r="DG4753">
        <v>3323372</v>
      </c>
      <c r="DI4753">
        <v>1</v>
      </c>
      <c r="DJ4753">
        <v>0</v>
      </c>
      <c r="DK4753">
        <v>1</v>
      </c>
      <c r="DL4753">
        <v>0</v>
      </c>
      <c r="DM4753">
        <v>0</v>
      </c>
      <c r="DN4753">
        <v>0</v>
      </c>
      <c r="DO4753">
        <v>0</v>
      </c>
      <c r="DP4753">
        <v>0</v>
      </c>
      <c r="DQ4753">
        <v>0</v>
      </c>
      <c r="DR4753">
        <v>0</v>
      </c>
      <c r="DS4753">
        <v>0</v>
      </c>
    </row>
    <row r="4754" spans="1:123" x14ac:dyDescent="0.3">
      <c r="A4754" t="str">
        <f>"05/01/2025 15:17:45.050"</f>
        <v>05/01/2025 15:17:45.050</v>
      </c>
      <c r="C4754" t="str">
        <f t="shared" si="1876"/>
        <v>FFDFD3C0</v>
      </c>
      <c r="D4754" t="s">
        <v>140</v>
      </c>
      <c r="E4754" t="str">
        <f>"13"</f>
        <v>13</v>
      </c>
      <c r="F4754">
        <v>1019</v>
      </c>
      <c r="G4754" t="s">
        <v>141</v>
      </c>
      <c r="J4754" t="s">
        <v>142</v>
      </c>
      <c r="K4754">
        <v>0</v>
      </c>
      <c r="L4754">
        <v>3</v>
      </c>
      <c r="M4754">
        <v>0</v>
      </c>
      <c r="N4754">
        <v>2</v>
      </c>
      <c r="O4754">
        <v>0</v>
      </c>
      <c r="P4754">
        <v>1</v>
      </c>
      <c r="Q4754">
        <v>0</v>
      </c>
      <c r="R4754" t="s">
        <v>127</v>
      </c>
      <c r="S4754" t="str">
        <f t="shared" ref="S4754:T4759" si="1884">"15:17:44.000"</f>
        <v>15:17:44.000</v>
      </c>
      <c r="T4754" t="str">
        <f t="shared" si="1884"/>
        <v>15:17:44.000</v>
      </c>
      <c r="U4754" t="str">
        <f t="shared" si="1877"/>
        <v>A68FCB</v>
      </c>
      <c r="V4754">
        <v>0</v>
      </c>
      <c r="W4754">
        <v>0</v>
      </c>
      <c r="X4754">
        <v>2</v>
      </c>
      <c r="Y4754">
        <v>0</v>
      </c>
      <c r="AA4754">
        <v>1</v>
      </c>
      <c r="AB4754">
        <v>8</v>
      </c>
      <c r="AC4754">
        <v>3</v>
      </c>
      <c r="AD4754">
        <v>0</v>
      </c>
      <c r="AE4754">
        <v>9</v>
      </c>
      <c r="AF4754" t="s">
        <v>138</v>
      </c>
      <c r="AG4754">
        <v>0</v>
      </c>
      <c r="AH4754">
        <v>3</v>
      </c>
      <c r="AI4754">
        <v>2</v>
      </c>
      <c r="AJ4754">
        <v>0</v>
      </c>
      <c r="AK4754" t="s">
        <v>1517</v>
      </c>
      <c r="AL4754">
        <v>39.222672000000003</v>
      </c>
      <c r="AM4754" t="s">
        <v>1518</v>
      </c>
      <c r="AN4754">
        <v>-121.000328</v>
      </c>
      <c r="AO4754">
        <v>25</v>
      </c>
      <c r="AP4754">
        <v>4100</v>
      </c>
      <c r="AQ4754" t="s">
        <v>131</v>
      </c>
      <c r="AR4754">
        <v>1</v>
      </c>
      <c r="AS4754">
        <v>88</v>
      </c>
      <c r="AT4754">
        <v>-128</v>
      </c>
      <c r="BB4754" t="str">
        <f t="shared" si="1878"/>
        <v>1200</v>
      </c>
      <c r="BC4754">
        <v>1</v>
      </c>
      <c r="BD4754" t="str">
        <f t="shared" si="1879"/>
        <v xml:space="preserve">N52156  </v>
      </c>
      <c r="BE4754">
        <v>1</v>
      </c>
      <c r="BG4754">
        <v>0</v>
      </c>
      <c r="BH4754">
        <v>0</v>
      </c>
      <c r="BI4754">
        <v>0</v>
      </c>
      <c r="BJ4754">
        <v>4150</v>
      </c>
      <c r="BK4754">
        <v>50</v>
      </c>
      <c r="BL4754" t="s">
        <v>188</v>
      </c>
      <c r="BM4754">
        <v>1</v>
      </c>
      <c r="BN4754">
        <v>1</v>
      </c>
      <c r="BO4754">
        <v>0</v>
      </c>
      <c r="BP4754">
        <v>0</v>
      </c>
      <c r="BS4754">
        <v>0</v>
      </c>
      <c r="BT4754">
        <v>0</v>
      </c>
      <c r="BU4754">
        <v>0</v>
      </c>
      <c r="CE4754" t="str">
        <f t="shared" ref="CE4754:CE4759" si="1885">"15:17:44.824"</f>
        <v>15:17:44.824</v>
      </c>
      <c r="CF4754">
        <v>824010406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4</v>
      </c>
      <c r="CY4754">
        <v>7</v>
      </c>
      <c r="CZ4754" t="s">
        <v>133</v>
      </c>
      <c r="DA4754">
        <v>275</v>
      </c>
      <c r="DB4754">
        <v>0</v>
      </c>
      <c r="DC4754" t="s">
        <v>134</v>
      </c>
      <c r="DD4754" t="s">
        <v>135</v>
      </c>
      <c r="DG4754">
        <v>3323374</v>
      </c>
      <c r="DI4754">
        <v>1</v>
      </c>
      <c r="DJ4754">
        <v>0</v>
      </c>
      <c r="DK4754">
        <v>0</v>
      </c>
      <c r="DL4754">
        <v>0</v>
      </c>
      <c r="DM4754">
        <v>0</v>
      </c>
      <c r="DN4754">
        <v>0</v>
      </c>
      <c r="DO4754">
        <v>0</v>
      </c>
      <c r="DP4754">
        <v>0</v>
      </c>
      <c r="DQ4754">
        <v>0</v>
      </c>
      <c r="DR4754">
        <v>0</v>
      </c>
      <c r="DS4754">
        <v>0</v>
      </c>
    </row>
    <row r="4755" spans="1:123" x14ac:dyDescent="0.3">
      <c r="A4755" t="str">
        <f>"05/01/2025 15:17:45.053"</f>
        <v>05/01/2025 15:17:45.053</v>
      </c>
      <c r="C4755" t="str">
        <f t="shared" si="1876"/>
        <v>FFDFD3C0</v>
      </c>
      <c r="D4755" t="s">
        <v>124</v>
      </c>
      <c r="E4755" t="str">
        <f>"06"</f>
        <v>06</v>
      </c>
      <c r="F4755">
        <v>2006</v>
      </c>
      <c r="G4755" t="s">
        <v>125</v>
      </c>
      <c r="J4755" t="s">
        <v>126</v>
      </c>
      <c r="K4755">
        <v>0</v>
      </c>
      <c r="L4755">
        <v>3</v>
      </c>
      <c r="M4755">
        <v>0</v>
      </c>
      <c r="N4755">
        <v>2</v>
      </c>
      <c r="O4755">
        <v>0</v>
      </c>
      <c r="P4755">
        <v>1</v>
      </c>
      <c r="Q4755">
        <v>0</v>
      </c>
      <c r="R4755" t="s">
        <v>127</v>
      </c>
      <c r="S4755" t="str">
        <f t="shared" si="1884"/>
        <v>15:17:44.000</v>
      </c>
      <c r="T4755" t="str">
        <f t="shared" si="1884"/>
        <v>15:17:44.000</v>
      </c>
      <c r="U4755" t="str">
        <f t="shared" si="1877"/>
        <v>A68FCB</v>
      </c>
      <c r="V4755">
        <v>0</v>
      </c>
      <c r="W4755">
        <v>0</v>
      </c>
      <c r="X4755">
        <v>2</v>
      </c>
      <c r="Y4755">
        <v>0</v>
      </c>
      <c r="AA4755">
        <v>1</v>
      </c>
      <c r="AB4755">
        <v>8</v>
      </c>
      <c r="AC4755">
        <v>3</v>
      </c>
      <c r="AD4755">
        <v>0</v>
      </c>
      <c r="AE4755">
        <v>9</v>
      </c>
      <c r="AF4755" t="s">
        <v>138</v>
      </c>
      <c r="AG4755">
        <v>0</v>
      </c>
      <c r="AH4755">
        <v>3</v>
      </c>
      <c r="AI4755">
        <v>2</v>
      </c>
      <c r="AJ4755">
        <v>0</v>
      </c>
      <c r="AK4755" t="s">
        <v>1517</v>
      </c>
      <c r="AL4755">
        <v>39.222672000000003</v>
      </c>
      <c r="AM4755" t="s">
        <v>1518</v>
      </c>
      <c r="AN4755">
        <v>-121.000328</v>
      </c>
      <c r="AO4755">
        <v>25</v>
      </c>
      <c r="AP4755">
        <v>4100</v>
      </c>
      <c r="AQ4755" t="s">
        <v>131</v>
      </c>
      <c r="AR4755">
        <v>1</v>
      </c>
      <c r="AS4755">
        <v>88</v>
      </c>
      <c r="AT4755">
        <v>-128</v>
      </c>
      <c r="BB4755" t="str">
        <f t="shared" si="1878"/>
        <v>1200</v>
      </c>
      <c r="BC4755">
        <v>1</v>
      </c>
      <c r="BD4755" t="str">
        <f t="shared" si="1879"/>
        <v xml:space="preserve">N52156  </v>
      </c>
      <c r="BE4755">
        <v>1</v>
      </c>
      <c r="BG4755">
        <v>0</v>
      </c>
      <c r="BH4755">
        <v>0</v>
      </c>
      <c r="BI4755">
        <v>0</v>
      </c>
      <c r="BJ4755">
        <v>4150</v>
      </c>
      <c r="BK4755">
        <v>50</v>
      </c>
      <c r="BL4755" t="s">
        <v>188</v>
      </c>
      <c r="BM4755">
        <v>1</v>
      </c>
      <c r="BN4755">
        <v>1</v>
      </c>
      <c r="BO4755">
        <v>0</v>
      </c>
      <c r="BP4755">
        <v>0</v>
      </c>
      <c r="BS4755">
        <v>0</v>
      </c>
      <c r="BT4755">
        <v>0</v>
      </c>
      <c r="BU4755">
        <v>0</v>
      </c>
      <c r="CE4755" t="str">
        <f t="shared" si="1885"/>
        <v>15:17:44.824</v>
      </c>
      <c r="CF4755">
        <v>824010406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4</v>
      </c>
      <c r="CY4755">
        <v>7</v>
      </c>
      <c r="CZ4755" t="s">
        <v>133</v>
      </c>
      <c r="DA4755">
        <v>275</v>
      </c>
      <c r="DB4755">
        <v>0</v>
      </c>
      <c r="DC4755" t="s">
        <v>134</v>
      </c>
      <c r="DD4755" t="s">
        <v>135</v>
      </c>
      <c r="DG4755">
        <v>3323374</v>
      </c>
      <c r="DI4755">
        <v>1</v>
      </c>
      <c r="DJ4755">
        <v>0</v>
      </c>
      <c r="DK4755">
        <v>1</v>
      </c>
      <c r="DL4755">
        <v>0</v>
      </c>
      <c r="DM4755">
        <v>0</v>
      </c>
      <c r="DN4755">
        <v>0</v>
      </c>
      <c r="DO4755">
        <v>0</v>
      </c>
      <c r="DP4755">
        <v>0</v>
      </c>
      <c r="DQ4755">
        <v>0</v>
      </c>
      <c r="DR4755">
        <v>0</v>
      </c>
      <c r="DS4755">
        <v>0</v>
      </c>
    </row>
    <row r="4756" spans="1:123" x14ac:dyDescent="0.3">
      <c r="A4756" t="str">
        <f>"05/01/2025 15:17:45.059"</f>
        <v>05/01/2025 15:17:45.059</v>
      </c>
      <c r="C4756" t="str">
        <f t="shared" si="1876"/>
        <v>FFDFD3C0</v>
      </c>
      <c r="D4756" t="s">
        <v>143</v>
      </c>
      <c r="E4756" t="str">
        <f>"05"</f>
        <v>05</v>
      </c>
      <c r="H4756">
        <v>172</v>
      </c>
      <c r="I4756" t="s">
        <v>141</v>
      </c>
      <c r="J4756" t="s">
        <v>144</v>
      </c>
      <c r="K4756">
        <v>0</v>
      </c>
      <c r="L4756">
        <v>3</v>
      </c>
      <c r="M4756">
        <v>0</v>
      </c>
      <c r="N4756">
        <v>2</v>
      </c>
      <c r="O4756">
        <v>0</v>
      </c>
      <c r="P4756">
        <v>1</v>
      </c>
      <c r="Q4756">
        <v>0</v>
      </c>
      <c r="R4756" t="s">
        <v>127</v>
      </c>
      <c r="S4756" t="str">
        <f t="shared" si="1884"/>
        <v>15:17:44.000</v>
      </c>
      <c r="T4756" t="str">
        <f t="shared" si="1884"/>
        <v>15:17:44.000</v>
      </c>
      <c r="U4756" t="str">
        <f t="shared" si="1877"/>
        <v>A68FCB</v>
      </c>
      <c r="V4756">
        <v>0</v>
      </c>
      <c r="W4756">
        <v>0</v>
      </c>
      <c r="X4756">
        <v>2</v>
      </c>
      <c r="Y4756">
        <v>0</v>
      </c>
      <c r="AA4756">
        <v>1</v>
      </c>
      <c r="AB4756">
        <v>8</v>
      </c>
      <c r="AC4756">
        <v>3</v>
      </c>
      <c r="AD4756">
        <v>0</v>
      </c>
      <c r="AE4756">
        <v>9</v>
      </c>
      <c r="AF4756" t="s">
        <v>138</v>
      </c>
      <c r="AG4756">
        <v>0</v>
      </c>
      <c r="AH4756">
        <v>3</v>
      </c>
      <c r="AI4756">
        <v>2</v>
      </c>
      <c r="AJ4756">
        <v>0</v>
      </c>
      <c r="AK4756" t="s">
        <v>1517</v>
      </c>
      <c r="AL4756">
        <v>39.222672000000003</v>
      </c>
      <c r="AM4756" t="s">
        <v>1518</v>
      </c>
      <c r="AN4756">
        <v>-121.000328</v>
      </c>
      <c r="AO4756">
        <v>25</v>
      </c>
      <c r="AP4756">
        <v>4100</v>
      </c>
      <c r="AQ4756" t="s">
        <v>131</v>
      </c>
      <c r="AR4756">
        <v>1</v>
      </c>
      <c r="AS4756">
        <v>88</v>
      </c>
      <c r="AT4756">
        <v>-128</v>
      </c>
      <c r="BB4756" t="str">
        <f t="shared" si="1878"/>
        <v>1200</v>
      </c>
      <c r="BC4756">
        <v>1</v>
      </c>
      <c r="BD4756" t="str">
        <f t="shared" si="1879"/>
        <v xml:space="preserve">N52156  </v>
      </c>
      <c r="BE4756">
        <v>1</v>
      </c>
      <c r="BG4756">
        <v>0</v>
      </c>
      <c r="BH4756">
        <v>0</v>
      </c>
      <c r="BI4756">
        <v>0</v>
      </c>
      <c r="BJ4756">
        <v>4150</v>
      </c>
      <c r="BK4756">
        <v>50</v>
      </c>
      <c r="BL4756" t="s">
        <v>188</v>
      </c>
      <c r="BM4756">
        <v>1</v>
      </c>
      <c r="BN4756">
        <v>1</v>
      </c>
      <c r="BO4756">
        <v>0</v>
      </c>
      <c r="BP4756">
        <v>0</v>
      </c>
      <c r="BS4756">
        <v>0</v>
      </c>
      <c r="BT4756">
        <v>0</v>
      </c>
      <c r="BU4756">
        <v>0</v>
      </c>
      <c r="CE4756" t="str">
        <f t="shared" si="1885"/>
        <v>15:17:44.824</v>
      </c>
      <c r="CF4756">
        <v>824010406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4</v>
      </c>
      <c r="CY4756">
        <v>7</v>
      </c>
      <c r="CZ4756" t="s">
        <v>133</v>
      </c>
      <c r="DA4756">
        <v>275</v>
      </c>
      <c r="DB4756">
        <v>0</v>
      </c>
      <c r="DC4756" t="s">
        <v>134</v>
      </c>
      <c r="DD4756" t="s">
        <v>135</v>
      </c>
      <c r="DG4756">
        <v>3323374</v>
      </c>
      <c r="DI4756">
        <v>1</v>
      </c>
      <c r="DJ4756">
        <v>0</v>
      </c>
      <c r="DK4756">
        <v>1</v>
      </c>
      <c r="DL4756">
        <v>0</v>
      </c>
      <c r="DM4756">
        <v>0</v>
      </c>
      <c r="DN4756">
        <v>0</v>
      </c>
      <c r="DO4756">
        <v>0</v>
      </c>
      <c r="DP4756">
        <v>0</v>
      </c>
      <c r="DQ4756">
        <v>0</v>
      </c>
      <c r="DR4756">
        <v>0</v>
      </c>
      <c r="DS4756">
        <v>0</v>
      </c>
    </row>
    <row r="4757" spans="1:123" x14ac:dyDescent="0.3">
      <c r="A4757" t="str">
        <f>"05/01/2025 15:17:45.072"</f>
        <v>05/01/2025 15:17:45.072</v>
      </c>
      <c r="C4757" t="str">
        <f t="shared" si="1876"/>
        <v>FFDFD3C0</v>
      </c>
      <c r="D4757" t="s">
        <v>145</v>
      </c>
      <c r="E4757" t="str">
        <f>"09"</f>
        <v>09</v>
      </c>
      <c r="H4757">
        <v>51</v>
      </c>
      <c r="I4757" t="s">
        <v>147</v>
      </c>
      <c r="J4757" t="s">
        <v>138</v>
      </c>
      <c r="K4757">
        <v>0</v>
      </c>
      <c r="L4757">
        <v>3</v>
      </c>
      <c r="M4757">
        <v>0</v>
      </c>
      <c r="N4757">
        <v>2</v>
      </c>
      <c r="O4757">
        <v>0</v>
      </c>
      <c r="P4757">
        <v>1</v>
      </c>
      <c r="Q4757">
        <v>0</v>
      </c>
      <c r="R4757" t="s">
        <v>127</v>
      </c>
      <c r="S4757" t="str">
        <f t="shared" si="1884"/>
        <v>15:17:44.000</v>
      </c>
      <c r="T4757" t="str">
        <f t="shared" si="1884"/>
        <v>15:17:44.000</v>
      </c>
      <c r="U4757" t="str">
        <f t="shared" si="1877"/>
        <v>A68FCB</v>
      </c>
      <c r="V4757">
        <v>0</v>
      </c>
      <c r="W4757">
        <v>0</v>
      </c>
      <c r="X4757">
        <v>2</v>
      </c>
      <c r="Y4757">
        <v>0</v>
      </c>
      <c r="AA4757">
        <v>1</v>
      </c>
      <c r="AB4757">
        <v>8</v>
      </c>
      <c r="AC4757">
        <v>3</v>
      </c>
      <c r="AD4757">
        <v>0</v>
      </c>
      <c r="AE4757">
        <v>9</v>
      </c>
      <c r="AF4757" t="s">
        <v>138</v>
      </c>
      <c r="AG4757">
        <v>0</v>
      </c>
      <c r="AH4757">
        <v>3</v>
      </c>
      <c r="AI4757">
        <v>2</v>
      </c>
      <c r="AJ4757">
        <v>0</v>
      </c>
      <c r="AK4757" t="s">
        <v>1517</v>
      </c>
      <c r="AL4757">
        <v>39.222672000000003</v>
      </c>
      <c r="AM4757" t="s">
        <v>1518</v>
      </c>
      <c r="AN4757">
        <v>-121.000328</v>
      </c>
      <c r="AO4757">
        <v>25</v>
      </c>
      <c r="AP4757">
        <v>4100</v>
      </c>
      <c r="AQ4757" t="s">
        <v>131</v>
      </c>
      <c r="AR4757">
        <v>1</v>
      </c>
      <c r="AS4757">
        <v>88</v>
      </c>
      <c r="AT4757">
        <v>-128</v>
      </c>
      <c r="BB4757" t="str">
        <f t="shared" si="1878"/>
        <v>1200</v>
      </c>
      <c r="BC4757">
        <v>1</v>
      </c>
      <c r="BD4757" t="str">
        <f t="shared" si="1879"/>
        <v xml:space="preserve">N52156  </v>
      </c>
      <c r="BE4757">
        <v>1</v>
      </c>
      <c r="BG4757">
        <v>0</v>
      </c>
      <c r="BH4757">
        <v>0</v>
      </c>
      <c r="BI4757">
        <v>0</v>
      </c>
      <c r="BJ4757">
        <v>4150</v>
      </c>
      <c r="BK4757">
        <v>50</v>
      </c>
      <c r="BL4757" t="s">
        <v>188</v>
      </c>
      <c r="BM4757">
        <v>1</v>
      </c>
      <c r="BN4757">
        <v>1</v>
      </c>
      <c r="BO4757">
        <v>0</v>
      </c>
      <c r="BP4757">
        <v>0</v>
      </c>
      <c r="BS4757">
        <v>0</v>
      </c>
      <c r="BT4757">
        <v>0</v>
      </c>
      <c r="BU4757">
        <v>0</v>
      </c>
      <c r="CE4757" t="str">
        <f t="shared" si="1885"/>
        <v>15:17:44.824</v>
      </c>
      <c r="CF4757">
        <v>824010406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4</v>
      </c>
      <c r="CY4757">
        <v>7</v>
      </c>
      <c r="CZ4757" t="s">
        <v>133</v>
      </c>
      <c r="DA4757">
        <v>275</v>
      </c>
      <c r="DB4757">
        <v>0</v>
      </c>
      <c r="DC4757" t="s">
        <v>134</v>
      </c>
      <c r="DD4757" t="s">
        <v>135</v>
      </c>
      <c r="DG4757">
        <v>3323374</v>
      </c>
      <c r="DI4757">
        <v>1</v>
      </c>
      <c r="DJ4757">
        <v>0</v>
      </c>
      <c r="DK4757">
        <v>1</v>
      </c>
      <c r="DL4757">
        <v>0</v>
      </c>
      <c r="DM4757">
        <v>0</v>
      </c>
      <c r="DN4757">
        <v>0</v>
      </c>
      <c r="DO4757">
        <v>0</v>
      </c>
      <c r="DP4757">
        <v>0</v>
      </c>
      <c r="DQ4757">
        <v>0</v>
      </c>
      <c r="DR4757">
        <v>0</v>
      </c>
      <c r="DS4757">
        <v>0</v>
      </c>
    </row>
    <row r="4758" spans="1:123" x14ac:dyDescent="0.3">
      <c r="A4758" t="str">
        <f>"05/01/2025 15:17:45.077"</f>
        <v>05/01/2025 15:17:45.077</v>
      </c>
      <c r="C4758" t="str">
        <f t="shared" si="1876"/>
        <v>FFDFD3C0</v>
      </c>
      <c r="D4758" t="s">
        <v>145</v>
      </c>
      <c r="E4758" t="str">
        <f>"05"</f>
        <v>05</v>
      </c>
      <c r="H4758">
        <v>47</v>
      </c>
      <c r="I4758" t="s">
        <v>146</v>
      </c>
      <c r="J4758" t="s">
        <v>138</v>
      </c>
      <c r="K4758">
        <v>0</v>
      </c>
      <c r="L4758">
        <v>3</v>
      </c>
      <c r="M4758">
        <v>0</v>
      </c>
      <c r="N4758">
        <v>2</v>
      </c>
      <c r="O4758">
        <v>0</v>
      </c>
      <c r="P4758">
        <v>1</v>
      </c>
      <c r="Q4758">
        <v>0</v>
      </c>
      <c r="R4758" t="s">
        <v>127</v>
      </c>
      <c r="S4758" t="str">
        <f t="shared" si="1884"/>
        <v>15:17:44.000</v>
      </c>
      <c r="T4758" t="str">
        <f t="shared" si="1884"/>
        <v>15:17:44.000</v>
      </c>
      <c r="U4758" t="str">
        <f t="shared" si="1877"/>
        <v>A68FCB</v>
      </c>
      <c r="V4758">
        <v>0</v>
      </c>
      <c r="W4758">
        <v>0</v>
      </c>
      <c r="X4758">
        <v>2</v>
      </c>
      <c r="Y4758">
        <v>0</v>
      </c>
      <c r="AA4758">
        <v>1</v>
      </c>
      <c r="AB4758">
        <v>8</v>
      </c>
      <c r="AC4758">
        <v>3</v>
      </c>
      <c r="AD4758">
        <v>0</v>
      </c>
      <c r="AE4758">
        <v>9</v>
      </c>
      <c r="AF4758" t="s">
        <v>138</v>
      </c>
      <c r="AG4758">
        <v>0</v>
      </c>
      <c r="AH4758">
        <v>3</v>
      </c>
      <c r="AI4758">
        <v>2</v>
      </c>
      <c r="AJ4758">
        <v>0</v>
      </c>
      <c r="AK4758" t="s">
        <v>1517</v>
      </c>
      <c r="AL4758">
        <v>39.222672000000003</v>
      </c>
      <c r="AM4758" t="s">
        <v>1518</v>
      </c>
      <c r="AN4758">
        <v>-121.000328</v>
      </c>
      <c r="AO4758">
        <v>25</v>
      </c>
      <c r="AP4758">
        <v>4100</v>
      </c>
      <c r="AQ4758" t="s">
        <v>131</v>
      </c>
      <c r="AR4758">
        <v>1</v>
      </c>
      <c r="AS4758">
        <v>88</v>
      </c>
      <c r="AT4758">
        <v>-128</v>
      </c>
      <c r="BB4758" t="str">
        <f t="shared" si="1878"/>
        <v>1200</v>
      </c>
      <c r="BC4758">
        <v>1</v>
      </c>
      <c r="BD4758" t="str">
        <f t="shared" si="1879"/>
        <v xml:space="preserve">N52156  </v>
      </c>
      <c r="BE4758">
        <v>1</v>
      </c>
      <c r="BG4758">
        <v>0</v>
      </c>
      <c r="BH4758">
        <v>0</v>
      </c>
      <c r="BI4758">
        <v>0</v>
      </c>
      <c r="BJ4758">
        <v>4150</v>
      </c>
      <c r="BK4758">
        <v>50</v>
      </c>
      <c r="BL4758" t="s">
        <v>188</v>
      </c>
      <c r="BM4758">
        <v>1</v>
      </c>
      <c r="BN4758">
        <v>1</v>
      </c>
      <c r="BO4758">
        <v>0</v>
      </c>
      <c r="BP4758">
        <v>0</v>
      </c>
      <c r="BS4758">
        <v>0</v>
      </c>
      <c r="BT4758">
        <v>0</v>
      </c>
      <c r="BU4758">
        <v>0</v>
      </c>
      <c r="CE4758" t="str">
        <f t="shared" si="1885"/>
        <v>15:17:44.824</v>
      </c>
      <c r="CF4758">
        <v>824010406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4</v>
      </c>
      <c r="CY4758">
        <v>7</v>
      </c>
      <c r="CZ4758" t="s">
        <v>133</v>
      </c>
      <c r="DA4758">
        <v>275</v>
      </c>
      <c r="DB4758">
        <v>0</v>
      </c>
      <c r="DC4758" t="s">
        <v>134</v>
      </c>
      <c r="DD4758" t="s">
        <v>135</v>
      </c>
      <c r="DG4758">
        <v>3323374</v>
      </c>
      <c r="DI4758">
        <v>1</v>
      </c>
      <c r="DJ4758">
        <v>0</v>
      </c>
      <c r="DK4758">
        <v>1</v>
      </c>
      <c r="DL4758">
        <v>0</v>
      </c>
      <c r="DM4758">
        <v>0</v>
      </c>
      <c r="DN4758">
        <v>0</v>
      </c>
      <c r="DO4758">
        <v>0</v>
      </c>
      <c r="DP4758">
        <v>0</v>
      </c>
      <c r="DQ4758">
        <v>0</v>
      </c>
      <c r="DR4758">
        <v>0</v>
      </c>
      <c r="DS4758">
        <v>0</v>
      </c>
    </row>
    <row r="4759" spans="1:123" x14ac:dyDescent="0.3">
      <c r="A4759" t="str">
        <f>"05/01/2025 15:17:45.085"</f>
        <v>05/01/2025 15:17:45.085</v>
      </c>
      <c r="C4759" t="str">
        <f t="shared" si="1876"/>
        <v>FFDFD3C0</v>
      </c>
      <c r="D4759" t="s">
        <v>136</v>
      </c>
      <c r="E4759" t="str">
        <f>"20"</f>
        <v>20</v>
      </c>
      <c r="H4759">
        <v>400</v>
      </c>
      <c r="I4759" t="s">
        <v>137</v>
      </c>
      <c r="J4759" t="s">
        <v>138</v>
      </c>
      <c r="K4759">
        <v>0</v>
      </c>
      <c r="L4759">
        <v>3</v>
      </c>
      <c r="M4759">
        <v>0</v>
      </c>
      <c r="N4759">
        <v>2</v>
      </c>
      <c r="O4759">
        <v>0</v>
      </c>
      <c r="P4759">
        <v>1</v>
      </c>
      <c r="Q4759">
        <v>0</v>
      </c>
      <c r="R4759" t="s">
        <v>127</v>
      </c>
      <c r="S4759" t="str">
        <f t="shared" si="1884"/>
        <v>15:17:44.000</v>
      </c>
      <c r="T4759" t="str">
        <f t="shared" si="1884"/>
        <v>15:17:44.000</v>
      </c>
      <c r="U4759" t="str">
        <f t="shared" si="1877"/>
        <v>A68FCB</v>
      </c>
      <c r="V4759">
        <v>0</v>
      </c>
      <c r="W4759">
        <v>0</v>
      </c>
      <c r="X4759">
        <v>2</v>
      </c>
      <c r="Y4759">
        <v>0</v>
      </c>
      <c r="AA4759">
        <v>1</v>
      </c>
      <c r="AB4759">
        <v>8</v>
      </c>
      <c r="AC4759">
        <v>3</v>
      </c>
      <c r="AD4759">
        <v>0</v>
      </c>
      <c r="AE4759">
        <v>9</v>
      </c>
      <c r="AF4759" t="s">
        <v>138</v>
      </c>
      <c r="AG4759">
        <v>0</v>
      </c>
      <c r="AH4759">
        <v>3</v>
      </c>
      <c r="AI4759">
        <v>2</v>
      </c>
      <c r="AJ4759">
        <v>0</v>
      </c>
      <c r="AK4759" t="s">
        <v>1517</v>
      </c>
      <c r="AL4759">
        <v>39.222672000000003</v>
      </c>
      <c r="AM4759" t="s">
        <v>1518</v>
      </c>
      <c r="AN4759">
        <v>-121.000328</v>
      </c>
      <c r="AO4759">
        <v>25</v>
      </c>
      <c r="AP4759">
        <v>4100</v>
      </c>
      <c r="AQ4759" t="s">
        <v>131</v>
      </c>
      <c r="AR4759">
        <v>1</v>
      </c>
      <c r="AS4759">
        <v>88</v>
      </c>
      <c r="AT4759">
        <v>-128</v>
      </c>
      <c r="BB4759" t="str">
        <f t="shared" si="1878"/>
        <v>1200</v>
      </c>
      <c r="BC4759">
        <v>1</v>
      </c>
      <c r="BD4759" t="str">
        <f t="shared" si="1879"/>
        <v xml:space="preserve">N52156  </v>
      </c>
      <c r="BE4759">
        <v>1</v>
      </c>
      <c r="BG4759">
        <v>0</v>
      </c>
      <c r="BH4759">
        <v>0</v>
      </c>
      <c r="BI4759">
        <v>0</v>
      </c>
      <c r="BJ4759">
        <v>4150</v>
      </c>
      <c r="BK4759">
        <v>50</v>
      </c>
      <c r="BL4759" t="s">
        <v>188</v>
      </c>
      <c r="BM4759">
        <v>1</v>
      </c>
      <c r="BN4759">
        <v>1</v>
      </c>
      <c r="BO4759">
        <v>0</v>
      </c>
      <c r="BP4759">
        <v>0</v>
      </c>
      <c r="BS4759">
        <v>0</v>
      </c>
      <c r="BT4759">
        <v>0</v>
      </c>
      <c r="BU4759">
        <v>0</v>
      </c>
      <c r="CE4759" t="str">
        <f t="shared" si="1885"/>
        <v>15:17:44.824</v>
      </c>
      <c r="CF4759">
        <v>824010406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4</v>
      </c>
      <c r="CY4759">
        <v>7</v>
      </c>
      <c r="CZ4759" t="s">
        <v>133</v>
      </c>
      <c r="DA4759">
        <v>275</v>
      </c>
      <c r="DB4759">
        <v>0</v>
      </c>
      <c r="DC4759" t="s">
        <v>134</v>
      </c>
      <c r="DD4759" t="s">
        <v>135</v>
      </c>
      <c r="DG4759">
        <v>3323374</v>
      </c>
      <c r="DI4759">
        <v>1</v>
      </c>
      <c r="DJ4759">
        <v>0</v>
      </c>
      <c r="DK4759">
        <v>1</v>
      </c>
      <c r="DL4759">
        <v>0</v>
      </c>
      <c r="DM4759">
        <v>0</v>
      </c>
      <c r="DN4759">
        <v>0</v>
      </c>
      <c r="DO4759">
        <v>0</v>
      </c>
      <c r="DP4759">
        <v>0</v>
      </c>
      <c r="DQ4759">
        <v>0</v>
      </c>
      <c r="DR4759">
        <v>0</v>
      </c>
      <c r="DS4759">
        <v>0</v>
      </c>
    </row>
    <row r="4760" spans="1:123" x14ac:dyDescent="0.3">
      <c r="A4760" t="str">
        <f>"05/01/2025 15:17:46.123"</f>
        <v>05/01/2025 15:17:46.123</v>
      </c>
      <c r="C4760" t="str">
        <f t="shared" si="1876"/>
        <v>FFDFD3C0</v>
      </c>
      <c r="D4760" t="s">
        <v>145</v>
      </c>
      <c r="E4760" t="str">
        <f>"09"</f>
        <v>09</v>
      </c>
      <c r="H4760">
        <v>51</v>
      </c>
      <c r="I4760" t="s">
        <v>147</v>
      </c>
      <c r="J4760" t="s">
        <v>138</v>
      </c>
      <c r="K4760">
        <v>0</v>
      </c>
      <c r="L4760">
        <v>3</v>
      </c>
      <c r="M4760">
        <v>0</v>
      </c>
      <c r="N4760">
        <v>2</v>
      </c>
      <c r="O4760">
        <v>0</v>
      </c>
      <c r="P4760">
        <v>1</v>
      </c>
      <c r="Q4760">
        <v>0</v>
      </c>
      <c r="R4760" t="s">
        <v>127</v>
      </c>
      <c r="S4760" t="str">
        <f t="shared" ref="S4760:T4765" si="1886">"15:17:45.000"</f>
        <v>15:17:45.000</v>
      </c>
      <c r="T4760" t="str">
        <f t="shared" si="1886"/>
        <v>15:17:45.000</v>
      </c>
      <c r="U4760" t="str">
        <f t="shared" si="1877"/>
        <v>A68FCB</v>
      </c>
      <c r="V4760">
        <v>0</v>
      </c>
      <c r="W4760">
        <v>0</v>
      </c>
      <c r="X4760">
        <v>2</v>
      </c>
      <c r="Y4760">
        <v>0</v>
      </c>
      <c r="AA4760">
        <v>1</v>
      </c>
      <c r="AB4760">
        <v>8</v>
      </c>
      <c r="AC4760">
        <v>3</v>
      </c>
      <c r="AD4760">
        <v>0</v>
      </c>
      <c r="AE4760">
        <v>9</v>
      </c>
      <c r="AF4760" t="s">
        <v>138</v>
      </c>
      <c r="AG4760">
        <v>0</v>
      </c>
      <c r="AH4760">
        <v>3</v>
      </c>
      <c r="AI4760">
        <v>2</v>
      </c>
      <c r="AJ4760">
        <v>0</v>
      </c>
      <c r="AK4760" t="s">
        <v>1519</v>
      </c>
      <c r="AL4760">
        <v>39.223080000000003</v>
      </c>
      <c r="AM4760" t="s">
        <v>1518</v>
      </c>
      <c r="AN4760">
        <v>-121.000328</v>
      </c>
      <c r="AO4760">
        <v>25</v>
      </c>
      <c r="AP4760">
        <v>4100</v>
      </c>
      <c r="AQ4760" t="s">
        <v>131</v>
      </c>
      <c r="AR4760">
        <v>1</v>
      </c>
      <c r="AS4760">
        <v>88</v>
      </c>
      <c r="AT4760">
        <v>-128</v>
      </c>
      <c r="BB4760" t="str">
        <f t="shared" si="1878"/>
        <v>1200</v>
      </c>
      <c r="BC4760">
        <v>1</v>
      </c>
      <c r="BD4760" t="str">
        <f t="shared" si="1879"/>
        <v xml:space="preserve">N52156  </v>
      </c>
      <c r="BE4760">
        <v>1</v>
      </c>
      <c r="BG4760">
        <v>0</v>
      </c>
      <c r="BH4760">
        <v>0</v>
      </c>
      <c r="BI4760">
        <v>0</v>
      </c>
      <c r="BJ4760">
        <v>4125</v>
      </c>
      <c r="BK4760">
        <v>25</v>
      </c>
      <c r="BL4760" t="s">
        <v>188</v>
      </c>
      <c r="BM4760">
        <v>1</v>
      </c>
      <c r="BN4760">
        <v>1</v>
      </c>
      <c r="BO4760">
        <v>0</v>
      </c>
      <c r="BP4760">
        <v>0</v>
      </c>
      <c r="BS4760">
        <v>0</v>
      </c>
      <c r="BT4760">
        <v>0</v>
      </c>
      <c r="BU4760">
        <v>0</v>
      </c>
      <c r="CE4760" t="str">
        <f t="shared" ref="CE4760:CE4765" si="1887">"15:17:45.916"</f>
        <v>15:17:45.916</v>
      </c>
      <c r="CF4760">
        <v>916010726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4</v>
      </c>
      <c r="CY4760">
        <v>7</v>
      </c>
      <c r="CZ4760" t="s">
        <v>133</v>
      </c>
      <c r="DA4760">
        <v>275</v>
      </c>
      <c r="DB4760">
        <v>0</v>
      </c>
      <c r="DC4760" t="s">
        <v>134</v>
      </c>
      <c r="DD4760" t="s">
        <v>135</v>
      </c>
      <c r="DG4760">
        <v>3323377</v>
      </c>
      <c r="DI4760">
        <v>1</v>
      </c>
      <c r="DJ4760">
        <v>0</v>
      </c>
      <c r="DK4760">
        <v>0</v>
      </c>
      <c r="DL4760">
        <v>0</v>
      </c>
      <c r="DM4760">
        <v>0</v>
      </c>
      <c r="DN4760">
        <v>0</v>
      </c>
      <c r="DO4760">
        <v>0</v>
      </c>
      <c r="DP4760">
        <v>0</v>
      </c>
      <c r="DQ4760">
        <v>0</v>
      </c>
      <c r="DR4760">
        <v>0</v>
      </c>
      <c r="DS4760">
        <v>0</v>
      </c>
    </row>
    <row r="4761" spans="1:123" x14ac:dyDescent="0.3">
      <c r="A4761" t="str">
        <f>"05/01/2025 15:17:46.128"</f>
        <v>05/01/2025 15:17:46.128</v>
      </c>
      <c r="C4761" t="str">
        <f t="shared" si="1876"/>
        <v>FFDFD3C0</v>
      </c>
      <c r="D4761" t="s">
        <v>145</v>
      </c>
      <c r="E4761" t="str">
        <f>"05"</f>
        <v>05</v>
      </c>
      <c r="H4761">
        <v>47</v>
      </c>
      <c r="I4761" t="s">
        <v>146</v>
      </c>
      <c r="J4761" t="s">
        <v>138</v>
      </c>
      <c r="K4761">
        <v>0</v>
      </c>
      <c r="L4761">
        <v>3</v>
      </c>
      <c r="M4761">
        <v>0</v>
      </c>
      <c r="N4761">
        <v>2</v>
      </c>
      <c r="O4761">
        <v>0</v>
      </c>
      <c r="P4761">
        <v>1</v>
      </c>
      <c r="Q4761">
        <v>0</v>
      </c>
      <c r="R4761" t="s">
        <v>127</v>
      </c>
      <c r="S4761" t="str">
        <f t="shared" si="1886"/>
        <v>15:17:45.000</v>
      </c>
      <c r="T4761" t="str">
        <f t="shared" si="1886"/>
        <v>15:17:45.000</v>
      </c>
      <c r="U4761" t="str">
        <f t="shared" si="1877"/>
        <v>A68FCB</v>
      </c>
      <c r="V4761">
        <v>0</v>
      </c>
      <c r="W4761">
        <v>0</v>
      </c>
      <c r="X4761">
        <v>2</v>
      </c>
      <c r="Y4761">
        <v>0</v>
      </c>
      <c r="AA4761">
        <v>1</v>
      </c>
      <c r="AB4761">
        <v>8</v>
      </c>
      <c r="AC4761">
        <v>3</v>
      </c>
      <c r="AD4761">
        <v>0</v>
      </c>
      <c r="AE4761">
        <v>9</v>
      </c>
      <c r="AF4761" t="s">
        <v>138</v>
      </c>
      <c r="AG4761">
        <v>0</v>
      </c>
      <c r="AH4761">
        <v>3</v>
      </c>
      <c r="AI4761">
        <v>2</v>
      </c>
      <c r="AJ4761">
        <v>0</v>
      </c>
      <c r="AK4761" t="s">
        <v>1519</v>
      </c>
      <c r="AL4761">
        <v>39.223080000000003</v>
      </c>
      <c r="AM4761" t="s">
        <v>1518</v>
      </c>
      <c r="AN4761">
        <v>-121.000328</v>
      </c>
      <c r="AO4761">
        <v>25</v>
      </c>
      <c r="AP4761">
        <v>4100</v>
      </c>
      <c r="AQ4761" t="s">
        <v>131</v>
      </c>
      <c r="AR4761">
        <v>1</v>
      </c>
      <c r="AS4761">
        <v>88</v>
      </c>
      <c r="AT4761">
        <v>-128</v>
      </c>
      <c r="BB4761" t="str">
        <f t="shared" si="1878"/>
        <v>1200</v>
      </c>
      <c r="BC4761">
        <v>1</v>
      </c>
      <c r="BD4761" t="str">
        <f t="shared" si="1879"/>
        <v xml:space="preserve">N52156  </v>
      </c>
      <c r="BE4761">
        <v>1</v>
      </c>
      <c r="BG4761">
        <v>0</v>
      </c>
      <c r="BH4761">
        <v>0</v>
      </c>
      <c r="BI4761">
        <v>0</v>
      </c>
      <c r="BJ4761">
        <v>4125</v>
      </c>
      <c r="BK4761">
        <v>25</v>
      </c>
      <c r="BL4761" t="s">
        <v>188</v>
      </c>
      <c r="BM4761">
        <v>1</v>
      </c>
      <c r="BN4761">
        <v>1</v>
      </c>
      <c r="BO4761">
        <v>0</v>
      </c>
      <c r="BP4761">
        <v>0</v>
      </c>
      <c r="BS4761">
        <v>0</v>
      </c>
      <c r="BT4761">
        <v>0</v>
      </c>
      <c r="BU4761">
        <v>0</v>
      </c>
      <c r="CE4761" t="str">
        <f t="shared" si="1887"/>
        <v>15:17:45.916</v>
      </c>
      <c r="CF4761">
        <v>916010726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4</v>
      </c>
      <c r="CY4761">
        <v>7</v>
      </c>
      <c r="CZ4761" t="s">
        <v>133</v>
      </c>
      <c r="DA4761">
        <v>275</v>
      </c>
      <c r="DB4761">
        <v>0</v>
      </c>
      <c r="DC4761" t="s">
        <v>134</v>
      </c>
      <c r="DD4761" t="s">
        <v>135</v>
      </c>
      <c r="DG4761">
        <v>3323377</v>
      </c>
      <c r="DI4761">
        <v>1</v>
      </c>
      <c r="DJ4761">
        <v>0</v>
      </c>
      <c r="DK4761">
        <v>1</v>
      </c>
      <c r="DL4761">
        <v>0</v>
      </c>
      <c r="DM4761">
        <v>0</v>
      </c>
      <c r="DN4761">
        <v>0</v>
      </c>
      <c r="DO4761">
        <v>0</v>
      </c>
      <c r="DP4761">
        <v>0</v>
      </c>
      <c r="DQ4761">
        <v>0</v>
      </c>
      <c r="DR4761">
        <v>0</v>
      </c>
      <c r="DS4761">
        <v>0</v>
      </c>
    </row>
    <row r="4762" spans="1:123" x14ac:dyDescent="0.3">
      <c r="A4762" t="str">
        <f>"05/01/2025 15:17:46.137"</f>
        <v>05/01/2025 15:17:46.137</v>
      </c>
      <c r="C4762" t="str">
        <f t="shared" si="1876"/>
        <v>FFDFD3C0</v>
      </c>
      <c r="D4762" t="s">
        <v>136</v>
      </c>
      <c r="E4762" t="str">
        <f>"20"</f>
        <v>20</v>
      </c>
      <c r="H4762">
        <v>400</v>
      </c>
      <c r="I4762" t="s">
        <v>137</v>
      </c>
      <c r="J4762" t="s">
        <v>138</v>
      </c>
      <c r="K4762">
        <v>0</v>
      </c>
      <c r="L4762">
        <v>3</v>
      </c>
      <c r="M4762">
        <v>0</v>
      </c>
      <c r="N4762">
        <v>2</v>
      </c>
      <c r="O4762">
        <v>0</v>
      </c>
      <c r="P4762">
        <v>1</v>
      </c>
      <c r="Q4762">
        <v>0</v>
      </c>
      <c r="R4762" t="s">
        <v>127</v>
      </c>
      <c r="S4762" t="str">
        <f t="shared" si="1886"/>
        <v>15:17:45.000</v>
      </c>
      <c r="T4762" t="str">
        <f t="shared" si="1886"/>
        <v>15:17:45.000</v>
      </c>
      <c r="U4762" t="str">
        <f t="shared" si="1877"/>
        <v>A68FCB</v>
      </c>
      <c r="V4762">
        <v>0</v>
      </c>
      <c r="W4762">
        <v>0</v>
      </c>
      <c r="X4762">
        <v>2</v>
      </c>
      <c r="Y4762">
        <v>0</v>
      </c>
      <c r="AA4762">
        <v>1</v>
      </c>
      <c r="AB4762">
        <v>8</v>
      </c>
      <c r="AC4762">
        <v>3</v>
      </c>
      <c r="AD4762">
        <v>0</v>
      </c>
      <c r="AE4762">
        <v>9</v>
      </c>
      <c r="AF4762" t="s">
        <v>138</v>
      </c>
      <c r="AG4762">
        <v>0</v>
      </c>
      <c r="AH4762">
        <v>3</v>
      </c>
      <c r="AI4762">
        <v>2</v>
      </c>
      <c r="AJ4762">
        <v>0</v>
      </c>
      <c r="AK4762" t="s">
        <v>1519</v>
      </c>
      <c r="AL4762">
        <v>39.223080000000003</v>
      </c>
      <c r="AM4762" t="s">
        <v>1518</v>
      </c>
      <c r="AN4762">
        <v>-121.000328</v>
      </c>
      <c r="AO4762">
        <v>25</v>
      </c>
      <c r="AP4762">
        <v>4100</v>
      </c>
      <c r="AQ4762" t="s">
        <v>131</v>
      </c>
      <c r="AR4762">
        <v>1</v>
      </c>
      <c r="AS4762">
        <v>88</v>
      </c>
      <c r="AT4762">
        <v>-128</v>
      </c>
      <c r="BB4762" t="str">
        <f t="shared" si="1878"/>
        <v>1200</v>
      </c>
      <c r="BC4762">
        <v>1</v>
      </c>
      <c r="BD4762" t="str">
        <f t="shared" si="1879"/>
        <v xml:space="preserve">N52156  </v>
      </c>
      <c r="BE4762">
        <v>1</v>
      </c>
      <c r="BG4762">
        <v>0</v>
      </c>
      <c r="BH4762">
        <v>0</v>
      </c>
      <c r="BI4762">
        <v>0</v>
      </c>
      <c r="BJ4762">
        <v>4125</v>
      </c>
      <c r="BK4762">
        <v>25</v>
      </c>
      <c r="BL4762" t="s">
        <v>188</v>
      </c>
      <c r="BM4762">
        <v>1</v>
      </c>
      <c r="BN4762">
        <v>1</v>
      </c>
      <c r="BO4762">
        <v>0</v>
      </c>
      <c r="BP4762">
        <v>0</v>
      </c>
      <c r="BS4762">
        <v>0</v>
      </c>
      <c r="BT4762">
        <v>0</v>
      </c>
      <c r="BU4762">
        <v>0</v>
      </c>
      <c r="CE4762" t="str">
        <f t="shared" si="1887"/>
        <v>15:17:45.916</v>
      </c>
      <c r="CF4762">
        <v>916010726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4</v>
      </c>
      <c r="CY4762">
        <v>7</v>
      </c>
      <c r="CZ4762" t="s">
        <v>133</v>
      </c>
      <c r="DA4762">
        <v>275</v>
      </c>
      <c r="DB4762">
        <v>0</v>
      </c>
      <c r="DC4762" t="s">
        <v>134</v>
      </c>
      <c r="DD4762" t="s">
        <v>135</v>
      </c>
      <c r="DG4762">
        <v>3323377</v>
      </c>
      <c r="DI4762">
        <v>1</v>
      </c>
      <c r="DJ4762">
        <v>0</v>
      </c>
      <c r="DK4762">
        <v>1</v>
      </c>
      <c r="DL4762">
        <v>0</v>
      </c>
      <c r="DM4762">
        <v>0</v>
      </c>
      <c r="DN4762">
        <v>0</v>
      </c>
      <c r="DO4762">
        <v>0</v>
      </c>
      <c r="DP4762">
        <v>0</v>
      </c>
      <c r="DQ4762">
        <v>0</v>
      </c>
      <c r="DR4762">
        <v>0</v>
      </c>
      <c r="DS4762">
        <v>0</v>
      </c>
    </row>
    <row r="4763" spans="1:123" x14ac:dyDescent="0.3">
      <c r="A4763" t="str">
        <f>"05/01/2025 15:17:46.152"</f>
        <v>05/01/2025 15:17:46.152</v>
      </c>
      <c r="C4763" t="str">
        <f t="shared" si="1876"/>
        <v>FFDFD3C0</v>
      </c>
      <c r="D4763" t="s">
        <v>140</v>
      </c>
      <c r="E4763" t="str">
        <f>"13"</f>
        <v>13</v>
      </c>
      <c r="F4763">
        <v>1019</v>
      </c>
      <c r="G4763" t="s">
        <v>141</v>
      </c>
      <c r="J4763" t="s">
        <v>142</v>
      </c>
      <c r="K4763">
        <v>0</v>
      </c>
      <c r="L4763">
        <v>3</v>
      </c>
      <c r="M4763">
        <v>0</v>
      </c>
      <c r="N4763">
        <v>2</v>
      </c>
      <c r="O4763">
        <v>0</v>
      </c>
      <c r="P4763">
        <v>1</v>
      </c>
      <c r="Q4763">
        <v>0</v>
      </c>
      <c r="R4763" t="s">
        <v>127</v>
      </c>
      <c r="S4763" t="str">
        <f t="shared" si="1886"/>
        <v>15:17:45.000</v>
      </c>
      <c r="T4763" t="str">
        <f t="shared" si="1886"/>
        <v>15:17:45.000</v>
      </c>
      <c r="U4763" t="str">
        <f t="shared" si="1877"/>
        <v>A68FCB</v>
      </c>
      <c r="V4763">
        <v>0</v>
      </c>
      <c r="W4763">
        <v>0</v>
      </c>
      <c r="X4763">
        <v>2</v>
      </c>
      <c r="Y4763">
        <v>0</v>
      </c>
      <c r="AA4763">
        <v>1</v>
      </c>
      <c r="AB4763">
        <v>8</v>
      </c>
      <c r="AC4763">
        <v>3</v>
      </c>
      <c r="AD4763">
        <v>0</v>
      </c>
      <c r="AE4763">
        <v>9</v>
      </c>
      <c r="AF4763" t="s">
        <v>138</v>
      </c>
      <c r="AG4763">
        <v>0</v>
      </c>
      <c r="AH4763">
        <v>3</v>
      </c>
      <c r="AI4763">
        <v>2</v>
      </c>
      <c r="AJ4763">
        <v>0</v>
      </c>
      <c r="AK4763" t="s">
        <v>1519</v>
      </c>
      <c r="AL4763">
        <v>39.223080000000003</v>
      </c>
      <c r="AM4763" t="s">
        <v>1518</v>
      </c>
      <c r="AN4763">
        <v>-121.000328</v>
      </c>
      <c r="AO4763">
        <v>25</v>
      </c>
      <c r="AP4763">
        <v>4100</v>
      </c>
      <c r="AQ4763" t="s">
        <v>131</v>
      </c>
      <c r="AR4763">
        <v>1</v>
      </c>
      <c r="AS4763">
        <v>88</v>
      </c>
      <c r="AT4763">
        <v>-128</v>
      </c>
      <c r="BB4763" t="str">
        <f t="shared" si="1878"/>
        <v>1200</v>
      </c>
      <c r="BC4763">
        <v>1</v>
      </c>
      <c r="BD4763" t="str">
        <f t="shared" si="1879"/>
        <v xml:space="preserve">N52156  </v>
      </c>
      <c r="BE4763">
        <v>1</v>
      </c>
      <c r="BG4763">
        <v>0</v>
      </c>
      <c r="BH4763">
        <v>0</v>
      </c>
      <c r="BI4763">
        <v>0</v>
      </c>
      <c r="BJ4763">
        <v>4125</v>
      </c>
      <c r="BK4763">
        <v>25</v>
      </c>
      <c r="BL4763" t="s">
        <v>188</v>
      </c>
      <c r="BM4763">
        <v>1</v>
      </c>
      <c r="BN4763">
        <v>1</v>
      </c>
      <c r="BO4763">
        <v>0</v>
      </c>
      <c r="BP4763">
        <v>0</v>
      </c>
      <c r="BS4763">
        <v>0</v>
      </c>
      <c r="BT4763">
        <v>0</v>
      </c>
      <c r="BU4763">
        <v>0</v>
      </c>
      <c r="CE4763" t="str">
        <f t="shared" si="1887"/>
        <v>15:17:45.916</v>
      </c>
      <c r="CF4763">
        <v>916010726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4</v>
      </c>
      <c r="CY4763">
        <v>7</v>
      </c>
      <c r="CZ4763" t="s">
        <v>133</v>
      </c>
      <c r="DA4763">
        <v>275</v>
      </c>
      <c r="DB4763">
        <v>0</v>
      </c>
      <c r="DC4763" t="s">
        <v>134</v>
      </c>
      <c r="DD4763" t="s">
        <v>135</v>
      </c>
      <c r="DG4763">
        <v>3323377</v>
      </c>
      <c r="DI4763">
        <v>1</v>
      </c>
      <c r="DJ4763">
        <v>0</v>
      </c>
      <c r="DK4763">
        <v>1</v>
      </c>
      <c r="DL4763">
        <v>0</v>
      </c>
      <c r="DM4763">
        <v>0</v>
      </c>
      <c r="DN4763">
        <v>0</v>
      </c>
      <c r="DO4763">
        <v>0</v>
      </c>
      <c r="DP4763">
        <v>0</v>
      </c>
      <c r="DQ4763">
        <v>0</v>
      </c>
      <c r="DR4763">
        <v>0</v>
      </c>
      <c r="DS4763">
        <v>0</v>
      </c>
    </row>
    <row r="4764" spans="1:123" x14ac:dyDescent="0.3">
      <c r="A4764" t="str">
        <f>"05/01/2025 15:17:46.155"</f>
        <v>05/01/2025 15:17:46.155</v>
      </c>
      <c r="C4764" t="str">
        <f t="shared" si="1876"/>
        <v>FFDFD3C0</v>
      </c>
      <c r="D4764" t="s">
        <v>124</v>
      </c>
      <c r="E4764" t="str">
        <f>"06"</f>
        <v>06</v>
      </c>
      <c r="F4764">
        <v>2006</v>
      </c>
      <c r="G4764" t="s">
        <v>125</v>
      </c>
      <c r="J4764" t="s">
        <v>126</v>
      </c>
      <c r="K4764">
        <v>0</v>
      </c>
      <c r="L4764">
        <v>3</v>
      </c>
      <c r="M4764">
        <v>0</v>
      </c>
      <c r="N4764">
        <v>2</v>
      </c>
      <c r="O4764">
        <v>0</v>
      </c>
      <c r="P4764">
        <v>1</v>
      </c>
      <c r="Q4764">
        <v>0</v>
      </c>
      <c r="R4764" t="s">
        <v>127</v>
      </c>
      <c r="S4764" t="str">
        <f t="shared" si="1886"/>
        <v>15:17:45.000</v>
      </c>
      <c r="T4764" t="str">
        <f t="shared" si="1886"/>
        <v>15:17:45.000</v>
      </c>
      <c r="U4764" t="str">
        <f t="shared" si="1877"/>
        <v>A68FCB</v>
      </c>
      <c r="V4764">
        <v>0</v>
      </c>
      <c r="W4764">
        <v>0</v>
      </c>
      <c r="X4764">
        <v>2</v>
      </c>
      <c r="Y4764">
        <v>0</v>
      </c>
      <c r="AA4764">
        <v>1</v>
      </c>
      <c r="AB4764">
        <v>8</v>
      </c>
      <c r="AC4764">
        <v>3</v>
      </c>
      <c r="AD4764">
        <v>0</v>
      </c>
      <c r="AE4764">
        <v>9</v>
      </c>
      <c r="AF4764" t="s">
        <v>138</v>
      </c>
      <c r="AG4764">
        <v>0</v>
      </c>
      <c r="AH4764">
        <v>3</v>
      </c>
      <c r="AI4764">
        <v>2</v>
      </c>
      <c r="AJ4764">
        <v>0</v>
      </c>
      <c r="AK4764" t="s">
        <v>1519</v>
      </c>
      <c r="AL4764">
        <v>39.223080000000003</v>
      </c>
      <c r="AM4764" t="s">
        <v>1518</v>
      </c>
      <c r="AN4764">
        <v>-121.000328</v>
      </c>
      <c r="AO4764">
        <v>25</v>
      </c>
      <c r="AP4764">
        <v>4100</v>
      </c>
      <c r="AQ4764" t="s">
        <v>131</v>
      </c>
      <c r="AR4764">
        <v>1</v>
      </c>
      <c r="AS4764">
        <v>88</v>
      </c>
      <c r="AT4764">
        <v>-128</v>
      </c>
      <c r="BB4764" t="str">
        <f t="shared" si="1878"/>
        <v>1200</v>
      </c>
      <c r="BC4764">
        <v>1</v>
      </c>
      <c r="BD4764" t="str">
        <f t="shared" si="1879"/>
        <v xml:space="preserve">N52156  </v>
      </c>
      <c r="BE4764">
        <v>1</v>
      </c>
      <c r="BG4764">
        <v>0</v>
      </c>
      <c r="BH4764">
        <v>0</v>
      </c>
      <c r="BI4764">
        <v>0</v>
      </c>
      <c r="BJ4764">
        <v>4125</v>
      </c>
      <c r="BK4764">
        <v>25</v>
      </c>
      <c r="BL4764" t="s">
        <v>188</v>
      </c>
      <c r="BM4764">
        <v>1</v>
      </c>
      <c r="BN4764">
        <v>1</v>
      </c>
      <c r="BO4764">
        <v>0</v>
      </c>
      <c r="BP4764">
        <v>0</v>
      </c>
      <c r="BS4764">
        <v>0</v>
      </c>
      <c r="BT4764">
        <v>0</v>
      </c>
      <c r="BU4764">
        <v>0</v>
      </c>
      <c r="CE4764" t="str">
        <f t="shared" si="1887"/>
        <v>15:17:45.916</v>
      </c>
      <c r="CF4764">
        <v>916010726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4</v>
      </c>
      <c r="CY4764">
        <v>7</v>
      </c>
      <c r="CZ4764" t="s">
        <v>133</v>
      </c>
      <c r="DA4764">
        <v>275</v>
      </c>
      <c r="DB4764">
        <v>0</v>
      </c>
      <c r="DC4764" t="s">
        <v>134</v>
      </c>
      <c r="DD4764" t="s">
        <v>135</v>
      </c>
      <c r="DG4764">
        <v>3323377</v>
      </c>
      <c r="DI4764">
        <v>1</v>
      </c>
      <c r="DJ4764">
        <v>0</v>
      </c>
      <c r="DK4764">
        <v>1</v>
      </c>
      <c r="DL4764">
        <v>0</v>
      </c>
      <c r="DM4764">
        <v>0</v>
      </c>
      <c r="DN4764">
        <v>0</v>
      </c>
      <c r="DO4764">
        <v>0</v>
      </c>
      <c r="DP4764">
        <v>0</v>
      </c>
      <c r="DQ4764">
        <v>0</v>
      </c>
      <c r="DR4764">
        <v>0</v>
      </c>
      <c r="DS4764">
        <v>0</v>
      </c>
    </row>
    <row r="4765" spans="1:123" x14ac:dyDescent="0.3">
      <c r="A4765" t="str">
        <f>"05/01/2025 15:17:46.161"</f>
        <v>05/01/2025 15:17:46.161</v>
      </c>
      <c r="C4765" t="str">
        <f t="shared" si="1876"/>
        <v>FFDFD3C0</v>
      </c>
      <c r="D4765" t="s">
        <v>143</v>
      </c>
      <c r="E4765" t="str">
        <f>"05"</f>
        <v>05</v>
      </c>
      <c r="H4765">
        <v>172</v>
      </c>
      <c r="I4765" t="s">
        <v>141</v>
      </c>
      <c r="J4765" t="s">
        <v>144</v>
      </c>
      <c r="K4765">
        <v>0</v>
      </c>
      <c r="L4765">
        <v>3</v>
      </c>
      <c r="M4765">
        <v>0</v>
      </c>
      <c r="N4765">
        <v>2</v>
      </c>
      <c r="O4765">
        <v>0</v>
      </c>
      <c r="P4765">
        <v>1</v>
      </c>
      <c r="Q4765">
        <v>0</v>
      </c>
      <c r="R4765" t="s">
        <v>127</v>
      </c>
      <c r="S4765" t="str">
        <f t="shared" si="1886"/>
        <v>15:17:45.000</v>
      </c>
      <c r="T4765" t="str">
        <f t="shared" si="1886"/>
        <v>15:17:45.000</v>
      </c>
      <c r="U4765" t="str">
        <f t="shared" si="1877"/>
        <v>A68FCB</v>
      </c>
      <c r="V4765">
        <v>0</v>
      </c>
      <c r="W4765">
        <v>0</v>
      </c>
      <c r="X4765">
        <v>2</v>
      </c>
      <c r="Y4765">
        <v>0</v>
      </c>
      <c r="AA4765">
        <v>1</v>
      </c>
      <c r="AB4765">
        <v>8</v>
      </c>
      <c r="AC4765">
        <v>3</v>
      </c>
      <c r="AD4765">
        <v>0</v>
      </c>
      <c r="AE4765">
        <v>9</v>
      </c>
      <c r="AF4765" t="s">
        <v>138</v>
      </c>
      <c r="AG4765">
        <v>0</v>
      </c>
      <c r="AH4765">
        <v>3</v>
      </c>
      <c r="AI4765">
        <v>2</v>
      </c>
      <c r="AJ4765">
        <v>0</v>
      </c>
      <c r="AK4765" t="s">
        <v>1519</v>
      </c>
      <c r="AL4765">
        <v>39.223080000000003</v>
      </c>
      <c r="AM4765" t="s">
        <v>1518</v>
      </c>
      <c r="AN4765">
        <v>-121.000328</v>
      </c>
      <c r="AO4765">
        <v>25</v>
      </c>
      <c r="AP4765">
        <v>4100</v>
      </c>
      <c r="AQ4765" t="s">
        <v>131</v>
      </c>
      <c r="AR4765">
        <v>1</v>
      </c>
      <c r="AS4765">
        <v>88</v>
      </c>
      <c r="AT4765">
        <v>-128</v>
      </c>
      <c r="BB4765" t="str">
        <f t="shared" si="1878"/>
        <v>1200</v>
      </c>
      <c r="BC4765">
        <v>1</v>
      </c>
      <c r="BD4765" t="str">
        <f t="shared" si="1879"/>
        <v xml:space="preserve">N52156  </v>
      </c>
      <c r="BE4765">
        <v>1</v>
      </c>
      <c r="BG4765">
        <v>0</v>
      </c>
      <c r="BH4765">
        <v>0</v>
      </c>
      <c r="BI4765">
        <v>0</v>
      </c>
      <c r="BJ4765">
        <v>4125</v>
      </c>
      <c r="BK4765">
        <v>25</v>
      </c>
      <c r="BL4765" t="s">
        <v>188</v>
      </c>
      <c r="BM4765">
        <v>1</v>
      </c>
      <c r="BN4765">
        <v>1</v>
      </c>
      <c r="BO4765">
        <v>0</v>
      </c>
      <c r="BP4765">
        <v>0</v>
      </c>
      <c r="BS4765">
        <v>0</v>
      </c>
      <c r="BT4765">
        <v>0</v>
      </c>
      <c r="BU4765">
        <v>0</v>
      </c>
      <c r="CE4765" t="str">
        <f t="shared" si="1887"/>
        <v>15:17:45.916</v>
      </c>
      <c r="CF4765">
        <v>916010726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4</v>
      </c>
      <c r="CY4765">
        <v>7</v>
      </c>
      <c r="CZ4765" t="s">
        <v>133</v>
      </c>
      <c r="DA4765">
        <v>275</v>
      </c>
      <c r="DB4765">
        <v>0</v>
      </c>
      <c r="DC4765" t="s">
        <v>134</v>
      </c>
      <c r="DD4765" t="s">
        <v>135</v>
      </c>
      <c r="DG4765">
        <v>3323377</v>
      </c>
      <c r="DI4765">
        <v>1</v>
      </c>
      <c r="DJ4765">
        <v>0</v>
      </c>
      <c r="DK4765">
        <v>1</v>
      </c>
      <c r="DL4765">
        <v>0</v>
      </c>
      <c r="DM4765">
        <v>0</v>
      </c>
      <c r="DN4765">
        <v>0</v>
      </c>
      <c r="DO4765">
        <v>0</v>
      </c>
      <c r="DP4765">
        <v>0</v>
      </c>
      <c r="DQ4765">
        <v>0</v>
      </c>
      <c r="DR4765">
        <v>0</v>
      </c>
      <c r="DS4765">
        <v>0</v>
      </c>
    </row>
    <row r="4766" spans="1:123" x14ac:dyDescent="0.3">
      <c r="A4766" t="str">
        <f>"05/01/2025 15:17:46.402"</f>
        <v>05/01/2025 15:17:46.402</v>
      </c>
      <c r="C4766" t="str">
        <f t="shared" si="1876"/>
        <v>FFDFD3C0</v>
      </c>
      <c r="D4766" t="s">
        <v>140</v>
      </c>
      <c r="E4766" t="str">
        <f>"13"</f>
        <v>13</v>
      </c>
      <c r="F4766">
        <v>1019</v>
      </c>
      <c r="G4766" t="s">
        <v>141</v>
      </c>
      <c r="J4766" t="s">
        <v>142</v>
      </c>
      <c r="K4766">
        <v>0</v>
      </c>
      <c r="L4766">
        <v>3</v>
      </c>
      <c r="M4766">
        <v>0</v>
      </c>
      <c r="N4766">
        <v>2</v>
      </c>
      <c r="O4766">
        <v>0</v>
      </c>
      <c r="P4766">
        <v>1</v>
      </c>
      <c r="Q4766">
        <v>0</v>
      </c>
      <c r="R4766" t="s">
        <v>127</v>
      </c>
      <c r="S4766" t="str">
        <f t="shared" ref="S4766:T4771" si="1888">"15:17:46.000"</f>
        <v>15:17:46.000</v>
      </c>
      <c r="T4766" t="str">
        <f t="shared" si="1888"/>
        <v>15:17:46.000</v>
      </c>
      <c r="U4766" t="str">
        <f t="shared" si="1877"/>
        <v>A68FCB</v>
      </c>
      <c r="V4766">
        <v>0</v>
      </c>
      <c r="W4766">
        <v>0</v>
      </c>
      <c r="X4766">
        <v>2</v>
      </c>
      <c r="Y4766">
        <v>0</v>
      </c>
      <c r="AA4766">
        <v>1</v>
      </c>
      <c r="AB4766">
        <v>8</v>
      </c>
      <c r="AC4766">
        <v>3</v>
      </c>
      <c r="AD4766">
        <v>0</v>
      </c>
      <c r="AE4766">
        <v>9</v>
      </c>
      <c r="AF4766" t="s">
        <v>138</v>
      </c>
      <c r="AG4766">
        <v>0</v>
      </c>
      <c r="AH4766">
        <v>3</v>
      </c>
      <c r="AI4766">
        <v>2</v>
      </c>
      <c r="AJ4766">
        <v>0</v>
      </c>
      <c r="AK4766" t="s">
        <v>1520</v>
      </c>
      <c r="AL4766">
        <v>39.223509</v>
      </c>
      <c r="AM4766" t="s">
        <v>1518</v>
      </c>
      <c r="AN4766">
        <v>-121.000328</v>
      </c>
      <c r="AO4766">
        <v>25</v>
      </c>
      <c r="AP4766">
        <v>4100</v>
      </c>
      <c r="AQ4766" t="s">
        <v>131</v>
      </c>
      <c r="AR4766">
        <v>1</v>
      </c>
      <c r="AS4766">
        <v>88</v>
      </c>
      <c r="AT4766">
        <v>-192</v>
      </c>
      <c r="BB4766" t="str">
        <f t="shared" si="1878"/>
        <v>1200</v>
      </c>
      <c r="BC4766">
        <v>1</v>
      </c>
      <c r="BD4766" t="str">
        <f t="shared" si="1879"/>
        <v xml:space="preserve">N52156  </v>
      </c>
      <c r="BE4766">
        <v>1</v>
      </c>
      <c r="BG4766">
        <v>0</v>
      </c>
      <c r="BH4766">
        <v>0</v>
      </c>
      <c r="BI4766">
        <v>0</v>
      </c>
      <c r="BJ4766">
        <v>4125</v>
      </c>
      <c r="BK4766">
        <v>25</v>
      </c>
      <c r="BL4766" t="s">
        <v>188</v>
      </c>
      <c r="BM4766">
        <v>1</v>
      </c>
      <c r="BN4766">
        <v>1</v>
      </c>
      <c r="BO4766">
        <v>0</v>
      </c>
      <c r="BP4766">
        <v>0</v>
      </c>
      <c r="BS4766">
        <v>0</v>
      </c>
      <c r="BT4766">
        <v>0</v>
      </c>
      <c r="BU4766">
        <v>0</v>
      </c>
      <c r="CE4766" t="str">
        <f t="shared" ref="CE4766:CE4771" si="1889">"15:17:46.199"</f>
        <v>15:17:46.199</v>
      </c>
      <c r="CF4766">
        <v>199008962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4</v>
      </c>
      <c r="CY4766">
        <v>7</v>
      </c>
      <c r="CZ4766" t="s">
        <v>133</v>
      </c>
      <c r="DA4766">
        <v>275</v>
      </c>
      <c r="DB4766">
        <v>0</v>
      </c>
      <c r="DC4766" t="s">
        <v>134</v>
      </c>
      <c r="DD4766" t="s">
        <v>135</v>
      </c>
      <c r="DG4766">
        <v>3323378</v>
      </c>
      <c r="DI4766">
        <v>1</v>
      </c>
      <c r="DJ4766">
        <v>0</v>
      </c>
      <c r="DK4766">
        <v>0</v>
      </c>
      <c r="DL4766">
        <v>0</v>
      </c>
      <c r="DM4766">
        <v>0</v>
      </c>
      <c r="DN4766">
        <v>0</v>
      </c>
      <c r="DO4766">
        <v>0</v>
      </c>
      <c r="DP4766">
        <v>0</v>
      </c>
      <c r="DQ4766">
        <v>0</v>
      </c>
      <c r="DR4766">
        <v>0</v>
      </c>
      <c r="DS4766">
        <v>0</v>
      </c>
    </row>
    <row r="4767" spans="1:123" x14ac:dyDescent="0.3">
      <c r="A4767" t="str">
        <f>"05/01/2025 15:17:46.405"</f>
        <v>05/01/2025 15:17:46.405</v>
      </c>
      <c r="C4767" t="str">
        <f t="shared" si="1876"/>
        <v>FFDFD3C0</v>
      </c>
      <c r="D4767" t="s">
        <v>124</v>
      </c>
      <c r="E4767" t="str">
        <f>"06"</f>
        <v>06</v>
      </c>
      <c r="F4767">
        <v>2006</v>
      </c>
      <c r="G4767" t="s">
        <v>125</v>
      </c>
      <c r="J4767" t="s">
        <v>126</v>
      </c>
      <c r="K4767">
        <v>0</v>
      </c>
      <c r="L4767">
        <v>3</v>
      </c>
      <c r="M4767">
        <v>0</v>
      </c>
      <c r="N4767">
        <v>2</v>
      </c>
      <c r="O4767">
        <v>0</v>
      </c>
      <c r="P4767">
        <v>1</v>
      </c>
      <c r="Q4767">
        <v>0</v>
      </c>
      <c r="R4767" t="s">
        <v>127</v>
      </c>
      <c r="S4767" t="str">
        <f t="shared" si="1888"/>
        <v>15:17:46.000</v>
      </c>
      <c r="T4767" t="str">
        <f t="shared" si="1888"/>
        <v>15:17:46.000</v>
      </c>
      <c r="U4767" t="str">
        <f t="shared" si="1877"/>
        <v>A68FCB</v>
      </c>
      <c r="V4767">
        <v>0</v>
      </c>
      <c r="W4767">
        <v>0</v>
      </c>
      <c r="X4767">
        <v>2</v>
      </c>
      <c r="Y4767">
        <v>0</v>
      </c>
      <c r="AA4767">
        <v>1</v>
      </c>
      <c r="AB4767">
        <v>8</v>
      </c>
      <c r="AC4767">
        <v>3</v>
      </c>
      <c r="AD4767">
        <v>0</v>
      </c>
      <c r="AE4767">
        <v>9</v>
      </c>
      <c r="AF4767" t="s">
        <v>138</v>
      </c>
      <c r="AG4767">
        <v>0</v>
      </c>
      <c r="AH4767">
        <v>3</v>
      </c>
      <c r="AI4767">
        <v>2</v>
      </c>
      <c r="AJ4767">
        <v>0</v>
      </c>
      <c r="AK4767" t="s">
        <v>1520</v>
      </c>
      <c r="AL4767">
        <v>39.223509</v>
      </c>
      <c r="AM4767" t="s">
        <v>1518</v>
      </c>
      <c r="AN4767">
        <v>-121.000328</v>
      </c>
      <c r="AO4767">
        <v>25</v>
      </c>
      <c r="AP4767">
        <v>4100</v>
      </c>
      <c r="AQ4767" t="s">
        <v>131</v>
      </c>
      <c r="AR4767">
        <v>1</v>
      </c>
      <c r="AS4767">
        <v>88</v>
      </c>
      <c r="AT4767">
        <v>-192</v>
      </c>
      <c r="BB4767" t="str">
        <f t="shared" si="1878"/>
        <v>1200</v>
      </c>
      <c r="BC4767">
        <v>1</v>
      </c>
      <c r="BD4767" t="str">
        <f t="shared" si="1879"/>
        <v xml:space="preserve">N52156  </v>
      </c>
      <c r="BE4767">
        <v>1</v>
      </c>
      <c r="BG4767">
        <v>0</v>
      </c>
      <c r="BH4767">
        <v>0</v>
      </c>
      <c r="BI4767">
        <v>0</v>
      </c>
      <c r="BJ4767">
        <v>4125</v>
      </c>
      <c r="BK4767">
        <v>25</v>
      </c>
      <c r="BL4767" t="s">
        <v>188</v>
      </c>
      <c r="BM4767">
        <v>1</v>
      </c>
      <c r="BN4767">
        <v>1</v>
      </c>
      <c r="BO4767">
        <v>0</v>
      </c>
      <c r="BP4767">
        <v>0</v>
      </c>
      <c r="BS4767">
        <v>0</v>
      </c>
      <c r="BT4767">
        <v>0</v>
      </c>
      <c r="BU4767">
        <v>0</v>
      </c>
      <c r="CE4767" t="str">
        <f t="shared" si="1889"/>
        <v>15:17:46.199</v>
      </c>
      <c r="CF4767">
        <v>199008962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4</v>
      </c>
      <c r="CY4767">
        <v>7</v>
      </c>
      <c r="CZ4767" t="s">
        <v>133</v>
      </c>
      <c r="DA4767">
        <v>275</v>
      </c>
      <c r="DB4767">
        <v>0</v>
      </c>
      <c r="DC4767" t="s">
        <v>134</v>
      </c>
      <c r="DD4767" t="s">
        <v>135</v>
      </c>
      <c r="DG4767">
        <v>3323378</v>
      </c>
      <c r="DI4767">
        <v>1</v>
      </c>
      <c r="DJ4767">
        <v>0</v>
      </c>
      <c r="DK4767">
        <v>1</v>
      </c>
      <c r="DL4767">
        <v>0</v>
      </c>
      <c r="DM4767">
        <v>0</v>
      </c>
      <c r="DN4767">
        <v>0</v>
      </c>
      <c r="DO4767">
        <v>0</v>
      </c>
      <c r="DP4767">
        <v>0</v>
      </c>
      <c r="DQ4767">
        <v>0</v>
      </c>
      <c r="DR4767">
        <v>0</v>
      </c>
      <c r="DS4767">
        <v>0</v>
      </c>
    </row>
    <row r="4768" spans="1:123" x14ac:dyDescent="0.3">
      <c r="A4768" t="str">
        <f>"05/01/2025 15:17:46.411"</f>
        <v>05/01/2025 15:17:46.411</v>
      </c>
      <c r="C4768" t="str">
        <f t="shared" si="1876"/>
        <v>FFDFD3C0</v>
      </c>
      <c r="D4768" t="s">
        <v>143</v>
      </c>
      <c r="E4768" t="str">
        <f>"05"</f>
        <v>05</v>
      </c>
      <c r="H4768">
        <v>172</v>
      </c>
      <c r="I4768" t="s">
        <v>141</v>
      </c>
      <c r="J4768" t="s">
        <v>144</v>
      </c>
      <c r="K4768">
        <v>0</v>
      </c>
      <c r="L4768">
        <v>3</v>
      </c>
      <c r="M4768">
        <v>0</v>
      </c>
      <c r="N4768">
        <v>2</v>
      </c>
      <c r="O4768">
        <v>0</v>
      </c>
      <c r="P4768">
        <v>1</v>
      </c>
      <c r="Q4768">
        <v>0</v>
      </c>
      <c r="R4768" t="s">
        <v>127</v>
      </c>
      <c r="S4768" t="str">
        <f t="shared" si="1888"/>
        <v>15:17:46.000</v>
      </c>
      <c r="T4768" t="str">
        <f t="shared" si="1888"/>
        <v>15:17:46.000</v>
      </c>
      <c r="U4768" t="str">
        <f t="shared" si="1877"/>
        <v>A68FCB</v>
      </c>
      <c r="V4768">
        <v>0</v>
      </c>
      <c r="W4768">
        <v>0</v>
      </c>
      <c r="X4768">
        <v>2</v>
      </c>
      <c r="Y4768">
        <v>0</v>
      </c>
      <c r="AA4768">
        <v>1</v>
      </c>
      <c r="AB4768">
        <v>8</v>
      </c>
      <c r="AC4768">
        <v>3</v>
      </c>
      <c r="AD4768">
        <v>0</v>
      </c>
      <c r="AE4768">
        <v>9</v>
      </c>
      <c r="AF4768" t="s">
        <v>138</v>
      </c>
      <c r="AG4768">
        <v>0</v>
      </c>
      <c r="AH4768">
        <v>3</v>
      </c>
      <c r="AI4768">
        <v>2</v>
      </c>
      <c r="AJ4768">
        <v>0</v>
      </c>
      <c r="AK4768" t="s">
        <v>1520</v>
      </c>
      <c r="AL4768">
        <v>39.223509</v>
      </c>
      <c r="AM4768" t="s">
        <v>1518</v>
      </c>
      <c r="AN4768">
        <v>-121.000328</v>
      </c>
      <c r="AO4768">
        <v>25</v>
      </c>
      <c r="AP4768">
        <v>4100</v>
      </c>
      <c r="AQ4768" t="s">
        <v>131</v>
      </c>
      <c r="AR4768">
        <v>1</v>
      </c>
      <c r="AS4768">
        <v>88</v>
      </c>
      <c r="AT4768">
        <v>-192</v>
      </c>
      <c r="BB4768" t="str">
        <f t="shared" si="1878"/>
        <v>1200</v>
      </c>
      <c r="BC4768">
        <v>1</v>
      </c>
      <c r="BD4768" t="str">
        <f t="shared" si="1879"/>
        <v xml:space="preserve">N52156  </v>
      </c>
      <c r="BE4768">
        <v>1</v>
      </c>
      <c r="BG4768">
        <v>0</v>
      </c>
      <c r="BH4768">
        <v>0</v>
      </c>
      <c r="BI4768">
        <v>0</v>
      </c>
      <c r="BJ4768">
        <v>4125</v>
      </c>
      <c r="BK4768">
        <v>25</v>
      </c>
      <c r="BL4768" t="s">
        <v>188</v>
      </c>
      <c r="BM4768">
        <v>1</v>
      </c>
      <c r="BN4768">
        <v>1</v>
      </c>
      <c r="BO4768">
        <v>0</v>
      </c>
      <c r="BP4768">
        <v>0</v>
      </c>
      <c r="BS4768">
        <v>0</v>
      </c>
      <c r="BT4768">
        <v>0</v>
      </c>
      <c r="BU4768">
        <v>0</v>
      </c>
      <c r="CE4768" t="str">
        <f t="shared" si="1889"/>
        <v>15:17:46.199</v>
      </c>
      <c r="CF4768">
        <v>199008962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4</v>
      </c>
      <c r="CY4768">
        <v>7</v>
      </c>
      <c r="CZ4768" t="s">
        <v>133</v>
      </c>
      <c r="DA4768">
        <v>275</v>
      </c>
      <c r="DB4768">
        <v>0</v>
      </c>
      <c r="DC4768" t="s">
        <v>134</v>
      </c>
      <c r="DD4768" t="s">
        <v>135</v>
      </c>
      <c r="DG4768">
        <v>3323378</v>
      </c>
      <c r="DI4768">
        <v>1</v>
      </c>
      <c r="DJ4768">
        <v>0</v>
      </c>
      <c r="DK4768">
        <v>1</v>
      </c>
      <c r="DL4768">
        <v>0</v>
      </c>
      <c r="DM4768">
        <v>0</v>
      </c>
      <c r="DN4768">
        <v>0</v>
      </c>
      <c r="DO4768">
        <v>0</v>
      </c>
      <c r="DP4768">
        <v>0</v>
      </c>
      <c r="DQ4768">
        <v>0</v>
      </c>
      <c r="DR4768">
        <v>0</v>
      </c>
      <c r="DS4768">
        <v>0</v>
      </c>
    </row>
    <row r="4769" spans="1:123" x14ac:dyDescent="0.3">
      <c r="A4769" t="str">
        <f>"05/01/2025 15:17:46.424"</f>
        <v>05/01/2025 15:17:46.424</v>
      </c>
      <c r="C4769" t="str">
        <f t="shared" si="1876"/>
        <v>FFDFD3C0</v>
      </c>
      <c r="D4769" t="s">
        <v>145</v>
      </c>
      <c r="E4769" t="str">
        <f>"09"</f>
        <v>09</v>
      </c>
      <c r="H4769">
        <v>51</v>
      </c>
      <c r="I4769" t="s">
        <v>147</v>
      </c>
      <c r="J4769" t="s">
        <v>138</v>
      </c>
      <c r="K4769">
        <v>0</v>
      </c>
      <c r="L4769">
        <v>3</v>
      </c>
      <c r="M4769">
        <v>0</v>
      </c>
      <c r="N4769">
        <v>2</v>
      </c>
      <c r="O4769">
        <v>0</v>
      </c>
      <c r="P4769">
        <v>1</v>
      </c>
      <c r="Q4769">
        <v>0</v>
      </c>
      <c r="R4769" t="s">
        <v>127</v>
      </c>
      <c r="S4769" t="str">
        <f t="shared" si="1888"/>
        <v>15:17:46.000</v>
      </c>
      <c r="T4769" t="str">
        <f t="shared" si="1888"/>
        <v>15:17:46.000</v>
      </c>
      <c r="U4769" t="str">
        <f t="shared" si="1877"/>
        <v>A68FCB</v>
      </c>
      <c r="V4769">
        <v>0</v>
      </c>
      <c r="W4769">
        <v>0</v>
      </c>
      <c r="X4769">
        <v>2</v>
      </c>
      <c r="Y4769">
        <v>0</v>
      </c>
      <c r="AA4769">
        <v>1</v>
      </c>
      <c r="AB4769">
        <v>8</v>
      </c>
      <c r="AC4769">
        <v>3</v>
      </c>
      <c r="AD4769">
        <v>0</v>
      </c>
      <c r="AE4769">
        <v>9</v>
      </c>
      <c r="AF4769" t="s">
        <v>138</v>
      </c>
      <c r="AG4769">
        <v>0</v>
      </c>
      <c r="AH4769">
        <v>3</v>
      </c>
      <c r="AI4769">
        <v>2</v>
      </c>
      <c r="AJ4769">
        <v>0</v>
      </c>
      <c r="AK4769" t="s">
        <v>1520</v>
      </c>
      <c r="AL4769">
        <v>39.223509</v>
      </c>
      <c r="AM4769" t="s">
        <v>1518</v>
      </c>
      <c r="AN4769">
        <v>-121.000328</v>
      </c>
      <c r="AO4769">
        <v>25</v>
      </c>
      <c r="AP4769">
        <v>4100</v>
      </c>
      <c r="AQ4769" t="s">
        <v>131</v>
      </c>
      <c r="AR4769">
        <v>1</v>
      </c>
      <c r="AS4769">
        <v>88</v>
      </c>
      <c r="AT4769">
        <v>-192</v>
      </c>
      <c r="BB4769" t="str">
        <f t="shared" si="1878"/>
        <v>1200</v>
      </c>
      <c r="BC4769">
        <v>1</v>
      </c>
      <c r="BD4769" t="str">
        <f t="shared" si="1879"/>
        <v xml:space="preserve">N52156  </v>
      </c>
      <c r="BE4769">
        <v>1</v>
      </c>
      <c r="BG4769">
        <v>0</v>
      </c>
      <c r="BH4769">
        <v>0</v>
      </c>
      <c r="BI4769">
        <v>0</v>
      </c>
      <c r="BJ4769">
        <v>4125</v>
      </c>
      <c r="BK4769">
        <v>25</v>
      </c>
      <c r="BL4769" t="s">
        <v>188</v>
      </c>
      <c r="BM4769">
        <v>1</v>
      </c>
      <c r="BN4769">
        <v>1</v>
      </c>
      <c r="BO4769">
        <v>0</v>
      </c>
      <c r="BP4769">
        <v>0</v>
      </c>
      <c r="BS4769">
        <v>0</v>
      </c>
      <c r="BT4769">
        <v>0</v>
      </c>
      <c r="BU4769">
        <v>0</v>
      </c>
      <c r="CE4769" t="str">
        <f t="shared" si="1889"/>
        <v>15:17:46.199</v>
      </c>
      <c r="CF4769">
        <v>199008962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4</v>
      </c>
      <c r="CY4769">
        <v>7</v>
      </c>
      <c r="CZ4769" t="s">
        <v>133</v>
      </c>
      <c r="DA4769">
        <v>275</v>
      </c>
      <c r="DB4769">
        <v>0</v>
      </c>
      <c r="DC4769" t="s">
        <v>134</v>
      </c>
      <c r="DD4769" t="s">
        <v>135</v>
      </c>
      <c r="DG4769">
        <v>3323378</v>
      </c>
      <c r="DI4769">
        <v>1</v>
      </c>
      <c r="DJ4769">
        <v>0</v>
      </c>
      <c r="DK4769">
        <v>1</v>
      </c>
      <c r="DL4769">
        <v>0</v>
      </c>
      <c r="DM4769">
        <v>0</v>
      </c>
      <c r="DN4769">
        <v>0</v>
      </c>
      <c r="DO4769">
        <v>0</v>
      </c>
      <c r="DP4769">
        <v>0</v>
      </c>
      <c r="DQ4769">
        <v>0</v>
      </c>
      <c r="DR4769">
        <v>0</v>
      </c>
      <c r="DS4769">
        <v>0</v>
      </c>
    </row>
    <row r="4770" spans="1:123" x14ac:dyDescent="0.3">
      <c r="A4770" t="str">
        <f>"05/01/2025 15:17:46.428"</f>
        <v>05/01/2025 15:17:46.428</v>
      </c>
      <c r="C4770" t="str">
        <f t="shared" si="1876"/>
        <v>FFDFD3C0</v>
      </c>
      <c r="D4770" t="s">
        <v>145</v>
      </c>
      <c r="E4770" t="str">
        <f>"05"</f>
        <v>05</v>
      </c>
      <c r="H4770">
        <v>47</v>
      </c>
      <c r="I4770" t="s">
        <v>146</v>
      </c>
      <c r="J4770" t="s">
        <v>138</v>
      </c>
      <c r="K4770">
        <v>0</v>
      </c>
      <c r="L4770">
        <v>3</v>
      </c>
      <c r="M4770">
        <v>0</v>
      </c>
      <c r="N4770">
        <v>2</v>
      </c>
      <c r="O4770">
        <v>0</v>
      </c>
      <c r="P4770">
        <v>1</v>
      </c>
      <c r="Q4770">
        <v>0</v>
      </c>
      <c r="R4770" t="s">
        <v>127</v>
      </c>
      <c r="S4770" t="str">
        <f t="shared" si="1888"/>
        <v>15:17:46.000</v>
      </c>
      <c r="T4770" t="str">
        <f t="shared" si="1888"/>
        <v>15:17:46.000</v>
      </c>
      <c r="U4770" t="str">
        <f t="shared" si="1877"/>
        <v>A68FCB</v>
      </c>
      <c r="V4770">
        <v>0</v>
      </c>
      <c r="W4770">
        <v>0</v>
      </c>
      <c r="X4770">
        <v>2</v>
      </c>
      <c r="Y4770">
        <v>0</v>
      </c>
      <c r="AA4770">
        <v>1</v>
      </c>
      <c r="AB4770">
        <v>8</v>
      </c>
      <c r="AC4770">
        <v>3</v>
      </c>
      <c r="AD4770">
        <v>0</v>
      </c>
      <c r="AE4770">
        <v>9</v>
      </c>
      <c r="AF4770" t="s">
        <v>138</v>
      </c>
      <c r="AG4770">
        <v>0</v>
      </c>
      <c r="AH4770">
        <v>3</v>
      </c>
      <c r="AI4770">
        <v>2</v>
      </c>
      <c r="AJ4770">
        <v>0</v>
      </c>
      <c r="AK4770" t="s">
        <v>1520</v>
      </c>
      <c r="AL4770">
        <v>39.223509</v>
      </c>
      <c r="AM4770" t="s">
        <v>1518</v>
      </c>
      <c r="AN4770">
        <v>-121.000328</v>
      </c>
      <c r="AO4770">
        <v>25</v>
      </c>
      <c r="AP4770">
        <v>4100</v>
      </c>
      <c r="AQ4770" t="s">
        <v>131</v>
      </c>
      <c r="AR4770">
        <v>1</v>
      </c>
      <c r="AS4770">
        <v>88</v>
      </c>
      <c r="AT4770">
        <v>-192</v>
      </c>
      <c r="BB4770" t="str">
        <f t="shared" si="1878"/>
        <v>1200</v>
      </c>
      <c r="BC4770">
        <v>1</v>
      </c>
      <c r="BD4770" t="str">
        <f t="shared" si="1879"/>
        <v xml:space="preserve">N52156  </v>
      </c>
      <c r="BE4770">
        <v>1</v>
      </c>
      <c r="BG4770">
        <v>0</v>
      </c>
      <c r="BH4770">
        <v>0</v>
      </c>
      <c r="BI4770">
        <v>0</v>
      </c>
      <c r="BJ4770">
        <v>4125</v>
      </c>
      <c r="BK4770">
        <v>25</v>
      </c>
      <c r="BL4770" t="s">
        <v>188</v>
      </c>
      <c r="BM4770">
        <v>1</v>
      </c>
      <c r="BN4770">
        <v>1</v>
      </c>
      <c r="BO4770">
        <v>0</v>
      </c>
      <c r="BP4770">
        <v>0</v>
      </c>
      <c r="BS4770">
        <v>0</v>
      </c>
      <c r="BT4770">
        <v>0</v>
      </c>
      <c r="BU4770">
        <v>0</v>
      </c>
      <c r="CE4770" t="str">
        <f t="shared" si="1889"/>
        <v>15:17:46.199</v>
      </c>
      <c r="CF4770">
        <v>199008962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4</v>
      </c>
      <c r="CY4770">
        <v>7</v>
      </c>
      <c r="CZ4770" t="s">
        <v>133</v>
      </c>
      <c r="DA4770">
        <v>275</v>
      </c>
      <c r="DB4770">
        <v>0</v>
      </c>
      <c r="DC4770" t="s">
        <v>134</v>
      </c>
      <c r="DD4770" t="s">
        <v>135</v>
      </c>
      <c r="DG4770">
        <v>3323378</v>
      </c>
      <c r="DI4770">
        <v>1</v>
      </c>
      <c r="DJ4770">
        <v>0</v>
      </c>
      <c r="DK4770">
        <v>1</v>
      </c>
      <c r="DL4770">
        <v>0</v>
      </c>
      <c r="DM4770">
        <v>0</v>
      </c>
      <c r="DN4770">
        <v>0</v>
      </c>
      <c r="DO4770">
        <v>0</v>
      </c>
      <c r="DP4770">
        <v>0</v>
      </c>
      <c r="DQ4770">
        <v>0</v>
      </c>
      <c r="DR4770">
        <v>0</v>
      </c>
      <c r="DS4770">
        <v>0</v>
      </c>
    </row>
    <row r="4771" spans="1:123" x14ac:dyDescent="0.3">
      <c r="A4771" t="str">
        <f>"05/01/2025 15:17:46.438"</f>
        <v>05/01/2025 15:17:46.438</v>
      </c>
      <c r="C4771" t="str">
        <f t="shared" si="1876"/>
        <v>FFDFD3C0</v>
      </c>
      <c r="D4771" t="s">
        <v>136</v>
      </c>
      <c r="E4771" t="str">
        <f>"20"</f>
        <v>20</v>
      </c>
      <c r="H4771">
        <v>400</v>
      </c>
      <c r="I4771" t="s">
        <v>137</v>
      </c>
      <c r="J4771" t="s">
        <v>138</v>
      </c>
      <c r="K4771">
        <v>0</v>
      </c>
      <c r="L4771">
        <v>3</v>
      </c>
      <c r="M4771">
        <v>0</v>
      </c>
      <c r="N4771">
        <v>2</v>
      </c>
      <c r="O4771">
        <v>0</v>
      </c>
      <c r="P4771">
        <v>1</v>
      </c>
      <c r="Q4771">
        <v>0</v>
      </c>
      <c r="R4771" t="s">
        <v>127</v>
      </c>
      <c r="S4771" t="str">
        <f t="shared" si="1888"/>
        <v>15:17:46.000</v>
      </c>
      <c r="T4771" t="str">
        <f t="shared" si="1888"/>
        <v>15:17:46.000</v>
      </c>
      <c r="U4771" t="str">
        <f t="shared" si="1877"/>
        <v>A68FCB</v>
      </c>
      <c r="V4771">
        <v>0</v>
      </c>
      <c r="W4771">
        <v>0</v>
      </c>
      <c r="X4771">
        <v>2</v>
      </c>
      <c r="Y4771">
        <v>0</v>
      </c>
      <c r="AA4771">
        <v>1</v>
      </c>
      <c r="AB4771">
        <v>8</v>
      </c>
      <c r="AC4771">
        <v>3</v>
      </c>
      <c r="AD4771">
        <v>0</v>
      </c>
      <c r="AE4771">
        <v>9</v>
      </c>
      <c r="AF4771" t="s">
        <v>138</v>
      </c>
      <c r="AG4771">
        <v>0</v>
      </c>
      <c r="AH4771">
        <v>3</v>
      </c>
      <c r="AI4771">
        <v>2</v>
      </c>
      <c r="AJ4771">
        <v>0</v>
      </c>
      <c r="AK4771" t="s">
        <v>1520</v>
      </c>
      <c r="AL4771">
        <v>39.223509</v>
      </c>
      <c r="AM4771" t="s">
        <v>1518</v>
      </c>
      <c r="AN4771">
        <v>-121.000328</v>
      </c>
      <c r="AO4771">
        <v>25</v>
      </c>
      <c r="AP4771">
        <v>4100</v>
      </c>
      <c r="AQ4771" t="s">
        <v>131</v>
      </c>
      <c r="AR4771">
        <v>1</v>
      </c>
      <c r="AS4771">
        <v>88</v>
      </c>
      <c r="AT4771">
        <v>-192</v>
      </c>
      <c r="BB4771" t="str">
        <f t="shared" si="1878"/>
        <v>1200</v>
      </c>
      <c r="BC4771">
        <v>1</v>
      </c>
      <c r="BD4771" t="str">
        <f t="shared" si="1879"/>
        <v xml:space="preserve">N52156  </v>
      </c>
      <c r="BE4771">
        <v>1</v>
      </c>
      <c r="BG4771">
        <v>0</v>
      </c>
      <c r="BH4771">
        <v>0</v>
      </c>
      <c r="BI4771">
        <v>0</v>
      </c>
      <c r="BJ4771">
        <v>4125</v>
      </c>
      <c r="BK4771">
        <v>25</v>
      </c>
      <c r="BL4771" t="s">
        <v>188</v>
      </c>
      <c r="BM4771">
        <v>1</v>
      </c>
      <c r="BN4771">
        <v>1</v>
      </c>
      <c r="BO4771">
        <v>0</v>
      </c>
      <c r="BP4771">
        <v>0</v>
      </c>
      <c r="BS4771">
        <v>0</v>
      </c>
      <c r="BT4771">
        <v>0</v>
      </c>
      <c r="BU4771">
        <v>0</v>
      </c>
      <c r="CE4771" t="str">
        <f t="shared" si="1889"/>
        <v>15:17:46.199</v>
      </c>
      <c r="CF4771">
        <v>199008962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4</v>
      </c>
      <c r="CY4771">
        <v>7</v>
      </c>
      <c r="CZ4771" t="s">
        <v>133</v>
      </c>
      <c r="DA4771">
        <v>275</v>
      </c>
      <c r="DB4771">
        <v>0</v>
      </c>
      <c r="DC4771" t="s">
        <v>134</v>
      </c>
      <c r="DD4771" t="s">
        <v>135</v>
      </c>
      <c r="DG4771">
        <v>3323378</v>
      </c>
      <c r="DI4771">
        <v>1</v>
      </c>
      <c r="DJ4771">
        <v>0</v>
      </c>
      <c r="DK4771">
        <v>1</v>
      </c>
      <c r="DL4771">
        <v>0</v>
      </c>
      <c r="DM4771">
        <v>0</v>
      </c>
      <c r="DN4771">
        <v>0</v>
      </c>
      <c r="DO4771">
        <v>0</v>
      </c>
      <c r="DP4771">
        <v>0</v>
      </c>
      <c r="DQ4771">
        <v>0</v>
      </c>
      <c r="DR4771">
        <v>0</v>
      </c>
      <c r="DS4771">
        <v>0</v>
      </c>
    </row>
    <row r="4772" spans="1:123" x14ac:dyDescent="0.3">
      <c r="A4772" t="str">
        <f>"05/01/2025 15:17:47.508"</f>
        <v>05/01/2025 15:17:47.508</v>
      </c>
      <c r="C4772" t="str">
        <f t="shared" si="1876"/>
        <v>FFDFD3C0</v>
      </c>
      <c r="D4772" t="s">
        <v>124</v>
      </c>
      <c r="E4772" t="str">
        <f>"06"</f>
        <v>06</v>
      </c>
      <c r="F4772">
        <v>2006</v>
      </c>
      <c r="G4772" t="s">
        <v>125</v>
      </c>
      <c r="J4772" t="s">
        <v>126</v>
      </c>
      <c r="K4772">
        <v>0</v>
      </c>
      <c r="L4772">
        <v>3</v>
      </c>
      <c r="M4772">
        <v>0</v>
      </c>
      <c r="N4772">
        <v>2</v>
      </c>
      <c r="O4772">
        <v>0</v>
      </c>
      <c r="P4772">
        <v>1</v>
      </c>
      <c r="Q4772">
        <v>0</v>
      </c>
      <c r="R4772" t="s">
        <v>127</v>
      </c>
      <c r="S4772" t="str">
        <f t="shared" ref="S4772:T4777" si="1890">"15:17:47.000"</f>
        <v>15:17:47.000</v>
      </c>
      <c r="T4772" t="str">
        <f t="shared" si="1890"/>
        <v>15:17:47.000</v>
      </c>
      <c r="U4772" t="str">
        <f t="shared" si="1877"/>
        <v>A68FCB</v>
      </c>
      <c r="V4772">
        <v>0</v>
      </c>
      <c r="W4772">
        <v>0</v>
      </c>
      <c r="X4772">
        <v>2</v>
      </c>
      <c r="Y4772">
        <v>0</v>
      </c>
      <c r="AA4772">
        <v>1</v>
      </c>
      <c r="AB4772">
        <v>8</v>
      </c>
      <c r="AC4772">
        <v>3</v>
      </c>
      <c r="AD4772">
        <v>0</v>
      </c>
      <c r="AE4772">
        <v>9</v>
      </c>
      <c r="AF4772" t="s">
        <v>138</v>
      </c>
      <c r="AG4772">
        <v>0</v>
      </c>
      <c r="AH4772">
        <v>3</v>
      </c>
      <c r="AI4772">
        <v>2</v>
      </c>
      <c r="AJ4772">
        <v>0</v>
      </c>
      <c r="AK4772" t="s">
        <v>1521</v>
      </c>
      <c r="AL4772">
        <v>39.223917</v>
      </c>
      <c r="AM4772" t="s">
        <v>1518</v>
      </c>
      <c r="AN4772">
        <v>-121.000328</v>
      </c>
      <c r="AO4772">
        <v>25</v>
      </c>
      <c r="AP4772">
        <v>4100</v>
      </c>
      <c r="AQ4772" t="s">
        <v>131</v>
      </c>
      <c r="AR4772">
        <v>0</v>
      </c>
      <c r="AS4772">
        <v>88</v>
      </c>
      <c r="AT4772">
        <v>-192</v>
      </c>
      <c r="BB4772" t="str">
        <f t="shared" si="1878"/>
        <v>1200</v>
      </c>
      <c r="BC4772">
        <v>1</v>
      </c>
      <c r="BD4772" t="str">
        <f t="shared" si="1879"/>
        <v xml:space="preserve">N52156  </v>
      </c>
      <c r="BE4772">
        <v>1</v>
      </c>
      <c r="BG4772">
        <v>0</v>
      </c>
      <c r="BH4772">
        <v>0</v>
      </c>
      <c r="BI4772">
        <v>0</v>
      </c>
      <c r="BJ4772">
        <v>4125</v>
      </c>
      <c r="BK4772">
        <v>25</v>
      </c>
      <c r="BL4772" t="s">
        <v>188</v>
      </c>
      <c r="BM4772">
        <v>1</v>
      </c>
      <c r="BN4772">
        <v>1</v>
      </c>
      <c r="BO4772">
        <v>0</v>
      </c>
      <c r="BP4772">
        <v>0</v>
      </c>
      <c r="BS4772">
        <v>0</v>
      </c>
      <c r="BT4772">
        <v>0</v>
      </c>
      <c r="BU4772">
        <v>0</v>
      </c>
      <c r="CE4772" t="str">
        <f t="shared" ref="CE4772:CE4777" si="1891">"15:17:47.291"</f>
        <v>15:17:47.291</v>
      </c>
      <c r="CF4772">
        <v>291009301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3</v>
      </c>
      <c r="CY4772">
        <v>7</v>
      </c>
      <c r="CZ4772" t="s">
        <v>133</v>
      </c>
      <c r="DA4772">
        <v>275</v>
      </c>
      <c r="DB4772">
        <v>0</v>
      </c>
      <c r="DC4772" t="s">
        <v>134</v>
      </c>
      <c r="DD4772" t="s">
        <v>135</v>
      </c>
      <c r="DG4772">
        <v>3323381</v>
      </c>
      <c r="DI4772">
        <v>1</v>
      </c>
      <c r="DJ4772">
        <v>0</v>
      </c>
      <c r="DK4772">
        <v>0</v>
      </c>
      <c r="DL4772">
        <v>0</v>
      </c>
      <c r="DM4772">
        <v>0</v>
      </c>
      <c r="DN4772">
        <v>0</v>
      </c>
      <c r="DO4772">
        <v>0</v>
      </c>
      <c r="DP4772">
        <v>0</v>
      </c>
      <c r="DQ4772">
        <v>0</v>
      </c>
      <c r="DR4772">
        <v>0</v>
      </c>
      <c r="DS4772">
        <v>0</v>
      </c>
    </row>
    <row r="4773" spans="1:123" x14ac:dyDescent="0.3">
      <c r="A4773" t="str">
        <f>"05/01/2025 15:17:47.504"</f>
        <v>05/01/2025 15:17:47.504</v>
      </c>
      <c r="C4773" t="str">
        <f t="shared" si="1876"/>
        <v>FFDFD3C0</v>
      </c>
      <c r="D4773" t="s">
        <v>140</v>
      </c>
      <c r="E4773" t="str">
        <f>"13"</f>
        <v>13</v>
      </c>
      <c r="F4773">
        <v>1019</v>
      </c>
      <c r="G4773" t="s">
        <v>141</v>
      </c>
      <c r="J4773" t="s">
        <v>142</v>
      </c>
      <c r="K4773">
        <v>0</v>
      </c>
      <c r="L4773">
        <v>3</v>
      </c>
      <c r="M4773">
        <v>0</v>
      </c>
      <c r="N4773">
        <v>2</v>
      </c>
      <c r="O4773">
        <v>0</v>
      </c>
      <c r="P4773">
        <v>1</v>
      </c>
      <c r="Q4773">
        <v>0</v>
      </c>
      <c r="R4773" t="s">
        <v>127</v>
      </c>
      <c r="S4773" t="str">
        <f t="shared" si="1890"/>
        <v>15:17:47.000</v>
      </c>
      <c r="T4773" t="str">
        <f t="shared" si="1890"/>
        <v>15:17:47.000</v>
      </c>
      <c r="U4773" t="str">
        <f t="shared" si="1877"/>
        <v>A68FCB</v>
      </c>
      <c r="V4773">
        <v>0</v>
      </c>
      <c r="W4773">
        <v>0</v>
      </c>
      <c r="X4773">
        <v>2</v>
      </c>
      <c r="Y4773">
        <v>0</v>
      </c>
      <c r="AA4773">
        <v>1</v>
      </c>
      <c r="AB4773">
        <v>8</v>
      </c>
      <c r="AC4773">
        <v>3</v>
      </c>
      <c r="AD4773">
        <v>0</v>
      </c>
      <c r="AE4773">
        <v>9</v>
      </c>
      <c r="AF4773" t="s">
        <v>138</v>
      </c>
      <c r="AG4773">
        <v>0</v>
      </c>
      <c r="AH4773">
        <v>3</v>
      </c>
      <c r="AI4773">
        <v>2</v>
      </c>
      <c r="AJ4773">
        <v>0</v>
      </c>
      <c r="AK4773" t="s">
        <v>1521</v>
      </c>
      <c r="AL4773">
        <v>39.223917</v>
      </c>
      <c r="AM4773" t="s">
        <v>1518</v>
      </c>
      <c r="AN4773">
        <v>-121.000328</v>
      </c>
      <c r="AO4773">
        <v>25</v>
      </c>
      <c r="AP4773">
        <v>4100</v>
      </c>
      <c r="AQ4773" t="s">
        <v>131</v>
      </c>
      <c r="AR4773">
        <v>0</v>
      </c>
      <c r="AS4773">
        <v>88</v>
      </c>
      <c r="AT4773">
        <v>-192</v>
      </c>
      <c r="BB4773" t="str">
        <f t="shared" si="1878"/>
        <v>1200</v>
      </c>
      <c r="BC4773">
        <v>1</v>
      </c>
      <c r="BD4773" t="str">
        <f t="shared" si="1879"/>
        <v xml:space="preserve">N52156  </v>
      </c>
      <c r="BE4773">
        <v>1</v>
      </c>
      <c r="BG4773">
        <v>0</v>
      </c>
      <c r="BH4773">
        <v>0</v>
      </c>
      <c r="BI4773">
        <v>0</v>
      </c>
      <c r="BJ4773">
        <v>4125</v>
      </c>
      <c r="BK4773">
        <v>25</v>
      </c>
      <c r="BL4773" t="s">
        <v>188</v>
      </c>
      <c r="BM4773">
        <v>1</v>
      </c>
      <c r="BN4773">
        <v>1</v>
      </c>
      <c r="BO4773">
        <v>0</v>
      </c>
      <c r="BP4773">
        <v>0</v>
      </c>
      <c r="BS4773">
        <v>0</v>
      </c>
      <c r="BT4773">
        <v>0</v>
      </c>
      <c r="BU4773">
        <v>0</v>
      </c>
      <c r="CE4773" t="str">
        <f t="shared" si="1891"/>
        <v>15:17:47.291</v>
      </c>
      <c r="CF4773">
        <v>291009301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3</v>
      </c>
      <c r="CY4773">
        <v>7</v>
      </c>
      <c r="CZ4773" t="s">
        <v>133</v>
      </c>
      <c r="DA4773">
        <v>275</v>
      </c>
      <c r="DB4773">
        <v>0</v>
      </c>
      <c r="DC4773" t="s">
        <v>134</v>
      </c>
      <c r="DD4773" t="s">
        <v>135</v>
      </c>
      <c r="DG4773">
        <v>3323381</v>
      </c>
      <c r="DI4773">
        <v>1</v>
      </c>
      <c r="DJ4773">
        <v>0</v>
      </c>
      <c r="DK4773">
        <v>1</v>
      </c>
      <c r="DL4773">
        <v>0</v>
      </c>
      <c r="DM4773">
        <v>0</v>
      </c>
      <c r="DN4773">
        <v>0</v>
      </c>
      <c r="DO4773">
        <v>0</v>
      </c>
      <c r="DP4773">
        <v>0</v>
      </c>
      <c r="DQ4773">
        <v>0</v>
      </c>
      <c r="DR4773">
        <v>0</v>
      </c>
      <c r="DS4773">
        <v>0</v>
      </c>
    </row>
    <row r="4774" spans="1:123" x14ac:dyDescent="0.3">
      <c r="A4774" t="str">
        <f>"05/01/2025 15:17:47.513"</f>
        <v>05/01/2025 15:17:47.513</v>
      </c>
      <c r="C4774" t="str">
        <f t="shared" si="1876"/>
        <v>FFDFD3C0</v>
      </c>
      <c r="D4774" t="s">
        <v>143</v>
      </c>
      <c r="E4774" t="str">
        <f>"05"</f>
        <v>05</v>
      </c>
      <c r="H4774">
        <v>172</v>
      </c>
      <c r="I4774" t="s">
        <v>141</v>
      </c>
      <c r="J4774" t="s">
        <v>144</v>
      </c>
      <c r="K4774">
        <v>0</v>
      </c>
      <c r="L4774">
        <v>3</v>
      </c>
      <c r="M4774">
        <v>0</v>
      </c>
      <c r="N4774">
        <v>2</v>
      </c>
      <c r="O4774">
        <v>0</v>
      </c>
      <c r="P4774">
        <v>1</v>
      </c>
      <c r="Q4774">
        <v>0</v>
      </c>
      <c r="R4774" t="s">
        <v>127</v>
      </c>
      <c r="S4774" t="str">
        <f t="shared" si="1890"/>
        <v>15:17:47.000</v>
      </c>
      <c r="T4774" t="str">
        <f t="shared" si="1890"/>
        <v>15:17:47.000</v>
      </c>
      <c r="U4774" t="str">
        <f t="shared" si="1877"/>
        <v>A68FCB</v>
      </c>
      <c r="V4774">
        <v>0</v>
      </c>
      <c r="W4774">
        <v>0</v>
      </c>
      <c r="X4774">
        <v>2</v>
      </c>
      <c r="Y4774">
        <v>0</v>
      </c>
      <c r="AA4774">
        <v>1</v>
      </c>
      <c r="AB4774">
        <v>8</v>
      </c>
      <c r="AC4774">
        <v>3</v>
      </c>
      <c r="AD4774">
        <v>0</v>
      </c>
      <c r="AE4774">
        <v>9</v>
      </c>
      <c r="AF4774" t="s">
        <v>138</v>
      </c>
      <c r="AG4774">
        <v>0</v>
      </c>
      <c r="AH4774">
        <v>3</v>
      </c>
      <c r="AI4774">
        <v>2</v>
      </c>
      <c r="AJ4774">
        <v>0</v>
      </c>
      <c r="AK4774" t="s">
        <v>1521</v>
      </c>
      <c r="AL4774">
        <v>39.223917</v>
      </c>
      <c r="AM4774" t="s">
        <v>1518</v>
      </c>
      <c r="AN4774">
        <v>-121.000328</v>
      </c>
      <c r="AO4774">
        <v>25</v>
      </c>
      <c r="AP4774">
        <v>4100</v>
      </c>
      <c r="AQ4774" t="s">
        <v>131</v>
      </c>
      <c r="AR4774">
        <v>0</v>
      </c>
      <c r="AS4774">
        <v>88</v>
      </c>
      <c r="AT4774">
        <v>-192</v>
      </c>
      <c r="BB4774" t="str">
        <f t="shared" si="1878"/>
        <v>1200</v>
      </c>
      <c r="BC4774">
        <v>1</v>
      </c>
      <c r="BD4774" t="str">
        <f t="shared" si="1879"/>
        <v xml:space="preserve">N52156  </v>
      </c>
      <c r="BE4774">
        <v>1</v>
      </c>
      <c r="BG4774">
        <v>0</v>
      </c>
      <c r="BH4774">
        <v>0</v>
      </c>
      <c r="BI4774">
        <v>0</v>
      </c>
      <c r="BJ4774">
        <v>4125</v>
      </c>
      <c r="BK4774">
        <v>25</v>
      </c>
      <c r="BL4774" t="s">
        <v>188</v>
      </c>
      <c r="BM4774">
        <v>1</v>
      </c>
      <c r="BN4774">
        <v>1</v>
      </c>
      <c r="BO4774">
        <v>0</v>
      </c>
      <c r="BP4774">
        <v>0</v>
      </c>
      <c r="BS4774">
        <v>0</v>
      </c>
      <c r="BT4774">
        <v>0</v>
      </c>
      <c r="BU4774">
        <v>0</v>
      </c>
      <c r="CE4774" t="str">
        <f t="shared" si="1891"/>
        <v>15:17:47.291</v>
      </c>
      <c r="CF4774">
        <v>291009301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3</v>
      </c>
      <c r="CY4774">
        <v>7</v>
      </c>
      <c r="CZ4774" t="s">
        <v>133</v>
      </c>
      <c r="DA4774">
        <v>275</v>
      </c>
      <c r="DB4774">
        <v>0</v>
      </c>
      <c r="DC4774" t="s">
        <v>134</v>
      </c>
      <c r="DD4774" t="s">
        <v>135</v>
      </c>
      <c r="DG4774">
        <v>3323381</v>
      </c>
      <c r="DI4774">
        <v>1</v>
      </c>
      <c r="DJ4774">
        <v>0</v>
      </c>
      <c r="DK4774">
        <v>1</v>
      </c>
      <c r="DL4774">
        <v>0</v>
      </c>
      <c r="DM4774">
        <v>0</v>
      </c>
      <c r="DN4774">
        <v>0</v>
      </c>
      <c r="DO4774">
        <v>0</v>
      </c>
      <c r="DP4774">
        <v>0</v>
      </c>
      <c r="DQ4774">
        <v>0</v>
      </c>
      <c r="DR4774">
        <v>0</v>
      </c>
      <c r="DS4774">
        <v>0</v>
      </c>
    </row>
    <row r="4775" spans="1:123" x14ac:dyDescent="0.3">
      <c r="A4775" t="str">
        <f>"05/01/2025 15:17:47.526"</f>
        <v>05/01/2025 15:17:47.526</v>
      </c>
      <c r="C4775" t="str">
        <f t="shared" si="1876"/>
        <v>FFDFD3C0</v>
      </c>
      <c r="D4775" t="s">
        <v>145</v>
      </c>
      <c r="E4775" t="str">
        <f>"09"</f>
        <v>09</v>
      </c>
      <c r="H4775">
        <v>51</v>
      </c>
      <c r="I4775" t="s">
        <v>147</v>
      </c>
      <c r="J4775" t="s">
        <v>138</v>
      </c>
      <c r="K4775">
        <v>0</v>
      </c>
      <c r="L4775">
        <v>3</v>
      </c>
      <c r="M4775">
        <v>0</v>
      </c>
      <c r="N4775">
        <v>2</v>
      </c>
      <c r="O4775">
        <v>0</v>
      </c>
      <c r="P4775">
        <v>1</v>
      </c>
      <c r="Q4775">
        <v>0</v>
      </c>
      <c r="R4775" t="s">
        <v>127</v>
      </c>
      <c r="S4775" t="str">
        <f t="shared" si="1890"/>
        <v>15:17:47.000</v>
      </c>
      <c r="T4775" t="str">
        <f t="shared" si="1890"/>
        <v>15:17:47.000</v>
      </c>
      <c r="U4775" t="str">
        <f t="shared" si="1877"/>
        <v>A68FCB</v>
      </c>
      <c r="V4775">
        <v>0</v>
      </c>
      <c r="W4775">
        <v>0</v>
      </c>
      <c r="X4775">
        <v>2</v>
      </c>
      <c r="Y4775">
        <v>0</v>
      </c>
      <c r="AA4775">
        <v>1</v>
      </c>
      <c r="AB4775">
        <v>8</v>
      </c>
      <c r="AC4775">
        <v>3</v>
      </c>
      <c r="AD4775">
        <v>0</v>
      </c>
      <c r="AE4775">
        <v>9</v>
      </c>
      <c r="AF4775" t="s">
        <v>138</v>
      </c>
      <c r="AG4775">
        <v>0</v>
      </c>
      <c r="AH4775">
        <v>3</v>
      </c>
      <c r="AI4775">
        <v>2</v>
      </c>
      <c r="AJ4775">
        <v>0</v>
      </c>
      <c r="AK4775" t="s">
        <v>1521</v>
      </c>
      <c r="AL4775">
        <v>39.223917</v>
      </c>
      <c r="AM4775" t="s">
        <v>1518</v>
      </c>
      <c r="AN4775">
        <v>-121.000328</v>
      </c>
      <c r="AO4775">
        <v>25</v>
      </c>
      <c r="AP4775">
        <v>4100</v>
      </c>
      <c r="AQ4775" t="s">
        <v>131</v>
      </c>
      <c r="AR4775">
        <v>0</v>
      </c>
      <c r="AS4775">
        <v>88</v>
      </c>
      <c r="AT4775">
        <v>-192</v>
      </c>
      <c r="BB4775" t="str">
        <f t="shared" si="1878"/>
        <v>1200</v>
      </c>
      <c r="BC4775">
        <v>1</v>
      </c>
      <c r="BD4775" t="str">
        <f t="shared" si="1879"/>
        <v xml:space="preserve">N52156  </v>
      </c>
      <c r="BE4775">
        <v>1</v>
      </c>
      <c r="BG4775">
        <v>0</v>
      </c>
      <c r="BH4775">
        <v>0</v>
      </c>
      <c r="BI4775">
        <v>0</v>
      </c>
      <c r="BJ4775">
        <v>4125</v>
      </c>
      <c r="BK4775">
        <v>25</v>
      </c>
      <c r="BL4775" t="s">
        <v>188</v>
      </c>
      <c r="BM4775">
        <v>1</v>
      </c>
      <c r="BN4775">
        <v>1</v>
      </c>
      <c r="BO4775">
        <v>0</v>
      </c>
      <c r="BP4775">
        <v>0</v>
      </c>
      <c r="BS4775">
        <v>0</v>
      </c>
      <c r="BT4775">
        <v>0</v>
      </c>
      <c r="BU4775">
        <v>0</v>
      </c>
      <c r="CE4775" t="str">
        <f t="shared" si="1891"/>
        <v>15:17:47.291</v>
      </c>
      <c r="CF4775">
        <v>291009301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3</v>
      </c>
      <c r="CY4775">
        <v>7</v>
      </c>
      <c r="CZ4775" t="s">
        <v>133</v>
      </c>
      <c r="DA4775">
        <v>275</v>
      </c>
      <c r="DB4775">
        <v>0</v>
      </c>
      <c r="DC4775" t="s">
        <v>134</v>
      </c>
      <c r="DD4775" t="s">
        <v>135</v>
      </c>
      <c r="DG4775">
        <v>3323381</v>
      </c>
      <c r="DI4775">
        <v>1</v>
      </c>
      <c r="DJ4775">
        <v>0</v>
      </c>
      <c r="DK4775">
        <v>1</v>
      </c>
      <c r="DL4775">
        <v>0</v>
      </c>
      <c r="DM4775">
        <v>0</v>
      </c>
      <c r="DN4775">
        <v>0</v>
      </c>
      <c r="DO4775">
        <v>0</v>
      </c>
      <c r="DP4775">
        <v>0</v>
      </c>
      <c r="DQ4775">
        <v>0</v>
      </c>
      <c r="DR4775">
        <v>0</v>
      </c>
      <c r="DS4775">
        <v>0</v>
      </c>
    </row>
    <row r="4776" spans="1:123" x14ac:dyDescent="0.3">
      <c r="A4776" t="str">
        <f>"05/01/2025 15:17:47.530"</f>
        <v>05/01/2025 15:17:47.530</v>
      </c>
      <c r="C4776" t="str">
        <f t="shared" si="1876"/>
        <v>FFDFD3C0</v>
      </c>
      <c r="D4776" t="s">
        <v>145</v>
      </c>
      <c r="E4776" t="str">
        <f>"05"</f>
        <v>05</v>
      </c>
      <c r="H4776">
        <v>47</v>
      </c>
      <c r="I4776" t="s">
        <v>146</v>
      </c>
      <c r="J4776" t="s">
        <v>138</v>
      </c>
      <c r="K4776">
        <v>0</v>
      </c>
      <c r="L4776">
        <v>3</v>
      </c>
      <c r="M4776">
        <v>0</v>
      </c>
      <c r="N4776">
        <v>2</v>
      </c>
      <c r="O4776">
        <v>0</v>
      </c>
      <c r="P4776">
        <v>1</v>
      </c>
      <c r="Q4776">
        <v>0</v>
      </c>
      <c r="R4776" t="s">
        <v>127</v>
      </c>
      <c r="S4776" t="str">
        <f t="shared" si="1890"/>
        <v>15:17:47.000</v>
      </c>
      <c r="T4776" t="str">
        <f t="shared" si="1890"/>
        <v>15:17:47.000</v>
      </c>
      <c r="U4776" t="str">
        <f t="shared" si="1877"/>
        <v>A68FCB</v>
      </c>
      <c r="V4776">
        <v>0</v>
      </c>
      <c r="W4776">
        <v>0</v>
      </c>
      <c r="X4776">
        <v>2</v>
      </c>
      <c r="Y4776">
        <v>0</v>
      </c>
      <c r="AA4776">
        <v>1</v>
      </c>
      <c r="AB4776">
        <v>8</v>
      </c>
      <c r="AC4776">
        <v>3</v>
      </c>
      <c r="AD4776">
        <v>0</v>
      </c>
      <c r="AE4776">
        <v>9</v>
      </c>
      <c r="AF4776" t="s">
        <v>138</v>
      </c>
      <c r="AG4776">
        <v>0</v>
      </c>
      <c r="AH4776">
        <v>3</v>
      </c>
      <c r="AI4776">
        <v>2</v>
      </c>
      <c r="AJ4776">
        <v>0</v>
      </c>
      <c r="AK4776" t="s">
        <v>1521</v>
      </c>
      <c r="AL4776">
        <v>39.223917</v>
      </c>
      <c r="AM4776" t="s">
        <v>1518</v>
      </c>
      <c r="AN4776">
        <v>-121.000328</v>
      </c>
      <c r="AO4776">
        <v>25</v>
      </c>
      <c r="AP4776">
        <v>4100</v>
      </c>
      <c r="AQ4776" t="s">
        <v>131</v>
      </c>
      <c r="AR4776">
        <v>0</v>
      </c>
      <c r="AS4776">
        <v>88</v>
      </c>
      <c r="AT4776">
        <v>-192</v>
      </c>
      <c r="BB4776" t="str">
        <f t="shared" si="1878"/>
        <v>1200</v>
      </c>
      <c r="BC4776">
        <v>1</v>
      </c>
      <c r="BD4776" t="str">
        <f t="shared" si="1879"/>
        <v xml:space="preserve">N52156  </v>
      </c>
      <c r="BE4776">
        <v>1</v>
      </c>
      <c r="BG4776">
        <v>0</v>
      </c>
      <c r="BH4776">
        <v>0</v>
      </c>
      <c r="BI4776">
        <v>0</v>
      </c>
      <c r="BJ4776">
        <v>4125</v>
      </c>
      <c r="BK4776">
        <v>25</v>
      </c>
      <c r="BL4776" t="s">
        <v>188</v>
      </c>
      <c r="BM4776">
        <v>1</v>
      </c>
      <c r="BN4776">
        <v>1</v>
      </c>
      <c r="BO4776">
        <v>0</v>
      </c>
      <c r="BP4776">
        <v>0</v>
      </c>
      <c r="BS4776">
        <v>0</v>
      </c>
      <c r="BT4776">
        <v>0</v>
      </c>
      <c r="BU4776">
        <v>0</v>
      </c>
      <c r="CE4776" t="str">
        <f t="shared" si="1891"/>
        <v>15:17:47.291</v>
      </c>
      <c r="CF4776">
        <v>291009301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3</v>
      </c>
      <c r="CY4776">
        <v>7</v>
      </c>
      <c r="CZ4776" t="s">
        <v>133</v>
      </c>
      <c r="DA4776">
        <v>275</v>
      </c>
      <c r="DB4776">
        <v>0</v>
      </c>
      <c r="DC4776" t="s">
        <v>134</v>
      </c>
      <c r="DD4776" t="s">
        <v>135</v>
      </c>
      <c r="DG4776">
        <v>3323381</v>
      </c>
      <c r="DI4776">
        <v>1</v>
      </c>
      <c r="DJ4776">
        <v>0</v>
      </c>
      <c r="DK4776">
        <v>1</v>
      </c>
      <c r="DL4776">
        <v>0</v>
      </c>
      <c r="DM4776">
        <v>0</v>
      </c>
      <c r="DN4776">
        <v>0</v>
      </c>
      <c r="DO4776">
        <v>0</v>
      </c>
      <c r="DP4776">
        <v>0</v>
      </c>
      <c r="DQ4776">
        <v>0</v>
      </c>
      <c r="DR4776">
        <v>0</v>
      </c>
      <c r="DS4776">
        <v>0</v>
      </c>
    </row>
    <row r="4777" spans="1:123" x14ac:dyDescent="0.3">
      <c r="A4777" t="str">
        <f>"05/01/2025 15:17:47.539"</f>
        <v>05/01/2025 15:17:47.539</v>
      </c>
      <c r="C4777" t="str">
        <f t="shared" si="1876"/>
        <v>FFDFD3C0</v>
      </c>
      <c r="D4777" t="s">
        <v>136</v>
      </c>
      <c r="E4777" t="str">
        <f>"20"</f>
        <v>20</v>
      </c>
      <c r="H4777">
        <v>400</v>
      </c>
      <c r="I4777" t="s">
        <v>137</v>
      </c>
      <c r="J4777" t="s">
        <v>138</v>
      </c>
      <c r="K4777">
        <v>0</v>
      </c>
      <c r="L4777">
        <v>3</v>
      </c>
      <c r="M4777">
        <v>0</v>
      </c>
      <c r="N4777">
        <v>2</v>
      </c>
      <c r="O4777">
        <v>0</v>
      </c>
      <c r="P4777">
        <v>1</v>
      </c>
      <c r="Q4777">
        <v>0</v>
      </c>
      <c r="R4777" t="s">
        <v>127</v>
      </c>
      <c r="S4777" t="str">
        <f t="shared" si="1890"/>
        <v>15:17:47.000</v>
      </c>
      <c r="T4777" t="str">
        <f t="shared" si="1890"/>
        <v>15:17:47.000</v>
      </c>
      <c r="U4777" t="str">
        <f t="shared" si="1877"/>
        <v>A68FCB</v>
      </c>
      <c r="V4777">
        <v>0</v>
      </c>
      <c r="W4777">
        <v>0</v>
      </c>
      <c r="X4777">
        <v>2</v>
      </c>
      <c r="Y4777">
        <v>0</v>
      </c>
      <c r="AA4777">
        <v>1</v>
      </c>
      <c r="AB4777">
        <v>8</v>
      </c>
      <c r="AC4777">
        <v>3</v>
      </c>
      <c r="AD4777">
        <v>0</v>
      </c>
      <c r="AE4777">
        <v>9</v>
      </c>
      <c r="AF4777" t="s">
        <v>138</v>
      </c>
      <c r="AG4777">
        <v>0</v>
      </c>
      <c r="AH4777">
        <v>3</v>
      </c>
      <c r="AI4777">
        <v>2</v>
      </c>
      <c r="AJ4777">
        <v>0</v>
      </c>
      <c r="AK4777" t="s">
        <v>1521</v>
      </c>
      <c r="AL4777">
        <v>39.223917</v>
      </c>
      <c r="AM4777" t="s">
        <v>1518</v>
      </c>
      <c r="AN4777">
        <v>-121.000328</v>
      </c>
      <c r="AO4777">
        <v>25</v>
      </c>
      <c r="AP4777">
        <v>4100</v>
      </c>
      <c r="AQ4777" t="s">
        <v>131</v>
      </c>
      <c r="AR4777">
        <v>0</v>
      </c>
      <c r="AS4777">
        <v>88</v>
      </c>
      <c r="AT4777">
        <v>-192</v>
      </c>
      <c r="BB4777" t="str">
        <f t="shared" si="1878"/>
        <v>1200</v>
      </c>
      <c r="BC4777">
        <v>1</v>
      </c>
      <c r="BD4777" t="str">
        <f t="shared" si="1879"/>
        <v xml:space="preserve">N52156  </v>
      </c>
      <c r="BE4777">
        <v>1</v>
      </c>
      <c r="BG4777">
        <v>0</v>
      </c>
      <c r="BH4777">
        <v>0</v>
      </c>
      <c r="BI4777">
        <v>0</v>
      </c>
      <c r="BJ4777">
        <v>4125</v>
      </c>
      <c r="BK4777">
        <v>25</v>
      </c>
      <c r="BL4777" t="s">
        <v>188</v>
      </c>
      <c r="BM4777">
        <v>1</v>
      </c>
      <c r="BN4777">
        <v>1</v>
      </c>
      <c r="BO4777">
        <v>0</v>
      </c>
      <c r="BP4777">
        <v>0</v>
      </c>
      <c r="BS4777">
        <v>0</v>
      </c>
      <c r="BT4777">
        <v>0</v>
      </c>
      <c r="BU4777">
        <v>0</v>
      </c>
      <c r="CE4777" t="str">
        <f t="shared" si="1891"/>
        <v>15:17:47.291</v>
      </c>
      <c r="CF4777">
        <v>291009301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3</v>
      </c>
      <c r="CY4777">
        <v>7</v>
      </c>
      <c r="CZ4777" t="s">
        <v>133</v>
      </c>
      <c r="DA4777">
        <v>275</v>
      </c>
      <c r="DB4777">
        <v>0</v>
      </c>
      <c r="DC4777" t="s">
        <v>134</v>
      </c>
      <c r="DD4777" t="s">
        <v>135</v>
      </c>
      <c r="DG4777">
        <v>3323381</v>
      </c>
      <c r="DI4777">
        <v>1</v>
      </c>
      <c r="DJ4777">
        <v>0</v>
      </c>
      <c r="DK4777">
        <v>1</v>
      </c>
      <c r="DL4777">
        <v>0</v>
      </c>
      <c r="DM4777">
        <v>0</v>
      </c>
      <c r="DN4777">
        <v>0</v>
      </c>
      <c r="DO4777">
        <v>0</v>
      </c>
      <c r="DP4777">
        <v>0</v>
      </c>
      <c r="DQ4777">
        <v>0</v>
      </c>
      <c r="DR4777">
        <v>0</v>
      </c>
      <c r="DS4777">
        <v>0</v>
      </c>
    </row>
    <row r="4778" spans="1:123" x14ac:dyDescent="0.3">
      <c r="A4778" t="str">
        <f>"05/01/2025 15:17:48.592"</f>
        <v>05/01/2025 15:17:48.592</v>
      </c>
      <c r="C4778" t="str">
        <f t="shared" si="1876"/>
        <v>FFDFD3C0</v>
      </c>
      <c r="D4778" t="s">
        <v>136</v>
      </c>
      <c r="E4778" t="str">
        <f>"20"</f>
        <v>20</v>
      </c>
      <c r="H4778">
        <v>400</v>
      </c>
      <c r="I4778" t="s">
        <v>137</v>
      </c>
      <c r="J4778" t="s">
        <v>138</v>
      </c>
      <c r="K4778">
        <v>0</v>
      </c>
      <c r="L4778">
        <v>3</v>
      </c>
      <c r="M4778">
        <v>0</v>
      </c>
      <c r="N4778">
        <v>2</v>
      </c>
      <c r="O4778">
        <v>0</v>
      </c>
      <c r="P4778">
        <v>1</v>
      </c>
      <c r="Q4778">
        <v>0</v>
      </c>
      <c r="R4778" t="s">
        <v>127</v>
      </c>
      <c r="S4778" t="str">
        <f t="shared" ref="S4778:T4783" si="1892">"15:17:48.000"</f>
        <v>15:17:48.000</v>
      </c>
      <c r="T4778" t="str">
        <f t="shared" si="1892"/>
        <v>15:17:48.000</v>
      </c>
      <c r="U4778" t="str">
        <f t="shared" si="1877"/>
        <v>A68FCB</v>
      </c>
      <c r="V4778">
        <v>0</v>
      </c>
      <c r="W4778">
        <v>0</v>
      </c>
      <c r="X4778">
        <v>2</v>
      </c>
      <c r="Y4778">
        <v>0</v>
      </c>
      <c r="AA4778">
        <v>1</v>
      </c>
      <c r="AB4778">
        <v>8</v>
      </c>
      <c r="AC4778">
        <v>3</v>
      </c>
      <c r="AD4778">
        <v>0</v>
      </c>
      <c r="AE4778">
        <v>9</v>
      </c>
      <c r="AF4778" t="s">
        <v>138</v>
      </c>
      <c r="AG4778">
        <v>0</v>
      </c>
      <c r="AH4778">
        <v>3</v>
      </c>
      <c r="AI4778">
        <v>2</v>
      </c>
      <c r="AJ4778">
        <v>0</v>
      </c>
      <c r="AK4778" t="s">
        <v>1522</v>
      </c>
      <c r="AL4778">
        <v>39.224324000000003</v>
      </c>
      <c r="AM4778" t="s">
        <v>1518</v>
      </c>
      <c r="AN4778">
        <v>-121.000328</v>
      </c>
      <c r="AO4778">
        <v>25</v>
      </c>
      <c r="AP4778">
        <v>4100</v>
      </c>
      <c r="AQ4778" t="s">
        <v>131</v>
      </c>
      <c r="AR4778">
        <v>1</v>
      </c>
      <c r="AS4778">
        <v>88</v>
      </c>
      <c r="AT4778">
        <v>-192</v>
      </c>
      <c r="BB4778" t="str">
        <f t="shared" si="1878"/>
        <v>1200</v>
      </c>
      <c r="BC4778">
        <v>1</v>
      </c>
      <c r="BD4778" t="str">
        <f t="shared" si="1879"/>
        <v xml:space="preserve">N52156  </v>
      </c>
      <c r="BE4778">
        <v>1</v>
      </c>
      <c r="BG4778">
        <v>0</v>
      </c>
      <c r="BH4778">
        <v>0</v>
      </c>
      <c r="BI4778">
        <v>0</v>
      </c>
      <c r="BJ4778">
        <v>4125</v>
      </c>
      <c r="BK4778">
        <v>25</v>
      </c>
      <c r="BL4778" t="s">
        <v>188</v>
      </c>
      <c r="BM4778">
        <v>1</v>
      </c>
      <c r="BN4778">
        <v>1</v>
      </c>
      <c r="BO4778">
        <v>0</v>
      </c>
      <c r="BP4778">
        <v>0</v>
      </c>
      <c r="BS4778">
        <v>0</v>
      </c>
      <c r="BT4778">
        <v>0</v>
      </c>
      <c r="BU4778">
        <v>0</v>
      </c>
      <c r="CE4778" t="str">
        <f t="shared" ref="CE4778:CE4783" si="1893">"15:17:48.384"</f>
        <v>15:17:48.384</v>
      </c>
      <c r="CF4778">
        <v>383509624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4</v>
      </c>
      <c r="CY4778">
        <v>7</v>
      </c>
      <c r="CZ4778" t="s">
        <v>133</v>
      </c>
      <c r="DA4778">
        <v>275</v>
      </c>
      <c r="DB4778">
        <v>0</v>
      </c>
      <c r="DC4778" t="s">
        <v>134</v>
      </c>
      <c r="DD4778" t="s">
        <v>135</v>
      </c>
      <c r="DG4778">
        <v>3323383</v>
      </c>
      <c r="DI4778">
        <v>1</v>
      </c>
      <c r="DJ4778">
        <v>0</v>
      </c>
      <c r="DK4778">
        <v>0</v>
      </c>
      <c r="DL4778">
        <v>0</v>
      </c>
      <c r="DM4778">
        <v>0</v>
      </c>
      <c r="DN4778">
        <v>0</v>
      </c>
      <c r="DO4778">
        <v>0</v>
      </c>
      <c r="DP4778">
        <v>0</v>
      </c>
      <c r="DQ4778">
        <v>0</v>
      </c>
      <c r="DR4778">
        <v>0</v>
      </c>
      <c r="DS4778">
        <v>0</v>
      </c>
    </row>
    <row r="4779" spans="1:123" x14ac:dyDescent="0.3">
      <c r="A4779" t="str">
        <f>"05/01/2025 15:17:48.606"</f>
        <v>05/01/2025 15:17:48.606</v>
      </c>
      <c r="C4779" t="str">
        <f t="shared" si="1876"/>
        <v>FFDFD3C0</v>
      </c>
      <c r="D4779" t="s">
        <v>140</v>
      </c>
      <c r="E4779" t="str">
        <f>"13"</f>
        <v>13</v>
      </c>
      <c r="F4779">
        <v>1019</v>
      </c>
      <c r="G4779" t="s">
        <v>141</v>
      </c>
      <c r="J4779" t="s">
        <v>142</v>
      </c>
      <c r="K4779">
        <v>0</v>
      </c>
      <c r="L4779">
        <v>3</v>
      </c>
      <c r="M4779">
        <v>0</v>
      </c>
      <c r="N4779">
        <v>2</v>
      </c>
      <c r="O4779">
        <v>0</v>
      </c>
      <c r="P4779">
        <v>1</v>
      </c>
      <c r="Q4779">
        <v>0</v>
      </c>
      <c r="R4779" t="s">
        <v>127</v>
      </c>
      <c r="S4779" t="str">
        <f t="shared" si="1892"/>
        <v>15:17:48.000</v>
      </c>
      <c r="T4779" t="str">
        <f t="shared" si="1892"/>
        <v>15:17:48.000</v>
      </c>
      <c r="U4779" t="str">
        <f t="shared" si="1877"/>
        <v>A68FCB</v>
      </c>
      <c r="V4779">
        <v>0</v>
      </c>
      <c r="W4779">
        <v>0</v>
      </c>
      <c r="X4779">
        <v>2</v>
      </c>
      <c r="Y4779">
        <v>0</v>
      </c>
      <c r="AA4779">
        <v>1</v>
      </c>
      <c r="AB4779">
        <v>8</v>
      </c>
      <c r="AC4779">
        <v>3</v>
      </c>
      <c r="AD4779">
        <v>0</v>
      </c>
      <c r="AE4779">
        <v>9</v>
      </c>
      <c r="AF4779" t="s">
        <v>138</v>
      </c>
      <c r="AG4779">
        <v>0</v>
      </c>
      <c r="AH4779">
        <v>3</v>
      </c>
      <c r="AI4779">
        <v>2</v>
      </c>
      <c r="AJ4779">
        <v>0</v>
      </c>
      <c r="AK4779" t="s">
        <v>1522</v>
      </c>
      <c r="AL4779">
        <v>39.224324000000003</v>
      </c>
      <c r="AM4779" t="s">
        <v>1518</v>
      </c>
      <c r="AN4779">
        <v>-121.000328</v>
      </c>
      <c r="AO4779">
        <v>25</v>
      </c>
      <c r="AP4779">
        <v>4100</v>
      </c>
      <c r="AQ4779" t="s">
        <v>131</v>
      </c>
      <c r="AR4779">
        <v>1</v>
      </c>
      <c r="AS4779">
        <v>88</v>
      </c>
      <c r="AT4779">
        <v>-192</v>
      </c>
      <c r="BB4779" t="str">
        <f t="shared" si="1878"/>
        <v>1200</v>
      </c>
      <c r="BC4779">
        <v>1</v>
      </c>
      <c r="BD4779" t="str">
        <f t="shared" si="1879"/>
        <v xml:space="preserve">N52156  </v>
      </c>
      <c r="BE4779">
        <v>1</v>
      </c>
      <c r="BG4779">
        <v>0</v>
      </c>
      <c r="BH4779">
        <v>0</v>
      </c>
      <c r="BI4779">
        <v>0</v>
      </c>
      <c r="BJ4779">
        <v>4125</v>
      </c>
      <c r="BK4779">
        <v>25</v>
      </c>
      <c r="BL4779" t="s">
        <v>188</v>
      </c>
      <c r="BM4779">
        <v>1</v>
      </c>
      <c r="BN4779">
        <v>1</v>
      </c>
      <c r="BO4779">
        <v>0</v>
      </c>
      <c r="BP4779">
        <v>0</v>
      </c>
      <c r="BS4779">
        <v>0</v>
      </c>
      <c r="BT4779">
        <v>0</v>
      </c>
      <c r="BU4779">
        <v>0</v>
      </c>
      <c r="CE4779" t="str">
        <f t="shared" si="1893"/>
        <v>15:17:48.384</v>
      </c>
      <c r="CF4779">
        <v>383509624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4</v>
      </c>
      <c r="CY4779">
        <v>7</v>
      </c>
      <c r="CZ4779" t="s">
        <v>133</v>
      </c>
      <c r="DA4779">
        <v>275</v>
      </c>
      <c r="DB4779">
        <v>0</v>
      </c>
      <c r="DC4779" t="s">
        <v>134</v>
      </c>
      <c r="DD4779" t="s">
        <v>135</v>
      </c>
      <c r="DG4779">
        <v>3323383</v>
      </c>
      <c r="DI4779">
        <v>1</v>
      </c>
      <c r="DJ4779">
        <v>0</v>
      </c>
      <c r="DK4779">
        <v>1</v>
      </c>
      <c r="DL4779">
        <v>0</v>
      </c>
      <c r="DM4779">
        <v>0</v>
      </c>
      <c r="DN4779">
        <v>0</v>
      </c>
      <c r="DO4779">
        <v>0</v>
      </c>
      <c r="DP4779">
        <v>0</v>
      </c>
      <c r="DQ4779">
        <v>0</v>
      </c>
      <c r="DR4779">
        <v>0</v>
      </c>
      <c r="DS4779">
        <v>0</v>
      </c>
    </row>
    <row r="4780" spans="1:123" x14ac:dyDescent="0.3">
      <c r="A4780" t="str">
        <f>"05/01/2025 15:17:48.609"</f>
        <v>05/01/2025 15:17:48.609</v>
      </c>
      <c r="C4780" t="str">
        <f t="shared" si="1876"/>
        <v>FFDFD3C0</v>
      </c>
      <c r="D4780" t="s">
        <v>124</v>
      </c>
      <c r="E4780" t="str">
        <f>"06"</f>
        <v>06</v>
      </c>
      <c r="F4780">
        <v>2006</v>
      </c>
      <c r="G4780" t="s">
        <v>125</v>
      </c>
      <c r="J4780" t="s">
        <v>126</v>
      </c>
      <c r="K4780">
        <v>0</v>
      </c>
      <c r="L4780">
        <v>3</v>
      </c>
      <c r="M4780">
        <v>0</v>
      </c>
      <c r="N4780">
        <v>2</v>
      </c>
      <c r="O4780">
        <v>0</v>
      </c>
      <c r="P4780">
        <v>1</v>
      </c>
      <c r="Q4780">
        <v>0</v>
      </c>
      <c r="R4780" t="s">
        <v>127</v>
      </c>
      <c r="S4780" t="str">
        <f t="shared" si="1892"/>
        <v>15:17:48.000</v>
      </c>
      <c r="T4780" t="str">
        <f t="shared" si="1892"/>
        <v>15:17:48.000</v>
      </c>
      <c r="U4780" t="str">
        <f t="shared" si="1877"/>
        <v>A68FCB</v>
      </c>
      <c r="V4780">
        <v>0</v>
      </c>
      <c r="W4780">
        <v>0</v>
      </c>
      <c r="X4780">
        <v>2</v>
      </c>
      <c r="Y4780">
        <v>0</v>
      </c>
      <c r="AA4780">
        <v>1</v>
      </c>
      <c r="AB4780">
        <v>8</v>
      </c>
      <c r="AC4780">
        <v>3</v>
      </c>
      <c r="AD4780">
        <v>0</v>
      </c>
      <c r="AE4780">
        <v>9</v>
      </c>
      <c r="AF4780" t="s">
        <v>138</v>
      </c>
      <c r="AG4780">
        <v>0</v>
      </c>
      <c r="AH4780">
        <v>3</v>
      </c>
      <c r="AI4780">
        <v>2</v>
      </c>
      <c r="AJ4780">
        <v>0</v>
      </c>
      <c r="AK4780" t="s">
        <v>1522</v>
      </c>
      <c r="AL4780">
        <v>39.224324000000003</v>
      </c>
      <c r="AM4780" t="s">
        <v>1518</v>
      </c>
      <c r="AN4780">
        <v>-121.000328</v>
      </c>
      <c r="AO4780">
        <v>25</v>
      </c>
      <c r="AP4780">
        <v>4100</v>
      </c>
      <c r="AQ4780" t="s">
        <v>131</v>
      </c>
      <c r="AR4780">
        <v>1</v>
      </c>
      <c r="AS4780">
        <v>88</v>
      </c>
      <c r="AT4780">
        <v>-192</v>
      </c>
      <c r="BB4780" t="str">
        <f t="shared" si="1878"/>
        <v>1200</v>
      </c>
      <c r="BC4780">
        <v>1</v>
      </c>
      <c r="BD4780" t="str">
        <f t="shared" si="1879"/>
        <v xml:space="preserve">N52156  </v>
      </c>
      <c r="BE4780">
        <v>1</v>
      </c>
      <c r="BG4780">
        <v>0</v>
      </c>
      <c r="BH4780">
        <v>0</v>
      </c>
      <c r="BI4780">
        <v>0</v>
      </c>
      <c r="BJ4780">
        <v>4125</v>
      </c>
      <c r="BK4780">
        <v>25</v>
      </c>
      <c r="BL4780" t="s">
        <v>188</v>
      </c>
      <c r="BM4780">
        <v>1</v>
      </c>
      <c r="BN4780">
        <v>1</v>
      </c>
      <c r="BO4780">
        <v>0</v>
      </c>
      <c r="BP4780">
        <v>0</v>
      </c>
      <c r="BS4780">
        <v>0</v>
      </c>
      <c r="BT4780">
        <v>0</v>
      </c>
      <c r="BU4780">
        <v>0</v>
      </c>
      <c r="CE4780" t="str">
        <f t="shared" si="1893"/>
        <v>15:17:48.384</v>
      </c>
      <c r="CF4780">
        <v>383509624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4</v>
      </c>
      <c r="CY4780">
        <v>7</v>
      </c>
      <c r="CZ4780" t="s">
        <v>133</v>
      </c>
      <c r="DA4780">
        <v>275</v>
      </c>
      <c r="DB4780">
        <v>0</v>
      </c>
      <c r="DC4780" t="s">
        <v>134</v>
      </c>
      <c r="DD4780" t="s">
        <v>135</v>
      </c>
      <c r="DG4780">
        <v>3323383</v>
      </c>
      <c r="DI4780">
        <v>1</v>
      </c>
      <c r="DJ4780">
        <v>0</v>
      </c>
      <c r="DK4780">
        <v>1</v>
      </c>
      <c r="DL4780">
        <v>0</v>
      </c>
      <c r="DM4780">
        <v>0</v>
      </c>
      <c r="DN4780">
        <v>0</v>
      </c>
      <c r="DO4780">
        <v>0</v>
      </c>
      <c r="DP4780">
        <v>0</v>
      </c>
      <c r="DQ4780">
        <v>0</v>
      </c>
      <c r="DR4780">
        <v>0</v>
      </c>
      <c r="DS4780">
        <v>0</v>
      </c>
    </row>
    <row r="4781" spans="1:123" x14ac:dyDescent="0.3">
      <c r="A4781" t="str">
        <f>"05/01/2025 15:17:48.615"</f>
        <v>05/01/2025 15:17:48.615</v>
      </c>
      <c r="C4781" t="str">
        <f t="shared" si="1876"/>
        <v>FFDFD3C0</v>
      </c>
      <c r="D4781" t="s">
        <v>143</v>
      </c>
      <c r="E4781" t="str">
        <f>"05"</f>
        <v>05</v>
      </c>
      <c r="H4781">
        <v>172</v>
      </c>
      <c r="I4781" t="s">
        <v>141</v>
      </c>
      <c r="J4781" t="s">
        <v>144</v>
      </c>
      <c r="K4781">
        <v>0</v>
      </c>
      <c r="L4781">
        <v>3</v>
      </c>
      <c r="M4781">
        <v>0</v>
      </c>
      <c r="N4781">
        <v>2</v>
      </c>
      <c r="O4781">
        <v>0</v>
      </c>
      <c r="P4781">
        <v>1</v>
      </c>
      <c r="Q4781">
        <v>0</v>
      </c>
      <c r="R4781" t="s">
        <v>127</v>
      </c>
      <c r="S4781" t="str">
        <f t="shared" si="1892"/>
        <v>15:17:48.000</v>
      </c>
      <c r="T4781" t="str">
        <f t="shared" si="1892"/>
        <v>15:17:48.000</v>
      </c>
      <c r="U4781" t="str">
        <f t="shared" si="1877"/>
        <v>A68FCB</v>
      </c>
      <c r="V4781">
        <v>0</v>
      </c>
      <c r="W4781">
        <v>0</v>
      </c>
      <c r="X4781">
        <v>2</v>
      </c>
      <c r="Y4781">
        <v>0</v>
      </c>
      <c r="AA4781">
        <v>1</v>
      </c>
      <c r="AB4781">
        <v>8</v>
      </c>
      <c r="AC4781">
        <v>3</v>
      </c>
      <c r="AD4781">
        <v>0</v>
      </c>
      <c r="AE4781">
        <v>9</v>
      </c>
      <c r="AF4781" t="s">
        <v>138</v>
      </c>
      <c r="AG4781">
        <v>0</v>
      </c>
      <c r="AH4781">
        <v>3</v>
      </c>
      <c r="AI4781">
        <v>2</v>
      </c>
      <c r="AJ4781">
        <v>0</v>
      </c>
      <c r="AK4781" t="s">
        <v>1522</v>
      </c>
      <c r="AL4781">
        <v>39.224324000000003</v>
      </c>
      <c r="AM4781" t="s">
        <v>1518</v>
      </c>
      <c r="AN4781">
        <v>-121.000328</v>
      </c>
      <c r="AO4781">
        <v>25</v>
      </c>
      <c r="AP4781">
        <v>4100</v>
      </c>
      <c r="AQ4781" t="s">
        <v>131</v>
      </c>
      <c r="AR4781">
        <v>1</v>
      </c>
      <c r="AS4781">
        <v>88</v>
      </c>
      <c r="AT4781">
        <v>-192</v>
      </c>
      <c r="BB4781" t="str">
        <f t="shared" si="1878"/>
        <v>1200</v>
      </c>
      <c r="BC4781">
        <v>1</v>
      </c>
      <c r="BD4781" t="str">
        <f t="shared" si="1879"/>
        <v xml:space="preserve">N52156  </v>
      </c>
      <c r="BE4781">
        <v>1</v>
      </c>
      <c r="BG4781">
        <v>0</v>
      </c>
      <c r="BH4781">
        <v>0</v>
      </c>
      <c r="BI4781">
        <v>0</v>
      </c>
      <c r="BJ4781">
        <v>4125</v>
      </c>
      <c r="BK4781">
        <v>25</v>
      </c>
      <c r="BL4781" t="s">
        <v>188</v>
      </c>
      <c r="BM4781">
        <v>1</v>
      </c>
      <c r="BN4781">
        <v>1</v>
      </c>
      <c r="BO4781">
        <v>0</v>
      </c>
      <c r="BP4781">
        <v>0</v>
      </c>
      <c r="BS4781">
        <v>0</v>
      </c>
      <c r="BT4781">
        <v>0</v>
      </c>
      <c r="BU4781">
        <v>0</v>
      </c>
      <c r="CE4781" t="str">
        <f t="shared" si="1893"/>
        <v>15:17:48.384</v>
      </c>
      <c r="CF4781">
        <v>383509624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4</v>
      </c>
      <c r="CY4781">
        <v>7</v>
      </c>
      <c r="CZ4781" t="s">
        <v>133</v>
      </c>
      <c r="DA4781">
        <v>275</v>
      </c>
      <c r="DB4781">
        <v>0</v>
      </c>
      <c r="DC4781" t="s">
        <v>134</v>
      </c>
      <c r="DD4781" t="s">
        <v>135</v>
      </c>
      <c r="DG4781">
        <v>3323383</v>
      </c>
      <c r="DI4781">
        <v>1</v>
      </c>
      <c r="DJ4781">
        <v>0</v>
      </c>
      <c r="DK4781">
        <v>1</v>
      </c>
      <c r="DL4781">
        <v>0</v>
      </c>
      <c r="DM4781">
        <v>0</v>
      </c>
      <c r="DN4781">
        <v>0</v>
      </c>
      <c r="DO4781">
        <v>0</v>
      </c>
      <c r="DP4781">
        <v>0</v>
      </c>
      <c r="DQ4781">
        <v>0</v>
      </c>
      <c r="DR4781">
        <v>0</v>
      </c>
      <c r="DS4781">
        <v>0</v>
      </c>
    </row>
    <row r="4782" spans="1:123" x14ac:dyDescent="0.3">
      <c r="A4782" t="str">
        <f>"05/01/2025 15:17:48.628"</f>
        <v>05/01/2025 15:17:48.628</v>
      </c>
      <c r="C4782" t="str">
        <f t="shared" si="1876"/>
        <v>FFDFD3C0</v>
      </c>
      <c r="D4782" t="s">
        <v>145</v>
      </c>
      <c r="E4782" t="str">
        <f>"09"</f>
        <v>09</v>
      </c>
      <c r="H4782">
        <v>51</v>
      </c>
      <c r="I4782" t="s">
        <v>147</v>
      </c>
      <c r="J4782" t="s">
        <v>138</v>
      </c>
      <c r="K4782">
        <v>0</v>
      </c>
      <c r="L4782">
        <v>3</v>
      </c>
      <c r="M4782">
        <v>0</v>
      </c>
      <c r="N4782">
        <v>2</v>
      </c>
      <c r="O4782">
        <v>0</v>
      </c>
      <c r="P4782">
        <v>1</v>
      </c>
      <c r="Q4782">
        <v>0</v>
      </c>
      <c r="R4782" t="s">
        <v>127</v>
      </c>
      <c r="S4782" t="str">
        <f t="shared" si="1892"/>
        <v>15:17:48.000</v>
      </c>
      <c r="T4782" t="str">
        <f t="shared" si="1892"/>
        <v>15:17:48.000</v>
      </c>
      <c r="U4782" t="str">
        <f t="shared" si="1877"/>
        <v>A68FCB</v>
      </c>
      <c r="V4782">
        <v>0</v>
      </c>
      <c r="W4782">
        <v>0</v>
      </c>
      <c r="X4782">
        <v>2</v>
      </c>
      <c r="Y4782">
        <v>0</v>
      </c>
      <c r="AA4782">
        <v>1</v>
      </c>
      <c r="AB4782">
        <v>8</v>
      </c>
      <c r="AC4782">
        <v>3</v>
      </c>
      <c r="AD4782">
        <v>0</v>
      </c>
      <c r="AE4782">
        <v>9</v>
      </c>
      <c r="AF4782" t="s">
        <v>138</v>
      </c>
      <c r="AG4782">
        <v>0</v>
      </c>
      <c r="AH4782">
        <v>3</v>
      </c>
      <c r="AI4782">
        <v>2</v>
      </c>
      <c r="AJ4782">
        <v>0</v>
      </c>
      <c r="AK4782" t="s">
        <v>1522</v>
      </c>
      <c r="AL4782">
        <v>39.224324000000003</v>
      </c>
      <c r="AM4782" t="s">
        <v>1518</v>
      </c>
      <c r="AN4782">
        <v>-121.000328</v>
      </c>
      <c r="AO4782">
        <v>25</v>
      </c>
      <c r="AP4782">
        <v>4100</v>
      </c>
      <c r="AQ4782" t="s">
        <v>131</v>
      </c>
      <c r="AR4782">
        <v>1</v>
      </c>
      <c r="AS4782">
        <v>88</v>
      </c>
      <c r="AT4782">
        <v>-192</v>
      </c>
      <c r="BB4782" t="str">
        <f t="shared" si="1878"/>
        <v>1200</v>
      </c>
      <c r="BC4782">
        <v>1</v>
      </c>
      <c r="BD4782" t="str">
        <f t="shared" si="1879"/>
        <v xml:space="preserve">N52156  </v>
      </c>
      <c r="BE4782">
        <v>1</v>
      </c>
      <c r="BG4782">
        <v>0</v>
      </c>
      <c r="BH4782">
        <v>0</v>
      </c>
      <c r="BI4782">
        <v>0</v>
      </c>
      <c r="BJ4782">
        <v>4125</v>
      </c>
      <c r="BK4782">
        <v>25</v>
      </c>
      <c r="BL4782" t="s">
        <v>188</v>
      </c>
      <c r="BM4782">
        <v>1</v>
      </c>
      <c r="BN4782">
        <v>1</v>
      </c>
      <c r="BO4782">
        <v>0</v>
      </c>
      <c r="BP4782">
        <v>0</v>
      </c>
      <c r="BS4782">
        <v>0</v>
      </c>
      <c r="BT4782">
        <v>0</v>
      </c>
      <c r="BU4782">
        <v>0</v>
      </c>
      <c r="CE4782" t="str">
        <f t="shared" si="1893"/>
        <v>15:17:48.384</v>
      </c>
      <c r="CF4782">
        <v>383509624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4</v>
      </c>
      <c r="CY4782">
        <v>7</v>
      </c>
      <c r="CZ4782" t="s">
        <v>133</v>
      </c>
      <c r="DA4782">
        <v>275</v>
      </c>
      <c r="DB4782">
        <v>0</v>
      </c>
      <c r="DC4782" t="s">
        <v>134</v>
      </c>
      <c r="DD4782" t="s">
        <v>135</v>
      </c>
      <c r="DG4782">
        <v>3323383</v>
      </c>
      <c r="DI4782">
        <v>1</v>
      </c>
      <c r="DJ4782">
        <v>0</v>
      </c>
      <c r="DK4782">
        <v>1</v>
      </c>
      <c r="DL4782">
        <v>0</v>
      </c>
      <c r="DM4782">
        <v>0</v>
      </c>
      <c r="DN4782">
        <v>0</v>
      </c>
      <c r="DO4782">
        <v>0</v>
      </c>
      <c r="DP4782">
        <v>0</v>
      </c>
      <c r="DQ4782">
        <v>0</v>
      </c>
      <c r="DR4782">
        <v>0</v>
      </c>
      <c r="DS4782">
        <v>0</v>
      </c>
    </row>
    <row r="4783" spans="1:123" x14ac:dyDescent="0.3">
      <c r="A4783" t="str">
        <f>"05/01/2025 15:17:48.632"</f>
        <v>05/01/2025 15:17:48.632</v>
      </c>
      <c r="C4783" t="str">
        <f t="shared" si="1876"/>
        <v>FFDFD3C0</v>
      </c>
      <c r="D4783" t="s">
        <v>145</v>
      </c>
      <c r="E4783" t="str">
        <f>"05"</f>
        <v>05</v>
      </c>
      <c r="H4783">
        <v>47</v>
      </c>
      <c r="I4783" t="s">
        <v>146</v>
      </c>
      <c r="J4783" t="s">
        <v>138</v>
      </c>
      <c r="K4783">
        <v>0</v>
      </c>
      <c r="L4783">
        <v>3</v>
      </c>
      <c r="M4783">
        <v>0</v>
      </c>
      <c r="N4783">
        <v>2</v>
      </c>
      <c r="O4783">
        <v>0</v>
      </c>
      <c r="P4783">
        <v>1</v>
      </c>
      <c r="Q4783">
        <v>0</v>
      </c>
      <c r="R4783" t="s">
        <v>127</v>
      </c>
      <c r="S4783" t="str">
        <f t="shared" si="1892"/>
        <v>15:17:48.000</v>
      </c>
      <c r="T4783" t="str">
        <f t="shared" si="1892"/>
        <v>15:17:48.000</v>
      </c>
      <c r="U4783" t="str">
        <f t="shared" si="1877"/>
        <v>A68FCB</v>
      </c>
      <c r="V4783">
        <v>0</v>
      </c>
      <c r="W4783">
        <v>0</v>
      </c>
      <c r="X4783">
        <v>2</v>
      </c>
      <c r="Y4783">
        <v>0</v>
      </c>
      <c r="AA4783">
        <v>1</v>
      </c>
      <c r="AB4783">
        <v>8</v>
      </c>
      <c r="AC4783">
        <v>3</v>
      </c>
      <c r="AD4783">
        <v>0</v>
      </c>
      <c r="AE4783">
        <v>9</v>
      </c>
      <c r="AF4783" t="s">
        <v>138</v>
      </c>
      <c r="AG4783">
        <v>0</v>
      </c>
      <c r="AH4783">
        <v>3</v>
      </c>
      <c r="AI4783">
        <v>2</v>
      </c>
      <c r="AJ4783">
        <v>0</v>
      </c>
      <c r="AK4783" t="s">
        <v>1522</v>
      </c>
      <c r="AL4783">
        <v>39.224324000000003</v>
      </c>
      <c r="AM4783" t="s">
        <v>1518</v>
      </c>
      <c r="AN4783">
        <v>-121.000328</v>
      </c>
      <c r="AO4783">
        <v>25</v>
      </c>
      <c r="AP4783">
        <v>4100</v>
      </c>
      <c r="AQ4783" t="s">
        <v>131</v>
      </c>
      <c r="AR4783">
        <v>1</v>
      </c>
      <c r="AS4783">
        <v>88</v>
      </c>
      <c r="AT4783">
        <v>-192</v>
      </c>
      <c r="BB4783" t="str">
        <f t="shared" si="1878"/>
        <v>1200</v>
      </c>
      <c r="BC4783">
        <v>1</v>
      </c>
      <c r="BD4783" t="str">
        <f t="shared" si="1879"/>
        <v xml:space="preserve">N52156  </v>
      </c>
      <c r="BE4783">
        <v>1</v>
      </c>
      <c r="BG4783">
        <v>0</v>
      </c>
      <c r="BH4783">
        <v>0</v>
      </c>
      <c r="BI4783">
        <v>0</v>
      </c>
      <c r="BJ4783">
        <v>4125</v>
      </c>
      <c r="BK4783">
        <v>25</v>
      </c>
      <c r="BL4783" t="s">
        <v>188</v>
      </c>
      <c r="BM4783">
        <v>1</v>
      </c>
      <c r="BN4783">
        <v>1</v>
      </c>
      <c r="BO4783">
        <v>0</v>
      </c>
      <c r="BP4783">
        <v>0</v>
      </c>
      <c r="BS4783">
        <v>0</v>
      </c>
      <c r="BT4783">
        <v>0</v>
      </c>
      <c r="BU4783">
        <v>0</v>
      </c>
      <c r="CE4783" t="str">
        <f t="shared" si="1893"/>
        <v>15:17:48.384</v>
      </c>
      <c r="CF4783">
        <v>383509624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4</v>
      </c>
      <c r="CY4783">
        <v>7</v>
      </c>
      <c r="CZ4783" t="s">
        <v>133</v>
      </c>
      <c r="DA4783">
        <v>275</v>
      </c>
      <c r="DB4783">
        <v>0</v>
      </c>
      <c r="DC4783" t="s">
        <v>134</v>
      </c>
      <c r="DD4783" t="s">
        <v>135</v>
      </c>
      <c r="DG4783">
        <v>3323383</v>
      </c>
      <c r="DI4783">
        <v>1</v>
      </c>
      <c r="DJ4783">
        <v>0</v>
      </c>
      <c r="DK4783">
        <v>1</v>
      </c>
      <c r="DL4783">
        <v>0</v>
      </c>
      <c r="DM4783">
        <v>0</v>
      </c>
      <c r="DN4783">
        <v>0</v>
      </c>
      <c r="DO4783">
        <v>0</v>
      </c>
      <c r="DP4783">
        <v>0</v>
      </c>
      <c r="DQ4783">
        <v>0</v>
      </c>
      <c r="DR4783">
        <v>0</v>
      </c>
      <c r="DS4783">
        <v>0</v>
      </c>
    </row>
    <row r="4784" spans="1:123" x14ac:dyDescent="0.3">
      <c r="A4784" t="str">
        <f>"05/01/2025 15:17:50.081"</f>
        <v>05/01/2025 15:17:50.081</v>
      </c>
      <c r="C4784" t="str">
        <f t="shared" si="1876"/>
        <v>FFDFD3C0</v>
      </c>
      <c r="D4784" t="s">
        <v>145</v>
      </c>
      <c r="E4784" t="str">
        <f>"09"</f>
        <v>09</v>
      </c>
      <c r="H4784">
        <v>51</v>
      </c>
      <c r="I4784" t="s">
        <v>147</v>
      </c>
      <c r="J4784" t="s">
        <v>138</v>
      </c>
      <c r="K4784">
        <v>0</v>
      </c>
      <c r="L4784">
        <v>3</v>
      </c>
      <c r="M4784">
        <v>0</v>
      </c>
      <c r="N4784">
        <v>2</v>
      </c>
      <c r="O4784">
        <v>0</v>
      </c>
      <c r="P4784">
        <v>1</v>
      </c>
      <c r="Q4784">
        <v>0</v>
      </c>
      <c r="R4784" t="s">
        <v>127</v>
      </c>
      <c r="S4784" t="str">
        <f t="shared" ref="S4784:T4789" si="1894">"15:17:49.000"</f>
        <v>15:17:49.000</v>
      </c>
      <c r="T4784" t="str">
        <f t="shared" si="1894"/>
        <v>15:17:49.000</v>
      </c>
      <c r="U4784" t="str">
        <f t="shared" si="1877"/>
        <v>A68FCB</v>
      </c>
      <c r="V4784">
        <v>0</v>
      </c>
      <c r="W4784">
        <v>0</v>
      </c>
      <c r="X4784">
        <v>2</v>
      </c>
      <c r="Y4784">
        <v>0</v>
      </c>
      <c r="AA4784">
        <v>1</v>
      </c>
      <c r="AB4784">
        <v>8</v>
      </c>
      <c r="AC4784">
        <v>3</v>
      </c>
      <c r="AD4784">
        <v>0</v>
      </c>
      <c r="AE4784">
        <v>9</v>
      </c>
      <c r="AF4784" t="s">
        <v>138</v>
      </c>
      <c r="AG4784">
        <v>0</v>
      </c>
      <c r="AH4784">
        <v>3</v>
      </c>
      <c r="AI4784">
        <v>2</v>
      </c>
      <c r="AJ4784">
        <v>0</v>
      </c>
      <c r="AK4784" t="s">
        <v>1523</v>
      </c>
      <c r="AL4784">
        <v>39.224732000000003</v>
      </c>
      <c r="AM4784" t="s">
        <v>1524</v>
      </c>
      <c r="AN4784">
        <v>-121.00030700000001</v>
      </c>
      <c r="AO4784">
        <v>25</v>
      </c>
      <c r="AP4784">
        <v>4100</v>
      </c>
      <c r="AQ4784" t="s">
        <v>131</v>
      </c>
      <c r="AR4784">
        <v>1</v>
      </c>
      <c r="AS4784">
        <v>88</v>
      </c>
      <c r="AT4784">
        <v>-192</v>
      </c>
      <c r="BB4784" t="str">
        <f t="shared" si="1878"/>
        <v>1200</v>
      </c>
      <c r="BC4784">
        <v>1</v>
      </c>
      <c r="BD4784" t="str">
        <f t="shared" si="1879"/>
        <v xml:space="preserve">N52156  </v>
      </c>
      <c r="BE4784">
        <v>1</v>
      </c>
      <c r="BG4784">
        <v>0</v>
      </c>
      <c r="BH4784">
        <v>0</v>
      </c>
      <c r="BI4784">
        <v>0</v>
      </c>
      <c r="BJ4784">
        <v>4125</v>
      </c>
      <c r="BK4784">
        <v>25</v>
      </c>
      <c r="BL4784" t="s">
        <v>188</v>
      </c>
      <c r="BM4784">
        <v>1</v>
      </c>
      <c r="BN4784">
        <v>1</v>
      </c>
      <c r="BO4784">
        <v>0</v>
      </c>
      <c r="BP4784">
        <v>0</v>
      </c>
      <c r="BS4784">
        <v>0</v>
      </c>
      <c r="BT4784">
        <v>0</v>
      </c>
      <c r="BU4784">
        <v>0</v>
      </c>
      <c r="CE4784" t="str">
        <f t="shared" ref="CE4784:CE4789" si="1895">"15:17:49.876"</f>
        <v>15:17:49.876</v>
      </c>
      <c r="CF4784">
        <v>875760986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3</v>
      </c>
      <c r="CY4784">
        <v>7</v>
      </c>
      <c r="CZ4784" t="s">
        <v>133</v>
      </c>
      <c r="DA4784">
        <v>275</v>
      </c>
      <c r="DB4784">
        <v>0</v>
      </c>
      <c r="DC4784" t="s">
        <v>134</v>
      </c>
      <c r="DD4784" t="s">
        <v>135</v>
      </c>
      <c r="DG4784">
        <v>3323387</v>
      </c>
      <c r="DI4784">
        <v>1</v>
      </c>
      <c r="DJ4784">
        <v>0</v>
      </c>
      <c r="DK4784">
        <v>0</v>
      </c>
      <c r="DL4784">
        <v>0</v>
      </c>
      <c r="DM4784">
        <v>0</v>
      </c>
      <c r="DN4784">
        <v>0</v>
      </c>
      <c r="DO4784">
        <v>0</v>
      </c>
      <c r="DP4784">
        <v>0</v>
      </c>
      <c r="DQ4784">
        <v>0</v>
      </c>
      <c r="DR4784">
        <v>0</v>
      </c>
      <c r="DS4784">
        <v>0</v>
      </c>
    </row>
    <row r="4785" spans="1:123" x14ac:dyDescent="0.3">
      <c r="A4785" t="str">
        <f>"05/01/2025 15:17:50.084"</f>
        <v>05/01/2025 15:17:50.084</v>
      </c>
      <c r="C4785" t="str">
        <f t="shared" si="1876"/>
        <v>FFDFD3C0</v>
      </c>
      <c r="D4785" t="s">
        <v>145</v>
      </c>
      <c r="E4785" t="str">
        <f>"05"</f>
        <v>05</v>
      </c>
      <c r="H4785">
        <v>47</v>
      </c>
      <c r="I4785" t="s">
        <v>146</v>
      </c>
      <c r="J4785" t="s">
        <v>138</v>
      </c>
      <c r="K4785">
        <v>0</v>
      </c>
      <c r="L4785">
        <v>3</v>
      </c>
      <c r="M4785">
        <v>0</v>
      </c>
      <c r="N4785">
        <v>2</v>
      </c>
      <c r="O4785">
        <v>0</v>
      </c>
      <c r="P4785">
        <v>1</v>
      </c>
      <c r="Q4785">
        <v>0</v>
      </c>
      <c r="R4785" t="s">
        <v>127</v>
      </c>
      <c r="S4785" t="str">
        <f t="shared" si="1894"/>
        <v>15:17:49.000</v>
      </c>
      <c r="T4785" t="str">
        <f t="shared" si="1894"/>
        <v>15:17:49.000</v>
      </c>
      <c r="U4785" t="str">
        <f t="shared" si="1877"/>
        <v>A68FCB</v>
      </c>
      <c r="V4785">
        <v>0</v>
      </c>
      <c r="W4785">
        <v>0</v>
      </c>
      <c r="X4785">
        <v>2</v>
      </c>
      <c r="Y4785">
        <v>0</v>
      </c>
      <c r="AA4785">
        <v>1</v>
      </c>
      <c r="AB4785">
        <v>8</v>
      </c>
      <c r="AC4785">
        <v>3</v>
      </c>
      <c r="AD4785">
        <v>0</v>
      </c>
      <c r="AE4785">
        <v>9</v>
      </c>
      <c r="AF4785" t="s">
        <v>138</v>
      </c>
      <c r="AG4785">
        <v>0</v>
      </c>
      <c r="AH4785">
        <v>3</v>
      </c>
      <c r="AI4785">
        <v>2</v>
      </c>
      <c r="AJ4785">
        <v>0</v>
      </c>
      <c r="AK4785" t="s">
        <v>1523</v>
      </c>
      <c r="AL4785">
        <v>39.224732000000003</v>
      </c>
      <c r="AM4785" t="s">
        <v>1524</v>
      </c>
      <c r="AN4785">
        <v>-121.00030700000001</v>
      </c>
      <c r="AO4785">
        <v>25</v>
      </c>
      <c r="AP4785">
        <v>4100</v>
      </c>
      <c r="AQ4785" t="s">
        <v>131</v>
      </c>
      <c r="AR4785">
        <v>1</v>
      </c>
      <c r="AS4785">
        <v>88</v>
      </c>
      <c r="AT4785">
        <v>-192</v>
      </c>
      <c r="BB4785" t="str">
        <f t="shared" si="1878"/>
        <v>1200</v>
      </c>
      <c r="BC4785">
        <v>1</v>
      </c>
      <c r="BD4785" t="str">
        <f t="shared" si="1879"/>
        <v xml:space="preserve">N52156  </v>
      </c>
      <c r="BE4785">
        <v>1</v>
      </c>
      <c r="BG4785">
        <v>0</v>
      </c>
      <c r="BH4785">
        <v>0</v>
      </c>
      <c r="BI4785">
        <v>0</v>
      </c>
      <c r="BJ4785">
        <v>4125</v>
      </c>
      <c r="BK4785">
        <v>25</v>
      </c>
      <c r="BL4785" t="s">
        <v>188</v>
      </c>
      <c r="BM4785">
        <v>1</v>
      </c>
      <c r="BN4785">
        <v>1</v>
      </c>
      <c r="BO4785">
        <v>0</v>
      </c>
      <c r="BP4785">
        <v>0</v>
      </c>
      <c r="BS4785">
        <v>0</v>
      </c>
      <c r="BT4785">
        <v>0</v>
      </c>
      <c r="BU4785">
        <v>0</v>
      </c>
      <c r="CE4785" t="str">
        <f t="shared" si="1895"/>
        <v>15:17:49.876</v>
      </c>
      <c r="CF4785">
        <v>875760986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3</v>
      </c>
      <c r="CY4785">
        <v>7</v>
      </c>
      <c r="CZ4785" t="s">
        <v>133</v>
      </c>
      <c r="DA4785">
        <v>275</v>
      </c>
      <c r="DB4785">
        <v>0</v>
      </c>
      <c r="DC4785" t="s">
        <v>134</v>
      </c>
      <c r="DD4785" t="s">
        <v>135</v>
      </c>
      <c r="DG4785">
        <v>3323387</v>
      </c>
      <c r="DI4785">
        <v>1</v>
      </c>
      <c r="DJ4785">
        <v>0</v>
      </c>
      <c r="DK4785">
        <v>1</v>
      </c>
      <c r="DL4785">
        <v>0</v>
      </c>
      <c r="DM4785">
        <v>0</v>
      </c>
      <c r="DN4785">
        <v>0</v>
      </c>
      <c r="DO4785">
        <v>0</v>
      </c>
      <c r="DP4785">
        <v>0</v>
      </c>
      <c r="DQ4785">
        <v>0</v>
      </c>
      <c r="DR4785">
        <v>0</v>
      </c>
      <c r="DS4785">
        <v>0</v>
      </c>
    </row>
    <row r="4786" spans="1:123" x14ac:dyDescent="0.3">
      <c r="A4786" t="str">
        <f>"05/01/2025 15:17:50.094"</f>
        <v>05/01/2025 15:17:50.094</v>
      </c>
      <c r="C4786" t="str">
        <f t="shared" si="1876"/>
        <v>FFDFD3C0</v>
      </c>
      <c r="D4786" t="s">
        <v>136</v>
      </c>
      <c r="E4786" t="str">
        <f>"20"</f>
        <v>20</v>
      </c>
      <c r="H4786">
        <v>400</v>
      </c>
      <c r="I4786" t="s">
        <v>137</v>
      </c>
      <c r="J4786" t="s">
        <v>138</v>
      </c>
      <c r="K4786">
        <v>0</v>
      </c>
      <c r="L4786">
        <v>3</v>
      </c>
      <c r="M4786">
        <v>0</v>
      </c>
      <c r="N4786">
        <v>2</v>
      </c>
      <c r="O4786">
        <v>0</v>
      </c>
      <c r="P4786">
        <v>1</v>
      </c>
      <c r="Q4786">
        <v>0</v>
      </c>
      <c r="R4786" t="s">
        <v>127</v>
      </c>
      <c r="S4786" t="str">
        <f t="shared" si="1894"/>
        <v>15:17:49.000</v>
      </c>
      <c r="T4786" t="str">
        <f t="shared" si="1894"/>
        <v>15:17:49.000</v>
      </c>
      <c r="U4786" t="str">
        <f t="shared" si="1877"/>
        <v>A68FCB</v>
      </c>
      <c r="V4786">
        <v>0</v>
      </c>
      <c r="W4786">
        <v>0</v>
      </c>
      <c r="X4786">
        <v>2</v>
      </c>
      <c r="Y4786">
        <v>0</v>
      </c>
      <c r="AA4786">
        <v>1</v>
      </c>
      <c r="AB4786">
        <v>8</v>
      </c>
      <c r="AC4786">
        <v>3</v>
      </c>
      <c r="AD4786">
        <v>0</v>
      </c>
      <c r="AE4786">
        <v>9</v>
      </c>
      <c r="AF4786" t="s">
        <v>138</v>
      </c>
      <c r="AG4786">
        <v>0</v>
      </c>
      <c r="AH4786">
        <v>3</v>
      </c>
      <c r="AI4786">
        <v>2</v>
      </c>
      <c r="AJ4786">
        <v>0</v>
      </c>
      <c r="AK4786" t="s">
        <v>1523</v>
      </c>
      <c r="AL4786">
        <v>39.224732000000003</v>
      </c>
      <c r="AM4786" t="s">
        <v>1524</v>
      </c>
      <c r="AN4786">
        <v>-121.00030700000001</v>
      </c>
      <c r="AO4786">
        <v>25</v>
      </c>
      <c r="AP4786">
        <v>4100</v>
      </c>
      <c r="AQ4786" t="s">
        <v>131</v>
      </c>
      <c r="AR4786">
        <v>1</v>
      </c>
      <c r="AS4786">
        <v>88</v>
      </c>
      <c r="AT4786">
        <v>-192</v>
      </c>
      <c r="BB4786" t="str">
        <f t="shared" si="1878"/>
        <v>1200</v>
      </c>
      <c r="BC4786">
        <v>1</v>
      </c>
      <c r="BD4786" t="str">
        <f t="shared" si="1879"/>
        <v xml:space="preserve">N52156  </v>
      </c>
      <c r="BE4786">
        <v>1</v>
      </c>
      <c r="BG4786">
        <v>0</v>
      </c>
      <c r="BH4786">
        <v>0</v>
      </c>
      <c r="BI4786">
        <v>0</v>
      </c>
      <c r="BJ4786">
        <v>4125</v>
      </c>
      <c r="BK4786">
        <v>25</v>
      </c>
      <c r="BL4786" t="s">
        <v>188</v>
      </c>
      <c r="BM4786">
        <v>1</v>
      </c>
      <c r="BN4786">
        <v>1</v>
      </c>
      <c r="BO4786">
        <v>0</v>
      </c>
      <c r="BP4786">
        <v>0</v>
      </c>
      <c r="BS4786">
        <v>0</v>
      </c>
      <c r="BT4786">
        <v>0</v>
      </c>
      <c r="BU4786">
        <v>0</v>
      </c>
      <c r="CE4786" t="str">
        <f t="shared" si="1895"/>
        <v>15:17:49.876</v>
      </c>
      <c r="CF4786">
        <v>875760986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3</v>
      </c>
      <c r="CY4786">
        <v>7</v>
      </c>
      <c r="CZ4786" t="s">
        <v>133</v>
      </c>
      <c r="DA4786">
        <v>275</v>
      </c>
      <c r="DB4786">
        <v>0</v>
      </c>
      <c r="DC4786" t="s">
        <v>134</v>
      </c>
      <c r="DD4786" t="s">
        <v>135</v>
      </c>
      <c r="DG4786">
        <v>3323387</v>
      </c>
      <c r="DI4786">
        <v>1</v>
      </c>
      <c r="DJ4786">
        <v>0</v>
      </c>
      <c r="DK4786">
        <v>1</v>
      </c>
      <c r="DL4786">
        <v>0</v>
      </c>
      <c r="DM4786">
        <v>0</v>
      </c>
      <c r="DN4786">
        <v>0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 x14ac:dyDescent="0.3">
      <c r="A4787" t="str">
        <f>"05/01/2025 15:17:50.109"</f>
        <v>05/01/2025 15:17:50.109</v>
      </c>
      <c r="C4787" t="str">
        <f t="shared" si="1876"/>
        <v>FFDFD3C0</v>
      </c>
      <c r="D4787" t="s">
        <v>140</v>
      </c>
      <c r="E4787" t="str">
        <f>"13"</f>
        <v>13</v>
      </c>
      <c r="F4787">
        <v>1019</v>
      </c>
      <c r="G4787" t="s">
        <v>141</v>
      </c>
      <c r="J4787" t="s">
        <v>142</v>
      </c>
      <c r="K4787">
        <v>0</v>
      </c>
      <c r="L4787">
        <v>3</v>
      </c>
      <c r="M4787">
        <v>0</v>
      </c>
      <c r="N4787">
        <v>2</v>
      </c>
      <c r="O4787">
        <v>0</v>
      </c>
      <c r="P4787">
        <v>1</v>
      </c>
      <c r="Q4787">
        <v>0</v>
      </c>
      <c r="R4787" t="s">
        <v>127</v>
      </c>
      <c r="S4787" t="str">
        <f t="shared" si="1894"/>
        <v>15:17:49.000</v>
      </c>
      <c r="T4787" t="str">
        <f t="shared" si="1894"/>
        <v>15:17:49.000</v>
      </c>
      <c r="U4787" t="str">
        <f t="shared" si="1877"/>
        <v>A68FCB</v>
      </c>
      <c r="V4787">
        <v>0</v>
      </c>
      <c r="W4787">
        <v>0</v>
      </c>
      <c r="X4787">
        <v>2</v>
      </c>
      <c r="Y4787">
        <v>0</v>
      </c>
      <c r="AA4787">
        <v>1</v>
      </c>
      <c r="AB4787">
        <v>8</v>
      </c>
      <c r="AC4787">
        <v>3</v>
      </c>
      <c r="AD4787">
        <v>0</v>
      </c>
      <c r="AE4787">
        <v>9</v>
      </c>
      <c r="AF4787" t="s">
        <v>138</v>
      </c>
      <c r="AG4787">
        <v>0</v>
      </c>
      <c r="AH4787">
        <v>3</v>
      </c>
      <c r="AI4787">
        <v>2</v>
      </c>
      <c r="AJ4787">
        <v>0</v>
      </c>
      <c r="AK4787" t="s">
        <v>1523</v>
      </c>
      <c r="AL4787">
        <v>39.224732000000003</v>
      </c>
      <c r="AM4787" t="s">
        <v>1524</v>
      </c>
      <c r="AN4787">
        <v>-121.00030700000001</v>
      </c>
      <c r="AO4787">
        <v>25</v>
      </c>
      <c r="AP4787">
        <v>4100</v>
      </c>
      <c r="AQ4787" t="s">
        <v>131</v>
      </c>
      <c r="AR4787">
        <v>1</v>
      </c>
      <c r="AS4787">
        <v>88</v>
      </c>
      <c r="AT4787">
        <v>-192</v>
      </c>
      <c r="BB4787" t="str">
        <f t="shared" si="1878"/>
        <v>1200</v>
      </c>
      <c r="BC4787">
        <v>1</v>
      </c>
      <c r="BD4787" t="str">
        <f t="shared" si="1879"/>
        <v xml:space="preserve">N52156  </v>
      </c>
      <c r="BE4787">
        <v>1</v>
      </c>
      <c r="BG4787">
        <v>0</v>
      </c>
      <c r="BH4787">
        <v>0</v>
      </c>
      <c r="BI4787">
        <v>0</v>
      </c>
      <c r="BJ4787">
        <v>4125</v>
      </c>
      <c r="BK4787">
        <v>25</v>
      </c>
      <c r="BL4787" t="s">
        <v>188</v>
      </c>
      <c r="BM4787">
        <v>1</v>
      </c>
      <c r="BN4787">
        <v>1</v>
      </c>
      <c r="BO4787">
        <v>0</v>
      </c>
      <c r="BP4787">
        <v>0</v>
      </c>
      <c r="BS4787">
        <v>0</v>
      </c>
      <c r="BT4787">
        <v>0</v>
      </c>
      <c r="BU4787">
        <v>0</v>
      </c>
      <c r="CE4787" t="str">
        <f t="shared" si="1895"/>
        <v>15:17:49.876</v>
      </c>
      <c r="CF4787">
        <v>875760986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3</v>
      </c>
      <c r="CY4787">
        <v>7</v>
      </c>
      <c r="CZ4787" t="s">
        <v>133</v>
      </c>
      <c r="DA4787">
        <v>275</v>
      </c>
      <c r="DB4787">
        <v>0</v>
      </c>
      <c r="DC4787" t="s">
        <v>134</v>
      </c>
      <c r="DD4787" t="s">
        <v>135</v>
      </c>
      <c r="DG4787">
        <v>3323387</v>
      </c>
      <c r="DI4787">
        <v>1</v>
      </c>
      <c r="DJ4787">
        <v>0</v>
      </c>
      <c r="DK4787">
        <v>1</v>
      </c>
      <c r="DL4787">
        <v>0</v>
      </c>
      <c r="DM4787">
        <v>0</v>
      </c>
      <c r="DN4787">
        <v>0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 x14ac:dyDescent="0.3">
      <c r="A4788" t="str">
        <f>"05/01/2025 15:17:50.111"</f>
        <v>05/01/2025 15:17:50.111</v>
      </c>
      <c r="C4788" t="str">
        <f t="shared" si="1876"/>
        <v>FFDFD3C0</v>
      </c>
      <c r="D4788" t="s">
        <v>124</v>
      </c>
      <c r="E4788" t="str">
        <f>"06"</f>
        <v>06</v>
      </c>
      <c r="F4788">
        <v>2006</v>
      </c>
      <c r="G4788" t="s">
        <v>125</v>
      </c>
      <c r="J4788" t="s">
        <v>126</v>
      </c>
      <c r="K4788">
        <v>0</v>
      </c>
      <c r="L4788">
        <v>3</v>
      </c>
      <c r="M4788">
        <v>0</v>
      </c>
      <c r="N4788">
        <v>2</v>
      </c>
      <c r="O4788">
        <v>0</v>
      </c>
      <c r="P4788">
        <v>1</v>
      </c>
      <c r="Q4788">
        <v>0</v>
      </c>
      <c r="R4788" t="s">
        <v>127</v>
      </c>
      <c r="S4788" t="str">
        <f t="shared" si="1894"/>
        <v>15:17:49.000</v>
      </c>
      <c r="T4788" t="str">
        <f t="shared" si="1894"/>
        <v>15:17:49.000</v>
      </c>
      <c r="U4788" t="str">
        <f t="shared" si="1877"/>
        <v>A68FCB</v>
      </c>
      <c r="V4788">
        <v>0</v>
      </c>
      <c r="W4788">
        <v>0</v>
      </c>
      <c r="X4788">
        <v>2</v>
      </c>
      <c r="Y4788">
        <v>0</v>
      </c>
      <c r="AA4788">
        <v>1</v>
      </c>
      <c r="AB4788">
        <v>8</v>
      </c>
      <c r="AC4788">
        <v>3</v>
      </c>
      <c r="AD4788">
        <v>0</v>
      </c>
      <c r="AE4788">
        <v>9</v>
      </c>
      <c r="AF4788" t="s">
        <v>138</v>
      </c>
      <c r="AG4788">
        <v>0</v>
      </c>
      <c r="AH4788">
        <v>3</v>
      </c>
      <c r="AI4788">
        <v>2</v>
      </c>
      <c r="AJ4788">
        <v>0</v>
      </c>
      <c r="AK4788" t="s">
        <v>1523</v>
      </c>
      <c r="AL4788">
        <v>39.224732000000003</v>
      </c>
      <c r="AM4788" t="s">
        <v>1524</v>
      </c>
      <c r="AN4788">
        <v>-121.00030700000001</v>
      </c>
      <c r="AO4788">
        <v>25</v>
      </c>
      <c r="AP4788">
        <v>4100</v>
      </c>
      <c r="AQ4788" t="s">
        <v>131</v>
      </c>
      <c r="AR4788">
        <v>1</v>
      </c>
      <c r="AS4788">
        <v>88</v>
      </c>
      <c r="AT4788">
        <v>-192</v>
      </c>
      <c r="BB4788" t="str">
        <f t="shared" si="1878"/>
        <v>1200</v>
      </c>
      <c r="BC4788">
        <v>1</v>
      </c>
      <c r="BD4788" t="str">
        <f t="shared" si="1879"/>
        <v xml:space="preserve">N52156  </v>
      </c>
      <c r="BE4788">
        <v>1</v>
      </c>
      <c r="BG4788">
        <v>0</v>
      </c>
      <c r="BH4788">
        <v>0</v>
      </c>
      <c r="BI4788">
        <v>0</v>
      </c>
      <c r="BJ4788">
        <v>4125</v>
      </c>
      <c r="BK4788">
        <v>25</v>
      </c>
      <c r="BL4788" t="s">
        <v>188</v>
      </c>
      <c r="BM4788">
        <v>1</v>
      </c>
      <c r="BN4788">
        <v>1</v>
      </c>
      <c r="BO4788">
        <v>0</v>
      </c>
      <c r="BP4788">
        <v>0</v>
      </c>
      <c r="BS4788">
        <v>0</v>
      </c>
      <c r="BT4788">
        <v>0</v>
      </c>
      <c r="BU4788">
        <v>0</v>
      </c>
      <c r="CE4788" t="str">
        <f t="shared" si="1895"/>
        <v>15:17:49.876</v>
      </c>
      <c r="CF4788">
        <v>875760986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3</v>
      </c>
      <c r="CY4788">
        <v>7</v>
      </c>
      <c r="CZ4788" t="s">
        <v>133</v>
      </c>
      <c r="DA4788">
        <v>275</v>
      </c>
      <c r="DB4788">
        <v>0</v>
      </c>
      <c r="DC4788" t="s">
        <v>134</v>
      </c>
      <c r="DD4788" t="s">
        <v>135</v>
      </c>
      <c r="DG4788">
        <v>3323387</v>
      </c>
      <c r="DI4788">
        <v>1</v>
      </c>
      <c r="DJ4788">
        <v>0</v>
      </c>
      <c r="DK4788">
        <v>1</v>
      </c>
      <c r="DL4788">
        <v>0</v>
      </c>
      <c r="DM4788">
        <v>0</v>
      </c>
      <c r="DN4788">
        <v>0</v>
      </c>
      <c r="DO4788">
        <v>0</v>
      </c>
      <c r="DP4788">
        <v>0</v>
      </c>
      <c r="DQ4788">
        <v>0</v>
      </c>
      <c r="DR4788">
        <v>0</v>
      </c>
      <c r="DS4788">
        <v>0</v>
      </c>
    </row>
    <row r="4789" spans="1:123" x14ac:dyDescent="0.3">
      <c r="A4789" t="str">
        <f>"05/01/2025 15:17:50.117"</f>
        <v>05/01/2025 15:17:50.117</v>
      </c>
      <c r="C4789" t="str">
        <f t="shared" si="1876"/>
        <v>FFDFD3C0</v>
      </c>
      <c r="D4789" t="s">
        <v>143</v>
      </c>
      <c r="E4789" t="str">
        <f>"05"</f>
        <v>05</v>
      </c>
      <c r="H4789">
        <v>172</v>
      </c>
      <c r="I4789" t="s">
        <v>141</v>
      </c>
      <c r="J4789" t="s">
        <v>144</v>
      </c>
      <c r="K4789">
        <v>0</v>
      </c>
      <c r="L4789">
        <v>3</v>
      </c>
      <c r="M4789">
        <v>0</v>
      </c>
      <c r="N4789">
        <v>2</v>
      </c>
      <c r="O4789">
        <v>0</v>
      </c>
      <c r="P4789">
        <v>1</v>
      </c>
      <c r="Q4789">
        <v>0</v>
      </c>
      <c r="R4789" t="s">
        <v>127</v>
      </c>
      <c r="S4789" t="str">
        <f t="shared" si="1894"/>
        <v>15:17:49.000</v>
      </c>
      <c r="T4789" t="str">
        <f t="shared" si="1894"/>
        <v>15:17:49.000</v>
      </c>
      <c r="U4789" t="str">
        <f t="shared" si="1877"/>
        <v>A68FCB</v>
      </c>
      <c r="V4789">
        <v>0</v>
      </c>
      <c r="W4789">
        <v>0</v>
      </c>
      <c r="X4789">
        <v>2</v>
      </c>
      <c r="Y4789">
        <v>0</v>
      </c>
      <c r="AA4789">
        <v>1</v>
      </c>
      <c r="AB4789">
        <v>8</v>
      </c>
      <c r="AC4789">
        <v>3</v>
      </c>
      <c r="AD4789">
        <v>0</v>
      </c>
      <c r="AE4789">
        <v>9</v>
      </c>
      <c r="AF4789" t="s">
        <v>138</v>
      </c>
      <c r="AG4789">
        <v>0</v>
      </c>
      <c r="AH4789">
        <v>3</v>
      </c>
      <c r="AI4789">
        <v>2</v>
      </c>
      <c r="AJ4789">
        <v>0</v>
      </c>
      <c r="AK4789" t="s">
        <v>1523</v>
      </c>
      <c r="AL4789">
        <v>39.224732000000003</v>
      </c>
      <c r="AM4789" t="s">
        <v>1524</v>
      </c>
      <c r="AN4789">
        <v>-121.00030700000001</v>
      </c>
      <c r="AO4789">
        <v>25</v>
      </c>
      <c r="AP4789">
        <v>4100</v>
      </c>
      <c r="AQ4789" t="s">
        <v>131</v>
      </c>
      <c r="AR4789">
        <v>1</v>
      </c>
      <c r="AS4789">
        <v>88</v>
      </c>
      <c r="AT4789">
        <v>-192</v>
      </c>
      <c r="BB4789" t="str">
        <f t="shared" si="1878"/>
        <v>1200</v>
      </c>
      <c r="BC4789">
        <v>1</v>
      </c>
      <c r="BD4789" t="str">
        <f t="shared" si="1879"/>
        <v xml:space="preserve">N52156  </v>
      </c>
      <c r="BE4789">
        <v>1</v>
      </c>
      <c r="BG4789">
        <v>0</v>
      </c>
      <c r="BH4789">
        <v>0</v>
      </c>
      <c r="BI4789">
        <v>0</v>
      </c>
      <c r="BJ4789">
        <v>4125</v>
      </c>
      <c r="BK4789">
        <v>25</v>
      </c>
      <c r="BL4789" t="s">
        <v>188</v>
      </c>
      <c r="BM4789">
        <v>1</v>
      </c>
      <c r="BN4789">
        <v>1</v>
      </c>
      <c r="BO4789">
        <v>0</v>
      </c>
      <c r="BP4789">
        <v>0</v>
      </c>
      <c r="BS4789">
        <v>0</v>
      </c>
      <c r="BT4789">
        <v>0</v>
      </c>
      <c r="BU4789">
        <v>0</v>
      </c>
      <c r="CE4789" t="str">
        <f t="shared" si="1895"/>
        <v>15:17:49.876</v>
      </c>
      <c r="CF4789">
        <v>875760986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3</v>
      </c>
      <c r="CY4789">
        <v>7</v>
      </c>
      <c r="CZ4789" t="s">
        <v>133</v>
      </c>
      <c r="DA4789">
        <v>275</v>
      </c>
      <c r="DB4789">
        <v>0</v>
      </c>
      <c r="DC4789" t="s">
        <v>134</v>
      </c>
      <c r="DD4789" t="s">
        <v>135</v>
      </c>
      <c r="DG4789">
        <v>3323387</v>
      </c>
      <c r="DI4789">
        <v>1</v>
      </c>
      <c r="DJ4789">
        <v>0</v>
      </c>
      <c r="DK4789">
        <v>1</v>
      </c>
      <c r="DL4789">
        <v>0</v>
      </c>
      <c r="DM4789">
        <v>0</v>
      </c>
      <c r="DN4789">
        <v>0</v>
      </c>
      <c r="DO4789">
        <v>0</v>
      </c>
      <c r="DP4789">
        <v>0</v>
      </c>
      <c r="DQ4789">
        <v>0</v>
      </c>
      <c r="DR4789">
        <v>0</v>
      </c>
      <c r="DS4789">
        <v>0</v>
      </c>
    </row>
    <row r="4790" spans="1:123" x14ac:dyDescent="0.3">
      <c r="A4790" t="str">
        <f>"05/01/2025 15:17:50.996"</f>
        <v>05/01/2025 15:17:50.996</v>
      </c>
      <c r="C4790" t="str">
        <f t="shared" si="1876"/>
        <v>FFDFD3C0</v>
      </c>
      <c r="D4790" t="s">
        <v>136</v>
      </c>
      <c r="E4790" t="str">
        <f>"20"</f>
        <v>20</v>
      </c>
      <c r="H4790">
        <v>400</v>
      </c>
      <c r="I4790" t="s">
        <v>137</v>
      </c>
      <c r="J4790" t="s">
        <v>138</v>
      </c>
      <c r="K4790">
        <v>0</v>
      </c>
      <c r="L4790">
        <v>3</v>
      </c>
      <c r="M4790">
        <v>0</v>
      </c>
      <c r="N4790">
        <v>2</v>
      </c>
      <c r="O4790">
        <v>0</v>
      </c>
      <c r="P4790">
        <v>1</v>
      </c>
      <c r="Q4790">
        <v>0</v>
      </c>
      <c r="R4790" t="s">
        <v>127</v>
      </c>
      <c r="S4790" t="str">
        <f t="shared" ref="S4790:T4795" si="1896">"15:17:50.000"</f>
        <v>15:17:50.000</v>
      </c>
      <c r="T4790" t="str">
        <f t="shared" si="1896"/>
        <v>15:17:50.000</v>
      </c>
      <c r="U4790" t="str">
        <f t="shared" si="1877"/>
        <v>A68FCB</v>
      </c>
      <c r="V4790">
        <v>0</v>
      </c>
      <c r="W4790">
        <v>0</v>
      </c>
      <c r="X4790">
        <v>2</v>
      </c>
      <c r="Y4790">
        <v>0</v>
      </c>
      <c r="AA4790">
        <v>1</v>
      </c>
      <c r="AB4790">
        <v>8</v>
      </c>
      <c r="AC4790">
        <v>3</v>
      </c>
      <c r="AD4790">
        <v>0</v>
      </c>
      <c r="AE4790">
        <v>9</v>
      </c>
      <c r="AF4790" t="s">
        <v>138</v>
      </c>
      <c r="AG4790">
        <v>0</v>
      </c>
      <c r="AH4790">
        <v>3</v>
      </c>
      <c r="AI4790">
        <v>2</v>
      </c>
      <c r="AJ4790">
        <v>0</v>
      </c>
      <c r="AK4790" t="s">
        <v>1525</v>
      </c>
      <c r="AL4790">
        <v>39.225140000000003</v>
      </c>
      <c r="AM4790" t="s">
        <v>1524</v>
      </c>
      <c r="AN4790">
        <v>-121.00030700000001</v>
      </c>
      <c r="AO4790">
        <v>25</v>
      </c>
      <c r="AP4790">
        <v>4100</v>
      </c>
      <c r="AQ4790" t="s">
        <v>131</v>
      </c>
      <c r="AR4790">
        <v>1</v>
      </c>
      <c r="AS4790">
        <v>88</v>
      </c>
      <c r="AT4790">
        <v>-192</v>
      </c>
      <c r="BB4790" t="str">
        <f t="shared" si="1878"/>
        <v>1200</v>
      </c>
      <c r="BC4790">
        <v>1</v>
      </c>
      <c r="BD4790" t="str">
        <f t="shared" si="1879"/>
        <v xml:space="preserve">N52156  </v>
      </c>
      <c r="BE4790">
        <v>1</v>
      </c>
      <c r="BG4790">
        <v>0</v>
      </c>
      <c r="BH4790">
        <v>0</v>
      </c>
      <c r="BI4790">
        <v>0</v>
      </c>
      <c r="BJ4790">
        <v>4125</v>
      </c>
      <c r="BK4790">
        <v>25</v>
      </c>
      <c r="BL4790" t="s">
        <v>188</v>
      </c>
      <c r="BM4790">
        <v>1</v>
      </c>
      <c r="BN4790">
        <v>1</v>
      </c>
      <c r="BO4790">
        <v>0</v>
      </c>
      <c r="BP4790">
        <v>0</v>
      </c>
      <c r="BS4790">
        <v>0</v>
      </c>
      <c r="BT4790">
        <v>0</v>
      </c>
      <c r="BU4790">
        <v>0</v>
      </c>
      <c r="CE4790" t="str">
        <f t="shared" ref="CE4790:CE4795" si="1897">"15:17:50.778"</f>
        <v>15:17:50.778</v>
      </c>
      <c r="CF4790">
        <v>777760825</v>
      </c>
      <c r="CS4790">
        <v>0</v>
      </c>
      <c r="CT4790">
        <v>2</v>
      </c>
      <c r="CU4790">
        <v>0</v>
      </c>
      <c r="CV4790">
        <v>2</v>
      </c>
      <c r="CW4790">
        <v>0</v>
      </c>
      <c r="CX4790">
        <v>3</v>
      </c>
      <c r="CY4790">
        <v>7</v>
      </c>
      <c r="CZ4790" t="s">
        <v>133</v>
      </c>
      <c r="DA4790">
        <v>275</v>
      </c>
      <c r="DB4790">
        <v>0</v>
      </c>
      <c r="DC4790" t="s">
        <v>134</v>
      </c>
      <c r="DD4790" t="s">
        <v>135</v>
      </c>
      <c r="DG4790">
        <v>3323388</v>
      </c>
      <c r="DI4790">
        <v>1</v>
      </c>
      <c r="DJ4790">
        <v>0</v>
      </c>
      <c r="DK4790">
        <v>0</v>
      </c>
      <c r="DL4790">
        <v>0</v>
      </c>
      <c r="DM4790">
        <v>0</v>
      </c>
      <c r="DN4790">
        <v>0</v>
      </c>
      <c r="DO4790">
        <v>0</v>
      </c>
      <c r="DP4790">
        <v>0</v>
      </c>
      <c r="DQ4790">
        <v>0</v>
      </c>
      <c r="DR4790">
        <v>0</v>
      </c>
      <c r="DS4790">
        <v>0</v>
      </c>
    </row>
    <row r="4791" spans="1:123" x14ac:dyDescent="0.3">
      <c r="A4791" t="str">
        <f>"05/01/2025 15:17:51.010"</f>
        <v>05/01/2025 15:17:51.010</v>
      </c>
      <c r="C4791" t="str">
        <f t="shared" si="1876"/>
        <v>FFDFD3C0</v>
      </c>
      <c r="D4791" t="s">
        <v>140</v>
      </c>
      <c r="E4791" t="str">
        <f>"13"</f>
        <v>13</v>
      </c>
      <c r="F4791">
        <v>1019</v>
      </c>
      <c r="G4791" t="s">
        <v>141</v>
      </c>
      <c r="J4791" t="s">
        <v>142</v>
      </c>
      <c r="K4791">
        <v>0</v>
      </c>
      <c r="L4791">
        <v>3</v>
      </c>
      <c r="M4791">
        <v>0</v>
      </c>
      <c r="N4791">
        <v>2</v>
      </c>
      <c r="O4791">
        <v>0</v>
      </c>
      <c r="P4791">
        <v>1</v>
      </c>
      <c r="Q4791">
        <v>0</v>
      </c>
      <c r="R4791" t="s">
        <v>127</v>
      </c>
      <c r="S4791" t="str">
        <f t="shared" si="1896"/>
        <v>15:17:50.000</v>
      </c>
      <c r="T4791" t="str">
        <f t="shared" si="1896"/>
        <v>15:17:50.000</v>
      </c>
      <c r="U4791" t="str">
        <f t="shared" si="1877"/>
        <v>A68FCB</v>
      </c>
      <c r="V4791">
        <v>0</v>
      </c>
      <c r="W4791">
        <v>0</v>
      </c>
      <c r="X4791">
        <v>2</v>
      </c>
      <c r="Y4791">
        <v>0</v>
      </c>
      <c r="AA4791">
        <v>1</v>
      </c>
      <c r="AB4791">
        <v>8</v>
      </c>
      <c r="AC4791">
        <v>3</v>
      </c>
      <c r="AD4791">
        <v>0</v>
      </c>
      <c r="AE4791">
        <v>9</v>
      </c>
      <c r="AF4791" t="s">
        <v>138</v>
      </c>
      <c r="AG4791">
        <v>0</v>
      </c>
      <c r="AH4791">
        <v>3</v>
      </c>
      <c r="AI4791">
        <v>2</v>
      </c>
      <c r="AJ4791">
        <v>0</v>
      </c>
      <c r="AK4791" t="s">
        <v>1525</v>
      </c>
      <c r="AL4791">
        <v>39.225140000000003</v>
      </c>
      <c r="AM4791" t="s">
        <v>1524</v>
      </c>
      <c r="AN4791">
        <v>-121.00030700000001</v>
      </c>
      <c r="AO4791">
        <v>25</v>
      </c>
      <c r="AP4791">
        <v>4100</v>
      </c>
      <c r="AQ4791" t="s">
        <v>131</v>
      </c>
      <c r="AR4791">
        <v>1</v>
      </c>
      <c r="AS4791">
        <v>88</v>
      </c>
      <c r="AT4791">
        <v>-192</v>
      </c>
      <c r="BB4791" t="str">
        <f t="shared" si="1878"/>
        <v>1200</v>
      </c>
      <c r="BC4791">
        <v>1</v>
      </c>
      <c r="BD4791" t="str">
        <f t="shared" si="1879"/>
        <v xml:space="preserve">N52156  </v>
      </c>
      <c r="BE4791">
        <v>1</v>
      </c>
      <c r="BG4791">
        <v>0</v>
      </c>
      <c r="BH4791">
        <v>0</v>
      </c>
      <c r="BI4791">
        <v>0</v>
      </c>
      <c r="BJ4791">
        <v>4125</v>
      </c>
      <c r="BK4791">
        <v>25</v>
      </c>
      <c r="BL4791" t="s">
        <v>188</v>
      </c>
      <c r="BM4791">
        <v>1</v>
      </c>
      <c r="BN4791">
        <v>1</v>
      </c>
      <c r="BO4791">
        <v>0</v>
      </c>
      <c r="BP4791">
        <v>0</v>
      </c>
      <c r="BS4791">
        <v>0</v>
      </c>
      <c r="BT4791">
        <v>0</v>
      </c>
      <c r="BU4791">
        <v>0</v>
      </c>
      <c r="CE4791" t="str">
        <f t="shared" si="1897"/>
        <v>15:17:50.778</v>
      </c>
      <c r="CF4791">
        <v>777760825</v>
      </c>
      <c r="CS4791">
        <v>0</v>
      </c>
      <c r="CT4791">
        <v>2</v>
      </c>
      <c r="CU4791">
        <v>0</v>
      </c>
      <c r="CV4791">
        <v>2</v>
      </c>
      <c r="CW4791">
        <v>0</v>
      </c>
      <c r="CX4791">
        <v>3</v>
      </c>
      <c r="CY4791">
        <v>7</v>
      </c>
      <c r="CZ4791" t="s">
        <v>133</v>
      </c>
      <c r="DA4791">
        <v>275</v>
      </c>
      <c r="DB4791">
        <v>0</v>
      </c>
      <c r="DC4791" t="s">
        <v>134</v>
      </c>
      <c r="DD4791" t="s">
        <v>135</v>
      </c>
      <c r="DG4791">
        <v>3323388</v>
      </c>
      <c r="DI4791">
        <v>1</v>
      </c>
      <c r="DJ4791">
        <v>0</v>
      </c>
      <c r="DK4791">
        <v>1</v>
      </c>
      <c r="DL4791">
        <v>0</v>
      </c>
      <c r="DM4791">
        <v>0</v>
      </c>
      <c r="DN4791">
        <v>0</v>
      </c>
      <c r="DO4791">
        <v>0</v>
      </c>
      <c r="DP4791">
        <v>0</v>
      </c>
      <c r="DQ4791">
        <v>0</v>
      </c>
      <c r="DR4791">
        <v>0</v>
      </c>
      <c r="DS4791">
        <v>0</v>
      </c>
    </row>
    <row r="4792" spans="1:123" x14ac:dyDescent="0.3">
      <c r="A4792" t="str">
        <f>"05/01/2025 15:17:51.013"</f>
        <v>05/01/2025 15:17:51.013</v>
      </c>
      <c r="C4792" t="str">
        <f t="shared" si="1876"/>
        <v>FFDFD3C0</v>
      </c>
      <c r="D4792" t="s">
        <v>124</v>
      </c>
      <c r="E4792" t="str">
        <f>"06"</f>
        <v>06</v>
      </c>
      <c r="F4792">
        <v>2006</v>
      </c>
      <c r="G4792" t="s">
        <v>125</v>
      </c>
      <c r="J4792" t="s">
        <v>126</v>
      </c>
      <c r="K4792">
        <v>0</v>
      </c>
      <c r="L4792">
        <v>3</v>
      </c>
      <c r="M4792">
        <v>0</v>
      </c>
      <c r="N4792">
        <v>2</v>
      </c>
      <c r="O4792">
        <v>0</v>
      </c>
      <c r="P4792">
        <v>1</v>
      </c>
      <c r="Q4792">
        <v>0</v>
      </c>
      <c r="R4792" t="s">
        <v>127</v>
      </c>
      <c r="S4792" t="str">
        <f t="shared" si="1896"/>
        <v>15:17:50.000</v>
      </c>
      <c r="T4792" t="str">
        <f t="shared" si="1896"/>
        <v>15:17:50.000</v>
      </c>
      <c r="U4792" t="str">
        <f t="shared" si="1877"/>
        <v>A68FCB</v>
      </c>
      <c r="V4792">
        <v>0</v>
      </c>
      <c r="W4792">
        <v>0</v>
      </c>
      <c r="X4792">
        <v>2</v>
      </c>
      <c r="Y4792">
        <v>0</v>
      </c>
      <c r="AA4792">
        <v>1</v>
      </c>
      <c r="AB4792">
        <v>8</v>
      </c>
      <c r="AC4792">
        <v>3</v>
      </c>
      <c r="AD4792">
        <v>0</v>
      </c>
      <c r="AE4792">
        <v>9</v>
      </c>
      <c r="AF4792" t="s">
        <v>138</v>
      </c>
      <c r="AG4792">
        <v>0</v>
      </c>
      <c r="AH4792">
        <v>3</v>
      </c>
      <c r="AI4792">
        <v>2</v>
      </c>
      <c r="AJ4792">
        <v>0</v>
      </c>
      <c r="AK4792" t="s">
        <v>1525</v>
      </c>
      <c r="AL4792">
        <v>39.225140000000003</v>
      </c>
      <c r="AM4792" t="s">
        <v>1524</v>
      </c>
      <c r="AN4792">
        <v>-121.00030700000001</v>
      </c>
      <c r="AO4792">
        <v>25</v>
      </c>
      <c r="AP4792">
        <v>4100</v>
      </c>
      <c r="AQ4792" t="s">
        <v>131</v>
      </c>
      <c r="AR4792">
        <v>1</v>
      </c>
      <c r="AS4792">
        <v>88</v>
      </c>
      <c r="AT4792">
        <v>-192</v>
      </c>
      <c r="BB4792" t="str">
        <f t="shared" si="1878"/>
        <v>1200</v>
      </c>
      <c r="BC4792">
        <v>1</v>
      </c>
      <c r="BD4792" t="str">
        <f t="shared" si="1879"/>
        <v xml:space="preserve">N52156  </v>
      </c>
      <c r="BE4792">
        <v>1</v>
      </c>
      <c r="BG4792">
        <v>0</v>
      </c>
      <c r="BH4792">
        <v>0</v>
      </c>
      <c r="BI4792">
        <v>0</v>
      </c>
      <c r="BJ4792">
        <v>4125</v>
      </c>
      <c r="BK4792">
        <v>25</v>
      </c>
      <c r="BL4792" t="s">
        <v>188</v>
      </c>
      <c r="BM4792">
        <v>1</v>
      </c>
      <c r="BN4792">
        <v>1</v>
      </c>
      <c r="BO4792">
        <v>0</v>
      </c>
      <c r="BP4792">
        <v>0</v>
      </c>
      <c r="BS4792">
        <v>0</v>
      </c>
      <c r="BT4792">
        <v>0</v>
      </c>
      <c r="BU4792">
        <v>0</v>
      </c>
      <c r="CE4792" t="str">
        <f t="shared" si="1897"/>
        <v>15:17:50.778</v>
      </c>
      <c r="CF4792">
        <v>777760825</v>
      </c>
      <c r="CS4792">
        <v>0</v>
      </c>
      <c r="CT4792">
        <v>2</v>
      </c>
      <c r="CU4792">
        <v>0</v>
      </c>
      <c r="CV4792">
        <v>2</v>
      </c>
      <c r="CW4792">
        <v>0</v>
      </c>
      <c r="CX4792">
        <v>3</v>
      </c>
      <c r="CY4792">
        <v>7</v>
      </c>
      <c r="CZ4792" t="s">
        <v>133</v>
      </c>
      <c r="DA4792">
        <v>275</v>
      </c>
      <c r="DB4792">
        <v>0</v>
      </c>
      <c r="DC4792" t="s">
        <v>134</v>
      </c>
      <c r="DD4792" t="s">
        <v>135</v>
      </c>
      <c r="DG4792">
        <v>3323388</v>
      </c>
      <c r="DI4792">
        <v>1</v>
      </c>
      <c r="DJ4792">
        <v>0</v>
      </c>
      <c r="DK4792">
        <v>1</v>
      </c>
      <c r="DL4792">
        <v>0</v>
      </c>
      <c r="DM4792">
        <v>0</v>
      </c>
      <c r="DN4792">
        <v>0</v>
      </c>
      <c r="DO4792">
        <v>0</v>
      </c>
      <c r="DP4792">
        <v>0</v>
      </c>
      <c r="DQ4792">
        <v>0</v>
      </c>
      <c r="DR4792">
        <v>0</v>
      </c>
      <c r="DS4792">
        <v>0</v>
      </c>
    </row>
    <row r="4793" spans="1:123" x14ac:dyDescent="0.3">
      <c r="A4793" t="str">
        <f>"05/01/2025 15:17:51.019"</f>
        <v>05/01/2025 15:17:51.019</v>
      </c>
      <c r="C4793" t="str">
        <f t="shared" si="1876"/>
        <v>FFDFD3C0</v>
      </c>
      <c r="D4793" t="s">
        <v>143</v>
      </c>
      <c r="E4793" t="str">
        <f>"05"</f>
        <v>05</v>
      </c>
      <c r="H4793">
        <v>172</v>
      </c>
      <c r="I4793" t="s">
        <v>141</v>
      </c>
      <c r="J4793" t="s">
        <v>144</v>
      </c>
      <c r="K4793">
        <v>0</v>
      </c>
      <c r="L4793">
        <v>3</v>
      </c>
      <c r="M4793">
        <v>0</v>
      </c>
      <c r="N4793">
        <v>2</v>
      </c>
      <c r="O4793">
        <v>0</v>
      </c>
      <c r="P4793">
        <v>1</v>
      </c>
      <c r="Q4793">
        <v>0</v>
      </c>
      <c r="R4793" t="s">
        <v>127</v>
      </c>
      <c r="S4793" t="str">
        <f t="shared" si="1896"/>
        <v>15:17:50.000</v>
      </c>
      <c r="T4793" t="str">
        <f t="shared" si="1896"/>
        <v>15:17:50.000</v>
      </c>
      <c r="U4793" t="str">
        <f t="shared" si="1877"/>
        <v>A68FCB</v>
      </c>
      <c r="V4793">
        <v>0</v>
      </c>
      <c r="W4793">
        <v>0</v>
      </c>
      <c r="X4793">
        <v>2</v>
      </c>
      <c r="Y4793">
        <v>0</v>
      </c>
      <c r="AA4793">
        <v>1</v>
      </c>
      <c r="AB4793">
        <v>8</v>
      </c>
      <c r="AC4793">
        <v>3</v>
      </c>
      <c r="AD4793">
        <v>0</v>
      </c>
      <c r="AE4793">
        <v>9</v>
      </c>
      <c r="AF4793" t="s">
        <v>138</v>
      </c>
      <c r="AG4793">
        <v>0</v>
      </c>
      <c r="AH4793">
        <v>3</v>
      </c>
      <c r="AI4793">
        <v>2</v>
      </c>
      <c r="AJ4793">
        <v>0</v>
      </c>
      <c r="AK4793" t="s">
        <v>1525</v>
      </c>
      <c r="AL4793">
        <v>39.225140000000003</v>
      </c>
      <c r="AM4793" t="s">
        <v>1524</v>
      </c>
      <c r="AN4793">
        <v>-121.00030700000001</v>
      </c>
      <c r="AO4793">
        <v>25</v>
      </c>
      <c r="AP4793">
        <v>4100</v>
      </c>
      <c r="AQ4793" t="s">
        <v>131</v>
      </c>
      <c r="AR4793">
        <v>1</v>
      </c>
      <c r="AS4793">
        <v>88</v>
      </c>
      <c r="AT4793">
        <v>-192</v>
      </c>
      <c r="BB4793" t="str">
        <f t="shared" si="1878"/>
        <v>1200</v>
      </c>
      <c r="BC4793">
        <v>1</v>
      </c>
      <c r="BD4793" t="str">
        <f t="shared" si="1879"/>
        <v xml:space="preserve">N52156  </v>
      </c>
      <c r="BE4793">
        <v>1</v>
      </c>
      <c r="BG4793">
        <v>0</v>
      </c>
      <c r="BH4793">
        <v>0</v>
      </c>
      <c r="BI4793">
        <v>0</v>
      </c>
      <c r="BJ4793">
        <v>4125</v>
      </c>
      <c r="BK4793">
        <v>25</v>
      </c>
      <c r="BL4793" t="s">
        <v>188</v>
      </c>
      <c r="BM4793">
        <v>1</v>
      </c>
      <c r="BN4793">
        <v>1</v>
      </c>
      <c r="BO4793">
        <v>0</v>
      </c>
      <c r="BP4793">
        <v>0</v>
      </c>
      <c r="BS4793">
        <v>0</v>
      </c>
      <c r="BT4793">
        <v>0</v>
      </c>
      <c r="BU4793">
        <v>0</v>
      </c>
      <c r="CE4793" t="str">
        <f t="shared" si="1897"/>
        <v>15:17:50.778</v>
      </c>
      <c r="CF4793">
        <v>777760825</v>
      </c>
      <c r="CS4793">
        <v>0</v>
      </c>
      <c r="CT4793">
        <v>2</v>
      </c>
      <c r="CU4793">
        <v>0</v>
      </c>
      <c r="CV4793">
        <v>2</v>
      </c>
      <c r="CW4793">
        <v>0</v>
      </c>
      <c r="CX4793">
        <v>3</v>
      </c>
      <c r="CY4793">
        <v>7</v>
      </c>
      <c r="CZ4793" t="s">
        <v>133</v>
      </c>
      <c r="DA4793">
        <v>275</v>
      </c>
      <c r="DB4793">
        <v>0</v>
      </c>
      <c r="DC4793" t="s">
        <v>134</v>
      </c>
      <c r="DD4793" t="s">
        <v>135</v>
      </c>
      <c r="DG4793">
        <v>3323388</v>
      </c>
      <c r="DI4793">
        <v>1</v>
      </c>
      <c r="DJ4793">
        <v>0</v>
      </c>
      <c r="DK4793">
        <v>1</v>
      </c>
      <c r="DL4793">
        <v>0</v>
      </c>
      <c r="DM4793">
        <v>0</v>
      </c>
      <c r="DN4793">
        <v>0</v>
      </c>
      <c r="DO4793">
        <v>0</v>
      </c>
      <c r="DP4793">
        <v>0</v>
      </c>
      <c r="DQ4793">
        <v>0</v>
      </c>
      <c r="DR4793">
        <v>0</v>
      </c>
      <c r="DS4793">
        <v>0</v>
      </c>
    </row>
    <row r="4794" spans="1:123" x14ac:dyDescent="0.3">
      <c r="A4794" t="str">
        <f>"05/01/2025 15:17:51.032"</f>
        <v>05/01/2025 15:17:51.032</v>
      </c>
      <c r="C4794" t="str">
        <f t="shared" si="1876"/>
        <v>FFDFD3C0</v>
      </c>
      <c r="D4794" t="s">
        <v>145</v>
      </c>
      <c r="E4794" t="str">
        <f>"09"</f>
        <v>09</v>
      </c>
      <c r="H4794">
        <v>51</v>
      </c>
      <c r="I4794" t="s">
        <v>147</v>
      </c>
      <c r="J4794" t="s">
        <v>138</v>
      </c>
      <c r="K4794">
        <v>0</v>
      </c>
      <c r="L4794">
        <v>3</v>
      </c>
      <c r="M4794">
        <v>0</v>
      </c>
      <c r="N4794">
        <v>2</v>
      </c>
      <c r="O4794">
        <v>0</v>
      </c>
      <c r="P4794">
        <v>1</v>
      </c>
      <c r="Q4794">
        <v>0</v>
      </c>
      <c r="R4794" t="s">
        <v>127</v>
      </c>
      <c r="S4794" t="str">
        <f t="shared" si="1896"/>
        <v>15:17:50.000</v>
      </c>
      <c r="T4794" t="str">
        <f t="shared" si="1896"/>
        <v>15:17:50.000</v>
      </c>
      <c r="U4794" t="str">
        <f t="shared" si="1877"/>
        <v>A68FCB</v>
      </c>
      <c r="V4794">
        <v>0</v>
      </c>
      <c r="W4794">
        <v>0</v>
      </c>
      <c r="X4794">
        <v>2</v>
      </c>
      <c r="Y4794">
        <v>0</v>
      </c>
      <c r="AA4794">
        <v>1</v>
      </c>
      <c r="AB4794">
        <v>8</v>
      </c>
      <c r="AC4794">
        <v>3</v>
      </c>
      <c r="AD4794">
        <v>0</v>
      </c>
      <c r="AE4794">
        <v>9</v>
      </c>
      <c r="AF4794" t="s">
        <v>138</v>
      </c>
      <c r="AG4794">
        <v>0</v>
      </c>
      <c r="AH4794">
        <v>3</v>
      </c>
      <c r="AI4794">
        <v>2</v>
      </c>
      <c r="AJ4794">
        <v>0</v>
      </c>
      <c r="AK4794" t="s">
        <v>1525</v>
      </c>
      <c r="AL4794">
        <v>39.225140000000003</v>
      </c>
      <c r="AM4794" t="s">
        <v>1524</v>
      </c>
      <c r="AN4794">
        <v>-121.00030700000001</v>
      </c>
      <c r="AO4794">
        <v>25</v>
      </c>
      <c r="AP4794">
        <v>4100</v>
      </c>
      <c r="AQ4794" t="s">
        <v>131</v>
      </c>
      <c r="AR4794">
        <v>1</v>
      </c>
      <c r="AS4794">
        <v>88</v>
      </c>
      <c r="AT4794">
        <v>-192</v>
      </c>
      <c r="BB4794" t="str">
        <f t="shared" si="1878"/>
        <v>1200</v>
      </c>
      <c r="BC4794">
        <v>1</v>
      </c>
      <c r="BD4794" t="str">
        <f t="shared" si="1879"/>
        <v xml:space="preserve">N52156  </v>
      </c>
      <c r="BE4794">
        <v>1</v>
      </c>
      <c r="BG4794">
        <v>0</v>
      </c>
      <c r="BH4794">
        <v>0</v>
      </c>
      <c r="BI4794">
        <v>0</v>
      </c>
      <c r="BJ4794">
        <v>4125</v>
      </c>
      <c r="BK4794">
        <v>25</v>
      </c>
      <c r="BL4794" t="s">
        <v>188</v>
      </c>
      <c r="BM4794">
        <v>1</v>
      </c>
      <c r="BN4794">
        <v>1</v>
      </c>
      <c r="BO4794">
        <v>0</v>
      </c>
      <c r="BP4794">
        <v>0</v>
      </c>
      <c r="BS4794">
        <v>0</v>
      </c>
      <c r="BT4794">
        <v>0</v>
      </c>
      <c r="BU4794">
        <v>0</v>
      </c>
      <c r="CE4794" t="str">
        <f t="shared" si="1897"/>
        <v>15:17:50.778</v>
      </c>
      <c r="CF4794">
        <v>777760825</v>
      </c>
      <c r="CS4794">
        <v>0</v>
      </c>
      <c r="CT4794">
        <v>2</v>
      </c>
      <c r="CU4794">
        <v>0</v>
      </c>
      <c r="CV4794">
        <v>2</v>
      </c>
      <c r="CW4794">
        <v>0</v>
      </c>
      <c r="CX4794">
        <v>3</v>
      </c>
      <c r="CY4794">
        <v>7</v>
      </c>
      <c r="CZ4794" t="s">
        <v>133</v>
      </c>
      <c r="DA4794">
        <v>275</v>
      </c>
      <c r="DB4794">
        <v>0</v>
      </c>
      <c r="DC4794" t="s">
        <v>134</v>
      </c>
      <c r="DD4794" t="s">
        <v>135</v>
      </c>
      <c r="DG4794">
        <v>3323388</v>
      </c>
      <c r="DI4794">
        <v>1</v>
      </c>
      <c r="DJ4794">
        <v>0</v>
      </c>
      <c r="DK4794">
        <v>1</v>
      </c>
      <c r="DL4794">
        <v>0</v>
      </c>
      <c r="DM4794">
        <v>0</v>
      </c>
      <c r="DN4794">
        <v>0</v>
      </c>
      <c r="DO4794">
        <v>0</v>
      </c>
      <c r="DP4794">
        <v>0</v>
      </c>
      <c r="DQ4794">
        <v>0</v>
      </c>
      <c r="DR4794">
        <v>0</v>
      </c>
      <c r="DS4794">
        <v>0</v>
      </c>
    </row>
    <row r="4795" spans="1:123" x14ac:dyDescent="0.3">
      <c r="A4795" t="str">
        <f>"05/01/2025 15:17:51.036"</f>
        <v>05/01/2025 15:17:51.036</v>
      </c>
      <c r="C4795" t="str">
        <f t="shared" si="1876"/>
        <v>FFDFD3C0</v>
      </c>
      <c r="D4795" t="s">
        <v>145</v>
      </c>
      <c r="E4795" t="str">
        <f>"05"</f>
        <v>05</v>
      </c>
      <c r="H4795">
        <v>47</v>
      </c>
      <c r="I4795" t="s">
        <v>146</v>
      </c>
      <c r="J4795" t="s">
        <v>138</v>
      </c>
      <c r="K4795">
        <v>0</v>
      </c>
      <c r="L4795">
        <v>3</v>
      </c>
      <c r="M4795">
        <v>0</v>
      </c>
      <c r="N4795">
        <v>2</v>
      </c>
      <c r="O4795">
        <v>0</v>
      </c>
      <c r="P4795">
        <v>1</v>
      </c>
      <c r="Q4795">
        <v>0</v>
      </c>
      <c r="R4795" t="s">
        <v>127</v>
      </c>
      <c r="S4795" t="str">
        <f t="shared" si="1896"/>
        <v>15:17:50.000</v>
      </c>
      <c r="T4795" t="str">
        <f t="shared" si="1896"/>
        <v>15:17:50.000</v>
      </c>
      <c r="U4795" t="str">
        <f t="shared" si="1877"/>
        <v>A68FCB</v>
      </c>
      <c r="V4795">
        <v>0</v>
      </c>
      <c r="W4795">
        <v>0</v>
      </c>
      <c r="X4795">
        <v>2</v>
      </c>
      <c r="Y4795">
        <v>0</v>
      </c>
      <c r="AA4795">
        <v>1</v>
      </c>
      <c r="AB4795">
        <v>8</v>
      </c>
      <c r="AC4795">
        <v>3</v>
      </c>
      <c r="AD4795">
        <v>0</v>
      </c>
      <c r="AE4795">
        <v>9</v>
      </c>
      <c r="AF4795" t="s">
        <v>138</v>
      </c>
      <c r="AG4795">
        <v>0</v>
      </c>
      <c r="AH4795">
        <v>3</v>
      </c>
      <c r="AI4795">
        <v>2</v>
      </c>
      <c r="AJ4795">
        <v>0</v>
      </c>
      <c r="AK4795" t="s">
        <v>1525</v>
      </c>
      <c r="AL4795">
        <v>39.225140000000003</v>
      </c>
      <c r="AM4795" t="s">
        <v>1524</v>
      </c>
      <c r="AN4795">
        <v>-121.00030700000001</v>
      </c>
      <c r="AO4795">
        <v>25</v>
      </c>
      <c r="AP4795">
        <v>4100</v>
      </c>
      <c r="AQ4795" t="s">
        <v>131</v>
      </c>
      <c r="AR4795">
        <v>1</v>
      </c>
      <c r="AS4795">
        <v>88</v>
      </c>
      <c r="AT4795">
        <v>-192</v>
      </c>
      <c r="BB4795" t="str">
        <f t="shared" si="1878"/>
        <v>1200</v>
      </c>
      <c r="BC4795">
        <v>1</v>
      </c>
      <c r="BD4795" t="str">
        <f t="shared" si="1879"/>
        <v xml:space="preserve">N52156  </v>
      </c>
      <c r="BE4795">
        <v>1</v>
      </c>
      <c r="BG4795">
        <v>0</v>
      </c>
      <c r="BH4795">
        <v>0</v>
      </c>
      <c r="BI4795">
        <v>0</v>
      </c>
      <c r="BJ4795">
        <v>4125</v>
      </c>
      <c r="BK4795">
        <v>25</v>
      </c>
      <c r="BL4795" t="s">
        <v>188</v>
      </c>
      <c r="BM4795">
        <v>1</v>
      </c>
      <c r="BN4795">
        <v>1</v>
      </c>
      <c r="BO4795">
        <v>0</v>
      </c>
      <c r="BP4795">
        <v>0</v>
      </c>
      <c r="BS4795">
        <v>0</v>
      </c>
      <c r="BT4795">
        <v>0</v>
      </c>
      <c r="BU4795">
        <v>0</v>
      </c>
      <c r="CE4795" t="str">
        <f t="shared" si="1897"/>
        <v>15:17:50.778</v>
      </c>
      <c r="CF4795">
        <v>777760825</v>
      </c>
      <c r="CS4795">
        <v>0</v>
      </c>
      <c r="CT4795">
        <v>2</v>
      </c>
      <c r="CU4795">
        <v>0</v>
      </c>
      <c r="CV4795">
        <v>2</v>
      </c>
      <c r="CW4795">
        <v>0</v>
      </c>
      <c r="CX4795">
        <v>3</v>
      </c>
      <c r="CY4795">
        <v>7</v>
      </c>
      <c r="CZ4795" t="s">
        <v>133</v>
      </c>
      <c r="DA4795">
        <v>275</v>
      </c>
      <c r="DB4795">
        <v>0</v>
      </c>
      <c r="DC4795" t="s">
        <v>134</v>
      </c>
      <c r="DD4795" t="s">
        <v>135</v>
      </c>
      <c r="DG4795">
        <v>3323388</v>
      </c>
      <c r="DI4795">
        <v>1</v>
      </c>
      <c r="DJ4795">
        <v>0</v>
      </c>
      <c r="DK4795">
        <v>1</v>
      </c>
      <c r="DL4795">
        <v>0</v>
      </c>
      <c r="DM4795">
        <v>0</v>
      </c>
      <c r="DN4795">
        <v>0</v>
      </c>
      <c r="DO4795">
        <v>0</v>
      </c>
      <c r="DP4795">
        <v>0</v>
      </c>
      <c r="DQ4795">
        <v>0</v>
      </c>
      <c r="DR4795">
        <v>0</v>
      </c>
      <c r="DS4795">
        <v>0</v>
      </c>
    </row>
    <row r="4796" spans="1:123" x14ac:dyDescent="0.3">
      <c r="A4796" t="str">
        <f>"05/01/2025 15:17:51.898"</f>
        <v>05/01/2025 15:17:51.898</v>
      </c>
      <c r="C4796" t="str">
        <f t="shared" si="1876"/>
        <v>FFDFD3C0</v>
      </c>
      <c r="D4796" t="s">
        <v>136</v>
      </c>
      <c r="E4796" t="str">
        <f>"20"</f>
        <v>20</v>
      </c>
      <c r="H4796">
        <v>400</v>
      </c>
      <c r="I4796" t="s">
        <v>137</v>
      </c>
      <c r="J4796" t="s">
        <v>138</v>
      </c>
      <c r="K4796">
        <v>0</v>
      </c>
      <c r="L4796">
        <v>3</v>
      </c>
      <c r="M4796">
        <v>0</v>
      </c>
      <c r="N4796">
        <v>2</v>
      </c>
      <c r="O4796">
        <v>0</v>
      </c>
      <c r="P4796">
        <v>1</v>
      </c>
      <c r="Q4796">
        <v>0</v>
      </c>
      <c r="R4796" t="s">
        <v>127</v>
      </c>
      <c r="S4796" t="str">
        <f t="shared" ref="S4796:T4801" si="1898">"15:17:51.000"</f>
        <v>15:17:51.000</v>
      </c>
      <c r="T4796" t="str">
        <f t="shared" si="1898"/>
        <v>15:17:51.000</v>
      </c>
      <c r="U4796" t="str">
        <f t="shared" si="1877"/>
        <v>A68FCB</v>
      </c>
      <c r="V4796">
        <v>0</v>
      </c>
      <c r="W4796">
        <v>0</v>
      </c>
      <c r="X4796">
        <v>2</v>
      </c>
      <c r="Y4796">
        <v>0</v>
      </c>
      <c r="AA4796">
        <v>1</v>
      </c>
      <c r="AB4796">
        <v>8</v>
      </c>
      <c r="AC4796">
        <v>3</v>
      </c>
      <c r="AD4796">
        <v>0</v>
      </c>
      <c r="AE4796">
        <v>9</v>
      </c>
      <c r="AF4796" t="s">
        <v>138</v>
      </c>
      <c r="AG4796">
        <v>0</v>
      </c>
      <c r="AH4796">
        <v>3</v>
      </c>
      <c r="AI4796">
        <v>2</v>
      </c>
      <c r="AJ4796">
        <v>0</v>
      </c>
      <c r="AK4796" t="s">
        <v>1526</v>
      </c>
      <c r="AL4796">
        <v>39.225546999999999</v>
      </c>
      <c r="AM4796" t="s">
        <v>1527</v>
      </c>
      <c r="AN4796">
        <v>-121.00028500000001</v>
      </c>
      <c r="AO4796">
        <v>25</v>
      </c>
      <c r="AP4796">
        <v>4100</v>
      </c>
      <c r="AQ4796" t="s">
        <v>131</v>
      </c>
      <c r="AR4796">
        <v>1</v>
      </c>
      <c r="AS4796">
        <v>88</v>
      </c>
      <c r="AT4796">
        <v>-192</v>
      </c>
      <c r="BB4796" t="str">
        <f t="shared" si="1878"/>
        <v>1200</v>
      </c>
      <c r="BC4796">
        <v>1</v>
      </c>
      <c r="BD4796" t="str">
        <f t="shared" si="1879"/>
        <v xml:space="preserve">N52156  </v>
      </c>
      <c r="BE4796">
        <v>1</v>
      </c>
      <c r="BG4796">
        <v>0</v>
      </c>
      <c r="BH4796">
        <v>0</v>
      </c>
      <c r="BI4796">
        <v>0</v>
      </c>
      <c r="BJ4796">
        <v>4125</v>
      </c>
      <c r="BK4796">
        <v>25</v>
      </c>
      <c r="BL4796" t="s">
        <v>188</v>
      </c>
      <c r="BM4796">
        <v>1</v>
      </c>
      <c r="BN4796">
        <v>1</v>
      </c>
      <c r="BO4796">
        <v>0</v>
      </c>
      <c r="BP4796">
        <v>0</v>
      </c>
      <c r="BS4796">
        <v>0</v>
      </c>
      <c r="BT4796">
        <v>0</v>
      </c>
      <c r="BU4796">
        <v>0</v>
      </c>
      <c r="CE4796" t="str">
        <f t="shared" ref="CE4796:CE4801" si="1899">"15:17:51.670"</f>
        <v>15:17:51.670</v>
      </c>
      <c r="CF4796">
        <v>670260615</v>
      </c>
      <c r="CS4796">
        <v>0</v>
      </c>
      <c r="CT4796">
        <v>2</v>
      </c>
      <c r="CU4796">
        <v>0</v>
      </c>
      <c r="CV4796">
        <v>2</v>
      </c>
      <c r="CW4796">
        <v>0</v>
      </c>
      <c r="CX4796">
        <v>3</v>
      </c>
      <c r="CY4796">
        <v>7</v>
      </c>
      <c r="CZ4796" t="s">
        <v>133</v>
      </c>
      <c r="DA4796">
        <v>275</v>
      </c>
      <c r="DB4796">
        <v>0</v>
      </c>
      <c r="DC4796" t="s">
        <v>134</v>
      </c>
      <c r="DD4796" t="s">
        <v>135</v>
      </c>
      <c r="DG4796">
        <v>3323392</v>
      </c>
      <c r="DI4796">
        <v>1</v>
      </c>
      <c r="DJ4796">
        <v>0</v>
      </c>
      <c r="DK4796">
        <v>0</v>
      </c>
      <c r="DL4796">
        <v>0</v>
      </c>
      <c r="DM4796">
        <v>0</v>
      </c>
      <c r="DN4796">
        <v>0</v>
      </c>
      <c r="DO4796">
        <v>0</v>
      </c>
      <c r="DP4796">
        <v>0</v>
      </c>
      <c r="DQ4796">
        <v>0</v>
      </c>
      <c r="DR4796">
        <v>0</v>
      </c>
      <c r="DS4796">
        <v>0</v>
      </c>
    </row>
    <row r="4797" spans="1:123" x14ac:dyDescent="0.3">
      <c r="A4797" t="str">
        <f>"05/01/2025 15:17:51.912"</f>
        <v>05/01/2025 15:17:51.912</v>
      </c>
      <c r="C4797" t="str">
        <f t="shared" si="1876"/>
        <v>FFDFD3C0</v>
      </c>
      <c r="D4797" t="s">
        <v>140</v>
      </c>
      <c r="E4797" t="str">
        <f>"13"</f>
        <v>13</v>
      </c>
      <c r="F4797">
        <v>1019</v>
      </c>
      <c r="G4797" t="s">
        <v>141</v>
      </c>
      <c r="J4797" t="s">
        <v>142</v>
      </c>
      <c r="K4797">
        <v>0</v>
      </c>
      <c r="L4797">
        <v>3</v>
      </c>
      <c r="M4797">
        <v>0</v>
      </c>
      <c r="N4797">
        <v>2</v>
      </c>
      <c r="O4797">
        <v>0</v>
      </c>
      <c r="P4797">
        <v>1</v>
      </c>
      <c r="Q4797">
        <v>0</v>
      </c>
      <c r="R4797" t="s">
        <v>127</v>
      </c>
      <c r="S4797" t="str">
        <f t="shared" si="1898"/>
        <v>15:17:51.000</v>
      </c>
      <c r="T4797" t="str">
        <f t="shared" si="1898"/>
        <v>15:17:51.000</v>
      </c>
      <c r="U4797" t="str">
        <f t="shared" si="1877"/>
        <v>A68FCB</v>
      </c>
      <c r="V4797">
        <v>0</v>
      </c>
      <c r="W4797">
        <v>0</v>
      </c>
      <c r="X4797">
        <v>2</v>
      </c>
      <c r="Y4797">
        <v>0</v>
      </c>
      <c r="AA4797">
        <v>1</v>
      </c>
      <c r="AB4797">
        <v>8</v>
      </c>
      <c r="AC4797">
        <v>3</v>
      </c>
      <c r="AD4797">
        <v>0</v>
      </c>
      <c r="AE4797">
        <v>9</v>
      </c>
      <c r="AF4797" t="s">
        <v>138</v>
      </c>
      <c r="AG4797">
        <v>0</v>
      </c>
      <c r="AH4797">
        <v>3</v>
      </c>
      <c r="AI4797">
        <v>2</v>
      </c>
      <c r="AJ4797">
        <v>0</v>
      </c>
      <c r="AK4797" t="s">
        <v>1526</v>
      </c>
      <c r="AL4797">
        <v>39.225546999999999</v>
      </c>
      <c r="AM4797" t="s">
        <v>1527</v>
      </c>
      <c r="AN4797">
        <v>-121.00028500000001</v>
      </c>
      <c r="AO4797">
        <v>25</v>
      </c>
      <c r="AP4797">
        <v>4100</v>
      </c>
      <c r="AQ4797" t="s">
        <v>131</v>
      </c>
      <c r="AR4797">
        <v>1</v>
      </c>
      <c r="AS4797">
        <v>88</v>
      </c>
      <c r="AT4797">
        <v>-192</v>
      </c>
      <c r="BB4797" t="str">
        <f t="shared" si="1878"/>
        <v>1200</v>
      </c>
      <c r="BC4797">
        <v>1</v>
      </c>
      <c r="BD4797" t="str">
        <f t="shared" si="1879"/>
        <v xml:space="preserve">N52156  </v>
      </c>
      <c r="BE4797">
        <v>1</v>
      </c>
      <c r="BG4797">
        <v>0</v>
      </c>
      <c r="BH4797">
        <v>0</v>
      </c>
      <c r="BI4797">
        <v>0</v>
      </c>
      <c r="BJ4797">
        <v>4125</v>
      </c>
      <c r="BK4797">
        <v>25</v>
      </c>
      <c r="BL4797" t="s">
        <v>188</v>
      </c>
      <c r="BM4797">
        <v>1</v>
      </c>
      <c r="BN4797">
        <v>1</v>
      </c>
      <c r="BO4797">
        <v>0</v>
      </c>
      <c r="BP4797">
        <v>0</v>
      </c>
      <c r="BS4797">
        <v>0</v>
      </c>
      <c r="BT4797">
        <v>0</v>
      </c>
      <c r="BU4797">
        <v>0</v>
      </c>
      <c r="CE4797" t="str">
        <f t="shared" si="1899"/>
        <v>15:17:51.670</v>
      </c>
      <c r="CF4797">
        <v>670260615</v>
      </c>
      <c r="CS4797">
        <v>0</v>
      </c>
      <c r="CT4797">
        <v>2</v>
      </c>
      <c r="CU4797">
        <v>0</v>
      </c>
      <c r="CV4797">
        <v>2</v>
      </c>
      <c r="CW4797">
        <v>0</v>
      </c>
      <c r="CX4797">
        <v>3</v>
      </c>
      <c r="CY4797">
        <v>7</v>
      </c>
      <c r="CZ4797" t="s">
        <v>133</v>
      </c>
      <c r="DA4797">
        <v>275</v>
      </c>
      <c r="DB4797">
        <v>0</v>
      </c>
      <c r="DC4797" t="s">
        <v>134</v>
      </c>
      <c r="DD4797" t="s">
        <v>135</v>
      </c>
      <c r="DG4797">
        <v>3323392</v>
      </c>
      <c r="DI4797">
        <v>1</v>
      </c>
      <c r="DJ4797">
        <v>0</v>
      </c>
      <c r="DK4797">
        <v>1</v>
      </c>
      <c r="DL4797">
        <v>0</v>
      </c>
      <c r="DM4797">
        <v>0</v>
      </c>
      <c r="DN4797">
        <v>0</v>
      </c>
      <c r="DO4797">
        <v>0</v>
      </c>
      <c r="DP4797">
        <v>0</v>
      </c>
      <c r="DQ4797">
        <v>0</v>
      </c>
      <c r="DR4797">
        <v>0</v>
      </c>
      <c r="DS4797">
        <v>0</v>
      </c>
    </row>
    <row r="4798" spans="1:123" x14ac:dyDescent="0.3">
      <c r="A4798" t="str">
        <f>"05/01/2025 15:17:51.915"</f>
        <v>05/01/2025 15:17:51.915</v>
      </c>
      <c r="C4798" t="str">
        <f t="shared" si="1876"/>
        <v>FFDFD3C0</v>
      </c>
      <c r="D4798" t="s">
        <v>124</v>
      </c>
      <c r="E4798" t="str">
        <f>"06"</f>
        <v>06</v>
      </c>
      <c r="F4798">
        <v>2006</v>
      </c>
      <c r="G4798" t="s">
        <v>125</v>
      </c>
      <c r="J4798" t="s">
        <v>126</v>
      </c>
      <c r="K4798">
        <v>0</v>
      </c>
      <c r="L4798">
        <v>3</v>
      </c>
      <c r="M4798">
        <v>0</v>
      </c>
      <c r="N4798">
        <v>2</v>
      </c>
      <c r="O4798">
        <v>0</v>
      </c>
      <c r="P4798">
        <v>1</v>
      </c>
      <c r="Q4798">
        <v>0</v>
      </c>
      <c r="R4798" t="s">
        <v>127</v>
      </c>
      <c r="S4798" t="str">
        <f t="shared" si="1898"/>
        <v>15:17:51.000</v>
      </c>
      <c r="T4798" t="str">
        <f t="shared" si="1898"/>
        <v>15:17:51.000</v>
      </c>
      <c r="U4798" t="str">
        <f t="shared" si="1877"/>
        <v>A68FCB</v>
      </c>
      <c r="V4798">
        <v>0</v>
      </c>
      <c r="W4798">
        <v>0</v>
      </c>
      <c r="X4798">
        <v>2</v>
      </c>
      <c r="Y4798">
        <v>0</v>
      </c>
      <c r="AA4798">
        <v>1</v>
      </c>
      <c r="AB4798">
        <v>8</v>
      </c>
      <c r="AC4798">
        <v>3</v>
      </c>
      <c r="AD4798">
        <v>0</v>
      </c>
      <c r="AE4798">
        <v>9</v>
      </c>
      <c r="AF4798" t="s">
        <v>138</v>
      </c>
      <c r="AG4798">
        <v>0</v>
      </c>
      <c r="AH4798">
        <v>3</v>
      </c>
      <c r="AI4798">
        <v>2</v>
      </c>
      <c r="AJ4798">
        <v>0</v>
      </c>
      <c r="AK4798" t="s">
        <v>1526</v>
      </c>
      <c r="AL4798">
        <v>39.225546999999999</v>
      </c>
      <c r="AM4798" t="s">
        <v>1527</v>
      </c>
      <c r="AN4798">
        <v>-121.00028500000001</v>
      </c>
      <c r="AO4798">
        <v>25</v>
      </c>
      <c r="AP4798">
        <v>4100</v>
      </c>
      <c r="AQ4798" t="s">
        <v>131</v>
      </c>
      <c r="AR4798">
        <v>1</v>
      </c>
      <c r="AS4798">
        <v>88</v>
      </c>
      <c r="AT4798">
        <v>-192</v>
      </c>
      <c r="BB4798" t="str">
        <f t="shared" si="1878"/>
        <v>1200</v>
      </c>
      <c r="BC4798">
        <v>1</v>
      </c>
      <c r="BD4798" t="str">
        <f t="shared" si="1879"/>
        <v xml:space="preserve">N52156  </v>
      </c>
      <c r="BE4798">
        <v>1</v>
      </c>
      <c r="BG4798">
        <v>0</v>
      </c>
      <c r="BH4798">
        <v>0</v>
      </c>
      <c r="BI4798">
        <v>0</v>
      </c>
      <c r="BJ4798">
        <v>4125</v>
      </c>
      <c r="BK4798">
        <v>25</v>
      </c>
      <c r="BL4798" t="s">
        <v>188</v>
      </c>
      <c r="BM4798">
        <v>1</v>
      </c>
      <c r="BN4798">
        <v>1</v>
      </c>
      <c r="BO4798">
        <v>0</v>
      </c>
      <c r="BP4798">
        <v>0</v>
      </c>
      <c r="BS4798">
        <v>0</v>
      </c>
      <c r="BT4798">
        <v>0</v>
      </c>
      <c r="BU4798">
        <v>0</v>
      </c>
      <c r="CE4798" t="str">
        <f t="shared" si="1899"/>
        <v>15:17:51.670</v>
      </c>
      <c r="CF4798">
        <v>670260615</v>
      </c>
      <c r="CS4798">
        <v>0</v>
      </c>
      <c r="CT4798">
        <v>2</v>
      </c>
      <c r="CU4798">
        <v>0</v>
      </c>
      <c r="CV4798">
        <v>2</v>
      </c>
      <c r="CW4798">
        <v>0</v>
      </c>
      <c r="CX4798">
        <v>3</v>
      </c>
      <c r="CY4798">
        <v>7</v>
      </c>
      <c r="CZ4798" t="s">
        <v>133</v>
      </c>
      <c r="DA4798">
        <v>275</v>
      </c>
      <c r="DB4798">
        <v>0</v>
      </c>
      <c r="DC4798" t="s">
        <v>134</v>
      </c>
      <c r="DD4798" t="s">
        <v>135</v>
      </c>
      <c r="DG4798">
        <v>3323392</v>
      </c>
      <c r="DI4798">
        <v>1</v>
      </c>
      <c r="DJ4798">
        <v>0</v>
      </c>
      <c r="DK4798">
        <v>1</v>
      </c>
      <c r="DL4798">
        <v>0</v>
      </c>
      <c r="DM4798">
        <v>0</v>
      </c>
      <c r="DN4798">
        <v>0</v>
      </c>
      <c r="DO4798">
        <v>0</v>
      </c>
      <c r="DP4798">
        <v>0</v>
      </c>
      <c r="DQ4798">
        <v>0</v>
      </c>
      <c r="DR4798">
        <v>0</v>
      </c>
      <c r="DS4798">
        <v>0</v>
      </c>
    </row>
    <row r="4799" spans="1:123" x14ac:dyDescent="0.3">
      <c r="A4799" t="str">
        <f>"05/01/2025 15:17:51.920"</f>
        <v>05/01/2025 15:17:51.920</v>
      </c>
      <c r="C4799" t="str">
        <f t="shared" si="1876"/>
        <v>FFDFD3C0</v>
      </c>
      <c r="D4799" t="s">
        <v>143</v>
      </c>
      <c r="E4799" t="str">
        <f>"05"</f>
        <v>05</v>
      </c>
      <c r="H4799">
        <v>172</v>
      </c>
      <c r="I4799" t="s">
        <v>141</v>
      </c>
      <c r="J4799" t="s">
        <v>144</v>
      </c>
      <c r="K4799">
        <v>0</v>
      </c>
      <c r="L4799">
        <v>3</v>
      </c>
      <c r="M4799">
        <v>0</v>
      </c>
      <c r="N4799">
        <v>2</v>
      </c>
      <c r="O4799">
        <v>0</v>
      </c>
      <c r="P4799">
        <v>1</v>
      </c>
      <c r="Q4799">
        <v>0</v>
      </c>
      <c r="R4799" t="s">
        <v>127</v>
      </c>
      <c r="S4799" t="str">
        <f t="shared" si="1898"/>
        <v>15:17:51.000</v>
      </c>
      <c r="T4799" t="str">
        <f t="shared" si="1898"/>
        <v>15:17:51.000</v>
      </c>
      <c r="U4799" t="str">
        <f t="shared" si="1877"/>
        <v>A68FCB</v>
      </c>
      <c r="V4799">
        <v>0</v>
      </c>
      <c r="W4799">
        <v>0</v>
      </c>
      <c r="X4799">
        <v>2</v>
      </c>
      <c r="Y4799">
        <v>0</v>
      </c>
      <c r="AA4799">
        <v>1</v>
      </c>
      <c r="AB4799">
        <v>8</v>
      </c>
      <c r="AC4799">
        <v>3</v>
      </c>
      <c r="AD4799">
        <v>0</v>
      </c>
      <c r="AE4799">
        <v>9</v>
      </c>
      <c r="AF4799" t="s">
        <v>138</v>
      </c>
      <c r="AG4799">
        <v>0</v>
      </c>
      <c r="AH4799">
        <v>3</v>
      </c>
      <c r="AI4799">
        <v>2</v>
      </c>
      <c r="AJ4799">
        <v>0</v>
      </c>
      <c r="AK4799" t="s">
        <v>1526</v>
      </c>
      <c r="AL4799">
        <v>39.225546999999999</v>
      </c>
      <c r="AM4799" t="s">
        <v>1527</v>
      </c>
      <c r="AN4799">
        <v>-121.00028500000001</v>
      </c>
      <c r="AO4799">
        <v>25</v>
      </c>
      <c r="AP4799">
        <v>4100</v>
      </c>
      <c r="AQ4799" t="s">
        <v>131</v>
      </c>
      <c r="AR4799">
        <v>1</v>
      </c>
      <c r="AS4799">
        <v>88</v>
      </c>
      <c r="AT4799">
        <v>-192</v>
      </c>
      <c r="BB4799" t="str">
        <f t="shared" si="1878"/>
        <v>1200</v>
      </c>
      <c r="BC4799">
        <v>1</v>
      </c>
      <c r="BD4799" t="str">
        <f t="shared" si="1879"/>
        <v xml:space="preserve">N52156  </v>
      </c>
      <c r="BE4799">
        <v>1</v>
      </c>
      <c r="BG4799">
        <v>0</v>
      </c>
      <c r="BH4799">
        <v>0</v>
      </c>
      <c r="BI4799">
        <v>0</v>
      </c>
      <c r="BJ4799">
        <v>4125</v>
      </c>
      <c r="BK4799">
        <v>25</v>
      </c>
      <c r="BL4799" t="s">
        <v>188</v>
      </c>
      <c r="BM4799">
        <v>1</v>
      </c>
      <c r="BN4799">
        <v>1</v>
      </c>
      <c r="BO4799">
        <v>0</v>
      </c>
      <c r="BP4799">
        <v>0</v>
      </c>
      <c r="BS4799">
        <v>0</v>
      </c>
      <c r="BT4799">
        <v>0</v>
      </c>
      <c r="BU4799">
        <v>0</v>
      </c>
      <c r="CE4799" t="str">
        <f t="shared" si="1899"/>
        <v>15:17:51.670</v>
      </c>
      <c r="CF4799">
        <v>670260615</v>
      </c>
      <c r="CS4799">
        <v>0</v>
      </c>
      <c r="CT4799">
        <v>2</v>
      </c>
      <c r="CU4799">
        <v>0</v>
      </c>
      <c r="CV4799">
        <v>2</v>
      </c>
      <c r="CW4799">
        <v>0</v>
      </c>
      <c r="CX4799">
        <v>3</v>
      </c>
      <c r="CY4799">
        <v>7</v>
      </c>
      <c r="CZ4799" t="s">
        <v>133</v>
      </c>
      <c r="DA4799">
        <v>275</v>
      </c>
      <c r="DB4799">
        <v>0</v>
      </c>
      <c r="DC4799" t="s">
        <v>134</v>
      </c>
      <c r="DD4799" t="s">
        <v>135</v>
      </c>
      <c r="DG4799">
        <v>3323392</v>
      </c>
      <c r="DI4799">
        <v>1</v>
      </c>
      <c r="DJ4799">
        <v>0</v>
      </c>
      <c r="DK4799">
        <v>1</v>
      </c>
      <c r="DL4799">
        <v>0</v>
      </c>
      <c r="DM4799">
        <v>0</v>
      </c>
      <c r="DN4799">
        <v>0</v>
      </c>
      <c r="DO4799">
        <v>0</v>
      </c>
      <c r="DP4799">
        <v>0</v>
      </c>
      <c r="DQ4799">
        <v>0</v>
      </c>
      <c r="DR4799">
        <v>0</v>
      </c>
      <c r="DS4799">
        <v>0</v>
      </c>
    </row>
    <row r="4800" spans="1:123" x14ac:dyDescent="0.3">
      <c r="A4800" t="str">
        <f>"05/01/2025 15:17:51.934"</f>
        <v>05/01/2025 15:17:51.934</v>
      </c>
      <c r="C4800" t="str">
        <f t="shared" si="1876"/>
        <v>FFDFD3C0</v>
      </c>
      <c r="D4800" t="s">
        <v>145</v>
      </c>
      <c r="E4800" t="str">
        <f>"09"</f>
        <v>09</v>
      </c>
      <c r="H4800">
        <v>51</v>
      </c>
      <c r="I4800" t="s">
        <v>147</v>
      </c>
      <c r="J4800" t="s">
        <v>138</v>
      </c>
      <c r="K4800">
        <v>0</v>
      </c>
      <c r="L4800">
        <v>3</v>
      </c>
      <c r="M4800">
        <v>0</v>
      </c>
      <c r="N4800">
        <v>2</v>
      </c>
      <c r="O4800">
        <v>0</v>
      </c>
      <c r="P4800">
        <v>1</v>
      </c>
      <c r="Q4800">
        <v>0</v>
      </c>
      <c r="R4800" t="s">
        <v>127</v>
      </c>
      <c r="S4800" t="str">
        <f t="shared" si="1898"/>
        <v>15:17:51.000</v>
      </c>
      <c r="T4800" t="str">
        <f t="shared" si="1898"/>
        <v>15:17:51.000</v>
      </c>
      <c r="U4800" t="str">
        <f t="shared" si="1877"/>
        <v>A68FCB</v>
      </c>
      <c r="V4800">
        <v>0</v>
      </c>
      <c r="W4800">
        <v>0</v>
      </c>
      <c r="X4800">
        <v>2</v>
      </c>
      <c r="Y4800">
        <v>0</v>
      </c>
      <c r="AA4800">
        <v>1</v>
      </c>
      <c r="AB4800">
        <v>8</v>
      </c>
      <c r="AC4800">
        <v>3</v>
      </c>
      <c r="AD4800">
        <v>0</v>
      </c>
      <c r="AE4800">
        <v>9</v>
      </c>
      <c r="AF4800" t="s">
        <v>138</v>
      </c>
      <c r="AG4800">
        <v>0</v>
      </c>
      <c r="AH4800">
        <v>3</v>
      </c>
      <c r="AI4800">
        <v>2</v>
      </c>
      <c r="AJ4800">
        <v>0</v>
      </c>
      <c r="AK4800" t="s">
        <v>1526</v>
      </c>
      <c r="AL4800">
        <v>39.225546999999999</v>
      </c>
      <c r="AM4800" t="s">
        <v>1527</v>
      </c>
      <c r="AN4800">
        <v>-121.00028500000001</v>
      </c>
      <c r="AO4800">
        <v>25</v>
      </c>
      <c r="AP4800">
        <v>4100</v>
      </c>
      <c r="AQ4800" t="s">
        <v>131</v>
      </c>
      <c r="AR4800">
        <v>1</v>
      </c>
      <c r="AS4800">
        <v>88</v>
      </c>
      <c r="AT4800">
        <v>-192</v>
      </c>
      <c r="BB4800" t="str">
        <f t="shared" si="1878"/>
        <v>1200</v>
      </c>
      <c r="BC4800">
        <v>1</v>
      </c>
      <c r="BD4800" t="str">
        <f t="shared" si="1879"/>
        <v xml:space="preserve">N52156  </v>
      </c>
      <c r="BE4800">
        <v>1</v>
      </c>
      <c r="BG4800">
        <v>0</v>
      </c>
      <c r="BH4800">
        <v>0</v>
      </c>
      <c r="BI4800">
        <v>0</v>
      </c>
      <c r="BJ4800">
        <v>4125</v>
      </c>
      <c r="BK4800">
        <v>25</v>
      </c>
      <c r="BL4800" t="s">
        <v>188</v>
      </c>
      <c r="BM4800">
        <v>1</v>
      </c>
      <c r="BN4800">
        <v>1</v>
      </c>
      <c r="BO4800">
        <v>0</v>
      </c>
      <c r="BP4800">
        <v>0</v>
      </c>
      <c r="BS4800">
        <v>0</v>
      </c>
      <c r="BT4800">
        <v>0</v>
      </c>
      <c r="BU4800">
        <v>0</v>
      </c>
      <c r="CE4800" t="str">
        <f t="shared" si="1899"/>
        <v>15:17:51.670</v>
      </c>
      <c r="CF4800">
        <v>670260615</v>
      </c>
      <c r="CS4800">
        <v>0</v>
      </c>
      <c r="CT4800">
        <v>2</v>
      </c>
      <c r="CU4800">
        <v>0</v>
      </c>
      <c r="CV4800">
        <v>2</v>
      </c>
      <c r="CW4800">
        <v>0</v>
      </c>
      <c r="CX4800">
        <v>3</v>
      </c>
      <c r="CY4800">
        <v>7</v>
      </c>
      <c r="CZ4800" t="s">
        <v>133</v>
      </c>
      <c r="DA4800">
        <v>275</v>
      </c>
      <c r="DB4800">
        <v>0</v>
      </c>
      <c r="DC4800" t="s">
        <v>134</v>
      </c>
      <c r="DD4800" t="s">
        <v>135</v>
      </c>
      <c r="DG4800">
        <v>3323392</v>
      </c>
      <c r="DI4800">
        <v>1</v>
      </c>
      <c r="DJ4800">
        <v>0</v>
      </c>
      <c r="DK4800">
        <v>1</v>
      </c>
      <c r="DL4800">
        <v>0</v>
      </c>
      <c r="DM4800">
        <v>0</v>
      </c>
      <c r="DN4800">
        <v>0</v>
      </c>
      <c r="DO4800">
        <v>0</v>
      </c>
      <c r="DP4800">
        <v>0</v>
      </c>
      <c r="DQ4800">
        <v>0</v>
      </c>
      <c r="DR4800">
        <v>0</v>
      </c>
      <c r="DS4800">
        <v>0</v>
      </c>
    </row>
    <row r="4801" spans="1:123" x14ac:dyDescent="0.3">
      <c r="A4801" t="str">
        <f>"05/01/2025 15:17:51.937"</f>
        <v>05/01/2025 15:17:51.937</v>
      </c>
      <c r="C4801" t="str">
        <f t="shared" si="1876"/>
        <v>FFDFD3C0</v>
      </c>
      <c r="D4801" t="s">
        <v>145</v>
      </c>
      <c r="E4801" t="str">
        <f>"05"</f>
        <v>05</v>
      </c>
      <c r="H4801">
        <v>47</v>
      </c>
      <c r="I4801" t="s">
        <v>146</v>
      </c>
      <c r="J4801" t="s">
        <v>138</v>
      </c>
      <c r="K4801">
        <v>0</v>
      </c>
      <c r="L4801">
        <v>3</v>
      </c>
      <c r="M4801">
        <v>0</v>
      </c>
      <c r="N4801">
        <v>2</v>
      </c>
      <c r="O4801">
        <v>0</v>
      </c>
      <c r="P4801">
        <v>1</v>
      </c>
      <c r="Q4801">
        <v>0</v>
      </c>
      <c r="R4801" t="s">
        <v>127</v>
      </c>
      <c r="S4801" t="str">
        <f t="shared" si="1898"/>
        <v>15:17:51.000</v>
      </c>
      <c r="T4801" t="str">
        <f t="shared" si="1898"/>
        <v>15:17:51.000</v>
      </c>
      <c r="U4801" t="str">
        <f t="shared" si="1877"/>
        <v>A68FCB</v>
      </c>
      <c r="V4801">
        <v>0</v>
      </c>
      <c r="W4801">
        <v>0</v>
      </c>
      <c r="X4801">
        <v>2</v>
      </c>
      <c r="Y4801">
        <v>0</v>
      </c>
      <c r="AA4801">
        <v>1</v>
      </c>
      <c r="AB4801">
        <v>8</v>
      </c>
      <c r="AC4801">
        <v>3</v>
      </c>
      <c r="AD4801">
        <v>0</v>
      </c>
      <c r="AE4801">
        <v>9</v>
      </c>
      <c r="AF4801" t="s">
        <v>138</v>
      </c>
      <c r="AG4801">
        <v>0</v>
      </c>
      <c r="AH4801">
        <v>3</v>
      </c>
      <c r="AI4801">
        <v>2</v>
      </c>
      <c r="AJ4801">
        <v>0</v>
      </c>
      <c r="AK4801" t="s">
        <v>1526</v>
      </c>
      <c r="AL4801">
        <v>39.225546999999999</v>
      </c>
      <c r="AM4801" t="s">
        <v>1527</v>
      </c>
      <c r="AN4801">
        <v>-121.00028500000001</v>
      </c>
      <c r="AO4801">
        <v>25</v>
      </c>
      <c r="AP4801">
        <v>4100</v>
      </c>
      <c r="AQ4801" t="s">
        <v>131</v>
      </c>
      <c r="AR4801">
        <v>1</v>
      </c>
      <c r="AS4801">
        <v>88</v>
      </c>
      <c r="AT4801">
        <v>-192</v>
      </c>
      <c r="BB4801" t="str">
        <f t="shared" si="1878"/>
        <v>1200</v>
      </c>
      <c r="BC4801">
        <v>1</v>
      </c>
      <c r="BD4801" t="str">
        <f t="shared" si="1879"/>
        <v xml:space="preserve">N52156  </v>
      </c>
      <c r="BE4801">
        <v>1</v>
      </c>
      <c r="BG4801">
        <v>0</v>
      </c>
      <c r="BH4801">
        <v>0</v>
      </c>
      <c r="BI4801">
        <v>0</v>
      </c>
      <c r="BJ4801">
        <v>4125</v>
      </c>
      <c r="BK4801">
        <v>25</v>
      </c>
      <c r="BL4801" t="s">
        <v>188</v>
      </c>
      <c r="BM4801">
        <v>1</v>
      </c>
      <c r="BN4801">
        <v>1</v>
      </c>
      <c r="BO4801">
        <v>0</v>
      </c>
      <c r="BP4801">
        <v>0</v>
      </c>
      <c r="BS4801">
        <v>0</v>
      </c>
      <c r="BT4801">
        <v>0</v>
      </c>
      <c r="BU4801">
        <v>0</v>
      </c>
      <c r="CE4801" t="str">
        <f t="shared" si="1899"/>
        <v>15:17:51.670</v>
      </c>
      <c r="CF4801">
        <v>670260615</v>
      </c>
      <c r="CS4801">
        <v>0</v>
      </c>
      <c r="CT4801">
        <v>2</v>
      </c>
      <c r="CU4801">
        <v>0</v>
      </c>
      <c r="CV4801">
        <v>2</v>
      </c>
      <c r="CW4801">
        <v>0</v>
      </c>
      <c r="CX4801">
        <v>3</v>
      </c>
      <c r="CY4801">
        <v>7</v>
      </c>
      <c r="CZ4801" t="s">
        <v>133</v>
      </c>
      <c r="DA4801">
        <v>275</v>
      </c>
      <c r="DB4801">
        <v>0</v>
      </c>
      <c r="DC4801" t="s">
        <v>134</v>
      </c>
      <c r="DD4801" t="s">
        <v>135</v>
      </c>
      <c r="DG4801">
        <v>3323392</v>
      </c>
      <c r="DI4801">
        <v>1</v>
      </c>
      <c r="DJ4801">
        <v>0</v>
      </c>
      <c r="DK4801">
        <v>1</v>
      </c>
      <c r="DL4801">
        <v>0</v>
      </c>
      <c r="DM4801">
        <v>0</v>
      </c>
      <c r="DN4801">
        <v>0</v>
      </c>
      <c r="DO4801">
        <v>0</v>
      </c>
      <c r="DP4801">
        <v>0</v>
      </c>
      <c r="DQ4801">
        <v>0</v>
      </c>
      <c r="DR4801">
        <v>0</v>
      </c>
      <c r="DS4801">
        <v>0</v>
      </c>
    </row>
    <row r="4802" spans="1:123" x14ac:dyDescent="0.3">
      <c r="A4802" t="str">
        <f>"05/01/2025 15:17:53.186"</f>
        <v>05/01/2025 15:17:53.186</v>
      </c>
      <c r="C4802" t="str">
        <f t="shared" ref="C4802:C4865" si="1900">"FFDFD3C0"</f>
        <v>FFDFD3C0</v>
      </c>
      <c r="D4802" t="s">
        <v>145</v>
      </c>
      <c r="E4802" t="str">
        <f>"09"</f>
        <v>09</v>
      </c>
      <c r="H4802">
        <v>51</v>
      </c>
      <c r="I4802" t="s">
        <v>147</v>
      </c>
      <c r="J4802" t="s">
        <v>138</v>
      </c>
      <c r="K4802">
        <v>0</v>
      </c>
      <c r="L4802">
        <v>3</v>
      </c>
      <c r="M4802">
        <v>0</v>
      </c>
      <c r="N4802">
        <v>2</v>
      </c>
      <c r="O4802">
        <v>0</v>
      </c>
      <c r="P4802">
        <v>1</v>
      </c>
      <c r="Q4802">
        <v>0</v>
      </c>
      <c r="R4802" t="s">
        <v>127</v>
      </c>
      <c r="S4802" t="str">
        <f t="shared" ref="S4802:T4807" si="1901">"15:17:52.000"</f>
        <v>15:17:52.000</v>
      </c>
      <c r="T4802" t="str">
        <f t="shared" si="1901"/>
        <v>15:17:52.000</v>
      </c>
      <c r="U4802" t="str">
        <f t="shared" ref="U4802:U4865" si="1902">"A68FCB"</f>
        <v>A68FCB</v>
      </c>
      <c r="V4802">
        <v>0</v>
      </c>
      <c r="W4802">
        <v>0</v>
      </c>
      <c r="X4802">
        <v>2</v>
      </c>
      <c r="Y4802">
        <v>0</v>
      </c>
      <c r="AA4802">
        <v>1</v>
      </c>
      <c r="AB4802">
        <v>8</v>
      </c>
      <c r="AC4802">
        <v>3</v>
      </c>
      <c r="AD4802">
        <v>0</v>
      </c>
      <c r="AE4802">
        <v>9</v>
      </c>
      <c r="AF4802" t="s">
        <v>138</v>
      </c>
      <c r="AG4802">
        <v>0</v>
      </c>
      <c r="AH4802">
        <v>3</v>
      </c>
      <c r="AI4802">
        <v>2</v>
      </c>
      <c r="AJ4802">
        <v>0</v>
      </c>
      <c r="AK4802" t="s">
        <v>1528</v>
      </c>
      <c r="AL4802">
        <v>39.225976000000003</v>
      </c>
      <c r="AM4802" t="s">
        <v>1527</v>
      </c>
      <c r="AN4802">
        <v>-121.00028500000001</v>
      </c>
      <c r="AO4802">
        <v>25</v>
      </c>
      <c r="AP4802">
        <v>4000</v>
      </c>
      <c r="AQ4802" t="s">
        <v>131</v>
      </c>
      <c r="AR4802">
        <v>0</v>
      </c>
      <c r="AS4802">
        <v>88</v>
      </c>
      <c r="AT4802">
        <v>-192</v>
      </c>
      <c r="BB4802" t="str">
        <f t="shared" ref="BB4802:BB4865" si="1903">"1200"</f>
        <v>1200</v>
      </c>
      <c r="BC4802">
        <v>1</v>
      </c>
      <c r="BD4802" t="str">
        <f t="shared" ref="BD4802:BD4865" si="1904">"N52156  "</f>
        <v xml:space="preserve">N52156  </v>
      </c>
      <c r="BE4802">
        <v>1</v>
      </c>
      <c r="BG4802">
        <v>0</v>
      </c>
      <c r="BH4802">
        <v>0</v>
      </c>
      <c r="BI4802">
        <v>0</v>
      </c>
      <c r="BJ4802">
        <v>4125</v>
      </c>
      <c r="BK4802">
        <v>125</v>
      </c>
      <c r="BL4802" t="s">
        <v>188</v>
      </c>
      <c r="BM4802">
        <v>1</v>
      </c>
      <c r="BN4802">
        <v>1</v>
      </c>
      <c r="BO4802">
        <v>0</v>
      </c>
      <c r="BP4802">
        <v>0</v>
      </c>
      <c r="BS4802">
        <v>0</v>
      </c>
      <c r="BT4802">
        <v>0</v>
      </c>
      <c r="BU4802">
        <v>0</v>
      </c>
      <c r="CE4802" t="str">
        <f t="shared" ref="CE4802:CE4807" si="1905">"15:17:52.982"</f>
        <v>15:17:52.982</v>
      </c>
      <c r="CF4802">
        <v>982011511</v>
      </c>
      <c r="CS4802">
        <v>0</v>
      </c>
      <c r="CT4802">
        <v>2</v>
      </c>
      <c r="CU4802">
        <v>0</v>
      </c>
      <c r="CV4802">
        <v>2</v>
      </c>
      <c r="CW4802">
        <v>0</v>
      </c>
      <c r="CX4802">
        <v>3</v>
      </c>
      <c r="CY4802">
        <v>7</v>
      </c>
      <c r="CZ4802" t="s">
        <v>133</v>
      </c>
      <c r="DA4802">
        <v>275</v>
      </c>
      <c r="DB4802">
        <v>0</v>
      </c>
      <c r="DC4802" t="s">
        <v>134</v>
      </c>
      <c r="DD4802" t="s">
        <v>135</v>
      </c>
      <c r="DG4802">
        <v>3323395</v>
      </c>
      <c r="DI4802">
        <v>1</v>
      </c>
      <c r="DJ4802">
        <v>0</v>
      </c>
      <c r="DK4802">
        <v>0</v>
      </c>
      <c r="DL4802">
        <v>0</v>
      </c>
      <c r="DM4802">
        <v>0</v>
      </c>
      <c r="DN4802">
        <v>0</v>
      </c>
      <c r="DO4802">
        <v>0</v>
      </c>
      <c r="DP4802">
        <v>0</v>
      </c>
      <c r="DQ4802">
        <v>0</v>
      </c>
      <c r="DR4802">
        <v>0</v>
      </c>
      <c r="DS4802">
        <v>0</v>
      </c>
    </row>
    <row r="4803" spans="1:123" x14ac:dyDescent="0.3">
      <c r="A4803" t="str">
        <f>"05/01/2025 15:17:53.189"</f>
        <v>05/01/2025 15:17:53.189</v>
      </c>
      <c r="C4803" t="str">
        <f t="shared" si="1900"/>
        <v>FFDFD3C0</v>
      </c>
      <c r="D4803" t="s">
        <v>145</v>
      </c>
      <c r="E4803" t="str">
        <f>"05"</f>
        <v>05</v>
      </c>
      <c r="H4803">
        <v>47</v>
      </c>
      <c r="I4803" t="s">
        <v>146</v>
      </c>
      <c r="J4803" t="s">
        <v>138</v>
      </c>
      <c r="K4803">
        <v>0</v>
      </c>
      <c r="L4803">
        <v>3</v>
      </c>
      <c r="M4803">
        <v>0</v>
      </c>
      <c r="N4803">
        <v>2</v>
      </c>
      <c r="O4803">
        <v>0</v>
      </c>
      <c r="P4803">
        <v>1</v>
      </c>
      <c r="Q4803">
        <v>0</v>
      </c>
      <c r="R4803" t="s">
        <v>127</v>
      </c>
      <c r="S4803" t="str">
        <f t="shared" si="1901"/>
        <v>15:17:52.000</v>
      </c>
      <c r="T4803" t="str">
        <f t="shared" si="1901"/>
        <v>15:17:52.000</v>
      </c>
      <c r="U4803" t="str">
        <f t="shared" si="1902"/>
        <v>A68FCB</v>
      </c>
      <c r="V4803">
        <v>0</v>
      </c>
      <c r="W4803">
        <v>0</v>
      </c>
      <c r="X4803">
        <v>2</v>
      </c>
      <c r="Y4803">
        <v>0</v>
      </c>
      <c r="AA4803">
        <v>1</v>
      </c>
      <c r="AB4803">
        <v>8</v>
      </c>
      <c r="AC4803">
        <v>3</v>
      </c>
      <c r="AD4803">
        <v>0</v>
      </c>
      <c r="AE4803">
        <v>9</v>
      </c>
      <c r="AF4803" t="s">
        <v>138</v>
      </c>
      <c r="AG4803">
        <v>0</v>
      </c>
      <c r="AH4803">
        <v>3</v>
      </c>
      <c r="AI4803">
        <v>2</v>
      </c>
      <c r="AJ4803">
        <v>0</v>
      </c>
      <c r="AK4803" t="s">
        <v>1528</v>
      </c>
      <c r="AL4803">
        <v>39.225976000000003</v>
      </c>
      <c r="AM4803" t="s">
        <v>1527</v>
      </c>
      <c r="AN4803">
        <v>-121.00028500000001</v>
      </c>
      <c r="AO4803">
        <v>25</v>
      </c>
      <c r="AP4803">
        <v>4000</v>
      </c>
      <c r="AQ4803" t="s">
        <v>131</v>
      </c>
      <c r="AR4803">
        <v>0</v>
      </c>
      <c r="AS4803">
        <v>88</v>
      </c>
      <c r="AT4803">
        <v>-192</v>
      </c>
      <c r="BB4803" t="str">
        <f t="shared" si="1903"/>
        <v>1200</v>
      </c>
      <c r="BC4803">
        <v>1</v>
      </c>
      <c r="BD4803" t="str">
        <f t="shared" si="1904"/>
        <v xml:space="preserve">N52156  </v>
      </c>
      <c r="BE4803">
        <v>1</v>
      </c>
      <c r="BG4803">
        <v>0</v>
      </c>
      <c r="BH4803">
        <v>0</v>
      </c>
      <c r="BI4803">
        <v>0</v>
      </c>
      <c r="BJ4803">
        <v>4125</v>
      </c>
      <c r="BK4803">
        <v>125</v>
      </c>
      <c r="BL4803" t="s">
        <v>188</v>
      </c>
      <c r="BM4803">
        <v>1</v>
      </c>
      <c r="BN4803">
        <v>1</v>
      </c>
      <c r="BO4803">
        <v>0</v>
      </c>
      <c r="BP4803">
        <v>0</v>
      </c>
      <c r="BS4803">
        <v>0</v>
      </c>
      <c r="BT4803">
        <v>0</v>
      </c>
      <c r="BU4803">
        <v>0</v>
      </c>
      <c r="CE4803" t="str">
        <f t="shared" si="1905"/>
        <v>15:17:52.982</v>
      </c>
      <c r="CF4803">
        <v>982011511</v>
      </c>
      <c r="CS4803">
        <v>0</v>
      </c>
      <c r="CT4803">
        <v>2</v>
      </c>
      <c r="CU4803">
        <v>0</v>
      </c>
      <c r="CV4803">
        <v>2</v>
      </c>
      <c r="CW4803">
        <v>0</v>
      </c>
      <c r="CX4803">
        <v>3</v>
      </c>
      <c r="CY4803">
        <v>7</v>
      </c>
      <c r="CZ4803" t="s">
        <v>133</v>
      </c>
      <c r="DA4803">
        <v>275</v>
      </c>
      <c r="DB4803">
        <v>0</v>
      </c>
      <c r="DC4803" t="s">
        <v>134</v>
      </c>
      <c r="DD4803" t="s">
        <v>135</v>
      </c>
      <c r="DG4803">
        <v>3323395</v>
      </c>
      <c r="DI4803">
        <v>1</v>
      </c>
      <c r="DJ4803">
        <v>0</v>
      </c>
      <c r="DK4803">
        <v>1</v>
      </c>
      <c r="DL4803">
        <v>0</v>
      </c>
      <c r="DM4803">
        <v>0</v>
      </c>
      <c r="DN4803">
        <v>0</v>
      </c>
      <c r="DO4803">
        <v>0</v>
      </c>
      <c r="DP4803">
        <v>0</v>
      </c>
      <c r="DQ4803">
        <v>0</v>
      </c>
      <c r="DR4803">
        <v>0</v>
      </c>
      <c r="DS4803">
        <v>0</v>
      </c>
    </row>
    <row r="4804" spans="1:123" x14ac:dyDescent="0.3">
      <c r="A4804" t="str">
        <f>"05/01/2025 15:17:53.200"</f>
        <v>05/01/2025 15:17:53.200</v>
      </c>
      <c r="C4804" t="str">
        <f t="shared" si="1900"/>
        <v>FFDFD3C0</v>
      </c>
      <c r="D4804" t="s">
        <v>136</v>
      </c>
      <c r="E4804" t="str">
        <f>"20"</f>
        <v>20</v>
      </c>
      <c r="H4804">
        <v>400</v>
      </c>
      <c r="I4804" t="s">
        <v>137</v>
      </c>
      <c r="J4804" t="s">
        <v>138</v>
      </c>
      <c r="K4804">
        <v>0</v>
      </c>
      <c r="L4804">
        <v>3</v>
      </c>
      <c r="M4804">
        <v>0</v>
      </c>
      <c r="N4804">
        <v>2</v>
      </c>
      <c r="O4804">
        <v>0</v>
      </c>
      <c r="P4804">
        <v>1</v>
      </c>
      <c r="Q4804">
        <v>0</v>
      </c>
      <c r="R4804" t="s">
        <v>127</v>
      </c>
      <c r="S4804" t="str">
        <f t="shared" si="1901"/>
        <v>15:17:52.000</v>
      </c>
      <c r="T4804" t="str">
        <f t="shared" si="1901"/>
        <v>15:17:52.000</v>
      </c>
      <c r="U4804" t="str">
        <f t="shared" si="1902"/>
        <v>A68FCB</v>
      </c>
      <c r="V4804">
        <v>0</v>
      </c>
      <c r="W4804">
        <v>0</v>
      </c>
      <c r="X4804">
        <v>2</v>
      </c>
      <c r="Y4804">
        <v>0</v>
      </c>
      <c r="AA4804">
        <v>1</v>
      </c>
      <c r="AB4804">
        <v>8</v>
      </c>
      <c r="AC4804">
        <v>3</v>
      </c>
      <c r="AD4804">
        <v>0</v>
      </c>
      <c r="AE4804">
        <v>9</v>
      </c>
      <c r="AF4804" t="s">
        <v>138</v>
      </c>
      <c r="AG4804">
        <v>0</v>
      </c>
      <c r="AH4804">
        <v>3</v>
      </c>
      <c r="AI4804">
        <v>2</v>
      </c>
      <c r="AJ4804">
        <v>0</v>
      </c>
      <c r="AK4804" t="s">
        <v>1528</v>
      </c>
      <c r="AL4804">
        <v>39.225976000000003</v>
      </c>
      <c r="AM4804" t="s">
        <v>1527</v>
      </c>
      <c r="AN4804">
        <v>-121.00028500000001</v>
      </c>
      <c r="AO4804">
        <v>25</v>
      </c>
      <c r="AP4804">
        <v>4000</v>
      </c>
      <c r="AQ4804" t="s">
        <v>131</v>
      </c>
      <c r="AR4804">
        <v>0</v>
      </c>
      <c r="AS4804">
        <v>88</v>
      </c>
      <c r="AT4804">
        <v>-192</v>
      </c>
      <c r="BB4804" t="str">
        <f t="shared" si="1903"/>
        <v>1200</v>
      </c>
      <c r="BC4804">
        <v>1</v>
      </c>
      <c r="BD4804" t="str">
        <f t="shared" si="1904"/>
        <v xml:space="preserve">N52156  </v>
      </c>
      <c r="BE4804">
        <v>1</v>
      </c>
      <c r="BG4804">
        <v>0</v>
      </c>
      <c r="BH4804">
        <v>0</v>
      </c>
      <c r="BI4804">
        <v>0</v>
      </c>
      <c r="BJ4804">
        <v>4125</v>
      </c>
      <c r="BK4804">
        <v>125</v>
      </c>
      <c r="BL4804" t="s">
        <v>188</v>
      </c>
      <c r="BM4804">
        <v>1</v>
      </c>
      <c r="BN4804">
        <v>1</v>
      </c>
      <c r="BO4804">
        <v>0</v>
      </c>
      <c r="BP4804">
        <v>0</v>
      </c>
      <c r="BS4804">
        <v>0</v>
      </c>
      <c r="BT4804">
        <v>0</v>
      </c>
      <c r="BU4804">
        <v>0</v>
      </c>
      <c r="CE4804" t="str">
        <f t="shared" si="1905"/>
        <v>15:17:52.982</v>
      </c>
      <c r="CF4804">
        <v>982011511</v>
      </c>
      <c r="CS4804">
        <v>0</v>
      </c>
      <c r="CT4804">
        <v>2</v>
      </c>
      <c r="CU4804">
        <v>0</v>
      </c>
      <c r="CV4804">
        <v>2</v>
      </c>
      <c r="CW4804">
        <v>0</v>
      </c>
      <c r="CX4804">
        <v>3</v>
      </c>
      <c r="CY4804">
        <v>7</v>
      </c>
      <c r="CZ4804" t="s">
        <v>133</v>
      </c>
      <c r="DA4804">
        <v>275</v>
      </c>
      <c r="DB4804">
        <v>0</v>
      </c>
      <c r="DC4804" t="s">
        <v>134</v>
      </c>
      <c r="DD4804" t="s">
        <v>135</v>
      </c>
      <c r="DG4804">
        <v>3323395</v>
      </c>
      <c r="DI4804">
        <v>1</v>
      </c>
      <c r="DJ4804">
        <v>0</v>
      </c>
      <c r="DK4804">
        <v>1</v>
      </c>
      <c r="DL4804">
        <v>0</v>
      </c>
      <c r="DM4804">
        <v>0</v>
      </c>
      <c r="DN4804">
        <v>0</v>
      </c>
      <c r="DO4804">
        <v>0</v>
      </c>
      <c r="DP4804">
        <v>0</v>
      </c>
      <c r="DQ4804">
        <v>0</v>
      </c>
      <c r="DR4804">
        <v>0</v>
      </c>
      <c r="DS4804">
        <v>0</v>
      </c>
    </row>
    <row r="4805" spans="1:123" x14ac:dyDescent="0.3">
      <c r="A4805" t="str">
        <f>"05/01/2025 15:17:53.214"</f>
        <v>05/01/2025 15:17:53.214</v>
      </c>
      <c r="C4805" t="str">
        <f t="shared" si="1900"/>
        <v>FFDFD3C0</v>
      </c>
      <c r="D4805" t="s">
        <v>140</v>
      </c>
      <c r="E4805" t="str">
        <f>"13"</f>
        <v>13</v>
      </c>
      <c r="F4805">
        <v>1019</v>
      </c>
      <c r="G4805" t="s">
        <v>141</v>
      </c>
      <c r="J4805" t="s">
        <v>142</v>
      </c>
      <c r="K4805">
        <v>0</v>
      </c>
      <c r="L4805">
        <v>3</v>
      </c>
      <c r="M4805">
        <v>0</v>
      </c>
      <c r="N4805">
        <v>2</v>
      </c>
      <c r="O4805">
        <v>0</v>
      </c>
      <c r="P4805">
        <v>1</v>
      </c>
      <c r="Q4805">
        <v>0</v>
      </c>
      <c r="R4805" t="s">
        <v>127</v>
      </c>
      <c r="S4805" t="str">
        <f t="shared" si="1901"/>
        <v>15:17:52.000</v>
      </c>
      <c r="T4805" t="str">
        <f t="shared" si="1901"/>
        <v>15:17:52.000</v>
      </c>
      <c r="U4805" t="str">
        <f t="shared" si="1902"/>
        <v>A68FCB</v>
      </c>
      <c r="V4805">
        <v>0</v>
      </c>
      <c r="W4805">
        <v>0</v>
      </c>
      <c r="X4805">
        <v>2</v>
      </c>
      <c r="Y4805">
        <v>0</v>
      </c>
      <c r="AA4805">
        <v>1</v>
      </c>
      <c r="AB4805">
        <v>8</v>
      </c>
      <c r="AC4805">
        <v>3</v>
      </c>
      <c r="AD4805">
        <v>0</v>
      </c>
      <c r="AE4805">
        <v>9</v>
      </c>
      <c r="AF4805" t="s">
        <v>138</v>
      </c>
      <c r="AG4805">
        <v>0</v>
      </c>
      <c r="AH4805">
        <v>3</v>
      </c>
      <c r="AI4805">
        <v>2</v>
      </c>
      <c r="AJ4805">
        <v>0</v>
      </c>
      <c r="AK4805" t="s">
        <v>1528</v>
      </c>
      <c r="AL4805">
        <v>39.225976000000003</v>
      </c>
      <c r="AM4805" t="s">
        <v>1527</v>
      </c>
      <c r="AN4805">
        <v>-121.00028500000001</v>
      </c>
      <c r="AO4805">
        <v>25</v>
      </c>
      <c r="AP4805">
        <v>4000</v>
      </c>
      <c r="AQ4805" t="s">
        <v>131</v>
      </c>
      <c r="AR4805">
        <v>0</v>
      </c>
      <c r="AS4805">
        <v>88</v>
      </c>
      <c r="AT4805">
        <v>-192</v>
      </c>
      <c r="BB4805" t="str">
        <f t="shared" si="1903"/>
        <v>1200</v>
      </c>
      <c r="BC4805">
        <v>1</v>
      </c>
      <c r="BD4805" t="str">
        <f t="shared" si="1904"/>
        <v xml:space="preserve">N52156  </v>
      </c>
      <c r="BE4805">
        <v>1</v>
      </c>
      <c r="BG4805">
        <v>0</v>
      </c>
      <c r="BH4805">
        <v>0</v>
      </c>
      <c r="BI4805">
        <v>0</v>
      </c>
      <c r="BJ4805">
        <v>4125</v>
      </c>
      <c r="BK4805">
        <v>125</v>
      </c>
      <c r="BL4805" t="s">
        <v>188</v>
      </c>
      <c r="BM4805">
        <v>1</v>
      </c>
      <c r="BN4805">
        <v>1</v>
      </c>
      <c r="BO4805">
        <v>0</v>
      </c>
      <c r="BP4805">
        <v>0</v>
      </c>
      <c r="BS4805">
        <v>0</v>
      </c>
      <c r="BT4805">
        <v>0</v>
      </c>
      <c r="BU4805">
        <v>0</v>
      </c>
      <c r="CE4805" t="str">
        <f t="shared" si="1905"/>
        <v>15:17:52.982</v>
      </c>
      <c r="CF4805">
        <v>982011511</v>
      </c>
      <c r="CS4805">
        <v>0</v>
      </c>
      <c r="CT4805">
        <v>2</v>
      </c>
      <c r="CU4805">
        <v>0</v>
      </c>
      <c r="CV4805">
        <v>2</v>
      </c>
      <c r="CW4805">
        <v>0</v>
      </c>
      <c r="CX4805">
        <v>3</v>
      </c>
      <c r="CY4805">
        <v>7</v>
      </c>
      <c r="CZ4805" t="s">
        <v>133</v>
      </c>
      <c r="DA4805">
        <v>275</v>
      </c>
      <c r="DB4805">
        <v>0</v>
      </c>
      <c r="DC4805" t="s">
        <v>134</v>
      </c>
      <c r="DD4805" t="s">
        <v>135</v>
      </c>
      <c r="DG4805">
        <v>3323395</v>
      </c>
      <c r="DI4805">
        <v>1</v>
      </c>
      <c r="DJ4805">
        <v>0</v>
      </c>
      <c r="DK4805">
        <v>1</v>
      </c>
      <c r="DL4805">
        <v>0</v>
      </c>
      <c r="DM4805">
        <v>0</v>
      </c>
      <c r="DN4805">
        <v>0</v>
      </c>
      <c r="DO4805">
        <v>0</v>
      </c>
      <c r="DP4805">
        <v>0</v>
      </c>
      <c r="DQ4805">
        <v>0</v>
      </c>
      <c r="DR4805">
        <v>0</v>
      </c>
      <c r="DS4805">
        <v>0</v>
      </c>
    </row>
    <row r="4806" spans="1:123" x14ac:dyDescent="0.3">
      <c r="A4806" t="str">
        <f>"05/01/2025 15:17:53.217"</f>
        <v>05/01/2025 15:17:53.217</v>
      </c>
      <c r="C4806" t="str">
        <f t="shared" si="1900"/>
        <v>FFDFD3C0</v>
      </c>
      <c r="D4806" t="s">
        <v>124</v>
      </c>
      <c r="E4806" t="str">
        <f>"06"</f>
        <v>06</v>
      </c>
      <c r="F4806">
        <v>2006</v>
      </c>
      <c r="G4806" t="s">
        <v>125</v>
      </c>
      <c r="J4806" t="s">
        <v>126</v>
      </c>
      <c r="K4806">
        <v>0</v>
      </c>
      <c r="L4806">
        <v>3</v>
      </c>
      <c r="M4806">
        <v>0</v>
      </c>
      <c r="N4806">
        <v>2</v>
      </c>
      <c r="O4806">
        <v>0</v>
      </c>
      <c r="P4806">
        <v>1</v>
      </c>
      <c r="Q4806">
        <v>0</v>
      </c>
      <c r="R4806" t="s">
        <v>127</v>
      </c>
      <c r="S4806" t="str">
        <f t="shared" si="1901"/>
        <v>15:17:52.000</v>
      </c>
      <c r="T4806" t="str">
        <f t="shared" si="1901"/>
        <v>15:17:52.000</v>
      </c>
      <c r="U4806" t="str">
        <f t="shared" si="1902"/>
        <v>A68FCB</v>
      </c>
      <c r="V4806">
        <v>0</v>
      </c>
      <c r="W4806">
        <v>0</v>
      </c>
      <c r="X4806">
        <v>2</v>
      </c>
      <c r="Y4806">
        <v>0</v>
      </c>
      <c r="AA4806">
        <v>1</v>
      </c>
      <c r="AB4806">
        <v>8</v>
      </c>
      <c r="AC4806">
        <v>3</v>
      </c>
      <c r="AD4806">
        <v>0</v>
      </c>
      <c r="AE4806">
        <v>9</v>
      </c>
      <c r="AF4806" t="s">
        <v>138</v>
      </c>
      <c r="AG4806">
        <v>0</v>
      </c>
      <c r="AH4806">
        <v>3</v>
      </c>
      <c r="AI4806">
        <v>2</v>
      </c>
      <c r="AJ4806">
        <v>0</v>
      </c>
      <c r="AK4806" t="s">
        <v>1528</v>
      </c>
      <c r="AL4806">
        <v>39.225976000000003</v>
      </c>
      <c r="AM4806" t="s">
        <v>1527</v>
      </c>
      <c r="AN4806">
        <v>-121.00028500000001</v>
      </c>
      <c r="AO4806">
        <v>25</v>
      </c>
      <c r="AP4806">
        <v>4000</v>
      </c>
      <c r="AQ4806" t="s">
        <v>131</v>
      </c>
      <c r="AR4806">
        <v>0</v>
      </c>
      <c r="AS4806">
        <v>88</v>
      </c>
      <c r="AT4806">
        <v>-192</v>
      </c>
      <c r="BB4806" t="str">
        <f t="shared" si="1903"/>
        <v>1200</v>
      </c>
      <c r="BC4806">
        <v>1</v>
      </c>
      <c r="BD4806" t="str">
        <f t="shared" si="1904"/>
        <v xml:space="preserve">N52156  </v>
      </c>
      <c r="BE4806">
        <v>1</v>
      </c>
      <c r="BG4806">
        <v>0</v>
      </c>
      <c r="BH4806">
        <v>0</v>
      </c>
      <c r="BI4806">
        <v>0</v>
      </c>
      <c r="BJ4806">
        <v>4125</v>
      </c>
      <c r="BK4806">
        <v>125</v>
      </c>
      <c r="BL4806" t="s">
        <v>188</v>
      </c>
      <c r="BM4806">
        <v>1</v>
      </c>
      <c r="BN4806">
        <v>1</v>
      </c>
      <c r="BO4806">
        <v>0</v>
      </c>
      <c r="BP4806">
        <v>0</v>
      </c>
      <c r="BS4806">
        <v>0</v>
      </c>
      <c r="BT4806">
        <v>0</v>
      </c>
      <c r="BU4806">
        <v>0</v>
      </c>
      <c r="CE4806" t="str">
        <f t="shared" si="1905"/>
        <v>15:17:52.982</v>
      </c>
      <c r="CF4806">
        <v>982011511</v>
      </c>
      <c r="CS4806">
        <v>0</v>
      </c>
      <c r="CT4806">
        <v>2</v>
      </c>
      <c r="CU4806">
        <v>0</v>
      </c>
      <c r="CV4806">
        <v>2</v>
      </c>
      <c r="CW4806">
        <v>0</v>
      </c>
      <c r="CX4806">
        <v>3</v>
      </c>
      <c r="CY4806">
        <v>7</v>
      </c>
      <c r="CZ4806" t="s">
        <v>133</v>
      </c>
      <c r="DA4806">
        <v>275</v>
      </c>
      <c r="DB4806">
        <v>0</v>
      </c>
      <c r="DC4806" t="s">
        <v>134</v>
      </c>
      <c r="DD4806" t="s">
        <v>135</v>
      </c>
      <c r="DG4806">
        <v>3323395</v>
      </c>
      <c r="DI4806">
        <v>1</v>
      </c>
      <c r="DJ4806">
        <v>0</v>
      </c>
      <c r="DK4806">
        <v>1</v>
      </c>
      <c r="DL4806">
        <v>0</v>
      </c>
      <c r="DM4806">
        <v>0</v>
      </c>
      <c r="DN4806">
        <v>0</v>
      </c>
      <c r="DO4806">
        <v>0</v>
      </c>
      <c r="DP4806">
        <v>0</v>
      </c>
      <c r="DQ4806">
        <v>0</v>
      </c>
      <c r="DR4806">
        <v>0</v>
      </c>
      <c r="DS4806">
        <v>0</v>
      </c>
    </row>
    <row r="4807" spans="1:123" x14ac:dyDescent="0.3">
      <c r="A4807" t="str">
        <f>"05/01/2025 15:17:53.222"</f>
        <v>05/01/2025 15:17:53.222</v>
      </c>
      <c r="C4807" t="str">
        <f t="shared" si="1900"/>
        <v>FFDFD3C0</v>
      </c>
      <c r="D4807" t="s">
        <v>143</v>
      </c>
      <c r="E4807" t="str">
        <f>"05"</f>
        <v>05</v>
      </c>
      <c r="H4807">
        <v>172</v>
      </c>
      <c r="I4807" t="s">
        <v>141</v>
      </c>
      <c r="J4807" t="s">
        <v>144</v>
      </c>
      <c r="K4807">
        <v>0</v>
      </c>
      <c r="L4807">
        <v>3</v>
      </c>
      <c r="M4807">
        <v>0</v>
      </c>
      <c r="N4807">
        <v>2</v>
      </c>
      <c r="O4807">
        <v>0</v>
      </c>
      <c r="P4807">
        <v>1</v>
      </c>
      <c r="Q4807">
        <v>0</v>
      </c>
      <c r="R4807" t="s">
        <v>127</v>
      </c>
      <c r="S4807" t="str">
        <f t="shared" si="1901"/>
        <v>15:17:52.000</v>
      </c>
      <c r="T4807" t="str">
        <f t="shared" si="1901"/>
        <v>15:17:52.000</v>
      </c>
      <c r="U4807" t="str">
        <f t="shared" si="1902"/>
        <v>A68FCB</v>
      </c>
      <c r="V4807">
        <v>0</v>
      </c>
      <c r="W4807">
        <v>0</v>
      </c>
      <c r="X4807">
        <v>2</v>
      </c>
      <c r="Y4807">
        <v>0</v>
      </c>
      <c r="AA4807">
        <v>1</v>
      </c>
      <c r="AB4807">
        <v>8</v>
      </c>
      <c r="AC4807">
        <v>3</v>
      </c>
      <c r="AD4807">
        <v>0</v>
      </c>
      <c r="AE4807">
        <v>9</v>
      </c>
      <c r="AF4807" t="s">
        <v>138</v>
      </c>
      <c r="AG4807">
        <v>0</v>
      </c>
      <c r="AH4807">
        <v>3</v>
      </c>
      <c r="AI4807">
        <v>2</v>
      </c>
      <c r="AJ4807">
        <v>0</v>
      </c>
      <c r="AK4807" t="s">
        <v>1528</v>
      </c>
      <c r="AL4807">
        <v>39.225976000000003</v>
      </c>
      <c r="AM4807" t="s">
        <v>1527</v>
      </c>
      <c r="AN4807">
        <v>-121.00028500000001</v>
      </c>
      <c r="AO4807">
        <v>25</v>
      </c>
      <c r="AP4807">
        <v>4000</v>
      </c>
      <c r="AQ4807" t="s">
        <v>131</v>
      </c>
      <c r="AR4807">
        <v>0</v>
      </c>
      <c r="AS4807">
        <v>88</v>
      </c>
      <c r="AT4807">
        <v>-192</v>
      </c>
      <c r="BB4807" t="str">
        <f t="shared" si="1903"/>
        <v>1200</v>
      </c>
      <c r="BC4807">
        <v>1</v>
      </c>
      <c r="BD4807" t="str">
        <f t="shared" si="1904"/>
        <v xml:space="preserve">N52156  </v>
      </c>
      <c r="BE4807">
        <v>1</v>
      </c>
      <c r="BG4807">
        <v>0</v>
      </c>
      <c r="BH4807">
        <v>0</v>
      </c>
      <c r="BI4807">
        <v>0</v>
      </c>
      <c r="BJ4807">
        <v>4125</v>
      </c>
      <c r="BK4807">
        <v>125</v>
      </c>
      <c r="BL4807" t="s">
        <v>188</v>
      </c>
      <c r="BM4807">
        <v>1</v>
      </c>
      <c r="BN4807">
        <v>1</v>
      </c>
      <c r="BO4807">
        <v>0</v>
      </c>
      <c r="BP4807">
        <v>0</v>
      </c>
      <c r="BS4807">
        <v>0</v>
      </c>
      <c r="BT4807">
        <v>0</v>
      </c>
      <c r="BU4807">
        <v>0</v>
      </c>
      <c r="CE4807" t="str">
        <f t="shared" si="1905"/>
        <v>15:17:52.982</v>
      </c>
      <c r="CF4807">
        <v>982011511</v>
      </c>
      <c r="CS4807">
        <v>0</v>
      </c>
      <c r="CT4807">
        <v>2</v>
      </c>
      <c r="CU4807">
        <v>0</v>
      </c>
      <c r="CV4807">
        <v>2</v>
      </c>
      <c r="CW4807">
        <v>0</v>
      </c>
      <c r="CX4807">
        <v>3</v>
      </c>
      <c r="CY4807">
        <v>7</v>
      </c>
      <c r="CZ4807" t="s">
        <v>133</v>
      </c>
      <c r="DA4807">
        <v>275</v>
      </c>
      <c r="DB4807">
        <v>0</v>
      </c>
      <c r="DC4807" t="s">
        <v>134</v>
      </c>
      <c r="DD4807" t="s">
        <v>135</v>
      </c>
      <c r="DG4807">
        <v>3323395</v>
      </c>
      <c r="DI4807">
        <v>1</v>
      </c>
      <c r="DJ4807">
        <v>0</v>
      </c>
      <c r="DK4807">
        <v>1</v>
      </c>
      <c r="DL4807">
        <v>0</v>
      </c>
      <c r="DM4807">
        <v>0</v>
      </c>
      <c r="DN4807">
        <v>0</v>
      </c>
      <c r="DO4807">
        <v>0</v>
      </c>
      <c r="DP4807">
        <v>0</v>
      </c>
      <c r="DQ4807">
        <v>0</v>
      </c>
      <c r="DR4807">
        <v>0</v>
      </c>
      <c r="DS4807">
        <v>0</v>
      </c>
    </row>
    <row r="4808" spans="1:123" x14ac:dyDescent="0.3">
      <c r="A4808" t="str">
        <f>"05/01/2025 15:17:53.490"</f>
        <v>05/01/2025 15:17:53.490</v>
      </c>
      <c r="C4808" t="str">
        <f t="shared" si="1900"/>
        <v>FFDFD3C0</v>
      </c>
      <c r="D4808" t="s">
        <v>145</v>
      </c>
      <c r="E4808" t="str">
        <f>"05"</f>
        <v>05</v>
      </c>
      <c r="H4808">
        <v>47</v>
      </c>
      <c r="I4808" t="s">
        <v>146</v>
      </c>
      <c r="J4808" t="s">
        <v>138</v>
      </c>
      <c r="K4808">
        <v>0</v>
      </c>
      <c r="L4808">
        <v>3</v>
      </c>
      <c r="M4808">
        <v>0</v>
      </c>
      <c r="N4808">
        <v>2</v>
      </c>
      <c r="O4808">
        <v>0</v>
      </c>
      <c r="P4808">
        <v>1</v>
      </c>
      <c r="Q4808">
        <v>0</v>
      </c>
      <c r="R4808" t="s">
        <v>127</v>
      </c>
      <c r="S4808" t="str">
        <f t="shared" ref="S4808:T4813" si="1906">"15:17:53.000"</f>
        <v>15:17:53.000</v>
      </c>
      <c r="T4808" t="str">
        <f t="shared" si="1906"/>
        <v>15:17:53.000</v>
      </c>
      <c r="U4808" t="str">
        <f t="shared" si="1902"/>
        <v>A68FCB</v>
      </c>
      <c r="V4808">
        <v>0</v>
      </c>
      <c r="W4808">
        <v>0</v>
      </c>
      <c r="X4808">
        <v>2</v>
      </c>
      <c r="Y4808">
        <v>0</v>
      </c>
      <c r="AA4808">
        <v>1</v>
      </c>
      <c r="AB4808">
        <v>8</v>
      </c>
      <c r="AC4808">
        <v>3</v>
      </c>
      <c r="AD4808">
        <v>0</v>
      </c>
      <c r="AE4808">
        <v>9</v>
      </c>
      <c r="AF4808" t="s">
        <v>138</v>
      </c>
      <c r="AG4808">
        <v>0</v>
      </c>
      <c r="AH4808">
        <v>3</v>
      </c>
      <c r="AI4808">
        <v>2</v>
      </c>
      <c r="AJ4808">
        <v>0</v>
      </c>
      <c r="AK4808" t="s">
        <v>1529</v>
      </c>
      <c r="AL4808">
        <v>39.226384000000003</v>
      </c>
      <c r="AM4808" t="s">
        <v>1527</v>
      </c>
      <c r="AN4808">
        <v>-121.00028500000001</v>
      </c>
      <c r="AO4808">
        <v>25</v>
      </c>
      <c r="AP4808">
        <v>4000</v>
      </c>
      <c r="AQ4808" t="s">
        <v>131</v>
      </c>
      <c r="AR4808">
        <v>0</v>
      </c>
      <c r="AS4808">
        <v>88</v>
      </c>
      <c r="AT4808">
        <v>-192</v>
      </c>
      <c r="BB4808" t="str">
        <f t="shared" si="1903"/>
        <v>1200</v>
      </c>
      <c r="BC4808">
        <v>1</v>
      </c>
      <c r="BD4808" t="str">
        <f t="shared" si="1904"/>
        <v xml:space="preserve">N52156  </v>
      </c>
      <c r="BE4808">
        <v>1</v>
      </c>
      <c r="BG4808">
        <v>0</v>
      </c>
      <c r="BH4808">
        <v>0</v>
      </c>
      <c r="BI4808">
        <v>0</v>
      </c>
      <c r="BJ4808">
        <v>4100</v>
      </c>
      <c r="BK4808">
        <v>100</v>
      </c>
      <c r="BL4808" t="s">
        <v>188</v>
      </c>
      <c r="BM4808">
        <v>1</v>
      </c>
      <c r="BN4808">
        <v>1</v>
      </c>
      <c r="BO4808">
        <v>0</v>
      </c>
      <c r="BP4808">
        <v>0</v>
      </c>
      <c r="BS4808">
        <v>0</v>
      </c>
      <c r="BT4808">
        <v>0</v>
      </c>
      <c r="BU4808">
        <v>0</v>
      </c>
      <c r="CE4808" t="str">
        <f t="shared" ref="CE4808:CE4813" si="1907">"15:17:53.275"</f>
        <v>15:17:53.275</v>
      </c>
      <c r="CF4808">
        <v>274509807</v>
      </c>
      <c r="CS4808">
        <v>0</v>
      </c>
      <c r="CT4808">
        <v>2</v>
      </c>
      <c r="CU4808">
        <v>0</v>
      </c>
      <c r="CV4808">
        <v>2</v>
      </c>
      <c r="CW4808">
        <v>0</v>
      </c>
      <c r="CX4808">
        <v>3</v>
      </c>
      <c r="CY4808">
        <v>7</v>
      </c>
      <c r="CZ4808" t="s">
        <v>133</v>
      </c>
      <c r="DA4808">
        <v>275</v>
      </c>
      <c r="DB4808">
        <v>0</v>
      </c>
      <c r="DC4808" t="s">
        <v>134</v>
      </c>
      <c r="DD4808" t="s">
        <v>135</v>
      </c>
      <c r="DG4808">
        <v>3323399</v>
      </c>
      <c r="DI4808">
        <v>1</v>
      </c>
      <c r="DJ4808">
        <v>0</v>
      </c>
      <c r="DK4808">
        <v>0</v>
      </c>
      <c r="DL4808">
        <v>0</v>
      </c>
      <c r="DM4808">
        <v>0</v>
      </c>
      <c r="DN4808">
        <v>0</v>
      </c>
      <c r="DO4808">
        <v>0</v>
      </c>
      <c r="DP4808">
        <v>0</v>
      </c>
      <c r="DQ4808">
        <v>0</v>
      </c>
      <c r="DR4808">
        <v>0</v>
      </c>
      <c r="DS4808">
        <v>0</v>
      </c>
    </row>
    <row r="4809" spans="1:123" x14ac:dyDescent="0.3">
      <c r="A4809" t="str">
        <f>"05/01/2025 15:17:53.501"</f>
        <v>05/01/2025 15:17:53.501</v>
      </c>
      <c r="C4809" t="str">
        <f t="shared" si="1900"/>
        <v>FFDFD3C0</v>
      </c>
      <c r="D4809" t="s">
        <v>136</v>
      </c>
      <c r="E4809" t="str">
        <f>"20"</f>
        <v>20</v>
      </c>
      <c r="H4809">
        <v>400</v>
      </c>
      <c r="I4809" t="s">
        <v>137</v>
      </c>
      <c r="J4809" t="s">
        <v>138</v>
      </c>
      <c r="K4809">
        <v>0</v>
      </c>
      <c r="L4809">
        <v>3</v>
      </c>
      <c r="M4809">
        <v>0</v>
      </c>
      <c r="N4809">
        <v>2</v>
      </c>
      <c r="O4809">
        <v>0</v>
      </c>
      <c r="P4809">
        <v>1</v>
      </c>
      <c r="Q4809">
        <v>0</v>
      </c>
      <c r="R4809" t="s">
        <v>127</v>
      </c>
      <c r="S4809" t="str">
        <f t="shared" si="1906"/>
        <v>15:17:53.000</v>
      </c>
      <c r="T4809" t="str">
        <f t="shared" si="1906"/>
        <v>15:17:53.000</v>
      </c>
      <c r="U4809" t="str">
        <f t="shared" si="1902"/>
        <v>A68FCB</v>
      </c>
      <c r="V4809">
        <v>0</v>
      </c>
      <c r="W4809">
        <v>0</v>
      </c>
      <c r="X4809">
        <v>2</v>
      </c>
      <c r="Y4809">
        <v>0</v>
      </c>
      <c r="AA4809">
        <v>1</v>
      </c>
      <c r="AB4809">
        <v>8</v>
      </c>
      <c r="AC4809">
        <v>3</v>
      </c>
      <c r="AD4809">
        <v>0</v>
      </c>
      <c r="AE4809">
        <v>9</v>
      </c>
      <c r="AF4809" t="s">
        <v>138</v>
      </c>
      <c r="AG4809">
        <v>0</v>
      </c>
      <c r="AH4809">
        <v>3</v>
      </c>
      <c r="AI4809">
        <v>2</v>
      </c>
      <c r="AJ4809">
        <v>0</v>
      </c>
      <c r="AK4809" t="s">
        <v>1529</v>
      </c>
      <c r="AL4809">
        <v>39.226384000000003</v>
      </c>
      <c r="AM4809" t="s">
        <v>1527</v>
      </c>
      <c r="AN4809">
        <v>-121.00028500000001</v>
      </c>
      <c r="AO4809">
        <v>25</v>
      </c>
      <c r="AP4809">
        <v>4000</v>
      </c>
      <c r="AQ4809" t="s">
        <v>131</v>
      </c>
      <c r="AR4809">
        <v>0</v>
      </c>
      <c r="AS4809">
        <v>88</v>
      </c>
      <c r="AT4809">
        <v>-192</v>
      </c>
      <c r="BB4809" t="str">
        <f t="shared" si="1903"/>
        <v>1200</v>
      </c>
      <c r="BC4809">
        <v>1</v>
      </c>
      <c r="BD4809" t="str">
        <f t="shared" si="1904"/>
        <v xml:space="preserve">N52156  </v>
      </c>
      <c r="BE4809">
        <v>1</v>
      </c>
      <c r="BG4809">
        <v>0</v>
      </c>
      <c r="BH4809">
        <v>0</v>
      </c>
      <c r="BI4809">
        <v>0</v>
      </c>
      <c r="BJ4809">
        <v>4100</v>
      </c>
      <c r="BK4809">
        <v>100</v>
      </c>
      <c r="BL4809" t="s">
        <v>188</v>
      </c>
      <c r="BM4809">
        <v>1</v>
      </c>
      <c r="BN4809">
        <v>1</v>
      </c>
      <c r="BO4809">
        <v>0</v>
      </c>
      <c r="BP4809">
        <v>0</v>
      </c>
      <c r="BS4809">
        <v>0</v>
      </c>
      <c r="BT4809">
        <v>0</v>
      </c>
      <c r="BU4809">
        <v>0</v>
      </c>
      <c r="CE4809" t="str">
        <f t="shared" si="1907"/>
        <v>15:17:53.275</v>
      </c>
      <c r="CF4809">
        <v>274509807</v>
      </c>
      <c r="CS4809">
        <v>0</v>
      </c>
      <c r="CT4809">
        <v>2</v>
      </c>
      <c r="CU4809">
        <v>0</v>
      </c>
      <c r="CV4809">
        <v>2</v>
      </c>
      <c r="CW4809">
        <v>0</v>
      </c>
      <c r="CX4809">
        <v>3</v>
      </c>
      <c r="CY4809">
        <v>7</v>
      </c>
      <c r="CZ4809" t="s">
        <v>133</v>
      </c>
      <c r="DA4809">
        <v>275</v>
      </c>
      <c r="DB4809">
        <v>0</v>
      </c>
      <c r="DC4809" t="s">
        <v>134</v>
      </c>
      <c r="DD4809" t="s">
        <v>135</v>
      </c>
      <c r="DG4809">
        <v>3323399</v>
      </c>
      <c r="DI4809">
        <v>1</v>
      </c>
      <c r="DJ4809">
        <v>0</v>
      </c>
      <c r="DK4809">
        <v>1</v>
      </c>
      <c r="DL4809">
        <v>0</v>
      </c>
      <c r="DM4809">
        <v>0</v>
      </c>
      <c r="DN4809">
        <v>0</v>
      </c>
      <c r="DO4809">
        <v>0</v>
      </c>
      <c r="DP4809">
        <v>0</v>
      </c>
      <c r="DQ4809">
        <v>0</v>
      </c>
      <c r="DR4809">
        <v>0</v>
      </c>
      <c r="DS4809">
        <v>0</v>
      </c>
    </row>
    <row r="4810" spans="1:123" x14ac:dyDescent="0.3">
      <c r="A4810" t="str">
        <f>"05/01/2025 15:17:53.517"</f>
        <v>05/01/2025 15:17:53.517</v>
      </c>
      <c r="C4810" t="str">
        <f t="shared" si="1900"/>
        <v>FFDFD3C0</v>
      </c>
      <c r="D4810" t="s">
        <v>124</v>
      </c>
      <c r="E4810" t="str">
        <f>"06"</f>
        <v>06</v>
      </c>
      <c r="F4810">
        <v>2006</v>
      </c>
      <c r="G4810" t="s">
        <v>125</v>
      </c>
      <c r="J4810" t="s">
        <v>126</v>
      </c>
      <c r="K4810">
        <v>0</v>
      </c>
      <c r="L4810">
        <v>3</v>
      </c>
      <c r="M4810">
        <v>0</v>
      </c>
      <c r="N4810">
        <v>2</v>
      </c>
      <c r="O4810">
        <v>0</v>
      </c>
      <c r="P4810">
        <v>1</v>
      </c>
      <c r="Q4810">
        <v>0</v>
      </c>
      <c r="R4810" t="s">
        <v>127</v>
      </c>
      <c r="S4810" t="str">
        <f t="shared" si="1906"/>
        <v>15:17:53.000</v>
      </c>
      <c r="T4810" t="str">
        <f t="shared" si="1906"/>
        <v>15:17:53.000</v>
      </c>
      <c r="U4810" t="str">
        <f t="shared" si="1902"/>
        <v>A68FCB</v>
      </c>
      <c r="V4810">
        <v>0</v>
      </c>
      <c r="W4810">
        <v>0</v>
      </c>
      <c r="X4810">
        <v>2</v>
      </c>
      <c r="Y4810">
        <v>0</v>
      </c>
      <c r="AA4810">
        <v>1</v>
      </c>
      <c r="AB4810">
        <v>8</v>
      </c>
      <c r="AC4810">
        <v>3</v>
      </c>
      <c r="AD4810">
        <v>0</v>
      </c>
      <c r="AE4810">
        <v>9</v>
      </c>
      <c r="AF4810" t="s">
        <v>138</v>
      </c>
      <c r="AG4810">
        <v>0</v>
      </c>
      <c r="AH4810">
        <v>3</v>
      </c>
      <c r="AI4810">
        <v>2</v>
      </c>
      <c r="AJ4810">
        <v>0</v>
      </c>
      <c r="AK4810" t="s">
        <v>1529</v>
      </c>
      <c r="AL4810">
        <v>39.226384000000003</v>
      </c>
      <c r="AM4810" t="s">
        <v>1527</v>
      </c>
      <c r="AN4810">
        <v>-121.00028500000001</v>
      </c>
      <c r="AO4810">
        <v>25</v>
      </c>
      <c r="AP4810">
        <v>4000</v>
      </c>
      <c r="AQ4810" t="s">
        <v>131</v>
      </c>
      <c r="AR4810">
        <v>0</v>
      </c>
      <c r="AS4810">
        <v>88</v>
      </c>
      <c r="AT4810">
        <v>-192</v>
      </c>
      <c r="BB4810" t="str">
        <f t="shared" si="1903"/>
        <v>1200</v>
      </c>
      <c r="BC4810">
        <v>1</v>
      </c>
      <c r="BD4810" t="str">
        <f t="shared" si="1904"/>
        <v xml:space="preserve">N52156  </v>
      </c>
      <c r="BE4810">
        <v>1</v>
      </c>
      <c r="BG4810">
        <v>0</v>
      </c>
      <c r="BH4810">
        <v>0</v>
      </c>
      <c r="BI4810">
        <v>0</v>
      </c>
      <c r="BJ4810">
        <v>4100</v>
      </c>
      <c r="BK4810">
        <v>100</v>
      </c>
      <c r="BL4810" t="s">
        <v>188</v>
      </c>
      <c r="BM4810">
        <v>1</v>
      </c>
      <c r="BN4810">
        <v>1</v>
      </c>
      <c r="BO4810">
        <v>0</v>
      </c>
      <c r="BP4810">
        <v>0</v>
      </c>
      <c r="BS4810">
        <v>0</v>
      </c>
      <c r="BT4810">
        <v>0</v>
      </c>
      <c r="BU4810">
        <v>0</v>
      </c>
      <c r="CE4810" t="str">
        <f t="shared" si="1907"/>
        <v>15:17:53.275</v>
      </c>
      <c r="CF4810">
        <v>274509807</v>
      </c>
      <c r="CS4810">
        <v>0</v>
      </c>
      <c r="CT4810">
        <v>2</v>
      </c>
      <c r="CU4810">
        <v>0</v>
      </c>
      <c r="CV4810">
        <v>2</v>
      </c>
      <c r="CW4810">
        <v>0</v>
      </c>
      <c r="CX4810">
        <v>3</v>
      </c>
      <c r="CY4810">
        <v>7</v>
      </c>
      <c r="CZ4810" t="s">
        <v>133</v>
      </c>
      <c r="DA4810">
        <v>275</v>
      </c>
      <c r="DB4810">
        <v>0</v>
      </c>
      <c r="DC4810" t="s">
        <v>134</v>
      </c>
      <c r="DD4810" t="s">
        <v>135</v>
      </c>
      <c r="DG4810">
        <v>3323399</v>
      </c>
      <c r="DI4810">
        <v>1</v>
      </c>
      <c r="DJ4810">
        <v>0</v>
      </c>
      <c r="DK4810">
        <v>1</v>
      </c>
      <c r="DL4810">
        <v>0</v>
      </c>
      <c r="DM4810">
        <v>0</v>
      </c>
      <c r="DN4810">
        <v>0</v>
      </c>
      <c r="DO4810">
        <v>0</v>
      </c>
      <c r="DP4810">
        <v>0</v>
      </c>
      <c r="DQ4810">
        <v>0</v>
      </c>
      <c r="DR4810">
        <v>0</v>
      </c>
      <c r="DS4810">
        <v>0</v>
      </c>
    </row>
    <row r="4811" spans="1:123" x14ac:dyDescent="0.3">
      <c r="A4811" t="str">
        <f>"05/01/2025 15:17:53.515"</f>
        <v>05/01/2025 15:17:53.515</v>
      </c>
      <c r="C4811" t="str">
        <f t="shared" si="1900"/>
        <v>FFDFD3C0</v>
      </c>
      <c r="D4811" t="s">
        <v>140</v>
      </c>
      <c r="E4811" t="str">
        <f>"13"</f>
        <v>13</v>
      </c>
      <c r="F4811">
        <v>1019</v>
      </c>
      <c r="G4811" t="s">
        <v>141</v>
      </c>
      <c r="J4811" t="s">
        <v>142</v>
      </c>
      <c r="K4811">
        <v>0</v>
      </c>
      <c r="L4811">
        <v>3</v>
      </c>
      <c r="M4811">
        <v>0</v>
      </c>
      <c r="N4811">
        <v>2</v>
      </c>
      <c r="O4811">
        <v>0</v>
      </c>
      <c r="P4811">
        <v>1</v>
      </c>
      <c r="Q4811">
        <v>0</v>
      </c>
      <c r="R4811" t="s">
        <v>127</v>
      </c>
      <c r="S4811" t="str">
        <f t="shared" si="1906"/>
        <v>15:17:53.000</v>
      </c>
      <c r="T4811" t="str">
        <f t="shared" si="1906"/>
        <v>15:17:53.000</v>
      </c>
      <c r="U4811" t="str">
        <f t="shared" si="1902"/>
        <v>A68FCB</v>
      </c>
      <c r="V4811">
        <v>0</v>
      </c>
      <c r="W4811">
        <v>0</v>
      </c>
      <c r="X4811">
        <v>2</v>
      </c>
      <c r="Y4811">
        <v>0</v>
      </c>
      <c r="AA4811">
        <v>1</v>
      </c>
      <c r="AB4811">
        <v>8</v>
      </c>
      <c r="AC4811">
        <v>3</v>
      </c>
      <c r="AD4811">
        <v>0</v>
      </c>
      <c r="AE4811">
        <v>9</v>
      </c>
      <c r="AF4811" t="s">
        <v>138</v>
      </c>
      <c r="AG4811">
        <v>0</v>
      </c>
      <c r="AH4811">
        <v>3</v>
      </c>
      <c r="AI4811">
        <v>2</v>
      </c>
      <c r="AJ4811">
        <v>0</v>
      </c>
      <c r="AK4811" t="s">
        <v>1529</v>
      </c>
      <c r="AL4811">
        <v>39.226384000000003</v>
      </c>
      <c r="AM4811" t="s">
        <v>1527</v>
      </c>
      <c r="AN4811">
        <v>-121.00028500000001</v>
      </c>
      <c r="AO4811">
        <v>25</v>
      </c>
      <c r="AP4811">
        <v>4000</v>
      </c>
      <c r="AQ4811" t="s">
        <v>131</v>
      </c>
      <c r="AR4811">
        <v>0</v>
      </c>
      <c r="AS4811">
        <v>88</v>
      </c>
      <c r="AT4811">
        <v>-192</v>
      </c>
      <c r="BB4811" t="str">
        <f t="shared" si="1903"/>
        <v>1200</v>
      </c>
      <c r="BC4811">
        <v>1</v>
      </c>
      <c r="BD4811" t="str">
        <f t="shared" si="1904"/>
        <v xml:space="preserve">N52156  </v>
      </c>
      <c r="BE4811">
        <v>1</v>
      </c>
      <c r="BG4811">
        <v>0</v>
      </c>
      <c r="BH4811">
        <v>0</v>
      </c>
      <c r="BI4811">
        <v>0</v>
      </c>
      <c r="BJ4811">
        <v>4100</v>
      </c>
      <c r="BK4811">
        <v>100</v>
      </c>
      <c r="BL4811" t="s">
        <v>188</v>
      </c>
      <c r="BM4811">
        <v>1</v>
      </c>
      <c r="BN4811">
        <v>1</v>
      </c>
      <c r="BO4811">
        <v>0</v>
      </c>
      <c r="BP4811">
        <v>0</v>
      </c>
      <c r="BS4811">
        <v>0</v>
      </c>
      <c r="BT4811">
        <v>0</v>
      </c>
      <c r="BU4811">
        <v>0</v>
      </c>
      <c r="CE4811" t="str">
        <f t="shared" si="1907"/>
        <v>15:17:53.275</v>
      </c>
      <c r="CF4811">
        <v>274509807</v>
      </c>
      <c r="CS4811">
        <v>0</v>
      </c>
      <c r="CT4811">
        <v>2</v>
      </c>
      <c r="CU4811">
        <v>0</v>
      </c>
      <c r="CV4811">
        <v>2</v>
      </c>
      <c r="CW4811">
        <v>0</v>
      </c>
      <c r="CX4811">
        <v>3</v>
      </c>
      <c r="CY4811">
        <v>7</v>
      </c>
      <c r="CZ4811" t="s">
        <v>133</v>
      </c>
      <c r="DA4811">
        <v>275</v>
      </c>
      <c r="DB4811">
        <v>0</v>
      </c>
      <c r="DC4811" t="s">
        <v>134</v>
      </c>
      <c r="DD4811" t="s">
        <v>135</v>
      </c>
      <c r="DG4811">
        <v>3323399</v>
      </c>
      <c r="DI4811">
        <v>1</v>
      </c>
      <c r="DJ4811">
        <v>0</v>
      </c>
      <c r="DK4811">
        <v>1</v>
      </c>
      <c r="DL4811">
        <v>0</v>
      </c>
      <c r="DM4811">
        <v>0</v>
      </c>
      <c r="DN4811">
        <v>0</v>
      </c>
      <c r="DO4811">
        <v>0</v>
      </c>
      <c r="DP4811">
        <v>0</v>
      </c>
      <c r="DQ4811">
        <v>0</v>
      </c>
      <c r="DR4811">
        <v>0</v>
      </c>
      <c r="DS4811">
        <v>0</v>
      </c>
    </row>
    <row r="4812" spans="1:123" x14ac:dyDescent="0.3">
      <c r="A4812" t="str">
        <f>"05/01/2025 15:17:53.523"</f>
        <v>05/01/2025 15:17:53.523</v>
      </c>
      <c r="C4812" t="str">
        <f t="shared" si="1900"/>
        <v>FFDFD3C0</v>
      </c>
      <c r="D4812" t="s">
        <v>143</v>
      </c>
      <c r="E4812" t="str">
        <f>"05"</f>
        <v>05</v>
      </c>
      <c r="H4812">
        <v>172</v>
      </c>
      <c r="I4812" t="s">
        <v>141</v>
      </c>
      <c r="J4812" t="s">
        <v>144</v>
      </c>
      <c r="K4812">
        <v>0</v>
      </c>
      <c r="L4812">
        <v>3</v>
      </c>
      <c r="M4812">
        <v>0</v>
      </c>
      <c r="N4812">
        <v>2</v>
      </c>
      <c r="O4812">
        <v>0</v>
      </c>
      <c r="P4812">
        <v>1</v>
      </c>
      <c r="Q4812">
        <v>0</v>
      </c>
      <c r="R4812" t="s">
        <v>127</v>
      </c>
      <c r="S4812" t="str">
        <f t="shared" si="1906"/>
        <v>15:17:53.000</v>
      </c>
      <c r="T4812" t="str">
        <f t="shared" si="1906"/>
        <v>15:17:53.000</v>
      </c>
      <c r="U4812" t="str">
        <f t="shared" si="1902"/>
        <v>A68FCB</v>
      </c>
      <c r="V4812">
        <v>0</v>
      </c>
      <c r="W4812">
        <v>0</v>
      </c>
      <c r="X4812">
        <v>2</v>
      </c>
      <c r="Y4812">
        <v>0</v>
      </c>
      <c r="AA4812">
        <v>1</v>
      </c>
      <c r="AB4812">
        <v>8</v>
      </c>
      <c r="AC4812">
        <v>3</v>
      </c>
      <c r="AD4812">
        <v>0</v>
      </c>
      <c r="AE4812">
        <v>9</v>
      </c>
      <c r="AF4812" t="s">
        <v>138</v>
      </c>
      <c r="AG4812">
        <v>0</v>
      </c>
      <c r="AH4812">
        <v>3</v>
      </c>
      <c r="AI4812">
        <v>2</v>
      </c>
      <c r="AJ4812">
        <v>0</v>
      </c>
      <c r="AK4812" t="s">
        <v>1529</v>
      </c>
      <c r="AL4812">
        <v>39.226384000000003</v>
      </c>
      <c r="AM4812" t="s">
        <v>1527</v>
      </c>
      <c r="AN4812">
        <v>-121.00028500000001</v>
      </c>
      <c r="AO4812">
        <v>25</v>
      </c>
      <c r="AP4812">
        <v>4000</v>
      </c>
      <c r="AQ4812" t="s">
        <v>131</v>
      </c>
      <c r="AR4812">
        <v>0</v>
      </c>
      <c r="AS4812">
        <v>88</v>
      </c>
      <c r="AT4812">
        <v>-192</v>
      </c>
      <c r="BB4812" t="str">
        <f t="shared" si="1903"/>
        <v>1200</v>
      </c>
      <c r="BC4812">
        <v>1</v>
      </c>
      <c r="BD4812" t="str">
        <f t="shared" si="1904"/>
        <v xml:space="preserve">N52156  </v>
      </c>
      <c r="BE4812">
        <v>1</v>
      </c>
      <c r="BG4812">
        <v>0</v>
      </c>
      <c r="BH4812">
        <v>0</v>
      </c>
      <c r="BI4812">
        <v>0</v>
      </c>
      <c r="BJ4812">
        <v>4100</v>
      </c>
      <c r="BK4812">
        <v>100</v>
      </c>
      <c r="BL4812" t="s">
        <v>188</v>
      </c>
      <c r="BM4812">
        <v>1</v>
      </c>
      <c r="BN4812">
        <v>1</v>
      </c>
      <c r="BO4812">
        <v>0</v>
      </c>
      <c r="BP4812">
        <v>0</v>
      </c>
      <c r="BS4812">
        <v>0</v>
      </c>
      <c r="BT4812">
        <v>0</v>
      </c>
      <c r="BU4812">
        <v>0</v>
      </c>
      <c r="CE4812" t="str">
        <f t="shared" si="1907"/>
        <v>15:17:53.275</v>
      </c>
      <c r="CF4812">
        <v>274509807</v>
      </c>
      <c r="CS4812">
        <v>0</v>
      </c>
      <c r="CT4812">
        <v>2</v>
      </c>
      <c r="CU4812">
        <v>0</v>
      </c>
      <c r="CV4812">
        <v>2</v>
      </c>
      <c r="CW4812">
        <v>0</v>
      </c>
      <c r="CX4812">
        <v>3</v>
      </c>
      <c r="CY4812">
        <v>7</v>
      </c>
      <c r="CZ4812" t="s">
        <v>133</v>
      </c>
      <c r="DA4812">
        <v>275</v>
      </c>
      <c r="DB4812">
        <v>0</v>
      </c>
      <c r="DC4812" t="s">
        <v>134</v>
      </c>
      <c r="DD4812" t="s">
        <v>135</v>
      </c>
      <c r="DG4812">
        <v>3323399</v>
      </c>
      <c r="DI4812">
        <v>1</v>
      </c>
      <c r="DJ4812">
        <v>0</v>
      </c>
      <c r="DK4812">
        <v>1</v>
      </c>
      <c r="DL4812">
        <v>0</v>
      </c>
      <c r="DM4812">
        <v>0</v>
      </c>
      <c r="DN4812">
        <v>0</v>
      </c>
      <c r="DO4812">
        <v>0</v>
      </c>
      <c r="DP4812">
        <v>0</v>
      </c>
      <c r="DQ4812">
        <v>0</v>
      </c>
      <c r="DR4812">
        <v>0</v>
      </c>
      <c r="DS4812">
        <v>0</v>
      </c>
    </row>
    <row r="4813" spans="1:123" x14ac:dyDescent="0.3">
      <c r="A4813" t="str">
        <f>"05/01/2025 15:17:53.536"</f>
        <v>05/01/2025 15:17:53.536</v>
      </c>
      <c r="C4813" t="str">
        <f t="shared" si="1900"/>
        <v>FFDFD3C0</v>
      </c>
      <c r="D4813" t="s">
        <v>145</v>
      </c>
      <c r="E4813" t="str">
        <f>"09"</f>
        <v>09</v>
      </c>
      <c r="H4813">
        <v>51</v>
      </c>
      <c r="I4813" t="s">
        <v>147</v>
      </c>
      <c r="J4813" t="s">
        <v>138</v>
      </c>
      <c r="K4813">
        <v>0</v>
      </c>
      <c r="L4813">
        <v>3</v>
      </c>
      <c r="M4813">
        <v>0</v>
      </c>
      <c r="N4813">
        <v>2</v>
      </c>
      <c r="O4813">
        <v>0</v>
      </c>
      <c r="P4813">
        <v>1</v>
      </c>
      <c r="Q4813">
        <v>0</v>
      </c>
      <c r="R4813" t="s">
        <v>127</v>
      </c>
      <c r="S4813" t="str">
        <f t="shared" si="1906"/>
        <v>15:17:53.000</v>
      </c>
      <c r="T4813" t="str">
        <f t="shared" si="1906"/>
        <v>15:17:53.000</v>
      </c>
      <c r="U4813" t="str">
        <f t="shared" si="1902"/>
        <v>A68FCB</v>
      </c>
      <c r="V4813">
        <v>0</v>
      </c>
      <c r="W4813">
        <v>0</v>
      </c>
      <c r="X4813">
        <v>2</v>
      </c>
      <c r="Y4813">
        <v>0</v>
      </c>
      <c r="AA4813">
        <v>1</v>
      </c>
      <c r="AB4813">
        <v>8</v>
      </c>
      <c r="AC4813">
        <v>3</v>
      </c>
      <c r="AD4813">
        <v>0</v>
      </c>
      <c r="AE4813">
        <v>9</v>
      </c>
      <c r="AF4813" t="s">
        <v>138</v>
      </c>
      <c r="AG4813">
        <v>0</v>
      </c>
      <c r="AH4813">
        <v>3</v>
      </c>
      <c r="AI4813">
        <v>2</v>
      </c>
      <c r="AJ4813">
        <v>0</v>
      </c>
      <c r="AK4813" t="s">
        <v>1529</v>
      </c>
      <c r="AL4813">
        <v>39.226384000000003</v>
      </c>
      <c r="AM4813" t="s">
        <v>1527</v>
      </c>
      <c r="AN4813">
        <v>-121.00028500000001</v>
      </c>
      <c r="AO4813">
        <v>25</v>
      </c>
      <c r="AP4813">
        <v>4000</v>
      </c>
      <c r="AQ4813" t="s">
        <v>131</v>
      </c>
      <c r="AR4813">
        <v>0</v>
      </c>
      <c r="AS4813">
        <v>88</v>
      </c>
      <c r="AT4813">
        <v>-192</v>
      </c>
      <c r="BB4813" t="str">
        <f t="shared" si="1903"/>
        <v>1200</v>
      </c>
      <c r="BC4813">
        <v>1</v>
      </c>
      <c r="BD4813" t="str">
        <f t="shared" si="1904"/>
        <v xml:space="preserve">N52156  </v>
      </c>
      <c r="BE4813">
        <v>1</v>
      </c>
      <c r="BG4813">
        <v>0</v>
      </c>
      <c r="BH4813">
        <v>0</v>
      </c>
      <c r="BI4813">
        <v>0</v>
      </c>
      <c r="BJ4813">
        <v>4100</v>
      </c>
      <c r="BK4813">
        <v>100</v>
      </c>
      <c r="BL4813" t="s">
        <v>188</v>
      </c>
      <c r="BM4813">
        <v>1</v>
      </c>
      <c r="BN4813">
        <v>1</v>
      </c>
      <c r="BO4813">
        <v>0</v>
      </c>
      <c r="BP4813">
        <v>0</v>
      </c>
      <c r="BS4813">
        <v>0</v>
      </c>
      <c r="BT4813">
        <v>0</v>
      </c>
      <c r="BU4813">
        <v>0</v>
      </c>
      <c r="CE4813" t="str">
        <f t="shared" si="1907"/>
        <v>15:17:53.275</v>
      </c>
      <c r="CF4813">
        <v>274509807</v>
      </c>
      <c r="CS4813">
        <v>0</v>
      </c>
      <c r="CT4813">
        <v>2</v>
      </c>
      <c r="CU4813">
        <v>0</v>
      </c>
      <c r="CV4813">
        <v>2</v>
      </c>
      <c r="CW4813">
        <v>0</v>
      </c>
      <c r="CX4813">
        <v>3</v>
      </c>
      <c r="CY4813">
        <v>7</v>
      </c>
      <c r="CZ4813" t="s">
        <v>133</v>
      </c>
      <c r="DA4813">
        <v>275</v>
      </c>
      <c r="DB4813">
        <v>0</v>
      </c>
      <c r="DC4813" t="s">
        <v>134</v>
      </c>
      <c r="DD4813" t="s">
        <v>135</v>
      </c>
      <c r="DG4813">
        <v>3323399</v>
      </c>
      <c r="DI4813">
        <v>1</v>
      </c>
      <c r="DJ4813">
        <v>0</v>
      </c>
      <c r="DK4813">
        <v>1</v>
      </c>
      <c r="DL4813">
        <v>0</v>
      </c>
      <c r="DM4813">
        <v>0</v>
      </c>
      <c r="DN4813">
        <v>0</v>
      </c>
      <c r="DO4813">
        <v>0</v>
      </c>
      <c r="DP4813">
        <v>0</v>
      </c>
      <c r="DQ4813">
        <v>0</v>
      </c>
      <c r="DR4813">
        <v>0</v>
      </c>
      <c r="DS4813">
        <v>0</v>
      </c>
    </row>
    <row r="4814" spans="1:123" x14ac:dyDescent="0.3">
      <c r="A4814" t="str">
        <f>"05/01/2025 15:17:54.989"</f>
        <v>05/01/2025 15:17:54.989</v>
      </c>
      <c r="C4814" t="str">
        <f t="shared" si="1900"/>
        <v>FFDFD3C0</v>
      </c>
      <c r="D4814" t="s">
        <v>145</v>
      </c>
      <c r="E4814" t="str">
        <f>"09"</f>
        <v>09</v>
      </c>
      <c r="H4814">
        <v>51</v>
      </c>
      <c r="I4814" t="s">
        <v>147</v>
      </c>
      <c r="J4814" t="s">
        <v>138</v>
      </c>
      <c r="K4814">
        <v>0</v>
      </c>
      <c r="L4814">
        <v>3</v>
      </c>
      <c r="M4814">
        <v>0</v>
      </c>
      <c r="N4814">
        <v>2</v>
      </c>
      <c r="O4814">
        <v>0</v>
      </c>
      <c r="P4814">
        <v>1</v>
      </c>
      <c r="Q4814">
        <v>0</v>
      </c>
      <c r="R4814" t="s">
        <v>127</v>
      </c>
      <c r="S4814" t="str">
        <f t="shared" ref="S4814:T4819" si="1908">"15:17:54.000"</f>
        <v>15:17:54.000</v>
      </c>
      <c r="T4814" t="str">
        <f t="shared" si="1908"/>
        <v>15:17:54.000</v>
      </c>
      <c r="U4814" t="str">
        <f t="shared" si="1902"/>
        <v>A68FCB</v>
      </c>
      <c r="V4814">
        <v>0</v>
      </c>
      <c r="W4814">
        <v>0</v>
      </c>
      <c r="X4814">
        <v>2</v>
      </c>
      <c r="Y4814">
        <v>0</v>
      </c>
      <c r="AA4814">
        <v>1</v>
      </c>
      <c r="AB4814">
        <v>8</v>
      </c>
      <c r="AC4814">
        <v>3</v>
      </c>
      <c r="AD4814">
        <v>0</v>
      </c>
      <c r="AE4814">
        <v>9</v>
      </c>
      <c r="AF4814" t="s">
        <v>138</v>
      </c>
      <c r="AG4814">
        <v>0</v>
      </c>
      <c r="AH4814">
        <v>3</v>
      </c>
      <c r="AI4814">
        <v>2</v>
      </c>
      <c r="AJ4814">
        <v>0</v>
      </c>
      <c r="AK4814" t="s">
        <v>1530</v>
      </c>
      <c r="AL4814">
        <v>39.226792000000003</v>
      </c>
      <c r="AM4814" t="s">
        <v>1531</v>
      </c>
      <c r="AN4814">
        <v>-121.000264</v>
      </c>
      <c r="AO4814">
        <v>25</v>
      </c>
      <c r="AP4814">
        <v>4100</v>
      </c>
      <c r="AQ4814" t="s">
        <v>131</v>
      </c>
      <c r="AR4814">
        <v>0</v>
      </c>
      <c r="AS4814">
        <v>88</v>
      </c>
      <c r="AT4814">
        <v>-128</v>
      </c>
      <c r="BB4814" t="str">
        <f t="shared" si="1903"/>
        <v>1200</v>
      </c>
      <c r="BC4814">
        <v>1</v>
      </c>
      <c r="BD4814" t="str">
        <f t="shared" si="1904"/>
        <v xml:space="preserve">N52156  </v>
      </c>
      <c r="BE4814">
        <v>1</v>
      </c>
      <c r="BG4814">
        <v>0</v>
      </c>
      <c r="BH4814">
        <v>0</v>
      </c>
      <c r="BI4814">
        <v>0</v>
      </c>
      <c r="BJ4814">
        <v>4100</v>
      </c>
      <c r="BK4814">
        <v>0</v>
      </c>
      <c r="BL4814" t="s">
        <v>188</v>
      </c>
      <c r="BM4814">
        <v>1</v>
      </c>
      <c r="BN4814">
        <v>1</v>
      </c>
      <c r="BO4814">
        <v>0</v>
      </c>
      <c r="BP4814">
        <v>0</v>
      </c>
      <c r="BS4814">
        <v>0</v>
      </c>
      <c r="BT4814">
        <v>0</v>
      </c>
      <c r="BU4814">
        <v>0</v>
      </c>
      <c r="CE4814" t="str">
        <f t="shared" ref="CE4814:CE4819" si="1909">"15:17:54.796"</f>
        <v>15:17:54.796</v>
      </c>
      <c r="CF4814">
        <v>795840331</v>
      </c>
      <c r="CS4814">
        <v>0</v>
      </c>
      <c r="CT4814">
        <v>2</v>
      </c>
      <c r="CU4814">
        <v>0</v>
      </c>
      <c r="CV4814">
        <v>2</v>
      </c>
      <c r="CW4814">
        <v>0</v>
      </c>
      <c r="CX4814">
        <v>3</v>
      </c>
      <c r="CY4814">
        <v>7</v>
      </c>
      <c r="CZ4814" t="s">
        <v>133</v>
      </c>
      <c r="DA4814">
        <v>276</v>
      </c>
      <c r="DB4814">
        <v>0</v>
      </c>
      <c r="DC4814" t="s">
        <v>402</v>
      </c>
      <c r="DD4814" t="s">
        <v>403</v>
      </c>
      <c r="DG4814">
        <v>1628816</v>
      </c>
      <c r="DI4814">
        <v>1</v>
      </c>
      <c r="DJ4814">
        <v>0</v>
      </c>
      <c r="DK4814">
        <v>0</v>
      </c>
      <c r="DL4814">
        <v>0</v>
      </c>
      <c r="DM4814">
        <v>0</v>
      </c>
      <c r="DN4814">
        <v>0</v>
      </c>
      <c r="DO4814">
        <v>0</v>
      </c>
      <c r="DP4814">
        <v>0</v>
      </c>
      <c r="DQ4814">
        <v>0</v>
      </c>
      <c r="DR4814">
        <v>0</v>
      </c>
      <c r="DS4814">
        <v>0</v>
      </c>
    </row>
    <row r="4815" spans="1:123" x14ac:dyDescent="0.3">
      <c r="A4815" t="str">
        <f>"05/01/2025 15:17:54.993"</f>
        <v>05/01/2025 15:17:54.993</v>
      </c>
      <c r="C4815" t="str">
        <f t="shared" si="1900"/>
        <v>FFDFD3C0</v>
      </c>
      <c r="D4815" t="s">
        <v>145</v>
      </c>
      <c r="E4815" t="str">
        <f>"05"</f>
        <v>05</v>
      </c>
      <c r="H4815">
        <v>47</v>
      </c>
      <c r="I4815" t="s">
        <v>146</v>
      </c>
      <c r="J4815" t="s">
        <v>138</v>
      </c>
      <c r="K4815">
        <v>0</v>
      </c>
      <c r="L4815">
        <v>3</v>
      </c>
      <c r="M4815">
        <v>0</v>
      </c>
      <c r="N4815">
        <v>2</v>
      </c>
      <c r="O4815">
        <v>0</v>
      </c>
      <c r="P4815">
        <v>1</v>
      </c>
      <c r="Q4815">
        <v>0</v>
      </c>
      <c r="R4815" t="s">
        <v>127</v>
      </c>
      <c r="S4815" t="str">
        <f t="shared" si="1908"/>
        <v>15:17:54.000</v>
      </c>
      <c r="T4815" t="str">
        <f t="shared" si="1908"/>
        <v>15:17:54.000</v>
      </c>
      <c r="U4815" t="str">
        <f t="shared" si="1902"/>
        <v>A68FCB</v>
      </c>
      <c r="V4815">
        <v>0</v>
      </c>
      <c r="W4815">
        <v>0</v>
      </c>
      <c r="X4815">
        <v>2</v>
      </c>
      <c r="Y4815">
        <v>0</v>
      </c>
      <c r="AA4815">
        <v>1</v>
      </c>
      <c r="AB4815">
        <v>8</v>
      </c>
      <c r="AC4815">
        <v>3</v>
      </c>
      <c r="AD4815">
        <v>0</v>
      </c>
      <c r="AE4815">
        <v>9</v>
      </c>
      <c r="AF4815" t="s">
        <v>138</v>
      </c>
      <c r="AG4815">
        <v>0</v>
      </c>
      <c r="AH4815">
        <v>3</v>
      </c>
      <c r="AI4815">
        <v>2</v>
      </c>
      <c r="AJ4815">
        <v>0</v>
      </c>
      <c r="AK4815" t="s">
        <v>1530</v>
      </c>
      <c r="AL4815">
        <v>39.226792000000003</v>
      </c>
      <c r="AM4815" t="s">
        <v>1531</v>
      </c>
      <c r="AN4815">
        <v>-121.000264</v>
      </c>
      <c r="AO4815">
        <v>25</v>
      </c>
      <c r="AP4815">
        <v>4100</v>
      </c>
      <c r="AQ4815" t="s">
        <v>131</v>
      </c>
      <c r="AR4815">
        <v>0</v>
      </c>
      <c r="AS4815">
        <v>88</v>
      </c>
      <c r="AT4815">
        <v>-128</v>
      </c>
      <c r="BB4815" t="str">
        <f t="shared" si="1903"/>
        <v>1200</v>
      </c>
      <c r="BC4815">
        <v>1</v>
      </c>
      <c r="BD4815" t="str">
        <f t="shared" si="1904"/>
        <v xml:space="preserve">N52156  </v>
      </c>
      <c r="BE4815">
        <v>1</v>
      </c>
      <c r="BG4815">
        <v>0</v>
      </c>
      <c r="BH4815">
        <v>0</v>
      </c>
      <c r="BI4815">
        <v>0</v>
      </c>
      <c r="BJ4815">
        <v>4100</v>
      </c>
      <c r="BK4815">
        <v>0</v>
      </c>
      <c r="BL4815" t="s">
        <v>188</v>
      </c>
      <c r="BM4815">
        <v>1</v>
      </c>
      <c r="BN4815">
        <v>1</v>
      </c>
      <c r="BO4815">
        <v>0</v>
      </c>
      <c r="BP4815">
        <v>0</v>
      </c>
      <c r="BS4815">
        <v>0</v>
      </c>
      <c r="BT4815">
        <v>0</v>
      </c>
      <c r="BU4815">
        <v>0</v>
      </c>
      <c r="CE4815" t="str">
        <f t="shared" si="1909"/>
        <v>15:17:54.796</v>
      </c>
      <c r="CF4815">
        <v>795840331</v>
      </c>
      <c r="CS4815">
        <v>0</v>
      </c>
      <c r="CT4815">
        <v>2</v>
      </c>
      <c r="CU4815">
        <v>0</v>
      </c>
      <c r="CV4815">
        <v>2</v>
      </c>
      <c r="CW4815">
        <v>0</v>
      </c>
      <c r="CX4815">
        <v>3</v>
      </c>
      <c r="CY4815">
        <v>7</v>
      </c>
      <c r="CZ4815" t="s">
        <v>133</v>
      </c>
      <c r="DA4815">
        <v>276</v>
      </c>
      <c r="DB4815">
        <v>0</v>
      </c>
      <c r="DC4815" t="s">
        <v>402</v>
      </c>
      <c r="DD4815" t="s">
        <v>403</v>
      </c>
      <c r="DG4815">
        <v>1628816</v>
      </c>
      <c r="DI4815">
        <v>1</v>
      </c>
      <c r="DJ4815">
        <v>0</v>
      </c>
      <c r="DK4815">
        <v>1</v>
      </c>
      <c r="DL4815">
        <v>0</v>
      </c>
      <c r="DM4815">
        <v>0</v>
      </c>
      <c r="DN4815">
        <v>0</v>
      </c>
      <c r="DO4815">
        <v>0</v>
      </c>
      <c r="DP4815">
        <v>0</v>
      </c>
      <c r="DQ4815">
        <v>0</v>
      </c>
      <c r="DR4815">
        <v>0</v>
      </c>
      <c r="DS4815">
        <v>0</v>
      </c>
    </row>
    <row r="4816" spans="1:123" x14ac:dyDescent="0.3">
      <c r="A4816" t="str">
        <f>"05/01/2025 15:17:55.003"</f>
        <v>05/01/2025 15:17:55.003</v>
      </c>
      <c r="C4816" t="str">
        <f t="shared" si="1900"/>
        <v>FFDFD3C0</v>
      </c>
      <c r="D4816" t="s">
        <v>136</v>
      </c>
      <c r="E4816" t="str">
        <f>"20"</f>
        <v>20</v>
      </c>
      <c r="H4816">
        <v>400</v>
      </c>
      <c r="I4816" t="s">
        <v>137</v>
      </c>
      <c r="J4816" t="s">
        <v>138</v>
      </c>
      <c r="K4816">
        <v>0</v>
      </c>
      <c r="L4816">
        <v>3</v>
      </c>
      <c r="M4816">
        <v>0</v>
      </c>
      <c r="N4816">
        <v>2</v>
      </c>
      <c r="O4816">
        <v>0</v>
      </c>
      <c r="P4816">
        <v>1</v>
      </c>
      <c r="Q4816">
        <v>0</v>
      </c>
      <c r="R4816" t="s">
        <v>127</v>
      </c>
      <c r="S4816" t="str">
        <f t="shared" si="1908"/>
        <v>15:17:54.000</v>
      </c>
      <c r="T4816" t="str">
        <f t="shared" si="1908"/>
        <v>15:17:54.000</v>
      </c>
      <c r="U4816" t="str">
        <f t="shared" si="1902"/>
        <v>A68FCB</v>
      </c>
      <c r="V4816">
        <v>0</v>
      </c>
      <c r="W4816">
        <v>0</v>
      </c>
      <c r="X4816">
        <v>2</v>
      </c>
      <c r="Y4816">
        <v>0</v>
      </c>
      <c r="AA4816">
        <v>1</v>
      </c>
      <c r="AB4816">
        <v>8</v>
      </c>
      <c r="AC4816">
        <v>3</v>
      </c>
      <c r="AD4816">
        <v>0</v>
      </c>
      <c r="AE4816">
        <v>9</v>
      </c>
      <c r="AF4816" t="s">
        <v>138</v>
      </c>
      <c r="AG4816">
        <v>0</v>
      </c>
      <c r="AH4816">
        <v>3</v>
      </c>
      <c r="AI4816">
        <v>2</v>
      </c>
      <c r="AJ4816">
        <v>0</v>
      </c>
      <c r="AK4816" t="s">
        <v>1530</v>
      </c>
      <c r="AL4816">
        <v>39.226792000000003</v>
      </c>
      <c r="AM4816" t="s">
        <v>1531</v>
      </c>
      <c r="AN4816">
        <v>-121.000264</v>
      </c>
      <c r="AO4816">
        <v>25</v>
      </c>
      <c r="AP4816">
        <v>4100</v>
      </c>
      <c r="AQ4816" t="s">
        <v>131</v>
      </c>
      <c r="AR4816">
        <v>0</v>
      </c>
      <c r="AS4816">
        <v>88</v>
      </c>
      <c r="AT4816">
        <v>-128</v>
      </c>
      <c r="BB4816" t="str">
        <f t="shared" si="1903"/>
        <v>1200</v>
      </c>
      <c r="BC4816">
        <v>1</v>
      </c>
      <c r="BD4816" t="str">
        <f t="shared" si="1904"/>
        <v xml:space="preserve">N52156  </v>
      </c>
      <c r="BE4816">
        <v>1</v>
      </c>
      <c r="BG4816">
        <v>0</v>
      </c>
      <c r="BH4816">
        <v>0</v>
      </c>
      <c r="BI4816">
        <v>0</v>
      </c>
      <c r="BJ4816">
        <v>4100</v>
      </c>
      <c r="BK4816">
        <v>0</v>
      </c>
      <c r="BL4816" t="s">
        <v>188</v>
      </c>
      <c r="BM4816">
        <v>1</v>
      </c>
      <c r="BN4816">
        <v>1</v>
      </c>
      <c r="BO4816">
        <v>0</v>
      </c>
      <c r="BP4816">
        <v>0</v>
      </c>
      <c r="BS4816">
        <v>0</v>
      </c>
      <c r="BT4816">
        <v>0</v>
      </c>
      <c r="BU4816">
        <v>0</v>
      </c>
      <c r="CE4816" t="str">
        <f t="shared" si="1909"/>
        <v>15:17:54.796</v>
      </c>
      <c r="CF4816">
        <v>795840331</v>
      </c>
      <c r="CS4816">
        <v>0</v>
      </c>
      <c r="CT4816">
        <v>2</v>
      </c>
      <c r="CU4816">
        <v>0</v>
      </c>
      <c r="CV4816">
        <v>2</v>
      </c>
      <c r="CW4816">
        <v>0</v>
      </c>
      <c r="CX4816">
        <v>3</v>
      </c>
      <c r="CY4816">
        <v>7</v>
      </c>
      <c r="CZ4816" t="s">
        <v>133</v>
      </c>
      <c r="DA4816">
        <v>276</v>
      </c>
      <c r="DB4816">
        <v>0</v>
      </c>
      <c r="DC4816" t="s">
        <v>402</v>
      </c>
      <c r="DD4816" t="s">
        <v>403</v>
      </c>
      <c r="DG4816">
        <v>1628816</v>
      </c>
      <c r="DI4816">
        <v>1</v>
      </c>
      <c r="DJ4816">
        <v>0</v>
      </c>
      <c r="DK4816">
        <v>1</v>
      </c>
      <c r="DL4816">
        <v>0</v>
      </c>
      <c r="DM4816">
        <v>0</v>
      </c>
      <c r="DN4816">
        <v>0</v>
      </c>
      <c r="DO4816">
        <v>0</v>
      </c>
      <c r="DP4816">
        <v>0</v>
      </c>
      <c r="DQ4816">
        <v>0</v>
      </c>
      <c r="DR4816">
        <v>0</v>
      </c>
      <c r="DS4816">
        <v>0</v>
      </c>
    </row>
    <row r="4817" spans="1:123" x14ac:dyDescent="0.3">
      <c r="A4817" t="str">
        <f>"05/01/2025 15:17:55.017"</f>
        <v>05/01/2025 15:17:55.017</v>
      </c>
      <c r="C4817" t="str">
        <f t="shared" si="1900"/>
        <v>FFDFD3C0</v>
      </c>
      <c r="D4817" t="s">
        <v>140</v>
      </c>
      <c r="E4817" t="str">
        <f>"13"</f>
        <v>13</v>
      </c>
      <c r="F4817">
        <v>1019</v>
      </c>
      <c r="G4817" t="s">
        <v>141</v>
      </c>
      <c r="J4817" t="s">
        <v>142</v>
      </c>
      <c r="K4817">
        <v>0</v>
      </c>
      <c r="L4817">
        <v>3</v>
      </c>
      <c r="M4817">
        <v>0</v>
      </c>
      <c r="N4817">
        <v>2</v>
      </c>
      <c r="O4817">
        <v>0</v>
      </c>
      <c r="P4817">
        <v>1</v>
      </c>
      <c r="Q4817">
        <v>0</v>
      </c>
      <c r="R4817" t="s">
        <v>127</v>
      </c>
      <c r="S4817" t="str">
        <f t="shared" si="1908"/>
        <v>15:17:54.000</v>
      </c>
      <c r="T4817" t="str">
        <f t="shared" si="1908"/>
        <v>15:17:54.000</v>
      </c>
      <c r="U4817" t="str">
        <f t="shared" si="1902"/>
        <v>A68FCB</v>
      </c>
      <c r="V4817">
        <v>0</v>
      </c>
      <c r="W4817">
        <v>0</v>
      </c>
      <c r="X4817">
        <v>2</v>
      </c>
      <c r="Y4817">
        <v>0</v>
      </c>
      <c r="AA4817">
        <v>1</v>
      </c>
      <c r="AB4817">
        <v>8</v>
      </c>
      <c r="AC4817">
        <v>3</v>
      </c>
      <c r="AD4817">
        <v>0</v>
      </c>
      <c r="AE4817">
        <v>9</v>
      </c>
      <c r="AF4817" t="s">
        <v>138</v>
      </c>
      <c r="AG4817">
        <v>0</v>
      </c>
      <c r="AH4817">
        <v>3</v>
      </c>
      <c r="AI4817">
        <v>2</v>
      </c>
      <c r="AJ4817">
        <v>0</v>
      </c>
      <c r="AK4817" t="s">
        <v>1530</v>
      </c>
      <c r="AL4817">
        <v>39.226792000000003</v>
      </c>
      <c r="AM4817" t="s">
        <v>1531</v>
      </c>
      <c r="AN4817">
        <v>-121.000264</v>
      </c>
      <c r="AO4817">
        <v>25</v>
      </c>
      <c r="AP4817">
        <v>4100</v>
      </c>
      <c r="AQ4817" t="s">
        <v>131</v>
      </c>
      <c r="AR4817">
        <v>0</v>
      </c>
      <c r="AS4817">
        <v>88</v>
      </c>
      <c r="AT4817">
        <v>-128</v>
      </c>
      <c r="BB4817" t="str">
        <f t="shared" si="1903"/>
        <v>1200</v>
      </c>
      <c r="BC4817">
        <v>1</v>
      </c>
      <c r="BD4817" t="str">
        <f t="shared" si="1904"/>
        <v xml:space="preserve">N52156  </v>
      </c>
      <c r="BE4817">
        <v>1</v>
      </c>
      <c r="BG4817">
        <v>0</v>
      </c>
      <c r="BH4817">
        <v>0</v>
      </c>
      <c r="BI4817">
        <v>0</v>
      </c>
      <c r="BJ4817">
        <v>4100</v>
      </c>
      <c r="BK4817">
        <v>0</v>
      </c>
      <c r="BL4817" t="s">
        <v>188</v>
      </c>
      <c r="BM4817">
        <v>1</v>
      </c>
      <c r="BN4817">
        <v>1</v>
      </c>
      <c r="BO4817">
        <v>0</v>
      </c>
      <c r="BP4817">
        <v>0</v>
      </c>
      <c r="BS4817">
        <v>0</v>
      </c>
      <c r="BT4817">
        <v>0</v>
      </c>
      <c r="BU4817">
        <v>0</v>
      </c>
      <c r="CE4817" t="str">
        <f t="shared" si="1909"/>
        <v>15:17:54.796</v>
      </c>
      <c r="CF4817">
        <v>795840331</v>
      </c>
      <c r="CS4817">
        <v>0</v>
      </c>
      <c r="CT4817">
        <v>2</v>
      </c>
      <c r="CU4817">
        <v>0</v>
      </c>
      <c r="CV4817">
        <v>2</v>
      </c>
      <c r="CW4817">
        <v>0</v>
      </c>
      <c r="CX4817">
        <v>3</v>
      </c>
      <c r="CY4817">
        <v>7</v>
      </c>
      <c r="CZ4817" t="s">
        <v>133</v>
      </c>
      <c r="DA4817">
        <v>276</v>
      </c>
      <c r="DB4817">
        <v>0</v>
      </c>
      <c r="DC4817" t="s">
        <v>402</v>
      </c>
      <c r="DD4817" t="s">
        <v>403</v>
      </c>
      <c r="DG4817">
        <v>1628816</v>
      </c>
      <c r="DI4817">
        <v>1</v>
      </c>
      <c r="DJ4817">
        <v>0</v>
      </c>
      <c r="DK4817">
        <v>1</v>
      </c>
      <c r="DL4817">
        <v>0</v>
      </c>
      <c r="DM4817">
        <v>0</v>
      </c>
      <c r="DN4817">
        <v>0</v>
      </c>
      <c r="DO4817">
        <v>0</v>
      </c>
      <c r="DP4817">
        <v>0</v>
      </c>
      <c r="DQ4817">
        <v>0</v>
      </c>
      <c r="DR4817">
        <v>0</v>
      </c>
      <c r="DS4817">
        <v>0</v>
      </c>
    </row>
    <row r="4818" spans="1:123" x14ac:dyDescent="0.3">
      <c r="A4818" t="str">
        <f>"05/01/2025 15:17:55.020"</f>
        <v>05/01/2025 15:17:55.020</v>
      </c>
      <c r="C4818" t="str">
        <f t="shared" si="1900"/>
        <v>FFDFD3C0</v>
      </c>
      <c r="D4818" t="s">
        <v>124</v>
      </c>
      <c r="E4818" t="str">
        <f>"06"</f>
        <v>06</v>
      </c>
      <c r="F4818">
        <v>2006</v>
      </c>
      <c r="G4818" t="s">
        <v>125</v>
      </c>
      <c r="J4818" t="s">
        <v>126</v>
      </c>
      <c r="K4818">
        <v>0</v>
      </c>
      <c r="L4818">
        <v>3</v>
      </c>
      <c r="M4818">
        <v>0</v>
      </c>
      <c r="N4818">
        <v>2</v>
      </c>
      <c r="O4818">
        <v>0</v>
      </c>
      <c r="P4818">
        <v>1</v>
      </c>
      <c r="Q4818">
        <v>0</v>
      </c>
      <c r="R4818" t="s">
        <v>127</v>
      </c>
      <c r="S4818" t="str">
        <f t="shared" si="1908"/>
        <v>15:17:54.000</v>
      </c>
      <c r="T4818" t="str">
        <f t="shared" si="1908"/>
        <v>15:17:54.000</v>
      </c>
      <c r="U4818" t="str">
        <f t="shared" si="1902"/>
        <v>A68FCB</v>
      </c>
      <c r="V4818">
        <v>0</v>
      </c>
      <c r="W4818">
        <v>0</v>
      </c>
      <c r="X4818">
        <v>2</v>
      </c>
      <c r="Y4818">
        <v>0</v>
      </c>
      <c r="AA4818">
        <v>1</v>
      </c>
      <c r="AB4818">
        <v>8</v>
      </c>
      <c r="AC4818">
        <v>3</v>
      </c>
      <c r="AD4818">
        <v>0</v>
      </c>
      <c r="AE4818">
        <v>9</v>
      </c>
      <c r="AF4818" t="s">
        <v>138</v>
      </c>
      <c r="AG4818">
        <v>0</v>
      </c>
      <c r="AH4818">
        <v>3</v>
      </c>
      <c r="AI4818">
        <v>2</v>
      </c>
      <c r="AJ4818">
        <v>0</v>
      </c>
      <c r="AK4818" t="s">
        <v>1530</v>
      </c>
      <c r="AL4818">
        <v>39.226792000000003</v>
      </c>
      <c r="AM4818" t="s">
        <v>1531</v>
      </c>
      <c r="AN4818">
        <v>-121.000264</v>
      </c>
      <c r="AO4818">
        <v>25</v>
      </c>
      <c r="AP4818">
        <v>4100</v>
      </c>
      <c r="AQ4818" t="s">
        <v>131</v>
      </c>
      <c r="AR4818">
        <v>0</v>
      </c>
      <c r="AS4818">
        <v>88</v>
      </c>
      <c r="AT4818">
        <v>-128</v>
      </c>
      <c r="BB4818" t="str">
        <f t="shared" si="1903"/>
        <v>1200</v>
      </c>
      <c r="BC4818">
        <v>1</v>
      </c>
      <c r="BD4818" t="str">
        <f t="shared" si="1904"/>
        <v xml:space="preserve">N52156  </v>
      </c>
      <c r="BE4818">
        <v>1</v>
      </c>
      <c r="BG4818">
        <v>0</v>
      </c>
      <c r="BH4818">
        <v>0</v>
      </c>
      <c r="BI4818">
        <v>0</v>
      </c>
      <c r="BJ4818">
        <v>4100</v>
      </c>
      <c r="BK4818">
        <v>0</v>
      </c>
      <c r="BL4818" t="s">
        <v>188</v>
      </c>
      <c r="BM4818">
        <v>1</v>
      </c>
      <c r="BN4818">
        <v>1</v>
      </c>
      <c r="BO4818">
        <v>0</v>
      </c>
      <c r="BP4818">
        <v>0</v>
      </c>
      <c r="BS4818">
        <v>0</v>
      </c>
      <c r="BT4818">
        <v>0</v>
      </c>
      <c r="BU4818">
        <v>0</v>
      </c>
      <c r="CE4818" t="str">
        <f t="shared" si="1909"/>
        <v>15:17:54.796</v>
      </c>
      <c r="CF4818">
        <v>795840331</v>
      </c>
      <c r="CS4818">
        <v>0</v>
      </c>
      <c r="CT4818">
        <v>2</v>
      </c>
      <c r="CU4818">
        <v>0</v>
      </c>
      <c r="CV4818">
        <v>2</v>
      </c>
      <c r="CW4818">
        <v>0</v>
      </c>
      <c r="CX4818">
        <v>3</v>
      </c>
      <c r="CY4818">
        <v>7</v>
      </c>
      <c r="CZ4818" t="s">
        <v>133</v>
      </c>
      <c r="DA4818">
        <v>276</v>
      </c>
      <c r="DB4818">
        <v>0</v>
      </c>
      <c r="DC4818" t="s">
        <v>402</v>
      </c>
      <c r="DD4818" t="s">
        <v>403</v>
      </c>
      <c r="DG4818">
        <v>1628816</v>
      </c>
      <c r="DI4818">
        <v>1</v>
      </c>
      <c r="DJ4818">
        <v>0</v>
      </c>
      <c r="DK4818">
        <v>1</v>
      </c>
      <c r="DL4818">
        <v>0</v>
      </c>
      <c r="DM4818">
        <v>0</v>
      </c>
      <c r="DN4818">
        <v>0</v>
      </c>
      <c r="DO4818">
        <v>0</v>
      </c>
      <c r="DP4818">
        <v>0</v>
      </c>
      <c r="DQ4818">
        <v>0</v>
      </c>
      <c r="DR4818">
        <v>0</v>
      </c>
      <c r="DS4818">
        <v>0</v>
      </c>
    </row>
    <row r="4819" spans="1:123" x14ac:dyDescent="0.3">
      <c r="A4819" t="str">
        <f>"05/01/2025 15:17:55.026"</f>
        <v>05/01/2025 15:17:55.026</v>
      </c>
      <c r="C4819" t="str">
        <f t="shared" si="1900"/>
        <v>FFDFD3C0</v>
      </c>
      <c r="D4819" t="s">
        <v>143</v>
      </c>
      <c r="E4819" t="str">
        <f>"05"</f>
        <v>05</v>
      </c>
      <c r="H4819">
        <v>172</v>
      </c>
      <c r="I4819" t="s">
        <v>141</v>
      </c>
      <c r="J4819" t="s">
        <v>144</v>
      </c>
      <c r="K4819">
        <v>0</v>
      </c>
      <c r="L4819">
        <v>3</v>
      </c>
      <c r="M4819">
        <v>0</v>
      </c>
      <c r="N4819">
        <v>2</v>
      </c>
      <c r="O4819">
        <v>0</v>
      </c>
      <c r="P4819">
        <v>1</v>
      </c>
      <c r="Q4819">
        <v>0</v>
      </c>
      <c r="R4819" t="s">
        <v>127</v>
      </c>
      <c r="S4819" t="str">
        <f t="shared" si="1908"/>
        <v>15:17:54.000</v>
      </c>
      <c r="T4819" t="str">
        <f t="shared" si="1908"/>
        <v>15:17:54.000</v>
      </c>
      <c r="U4819" t="str">
        <f t="shared" si="1902"/>
        <v>A68FCB</v>
      </c>
      <c r="V4819">
        <v>0</v>
      </c>
      <c r="W4819">
        <v>0</v>
      </c>
      <c r="X4819">
        <v>2</v>
      </c>
      <c r="Y4819">
        <v>0</v>
      </c>
      <c r="AA4819">
        <v>1</v>
      </c>
      <c r="AB4819">
        <v>8</v>
      </c>
      <c r="AC4819">
        <v>3</v>
      </c>
      <c r="AD4819">
        <v>0</v>
      </c>
      <c r="AE4819">
        <v>9</v>
      </c>
      <c r="AF4819" t="s">
        <v>138</v>
      </c>
      <c r="AG4819">
        <v>0</v>
      </c>
      <c r="AH4819">
        <v>3</v>
      </c>
      <c r="AI4819">
        <v>2</v>
      </c>
      <c r="AJ4819">
        <v>0</v>
      </c>
      <c r="AK4819" t="s">
        <v>1530</v>
      </c>
      <c r="AL4819">
        <v>39.226792000000003</v>
      </c>
      <c r="AM4819" t="s">
        <v>1531</v>
      </c>
      <c r="AN4819">
        <v>-121.000264</v>
      </c>
      <c r="AO4819">
        <v>25</v>
      </c>
      <c r="AP4819">
        <v>4100</v>
      </c>
      <c r="AQ4819" t="s">
        <v>131</v>
      </c>
      <c r="AR4819">
        <v>0</v>
      </c>
      <c r="AS4819">
        <v>88</v>
      </c>
      <c r="AT4819">
        <v>-128</v>
      </c>
      <c r="BB4819" t="str">
        <f t="shared" si="1903"/>
        <v>1200</v>
      </c>
      <c r="BC4819">
        <v>1</v>
      </c>
      <c r="BD4819" t="str">
        <f t="shared" si="1904"/>
        <v xml:space="preserve">N52156  </v>
      </c>
      <c r="BE4819">
        <v>1</v>
      </c>
      <c r="BG4819">
        <v>0</v>
      </c>
      <c r="BH4819">
        <v>0</v>
      </c>
      <c r="BI4819">
        <v>0</v>
      </c>
      <c r="BJ4819">
        <v>4100</v>
      </c>
      <c r="BK4819">
        <v>0</v>
      </c>
      <c r="BL4819" t="s">
        <v>188</v>
      </c>
      <c r="BM4819">
        <v>1</v>
      </c>
      <c r="BN4819">
        <v>1</v>
      </c>
      <c r="BO4819">
        <v>0</v>
      </c>
      <c r="BP4819">
        <v>0</v>
      </c>
      <c r="BS4819">
        <v>0</v>
      </c>
      <c r="BT4819">
        <v>0</v>
      </c>
      <c r="BU4819">
        <v>0</v>
      </c>
      <c r="CE4819" t="str">
        <f t="shared" si="1909"/>
        <v>15:17:54.796</v>
      </c>
      <c r="CF4819">
        <v>795840331</v>
      </c>
      <c r="CS4819">
        <v>0</v>
      </c>
      <c r="CT4819">
        <v>2</v>
      </c>
      <c r="CU4819">
        <v>0</v>
      </c>
      <c r="CV4819">
        <v>2</v>
      </c>
      <c r="CW4819">
        <v>0</v>
      </c>
      <c r="CX4819">
        <v>3</v>
      </c>
      <c r="CY4819">
        <v>7</v>
      </c>
      <c r="CZ4819" t="s">
        <v>133</v>
      </c>
      <c r="DA4819">
        <v>276</v>
      </c>
      <c r="DB4819">
        <v>0</v>
      </c>
      <c r="DC4819" t="s">
        <v>402</v>
      </c>
      <c r="DD4819" t="s">
        <v>403</v>
      </c>
      <c r="DG4819">
        <v>1628816</v>
      </c>
      <c r="DI4819">
        <v>1</v>
      </c>
      <c r="DJ4819">
        <v>0</v>
      </c>
      <c r="DK4819">
        <v>1</v>
      </c>
      <c r="DL4819">
        <v>0</v>
      </c>
      <c r="DM4819">
        <v>0</v>
      </c>
      <c r="DN4819">
        <v>0</v>
      </c>
      <c r="DO4819">
        <v>0</v>
      </c>
      <c r="DP4819">
        <v>0</v>
      </c>
      <c r="DQ4819">
        <v>0</v>
      </c>
      <c r="DR4819">
        <v>0</v>
      </c>
      <c r="DS4819">
        <v>0</v>
      </c>
    </row>
    <row r="4820" spans="1:123" x14ac:dyDescent="0.3">
      <c r="A4820" t="str">
        <f>"05/01/2025 15:17:55.894"</f>
        <v>05/01/2025 15:17:55.894</v>
      </c>
      <c r="C4820" t="str">
        <f t="shared" si="1900"/>
        <v>FFDFD3C0</v>
      </c>
      <c r="D4820" t="s">
        <v>145</v>
      </c>
      <c r="E4820" t="str">
        <f>"05"</f>
        <v>05</v>
      </c>
      <c r="H4820">
        <v>47</v>
      </c>
      <c r="I4820" t="s">
        <v>146</v>
      </c>
      <c r="J4820" t="s">
        <v>138</v>
      </c>
      <c r="K4820">
        <v>0</v>
      </c>
      <c r="L4820">
        <v>3</v>
      </c>
      <c r="M4820">
        <v>0</v>
      </c>
      <c r="N4820">
        <v>2</v>
      </c>
      <c r="O4820">
        <v>0</v>
      </c>
      <c r="P4820">
        <v>1</v>
      </c>
      <c r="Q4820">
        <v>0</v>
      </c>
      <c r="R4820" t="s">
        <v>127</v>
      </c>
      <c r="S4820" t="str">
        <f t="shared" ref="S4820:T4825" si="1910">"15:17:55.000"</f>
        <v>15:17:55.000</v>
      </c>
      <c r="T4820" t="str">
        <f t="shared" si="1910"/>
        <v>15:17:55.000</v>
      </c>
      <c r="U4820" t="str">
        <f t="shared" si="1902"/>
        <v>A68FCB</v>
      </c>
      <c r="V4820">
        <v>0</v>
      </c>
      <c r="W4820">
        <v>0</v>
      </c>
      <c r="X4820">
        <v>2</v>
      </c>
      <c r="Y4820">
        <v>0</v>
      </c>
      <c r="AA4820">
        <v>1</v>
      </c>
      <c r="AB4820">
        <v>8</v>
      </c>
      <c r="AC4820">
        <v>3</v>
      </c>
      <c r="AD4820">
        <v>0</v>
      </c>
      <c r="AE4820">
        <v>9</v>
      </c>
      <c r="AF4820" t="s">
        <v>138</v>
      </c>
      <c r="AG4820">
        <v>0</v>
      </c>
      <c r="AH4820">
        <v>3</v>
      </c>
      <c r="AI4820">
        <v>2</v>
      </c>
      <c r="AJ4820">
        <v>0</v>
      </c>
      <c r="AK4820" t="s">
        <v>1532</v>
      </c>
      <c r="AL4820">
        <v>39.227200000000003</v>
      </c>
      <c r="AM4820" t="s">
        <v>1527</v>
      </c>
      <c r="AN4820">
        <v>-121.00028500000001</v>
      </c>
      <c r="AO4820">
        <v>25</v>
      </c>
      <c r="AP4820">
        <v>4100</v>
      </c>
      <c r="AQ4820" t="s">
        <v>131</v>
      </c>
      <c r="AR4820">
        <v>0</v>
      </c>
      <c r="AS4820">
        <v>89</v>
      </c>
      <c r="AT4820">
        <v>-128</v>
      </c>
      <c r="BB4820" t="str">
        <f t="shared" si="1903"/>
        <v>1200</v>
      </c>
      <c r="BC4820">
        <v>1</v>
      </c>
      <c r="BD4820" t="str">
        <f t="shared" si="1904"/>
        <v xml:space="preserve">N52156  </v>
      </c>
      <c r="BE4820">
        <v>1</v>
      </c>
      <c r="BG4820">
        <v>0</v>
      </c>
      <c r="BH4820">
        <v>0</v>
      </c>
      <c r="BI4820">
        <v>0</v>
      </c>
      <c r="BJ4820">
        <v>4100</v>
      </c>
      <c r="BK4820">
        <v>0</v>
      </c>
      <c r="BL4820" t="s">
        <v>188</v>
      </c>
      <c r="BM4820">
        <v>1</v>
      </c>
      <c r="BN4820">
        <v>1</v>
      </c>
      <c r="BO4820">
        <v>0</v>
      </c>
      <c r="BP4820">
        <v>0</v>
      </c>
      <c r="BS4820">
        <v>0</v>
      </c>
      <c r="BT4820">
        <v>0</v>
      </c>
      <c r="BU4820">
        <v>0</v>
      </c>
      <c r="CE4820" t="str">
        <f t="shared" ref="CE4820:CE4825" si="1911">"15:17:55.688"</f>
        <v>15:17:55.688</v>
      </c>
      <c r="CF4820">
        <v>688261295</v>
      </c>
      <c r="CS4820">
        <v>0</v>
      </c>
      <c r="CT4820">
        <v>2</v>
      </c>
      <c r="CU4820">
        <v>0</v>
      </c>
      <c r="CV4820">
        <v>2</v>
      </c>
      <c r="CW4820">
        <v>0</v>
      </c>
      <c r="CX4820">
        <v>3</v>
      </c>
      <c r="CY4820">
        <v>7</v>
      </c>
      <c r="CZ4820" t="s">
        <v>133</v>
      </c>
      <c r="DA4820">
        <v>275</v>
      </c>
      <c r="DB4820">
        <v>0</v>
      </c>
      <c r="DC4820" t="s">
        <v>134</v>
      </c>
      <c r="DD4820" t="s">
        <v>135</v>
      </c>
      <c r="DG4820">
        <v>3323404</v>
      </c>
      <c r="DI4820">
        <v>1</v>
      </c>
      <c r="DJ4820">
        <v>0</v>
      </c>
      <c r="DK4820">
        <v>0</v>
      </c>
      <c r="DL4820">
        <v>0</v>
      </c>
      <c r="DM4820">
        <v>0</v>
      </c>
      <c r="DN4820">
        <v>0</v>
      </c>
      <c r="DO4820">
        <v>0</v>
      </c>
      <c r="DP4820">
        <v>0</v>
      </c>
      <c r="DQ4820">
        <v>0</v>
      </c>
      <c r="DR4820">
        <v>0</v>
      </c>
      <c r="DS4820">
        <v>0</v>
      </c>
    </row>
    <row r="4821" spans="1:123" x14ac:dyDescent="0.3">
      <c r="A4821" t="str">
        <f>"05/01/2025 15:17:55.891"</f>
        <v>05/01/2025 15:17:55.891</v>
      </c>
      <c r="C4821" t="str">
        <f t="shared" si="1900"/>
        <v>FFDFD3C0</v>
      </c>
      <c r="D4821" t="s">
        <v>145</v>
      </c>
      <c r="E4821" t="str">
        <f>"09"</f>
        <v>09</v>
      </c>
      <c r="H4821">
        <v>51</v>
      </c>
      <c r="I4821" t="s">
        <v>147</v>
      </c>
      <c r="J4821" t="s">
        <v>138</v>
      </c>
      <c r="K4821">
        <v>0</v>
      </c>
      <c r="L4821">
        <v>3</v>
      </c>
      <c r="M4821">
        <v>0</v>
      </c>
      <c r="N4821">
        <v>2</v>
      </c>
      <c r="O4821">
        <v>0</v>
      </c>
      <c r="P4821">
        <v>1</v>
      </c>
      <c r="Q4821">
        <v>0</v>
      </c>
      <c r="R4821" t="s">
        <v>127</v>
      </c>
      <c r="S4821" t="str">
        <f t="shared" si="1910"/>
        <v>15:17:55.000</v>
      </c>
      <c r="T4821" t="str">
        <f t="shared" si="1910"/>
        <v>15:17:55.000</v>
      </c>
      <c r="U4821" t="str">
        <f t="shared" si="1902"/>
        <v>A68FCB</v>
      </c>
      <c r="V4821">
        <v>0</v>
      </c>
      <c r="W4821">
        <v>0</v>
      </c>
      <c r="X4821">
        <v>2</v>
      </c>
      <c r="Y4821">
        <v>0</v>
      </c>
      <c r="AA4821">
        <v>1</v>
      </c>
      <c r="AB4821">
        <v>8</v>
      </c>
      <c r="AC4821">
        <v>3</v>
      </c>
      <c r="AD4821">
        <v>0</v>
      </c>
      <c r="AE4821">
        <v>9</v>
      </c>
      <c r="AF4821" t="s">
        <v>138</v>
      </c>
      <c r="AG4821">
        <v>0</v>
      </c>
      <c r="AH4821">
        <v>3</v>
      </c>
      <c r="AI4821">
        <v>2</v>
      </c>
      <c r="AJ4821">
        <v>0</v>
      </c>
      <c r="AK4821" t="s">
        <v>1532</v>
      </c>
      <c r="AL4821">
        <v>39.227200000000003</v>
      </c>
      <c r="AM4821" t="s">
        <v>1527</v>
      </c>
      <c r="AN4821">
        <v>-121.00028500000001</v>
      </c>
      <c r="AO4821">
        <v>25</v>
      </c>
      <c r="AP4821">
        <v>4100</v>
      </c>
      <c r="AQ4821" t="s">
        <v>131</v>
      </c>
      <c r="AR4821">
        <v>0</v>
      </c>
      <c r="AS4821">
        <v>89</v>
      </c>
      <c r="AT4821">
        <v>-128</v>
      </c>
      <c r="BB4821" t="str">
        <f t="shared" si="1903"/>
        <v>1200</v>
      </c>
      <c r="BC4821">
        <v>1</v>
      </c>
      <c r="BD4821" t="str">
        <f t="shared" si="1904"/>
        <v xml:space="preserve">N52156  </v>
      </c>
      <c r="BE4821">
        <v>1</v>
      </c>
      <c r="BG4821">
        <v>0</v>
      </c>
      <c r="BH4821">
        <v>0</v>
      </c>
      <c r="BI4821">
        <v>0</v>
      </c>
      <c r="BJ4821">
        <v>4100</v>
      </c>
      <c r="BK4821">
        <v>0</v>
      </c>
      <c r="BL4821" t="s">
        <v>188</v>
      </c>
      <c r="BM4821">
        <v>1</v>
      </c>
      <c r="BN4821">
        <v>1</v>
      </c>
      <c r="BO4821">
        <v>0</v>
      </c>
      <c r="BP4821">
        <v>0</v>
      </c>
      <c r="BS4821">
        <v>0</v>
      </c>
      <c r="BT4821">
        <v>0</v>
      </c>
      <c r="BU4821">
        <v>0</v>
      </c>
      <c r="CE4821" t="str">
        <f t="shared" si="1911"/>
        <v>15:17:55.688</v>
      </c>
      <c r="CF4821">
        <v>688261295</v>
      </c>
      <c r="CS4821">
        <v>0</v>
      </c>
      <c r="CT4821">
        <v>2</v>
      </c>
      <c r="CU4821">
        <v>0</v>
      </c>
      <c r="CV4821">
        <v>2</v>
      </c>
      <c r="CW4821">
        <v>0</v>
      </c>
      <c r="CX4821">
        <v>3</v>
      </c>
      <c r="CY4821">
        <v>7</v>
      </c>
      <c r="CZ4821" t="s">
        <v>133</v>
      </c>
      <c r="DA4821">
        <v>275</v>
      </c>
      <c r="DB4821">
        <v>0</v>
      </c>
      <c r="DC4821" t="s">
        <v>134</v>
      </c>
      <c r="DD4821" t="s">
        <v>135</v>
      </c>
      <c r="DG4821">
        <v>3323404</v>
      </c>
      <c r="DI4821">
        <v>1</v>
      </c>
      <c r="DJ4821">
        <v>0</v>
      </c>
      <c r="DK4821">
        <v>1</v>
      </c>
      <c r="DL4821">
        <v>0</v>
      </c>
      <c r="DM4821">
        <v>0</v>
      </c>
      <c r="DN4821">
        <v>0</v>
      </c>
      <c r="DO4821">
        <v>0</v>
      </c>
      <c r="DP4821">
        <v>0</v>
      </c>
      <c r="DQ4821">
        <v>0</v>
      </c>
      <c r="DR4821">
        <v>0</v>
      </c>
      <c r="DS4821">
        <v>0</v>
      </c>
    </row>
    <row r="4822" spans="1:123" x14ac:dyDescent="0.3">
      <c r="A4822" t="str">
        <f>"05/01/2025 15:17:55.905"</f>
        <v>05/01/2025 15:17:55.905</v>
      </c>
      <c r="C4822" t="str">
        <f t="shared" si="1900"/>
        <v>FFDFD3C0</v>
      </c>
      <c r="D4822" t="s">
        <v>136</v>
      </c>
      <c r="E4822" t="str">
        <f>"20"</f>
        <v>20</v>
      </c>
      <c r="H4822">
        <v>400</v>
      </c>
      <c r="I4822" t="s">
        <v>137</v>
      </c>
      <c r="J4822" t="s">
        <v>138</v>
      </c>
      <c r="K4822">
        <v>0</v>
      </c>
      <c r="L4822">
        <v>3</v>
      </c>
      <c r="M4822">
        <v>0</v>
      </c>
      <c r="N4822">
        <v>2</v>
      </c>
      <c r="O4822">
        <v>0</v>
      </c>
      <c r="P4822">
        <v>1</v>
      </c>
      <c r="Q4822">
        <v>0</v>
      </c>
      <c r="R4822" t="s">
        <v>127</v>
      </c>
      <c r="S4822" t="str">
        <f t="shared" si="1910"/>
        <v>15:17:55.000</v>
      </c>
      <c r="T4822" t="str">
        <f t="shared" si="1910"/>
        <v>15:17:55.000</v>
      </c>
      <c r="U4822" t="str">
        <f t="shared" si="1902"/>
        <v>A68FCB</v>
      </c>
      <c r="V4822">
        <v>0</v>
      </c>
      <c r="W4822">
        <v>0</v>
      </c>
      <c r="X4822">
        <v>2</v>
      </c>
      <c r="Y4822">
        <v>0</v>
      </c>
      <c r="AA4822">
        <v>1</v>
      </c>
      <c r="AB4822">
        <v>8</v>
      </c>
      <c r="AC4822">
        <v>3</v>
      </c>
      <c r="AD4822">
        <v>0</v>
      </c>
      <c r="AE4822">
        <v>9</v>
      </c>
      <c r="AF4822" t="s">
        <v>138</v>
      </c>
      <c r="AG4822">
        <v>0</v>
      </c>
      <c r="AH4822">
        <v>3</v>
      </c>
      <c r="AI4822">
        <v>2</v>
      </c>
      <c r="AJ4822">
        <v>0</v>
      </c>
      <c r="AK4822" t="s">
        <v>1532</v>
      </c>
      <c r="AL4822">
        <v>39.227200000000003</v>
      </c>
      <c r="AM4822" t="s">
        <v>1527</v>
      </c>
      <c r="AN4822">
        <v>-121.00028500000001</v>
      </c>
      <c r="AO4822">
        <v>25</v>
      </c>
      <c r="AP4822">
        <v>4100</v>
      </c>
      <c r="AQ4822" t="s">
        <v>131</v>
      </c>
      <c r="AR4822">
        <v>0</v>
      </c>
      <c r="AS4822">
        <v>89</v>
      </c>
      <c r="AT4822">
        <v>-128</v>
      </c>
      <c r="BB4822" t="str">
        <f t="shared" si="1903"/>
        <v>1200</v>
      </c>
      <c r="BC4822">
        <v>1</v>
      </c>
      <c r="BD4822" t="str">
        <f t="shared" si="1904"/>
        <v xml:space="preserve">N52156  </v>
      </c>
      <c r="BE4822">
        <v>1</v>
      </c>
      <c r="BG4822">
        <v>0</v>
      </c>
      <c r="BH4822">
        <v>0</v>
      </c>
      <c r="BI4822">
        <v>0</v>
      </c>
      <c r="BJ4822">
        <v>4100</v>
      </c>
      <c r="BK4822">
        <v>0</v>
      </c>
      <c r="BL4822" t="s">
        <v>188</v>
      </c>
      <c r="BM4822">
        <v>1</v>
      </c>
      <c r="BN4822">
        <v>1</v>
      </c>
      <c r="BO4822">
        <v>0</v>
      </c>
      <c r="BP4822">
        <v>0</v>
      </c>
      <c r="BS4822">
        <v>0</v>
      </c>
      <c r="BT4822">
        <v>0</v>
      </c>
      <c r="BU4822">
        <v>0</v>
      </c>
      <c r="CE4822" t="str">
        <f t="shared" si="1911"/>
        <v>15:17:55.688</v>
      </c>
      <c r="CF4822">
        <v>688261295</v>
      </c>
      <c r="CS4822">
        <v>0</v>
      </c>
      <c r="CT4822">
        <v>2</v>
      </c>
      <c r="CU4822">
        <v>0</v>
      </c>
      <c r="CV4822">
        <v>2</v>
      </c>
      <c r="CW4822">
        <v>0</v>
      </c>
      <c r="CX4822">
        <v>3</v>
      </c>
      <c r="CY4822">
        <v>7</v>
      </c>
      <c r="CZ4822" t="s">
        <v>133</v>
      </c>
      <c r="DA4822">
        <v>275</v>
      </c>
      <c r="DB4822">
        <v>0</v>
      </c>
      <c r="DC4822" t="s">
        <v>134</v>
      </c>
      <c r="DD4822" t="s">
        <v>135</v>
      </c>
      <c r="DG4822">
        <v>3323404</v>
      </c>
      <c r="DI4822">
        <v>1</v>
      </c>
      <c r="DJ4822">
        <v>0</v>
      </c>
      <c r="DK4822">
        <v>1</v>
      </c>
      <c r="DL4822">
        <v>0</v>
      </c>
      <c r="DM4822">
        <v>0</v>
      </c>
      <c r="DN4822">
        <v>0</v>
      </c>
      <c r="DO4822">
        <v>0</v>
      </c>
      <c r="DP4822">
        <v>0</v>
      </c>
      <c r="DQ4822">
        <v>0</v>
      </c>
      <c r="DR4822">
        <v>0</v>
      </c>
      <c r="DS4822">
        <v>0</v>
      </c>
    </row>
    <row r="4823" spans="1:123" x14ac:dyDescent="0.3">
      <c r="A4823" t="str">
        <f>"05/01/2025 15:17:55.918"</f>
        <v>05/01/2025 15:17:55.918</v>
      </c>
      <c r="C4823" t="str">
        <f t="shared" si="1900"/>
        <v>FFDFD3C0</v>
      </c>
      <c r="D4823" t="s">
        <v>140</v>
      </c>
      <c r="E4823" t="str">
        <f>"13"</f>
        <v>13</v>
      </c>
      <c r="F4823">
        <v>1019</v>
      </c>
      <c r="G4823" t="s">
        <v>141</v>
      </c>
      <c r="J4823" t="s">
        <v>142</v>
      </c>
      <c r="K4823">
        <v>0</v>
      </c>
      <c r="L4823">
        <v>3</v>
      </c>
      <c r="M4823">
        <v>0</v>
      </c>
      <c r="N4823">
        <v>2</v>
      </c>
      <c r="O4823">
        <v>0</v>
      </c>
      <c r="P4823">
        <v>1</v>
      </c>
      <c r="Q4823">
        <v>0</v>
      </c>
      <c r="R4823" t="s">
        <v>127</v>
      </c>
      <c r="S4823" t="str">
        <f t="shared" si="1910"/>
        <v>15:17:55.000</v>
      </c>
      <c r="T4823" t="str">
        <f t="shared" si="1910"/>
        <v>15:17:55.000</v>
      </c>
      <c r="U4823" t="str">
        <f t="shared" si="1902"/>
        <v>A68FCB</v>
      </c>
      <c r="V4823">
        <v>0</v>
      </c>
      <c r="W4823">
        <v>0</v>
      </c>
      <c r="X4823">
        <v>2</v>
      </c>
      <c r="Y4823">
        <v>0</v>
      </c>
      <c r="AA4823">
        <v>1</v>
      </c>
      <c r="AB4823">
        <v>8</v>
      </c>
      <c r="AC4823">
        <v>3</v>
      </c>
      <c r="AD4823">
        <v>0</v>
      </c>
      <c r="AE4823">
        <v>9</v>
      </c>
      <c r="AF4823" t="s">
        <v>138</v>
      </c>
      <c r="AG4823">
        <v>0</v>
      </c>
      <c r="AH4823">
        <v>3</v>
      </c>
      <c r="AI4823">
        <v>2</v>
      </c>
      <c r="AJ4823">
        <v>0</v>
      </c>
      <c r="AK4823" t="s">
        <v>1532</v>
      </c>
      <c r="AL4823">
        <v>39.227200000000003</v>
      </c>
      <c r="AM4823" t="s">
        <v>1527</v>
      </c>
      <c r="AN4823">
        <v>-121.00028500000001</v>
      </c>
      <c r="AO4823">
        <v>25</v>
      </c>
      <c r="AP4823">
        <v>4100</v>
      </c>
      <c r="AQ4823" t="s">
        <v>131</v>
      </c>
      <c r="AR4823">
        <v>0</v>
      </c>
      <c r="AS4823">
        <v>89</v>
      </c>
      <c r="AT4823">
        <v>-128</v>
      </c>
      <c r="BB4823" t="str">
        <f t="shared" si="1903"/>
        <v>1200</v>
      </c>
      <c r="BC4823">
        <v>1</v>
      </c>
      <c r="BD4823" t="str">
        <f t="shared" si="1904"/>
        <v xml:space="preserve">N52156  </v>
      </c>
      <c r="BE4823">
        <v>1</v>
      </c>
      <c r="BG4823">
        <v>0</v>
      </c>
      <c r="BH4823">
        <v>0</v>
      </c>
      <c r="BI4823">
        <v>0</v>
      </c>
      <c r="BJ4823">
        <v>4100</v>
      </c>
      <c r="BK4823">
        <v>0</v>
      </c>
      <c r="BL4823" t="s">
        <v>188</v>
      </c>
      <c r="BM4823">
        <v>1</v>
      </c>
      <c r="BN4823">
        <v>1</v>
      </c>
      <c r="BO4823">
        <v>0</v>
      </c>
      <c r="BP4823">
        <v>0</v>
      </c>
      <c r="BS4823">
        <v>0</v>
      </c>
      <c r="BT4823">
        <v>0</v>
      </c>
      <c r="BU4823">
        <v>0</v>
      </c>
      <c r="CE4823" t="str">
        <f t="shared" si="1911"/>
        <v>15:17:55.688</v>
      </c>
      <c r="CF4823">
        <v>688261295</v>
      </c>
      <c r="CS4823">
        <v>0</v>
      </c>
      <c r="CT4823">
        <v>2</v>
      </c>
      <c r="CU4823">
        <v>0</v>
      </c>
      <c r="CV4823">
        <v>2</v>
      </c>
      <c r="CW4823">
        <v>0</v>
      </c>
      <c r="CX4823">
        <v>3</v>
      </c>
      <c r="CY4823">
        <v>7</v>
      </c>
      <c r="CZ4823" t="s">
        <v>133</v>
      </c>
      <c r="DA4823">
        <v>275</v>
      </c>
      <c r="DB4823">
        <v>0</v>
      </c>
      <c r="DC4823" t="s">
        <v>134</v>
      </c>
      <c r="DD4823" t="s">
        <v>135</v>
      </c>
      <c r="DG4823">
        <v>3323404</v>
      </c>
      <c r="DI4823">
        <v>1</v>
      </c>
      <c r="DJ4823">
        <v>0</v>
      </c>
      <c r="DK4823">
        <v>1</v>
      </c>
      <c r="DL4823">
        <v>0</v>
      </c>
      <c r="DM4823">
        <v>0</v>
      </c>
      <c r="DN4823">
        <v>0</v>
      </c>
      <c r="DO4823">
        <v>0</v>
      </c>
      <c r="DP4823">
        <v>0</v>
      </c>
      <c r="DQ4823">
        <v>0</v>
      </c>
      <c r="DR4823">
        <v>0</v>
      </c>
      <c r="DS4823">
        <v>0</v>
      </c>
    </row>
    <row r="4824" spans="1:123" x14ac:dyDescent="0.3">
      <c r="A4824" t="str">
        <f>"05/01/2025 15:17:55.922"</f>
        <v>05/01/2025 15:17:55.922</v>
      </c>
      <c r="C4824" t="str">
        <f t="shared" si="1900"/>
        <v>FFDFD3C0</v>
      </c>
      <c r="D4824" t="s">
        <v>124</v>
      </c>
      <c r="E4824" t="str">
        <f>"06"</f>
        <v>06</v>
      </c>
      <c r="F4824">
        <v>2006</v>
      </c>
      <c r="G4824" t="s">
        <v>125</v>
      </c>
      <c r="J4824" t="s">
        <v>126</v>
      </c>
      <c r="K4824">
        <v>0</v>
      </c>
      <c r="L4824">
        <v>3</v>
      </c>
      <c r="M4824">
        <v>0</v>
      </c>
      <c r="N4824">
        <v>2</v>
      </c>
      <c r="O4824">
        <v>0</v>
      </c>
      <c r="P4824">
        <v>1</v>
      </c>
      <c r="Q4824">
        <v>0</v>
      </c>
      <c r="R4824" t="s">
        <v>127</v>
      </c>
      <c r="S4824" t="str">
        <f t="shared" si="1910"/>
        <v>15:17:55.000</v>
      </c>
      <c r="T4824" t="str">
        <f t="shared" si="1910"/>
        <v>15:17:55.000</v>
      </c>
      <c r="U4824" t="str">
        <f t="shared" si="1902"/>
        <v>A68FCB</v>
      </c>
      <c r="V4824">
        <v>0</v>
      </c>
      <c r="W4824">
        <v>0</v>
      </c>
      <c r="X4824">
        <v>2</v>
      </c>
      <c r="Y4824">
        <v>0</v>
      </c>
      <c r="AA4824">
        <v>1</v>
      </c>
      <c r="AB4824">
        <v>8</v>
      </c>
      <c r="AC4824">
        <v>3</v>
      </c>
      <c r="AD4824">
        <v>0</v>
      </c>
      <c r="AE4824">
        <v>9</v>
      </c>
      <c r="AF4824" t="s">
        <v>138</v>
      </c>
      <c r="AG4824">
        <v>0</v>
      </c>
      <c r="AH4824">
        <v>3</v>
      </c>
      <c r="AI4824">
        <v>2</v>
      </c>
      <c r="AJ4824">
        <v>0</v>
      </c>
      <c r="AK4824" t="s">
        <v>1532</v>
      </c>
      <c r="AL4824">
        <v>39.227200000000003</v>
      </c>
      <c r="AM4824" t="s">
        <v>1527</v>
      </c>
      <c r="AN4824">
        <v>-121.00028500000001</v>
      </c>
      <c r="AO4824">
        <v>25</v>
      </c>
      <c r="AP4824">
        <v>4100</v>
      </c>
      <c r="AQ4824" t="s">
        <v>131</v>
      </c>
      <c r="AR4824">
        <v>0</v>
      </c>
      <c r="AS4824">
        <v>89</v>
      </c>
      <c r="AT4824">
        <v>-128</v>
      </c>
      <c r="BB4824" t="str">
        <f t="shared" si="1903"/>
        <v>1200</v>
      </c>
      <c r="BC4824">
        <v>1</v>
      </c>
      <c r="BD4824" t="str">
        <f t="shared" si="1904"/>
        <v xml:space="preserve">N52156  </v>
      </c>
      <c r="BE4824">
        <v>1</v>
      </c>
      <c r="BG4824">
        <v>0</v>
      </c>
      <c r="BH4824">
        <v>0</v>
      </c>
      <c r="BI4824">
        <v>0</v>
      </c>
      <c r="BJ4824">
        <v>4100</v>
      </c>
      <c r="BK4824">
        <v>0</v>
      </c>
      <c r="BL4824" t="s">
        <v>188</v>
      </c>
      <c r="BM4824">
        <v>1</v>
      </c>
      <c r="BN4824">
        <v>1</v>
      </c>
      <c r="BO4824">
        <v>0</v>
      </c>
      <c r="BP4824">
        <v>0</v>
      </c>
      <c r="BS4824">
        <v>0</v>
      </c>
      <c r="BT4824">
        <v>0</v>
      </c>
      <c r="BU4824">
        <v>0</v>
      </c>
      <c r="CE4824" t="str">
        <f t="shared" si="1911"/>
        <v>15:17:55.688</v>
      </c>
      <c r="CF4824">
        <v>688261295</v>
      </c>
      <c r="CS4824">
        <v>0</v>
      </c>
      <c r="CT4824">
        <v>2</v>
      </c>
      <c r="CU4824">
        <v>0</v>
      </c>
      <c r="CV4824">
        <v>2</v>
      </c>
      <c r="CW4824">
        <v>0</v>
      </c>
      <c r="CX4824">
        <v>3</v>
      </c>
      <c r="CY4824">
        <v>7</v>
      </c>
      <c r="CZ4824" t="s">
        <v>133</v>
      </c>
      <c r="DA4824">
        <v>275</v>
      </c>
      <c r="DB4824">
        <v>0</v>
      </c>
      <c r="DC4824" t="s">
        <v>134</v>
      </c>
      <c r="DD4824" t="s">
        <v>135</v>
      </c>
      <c r="DG4824">
        <v>3323404</v>
      </c>
      <c r="DI4824">
        <v>1</v>
      </c>
      <c r="DJ4824">
        <v>0</v>
      </c>
      <c r="DK4824">
        <v>1</v>
      </c>
      <c r="DL4824">
        <v>0</v>
      </c>
      <c r="DM4824">
        <v>0</v>
      </c>
      <c r="DN4824">
        <v>0</v>
      </c>
      <c r="DO4824">
        <v>0</v>
      </c>
      <c r="DP4824">
        <v>0</v>
      </c>
      <c r="DQ4824">
        <v>0</v>
      </c>
      <c r="DR4824">
        <v>0</v>
      </c>
      <c r="DS4824">
        <v>0</v>
      </c>
    </row>
    <row r="4825" spans="1:123" x14ac:dyDescent="0.3">
      <c r="A4825" t="str">
        <f>"05/01/2025 15:17:55.927"</f>
        <v>05/01/2025 15:17:55.927</v>
      </c>
      <c r="C4825" t="str">
        <f t="shared" si="1900"/>
        <v>FFDFD3C0</v>
      </c>
      <c r="D4825" t="s">
        <v>143</v>
      </c>
      <c r="E4825" t="str">
        <f>"05"</f>
        <v>05</v>
      </c>
      <c r="H4825">
        <v>172</v>
      </c>
      <c r="I4825" t="s">
        <v>141</v>
      </c>
      <c r="J4825" t="s">
        <v>144</v>
      </c>
      <c r="K4825">
        <v>0</v>
      </c>
      <c r="L4825">
        <v>3</v>
      </c>
      <c r="M4825">
        <v>0</v>
      </c>
      <c r="N4825">
        <v>2</v>
      </c>
      <c r="O4825">
        <v>0</v>
      </c>
      <c r="P4825">
        <v>1</v>
      </c>
      <c r="Q4825">
        <v>0</v>
      </c>
      <c r="R4825" t="s">
        <v>127</v>
      </c>
      <c r="S4825" t="str">
        <f t="shared" si="1910"/>
        <v>15:17:55.000</v>
      </c>
      <c r="T4825" t="str">
        <f t="shared" si="1910"/>
        <v>15:17:55.000</v>
      </c>
      <c r="U4825" t="str">
        <f t="shared" si="1902"/>
        <v>A68FCB</v>
      </c>
      <c r="V4825">
        <v>0</v>
      </c>
      <c r="W4825">
        <v>0</v>
      </c>
      <c r="X4825">
        <v>2</v>
      </c>
      <c r="Y4825">
        <v>0</v>
      </c>
      <c r="AA4825">
        <v>1</v>
      </c>
      <c r="AB4825">
        <v>8</v>
      </c>
      <c r="AC4825">
        <v>3</v>
      </c>
      <c r="AD4825">
        <v>0</v>
      </c>
      <c r="AE4825">
        <v>9</v>
      </c>
      <c r="AF4825" t="s">
        <v>138</v>
      </c>
      <c r="AG4825">
        <v>0</v>
      </c>
      <c r="AH4825">
        <v>3</v>
      </c>
      <c r="AI4825">
        <v>2</v>
      </c>
      <c r="AJ4825">
        <v>0</v>
      </c>
      <c r="AK4825" t="s">
        <v>1532</v>
      </c>
      <c r="AL4825">
        <v>39.227200000000003</v>
      </c>
      <c r="AM4825" t="s">
        <v>1527</v>
      </c>
      <c r="AN4825">
        <v>-121.00028500000001</v>
      </c>
      <c r="AO4825">
        <v>25</v>
      </c>
      <c r="AP4825">
        <v>4100</v>
      </c>
      <c r="AQ4825" t="s">
        <v>131</v>
      </c>
      <c r="AR4825">
        <v>0</v>
      </c>
      <c r="AS4825">
        <v>89</v>
      </c>
      <c r="AT4825">
        <v>-128</v>
      </c>
      <c r="BB4825" t="str">
        <f t="shared" si="1903"/>
        <v>1200</v>
      </c>
      <c r="BC4825">
        <v>1</v>
      </c>
      <c r="BD4825" t="str">
        <f t="shared" si="1904"/>
        <v xml:space="preserve">N52156  </v>
      </c>
      <c r="BE4825">
        <v>1</v>
      </c>
      <c r="BG4825">
        <v>0</v>
      </c>
      <c r="BH4825">
        <v>0</v>
      </c>
      <c r="BI4825">
        <v>0</v>
      </c>
      <c r="BJ4825">
        <v>4100</v>
      </c>
      <c r="BK4825">
        <v>0</v>
      </c>
      <c r="BL4825" t="s">
        <v>188</v>
      </c>
      <c r="BM4825">
        <v>1</v>
      </c>
      <c r="BN4825">
        <v>1</v>
      </c>
      <c r="BO4825">
        <v>0</v>
      </c>
      <c r="BP4825">
        <v>0</v>
      </c>
      <c r="BS4825">
        <v>0</v>
      </c>
      <c r="BT4825">
        <v>0</v>
      </c>
      <c r="BU4825">
        <v>0</v>
      </c>
      <c r="CE4825" t="str">
        <f t="shared" si="1911"/>
        <v>15:17:55.688</v>
      </c>
      <c r="CF4825">
        <v>688261295</v>
      </c>
      <c r="CS4825">
        <v>0</v>
      </c>
      <c r="CT4825">
        <v>2</v>
      </c>
      <c r="CU4825">
        <v>0</v>
      </c>
      <c r="CV4825">
        <v>2</v>
      </c>
      <c r="CW4825">
        <v>0</v>
      </c>
      <c r="CX4825">
        <v>3</v>
      </c>
      <c r="CY4825">
        <v>7</v>
      </c>
      <c r="CZ4825" t="s">
        <v>133</v>
      </c>
      <c r="DA4825">
        <v>275</v>
      </c>
      <c r="DB4825">
        <v>0</v>
      </c>
      <c r="DC4825" t="s">
        <v>134</v>
      </c>
      <c r="DD4825" t="s">
        <v>135</v>
      </c>
      <c r="DG4825">
        <v>3323404</v>
      </c>
      <c r="DI4825">
        <v>1</v>
      </c>
      <c r="DJ4825">
        <v>0</v>
      </c>
      <c r="DK4825">
        <v>1</v>
      </c>
      <c r="DL4825">
        <v>0</v>
      </c>
      <c r="DM4825">
        <v>0</v>
      </c>
      <c r="DN4825">
        <v>0</v>
      </c>
      <c r="DO4825">
        <v>0</v>
      </c>
      <c r="DP4825">
        <v>0</v>
      </c>
      <c r="DQ4825">
        <v>0</v>
      </c>
      <c r="DR4825">
        <v>0</v>
      </c>
      <c r="DS4825">
        <v>0</v>
      </c>
    </row>
    <row r="4826" spans="1:123" x14ac:dyDescent="0.3">
      <c r="A4826" t="str">
        <f>"05/01/2025 15:17:56.419"</f>
        <v>05/01/2025 15:17:56.419</v>
      </c>
      <c r="C4826" t="str">
        <f t="shared" si="1900"/>
        <v>FFDFD3C0</v>
      </c>
      <c r="D4826" t="s">
        <v>140</v>
      </c>
      <c r="E4826" t="str">
        <f>"13"</f>
        <v>13</v>
      </c>
      <c r="F4826">
        <v>1019</v>
      </c>
      <c r="G4826" t="s">
        <v>141</v>
      </c>
      <c r="J4826" t="s">
        <v>142</v>
      </c>
      <c r="K4826">
        <v>0</v>
      </c>
      <c r="L4826">
        <v>3</v>
      </c>
      <c r="M4826">
        <v>0</v>
      </c>
      <c r="N4826">
        <v>2</v>
      </c>
      <c r="O4826">
        <v>0</v>
      </c>
      <c r="P4826">
        <v>1</v>
      </c>
      <c r="Q4826">
        <v>0</v>
      </c>
      <c r="R4826" t="s">
        <v>127</v>
      </c>
      <c r="S4826" t="str">
        <f t="shared" ref="S4826:T4831" si="1912">"15:17:56.000"</f>
        <v>15:17:56.000</v>
      </c>
      <c r="T4826" t="str">
        <f t="shared" si="1912"/>
        <v>15:17:56.000</v>
      </c>
      <c r="U4826" t="str">
        <f t="shared" si="1902"/>
        <v>A68FCB</v>
      </c>
      <c r="V4826">
        <v>0</v>
      </c>
      <c r="W4826">
        <v>0</v>
      </c>
      <c r="X4826">
        <v>2</v>
      </c>
      <c r="Y4826">
        <v>0</v>
      </c>
      <c r="AA4826">
        <v>1</v>
      </c>
      <c r="AB4826">
        <v>8</v>
      </c>
      <c r="AC4826">
        <v>3</v>
      </c>
      <c r="AD4826">
        <v>0</v>
      </c>
      <c r="AE4826">
        <v>9</v>
      </c>
      <c r="AF4826" t="s">
        <v>138</v>
      </c>
      <c r="AG4826">
        <v>0</v>
      </c>
      <c r="AH4826">
        <v>3</v>
      </c>
      <c r="AI4826">
        <v>2</v>
      </c>
      <c r="AJ4826">
        <v>0</v>
      </c>
      <c r="AK4826" t="s">
        <v>1533</v>
      </c>
      <c r="AL4826">
        <v>39.227606999999999</v>
      </c>
      <c r="AM4826" t="s">
        <v>1531</v>
      </c>
      <c r="AN4826">
        <v>-121.000264</v>
      </c>
      <c r="AO4826">
        <v>25</v>
      </c>
      <c r="AP4826">
        <v>4100</v>
      </c>
      <c r="AQ4826" t="s">
        <v>131</v>
      </c>
      <c r="AR4826">
        <v>0</v>
      </c>
      <c r="AS4826">
        <v>89</v>
      </c>
      <c r="AT4826">
        <v>-128</v>
      </c>
      <c r="BB4826" t="str">
        <f t="shared" si="1903"/>
        <v>1200</v>
      </c>
      <c r="BC4826">
        <v>1</v>
      </c>
      <c r="BD4826" t="str">
        <f t="shared" si="1904"/>
        <v xml:space="preserve">N52156  </v>
      </c>
      <c r="BE4826">
        <v>1</v>
      </c>
      <c r="BG4826">
        <v>0</v>
      </c>
      <c r="BH4826">
        <v>0</v>
      </c>
      <c r="BI4826">
        <v>0</v>
      </c>
      <c r="BJ4826">
        <v>4100</v>
      </c>
      <c r="BK4826">
        <v>0</v>
      </c>
      <c r="BL4826" t="s">
        <v>188</v>
      </c>
      <c r="BM4826">
        <v>1</v>
      </c>
      <c r="BN4826">
        <v>1</v>
      </c>
      <c r="BO4826">
        <v>0</v>
      </c>
      <c r="BP4826">
        <v>0</v>
      </c>
      <c r="BS4826">
        <v>0</v>
      </c>
      <c r="BT4826">
        <v>0</v>
      </c>
      <c r="BU4826">
        <v>0</v>
      </c>
      <c r="CE4826" t="str">
        <f t="shared" ref="CE4826:CE4831" si="1913">"15:17:56.219"</f>
        <v>15:17:56.219</v>
      </c>
      <c r="CF4826">
        <v>219010185</v>
      </c>
      <c r="CS4826">
        <v>0</v>
      </c>
      <c r="CT4826">
        <v>2</v>
      </c>
      <c r="CU4826">
        <v>0</v>
      </c>
      <c r="CV4826">
        <v>2</v>
      </c>
      <c r="CW4826">
        <v>0</v>
      </c>
      <c r="CX4826">
        <v>3</v>
      </c>
      <c r="CY4826">
        <v>7</v>
      </c>
      <c r="CZ4826" t="s">
        <v>133</v>
      </c>
      <c r="DA4826">
        <v>275</v>
      </c>
      <c r="DB4826">
        <v>0</v>
      </c>
      <c r="DC4826" t="s">
        <v>134</v>
      </c>
      <c r="DD4826" t="s">
        <v>135</v>
      </c>
      <c r="DG4826">
        <v>3323405</v>
      </c>
      <c r="DI4826">
        <v>1</v>
      </c>
      <c r="DJ4826">
        <v>0</v>
      </c>
      <c r="DK4826">
        <v>0</v>
      </c>
      <c r="DL4826">
        <v>0</v>
      </c>
      <c r="DM4826">
        <v>0</v>
      </c>
      <c r="DN4826">
        <v>0</v>
      </c>
      <c r="DO4826">
        <v>0</v>
      </c>
      <c r="DP4826">
        <v>0</v>
      </c>
      <c r="DQ4826">
        <v>0</v>
      </c>
      <c r="DR4826">
        <v>0</v>
      </c>
      <c r="DS4826">
        <v>0</v>
      </c>
    </row>
    <row r="4827" spans="1:123" x14ac:dyDescent="0.3">
      <c r="A4827" t="str">
        <f>"05/01/2025 15:17:56.423"</f>
        <v>05/01/2025 15:17:56.423</v>
      </c>
      <c r="C4827" t="str">
        <f t="shared" si="1900"/>
        <v>FFDFD3C0</v>
      </c>
      <c r="D4827" t="s">
        <v>124</v>
      </c>
      <c r="E4827" t="str">
        <f>"06"</f>
        <v>06</v>
      </c>
      <c r="F4827">
        <v>2006</v>
      </c>
      <c r="G4827" t="s">
        <v>125</v>
      </c>
      <c r="J4827" t="s">
        <v>126</v>
      </c>
      <c r="K4827">
        <v>0</v>
      </c>
      <c r="L4827">
        <v>3</v>
      </c>
      <c r="M4827">
        <v>0</v>
      </c>
      <c r="N4827">
        <v>2</v>
      </c>
      <c r="O4827">
        <v>0</v>
      </c>
      <c r="P4827">
        <v>1</v>
      </c>
      <c r="Q4827">
        <v>0</v>
      </c>
      <c r="R4827" t="s">
        <v>127</v>
      </c>
      <c r="S4827" t="str">
        <f t="shared" si="1912"/>
        <v>15:17:56.000</v>
      </c>
      <c r="T4827" t="str">
        <f t="shared" si="1912"/>
        <v>15:17:56.000</v>
      </c>
      <c r="U4827" t="str">
        <f t="shared" si="1902"/>
        <v>A68FCB</v>
      </c>
      <c r="V4827">
        <v>0</v>
      </c>
      <c r="W4827">
        <v>0</v>
      </c>
      <c r="X4827">
        <v>2</v>
      </c>
      <c r="Y4827">
        <v>0</v>
      </c>
      <c r="AA4827">
        <v>1</v>
      </c>
      <c r="AB4827">
        <v>8</v>
      </c>
      <c r="AC4827">
        <v>3</v>
      </c>
      <c r="AD4827">
        <v>0</v>
      </c>
      <c r="AE4827">
        <v>9</v>
      </c>
      <c r="AF4827" t="s">
        <v>138</v>
      </c>
      <c r="AG4827">
        <v>0</v>
      </c>
      <c r="AH4827">
        <v>3</v>
      </c>
      <c r="AI4827">
        <v>2</v>
      </c>
      <c r="AJ4827">
        <v>0</v>
      </c>
      <c r="AK4827" t="s">
        <v>1533</v>
      </c>
      <c r="AL4827">
        <v>39.227606999999999</v>
      </c>
      <c r="AM4827" t="s">
        <v>1531</v>
      </c>
      <c r="AN4827">
        <v>-121.000264</v>
      </c>
      <c r="AO4827">
        <v>25</v>
      </c>
      <c r="AP4827">
        <v>4100</v>
      </c>
      <c r="AQ4827" t="s">
        <v>131</v>
      </c>
      <c r="AR4827">
        <v>0</v>
      </c>
      <c r="AS4827">
        <v>89</v>
      </c>
      <c r="AT4827">
        <v>-128</v>
      </c>
      <c r="BB4827" t="str">
        <f t="shared" si="1903"/>
        <v>1200</v>
      </c>
      <c r="BC4827">
        <v>1</v>
      </c>
      <c r="BD4827" t="str">
        <f t="shared" si="1904"/>
        <v xml:space="preserve">N52156  </v>
      </c>
      <c r="BE4827">
        <v>1</v>
      </c>
      <c r="BG4827">
        <v>0</v>
      </c>
      <c r="BH4827">
        <v>0</v>
      </c>
      <c r="BI4827">
        <v>0</v>
      </c>
      <c r="BJ4827">
        <v>4100</v>
      </c>
      <c r="BK4827">
        <v>0</v>
      </c>
      <c r="BL4827" t="s">
        <v>188</v>
      </c>
      <c r="BM4827">
        <v>1</v>
      </c>
      <c r="BN4827">
        <v>1</v>
      </c>
      <c r="BO4827">
        <v>0</v>
      </c>
      <c r="BP4827">
        <v>0</v>
      </c>
      <c r="BS4827">
        <v>0</v>
      </c>
      <c r="BT4827">
        <v>0</v>
      </c>
      <c r="BU4827">
        <v>0</v>
      </c>
      <c r="CE4827" t="str">
        <f t="shared" si="1913"/>
        <v>15:17:56.219</v>
      </c>
      <c r="CF4827">
        <v>219010185</v>
      </c>
      <c r="CS4827">
        <v>0</v>
      </c>
      <c r="CT4827">
        <v>2</v>
      </c>
      <c r="CU4827">
        <v>0</v>
      </c>
      <c r="CV4827">
        <v>2</v>
      </c>
      <c r="CW4827">
        <v>0</v>
      </c>
      <c r="CX4827">
        <v>3</v>
      </c>
      <c r="CY4827">
        <v>7</v>
      </c>
      <c r="CZ4827" t="s">
        <v>133</v>
      </c>
      <c r="DA4827">
        <v>275</v>
      </c>
      <c r="DB4827">
        <v>0</v>
      </c>
      <c r="DC4827" t="s">
        <v>134</v>
      </c>
      <c r="DD4827" t="s">
        <v>135</v>
      </c>
      <c r="DG4827">
        <v>3323405</v>
      </c>
      <c r="DI4827">
        <v>1</v>
      </c>
      <c r="DJ4827">
        <v>0</v>
      </c>
      <c r="DK4827">
        <v>1</v>
      </c>
      <c r="DL4827">
        <v>0</v>
      </c>
      <c r="DM4827">
        <v>0</v>
      </c>
      <c r="DN4827">
        <v>0</v>
      </c>
      <c r="DO4827">
        <v>0</v>
      </c>
      <c r="DP4827">
        <v>0</v>
      </c>
      <c r="DQ4827">
        <v>0</v>
      </c>
      <c r="DR4827">
        <v>0</v>
      </c>
      <c r="DS4827">
        <v>0</v>
      </c>
    </row>
    <row r="4828" spans="1:123" x14ac:dyDescent="0.3">
      <c r="A4828" t="str">
        <f>"05/01/2025 15:17:56.428"</f>
        <v>05/01/2025 15:17:56.428</v>
      </c>
      <c r="C4828" t="str">
        <f t="shared" si="1900"/>
        <v>FFDFD3C0</v>
      </c>
      <c r="D4828" t="s">
        <v>143</v>
      </c>
      <c r="E4828" t="str">
        <f>"05"</f>
        <v>05</v>
      </c>
      <c r="H4828">
        <v>172</v>
      </c>
      <c r="I4828" t="s">
        <v>141</v>
      </c>
      <c r="J4828" t="s">
        <v>144</v>
      </c>
      <c r="K4828">
        <v>0</v>
      </c>
      <c r="L4828">
        <v>3</v>
      </c>
      <c r="M4828">
        <v>0</v>
      </c>
      <c r="N4828">
        <v>2</v>
      </c>
      <c r="O4828">
        <v>0</v>
      </c>
      <c r="P4828">
        <v>1</v>
      </c>
      <c r="Q4828">
        <v>0</v>
      </c>
      <c r="R4828" t="s">
        <v>127</v>
      </c>
      <c r="S4828" t="str">
        <f t="shared" si="1912"/>
        <v>15:17:56.000</v>
      </c>
      <c r="T4828" t="str">
        <f t="shared" si="1912"/>
        <v>15:17:56.000</v>
      </c>
      <c r="U4828" t="str">
        <f t="shared" si="1902"/>
        <v>A68FCB</v>
      </c>
      <c r="V4828">
        <v>0</v>
      </c>
      <c r="W4828">
        <v>0</v>
      </c>
      <c r="X4828">
        <v>2</v>
      </c>
      <c r="Y4828">
        <v>0</v>
      </c>
      <c r="AA4828">
        <v>1</v>
      </c>
      <c r="AB4828">
        <v>8</v>
      </c>
      <c r="AC4828">
        <v>3</v>
      </c>
      <c r="AD4828">
        <v>0</v>
      </c>
      <c r="AE4828">
        <v>9</v>
      </c>
      <c r="AF4828" t="s">
        <v>138</v>
      </c>
      <c r="AG4828">
        <v>0</v>
      </c>
      <c r="AH4828">
        <v>3</v>
      </c>
      <c r="AI4828">
        <v>2</v>
      </c>
      <c r="AJ4828">
        <v>0</v>
      </c>
      <c r="AK4828" t="s">
        <v>1533</v>
      </c>
      <c r="AL4828">
        <v>39.227606999999999</v>
      </c>
      <c r="AM4828" t="s">
        <v>1531</v>
      </c>
      <c r="AN4828">
        <v>-121.000264</v>
      </c>
      <c r="AO4828">
        <v>25</v>
      </c>
      <c r="AP4828">
        <v>4100</v>
      </c>
      <c r="AQ4828" t="s">
        <v>131</v>
      </c>
      <c r="AR4828">
        <v>0</v>
      </c>
      <c r="AS4828">
        <v>89</v>
      </c>
      <c r="AT4828">
        <v>-128</v>
      </c>
      <c r="BB4828" t="str">
        <f t="shared" si="1903"/>
        <v>1200</v>
      </c>
      <c r="BC4828">
        <v>1</v>
      </c>
      <c r="BD4828" t="str">
        <f t="shared" si="1904"/>
        <v xml:space="preserve">N52156  </v>
      </c>
      <c r="BE4828">
        <v>1</v>
      </c>
      <c r="BG4828">
        <v>0</v>
      </c>
      <c r="BH4828">
        <v>0</v>
      </c>
      <c r="BI4828">
        <v>0</v>
      </c>
      <c r="BJ4828">
        <v>4100</v>
      </c>
      <c r="BK4828">
        <v>0</v>
      </c>
      <c r="BL4828" t="s">
        <v>188</v>
      </c>
      <c r="BM4828">
        <v>1</v>
      </c>
      <c r="BN4828">
        <v>1</v>
      </c>
      <c r="BO4828">
        <v>0</v>
      </c>
      <c r="BP4828">
        <v>0</v>
      </c>
      <c r="BS4828">
        <v>0</v>
      </c>
      <c r="BT4828">
        <v>0</v>
      </c>
      <c r="BU4828">
        <v>0</v>
      </c>
      <c r="CE4828" t="str">
        <f t="shared" si="1913"/>
        <v>15:17:56.219</v>
      </c>
      <c r="CF4828">
        <v>219010185</v>
      </c>
      <c r="CS4828">
        <v>0</v>
      </c>
      <c r="CT4828">
        <v>2</v>
      </c>
      <c r="CU4828">
        <v>0</v>
      </c>
      <c r="CV4828">
        <v>2</v>
      </c>
      <c r="CW4828">
        <v>0</v>
      </c>
      <c r="CX4828">
        <v>3</v>
      </c>
      <c r="CY4828">
        <v>7</v>
      </c>
      <c r="CZ4828" t="s">
        <v>133</v>
      </c>
      <c r="DA4828">
        <v>275</v>
      </c>
      <c r="DB4828">
        <v>0</v>
      </c>
      <c r="DC4828" t="s">
        <v>134</v>
      </c>
      <c r="DD4828" t="s">
        <v>135</v>
      </c>
      <c r="DG4828">
        <v>3323405</v>
      </c>
      <c r="DI4828">
        <v>1</v>
      </c>
      <c r="DJ4828">
        <v>0</v>
      </c>
      <c r="DK4828">
        <v>1</v>
      </c>
      <c r="DL4828">
        <v>0</v>
      </c>
      <c r="DM4828">
        <v>0</v>
      </c>
      <c r="DN4828">
        <v>0</v>
      </c>
      <c r="DO4828">
        <v>0</v>
      </c>
      <c r="DP4828">
        <v>0</v>
      </c>
      <c r="DQ4828">
        <v>0</v>
      </c>
      <c r="DR4828">
        <v>0</v>
      </c>
      <c r="DS4828">
        <v>0</v>
      </c>
    </row>
    <row r="4829" spans="1:123" x14ac:dyDescent="0.3">
      <c r="A4829" t="str">
        <f>"05/01/2025 15:17:56.445"</f>
        <v>05/01/2025 15:17:56.445</v>
      </c>
      <c r="C4829" t="str">
        <f t="shared" si="1900"/>
        <v>FFDFD3C0</v>
      </c>
      <c r="D4829" t="s">
        <v>145</v>
      </c>
      <c r="E4829" t="str">
        <f>"05"</f>
        <v>05</v>
      </c>
      <c r="H4829">
        <v>47</v>
      </c>
      <c r="I4829" t="s">
        <v>146</v>
      </c>
      <c r="J4829" t="s">
        <v>138</v>
      </c>
      <c r="K4829">
        <v>0</v>
      </c>
      <c r="L4829">
        <v>3</v>
      </c>
      <c r="M4829">
        <v>0</v>
      </c>
      <c r="N4829">
        <v>2</v>
      </c>
      <c r="O4829">
        <v>0</v>
      </c>
      <c r="P4829">
        <v>1</v>
      </c>
      <c r="Q4829">
        <v>0</v>
      </c>
      <c r="R4829" t="s">
        <v>127</v>
      </c>
      <c r="S4829" t="str">
        <f t="shared" si="1912"/>
        <v>15:17:56.000</v>
      </c>
      <c r="T4829" t="str">
        <f t="shared" si="1912"/>
        <v>15:17:56.000</v>
      </c>
      <c r="U4829" t="str">
        <f t="shared" si="1902"/>
        <v>A68FCB</v>
      </c>
      <c r="V4829">
        <v>0</v>
      </c>
      <c r="W4829">
        <v>0</v>
      </c>
      <c r="X4829">
        <v>2</v>
      </c>
      <c r="Y4829">
        <v>0</v>
      </c>
      <c r="AA4829">
        <v>1</v>
      </c>
      <c r="AB4829">
        <v>8</v>
      </c>
      <c r="AC4829">
        <v>3</v>
      </c>
      <c r="AD4829">
        <v>0</v>
      </c>
      <c r="AE4829">
        <v>9</v>
      </c>
      <c r="AF4829" t="s">
        <v>138</v>
      </c>
      <c r="AG4829">
        <v>0</v>
      </c>
      <c r="AH4829">
        <v>3</v>
      </c>
      <c r="AI4829">
        <v>2</v>
      </c>
      <c r="AJ4829">
        <v>0</v>
      </c>
      <c r="AK4829" t="s">
        <v>1533</v>
      </c>
      <c r="AL4829">
        <v>39.227606999999999</v>
      </c>
      <c r="AM4829" t="s">
        <v>1531</v>
      </c>
      <c r="AN4829">
        <v>-121.000264</v>
      </c>
      <c r="AO4829">
        <v>25</v>
      </c>
      <c r="AP4829">
        <v>4100</v>
      </c>
      <c r="AQ4829" t="s">
        <v>131</v>
      </c>
      <c r="AR4829">
        <v>0</v>
      </c>
      <c r="AS4829">
        <v>89</v>
      </c>
      <c r="AT4829">
        <v>-128</v>
      </c>
      <c r="BB4829" t="str">
        <f t="shared" si="1903"/>
        <v>1200</v>
      </c>
      <c r="BC4829">
        <v>1</v>
      </c>
      <c r="BD4829" t="str">
        <f t="shared" si="1904"/>
        <v xml:space="preserve">N52156  </v>
      </c>
      <c r="BE4829">
        <v>1</v>
      </c>
      <c r="BG4829">
        <v>0</v>
      </c>
      <c r="BH4829">
        <v>0</v>
      </c>
      <c r="BI4829">
        <v>0</v>
      </c>
      <c r="BJ4829">
        <v>4100</v>
      </c>
      <c r="BK4829">
        <v>0</v>
      </c>
      <c r="BL4829" t="s">
        <v>188</v>
      </c>
      <c r="BM4829">
        <v>1</v>
      </c>
      <c r="BN4829">
        <v>1</v>
      </c>
      <c r="BO4829">
        <v>0</v>
      </c>
      <c r="BP4829">
        <v>0</v>
      </c>
      <c r="BS4829">
        <v>0</v>
      </c>
      <c r="BT4829">
        <v>0</v>
      </c>
      <c r="BU4829">
        <v>0</v>
      </c>
      <c r="CE4829" t="str">
        <f t="shared" si="1913"/>
        <v>15:17:56.219</v>
      </c>
      <c r="CF4829">
        <v>219010185</v>
      </c>
      <c r="CS4829">
        <v>0</v>
      </c>
      <c r="CT4829">
        <v>2</v>
      </c>
      <c r="CU4829">
        <v>0</v>
      </c>
      <c r="CV4829">
        <v>2</v>
      </c>
      <c r="CW4829">
        <v>0</v>
      </c>
      <c r="CX4829">
        <v>3</v>
      </c>
      <c r="CY4829">
        <v>7</v>
      </c>
      <c r="CZ4829" t="s">
        <v>133</v>
      </c>
      <c r="DA4829">
        <v>275</v>
      </c>
      <c r="DB4829">
        <v>0</v>
      </c>
      <c r="DC4829" t="s">
        <v>134</v>
      </c>
      <c r="DD4829" t="s">
        <v>135</v>
      </c>
      <c r="DG4829">
        <v>3323405</v>
      </c>
      <c r="DI4829">
        <v>1</v>
      </c>
      <c r="DJ4829">
        <v>0</v>
      </c>
      <c r="DK4829">
        <v>1</v>
      </c>
      <c r="DL4829">
        <v>0</v>
      </c>
      <c r="DM4829">
        <v>0</v>
      </c>
      <c r="DN4829">
        <v>0</v>
      </c>
      <c r="DO4829">
        <v>0</v>
      </c>
      <c r="DP4829">
        <v>0</v>
      </c>
      <c r="DQ4829">
        <v>0</v>
      </c>
      <c r="DR4829">
        <v>0</v>
      </c>
      <c r="DS4829">
        <v>0</v>
      </c>
    </row>
    <row r="4830" spans="1:123" x14ac:dyDescent="0.3">
      <c r="A4830" t="str">
        <f>"05/01/2025 15:17:56.442"</f>
        <v>05/01/2025 15:17:56.442</v>
      </c>
      <c r="C4830" t="str">
        <f t="shared" si="1900"/>
        <v>FFDFD3C0</v>
      </c>
      <c r="D4830" t="s">
        <v>145</v>
      </c>
      <c r="E4830" t="str">
        <f>"09"</f>
        <v>09</v>
      </c>
      <c r="H4830">
        <v>51</v>
      </c>
      <c r="I4830" t="s">
        <v>147</v>
      </c>
      <c r="J4830" t="s">
        <v>138</v>
      </c>
      <c r="K4830">
        <v>0</v>
      </c>
      <c r="L4830">
        <v>3</v>
      </c>
      <c r="M4830">
        <v>0</v>
      </c>
      <c r="N4830">
        <v>2</v>
      </c>
      <c r="O4830">
        <v>0</v>
      </c>
      <c r="P4830">
        <v>1</v>
      </c>
      <c r="Q4830">
        <v>0</v>
      </c>
      <c r="R4830" t="s">
        <v>127</v>
      </c>
      <c r="S4830" t="str">
        <f t="shared" si="1912"/>
        <v>15:17:56.000</v>
      </c>
      <c r="T4830" t="str">
        <f t="shared" si="1912"/>
        <v>15:17:56.000</v>
      </c>
      <c r="U4830" t="str">
        <f t="shared" si="1902"/>
        <v>A68FCB</v>
      </c>
      <c r="V4830">
        <v>0</v>
      </c>
      <c r="W4830">
        <v>0</v>
      </c>
      <c r="X4830">
        <v>2</v>
      </c>
      <c r="Y4830">
        <v>0</v>
      </c>
      <c r="AA4830">
        <v>1</v>
      </c>
      <c r="AB4830">
        <v>8</v>
      </c>
      <c r="AC4830">
        <v>3</v>
      </c>
      <c r="AD4830">
        <v>0</v>
      </c>
      <c r="AE4830">
        <v>9</v>
      </c>
      <c r="AF4830" t="s">
        <v>138</v>
      </c>
      <c r="AG4830">
        <v>0</v>
      </c>
      <c r="AH4830">
        <v>3</v>
      </c>
      <c r="AI4830">
        <v>2</v>
      </c>
      <c r="AJ4830">
        <v>0</v>
      </c>
      <c r="AK4830" t="s">
        <v>1533</v>
      </c>
      <c r="AL4830">
        <v>39.227606999999999</v>
      </c>
      <c r="AM4830" t="s">
        <v>1531</v>
      </c>
      <c r="AN4830">
        <v>-121.000264</v>
      </c>
      <c r="AO4830">
        <v>25</v>
      </c>
      <c r="AP4830">
        <v>4100</v>
      </c>
      <c r="AQ4830" t="s">
        <v>131</v>
      </c>
      <c r="AR4830">
        <v>0</v>
      </c>
      <c r="AS4830">
        <v>89</v>
      </c>
      <c r="AT4830">
        <v>-128</v>
      </c>
      <c r="BB4830" t="str">
        <f t="shared" si="1903"/>
        <v>1200</v>
      </c>
      <c r="BC4830">
        <v>1</v>
      </c>
      <c r="BD4830" t="str">
        <f t="shared" si="1904"/>
        <v xml:space="preserve">N52156  </v>
      </c>
      <c r="BE4830">
        <v>1</v>
      </c>
      <c r="BG4830">
        <v>0</v>
      </c>
      <c r="BH4830">
        <v>0</v>
      </c>
      <c r="BI4830">
        <v>0</v>
      </c>
      <c r="BJ4830">
        <v>4100</v>
      </c>
      <c r="BK4830">
        <v>0</v>
      </c>
      <c r="BL4830" t="s">
        <v>188</v>
      </c>
      <c r="BM4830">
        <v>1</v>
      </c>
      <c r="BN4830">
        <v>1</v>
      </c>
      <c r="BO4830">
        <v>0</v>
      </c>
      <c r="BP4830">
        <v>0</v>
      </c>
      <c r="BS4830">
        <v>0</v>
      </c>
      <c r="BT4830">
        <v>0</v>
      </c>
      <c r="BU4830">
        <v>0</v>
      </c>
      <c r="CE4830" t="str">
        <f t="shared" si="1913"/>
        <v>15:17:56.219</v>
      </c>
      <c r="CF4830">
        <v>219010185</v>
      </c>
      <c r="CS4830">
        <v>0</v>
      </c>
      <c r="CT4830">
        <v>2</v>
      </c>
      <c r="CU4830">
        <v>0</v>
      </c>
      <c r="CV4830">
        <v>2</v>
      </c>
      <c r="CW4830">
        <v>0</v>
      </c>
      <c r="CX4830">
        <v>3</v>
      </c>
      <c r="CY4830">
        <v>7</v>
      </c>
      <c r="CZ4830" t="s">
        <v>133</v>
      </c>
      <c r="DA4830">
        <v>275</v>
      </c>
      <c r="DB4830">
        <v>0</v>
      </c>
      <c r="DC4830" t="s">
        <v>134</v>
      </c>
      <c r="DD4830" t="s">
        <v>135</v>
      </c>
      <c r="DG4830">
        <v>3323405</v>
      </c>
      <c r="DI4830">
        <v>1</v>
      </c>
      <c r="DJ4830">
        <v>0</v>
      </c>
      <c r="DK4830">
        <v>1</v>
      </c>
      <c r="DL4830">
        <v>0</v>
      </c>
      <c r="DM4830">
        <v>0</v>
      </c>
      <c r="DN4830">
        <v>0</v>
      </c>
      <c r="DO4830">
        <v>0</v>
      </c>
      <c r="DP4830">
        <v>0</v>
      </c>
      <c r="DQ4830">
        <v>0</v>
      </c>
      <c r="DR4830">
        <v>0</v>
      </c>
      <c r="DS4830">
        <v>0</v>
      </c>
    </row>
    <row r="4831" spans="1:123" x14ac:dyDescent="0.3">
      <c r="A4831" t="str">
        <f>"05/01/2025 15:17:56.456"</f>
        <v>05/01/2025 15:17:56.456</v>
      </c>
      <c r="C4831" t="str">
        <f t="shared" si="1900"/>
        <v>FFDFD3C0</v>
      </c>
      <c r="D4831" t="s">
        <v>136</v>
      </c>
      <c r="E4831" t="str">
        <f>"20"</f>
        <v>20</v>
      </c>
      <c r="H4831">
        <v>400</v>
      </c>
      <c r="I4831" t="s">
        <v>137</v>
      </c>
      <c r="J4831" t="s">
        <v>138</v>
      </c>
      <c r="K4831">
        <v>0</v>
      </c>
      <c r="L4831">
        <v>3</v>
      </c>
      <c r="M4831">
        <v>0</v>
      </c>
      <c r="N4831">
        <v>2</v>
      </c>
      <c r="O4831">
        <v>0</v>
      </c>
      <c r="P4831">
        <v>1</v>
      </c>
      <c r="Q4831">
        <v>0</v>
      </c>
      <c r="R4831" t="s">
        <v>127</v>
      </c>
      <c r="S4831" t="str">
        <f t="shared" si="1912"/>
        <v>15:17:56.000</v>
      </c>
      <c r="T4831" t="str">
        <f t="shared" si="1912"/>
        <v>15:17:56.000</v>
      </c>
      <c r="U4831" t="str">
        <f t="shared" si="1902"/>
        <v>A68FCB</v>
      </c>
      <c r="V4831">
        <v>0</v>
      </c>
      <c r="W4831">
        <v>0</v>
      </c>
      <c r="X4831">
        <v>2</v>
      </c>
      <c r="Y4831">
        <v>0</v>
      </c>
      <c r="AA4831">
        <v>1</v>
      </c>
      <c r="AB4831">
        <v>8</v>
      </c>
      <c r="AC4831">
        <v>3</v>
      </c>
      <c r="AD4831">
        <v>0</v>
      </c>
      <c r="AE4831">
        <v>9</v>
      </c>
      <c r="AF4831" t="s">
        <v>138</v>
      </c>
      <c r="AG4831">
        <v>0</v>
      </c>
      <c r="AH4831">
        <v>3</v>
      </c>
      <c r="AI4831">
        <v>2</v>
      </c>
      <c r="AJ4831">
        <v>0</v>
      </c>
      <c r="AK4831" t="s">
        <v>1533</v>
      </c>
      <c r="AL4831">
        <v>39.227606999999999</v>
      </c>
      <c r="AM4831" t="s">
        <v>1531</v>
      </c>
      <c r="AN4831">
        <v>-121.000264</v>
      </c>
      <c r="AO4831">
        <v>25</v>
      </c>
      <c r="AP4831">
        <v>4100</v>
      </c>
      <c r="AQ4831" t="s">
        <v>131</v>
      </c>
      <c r="AR4831">
        <v>0</v>
      </c>
      <c r="AS4831">
        <v>89</v>
      </c>
      <c r="AT4831">
        <v>-128</v>
      </c>
      <c r="BB4831" t="str">
        <f t="shared" si="1903"/>
        <v>1200</v>
      </c>
      <c r="BC4831">
        <v>1</v>
      </c>
      <c r="BD4831" t="str">
        <f t="shared" si="1904"/>
        <v xml:space="preserve">N52156  </v>
      </c>
      <c r="BE4831">
        <v>1</v>
      </c>
      <c r="BG4831">
        <v>0</v>
      </c>
      <c r="BH4831">
        <v>0</v>
      </c>
      <c r="BI4831">
        <v>0</v>
      </c>
      <c r="BJ4831">
        <v>4100</v>
      </c>
      <c r="BK4831">
        <v>0</v>
      </c>
      <c r="BL4831" t="s">
        <v>188</v>
      </c>
      <c r="BM4831">
        <v>1</v>
      </c>
      <c r="BN4831">
        <v>1</v>
      </c>
      <c r="BO4831">
        <v>0</v>
      </c>
      <c r="BP4831">
        <v>0</v>
      </c>
      <c r="BS4831">
        <v>0</v>
      </c>
      <c r="BT4831">
        <v>0</v>
      </c>
      <c r="BU4831">
        <v>0</v>
      </c>
      <c r="CE4831" t="str">
        <f t="shared" si="1913"/>
        <v>15:17:56.219</v>
      </c>
      <c r="CF4831">
        <v>219010185</v>
      </c>
      <c r="CS4831">
        <v>0</v>
      </c>
      <c r="CT4831">
        <v>2</v>
      </c>
      <c r="CU4831">
        <v>0</v>
      </c>
      <c r="CV4831">
        <v>2</v>
      </c>
      <c r="CW4831">
        <v>0</v>
      </c>
      <c r="CX4831">
        <v>3</v>
      </c>
      <c r="CY4831">
        <v>7</v>
      </c>
      <c r="CZ4831" t="s">
        <v>133</v>
      </c>
      <c r="DA4831">
        <v>275</v>
      </c>
      <c r="DB4831">
        <v>0</v>
      </c>
      <c r="DC4831" t="s">
        <v>134</v>
      </c>
      <c r="DD4831" t="s">
        <v>135</v>
      </c>
      <c r="DG4831">
        <v>3323405</v>
      </c>
      <c r="DI4831">
        <v>1</v>
      </c>
      <c r="DJ4831">
        <v>0</v>
      </c>
      <c r="DK4831">
        <v>1</v>
      </c>
      <c r="DL4831">
        <v>0</v>
      </c>
      <c r="DM4831">
        <v>0</v>
      </c>
      <c r="DN4831">
        <v>0</v>
      </c>
      <c r="DO4831">
        <v>0</v>
      </c>
      <c r="DP4831">
        <v>0</v>
      </c>
      <c r="DQ4831">
        <v>0</v>
      </c>
      <c r="DR4831">
        <v>0</v>
      </c>
      <c r="DS4831">
        <v>0</v>
      </c>
    </row>
    <row r="4832" spans="1:123" x14ac:dyDescent="0.3">
      <c r="A4832" t="str">
        <f>"05/01/2025 15:17:57.521"</f>
        <v>05/01/2025 15:17:57.521</v>
      </c>
      <c r="C4832" t="str">
        <f t="shared" si="1900"/>
        <v>FFDFD3C0</v>
      </c>
      <c r="D4832" t="s">
        <v>140</v>
      </c>
      <c r="E4832" t="str">
        <f>"13"</f>
        <v>13</v>
      </c>
      <c r="F4832">
        <v>1019</v>
      </c>
      <c r="G4832" t="s">
        <v>141</v>
      </c>
      <c r="J4832" t="s">
        <v>142</v>
      </c>
      <c r="K4832">
        <v>0</v>
      </c>
      <c r="L4832">
        <v>3</v>
      </c>
      <c r="M4832">
        <v>0</v>
      </c>
      <c r="N4832">
        <v>2</v>
      </c>
      <c r="O4832">
        <v>0</v>
      </c>
      <c r="P4832">
        <v>1</v>
      </c>
      <c r="Q4832">
        <v>0</v>
      </c>
      <c r="R4832" t="s">
        <v>127</v>
      </c>
      <c r="S4832" t="str">
        <f t="shared" ref="S4832:T4837" si="1914">"15:17:57.000"</f>
        <v>15:17:57.000</v>
      </c>
      <c r="T4832" t="str">
        <f t="shared" si="1914"/>
        <v>15:17:57.000</v>
      </c>
      <c r="U4832" t="str">
        <f t="shared" si="1902"/>
        <v>A68FCB</v>
      </c>
      <c r="V4832">
        <v>0</v>
      </c>
      <c r="W4832">
        <v>0</v>
      </c>
      <c r="X4832">
        <v>2</v>
      </c>
      <c r="Y4832">
        <v>0</v>
      </c>
      <c r="AA4832">
        <v>1</v>
      </c>
      <c r="AB4832">
        <v>8</v>
      </c>
      <c r="AC4832">
        <v>3</v>
      </c>
      <c r="AD4832">
        <v>0</v>
      </c>
      <c r="AE4832">
        <v>9</v>
      </c>
      <c r="AF4832" t="s">
        <v>138</v>
      </c>
      <c r="AG4832">
        <v>0</v>
      </c>
      <c r="AH4832">
        <v>3</v>
      </c>
      <c r="AI4832">
        <v>2</v>
      </c>
      <c r="AJ4832">
        <v>0</v>
      </c>
      <c r="AK4832" t="s">
        <v>1534</v>
      </c>
      <c r="AL4832">
        <v>39.228036000000003</v>
      </c>
      <c r="AM4832" t="s">
        <v>1527</v>
      </c>
      <c r="AN4832">
        <v>-121.00028500000001</v>
      </c>
      <c r="AO4832">
        <v>25</v>
      </c>
      <c r="AP4832">
        <v>4000</v>
      </c>
      <c r="AQ4832" t="s">
        <v>131</v>
      </c>
      <c r="AR4832">
        <v>0</v>
      </c>
      <c r="AS4832">
        <v>89</v>
      </c>
      <c r="AT4832">
        <v>-128</v>
      </c>
      <c r="BB4832" t="str">
        <f t="shared" si="1903"/>
        <v>1200</v>
      </c>
      <c r="BC4832">
        <v>1</v>
      </c>
      <c r="BD4832" t="str">
        <f t="shared" si="1904"/>
        <v xml:space="preserve">N52156  </v>
      </c>
      <c r="BE4832">
        <v>1</v>
      </c>
      <c r="BG4832">
        <v>0</v>
      </c>
      <c r="BH4832">
        <v>0</v>
      </c>
      <c r="BI4832">
        <v>0</v>
      </c>
      <c r="BJ4832">
        <v>4100</v>
      </c>
      <c r="BK4832">
        <v>100</v>
      </c>
      <c r="BL4832" t="s">
        <v>188</v>
      </c>
      <c r="BM4832">
        <v>1</v>
      </c>
      <c r="BN4832">
        <v>1</v>
      </c>
      <c r="BO4832">
        <v>0</v>
      </c>
      <c r="BP4832">
        <v>0</v>
      </c>
      <c r="BS4832">
        <v>0</v>
      </c>
      <c r="BT4832">
        <v>0</v>
      </c>
      <c r="BU4832">
        <v>0</v>
      </c>
      <c r="CE4832" t="str">
        <f t="shared" ref="CE4832:CE4837" si="1915">"15:17:57.312"</f>
        <v>15:17:57.312</v>
      </c>
      <c r="CF4832">
        <v>311589736</v>
      </c>
      <c r="CS4832">
        <v>0</v>
      </c>
      <c r="CT4832">
        <v>2</v>
      </c>
      <c r="CU4832">
        <v>0</v>
      </c>
      <c r="CV4832">
        <v>2</v>
      </c>
      <c r="CW4832">
        <v>0</v>
      </c>
      <c r="CX4832">
        <v>3</v>
      </c>
      <c r="CY4832">
        <v>7</v>
      </c>
      <c r="CZ4832" t="s">
        <v>133</v>
      </c>
      <c r="DA4832">
        <v>276</v>
      </c>
      <c r="DB4832">
        <v>0</v>
      </c>
      <c r="DC4832" t="s">
        <v>402</v>
      </c>
      <c r="DD4832" t="s">
        <v>403</v>
      </c>
      <c r="DG4832">
        <v>1628829</v>
      </c>
      <c r="DI4832">
        <v>1</v>
      </c>
      <c r="DJ4832">
        <v>0</v>
      </c>
      <c r="DK4832">
        <v>0</v>
      </c>
      <c r="DL4832">
        <v>0</v>
      </c>
      <c r="DM4832">
        <v>0</v>
      </c>
      <c r="DN4832">
        <v>0</v>
      </c>
      <c r="DO4832">
        <v>0</v>
      </c>
      <c r="DP4832">
        <v>0</v>
      </c>
      <c r="DQ4832">
        <v>0</v>
      </c>
      <c r="DR4832">
        <v>0</v>
      </c>
      <c r="DS4832">
        <v>0</v>
      </c>
    </row>
    <row r="4833" spans="1:123" x14ac:dyDescent="0.3">
      <c r="A4833" t="str">
        <f>"05/01/2025 15:17:57.524"</f>
        <v>05/01/2025 15:17:57.524</v>
      </c>
      <c r="C4833" t="str">
        <f t="shared" si="1900"/>
        <v>FFDFD3C0</v>
      </c>
      <c r="D4833" t="s">
        <v>124</v>
      </c>
      <c r="E4833" t="str">
        <f>"06"</f>
        <v>06</v>
      </c>
      <c r="F4833">
        <v>2006</v>
      </c>
      <c r="G4833" t="s">
        <v>125</v>
      </c>
      <c r="J4833" t="s">
        <v>126</v>
      </c>
      <c r="K4833">
        <v>0</v>
      </c>
      <c r="L4833">
        <v>3</v>
      </c>
      <c r="M4833">
        <v>0</v>
      </c>
      <c r="N4833">
        <v>2</v>
      </c>
      <c r="O4833">
        <v>0</v>
      </c>
      <c r="P4833">
        <v>1</v>
      </c>
      <c r="Q4833">
        <v>0</v>
      </c>
      <c r="R4833" t="s">
        <v>127</v>
      </c>
      <c r="S4833" t="str">
        <f t="shared" si="1914"/>
        <v>15:17:57.000</v>
      </c>
      <c r="T4833" t="str">
        <f t="shared" si="1914"/>
        <v>15:17:57.000</v>
      </c>
      <c r="U4833" t="str">
        <f t="shared" si="1902"/>
        <v>A68FCB</v>
      </c>
      <c r="V4833">
        <v>0</v>
      </c>
      <c r="W4833">
        <v>0</v>
      </c>
      <c r="X4833">
        <v>2</v>
      </c>
      <c r="Y4833">
        <v>0</v>
      </c>
      <c r="AA4833">
        <v>1</v>
      </c>
      <c r="AB4833">
        <v>8</v>
      </c>
      <c r="AC4833">
        <v>3</v>
      </c>
      <c r="AD4833">
        <v>0</v>
      </c>
      <c r="AE4833">
        <v>9</v>
      </c>
      <c r="AF4833" t="s">
        <v>138</v>
      </c>
      <c r="AG4833">
        <v>0</v>
      </c>
      <c r="AH4833">
        <v>3</v>
      </c>
      <c r="AI4833">
        <v>2</v>
      </c>
      <c r="AJ4833">
        <v>0</v>
      </c>
      <c r="AK4833" t="s">
        <v>1534</v>
      </c>
      <c r="AL4833">
        <v>39.228036000000003</v>
      </c>
      <c r="AM4833" t="s">
        <v>1527</v>
      </c>
      <c r="AN4833">
        <v>-121.00028500000001</v>
      </c>
      <c r="AO4833">
        <v>25</v>
      </c>
      <c r="AP4833">
        <v>4000</v>
      </c>
      <c r="AQ4833" t="s">
        <v>131</v>
      </c>
      <c r="AR4833">
        <v>0</v>
      </c>
      <c r="AS4833">
        <v>89</v>
      </c>
      <c r="AT4833">
        <v>-128</v>
      </c>
      <c r="BB4833" t="str">
        <f t="shared" si="1903"/>
        <v>1200</v>
      </c>
      <c r="BC4833">
        <v>1</v>
      </c>
      <c r="BD4833" t="str">
        <f t="shared" si="1904"/>
        <v xml:space="preserve">N52156  </v>
      </c>
      <c r="BE4833">
        <v>1</v>
      </c>
      <c r="BG4833">
        <v>0</v>
      </c>
      <c r="BH4833">
        <v>0</v>
      </c>
      <c r="BI4833">
        <v>0</v>
      </c>
      <c r="BJ4833">
        <v>4100</v>
      </c>
      <c r="BK4833">
        <v>100</v>
      </c>
      <c r="BL4833" t="s">
        <v>188</v>
      </c>
      <c r="BM4833">
        <v>1</v>
      </c>
      <c r="BN4833">
        <v>1</v>
      </c>
      <c r="BO4833">
        <v>0</v>
      </c>
      <c r="BP4833">
        <v>0</v>
      </c>
      <c r="BS4833">
        <v>0</v>
      </c>
      <c r="BT4833">
        <v>0</v>
      </c>
      <c r="BU4833">
        <v>0</v>
      </c>
      <c r="CE4833" t="str">
        <f t="shared" si="1915"/>
        <v>15:17:57.312</v>
      </c>
      <c r="CF4833">
        <v>311589736</v>
      </c>
      <c r="CS4833">
        <v>0</v>
      </c>
      <c r="CT4833">
        <v>2</v>
      </c>
      <c r="CU4833">
        <v>0</v>
      </c>
      <c r="CV4833">
        <v>2</v>
      </c>
      <c r="CW4833">
        <v>0</v>
      </c>
      <c r="CX4833">
        <v>3</v>
      </c>
      <c r="CY4833">
        <v>7</v>
      </c>
      <c r="CZ4833" t="s">
        <v>133</v>
      </c>
      <c r="DA4833">
        <v>276</v>
      </c>
      <c r="DB4833">
        <v>0</v>
      </c>
      <c r="DC4833" t="s">
        <v>402</v>
      </c>
      <c r="DD4833" t="s">
        <v>403</v>
      </c>
      <c r="DG4833">
        <v>1628829</v>
      </c>
      <c r="DI4833">
        <v>1</v>
      </c>
      <c r="DJ4833">
        <v>0</v>
      </c>
      <c r="DK4833">
        <v>1</v>
      </c>
      <c r="DL4833">
        <v>0</v>
      </c>
      <c r="DM4833">
        <v>0</v>
      </c>
      <c r="DN4833">
        <v>0</v>
      </c>
      <c r="DO4833">
        <v>0</v>
      </c>
      <c r="DP4833">
        <v>0</v>
      </c>
      <c r="DQ4833">
        <v>0</v>
      </c>
      <c r="DR4833">
        <v>0</v>
      </c>
      <c r="DS4833">
        <v>0</v>
      </c>
    </row>
    <row r="4834" spans="1:123" x14ac:dyDescent="0.3">
      <c r="A4834" t="str">
        <f>"05/01/2025 15:17:57.531"</f>
        <v>05/01/2025 15:17:57.531</v>
      </c>
      <c r="C4834" t="str">
        <f t="shared" si="1900"/>
        <v>FFDFD3C0</v>
      </c>
      <c r="D4834" t="s">
        <v>143</v>
      </c>
      <c r="E4834" t="str">
        <f>"05"</f>
        <v>05</v>
      </c>
      <c r="H4834">
        <v>172</v>
      </c>
      <c r="I4834" t="s">
        <v>141</v>
      </c>
      <c r="J4834" t="s">
        <v>144</v>
      </c>
      <c r="K4834">
        <v>0</v>
      </c>
      <c r="L4834">
        <v>3</v>
      </c>
      <c r="M4834">
        <v>0</v>
      </c>
      <c r="N4834">
        <v>2</v>
      </c>
      <c r="O4834">
        <v>0</v>
      </c>
      <c r="P4834">
        <v>1</v>
      </c>
      <c r="Q4834">
        <v>0</v>
      </c>
      <c r="R4834" t="s">
        <v>127</v>
      </c>
      <c r="S4834" t="str">
        <f t="shared" si="1914"/>
        <v>15:17:57.000</v>
      </c>
      <c r="T4834" t="str">
        <f t="shared" si="1914"/>
        <v>15:17:57.000</v>
      </c>
      <c r="U4834" t="str">
        <f t="shared" si="1902"/>
        <v>A68FCB</v>
      </c>
      <c r="V4834">
        <v>0</v>
      </c>
      <c r="W4834">
        <v>0</v>
      </c>
      <c r="X4834">
        <v>2</v>
      </c>
      <c r="Y4834">
        <v>0</v>
      </c>
      <c r="AA4834">
        <v>1</v>
      </c>
      <c r="AB4834">
        <v>8</v>
      </c>
      <c r="AC4834">
        <v>3</v>
      </c>
      <c r="AD4834">
        <v>0</v>
      </c>
      <c r="AE4834">
        <v>9</v>
      </c>
      <c r="AF4834" t="s">
        <v>138</v>
      </c>
      <c r="AG4834">
        <v>0</v>
      </c>
      <c r="AH4834">
        <v>3</v>
      </c>
      <c r="AI4834">
        <v>2</v>
      </c>
      <c r="AJ4834">
        <v>0</v>
      </c>
      <c r="AK4834" t="s">
        <v>1534</v>
      </c>
      <c r="AL4834">
        <v>39.228036000000003</v>
      </c>
      <c r="AM4834" t="s">
        <v>1527</v>
      </c>
      <c r="AN4834">
        <v>-121.00028500000001</v>
      </c>
      <c r="AO4834">
        <v>25</v>
      </c>
      <c r="AP4834">
        <v>4000</v>
      </c>
      <c r="AQ4834" t="s">
        <v>131</v>
      </c>
      <c r="AR4834">
        <v>0</v>
      </c>
      <c r="AS4834">
        <v>89</v>
      </c>
      <c r="AT4834">
        <v>-128</v>
      </c>
      <c r="BB4834" t="str">
        <f t="shared" si="1903"/>
        <v>1200</v>
      </c>
      <c r="BC4834">
        <v>1</v>
      </c>
      <c r="BD4834" t="str">
        <f t="shared" si="1904"/>
        <v xml:space="preserve">N52156  </v>
      </c>
      <c r="BE4834">
        <v>1</v>
      </c>
      <c r="BG4834">
        <v>0</v>
      </c>
      <c r="BH4834">
        <v>0</v>
      </c>
      <c r="BI4834">
        <v>0</v>
      </c>
      <c r="BJ4834">
        <v>4100</v>
      </c>
      <c r="BK4834">
        <v>100</v>
      </c>
      <c r="BL4834" t="s">
        <v>188</v>
      </c>
      <c r="BM4834">
        <v>1</v>
      </c>
      <c r="BN4834">
        <v>1</v>
      </c>
      <c r="BO4834">
        <v>0</v>
      </c>
      <c r="BP4834">
        <v>0</v>
      </c>
      <c r="BS4834">
        <v>0</v>
      </c>
      <c r="BT4834">
        <v>0</v>
      </c>
      <c r="BU4834">
        <v>0</v>
      </c>
      <c r="CE4834" t="str">
        <f t="shared" si="1915"/>
        <v>15:17:57.312</v>
      </c>
      <c r="CF4834">
        <v>311589736</v>
      </c>
      <c r="CS4834">
        <v>0</v>
      </c>
      <c r="CT4834">
        <v>2</v>
      </c>
      <c r="CU4834">
        <v>0</v>
      </c>
      <c r="CV4834">
        <v>2</v>
      </c>
      <c r="CW4834">
        <v>0</v>
      </c>
      <c r="CX4834">
        <v>3</v>
      </c>
      <c r="CY4834">
        <v>7</v>
      </c>
      <c r="CZ4834" t="s">
        <v>133</v>
      </c>
      <c r="DA4834">
        <v>276</v>
      </c>
      <c r="DB4834">
        <v>0</v>
      </c>
      <c r="DC4834" t="s">
        <v>402</v>
      </c>
      <c r="DD4834" t="s">
        <v>403</v>
      </c>
      <c r="DG4834">
        <v>1628829</v>
      </c>
      <c r="DI4834">
        <v>1</v>
      </c>
      <c r="DJ4834">
        <v>0</v>
      </c>
      <c r="DK4834">
        <v>1</v>
      </c>
      <c r="DL4834">
        <v>0</v>
      </c>
      <c r="DM4834">
        <v>0</v>
      </c>
      <c r="DN4834">
        <v>0</v>
      </c>
      <c r="DO4834">
        <v>0</v>
      </c>
      <c r="DP4834">
        <v>0</v>
      </c>
      <c r="DQ4834">
        <v>0</v>
      </c>
      <c r="DR4834">
        <v>0</v>
      </c>
      <c r="DS4834">
        <v>0</v>
      </c>
    </row>
    <row r="4835" spans="1:123" x14ac:dyDescent="0.3">
      <c r="A4835" t="str">
        <f>"05/01/2025 15:17:57.544"</f>
        <v>05/01/2025 15:17:57.544</v>
      </c>
      <c r="C4835" t="str">
        <f t="shared" si="1900"/>
        <v>FFDFD3C0</v>
      </c>
      <c r="D4835" t="s">
        <v>145</v>
      </c>
      <c r="E4835" t="str">
        <f>"09"</f>
        <v>09</v>
      </c>
      <c r="H4835">
        <v>51</v>
      </c>
      <c r="I4835" t="s">
        <v>147</v>
      </c>
      <c r="J4835" t="s">
        <v>138</v>
      </c>
      <c r="K4835">
        <v>0</v>
      </c>
      <c r="L4835">
        <v>3</v>
      </c>
      <c r="M4835">
        <v>0</v>
      </c>
      <c r="N4835">
        <v>2</v>
      </c>
      <c r="O4835">
        <v>0</v>
      </c>
      <c r="P4835">
        <v>1</v>
      </c>
      <c r="Q4835">
        <v>0</v>
      </c>
      <c r="R4835" t="s">
        <v>127</v>
      </c>
      <c r="S4835" t="str">
        <f t="shared" si="1914"/>
        <v>15:17:57.000</v>
      </c>
      <c r="T4835" t="str">
        <f t="shared" si="1914"/>
        <v>15:17:57.000</v>
      </c>
      <c r="U4835" t="str">
        <f t="shared" si="1902"/>
        <v>A68FCB</v>
      </c>
      <c r="V4835">
        <v>0</v>
      </c>
      <c r="W4835">
        <v>0</v>
      </c>
      <c r="X4835">
        <v>2</v>
      </c>
      <c r="Y4835">
        <v>0</v>
      </c>
      <c r="AA4835">
        <v>1</v>
      </c>
      <c r="AB4835">
        <v>8</v>
      </c>
      <c r="AC4835">
        <v>3</v>
      </c>
      <c r="AD4835">
        <v>0</v>
      </c>
      <c r="AE4835">
        <v>9</v>
      </c>
      <c r="AF4835" t="s">
        <v>138</v>
      </c>
      <c r="AG4835">
        <v>0</v>
      </c>
      <c r="AH4835">
        <v>3</v>
      </c>
      <c r="AI4835">
        <v>2</v>
      </c>
      <c r="AJ4835">
        <v>0</v>
      </c>
      <c r="AK4835" t="s">
        <v>1534</v>
      </c>
      <c r="AL4835">
        <v>39.228036000000003</v>
      </c>
      <c r="AM4835" t="s">
        <v>1527</v>
      </c>
      <c r="AN4835">
        <v>-121.00028500000001</v>
      </c>
      <c r="AO4835">
        <v>25</v>
      </c>
      <c r="AP4835">
        <v>4000</v>
      </c>
      <c r="AQ4835" t="s">
        <v>131</v>
      </c>
      <c r="AR4835">
        <v>0</v>
      </c>
      <c r="AS4835">
        <v>89</v>
      </c>
      <c r="AT4835">
        <v>-128</v>
      </c>
      <c r="BB4835" t="str">
        <f t="shared" si="1903"/>
        <v>1200</v>
      </c>
      <c r="BC4835">
        <v>1</v>
      </c>
      <c r="BD4835" t="str">
        <f t="shared" si="1904"/>
        <v xml:space="preserve">N52156  </v>
      </c>
      <c r="BE4835">
        <v>1</v>
      </c>
      <c r="BG4835">
        <v>0</v>
      </c>
      <c r="BH4835">
        <v>0</v>
      </c>
      <c r="BI4835">
        <v>0</v>
      </c>
      <c r="BJ4835">
        <v>4100</v>
      </c>
      <c r="BK4835">
        <v>100</v>
      </c>
      <c r="BL4835" t="s">
        <v>188</v>
      </c>
      <c r="BM4835">
        <v>1</v>
      </c>
      <c r="BN4835">
        <v>1</v>
      </c>
      <c r="BO4835">
        <v>0</v>
      </c>
      <c r="BP4835">
        <v>0</v>
      </c>
      <c r="BS4835">
        <v>0</v>
      </c>
      <c r="BT4835">
        <v>0</v>
      </c>
      <c r="BU4835">
        <v>0</v>
      </c>
      <c r="CE4835" t="str">
        <f t="shared" si="1915"/>
        <v>15:17:57.312</v>
      </c>
      <c r="CF4835">
        <v>311589736</v>
      </c>
      <c r="CS4835">
        <v>0</v>
      </c>
      <c r="CT4835">
        <v>2</v>
      </c>
      <c r="CU4835">
        <v>0</v>
      </c>
      <c r="CV4835">
        <v>2</v>
      </c>
      <c r="CW4835">
        <v>0</v>
      </c>
      <c r="CX4835">
        <v>3</v>
      </c>
      <c r="CY4835">
        <v>7</v>
      </c>
      <c r="CZ4835" t="s">
        <v>133</v>
      </c>
      <c r="DA4835">
        <v>276</v>
      </c>
      <c r="DB4835">
        <v>0</v>
      </c>
      <c r="DC4835" t="s">
        <v>402</v>
      </c>
      <c r="DD4835" t="s">
        <v>403</v>
      </c>
      <c r="DG4835">
        <v>1628829</v>
      </c>
      <c r="DI4835">
        <v>1</v>
      </c>
      <c r="DJ4835">
        <v>0</v>
      </c>
      <c r="DK4835">
        <v>1</v>
      </c>
      <c r="DL4835">
        <v>0</v>
      </c>
      <c r="DM4835">
        <v>0</v>
      </c>
      <c r="DN4835">
        <v>0</v>
      </c>
      <c r="DO4835">
        <v>0</v>
      </c>
      <c r="DP4835">
        <v>0</v>
      </c>
      <c r="DQ4835">
        <v>0</v>
      </c>
      <c r="DR4835">
        <v>0</v>
      </c>
      <c r="DS4835">
        <v>0</v>
      </c>
    </row>
    <row r="4836" spans="1:123" x14ac:dyDescent="0.3">
      <c r="A4836" t="str">
        <f>"05/01/2025 15:17:57.547"</f>
        <v>05/01/2025 15:17:57.547</v>
      </c>
      <c r="C4836" t="str">
        <f t="shared" si="1900"/>
        <v>FFDFD3C0</v>
      </c>
      <c r="D4836" t="s">
        <v>145</v>
      </c>
      <c r="E4836" t="str">
        <f>"05"</f>
        <v>05</v>
      </c>
      <c r="H4836">
        <v>47</v>
      </c>
      <c r="I4836" t="s">
        <v>146</v>
      </c>
      <c r="J4836" t="s">
        <v>138</v>
      </c>
      <c r="K4836">
        <v>0</v>
      </c>
      <c r="L4836">
        <v>3</v>
      </c>
      <c r="M4836">
        <v>0</v>
      </c>
      <c r="N4836">
        <v>2</v>
      </c>
      <c r="O4836">
        <v>0</v>
      </c>
      <c r="P4836">
        <v>1</v>
      </c>
      <c r="Q4836">
        <v>0</v>
      </c>
      <c r="R4836" t="s">
        <v>127</v>
      </c>
      <c r="S4836" t="str">
        <f t="shared" si="1914"/>
        <v>15:17:57.000</v>
      </c>
      <c r="T4836" t="str">
        <f t="shared" si="1914"/>
        <v>15:17:57.000</v>
      </c>
      <c r="U4836" t="str">
        <f t="shared" si="1902"/>
        <v>A68FCB</v>
      </c>
      <c r="V4836">
        <v>0</v>
      </c>
      <c r="W4836">
        <v>0</v>
      </c>
      <c r="X4836">
        <v>2</v>
      </c>
      <c r="Y4836">
        <v>0</v>
      </c>
      <c r="AA4836">
        <v>1</v>
      </c>
      <c r="AB4836">
        <v>8</v>
      </c>
      <c r="AC4836">
        <v>3</v>
      </c>
      <c r="AD4836">
        <v>0</v>
      </c>
      <c r="AE4836">
        <v>9</v>
      </c>
      <c r="AF4836" t="s">
        <v>138</v>
      </c>
      <c r="AG4836">
        <v>0</v>
      </c>
      <c r="AH4836">
        <v>3</v>
      </c>
      <c r="AI4836">
        <v>2</v>
      </c>
      <c r="AJ4836">
        <v>0</v>
      </c>
      <c r="AK4836" t="s">
        <v>1534</v>
      </c>
      <c r="AL4836">
        <v>39.228036000000003</v>
      </c>
      <c r="AM4836" t="s">
        <v>1527</v>
      </c>
      <c r="AN4836">
        <v>-121.00028500000001</v>
      </c>
      <c r="AO4836">
        <v>25</v>
      </c>
      <c r="AP4836">
        <v>4000</v>
      </c>
      <c r="AQ4836" t="s">
        <v>131</v>
      </c>
      <c r="AR4836">
        <v>0</v>
      </c>
      <c r="AS4836">
        <v>89</v>
      </c>
      <c r="AT4836">
        <v>-128</v>
      </c>
      <c r="BB4836" t="str">
        <f t="shared" si="1903"/>
        <v>1200</v>
      </c>
      <c r="BC4836">
        <v>1</v>
      </c>
      <c r="BD4836" t="str">
        <f t="shared" si="1904"/>
        <v xml:space="preserve">N52156  </v>
      </c>
      <c r="BE4836">
        <v>1</v>
      </c>
      <c r="BG4836">
        <v>0</v>
      </c>
      <c r="BH4836">
        <v>0</v>
      </c>
      <c r="BI4836">
        <v>0</v>
      </c>
      <c r="BJ4836">
        <v>4100</v>
      </c>
      <c r="BK4836">
        <v>100</v>
      </c>
      <c r="BL4836" t="s">
        <v>188</v>
      </c>
      <c r="BM4836">
        <v>1</v>
      </c>
      <c r="BN4836">
        <v>1</v>
      </c>
      <c r="BO4836">
        <v>0</v>
      </c>
      <c r="BP4836">
        <v>0</v>
      </c>
      <c r="BS4836">
        <v>0</v>
      </c>
      <c r="BT4836">
        <v>0</v>
      </c>
      <c r="BU4836">
        <v>0</v>
      </c>
      <c r="CE4836" t="str">
        <f t="shared" si="1915"/>
        <v>15:17:57.312</v>
      </c>
      <c r="CF4836">
        <v>311589736</v>
      </c>
      <c r="CS4836">
        <v>0</v>
      </c>
      <c r="CT4836">
        <v>2</v>
      </c>
      <c r="CU4836">
        <v>0</v>
      </c>
      <c r="CV4836">
        <v>2</v>
      </c>
      <c r="CW4836">
        <v>0</v>
      </c>
      <c r="CX4836">
        <v>3</v>
      </c>
      <c r="CY4836">
        <v>7</v>
      </c>
      <c r="CZ4836" t="s">
        <v>133</v>
      </c>
      <c r="DA4836">
        <v>276</v>
      </c>
      <c r="DB4836">
        <v>0</v>
      </c>
      <c r="DC4836" t="s">
        <v>402</v>
      </c>
      <c r="DD4836" t="s">
        <v>403</v>
      </c>
      <c r="DG4836">
        <v>1628829</v>
      </c>
      <c r="DI4836">
        <v>1</v>
      </c>
      <c r="DJ4836">
        <v>0</v>
      </c>
      <c r="DK4836">
        <v>1</v>
      </c>
      <c r="DL4836">
        <v>0</v>
      </c>
      <c r="DM4836">
        <v>0</v>
      </c>
      <c r="DN4836">
        <v>0</v>
      </c>
      <c r="DO4836">
        <v>0</v>
      </c>
      <c r="DP4836">
        <v>0</v>
      </c>
      <c r="DQ4836">
        <v>0</v>
      </c>
      <c r="DR4836">
        <v>0</v>
      </c>
      <c r="DS4836">
        <v>0</v>
      </c>
    </row>
    <row r="4837" spans="1:123" x14ac:dyDescent="0.3">
      <c r="A4837" t="str">
        <f>"05/01/2025 15:17:57.557"</f>
        <v>05/01/2025 15:17:57.557</v>
      </c>
      <c r="C4837" t="str">
        <f t="shared" si="1900"/>
        <v>FFDFD3C0</v>
      </c>
      <c r="D4837" t="s">
        <v>136</v>
      </c>
      <c r="E4837" t="str">
        <f>"20"</f>
        <v>20</v>
      </c>
      <c r="H4837">
        <v>400</v>
      </c>
      <c r="I4837" t="s">
        <v>137</v>
      </c>
      <c r="J4837" t="s">
        <v>138</v>
      </c>
      <c r="K4837">
        <v>0</v>
      </c>
      <c r="L4837">
        <v>3</v>
      </c>
      <c r="M4837">
        <v>0</v>
      </c>
      <c r="N4837">
        <v>2</v>
      </c>
      <c r="O4837">
        <v>0</v>
      </c>
      <c r="P4837">
        <v>1</v>
      </c>
      <c r="Q4837">
        <v>0</v>
      </c>
      <c r="R4837" t="s">
        <v>127</v>
      </c>
      <c r="S4837" t="str">
        <f t="shared" si="1914"/>
        <v>15:17:57.000</v>
      </c>
      <c r="T4837" t="str">
        <f t="shared" si="1914"/>
        <v>15:17:57.000</v>
      </c>
      <c r="U4837" t="str">
        <f t="shared" si="1902"/>
        <v>A68FCB</v>
      </c>
      <c r="V4837">
        <v>0</v>
      </c>
      <c r="W4837">
        <v>0</v>
      </c>
      <c r="X4837">
        <v>2</v>
      </c>
      <c r="Y4837">
        <v>0</v>
      </c>
      <c r="AA4837">
        <v>1</v>
      </c>
      <c r="AB4837">
        <v>8</v>
      </c>
      <c r="AC4837">
        <v>3</v>
      </c>
      <c r="AD4837">
        <v>0</v>
      </c>
      <c r="AE4837">
        <v>9</v>
      </c>
      <c r="AF4837" t="s">
        <v>138</v>
      </c>
      <c r="AG4837">
        <v>0</v>
      </c>
      <c r="AH4837">
        <v>3</v>
      </c>
      <c r="AI4837">
        <v>2</v>
      </c>
      <c r="AJ4837">
        <v>0</v>
      </c>
      <c r="AK4837" t="s">
        <v>1534</v>
      </c>
      <c r="AL4837">
        <v>39.228036000000003</v>
      </c>
      <c r="AM4837" t="s">
        <v>1527</v>
      </c>
      <c r="AN4837">
        <v>-121.00028500000001</v>
      </c>
      <c r="AO4837">
        <v>25</v>
      </c>
      <c r="AP4837">
        <v>4000</v>
      </c>
      <c r="AQ4837" t="s">
        <v>131</v>
      </c>
      <c r="AR4837">
        <v>0</v>
      </c>
      <c r="AS4837">
        <v>89</v>
      </c>
      <c r="AT4837">
        <v>-128</v>
      </c>
      <c r="BB4837" t="str">
        <f t="shared" si="1903"/>
        <v>1200</v>
      </c>
      <c r="BC4837">
        <v>1</v>
      </c>
      <c r="BD4837" t="str">
        <f t="shared" si="1904"/>
        <v xml:space="preserve">N52156  </v>
      </c>
      <c r="BE4837">
        <v>1</v>
      </c>
      <c r="BG4837">
        <v>0</v>
      </c>
      <c r="BH4837">
        <v>0</v>
      </c>
      <c r="BI4837">
        <v>0</v>
      </c>
      <c r="BJ4837">
        <v>4100</v>
      </c>
      <c r="BK4837">
        <v>100</v>
      </c>
      <c r="BL4837" t="s">
        <v>188</v>
      </c>
      <c r="BM4837">
        <v>1</v>
      </c>
      <c r="BN4837">
        <v>1</v>
      </c>
      <c r="BO4837">
        <v>0</v>
      </c>
      <c r="BP4837">
        <v>0</v>
      </c>
      <c r="BS4837">
        <v>0</v>
      </c>
      <c r="BT4837">
        <v>0</v>
      </c>
      <c r="BU4837">
        <v>0</v>
      </c>
      <c r="CE4837" t="str">
        <f t="shared" si="1915"/>
        <v>15:17:57.312</v>
      </c>
      <c r="CF4837">
        <v>311589736</v>
      </c>
      <c r="CS4837">
        <v>0</v>
      </c>
      <c r="CT4837">
        <v>2</v>
      </c>
      <c r="CU4837">
        <v>0</v>
      </c>
      <c r="CV4837">
        <v>2</v>
      </c>
      <c r="CW4837">
        <v>0</v>
      </c>
      <c r="CX4837">
        <v>3</v>
      </c>
      <c r="CY4837">
        <v>7</v>
      </c>
      <c r="CZ4837" t="s">
        <v>133</v>
      </c>
      <c r="DA4837">
        <v>276</v>
      </c>
      <c r="DB4837">
        <v>0</v>
      </c>
      <c r="DC4837" t="s">
        <v>402</v>
      </c>
      <c r="DD4837" t="s">
        <v>403</v>
      </c>
      <c r="DG4837">
        <v>1628829</v>
      </c>
      <c r="DI4837">
        <v>1</v>
      </c>
      <c r="DJ4837">
        <v>0</v>
      </c>
      <c r="DK4837">
        <v>1</v>
      </c>
      <c r="DL4837">
        <v>0</v>
      </c>
      <c r="DM4837">
        <v>0</v>
      </c>
      <c r="DN4837">
        <v>0</v>
      </c>
      <c r="DO4837">
        <v>0</v>
      </c>
      <c r="DP4837">
        <v>0</v>
      </c>
      <c r="DQ4837">
        <v>0</v>
      </c>
      <c r="DR4837">
        <v>0</v>
      </c>
      <c r="DS4837">
        <v>0</v>
      </c>
    </row>
    <row r="4838" spans="1:123" x14ac:dyDescent="0.3">
      <c r="A4838" t="str">
        <f>"05/01/2025 15:17:59.060"</f>
        <v>05/01/2025 15:17:59.060</v>
      </c>
      <c r="C4838" t="str">
        <f t="shared" si="1900"/>
        <v>FFDFD3C0</v>
      </c>
      <c r="D4838" t="s">
        <v>136</v>
      </c>
      <c r="E4838" t="str">
        <f>"20"</f>
        <v>20</v>
      </c>
      <c r="H4838">
        <v>400</v>
      </c>
      <c r="I4838" t="s">
        <v>137</v>
      </c>
      <c r="J4838" t="s">
        <v>138</v>
      </c>
      <c r="K4838">
        <v>0</v>
      </c>
      <c r="L4838">
        <v>3</v>
      </c>
      <c r="M4838">
        <v>0</v>
      </c>
      <c r="N4838">
        <v>2</v>
      </c>
      <c r="O4838">
        <v>0</v>
      </c>
      <c r="P4838">
        <v>1</v>
      </c>
      <c r="Q4838">
        <v>0</v>
      </c>
      <c r="R4838" t="s">
        <v>127</v>
      </c>
      <c r="S4838" t="str">
        <f t="shared" ref="S4838:T4843" si="1916">"15:17:58.000"</f>
        <v>15:17:58.000</v>
      </c>
      <c r="T4838" t="str">
        <f t="shared" si="1916"/>
        <v>15:17:58.000</v>
      </c>
      <c r="U4838" t="str">
        <f t="shared" si="1902"/>
        <v>A68FCB</v>
      </c>
      <c r="V4838">
        <v>0</v>
      </c>
      <c r="W4838">
        <v>0</v>
      </c>
      <c r="X4838">
        <v>2</v>
      </c>
      <c r="Y4838">
        <v>0</v>
      </c>
      <c r="AA4838">
        <v>1</v>
      </c>
      <c r="AB4838">
        <v>8</v>
      </c>
      <c r="AC4838">
        <v>3</v>
      </c>
      <c r="AD4838">
        <v>0</v>
      </c>
      <c r="AE4838">
        <v>9</v>
      </c>
      <c r="AF4838" t="s">
        <v>138</v>
      </c>
      <c r="AG4838">
        <v>0</v>
      </c>
      <c r="AH4838">
        <v>3</v>
      </c>
      <c r="AI4838">
        <v>2</v>
      </c>
      <c r="AJ4838">
        <v>0</v>
      </c>
      <c r="AK4838" t="s">
        <v>1535</v>
      </c>
      <c r="AL4838">
        <v>39.228444000000003</v>
      </c>
      <c r="AM4838" t="s">
        <v>1527</v>
      </c>
      <c r="AN4838">
        <v>-121.00028500000001</v>
      </c>
      <c r="AO4838">
        <v>25</v>
      </c>
      <c r="AP4838">
        <v>4100</v>
      </c>
      <c r="AQ4838" t="s">
        <v>131</v>
      </c>
      <c r="AR4838">
        <v>-1</v>
      </c>
      <c r="AS4838">
        <v>89</v>
      </c>
      <c r="AT4838">
        <v>-192</v>
      </c>
      <c r="BB4838" t="str">
        <f t="shared" si="1903"/>
        <v>1200</v>
      </c>
      <c r="BC4838">
        <v>1</v>
      </c>
      <c r="BD4838" t="str">
        <f t="shared" si="1904"/>
        <v xml:space="preserve">N52156  </v>
      </c>
      <c r="BE4838">
        <v>1</v>
      </c>
      <c r="BG4838">
        <v>0</v>
      </c>
      <c r="BH4838">
        <v>0</v>
      </c>
      <c r="BI4838">
        <v>0</v>
      </c>
      <c r="BJ4838">
        <v>4100</v>
      </c>
      <c r="BK4838">
        <v>0</v>
      </c>
      <c r="BL4838" t="s">
        <v>188</v>
      </c>
      <c r="BM4838">
        <v>1</v>
      </c>
      <c r="BN4838">
        <v>1</v>
      </c>
      <c r="BO4838">
        <v>0</v>
      </c>
      <c r="BP4838">
        <v>0</v>
      </c>
      <c r="BS4838">
        <v>0</v>
      </c>
      <c r="BT4838">
        <v>0</v>
      </c>
      <c r="BU4838">
        <v>0</v>
      </c>
      <c r="CE4838" t="str">
        <f t="shared" ref="CE4838:CE4843" si="1917">"15:17:58.852"</f>
        <v>15:17:58.852</v>
      </c>
      <c r="CF4838">
        <v>852091265</v>
      </c>
      <c r="CS4838">
        <v>0</v>
      </c>
      <c r="CT4838">
        <v>2</v>
      </c>
      <c r="CU4838">
        <v>0</v>
      </c>
      <c r="CV4838">
        <v>2</v>
      </c>
      <c r="CW4838">
        <v>0</v>
      </c>
      <c r="CX4838">
        <v>2</v>
      </c>
      <c r="CY4838">
        <v>7</v>
      </c>
      <c r="CZ4838" t="s">
        <v>133</v>
      </c>
      <c r="DA4838">
        <v>276</v>
      </c>
      <c r="DB4838">
        <v>0</v>
      </c>
      <c r="DC4838" t="s">
        <v>402</v>
      </c>
      <c r="DD4838" t="s">
        <v>403</v>
      </c>
      <c r="DG4838">
        <v>1628837</v>
      </c>
      <c r="DI4838">
        <v>1</v>
      </c>
      <c r="DJ4838">
        <v>0</v>
      </c>
      <c r="DK4838">
        <v>0</v>
      </c>
      <c r="DL4838">
        <v>0</v>
      </c>
      <c r="DM4838">
        <v>0</v>
      </c>
      <c r="DN4838">
        <v>0</v>
      </c>
      <c r="DO4838">
        <v>0</v>
      </c>
      <c r="DP4838">
        <v>0</v>
      </c>
      <c r="DQ4838">
        <v>0</v>
      </c>
      <c r="DR4838">
        <v>0</v>
      </c>
      <c r="DS4838">
        <v>0</v>
      </c>
    </row>
    <row r="4839" spans="1:123" x14ac:dyDescent="0.3">
      <c r="A4839" t="str">
        <f>"05/01/2025 15:17:59.077"</f>
        <v>05/01/2025 15:17:59.077</v>
      </c>
      <c r="C4839" t="str">
        <f t="shared" si="1900"/>
        <v>FFDFD3C0</v>
      </c>
      <c r="D4839" t="s">
        <v>124</v>
      </c>
      <c r="E4839" t="str">
        <f>"06"</f>
        <v>06</v>
      </c>
      <c r="F4839">
        <v>2006</v>
      </c>
      <c r="G4839" t="s">
        <v>125</v>
      </c>
      <c r="J4839" t="s">
        <v>126</v>
      </c>
      <c r="K4839">
        <v>0</v>
      </c>
      <c r="L4839">
        <v>3</v>
      </c>
      <c r="M4839">
        <v>0</v>
      </c>
      <c r="N4839">
        <v>2</v>
      </c>
      <c r="O4839">
        <v>0</v>
      </c>
      <c r="P4839">
        <v>1</v>
      </c>
      <c r="Q4839">
        <v>0</v>
      </c>
      <c r="R4839" t="s">
        <v>127</v>
      </c>
      <c r="S4839" t="str">
        <f t="shared" si="1916"/>
        <v>15:17:58.000</v>
      </c>
      <c r="T4839" t="str">
        <f t="shared" si="1916"/>
        <v>15:17:58.000</v>
      </c>
      <c r="U4839" t="str">
        <f t="shared" si="1902"/>
        <v>A68FCB</v>
      </c>
      <c r="V4839">
        <v>0</v>
      </c>
      <c r="W4839">
        <v>0</v>
      </c>
      <c r="X4839">
        <v>2</v>
      </c>
      <c r="Y4839">
        <v>0</v>
      </c>
      <c r="AA4839">
        <v>1</v>
      </c>
      <c r="AB4839">
        <v>8</v>
      </c>
      <c r="AC4839">
        <v>3</v>
      </c>
      <c r="AD4839">
        <v>0</v>
      </c>
      <c r="AE4839">
        <v>9</v>
      </c>
      <c r="AF4839" t="s">
        <v>138</v>
      </c>
      <c r="AG4839">
        <v>0</v>
      </c>
      <c r="AH4839">
        <v>3</v>
      </c>
      <c r="AI4839">
        <v>2</v>
      </c>
      <c r="AJ4839">
        <v>0</v>
      </c>
      <c r="AK4839" t="s">
        <v>1535</v>
      </c>
      <c r="AL4839">
        <v>39.228444000000003</v>
      </c>
      <c r="AM4839" t="s">
        <v>1527</v>
      </c>
      <c r="AN4839">
        <v>-121.00028500000001</v>
      </c>
      <c r="AO4839">
        <v>25</v>
      </c>
      <c r="AP4839">
        <v>4100</v>
      </c>
      <c r="AQ4839" t="s">
        <v>131</v>
      </c>
      <c r="AR4839">
        <v>-1</v>
      </c>
      <c r="AS4839">
        <v>89</v>
      </c>
      <c r="AT4839">
        <v>-192</v>
      </c>
      <c r="BB4839" t="str">
        <f t="shared" si="1903"/>
        <v>1200</v>
      </c>
      <c r="BC4839">
        <v>1</v>
      </c>
      <c r="BD4839" t="str">
        <f t="shared" si="1904"/>
        <v xml:space="preserve">N52156  </v>
      </c>
      <c r="BE4839">
        <v>1</v>
      </c>
      <c r="BG4839">
        <v>0</v>
      </c>
      <c r="BH4839">
        <v>0</v>
      </c>
      <c r="BI4839">
        <v>0</v>
      </c>
      <c r="BJ4839">
        <v>4100</v>
      </c>
      <c r="BK4839">
        <v>0</v>
      </c>
      <c r="BL4839" t="s">
        <v>188</v>
      </c>
      <c r="BM4839">
        <v>1</v>
      </c>
      <c r="BN4839">
        <v>1</v>
      </c>
      <c r="BO4839">
        <v>0</v>
      </c>
      <c r="BP4839">
        <v>0</v>
      </c>
      <c r="BS4839">
        <v>0</v>
      </c>
      <c r="BT4839">
        <v>0</v>
      </c>
      <c r="BU4839">
        <v>0</v>
      </c>
      <c r="CE4839" t="str">
        <f t="shared" si="1917"/>
        <v>15:17:58.852</v>
      </c>
      <c r="CF4839">
        <v>852091265</v>
      </c>
      <c r="CS4839">
        <v>0</v>
      </c>
      <c r="CT4839">
        <v>2</v>
      </c>
      <c r="CU4839">
        <v>0</v>
      </c>
      <c r="CV4839">
        <v>2</v>
      </c>
      <c r="CW4839">
        <v>0</v>
      </c>
      <c r="CX4839">
        <v>2</v>
      </c>
      <c r="CY4839">
        <v>7</v>
      </c>
      <c r="CZ4839" t="s">
        <v>133</v>
      </c>
      <c r="DA4839">
        <v>276</v>
      </c>
      <c r="DB4839">
        <v>0</v>
      </c>
      <c r="DC4839" t="s">
        <v>402</v>
      </c>
      <c r="DD4839" t="s">
        <v>403</v>
      </c>
      <c r="DG4839">
        <v>1628837</v>
      </c>
      <c r="DI4839">
        <v>1</v>
      </c>
      <c r="DJ4839">
        <v>0</v>
      </c>
      <c r="DK4839">
        <v>1</v>
      </c>
      <c r="DL4839">
        <v>0</v>
      </c>
      <c r="DM4839">
        <v>0</v>
      </c>
      <c r="DN4839">
        <v>0</v>
      </c>
      <c r="DO4839">
        <v>0</v>
      </c>
      <c r="DP4839">
        <v>0</v>
      </c>
      <c r="DQ4839">
        <v>0</v>
      </c>
      <c r="DR4839">
        <v>0</v>
      </c>
      <c r="DS4839">
        <v>0</v>
      </c>
    </row>
    <row r="4840" spans="1:123" x14ac:dyDescent="0.3">
      <c r="A4840" t="str">
        <f>"05/01/2025 15:17:59.074"</f>
        <v>05/01/2025 15:17:59.074</v>
      </c>
      <c r="C4840" t="str">
        <f t="shared" si="1900"/>
        <v>FFDFD3C0</v>
      </c>
      <c r="D4840" t="s">
        <v>140</v>
      </c>
      <c r="E4840" t="str">
        <f>"13"</f>
        <v>13</v>
      </c>
      <c r="F4840">
        <v>1019</v>
      </c>
      <c r="G4840" t="s">
        <v>141</v>
      </c>
      <c r="J4840" t="s">
        <v>142</v>
      </c>
      <c r="K4840">
        <v>0</v>
      </c>
      <c r="L4840">
        <v>3</v>
      </c>
      <c r="M4840">
        <v>0</v>
      </c>
      <c r="N4840">
        <v>2</v>
      </c>
      <c r="O4840">
        <v>0</v>
      </c>
      <c r="P4840">
        <v>1</v>
      </c>
      <c r="Q4840">
        <v>0</v>
      </c>
      <c r="R4840" t="s">
        <v>127</v>
      </c>
      <c r="S4840" t="str">
        <f t="shared" si="1916"/>
        <v>15:17:58.000</v>
      </c>
      <c r="T4840" t="str">
        <f t="shared" si="1916"/>
        <v>15:17:58.000</v>
      </c>
      <c r="U4840" t="str">
        <f t="shared" si="1902"/>
        <v>A68FCB</v>
      </c>
      <c r="V4840">
        <v>0</v>
      </c>
      <c r="W4840">
        <v>0</v>
      </c>
      <c r="X4840">
        <v>2</v>
      </c>
      <c r="Y4840">
        <v>0</v>
      </c>
      <c r="AA4840">
        <v>1</v>
      </c>
      <c r="AB4840">
        <v>8</v>
      </c>
      <c r="AC4840">
        <v>3</v>
      </c>
      <c r="AD4840">
        <v>0</v>
      </c>
      <c r="AE4840">
        <v>9</v>
      </c>
      <c r="AF4840" t="s">
        <v>138</v>
      </c>
      <c r="AG4840">
        <v>0</v>
      </c>
      <c r="AH4840">
        <v>3</v>
      </c>
      <c r="AI4840">
        <v>2</v>
      </c>
      <c r="AJ4840">
        <v>0</v>
      </c>
      <c r="AK4840" t="s">
        <v>1535</v>
      </c>
      <c r="AL4840">
        <v>39.228444000000003</v>
      </c>
      <c r="AM4840" t="s">
        <v>1527</v>
      </c>
      <c r="AN4840">
        <v>-121.00028500000001</v>
      </c>
      <c r="AO4840">
        <v>25</v>
      </c>
      <c r="AP4840">
        <v>4100</v>
      </c>
      <c r="AQ4840" t="s">
        <v>131</v>
      </c>
      <c r="AR4840">
        <v>-1</v>
      </c>
      <c r="AS4840">
        <v>89</v>
      </c>
      <c r="AT4840">
        <v>-192</v>
      </c>
      <c r="BB4840" t="str">
        <f t="shared" si="1903"/>
        <v>1200</v>
      </c>
      <c r="BC4840">
        <v>1</v>
      </c>
      <c r="BD4840" t="str">
        <f t="shared" si="1904"/>
        <v xml:space="preserve">N52156  </v>
      </c>
      <c r="BE4840">
        <v>1</v>
      </c>
      <c r="BG4840">
        <v>0</v>
      </c>
      <c r="BH4840">
        <v>0</v>
      </c>
      <c r="BI4840">
        <v>0</v>
      </c>
      <c r="BJ4840">
        <v>4100</v>
      </c>
      <c r="BK4840">
        <v>0</v>
      </c>
      <c r="BL4840" t="s">
        <v>188</v>
      </c>
      <c r="BM4840">
        <v>1</v>
      </c>
      <c r="BN4840">
        <v>1</v>
      </c>
      <c r="BO4840">
        <v>0</v>
      </c>
      <c r="BP4840">
        <v>0</v>
      </c>
      <c r="BS4840">
        <v>0</v>
      </c>
      <c r="BT4840">
        <v>0</v>
      </c>
      <c r="BU4840">
        <v>0</v>
      </c>
      <c r="CE4840" t="str">
        <f t="shared" si="1917"/>
        <v>15:17:58.852</v>
      </c>
      <c r="CF4840">
        <v>852091265</v>
      </c>
      <c r="CS4840">
        <v>0</v>
      </c>
      <c r="CT4840">
        <v>2</v>
      </c>
      <c r="CU4840">
        <v>0</v>
      </c>
      <c r="CV4840">
        <v>2</v>
      </c>
      <c r="CW4840">
        <v>0</v>
      </c>
      <c r="CX4840">
        <v>2</v>
      </c>
      <c r="CY4840">
        <v>7</v>
      </c>
      <c r="CZ4840" t="s">
        <v>133</v>
      </c>
      <c r="DA4840">
        <v>276</v>
      </c>
      <c r="DB4840">
        <v>0</v>
      </c>
      <c r="DC4840" t="s">
        <v>402</v>
      </c>
      <c r="DD4840" t="s">
        <v>403</v>
      </c>
      <c r="DG4840">
        <v>1628837</v>
      </c>
      <c r="DI4840">
        <v>1</v>
      </c>
      <c r="DJ4840">
        <v>0</v>
      </c>
      <c r="DK4840">
        <v>1</v>
      </c>
      <c r="DL4840">
        <v>0</v>
      </c>
      <c r="DM4840">
        <v>0</v>
      </c>
      <c r="DN4840">
        <v>0</v>
      </c>
      <c r="DO4840">
        <v>0</v>
      </c>
      <c r="DP4840">
        <v>0</v>
      </c>
      <c r="DQ4840">
        <v>0</v>
      </c>
      <c r="DR4840">
        <v>0</v>
      </c>
      <c r="DS4840">
        <v>0</v>
      </c>
    </row>
    <row r="4841" spans="1:123" x14ac:dyDescent="0.3">
      <c r="A4841" t="str">
        <f>"05/01/2025 15:17:59.083"</f>
        <v>05/01/2025 15:17:59.083</v>
      </c>
      <c r="C4841" t="str">
        <f t="shared" si="1900"/>
        <v>FFDFD3C0</v>
      </c>
      <c r="D4841" t="s">
        <v>143</v>
      </c>
      <c r="E4841" t="str">
        <f>"05"</f>
        <v>05</v>
      </c>
      <c r="H4841">
        <v>172</v>
      </c>
      <c r="I4841" t="s">
        <v>141</v>
      </c>
      <c r="J4841" t="s">
        <v>144</v>
      </c>
      <c r="K4841">
        <v>0</v>
      </c>
      <c r="L4841">
        <v>3</v>
      </c>
      <c r="M4841">
        <v>0</v>
      </c>
      <c r="N4841">
        <v>2</v>
      </c>
      <c r="O4841">
        <v>0</v>
      </c>
      <c r="P4841">
        <v>1</v>
      </c>
      <c r="Q4841">
        <v>0</v>
      </c>
      <c r="R4841" t="s">
        <v>127</v>
      </c>
      <c r="S4841" t="str">
        <f t="shared" si="1916"/>
        <v>15:17:58.000</v>
      </c>
      <c r="T4841" t="str">
        <f t="shared" si="1916"/>
        <v>15:17:58.000</v>
      </c>
      <c r="U4841" t="str">
        <f t="shared" si="1902"/>
        <v>A68FCB</v>
      </c>
      <c r="V4841">
        <v>0</v>
      </c>
      <c r="W4841">
        <v>0</v>
      </c>
      <c r="X4841">
        <v>2</v>
      </c>
      <c r="Y4841">
        <v>0</v>
      </c>
      <c r="AA4841">
        <v>1</v>
      </c>
      <c r="AB4841">
        <v>8</v>
      </c>
      <c r="AC4841">
        <v>3</v>
      </c>
      <c r="AD4841">
        <v>0</v>
      </c>
      <c r="AE4841">
        <v>9</v>
      </c>
      <c r="AF4841" t="s">
        <v>138</v>
      </c>
      <c r="AG4841">
        <v>0</v>
      </c>
      <c r="AH4841">
        <v>3</v>
      </c>
      <c r="AI4841">
        <v>2</v>
      </c>
      <c r="AJ4841">
        <v>0</v>
      </c>
      <c r="AK4841" t="s">
        <v>1535</v>
      </c>
      <c r="AL4841">
        <v>39.228444000000003</v>
      </c>
      <c r="AM4841" t="s">
        <v>1527</v>
      </c>
      <c r="AN4841">
        <v>-121.00028500000001</v>
      </c>
      <c r="AO4841">
        <v>25</v>
      </c>
      <c r="AP4841">
        <v>4100</v>
      </c>
      <c r="AQ4841" t="s">
        <v>131</v>
      </c>
      <c r="AR4841">
        <v>-1</v>
      </c>
      <c r="AS4841">
        <v>89</v>
      </c>
      <c r="AT4841">
        <v>-192</v>
      </c>
      <c r="BB4841" t="str">
        <f t="shared" si="1903"/>
        <v>1200</v>
      </c>
      <c r="BC4841">
        <v>1</v>
      </c>
      <c r="BD4841" t="str">
        <f t="shared" si="1904"/>
        <v xml:space="preserve">N52156  </v>
      </c>
      <c r="BE4841">
        <v>1</v>
      </c>
      <c r="BG4841">
        <v>0</v>
      </c>
      <c r="BH4841">
        <v>0</v>
      </c>
      <c r="BI4841">
        <v>0</v>
      </c>
      <c r="BJ4841">
        <v>4100</v>
      </c>
      <c r="BK4841">
        <v>0</v>
      </c>
      <c r="BL4841" t="s">
        <v>188</v>
      </c>
      <c r="BM4841">
        <v>1</v>
      </c>
      <c r="BN4841">
        <v>1</v>
      </c>
      <c r="BO4841">
        <v>0</v>
      </c>
      <c r="BP4841">
        <v>0</v>
      </c>
      <c r="BS4841">
        <v>0</v>
      </c>
      <c r="BT4841">
        <v>0</v>
      </c>
      <c r="BU4841">
        <v>0</v>
      </c>
      <c r="CE4841" t="str">
        <f t="shared" si="1917"/>
        <v>15:17:58.852</v>
      </c>
      <c r="CF4841">
        <v>852091265</v>
      </c>
      <c r="CS4841">
        <v>0</v>
      </c>
      <c r="CT4841">
        <v>2</v>
      </c>
      <c r="CU4841">
        <v>0</v>
      </c>
      <c r="CV4841">
        <v>2</v>
      </c>
      <c r="CW4841">
        <v>0</v>
      </c>
      <c r="CX4841">
        <v>2</v>
      </c>
      <c r="CY4841">
        <v>7</v>
      </c>
      <c r="CZ4841" t="s">
        <v>133</v>
      </c>
      <c r="DA4841">
        <v>276</v>
      </c>
      <c r="DB4841">
        <v>0</v>
      </c>
      <c r="DC4841" t="s">
        <v>402</v>
      </c>
      <c r="DD4841" t="s">
        <v>403</v>
      </c>
      <c r="DG4841">
        <v>1628837</v>
      </c>
      <c r="DI4841">
        <v>1</v>
      </c>
      <c r="DJ4841">
        <v>0</v>
      </c>
      <c r="DK4841">
        <v>1</v>
      </c>
      <c r="DL4841">
        <v>0</v>
      </c>
      <c r="DM4841">
        <v>0</v>
      </c>
      <c r="DN4841">
        <v>0</v>
      </c>
      <c r="DO4841">
        <v>0</v>
      </c>
      <c r="DP4841">
        <v>0</v>
      </c>
      <c r="DQ4841">
        <v>0</v>
      </c>
      <c r="DR4841">
        <v>0</v>
      </c>
      <c r="DS4841">
        <v>0</v>
      </c>
    </row>
    <row r="4842" spans="1:123" x14ac:dyDescent="0.3">
      <c r="A4842" t="str">
        <f>"05/01/2025 15:17:59.097"</f>
        <v>05/01/2025 15:17:59.097</v>
      </c>
      <c r="C4842" t="str">
        <f t="shared" si="1900"/>
        <v>FFDFD3C0</v>
      </c>
      <c r="D4842" t="s">
        <v>145</v>
      </c>
      <c r="E4842" t="str">
        <f>"09"</f>
        <v>09</v>
      </c>
      <c r="H4842">
        <v>51</v>
      </c>
      <c r="I4842" t="s">
        <v>147</v>
      </c>
      <c r="J4842" t="s">
        <v>138</v>
      </c>
      <c r="K4842">
        <v>0</v>
      </c>
      <c r="L4842">
        <v>3</v>
      </c>
      <c r="M4842">
        <v>0</v>
      </c>
      <c r="N4842">
        <v>2</v>
      </c>
      <c r="O4842">
        <v>0</v>
      </c>
      <c r="P4842">
        <v>1</v>
      </c>
      <c r="Q4842">
        <v>0</v>
      </c>
      <c r="R4842" t="s">
        <v>127</v>
      </c>
      <c r="S4842" t="str">
        <f t="shared" si="1916"/>
        <v>15:17:58.000</v>
      </c>
      <c r="T4842" t="str">
        <f t="shared" si="1916"/>
        <v>15:17:58.000</v>
      </c>
      <c r="U4842" t="str">
        <f t="shared" si="1902"/>
        <v>A68FCB</v>
      </c>
      <c r="V4842">
        <v>0</v>
      </c>
      <c r="W4842">
        <v>0</v>
      </c>
      <c r="X4842">
        <v>2</v>
      </c>
      <c r="Y4842">
        <v>0</v>
      </c>
      <c r="AA4842">
        <v>1</v>
      </c>
      <c r="AB4842">
        <v>8</v>
      </c>
      <c r="AC4842">
        <v>3</v>
      </c>
      <c r="AD4842">
        <v>0</v>
      </c>
      <c r="AE4842">
        <v>9</v>
      </c>
      <c r="AF4842" t="s">
        <v>138</v>
      </c>
      <c r="AG4842">
        <v>0</v>
      </c>
      <c r="AH4842">
        <v>3</v>
      </c>
      <c r="AI4842">
        <v>2</v>
      </c>
      <c r="AJ4842">
        <v>0</v>
      </c>
      <c r="AK4842" t="s">
        <v>1535</v>
      </c>
      <c r="AL4842">
        <v>39.228444000000003</v>
      </c>
      <c r="AM4842" t="s">
        <v>1527</v>
      </c>
      <c r="AN4842">
        <v>-121.00028500000001</v>
      </c>
      <c r="AO4842">
        <v>25</v>
      </c>
      <c r="AP4842">
        <v>4100</v>
      </c>
      <c r="AQ4842" t="s">
        <v>131</v>
      </c>
      <c r="AR4842">
        <v>-1</v>
      </c>
      <c r="AS4842">
        <v>89</v>
      </c>
      <c r="AT4842">
        <v>-192</v>
      </c>
      <c r="BB4842" t="str">
        <f t="shared" si="1903"/>
        <v>1200</v>
      </c>
      <c r="BC4842">
        <v>1</v>
      </c>
      <c r="BD4842" t="str">
        <f t="shared" si="1904"/>
        <v xml:space="preserve">N52156  </v>
      </c>
      <c r="BE4842">
        <v>1</v>
      </c>
      <c r="BG4842">
        <v>0</v>
      </c>
      <c r="BH4842">
        <v>0</v>
      </c>
      <c r="BI4842">
        <v>0</v>
      </c>
      <c r="BJ4842">
        <v>4100</v>
      </c>
      <c r="BK4842">
        <v>0</v>
      </c>
      <c r="BL4842" t="s">
        <v>188</v>
      </c>
      <c r="BM4842">
        <v>1</v>
      </c>
      <c r="BN4842">
        <v>1</v>
      </c>
      <c r="BO4842">
        <v>0</v>
      </c>
      <c r="BP4842">
        <v>0</v>
      </c>
      <c r="BS4842">
        <v>0</v>
      </c>
      <c r="BT4842">
        <v>0</v>
      </c>
      <c r="BU4842">
        <v>0</v>
      </c>
      <c r="CE4842" t="str">
        <f t="shared" si="1917"/>
        <v>15:17:58.852</v>
      </c>
      <c r="CF4842">
        <v>852091265</v>
      </c>
      <c r="CS4842">
        <v>0</v>
      </c>
      <c r="CT4842">
        <v>2</v>
      </c>
      <c r="CU4842">
        <v>0</v>
      </c>
      <c r="CV4842">
        <v>2</v>
      </c>
      <c r="CW4842">
        <v>0</v>
      </c>
      <c r="CX4842">
        <v>2</v>
      </c>
      <c r="CY4842">
        <v>7</v>
      </c>
      <c r="CZ4842" t="s">
        <v>133</v>
      </c>
      <c r="DA4842">
        <v>276</v>
      </c>
      <c r="DB4842">
        <v>0</v>
      </c>
      <c r="DC4842" t="s">
        <v>402</v>
      </c>
      <c r="DD4842" t="s">
        <v>403</v>
      </c>
      <c r="DG4842">
        <v>1628837</v>
      </c>
      <c r="DI4842">
        <v>1</v>
      </c>
      <c r="DJ4842">
        <v>0</v>
      </c>
      <c r="DK4842">
        <v>1</v>
      </c>
      <c r="DL4842">
        <v>0</v>
      </c>
      <c r="DM4842">
        <v>0</v>
      </c>
      <c r="DN4842">
        <v>0</v>
      </c>
      <c r="DO4842">
        <v>0</v>
      </c>
      <c r="DP4842">
        <v>0</v>
      </c>
      <c r="DQ4842">
        <v>0</v>
      </c>
      <c r="DR4842">
        <v>0</v>
      </c>
      <c r="DS4842">
        <v>0</v>
      </c>
    </row>
    <row r="4843" spans="1:123" x14ac:dyDescent="0.3">
      <c r="A4843" t="str">
        <f>"05/01/2025 15:17:59.100"</f>
        <v>05/01/2025 15:17:59.100</v>
      </c>
      <c r="C4843" t="str">
        <f t="shared" si="1900"/>
        <v>FFDFD3C0</v>
      </c>
      <c r="D4843" t="s">
        <v>145</v>
      </c>
      <c r="E4843" t="str">
        <f>"05"</f>
        <v>05</v>
      </c>
      <c r="H4843">
        <v>47</v>
      </c>
      <c r="I4843" t="s">
        <v>146</v>
      </c>
      <c r="J4843" t="s">
        <v>138</v>
      </c>
      <c r="K4843">
        <v>0</v>
      </c>
      <c r="L4843">
        <v>3</v>
      </c>
      <c r="M4843">
        <v>0</v>
      </c>
      <c r="N4843">
        <v>2</v>
      </c>
      <c r="O4843">
        <v>0</v>
      </c>
      <c r="P4843">
        <v>1</v>
      </c>
      <c r="Q4843">
        <v>0</v>
      </c>
      <c r="R4843" t="s">
        <v>127</v>
      </c>
      <c r="S4843" t="str">
        <f t="shared" si="1916"/>
        <v>15:17:58.000</v>
      </c>
      <c r="T4843" t="str">
        <f t="shared" si="1916"/>
        <v>15:17:58.000</v>
      </c>
      <c r="U4843" t="str">
        <f t="shared" si="1902"/>
        <v>A68FCB</v>
      </c>
      <c r="V4843">
        <v>0</v>
      </c>
      <c r="W4843">
        <v>0</v>
      </c>
      <c r="X4843">
        <v>2</v>
      </c>
      <c r="Y4843">
        <v>0</v>
      </c>
      <c r="AA4843">
        <v>1</v>
      </c>
      <c r="AB4843">
        <v>8</v>
      </c>
      <c r="AC4843">
        <v>3</v>
      </c>
      <c r="AD4843">
        <v>0</v>
      </c>
      <c r="AE4843">
        <v>9</v>
      </c>
      <c r="AF4843" t="s">
        <v>138</v>
      </c>
      <c r="AG4843">
        <v>0</v>
      </c>
      <c r="AH4843">
        <v>3</v>
      </c>
      <c r="AI4843">
        <v>2</v>
      </c>
      <c r="AJ4843">
        <v>0</v>
      </c>
      <c r="AK4843" t="s">
        <v>1535</v>
      </c>
      <c r="AL4843">
        <v>39.228444000000003</v>
      </c>
      <c r="AM4843" t="s">
        <v>1527</v>
      </c>
      <c r="AN4843">
        <v>-121.00028500000001</v>
      </c>
      <c r="AO4843">
        <v>25</v>
      </c>
      <c r="AP4843">
        <v>4100</v>
      </c>
      <c r="AQ4843" t="s">
        <v>131</v>
      </c>
      <c r="AR4843">
        <v>-1</v>
      </c>
      <c r="AS4843">
        <v>89</v>
      </c>
      <c r="AT4843">
        <v>-192</v>
      </c>
      <c r="BB4843" t="str">
        <f t="shared" si="1903"/>
        <v>1200</v>
      </c>
      <c r="BC4843">
        <v>1</v>
      </c>
      <c r="BD4843" t="str">
        <f t="shared" si="1904"/>
        <v xml:space="preserve">N52156  </v>
      </c>
      <c r="BE4843">
        <v>1</v>
      </c>
      <c r="BG4843">
        <v>0</v>
      </c>
      <c r="BH4843">
        <v>0</v>
      </c>
      <c r="BI4843">
        <v>0</v>
      </c>
      <c r="BJ4843">
        <v>4100</v>
      </c>
      <c r="BK4843">
        <v>0</v>
      </c>
      <c r="BL4843" t="s">
        <v>188</v>
      </c>
      <c r="BM4843">
        <v>1</v>
      </c>
      <c r="BN4843">
        <v>1</v>
      </c>
      <c r="BO4843">
        <v>0</v>
      </c>
      <c r="BP4843">
        <v>0</v>
      </c>
      <c r="BS4843">
        <v>0</v>
      </c>
      <c r="BT4843">
        <v>0</v>
      </c>
      <c r="BU4843">
        <v>0</v>
      </c>
      <c r="CE4843" t="str">
        <f t="shared" si="1917"/>
        <v>15:17:58.852</v>
      </c>
      <c r="CF4843">
        <v>852091265</v>
      </c>
      <c r="CS4843">
        <v>0</v>
      </c>
      <c r="CT4843">
        <v>2</v>
      </c>
      <c r="CU4843">
        <v>0</v>
      </c>
      <c r="CV4843">
        <v>2</v>
      </c>
      <c r="CW4843">
        <v>0</v>
      </c>
      <c r="CX4843">
        <v>2</v>
      </c>
      <c r="CY4843">
        <v>7</v>
      </c>
      <c r="CZ4843" t="s">
        <v>133</v>
      </c>
      <c r="DA4843">
        <v>276</v>
      </c>
      <c r="DB4843">
        <v>0</v>
      </c>
      <c r="DC4843" t="s">
        <v>402</v>
      </c>
      <c r="DD4843" t="s">
        <v>403</v>
      </c>
      <c r="DG4843">
        <v>1628837</v>
      </c>
      <c r="DI4843">
        <v>1</v>
      </c>
      <c r="DJ4843">
        <v>0</v>
      </c>
      <c r="DK4843">
        <v>1</v>
      </c>
      <c r="DL4843">
        <v>0</v>
      </c>
      <c r="DM4843">
        <v>0</v>
      </c>
      <c r="DN4843">
        <v>0</v>
      </c>
      <c r="DO4843">
        <v>0</v>
      </c>
      <c r="DP4843">
        <v>0</v>
      </c>
      <c r="DQ4843">
        <v>0</v>
      </c>
      <c r="DR4843">
        <v>0</v>
      </c>
      <c r="DS4843">
        <v>0</v>
      </c>
    </row>
    <row r="4844" spans="1:123" x14ac:dyDescent="0.3">
      <c r="A4844" t="str">
        <f>"05/01/2025 15:18:00.162"</f>
        <v>05/01/2025 15:18:00.162</v>
      </c>
      <c r="C4844" t="str">
        <f t="shared" si="1900"/>
        <v>FFDFD3C0</v>
      </c>
      <c r="D4844" t="s">
        <v>136</v>
      </c>
      <c r="E4844" t="str">
        <f>"20"</f>
        <v>20</v>
      </c>
      <c r="H4844">
        <v>400</v>
      </c>
      <c r="I4844" t="s">
        <v>137</v>
      </c>
      <c r="J4844" t="s">
        <v>138</v>
      </c>
      <c r="K4844">
        <v>0</v>
      </c>
      <c r="L4844">
        <v>3</v>
      </c>
      <c r="M4844">
        <v>0</v>
      </c>
      <c r="N4844">
        <v>2</v>
      </c>
      <c r="O4844">
        <v>0</v>
      </c>
      <c r="P4844">
        <v>1</v>
      </c>
      <c r="Q4844">
        <v>0</v>
      </c>
      <c r="R4844" t="s">
        <v>127</v>
      </c>
      <c r="S4844" t="str">
        <f t="shared" ref="S4844:T4849" si="1918">"15:17:59.000"</f>
        <v>15:17:59.000</v>
      </c>
      <c r="T4844" t="str">
        <f t="shared" si="1918"/>
        <v>15:17:59.000</v>
      </c>
      <c r="U4844" t="str">
        <f t="shared" si="1902"/>
        <v>A68FCB</v>
      </c>
      <c r="V4844">
        <v>0</v>
      </c>
      <c r="W4844">
        <v>0</v>
      </c>
      <c r="X4844">
        <v>2</v>
      </c>
      <c r="Y4844">
        <v>0</v>
      </c>
      <c r="AA4844">
        <v>1</v>
      </c>
      <c r="AB4844">
        <v>8</v>
      </c>
      <c r="AC4844">
        <v>3</v>
      </c>
      <c r="AD4844">
        <v>0</v>
      </c>
      <c r="AE4844">
        <v>9</v>
      </c>
      <c r="AF4844" t="s">
        <v>138</v>
      </c>
      <c r="AG4844">
        <v>0</v>
      </c>
      <c r="AH4844">
        <v>3</v>
      </c>
      <c r="AI4844">
        <v>2</v>
      </c>
      <c r="AJ4844">
        <v>0</v>
      </c>
      <c r="AK4844" t="s">
        <v>1536</v>
      </c>
      <c r="AL4844">
        <v>39.228852000000003</v>
      </c>
      <c r="AM4844" t="s">
        <v>1527</v>
      </c>
      <c r="AN4844">
        <v>-121.00028500000001</v>
      </c>
      <c r="AO4844">
        <v>25</v>
      </c>
      <c r="AP4844">
        <v>4000</v>
      </c>
      <c r="AQ4844" t="s">
        <v>131</v>
      </c>
      <c r="AR4844">
        <v>-2</v>
      </c>
      <c r="AS4844">
        <v>90</v>
      </c>
      <c r="AT4844">
        <v>-192</v>
      </c>
      <c r="BB4844" t="str">
        <f t="shared" si="1903"/>
        <v>1200</v>
      </c>
      <c r="BC4844">
        <v>1</v>
      </c>
      <c r="BD4844" t="str">
        <f t="shared" si="1904"/>
        <v xml:space="preserve">N52156  </v>
      </c>
      <c r="BE4844">
        <v>1</v>
      </c>
      <c r="BG4844">
        <v>0</v>
      </c>
      <c r="BH4844">
        <v>0</v>
      </c>
      <c r="BI4844">
        <v>0</v>
      </c>
      <c r="BJ4844">
        <v>4100</v>
      </c>
      <c r="BK4844">
        <v>100</v>
      </c>
      <c r="BL4844" t="s">
        <v>188</v>
      </c>
      <c r="BM4844">
        <v>1</v>
      </c>
      <c r="BN4844">
        <v>1</v>
      </c>
      <c r="BO4844">
        <v>0</v>
      </c>
      <c r="BP4844">
        <v>0</v>
      </c>
      <c r="BS4844">
        <v>0</v>
      </c>
      <c r="BT4844">
        <v>0</v>
      </c>
      <c r="BU4844">
        <v>0</v>
      </c>
      <c r="CE4844" t="str">
        <f t="shared" ref="CE4844:CE4849" si="1919">"15:17:59.944"</f>
        <v>15:17:59.944</v>
      </c>
      <c r="CF4844">
        <v>944341672</v>
      </c>
      <c r="CS4844">
        <v>0</v>
      </c>
      <c r="CT4844">
        <v>2</v>
      </c>
      <c r="CU4844">
        <v>0</v>
      </c>
      <c r="CV4844">
        <v>2</v>
      </c>
      <c r="CW4844">
        <v>0</v>
      </c>
      <c r="CX4844">
        <v>3</v>
      </c>
      <c r="CY4844">
        <v>7</v>
      </c>
      <c r="CZ4844" t="s">
        <v>133</v>
      </c>
      <c r="DA4844">
        <v>276</v>
      </c>
      <c r="DB4844">
        <v>0</v>
      </c>
      <c r="DC4844" t="s">
        <v>402</v>
      </c>
      <c r="DD4844" t="s">
        <v>403</v>
      </c>
      <c r="DG4844">
        <v>1628843</v>
      </c>
      <c r="DI4844">
        <v>1</v>
      </c>
      <c r="DJ4844">
        <v>0</v>
      </c>
      <c r="DK4844">
        <v>0</v>
      </c>
      <c r="DL4844">
        <v>0</v>
      </c>
      <c r="DM4844">
        <v>0</v>
      </c>
      <c r="DN4844">
        <v>0</v>
      </c>
      <c r="DO4844">
        <v>0</v>
      </c>
      <c r="DP4844">
        <v>0</v>
      </c>
      <c r="DQ4844">
        <v>0</v>
      </c>
      <c r="DR4844">
        <v>0</v>
      </c>
      <c r="DS4844">
        <v>0</v>
      </c>
    </row>
    <row r="4845" spans="1:123" x14ac:dyDescent="0.3">
      <c r="A4845" t="str">
        <f>"05/01/2025 15:18:00.176"</f>
        <v>05/01/2025 15:18:00.176</v>
      </c>
      <c r="C4845" t="str">
        <f t="shared" si="1900"/>
        <v>FFDFD3C0</v>
      </c>
      <c r="D4845" t="s">
        <v>140</v>
      </c>
      <c r="E4845" t="str">
        <f>"13"</f>
        <v>13</v>
      </c>
      <c r="F4845">
        <v>1019</v>
      </c>
      <c r="G4845" t="s">
        <v>141</v>
      </c>
      <c r="J4845" t="s">
        <v>142</v>
      </c>
      <c r="K4845">
        <v>0</v>
      </c>
      <c r="L4845">
        <v>3</v>
      </c>
      <c r="M4845">
        <v>0</v>
      </c>
      <c r="N4845">
        <v>2</v>
      </c>
      <c r="O4845">
        <v>0</v>
      </c>
      <c r="P4845">
        <v>1</v>
      </c>
      <c r="Q4845">
        <v>0</v>
      </c>
      <c r="R4845" t="s">
        <v>127</v>
      </c>
      <c r="S4845" t="str">
        <f t="shared" si="1918"/>
        <v>15:17:59.000</v>
      </c>
      <c r="T4845" t="str">
        <f t="shared" si="1918"/>
        <v>15:17:59.000</v>
      </c>
      <c r="U4845" t="str">
        <f t="shared" si="1902"/>
        <v>A68FCB</v>
      </c>
      <c r="V4845">
        <v>0</v>
      </c>
      <c r="W4845">
        <v>0</v>
      </c>
      <c r="X4845">
        <v>2</v>
      </c>
      <c r="Y4845">
        <v>0</v>
      </c>
      <c r="AA4845">
        <v>1</v>
      </c>
      <c r="AB4845">
        <v>8</v>
      </c>
      <c r="AC4845">
        <v>3</v>
      </c>
      <c r="AD4845">
        <v>0</v>
      </c>
      <c r="AE4845">
        <v>9</v>
      </c>
      <c r="AF4845" t="s">
        <v>138</v>
      </c>
      <c r="AG4845">
        <v>0</v>
      </c>
      <c r="AH4845">
        <v>3</v>
      </c>
      <c r="AI4845">
        <v>2</v>
      </c>
      <c r="AJ4845">
        <v>0</v>
      </c>
      <c r="AK4845" t="s">
        <v>1536</v>
      </c>
      <c r="AL4845">
        <v>39.228852000000003</v>
      </c>
      <c r="AM4845" t="s">
        <v>1527</v>
      </c>
      <c r="AN4845">
        <v>-121.00028500000001</v>
      </c>
      <c r="AO4845">
        <v>25</v>
      </c>
      <c r="AP4845">
        <v>4000</v>
      </c>
      <c r="AQ4845" t="s">
        <v>131</v>
      </c>
      <c r="AR4845">
        <v>-2</v>
      </c>
      <c r="AS4845">
        <v>90</v>
      </c>
      <c r="AT4845">
        <v>-192</v>
      </c>
      <c r="BB4845" t="str">
        <f t="shared" si="1903"/>
        <v>1200</v>
      </c>
      <c r="BC4845">
        <v>1</v>
      </c>
      <c r="BD4845" t="str">
        <f t="shared" si="1904"/>
        <v xml:space="preserve">N52156  </v>
      </c>
      <c r="BE4845">
        <v>1</v>
      </c>
      <c r="BG4845">
        <v>0</v>
      </c>
      <c r="BH4845">
        <v>0</v>
      </c>
      <c r="BI4845">
        <v>0</v>
      </c>
      <c r="BJ4845">
        <v>4100</v>
      </c>
      <c r="BK4845">
        <v>100</v>
      </c>
      <c r="BL4845" t="s">
        <v>188</v>
      </c>
      <c r="BM4845">
        <v>1</v>
      </c>
      <c r="BN4845">
        <v>1</v>
      </c>
      <c r="BO4845">
        <v>0</v>
      </c>
      <c r="BP4845">
        <v>0</v>
      </c>
      <c r="BS4845">
        <v>0</v>
      </c>
      <c r="BT4845">
        <v>0</v>
      </c>
      <c r="BU4845">
        <v>0</v>
      </c>
      <c r="CE4845" t="str">
        <f t="shared" si="1919"/>
        <v>15:17:59.944</v>
      </c>
      <c r="CF4845">
        <v>944341672</v>
      </c>
      <c r="CS4845">
        <v>0</v>
      </c>
      <c r="CT4845">
        <v>2</v>
      </c>
      <c r="CU4845">
        <v>0</v>
      </c>
      <c r="CV4845">
        <v>2</v>
      </c>
      <c r="CW4845">
        <v>0</v>
      </c>
      <c r="CX4845">
        <v>3</v>
      </c>
      <c r="CY4845">
        <v>7</v>
      </c>
      <c r="CZ4845" t="s">
        <v>133</v>
      </c>
      <c r="DA4845">
        <v>276</v>
      </c>
      <c r="DB4845">
        <v>0</v>
      </c>
      <c r="DC4845" t="s">
        <v>402</v>
      </c>
      <c r="DD4845" t="s">
        <v>403</v>
      </c>
      <c r="DG4845">
        <v>1628843</v>
      </c>
      <c r="DI4845">
        <v>1</v>
      </c>
      <c r="DJ4845">
        <v>0</v>
      </c>
      <c r="DK4845">
        <v>1</v>
      </c>
      <c r="DL4845">
        <v>0</v>
      </c>
      <c r="DM4845">
        <v>0</v>
      </c>
      <c r="DN4845">
        <v>0</v>
      </c>
      <c r="DO4845">
        <v>0</v>
      </c>
      <c r="DP4845">
        <v>0</v>
      </c>
      <c r="DQ4845">
        <v>0</v>
      </c>
      <c r="DR4845">
        <v>0</v>
      </c>
      <c r="DS4845">
        <v>0</v>
      </c>
    </row>
    <row r="4846" spans="1:123" x14ac:dyDescent="0.3">
      <c r="A4846" t="str">
        <f>"05/01/2025 15:18:00.179"</f>
        <v>05/01/2025 15:18:00.179</v>
      </c>
      <c r="C4846" t="str">
        <f t="shared" si="1900"/>
        <v>FFDFD3C0</v>
      </c>
      <c r="D4846" t="s">
        <v>124</v>
      </c>
      <c r="E4846" t="str">
        <f>"06"</f>
        <v>06</v>
      </c>
      <c r="F4846">
        <v>2006</v>
      </c>
      <c r="G4846" t="s">
        <v>125</v>
      </c>
      <c r="J4846" t="s">
        <v>126</v>
      </c>
      <c r="K4846">
        <v>0</v>
      </c>
      <c r="L4846">
        <v>3</v>
      </c>
      <c r="M4846">
        <v>0</v>
      </c>
      <c r="N4846">
        <v>2</v>
      </c>
      <c r="O4846">
        <v>0</v>
      </c>
      <c r="P4846">
        <v>1</v>
      </c>
      <c r="Q4846">
        <v>0</v>
      </c>
      <c r="R4846" t="s">
        <v>127</v>
      </c>
      <c r="S4846" t="str">
        <f t="shared" si="1918"/>
        <v>15:17:59.000</v>
      </c>
      <c r="T4846" t="str">
        <f t="shared" si="1918"/>
        <v>15:17:59.000</v>
      </c>
      <c r="U4846" t="str">
        <f t="shared" si="1902"/>
        <v>A68FCB</v>
      </c>
      <c r="V4846">
        <v>0</v>
      </c>
      <c r="W4846">
        <v>0</v>
      </c>
      <c r="X4846">
        <v>2</v>
      </c>
      <c r="Y4846">
        <v>0</v>
      </c>
      <c r="AA4846">
        <v>1</v>
      </c>
      <c r="AB4846">
        <v>8</v>
      </c>
      <c r="AC4846">
        <v>3</v>
      </c>
      <c r="AD4846">
        <v>0</v>
      </c>
      <c r="AE4846">
        <v>9</v>
      </c>
      <c r="AF4846" t="s">
        <v>138</v>
      </c>
      <c r="AG4846">
        <v>0</v>
      </c>
      <c r="AH4846">
        <v>3</v>
      </c>
      <c r="AI4846">
        <v>2</v>
      </c>
      <c r="AJ4846">
        <v>0</v>
      </c>
      <c r="AK4846" t="s">
        <v>1536</v>
      </c>
      <c r="AL4846">
        <v>39.228852000000003</v>
      </c>
      <c r="AM4846" t="s">
        <v>1527</v>
      </c>
      <c r="AN4846">
        <v>-121.00028500000001</v>
      </c>
      <c r="AO4846">
        <v>25</v>
      </c>
      <c r="AP4846">
        <v>4000</v>
      </c>
      <c r="AQ4846" t="s">
        <v>131</v>
      </c>
      <c r="AR4846">
        <v>-2</v>
      </c>
      <c r="AS4846">
        <v>90</v>
      </c>
      <c r="AT4846">
        <v>-192</v>
      </c>
      <c r="BB4846" t="str">
        <f t="shared" si="1903"/>
        <v>1200</v>
      </c>
      <c r="BC4846">
        <v>1</v>
      </c>
      <c r="BD4846" t="str">
        <f t="shared" si="1904"/>
        <v xml:space="preserve">N52156  </v>
      </c>
      <c r="BE4846">
        <v>1</v>
      </c>
      <c r="BG4846">
        <v>0</v>
      </c>
      <c r="BH4846">
        <v>0</v>
      </c>
      <c r="BI4846">
        <v>0</v>
      </c>
      <c r="BJ4846">
        <v>4100</v>
      </c>
      <c r="BK4846">
        <v>100</v>
      </c>
      <c r="BL4846" t="s">
        <v>188</v>
      </c>
      <c r="BM4846">
        <v>1</v>
      </c>
      <c r="BN4846">
        <v>1</v>
      </c>
      <c r="BO4846">
        <v>0</v>
      </c>
      <c r="BP4846">
        <v>0</v>
      </c>
      <c r="BS4846">
        <v>0</v>
      </c>
      <c r="BT4846">
        <v>0</v>
      </c>
      <c r="BU4846">
        <v>0</v>
      </c>
      <c r="CE4846" t="str">
        <f t="shared" si="1919"/>
        <v>15:17:59.944</v>
      </c>
      <c r="CF4846">
        <v>944341672</v>
      </c>
      <c r="CS4846">
        <v>0</v>
      </c>
      <c r="CT4846">
        <v>2</v>
      </c>
      <c r="CU4846">
        <v>0</v>
      </c>
      <c r="CV4846">
        <v>2</v>
      </c>
      <c r="CW4846">
        <v>0</v>
      </c>
      <c r="CX4846">
        <v>3</v>
      </c>
      <c r="CY4846">
        <v>7</v>
      </c>
      <c r="CZ4846" t="s">
        <v>133</v>
      </c>
      <c r="DA4846">
        <v>276</v>
      </c>
      <c r="DB4846">
        <v>0</v>
      </c>
      <c r="DC4846" t="s">
        <v>402</v>
      </c>
      <c r="DD4846" t="s">
        <v>403</v>
      </c>
      <c r="DG4846">
        <v>1628843</v>
      </c>
      <c r="DI4846">
        <v>1</v>
      </c>
      <c r="DJ4846">
        <v>0</v>
      </c>
      <c r="DK4846">
        <v>1</v>
      </c>
      <c r="DL4846">
        <v>0</v>
      </c>
      <c r="DM4846">
        <v>0</v>
      </c>
      <c r="DN4846">
        <v>0</v>
      </c>
      <c r="DO4846">
        <v>0</v>
      </c>
      <c r="DP4846">
        <v>0</v>
      </c>
      <c r="DQ4846">
        <v>0</v>
      </c>
      <c r="DR4846">
        <v>0</v>
      </c>
      <c r="DS4846">
        <v>0</v>
      </c>
    </row>
    <row r="4847" spans="1:123" x14ac:dyDescent="0.3">
      <c r="A4847" t="str">
        <f>"05/01/2025 15:18:00.185"</f>
        <v>05/01/2025 15:18:00.185</v>
      </c>
      <c r="C4847" t="str">
        <f t="shared" si="1900"/>
        <v>FFDFD3C0</v>
      </c>
      <c r="D4847" t="s">
        <v>143</v>
      </c>
      <c r="E4847" t="str">
        <f>"05"</f>
        <v>05</v>
      </c>
      <c r="H4847">
        <v>172</v>
      </c>
      <c r="I4847" t="s">
        <v>141</v>
      </c>
      <c r="J4847" t="s">
        <v>144</v>
      </c>
      <c r="K4847">
        <v>0</v>
      </c>
      <c r="L4847">
        <v>3</v>
      </c>
      <c r="M4847">
        <v>0</v>
      </c>
      <c r="N4847">
        <v>2</v>
      </c>
      <c r="O4847">
        <v>0</v>
      </c>
      <c r="P4847">
        <v>1</v>
      </c>
      <c r="Q4847">
        <v>0</v>
      </c>
      <c r="R4847" t="s">
        <v>127</v>
      </c>
      <c r="S4847" t="str">
        <f t="shared" si="1918"/>
        <v>15:17:59.000</v>
      </c>
      <c r="T4847" t="str">
        <f t="shared" si="1918"/>
        <v>15:17:59.000</v>
      </c>
      <c r="U4847" t="str">
        <f t="shared" si="1902"/>
        <v>A68FCB</v>
      </c>
      <c r="V4847">
        <v>0</v>
      </c>
      <c r="W4847">
        <v>0</v>
      </c>
      <c r="X4847">
        <v>2</v>
      </c>
      <c r="Y4847">
        <v>0</v>
      </c>
      <c r="AA4847">
        <v>1</v>
      </c>
      <c r="AB4847">
        <v>8</v>
      </c>
      <c r="AC4847">
        <v>3</v>
      </c>
      <c r="AD4847">
        <v>0</v>
      </c>
      <c r="AE4847">
        <v>9</v>
      </c>
      <c r="AF4847" t="s">
        <v>138</v>
      </c>
      <c r="AG4847">
        <v>0</v>
      </c>
      <c r="AH4847">
        <v>3</v>
      </c>
      <c r="AI4847">
        <v>2</v>
      </c>
      <c r="AJ4847">
        <v>0</v>
      </c>
      <c r="AK4847" t="s">
        <v>1536</v>
      </c>
      <c r="AL4847">
        <v>39.228852000000003</v>
      </c>
      <c r="AM4847" t="s">
        <v>1527</v>
      </c>
      <c r="AN4847">
        <v>-121.00028500000001</v>
      </c>
      <c r="AO4847">
        <v>25</v>
      </c>
      <c r="AP4847">
        <v>4000</v>
      </c>
      <c r="AQ4847" t="s">
        <v>131</v>
      </c>
      <c r="AR4847">
        <v>-2</v>
      </c>
      <c r="AS4847">
        <v>90</v>
      </c>
      <c r="AT4847">
        <v>-192</v>
      </c>
      <c r="BB4847" t="str">
        <f t="shared" si="1903"/>
        <v>1200</v>
      </c>
      <c r="BC4847">
        <v>1</v>
      </c>
      <c r="BD4847" t="str">
        <f t="shared" si="1904"/>
        <v xml:space="preserve">N52156  </v>
      </c>
      <c r="BE4847">
        <v>1</v>
      </c>
      <c r="BG4847">
        <v>0</v>
      </c>
      <c r="BH4847">
        <v>0</v>
      </c>
      <c r="BI4847">
        <v>0</v>
      </c>
      <c r="BJ4847">
        <v>4100</v>
      </c>
      <c r="BK4847">
        <v>100</v>
      </c>
      <c r="BL4847" t="s">
        <v>188</v>
      </c>
      <c r="BM4847">
        <v>1</v>
      </c>
      <c r="BN4847">
        <v>1</v>
      </c>
      <c r="BO4847">
        <v>0</v>
      </c>
      <c r="BP4847">
        <v>0</v>
      </c>
      <c r="BS4847">
        <v>0</v>
      </c>
      <c r="BT4847">
        <v>0</v>
      </c>
      <c r="BU4847">
        <v>0</v>
      </c>
      <c r="CE4847" t="str">
        <f t="shared" si="1919"/>
        <v>15:17:59.944</v>
      </c>
      <c r="CF4847">
        <v>944341672</v>
      </c>
      <c r="CS4847">
        <v>0</v>
      </c>
      <c r="CT4847">
        <v>2</v>
      </c>
      <c r="CU4847">
        <v>0</v>
      </c>
      <c r="CV4847">
        <v>2</v>
      </c>
      <c r="CW4847">
        <v>0</v>
      </c>
      <c r="CX4847">
        <v>3</v>
      </c>
      <c r="CY4847">
        <v>7</v>
      </c>
      <c r="CZ4847" t="s">
        <v>133</v>
      </c>
      <c r="DA4847">
        <v>276</v>
      </c>
      <c r="DB4847">
        <v>0</v>
      </c>
      <c r="DC4847" t="s">
        <v>402</v>
      </c>
      <c r="DD4847" t="s">
        <v>403</v>
      </c>
      <c r="DG4847">
        <v>1628843</v>
      </c>
      <c r="DI4847">
        <v>1</v>
      </c>
      <c r="DJ4847">
        <v>0</v>
      </c>
      <c r="DK4847">
        <v>1</v>
      </c>
      <c r="DL4847">
        <v>0</v>
      </c>
      <c r="DM4847">
        <v>0</v>
      </c>
      <c r="DN4847">
        <v>0</v>
      </c>
      <c r="DO4847">
        <v>0</v>
      </c>
      <c r="DP4847">
        <v>0</v>
      </c>
      <c r="DQ4847">
        <v>0</v>
      </c>
      <c r="DR4847">
        <v>0</v>
      </c>
      <c r="DS4847">
        <v>0</v>
      </c>
    </row>
    <row r="4848" spans="1:123" x14ac:dyDescent="0.3">
      <c r="A4848" t="str">
        <f>"05/01/2025 15:18:00.198"</f>
        <v>05/01/2025 15:18:00.198</v>
      </c>
      <c r="C4848" t="str">
        <f t="shared" si="1900"/>
        <v>FFDFD3C0</v>
      </c>
      <c r="D4848" t="s">
        <v>145</v>
      </c>
      <c r="E4848" t="str">
        <f>"09"</f>
        <v>09</v>
      </c>
      <c r="H4848">
        <v>51</v>
      </c>
      <c r="I4848" t="s">
        <v>147</v>
      </c>
      <c r="J4848" t="s">
        <v>138</v>
      </c>
      <c r="K4848">
        <v>0</v>
      </c>
      <c r="L4848">
        <v>3</v>
      </c>
      <c r="M4848">
        <v>0</v>
      </c>
      <c r="N4848">
        <v>2</v>
      </c>
      <c r="O4848">
        <v>0</v>
      </c>
      <c r="P4848">
        <v>1</v>
      </c>
      <c r="Q4848">
        <v>0</v>
      </c>
      <c r="R4848" t="s">
        <v>127</v>
      </c>
      <c r="S4848" t="str">
        <f t="shared" si="1918"/>
        <v>15:17:59.000</v>
      </c>
      <c r="T4848" t="str">
        <f t="shared" si="1918"/>
        <v>15:17:59.000</v>
      </c>
      <c r="U4848" t="str">
        <f t="shared" si="1902"/>
        <v>A68FCB</v>
      </c>
      <c r="V4848">
        <v>0</v>
      </c>
      <c r="W4848">
        <v>0</v>
      </c>
      <c r="X4848">
        <v>2</v>
      </c>
      <c r="Y4848">
        <v>0</v>
      </c>
      <c r="AA4848">
        <v>1</v>
      </c>
      <c r="AB4848">
        <v>8</v>
      </c>
      <c r="AC4848">
        <v>3</v>
      </c>
      <c r="AD4848">
        <v>0</v>
      </c>
      <c r="AE4848">
        <v>9</v>
      </c>
      <c r="AF4848" t="s">
        <v>138</v>
      </c>
      <c r="AG4848">
        <v>0</v>
      </c>
      <c r="AH4848">
        <v>3</v>
      </c>
      <c r="AI4848">
        <v>2</v>
      </c>
      <c r="AJ4848">
        <v>0</v>
      </c>
      <c r="AK4848" t="s">
        <v>1536</v>
      </c>
      <c r="AL4848">
        <v>39.228852000000003</v>
      </c>
      <c r="AM4848" t="s">
        <v>1527</v>
      </c>
      <c r="AN4848">
        <v>-121.00028500000001</v>
      </c>
      <c r="AO4848">
        <v>25</v>
      </c>
      <c r="AP4848">
        <v>4000</v>
      </c>
      <c r="AQ4848" t="s">
        <v>131</v>
      </c>
      <c r="AR4848">
        <v>-2</v>
      </c>
      <c r="AS4848">
        <v>90</v>
      </c>
      <c r="AT4848">
        <v>-192</v>
      </c>
      <c r="BB4848" t="str">
        <f t="shared" si="1903"/>
        <v>1200</v>
      </c>
      <c r="BC4848">
        <v>1</v>
      </c>
      <c r="BD4848" t="str">
        <f t="shared" si="1904"/>
        <v xml:space="preserve">N52156  </v>
      </c>
      <c r="BE4848">
        <v>1</v>
      </c>
      <c r="BG4848">
        <v>0</v>
      </c>
      <c r="BH4848">
        <v>0</v>
      </c>
      <c r="BI4848">
        <v>0</v>
      </c>
      <c r="BJ4848">
        <v>4100</v>
      </c>
      <c r="BK4848">
        <v>100</v>
      </c>
      <c r="BL4848" t="s">
        <v>188</v>
      </c>
      <c r="BM4848">
        <v>1</v>
      </c>
      <c r="BN4848">
        <v>1</v>
      </c>
      <c r="BO4848">
        <v>0</v>
      </c>
      <c r="BP4848">
        <v>0</v>
      </c>
      <c r="BS4848">
        <v>0</v>
      </c>
      <c r="BT4848">
        <v>0</v>
      </c>
      <c r="BU4848">
        <v>0</v>
      </c>
      <c r="CE4848" t="str">
        <f t="shared" si="1919"/>
        <v>15:17:59.944</v>
      </c>
      <c r="CF4848">
        <v>944341672</v>
      </c>
      <c r="CS4848">
        <v>0</v>
      </c>
      <c r="CT4848">
        <v>2</v>
      </c>
      <c r="CU4848">
        <v>0</v>
      </c>
      <c r="CV4848">
        <v>2</v>
      </c>
      <c r="CW4848">
        <v>0</v>
      </c>
      <c r="CX4848">
        <v>3</v>
      </c>
      <c r="CY4848">
        <v>7</v>
      </c>
      <c r="CZ4848" t="s">
        <v>133</v>
      </c>
      <c r="DA4848">
        <v>276</v>
      </c>
      <c r="DB4848">
        <v>0</v>
      </c>
      <c r="DC4848" t="s">
        <v>402</v>
      </c>
      <c r="DD4848" t="s">
        <v>403</v>
      </c>
      <c r="DG4848">
        <v>1628843</v>
      </c>
      <c r="DI4848">
        <v>1</v>
      </c>
      <c r="DJ4848">
        <v>0</v>
      </c>
      <c r="DK4848">
        <v>1</v>
      </c>
      <c r="DL4848">
        <v>0</v>
      </c>
      <c r="DM4848">
        <v>0</v>
      </c>
      <c r="DN4848">
        <v>0</v>
      </c>
      <c r="DO4848">
        <v>0</v>
      </c>
      <c r="DP4848">
        <v>0</v>
      </c>
      <c r="DQ4848">
        <v>0</v>
      </c>
      <c r="DR4848">
        <v>0</v>
      </c>
      <c r="DS4848">
        <v>0</v>
      </c>
    </row>
    <row r="4849" spans="1:123" x14ac:dyDescent="0.3">
      <c r="A4849" t="str">
        <f>"05/01/2025 15:18:00.202"</f>
        <v>05/01/2025 15:18:00.202</v>
      </c>
      <c r="C4849" t="str">
        <f t="shared" si="1900"/>
        <v>FFDFD3C0</v>
      </c>
      <c r="D4849" t="s">
        <v>145</v>
      </c>
      <c r="E4849" t="str">
        <f>"05"</f>
        <v>05</v>
      </c>
      <c r="H4849">
        <v>47</v>
      </c>
      <c r="I4849" t="s">
        <v>146</v>
      </c>
      <c r="J4849" t="s">
        <v>138</v>
      </c>
      <c r="K4849">
        <v>0</v>
      </c>
      <c r="L4849">
        <v>3</v>
      </c>
      <c r="M4849">
        <v>0</v>
      </c>
      <c r="N4849">
        <v>2</v>
      </c>
      <c r="O4849">
        <v>0</v>
      </c>
      <c r="P4849">
        <v>1</v>
      </c>
      <c r="Q4849">
        <v>0</v>
      </c>
      <c r="R4849" t="s">
        <v>127</v>
      </c>
      <c r="S4849" t="str">
        <f t="shared" si="1918"/>
        <v>15:17:59.000</v>
      </c>
      <c r="T4849" t="str">
        <f t="shared" si="1918"/>
        <v>15:17:59.000</v>
      </c>
      <c r="U4849" t="str">
        <f t="shared" si="1902"/>
        <v>A68FCB</v>
      </c>
      <c r="V4849">
        <v>0</v>
      </c>
      <c r="W4849">
        <v>0</v>
      </c>
      <c r="X4849">
        <v>2</v>
      </c>
      <c r="Y4849">
        <v>0</v>
      </c>
      <c r="AA4849">
        <v>1</v>
      </c>
      <c r="AB4849">
        <v>8</v>
      </c>
      <c r="AC4849">
        <v>3</v>
      </c>
      <c r="AD4849">
        <v>0</v>
      </c>
      <c r="AE4849">
        <v>9</v>
      </c>
      <c r="AF4849" t="s">
        <v>138</v>
      </c>
      <c r="AG4849">
        <v>0</v>
      </c>
      <c r="AH4849">
        <v>3</v>
      </c>
      <c r="AI4849">
        <v>2</v>
      </c>
      <c r="AJ4849">
        <v>0</v>
      </c>
      <c r="AK4849" t="s">
        <v>1536</v>
      </c>
      <c r="AL4849">
        <v>39.228852000000003</v>
      </c>
      <c r="AM4849" t="s">
        <v>1527</v>
      </c>
      <c r="AN4849">
        <v>-121.00028500000001</v>
      </c>
      <c r="AO4849">
        <v>25</v>
      </c>
      <c r="AP4849">
        <v>4000</v>
      </c>
      <c r="AQ4849" t="s">
        <v>131</v>
      </c>
      <c r="AR4849">
        <v>-2</v>
      </c>
      <c r="AS4849">
        <v>90</v>
      </c>
      <c r="AT4849">
        <v>-192</v>
      </c>
      <c r="BB4849" t="str">
        <f t="shared" si="1903"/>
        <v>1200</v>
      </c>
      <c r="BC4849">
        <v>1</v>
      </c>
      <c r="BD4849" t="str">
        <f t="shared" si="1904"/>
        <v xml:space="preserve">N52156  </v>
      </c>
      <c r="BE4849">
        <v>1</v>
      </c>
      <c r="BG4849">
        <v>0</v>
      </c>
      <c r="BH4849">
        <v>0</v>
      </c>
      <c r="BI4849">
        <v>0</v>
      </c>
      <c r="BJ4849">
        <v>4100</v>
      </c>
      <c r="BK4849">
        <v>100</v>
      </c>
      <c r="BL4849" t="s">
        <v>188</v>
      </c>
      <c r="BM4849">
        <v>1</v>
      </c>
      <c r="BN4849">
        <v>1</v>
      </c>
      <c r="BO4849">
        <v>0</v>
      </c>
      <c r="BP4849">
        <v>0</v>
      </c>
      <c r="BS4849">
        <v>0</v>
      </c>
      <c r="BT4849">
        <v>0</v>
      </c>
      <c r="BU4849">
        <v>0</v>
      </c>
      <c r="CE4849" t="str">
        <f t="shared" si="1919"/>
        <v>15:17:59.944</v>
      </c>
      <c r="CF4849">
        <v>944341672</v>
      </c>
      <c r="CS4849">
        <v>0</v>
      </c>
      <c r="CT4849">
        <v>2</v>
      </c>
      <c r="CU4849">
        <v>0</v>
      </c>
      <c r="CV4849">
        <v>2</v>
      </c>
      <c r="CW4849">
        <v>0</v>
      </c>
      <c r="CX4849">
        <v>3</v>
      </c>
      <c r="CY4849">
        <v>7</v>
      </c>
      <c r="CZ4849" t="s">
        <v>133</v>
      </c>
      <c r="DA4849">
        <v>276</v>
      </c>
      <c r="DB4849">
        <v>0</v>
      </c>
      <c r="DC4849" t="s">
        <v>402</v>
      </c>
      <c r="DD4849" t="s">
        <v>403</v>
      </c>
      <c r="DG4849">
        <v>1628843</v>
      </c>
      <c r="DI4849">
        <v>1</v>
      </c>
      <c r="DJ4849">
        <v>0</v>
      </c>
      <c r="DK4849">
        <v>1</v>
      </c>
      <c r="DL4849">
        <v>0</v>
      </c>
      <c r="DM4849">
        <v>0</v>
      </c>
      <c r="DN4849">
        <v>0</v>
      </c>
      <c r="DO4849">
        <v>0</v>
      </c>
      <c r="DP4849">
        <v>0</v>
      </c>
      <c r="DQ4849">
        <v>0</v>
      </c>
      <c r="DR4849">
        <v>0</v>
      </c>
      <c r="DS4849">
        <v>0</v>
      </c>
    </row>
    <row r="4850" spans="1:123" x14ac:dyDescent="0.3">
      <c r="A4850" t="str">
        <f>"05/01/2025 15:18:00.726"</f>
        <v>05/01/2025 15:18:00.726</v>
      </c>
      <c r="C4850" t="str">
        <f t="shared" si="1900"/>
        <v>FFDFD3C0</v>
      </c>
      <c r="D4850" t="s">
        <v>140</v>
      </c>
      <c r="E4850" t="str">
        <f>"13"</f>
        <v>13</v>
      </c>
      <c r="F4850">
        <v>1019</v>
      </c>
      <c r="G4850" t="s">
        <v>141</v>
      </c>
      <c r="J4850" t="s">
        <v>142</v>
      </c>
      <c r="K4850">
        <v>0</v>
      </c>
      <c r="L4850">
        <v>3</v>
      </c>
      <c r="M4850">
        <v>0</v>
      </c>
      <c r="N4850">
        <v>2</v>
      </c>
      <c r="O4850">
        <v>0</v>
      </c>
      <c r="P4850">
        <v>1</v>
      </c>
      <c r="Q4850">
        <v>0</v>
      </c>
      <c r="R4850" t="s">
        <v>127</v>
      </c>
      <c r="S4850" t="str">
        <f t="shared" ref="S4850:T4855" si="1920">"15:18:00.000"</f>
        <v>15:18:00.000</v>
      </c>
      <c r="T4850" t="str">
        <f t="shared" si="1920"/>
        <v>15:18:00.000</v>
      </c>
      <c r="U4850" t="str">
        <f t="shared" si="1902"/>
        <v>A68FCB</v>
      </c>
      <c r="V4850">
        <v>0</v>
      </c>
      <c r="W4850">
        <v>0</v>
      </c>
      <c r="X4850">
        <v>2</v>
      </c>
      <c r="Y4850">
        <v>0</v>
      </c>
      <c r="AA4850">
        <v>1</v>
      </c>
      <c r="AB4850">
        <v>8</v>
      </c>
      <c r="AC4850">
        <v>3</v>
      </c>
      <c r="AD4850">
        <v>0</v>
      </c>
      <c r="AE4850">
        <v>9</v>
      </c>
      <c r="AF4850" t="s">
        <v>138</v>
      </c>
      <c r="AG4850">
        <v>0</v>
      </c>
      <c r="AH4850">
        <v>3</v>
      </c>
      <c r="AI4850">
        <v>2</v>
      </c>
      <c r="AJ4850">
        <v>0</v>
      </c>
      <c r="AK4850" t="s">
        <v>1537</v>
      </c>
      <c r="AL4850">
        <v>39.229281</v>
      </c>
      <c r="AM4850" t="s">
        <v>1518</v>
      </c>
      <c r="AN4850">
        <v>-121.000328</v>
      </c>
      <c r="AO4850">
        <v>25</v>
      </c>
      <c r="AP4850">
        <v>4100</v>
      </c>
      <c r="AQ4850" t="s">
        <v>131</v>
      </c>
      <c r="AR4850">
        <v>-3</v>
      </c>
      <c r="AS4850">
        <v>90</v>
      </c>
      <c r="AT4850">
        <v>-192</v>
      </c>
      <c r="BB4850" t="str">
        <f t="shared" si="1903"/>
        <v>1200</v>
      </c>
      <c r="BC4850">
        <v>1</v>
      </c>
      <c r="BD4850" t="str">
        <f t="shared" si="1904"/>
        <v xml:space="preserve">N52156  </v>
      </c>
      <c r="BE4850">
        <v>1</v>
      </c>
      <c r="BG4850">
        <v>0</v>
      </c>
      <c r="BH4850">
        <v>0</v>
      </c>
      <c r="BI4850">
        <v>0</v>
      </c>
      <c r="BJ4850">
        <v>4100</v>
      </c>
      <c r="BK4850">
        <v>0</v>
      </c>
      <c r="BL4850" t="s">
        <v>188</v>
      </c>
      <c r="BM4850">
        <v>1</v>
      </c>
      <c r="BN4850">
        <v>1</v>
      </c>
      <c r="BO4850">
        <v>0</v>
      </c>
      <c r="BP4850">
        <v>0</v>
      </c>
      <c r="BS4850">
        <v>0</v>
      </c>
      <c r="BT4850">
        <v>0</v>
      </c>
      <c r="BU4850">
        <v>0</v>
      </c>
      <c r="CE4850" t="str">
        <f t="shared" ref="CE4850:CE4855" si="1921">"15:18:00.495"</f>
        <v>15:18:00.495</v>
      </c>
      <c r="CF4850">
        <v>494590602</v>
      </c>
      <c r="CS4850">
        <v>0</v>
      </c>
      <c r="CT4850">
        <v>2</v>
      </c>
      <c r="CU4850">
        <v>0</v>
      </c>
      <c r="CV4850">
        <v>2</v>
      </c>
      <c r="CW4850">
        <v>0</v>
      </c>
      <c r="CX4850">
        <v>3</v>
      </c>
      <c r="CY4850">
        <v>7</v>
      </c>
      <c r="CZ4850" t="s">
        <v>133</v>
      </c>
      <c r="DA4850">
        <v>276</v>
      </c>
      <c r="DB4850">
        <v>0</v>
      </c>
      <c r="DC4850" t="s">
        <v>402</v>
      </c>
      <c r="DD4850" t="s">
        <v>403</v>
      </c>
      <c r="DG4850">
        <v>1628845</v>
      </c>
      <c r="DI4850">
        <v>1</v>
      </c>
      <c r="DJ4850">
        <v>0</v>
      </c>
      <c r="DK4850">
        <v>0</v>
      </c>
      <c r="DL4850">
        <v>0</v>
      </c>
      <c r="DM4850">
        <v>0</v>
      </c>
      <c r="DN4850">
        <v>0</v>
      </c>
      <c r="DO4850">
        <v>0</v>
      </c>
      <c r="DP4850">
        <v>0</v>
      </c>
      <c r="DQ4850">
        <v>0</v>
      </c>
      <c r="DR4850">
        <v>0</v>
      </c>
      <c r="DS4850">
        <v>0</v>
      </c>
    </row>
    <row r="4851" spans="1:123" x14ac:dyDescent="0.3">
      <c r="A4851" t="str">
        <f>"05/01/2025 15:18:00.730"</f>
        <v>05/01/2025 15:18:00.730</v>
      </c>
      <c r="C4851" t="str">
        <f t="shared" si="1900"/>
        <v>FFDFD3C0</v>
      </c>
      <c r="D4851" t="s">
        <v>124</v>
      </c>
      <c r="E4851" t="str">
        <f>"06"</f>
        <v>06</v>
      </c>
      <c r="F4851">
        <v>2006</v>
      </c>
      <c r="G4851" t="s">
        <v>125</v>
      </c>
      <c r="J4851" t="s">
        <v>126</v>
      </c>
      <c r="K4851">
        <v>0</v>
      </c>
      <c r="L4851">
        <v>3</v>
      </c>
      <c r="M4851">
        <v>0</v>
      </c>
      <c r="N4851">
        <v>2</v>
      </c>
      <c r="O4851">
        <v>0</v>
      </c>
      <c r="P4851">
        <v>1</v>
      </c>
      <c r="Q4851">
        <v>0</v>
      </c>
      <c r="R4851" t="s">
        <v>127</v>
      </c>
      <c r="S4851" t="str">
        <f t="shared" si="1920"/>
        <v>15:18:00.000</v>
      </c>
      <c r="T4851" t="str">
        <f t="shared" si="1920"/>
        <v>15:18:00.000</v>
      </c>
      <c r="U4851" t="str">
        <f t="shared" si="1902"/>
        <v>A68FCB</v>
      </c>
      <c r="V4851">
        <v>0</v>
      </c>
      <c r="W4851">
        <v>0</v>
      </c>
      <c r="X4851">
        <v>2</v>
      </c>
      <c r="Y4851">
        <v>0</v>
      </c>
      <c r="AA4851">
        <v>1</v>
      </c>
      <c r="AB4851">
        <v>8</v>
      </c>
      <c r="AC4851">
        <v>3</v>
      </c>
      <c r="AD4851">
        <v>0</v>
      </c>
      <c r="AE4851">
        <v>9</v>
      </c>
      <c r="AF4851" t="s">
        <v>138</v>
      </c>
      <c r="AG4851">
        <v>0</v>
      </c>
      <c r="AH4851">
        <v>3</v>
      </c>
      <c r="AI4851">
        <v>2</v>
      </c>
      <c r="AJ4851">
        <v>0</v>
      </c>
      <c r="AK4851" t="s">
        <v>1537</v>
      </c>
      <c r="AL4851">
        <v>39.229281</v>
      </c>
      <c r="AM4851" t="s">
        <v>1518</v>
      </c>
      <c r="AN4851">
        <v>-121.000328</v>
      </c>
      <c r="AO4851">
        <v>25</v>
      </c>
      <c r="AP4851">
        <v>4100</v>
      </c>
      <c r="AQ4851" t="s">
        <v>131</v>
      </c>
      <c r="AR4851">
        <v>-3</v>
      </c>
      <c r="AS4851">
        <v>90</v>
      </c>
      <c r="AT4851">
        <v>-192</v>
      </c>
      <c r="BB4851" t="str">
        <f t="shared" si="1903"/>
        <v>1200</v>
      </c>
      <c r="BC4851">
        <v>1</v>
      </c>
      <c r="BD4851" t="str">
        <f t="shared" si="1904"/>
        <v xml:space="preserve">N52156  </v>
      </c>
      <c r="BE4851">
        <v>1</v>
      </c>
      <c r="BG4851">
        <v>0</v>
      </c>
      <c r="BH4851">
        <v>0</v>
      </c>
      <c r="BI4851">
        <v>0</v>
      </c>
      <c r="BJ4851">
        <v>4100</v>
      </c>
      <c r="BK4851">
        <v>0</v>
      </c>
      <c r="BL4851" t="s">
        <v>188</v>
      </c>
      <c r="BM4851">
        <v>1</v>
      </c>
      <c r="BN4851">
        <v>1</v>
      </c>
      <c r="BO4851">
        <v>0</v>
      </c>
      <c r="BP4851">
        <v>0</v>
      </c>
      <c r="BS4851">
        <v>0</v>
      </c>
      <c r="BT4851">
        <v>0</v>
      </c>
      <c r="BU4851">
        <v>0</v>
      </c>
      <c r="CE4851" t="str">
        <f t="shared" si="1921"/>
        <v>15:18:00.495</v>
      </c>
      <c r="CF4851">
        <v>494590602</v>
      </c>
      <c r="CS4851">
        <v>0</v>
      </c>
      <c r="CT4851">
        <v>2</v>
      </c>
      <c r="CU4851">
        <v>0</v>
      </c>
      <c r="CV4851">
        <v>2</v>
      </c>
      <c r="CW4851">
        <v>0</v>
      </c>
      <c r="CX4851">
        <v>3</v>
      </c>
      <c r="CY4851">
        <v>7</v>
      </c>
      <c r="CZ4851" t="s">
        <v>133</v>
      </c>
      <c r="DA4851">
        <v>276</v>
      </c>
      <c r="DB4851">
        <v>0</v>
      </c>
      <c r="DC4851" t="s">
        <v>402</v>
      </c>
      <c r="DD4851" t="s">
        <v>403</v>
      </c>
      <c r="DG4851">
        <v>1628845</v>
      </c>
      <c r="DI4851">
        <v>1</v>
      </c>
      <c r="DJ4851">
        <v>0</v>
      </c>
      <c r="DK4851">
        <v>1</v>
      </c>
      <c r="DL4851">
        <v>0</v>
      </c>
      <c r="DM4851">
        <v>0</v>
      </c>
      <c r="DN4851">
        <v>0</v>
      </c>
      <c r="DO4851">
        <v>0</v>
      </c>
      <c r="DP4851">
        <v>0</v>
      </c>
      <c r="DQ4851">
        <v>0</v>
      </c>
      <c r="DR4851">
        <v>0</v>
      </c>
      <c r="DS4851">
        <v>0</v>
      </c>
    </row>
    <row r="4852" spans="1:123" x14ac:dyDescent="0.3">
      <c r="A4852" t="str">
        <f>"05/01/2025 15:18:00.736"</f>
        <v>05/01/2025 15:18:00.736</v>
      </c>
      <c r="C4852" t="str">
        <f t="shared" si="1900"/>
        <v>FFDFD3C0</v>
      </c>
      <c r="D4852" t="s">
        <v>143</v>
      </c>
      <c r="E4852" t="str">
        <f>"05"</f>
        <v>05</v>
      </c>
      <c r="H4852">
        <v>172</v>
      </c>
      <c r="I4852" t="s">
        <v>141</v>
      </c>
      <c r="J4852" t="s">
        <v>144</v>
      </c>
      <c r="K4852">
        <v>0</v>
      </c>
      <c r="L4852">
        <v>3</v>
      </c>
      <c r="M4852">
        <v>0</v>
      </c>
      <c r="N4852">
        <v>2</v>
      </c>
      <c r="O4852">
        <v>0</v>
      </c>
      <c r="P4852">
        <v>1</v>
      </c>
      <c r="Q4852">
        <v>0</v>
      </c>
      <c r="R4852" t="s">
        <v>127</v>
      </c>
      <c r="S4852" t="str">
        <f t="shared" si="1920"/>
        <v>15:18:00.000</v>
      </c>
      <c r="T4852" t="str">
        <f t="shared" si="1920"/>
        <v>15:18:00.000</v>
      </c>
      <c r="U4852" t="str">
        <f t="shared" si="1902"/>
        <v>A68FCB</v>
      </c>
      <c r="V4852">
        <v>0</v>
      </c>
      <c r="W4852">
        <v>0</v>
      </c>
      <c r="X4852">
        <v>2</v>
      </c>
      <c r="Y4852">
        <v>0</v>
      </c>
      <c r="AA4852">
        <v>1</v>
      </c>
      <c r="AB4852">
        <v>8</v>
      </c>
      <c r="AC4852">
        <v>3</v>
      </c>
      <c r="AD4852">
        <v>0</v>
      </c>
      <c r="AE4852">
        <v>9</v>
      </c>
      <c r="AF4852" t="s">
        <v>138</v>
      </c>
      <c r="AG4852">
        <v>0</v>
      </c>
      <c r="AH4852">
        <v>3</v>
      </c>
      <c r="AI4852">
        <v>2</v>
      </c>
      <c r="AJ4852">
        <v>0</v>
      </c>
      <c r="AK4852" t="s">
        <v>1537</v>
      </c>
      <c r="AL4852">
        <v>39.229281</v>
      </c>
      <c r="AM4852" t="s">
        <v>1518</v>
      </c>
      <c r="AN4852">
        <v>-121.000328</v>
      </c>
      <c r="AO4852">
        <v>25</v>
      </c>
      <c r="AP4852">
        <v>4100</v>
      </c>
      <c r="AQ4852" t="s">
        <v>131</v>
      </c>
      <c r="AR4852">
        <v>-3</v>
      </c>
      <c r="AS4852">
        <v>90</v>
      </c>
      <c r="AT4852">
        <v>-192</v>
      </c>
      <c r="BB4852" t="str">
        <f t="shared" si="1903"/>
        <v>1200</v>
      </c>
      <c r="BC4852">
        <v>1</v>
      </c>
      <c r="BD4852" t="str">
        <f t="shared" si="1904"/>
        <v xml:space="preserve">N52156  </v>
      </c>
      <c r="BE4852">
        <v>1</v>
      </c>
      <c r="BG4852">
        <v>0</v>
      </c>
      <c r="BH4852">
        <v>0</v>
      </c>
      <c r="BI4852">
        <v>0</v>
      </c>
      <c r="BJ4852">
        <v>4100</v>
      </c>
      <c r="BK4852">
        <v>0</v>
      </c>
      <c r="BL4852" t="s">
        <v>188</v>
      </c>
      <c r="BM4852">
        <v>1</v>
      </c>
      <c r="BN4852">
        <v>1</v>
      </c>
      <c r="BO4852">
        <v>0</v>
      </c>
      <c r="BP4852">
        <v>0</v>
      </c>
      <c r="BS4852">
        <v>0</v>
      </c>
      <c r="BT4852">
        <v>0</v>
      </c>
      <c r="BU4852">
        <v>0</v>
      </c>
      <c r="CE4852" t="str">
        <f t="shared" si="1921"/>
        <v>15:18:00.495</v>
      </c>
      <c r="CF4852">
        <v>494590602</v>
      </c>
      <c r="CS4852">
        <v>0</v>
      </c>
      <c r="CT4852">
        <v>2</v>
      </c>
      <c r="CU4852">
        <v>0</v>
      </c>
      <c r="CV4852">
        <v>2</v>
      </c>
      <c r="CW4852">
        <v>0</v>
      </c>
      <c r="CX4852">
        <v>3</v>
      </c>
      <c r="CY4852">
        <v>7</v>
      </c>
      <c r="CZ4852" t="s">
        <v>133</v>
      </c>
      <c r="DA4852">
        <v>276</v>
      </c>
      <c r="DB4852">
        <v>0</v>
      </c>
      <c r="DC4852" t="s">
        <v>402</v>
      </c>
      <c r="DD4852" t="s">
        <v>403</v>
      </c>
      <c r="DG4852">
        <v>1628845</v>
      </c>
      <c r="DI4852">
        <v>1</v>
      </c>
      <c r="DJ4852">
        <v>0</v>
      </c>
      <c r="DK4852">
        <v>1</v>
      </c>
      <c r="DL4852">
        <v>0</v>
      </c>
      <c r="DM4852">
        <v>0</v>
      </c>
      <c r="DN4852">
        <v>0</v>
      </c>
      <c r="DO4852">
        <v>0</v>
      </c>
      <c r="DP4852">
        <v>0</v>
      </c>
      <c r="DQ4852">
        <v>0</v>
      </c>
      <c r="DR4852">
        <v>0</v>
      </c>
      <c r="DS4852">
        <v>0</v>
      </c>
    </row>
    <row r="4853" spans="1:123" x14ac:dyDescent="0.3">
      <c r="A4853" t="str">
        <f>"05/01/2025 15:18:00.749"</f>
        <v>05/01/2025 15:18:00.749</v>
      </c>
      <c r="C4853" t="str">
        <f t="shared" si="1900"/>
        <v>FFDFD3C0</v>
      </c>
      <c r="D4853" t="s">
        <v>145</v>
      </c>
      <c r="E4853" t="str">
        <f>"09"</f>
        <v>09</v>
      </c>
      <c r="H4853">
        <v>51</v>
      </c>
      <c r="I4853" t="s">
        <v>147</v>
      </c>
      <c r="J4853" t="s">
        <v>138</v>
      </c>
      <c r="K4853">
        <v>0</v>
      </c>
      <c r="L4853">
        <v>3</v>
      </c>
      <c r="M4853">
        <v>0</v>
      </c>
      <c r="N4853">
        <v>2</v>
      </c>
      <c r="O4853">
        <v>0</v>
      </c>
      <c r="P4853">
        <v>1</v>
      </c>
      <c r="Q4853">
        <v>0</v>
      </c>
      <c r="R4853" t="s">
        <v>127</v>
      </c>
      <c r="S4853" t="str">
        <f t="shared" si="1920"/>
        <v>15:18:00.000</v>
      </c>
      <c r="T4853" t="str">
        <f t="shared" si="1920"/>
        <v>15:18:00.000</v>
      </c>
      <c r="U4853" t="str">
        <f t="shared" si="1902"/>
        <v>A68FCB</v>
      </c>
      <c r="V4853">
        <v>0</v>
      </c>
      <c r="W4853">
        <v>0</v>
      </c>
      <c r="X4853">
        <v>2</v>
      </c>
      <c r="Y4853">
        <v>0</v>
      </c>
      <c r="AA4853">
        <v>1</v>
      </c>
      <c r="AB4853">
        <v>8</v>
      </c>
      <c r="AC4853">
        <v>3</v>
      </c>
      <c r="AD4853">
        <v>0</v>
      </c>
      <c r="AE4853">
        <v>9</v>
      </c>
      <c r="AF4853" t="s">
        <v>138</v>
      </c>
      <c r="AG4853">
        <v>0</v>
      </c>
      <c r="AH4853">
        <v>3</v>
      </c>
      <c r="AI4853">
        <v>2</v>
      </c>
      <c r="AJ4853">
        <v>0</v>
      </c>
      <c r="AK4853" t="s">
        <v>1537</v>
      </c>
      <c r="AL4853">
        <v>39.229281</v>
      </c>
      <c r="AM4853" t="s">
        <v>1518</v>
      </c>
      <c r="AN4853">
        <v>-121.000328</v>
      </c>
      <c r="AO4853">
        <v>25</v>
      </c>
      <c r="AP4853">
        <v>4100</v>
      </c>
      <c r="AQ4853" t="s">
        <v>131</v>
      </c>
      <c r="AR4853">
        <v>-3</v>
      </c>
      <c r="AS4853">
        <v>90</v>
      </c>
      <c r="AT4853">
        <v>-192</v>
      </c>
      <c r="BB4853" t="str">
        <f t="shared" si="1903"/>
        <v>1200</v>
      </c>
      <c r="BC4853">
        <v>1</v>
      </c>
      <c r="BD4853" t="str">
        <f t="shared" si="1904"/>
        <v xml:space="preserve">N52156  </v>
      </c>
      <c r="BE4853">
        <v>1</v>
      </c>
      <c r="BG4853">
        <v>0</v>
      </c>
      <c r="BH4853">
        <v>0</v>
      </c>
      <c r="BI4853">
        <v>0</v>
      </c>
      <c r="BJ4853">
        <v>4100</v>
      </c>
      <c r="BK4853">
        <v>0</v>
      </c>
      <c r="BL4853" t="s">
        <v>188</v>
      </c>
      <c r="BM4853">
        <v>1</v>
      </c>
      <c r="BN4853">
        <v>1</v>
      </c>
      <c r="BO4853">
        <v>0</v>
      </c>
      <c r="BP4853">
        <v>0</v>
      </c>
      <c r="BS4853">
        <v>0</v>
      </c>
      <c r="BT4853">
        <v>0</v>
      </c>
      <c r="BU4853">
        <v>0</v>
      </c>
      <c r="CE4853" t="str">
        <f t="shared" si="1921"/>
        <v>15:18:00.495</v>
      </c>
      <c r="CF4853">
        <v>494590602</v>
      </c>
      <c r="CS4853">
        <v>0</v>
      </c>
      <c r="CT4853">
        <v>2</v>
      </c>
      <c r="CU4853">
        <v>0</v>
      </c>
      <c r="CV4853">
        <v>2</v>
      </c>
      <c r="CW4853">
        <v>0</v>
      </c>
      <c r="CX4853">
        <v>3</v>
      </c>
      <c r="CY4853">
        <v>7</v>
      </c>
      <c r="CZ4853" t="s">
        <v>133</v>
      </c>
      <c r="DA4853">
        <v>276</v>
      </c>
      <c r="DB4853">
        <v>0</v>
      </c>
      <c r="DC4853" t="s">
        <v>402</v>
      </c>
      <c r="DD4853" t="s">
        <v>403</v>
      </c>
      <c r="DG4853">
        <v>1628845</v>
      </c>
      <c r="DI4853">
        <v>1</v>
      </c>
      <c r="DJ4853">
        <v>0</v>
      </c>
      <c r="DK4853">
        <v>1</v>
      </c>
      <c r="DL4853">
        <v>0</v>
      </c>
      <c r="DM4853">
        <v>0</v>
      </c>
      <c r="DN4853">
        <v>0</v>
      </c>
      <c r="DO4853">
        <v>0</v>
      </c>
      <c r="DP4853">
        <v>0</v>
      </c>
      <c r="DQ4853">
        <v>0</v>
      </c>
      <c r="DR4853">
        <v>0</v>
      </c>
      <c r="DS4853">
        <v>0</v>
      </c>
    </row>
    <row r="4854" spans="1:123" x14ac:dyDescent="0.3">
      <c r="A4854" t="str">
        <f>"05/01/2025 15:18:00.753"</f>
        <v>05/01/2025 15:18:00.753</v>
      </c>
      <c r="C4854" t="str">
        <f t="shared" si="1900"/>
        <v>FFDFD3C0</v>
      </c>
      <c r="D4854" t="s">
        <v>145</v>
      </c>
      <c r="E4854" t="str">
        <f>"05"</f>
        <v>05</v>
      </c>
      <c r="H4854">
        <v>47</v>
      </c>
      <c r="I4854" t="s">
        <v>146</v>
      </c>
      <c r="J4854" t="s">
        <v>138</v>
      </c>
      <c r="K4854">
        <v>0</v>
      </c>
      <c r="L4854">
        <v>3</v>
      </c>
      <c r="M4854">
        <v>0</v>
      </c>
      <c r="N4854">
        <v>2</v>
      </c>
      <c r="O4854">
        <v>0</v>
      </c>
      <c r="P4854">
        <v>1</v>
      </c>
      <c r="Q4854">
        <v>0</v>
      </c>
      <c r="R4854" t="s">
        <v>127</v>
      </c>
      <c r="S4854" t="str">
        <f t="shared" si="1920"/>
        <v>15:18:00.000</v>
      </c>
      <c r="T4854" t="str">
        <f t="shared" si="1920"/>
        <v>15:18:00.000</v>
      </c>
      <c r="U4854" t="str">
        <f t="shared" si="1902"/>
        <v>A68FCB</v>
      </c>
      <c r="V4854">
        <v>0</v>
      </c>
      <c r="W4854">
        <v>0</v>
      </c>
      <c r="X4854">
        <v>2</v>
      </c>
      <c r="Y4854">
        <v>0</v>
      </c>
      <c r="AA4854">
        <v>1</v>
      </c>
      <c r="AB4854">
        <v>8</v>
      </c>
      <c r="AC4854">
        <v>3</v>
      </c>
      <c r="AD4854">
        <v>0</v>
      </c>
      <c r="AE4854">
        <v>9</v>
      </c>
      <c r="AF4854" t="s">
        <v>138</v>
      </c>
      <c r="AG4854">
        <v>0</v>
      </c>
      <c r="AH4854">
        <v>3</v>
      </c>
      <c r="AI4854">
        <v>2</v>
      </c>
      <c r="AJ4854">
        <v>0</v>
      </c>
      <c r="AK4854" t="s">
        <v>1537</v>
      </c>
      <c r="AL4854">
        <v>39.229281</v>
      </c>
      <c r="AM4854" t="s">
        <v>1518</v>
      </c>
      <c r="AN4854">
        <v>-121.000328</v>
      </c>
      <c r="AO4854">
        <v>25</v>
      </c>
      <c r="AP4854">
        <v>4100</v>
      </c>
      <c r="AQ4854" t="s">
        <v>131</v>
      </c>
      <c r="AR4854">
        <v>-3</v>
      </c>
      <c r="AS4854">
        <v>90</v>
      </c>
      <c r="AT4854">
        <v>-192</v>
      </c>
      <c r="BB4854" t="str">
        <f t="shared" si="1903"/>
        <v>1200</v>
      </c>
      <c r="BC4854">
        <v>1</v>
      </c>
      <c r="BD4854" t="str">
        <f t="shared" si="1904"/>
        <v xml:space="preserve">N52156  </v>
      </c>
      <c r="BE4854">
        <v>1</v>
      </c>
      <c r="BG4854">
        <v>0</v>
      </c>
      <c r="BH4854">
        <v>0</v>
      </c>
      <c r="BI4854">
        <v>0</v>
      </c>
      <c r="BJ4854">
        <v>4100</v>
      </c>
      <c r="BK4854">
        <v>0</v>
      </c>
      <c r="BL4854" t="s">
        <v>188</v>
      </c>
      <c r="BM4854">
        <v>1</v>
      </c>
      <c r="BN4854">
        <v>1</v>
      </c>
      <c r="BO4854">
        <v>0</v>
      </c>
      <c r="BP4854">
        <v>0</v>
      </c>
      <c r="BS4854">
        <v>0</v>
      </c>
      <c r="BT4854">
        <v>0</v>
      </c>
      <c r="BU4854">
        <v>0</v>
      </c>
      <c r="CE4854" t="str">
        <f t="shared" si="1921"/>
        <v>15:18:00.495</v>
      </c>
      <c r="CF4854">
        <v>494590602</v>
      </c>
      <c r="CS4854">
        <v>0</v>
      </c>
      <c r="CT4854">
        <v>2</v>
      </c>
      <c r="CU4854">
        <v>0</v>
      </c>
      <c r="CV4854">
        <v>2</v>
      </c>
      <c r="CW4854">
        <v>0</v>
      </c>
      <c r="CX4854">
        <v>3</v>
      </c>
      <c r="CY4854">
        <v>7</v>
      </c>
      <c r="CZ4854" t="s">
        <v>133</v>
      </c>
      <c r="DA4854">
        <v>276</v>
      </c>
      <c r="DB4854">
        <v>0</v>
      </c>
      <c r="DC4854" t="s">
        <v>402</v>
      </c>
      <c r="DD4854" t="s">
        <v>403</v>
      </c>
      <c r="DG4854">
        <v>1628845</v>
      </c>
      <c r="DI4854">
        <v>1</v>
      </c>
      <c r="DJ4854">
        <v>0</v>
      </c>
      <c r="DK4854">
        <v>1</v>
      </c>
      <c r="DL4854">
        <v>0</v>
      </c>
      <c r="DM4854">
        <v>0</v>
      </c>
      <c r="DN4854">
        <v>0</v>
      </c>
      <c r="DO4854">
        <v>0</v>
      </c>
      <c r="DP4854">
        <v>0</v>
      </c>
      <c r="DQ4854">
        <v>0</v>
      </c>
      <c r="DR4854">
        <v>0</v>
      </c>
      <c r="DS4854">
        <v>0</v>
      </c>
    </row>
    <row r="4855" spans="1:123" x14ac:dyDescent="0.3">
      <c r="A4855" t="str">
        <f>"05/01/2025 15:18:00.762"</f>
        <v>05/01/2025 15:18:00.762</v>
      </c>
      <c r="C4855" t="str">
        <f t="shared" si="1900"/>
        <v>FFDFD3C0</v>
      </c>
      <c r="D4855" t="s">
        <v>136</v>
      </c>
      <c r="E4855" t="str">
        <f>"20"</f>
        <v>20</v>
      </c>
      <c r="H4855">
        <v>400</v>
      </c>
      <c r="I4855" t="s">
        <v>137</v>
      </c>
      <c r="J4855" t="s">
        <v>138</v>
      </c>
      <c r="K4855">
        <v>0</v>
      </c>
      <c r="L4855">
        <v>3</v>
      </c>
      <c r="M4855">
        <v>0</v>
      </c>
      <c r="N4855">
        <v>2</v>
      </c>
      <c r="O4855">
        <v>0</v>
      </c>
      <c r="P4855">
        <v>1</v>
      </c>
      <c r="Q4855">
        <v>0</v>
      </c>
      <c r="R4855" t="s">
        <v>127</v>
      </c>
      <c r="S4855" t="str">
        <f t="shared" si="1920"/>
        <v>15:18:00.000</v>
      </c>
      <c r="T4855" t="str">
        <f t="shared" si="1920"/>
        <v>15:18:00.000</v>
      </c>
      <c r="U4855" t="str">
        <f t="shared" si="1902"/>
        <v>A68FCB</v>
      </c>
      <c r="V4855">
        <v>0</v>
      </c>
      <c r="W4855">
        <v>0</v>
      </c>
      <c r="X4855">
        <v>2</v>
      </c>
      <c r="Y4855">
        <v>0</v>
      </c>
      <c r="AA4855">
        <v>1</v>
      </c>
      <c r="AB4855">
        <v>8</v>
      </c>
      <c r="AC4855">
        <v>3</v>
      </c>
      <c r="AD4855">
        <v>0</v>
      </c>
      <c r="AE4855">
        <v>9</v>
      </c>
      <c r="AF4855" t="s">
        <v>138</v>
      </c>
      <c r="AG4855">
        <v>0</v>
      </c>
      <c r="AH4855">
        <v>3</v>
      </c>
      <c r="AI4855">
        <v>2</v>
      </c>
      <c r="AJ4855">
        <v>0</v>
      </c>
      <c r="AK4855" t="s">
        <v>1537</v>
      </c>
      <c r="AL4855">
        <v>39.229281</v>
      </c>
      <c r="AM4855" t="s">
        <v>1518</v>
      </c>
      <c r="AN4855">
        <v>-121.000328</v>
      </c>
      <c r="AO4855">
        <v>25</v>
      </c>
      <c r="AP4855">
        <v>4100</v>
      </c>
      <c r="AQ4855" t="s">
        <v>131</v>
      </c>
      <c r="AR4855">
        <v>-3</v>
      </c>
      <c r="AS4855">
        <v>90</v>
      </c>
      <c r="AT4855">
        <v>-192</v>
      </c>
      <c r="BB4855" t="str">
        <f t="shared" si="1903"/>
        <v>1200</v>
      </c>
      <c r="BC4855">
        <v>1</v>
      </c>
      <c r="BD4855" t="str">
        <f t="shared" si="1904"/>
        <v xml:space="preserve">N52156  </v>
      </c>
      <c r="BE4855">
        <v>1</v>
      </c>
      <c r="BG4855">
        <v>0</v>
      </c>
      <c r="BH4855">
        <v>0</v>
      </c>
      <c r="BI4855">
        <v>0</v>
      </c>
      <c r="BJ4855">
        <v>4100</v>
      </c>
      <c r="BK4855">
        <v>0</v>
      </c>
      <c r="BL4855" t="s">
        <v>188</v>
      </c>
      <c r="BM4855">
        <v>1</v>
      </c>
      <c r="BN4855">
        <v>1</v>
      </c>
      <c r="BO4855">
        <v>0</v>
      </c>
      <c r="BP4855">
        <v>0</v>
      </c>
      <c r="BS4855">
        <v>0</v>
      </c>
      <c r="BT4855">
        <v>0</v>
      </c>
      <c r="BU4855">
        <v>0</v>
      </c>
      <c r="CE4855" t="str">
        <f t="shared" si="1921"/>
        <v>15:18:00.495</v>
      </c>
      <c r="CF4855">
        <v>494590602</v>
      </c>
      <c r="CS4855">
        <v>0</v>
      </c>
      <c r="CT4855">
        <v>2</v>
      </c>
      <c r="CU4855">
        <v>0</v>
      </c>
      <c r="CV4855">
        <v>2</v>
      </c>
      <c r="CW4855">
        <v>0</v>
      </c>
      <c r="CX4855">
        <v>3</v>
      </c>
      <c r="CY4855">
        <v>7</v>
      </c>
      <c r="CZ4855" t="s">
        <v>133</v>
      </c>
      <c r="DA4855">
        <v>276</v>
      </c>
      <c r="DB4855">
        <v>0</v>
      </c>
      <c r="DC4855" t="s">
        <v>402</v>
      </c>
      <c r="DD4855" t="s">
        <v>403</v>
      </c>
      <c r="DG4855">
        <v>1628845</v>
      </c>
      <c r="DI4855">
        <v>1</v>
      </c>
      <c r="DJ4855">
        <v>0</v>
      </c>
      <c r="DK4855">
        <v>1</v>
      </c>
      <c r="DL4855">
        <v>0</v>
      </c>
      <c r="DM4855">
        <v>0</v>
      </c>
      <c r="DN4855">
        <v>0</v>
      </c>
      <c r="DO4855">
        <v>0</v>
      </c>
      <c r="DP4855">
        <v>0</v>
      </c>
      <c r="DQ4855">
        <v>0</v>
      </c>
      <c r="DR4855">
        <v>0</v>
      </c>
      <c r="DS4855">
        <v>0</v>
      </c>
    </row>
    <row r="4856" spans="1:123" x14ac:dyDescent="0.3">
      <c r="A4856" t="str">
        <f>"05/01/2025 15:18:02.182"</f>
        <v>05/01/2025 15:18:02.182</v>
      </c>
      <c r="C4856" t="str">
        <f t="shared" si="1900"/>
        <v>FFDFD3C0</v>
      </c>
      <c r="D4856" t="s">
        <v>124</v>
      </c>
      <c r="E4856" t="str">
        <f>"06"</f>
        <v>06</v>
      </c>
      <c r="F4856">
        <v>2006</v>
      </c>
      <c r="G4856" t="s">
        <v>125</v>
      </c>
      <c r="J4856" t="s">
        <v>126</v>
      </c>
      <c r="K4856">
        <v>0</v>
      </c>
      <c r="L4856">
        <v>3</v>
      </c>
      <c r="M4856">
        <v>0</v>
      </c>
      <c r="N4856">
        <v>2</v>
      </c>
      <c r="O4856">
        <v>0</v>
      </c>
      <c r="P4856">
        <v>1</v>
      </c>
      <c r="Q4856">
        <v>0</v>
      </c>
      <c r="R4856" t="s">
        <v>127</v>
      </c>
      <c r="S4856" t="str">
        <f t="shared" ref="S4856:T4861" si="1922">"15:18:01.000"</f>
        <v>15:18:01.000</v>
      </c>
      <c r="T4856" t="str">
        <f t="shared" si="1922"/>
        <v>15:18:01.000</v>
      </c>
      <c r="U4856" t="str">
        <f t="shared" si="1902"/>
        <v>A68FCB</v>
      </c>
      <c r="V4856">
        <v>0</v>
      </c>
      <c r="W4856">
        <v>0</v>
      </c>
      <c r="X4856">
        <v>2</v>
      </c>
      <c r="Y4856">
        <v>0</v>
      </c>
      <c r="AA4856">
        <v>1</v>
      </c>
      <c r="AB4856">
        <v>8</v>
      </c>
      <c r="AC4856">
        <v>3</v>
      </c>
      <c r="AD4856">
        <v>0</v>
      </c>
      <c r="AE4856">
        <v>9</v>
      </c>
      <c r="AF4856" t="s">
        <v>138</v>
      </c>
      <c r="AG4856">
        <v>0</v>
      </c>
      <c r="AH4856">
        <v>3</v>
      </c>
      <c r="AI4856">
        <v>2</v>
      </c>
      <c r="AJ4856">
        <v>0</v>
      </c>
      <c r="AK4856" t="s">
        <v>1538</v>
      </c>
      <c r="AL4856">
        <v>39.229689</v>
      </c>
      <c r="AM4856" t="s">
        <v>1518</v>
      </c>
      <c r="AN4856">
        <v>-121.000328</v>
      </c>
      <c r="AO4856">
        <v>25</v>
      </c>
      <c r="AP4856">
        <v>4100</v>
      </c>
      <c r="AQ4856" t="s">
        <v>131</v>
      </c>
      <c r="AR4856">
        <v>-7</v>
      </c>
      <c r="AS4856">
        <v>90</v>
      </c>
      <c r="AT4856">
        <v>-128</v>
      </c>
      <c r="BB4856" t="str">
        <f t="shared" si="1903"/>
        <v>1200</v>
      </c>
      <c r="BC4856">
        <v>1</v>
      </c>
      <c r="BD4856" t="str">
        <f t="shared" si="1904"/>
        <v xml:space="preserve">N52156  </v>
      </c>
      <c r="BE4856">
        <v>1</v>
      </c>
      <c r="BG4856">
        <v>0</v>
      </c>
      <c r="BH4856">
        <v>0</v>
      </c>
      <c r="BI4856">
        <v>0</v>
      </c>
      <c r="BJ4856">
        <v>4075</v>
      </c>
      <c r="BK4856">
        <v>-25</v>
      </c>
      <c r="BL4856" t="s">
        <v>188</v>
      </c>
      <c r="BM4856">
        <v>1</v>
      </c>
      <c r="BN4856">
        <v>1</v>
      </c>
      <c r="BO4856">
        <v>0</v>
      </c>
      <c r="BP4856">
        <v>0</v>
      </c>
      <c r="BS4856">
        <v>0</v>
      </c>
      <c r="BT4856">
        <v>0</v>
      </c>
      <c r="BU4856">
        <v>0</v>
      </c>
      <c r="CE4856" t="str">
        <f t="shared" ref="CE4856:CE4861" si="1923">"15:18:01.986"</f>
        <v>15:18:01.986</v>
      </c>
      <c r="CF4856">
        <v>986262546</v>
      </c>
      <c r="CS4856">
        <v>0</v>
      </c>
      <c r="CT4856">
        <v>2</v>
      </c>
      <c r="CU4856">
        <v>0</v>
      </c>
      <c r="CV4856">
        <v>2</v>
      </c>
      <c r="CW4856">
        <v>0</v>
      </c>
      <c r="CX4856">
        <v>3</v>
      </c>
      <c r="CY4856">
        <v>7</v>
      </c>
      <c r="CZ4856" t="s">
        <v>133</v>
      </c>
      <c r="DA4856">
        <v>275</v>
      </c>
      <c r="DB4856">
        <v>0</v>
      </c>
      <c r="DC4856" t="s">
        <v>134</v>
      </c>
      <c r="DD4856" t="s">
        <v>135</v>
      </c>
      <c r="DG4856">
        <v>3323420</v>
      </c>
      <c r="DI4856">
        <v>1</v>
      </c>
      <c r="DJ4856">
        <v>0</v>
      </c>
      <c r="DK4856">
        <v>0</v>
      </c>
      <c r="DL4856">
        <v>0</v>
      </c>
      <c r="DM4856">
        <v>0</v>
      </c>
      <c r="DN4856">
        <v>0</v>
      </c>
      <c r="DO4856">
        <v>0</v>
      </c>
      <c r="DP4856">
        <v>0</v>
      </c>
      <c r="DQ4856">
        <v>0</v>
      </c>
      <c r="DR4856">
        <v>0</v>
      </c>
      <c r="DS4856">
        <v>0</v>
      </c>
    </row>
    <row r="4857" spans="1:123" x14ac:dyDescent="0.3">
      <c r="A4857" t="str">
        <f>"05/01/2025 15:18:02.189"</f>
        <v>05/01/2025 15:18:02.189</v>
      </c>
      <c r="C4857" t="str">
        <f t="shared" si="1900"/>
        <v>FFDFD3C0</v>
      </c>
      <c r="D4857" t="s">
        <v>143</v>
      </c>
      <c r="E4857" t="str">
        <f>"05"</f>
        <v>05</v>
      </c>
      <c r="H4857">
        <v>172</v>
      </c>
      <c r="I4857" t="s">
        <v>141</v>
      </c>
      <c r="J4857" t="s">
        <v>144</v>
      </c>
      <c r="K4857">
        <v>0</v>
      </c>
      <c r="L4857">
        <v>3</v>
      </c>
      <c r="M4857">
        <v>0</v>
      </c>
      <c r="N4857">
        <v>2</v>
      </c>
      <c r="O4857">
        <v>0</v>
      </c>
      <c r="P4857">
        <v>1</v>
      </c>
      <c r="Q4857">
        <v>0</v>
      </c>
      <c r="R4857" t="s">
        <v>127</v>
      </c>
      <c r="S4857" t="str">
        <f t="shared" si="1922"/>
        <v>15:18:01.000</v>
      </c>
      <c r="T4857" t="str">
        <f t="shared" si="1922"/>
        <v>15:18:01.000</v>
      </c>
      <c r="U4857" t="str">
        <f t="shared" si="1902"/>
        <v>A68FCB</v>
      </c>
      <c r="V4857">
        <v>0</v>
      </c>
      <c r="W4857">
        <v>0</v>
      </c>
      <c r="X4857">
        <v>2</v>
      </c>
      <c r="Y4857">
        <v>0</v>
      </c>
      <c r="AA4857">
        <v>1</v>
      </c>
      <c r="AB4857">
        <v>8</v>
      </c>
      <c r="AC4857">
        <v>3</v>
      </c>
      <c r="AD4857">
        <v>0</v>
      </c>
      <c r="AE4857">
        <v>9</v>
      </c>
      <c r="AF4857" t="s">
        <v>138</v>
      </c>
      <c r="AG4857">
        <v>0</v>
      </c>
      <c r="AH4857">
        <v>3</v>
      </c>
      <c r="AI4857">
        <v>2</v>
      </c>
      <c r="AJ4857">
        <v>0</v>
      </c>
      <c r="AK4857" t="s">
        <v>1538</v>
      </c>
      <c r="AL4857">
        <v>39.229689</v>
      </c>
      <c r="AM4857" t="s">
        <v>1518</v>
      </c>
      <c r="AN4857">
        <v>-121.000328</v>
      </c>
      <c r="AO4857">
        <v>25</v>
      </c>
      <c r="AP4857">
        <v>4100</v>
      </c>
      <c r="AQ4857" t="s">
        <v>131</v>
      </c>
      <c r="AR4857">
        <v>-7</v>
      </c>
      <c r="AS4857">
        <v>90</v>
      </c>
      <c r="AT4857">
        <v>-128</v>
      </c>
      <c r="BB4857" t="str">
        <f t="shared" si="1903"/>
        <v>1200</v>
      </c>
      <c r="BC4857">
        <v>1</v>
      </c>
      <c r="BD4857" t="str">
        <f t="shared" si="1904"/>
        <v xml:space="preserve">N52156  </v>
      </c>
      <c r="BE4857">
        <v>1</v>
      </c>
      <c r="BG4857">
        <v>0</v>
      </c>
      <c r="BH4857">
        <v>0</v>
      </c>
      <c r="BI4857">
        <v>0</v>
      </c>
      <c r="BJ4857">
        <v>4075</v>
      </c>
      <c r="BK4857">
        <v>-25</v>
      </c>
      <c r="BL4857" t="s">
        <v>188</v>
      </c>
      <c r="BM4857">
        <v>1</v>
      </c>
      <c r="BN4857">
        <v>1</v>
      </c>
      <c r="BO4857">
        <v>0</v>
      </c>
      <c r="BP4857">
        <v>0</v>
      </c>
      <c r="BS4857">
        <v>0</v>
      </c>
      <c r="BT4857">
        <v>0</v>
      </c>
      <c r="BU4857">
        <v>0</v>
      </c>
      <c r="CE4857" t="str">
        <f t="shared" si="1923"/>
        <v>15:18:01.986</v>
      </c>
      <c r="CF4857">
        <v>986262546</v>
      </c>
      <c r="CS4857">
        <v>0</v>
      </c>
      <c r="CT4857">
        <v>2</v>
      </c>
      <c r="CU4857">
        <v>0</v>
      </c>
      <c r="CV4857">
        <v>2</v>
      </c>
      <c r="CW4857">
        <v>0</v>
      </c>
      <c r="CX4857">
        <v>3</v>
      </c>
      <c r="CY4857">
        <v>7</v>
      </c>
      <c r="CZ4857" t="s">
        <v>133</v>
      </c>
      <c r="DA4857">
        <v>275</v>
      </c>
      <c r="DB4857">
        <v>0</v>
      </c>
      <c r="DC4857" t="s">
        <v>134</v>
      </c>
      <c r="DD4857" t="s">
        <v>135</v>
      </c>
      <c r="DG4857">
        <v>3323420</v>
      </c>
      <c r="DI4857">
        <v>1</v>
      </c>
      <c r="DJ4857">
        <v>0</v>
      </c>
      <c r="DK4857">
        <v>1</v>
      </c>
      <c r="DL4857">
        <v>0</v>
      </c>
      <c r="DM4857">
        <v>0</v>
      </c>
      <c r="DN4857">
        <v>0</v>
      </c>
      <c r="DO4857">
        <v>0</v>
      </c>
      <c r="DP4857">
        <v>0</v>
      </c>
      <c r="DQ4857">
        <v>0</v>
      </c>
      <c r="DR4857">
        <v>0</v>
      </c>
      <c r="DS4857">
        <v>0</v>
      </c>
    </row>
    <row r="4858" spans="1:123" x14ac:dyDescent="0.3">
      <c r="A4858" t="str">
        <f>"05/01/2025 15:18:02.202"</f>
        <v>05/01/2025 15:18:02.202</v>
      </c>
      <c r="C4858" t="str">
        <f t="shared" si="1900"/>
        <v>FFDFD3C0</v>
      </c>
      <c r="D4858" t="s">
        <v>145</v>
      </c>
      <c r="E4858" t="str">
        <f>"09"</f>
        <v>09</v>
      </c>
      <c r="H4858">
        <v>51</v>
      </c>
      <c r="I4858" t="s">
        <v>147</v>
      </c>
      <c r="J4858" t="s">
        <v>138</v>
      </c>
      <c r="K4858">
        <v>0</v>
      </c>
      <c r="L4858">
        <v>3</v>
      </c>
      <c r="M4858">
        <v>0</v>
      </c>
      <c r="N4858">
        <v>2</v>
      </c>
      <c r="O4858">
        <v>0</v>
      </c>
      <c r="P4858">
        <v>1</v>
      </c>
      <c r="Q4858">
        <v>0</v>
      </c>
      <c r="R4858" t="s">
        <v>127</v>
      </c>
      <c r="S4858" t="str">
        <f t="shared" si="1922"/>
        <v>15:18:01.000</v>
      </c>
      <c r="T4858" t="str">
        <f t="shared" si="1922"/>
        <v>15:18:01.000</v>
      </c>
      <c r="U4858" t="str">
        <f t="shared" si="1902"/>
        <v>A68FCB</v>
      </c>
      <c r="V4858">
        <v>0</v>
      </c>
      <c r="W4858">
        <v>0</v>
      </c>
      <c r="X4858">
        <v>2</v>
      </c>
      <c r="Y4858">
        <v>0</v>
      </c>
      <c r="AA4858">
        <v>1</v>
      </c>
      <c r="AB4858">
        <v>8</v>
      </c>
      <c r="AC4858">
        <v>3</v>
      </c>
      <c r="AD4858">
        <v>0</v>
      </c>
      <c r="AE4858">
        <v>9</v>
      </c>
      <c r="AF4858" t="s">
        <v>138</v>
      </c>
      <c r="AG4858">
        <v>0</v>
      </c>
      <c r="AH4858">
        <v>3</v>
      </c>
      <c r="AI4858">
        <v>2</v>
      </c>
      <c r="AJ4858">
        <v>0</v>
      </c>
      <c r="AK4858" t="s">
        <v>1538</v>
      </c>
      <c r="AL4858">
        <v>39.229689</v>
      </c>
      <c r="AM4858" t="s">
        <v>1518</v>
      </c>
      <c r="AN4858">
        <v>-121.000328</v>
      </c>
      <c r="AO4858">
        <v>25</v>
      </c>
      <c r="AP4858">
        <v>4100</v>
      </c>
      <c r="AQ4858" t="s">
        <v>131</v>
      </c>
      <c r="AR4858">
        <v>-7</v>
      </c>
      <c r="AS4858">
        <v>90</v>
      </c>
      <c r="AT4858">
        <v>-128</v>
      </c>
      <c r="BB4858" t="str">
        <f t="shared" si="1903"/>
        <v>1200</v>
      </c>
      <c r="BC4858">
        <v>1</v>
      </c>
      <c r="BD4858" t="str">
        <f t="shared" si="1904"/>
        <v xml:space="preserve">N52156  </v>
      </c>
      <c r="BE4858">
        <v>1</v>
      </c>
      <c r="BG4858">
        <v>0</v>
      </c>
      <c r="BH4858">
        <v>0</v>
      </c>
      <c r="BI4858">
        <v>0</v>
      </c>
      <c r="BJ4858">
        <v>4075</v>
      </c>
      <c r="BK4858">
        <v>-25</v>
      </c>
      <c r="BL4858" t="s">
        <v>188</v>
      </c>
      <c r="BM4858">
        <v>1</v>
      </c>
      <c r="BN4858">
        <v>1</v>
      </c>
      <c r="BO4858">
        <v>0</v>
      </c>
      <c r="BP4858">
        <v>0</v>
      </c>
      <c r="BS4858">
        <v>0</v>
      </c>
      <c r="BT4858">
        <v>0</v>
      </c>
      <c r="BU4858">
        <v>0</v>
      </c>
      <c r="CE4858" t="str">
        <f t="shared" si="1923"/>
        <v>15:18:01.986</v>
      </c>
      <c r="CF4858">
        <v>986262546</v>
      </c>
      <c r="CS4858">
        <v>0</v>
      </c>
      <c r="CT4858">
        <v>2</v>
      </c>
      <c r="CU4858">
        <v>0</v>
      </c>
      <c r="CV4858">
        <v>2</v>
      </c>
      <c r="CW4858">
        <v>0</v>
      </c>
      <c r="CX4858">
        <v>3</v>
      </c>
      <c r="CY4858">
        <v>7</v>
      </c>
      <c r="CZ4858" t="s">
        <v>133</v>
      </c>
      <c r="DA4858">
        <v>275</v>
      </c>
      <c r="DB4858">
        <v>0</v>
      </c>
      <c r="DC4858" t="s">
        <v>134</v>
      </c>
      <c r="DD4858" t="s">
        <v>135</v>
      </c>
      <c r="DG4858">
        <v>3323420</v>
      </c>
      <c r="DI4858">
        <v>1</v>
      </c>
      <c r="DJ4858">
        <v>0</v>
      </c>
      <c r="DK4858">
        <v>1</v>
      </c>
      <c r="DL4858">
        <v>0</v>
      </c>
      <c r="DM4858">
        <v>0</v>
      </c>
      <c r="DN4858">
        <v>0</v>
      </c>
      <c r="DO4858">
        <v>0</v>
      </c>
      <c r="DP4858">
        <v>0</v>
      </c>
      <c r="DQ4858">
        <v>0</v>
      </c>
      <c r="DR4858">
        <v>0</v>
      </c>
      <c r="DS4858">
        <v>0</v>
      </c>
    </row>
    <row r="4859" spans="1:123" x14ac:dyDescent="0.3">
      <c r="A4859" t="str">
        <f>"05/01/2025 15:18:02.205"</f>
        <v>05/01/2025 15:18:02.205</v>
      </c>
      <c r="C4859" t="str">
        <f t="shared" si="1900"/>
        <v>FFDFD3C0</v>
      </c>
      <c r="D4859" t="s">
        <v>145</v>
      </c>
      <c r="E4859" t="str">
        <f>"05"</f>
        <v>05</v>
      </c>
      <c r="H4859">
        <v>47</v>
      </c>
      <c r="I4859" t="s">
        <v>146</v>
      </c>
      <c r="J4859" t="s">
        <v>138</v>
      </c>
      <c r="K4859">
        <v>0</v>
      </c>
      <c r="L4859">
        <v>3</v>
      </c>
      <c r="M4859">
        <v>0</v>
      </c>
      <c r="N4859">
        <v>2</v>
      </c>
      <c r="O4859">
        <v>0</v>
      </c>
      <c r="P4859">
        <v>1</v>
      </c>
      <c r="Q4859">
        <v>0</v>
      </c>
      <c r="R4859" t="s">
        <v>127</v>
      </c>
      <c r="S4859" t="str">
        <f t="shared" si="1922"/>
        <v>15:18:01.000</v>
      </c>
      <c r="T4859" t="str">
        <f t="shared" si="1922"/>
        <v>15:18:01.000</v>
      </c>
      <c r="U4859" t="str">
        <f t="shared" si="1902"/>
        <v>A68FCB</v>
      </c>
      <c r="V4859">
        <v>0</v>
      </c>
      <c r="W4859">
        <v>0</v>
      </c>
      <c r="X4859">
        <v>2</v>
      </c>
      <c r="Y4859">
        <v>0</v>
      </c>
      <c r="AA4859">
        <v>1</v>
      </c>
      <c r="AB4859">
        <v>8</v>
      </c>
      <c r="AC4859">
        <v>3</v>
      </c>
      <c r="AD4859">
        <v>0</v>
      </c>
      <c r="AE4859">
        <v>9</v>
      </c>
      <c r="AF4859" t="s">
        <v>138</v>
      </c>
      <c r="AG4859">
        <v>0</v>
      </c>
      <c r="AH4859">
        <v>3</v>
      </c>
      <c r="AI4859">
        <v>2</v>
      </c>
      <c r="AJ4859">
        <v>0</v>
      </c>
      <c r="AK4859" t="s">
        <v>1538</v>
      </c>
      <c r="AL4859">
        <v>39.229689</v>
      </c>
      <c r="AM4859" t="s">
        <v>1518</v>
      </c>
      <c r="AN4859">
        <v>-121.000328</v>
      </c>
      <c r="AO4859">
        <v>25</v>
      </c>
      <c r="AP4859">
        <v>4100</v>
      </c>
      <c r="AQ4859" t="s">
        <v>131</v>
      </c>
      <c r="AR4859">
        <v>-7</v>
      </c>
      <c r="AS4859">
        <v>90</v>
      </c>
      <c r="AT4859">
        <v>-128</v>
      </c>
      <c r="BB4859" t="str">
        <f t="shared" si="1903"/>
        <v>1200</v>
      </c>
      <c r="BC4859">
        <v>1</v>
      </c>
      <c r="BD4859" t="str">
        <f t="shared" si="1904"/>
        <v xml:space="preserve">N52156  </v>
      </c>
      <c r="BE4859">
        <v>1</v>
      </c>
      <c r="BG4859">
        <v>0</v>
      </c>
      <c r="BH4859">
        <v>0</v>
      </c>
      <c r="BI4859">
        <v>0</v>
      </c>
      <c r="BJ4859">
        <v>4075</v>
      </c>
      <c r="BK4859">
        <v>-25</v>
      </c>
      <c r="BL4859" t="s">
        <v>188</v>
      </c>
      <c r="BM4859">
        <v>1</v>
      </c>
      <c r="BN4859">
        <v>1</v>
      </c>
      <c r="BO4859">
        <v>0</v>
      </c>
      <c r="BP4859">
        <v>0</v>
      </c>
      <c r="BS4859">
        <v>0</v>
      </c>
      <c r="BT4859">
        <v>0</v>
      </c>
      <c r="BU4859">
        <v>0</v>
      </c>
      <c r="CE4859" t="str">
        <f t="shared" si="1923"/>
        <v>15:18:01.986</v>
      </c>
      <c r="CF4859">
        <v>986262546</v>
      </c>
      <c r="CS4859">
        <v>0</v>
      </c>
      <c r="CT4859">
        <v>2</v>
      </c>
      <c r="CU4859">
        <v>0</v>
      </c>
      <c r="CV4859">
        <v>2</v>
      </c>
      <c r="CW4859">
        <v>0</v>
      </c>
      <c r="CX4859">
        <v>3</v>
      </c>
      <c r="CY4859">
        <v>7</v>
      </c>
      <c r="CZ4859" t="s">
        <v>133</v>
      </c>
      <c r="DA4859">
        <v>275</v>
      </c>
      <c r="DB4859">
        <v>0</v>
      </c>
      <c r="DC4859" t="s">
        <v>134</v>
      </c>
      <c r="DD4859" t="s">
        <v>135</v>
      </c>
      <c r="DG4859">
        <v>3323420</v>
      </c>
      <c r="DI4859">
        <v>1</v>
      </c>
      <c r="DJ4859">
        <v>0</v>
      </c>
      <c r="DK4859">
        <v>1</v>
      </c>
      <c r="DL4859">
        <v>0</v>
      </c>
      <c r="DM4859">
        <v>0</v>
      </c>
      <c r="DN4859">
        <v>0</v>
      </c>
      <c r="DO4859">
        <v>0</v>
      </c>
      <c r="DP4859">
        <v>0</v>
      </c>
      <c r="DQ4859">
        <v>0</v>
      </c>
      <c r="DR4859">
        <v>0</v>
      </c>
      <c r="DS4859">
        <v>0</v>
      </c>
    </row>
    <row r="4860" spans="1:123" x14ac:dyDescent="0.3">
      <c r="A4860" t="str">
        <f>"05/01/2025 15:18:02.215"</f>
        <v>05/01/2025 15:18:02.215</v>
      </c>
      <c r="C4860" t="str">
        <f t="shared" si="1900"/>
        <v>FFDFD3C0</v>
      </c>
      <c r="D4860" t="s">
        <v>136</v>
      </c>
      <c r="E4860" t="str">
        <f>"20"</f>
        <v>20</v>
      </c>
      <c r="H4860">
        <v>400</v>
      </c>
      <c r="I4860" t="s">
        <v>137</v>
      </c>
      <c r="J4860" t="s">
        <v>138</v>
      </c>
      <c r="K4860">
        <v>0</v>
      </c>
      <c r="L4860">
        <v>3</v>
      </c>
      <c r="M4860">
        <v>0</v>
      </c>
      <c r="N4860">
        <v>2</v>
      </c>
      <c r="O4860">
        <v>0</v>
      </c>
      <c r="P4860">
        <v>1</v>
      </c>
      <c r="Q4860">
        <v>0</v>
      </c>
      <c r="R4860" t="s">
        <v>127</v>
      </c>
      <c r="S4860" t="str">
        <f t="shared" si="1922"/>
        <v>15:18:01.000</v>
      </c>
      <c r="T4860" t="str">
        <f t="shared" si="1922"/>
        <v>15:18:01.000</v>
      </c>
      <c r="U4860" t="str">
        <f t="shared" si="1902"/>
        <v>A68FCB</v>
      </c>
      <c r="V4860">
        <v>0</v>
      </c>
      <c r="W4860">
        <v>0</v>
      </c>
      <c r="X4860">
        <v>2</v>
      </c>
      <c r="Y4860">
        <v>0</v>
      </c>
      <c r="AA4860">
        <v>1</v>
      </c>
      <c r="AB4860">
        <v>8</v>
      </c>
      <c r="AC4860">
        <v>3</v>
      </c>
      <c r="AD4860">
        <v>0</v>
      </c>
      <c r="AE4860">
        <v>9</v>
      </c>
      <c r="AF4860" t="s">
        <v>138</v>
      </c>
      <c r="AG4860">
        <v>0</v>
      </c>
      <c r="AH4860">
        <v>3</v>
      </c>
      <c r="AI4860">
        <v>2</v>
      </c>
      <c r="AJ4860">
        <v>0</v>
      </c>
      <c r="AK4860" t="s">
        <v>1538</v>
      </c>
      <c r="AL4860">
        <v>39.229689</v>
      </c>
      <c r="AM4860" t="s">
        <v>1518</v>
      </c>
      <c r="AN4860">
        <v>-121.000328</v>
      </c>
      <c r="AO4860">
        <v>25</v>
      </c>
      <c r="AP4860">
        <v>4100</v>
      </c>
      <c r="AQ4860" t="s">
        <v>131</v>
      </c>
      <c r="AR4860">
        <v>-7</v>
      </c>
      <c r="AS4860">
        <v>90</v>
      </c>
      <c r="AT4860">
        <v>-128</v>
      </c>
      <c r="BB4860" t="str">
        <f t="shared" si="1903"/>
        <v>1200</v>
      </c>
      <c r="BC4860">
        <v>1</v>
      </c>
      <c r="BD4860" t="str">
        <f t="shared" si="1904"/>
        <v xml:space="preserve">N52156  </v>
      </c>
      <c r="BE4860">
        <v>1</v>
      </c>
      <c r="BG4860">
        <v>0</v>
      </c>
      <c r="BH4860">
        <v>0</v>
      </c>
      <c r="BI4860">
        <v>0</v>
      </c>
      <c r="BJ4860">
        <v>4075</v>
      </c>
      <c r="BK4860">
        <v>-25</v>
      </c>
      <c r="BL4860" t="s">
        <v>188</v>
      </c>
      <c r="BM4860">
        <v>1</v>
      </c>
      <c r="BN4860">
        <v>1</v>
      </c>
      <c r="BO4860">
        <v>0</v>
      </c>
      <c r="BP4860">
        <v>0</v>
      </c>
      <c r="BS4860">
        <v>0</v>
      </c>
      <c r="BT4860">
        <v>0</v>
      </c>
      <c r="BU4860">
        <v>0</v>
      </c>
      <c r="CE4860" t="str">
        <f t="shared" si="1923"/>
        <v>15:18:01.986</v>
      </c>
      <c r="CF4860">
        <v>986262546</v>
      </c>
      <c r="CS4860">
        <v>0</v>
      </c>
      <c r="CT4860">
        <v>2</v>
      </c>
      <c r="CU4860">
        <v>0</v>
      </c>
      <c r="CV4860">
        <v>2</v>
      </c>
      <c r="CW4860">
        <v>0</v>
      </c>
      <c r="CX4860">
        <v>3</v>
      </c>
      <c r="CY4860">
        <v>7</v>
      </c>
      <c r="CZ4860" t="s">
        <v>133</v>
      </c>
      <c r="DA4860">
        <v>275</v>
      </c>
      <c r="DB4860">
        <v>0</v>
      </c>
      <c r="DC4860" t="s">
        <v>134</v>
      </c>
      <c r="DD4860" t="s">
        <v>135</v>
      </c>
      <c r="DG4860">
        <v>3323420</v>
      </c>
      <c r="DI4860">
        <v>1</v>
      </c>
      <c r="DJ4860">
        <v>0</v>
      </c>
      <c r="DK4860">
        <v>1</v>
      </c>
      <c r="DL4860">
        <v>0</v>
      </c>
      <c r="DM4860">
        <v>0</v>
      </c>
      <c r="DN4860">
        <v>0</v>
      </c>
      <c r="DO4860">
        <v>0</v>
      </c>
      <c r="DP4860">
        <v>0</v>
      </c>
      <c r="DQ4860">
        <v>0</v>
      </c>
      <c r="DR4860">
        <v>0</v>
      </c>
      <c r="DS4860">
        <v>0</v>
      </c>
    </row>
    <row r="4861" spans="1:123" x14ac:dyDescent="0.3">
      <c r="A4861" t="str">
        <f>"05/01/2025 15:18:02.229"</f>
        <v>05/01/2025 15:18:02.229</v>
      </c>
      <c r="C4861" t="str">
        <f t="shared" si="1900"/>
        <v>FFDFD3C0</v>
      </c>
      <c r="D4861" t="s">
        <v>140</v>
      </c>
      <c r="E4861" t="str">
        <f>"13"</f>
        <v>13</v>
      </c>
      <c r="F4861">
        <v>1019</v>
      </c>
      <c r="G4861" t="s">
        <v>141</v>
      </c>
      <c r="J4861" t="s">
        <v>142</v>
      </c>
      <c r="K4861">
        <v>0</v>
      </c>
      <c r="L4861">
        <v>3</v>
      </c>
      <c r="M4861">
        <v>0</v>
      </c>
      <c r="N4861">
        <v>2</v>
      </c>
      <c r="O4861">
        <v>0</v>
      </c>
      <c r="P4861">
        <v>1</v>
      </c>
      <c r="Q4861">
        <v>0</v>
      </c>
      <c r="R4861" t="s">
        <v>127</v>
      </c>
      <c r="S4861" t="str">
        <f t="shared" si="1922"/>
        <v>15:18:01.000</v>
      </c>
      <c r="T4861" t="str">
        <f t="shared" si="1922"/>
        <v>15:18:01.000</v>
      </c>
      <c r="U4861" t="str">
        <f t="shared" si="1902"/>
        <v>A68FCB</v>
      </c>
      <c r="V4861">
        <v>0</v>
      </c>
      <c r="W4861">
        <v>0</v>
      </c>
      <c r="X4861">
        <v>2</v>
      </c>
      <c r="Y4861">
        <v>0</v>
      </c>
      <c r="AA4861">
        <v>1</v>
      </c>
      <c r="AB4861">
        <v>8</v>
      </c>
      <c r="AC4861">
        <v>3</v>
      </c>
      <c r="AD4861">
        <v>0</v>
      </c>
      <c r="AE4861">
        <v>9</v>
      </c>
      <c r="AF4861" t="s">
        <v>138</v>
      </c>
      <c r="AG4861">
        <v>0</v>
      </c>
      <c r="AH4861">
        <v>3</v>
      </c>
      <c r="AI4861">
        <v>2</v>
      </c>
      <c r="AJ4861">
        <v>0</v>
      </c>
      <c r="AK4861" t="s">
        <v>1538</v>
      </c>
      <c r="AL4861">
        <v>39.229689</v>
      </c>
      <c r="AM4861" t="s">
        <v>1518</v>
      </c>
      <c r="AN4861">
        <v>-121.000328</v>
      </c>
      <c r="AO4861">
        <v>25</v>
      </c>
      <c r="AP4861">
        <v>4100</v>
      </c>
      <c r="AQ4861" t="s">
        <v>131</v>
      </c>
      <c r="AR4861">
        <v>-7</v>
      </c>
      <c r="AS4861">
        <v>90</v>
      </c>
      <c r="AT4861">
        <v>-128</v>
      </c>
      <c r="BB4861" t="str">
        <f t="shared" si="1903"/>
        <v>1200</v>
      </c>
      <c r="BC4861">
        <v>1</v>
      </c>
      <c r="BD4861" t="str">
        <f t="shared" si="1904"/>
        <v xml:space="preserve">N52156  </v>
      </c>
      <c r="BE4861">
        <v>1</v>
      </c>
      <c r="BG4861">
        <v>0</v>
      </c>
      <c r="BH4861">
        <v>0</v>
      </c>
      <c r="BI4861">
        <v>0</v>
      </c>
      <c r="BJ4861">
        <v>4075</v>
      </c>
      <c r="BK4861">
        <v>-25</v>
      </c>
      <c r="BL4861" t="s">
        <v>188</v>
      </c>
      <c r="BM4861">
        <v>1</v>
      </c>
      <c r="BN4861">
        <v>1</v>
      </c>
      <c r="BO4861">
        <v>0</v>
      </c>
      <c r="BP4861">
        <v>0</v>
      </c>
      <c r="BS4861">
        <v>0</v>
      </c>
      <c r="BT4861">
        <v>0</v>
      </c>
      <c r="BU4861">
        <v>0</v>
      </c>
      <c r="CE4861" t="str">
        <f t="shared" si="1923"/>
        <v>15:18:01.986</v>
      </c>
      <c r="CF4861">
        <v>986262546</v>
      </c>
      <c r="CS4861">
        <v>0</v>
      </c>
      <c r="CT4861">
        <v>2</v>
      </c>
      <c r="CU4861">
        <v>0</v>
      </c>
      <c r="CV4861">
        <v>2</v>
      </c>
      <c r="CW4861">
        <v>0</v>
      </c>
      <c r="CX4861">
        <v>3</v>
      </c>
      <c r="CY4861">
        <v>7</v>
      </c>
      <c r="CZ4861" t="s">
        <v>133</v>
      </c>
      <c r="DA4861">
        <v>275</v>
      </c>
      <c r="DB4861">
        <v>0</v>
      </c>
      <c r="DC4861" t="s">
        <v>134</v>
      </c>
      <c r="DD4861" t="s">
        <v>135</v>
      </c>
      <c r="DG4861">
        <v>3323420</v>
      </c>
      <c r="DI4861">
        <v>1</v>
      </c>
      <c r="DJ4861">
        <v>0</v>
      </c>
      <c r="DK4861">
        <v>1</v>
      </c>
      <c r="DL4861">
        <v>0</v>
      </c>
      <c r="DM4861">
        <v>0</v>
      </c>
      <c r="DN4861">
        <v>0</v>
      </c>
      <c r="DO4861">
        <v>0</v>
      </c>
      <c r="DP4861">
        <v>0</v>
      </c>
      <c r="DQ4861">
        <v>0</v>
      </c>
      <c r="DR4861">
        <v>0</v>
      </c>
      <c r="DS4861">
        <v>0</v>
      </c>
    </row>
    <row r="4862" spans="1:123" x14ac:dyDescent="0.3">
      <c r="A4862" t="str">
        <f>"05/01/2025 15:18:02.756"</f>
        <v>05/01/2025 15:18:02.756</v>
      </c>
      <c r="C4862" t="str">
        <f t="shared" si="1900"/>
        <v>FFDFD3C0</v>
      </c>
      <c r="D4862" t="s">
        <v>145</v>
      </c>
      <c r="E4862" t="str">
        <f>"05"</f>
        <v>05</v>
      </c>
      <c r="H4862">
        <v>47</v>
      </c>
      <c r="I4862" t="s">
        <v>146</v>
      </c>
      <c r="J4862" t="s">
        <v>138</v>
      </c>
      <c r="K4862">
        <v>0</v>
      </c>
      <c r="L4862">
        <v>3</v>
      </c>
      <c r="M4862">
        <v>0</v>
      </c>
      <c r="N4862">
        <v>2</v>
      </c>
      <c r="O4862">
        <v>0</v>
      </c>
      <c r="P4862">
        <v>1</v>
      </c>
      <c r="Q4862">
        <v>0</v>
      </c>
      <c r="R4862" t="s">
        <v>127</v>
      </c>
      <c r="S4862" t="str">
        <f t="shared" ref="S4862:T4867" si="1924">"15:18:02.000"</f>
        <v>15:18:02.000</v>
      </c>
      <c r="T4862" t="str">
        <f t="shared" si="1924"/>
        <v>15:18:02.000</v>
      </c>
      <c r="U4862" t="str">
        <f t="shared" si="1902"/>
        <v>A68FCB</v>
      </c>
      <c r="V4862">
        <v>0</v>
      </c>
      <c r="W4862">
        <v>0</v>
      </c>
      <c r="X4862">
        <v>2</v>
      </c>
      <c r="Y4862">
        <v>0</v>
      </c>
      <c r="AA4862">
        <v>1</v>
      </c>
      <c r="AB4862">
        <v>8</v>
      </c>
      <c r="AC4862">
        <v>3</v>
      </c>
      <c r="AD4862">
        <v>0</v>
      </c>
      <c r="AE4862">
        <v>9</v>
      </c>
      <c r="AF4862" t="s">
        <v>138</v>
      </c>
      <c r="AG4862">
        <v>0</v>
      </c>
      <c r="AH4862">
        <v>3</v>
      </c>
      <c r="AI4862">
        <v>2</v>
      </c>
      <c r="AJ4862">
        <v>0</v>
      </c>
      <c r="AK4862" t="s">
        <v>1539</v>
      </c>
      <c r="AL4862">
        <v>39.230117999999997</v>
      </c>
      <c r="AM4862" t="s">
        <v>1515</v>
      </c>
      <c r="AN4862">
        <v>-121.000371</v>
      </c>
      <c r="AO4862">
        <v>25</v>
      </c>
      <c r="AP4862">
        <v>4000</v>
      </c>
      <c r="AQ4862" t="s">
        <v>131</v>
      </c>
      <c r="AR4862">
        <v>-9</v>
      </c>
      <c r="AS4862">
        <v>90</v>
      </c>
      <c r="AT4862">
        <v>-128</v>
      </c>
      <c r="BB4862" t="str">
        <f t="shared" si="1903"/>
        <v>1200</v>
      </c>
      <c r="BC4862">
        <v>1</v>
      </c>
      <c r="BD4862" t="str">
        <f t="shared" si="1904"/>
        <v xml:space="preserve">N52156  </v>
      </c>
      <c r="BE4862">
        <v>1</v>
      </c>
      <c r="BG4862">
        <v>0</v>
      </c>
      <c r="BH4862">
        <v>0</v>
      </c>
      <c r="BI4862">
        <v>0</v>
      </c>
      <c r="BJ4862">
        <v>4075</v>
      </c>
      <c r="BK4862">
        <v>75</v>
      </c>
      <c r="BL4862" t="s">
        <v>188</v>
      </c>
      <c r="BM4862">
        <v>1</v>
      </c>
      <c r="BN4862">
        <v>1</v>
      </c>
      <c r="BO4862">
        <v>0</v>
      </c>
      <c r="BP4862">
        <v>0</v>
      </c>
      <c r="BS4862">
        <v>0</v>
      </c>
      <c r="BT4862">
        <v>0</v>
      </c>
      <c r="BU4862">
        <v>0</v>
      </c>
      <c r="CE4862" t="str">
        <f t="shared" ref="CE4862:CE4867" si="1925">"15:18:02.546"</f>
        <v>15:18:02.546</v>
      </c>
      <c r="CF4862">
        <v>546091055</v>
      </c>
      <c r="CS4862">
        <v>0</v>
      </c>
      <c r="CT4862">
        <v>2</v>
      </c>
      <c r="CU4862">
        <v>0</v>
      </c>
      <c r="CV4862">
        <v>2</v>
      </c>
      <c r="CW4862">
        <v>0</v>
      </c>
      <c r="CX4862">
        <v>3</v>
      </c>
      <c r="CY4862">
        <v>7</v>
      </c>
      <c r="CZ4862" t="s">
        <v>133</v>
      </c>
      <c r="DA4862">
        <v>276</v>
      </c>
      <c r="DB4862">
        <v>0</v>
      </c>
      <c r="DC4862" t="s">
        <v>402</v>
      </c>
      <c r="DD4862" t="s">
        <v>403</v>
      </c>
      <c r="DG4862">
        <v>1628854</v>
      </c>
      <c r="DI4862">
        <v>1</v>
      </c>
      <c r="DJ4862">
        <v>0</v>
      </c>
      <c r="DK4862">
        <v>0</v>
      </c>
      <c r="DL4862">
        <v>0</v>
      </c>
      <c r="DM4862">
        <v>0</v>
      </c>
      <c r="DN4862">
        <v>0</v>
      </c>
      <c r="DO4862">
        <v>0</v>
      </c>
      <c r="DP4862">
        <v>0</v>
      </c>
      <c r="DQ4862">
        <v>0</v>
      </c>
      <c r="DR4862">
        <v>0</v>
      </c>
      <c r="DS4862">
        <v>0</v>
      </c>
    </row>
    <row r="4863" spans="1:123" x14ac:dyDescent="0.3">
      <c r="A4863" t="str">
        <f>"05/01/2025 15:18:02.753"</f>
        <v>05/01/2025 15:18:02.753</v>
      </c>
      <c r="C4863" t="str">
        <f t="shared" si="1900"/>
        <v>FFDFD3C0</v>
      </c>
      <c r="D4863" t="s">
        <v>145</v>
      </c>
      <c r="E4863" t="str">
        <f>"09"</f>
        <v>09</v>
      </c>
      <c r="H4863">
        <v>51</v>
      </c>
      <c r="I4863" t="s">
        <v>147</v>
      </c>
      <c r="J4863" t="s">
        <v>138</v>
      </c>
      <c r="K4863">
        <v>0</v>
      </c>
      <c r="L4863">
        <v>3</v>
      </c>
      <c r="M4863">
        <v>0</v>
      </c>
      <c r="N4863">
        <v>2</v>
      </c>
      <c r="O4863">
        <v>0</v>
      </c>
      <c r="P4863">
        <v>1</v>
      </c>
      <c r="Q4863">
        <v>0</v>
      </c>
      <c r="R4863" t="s">
        <v>127</v>
      </c>
      <c r="S4863" t="str">
        <f t="shared" si="1924"/>
        <v>15:18:02.000</v>
      </c>
      <c r="T4863" t="str">
        <f t="shared" si="1924"/>
        <v>15:18:02.000</v>
      </c>
      <c r="U4863" t="str">
        <f t="shared" si="1902"/>
        <v>A68FCB</v>
      </c>
      <c r="V4863">
        <v>0</v>
      </c>
      <c r="W4863">
        <v>0</v>
      </c>
      <c r="X4863">
        <v>2</v>
      </c>
      <c r="Y4863">
        <v>0</v>
      </c>
      <c r="AA4863">
        <v>1</v>
      </c>
      <c r="AB4863">
        <v>8</v>
      </c>
      <c r="AC4863">
        <v>3</v>
      </c>
      <c r="AD4863">
        <v>0</v>
      </c>
      <c r="AE4863">
        <v>9</v>
      </c>
      <c r="AF4863" t="s">
        <v>138</v>
      </c>
      <c r="AG4863">
        <v>0</v>
      </c>
      <c r="AH4863">
        <v>3</v>
      </c>
      <c r="AI4863">
        <v>2</v>
      </c>
      <c r="AJ4863">
        <v>0</v>
      </c>
      <c r="AK4863" t="s">
        <v>1539</v>
      </c>
      <c r="AL4863">
        <v>39.230117999999997</v>
      </c>
      <c r="AM4863" t="s">
        <v>1515</v>
      </c>
      <c r="AN4863">
        <v>-121.000371</v>
      </c>
      <c r="AO4863">
        <v>25</v>
      </c>
      <c r="AP4863">
        <v>4000</v>
      </c>
      <c r="AQ4863" t="s">
        <v>131</v>
      </c>
      <c r="AR4863">
        <v>-9</v>
      </c>
      <c r="AS4863">
        <v>90</v>
      </c>
      <c r="AT4863">
        <v>-128</v>
      </c>
      <c r="BB4863" t="str">
        <f t="shared" si="1903"/>
        <v>1200</v>
      </c>
      <c r="BC4863">
        <v>1</v>
      </c>
      <c r="BD4863" t="str">
        <f t="shared" si="1904"/>
        <v xml:space="preserve">N52156  </v>
      </c>
      <c r="BE4863">
        <v>1</v>
      </c>
      <c r="BG4863">
        <v>0</v>
      </c>
      <c r="BH4863">
        <v>0</v>
      </c>
      <c r="BI4863">
        <v>0</v>
      </c>
      <c r="BJ4863">
        <v>4075</v>
      </c>
      <c r="BK4863">
        <v>75</v>
      </c>
      <c r="BL4863" t="s">
        <v>188</v>
      </c>
      <c r="BM4863">
        <v>1</v>
      </c>
      <c r="BN4863">
        <v>1</v>
      </c>
      <c r="BO4863">
        <v>0</v>
      </c>
      <c r="BP4863">
        <v>0</v>
      </c>
      <c r="BS4863">
        <v>0</v>
      </c>
      <c r="BT4863">
        <v>0</v>
      </c>
      <c r="BU4863">
        <v>0</v>
      </c>
      <c r="CE4863" t="str">
        <f t="shared" si="1925"/>
        <v>15:18:02.546</v>
      </c>
      <c r="CF4863">
        <v>546091055</v>
      </c>
      <c r="CS4863">
        <v>0</v>
      </c>
      <c r="CT4863">
        <v>2</v>
      </c>
      <c r="CU4863">
        <v>0</v>
      </c>
      <c r="CV4863">
        <v>2</v>
      </c>
      <c r="CW4863">
        <v>0</v>
      </c>
      <c r="CX4863">
        <v>3</v>
      </c>
      <c r="CY4863">
        <v>7</v>
      </c>
      <c r="CZ4863" t="s">
        <v>133</v>
      </c>
      <c r="DA4863">
        <v>276</v>
      </c>
      <c r="DB4863">
        <v>0</v>
      </c>
      <c r="DC4863" t="s">
        <v>402</v>
      </c>
      <c r="DD4863" t="s">
        <v>403</v>
      </c>
      <c r="DG4863">
        <v>1628854</v>
      </c>
      <c r="DI4863">
        <v>1</v>
      </c>
      <c r="DJ4863">
        <v>0</v>
      </c>
      <c r="DK4863">
        <v>1</v>
      </c>
      <c r="DL4863">
        <v>0</v>
      </c>
      <c r="DM4863">
        <v>0</v>
      </c>
      <c r="DN4863">
        <v>0</v>
      </c>
      <c r="DO4863">
        <v>0</v>
      </c>
      <c r="DP4863">
        <v>0</v>
      </c>
      <c r="DQ4863">
        <v>0</v>
      </c>
      <c r="DR4863">
        <v>0</v>
      </c>
      <c r="DS4863">
        <v>0</v>
      </c>
    </row>
    <row r="4864" spans="1:123" x14ac:dyDescent="0.3">
      <c r="A4864" t="str">
        <f>"05/01/2025 15:18:02.766"</f>
        <v>05/01/2025 15:18:02.766</v>
      </c>
      <c r="C4864" t="str">
        <f t="shared" si="1900"/>
        <v>FFDFD3C0</v>
      </c>
      <c r="D4864" t="s">
        <v>136</v>
      </c>
      <c r="E4864" t="str">
        <f>"20"</f>
        <v>20</v>
      </c>
      <c r="H4864">
        <v>400</v>
      </c>
      <c r="I4864" t="s">
        <v>137</v>
      </c>
      <c r="J4864" t="s">
        <v>138</v>
      </c>
      <c r="K4864">
        <v>0</v>
      </c>
      <c r="L4864">
        <v>3</v>
      </c>
      <c r="M4864">
        <v>0</v>
      </c>
      <c r="N4864">
        <v>2</v>
      </c>
      <c r="O4864">
        <v>0</v>
      </c>
      <c r="P4864">
        <v>1</v>
      </c>
      <c r="Q4864">
        <v>0</v>
      </c>
      <c r="R4864" t="s">
        <v>127</v>
      </c>
      <c r="S4864" t="str">
        <f t="shared" si="1924"/>
        <v>15:18:02.000</v>
      </c>
      <c r="T4864" t="str">
        <f t="shared" si="1924"/>
        <v>15:18:02.000</v>
      </c>
      <c r="U4864" t="str">
        <f t="shared" si="1902"/>
        <v>A68FCB</v>
      </c>
      <c r="V4864">
        <v>0</v>
      </c>
      <c r="W4864">
        <v>0</v>
      </c>
      <c r="X4864">
        <v>2</v>
      </c>
      <c r="Y4864">
        <v>0</v>
      </c>
      <c r="AA4864">
        <v>1</v>
      </c>
      <c r="AB4864">
        <v>8</v>
      </c>
      <c r="AC4864">
        <v>3</v>
      </c>
      <c r="AD4864">
        <v>0</v>
      </c>
      <c r="AE4864">
        <v>9</v>
      </c>
      <c r="AF4864" t="s">
        <v>138</v>
      </c>
      <c r="AG4864">
        <v>0</v>
      </c>
      <c r="AH4864">
        <v>3</v>
      </c>
      <c r="AI4864">
        <v>2</v>
      </c>
      <c r="AJ4864">
        <v>0</v>
      </c>
      <c r="AK4864" t="s">
        <v>1539</v>
      </c>
      <c r="AL4864">
        <v>39.230117999999997</v>
      </c>
      <c r="AM4864" t="s">
        <v>1515</v>
      </c>
      <c r="AN4864">
        <v>-121.000371</v>
      </c>
      <c r="AO4864">
        <v>25</v>
      </c>
      <c r="AP4864">
        <v>4000</v>
      </c>
      <c r="AQ4864" t="s">
        <v>131</v>
      </c>
      <c r="AR4864">
        <v>-9</v>
      </c>
      <c r="AS4864">
        <v>90</v>
      </c>
      <c r="AT4864">
        <v>-128</v>
      </c>
      <c r="BB4864" t="str">
        <f t="shared" si="1903"/>
        <v>1200</v>
      </c>
      <c r="BC4864">
        <v>1</v>
      </c>
      <c r="BD4864" t="str">
        <f t="shared" si="1904"/>
        <v xml:space="preserve">N52156  </v>
      </c>
      <c r="BE4864">
        <v>1</v>
      </c>
      <c r="BG4864">
        <v>0</v>
      </c>
      <c r="BH4864">
        <v>0</v>
      </c>
      <c r="BI4864">
        <v>0</v>
      </c>
      <c r="BJ4864">
        <v>4075</v>
      </c>
      <c r="BK4864">
        <v>75</v>
      </c>
      <c r="BL4864" t="s">
        <v>188</v>
      </c>
      <c r="BM4864">
        <v>1</v>
      </c>
      <c r="BN4864">
        <v>1</v>
      </c>
      <c r="BO4864">
        <v>0</v>
      </c>
      <c r="BP4864">
        <v>0</v>
      </c>
      <c r="BS4864">
        <v>0</v>
      </c>
      <c r="BT4864">
        <v>0</v>
      </c>
      <c r="BU4864">
        <v>0</v>
      </c>
      <c r="CE4864" t="str">
        <f t="shared" si="1925"/>
        <v>15:18:02.546</v>
      </c>
      <c r="CF4864">
        <v>546091055</v>
      </c>
      <c r="CS4864">
        <v>0</v>
      </c>
      <c r="CT4864">
        <v>2</v>
      </c>
      <c r="CU4864">
        <v>0</v>
      </c>
      <c r="CV4864">
        <v>2</v>
      </c>
      <c r="CW4864">
        <v>0</v>
      </c>
      <c r="CX4864">
        <v>3</v>
      </c>
      <c r="CY4864">
        <v>7</v>
      </c>
      <c r="CZ4864" t="s">
        <v>133</v>
      </c>
      <c r="DA4864">
        <v>276</v>
      </c>
      <c r="DB4864">
        <v>0</v>
      </c>
      <c r="DC4864" t="s">
        <v>402</v>
      </c>
      <c r="DD4864" t="s">
        <v>403</v>
      </c>
      <c r="DG4864">
        <v>1628854</v>
      </c>
      <c r="DI4864">
        <v>1</v>
      </c>
      <c r="DJ4864">
        <v>0</v>
      </c>
      <c r="DK4864">
        <v>1</v>
      </c>
      <c r="DL4864">
        <v>0</v>
      </c>
      <c r="DM4864">
        <v>0</v>
      </c>
      <c r="DN4864">
        <v>0</v>
      </c>
      <c r="DO4864">
        <v>0</v>
      </c>
      <c r="DP4864">
        <v>0</v>
      </c>
      <c r="DQ4864">
        <v>0</v>
      </c>
      <c r="DR4864">
        <v>0</v>
      </c>
      <c r="DS4864">
        <v>0</v>
      </c>
    </row>
    <row r="4865" spans="1:123" x14ac:dyDescent="0.3">
      <c r="A4865" t="str">
        <f>"05/01/2025 15:18:02.780"</f>
        <v>05/01/2025 15:18:02.780</v>
      </c>
      <c r="C4865" t="str">
        <f t="shared" si="1900"/>
        <v>FFDFD3C0</v>
      </c>
      <c r="D4865" t="s">
        <v>140</v>
      </c>
      <c r="E4865" t="str">
        <f>"13"</f>
        <v>13</v>
      </c>
      <c r="F4865">
        <v>1019</v>
      </c>
      <c r="G4865" t="s">
        <v>141</v>
      </c>
      <c r="J4865" t="s">
        <v>142</v>
      </c>
      <c r="K4865">
        <v>0</v>
      </c>
      <c r="L4865">
        <v>3</v>
      </c>
      <c r="M4865">
        <v>0</v>
      </c>
      <c r="N4865">
        <v>2</v>
      </c>
      <c r="O4865">
        <v>0</v>
      </c>
      <c r="P4865">
        <v>1</v>
      </c>
      <c r="Q4865">
        <v>0</v>
      </c>
      <c r="R4865" t="s">
        <v>127</v>
      </c>
      <c r="S4865" t="str">
        <f t="shared" si="1924"/>
        <v>15:18:02.000</v>
      </c>
      <c r="T4865" t="str">
        <f t="shared" si="1924"/>
        <v>15:18:02.000</v>
      </c>
      <c r="U4865" t="str">
        <f t="shared" si="1902"/>
        <v>A68FCB</v>
      </c>
      <c r="V4865">
        <v>0</v>
      </c>
      <c r="W4865">
        <v>0</v>
      </c>
      <c r="X4865">
        <v>2</v>
      </c>
      <c r="Y4865">
        <v>0</v>
      </c>
      <c r="AA4865">
        <v>1</v>
      </c>
      <c r="AB4865">
        <v>8</v>
      </c>
      <c r="AC4865">
        <v>3</v>
      </c>
      <c r="AD4865">
        <v>0</v>
      </c>
      <c r="AE4865">
        <v>9</v>
      </c>
      <c r="AF4865" t="s">
        <v>138</v>
      </c>
      <c r="AG4865">
        <v>0</v>
      </c>
      <c r="AH4865">
        <v>3</v>
      </c>
      <c r="AI4865">
        <v>2</v>
      </c>
      <c r="AJ4865">
        <v>0</v>
      </c>
      <c r="AK4865" t="s">
        <v>1539</v>
      </c>
      <c r="AL4865">
        <v>39.230117999999997</v>
      </c>
      <c r="AM4865" t="s">
        <v>1515</v>
      </c>
      <c r="AN4865">
        <v>-121.000371</v>
      </c>
      <c r="AO4865">
        <v>25</v>
      </c>
      <c r="AP4865">
        <v>4000</v>
      </c>
      <c r="AQ4865" t="s">
        <v>131</v>
      </c>
      <c r="AR4865">
        <v>-9</v>
      </c>
      <c r="AS4865">
        <v>90</v>
      </c>
      <c r="AT4865">
        <v>-128</v>
      </c>
      <c r="BB4865" t="str">
        <f t="shared" si="1903"/>
        <v>1200</v>
      </c>
      <c r="BC4865">
        <v>1</v>
      </c>
      <c r="BD4865" t="str">
        <f t="shared" si="1904"/>
        <v xml:space="preserve">N52156  </v>
      </c>
      <c r="BE4865">
        <v>1</v>
      </c>
      <c r="BG4865">
        <v>0</v>
      </c>
      <c r="BH4865">
        <v>0</v>
      </c>
      <c r="BI4865">
        <v>0</v>
      </c>
      <c r="BJ4865">
        <v>4075</v>
      </c>
      <c r="BK4865">
        <v>75</v>
      </c>
      <c r="BL4865" t="s">
        <v>188</v>
      </c>
      <c r="BM4865">
        <v>1</v>
      </c>
      <c r="BN4865">
        <v>1</v>
      </c>
      <c r="BO4865">
        <v>0</v>
      </c>
      <c r="BP4865">
        <v>0</v>
      </c>
      <c r="BS4865">
        <v>0</v>
      </c>
      <c r="BT4865">
        <v>0</v>
      </c>
      <c r="BU4865">
        <v>0</v>
      </c>
      <c r="CE4865" t="str">
        <f t="shared" si="1925"/>
        <v>15:18:02.546</v>
      </c>
      <c r="CF4865">
        <v>546091055</v>
      </c>
      <c r="CS4865">
        <v>0</v>
      </c>
      <c r="CT4865">
        <v>2</v>
      </c>
      <c r="CU4865">
        <v>0</v>
      </c>
      <c r="CV4865">
        <v>2</v>
      </c>
      <c r="CW4865">
        <v>0</v>
      </c>
      <c r="CX4865">
        <v>3</v>
      </c>
      <c r="CY4865">
        <v>7</v>
      </c>
      <c r="CZ4865" t="s">
        <v>133</v>
      </c>
      <c r="DA4865">
        <v>276</v>
      </c>
      <c r="DB4865">
        <v>0</v>
      </c>
      <c r="DC4865" t="s">
        <v>402</v>
      </c>
      <c r="DD4865" t="s">
        <v>403</v>
      </c>
      <c r="DG4865">
        <v>1628854</v>
      </c>
      <c r="DI4865">
        <v>1</v>
      </c>
      <c r="DJ4865">
        <v>0</v>
      </c>
      <c r="DK4865">
        <v>1</v>
      </c>
      <c r="DL4865">
        <v>0</v>
      </c>
      <c r="DM4865">
        <v>0</v>
      </c>
      <c r="DN4865">
        <v>0</v>
      </c>
      <c r="DO4865">
        <v>0</v>
      </c>
      <c r="DP4865">
        <v>0</v>
      </c>
      <c r="DQ4865">
        <v>0</v>
      </c>
      <c r="DR4865">
        <v>0</v>
      </c>
      <c r="DS4865">
        <v>0</v>
      </c>
    </row>
    <row r="4866" spans="1:123" x14ac:dyDescent="0.3">
      <c r="A4866" t="str">
        <f>"05/01/2025 15:18:02.782"</f>
        <v>05/01/2025 15:18:02.782</v>
      </c>
      <c r="C4866" t="str">
        <f t="shared" ref="C4866:C4929" si="1926">"FFDFD3C0"</f>
        <v>FFDFD3C0</v>
      </c>
      <c r="D4866" t="s">
        <v>124</v>
      </c>
      <c r="E4866" t="str">
        <f>"06"</f>
        <v>06</v>
      </c>
      <c r="F4866">
        <v>2006</v>
      </c>
      <c r="G4866" t="s">
        <v>125</v>
      </c>
      <c r="J4866" t="s">
        <v>126</v>
      </c>
      <c r="K4866">
        <v>0</v>
      </c>
      <c r="L4866">
        <v>3</v>
      </c>
      <c r="M4866">
        <v>0</v>
      </c>
      <c r="N4866">
        <v>2</v>
      </c>
      <c r="O4866">
        <v>0</v>
      </c>
      <c r="P4866">
        <v>1</v>
      </c>
      <c r="Q4866">
        <v>0</v>
      </c>
      <c r="R4866" t="s">
        <v>127</v>
      </c>
      <c r="S4866" t="str">
        <f t="shared" si="1924"/>
        <v>15:18:02.000</v>
      </c>
      <c r="T4866" t="str">
        <f t="shared" si="1924"/>
        <v>15:18:02.000</v>
      </c>
      <c r="U4866" t="str">
        <f t="shared" ref="U4866:U4929" si="1927">"A68FCB"</f>
        <v>A68FCB</v>
      </c>
      <c r="V4866">
        <v>0</v>
      </c>
      <c r="W4866">
        <v>0</v>
      </c>
      <c r="X4866">
        <v>2</v>
      </c>
      <c r="Y4866">
        <v>0</v>
      </c>
      <c r="AA4866">
        <v>1</v>
      </c>
      <c r="AB4866">
        <v>8</v>
      </c>
      <c r="AC4866">
        <v>3</v>
      </c>
      <c r="AD4866">
        <v>0</v>
      </c>
      <c r="AE4866">
        <v>9</v>
      </c>
      <c r="AF4866" t="s">
        <v>138</v>
      </c>
      <c r="AG4866">
        <v>0</v>
      </c>
      <c r="AH4866">
        <v>3</v>
      </c>
      <c r="AI4866">
        <v>2</v>
      </c>
      <c r="AJ4866">
        <v>0</v>
      </c>
      <c r="AK4866" t="s">
        <v>1539</v>
      </c>
      <c r="AL4866">
        <v>39.230117999999997</v>
      </c>
      <c r="AM4866" t="s">
        <v>1515</v>
      </c>
      <c r="AN4866">
        <v>-121.000371</v>
      </c>
      <c r="AO4866">
        <v>25</v>
      </c>
      <c r="AP4866">
        <v>4000</v>
      </c>
      <c r="AQ4866" t="s">
        <v>131</v>
      </c>
      <c r="AR4866">
        <v>-9</v>
      </c>
      <c r="AS4866">
        <v>90</v>
      </c>
      <c r="AT4866">
        <v>-128</v>
      </c>
      <c r="BB4866" t="str">
        <f t="shared" ref="BB4866:BB4929" si="1928">"1200"</f>
        <v>1200</v>
      </c>
      <c r="BC4866">
        <v>1</v>
      </c>
      <c r="BD4866" t="str">
        <f t="shared" ref="BD4866:BD4929" si="1929">"N52156  "</f>
        <v xml:space="preserve">N52156  </v>
      </c>
      <c r="BE4866">
        <v>1</v>
      </c>
      <c r="BG4866">
        <v>0</v>
      </c>
      <c r="BH4866">
        <v>0</v>
      </c>
      <c r="BI4866">
        <v>0</v>
      </c>
      <c r="BJ4866">
        <v>4075</v>
      </c>
      <c r="BK4866">
        <v>75</v>
      </c>
      <c r="BL4866" t="s">
        <v>188</v>
      </c>
      <c r="BM4866">
        <v>1</v>
      </c>
      <c r="BN4866">
        <v>1</v>
      </c>
      <c r="BO4866">
        <v>0</v>
      </c>
      <c r="BP4866">
        <v>0</v>
      </c>
      <c r="BS4866">
        <v>0</v>
      </c>
      <c r="BT4866">
        <v>0</v>
      </c>
      <c r="BU4866">
        <v>0</v>
      </c>
      <c r="CE4866" t="str">
        <f t="shared" si="1925"/>
        <v>15:18:02.546</v>
      </c>
      <c r="CF4866">
        <v>546091055</v>
      </c>
      <c r="CS4866">
        <v>0</v>
      </c>
      <c r="CT4866">
        <v>2</v>
      </c>
      <c r="CU4866">
        <v>0</v>
      </c>
      <c r="CV4866">
        <v>2</v>
      </c>
      <c r="CW4866">
        <v>0</v>
      </c>
      <c r="CX4866">
        <v>3</v>
      </c>
      <c r="CY4866">
        <v>7</v>
      </c>
      <c r="CZ4866" t="s">
        <v>133</v>
      </c>
      <c r="DA4866">
        <v>276</v>
      </c>
      <c r="DB4866">
        <v>0</v>
      </c>
      <c r="DC4866" t="s">
        <v>402</v>
      </c>
      <c r="DD4866" t="s">
        <v>403</v>
      </c>
      <c r="DG4866">
        <v>1628854</v>
      </c>
      <c r="DI4866">
        <v>1</v>
      </c>
      <c r="DJ4866">
        <v>0</v>
      </c>
      <c r="DK4866">
        <v>1</v>
      </c>
      <c r="DL4866">
        <v>0</v>
      </c>
      <c r="DM4866">
        <v>0</v>
      </c>
      <c r="DN4866">
        <v>0</v>
      </c>
      <c r="DO4866">
        <v>0</v>
      </c>
      <c r="DP4866">
        <v>0</v>
      </c>
      <c r="DQ4866">
        <v>0</v>
      </c>
      <c r="DR4866">
        <v>0</v>
      </c>
      <c r="DS4866">
        <v>0</v>
      </c>
    </row>
    <row r="4867" spans="1:123" x14ac:dyDescent="0.3">
      <c r="A4867" t="str">
        <f>"05/01/2025 15:18:02.791"</f>
        <v>05/01/2025 15:18:02.791</v>
      </c>
      <c r="C4867" t="str">
        <f t="shared" si="1926"/>
        <v>FFDFD3C0</v>
      </c>
      <c r="D4867" t="s">
        <v>143</v>
      </c>
      <c r="E4867" t="str">
        <f>"05"</f>
        <v>05</v>
      </c>
      <c r="H4867">
        <v>172</v>
      </c>
      <c r="I4867" t="s">
        <v>141</v>
      </c>
      <c r="J4867" t="s">
        <v>144</v>
      </c>
      <c r="K4867">
        <v>0</v>
      </c>
      <c r="L4867">
        <v>3</v>
      </c>
      <c r="M4867">
        <v>0</v>
      </c>
      <c r="N4867">
        <v>2</v>
      </c>
      <c r="O4867">
        <v>0</v>
      </c>
      <c r="P4867">
        <v>1</v>
      </c>
      <c r="Q4867">
        <v>0</v>
      </c>
      <c r="R4867" t="s">
        <v>127</v>
      </c>
      <c r="S4867" t="str">
        <f t="shared" si="1924"/>
        <v>15:18:02.000</v>
      </c>
      <c r="T4867" t="str">
        <f t="shared" si="1924"/>
        <v>15:18:02.000</v>
      </c>
      <c r="U4867" t="str">
        <f t="shared" si="1927"/>
        <v>A68FCB</v>
      </c>
      <c r="V4867">
        <v>0</v>
      </c>
      <c r="W4867">
        <v>0</v>
      </c>
      <c r="X4867">
        <v>2</v>
      </c>
      <c r="Y4867">
        <v>0</v>
      </c>
      <c r="AA4867">
        <v>1</v>
      </c>
      <c r="AB4867">
        <v>8</v>
      </c>
      <c r="AC4867">
        <v>3</v>
      </c>
      <c r="AD4867">
        <v>0</v>
      </c>
      <c r="AE4867">
        <v>9</v>
      </c>
      <c r="AF4867" t="s">
        <v>138</v>
      </c>
      <c r="AG4867">
        <v>0</v>
      </c>
      <c r="AH4867">
        <v>3</v>
      </c>
      <c r="AI4867">
        <v>2</v>
      </c>
      <c r="AJ4867">
        <v>0</v>
      </c>
      <c r="AK4867" t="s">
        <v>1539</v>
      </c>
      <c r="AL4867">
        <v>39.230117999999997</v>
      </c>
      <c r="AM4867" t="s">
        <v>1515</v>
      </c>
      <c r="AN4867">
        <v>-121.000371</v>
      </c>
      <c r="AO4867">
        <v>25</v>
      </c>
      <c r="AP4867">
        <v>4000</v>
      </c>
      <c r="AQ4867" t="s">
        <v>131</v>
      </c>
      <c r="AR4867">
        <v>-9</v>
      </c>
      <c r="AS4867">
        <v>90</v>
      </c>
      <c r="AT4867">
        <v>-128</v>
      </c>
      <c r="BB4867" t="str">
        <f t="shared" si="1928"/>
        <v>1200</v>
      </c>
      <c r="BC4867">
        <v>1</v>
      </c>
      <c r="BD4867" t="str">
        <f t="shared" si="1929"/>
        <v xml:space="preserve">N52156  </v>
      </c>
      <c r="BE4867">
        <v>1</v>
      </c>
      <c r="BG4867">
        <v>0</v>
      </c>
      <c r="BH4867">
        <v>0</v>
      </c>
      <c r="BI4867">
        <v>0</v>
      </c>
      <c r="BJ4867">
        <v>4075</v>
      </c>
      <c r="BK4867">
        <v>75</v>
      </c>
      <c r="BL4867" t="s">
        <v>188</v>
      </c>
      <c r="BM4867">
        <v>1</v>
      </c>
      <c r="BN4867">
        <v>1</v>
      </c>
      <c r="BO4867">
        <v>0</v>
      </c>
      <c r="BP4867">
        <v>0</v>
      </c>
      <c r="BS4867">
        <v>0</v>
      </c>
      <c r="BT4867">
        <v>0</v>
      </c>
      <c r="BU4867">
        <v>0</v>
      </c>
      <c r="CE4867" t="str">
        <f t="shared" si="1925"/>
        <v>15:18:02.546</v>
      </c>
      <c r="CF4867">
        <v>546091055</v>
      </c>
      <c r="CS4867">
        <v>0</v>
      </c>
      <c r="CT4867">
        <v>2</v>
      </c>
      <c r="CU4867">
        <v>0</v>
      </c>
      <c r="CV4867">
        <v>2</v>
      </c>
      <c r="CW4867">
        <v>0</v>
      </c>
      <c r="CX4867">
        <v>3</v>
      </c>
      <c r="CY4867">
        <v>7</v>
      </c>
      <c r="CZ4867" t="s">
        <v>133</v>
      </c>
      <c r="DA4867">
        <v>276</v>
      </c>
      <c r="DB4867">
        <v>0</v>
      </c>
      <c r="DC4867" t="s">
        <v>402</v>
      </c>
      <c r="DD4867" t="s">
        <v>403</v>
      </c>
      <c r="DG4867">
        <v>1628854</v>
      </c>
      <c r="DI4867">
        <v>1</v>
      </c>
      <c r="DJ4867">
        <v>0</v>
      </c>
      <c r="DK4867">
        <v>1</v>
      </c>
      <c r="DL4867">
        <v>0</v>
      </c>
      <c r="DM4867">
        <v>0</v>
      </c>
      <c r="DN4867">
        <v>0</v>
      </c>
      <c r="DO4867">
        <v>0</v>
      </c>
      <c r="DP4867">
        <v>0</v>
      </c>
      <c r="DQ4867">
        <v>0</v>
      </c>
      <c r="DR4867">
        <v>0</v>
      </c>
      <c r="DS4867">
        <v>0</v>
      </c>
    </row>
    <row r="4868" spans="1:123" x14ac:dyDescent="0.3">
      <c r="A4868" t="str">
        <f>"05/01/2025 15:18:03.832"</f>
        <v>05/01/2025 15:18:03.832</v>
      </c>
      <c r="C4868" t="str">
        <f t="shared" si="1926"/>
        <v>FFDFD3C0</v>
      </c>
      <c r="D4868" t="s">
        <v>140</v>
      </c>
      <c r="E4868" t="str">
        <f>"13"</f>
        <v>13</v>
      </c>
      <c r="F4868">
        <v>1019</v>
      </c>
      <c r="G4868" t="s">
        <v>141</v>
      </c>
      <c r="J4868" t="s">
        <v>142</v>
      </c>
      <c r="K4868">
        <v>0</v>
      </c>
      <c r="L4868">
        <v>3</v>
      </c>
      <c r="M4868">
        <v>0</v>
      </c>
      <c r="N4868">
        <v>2</v>
      </c>
      <c r="O4868">
        <v>0</v>
      </c>
      <c r="P4868">
        <v>1</v>
      </c>
      <c r="Q4868">
        <v>0</v>
      </c>
      <c r="R4868" t="s">
        <v>127</v>
      </c>
      <c r="S4868" t="str">
        <f t="shared" ref="S4868:T4873" si="1930">"15:18:03.000"</f>
        <v>15:18:03.000</v>
      </c>
      <c r="T4868" t="str">
        <f t="shared" si="1930"/>
        <v>15:18:03.000</v>
      </c>
      <c r="U4868" t="str">
        <f t="shared" si="1927"/>
        <v>A68FCB</v>
      </c>
      <c r="V4868">
        <v>0</v>
      </c>
      <c r="W4868">
        <v>0</v>
      </c>
      <c r="X4868">
        <v>2</v>
      </c>
      <c r="Y4868">
        <v>0</v>
      </c>
      <c r="AA4868">
        <v>1</v>
      </c>
      <c r="AB4868">
        <v>8</v>
      </c>
      <c r="AC4868">
        <v>3</v>
      </c>
      <c r="AD4868">
        <v>0</v>
      </c>
      <c r="AE4868">
        <v>9</v>
      </c>
      <c r="AF4868" t="s">
        <v>138</v>
      </c>
      <c r="AG4868">
        <v>0</v>
      </c>
      <c r="AH4868">
        <v>3</v>
      </c>
      <c r="AI4868">
        <v>2</v>
      </c>
      <c r="AJ4868">
        <v>0</v>
      </c>
      <c r="AK4868" t="s">
        <v>1540</v>
      </c>
      <c r="AL4868">
        <v>39.230547000000001</v>
      </c>
      <c r="AM4868" t="s">
        <v>1541</v>
      </c>
      <c r="AN4868">
        <v>-121.00041400000001</v>
      </c>
      <c r="AO4868">
        <v>25</v>
      </c>
      <c r="AP4868">
        <v>4000</v>
      </c>
      <c r="AQ4868" t="s">
        <v>131</v>
      </c>
      <c r="AR4868">
        <v>-13</v>
      </c>
      <c r="AS4868">
        <v>92</v>
      </c>
      <c r="AT4868">
        <v>-128</v>
      </c>
      <c r="BB4868" t="str">
        <f t="shared" si="1928"/>
        <v>1200</v>
      </c>
      <c r="BC4868">
        <v>1</v>
      </c>
      <c r="BD4868" t="str">
        <f t="shared" si="1929"/>
        <v xml:space="preserve">N52156  </v>
      </c>
      <c r="BE4868">
        <v>1</v>
      </c>
      <c r="BG4868">
        <v>0</v>
      </c>
      <c r="BH4868">
        <v>0</v>
      </c>
      <c r="BI4868">
        <v>0</v>
      </c>
      <c r="BJ4868">
        <v>4075</v>
      </c>
      <c r="BK4868">
        <v>75</v>
      </c>
      <c r="BL4868" t="s">
        <v>188</v>
      </c>
      <c r="BM4868">
        <v>1</v>
      </c>
      <c r="BN4868">
        <v>1</v>
      </c>
      <c r="BO4868">
        <v>0</v>
      </c>
      <c r="BP4868">
        <v>0</v>
      </c>
      <c r="BS4868">
        <v>0</v>
      </c>
      <c r="BT4868">
        <v>0</v>
      </c>
      <c r="BU4868">
        <v>0</v>
      </c>
      <c r="CE4868" t="str">
        <f t="shared" ref="CE4868:CE4873" si="1931">"15:18:03.637"</f>
        <v>15:18:03.637</v>
      </c>
      <c r="CF4868">
        <v>637091409</v>
      </c>
      <c r="CS4868">
        <v>0</v>
      </c>
      <c r="CT4868">
        <v>2</v>
      </c>
      <c r="CU4868">
        <v>0</v>
      </c>
      <c r="CV4868">
        <v>2</v>
      </c>
      <c r="CW4868">
        <v>0</v>
      </c>
      <c r="CX4868">
        <v>3</v>
      </c>
      <c r="CY4868">
        <v>7</v>
      </c>
      <c r="CZ4868" t="s">
        <v>133</v>
      </c>
      <c r="DA4868">
        <v>276</v>
      </c>
      <c r="DB4868">
        <v>0</v>
      </c>
      <c r="DC4868" t="s">
        <v>402</v>
      </c>
      <c r="DD4868" t="s">
        <v>403</v>
      </c>
      <c r="DG4868">
        <v>1628858</v>
      </c>
      <c r="DI4868">
        <v>1</v>
      </c>
      <c r="DJ4868">
        <v>0</v>
      </c>
      <c r="DK4868">
        <v>0</v>
      </c>
      <c r="DL4868">
        <v>0</v>
      </c>
      <c r="DM4868">
        <v>0</v>
      </c>
      <c r="DN4868">
        <v>0</v>
      </c>
      <c r="DO4868">
        <v>0</v>
      </c>
      <c r="DP4868">
        <v>0</v>
      </c>
      <c r="DQ4868">
        <v>0</v>
      </c>
      <c r="DR4868">
        <v>0</v>
      </c>
      <c r="DS4868">
        <v>0</v>
      </c>
    </row>
    <row r="4869" spans="1:123" x14ac:dyDescent="0.3">
      <c r="A4869" t="str">
        <f>"05/01/2025 15:18:03.834"</f>
        <v>05/01/2025 15:18:03.834</v>
      </c>
      <c r="C4869" t="str">
        <f t="shared" si="1926"/>
        <v>FFDFD3C0</v>
      </c>
      <c r="D4869" t="s">
        <v>124</v>
      </c>
      <c r="E4869" t="str">
        <f>"06"</f>
        <v>06</v>
      </c>
      <c r="F4869">
        <v>2006</v>
      </c>
      <c r="G4869" t="s">
        <v>125</v>
      </c>
      <c r="J4869" t="s">
        <v>126</v>
      </c>
      <c r="K4869">
        <v>0</v>
      </c>
      <c r="L4869">
        <v>3</v>
      </c>
      <c r="M4869">
        <v>0</v>
      </c>
      <c r="N4869">
        <v>2</v>
      </c>
      <c r="O4869">
        <v>0</v>
      </c>
      <c r="P4869">
        <v>1</v>
      </c>
      <c r="Q4869">
        <v>0</v>
      </c>
      <c r="R4869" t="s">
        <v>127</v>
      </c>
      <c r="S4869" t="str">
        <f t="shared" si="1930"/>
        <v>15:18:03.000</v>
      </c>
      <c r="T4869" t="str">
        <f t="shared" si="1930"/>
        <v>15:18:03.000</v>
      </c>
      <c r="U4869" t="str">
        <f t="shared" si="1927"/>
        <v>A68FCB</v>
      </c>
      <c r="V4869">
        <v>0</v>
      </c>
      <c r="W4869">
        <v>0</v>
      </c>
      <c r="X4869">
        <v>2</v>
      </c>
      <c r="Y4869">
        <v>0</v>
      </c>
      <c r="AA4869">
        <v>1</v>
      </c>
      <c r="AB4869">
        <v>8</v>
      </c>
      <c r="AC4869">
        <v>3</v>
      </c>
      <c r="AD4869">
        <v>0</v>
      </c>
      <c r="AE4869">
        <v>9</v>
      </c>
      <c r="AF4869" t="s">
        <v>138</v>
      </c>
      <c r="AG4869">
        <v>0</v>
      </c>
      <c r="AH4869">
        <v>3</v>
      </c>
      <c r="AI4869">
        <v>2</v>
      </c>
      <c r="AJ4869">
        <v>0</v>
      </c>
      <c r="AK4869" t="s">
        <v>1540</v>
      </c>
      <c r="AL4869">
        <v>39.230547000000001</v>
      </c>
      <c r="AM4869" t="s">
        <v>1541</v>
      </c>
      <c r="AN4869">
        <v>-121.00041400000001</v>
      </c>
      <c r="AO4869">
        <v>25</v>
      </c>
      <c r="AP4869">
        <v>4000</v>
      </c>
      <c r="AQ4869" t="s">
        <v>131</v>
      </c>
      <c r="AR4869">
        <v>-13</v>
      </c>
      <c r="AS4869">
        <v>92</v>
      </c>
      <c r="AT4869">
        <v>-128</v>
      </c>
      <c r="BB4869" t="str">
        <f t="shared" si="1928"/>
        <v>1200</v>
      </c>
      <c r="BC4869">
        <v>1</v>
      </c>
      <c r="BD4869" t="str">
        <f t="shared" si="1929"/>
        <v xml:space="preserve">N52156  </v>
      </c>
      <c r="BE4869">
        <v>1</v>
      </c>
      <c r="BG4869">
        <v>0</v>
      </c>
      <c r="BH4869">
        <v>0</v>
      </c>
      <c r="BI4869">
        <v>0</v>
      </c>
      <c r="BJ4869">
        <v>4075</v>
      </c>
      <c r="BK4869">
        <v>75</v>
      </c>
      <c r="BL4869" t="s">
        <v>188</v>
      </c>
      <c r="BM4869">
        <v>1</v>
      </c>
      <c r="BN4869">
        <v>1</v>
      </c>
      <c r="BO4869">
        <v>0</v>
      </c>
      <c r="BP4869">
        <v>0</v>
      </c>
      <c r="BS4869">
        <v>0</v>
      </c>
      <c r="BT4869">
        <v>0</v>
      </c>
      <c r="BU4869">
        <v>0</v>
      </c>
      <c r="CE4869" t="str">
        <f t="shared" si="1931"/>
        <v>15:18:03.637</v>
      </c>
      <c r="CF4869">
        <v>637091409</v>
      </c>
      <c r="CS4869">
        <v>0</v>
      </c>
      <c r="CT4869">
        <v>2</v>
      </c>
      <c r="CU4869">
        <v>0</v>
      </c>
      <c r="CV4869">
        <v>2</v>
      </c>
      <c r="CW4869">
        <v>0</v>
      </c>
      <c r="CX4869">
        <v>3</v>
      </c>
      <c r="CY4869">
        <v>7</v>
      </c>
      <c r="CZ4869" t="s">
        <v>133</v>
      </c>
      <c r="DA4869">
        <v>276</v>
      </c>
      <c r="DB4869">
        <v>0</v>
      </c>
      <c r="DC4869" t="s">
        <v>402</v>
      </c>
      <c r="DD4869" t="s">
        <v>403</v>
      </c>
      <c r="DG4869">
        <v>1628858</v>
      </c>
      <c r="DI4869">
        <v>1</v>
      </c>
      <c r="DJ4869">
        <v>0</v>
      </c>
      <c r="DK4869">
        <v>1</v>
      </c>
      <c r="DL4869">
        <v>0</v>
      </c>
      <c r="DM4869">
        <v>0</v>
      </c>
      <c r="DN4869">
        <v>0</v>
      </c>
      <c r="DO4869">
        <v>0</v>
      </c>
      <c r="DP4869">
        <v>0</v>
      </c>
      <c r="DQ4869">
        <v>0</v>
      </c>
      <c r="DR4869">
        <v>0</v>
      </c>
      <c r="DS4869">
        <v>0</v>
      </c>
    </row>
    <row r="4870" spans="1:123" x14ac:dyDescent="0.3">
      <c r="A4870" t="str">
        <f>"05/01/2025 15:18:03.842"</f>
        <v>05/01/2025 15:18:03.842</v>
      </c>
      <c r="C4870" t="str">
        <f t="shared" si="1926"/>
        <v>FFDFD3C0</v>
      </c>
      <c r="D4870" t="s">
        <v>143</v>
      </c>
      <c r="E4870" t="str">
        <f>"05"</f>
        <v>05</v>
      </c>
      <c r="H4870">
        <v>172</v>
      </c>
      <c r="I4870" t="s">
        <v>141</v>
      </c>
      <c r="J4870" t="s">
        <v>144</v>
      </c>
      <c r="K4870">
        <v>0</v>
      </c>
      <c r="L4870">
        <v>3</v>
      </c>
      <c r="M4870">
        <v>0</v>
      </c>
      <c r="N4870">
        <v>2</v>
      </c>
      <c r="O4870">
        <v>0</v>
      </c>
      <c r="P4870">
        <v>1</v>
      </c>
      <c r="Q4870">
        <v>0</v>
      </c>
      <c r="R4870" t="s">
        <v>127</v>
      </c>
      <c r="S4870" t="str">
        <f t="shared" si="1930"/>
        <v>15:18:03.000</v>
      </c>
      <c r="T4870" t="str">
        <f t="shared" si="1930"/>
        <v>15:18:03.000</v>
      </c>
      <c r="U4870" t="str">
        <f t="shared" si="1927"/>
        <v>A68FCB</v>
      </c>
      <c r="V4870">
        <v>0</v>
      </c>
      <c r="W4870">
        <v>0</v>
      </c>
      <c r="X4870">
        <v>2</v>
      </c>
      <c r="Y4870">
        <v>0</v>
      </c>
      <c r="AA4870">
        <v>1</v>
      </c>
      <c r="AB4870">
        <v>8</v>
      </c>
      <c r="AC4870">
        <v>3</v>
      </c>
      <c r="AD4870">
        <v>0</v>
      </c>
      <c r="AE4870">
        <v>9</v>
      </c>
      <c r="AF4870" t="s">
        <v>138</v>
      </c>
      <c r="AG4870">
        <v>0</v>
      </c>
      <c r="AH4870">
        <v>3</v>
      </c>
      <c r="AI4870">
        <v>2</v>
      </c>
      <c r="AJ4870">
        <v>0</v>
      </c>
      <c r="AK4870" t="s">
        <v>1540</v>
      </c>
      <c r="AL4870">
        <v>39.230547000000001</v>
      </c>
      <c r="AM4870" t="s">
        <v>1541</v>
      </c>
      <c r="AN4870">
        <v>-121.00041400000001</v>
      </c>
      <c r="AO4870">
        <v>25</v>
      </c>
      <c r="AP4870">
        <v>4000</v>
      </c>
      <c r="AQ4870" t="s">
        <v>131</v>
      </c>
      <c r="AR4870">
        <v>-13</v>
      </c>
      <c r="AS4870">
        <v>92</v>
      </c>
      <c r="AT4870">
        <v>-128</v>
      </c>
      <c r="BB4870" t="str">
        <f t="shared" si="1928"/>
        <v>1200</v>
      </c>
      <c r="BC4870">
        <v>1</v>
      </c>
      <c r="BD4870" t="str">
        <f t="shared" si="1929"/>
        <v xml:space="preserve">N52156  </v>
      </c>
      <c r="BE4870">
        <v>1</v>
      </c>
      <c r="BG4870">
        <v>0</v>
      </c>
      <c r="BH4870">
        <v>0</v>
      </c>
      <c r="BI4870">
        <v>0</v>
      </c>
      <c r="BJ4870">
        <v>4075</v>
      </c>
      <c r="BK4870">
        <v>75</v>
      </c>
      <c r="BL4870" t="s">
        <v>188</v>
      </c>
      <c r="BM4870">
        <v>1</v>
      </c>
      <c r="BN4870">
        <v>1</v>
      </c>
      <c r="BO4870">
        <v>0</v>
      </c>
      <c r="BP4870">
        <v>0</v>
      </c>
      <c r="BS4870">
        <v>0</v>
      </c>
      <c r="BT4870">
        <v>0</v>
      </c>
      <c r="BU4870">
        <v>0</v>
      </c>
      <c r="CE4870" t="str">
        <f t="shared" si="1931"/>
        <v>15:18:03.637</v>
      </c>
      <c r="CF4870">
        <v>637091409</v>
      </c>
      <c r="CS4870">
        <v>0</v>
      </c>
      <c r="CT4870">
        <v>2</v>
      </c>
      <c r="CU4870">
        <v>0</v>
      </c>
      <c r="CV4870">
        <v>2</v>
      </c>
      <c r="CW4870">
        <v>0</v>
      </c>
      <c r="CX4870">
        <v>3</v>
      </c>
      <c r="CY4870">
        <v>7</v>
      </c>
      <c r="CZ4870" t="s">
        <v>133</v>
      </c>
      <c r="DA4870">
        <v>276</v>
      </c>
      <c r="DB4870">
        <v>0</v>
      </c>
      <c r="DC4870" t="s">
        <v>402</v>
      </c>
      <c r="DD4870" t="s">
        <v>403</v>
      </c>
      <c r="DG4870">
        <v>1628858</v>
      </c>
      <c r="DI4870">
        <v>1</v>
      </c>
      <c r="DJ4870">
        <v>0</v>
      </c>
      <c r="DK4870">
        <v>1</v>
      </c>
      <c r="DL4870">
        <v>0</v>
      </c>
      <c r="DM4870">
        <v>0</v>
      </c>
      <c r="DN4870">
        <v>0</v>
      </c>
      <c r="DO4870">
        <v>0</v>
      </c>
      <c r="DP4870">
        <v>0</v>
      </c>
      <c r="DQ4870">
        <v>0</v>
      </c>
      <c r="DR4870">
        <v>0</v>
      </c>
      <c r="DS4870">
        <v>0</v>
      </c>
    </row>
    <row r="4871" spans="1:123" x14ac:dyDescent="0.3">
      <c r="A4871" t="str">
        <f>"05/01/2025 15:18:03.855"</f>
        <v>05/01/2025 15:18:03.855</v>
      </c>
      <c r="C4871" t="str">
        <f t="shared" si="1926"/>
        <v>FFDFD3C0</v>
      </c>
      <c r="D4871" t="s">
        <v>145</v>
      </c>
      <c r="E4871" t="str">
        <f>"09"</f>
        <v>09</v>
      </c>
      <c r="H4871">
        <v>51</v>
      </c>
      <c r="I4871" t="s">
        <v>147</v>
      </c>
      <c r="J4871" t="s">
        <v>138</v>
      </c>
      <c r="K4871">
        <v>0</v>
      </c>
      <c r="L4871">
        <v>3</v>
      </c>
      <c r="M4871">
        <v>0</v>
      </c>
      <c r="N4871">
        <v>2</v>
      </c>
      <c r="O4871">
        <v>0</v>
      </c>
      <c r="P4871">
        <v>1</v>
      </c>
      <c r="Q4871">
        <v>0</v>
      </c>
      <c r="R4871" t="s">
        <v>127</v>
      </c>
      <c r="S4871" t="str">
        <f t="shared" si="1930"/>
        <v>15:18:03.000</v>
      </c>
      <c r="T4871" t="str">
        <f t="shared" si="1930"/>
        <v>15:18:03.000</v>
      </c>
      <c r="U4871" t="str">
        <f t="shared" si="1927"/>
        <v>A68FCB</v>
      </c>
      <c r="V4871">
        <v>0</v>
      </c>
      <c r="W4871">
        <v>0</v>
      </c>
      <c r="X4871">
        <v>2</v>
      </c>
      <c r="Y4871">
        <v>0</v>
      </c>
      <c r="AA4871">
        <v>1</v>
      </c>
      <c r="AB4871">
        <v>8</v>
      </c>
      <c r="AC4871">
        <v>3</v>
      </c>
      <c r="AD4871">
        <v>0</v>
      </c>
      <c r="AE4871">
        <v>9</v>
      </c>
      <c r="AF4871" t="s">
        <v>138</v>
      </c>
      <c r="AG4871">
        <v>0</v>
      </c>
      <c r="AH4871">
        <v>3</v>
      </c>
      <c r="AI4871">
        <v>2</v>
      </c>
      <c r="AJ4871">
        <v>0</v>
      </c>
      <c r="AK4871" t="s">
        <v>1540</v>
      </c>
      <c r="AL4871">
        <v>39.230547000000001</v>
      </c>
      <c r="AM4871" t="s">
        <v>1541</v>
      </c>
      <c r="AN4871">
        <v>-121.00041400000001</v>
      </c>
      <c r="AO4871">
        <v>25</v>
      </c>
      <c r="AP4871">
        <v>4000</v>
      </c>
      <c r="AQ4871" t="s">
        <v>131</v>
      </c>
      <c r="AR4871">
        <v>-13</v>
      </c>
      <c r="AS4871">
        <v>92</v>
      </c>
      <c r="AT4871">
        <v>-128</v>
      </c>
      <c r="BB4871" t="str">
        <f t="shared" si="1928"/>
        <v>1200</v>
      </c>
      <c r="BC4871">
        <v>1</v>
      </c>
      <c r="BD4871" t="str">
        <f t="shared" si="1929"/>
        <v xml:space="preserve">N52156  </v>
      </c>
      <c r="BE4871">
        <v>1</v>
      </c>
      <c r="BG4871">
        <v>0</v>
      </c>
      <c r="BH4871">
        <v>0</v>
      </c>
      <c r="BI4871">
        <v>0</v>
      </c>
      <c r="BJ4871">
        <v>4075</v>
      </c>
      <c r="BK4871">
        <v>75</v>
      </c>
      <c r="BL4871" t="s">
        <v>188</v>
      </c>
      <c r="BM4871">
        <v>1</v>
      </c>
      <c r="BN4871">
        <v>1</v>
      </c>
      <c r="BO4871">
        <v>0</v>
      </c>
      <c r="BP4871">
        <v>0</v>
      </c>
      <c r="BS4871">
        <v>0</v>
      </c>
      <c r="BT4871">
        <v>0</v>
      </c>
      <c r="BU4871">
        <v>0</v>
      </c>
      <c r="CE4871" t="str">
        <f t="shared" si="1931"/>
        <v>15:18:03.637</v>
      </c>
      <c r="CF4871">
        <v>637091409</v>
      </c>
      <c r="CS4871">
        <v>0</v>
      </c>
      <c r="CT4871">
        <v>2</v>
      </c>
      <c r="CU4871">
        <v>0</v>
      </c>
      <c r="CV4871">
        <v>2</v>
      </c>
      <c r="CW4871">
        <v>0</v>
      </c>
      <c r="CX4871">
        <v>3</v>
      </c>
      <c r="CY4871">
        <v>7</v>
      </c>
      <c r="CZ4871" t="s">
        <v>133</v>
      </c>
      <c r="DA4871">
        <v>276</v>
      </c>
      <c r="DB4871">
        <v>0</v>
      </c>
      <c r="DC4871" t="s">
        <v>402</v>
      </c>
      <c r="DD4871" t="s">
        <v>403</v>
      </c>
      <c r="DG4871">
        <v>1628858</v>
      </c>
      <c r="DI4871">
        <v>1</v>
      </c>
      <c r="DJ4871">
        <v>0</v>
      </c>
      <c r="DK4871">
        <v>1</v>
      </c>
      <c r="DL4871">
        <v>0</v>
      </c>
      <c r="DM4871">
        <v>0</v>
      </c>
      <c r="DN4871">
        <v>0</v>
      </c>
      <c r="DO4871">
        <v>0</v>
      </c>
      <c r="DP4871">
        <v>0</v>
      </c>
      <c r="DQ4871">
        <v>0</v>
      </c>
      <c r="DR4871">
        <v>0</v>
      </c>
      <c r="DS4871">
        <v>0</v>
      </c>
    </row>
    <row r="4872" spans="1:123" x14ac:dyDescent="0.3">
      <c r="A4872" t="str">
        <f>"05/01/2025 15:18:03.858"</f>
        <v>05/01/2025 15:18:03.858</v>
      </c>
      <c r="C4872" t="str">
        <f t="shared" si="1926"/>
        <v>FFDFD3C0</v>
      </c>
      <c r="D4872" t="s">
        <v>145</v>
      </c>
      <c r="E4872" t="str">
        <f>"05"</f>
        <v>05</v>
      </c>
      <c r="H4872">
        <v>47</v>
      </c>
      <c r="I4872" t="s">
        <v>146</v>
      </c>
      <c r="J4872" t="s">
        <v>138</v>
      </c>
      <c r="K4872">
        <v>0</v>
      </c>
      <c r="L4872">
        <v>3</v>
      </c>
      <c r="M4872">
        <v>0</v>
      </c>
      <c r="N4872">
        <v>2</v>
      </c>
      <c r="O4872">
        <v>0</v>
      </c>
      <c r="P4872">
        <v>1</v>
      </c>
      <c r="Q4872">
        <v>0</v>
      </c>
      <c r="R4872" t="s">
        <v>127</v>
      </c>
      <c r="S4872" t="str">
        <f t="shared" si="1930"/>
        <v>15:18:03.000</v>
      </c>
      <c r="T4872" t="str">
        <f t="shared" si="1930"/>
        <v>15:18:03.000</v>
      </c>
      <c r="U4872" t="str">
        <f t="shared" si="1927"/>
        <v>A68FCB</v>
      </c>
      <c r="V4872">
        <v>0</v>
      </c>
      <c r="W4872">
        <v>0</v>
      </c>
      <c r="X4872">
        <v>2</v>
      </c>
      <c r="Y4872">
        <v>0</v>
      </c>
      <c r="AA4872">
        <v>1</v>
      </c>
      <c r="AB4872">
        <v>8</v>
      </c>
      <c r="AC4872">
        <v>3</v>
      </c>
      <c r="AD4872">
        <v>0</v>
      </c>
      <c r="AE4872">
        <v>9</v>
      </c>
      <c r="AF4872" t="s">
        <v>138</v>
      </c>
      <c r="AG4872">
        <v>0</v>
      </c>
      <c r="AH4872">
        <v>3</v>
      </c>
      <c r="AI4872">
        <v>2</v>
      </c>
      <c r="AJ4872">
        <v>0</v>
      </c>
      <c r="AK4872" t="s">
        <v>1540</v>
      </c>
      <c r="AL4872">
        <v>39.230547000000001</v>
      </c>
      <c r="AM4872" t="s">
        <v>1541</v>
      </c>
      <c r="AN4872">
        <v>-121.00041400000001</v>
      </c>
      <c r="AO4872">
        <v>25</v>
      </c>
      <c r="AP4872">
        <v>4000</v>
      </c>
      <c r="AQ4872" t="s">
        <v>131</v>
      </c>
      <c r="AR4872">
        <v>-13</v>
      </c>
      <c r="AS4872">
        <v>92</v>
      </c>
      <c r="AT4872">
        <v>-128</v>
      </c>
      <c r="BB4872" t="str">
        <f t="shared" si="1928"/>
        <v>1200</v>
      </c>
      <c r="BC4872">
        <v>1</v>
      </c>
      <c r="BD4872" t="str">
        <f t="shared" si="1929"/>
        <v xml:space="preserve">N52156  </v>
      </c>
      <c r="BE4872">
        <v>1</v>
      </c>
      <c r="BG4872">
        <v>0</v>
      </c>
      <c r="BH4872">
        <v>0</v>
      </c>
      <c r="BI4872">
        <v>0</v>
      </c>
      <c r="BJ4872">
        <v>4075</v>
      </c>
      <c r="BK4872">
        <v>75</v>
      </c>
      <c r="BL4872" t="s">
        <v>188</v>
      </c>
      <c r="BM4872">
        <v>1</v>
      </c>
      <c r="BN4872">
        <v>1</v>
      </c>
      <c r="BO4872">
        <v>0</v>
      </c>
      <c r="BP4872">
        <v>0</v>
      </c>
      <c r="BS4872">
        <v>0</v>
      </c>
      <c r="BT4872">
        <v>0</v>
      </c>
      <c r="BU4872">
        <v>0</v>
      </c>
      <c r="CE4872" t="str">
        <f t="shared" si="1931"/>
        <v>15:18:03.637</v>
      </c>
      <c r="CF4872">
        <v>637091409</v>
      </c>
      <c r="CS4872">
        <v>0</v>
      </c>
      <c r="CT4872">
        <v>2</v>
      </c>
      <c r="CU4872">
        <v>0</v>
      </c>
      <c r="CV4872">
        <v>2</v>
      </c>
      <c r="CW4872">
        <v>0</v>
      </c>
      <c r="CX4872">
        <v>3</v>
      </c>
      <c r="CY4872">
        <v>7</v>
      </c>
      <c r="CZ4872" t="s">
        <v>133</v>
      </c>
      <c r="DA4872">
        <v>276</v>
      </c>
      <c r="DB4872">
        <v>0</v>
      </c>
      <c r="DC4872" t="s">
        <v>402</v>
      </c>
      <c r="DD4872" t="s">
        <v>403</v>
      </c>
      <c r="DG4872">
        <v>1628858</v>
      </c>
      <c r="DI4872">
        <v>1</v>
      </c>
      <c r="DJ4872">
        <v>0</v>
      </c>
      <c r="DK4872">
        <v>1</v>
      </c>
      <c r="DL4872">
        <v>0</v>
      </c>
      <c r="DM4872">
        <v>0</v>
      </c>
      <c r="DN4872">
        <v>0</v>
      </c>
      <c r="DO4872">
        <v>0</v>
      </c>
      <c r="DP4872">
        <v>0</v>
      </c>
      <c r="DQ4872">
        <v>0</v>
      </c>
      <c r="DR4872">
        <v>0</v>
      </c>
      <c r="DS4872">
        <v>0</v>
      </c>
    </row>
    <row r="4873" spans="1:123" x14ac:dyDescent="0.3">
      <c r="A4873" t="str">
        <f>"05/01/2025 15:18:03.868"</f>
        <v>05/01/2025 15:18:03.868</v>
      </c>
      <c r="C4873" t="str">
        <f t="shared" si="1926"/>
        <v>FFDFD3C0</v>
      </c>
      <c r="D4873" t="s">
        <v>136</v>
      </c>
      <c r="E4873" t="str">
        <f>"20"</f>
        <v>20</v>
      </c>
      <c r="H4873">
        <v>400</v>
      </c>
      <c r="I4873" t="s">
        <v>137</v>
      </c>
      <c r="J4873" t="s">
        <v>138</v>
      </c>
      <c r="K4873">
        <v>0</v>
      </c>
      <c r="L4873">
        <v>3</v>
      </c>
      <c r="M4873">
        <v>0</v>
      </c>
      <c r="N4873">
        <v>2</v>
      </c>
      <c r="O4873">
        <v>0</v>
      </c>
      <c r="P4873">
        <v>1</v>
      </c>
      <c r="Q4873">
        <v>0</v>
      </c>
      <c r="R4873" t="s">
        <v>127</v>
      </c>
      <c r="S4873" t="str">
        <f t="shared" si="1930"/>
        <v>15:18:03.000</v>
      </c>
      <c r="T4873" t="str">
        <f t="shared" si="1930"/>
        <v>15:18:03.000</v>
      </c>
      <c r="U4873" t="str">
        <f t="shared" si="1927"/>
        <v>A68FCB</v>
      </c>
      <c r="V4873">
        <v>0</v>
      </c>
      <c r="W4873">
        <v>0</v>
      </c>
      <c r="X4873">
        <v>2</v>
      </c>
      <c r="Y4873">
        <v>0</v>
      </c>
      <c r="AA4873">
        <v>1</v>
      </c>
      <c r="AB4873">
        <v>8</v>
      </c>
      <c r="AC4873">
        <v>3</v>
      </c>
      <c r="AD4873">
        <v>0</v>
      </c>
      <c r="AE4873">
        <v>9</v>
      </c>
      <c r="AF4873" t="s">
        <v>138</v>
      </c>
      <c r="AG4873">
        <v>0</v>
      </c>
      <c r="AH4873">
        <v>3</v>
      </c>
      <c r="AI4873">
        <v>2</v>
      </c>
      <c r="AJ4873">
        <v>0</v>
      </c>
      <c r="AK4873" t="s">
        <v>1540</v>
      </c>
      <c r="AL4873">
        <v>39.230547000000001</v>
      </c>
      <c r="AM4873" t="s">
        <v>1541</v>
      </c>
      <c r="AN4873">
        <v>-121.00041400000001</v>
      </c>
      <c r="AO4873">
        <v>25</v>
      </c>
      <c r="AP4873">
        <v>4000</v>
      </c>
      <c r="AQ4873" t="s">
        <v>131</v>
      </c>
      <c r="AR4873">
        <v>-13</v>
      </c>
      <c r="AS4873">
        <v>92</v>
      </c>
      <c r="AT4873">
        <v>-128</v>
      </c>
      <c r="BB4873" t="str">
        <f t="shared" si="1928"/>
        <v>1200</v>
      </c>
      <c r="BC4873">
        <v>1</v>
      </c>
      <c r="BD4873" t="str">
        <f t="shared" si="1929"/>
        <v xml:space="preserve">N52156  </v>
      </c>
      <c r="BE4873">
        <v>1</v>
      </c>
      <c r="BG4873">
        <v>0</v>
      </c>
      <c r="BH4873">
        <v>0</v>
      </c>
      <c r="BI4873">
        <v>0</v>
      </c>
      <c r="BJ4873">
        <v>4075</v>
      </c>
      <c r="BK4873">
        <v>75</v>
      </c>
      <c r="BL4873" t="s">
        <v>188</v>
      </c>
      <c r="BM4873">
        <v>1</v>
      </c>
      <c r="BN4873">
        <v>1</v>
      </c>
      <c r="BO4873">
        <v>0</v>
      </c>
      <c r="BP4873">
        <v>0</v>
      </c>
      <c r="BS4873">
        <v>0</v>
      </c>
      <c r="BT4873">
        <v>0</v>
      </c>
      <c r="BU4873">
        <v>0</v>
      </c>
      <c r="CE4873" t="str">
        <f t="shared" si="1931"/>
        <v>15:18:03.637</v>
      </c>
      <c r="CF4873">
        <v>637091409</v>
      </c>
      <c r="CS4873">
        <v>0</v>
      </c>
      <c r="CT4873">
        <v>2</v>
      </c>
      <c r="CU4873">
        <v>0</v>
      </c>
      <c r="CV4873">
        <v>2</v>
      </c>
      <c r="CW4873">
        <v>0</v>
      </c>
      <c r="CX4873">
        <v>3</v>
      </c>
      <c r="CY4873">
        <v>7</v>
      </c>
      <c r="CZ4873" t="s">
        <v>133</v>
      </c>
      <c r="DA4873">
        <v>276</v>
      </c>
      <c r="DB4873">
        <v>0</v>
      </c>
      <c r="DC4873" t="s">
        <v>402</v>
      </c>
      <c r="DD4873" t="s">
        <v>403</v>
      </c>
      <c r="DG4873">
        <v>1628858</v>
      </c>
      <c r="DI4873">
        <v>1</v>
      </c>
      <c r="DJ4873">
        <v>0</v>
      </c>
      <c r="DK4873">
        <v>1</v>
      </c>
      <c r="DL4873">
        <v>0</v>
      </c>
      <c r="DM4873">
        <v>0</v>
      </c>
      <c r="DN4873">
        <v>0</v>
      </c>
      <c r="DO4873">
        <v>0</v>
      </c>
      <c r="DP4873">
        <v>0</v>
      </c>
      <c r="DQ4873">
        <v>0</v>
      </c>
      <c r="DR4873">
        <v>0</v>
      </c>
      <c r="DS4873">
        <v>0</v>
      </c>
    </row>
    <row r="4874" spans="1:123" x14ac:dyDescent="0.3">
      <c r="A4874" t="str">
        <f>"05/01/2025 15:18:05.007"</f>
        <v>05/01/2025 15:18:05.007</v>
      </c>
      <c r="C4874" t="str">
        <f t="shared" si="1926"/>
        <v>FFDFD3C0</v>
      </c>
      <c r="D4874" t="s">
        <v>145</v>
      </c>
      <c r="E4874" t="str">
        <f>"09"</f>
        <v>09</v>
      </c>
      <c r="H4874">
        <v>51</v>
      </c>
      <c r="I4874" t="s">
        <v>147</v>
      </c>
      <c r="J4874" t="s">
        <v>138</v>
      </c>
      <c r="K4874">
        <v>0</v>
      </c>
      <c r="L4874">
        <v>3</v>
      </c>
      <c r="M4874">
        <v>0</v>
      </c>
      <c r="N4874">
        <v>2</v>
      </c>
      <c r="O4874">
        <v>0</v>
      </c>
      <c r="P4874">
        <v>1</v>
      </c>
      <c r="Q4874">
        <v>0</v>
      </c>
      <c r="R4874" t="s">
        <v>127</v>
      </c>
      <c r="S4874" t="str">
        <f t="shared" ref="S4874:T4879" si="1932">"15:18:04.000"</f>
        <v>15:18:04.000</v>
      </c>
      <c r="T4874" t="str">
        <f t="shared" si="1932"/>
        <v>15:18:04.000</v>
      </c>
      <c r="U4874" t="str">
        <f t="shared" si="1927"/>
        <v>A68FCB</v>
      </c>
      <c r="V4874">
        <v>0</v>
      </c>
      <c r="W4874">
        <v>0</v>
      </c>
      <c r="X4874">
        <v>2</v>
      </c>
      <c r="Y4874">
        <v>0</v>
      </c>
      <c r="AA4874">
        <v>1</v>
      </c>
      <c r="AB4874">
        <v>8</v>
      </c>
      <c r="AC4874">
        <v>3</v>
      </c>
      <c r="AD4874">
        <v>0</v>
      </c>
      <c r="AE4874">
        <v>9</v>
      </c>
      <c r="AF4874" t="s">
        <v>138</v>
      </c>
      <c r="AG4874">
        <v>0</v>
      </c>
      <c r="AH4874">
        <v>3</v>
      </c>
      <c r="AI4874">
        <v>2</v>
      </c>
      <c r="AJ4874">
        <v>0</v>
      </c>
      <c r="AK4874" t="s">
        <v>1542</v>
      </c>
      <c r="AL4874">
        <v>39.230955000000002</v>
      </c>
      <c r="AM4874" t="s">
        <v>1543</v>
      </c>
      <c r="AN4874">
        <v>-121.0005</v>
      </c>
      <c r="AO4874">
        <v>25</v>
      </c>
      <c r="AP4874">
        <v>4000</v>
      </c>
      <c r="AQ4874" t="s">
        <v>131</v>
      </c>
      <c r="AR4874">
        <v>-26</v>
      </c>
      <c r="AS4874">
        <v>87</v>
      </c>
      <c r="AT4874">
        <v>-128</v>
      </c>
      <c r="BB4874" t="str">
        <f t="shared" si="1928"/>
        <v>1200</v>
      </c>
      <c r="BC4874">
        <v>1</v>
      </c>
      <c r="BD4874" t="str">
        <f t="shared" si="1929"/>
        <v xml:space="preserve">N52156  </v>
      </c>
      <c r="BE4874">
        <v>1</v>
      </c>
      <c r="BG4874">
        <v>0</v>
      </c>
      <c r="BH4874">
        <v>0</v>
      </c>
      <c r="BI4874">
        <v>0</v>
      </c>
      <c r="BJ4874">
        <v>4075</v>
      </c>
      <c r="BK4874">
        <v>75</v>
      </c>
      <c r="BL4874" t="s">
        <v>188</v>
      </c>
      <c r="BM4874">
        <v>1</v>
      </c>
      <c r="BN4874">
        <v>1</v>
      </c>
      <c r="BO4874">
        <v>0</v>
      </c>
      <c r="BP4874">
        <v>0</v>
      </c>
      <c r="BS4874">
        <v>0</v>
      </c>
      <c r="BT4874">
        <v>0</v>
      </c>
      <c r="BU4874">
        <v>0</v>
      </c>
      <c r="CE4874" t="str">
        <f t="shared" ref="CE4874:CE4879" si="1933">"15:18:04.807"</f>
        <v>15:18:04.807</v>
      </c>
      <c r="CF4874">
        <v>806762269</v>
      </c>
      <c r="CS4874">
        <v>0</v>
      </c>
      <c r="CT4874">
        <v>2</v>
      </c>
      <c r="CU4874">
        <v>0</v>
      </c>
      <c r="CV4874">
        <v>2</v>
      </c>
      <c r="CW4874">
        <v>0</v>
      </c>
      <c r="CX4874">
        <v>3</v>
      </c>
      <c r="CY4874">
        <v>7</v>
      </c>
      <c r="CZ4874" t="s">
        <v>133</v>
      </c>
      <c r="DA4874">
        <v>275</v>
      </c>
      <c r="DB4874">
        <v>0</v>
      </c>
      <c r="DC4874" t="s">
        <v>134</v>
      </c>
      <c r="DD4874" t="s">
        <v>135</v>
      </c>
      <c r="DG4874">
        <v>3323427</v>
      </c>
      <c r="DI4874">
        <v>1</v>
      </c>
      <c r="DJ4874">
        <v>0</v>
      </c>
      <c r="DK4874">
        <v>0</v>
      </c>
      <c r="DL4874">
        <v>0</v>
      </c>
      <c r="DM4874">
        <v>0</v>
      </c>
      <c r="DN4874">
        <v>0</v>
      </c>
      <c r="DO4874">
        <v>0</v>
      </c>
      <c r="DP4874">
        <v>0</v>
      </c>
      <c r="DQ4874">
        <v>0</v>
      </c>
      <c r="DR4874">
        <v>0</v>
      </c>
      <c r="DS4874">
        <v>0</v>
      </c>
    </row>
    <row r="4875" spans="1:123" x14ac:dyDescent="0.3">
      <c r="A4875" t="str">
        <f>"05/01/2025 15:18:05.009"</f>
        <v>05/01/2025 15:18:05.009</v>
      </c>
      <c r="C4875" t="str">
        <f t="shared" si="1926"/>
        <v>FFDFD3C0</v>
      </c>
      <c r="D4875" t="s">
        <v>145</v>
      </c>
      <c r="E4875" t="str">
        <f>"05"</f>
        <v>05</v>
      </c>
      <c r="H4875">
        <v>47</v>
      </c>
      <c r="I4875" t="s">
        <v>146</v>
      </c>
      <c r="J4875" t="s">
        <v>138</v>
      </c>
      <c r="K4875">
        <v>0</v>
      </c>
      <c r="L4875">
        <v>3</v>
      </c>
      <c r="M4875">
        <v>0</v>
      </c>
      <c r="N4875">
        <v>2</v>
      </c>
      <c r="O4875">
        <v>0</v>
      </c>
      <c r="P4875">
        <v>1</v>
      </c>
      <c r="Q4875">
        <v>0</v>
      </c>
      <c r="R4875" t="s">
        <v>127</v>
      </c>
      <c r="S4875" t="str">
        <f t="shared" si="1932"/>
        <v>15:18:04.000</v>
      </c>
      <c r="T4875" t="str">
        <f t="shared" si="1932"/>
        <v>15:18:04.000</v>
      </c>
      <c r="U4875" t="str">
        <f t="shared" si="1927"/>
        <v>A68FCB</v>
      </c>
      <c r="V4875">
        <v>0</v>
      </c>
      <c r="W4875">
        <v>0</v>
      </c>
      <c r="X4875">
        <v>2</v>
      </c>
      <c r="Y4875">
        <v>0</v>
      </c>
      <c r="AA4875">
        <v>1</v>
      </c>
      <c r="AB4875">
        <v>8</v>
      </c>
      <c r="AC4875">
        <v>3</v>
      </c>
      <c r="AD4875">
        <v>0</v>
      </c>
      <c r="AE4875">
        <v>9</v>
      </c>
      <c r="AF4875" t="s">
        <v>138</v>
      </c>
      <c r="AG4875">
        <v>0</v>
      </c>
      <c r="AH4875">
        <v>3</v>
      </c>
      <c r="AI4875">
        <v>2</v>
      </c>
      <c r="AJ4875">
        <v>0</v>
      </c>
      <c r="AK4875" t="s">
        <v>1542</v>
      </c>
      <c r="AL4875">
        <v>39.230955000000002</v>
      </c>
      <c r="AM4875" t="s">
        <v>1543</v>
      </c>
      <c r="AN4875">
        <v>-121.0005</v>
      </c>
      <c r="AO4875">
        <v>25</v>
      </c>
      <c r="AP4875">
        <v>4000</v>
      </c>
      <c r="AQ4875" t="s">
        <v>131</v>
      </c>
      <c r="AR4875">
        <v>-26</v>
      </c>
      <c r="AS4875">
        <v>87</v>
      </c>
      <c r="AT4875">
        <v>-128</v>
      </c>
      <c r="BB4875" t="str">
        <f t="shared" si="1928"/>
        <v>1200</v>
      </c>
      <c r="BC4875">
        <v>1</v>
      </c>
      <c r="BD4875" t="str">
        <f t="shared" si="1929"/>
        <v xml:space="preserve">N52156  </v>
      </c>
      <c r="BE4875">
        <v>1</v>
      </c>
      <c r="BG4875">
        <v>0</v>
      </c>
      <c r="BH4875">
        <v>0</v>
      </c>
      <c r="BI4875">
        <v>0</v>
      </c>
      <c r="BJ4875">
        <v>4075</v>
      </c>
      <c r="BK4875">
        <v>75</v>
      </c>
      <c r="BL4875" t="s">
        <v>188</v>
      </c>
      <c r="BM4875">
        <v>1</v>
      </c>
      <c r="BN4875">
        <v>1</v>
      </c>
      <c r="BO4875">
        <v>0</v>
      </c>
      <c r="BP4875">
        <v>0</v>
      </c>
      <c r="BS4875">
        <v>0</v>
      </c>
      <c r="BT4875">
        <v>0</v>
      </c>
      <c r="BU4875">
        <v>0</v>
      </c>
      <c r="CE4875" t="str">
        <f t="shared" si="1933"/>
        <v>15:18:04.807</v>
      </c>
      <c r="CF4875">
        <v>806762269</v>
      </c>
      <c r="CS4875">
        <v>0</v>
      </c>
      <c r="CT4875">
        <v>2</v>
      </c>
      <c r="CU4875">
        <v>0</v>
      </c>
      <c r="CV4875">
        <v>2</v>
      </c>
      <c r="CW4875">
        <v>0</v>
      </c>
      <c r="CX4875">
        <v>3</v>
      </c>
      <c r="CY4875">
        <v>7</v>
      </c>
      <c r="CZ4875" t="s">
        <v>133</v>
      </c>
      <c r="DA4875">
        <v>275</v>
      </c>
      <c r="DB4875">
        <v>0</v>
      </c>
      <c r="DC4875" t="s">
        <v>134</v>
      </c>
      <c r="DD4875" t="s">
        <v>135</v>
      </c>
      <c r="DG4875">
        <v>3323427</v>
      </c>
      <c r="DI4875">
        <v>1</v>
      </c>
      <c r="DJ4875">
        <v>0</v>
      </c>
      <c r="DK4875">
        <v>1</v>
      </c>
      <c r="DL4875">
        <v>0</v>
      </c>
      <c r="DM4875">
        <v>0</v>
      </c>
      <c r="DN4875">
        <v>0</v>
      </c>
      <c r="DO4875">
        <v>0</v>
      </c>
      <c r="DP4875">
        <v>0</v>
      </c>
      <c r="DQ4875">
        <v>0</v>
      </c>
      <c r="DR4875">
        <v>0</v>
      </c>
      <c r="DS4875">
        <v>0</v>
      </c>
    </row>
    <row r="4876" spans="1:123" x14ac:dyDescent="0.3">
      <c r="A4876" t="str">
        <f>"05/01/2025 15:18:05.020"</f>
        <v>05/01/2025 15:18:05.020</v>
      </c>
      <c r="C4876" t="str">
        <f t="shared" si="1926"/>
        <v>FFDFD3C0</v>
      </c>
      <c r="D4876" t="s">
        <v>136</v>
      </c>
      <c r="E4876" t="str">
        <f>"20"</f>
        <v>20</v>
      </c>
      <c r="H4876">
        <v>400</v>
      </c>
      <c r="I4876" t="s">
        <v>137</v>
      </c>
      <c r="J4876" t="s">
        <v>138</v>
      </c>
      <c r="K4876">
        <v>0</v>
      </c>
      <c r="L4876">
        <v>3</v>
      </c>
      <c r="M4876">
        <v>0</v>
      </c>
      <c r="N4876">
        <v>2</v>
      </c>
      <c r="O4876">
        <v>0</v>
      </c>
      <c r="P4876">
        <v>1</v>
      </c>
      <c r="Q4876">
        <v>0</v>
      </c>
      <c r="R4876" t="s">
        <v>127</v>
      </c>
      <c r="S4876" t="str">
        <f t="shared" si="1932"/>
        <v>15:18:04.000</v>
      </c>
      <c r="T4876" t="str">
        <f t="shared" si="1932"/>
        <v>15:18:04.000</v>
      </c>
      <c r="U4876" t="str">
        <f t="shared" si="1927"/>
        <v>A68FCB</v>
      </c>
      <c r="V4876">
        <v>0</v>
      </c>
      <c r="W4876">
        <v>0</v>
      </c>
      <c r="X4876">
        <v>2</v>
      </c>
      <c r="Y4876">
        <v>0</v>
      </c>
      <c r="AA4876">
        <v>1</v>
      </c>
      <c r="AB4876">
        <v>8</v>
      </c>
      <c r="AC4876">
        <v>3</v>
      </c>
      <c r="AD4876">
        <v>0</v>
      </c>
      <c r="AE4876">
        <v>9</v>
      </c>
      <c r="AF4876" t="s">
        <v>138</v>
      </c>
      <c r="AG4876">
        <v>0</v>
      </c>
      <c r="AH4876">
        <v>3</v>
      </c>
      <c r="AI4876">
        <v>2</v>
      </c>
      <c r="AJ4876">
        <v>0</v>
      </c>
      <c r="AK4876" t="s">
        <v>1542</v>
      </c>
      <c r="AL4876">
        <v>39.230955000000002</v>
      </c>
      <c r="AM4876" t="s">
        <v>1543</v>
      </c>
      <c r="AN4876">
        <v>-121.0005</v>
      </c>
      <c r="AO4876">
        <v>25</v>
      </c>
      <c r="AP4876">
        <v>4000</v>
      </c>
      <c r="AQ4876" t="s">
        <v>131</v>
      </c>
      <c r="AR4876">
        <v>-26</v>
      </c>
      <c r="AS4876">
        <v>87</v>
      </c>
      <c r="AT4876">
        <v>-128</v>
      </c>
      <c r="BB4876" t="str">
        <f t="shared" si="1928"/>
        <v>1200</v>
      </c>
      <c r="BC4876">
        <v>1</v>
      </c>
      <c r="BD4876" t="str">
        <f t="shared" si="1929"/>
        <v xml:space="preserve">N52156  </v>
      </c>
      <c r="BE4876">
        <v>1</v>
      </c>
      <c r="BG4876">
        <v>0</v>
      </c>
      <c r="BH4876">
        <v>0</v>
      </c>
      <c r="BI4876">
        <v>0</v>
      </c>
      <c r="BJ4876">
        <v>4075</v>
      </c>
      <c r="BK4876">
        <v>75</v>
      </c>
      <c r="BL4876" t="s">
        <v>188</v>
      </c>
      <c r="BM4876">
        <v>1</v>
      </c>
      <c r="BN4876">
        <v>1</v>
      </c>
      <c r="BO4876">
        <v>0</v>
      </c>
      <c r="BP4876">
        <v>0</v>
      </c>
      <c r="BS4876">
        <v>0</v>
      </c>
      <c r="BT4876">
        <v>0</v>
      </c>
      <c r="BU4876">
        <v>0</v>
      </c>
      <c r="CE4876" t="str">
        <f t="shared" si="1933"/>
        <v>15:18:04.807</v>
      </c>
      <c r="CF4876">
        <v>806762269</v>
      </c>
      <c r="CS4876">
        <v>0</v>
      </c>
      <c r="CT4876">
        <v>2</v>
      </c>
      <c r="CU4876">
        <v>0</v>
      </c>
      <c r="CV4876">
        <v>2</v>
      </c>
      <c r="CW4876">
        <v>0</v>
      </c>
      <c r="CX4876">
        <v>3</v>
      </c>
      <c r="CY4876">
        <v>7</v>
      </c>
      <c r="CZ4876" t="s">
        <v>133</v>
      </c>
      <c r="DA4876">
        <v>275</v>
      </c>
      <c r="DB4876">
        <v>0</v>
      </c>
      <c r="DC4876" t="s">
        <v>134</v>
      </c>
      <c r="DD4876" t="s">
        <v>135</v>
      </c>
      <c r="DG4876">
        <v>3323427</v>
      </c>
      <c r="DI4876">
        <v>1</v>
      </c>
      <c r="DJ4876">
        <v>0</v>
      </c>
      <c r="DK4876">
        <v>1</v>
      </c>
      <c r="DL4876">
        <v>0</v>
      </c>
      <c r="DM4876">
        <v>0</v>
      </c>
      <c r="DN4876">
        <v>0</v>
      </c>
      <c r="DO4876">
        <v>0</v>
      </c>
      <c r="DP4876">
        <v>0</v>
      </c>
      <c r="DQ4876">
        <v>0</v>
      </c>
      <c r="DR4876">
        <v>0</v>
      </c>
      <c r="DS4876">
        <v>0</v>
      </c>
    </row>
    <row r="4877" spans="1:123" x14ac:dyDescent="0.3">
      <c r="A4877" t="str">
        <f>"05/01/2025 15:18:05.034"</f>
        <v>05/01/2025 15:18:05.034</v>
      </c>
      <c r="C4877" t="str">
        <f t="shared" si="1926"/>
        <v>FFDFD3C0</v>
      </c>
      <c r="D4877" t="s">
        <v>140</v>
      </c>
      <c r="E4877" t="str">
        <f>"13"</f>
        <v>13</v>
      </c>
      <c r="F4877">
        <v>1019</v>
      </c>
      <c r="G4877" t="s">
        <v>141</v>
      </c>
      <c r="J4877" t="s">
        <v>142</v>
      </c>
      <c r="K4877">
        <v>0</v>
      </c>
      <c r="L4877">
        <v>3</v>
      </c>
      <c r="M4877">
        <v>0</v>
      </c>
      <c r="N4877">
        <v>2</v>
      </c>
      <c r="O4877">
        <v>0</v>
      </c>
      <c r="P4877">
        <v>1</v>
      </c>
      <c r="Q4877">
        <v>0</v>
      </c>
      <c r="R4877" t="s">
        <v>127</v>
      </c>
      <c r="S4877" t="str">
        <f t="shared" si="1932"/>
        <v>15:18:04.000</v>
      </c>
      <c r="T4877" t="str">
        <f t="shared" si="1932"/>
        <v>15:18:04.000</v>
      </c>
      <c r="U4877" t="str">
        <f t="shared" si="1927"/>
        <v>A68FCB</v>
      </c>
      <c r="V4877">
        <v>0</v>
      </c>
      <c r="W4877">
        <v>0</v>
      </c>
      <c r="X4877">
        <v>2</v>
      </c>
      <c r="Y4877">
        <v>0</v>
      </c>
      <c r="AA4877">
        <v>1</v>
      </c>
      <c r="AB4877">
        <v>8</v>
      </c>
      <c r="AC4877">
        <v>3</v>
      </c>
      <c r="AD4877">
        <v>0</v>
      </c>
      <c r="AE4877">
        <v>9</v>
      </c>
      <c r="AF4877" t="s">
        <v>138</v>
      </c>
      <c r="AG4877">
        <v>0</v>
      </c>
      <c r="AH4877">
        <v>3</v>
      </c>
      <c r="AI4877">
        <v>2</v>
      </c>
      <c r="AJ4877">
        <v>0</v>
      </c>
      <c r="AK4877" t="s">
        <v>1542</v>
      </c>
      <c r="AL4877">
        <v>39.230955000000002</v>
      </c>
      <c r="AM4877" t="s">
        <v>1543</v>
      </c>
      <c r="AN4877">
        <v>-121.0005</v>
      </c>
      <c r="AO4877">
        <v>25</v>
      </c>
      <c r="AP4877">
        <v>4000</v>
      </c>
      <c r="AQ4877" t="s">
        <v>131</v>
      </c>
      <c r="AR4877">
        <v>-26</v>
      </c>
      <c r="AS4877">
        <v>87</v>
      </c>
      <c r="AT4877">
        <v>-128</v>
      </c>
      <c r="BB4877" t="str">
        <f t="shared" si="1928"/>
        <v>1200</v>
      </c>
      <c r="BC4877">
        <v>1</v>
      </c>
      <c r="BD4877" t="str">
        <f t="shared" si="1929"/>
        <v xml:space="preserve">N52156  </v>
      </c>
      <c r="BE4877">
        <v>1</v>
      </c>
      <c r="BG4877">
        <v>0</v>
      </c>
      <c r="BH4877">
        <v>0</v>
      </c>
      <c r="BI4877">
        <v>0</v>
      </c>
      <c r="BJ4877">
        <v>4075</v>
      </c>
      <c r="BK4877">
        <v>75</v>
      </c>
      <c r="BL4877" t="s">
        <v>188</v>
      </c>
      <c r="BM4877">
        <v>1</v>
      </c>
      <c r="BN4877">
        <v>1</v>
      </c>
      <c r="BO4877">
        <v>0</v>
      </c>
      <c r="BP4877">
        <v>0</v>
      </c>
      <c r="BS4877">
        <v>0</v>
      </c>
      <c r="BT4877">
        <v>0</v>
      </c>
      <c r="BU4877">
        <v>0</v>
      </c>
      <c r="CE4877" t="str">
        <f t="shared" si="1933"/>
        <v>15:18:04.807</v>
      </c>
      <c r="CF4877">
        <v>806762269</v>
      </c>
      <c r="CS4877">
        <v>0</v>
      </c>
      <c r="CT4877">
        <v>2</v>
      </c>
      <c r="CU4877">
        <v>0</v>
      </c>
      <c r="CV4877">
        <v>2</v>
      </c>
      <c r="CW4877">
        <v>0</v>
      </c>
      <c r="CX4877">
        <v>3</v>
      </c>
      <c r="CY4877">
        <v>7</v>
      </c>
      <c r="CZ4877" t="s">
        <v>133</v>
      </c>
      <c r="DA4877">
        <v>275</v>
      </c>
      <c r="DB4877">
        <v>0</v>
      </c>
      <c r="DC4877" t="s">
        <v>134</v>
      </c>
      <c r="DD4877" t="s">
        <v>135</v>
      </c>
      <c r="DG4877">
        <v>3323427</v>
      </c>
      <c r="DI4877">
        <v>1</v>
      </c>
      <c r="DJ4877">
        <v>0</v>
      </c>
      <c r="DK4877">
        <v>1</v>
      </c>
      <c r="DL4877">
        <v>0</v>
      </c>
      <c r="DM4877">
        <v>0</v>
      </c>
      <c r="DN4877">
        <v>0</v>
      </c>
      <c r="DO4877">
        <v>0</v>
      </c>
      <c r="DP4877">
        <v>0</v>
      </c>
      <c r="DQ4877">
        <v>0</v>
      </c>
      <c r="DR4877">
        <v>0</v>
      </c>
      <c r="DS4877">
        <v>0</v>
      </c>
    </row>
    <row r="4878" spans="1:123" x14ac:dyDescent="0.3">
      <c r="A4878" t="str">
        <f>"05/01/2025 15:18:05.036"</f>
        <v>05/01/2025 15:18:05.036</v>
      </c>
      <c r="C4878" t="str">
        <f t="shared" si="1926"/>
        <v>FFDFD3C0</v>
      </c>
      <c r="D4878" t="s">
        <v>124</v>
      </c>
      <c r="E4878" t="str">
        <f>"06"</f>
        <v>06</v>
      </c>
      <c r="F4878">
        <v>2006</v>
      </c>
      <c r="G4878" t="s">
        <v>125</v>
      </c>
      <c r="J4878" t="s">
        <v>126</v>
      </c>
      <c r="K4878">
        <v>0</v>
      </c>
      <c r="L4878">
        <v>3</v>
      </c>
      <c r="M4878">
        <v>0</v>
      </c>
      <c r="N4878">
        <v>2</v>
      </c>
      <c r="O4878">
        <v>0</v>
      </c>
      <c r="P4878">
        <v>1</v>
      </c>
      <c r="Q4878">
        <v>0</v>
      </c>
      <c r="R4878" t="s">
        <v>127</v>
      </c>
      <c r="S4878" t="str">
        <f t="shared" si="1932"/>
        <v>15:18:04.000</v>
      </c>
      <c r="T4878" t="str">
        <f t="shared" si="1932"/>
        <v>15:18:04.000</v>
      </c>
      <c r="U4878" t="str">
        <f t="shared" si="1927"/>
        <v>A68FCB</v>
      </c>
      <c r="V4878">
        <v>0</v>
      </c>
      <c r="W4878">
        <v>0</v>
      </c>
      <c r="X4878">
        <v>2</v>
      </c>
      <c r="Y4878">
        <v>0</v>
      </c>
      <c r="AA4878">
        <v>1</v>
      </c>
      <c r="AB4878">
        <v>8</v>
      </c>
      <c r="AC4878">
        <v>3</v>
      </c>
      <c r="AD4878">
        <v>0</v>
      </c>
      <c r="AE4878">
        <v>9</v>
      </c>
      <c r="AF4878" t="s">
        <v>138</v>
      </c>
      <c r="AG4878">
        <v>0</v>
      </c>
      <c r="AH4878">
        <v>3</v>
      </c>
      <c r="AI4878">
        <v>2</v>
      </c>
      <c r="AJ4878">
        <v>0</v>
      </c>
      <c r="AK4878" t="s">
        <v>1542</v>
      </c>
      <c r="AL4878">
        <v>39.230955000000002</v>
      </c>
      <c r="AM4878" t="s">
        <v>1543</v>
      </c>
      <c r="AN4878">
        <v>-121.0005</v>
      </c>
      <c r="AO4878">
        <v>25</v>
      </c>
      <c r="AP4878">
        <v>4000</v>
      </c>
      <c r="AQ4878" t="s">
        <v>131</v>
      </c>
      <c r="AR4878">
        <v>-26</v>
      </c>
      <c r="AS4878">
        <v>87</v>
      </c>
      <c r="AT4878">
        <v>-128</v>
      </c>
      <c r="BB4878" t="str">
        <f t="shared" si="1928"/>
        <v>1200</v>
      </c>
      <c r="BC4878">
        <v>1</v>
      </c>
      <c r="BD4878" t="str">
        <f t="shared" si="1929"/>
        <v xml:space="preserve">N52156  </v>
      </c>
      <c r="BE4878">
        <v>1</v>
      </c>
      <c r="BG4878">
        <v>0</v>
      </c>
      <c r="BH4878">
        <v>0</v>
      </c>
      <c r="BI4878">
        <v>0</v>
      </c>
      <c r="BJ4878">
        <v>4075</v>
      </c>
      <c r="BK4878">
        <v>75</v>
      </c>
      <c r="BL4878" t="s">
        <v>188</v>
      </c>
      <c r="BM4878">
        <v>1</v>
      </c>
      <c r="BN4878">
        <v>1</v>
      </c>
      <c r="BO4878">
        <v>0</v>
      </c>
      <c r="BP4878">
        <v>0</v>
      </c>
      <c r="BS4878">
        <v>0</v>
      </c>
      <c r="BT4878">
        <v>0</v>
      </c>
      <c r="BU4878">
        <v>0</v>
      </c>
      <c r="CE4878" t="str">
        <f t="shared" si="1933"/>
        <v>15:18:04.807</v>
      </c>
      <c r="CF4878">
        <v>806762269</v>
      </c>
      <c r="CS4878">
        <v>0</v>
      </c>
      <c r="CT4878">
        <v>2</v>
      </c>
      <c r="CU4878">
        <v>0</v>
      </c>
      <c r="CV4878">
        <v>2</v>
      </c>
      <c r="CW4878">
        <v>0</v>
      </c>
      <c r="CX4878">
        <v>3</v>
      </c>
      <c r="CY4878">
        <v>7</v>
      </c>
      <c r="CZ4878" t="s">
        <v>133</v>
      </c>
      <c r="DA4878">
        <v>275</v>
      </c>
      <c r="DB4878">
        <v>0</v>
      </c>
      <c r="DC4878" t="s">
        <v>134</v>
      </c>
      <c r="DD4878" t="s">
        <v>135</v>
      </c>
      <c r="DG4878">
        <v>3323427</v>
      </c>
      <c r="DI4878">
        <v>1</v>
      </c>
      <c r="DJ4878">
        <v>0</v>
      </c>
      <c r="DK4878">
        <v>1</v>
      </c>
      <c r="DL4878">
        <v>0</v>
      </c>
      <c r="DM4878">
        <v>0</v>
      </c>
      <c r="DN4878">
        <v>0</v>
      </c>
      <c r="DO4878">
        <v>0</v>
      </c>
      <c r="DP4878">
        <v>0</v>
      </c>
      <c r="DQ4878">
        <v>0</v>
      </c>
      <c r="DR4878">
        <v>0</v>
      </c>
      <c r="DS4878">
        <v>0</v>
      </c>
    </row>
    <row r="4879" spans="1:123" x14ac:dyDescent="0.3">
      <c r="A4879" t="str">
        <f>"05/01/2025 15:18:05.045"</f>
        <v>05/01/2025 15:18:05.045</v>
      </c>
      <c r="C4879" t="str">
        <f t="shared" si="1926"/>
        <v>FFDFD3C0</v>
      </c>
      <c r="D4879" t="s">
        <v>143</v>
      </c>
      <c r="E4879" t="str">
        <f>"05"</f>
        <v>05</v>
      </c>
      <c r="H4879">
        <v>172</v>
      </c>
      <c r="I4879" t="s">
        <v>141</v>
      </c>
      <c r="J4879" t="s">
        <v>144</v>
      </c>
      <c r="K4879">
        <v>0</v>
      </c>
      <c r="L4879">
        <v>3</v>
      </c>
      <c r="M4879">
        <v>0</v>
      </c>
      <c r="N4879">
        <v>2</v>
      </c>
      <c r="O4879">
        <v>0</v>
      </c>
      <c r="P4879">
        <v>1</v>
      </c>
      <c r="Q4879">
        <v>0</v>
      </c>
      <c r="R4879" t="s">
        <v>127</v>
      </c>
      <c r="S4879" t="str">
        <f t="shared" si="1932"/>
        <v>15:18:04.000</v>
      </c>
      <c r="T4879" t="str">
        <f t="shared" si="1932"/>
        <v>15:18:04.000</v>
      </c>
      <c r="U4879" t="str">
        <f t="shared" si="1927"/>
        <v>A68FCB</v>
      </c>
      <c r="V4879">
        <v>0</v>
      </c>
      <c r="W4879">
        <v>0</v>
      </c>
      <c r="X4879">
        <v>2</v>
      </c>
      <c r="Y4879">
        <v>0</v>
      </c>
      <c r="AA4879">
        <v>1</v>
      </c>
      <c r="AB4879">
        <v>8</v>
      </c>
      <c r="AC4879">
        <v>3</v>
      </c>
      <c r="AD4879">
        <v>0</v>
      </c>
      <c r="AE4879">
        <v>9</v>
      </c>
      <c r="AF4879" t="s">
        <v>138</v>
      </c>
      <c r="AG4879">
        <v>0</v>
      </c>
      <c r="AH4879">
        <v>3</v>
      </c>
      <c r="AI4879">
        <v>2</v>
      </c>
      <c r="AJ4879">
        <v>0</v>
      </c>
      <c r="AK4879" t="s">
        <v>1542</v>
      </c>
      <c r="AL4879">
        <v>39.230955000000002</v>
      </c>
      <c r="AM4879" t="s">
        <v>1543</v>
      </c>
      <c r="AN4879">
        <v>-121.0005</v>
      </c>
      <c r="AO4879">
        <v>25</v>
      </c>
      <c r="AP4879">
        <v>4000</v>
      </c>
      <c r="AQ4879" t="s">
        <v>131</v>
      </c>
      <c r="AR4879">
        <v>-26</v>
      </c>
      <c r="AS4879">
        <v>87</v>
      </c>
      <c r="AT4879">
        <v>-128</v>
      </c>
      <c r="BB4879" t="str">
        <f t="shared" si="1928"/>
        <v>1200</v>
      </c>
      <c r="BC4879">
        <v>1</v>
      </c>
      <c r="BD4879" t="str">
        <f t="shared" si="1929"/>
        <v xml:space="preserve">N52156  </v>
      </c>
      <c r="BE4879">
        <v>1</v>
      </c>
      <c r="BG4879">
        <v>0</v>
      </c>
      <c r="BH4879">
        <v>0</v>
      </c>
      <c r="BI4879">
        <v>0</v>
      </c>
      <c r="BJ4879">
        <v>4075</v>
      </c>
      <c r="BK4879">
        <v>75</v>
      </c>
      <c r="BL4879" t="s">
        <v>188</v>
      </c>
      <c r="BM4879">
        <v>1</v>
      </c>
      <c r="BN4879">
        <v>1</v>
      </c>
      <c r="BO4879">
        <v>0</v>
      </c>
      <c r="BP4879">
        <v>0</v>
      </c>
      <c r="BS4879">
        <v>0</v>
      </c>
      <c r="BT4879">
        <v>0</v>
      </c>
      <c r="BU4879">
        <v>0</v>
      </c>
      <c r="CE4879" t="str">
        <f t="shared" si="1933"/>
        <v>15:18:04.807</v>
      </c>
      <c r="CF4879">
        <v>806762269</v>
      </c>
      <c r="CS4879">
        <v>0</v>
      </c>
      <c r="CT4879">
        <v>2</v>
      </c>
      <c r="CU4879">
        <v>0</v>
      </c>
      <c r="CV4879">
        <v>2</v>
      </c>
      <c r="CW4879">
        <v>0</v>
      </c>
      <c r="CX4879">
        <v>3</v>
      </c>
      <c r="CY4879">
        <v>7</v>
      </c>
      <c r="CZ4879" t="s">
        <v>133</v>
      </c>
      <c r="DA4879">
        <v>275</v>
      </c>
      <c r="DB4879">
        <v>0</v>
      </c>
      <c r="DC4879" t="s">
        <v>134</v>
      </c>
      <c r="DD4879" t="s">
        <v>135</v>
      </c>
      <c r="DG4879">
        <v>3323427</v>
      </c>
      <c r="DI4879">
        <v>1</v>
      </c>
      <c r="DJ4879">
        <v>0</v>
      </c>
      <c r="DK4879">
        <v>1</v>
      </c>
      <c r="DL4879">
        <v>0</v>
      </c>
      <c r="DM4879">
        <v>0</v>
      </c>
      <c r="DN4879">
        <v>0</v>
      </c>
      <c r="DO4879">
        <v>0</v>
      </c>
      <c r="DP4879">
        <v>0</v>
      </c>
      <c r="DQ4879">
        <v>0</v>
      </c>
      <c r="DR4879">
        <v>0</v>
      </c>
      <c r="DS4879">
        <v>0</v>
      </c>
    </row>
    <row r="4880" spans="1:123" x14ac:dyDescent="0.3">
      <c r="A4880" t="str">
        <f>"05/01/2025 15:18:05.911"</f>
        <v>05/01/2025 15:18:05.911</v>
      </c>
      <c r="C4880" t="str">
        <f t="shared" si="1926"/>
        <v>FFDFD3C0</v>
      </c>
      <c r="D4880" t="s">
        <v>145</v>
      </c>
      <c r="E4880" t="str">
        <f>"05"</f>
        <v>05</v>
      </c>
      <c r="H4880">
        <v>47</v>
      </c>
      <c r="I4880" t="s">
        <v>146</v>
      </c>
      <c r="J4880" t="s">
        <v>138</v>
      </c>
      <c r="K4880">
        <v>0</v>
      </c>
      <c r="L4880">
        <v>3</v>
      </c>
      <c r="M4880">
        <v>0</v>
      </c>
      <c r="N4880">
        <v>2</v>
      </c>
      <c r="O4880">
        <v>0</v>
      </c>
      <c r="P4880">
        <v>1</v>
      </c>
      <c r="Q4880">
        <v>0</v>
      </c>
      <c r="R4880" t="s">
        <v>127</v>
      </c>
      <c r="S4880" t="str">
        <f t="shared" ref="S4880:T4885" si="1934">"15:18:05.000"</f>
        <v>15:18:05.000</v>
      </c>
      <c r="T4880" t="str">
        <f t="shared" si="1934"/>
        <v>15:18:05.000</v>
      </c>
      <c r="U4880" t="str">
        <f t="shared" si="1927"/>
        <v>A68FCB</v>
      </c>
      <c r="V4880">
        <v>0</v>
      </c>
      <c r="W4880">
        <v>0</v>
      </c>
      <c r="X4880">
        <v>2</v>
      </c>
      <c r="Y4880">
        <v>0</v>
      </c>
      <c r="AA4880">
        <v>1</v>
      </c>
      <c r="AB4880">
        <v>8</v>
      </c>
      <c r="AC4880">
        <v>3</v>
      </c>
      <c r="AD4880">
        <v>0</v>
      </c>
      <c r="AE4880">
        <v>9</v>
      </c>
      <c r="AF4880" t="s">
        <v>138</v>
      </c>
      <c r="AG4880">
        <v>0</v>
      </c>
      <c r="AH4880">
        <v>3</v>
      </c>
      <c r="AI4880">
        <v>2</v>
      </c>
      <c r="AJ4880">
        <v>0</v>
      </c>
      <c r="AK4880" t="s">
        <v>1544</v>
      </c>
      <c r="AL4880">
        <v>39.231383999999998</v>
      </c>
      <c r="AM4880" t="s">
        <v>1545</v>
      </c>
      <c r="AN4880">
        <v>-121.00064999999999</v>
      </c>
      <c r="AO4880">
        <v>25</v>
      </c>
      <c r="AP4880">
        <v>4000</v>
      </c>
      <c r="AQ4880" t="s">
        <v>131</v>
      </c>
      <c r="AR4880">
        <v>-31</v>
      </c>
      <c r="AS4880">
        <v>90</v>
      </c>
      <c r="AT4880">
        <v>-128</v>
      </c>
      <c r="BB4880" t="str">
        <f t="shared" si="1928"/>
        <v>1200</v>
      </c>
      <c r="BC4880">
        <v>1</v>
      </c>
      <c r="BD4880" t="str">
        <f t="shared" si="1929"/>
        <v xml:space="preserve">N52156  </v>
      </c>
      <c r="BE4880">
        <v>1</v>
      </c>
      <c r="BG4880">
        <v>0</v>
      </c>
      <c r="BH4880">
        <v>0</v>
      </c>
      <c r="BI4880">
        <v>0</v>
      </c>
      <c r="BJ4880">
        <v>4075</v>
      </c>
      <c r="BK4880">
        <v>75</v>
      </c>
      <c r="BL4880" t="s">
        <v>188</v>
      </c>
      <c r="BM4880">
        <v>1</v>
      </c>
      <c r="BN4880">
        <v>1</v>
      </c>
      <c r="BO4880">
        <v>0</v>
      </c>
      <c r="BP4880">
        <v>0</v>
      </c>
      <c r="BS4880">
        <v>0</v>
      </c>
      <c r="BT4880">
        <v>0</v>
      </c>
      <c r="BU4880">
        <v>0</v>
      </c>
      <c r="CE4880" t="str">
        <f t="shared" ref="CE4880:CE4885" si="1935">"15:18:05.695"</f>
        <v>15:18:05.695</v>
      </c>
      <c r="CF4880">
        <v>695012024</v>
      </c>
      <c r="CS4880">
        <v>0</v>
      </c>
      <c r="CT4880">
        <v>2</v>
      </c>
      <c r="CU4880">
        <v>0</v>
      </c>
      <c r="CV4880">
        <v>2</v>
      </c>
      <c r="CW4880">
        <v>0</v>
      </c>
      <c r="CX4880">
        <v>3</v>
      </c>
      <c r="CY4880">
        <v>7</v>
      </c>
      <c r="CZ4880" t="s">
        <v>133</v>
      </c>
      <c r="DA4880">
        <v>275</v>
      </c>
      <c r="DB4880">
        <v>0</v>
      </c>
      <c r="DC4880" t="s">
        <v>134</v>
      </c>
      <c r="DD4880" t="s">
        <v>135</v>
      </c>
      <c r="DG4880">
        <v>3323430</v>
      </c>
      <c r="DI4880">
        <v>1</v>
      </c>
      <c r="DJ4880">
        <v>0</v>
      </c>
      <c r="DK4880">
        <v>0</v>
      </c>
      <c r="DL4880">
        <v>0</v>
      </c>
      <c r="DM4880">
        <v>0</v>
      </c>
      <c r="DN4880">
        <v>0</v>
      </c>
      <c r="DO4880">
        <v>0</v>
      </c>
      <c r="DP4880">
        <v>0</v>
      </c>
      <c r="DQ4880">
        <v>0</v>
      </c>
      <c r="DR4880">
        <v>0</v>
      </c>
      <c r="DS4880">
        <v>0</v>
      </c>
    </row>
    <row r="4881" spans="1:123" x14ac:dyDescent="0.3">
      <c r="A4881" t="str">
        <f>"05/01/2025 15:18:05.909"</f>
        <v>05/01/2025 15:18:05.909</v>
      </c>
      <c r="C4881" t="str">
        <f t="shared" si="1926"/>
        <v>FFDFD3C0</v>
      </c>
      <c r="D4881" t="s">
        <v>145</v>
      </c>
      <c r="E4881" t="str">
        <f>"09"</f>
        <v>09</v>
      </c>
      <c r="H4881">
        <v>51</v>
      </c>
      <c r="I4881" t="s">
        <v>147</v>
      </c>
      <c r="J4881" t="s">
        <v>138</v>
      </c>
      <c r="K4881">
        <v>0</v>
      </c>
      <c r="L4881">
        <v>3</v>
      </c>
      <c r="M4881">
        <v>0</v>
      </c>
      <c r="N4881">
        <v>2</v>
      </c>
      <c r="O4881">
        <v>0</v>
      </c>
      <c r="P4881">
        <v>1</v>
      </c>
      <c r="Q4881">
        <v>0</v>
      </c>
      <c r="R4881" t="s">
        <v>127</v>
      </c>
      <c r="S4881" t="str">
        <f t="shared" si="1934"/>
        <v>15:18:05.000</v>
      </c>
      <c r="T4881" t="str">
        <f t="shared" si="1934"/>
        <v>15:18:05.000</v>
      </c>
      <c r="U4881" t="str">
        <f t="shared" si="1927"/>
        <v>A68FCB</v>
      </c>
      <c r="V4881">
        <v>0</v>
      </c>
      <c r="W4881">
        <v>0</v>
      </c>
      <c r="X4881">
        <v>2</v>
      </c>
      <c r="Y4881">
        <v>0</v>
      </c>
      <c r="AA4881">
        <v>1</v>
      </c>
      <c r="AB4881">
        <v>8</v>
      </c>
      <c r="AC4881">
        <v>3</v>
      </c>
      <c r="AD4881">
        <v>0</v>
      </c>
      <c r="AE4881">
        <v>9</v>
      </c>
      <c r="AF4881" t="s">
        <v>138</v>
      </c>
      <c r="AG4881">
        <v>0</v>
      </c>
      <c r="AH4881">
        <v>3</v>
      </c>
      <c r="AI4881">
        <v>2</v>
      </c>
      <c r="AJ4881">
        <v>0</v>
      </c>
      <c r="AK4881" t="s">
        <v>1544</v>
      </c>
      <c r="AL4881">
        <v>39.231383999999998</v>
      </c>
      <c r="AM4881" t="s">
        <v>1545</v>
      </c>
      <c r="AN4881">
        <v>-121.00064999999999</v>
      </c>
      <c r="AO4881">
        <v>25</v>
      </c>
      <c r="AP4881">
        <v>4000</v>
      </c>
      <c r="AQ4881" t="s">
        <v>131</v>
      </c>
      <c r="AR4881">
        <v>-31</v>
      </c>
      <c r="AS4881">
        <v>90</v>
      </c>
      <c r="AT4881">
        <v>-128</v>
      </c>
      <c r="BB4881" t="str">
        <f t="shared" si="1928"/>
        <v>1200</v>
      </c>
      <c r="BC4881">
        <v>1</v>
      </c>
      <c r="BD4881" t="str">
        <f t="shared" si="1929"/>
        <v xml:space="preserve">N52156  </v>
      </c>
      <c r="BE4881">
        <v>1</v>
      </c>
      <c r="BG4881">
        <v>0</v>
      </c>
      <c r="BH4881">
        <v>0</v>
      </c>
      <c r="BI4881">
        <v>0</v>
      </c>
      <c r="BJ4881">
        <v>4075</v>
      </c>
      <c r="BK4881">
        <v>75</v>
      </c>
      <c r="BL4881" t="s">
        <v>188</v>
      </c>
      <c r="BM4881">
        <v>1</v>
      </c>
      <c r="BN4881">
        <v>1</v>
      </c>
      <c r="BO4881">
        <v>0</v>
      </c>
      <c r="BP4881">
        <v>0</v>
      </c>
      <c r="BS4881">
        <v>0</v>
      </c>
      <c r="BT4881">
        <v>0</v>
      </c>
      <c r="BU4881">
        <v>0</v>
      </c>
      <c r="CE4881" t="str">
        <f t="shared" si="1935"/>
        <v>15:18:05.695</v>
      </c>
      <c r="CF4881">
        <v>695012024</v>
      </c>
      <c r="CS4881">
        <v>0</v>
      </c>
      <c r="CT4881">
        <v>2</v>
      </c>
      <c r="CU4881">
        <v>0</v>
      </c>
      <c r="CV4881">
        <v>2</v>
      </c>
      <c r="CW4881">
        <v>0</v>
      </c>
      <c r="CX4881">
        <v>3</v>
      </c>
      <c r="CY4881">
        <v>7</v>
      </c>
      <c r="CZ4881" t="s">
        <v>133</v>
      </c>
      <c r="DA4881">
        <v>275</v>
      </c>
      <c r="DB4881">
        <v>0</v>
      </c>
      <c r="DC4881" t="s">
        <v>134</v>
      </c>
      <c r="DD4881" t="s">
        <v>135</v>
      </c>
      <c r="DG4881">
        <v>3323430</v>
      </c>
      <c r="DI4881">
        <v>1</v>
      </c>
      <c r="DJ4881">
        <v>0</v>
      </c>
      <c r="DK4881">
        <v>1</v>
      </c>
      <c r="DL4881">
        <v>0</v>
      </c>
      <c r="DM4881">
        <v>0</v>
      </c>
      <c r="DN4881">
        <v>0</v>
      </c>
      <c r="DO4881">
        <v>0</v>
      </c>
      <c r="DP4881">
        <v>0</v>
      </c>
      <c r="DQ4881">
        <v>0</v>
      </c>
      <c r="DR4881">
        <v>0</v>
      </c>
      <c r="DS4881">
        <v>0</v>
      </c>
    </row>
    <row r="4882" spans="1:123" x14ac:dyDescent="0.3">
      <c r="A4882" t="str">
        <f>"05/01/2025 15:18:05.921"</f>
        <v>05/01/2025 15:18:05.921</v>
      </c>
      <c r="C4882" t="str">
        <f t="shared" si="1926"/>
        <v>FFDFD3C0</v>
      </c>
      <c r="D4882" t="s">
        <v>136</v>
      </c>
      <c r="E4882" t="str">
        <f>"20"</f>
        <v>20</v>
      </c>
      <c r="H4882">
        <v>400</v>
      </c>
      <c r="I4882" t="s">
        <v>137</v>
      </c>
      <c r="J4882" t="s">
        <v>138</v>
      </c>
      <c r="K4882">
        <v>0</v>
      </c>
      <c r="L4882">
        <v>3</v>
      </c>
      <c r="M4882">
        <v>0</v>
      </c>
      <c r="N4882">
        <v>2</v>
      </c>
      <c r="O4882">
        <v>0</v>
      </c>
      <c r="P4882">
        <v>1</v>
      </c>
      <c r="Q4882">
        <v>0</v>
      </c>
      <c r="R4882" t="s">
        <v>127</v>
      </c>
      <c r="S4882" t="str">
        <f t="shared" si="1934"/>
        <v>15:18:05.000</v>
      </c>
      <c r="T4882" t="str">
        <f t="shared" si="1934"/>
        <v>15:18:05.000</v>
      </c>
      <c r="U4882" t="str">
        <f t="shared" si="1927"/>
        <v>A68FCB</v>
      </c>
      <c r="V4882">
        <v>0</v>
      </c>
      <c r="W4882">
        <v>0</v>
      </c>
      <c r="X4882">
        <v>2</v>
      </c>
      <c r="Y4882">
        <v>0</v>
      </c>
      <c r="AA4882">
        <v>1</v>
      </c>
      <c r="AB4882">
        <v>8</v>
      </c>
      <c r="AC4882">
        <v>3</v>
      </c>
      <c r="AD4882">
        <v>0</v>
      </c>
      <c r="AE4882">
        <v>9</v>
      </c>
      <c r="AF4882" t="s">
        <v>138</v>
      </c>
      <c r="AG4882">
        <v>0</v>
      </c>
      <c r="AH4882">
        <v>3</v>
      </c>
      <c r="AI4882">
        <v>2</v>
      </c>
      <c r="AJ4882">
        <v>0</v>
      </c>
      <c r="AK4882" t="s">
        <v>1544</v>
      </c>
      <c r="AL4882">
        <v>39.231383999999998</v>
      </c>
      <c r="AM4882" t="s">
        <v>1545</v>
      </c>
      <c r="AN4882">
        <v>-121.00064999999999</v>
      </c>
      <c r="AO4882">
        <v>25</v>
      </c>
      <c r="AP4882">
        <v>4000</v>
      </c>
      <c r="AQ4882" t="s">
        <v>131</v>
      </c>
      <c r="AR4882">
        <v>-31</v>
      </c>
      <c r="AS4882">
        <v>90</v>
      </c>
      <c r="AT4882">
        <v>-128</v>
      </c>
      <c r="BB4882" t="str">
        <f t="shared" si="1928"/>
        <v>1200</v>
      </c>
      <c r="BC4882">
        <v>1</v>
      </c>
      <c r="BD4882" t="str">
        <f t="shared" si="1929"/>
        <v xml:space="preserve">N52156  </v>
      </c>
      <c r="BE4882">
        <v>1</v>
      </c>
      <c r="BG4882">
        <v>0</v>
      </c>
      <c r="BH4882">
        <v>0</v>
      </c>
      <c r="BI4882">
        <v>0</v>
      </c>
      <c r="BJ4882">
        <v>4075</v>
      </c>
      <c r="BK4882">
        <v>75</v>
      </c>
      <c r="BL4882" t="s">
        <v>188</v>
      </c>
      <c r="BM4882">
        <v>1</v>
      </c>
      <c r="BN4882">
        <v>1</v>
      </c>
      <c r="BO4882">
        <v>0</v>
      </c>
      <c r="BP4882">
        <v>0</v>
      </c>
      <c r="BS4882">
        <v>0</v>
      </c>
      <c r="BT4882">
        <v>0</v>
      </c>
      <c r="BU4882">
        <v>0</v>
      </c>
      <c r="CE4882" t="str">
        <f t="shared" si="1935"/>
        <v>15:18:05.695</v>
      </c>
      <c r="CF4882">
        <v>695012024</v>
      </c>
      <c r="CS4882">
        <v>0</v>
      </c>
      <c r="CT4882">
        <v>2</v>
      </c>
      <c r="CU4882">
        <v>0</v>
      </c>
      <c r="CV4882">
        <v>2</v>
      </c>
      <c r="CW4882">
        <v>0</v>
      </c>
      <c r="CX4882">
        <v>3</v>
      </c>
      <c r="CY4882">
        <v>7</v>
      </c>
      <c r="CZ4882" t="s">
        <v>133</v>
      </c>
      <c r="DA4882">
        <v>275</v>
      </c>
      <c r="DB4882">
        <v>0</v>
      </c>
      <c r="DC4882" t="s">
        <v>134</v>
      </c>
      <c r="DD4882" t="s">
        <v>135</v>
      </c>
      <c r="DG4882">
        <v>3323430</v>
      </c>
      <c r="DI4882">
        <v>1</v>
      </c>
      <c r="DJ4882">
        <v>0</v>
      </c>
      <c r="DK4882">
        <v>1</v>
      </c>
      <c r="DL4882">
        <v>0</v>
      </c>
      <c r="DM4882">
        <v>0</v>
      </c>
      <c r="DN4882">
        <v>0</v>
      </c>
      <c r="DO4882">
        <v>0</v>
      </c>
      <c r="DP4882">
        <v>0</v>
      </c>
      <c r="DQ4882">
        <v>0</v>
      </c>
      <c r="DR4882">
        <v>0</v>
      </c>
      <c r="DS4882">
        <v>0</v>
      </c>
    </row>
    <row r="4883" spans="1:123" x14ac:dyDescent="0.3">
      <c r="A4883" t="str">
        <f>"05/01/2025 15:18:05.936"</f>
        <v>05/01/2025 15:18:05.936</v>
      </c>
      <c r="C4883" t="str">
        <f t="shared" si="1926"/>
        <v>FFDFD3C0</v>
      </c>
      <c r="D4883" t="s">
        <v>140</v>
      </c>
      <c r="E4883" t="str">
        <f>"13"</f>
        <v>13</v>
      </c>
      <c r="F4883">
        <v>1019</v>
      </c>
      <c r="G4883" t="s">
        <v>141</v>
      </c>
      <c r="J4883" t="s">
        <v>142</v>
      </c>
      <c r="K4883">
        <v>0</v>
      </c>
      <c r="L4883">
        <v>3</v>
      </c>
      <c r="M4883">
        <v>0</v>
      </c>
      <c r="N4883">
        <v>2</v>
      </c>
      <c r="O4883">
        <v>0</v>
      </c>
      <c r="P4883">
        <v>1</v>
      </c>
      <c r="Q4883">
        <v>0</v>
      </c>
      <c r="R4883" t="s">
        <v>127</v>
      </c>
      <c r="S4883" t="str">
        <f t="shared" si="1934"/>
        <v>15:18:05.000</v>
      </c>
      <c r="T4883" t="str">
        <f t="shared" si="1934"/>
        <v>15:18:05.000</v>
      </c>
      <c r="U4883" t="str">
        <f t="shared" si="1927"/>
        <v>A68FCB</v>
      </c>
      <c r="V4883">
        <v>0</v>
      </c>
      <c r="W4883">
        <v>0</v>
      </c>
      <c r="X4883">
        <v>2</v>
      </c>
      <c r="Y4883">
        <v>0</v>
      </c>
      <c r="AA4883">
        <v>1</v>
      </c>
      <c r="AB4883">
        <v>8</v>
      </c>
      <c r="AC4883">
        <v>3</v>
      </c>
      <c r="AD4883">
        <v>0</v>
      </c>
      <c r="AE4883">
        <v>9</v>
      </c>
      <c r="AF4883" t="s">
        <v>138</v>
      </c>
      <c r="AG4883">
        <v>0</v>
      </c>
      <c r="AH4883">
        <v>3</v>
      </c>
      <c r="AI4883">
        <v>2</v>
      </c>
      <c r="AJ4883">
        <v>0</v>
      </c>
      <c r="AK4883" t="s">
        <v>1544</v>
      </c>
      <c r="AL4883">
        <v>39.231383999999998</v>
      </c>
      <c r="AM4883" t="s">
        <v>1545</v>
      </c>
      <c r="AN4883">
        <v>-121.00064999999999</v>
      </c>
      <c r="AO4883">
        <v>25</v>
      </c>
      <c r="AP4883">
        <v>4000</v>
      </c>
      <c r="AQ4883" t="s">
        <v>131</v>
      </c>
      <c r="AR4883">
        <v>-31</v>
      </c>
      <c r="AS4883">
        <v>90</v>
      </c>
      <c r="AT4883">
        <v>-128</v>
      </c>
      <c r="BB4883" t="str">
        <f t="shared" si="1928"/>
        <v>1200</v>
      </c>
      <c r="BC4883">
        <v>1</v>
      </c>
      <c r="BD4883" t="str">
        <f t="shared" si="1929"/>
        <v xml:space="preserve">N52156  </v>
      </c>
      <c r="BE4883">
        <v>1</v>
      </c>
      <c r="BG4883">
        <v>0</v>
      </c>
      <c r="BH4883">
        <v>0</v>
      </c>
      <c r="BI4883">
        <v>0</v>
      </c>
      <c r="BJ4883">
        <v>4075</v>
      </c>
      <c r="BK4883">
        <v>75</v>
      </c>
      <c r="BL4883" t="s">
        <v>188</v>
      </c>
      <c r="BM4883">
        <v>1</v>
      </c>
      <c r="BN4883">
        <v>1</v>
      </c>
      <c r="BO4883">
        <v>0</v>
      </c>
      <c r="BP4883">
        <v>0</v>
      </c>
      <c r="BS4883">
        <v>0</v>
      </c>
      <c r="BT4883">
        <v>0</v>
      </c>
      <c r="BU4883">
        <v>0</v>
      </c>
      <c r="CE4883" t="str">
        <f t="shared" si="1935"/>
        <v>15:18:05.695</v>
      </c>
      <c r="CF4883">
        <v>695012024</v>
      </c>
      <c r="CS4883">
        <v>0</v>
      </c>
      <c r="CT4883">
        <v>2</v>
      </c>
      <c r="CU4883">
        <v>0</v>
      </c>
      <c r="CV4883">
        <v>2</v>
      </c>
      <c r="CW4883">
        <v>0</v>
      </c>
      <c r="CX4883">
        <v>3</v>
      </c>
      <c r="CY4883">
        <v>7</v>
      </c>
      <c r="CZ4883" t="s">
        <v>133</v>
      </c>
      <c r="DA4883">
        <v>275</v>
      </c>
      <c r="DB4883">
        <v>0</v>
      </c>
      <c r="DC4883" t="s">
        <v>134</v>
      </c>
      <c r="DD4883" t="s">
        <v>135</v>
      </c>
      <c r="DG4883">
        <v>3323430</v>
      </c>
      <c r="DI4883">
        <v>1</v>
      </c>
      <c r="DJ4883">
        <v>0</v>
      </c>
      <c r="DK4883">
        <v>1</v>
      </c>
      <c r="DL4883">
        <v>0</v>
      </c>
      <c r="DM4883">
        <v>0</v>
      </c>
      <c r="DN4883">
        <v>0</v>
      </c>
      <c r="DO4883">
        <v>0</v>
      </c>
      <c r="DP4883">
        <v>0</v>
      </c>
      <c r="DQ4883">
        <v>0</v>
      </c>
      <c r="DR4883">
        <v>0</v>
      </c>
      <c r="DS4883">
        <v>0</v>
      </c>
    </row>
    <row r="4884" spans="1:123" x14ac:dyDescent="0.3">
      <c r="A4884" t="str">
        <f>"05/01/2025 15:18:05.937"</f>
        <v>05/01/2025 15:18:05.937</v>
      </c>
      <c r="C4884" t="str">
        <f t="shared" si="1926"/>
        <v>FFDFD3C0</v>
      </c>
      <c r="D4884" t="s">
        <v>124</v>
      </c>
      <c r="E4884" t="str">
        <f>"06"</f>
        <v>06</v>
      </c>
      <c r="F4884">
        <v>2006</v>
      </c>
      <c r="G4884" t="s">
        <v>125</v>
      </c>
      <c r="J4884" t="s">
        <v>126</v>
      </c>
      <c r="K4884">
        <v>0</v>
      </c>
      <c r="L4884">
        <v>3</v>
      </c>
      <c r="M4884">
        <v>0</v>
      </c>
      <c r="N4884">
        <v>2</v>
      </c>
      <c r="O4884">
        <v>0</v>
      </c>
      <c r="P4884">
        <v>1</v>
      </c>
      <c r="Q4884">
        <v>0</v>
      </c>
      <c r="R4884" t="s">
        <v>127</v>
      </c>
      <c r="S4884" t="str">
        <f t="shared" si="1934"/>
        <v>15:18:05.000</v>
      </c>
      <c r="T4884" t="str">
        <f t="shared" si="1934"/>
        <v>15:18:05.000</v>
      </c>
      <c r="U4884" t="str">
        <f t="shared" si="1927"/>
        <v>A68FCB</v>
      </c>
      <c r="V4884">
        <v>0</v>
      </c>
      <c r="W4884">
        <v>0</v>
      </c>
      <c r="X4884">
        <v>2</v>
      </c>
      <c r="Y4884">
        <v>0</v>
      </c>
      <c r="AA4884">
        <v>1</v>
      </c>
      <c r="AB4884">
        <v>8</v>
      </c>
      <c r="AC4884">
        <v>3</v>
      </c>
      <c r="AD4884">
        <v>0</v>
      </c>
      <c r="AE4884">
        <v>9</v>
      </c>
      <c r="AF4884" t="s">
        <v>138</v>
      </c>
      <c r="AG4884">
        <v>0</v>
      </c>
      <c r="AH4884">
        <v>3</v>
      </c>
      <c r="AI4884">
        <v>2</v>
      </c>
      <c r="AJ4884">
        <v>0</v>
      </c>
      <c r="AK4884" t="s">
        <v>1544</v>
      </c>
      <c r="AL4884">
        <v>39.231383999999998</v>
      </c>
      <c r="AM4884" t="s">
        <v>1545</v>
      </c>
      <c r="AN4884">
        <v>-121.00064999999999</v>
      </c>
      <c r="AO4884">
        <v>25</v>
      </c>
      <c r="AP4884">
        <v>4000</v>
      </c>
      <c r="AQ4884" t="s">
        <v>131</v>
      </c>
      <c r="AR4884">
        <v>-31</v>
      </c>
      <c r="AS4884">
        <v>90</v>
      </c>
      <c r="AT4884">
        <v>-128</v>
      </c>
      <c r="BB4884" t="str">
        <f t="shared" si="1928"/>
        <v>1200</v>
      </c>
      <c r="BC4884">
        <v>1</v>
      </c>
      <c r="BD4884" t="str">
        <f t="shared" si="1929"/>
        <v xml:space="preserve">N52156  </v>
      </c>
      <c r="BE4884">
        <v>1</v>
      </c>
      <c r="BG4884">
        <v>0</v>
      </c>
      <c r="BH4884">
        <v>0</v>
      </c>
      <c r="BI4884">
        <v>0</v>
      </c>
      <c r="BJ4884">
        <v>4075</v>
      </c>
      <c r="BK4884">
        <v>75</v>
      </c>
      <c r="BL4884" t="s">
        <v>188</v>
      </c>
      <c r="BM4884">
        <v>1</v>
      </c>
      <c r="BN4884">
        <v>1</v>
      </c>
      <c r="BO4884">
        <v>0</v>
      </c>
      <c r="BP4884">
        <v>0</v>
      </c>
      <c r="BS4884">
        <v>0</v>
      </c>
      <c r="BT4884">
        <v>0</v>
      </c>
      <c r="BU4884">
        <v>0</v>
      </c>
      <c r="CE4884" t="str">
        <f t="shared" si="1935"/>
        <v>15:18:05.695</v>
      </c>
      <c r="CF4884">
        <v>695012024</v>
      </c>
      <c r="CS4884">
        <v>0</v>
      </c>
      <c r="CT4884">
        <v>2</v>
      </c>
      <c r="CU4884">
        <v>0</v>
      </c>
      <c r="CV4884">
        <v>2</v>
      </c>
      <c r="CW4884">
        <v>0</v>
      </c>
      <c r="CX4884">
        <v>3</v>
      </c>
      <c r="CY4884">
        <v>7</v>
      </c>
      <c r="CZ4884" t="s">
        <v>133</v>
      </c>
      <c r="DA4884">
        <v>275</v>
      </c>
      <c r="DB4884">
        <v>0</v>
      </c>
      <c r="DC4884" t="s">
        <v>134</v>
      </c>
      <c r="DD4884" t="s">
        <v>135</v>
      </c>
      <c r="DG4884">
        <v>3323430</v>
      </c>
      <c r="DI4884">
        <v>1</v>
      </c>
      <c r="DJ4884">
        <v>0</v>
      </c>
      <c r="DK4884">
        <v>1</v>
      </c>
      <c r="DL4884">
        <v>0</v>
      </c>
      <c r="DM4884">
        <v>0</v>
      </c>
      <c r="DN4884">
        <v>0</v>
      </c>
      <c r="DO4884">
        <v>0</v>
      </c>
      <c r="DP4884">
        <v>0</v>
      </c>
      <c r="DQ4884">
        <v>0</v>
      </c>
      <c r="DR4884">
        <v>0</v>
      </c>
      <c r="DS4884">
        <v>0</v>
      </c>
    </row>
    <row r="4885" spans="1:123" x14ac:dyDescent="0.3">
      <c r="A4885" t="str">
        <f>"05/01/2025 15:18:05.946"</f>
        <v>05/01/2025 15:18:05.946</v>
      </c>
      <c r="C4885" t="str">
        <f t="shared" si="1926"/>
        <v>FFDFD3C0</v>
      </c>
      <c r="D4885" t="s">
        <v>143</v>
      </c>
      <c r="E4885" t="str">
        <f>"05"</f>
        <v>05</v>
      </c>
      <c r="H4885">
        <v>172</v>
      </c>
      <c r="I4885" t="s">
        <v>141</v>
      </c>
      <c r="J4885" t="s">
        <v>144</v>
      </c>
      <c r="K4885">
        <v>0</v>
      </c>
      <c r="L4885">
        <v>3</v>
      </c>
      <c r="M4885">
        <v>0</v>
      </c>
      <c r="N4885">
        <v>2</v>
      </c>
      <c r="O4885">
        <v>0</v>
      </c>
      <c r="P4885">
        <v>1</v>
      </c>
      <c r="Q4885">
        <v>0</v>
      </c>
      <c r="R4885" t="s">
        <v>127</v>
      </c>
      <c r="S4885" t="str">
        <f t="shared" si="1934"/>
        <v>15:18:05.000</v>
      </c>
      <c r="T4885" t="str">
        <f t="shared" si="1934"/>
        <v>15:18:05.000</v>
      </c>
      <c r="U4885" t="str">
        <f t="shared" si="1927"/>
        <v>A68FCB</v>
      </c>
      <c r="V4885">
        <v>0</v>
      </c>
      <c r="W4885">
        <v>0</v>
      </c>
      <c r="X4885">
        <v>2</v>
      </c>
      <c r="Y4885">
        <v>0</v>
      </c>
      <c r="AA4885">
        <v>1</v>
      </c>
      <c r="AB4885">
        <v>8</v>
      </c>
      <c r="AC4885">
        <v>3</v>
      </c>
      <c r="AD4885">
        <v>0</v>
      </c>
      <c r="AE4885">
        <v>9</v>
      </c>
      <c r="AF4885" t="s">
        <v>138</v>
      </c>
      <c r="AG4885">
        <v>0</v>
      </c>
      <c r="AH4885">
        <v>3</v>
      </c>
      <c r="AI4885">
        <v>2</v>
      </c>
      <c r="AJ4885">
        <v>0</v>
      </c>
      <c r="AK4885" t="s">
        <v>1544</v>
      </c>
      <c r="AL4885">
        <v>39.231383999999998</v>
      </c>
      <c r="AM4885" t="s">
        <v>1545</v>
      </c>
      <c r="AN4885">
        <v>-121.00064999999999</v>
      </c>
      <c r="AO4885">
        <v>25</v>
      </c>
      <c r="AP4885">
        <v>4000</v>
      </c>
      <c r="AQ4885" t="s">
        <v>131</v>
      </c>
      <c r="AR4885">
        <v>-31</v>
      </c>
      <c r="AS4885">
        <v>90</v>
      </c>
      <c r="AT4885">
        <v>-128</v>
      </c>
      <c r="BB4885" t="str">
        <f t="shared" si="1928"/>
        <v>1200</v>
      </c>
      <c r="BC4885">
        <v>1</v>
      </c>
      <c r="BD4885" t="str">
        <f t="shared" si="1929"/>
        <v xml:space="preserve">N52156  </v>
      </c>
      <c r="BE4885">
        <v>1</v>
      </c>
      <c r="BG4885">
        <v>0</v>
      </c>
      <c r="BH4885">
        <v>0</v>
      </c>
      <c r="BI4885">
        <v>0</v>
      </c>
      <c r="BJ4885">
        <v>4075</v>
      </c>
      <c r="BK4885">
        <v>75</v>
      </c>
      <c r="BL4885" t="s">
        <v>188</v>
      </c>
      <c r="BM4885">
        <v>1</v>
      </c>
      <c r="BN4885">
        <v>1</v>
      </c>
      <c r="BO4885">
        <v>0</v>
      </c>
      <c r="BP4885">
        <v>0</v>
      </c>
      <c r="BS4885">
        <v>0</v>
      </c>
      <c r="BT4885">
        <v>0</v>
      </c>
      <c r="BU4885">
        <v>0</v>
      </c>
      <c r="CE4885" t="str">
        <f t="shared" si="1935"/>
        <v>15:18:05.695</v>
      </c>
      <c r="CF4885">
        <v>695012024</v>
      </c>
      <c r="CS4885">
        <v>0</v>
      </c>
      <c r="CT4885">
        <v>2</v>
      </c>
      <c r="CU4885">
        <v>0</v>
      </c>
      <c r="CV4885">
        <v>2</v>
      </c>
      <c r="CW4885">
        <v>0</v>
      </c>
      <c r="CX4885">
        <v>3</v>
      </c>
      <c r="CY4885">
        <v>7</v>
      </c>
      <c r="CZ4885" t="s">
        <v>133</v>
      </c>
      <c r="DA4885">
        <v>275</v>
      </c>
      <c r="DB4885">
        <v>0</v>
      </c>
      <c r="DC4885" t="s">
        <v>134</v>
      </c>
      <c r="DD4885" t="s">
        <v>135</v>
      </c>
      <c r="DG4885">
        <v>3323430</v>
      </c>
      <c r="DI4885">
        <v>1</v>
      </c>
      <c r="DJ4885">
        <v>0</v>
      </c>
      <c r="DK4885">
        <v>1</v>
      </c>
      <c r="DL4885">
        <v>0</v>
      </c>
      <c r="DM4885">
        <v>0</v>
      </c>
      <c r="DN4885">
        <v>0</v>
      </c>
      <c r="DO4885">
        <v>0</v>
      </c>
      <c r="DP4885">
        <v>0</v>
      </c>
      <c r="DQ4885">
        <v>0</v>
      </c>
      <c r="DR4885">
        <v>0</v>
      </c>
      <c r="DS4885">
        <v>0</v>
      </c>
    </row>
    <row r="4886" spans="1:123" x14ac:dyDescent="0.3">
      <c r="A4886" t="str">
        <f>"05/01/2025 15:18:07.087"</f>
        <v>05/01/2025 15:18:07.087</v>
      </c>
      <c r="C4886" t="str">
        <f t="shared" si="1926"/>
        <v>FFDFD3C0</v>
      </c>
      <c r="D4886" t="s">
        <v>140</v>
      </c>
      <c r="E4886" t="str">
        <f>"13"</f>
        <v>13</v>
      </c>
      <c r="F4886">
        <v>1019</v>
      </c>
      <c r="G4886" t="s">
        <v>141</v>
      </c>
      <c r="J4886" t="s">
        <v>142</v>
      </c>
      <c r="K4886">
        <v>0</v>
      </c>
      <c r="L4886">
        <v>3</v>
      </c>
      <c r="M4886">
        <v>0</v>
      </c>
      <c r="N4886">
        <v>2</v>
      </c>
      <c r="O4886">
        <v>0</v>
      </c>
      <c r="P4886">
        <v>1</v>
      </c>
      <c r="Q4886">
        <v>0</v>
      </c>
      <c r="R4886" t="s">
        <v>127</v>
      </c>
      <c r="S4886" t="str">
        <f t="shared" ref="S4886:T4891" si="1936">"15:18:06.000"</f>
        <v>15:18:06.000</v>
      </c>
      <c r="T4886" t="str">
        <f t="shared" si="1936"/>
        <v>15:18:06.000</v>
      </c>
      <c r="U4886" t="str">
        <f t="shared" si="1927"/>
        <v>A68FCB</v>
      </c>
      <c r="V4886">
        <v>0</v>
      </c>
      <c r="W4886">
        <v>0</v>
      </c>
      <c r="X4886">
        <v>2</v>
      </c>
      <c r="Y4886">
        <v>0</v>
      </c>
      <c r="AA4886">
        <v>1</v>
      </c>
      <c r="AB4886">
        <v>8</v>
      </c>
      <c r="AC4886">
        <v>3</v>
      </c>
      <c r="AD4886">
        <v>0</v>
      </c>
      <c r="AE4886">
        <v>9</v>
      </c>
      <c r="AF4886" t="s">
        <v>138</v>
      </c>
      <c r="AG4886">
        <v>0</v>
      </c>
      <c r="AH4886">
        <v>3</v>
      </c>
      <c r="AI4886">
        <v>2</v>
      </c>
      <c r="AJ4886">
        <v>0</v>
      </c>
      <c r="AK4886" t="s">
        <v>1546</v>
      </c>
      <c r="AL4886">
        <v>39.231791000000001</v>
      </c>
      <c r="AM4886" t="s">
        <v>1503</v>
      </c>
      <c r="AN4886">
        <v>-121.000843</v>
      </c>
      <c r="AO4886">
        <v>25</v>
      </c>
      <c r="AP4886">
        <v>4000</v>
      </c>
      <c r="AQ4886" t="s">
        <v>131</v>
      </c>
      <c r="AR4886">
        <v>-39</v>
      </c>
      <c r="AS4886">
        <v>88</v>
      </c>
      <c r="AT4886">
        <v>-64</v>
      </c>
      <c r="BB4886" t="str">
        <f t="shared" si="1928"/>
        <v>1200</v>
      </c>
      <c r="BC4886">
        <v>1</v>
      </c>
      <c r="BD4886" t="str">
        <f t="shared" si="1929"/>
        <v xml:space="preserve">N52156  </v>
      </c>
      <c r="BE4886">
        <v>1</v>
      </c>
      <c r="BG4886">
        <v>0</v>
      </c>
      <c r="BH4886">
        <v>0</v>
      </c>
      <c r="BI4886">
        <v>0</v>
      </c>
      <c r="BJ4886">
        <v>4075</v>
      </c>
      <c r="BK4886">
        <v>75</v>
      </c>
      <c r="BL4886" t="s">
        <v>188</v>
      </c>
      <c r="BM4886">
        <v>1</v>
      </c>
      <c r="BN4886">
        <v>1</v>
      </c>
      <c r="BO4886">
        <v>0</v>
      </c>
      <c r="BP4886">
        <v>0</v>
      </c>
      <c r="BS4886">
        <v>0</v>
      </c>
      <c r="BT4886">
        <v>0</v>
      </c>
      <c r="BU4886">
        <v>0</v>
      </c>
      <c r="CE4886" t="str">
        <f t="shared" ref="CE4886:CE4891" si="1937">"15:18:06.875"</f>
        <v>15:18:06.875</v>
      </c>
      <c r="CF4886">
        <v>874592453</v>
      </c>
      <c r="CS4886">
        <v>0</v>
      </c>
      <c r="CT4886">
        <v>2</v>
      </c>
      <c r="CU4886">
        <v>0</v>
      </c>
      <c r="CV4886">
        <v>2</v>
      </c>
      <c r="CW4886">
        <v>0</v>
      </c>
      <c r="CX4886">
        <v>2</v>
      </c>
      <c r="CY4886">
        <v>7</v>
      </c>
      <c r="CZ4886" t="s">
        <v>133</v>
      </c>
      <c r="DA4886">
        <v>276</v>
      </c>
      <c r="DB4886">
        <v>0</v>
      </c>
      <c r="DC4886" t="s">
        <v>402</v>
      </c>
      <c r="DD4886" t="s">
        <v>403</v>
      </c>
      <c r="DG4886">
        <v>1628870</v>
      </c>
      <c r="DI4886">
        <v>1</v>
      </c>
      <c r="DJ4886">
        <v>0</v>
      </c>
      <c r="DK4886">
        <v>0</v>
      </c>
      <c r="DL4886">
        <v>0</v>
      </c>
      <c r="DM4886">
        <v>0</v>
      </c>
      <c r="DN4886">
        <v>0</v>
      </c>
      <c r="DO4886">
        <v>0</v>
      </c>
      <c r="DP4886">
        <v>0</v>
      </c>
      <c r="DQ4886">
        <v>0</v>
      </c>
      <c r="DR4886">
        <v>0</v>
      </c>
      <c r="DS4886">
        <v>0</v>
      </c>
    </row>
    <row r="4887" spans="1:123" x14ac:dyDescent="0.3">
      <c r="A4887" t="str">
        <f>"05/01/2025 15:18:07.089"</f>
        <v>05/01/2025 15:18:07.089</v>
      </c>
      <c r="C4887" t="str">
        <f t="shared" si="1926"/>
        <v>FFDFD3C0</v>
      </c>
      <c r="D4887" t="s">
        <v>124</v>
      </c>
      <c r="E4887" t="str">
        <f>"06"</f>
        <v>06</v>
      </c>
      <c r="F4887">
        <v>2006</v>
      </c>
      <c r="G4887" t="s">
        <v>125</v>
      </c>
      <c r="J4887" t="s">
        <v>126</v>
      </c>
      <c r="K4887">
        <v>0</v>
      </c>
      <c r="L4887">
        <v>3</v>
      </c>
      <c r="M4887">
        <v>0</v>
      </c>
      <c r="N4887">
        <v>2</v>
      </c>
      <c r="O4887">
        <v>0</v>
      </c>
      <c r="P4887">
        <v>1</v>
      </c>
      <c r="Q4887">
        <v>0</v>
      </c>
      <c r="R4887" t="s">
        <v>127</v>
      </c>
      <c r="S4887" t="str">
        <f t="shared" si="1936"/>
        <v>15:18:06.000</v>
      </c>
      <c r="T4887" t="str">
        <f t="shared" si="1936"/>
        <v>15:18:06.000</v>
      </c>
      <c r="U4887" t="str">
        <f t="shared" si="1927"/>
        <v>A68FCB</v>
      </c>
      <c r="V4887">
        <v>0</v>
      </c>
      <c r="W4887">
        <v>0</v>
      </c>
      <c r="X4887">
        <v>2</v>
      </c>
      <c r="Y4887">
        <v>0</v>
      </c>
      <c r="AA4887">
        <v>1</v>
      </c>
      <c r="AB4887">
        <v>8</v>
      </c>
      <c r="AC4887">
        <v>3</v>
      </c>
      <c r="AD4887">
        <v>0</v>
      </c>
      <c r="AE4887">
        <v>9</v>
      </c>
      <c r="AF4887" t="s">
        <v>138</v>
      </c>
      <c r="AG4887">
        <v>0</v>
      </c>
      <c r="AH4887">
        <v>3</v>
      </c>
      <c r="AI4887">
        <v>2</v>
      </c>
      <c r="AJ4887">
        <v>0</v>
      </c>
      <c r="AK4887" t="s">
        <v>1546</v>
      </c>
      <c r="AL4887">
        <v>39.231791000000001</v>
      </c>
      <c r="AM4887" t="s">
        <v>1503</v>
      </c>
      <c r="AN4887">
        <v>-121.000843</v>
      </c>
      <c r="AO4887">
        <v>25</v>
      </c>
      <c r="AP4887">
        <v>4000</v>
      </c>
      <c r="AQ4887" t="s">
        <v>131</v>
      </c>
      <c r="AR4887">
        <v>-39</v>
      </c>
      <c r="AS4887">
        <v>88</v>
      </c>
      <c r="AT4887">
        <v>-64</v>
      </c>
      <c r="BB4887" t="str">
        <f t="shared" si="1928"/>
        <v>1200</v>
      </c>
      <c r="BC4887">
        <v>1</v>
      </c>
      <c r="BD4887" t="str">
        <f t="shared" si="1929"/>
        <v xml:space="preserve">N52156  </v>
      </c>
      <c r="BE4887">
        <v>1</v>
      </c>
      <c r="BG4887">
        <v>0</v>
      </c>
      <c r="BH4887">
        <v>0</v>
      </c>
      <c r="BI4887">
        <v>0</v>
      </c>
      <c r="BJ4887">
        <v>4075</v>
      </c>
      <c r="BK4887">
        <v>75</v>
      </c>
      <c r="BL4887" t="s">
        <v>188</v>
      </c>
      <c r="BM4887">
        <v>1</v>
      </c>
      <c r="BN4887">
        <v>1</v>
      </c>
      <c r="BO4887">
        <v>0</v>
      </c>
      <c r="BP4887">
        <v>0</v>
      </c>
      <c r="BS4887">
        <v>0</v>
      </c>
      <c r="BT4887">
        <v>0</v>
      </c>
      <c r="BU4887">
        <v>0</v>
      </c>
      <c r="CE4887" t="str">
        <f t="shared" si="1937"/>
        <v>15:18:06.875</v>
      </c>
      <c r="CF4887">
        <v>874592453</v>
      </c>
      <c r="CS4887">
        <v>0</v>
      </c>
      <c r="CT4887">
        <v>2</v>
      </c>
      <c r="CU4887">
        <v>0</v>
      </c>
      <c r="CV4887">
        <v>2</v>
      </c>
      <c r="CW4887">
        <v>0</v>
      </c>
      <c r="CX4887">
        <v>2</v>
      </c>
      <c r="CY4887">
        <v>7</v>
      </c>
      <c r="CZ4887" t="s">
        <v>133</v>
      </c>
      <c r="DA4887">
        <v>276</v>
      </c>
      <c r="DB4887">
        <v>0</v>
      </c>
      <c r="DC4887" t="s">
        <v>402</v>
      </c>
      <c r="DD4887" t="s">
        <v>403</v>
      </c>
      <c r="DG4887">
        <v>1628870</v>
      </c>
      <c r="DI4887">
        <v>1</v>
      </c>
      <c r="DJ4887">
        <v>0</v>
      </c>
      <c r="DK4887">
        <v>1</v>
      </c>
      <c r="DL4887">
        <v>0</v>
      </c>
      <c r="DM4887">
        <v>0</v>
      </c>
      <c r="DN4887">
        <v>0</v>
      </c>
      <c r="DO4887">
        <v>0</v>
      </c>
      <c r="DP4887">
        <v>0</v>
      </c>
      <c r="DQ4887">
        <v>0</v>
      </c>
      <c r="DR4887">
        <v>0</v>
      </c>
      <c r="DS4887">
        <v>0</v>
      </c>
    </row>
    <row r="4888" spans="1:123" x14ac:dyDescent="0.3">
      <c r="A4888" t="str">
        <f>"05/01/2025 15:18:07.098"</f>
        <v>05/01/2025 15:18:07.098</v>
      </c>
      <c r="C4888" t="str">
        <f t="shared" si="1926"/>
        <v>FFDFD3C0</v>
      </c>
      <c r="D4888" t="s">
        <v>143</v>
      </c>
      <c r="E4888" t="str">
        <f>"05"</f>
        <v>05</v>
      </c>
      <c r="H4888">
        <v>172</v>
      </c>
      <c r="I4888" t="s">
        <v>141</v>
      </c>
      <c r="J4888" t="s">
        <v>144</v>
      </c>
      <c r="K4888">
        <v>0</v>
      </c>
      <c r="L4888">
        <v>3</v>
      </c>
      <c r="M4888">
        <v>0</v>
      </c>
      <c r="N4888">
        <v>2</v>
      </c>
      <c r="O4888">
        <v>0</v>
      </c>
      <c r="P4888">
        <v>1</v>
      </c>
      <c r="Q4888">
        <v>0</v>
      </c>
      <c r="R4888" t="s">
        <v>127</v>
      </c>
      <c r="S4888" t="str">
        <f t="shared" si="1936"/>
        <v>15:18:06.000</v>
      </c>
      <c r="T4888" t="str">
        <f t="shared" si="1936"/>
        <v>15:18:06.000</v>
      </c>
      <c r="U4888" t="str">
        <f t="shared" si="1927"/>
        <v>A68FCB</v>
      </c>
      <c r="V4888">
        <v>0</v>
      </c>
      <c r="W4888">
        <v>0</v>
      </c>
      <c r="X4888">
        <v>2</v>
      </c>
      <c r="Y4888">
        <v>0</v>
      </c>
      <c r="AA4888">
        <v>1</v>
      </c>
      <c r="AB4888">
        <v>8</v>
      </c>
      <c r="AC4888">
        <v>3</v>
      </c>
      <c r="AD4888">
        <v>0</v>
      </c>
      <c r="AE4888">
        <v>9</v>
      </c>
      <c r="AF4888" t="s">
        <v>138</v>
      </c>
      <c r="AG4888">
        <v>0</v>
      </c>
      <c r="AH4888">
        <v>3</v>
      </c>
      <c r="AI4888">
        <v>2</v>
      </c>
      <c r="AJ4888">
        <v>0</v>
      </c>
      <c r="AK4888" t="s">
        <v>1546</v>
      </c>
      <c r="AL4888">
        <v>39.231791000000001</v>
      </c>
      <c r="AM4888" t="s">
        <v>1503</v>
      </c>
      <c r="AN4888">
        <v>-121.000843</v>
      </c>
      <c r="AO4888">
        <v>25</v>
      </c>
      <c r="AP4888">
        <v>4000</v>
      </c>
      <c r="AQ4888" t="s">
        <v>131</v>
      </c>
      <c r="AR4888">
        <v>-39</v>
      </c>
      <c r="AS4888">
        <v>88</v>
      </c>
      <c r="AT4888">
        <v>-64</v>
      </c>
      <c r="BB4888" t="str">
        <f t="shared" si="1928"/>
        <v>1200</v>
      </c>
      <c r="BC4888">
        <v>1</v>
      </c>
      <c r="BD4888" t="str">
        <f t="shared" si="1929"/>
        <v xml:space="preserve">N52156  </v>
      </c>
      <c r="BE4888">
        <v>1</v>
      </c>
      <c r="BG4888">
        <v>0</v>
      </c>
      <c r="BH4888">
        <v>0</v>
      </c>
      <c r="BI4888">
        <v>0</v>
      </c>
      <c r="BJ4888">
        <v>4075</v>
      </c>
      <c r="BK4888">
        <v>75</v>
      </c>
      <c r="BL4888" t="s">
        <v>188</v>
      </c>
      <c r="BM4888">
        <v>1</v>
      </c>
      <c r="BN4888">
        <v>1</v>
      </c>
      <c r="BO4888">
        <v>0</v>
      </c>
      <c r="BP4888">
        <v>0</v>
      </c>
      <c r="BS4888">
        <v>0</v>
      </c>
      <c r="BT4888">
        <v>0</v>
      </c>
      <c r="BU4888">
        <v>0</v>
      </c>
      <c r="CE4888" t="str">
        <f t="shared" si="1937"/>
        <v>15:18:06.875</v>
      </c>
      <c r="CF4888">
        <v>874592453</v>
      </c>
      <c r="CS4888">
        <v>0</v>
      </c>
      <c r="CT4888">
        <v>2</v>
      </c>
      <c r="CU4888">
        <v>0</v>
      </c>
      <c r="CV4888">
        <v>2</v>
      </c>
      <c r="CW4888">
        <v>0</v>
      </c>
      <c r="CX4888">
        <v>2</v>
      </c>
      <c r="CY4888">
        <v>7</v>
      </c>
      <c r="CZ4888" t="s">
        <v>133</v>
      </c>
      <c r="DA4888">
        <v>276</v>
      </c>
      <c r="DB4888">
        <v>0</v>
      </c>
      <c r="DC4888" t="s">
        <v>402</v>
      </c>
      <c r="DD4888" t="s">
        <v>403</v>
      </c>
      <c r="DG4888">
        <v>1628870</v>
      </c>
      <c r="DI4888">
        <v>1</v>
      </c>
      <c r="DJ4888">
        <v>0</v>
      </c>
      <c r="DK4888">
        <v>1</v>
      </c>
      <c r="DL4888">
        <v>0</v>
      </c>
      <c r="DM4888">
        <v>0</v>
      </c>
      <c r="DN4888">
        <v>0</v>
      </c>
      <c r="DO4888">
        <v>0</v>
      </c>
      <c r="DP4888">
        <v>0</v>
      </c>
      <c r="DQ4888">
        <v>0</v>
      </c>
      <c r="DR4888">
        <v>0</v>
      </c>
      <c r="DS4888">
        <v>0</v>
      </c>
    </row>
    <row r="4889" spans="1:123" x14ac:dyDescent="0.3">
      <c r="A4889" t="str">
        <f>"05/01/2025 15:18:07.113"</f>
        <v>05/01/2025 15:18:07.113</v>
      </c>
      <c r="C4889" t="str">
        <f t="shared" si="1926"/>
        <v>FFDFD3C0</v>
      </c>
      <c r="D4889" t="s">
        <v>145</v>
      </c>
      <c r="E4889" t="str">
        <f>"05"</f>
        <v>05</v>
      </c>
      <c r="H4889">
        <v>47</v>
      </c>
      <c r="I4889" t="s">
        <v>146</v>
      </c>
      <c r="J4889" t="s">
        <v>138</v>
      </c>
      <c r="K4889">
        <v>0</v>
      </c>
      <c r="L4889">
        <v>3</v>
      </c>
      <c r="M4889">
        <v>0</v>
      </c>
      <c r="N4889">
        <v>2</v>
      </c>
      <c r="O4889">
        <v>0</v>
      </c>
      <c r="P4889">
        <v>1</v>
      </c>
      <c r="Q4889">
        <v>0</v>
      </c>
      <c r="R4889" t="s">
        <v>127</v>
      </c>
      <c r="S4889" t="str">
        <f t="shared" si="1936"/>
        <v>15:18:06.000</v>
      </c>
      <c r="T4889" t="str">
        <f t="shared" si="1936"/>
        <v>15:18:06.000</v>
      </c>
      <c r="U4889" t="str">
        <f t="shared" si="1927"/>
        <v>A68FCB</v>
      </c>
      <c r="V4889">
        <v>0</v>
      </c>
      <c r="W4889">
        <v>0</v>
      </c>
      <c r="X4889">
        <v>2</v>
      </c>
      <c r="Y4889">
        <v>0</v>
      </c>
      <c r="AA4889">
        <v>1</v>
      </c>
      <c r="AB4889">
        <v>8</v>
      </c>
      <c r="AC4889">
        <v>3</v>
      </c>
      <c r="AD4889">
        <v>0</v>
      </c>
      <c r="AE4889">
        <v>9</v>
      </c>
      <c r="AF4889" t="s">
        <v>138</v>
      </c>
      <c r="AG4889">
        <v>0</v>
      </c>
      <c r="AH4889">
        <v>3</v>
      </c>
      <c r="AI4889">
        <v>2</v>
      </c>
      <c r="AJ4889">
        <v>0</v>
      </c>
      <c r="AK4889" t="s">
        <v>1546</v>
      </c>
      <c r="AL4889">
        <v>39.231791000000001</v>
      </c>
      <c r="AM4889" t="s">
        <v>1503</v>
      </c>
      <c r="AN4889">
        <v>-121.000843</v>
      </c>
      <c r="AO4889">
        <v>25</v>
      </c>
      <c r="AP4889">
        <v>4000</v>
      </c>
      <c r="AQ4889" t="s">
        <v>131</v>
      </c>
      <c r="AR4889">
        <v>-39</v>
      </c>
      <c r="AS4889">
        <v>88</v>
      </c>
      <c r="AT4889">
        <v>-64</v>
      </c>
      <c r="BB4889" t="str">
        <f t="shared" si="1928"/>
        <v>1200</v>
      </c>
      <c r="BC4889">
        <v>1</v>
      </c>
      <c r="BD4889" t="str">
        <f t="shared" si="1929"/>
        <v xml:space="preserve">N52156  </v>
      </c>
      <c r="BE4889">
        <v>1</v>
      </c>
      <c r="BG4889">
        <v>0</v>
      </c>
      <c r="BH4889">
        <v>0</v>
      </c>
      <c r="BI4889">
        <v>0</v>
      </c>
      <c r="BJ4889">
        <v>4075</v>
      </c>
      <c r="BK4889">
        <v>75</v>
      </c>
      <c r="BL4889" t="s">
        <v>188</v>
      </c>
      <c r="BM4889">
        <v>1</v>
      </c>
      <c r="BN4889">
        <v>1</v>
      </c>
      <c r="BO4889">
        <v>0</v>
      </c>
      <c r="BP4889">
        <v>0</v>
      </c>
      <c r="BS4889">
        <v>0</v>
      </c>
      <c r="BT4889">
        <v>0</v>
      </c>
      <c r="BU4889">
        <v>0</v>
      </c>
      <c r="CE4889" t="str">
        <f t="shared" si="1937"/>
        <v>15:18:06.875</v>
      </c>
      <c r="CF4889">
        <v>874592453</v>
      </c>
      <c r="CS4889">
        <v>0</v>
      </c>
      <c r="CT4889">
        <v>2</v>
      </c>
      <c r="CU4889">
        <v>0</v>
      </c>
      <c r="CV4889">
        <v>2</v>
      </c>
      <c r="CW4889">
        <v>0</v>
      </c>
      <c r="CX4889">
        <v>2</v>
      </c>
      <c r="CY4889">
        <v>7</v>
      </c>
      <c r="CZ4889" t="s">
        <v>133</v>
      </c>
      <c r="DA4889">
        <v>276</v>
      </c>
      <c r="DB4889">
        <v>0</v>
      </c>
      <c r="DC4889" t="s">
        <v>402</v>
      </c>
      <c r="DD4889" t="s">
        <v>403</v>
      </c>
      <c r="DG4889">
        <v>1628870</v>
      </c>
      <c r="DI4889">
        <v>1</v>
      </c>
      <c r="DJ4889">
        <v>0</v>
      </c>
      <c r="DK4889">
        <v>1</v>
      </c>
      <c r="DL4889">
        <v>0</v>
      </c>
      <c r="DM4889">
        <v>0</v>
      </c>
      <c r="DN4889">
        <v>0</v>
      </c>
      <c r="DO4889">
        <v>0</v>
      </c>
      <c r="DP4889">
        <v>0</v>
      </c>
      <c r="DQ4889">
        <v>0</v>
      </c>
      <c r="DR4889">
        <v>0</v>
      </c>
      <c r="DS4889">
        <v>0</v>
      </c>
    </row>
    <row r="4890" spans="1:123" x14ac:dyDescent="0.3">
      <c r="A4890" t="str">
        <f>"05/01/2025 15:18:07.111"</f>
        <v>05/01/2025 15:18:07.111</v>
      </c>
      <c r="C4890" t="str">
        <f t="shared" si="1926"/>
        <v>FFDFD3C0</v>
      </c>
      <c r="D4890" t="s">
        <v>145</v>
      </c>
      <c r="E4890" t="str">
        <f>"09"</f>
        <v>09</v>
      </c>
      <c r="H4890">
        <v>51</v>
      </c>
      <c r="I4890" t="s">
        <v>147</v>
      </c>
      <c r="J4890" t="s">
        <v>138</v>
      </c>
      <c r="K4890">
        <v>0</v>
      </c>
      <c r="L4890">
        <v>3</v>
      </c>
      <c r="M4890">
        <v>0</v>
      </c>
      <c r="N4890">
        <v>2</v>
      </c>
      <c r="O4890">
        <v>0</v>
      </c>
      <c r="P4890">
        <v>1</v>
      </c>
      <c r="Q4890">
        <v>0</v>
      </c>
      <c r="R4890" t="s">
        <v>127</v>
      </c>
      <c r="S4890" t="str">
        <f t="shared" si="1936"/>
        <v>15:18:06.000</v>
      </c>
      <c r="T4890" t="str">
        <f t="shared" si="1936"/>
        <v>15:18:06.000</v>
      </c>
      <c r="U4890" t="str">
        <f t="shared" si="1927"/>
        <v>A68FCB</v>
      </c>
      <c r="V4890">
        <v>0</v>
      </c>
      <c r="W4890">
        <v>0</v>
      </c>
      <c r="X4890">
        <v>2</v>
      </c>
      <c r="Y4890">
        <v>0</v>
      </c>
      <c r="AA4890">
        <v>1</v>
      </c>
      <c r="AB4890">
        <v>8</v>
      </c>
      <c r="AC4890">
        <v>3</v>
      </c>
      <c r="AD4890">
        <v>0</v>
      </c>
      <c r="AE4890">
        <v>9</v>
      </c>
      <c r="AF4890" t="s">
        <v>138</v>
      </c>
      <c r="AG4890">
        <v>0</v>
      </c>
      <c r="AH4890">
        <v>3</v>
      </c>
      <c r="AI4890">
        <v>2</v>
      </c>
      <c r="AJ4890">
        <v>0</v>
      </c>
      <c r="AK4890" t="s">
        <v>1546</v>
      </c>
      <c r="AL4890">
        <v>39.231791000000001</v>
      </c>
      <c r="AM4890" t="s">
        <v>1503</v>
      </c>
      <c r="AN4890">
        <v>-121.000843</v>
      </c>
      <c r="AO4890">
        <v>25</v>
      </c>
      <c r="AP4890">
        <v>4000</v>
      </c>
      <c r="AQ4890" t="s">
        <v>131</v>
      </c>
      <c r="AR4890">
        <v>-39</v>
      </c>
      <c r="AS4890">
        <v>88</v>
      </c>
      <c r="AT4890">
        <v>-64</v>
      </c>
      <c r="BB4890" t="str">
        <f t="shared" si="1928"/>
        <v>1200</v>
      </c>
      <c r="BC4890">
        <v>1</v>
      </c>
      <c r="BD4890" t="str">
        <f t="shared" si="1929"/>
        <v xml:space="preserve">N52156  </v>
      </c>
      <c r="BE4890">
        <v>1</v>
      </c>
      <c r="BG4890">
        <v>0</v>
      </c>
      <c r="BH4890">
        <v>0</v>
      </c>
      <c r="BI4890">
        <v>0</v>
      </c>
      <c r="BJ4890">
        <v>4075</v>
      </c>
      <c r="BK4890">
        <v>75</v>
      </c>
      <c r="BL4890" t="s">
        <v>188</v>
      </c>
      <c r="BM4890">
        <v>1</v>
      </c>
      <c r="BN4890">
        <v>1</v>
      </c>
      <c r="BO4890">
        <v>0</v>
      </c>
      <c r="BP4890">
        <v>0</v>
      </c>
      <c r="BS4890">
        <v>0</v>
      </c>
      <c r="BT4890">
        <v>0</v>
      </c>
      <c r="BU4890">
        <v>0</v>
      </c>
      <c r="CE4890" t="str">
        <f t="shared" si="1937"/>
        <v>15:18:06.875</v>
      </c>
      <c r="CF4890">
        <v>874592453</v>
      </c>
      <c r="CS4890">
        <v>0</v>
      </c>
      <c r="CT4890">
        <v>2</v>
      </c>
      <c r="CU4890">
        <v>0</v>
      </c>
      <c r="CV4890">
        <v>2</v>
      </c>
      <c r="CW4890">
        <v>0</v>
      </c>
      <c r="CX4890">
        <v>2</v>
      </c>
      <c r="CY4890">
        <v>7</v>
      </c>
      <c r="CZ4890" t="s">
        <v>133</v>
      </c>
      <c r="DA4890">
        <v>276</v>
      </c>
      <c r="DB4890">
        <v>0</v>
      </c>
      <c r="DC4890" t="s">
        <v>402</v>
      </c>
      <c r="DD4890" t="s">
        <v>403</v>
      </c>
      <c r="DG4890">
        <v>1628870</v>
      </c>
      <c r="DI4890">
        <v>1</v>
      </c>
      <c r="DJ4890">
        <v>0</v>
      </c>
      <c r="DK4890">
        <v>1</v>
      </c>
      <c r="DL4890">
        <v>0</v>
      </c>
      <c r="DM4890">
        <v>0</v>
      </c>
      <c r="DN4890">
        <v>0</v>
      </c>
      <c r="DO4890">
        <v>0</v>
      </c>
      <c r="DP4890">
        <v>0</v>
      </c>
      <c r="DQ4890">
        <v>0</v>
      </c>
      <c r="DR4890">
        <v>0</v>
      </c>
      <c r="DS4890">
        <v>0</v>
      </c>
    </row>
    <row r="4891" spans="1:123" x14ac:dyDescent="0.3">
      <c r="A4891" t="str">
        <f>"05/01/2025 15:18:07.123"</f>
        <v>05/01/2025 15:18:07.123</v>
      </c>
      <c r="C4891" t="str">
        <f t="shared" si="1926"/>
        <v>FFDFD3C0</v>
      </c>
      <c r="D4891" t="s">
        <v>136</v>
      </c>
      <c r="E4891" t="str">
        <f>"20"</f>
        <v>20</v>
      </c>
      <c r="H4891">
        <v>400</v>
      </c>
      <c r="I4891" t="s">
        <v>137</v>
      </c>
      <c r="J4891" t="s">
        <v>138</v>
      </c>
      <c r="K4891">
        <v>0</v>
      </c>
      <c r="L4891">
        <v>3</v>
      </c>
      <c r="M4891">
        <v>0</v>
      </c>
      <c r="N4891">
        <v>2</v>
      </c>
      <c r="O4891">
        <v>0</v>
      </c>
      <c r="P4891">
        <v>1</v>
      </c>
      <c r="Q4891">
        <v>0</v>
      </c>
      <c r="R4891" t="s">
        <v>127</v>
      </c>
      <c r="S4891" t="str">
        <f t="shared" si="1936"/>
        <v>15:18:06.000</v>
      </c>
      <c r="T4891" t="str">
        <f t="shared" si="1936"/>
        <v>15:18:06.000</v>
      </c>
      <c r="U4891" t="str">
        <f t="shared" si="1927"/>
        <v>A68FCB</v>
      </c>
      <c r="V4891">
        <v>0</v>
      </c>
      <c r="W4891">
        <v>0</v>
      </c>
      <c r="X4891">
        <v>2</v>
      </c>
      <c r="Y4891">
        <v>0</v>
      </c>
      <c r="AA4891">
        <v>1</v>
      </c>
      <c r="AB4891">
        <v>8</v>
      </c>
      <c r="AC4891">
        <v>3</v>
      </c>
      <c r="AD4891">
        <v>0</v>
      </c>
      <c r="AE4891">
        <v>9</v>
      </c>
      <c r="AF4891" t="s">
        <v>138</v>
      </c>
      <c r="AG4891">
        <v>0</v>
      </c>
      <c r="AH4891">
        <v>3</v>
      </c>
      <c r="AI4891">
        <v>2</v>
      </c>
      <c r="AJ4891">
        <v>0</v>
      </c>
      <c r="AK4891" t="s">
        <v>1546</v>
      </c>
      <c r="AL4891">
        <v>39.231791000000001</v>
      </c>
      <c r="AM4891" t="s">
        <v>1503</v>
      </c>
      <c r="AN4891">
        <v>-121.000843</v>
      </c>
      <c r="AO4891">
        <v>25</v>
      </c>
      <c r="AP4891">
        <v>4000</v>
      </c>
      <c r="AQ4891" t="s">
        <v>131</v>
      </c>
      <c r="AR4891">
        <v>-39</v>
      </c>
      <c r="AS4891">
        <v>88</v>
      </c>
      <c r="AT4891">
        <v>-64</v>
      </c>
      <c r="BB4891" t="str">
        <f t="shared" si="1928"/>
        <v>1200</v>
      </c>
      <c r="BC4891">
        <v>1</v>
      </c>
      <c r="BD4891" t="str">
        <f t="shared" si="1929"/>
        <v xml:space="preserve">N52156  </v>
      </c>
      <c r="BE4891">
        <v>1</v>
      </c>
      <c r="BG4891">
        <v>0</v>
      </c>
      <c r="BH4891">
        <v>0</v>
      </c>
      <c r="BI4891">
        <v>0</v>
      </c>
      <c r="BJ4891">
        <v>4075</v>
      </c>
      <c r="BK4891">
        <v>75</v>
      </c>
      <c r="BL4891" t="s">
        <v>188</v>
      </c>
      <c r="BM4891">
        <v>1</v>
      </c>
      <c r="BN4891">
        <v>1</v>
      </c>
      <c r="BO4891">
        <v>0</v>
      </c>
      <c r="BP4891">
        <v>0</v>
      </c>
      <c r="BS4891">
        <v>0</v>
      </c>
      <c r="BT4891">
        <v>0</v>
      </c>
      <c r="BU4891">
        <v>0</v>
      </c>
      <c r="CE4891" t="str">
        <f t="shared" si="1937"/>
        <v>15:18:06.875</v>
      </c>
      <c r="CF4891">
        <v>874592453</v>
      </c>
      <c r="CS4891">
        <v>0</v>
      </c>
      <c r="CT4891">
        <v>2</v>
      </c>
      <c r="CU4891">
        <v>0</v>
      </c>
      <c r="CV4891">
        <v>2</v>
      </c>
      <c r="CW4891">
        <v>0</v>
      </c>
      <c r="CX4891">
        <v>2</v>
      </c>
      <c r="CY4891">
        <v>7</v>
      </c>
      <c r="CZ4891" t="s">
        <v>133</v>
      </c>
      <c r="DA4891">
        <v>276</v>
      </c>
      <c r="DB4891">
        <v>0</v>
      </c>
      <c r="DC4891" t="s">
        <v>402</v>
      </c>
      <c r="DD4891" t="s">
        <v>403</v>
      </c>
      <c r="DG4891">
        <v>1628870</v>
      </c>
      <c r="DI4891">
        <v>1</v>
      </c>
      <c r="DJ4891">
        <v>0</v>
      </c>
      <c r="DK4891">
        <v>1</v>
      </c>
      <c r="DL4891">
        <v>0</v>
      </c>
      <c r="DM4891">
        <v>0</v>
      </c>
      <c r="DN4891">
        <v>0</v>
      </c>
      <c r="DO4891">
        <v>0</v>
      </c>
      <c r="DP4891">
        <v>0</v>
      </c>
      <c r="DQ4891">
        <v>0</v>
      </c>
      <c r="DR4891">
        <v>0</v>
      </c>
      <c r="DS4891">
        <v>0</v>
      </c>
    </row>
    <row r="4892" spans="1:123" x14ac:dyDescent="0.3">
      <c r="A4892" t="str">
        <f>"05/01/2025 15:18:07.761"</f>
        <v>05/01/2025 15:18:07.761</v>
      </c>
      <c r="C4892" t="str">
        <f t="shared" si="1926"/>
        <v>FFDFD3C0</v>
      </c>
      <c r="D4892" t="s">
        <v>145</v>
      </c>
      <c r="E4892" t="str">
        <f>"09"</f>
        <v>09</v>
      </c>
      <c r="H4892">
        <v>51</v>
      </c>
      <c r="I4892" t="s">
        <v>147</v>
      </c>
      <c r="J4892" t="s">
        <v>138</v>
      </c>
      <c r="K4892">
        <v>0</v>
      </c>
      <c r="L4892">
        <v>3</v>
      </c>
      <c r="M4892">
        <v>0</v>
      </c>
      <c r="N4892">
        <v>2</v>
      </c>
      <c r="O4892">
        <v>0</v>
      </c>
      <c r="P4892">
        <v>1</v>
      </c>
      <c r="Q4892">
        <v>0</v>
      </c>
      <c r="R4892" t="s">
        <v>127</v>
      </c>
      <c r="S4892" t="str">
        <f t="shared" ref="S4892:T4897" si="1938">"15:18:07.000"</f>
        <v>15:18:07.000</v>
      </c>
      <c r="T4892" t="str">
        <f t="shared" si="1938"/>
        <v>15:18:07.000</v>
      </c>
      <c r="U4892" t="str">
        <f t="shared" si="1927"/>
        <v>A68FCB</v>
      </c>
      <c r="V4892">
        <v>0</v>
      </c>
      <c r="W4892">
        <v>0</v>
      </c>
      <c r="X4892">
        <v>2</v>
      </c>
      <c r="Y4892">
        <v>0</v>
      </c>
      <c r="AA4892">
        <v>1</v>
      </c>
      <c r="AB4892">
        <v>8</v>
      </c>
      <c r="AC4892">
        <v>3</v>
      </c>
      <c r="AD4892">
        <v>0</v>
      </c>
      <c r="AE4892">
        <v>9</v>
      </c>
      <c r="AF4892" t="s">
        <v>138</v>
      </c>
      <c r="AG4892">
        <v>0</v>
      </c>
      <c r="AH4892">
        <v>3</v>
      </c>
      <c r="AI4892">
        <v>2</v>
      </c>
      <c r="AJ4892">
        <v>0</v>
      </c>
      <c r="AK4892" t="s">
        <v>1547</v>
      </c>
      <c r="AL4892">
        <v>39.232199000000001</v>
      </c>
      <c r="AM4892" t="s">
        <v>1548</v>
      </c>
      <c r="AN4892">
        <v>-121.001058</v>
      </c>
      <c r="AO4892">
        <v>25</v>
      </c>
      <c r="AP4892">
        <v>4000</v>
      </c>
      <c r="AQ4892" t="s">
        <v>131</v>
      </c>
      <c r="AR4892">
        <v>-45</v>
      </c>
      <c r="AS4892">
        <v>87</v>
      </c>
      <c r="AT4892">
        <v>-128</v>
      </c>
      <c r="BB4892" t="str">
        <f t="shared" si="1928"/>
        <v>1200</v>
      </c>
      <c r="BC4892">
        <v>1</v>
      </c>
      <c r="BD4892" t="str">
        <f t="shared" si="1929"/>
        <v xml:space="preserve">N52156  </v>
      </c>
      <c r="BE4892">
        <v>1</v>
      </c>
      <c r="BG4892">
        <v>0</v>
      </c>
      <c r="BH4892">
        <v>0</v>
      </c>
      <c r="BI4892">
        <v>0</v>
      </c>
      <c r="BJ4892">
        <v>4075</v>
      </c>
      <c r="BK4892">
        <v>75</v>
      </c>
      <c r="BL4892" t="s">
        <v>188</v>
      </c>
      <c r="BM4892">
        <v>1</v>
      </c>
      <c r="BN4892">
        <v>1</v>
      </c>
      <c r="BO4892">
        <v>0</v>
      </c>
      <c r="BP4892">
        <v>0</v>
      </c>
      <c r="BS4892">
        <v>0</v>
      </c>
      <c r="BT4892">
        <v>0</v>
      </c>
      <c r="BU4892">
        <v>0</v>
      </c>
      <c r="CE4892" t="str">
        <f t="shared" ref="CE4892:CE4897" si="1939">"15:18:07.558"</f>
        <v>15:18:07.558</v>
      </c>
      <c r="CF4892">
        <v>558091818</v>
      </c>
      <c r="CS4892">
        <v>0</v>
      </c>
      <c r="CT4892">
        <v>2</v>
      </c>
      <c r="CU4892">
        <v>0</v>
      </c>
      <c r="CV4892">
        <v>2</v>
      </c>
      <c r="CW4892">
        <v>0</v>
      </c>
      <c r="CX4892">
        <v>2</v>
      </c>
      <c r="CY4892">
        <v>7</v>
      </c>
      <c r="CZ4892" t="s">
        <v>133</v>
      </c>
      <c r="DA4892">
        <v>276</v>
      </c>
      <c r="DB4892">
        <v>0</v>
      </c>
      <c r="DC4892" t="s">
        <v>402</v>
      </c>
      <c r="DD4892" t="s">
        <v>403</v>
      </c>
      <c r="DG4892">
        <v>1628872</v>
      </c>
      <c r="DI4892">
        <v>1</v>
      </c>
      <c r="DJ4892">
        <v>0</v>
      </c>
      <c r="DK4892">
        <v>0</v>
      </c>
      <c r="DL4892">
        <v>0</v>
      </c>
      <c r="DM4892">
        <v>0</v>
      </c>
      <c r="DN4892">
        <v>0</v>
      </c>
      <c r="DO4892">
        <v>0</v>
      </c>
      <c r="DP4892">
        <v>0</v>
      </c>
      <c r="DQ4892">
        <v>0</v>
      </c>
      <c r="DR4892">
        <v>0</v>
      </c>
      <c r="DS4892">
        <v>0</v>
      </c>
    </row>
    <row r="4893" spans="1:123" x14ac:dyDescent="0.3">
      <c r="A4893" t="str">
        <f>"05/01/2025 15:18:07.764"</f>
        <v>05/01/2025 15:18:07.764</v>
      </c>
      <c r="C4893" t="str">
        <f t="shared" si="1926"/>
        <v>FFDFD3C0</v>
      </c>
      <c r="D4893" t="s">
        <v>145</v>
      </c>
      <c r="E4893" t="str">
        <f>"05"</f>
        <v>05</v>
      </c>
      <c r="H4893">
        <v>47</v>
      </c>
      <c r="I4893" t="s">
        <v>146</v>
      </c>
      <c r="J4893" t="s">
        <v>138</v>
      </c>
      <c r="K4893">
        <v>0</v>
      </c>
      <c r="L4893">
        <v>3</v>
      </c>
      <c r="M4893">
        <v>0</v>
      </c>
      <c r="N4893">
        <v>2</v>
      </c>
      <c r="O4893">
        <v>0</v>
      </c>
      <c r="P4893">
        <v>1</v>
      </c>
      <c r="Q4893">
        <v>0</v>
      </c>
      <c r="R4893" t="s">
        <v>127</v>
      </c>
      <c r="S4893" t="str">
        <f t="shared" si="1938"/>
        <v>15:18:07.000</v>
      </c>
      <c r="T4893" t="str">
        <f t="shared" si="1938"/>
        <v>15:18:07.000</v>
      </c>
      <c r="U4893" t="str">
        <f t="shared" si="1927"/>
        <v>A68FCB</v>
      </c>
      <c r="V4893">
        <v>0</v>
      </c>
      <c r="W4893">
        <v>0</v>
      </c>
      <c r="X4893">
        <v>2</v>
      </c>
      <c r="Y4893">
        <v>0</v>
      </c>
      <c r="AA4893">
        <v>1</v>
      </c>
      <c r="AB4893">
        <v>8</v>
      </c>
      <c r="AC4893">
        <v>3</v>
      </c>
      <c r="AD4893">
        <v>0</v>
      </c>
      <c r="AE4893">
        <v>9</v>
      </c>
      <c r="AF4893" t="s">
        <v>138</v>
      </c>
      <c r="AG4893">
        <v>0</v>
      </c>
      <c r="AH4893">
        <v>3</v>
      </c>
      <c r="AI4893">
        <v>2</v>
      </c>
      <c r="AJ4893">
        <v>0</v>
      </c>
      <c r="AK4893" t="s">
        <v>1547</v>
      </c>
      <c r="AL4893">
        <v>39.232199000000001</v>
      </c>
      <c r="AM4893" t="s">
        <v>1548</v>
      </c>
      <c r="AN4893">
        <v>-121.001058</v>
      </c>
      <c r="AO4893">
        <v>25</v>
      </c>
      <c r="AP4893">
        <v>4000</v>
      </c>
      <c r="AQ4893" t="s">
        <v>131</v>
      </c>
      <c r="AR4893">
        <v>-45</v>
      </c>
      <c r="AS4893">
        <v>87</v>
      </c>
      <c r="AT4893">
        <v>-128</v>
      </c>
      <c r="BB4893" t="str">
        <f t="shared" si="1928"/>
        <v>1200</v>
      </c>
      <c r="BC4893">
        <v>1</v>
      </c>
      <c r="BD4893" t="str">
        <f t="shared" si="1929"/>
        <v xml:space="preserve">N52156  </v>
      </c>
      <c r="BE4893">
        <v>1</v>
      </c>
      <c r="BG4893">
        <v>0</v>
      </c>
      <c r="BH4893">
        <v>0</v>
      </c>
      <c r="BI4893">
        <v>0</v>
      </c>
      <c r="BJ4893">
        <v>4075</v>
      </c>
      <c r="BK4893">
        <v>75</v>
      </c>
      <c r="BL4893" t="s">
        <v>188</v>
      </c>
      <c r="BM4893">
        <v>1</v>
      </c>
      <c r="BN4893">
        <v>1</v>
      </c>
      <c r="BO4893">
        <v>0</v>
      </c>
      <c r="BP4893">
        <v>0</v>
      </c>
      <c r="BS4893">
        <v>0</v>
      </c>
      <c r="BT4893">
        <v>0</v>
      </c>
      <c r="BU4893">
        <v>0</v>
      </c>
      <c r="CE4893" t="str">
        <f t="shared" si="1939"/>
        <v>15:18:07.558</v>
      </c>
      <c r="CF4893">
        <v>558091818</v>
      </c>
      <c r="CS4893">
        <v>0</v>
      </c>
      <c r="CT4893">
        <v>2</v>
      </c>
      <c r="CU4893">
        <v>0</v>
      </c>
      <c r="CV4893">
        <v>2</v>
      </c>
      <c r="CW4893">
        <v>0</v>
      </c>
      <c r="CX4893">
        <v>2</v>
      </c>
      <c r="CY4893">
        <v>7</v>
      </c>
      <c r="CZ4893" t="s">
        <v>133</v>
      </c>
      <c r="DA4893">
        <v>276</v>
      </c>
      <c r="DB4893">
        <v>0</v>
      </c>
      <c r="DC4893" t="s">
        <v>402</v>
      </c>
      <c r="DD4893" t="s">
        <v>403</v>
      </c>
      <c r="DG4893">
        <v>1628872</v>
      </c>
      <c r="DI4893">
        <v>1</v>
      </c>
      <c r="DJ4893">
        <v>0</v>
      </c>
      <c r="DK4893">
        <v>1</v>
      </c>
      <c r="DL4893">
        <v>0</v>
      </c>
      <c r="DM4893">
        <v>0</v>
      </c>
      <c r="DN4893">
        <v>0</v>
      </c>
      <c r="DO4893">
        <v>0</v>
      </c>
      <c r="DP4893">
        <v>0</v>
      </c>
      <c r="DQ4893">
        <v>0</v>
      </c>
      <c r="DR4893">
        <v>0</v>
      </c>
      <c r="DS4893">
        <v>0</v>
      </c>
    </row>
    <row r="4894" spans="1:123" x14ac:dyDescent="0.3">
      <c r="A4894" t="str">
        <f>"05/01/2025 15:18:07.774"</f>
        <v>05/01/2025 15:18:07.774</v>
      </c>
      <c r="C4894" t="str">
        <f t="shared" si="1926"/>
        <v>FFDFD3C0</v>
      </c>
      <c r="D4894" t="s">
        <v>136</v>
      </c>
      <c r="E4894" t="str">
        <f>"20"</f>
        <v>20</v>
      </c>
      <c r="H4894">
        <v>400</v>
      </c>
      <c r="I4894" t="s">
        <v>137</v>
      </c>
      <c r="J4894" t="s">
        <v>138</v>
      </c>
      <c r="K4894">
        <v>0</v>
      </c>
      <c r="L4894">
        <v>3</v>
      </c>
      <c r="M4894">
        <v>0</v>
      </c>
      <c r="N4894">
        <v>2</v>
      </c>
      <c r="O4894">
        <v>0</v>
      </c>
      <c r="P4894">
        <v>1</v>
      </c>
      <c r="Q4894">
        <v>0</v>
      </c>
      <c r="R4894" t="s">
        <v>127</v>
      </c>
      <c r="S4894" t="str">
        <f t="shared" si="1938"/>
        <v>15:18:07.000</v>
      </c>
      <c r="T4894" t="str">
        <f t="shared" si="1938"/>
        <v>15:18:07.000</v>
      </c>
      <c r="U4894" t="str">
        <f t="shared" si="1927"/>
        <v>A68FCB</v>
      </c>
      <c r="V4894">
        <v>0</v>
      </c>
      <c r="W4894">
        <v>0</v>
      </c>
      <c r="X4894">
        <v>2</v>
      </c>
      <c r="Y4894">
        <v>0</v>
      </c>
      <c r="AA4894">
        <v>1</v>
      </c>
      <c r="AB4894">
        <v>8</v>
      </c>
      <c r="AC4894">
        <v>3</v>
      </c>
      <c r="AD4894">
        <v>0</v>
      </c>
      <c r="AE4894">
        <v>9</v>
      </c>
      <c r="AF4894" t="s">
        <v>138</v>
      </c>
      <c r="AG4894">
        <v>0</v>
      </c>
      <c r="AH4894">
        <v>3</v>
      </c>
      <c r="AI4894">
        <v>2</v>
      </c>
      <c r="AJ4894">
        <v>0</v>
      </c>
      <c r="AK4894" t="s">
        <v>1547</v>
      </c>
      <c r="AL4894">
        <v>39.232199000000001</v>
      </c>
      <c r="AM4894" t="s">
        <v>1548</v>
      </c>
      <c r="AN4894">
        <v>-121.001058</v>
      </c>
      <c r="AO4894">
        <v>25</v>
      </c>
      <c r="AP4894">
        <v>4000</v>
      </c>
      <c r="AQ4894" t="s">
        <v>131</v>
      </c>
      <c r="AR4894">
        <v>-45</v>
      </c>
      <c r="AS4894">
        <v>87</v>
      </c>
      <c r="AT4894">
        <v>-128</v>
      </c>
      <c r="BB4894" t="str">
        <f t="shared" si="1928"/>
        <v>1200</v>
      </c>
      <c r="BC4894">
        <v>1</v>
      </c>
      <c r="BD4894" t="str">
        <f t="shared" si="1929"/>
        <v xml:space="preserve">N52156  </v>
      </c>
      <c r="BE4894">
        <v>1</v>
      </c>
      <c r="BG4894">
        <v>0</v>
      </c>
      <c r="BH4894">
        <v>0</v>
      </c>
      <c r="BI4894">
        <v>0</v>
      </c>
      <c r="BJ4894">
        <v>4075</v>
      </c>
      <c r="BK4894">
        <v>75</v>
      </c>
      <c r="BL4894" t="s">
        <v>188</v>
      </c>
      <c r="BM4894">
        <v>1</v>
      </c>
      <c r="BN4894">
        <v>1</v>
      </c>
      <c r="BO4894">
        <v>0</v>
      </c>
      <c r="BP4894">
        <v>0</v>
      </c>
      <c r="BS4894">
        <v>0</v>
      </c>
      <c r="BT4894">
        <v>0</v>
      </c>
      <c r="BU4894">
        <v>0</v>
      </c>
      <c r="CE4894" t="str">
        <f t="shared" si="1939"/>
        <v>15:18:07.558</v>
      </c>
      <c r="CF4894">
        <v>558091818</v>
      </c>
      <c r="CS4894">
        <v>0</v>
      </c>
      <c r="CT4894">
        <v>2</v>
      </c>
      <c r="CU4894">
        <v>0</v>
      </c>
      <c r="CV4894">
        <v>2</v>
      </c>
      <c r="CW4894">
        <v>0</v>
      </c>
      <c r="CX4894">
        <v>2</v>
      </c>
      <c r="CY4894">
        <v>7</v>
      </c>
      <c r="CZ4894" t="s">
        <v>133</v>
      </c>
      <c r="DA4894">
        <v>276</v>
      </c>
      <c r="DB4894">
        <v>0</v>
      </c>
      <c r="DC4894" t="s">
        <v>402</v>
      </c>
      <c r="DD4894" t="s">
        <v>403</v>
      </c>
      <c r="DG4894">
        <v>1628872</v>
      </c>
      <c r="DI4894">
        <v>1</v>
      </c>
      <c r="DJ4894">
        <v>0</v>
      </c>
      <c r="DK4894">
        <v>1</v>
      </c>
      <c r="DL4894">
        <v>0</v>
      </c>
      <c r="DM4894">
        <v>0</v>
      </c>
      <c r="DN4894">
        <v>0</v>
      </c>
      <c r="DO4894">
        <v>0</v>
      </c>
      <c r="DP4894">
        <v>0</v>
      </c>
      <c r="DQ4894">
        <v>0</v>
      </c>
      <c r="DR4894">
        <v>0</v>
      </c>
      <c r="DS4894">
        <v>0</v>
      </c>
    </row>
    <row r="4895" spans="1:123" x14ac:dyDescent="0.3">
      <c r="A4895" t="str">
        <f>"05/01/2025 15:18:07.788"</f>
        <v>05/01/2025 15:18:07.788</v>
      </c>
      <c r="C4895" t="str">
        <f t="shared" si="1926"/>
        <v>FFDFD3C0</v>
      </c>
      <c r="D4895" t="s">
        <v>140</v>
      </c>
      <c r="E4895" t="str">
        <f>"13"</f>
        <v>13</v>
      </c>
      <c r="F4895">
        <v>1019</v>
      </c>
      <c r="G4895" t="s">
        <v>141</v>
      </c>
      <c r="J4895" t="s">
        <v>142</v>
      </c>
      <c r="K4895">
        <v>0</v>
      </c>
      <c r="L4895">
        <v>3</v>
      </c>
      <c r="M4895">
        <v>0</v>
      </c>
      <c r="N4895">
        <v>2</v>
      </c>
      <c r="O4895">
        <v>0</v>
      </c>
      <c r="P4895">
        <v>1</v>
      </c>
      <c r="Q4895">
        <v>0</v>
      </c>
      <c r="R4895" t="s">
        <v>127</v>
      </c>
      <c r="S4895" t="str">
        <f t="shared" si="1938"/>
        <v>15:18:07.000</v>
      </c>
      <c r="T4895" t="str">
        <f t="shared" si="1938"/>
        <v>15:18:07.000</v>
      </c>
      <c r="U4895" t="str">
        <f t="shared" si="1927"/>
        <v>A68FCB</v>
      </c>
      <c r="V4895">
        <v>0</v>
      </c>
      <c r="W4895">
        <v>0</v>
      </c>
      <c r="X4895">
        <v>2</v>
      </c>
      <c r="Y4895">
        <v>0</v>
      </c>
      <c r="AA4895">
        <v>1</v>
      </c>
      <c r="AB4895">
        <v>8</v>
      </c>
      <c r="AC4895">
        <v>3</v>
      </c>
      <c r="AD4895">
        <v>0</v>
      </c>
      <c r="AE4895">
        <v>9</v>
      </c>
      <c r="AF4895" t="s">
        <v>138</v>
      </c>
      <c r="AG4895">
        <v>0</v>
      </c>
      <c r="AH4895">
        <v>3</v>
      </c>
      <c r="AI4895">
        <v>2</v>
      </c>
      <c r="AJ4895">
        <v>0</v>
      </c>
      <c r="AK4895" t="s">
        <v>1547</v>
      </c>
      <c r="AL4895">
        <v>39.232199000000001</v>
      </c>
      <c r="AM4895" t="s">
        <v>1548</v>
      </c>
      <c r="AN4895">
        <v>-121.001058</v>
      </c>
      <c r="AO4895">
        <v>25</v>
      </c>
      <c r="AP4895">
        <v>4000</v>
      </c>
      <c r="AQ4895" t="s">
        <v>131</v>
      </c>
      <c r="AR4895">
        <v>-45</v>
      </c>
      <c r="AS4895">
        <v>87</v>
      </c>
      <c r="AT4895">
        <v>-128</v>
      </c>
      <c r="BB4895" t="str">
        <f t="shared" si="1928"/>
        <v>1200</v>
      </c>
      <c r="BC4895">
        <v>1</v>
      </c>
      <c r="BD4895" t="str">
        <f t="shared" si="1929"/>
        <v xml:space="preserve">N52156  </v>
      </c>
      <c r="BE4895">
        <v>1</v>
      </c>
      <c r="BG4895">
        <v>0</v>
      </c>
      <c r="BH4895">
        <v>0</v>
      </c>
      <c r="BI4895">
        <v>0</v>
      </c>
      <c r="BJ4895">
        <v>4075</v>
      </c>
      <c r="BK4895">
        <v>75</v>
      </c>
      <c r="BL4895" t="s">
        <v>188</v>
      </c>
      <c r="BM4895">
        <v>1</v>
      </c>
      <c r="BN4895">
        <v>1</v>
      </c>
      <c r="BO4895">
        <v>0</v>
      </c>
      <c r="BP4895">
        <v>0</v>
      </c>
      <c r="BS4895">
        <v>0</v>
      </c>
      <c r="BT4895">
        <v>0</v>
      </c>
      <c r="BU4895">
        <v>0</v>
      </c>
      <c r="CE4895" t="str">
        <f t="shared" si="1939"/>
        <v>15:18:07.558</v>
      </c>
      <c r="CF4895">
        <v>558091818</v>
      </c>
      <c r="CS4895">
        <v>0</v>
      </c>
      <c r="CT4895">
        <v>2</v>
      </c>
      <c r="CU4895">
        <v>0</v>
      </c>
      <c r="CV4895">
        <v>2</v>
      </c>
      <c r="CW4895">
        <v>0</v>
      </c>
      <c r="CX4895">
        <v>2</v>
      </c>
      <c r="CY4895">
        <v>7</v>
      </c>
      <c r="CZ4895" t="s">
        <v>133</v>
      </c>
      <c r="DA4895">
        <v>276</v>
      </c>
      <c r="DB4895">
        <v>0</v>
      </c>
      <c r="DC4895" t="s">
        <v>402</v>
      </c>
      <c r="DD4895" t="s">
        <v>403</v>
      </c>
      <c r="DG4895">
        <v>1628872</v>
      </c>
      <c r="DI4895">
        <v>1</v>
      </c>
      <c r="DJ4895">
        <v>0</v>
      </c>
      <c r="DK4895">
        <v>1</v>
      </c>
      <c r="DL4895">
        <v>0</v>
      </c>
      <c r="DM4895">
        <v>0</v>
      </c>
      <c r="DN4895">
        <v>0</v>
      </c>
      <c r="DO4895">
        <v>0</v>
      </c>
      <c r="DP4895">
        <v>0</v>
      </c>
      <c r="DQ4895">
        <v>0</v>
      </c>
      <c r="DR4895">
        <v>0</v>
      </c>
      <c r="DS4895">
        <v>0</v>
      </c>
    </row>
    <row r="4896" spans="1:123" x14ac:dyDescent="0.3">
      <c r="A4896" t="str">
        <f>"05/01/2025 15:18:07.791"</f>
        <v>05/01/2025 15:18:07.791</v>
      </c>
      <c r="C4896" t="str">
        <f t="shared" si="1926"/>
        <v>FFDFD3C0</v>
      </c>
      <c r="D4896" t="s">
        <v>124</v>
      </c>
      <c r="E4896" t="str">
        <f>"06"</f>
        <v>06</v>
      </c>
      <c r="F4896">
        <v>2006</v>
      </c>
      <c r="G4896" t="s">
        <v>125</v>
      </c>
      <c r="J4896" t="s">
        <v>126</v>
      </c>
      <c r="K4896">
        <v>0</v>
      </c>
      <c r="L4896">
        <v>3</v>
      </c>
      <c r="M4896">
        <v>0</v>
      </c>
      <c r="N4896">
        <v>2</v>
      </c>
      <c r="O4896">
        <v>0</v>
      </c>
      <c r="P4896">
        <v>1</v>
      </c>
      <c r="Q4896">
        <v>0</v>
      </c>
      <c r="R4896" t="s">
        <v>127</v>
      </c>
      <c r="S4896" t="str">
        <f t="shared" si="1938"/>
        <v>15:18:07.000</v>
      </c>
      <c r="T4896" t="str">
        <f t="shared" si="1938"/>
        <v>15:18:07.000</v>
      </c>
      <c r="U4896" t="str">
        <f t="shared" si="1927"/>
        <v>A68FCB</v>
      </c>
      <c r="V4896">
        <v>0</v>
      </c>
      <c r="W4896">
        <v>0</v>
      </c>
      <c r="X4896">
        <v>2</v>
      </c>
      <c r="Y4896">
        <v>0</v>
      </c>
      <c r="AA4896">
        <v>1</v>
      </c>
      <c r="AB4896">
        <v>8</v>
      </c>
      <c r="AC4896">
        <v>3</v>
      </c>
      <c r="AD4896">
        <v>0</v>
      </c>
      <c r="AE4896">
        <v>9</v>
      </c>
      <c r="AF4896" t="s">
        <v>138</v>
      </c>
      <c r="AG4896">
        <v>0</v>
      </c>
      <c r="AH4896">
        <v>3</v>
      </c>
      <c r="AI4896">
        <v>2</v>
      </c>
      <c r="AJ4896">
        <v>0</v>
      </c>
      <c r="AK4896" t="s">
        <v>1547</v>
      </c>
      <c r="AL4896">
        <v>39.232199000000001</v>
      </c>
      <c r="AM4896" t="s">
        <v>1548</v>
      </c>
      <c r="AN4896">
        <v>-121.001058</v>
      </c>
      <c r="AO4896">
        <v>25</v>
      </c>
      <c r="AP4896">
        <v>4000</v>
      </c>
      <c r="AQ4896" t="s">
        <v>131</v>
      </c>
      <c r="AR4896">
        <v>-45</v>
      </c>
      <c r="AS4896">
        <v>87</v>
      </c>
      <c r="AT4896">
        <v>-128</v>
      </c>
      <c r="BB4896" t="str">
        <f t="shared" si="1928"/>
        <v>1200</v>
      </c>
      <c r="BC4896">
        <v>1</v>
      </c>
      <c r="BD4896" t="str">
        <f t="shared" si="1929"/>
        <v xml:space="preserve">N52156  </v>
      </c>
      <c r="BE4896">
        <v>1</v>
      </c>
      <c r="BG4896">
        <v>0</v>
      </c>
      <c r="BH4896">
        <v>0</v>
      </c>
      <c r="BI4896">
        <v>0</v>
      </c>
      <c r="BJ4896">
        <v>4075</v>
      </c>
      <c r="BK4896">
        <v>75</v>
      </c>
      <c r="BL4896" t="s">
        <v>188</v>
      </c>
      <c r="BM4896">
        <v>1</v>
      </c>
      <c r="BN4896">
        <v>1</v>
      </c>
      <c r="BO4896">
        <v>0</v>
      </c>
      <c r="BP4896">
        <v>0</v>
      </c>
      <c r="BS4896">
        <v>0</v>
      </c>
      <c r="BT4896">
        <v>0</v>
      </c>
      <c r="BU4896">
        <v>0</v>
      </c>
      <c r="CE4896" t="str">
        <f t="shared" si="1939"/>
        <v>15:18:07.558</v>
      </c>
      <c r="CF4896">
        <v>558091818</v>
      </c>
      <c r="CS4896">
        <v>0</v>
      </c>
      <c r="CT4896">
        <v>2</v>
      </c>
      <c r="CU4896">
        <v>0</v>
      </c>
      <c r="CV4896">
        <v>2</v>
      </c>
      <c r="CW4896">
        <v>0</v>
      </c>
      <c r="CX4896">
        <v>2</v>
      </c>
      <c r="CY4896">
        <v>7</v>
      </c>
      <c r="CZ4896" t="s">
        <v>133</v>
      </c>
      <c r="DA4896">
        <v>276</v>
      </c>
      <c r="DB4896">
        <v>0</v>
      </c>
      <c r="DC4896" t="s">
        <v>402</v>
      </c>
      <c r="DD4896" t="s">
        <v>403</v>
      </c>
      <c r="DG4896">
        <v>1628872</v>
      </c>
      <c r="DI4896">
        <v>1</v>
      </c>
      <c r="DJ4896">
        <v>0</v>
      </c>
      <c r="DK4896">
        <v>1</v>
      </c>
      <c r="DL4896">
        <v>0</v>
      </c>
      <c r="DM4896">
        <v>0</v>
      </c>
      <c r="DN4896">
        <v>0</v>
      </c>
      <c r="DO4896">
        <v>0</v>
      </c>
      <c r="DP4896">
        <v>0</v>
      </c>
      <c r="DQ4896">
        <v>0</v>
      </c>
      <c r="DR4896">
        <v>0</v>
      </c>
      <c r="DS4896">
        <v>0</v>
      </c>
    </row>
    <row r="4897" spans="1:123" x14ac:dyDescent="0.3">
      <c r="A4897" t="str">
        <f>"05/01/2025 15:18:07.799"</f>
        <v>05/01/2025 15:18:07.799</v>
      </c>
      <c r="C4897" t="str">
        <f t="shared" si="1926"/>
        <v>FFDFD3C0</v>
      </c>
      <c r="D4897" t="s">
        <v>143</v>
      </c>
      <c r="E4897" t="str">
        <f>"05"</f>
        <v>05</v>
      </c>
      <c r="H4897">
        <v>172</v>
      </c>
      <c r="I4897" t="s">
        <v>141</v>
      </c>
      <c r="J4897" t="s">
        <v>144</v>
      </c>
      <c r="K4897">
        <v>0</v>
      </c>
      <c r="L4897">
        <v>3</v>
      </c>
      <c r="M4897">
        <v>0</v>
      </c>
      <c r="N4897">
        <v>2</v>
      </c>
      <c r="O4897">
        <v>0</v>
      </c>
      <c r="P4897">
        <v>1</v>
      </c>
      <c r="Q4897">
        <v>0</v>
      </c>
      <c r="R4897" t="s">
        <v>127</v>
      </c>
      <c r="S4897" t="str">
        <f t="shared" si="1938"/>
        <v>15:18:07.000</v>
      </c>
      <c r="T4897" t="str">
        <f t="shared" si="1938"/>
        <v>15:18:07.000</v>
      </c>
      <c r="U4897" t="str">
        <f t="shared" si="1927"/>
        <v>A68FCB</v>
      </c>
      <c r="V4897">
        <v>0</v>
      </c>
      <c r="W4897">
        <v>0</v>
      </c>
      <c r="X4897">
        <v>2</v>
      </c>
      <c r="Y4897">
        <v>0</v>
      </c>
      <c r="AA4897">
        <v>1</v>
      </c>
      <c r="AB4897">
        <v>8</v>
      </c>
      <c r="AC4897">
        <v>3</v>
      </c>
      <c r="AD4897">
        <v>0</v>
      </c>
      <c r="AE4897">
        <v>9</v>
      </c>
      <c r="AF4897" t="s">
        <v>138</v>
      </c>
      <c r="AG4897">
        <v>0</v>
      </c>
      <c r="AH4897">
        <v>3</v>
      </c>
      <c r="AI4897">
        <v>2</v>
      </c>
      <c r="AJ4897">
        <v>0</v>
      </c>
      <c r="AK4897" t="s">
        <v>1547</v>
      </c>
      <c r="AL4897">
        <v>39.232199000000001</v>
      </c>
      <c r="AM4897" t="s">
        <v>1548</v>
      </c>
      <c r="AN4897">
        <v>-121.001058</v>
      </c>
      <c r="AO4897">
        <v>25</v>
      </c>
      <c r="AP4897">
        <v>4000</v>
      </c>
      <c r="AQ4897" t="s">
        <v>131</v>
      </c>
      <c r="AR4897">
        <v>-45</v>
      </c>
      <c r="AS4897">
        <v>87</v>
      </c>
      <c r="AT4897">
        <v>-128</v>
      </c>
      <c r="BB4897" t="str">
        <f t="shared" si="1928"/>
        <v>1200</v>
      </c>
      <c r="BC4897">
        <v>1</v>
      </c>
      <c r="BD4897" t="str">
        <f t="shared" si="1929"/>
        <v xml:space="preserve">N52156  </v>
      </c>
      <c r="BE4897">
        <v>1</v>
      </c>
      <c r="BG4897">
        <v>0</v>
      </c>
      <c r="BH4897">
        <v>0</v>
      </c>
      <c r="BI4897">
        <v>0</v>
      </c>
      <c r="BJ4897">
        <v>4075</v>
      </c>
      <c r="BK4897">
        <v>75</v>
      </c>
      <c r="BL4897" t="s">
        <v>188</v>
      </c>
      <c r="BM4897">
        <v>1</v>
      </c>
      <c r="BN4897">
        <v>1</v>
      </c>
      <c r="BO4897">
        <v>0</v>
      </c>
      <c r="BP4897">
        <v>0</v>
      </c>
      <c r="BS4897">
        <v>0</v>
      </c>
      <c r="BT4897">
        <v>0</v>
      </c>
      <c r="BU4897">
        <v>0</v>
      </c>
      <c r="CE4897" t="str">
        <f t="shared" si="1939"/>
        <v>15:18:07.558</v>
      </c>
      <c r="CF4897">
        <v>558091818</v>
      </c>
      <c r="CS4897">
        <v>0</v>
      </c>
      <c r="CT4897">
        <v>2</v>
      </c>
      <c r="CU4897">
        <v>0</v>
      </c>
      <c r="CV4897">
        <v>2</v>
      </c>
      <c r="CW4897">
        <v>0</v>
      </c>
      <c r="CX4897">
        <v>2</v>
      </c>
      <c r="CY4897">
        <v>7</v>
      </c>
      <c r="CZ4897" t="s">
        <v>133</v>
      </c>
      <c r="DA4897">
        <v>276</v>
      </c>
      <c r="DB4897">
        <v>0</v>
      </c>
      <c r="DC4897" t="s">
        <v>402</v>
      </c>
      <c r="DD4897" t="s">
        <v>403</v>
      </c>
      <c r="DG4897">
        <v>1628872</v>
      </c>
      <c r="DI4897">
        <v>1</v>
      </c>
      <c r="DJ4897">
        <v>0</v>
      </c>
      <c r="DK4897">
        <v>1</v>
      </c>
      <c r="DL4897">
        <v>0</v>
      </c>
      <c r="DM4897">
        <v>0</v>
      </c>
      <c r="DN4897">
        <v>0</v>
      </c>
      <c r="DO4897">
        <v>0</v>
      </c>
      <c r="DP4897">
        <v>0</v>
      </c>
      <c r="DQ4897">
        <v>0</v>
      </c>
      <c r="DR4897">
        <v>0</v>
      </c>
      <c r="DS4897">
        <v>0</v>
      </c>
    </row>
    <row r="4898" spans="1:123" x14ac:dyDescent="0.3">
      <c r="A4898" t="str">
        <f>"05/01/2025 15:18:08.951"</f>
        <v>05/01/2025 15:18:08.951</v>
      </c>
      <c r="C4898" t="str">
        <f t="shared" si="1926"/>
        <v>FFDFD3C0</v>
      </c>
      <c r="D4898" t="s">
        <v>143</v>
      </c>
      <c r="E4898" t="str">
        <f>"05"</f>
        <v>05</v>
      </c>
      <c r="H4898">
        <v>172</v>
      </c>
      <c r="I4898" t="s">
        <v>141</v>
      </c>
      <c r="J4898" t="s">
        <v>144</v>
      </c>
      <c r="K4898">
        <v>0</v>
      </c>
      <c r="L4898">
        <v>3</v>
      </c>
      <c r="M4898">
        <v>0</v>
      </c>
      <c r="N4898">
        <v>2</v>
      </c>
      <c r="O4898">
        <v>0</v>
      </c>
      <c r="P4898">
        <v>1</v>
      </c>
      <c r="Q4898">
        <v>0</v>
      </c>
      <c r="R4898" t="s">
        <v>127</v>
      </c>
      <c r="S4898" t="str">
        <f t="shared" ref="S4898:T4903" si="1940">"15:18:08.000"</f>
        <v>15:18:08.000</v>
      </c>
      <c r="T4898" t="str">
        <f t="shared" si="1940"/>
        <v>15:18:08.000</v>
      </c>
      <c r="U4898" t="str">
        <f t="shared" si="1927"/>
        <v>A68FCB</v>
      </c>
      <c r="V4898">
        <v>0</v>
      </c>
      <c r="W4898">
        <v>0</v>
      </c>
      <c r="X4898">
        <v>2</v>
      </c>
      <c r="Y4898">
        <v>0</v>
      </c>
      <c r="AA4898">
        <v>1</v>
      </c>
      <c r="AB4898">
        <v>8</v>
      </c>
      <c r="AC4898">
        <v>3</v>
      </c>
      <c r="AD4898">
        <v>0</v>
      </c>
      <c r="AE4898">
        <v>9</v>
      </c>
      <c r="AF4898" t="s">
        <v>138</v>
      </c>
      <c r="AG4898">
        <v>0</v>
      </c>
      <c r="AH4898">
        <v>3</v>
      </c>
      <c r="AI4898">
        <v>2</v>
      </c>
      <c r="AJ4898">
        <v>0</v>
      </c>
      <c r="AK4898" t="s">
        <v>1549</v>
      </c>
      <c r="AL4898">
        <v>39.232607000000002</v>
      </c>
      <c r="AM4898" t="s">
        <v>1550</v>
      </c>
      <c r="AN4898">
        <v>-121.00131500000001</v>
      </c>
      <c r="AO4898">
        <v>25</v>
      </c>
      <c r="AP4898">
        <v>4000</v>
      </c>
      <c r="AQ4898" t="s">
        <v>131</v>
      </c>
      <c r="AR4898">
        <v>-55</v>
      </c>
      <c r="AS4898">
        <v>82</v>
      </c>
      <c r="AT4898">
        <v>-128</v>
      </c>
      <c r="BB4898" t="str">
        <f t="shared" si="1928"/>
        <v>1200</v>
      </c>
      <c r="BC4898">
        <v>1</v>
      </c>
      <c r="BD4898" t="str">
        <f t="shared" si="1929"/>
        <v xml:space="preserve">N52156  </v>
      </c>
      <c r="BE4898">
        <v>1</v>
      </c>
      <c r="BG4898">
        <v>0</v>
      </c>
      <c r="BH4898">
        <v>0</v>
      </c>
      <c r="BI4898">
        <v>0</v>
      </c>
      <c r="BJ4898">
        <v>4075</v>
      </c>
      <c r="BK4898">
        <v>75</v>
      </c>
      <c r="BL4898" t="s">
        <v>188</v>
      </c>
      <c r="BM4898">
        <v>1</v>
      </c>
      <c r="BN4898">
        <v>1</v>
      </c>
      <c r="BO4898">
        <v>0</v>
      </c>
      <c r="BP4898">
        <v>0</v>
      </c>
      <c r="BS4898">
        <v>0</v>
      </c>
      <c r="BT4898">
        <v>0</v>
      </c>
      <c r="BU4898">
        <v>0</v>
      </c>
      <c r="CE4898" t="str">
        <f t="shared" ref="CE4898:CE4903" si="1941">"15:18:08.747"</f>
        <v>15:18:08.747</v>
      </c>
      <c r="CF4898">
        <v>747012193</v>
      </c>
      <c r="CS4898">
        <v>0</v>
      </c>
      <c r="CT4898">
        <v>2</v>
      </c>
      <c r="CU4898">
        <v>0</v>
      </c>
      <c r="CV4898">
        <v>2</v>
      </c>
      <c r="CW4898">
        <v>0</v>
      </c>
      <c r="CX4898">
        <v>2</v>
      </c>
      <c r="CY4898">
        <v>7</v>
      </c>
      <c r="CZ4898" t="s">
        <v>133</v>
      </c>
      <c r="DA4898">
        <v>275</v>
      </c>
      <c r="DB4898">
        <v>0</v>
      </c>
      <c r="DC4898" t="s">
        <v>134</v>
      </c>
      <c r="DD4898" t="s">
        <v>135</v>
      </c>
      <c r="DG4898">
        <v>3323436</v>
      </c>
      <c r="DI4898">
        <v>1</v>
      </c>
      <c r="DJ4898">
        <v>0</v>
      </c>
      <c r="DK4898">
        <v>0</v>
      </c>
      <c r="DL4898">
        <v>0</v>
      </c>
      <c r="DM4898">
        <v>0</v>
      </c>
      <c r="DN4898">
        <v>0</v>
      </c>
      <c r="DO4898">
        <v>0</v>
      </c>
      <c r="DP4898">
        <v>0</v>
      </c>
      <c r="DQ4898">
        <v>0</v>
      </c>
      <c r="DR4898">
        <v>0</v>
      </c>
      <c r="DS4898">
        <v>0</v>
      </c>
    </row>
    <row r="4899" spans="1:123" x14ac:dyDescent="0.3">
      <c r="A4899" t="str">
        <f>"05/01/2025 15:18:08.964"</f>
        <v>05/01/2025 15:18:08.964</v>
      </c>
      <c r="C4899" t="str">
        <f t="shared" si="1926"/>
        <v>FFDFD3C0</v>
      </c>
      <c r="D4899" t="s">
        <v>145</v>
      </c>
      <c r="E4899" t="str">
        <f>"09"</f>
        <v>09</v>
      </c>
      <c r="H4899">
        <v>51</v>
      </c>
      <c r="I4899" t="s">
        <v>147</v>
      </c>
      <c r="J4899" t="s">
        <v>138</v>
      </c>
      <c r="K4899">
        <v>0</v>
      </c>
      <c r="L4899">
        <v>3</v>
      </c>
      <c r="M4899">
        <v>0</v>
      </c>
      <c r="N4899">
        <v>2</v>
      </c>
      <c r="O4899">
        <v>0</v>
      </c>
      <c r="P4899">
        <v>1</v>
      </c>
      <c r="Q4899">
        <v>0</v>
      </c>
      <c r="R4899" t="s">
        <v>127</v>
      </c>
      <c r="S4899" t="str">
        <f t="shared" si="1940"/>
        <v>15:18:08.000</v>
      </c>
      <c r="T4899" t="str">
        <f t="shared" si="1940"/>
        <v>15:18:08.000</v>
      </c>
      <c r="U4899" t="str">
        <f t="shared" si="1927"/>
        <v>A68FCB</v>
      </c>
      <c r="V4899">
        <v>0</v>
      </c>
      <c r="W4899">
        <v>0</v>
      </c>
      <c r="X4899">
        <v>2</v>
      </c>
      <c r="Y4899">
        <v>0</v>
      </c>
      <c r="AA4899">
        <v>1</v>
      </c>
      <c r="AB4899">
        <v>8</v>
      </c>
      <c r="AC4899">
        <v>3</v>
      </c>
      <c r="AD4899">
        <v>0</v>
      </c>
      <c r="AE4899">
        <v>9</v>
      </c>
      <c r="AF4899" t="s">
        <v>138</v>
      </c>
      <c r="AG4899">
        <v>0</v>
      </c>
      <c r="AH4899">
        <v>3</v>
      </c>
      <c r="AI4899">
        <v>2</v>
      </c>
      <c r="AJ4899">
        <v>0</v>
      </c>
      <c r="AK4899" t="s">
        <v>1549</v>
      </c>
      <c r="AL4899">
        <v>39.232607000000002</v>
      </c>
      <c r="AM4899" t="s">
        <v>1550</v>
      </c>
      <c r="AN4899">
        <v>-121.00131500000001</v>
      </c>
      <c r="AO4899">
        <v>25</v>
      </c>
      <c r="AP4899">
        <v>4000</v>
      </c>
      <c r="AQ4899" t="s">
        <v>131</v>
      </c>
      <c r="AR4899">
        <v>-55</v>
      </c>
      <c r="AS4899">
        <v>82</v>
      </c>
      <c r="AT4899">
        <v>-128</v>
      </c>
      <c r="BB4899" t="str">
        <f t="shared" si="1928"/>
        <v>1200</v>
      </c>
      <c r="BC4899">
        <v>1</v>
      </c>
      <c r="BD4899" t="str">
        <f t="shared" si="1929"/>
        <v xml:space="preserve">N52156  </v>
      </c>
      <c r="BE4899">
        <v>1</v>
      </c>
      <c r="BG4899">
        <v>0</v>
      </c>
      <c r="BH4899">
        <v>0</v>
      </c>
      <c r="BI4899">
        <v>0</v>
      </c>
      <c r="BJ4899">
        <v>4075</v>
      </c>
      <c r="BK4899">
        <v>75</v>
      </c>
      <c r="BL4899" t="s">
        <v>188</v>
      </c>
      <c r="BM4899">
        <v>1</v>
      </c>
      <c r="BN4899">
        <v>1</v>
      </c>
      <c r="BO4899">
        <v>0</v>
      </c>
      <c r="BP4899">
        <v>0</v>
      </c>
      <c r="BS4899">
        <v>0</v>
      </c>
      <c r="BT4899">
        <v>0</v>
      </c>
      <c r="BU4899">
        <v>0</v>
      </c>
      <c r="CE4899" t="str">
        <f t="shared" si="1941"/>
        <v>15:18:08.747</v>
      </c>
      <c r="CF4899">
        <v>747012193</v>
      </c>
      <c r="CS4899">
        <v>0</v>
      </c>
      <c r="CT4899">
        <v>2</v>
      </c>
      <c r="CU4899">
        <v>0</v>
      </c>
      <c r="CV4899">
        <v>2</v>
      </c>
      <c r="CW4899">
        <v>0</v>
      </c>
      <c r="CX4899">
        <v>2</v>
      </c>
      <c r="CY4899">
        <v>7</v>
      </c>
      <c r="CZ4899" t="s">
        <v>133</v>
      </c>
      <c r="DA4899">
        <v>275</v>
      </c>
      <c r="DB4899">
        <v>0</v>
      </c>
      <c r="DC4899" t="s">
        <v>134</v>
      </c>
      <c r="DD4899" t="s">
        <v>135</v>
      </c>
      <c r="DG4899">
        <v>3323436</v>
      </c>
      <c r="DI4899">
        <v>1</v>
      </c>
      <c r="DJ4899">
        <v>0</v>
      </c>
      <c r="DK4899">
        <v>1</v>
      </c>
      <c r="DL4899">
        <v>0</v>
      </c>
      <c r="DM4899">
        <v>0</v>
      </c>
      <c r="DN4899">
        <v>0</v>
      </c>
      <c r="DO4899">
        <v>0</v>
      </c>
      <c r="DP4899">
        <v>0</v>
      </c>
      <c r="DQ4899">
        <v>0</v>
      </c>
      <c r="DR4899">
        <v>0</v>
      </c>
      <c r="DS4899">
        <v>0</v>
      </c>
    </row>
    <row r="4900" spans="1:123" x14ac:dyDescent="0.3">
      <c r="A4900" t="str">
        <f>"05/01/2025 15:18:08.966"</f>
        <v>05/01/2025 15:18:08.966</v>
      </c>
      <c r="C4900" t="str">
        <f t="shared" si="1926"/>
        <v>FFDFD3C0</v>
      </c>
      <c r="D4900" t="s">
        <v>145</v>
      </c>
      <c r="E4900" t="str">
        <f>"05"</f>
        <v>05</v>
      </c>
      <c r="H4900">
        <v>47</v>
      </c>
      <c r="I4900" t="s">
        <v>146</v>
      </c>
      <c r="J4900" t="s">
        <v>138</v>
      </c>
      <c r="K4900">
        <v>0</v>
      </c>
      <c r="L4900">
        <v>3</v>
      </c>
      <c r="M4900">
        <v>0</v>
      </c>
      <c r="N4900">
        <v>2</v>
      </c>
      <c r="O4900">
        <v>0</v>
      </c>
      <c r="P4900">
        <v>1</v>
      </c>
      <c r="Q4900">
        <v>0</v>
      </c>
      <c r="R4900" t="s">
        <v>127</v>
      </c>
      <c r="S4900" t="str">
        <f t="shared" si="1940"/>
        <v>15:18:08.000</v>
      </c>
      <c r="T4900" t="str">
        <f t="shared" si="1940"/>
        <v>15:18:08.000</v>
      </c>
      <c r="U4900" t="str">
        <f t="shared" si="1927"/>
        <v>A68FCB</v>
      </c>
      <c r="V4900">
        <v>0</v>
      </c>
      <c r="W4900">
        <v>0</v>
      </c>
      <c r="X4900">
        <v>2</v>
      </c>
      <c r="Y4900">
        <v>0</v>
      </c>
      <c r="AA4900">
        <v>1</v>
      </c>
      <c r="AB4900">
        <v>8</v>
      </c>
      <c r="AC4900">
        <v>3</v>
      </c>
      <c r="AD4900">
        <v>0</v>
      </c>
      <c r="AE4900">
        <v>9</v>
      </c>
      <c r="AF4900" t="s">
        <v>138</v>
      </c>
      <c r="AG4900">
        <v>0</v>
      </c>
      <c r="AH4900">
        <v>3</v>
      </c>
      <c r="AI4900">
        <v>2</v>
      </c>
      <c r="AJ4900">
        <v>0</v>
      </c>
      <c r="AK4900" t="s">
        <v>1549</v>
      </c>
      <c r="AL4900">
        <v>39.232607000000002</v>
      </c>
      <c r="AM4900" t="s">
        <v>1550</v>
      </c>
      <c r="AN4900">
        <v>-121.00131500000001</v>
      </c>
      <c r="AO4900">
        <v>25</v>
      </c>
      <c r="AP4900">
        <v>4000</v>
      </c>
      <c r="AQ4900" t="s">
        <v>131</v>
      </c>
      <c r="AR4900">
        <v>-55</v>
      </c>
      <c r="AS4900">
        <v>82</v>
      </c>
      <c r="AT4900">
        <v>-128</v>
      </c>
      <c r="BB4900" t="str">
        <f t="shared" si="1928"/>
        <v>1200</v>
      </c>
      <c r="BC4900">
        <v>1</v>
      </c>
      <c r="BD4900" t="str">
        <f t="shared" si="1929"/>
        <v xml:space="preserve">N52156  </v>
      </c>
      <c r="BE4900">
        <v>1</v>
      </c>
      <c r="BG4900">
        <v>0</v>
      </c>
      <c r="BH4900">
        <v>0</v>
      </c>
      <c r="BI4900">
        <v>0</v>
      </c>
      <c r="BJ4900">
        <v>4075</v>
      </c>
      <c r="BK4900">
        <v>75</v>
      </c>
      <c r="BL4900" t="s">
        <v>188</v>
      </c>
      <c r="BM4900">
        <v>1</v>
      </c>
      <c r="BN4900">
        <v>1</v>
      </c>
      <c r="BO4900">
        <v>0</v>
      </c>
      <c r="BP4900">
        <v>0</v>
      </c>
      <c r="BS4900">
        <v>0</v>
      </c>
      <c r="BT4900">
        <v>0</v>
      </c>
      <c r="BU4900">
        <v>0</v>
      </c>
      <c r="CE4900" t="str">
        <f t="shared" si="1941"/>
        <v>15:18:08.747</v>
      </c>
      <c r="CF4900">
        <v>747012193</v>
      </c>
      <c r="CS4900">
        <v>0</v>
      </c>
      <c r="CT4900">
        <v>2</v>
      </c>
      <c r="CU4900">
        <v>0</v>
      </c>
      <c r="CV4900">
        <v>2</v>
      </c>
      <c r="CW4900">
        <v>0</v>
      </c>
      <c r="CX4900">
        <v>2</v>
      </c>
      <c r="CY4900">
        <v>7</v>
      </c>
      <c r="CZ4900" t="s">
        <v>133</v>
      </c>
      <c r="DA4900">
        <v>275</v>
      </c>
      <c r="DB4900">
        <v>0</v>
      </c>
      <c r="DC4900" t="s">
        <v>134</v>
      </c>
      <c r="DD4900" t="s">
        <v>135</v>
      </c>
      <c r="DG4900">
        <v>3323436</v>
      </c>
      <c r="DI4900">
        <v>1</v>
      </c>
      <c r="DJ4900">
        <v>0</v>
      </c>
      <c r="DK4900">
        <v>1</v>
      </c>
      <c r="DL4900">
        <v>0</v>
      </c>
      <c r="DM4900">
        <v>0</v>
      </c>
      <c r="DN4900">
        <v>0</v>
      </c>
      <c r="DO4900">
        <v>0</v>
      </c>
      <c r="DP4900">
        <v>0</v>
      </c>
      <c r="DQ4900">
        <v>0</v>
      </c>
      <c r="DR4900">
        <v>0</v>
      </c>
      <c r="DS4900">
        <v>0</v>
      </c>
    </row>
    <row r="4901" spans="1:123" x14ac:dyDescent="0.3">
      <c r="A4901" t="str">
        <f>"05/01/2025 15:18:08.977"</f>
        <v>05/01/2025 15:18:08.977</v>
      </c>
      <c r="C4901" t="str">
        <f t="shared" si="1926"/>
        <v>FFDFD3C0</v>
      </c>
      <c r="D4901" t="s">
        <v>136</v>
      </c>
      <c r="E4901" t="str">
        <f>"20"</f>
        <v>20</v>
      </c>
      <c r="H4901">
        <v>400</v>
      </c>
      <c r="I4901" t="s">
        <v>137</v>
      </c>
      <c r="J4901" t="s">
        <v>138</v>
      </c>
      <c r="K4901">
        <v>0</v>
      </c>
      <c r="L4901">
        <v>3</v>
      </c>
      <c r="M4901">
        <v>0</v>
      </c>
      <c r="N4901">
        <v>2</v>
      </c>
      <c r="O4901">
        <v>0</v>
      </c>
      <c r="P4901">
        <v>1</v>
      </c>
      <c r="Q4901">
        <v>0</v>
      </c>
      <c r="R4901" t="s">
        <v>127</v>
      </c>
      <c r="S4901" t="str">
        <f t="shared" si="1940"/>
        <v>15:18:08.000</v>
      </c>
      <c r="T4901" t="str">
        <f t="shared" si="1940"/>
        <v>15:18:08.000</v>
      </c>
      <c r="U4901" t="str">
        <f t="shared" si="1927"/>
        <v>A68FCB</v>
      </c>
      <c r="V4901">
        <v>0</v>
      </c>
      <c r="W4901">
        <v>0</v>
      </c>
      <c r="X4901">
        <v>2</v>
      </c>
      <c r="Y4901">
        <v>0</v>
      </c>
      <c r="AA4901">
        <v>1</v>
      </c>
      <c r="AB4901">
        <v>8</v>
      </c>
      <c r="AC4901">
        <v>3</v>
      </c>
      <c r="AD4901">
        <v>0</v>
      </c>
      <c r="AE4901">
        <v>9</v>
      </c>
      <c r="AF4901" t="s">
        <v>138</v>
      </c>
      <c r="AG4901">
        <v>0</v>
      </c>
      <c r="AH4901">
        <v>3</v>
      </c>
      <c r="AI4901">
        <v>2</v>
      </c>
      <c r="AJ4901">
        <v>0</v>
      </c>
      <c r="AK4901" t="s">
        <v>1549</v>
      </c>
      <c r="AL4901">
        <v>39.232607000000002</v>
      </c>
      <c r="AM4901" t="s">
        <v>1550</v>
      </c>
      <c r="AN4901">
        <v>-121.00131500000001</v>
      </c>
      <c r="AO4901">
        <v>25</v>
      </c>
      <c r="AP4901">
        <v>4000</v>
      </c>
      <c r="AQ4901" t="s">
        <v>131</v>
      </c>
      <c r="AR4901">
        <v>-55</v>
      </c>
      <c r="AS4901">
        <v>82</v>
      </c>
      <c r="AT4901">
        <v>-128</v>
      </c>
      <c r="BB4901" t="str">
        <f t="shared" si="1928"/>
        <v>1200</v>
      </c>
      <c r="BC4901">
        <v>1</v>
      </c>
      <c r="BD4901" t="str">
        <f t="shared" si="1929"/>
        <v xml:space="preserve">N52156  </v>
      </c>
      <c r="BE4901">
        <v>1</v>
      </c>
      <c r="BG4901">
        <v>0</v>
      </c>
      <c r="BH4901">
        <v>0</v>
      </c>
      <c r="BI4901">
        <v>0</v>
      </c>
      <c r="BJ4901">
        <v>4075</v>
      </c>
      <c r="BK4901">
        <v>75</v>
      </c>
      <c r="BL4901" t="s">
        <v>188</v>
      </c>
      <c r="BM4901">
        <v>1</v>
      </c>
      <c r="BN4901">
        <v>1</v>
      </c>
      <c r="BO4901">
        <v>0</v>
      </c>
      <c r="BP4901">
        <v>0</v>
      </c>
      <c r="BS4901">
        <v>0</v>
      </c>
      <c r="BT4901">
        <v>0</v>
      </c>
      <c r="BU4901">
        <v>0</v>
      </c>
      <c r="CE4901" t="str">
        <f t="shared" si="1941"/>
        <v>15:18:08.747</v>
      </c>
      <c r="CF4901">
        <v>747012193</v>
      </c>
      <c r="CS4901">
        <v>0</v>
      </c>
      <c r="CT4901">
        <v>2</v>
      </c>
      <c r="CU4901">
        <v>0</v>
      </c>
      <c r="CV4901">
        <v>2</v>
      </c>
      <c r="CW4901">
        <v>0</v>
      </c>
      <c r="CX4901">
        <v>2</v>
      </c>
      <c r="CY4901">
        <v>7</v>
      </c>
      <c r="CZ4901" t="s">
        <v>133</v>
      </c>
      <c r="DA4901">
        <v>275</v>
      </c>
      <c r="DB4901">
        <v>0</v>
      </c>
      <c r="DC4901" t="s">
        <v>134</v>
      </c>
      <c r="DD4901" t="s">
        <v>135</v>
      </c>
      <c r="DG4901">
        <v>3323436</v>
      </c>
      <c r="DI4901">
        <v>1</v>
      </c>
      <c r="DJ4901">
        <v>0</v>
      </c>
      <c r="DK4901">
        <v>1</v>
      </c>
      <c r="DL4901">
        <v>0</v>
      </c>
      <c r="DM4901">
        <v>0</v>
      </c>
      <c r="DN4901">
        <v>0</v>
      </c>
      <c r="DO4901">
        <v>0</v>
      </c>
      <c r="DP4901">
        <v>0</v>
      </c>
      <c r="DQ4901">
        <v>0</v>
      </c>
      <c r="DR4901">
        <v>0</v>
      </c>
      <c r="DS4901">
        <v>0</v>
      </c>
    </row>
    <row r="4902" spans="1:123" x14ac:dyDescent="0.3">
      <c r="A4902" t="str">
        <f>"05/01/2025 15:18:08.990"</f>
        <v>05/01/2025 15:18:08.990</v>
      </c>
      <c r="C4902" t="str">
        <f t="shared" si="1926"/>
        <v>FFDFD3C0</v>
      </c>
      <c r="D4902" t="s">
        <v>140</v>
      </c>
      <c r="E4902" t="str">
        <f>"13"</f>
        <v>13</v>
      </c>
      <c r="F4902">
        <v>1019</v>
      </c>
      <c r="G4902" t="s">
        <v>141</v>
      </c>
      <c r="J4902" t="s">
        <v>142</v>
      </c>
      <c r="K4902">
        <v>0</v>
      </c>
      <c r="L4902">
        <v>3</v>
      </c>
      <c r="M4902">
        <v>0</v>
      </c>
      <c r="N4902">
        <v>2</v>
      </c>
      <c r="O4902">
        <v>0</v>
      </c>
      <c r="P4902">
        <v>1</v>
      </c>
      <c r="Q4902">
        <v>0</v>
      </c>
      <c r="R4902" t="s">
        <v>127</v>
      </c>
      <c r="S4902" t="str">
        <f t="shared" si="1940"/>
        <v>15:18:08.000</v>
      </c>
      <c r="T4902" t="str">
        <f t="shared" si="1940"/>
        <v>15:18:08.000</v>
      </c>
      <c r="U4902" t="str">
        <f t="shared" si="1927"/>
        <v>A68FCB</v>
      </c>
      <c r="V4902">
        <v>0</v>
      </c>
      <c r="W4902">
        <v>0</v>
      </c>
      <c r="X4902">
        <v>2</v>
      </c>
      <c r="Y4902">
        <v>0</v>
      </c>
      <c r="AA4902">
        <v>1</v>
      </c>
      <c r="AB4902">
        <v>8</v>
      </c>
      <c r="AC4902">
        <v>3</v>
      </c>
      <c r="AD4902">
        <v>0</v>
      </c>
      <c r="AE4902">
        <v>9</v>
      </c>
      <c r="AF4902" t="s">
        <v>138</v>
      </c>
      <c r="AG4902">
        <v>0</v>
      </c>
      <c r="AH4902">
        <v>3</v>
      </c>
      <c r="AI4902">
        <v>2</v>
      </c>
      <c r="AJ4902">
        <v>0</v>
      </c>
      <c r="AK4902" t="s">
        <v>1549</v>
      </c>
      <c r="AL4902">
        <v>39.232607000000002</v>
      </c>
      <c r="AM4902" t="s">
        <v>1550</v>
      </c>
      <c r="AN4902">
        <v>-121.00131500000001</v>
      </c>
      <c r="AO4902">
        <v>25</v>
      </c>
      <c r="AP4902">
        <v>4000</v>
      </c>
      <c r="AQ4902" t="s">
        <v>131</v>
      </c>
      <c r="AR4902">
        <v>-55</v>
      </c>
      <c r="AS4902">
        <v>82</v>
      </c>
      <c r="AT4902">
        <v>-128</v>
      </c>
      <c r="BB4902" t="str">
        <f t="shared" si="1928"/>
        <v>1200</v>
      </c>
      <c r="BC4902">
        <v>1</v>
      </c>
      <c r="BD4902" t="str">
        <f t="shared" si="1929"/>
        <v xml:space="preserve">N52156  </v>
      </c>
      <c r="BE4902">
        <v>1</v>
      </c>
      <c r="BG4902">
        <v>0</v>
      </c>
      <c r="BH4902">
        <v>0</v>
      </c>
      <c r="BI4902">
        <v>0</v>
      </c>
      <c r="BJ4902">
        <v>4075</v>
      </c>
      <c r="BK4902">
        <v>75</v>
      </c>
      <c r="BL4902" t="s">
        <v>188</v>
      </c>
      <c r="BM4902">
        <v>1</v>
      </c>
      <c r="BN4902">
        <v>1</v>
      </c>
      <c r="BO4902">
        <v>0</v>
      </c>
      <c r="BP4902">
        <v>0</v>
      </c>
      <c r="BS4902">
        <v>0</v>
      </c>
      <c r="BT4902">
        <v>0</v>
      </c>
      <c r="BU4902">
        <v>0</v>
      </c>
      <c r="CE4902" t="str">
        <f t="shared" si="1941"/>
        <v>15:18:08.747</v>
      </c>
      <c r="CF4902">
        <v>747012193</v>
      </c>
      <c r="CS4902">
        <v>0</v>
      </c>
      <c r="CT4902">
        <v>2</v>
      </c>
      <c r="CU4902">
        <v>0</v>
      </c>
      <c r="CV4902">
        <v>2</v>
      </c>
      <c r="CW4902">
        <v>0</v>
      </c>
      <c r="CX4902">
        <v>2</v>
      </c>
      <c r="CY4902">
        <v>7</v>
      </c>
      <c r="CZ4902" t="s">
        <v>133</v>
      </c>
      <c r="DA4902">
        <v>275</v>
      </c>
      <c r="DB4902">
        <v>0</v>
      </c>
      <c r="DC4902" t="s">
        <v>134</v>
      </c>
      <c r="DD4902" t="s">
        <v>135</v>
      </c>
      <c r="DG4902">
        <v>3323436</v>
      </c>
      <c r="DI4902">
        <v>1</v>
      </c>
      <c r="DJ4902">
        <v>0</v>
      </c>
      <c r="DK4902">
        <v>1</v>
      </c>
      <c r="DL4902">
        <v>0</v>
      </c>
      <c r="DM4902">
        <v>0</v>
      </c>
      <c r="DN4902">
        <v>0</v>
      </c>
      <c r="DO4902">
        <v>0</v>
      </c>
      <c r="DP4902">
        <v>0</v>
      </c>
      <c r="DQ4902">
        <v>0</v>
      </c>
      <c r="DR4902">
        <v>0</v>
      </c>
      <c r="DS4902">
        <v>0</v>
      </c>
    </row>
    <row r="4903" spans="1:123" x14ac:dyDescent="0.3">
      <c r="A4903" t="str">
        <f>"05/01/2025 15:18:08.993"</f>
        <v>05/01/2025 15:18:08.993</v>
      </c>
      <c r="C4903" t="str">
        <f t="shared" si="1926"/>
        <v>FFDFD3C0</v>
      </c>
      <c r="D4903" t="s">
        <v>124</v>
      </c>
      <c r="E4903" t="str">
        <f>"06"</f>
        <v>06</v>
      </c>
      <c r="F4903">
        <v>2006</v>
      </c>
      <c r="G4903" t="s">
        <v>125</v>
      </c>
      <c r="J4903" t="s">
        <v>126</v>
      </c>
      <c r="K4903">
        <v>0</v>
      </c>
      <c r="L4903">
        <v>3</v>
      </c>
      <c r="M4903">
        <v>0</v>
      </c>
      <c r="N4903">
        <v>2</v>
      </c>
      <c r="O4903">
        <v>0</v>
      </c>
      <c r="P4903">
        <v>1</v>
      </c>
      <c r="Q4903">
        <v>0</v>
      </c>
      <c r="R4903" t="s">
        <v>127</v>
      </c>
      <c r="S4903" t="str">
        <f t="shared" si="1940"/>
        <v>15:18:08.000</v>
      </c>
      <c r="T4903" t="str">
        <f t="shared" si="1940"/>
        <v>15:18:08.000</v>
      </c>
      <c r="U4903" t="str">
        <f t="shared" si="1927"/>
        <v>A68FCB</v>
      </c>
      <c r="V4903">
        <v>0</v>
      </c>
      <c r="W4903">
        <v>0</v>
      </c>
      <c r="X4903">
        <v>2</v>
      </c>
      <c r="Y4903">
        <v>0</v>
      </c>
      <c r="AA4903">
        <v>1</v>
      </c>
      <c r="AB4903">
        <v>8</v>
      </c>
      <c r="AC4903">
        <v>3</v>
      </c>
      <c r="AD4903">
        <v>0</v>
      </c>
      <c r="AE4903">
        <v>9</v>
      </c>
      <c r="AF4903" t="s">
        <v>138</v>
      </c>
      <c r="AG4903">
        <v>0</v>
      </c>
      <c r="AH4903">
        <v>3</v>
      </c>
      <c r="AI4903">
        <v>2</v>
      </c>
      <c r="AJ4903">
        <v>0</v>
      </c>
      <c r="AK4903" t="s">
        <v>1549</v>
      </c>
      <c r="AL4903">
        <v>39.232607000000002</v>
      </c>
      <c r="AM4903" t="s">
        <v>1550</v>
      </c>
      <c r="AN4903">
        <v>-121.00131500000001</v>
      </c>
      <c r="AO4903">
        <v>25</v>
      </c>
      <c r="AP4903">
        <v>4000</v>
      </c>
      <c r="AQ4903" t="s">
        <v>131</v>
      </c>
      <c r="AR4903">
        <v>-55</v>
      </c>
      <c r="AS4903">
        <v>82</v>
      </c>
      <c r="AT4903">
        <v>-128</v>
      </c>
      <c r="BB4903" t="str">
        <f t="shared" si="1928"/>
        <v>1200</v>
      </c>
      <c r="BC4903">
        <v>1</v>
      </c>
      <c r="BD4903" t="str">
        <f t="shared" si="1929"/>
        <v xml:space="preserve">N52156  </v>
      </c>
      <c r="BE4903">
        <v>1</v>
      </c>
      <c r="BG4903">
        <v>0</v>
      </c>
      <c r="BH4903">
        <v>0</v>
      </c>
      <c r="BI4903">
        <v>0</v>
      </c>
      <c r="BJ4903">
        <v>4075</v>
      </c>
      <c r="BK4903">
        <v>75</v>
      </c>
      <c r="BL4903" t="s">
        <v>188</v>
      </c>
      <c r="BM4903">
        <v>1</v>
      </c>
      <c r="BN4903">
        <v>1</v>
      </c>
      <c r="BO4903">
        <v>0</v>
      </c>
      <c r="BP4903">
        <v>0</v>
      </c>
      <c r="BS4903">
        <v>0</v>
      </c>
      <c r="BT4903">
        <v>0</v>
      </c>
      <c r="BU4903">
        <v>0</v>
      </c>
      <c r="CE4903" t="str">
        <f t="shared" si="1941"/>
        <v>15:18:08.747</v>
      </c>
      <c r="CF4903">
        <v>747012193</v>
      </c>
      <c r="CS4903">
        <v>0</v>
      </c>
      <c r="CT4903">
        <v>2</v>
      </c>
      <c r="CU4903">
        <v>0</v>
      </c>
      <c r="CV4903">
        <v>2</v>
      </c>
      <c r="CW4903">
        <v>0</v>
      </c>
      <c r="CX4903">
        <v>2</v>
      </c>
      <c r="CY4903">
        <v>7</v>
      </c>
      <c r="CZ4903" t="s">
        <v>133</v>
      </c>
      <c r="DA4903">
        <v>275</v>
      </c>
      <c r="DB4903">
        <v>0</v>
      </c>
      <c r="DC4903" t="s">
        <v>134</v>
      </c>
      <c r="DD4903" t="s">
        <v>135</v>
      </c>
      <c r="DG4903">
        <v>3323436</v>
      </c>
      <c r="DI4903">
        <v>1</v>
      </c>
      <c r="DJ4903">
        <v>0</v>
      </c>
      <c r="DK4903">
        <v>1</v>
      </c>
      <c r="DL4903">
        <v>0</v>
      </c>
      <c r="DM4903">
        <v>0</v>
      </c>
      <c r="DN4903">
        <v>0</v>
      </c>
      <c r="DO4903">
        <v>0</v>
      </c>
      <c r="DP4903">
        <v>0</v>
      </c>
      <c r="DQ4903">
        <v>0</v>
      </c>
      <c r="DR4903">
        <v>0</v>
      </c>
      <c r="DS4903">
        <v>0</v>
      </c>
    </row>
    <row r="4904" spans="1:123" x14ac:dyDescent="0.3">
      <c r="A4904" t="str">
        <f>"05/01/2025 15:18:10.028"</f>
        <v>05/01/2025 15:18:10.028</v>
      </c>
      <c r="C4904" t="str">
        <f t="shared" si="1926"/>
        <v>FFDFD3C0</v>
      </c>
      <c r="D4904" t="s">
        <v>136</v>
      </c>
      <c r="E4904" t="str">
        <f>"20"</f>
        <v>20</v>
      </c>
      <c r="H4904">
        <v>400</v>
      </c>
      <c r="I4904" t="s">
        <v>137</v>
      </c>
      <c r="J4904" t="s">
        <v>138</v>
      </c>
      <c r="K4904">
        <v>0</v>
      </c>
      <c r="L4904">
        <v>3</v>
      </c>
      <c r="M4904">
        <v>0</v>
      </c>
      <c r="N4904">
        <v>2</v>
      </c>
      <c r="O4904">
        <v>0</v>
      </c>
      <c r="P4904">
        <v>1</v>
      </c>
      <c r="Q4904">
        <v>0</v>
      </c>
      <c r="R4904" t="s">
        <v>127</v>
      </c>
      <c r="S4904" t="str">
        <f t="shared" ref="S4904:T4909" si="1942">"15:18:09.000"</f>
        <v>15:18:09.000</v>
      </c>
      <c r="T4904" t="str">
        <f t="shared" si="1942"/>
        <v>15:18:09.000</v>
      </c>
      <c r="U4904" t="str">
        <f t="shared" si="1927"/>
        <v>A68FCB</v>
      </c>
      <c r="V4904">
        <v>0</v>
      </c>
      <c r="W4904">
        <v>0</v>
      </c>
      <c r="X4904">
        <v>2</v>
      </c>
      <c r="Y4904">
        <v>0</v>
      </c>
      <c r="AA4904">
        <v>1</v>
      </c>
      <c r="AB4904">
        <v>8</v>
      </c>
      <c r="AC4904">
        <v>3</v>
      </c>
      <c r="AD4904">
        <v>0</v>
      </c>
      <c r="AE4904">
        <v>9</v>
      </c>
      <c r="AF4904" t="s">
        <v>138</v>
      </c>
      <c r="AG4904">
        <v>0</v>
      </c>
      <c r="AH4904">
        <v>3</v>
      </c>
      <c r="AI4904">
        <v>2</v>
      </c>
      <c r="AJ4904">
        <v>0</v>
      </c>
      <c r="AK4904" t="s">
        <v>1551</v>
      </c>
      <c r="AL4904">
        <v>39.232993</v>
      </c>
      <c r="AM4904" t="s">
        <v>1552</v>
      </c>
      <c r="AN4904">
        <v>-121.001637</v>
      </c>
      <c r="AO4904">
        <v>25</v>
      </c>
      <c r="AP4904">
        <v>4000</v>
      </c>
      <c r="AQ4904" t="s">
        <v>131</v>
      </c>
      <c r="AR4904">
        <v>-63</v>
      </c>
      <c r="AS4904">
        <v>78</v>
      </c>
      <c r="AT4904">
        <v>-128</v>
      </c>
      <c r="BB4904" t="str">
        <f t="shared" si="1928"/>
        <v>1200</v>
      </c>
      <c r="BC4904">
        <v>1</v>
      </c>
      <c r="BD4904" t="str">
        <f t="shared" si="1929"/>
        <v xml:space="preserve">N52156  </v>
      </c>
      <c r="BE4904">
        <v>1</v>
      </c>
      <c r="BG4904">
        <v>0</v>
      </c>
      <c r="BH4904">
        <v>0</v>
      </c>
      <c r="BI4904">
        <v>0</v>
      </c>
      <c r="BJ4904">
        <v>4075</v>
      </c>
      <c r="BK4904">
        <v>75</v>
      </c>
      <c r="BL4904" t="s">
        <v>188</v>
      </c>
      <c r="BM4904">
        <v>1</v>
      </c>
      <c r="BN4904">
        <v>1</v>
      </c>
      <c r="BO4904">
        <v>0</v>
      </c>
      <c r="BP4904">
        <v>0</v>
      </c>
      <c r="BS4904">
        <v>0</v>
      </c>
      <c r="BT4904">
        <v>0</v>
      </c>
      <c r="BU4904">
        <v>0</v>
      </c>
      <c r="CE4904" t="str">
        <f t="shared" ref="CE4904:CE4909" si="1943">"15:18:09.824"</f>
        <v>15:18:09.824</v>
      </c>
      <c r="CF4904">
        <v>823762396</v>
      </c>
      <c r="CS4904">
        <v>0</v>
      </c>
      <c r="CT4904">
        <v>2</v>
      </c>
      <c r="CU4904">
        <v>0</v>
      </c>
      <c r="CV4904">
        <v>2</v>
      </c>
      <c r="CW4904">
        <v>0</v>
      </c>
      <c r="CX4904">
        <v>3</v>
      </c>
      <c r="CY4904">
        <v>7</v>
      </c>
      <c r="CZ4904" t="s">
        <v>133</v>
      </c>
      <c r="DA4904">
        <v>275</v>
      </c>
      <c r="DB4904">
        <v>0</v>
      </c>
      <c r="DC4904" t="s">
        <v>134</v>
      </c>
      <c r="DD4904" t="s">
        <v>135</v>
      </c>
      <c r="DG4904">
        <v>3323440</v>
      </c>
      <c r="DI4904">
        <v>1</v>
      </c>
      <c r="DJ4904">
        <v>0</v>
      </c>
      <c r="DK4904">
        <v>0</v>
      </c>
      <c r="DL4904">
        <v>0</v>
      </c>
      <c r="DM4904">
        <v>0</v>
      </c>
      <c r="DN4904">
        <v>0</v>
      </c>
      <c r="DO4904">
        <v>0</v>
      </c>
      <c r="DP4904">
        <v>0</v>
      </c>
      <c r="DQ4904">
        <v>0</v>
      </c>
      <c r="DR4904">
        <v>0</v>
      </c>
      <c r="DS4904">
        <v>0</v>
      </c>
    </row>
    <row r="4905" spans="1:123" x14ac:dyDescent="0.3">
      <c r="A4905" t="str">
        <f>"05/01/2025 15:18:10.042"</f>
        <v>05/01/2025 15:18:10.042</v>
      </c>
      <c r="C4905" t="str">
        <f t="shared" si="1926"/>
        <v>FFDFD3C0</v>
      </c>
      <c r="D4905" t="s">
        <v>140</v>
      </c>
      <c r="E4905" t="str">
        <f>"13"</f>
        <v>13</v>
      </c>
      <c r="F4905">
        <v>1019</v>
      </c>
      <c r="G4905" t="s">
        <v>141</v>
      </c>
      <c r="J4905" t="s">
        <v>142</v>
      </c>
      <c r="K4905">
        <v>0</v>
      </c>
      <c r="L4905">
        <v>3</v>
      </c>
      <c r="M4905">
        <v>0</v>
      </c>
      <c r="N4905">
        <v>2</v>
      </c>
      <c r="O4905">
        <v>0</v>
      </c>
      <c r="P4905">
        <v>1</v>
      </c>
      <c r="Q4905">
        <v>0</v>
      </c>
      <c r="R4905" t="s">
        <v>127</v>
      </c>
      <c r="S4905" t="str">
        <f t="shared" si="1942"/>
        <v>15:18:09.000</v>
      </c>
      <c r="T4905" t="str">
        <f t="shared" si="1942"/>
        <v>15:18:09.000</v>
      </c>
      <c r="U4905" t="str">
        <f t="shared" si="1927"/>
        <v>A68FCB</v>
      </c>
      <c r="V4905">
        <v>0</v>
      </c>
      <c r="W4905">
        <v>0</v>
      </c>
      <c r="X4905">
        <v>2</v>
      </c>
      <c r="Y4905">
        <v>0</v>
      </c>
      <c r="AA4905">
        <v>1</v>
      </c>
      <c r="AB4905">
        <v>8</v>
      </c>
      <c r="AC4905">
        <v>3</v>
      </c>
      <c r="AD4905">
        <v>0</v>
      </c>
      <c r="AE4905">
        <v>9</v>
      </c>
      <c r="AF4905" t="s">
        <v>138</v>
      </c>
      <c r="AG4905">
        <v>0</v>
      </c>
      <c r="AH4905">
        <v>3</v>
      </c>
      <c r="AI4905">
        <v>2</v>
      </c>
      <c r="AJ4905">
        <v>0</v>
      </c>
      <c r="AK4905" t="s">
        <v>1551</v>
      </c>
      <c r="AL4905">
        <v>39.232993</v>
      </c>
      <c r="AM4905" t="s">
        <v>1552</v>
      </c>
      <c r="AN4905">
        <v>-121.001637</v>
      </c>
      <c r="AO4905">
        <v>25</v>
      </c>
      <c r="AP4905">
        <v>4000</v>
      </c>
      <c r="AQ4905" t="s">
        <v>131</v>
      </c>
      <c r="AR4905">
        <v>-63</v>
      </c>
      <c r="AS4905">
        <v>78</v>
      </c>
      <c r="AT4905">
        <v>-128</v>
      </c>
      <c r="BB4905" t="str">
        <f t="shared" si="1928"/>
        <v>1200</v>
      </c>
      <c r="BC4905">
        <v>1</v>
      </c>
      <c r="BD4905" t="str">
        <f t="shared" si="1929"/>
        <v xml:space="preserve">N52156  </v>
      </c>
      <c r="BE4905">
        <v>1</v>
      </c>
      <c r="BG4905">
        <v>0</v>
      </c>
      <c r="BH4905">
        <v>0</v>
      </c>
      <c r="BI4905">
        <v>0</v>
      </c>
      <c r="BJ4905">
        <v>4075</v>
      </c>
      <c r="BK4905">
        <v>75</v>
      </c>
      <c r="BL4905" t="s">
        <v>188</v>
      </c>
      <c r="BM4905">
        <v>1</v>
      </c>
      <c r="BN4905">
        <v>1</v>
      </c>
      <c r="BO4905">
        <v>0</v>
      </c>
      <c r="BP4905">
        <v>0</v>
      </c>
      <c r="BS4905">
        <v>0</v>
      </c>
      <c r="BT4905">
        <v>0</v>
      </c>
      <c r="BU4905">
        <v>0</v>
      </c>
      <c r="CE4905" t="str">
        <f t="shared" si="1943"/>
        <v>15:18:09.824</v>
      </c>
      <c r="CF4905">
        <v>823762396</v>
      </c>
      <c r="CS4905">
        <v>0</v>
      </c>
      <c r="CT4905">
        <v>2</v>
      </c>
      <c r="CU4905">
        <v>0</v>
      </c>
      <c r="CV4905">
        <v>2</v>
      </c>
      <c r="CW4905">
        <v>0</v>
      </c>
      <c r="CX4905">
        <v>3</v>
      </c>
      <c r="CY4905">
        <v>7</v>
      </c>
      <c r="CZ4905" t="s">
        <v>133</v>
      </c>
      <c r="DA4905">
        <v>275</v>
      </c>
      <c r="DB4905">
        <v>0</v>
      </c>
      <c r="DC4905" t="s">
        <v>134</v>
      </c>
      <c r="DD4905" t="s">
        <v>135</v>
      </c>
      <c r="DG4905">
        <v>3323440</v>
      </c>
      <c r="DI4905">
        <v>1</v>
      </c>
      <c r="DJ4905">
        <v>0</v>
      </c>
      <c r="DK4905">
        <v>1</v>
      </c>
      <c r="DL4905">
        <v>0</v>
      </c>
      <c r="DM4905">
        <v>0</v>
      </c>
      <c r="DN4905">
        <v>0</v>
      </c>
      <c r="DO4905">
        <v>0</v>
      </c>
      <c r="DP4905">
        <v>0</v>
      </c>
      <c r="DQ4905">
        <v>0</v>
      </c>
      <c r="DR4905">
        <v>0</v>
      </c>
      <c r="DS4905">
        <v>0</v>
      </c>
    </row>
    <row r="4906" spans="1:123" x14ac:dyDescent="0.3">
      <c r="A4906" t="str">
        <f>"05/01/2025 15:18:10.044"</f>
        <v>05/01/2025 15:18:10.044</v>
      </c>
      <c r="C4906" t="str">
        <f t="shared" si="1926"/>
        <v>FFDFD3C0</v>
      </c>
      <c r="D4906" t="s">
        <v>124</v>
      </c>
      <c r="E4906" t="str">
        <f>"06"</f>
        <v>06</v>
      </c>
      <c r="F4906">
        <v>2006</v>
      </c>
      <c r="G4906" t="s">
        <v>125</v>
      </c>
      <c r="J4906" t="s">
        <v>126</v>
      </c>
      <c r="K4906">
        <v>0</v>
      </c>
      <c r="L4906">
        <v>3</v>
      </c>
      <c r="M4906">
        <v>0</v>
      </c>
      <c r="N4906">
        <v>2</v>
      </c>
      <c r="O4906">
        <v>0</v>
      </c>
      <c r="P4906">
        <v>1</v>
      </c>
      <c r="Q4906">
        <v>0</v>
      </c>
      <c r="R4906" t="s">
        <v>127</v>
      </c>
      <c r="S4906" t="str">
        <f t="shared" si="1942"/>
        <v>15:18:09.000</v>
      </c>
      <c r="T4906" t="str">
        <f t="shared" si="1942"/>
        <v>15:18:09.000</v>
      </c>
      <c r="U4906" t="str">
        <f t="shared" si="1927"/>
        <v>A68FCB</v>
      </c>
      <c r="V4906">
        <v>0</v>
      </c>
      <c r="W4906">
        <v>0</v>
      </c>
      <c r="X4906">
        <v>2</v>
      </c>
      <c r="Y4906">
        <v>0</v>
      </c>
      <c r="AA4906">
        <v>1</v>
      </c>
      <c r="AB4906">
        <v>8</v>
      </c>
      <c r="AC4906">
        <v>3</v>
      </c>
      <c r="AD4906">
        <v>0</v>
      </c>
      <c r="AE4906">
        <v>9</v>
      </c>
      <c r="AF4906" t="s">
        <v>138</v>
      </c>
      <c r="AG4906">
        <v>0</v>
      </c>
      <c r="AH4906">
        <v>3</v>
      </c>
      <c r="AI4906">
        <v>2</v>
      </c>
      <c r="AJ4906">
        <v>0</v>
      </c>
      <c r="AK4906" t="s">
        <v>1551</v>
      </c>
      <c r="AL4906">
        <v>39.232993</v>
      </c>
      <c r="AM4906" t="s">
        <v>1552</v>
      </c>
      <c r="AN4906">
        <v>-121.001637</v>
      </c>
      <c r="AO4906">
        <v>25</v>
      </c>
      <c r="AP4906">
        <v>4000</v>
      </c>
      <c r="AQ4906" t="s">
        <v>131</v>
      </c>
      <c r="AR4906">
        <v>-63</v>
      </c>
      <c r="AS4906">
        <v>78</v>
      </c>
      <c r="AT4906">
        <v>-128</v>
      </c>
      <c r="BB4906" t="str">
        <f t="shared" si="1928"/>
        <v>1200</v>
      </c>
      <c r="BC4906">
        <v>1</v>
      </c>
      <c r="BD4906" t="str">
        <f t="shared" si="1929"/>
        <v xml:space="preserve">N52156  </v>
      </c>
      <c r="BE4906">
        <v>1</v>
      </c>
      <c r="BG4906">
        <v>0</v>
      </c>
      <c r="BH4906">
        <v>0</v>
      </c>
      <c r="BI4906">
        <v>0</v>
      </c>
      <c r="BJ4906">
        <v>4075</v>
      </c>
      <c r="BK4906">
        <v>75</v>
      </c>
      <c r="BL4906" t="s">
        <v>188</v>
      </c>
      <c r="BM4906">
        <v>1</v>
      </c>
      <c r="BN4906">
        <v>1</v>
      </c>
      <c r="BO4906">
        <v>0</v>
      </c>
      <c r="BP4906">
        <v>0</v>
      </c>
      <c r="BS4906">
        <v>0</v>
      </c>
      <c r="BT4906">
        <v>0</v>
      </c>
      <c r="BU4906">
        <v>0</v>
      </c>
      <c r="CE4906" t="str">
        <f t="shared" si="1943"/>
        <v>15:18:09.824</v>
      </c>
      <c r="CF4906">
        <v>823762396</v>
      </c>
      <c r="CS4906">
        <v>0</v>
      </c>
      <c r="CT4906">
        <v>2</v>
      </c>
      <c r="CU4906">
        <v>0</v>
      </c>
      <c r="CV4906">
        <v>2</v>
      </c>
      <c r="CW4906">
        <v>0</v>
      </c>
      <c r="CX4906">
        <v>3</v>
      </c>
      <c r="CY4906">
        <v>7</v>
      </c>
      <c r="CZ4906" t="s">
        <v>133</v>
      </c>
      <c r="DA4906">
        <v>275</v>
      </c>
      <c r="DB4906">
        <v>0</v>
      </c>
      <c r="DC4906" t="s">
        <v>134</v>
      </c>
      <c r="DD4906" t="s">
        <v>135</v>
      </c>
      <c r="DG4906">
        <v>3323440</v>
      </c>
      <c r="DI4906">
        <v>1</v>
      </c>
      <c r="DJ4906">
        <v>0</v>
      </c>
      <c r="DK4906">
        <v>1</v>
      </c>
      <c r="DL4906">
        <v>0</v>
      </c>
      <c r="DM4906">
        <v>0</v>
      </c>
      <c r="DN4906">
        <v>0</v>
      </c>
      <c r="DO4906">
        <v>0</v>
      </c>
      <c r="DP4906">
        <v>0</v>
      </c>
      <c r="DQ4906">
        <v>0</v>
      </c>
      <c r="DR4906">
        <v>0</v>
      </c>
      <c r="DS4906">
        <v>0</v>
      </c>
    </row>
    <row r="4907" spans="1:123" x14ac:dyDescent="0.3">
      <c r="A4907" t="str">
        <f>"05/01/2025 15:18:10.053"</f>
        <v>05/01/2025 15:18:10.053</v>
      </c>
      <c r="C4907" t="str">
        <f t="shared" si="1926"/>
        <v>FFDFD3C0</v>
      </c>
      <c r="D4907" t="s">
        <v>143</v>
      </c>
      <c r="E4907" t="str">
        <f>"05"</f>
        <v>05</v>
      </c>
      <c r="H4907">
        <v>172</v>
      </c>
      <c r="I4907" t="s">
        <v>141</v>
      </c>
      <c r="J4907" t="s">
        <v>144</v>
      </c>
      <c r="K4907">
        <v>0</v>
      </c>
      <c r="L4907">
        <v>3</v>
      </c>
      <c r="M4907">
        <v>0</v>
      </c>
      <c r="N4907">
        <v>2</v>
      </c>
      <c r="O4907">
        <v>0</v>
      </c>
      <c r="P4907">
        <v>1</v>
      </c>
      <c r="Q4907">
        <v>0</v>
      </c>
      <c r="R4907" t="s">
        <v>127</v>
      </c>
      <c r="S4907" t="str">
        <f t="shared" si="1942"/>
        <v>15:18:09.000</v>
      </c>
      <c r="T4907" t="str">
        <f t="shared" si="1942"/>
        <v>15:18:09.000</v>
      </c>
      <c r="U4907" t="str">
        <f t="shared" si="1927"/>
        <v>A68FCB</v>
      </c>
      <c r="V4907">
        <v>0</v>
      </c>
      <c r="W4907">
        <v>0</v>
      </c>
      <c r="X4907">
        <v>2</v>
      </c>
      <c r="Y4907">
        <v>0</v>
      </c>
      <c r="AA4907">
        <v>1</v>
      </c>
      <c r="AB4907">
        <v>8</v>
      </c>
      <c r="AC4907">
        <v>3</v>
      </c>
      <c r="AD4907">
        <v>0</v>
      </c>
      <c r="AE4907">
        <v>9</v>
      </c>
      <c r="AF4907" t="s">
        <v>138</v>
      </c>
      <c r="AG4907">
        <v>0</v>
      </c>
      <c r="AH4907">
        <v>3</v>
      </c>
      <c r="AI4907">
        <v>2</v>
      </c>
      <c r="AJ4907">
        <v>0</v>
      </c>
      <c r="AK4907" t="s">
        <v>1551</v>
      </c>
      <c r="AL4907">
        <v>39.232993</v>
      </c>
      <c r="AM4907" t="s">
        <v>1552</v>
      </c>
      <c r="AN4907">
        <v>-121.001637</v>
      </c>
      <c r="AO4907">
        <v>25</v>
      </c>
      <c r="AP4907">
        <v>4000</v>
      </c>
      <c r="AQ4907" t="s">
        <v>131</v>
      </c>
      <c r="AR4907">
        <v>-63</v>
      </c>
      <c r="AS4907">
        <v>78</v>
      </c>
      <c r="AT4907">
        <v>-128</v>
      </c>
      <c r="BB4907" t="str">
        <f t="shared" si="1928"/>
        <v>1200</v>
      </c>
      <c r="BC4907">
        <v>1</v>
      </c>
      <c r="BD4907" t="str">
        <f t="shared" si="1929"/>
        <v xml:space="preserve">N52156  </v>
      </c>
      <c r="BE4907">
        <v>1</v>
      </c>
      <c r="BG4907">
        <v>0</v>
      </c>
      <c r="BH4907">
        <v>0</v>
      </c>
      <c r="BI4907">
        <v>0</v>
      </c>
      <c r="BJ4907">
        <v>4075</v>
      </c>
      <c r="BK4907">
        <v>75</v>
      </c>
      <c r="BL4907" t="s">
        <v>188</v>
      </c>
      <c r="BM4907">
        <v>1</v>
      </c>
      <c r="BN4907">
        <v>1</v>
      </c>
      <c r="BO4907">
        <v>0</v>
      </c>
      <c r="BP4907">
        <v>0</v>
      </c>
      <c r="BS4907">
        <v>0</v>
      </c>
      <c r="BT4907">
        <v>0</v>
      </c>
      <c r="BU4907">
        <v>0</v>
      </c>
      <c r="CE4907" t="str">
        <f t="shared" si="1943"/>
        <v>15:18:09.824</v>
      </c>
      <c r="CF4907">
        <v>823762396</v>
      </c>
      <c r="CS4907">
        <v>0</v>
      </c>
      <c r="CT4907">
        <v>2</v>
      </c>
      <c r="CU4907">
        <v>0</v>
      </c>
      <c r="CV4907">
        <v>2</v>
      </c>
      <c r="CW4907">
        <v>0</v>
      </c>
      <c r="CX4907">
        <v>3</v>
      </c>
      <c r="CY4907">
        <v>7</v>
      </c>
      <c r="CZ4907" t="s">
        <v>133</v>
      </c>
      <c r="DA4907">
        <v>275</v>
      </c>
      <c r="DB4907">
        <v>0</v>
      </c>
      <c r="DC4907" t="s">
        <v>134</v>
      </c>
      <c r="DD4907" t="s">
        <v>135</v>
      </c>
      <c r="DG4907">
        <v>3323440</v>
      </c>
      <c r="DI4907">
        <v>1</v>
      </c>
      <c r="DJ4907">
        <v>0</v>
      </c>
      <c r="DK4907">
        <v>1</v>
      </c>
      <c r="DL4907">
        <v>0</v>
      </c>
      <c r="DM4907">
        <v>0</v>
      </c>
      <c r="DN4907">
        <v>0</v>
      </c>
      <c r="DO4907">
        <v>0</v>
      </c>
      <c r="DP4907">
        <v>0</v>
      </c>
      <c r="DQ4907">
        <v>0</v>
      </c>
      <c r="DR4907">
        <v>0</v>
      </c>
      <c r="DS4907">
        <v>0</v>
      </c>
    </row>
    <row r="4908" spans="1:123" x14ac:dyDescent="0.3">
      <c r="A4908" t="str">
        <f>"05/01/2025 15:18:10.066"</f>
        <v>05/01/2025 15:18:10.066</v>
      </c>
      <c r="C4908" t="str">
        <f t="shared" si="1926"/>
        <v>FFDFD3C0</v>
      </c>
      <c r="D4908" t="s">
        <v>145</v>
      </c>
      <c r="E4908" t="str">
        <f>"09"</f>
        <v>09</v>
      </c>
      <c r="H4908">
        <v>51</v>
      </c>
      <c r="I4908" t="s">
        <v>147</v>
      </c>
      <c r="J4908" t="s">
        <v>138</v>
      </c>
      <c r="K4908">
        <v>0</v>
      </c>
      <c r="L4908">
        <v>3</v>
      </c>
      <c r="M4908">
        <v>0</v>
      </c>
      <c r="N4908">
        <v>2</v>
      </c>
      <c r="O4908">
        <v>0</v>
      </c>
      <c r="P4908">
        <v>1</v>
      </c>
      <c r="Q4908">
        <v>0</v>
      </c>
      <c r="R4908" t="s">
        <v>127</v>
      </c>
      <c r="S4908" t="str">
        <f t="shared" si="1942"/>
        <v>15:18:09.000</v>
      </c>
      <c r="T4908" t="str">
        <f t="shared" si="1942"/>
        <v>15:18:09.000</v>
      </c>
      <c r="U4908" t="str">
        <f t="shared" si="1927"/>
        <v>A68FCB</v>
      </c>
      <c r="V4908">
        <v>0</v>
      </c>
      <c r="W4908">
        <v>0</v>
      </c>
      <c r="X4908">
        <v>2</v>
      </c>
      <c r="Y4908">
        <v>0</v>
      </c>
      <c r="AA4908">
        <v>1</v>
      </c>
      <c r="AB4908">
        <v>8</v>
      </c>
      <c r="AC4908">
        <v>3</v>
      </c>
      <c r="AD4908">
        <v>0</v>
      </c>
      <c r="AE4908">
        <v>9</v>
      </c>
      <c r="AF4908" t="s">
        <v>138</v>
      </c>
      <c r="AG4908">
        <v>0</v>
      </c>
      <c r="AH4908">
        <v>3</v>
      </c>
      <c r="AI4908">
        <v>2</v>
      </c>
      <c r="AJ4908">
        <v>0</v>
      </c>
      <c r="AK4908" t="s">
        <v>1551</v>
      </c>
      <c r="AL4908">
        <v>39.232993</v>
      </c>
      <c r="AM4908" t="s">
        <v>1552</v>
      </c>
      <c r="AN4908">
        <v>-121.001637</v>
      </c>
      <c r="AO4908">
        <v>25</v>
      </c>
      <c r="AP4908">
        <v>4000</v>
      </c>
      <c r="AQ4908" t="s">
        <v>131</v>
      </c>
      <c r="AR4908">
        <v>-63</v>
      </c>
      <c r="AS4908">
        <v>78</v>
      </c>
      <c r="AT4908">
        <v>-128</v>
      </c>
      <c r="BB4908" t="str">
        <f t="shared" si="1928"/>
        <v>1200</v>
      </c>
      <c r="BC4908">
        <v>1</v>
      </c>
      <c r="BD4908" t="str">
        <f t="shared" si="1929"/>
        <v xml:space="preserve">N52156  </v>
      </c>
      <c r="BE4908">
        <v>1</v>
      </c>
      <c r="BG4908">
        <v>0</v>
      </c>
      <c r="BH4908">
        <v>0</v>
      </c>
      <c r="BI4908">
        <v>0</v>
      </c>
      <c r="BJ4908">
        <v>4075</v>
      </c>
      <c r="BK4908">
        <v>75</v>
      </c>
      <c r="BL4908" t="s">
        <v>188</v>
      </c>
      <c r="BM4908">
        <v>1</v>
      </c>
      <c r="BN4908">
        <v>1</v>
      </c>
      <c r="BO4908">
        <v>0</v>
      </c>
      <c r="BP4908">
        <v>0</v>
      </c>
      <c r="BS4908">
        <v>0</v>
      </c>
      <c r="BT4908">
        <v>0</v>
      </c>
      <c r="BU4908">
        <v>0</v>
      </c>
      <c r="CE4908" t="str">
        <f t="shared" si="1943"/>
        <v>15:18:09.824</v>
      </c>
      <c r="CF4908">
        <v>823762396</v>
      </c>
      <c r="CS4908">
        <v>0</v>
      </c>
      <c r="CT4908">
        <v>2</v>
      </c>
      <c r="CU4908">
        <v>0</v>
      </c>
      <c r="CV4908">
        <v>2</v>
      </c>
      <c r="CW4908">
        <v>0</v>
      </c>
      <c r="CX4908">
        <v>3</v>
      </c>
      <c r="CY4908">
        <v>7</v>
      </c>
      <c r="CZ4908" t="s">
        <v>133</v>
      </c>
      <c r="DA4908">
        <v>275</v>
      </c>
      <c r="DB4908">
        <v>0</v>
      </c>
      <c r="DC4908" t="s">
        <v>134</v>
      </c>
      <c r="DD4908" t="s">
        <v>135</v>
      </c>
      <c r="DG4908">
        <v>3323440</v>
      </c>
      <c r="DI4908">
        <v>1</v>
      </c>
      <c r="DJ4908">
        <v>0</v>
      </c>
      <c r="DK4908">
        <v>1</v>
      </c>
      <c r="DL4908">
        <v>0</v>
      </c>
      <c r="DM4908">
        <v>0</v>
      </c>
      <c r="DN4908">
        <v>0</v>
      </c>
      <c r="DO4908">
        <v>0</v>
      </c>
      <c r="DP4908">
        <v>0</v>
      </c>
      <c r="DQ4908">
        <v>0</v>
      </c>
      <c r="DR4908">
        <v>0</v>
      </c>
      <c r="DS4908">
        <v>0</v>
      </c>
    </row>
    <row r="4909" spans="1:123" x14ac:dyDescent="0.3">
      <c r="A4909" t="str">
        <f>"05/01/2025 15:18:10.068"</f>
        <v>05/01/2025 15:18:10.068</v>
      </c>
      <c r="C4909" t="str">
        <f t="shared" si="1926"/>
        <v>FFDFD3C0</v>
      </c>
      <c r="D4909" t="s">
        <v>145</v>
      </c>
      <c r="E4909" t="str">
        <f>"05"</f>
        <v>05</v>
      </c>
      <c r="H4909">
        <v>47</v>
      </c>
      <c r="I4909" t="s">
        <v>146</v>
      </c>
      <c r="J4909" t="s">
        <v>138</v>
      </c>
      <c r="K4909">
        <v>0</v>
      </c>
      <c r="L4909">
        <v>3</v>
      </c>
      <c r="M4909">
        <v>0</v>
      </c>
      <c r="N4909">
        <v>2</v>
      </c>
      <c r="O4909">
        <v>0</v>
      </c>
      <c r="P4909">
        <v>1</v>
      </c>
      <c r="Q4909">
        <v>0</v>
      </c>
      <c r="R4909" t="s">
        <v>127</v>
      </c>
      <c r="S4909" t="str">
        <f t="shared" si="1942"/>
        <v>15:18:09.000</v>
      </c>
      <c r="T4909" t="str">
        <f t="shared" si="1942"/>
        <v>15:18:09.000</v>
      </c>
      <c r="U4909" t="str">
        <f t="shared" si="1927"/>
        <v>A68FCB</v>
      </c>
      <c r="V4909">
        <v>0</v>
      </c>
      <c r="W4909">
        <v>0</v>
      </c>
      <c r="X4909">
        <v>2</v>
      </c>
      <c r="Y4909">
        <v>0</v>
      </c>
      <c r="AA4909">
        <v>1</v>
      </c>
      <c r="AB4909">
        <v>8</v>
      </c>
      <c r="AC4909">
        <v>3</v>
      </c>
      <c r="AD4909">
        <v>0</v>
      </c>
      <c r="AE4909">
        <v>9</v>
      </c>
      <c r="AF4909" t="s">
        <v>138</v>
      </c>
      <c r="AG4909">
        <v>0</v>
      </c>
      <c r="AH4909">
        <v>3</v>
      </c>
      <c r="AI4909">
        <v>2</v>
      </c>
      <c r="AJ4909">
        <v>0</v>
      </c>
      <c r="AK4909" t="s">
        <v>1551</v>
      </c>
      <c r="AL4909">
        <v>39.232993</v>
      </c>
      <c r="AM4909" t="s">
        <v>1552</v>
      </c>
      <c r="AN4909">
        <v>-121.001637</v>
      </c>
      <c r="AO4909">
        <v>25</v>
      </c>
      <c r="AP4909">
        <v>4000</v>
      </c>
      <c r="AQ4909" t="s">
        <v>131</v>
      </c>
      <c r="AR4909">
        <v>-63</v>
      </c>
      <c r="AS4909">
        <v>78</v>
      </c>
      <c r="AT4909">
        <v>-128</v>
      </c>
      <c r="BB4909" t="str">
        <f t="shared" si="1928"/>
        <v>1200</v>
      </c>
      <c r="BC4909">
        <v>1</v>
      </c>
      <c r="BD4909" t="str">
        <f t="shared" si="1929"/>
        <v xml:space="preserve">N52156  </v>
      </c>
      <c r="BE4909">
        <v>1</v>
      </c>
      <c r="BG4909">
        <v>0</v>
      </c>
      <c r="BH4909">
        <v>0</v>
      </c>
      <c r="BI4909">
        <v>0</v>
      </c>
      <c r="BJ4909">
        <v>4075</v>
      </c>
      <c r="BK4909">
        <v>75</v>
      </c>
      <c r="BL4909" t="s">
        <v>188</v>
      </c>
      <c r="BM4909">
        <v>1</v>
      </c>
      <c r="BN4909">
        <v>1</v>
      </c>
      <c r="BO4909">
        <v>0</v>
      </c>
      <c r="BP4909">
        <v>0</v>
      </c>
      <c r="BS4909">
        <v>0</v>
      </c>
      <c r="BT4909">
        <v>0</v>
      </c>
      <c r="BU4909">
        <v>0</v>
      </c>
      <c r="CE4909" t="str">
        <f t="shared" si="1943"/>
        <v>15:18:09.824</v>
      </c>
      <c r="CF4909">
        <v>823762396</v>
      </c>
      <c r="CS4909">
        <v>0</v>
      </c>
      <c r="CT4909">
        <v>2</v>
      </c>
      <c r="CU4909">
        <v>0</v>
      </c>
      <c r="CV4909">
        <v>2</v>
      </c>
      <c r="CW4909">
        <v>0</v>
      </c>
      <c r="CX4909">
        <v>3</v>
      </c>
      <c r="CY4909">
        <v>7</v>
      </c>
      <c r="CZ4909" t="s">
        <v>133</v>
      </c>
      <c r="DA4909">
        <v>275</v>
      </c>
      <c r="DB4909">
        <v>0</v>
      </c>
      <c r="DC4909" t="s">
        <v>134</v>
      </c>
      <c r="DD4909" t="s">
        <v>135</v>
      </c>
      <c r="DG4909">
        <v>3323440</v>
      </c>
      <c r="DI4909">
        <v>1</v>
      </c>
      <c r="DJ4909">
        <v>0</v>
      </c>
      <c r="DK4909">
        <v>1</v>
      </c>
      <c r="DL4909">
        <v>0</v>
      </c>
      <c r="DM4909">
        <v>0</v>
      </c>
      <c r="DN4909">
        <v>0</v>
      </c>
      <c r="DO4909">
        <v>0</v>
      </c>
      <c r="DP4909">
        <v>0</v>
      </c>
      <c r="DQ4909">
        <v>0</v>
      </c>
      <c r="DR4909">
        <v>0</v>
      </c>
      <c r="DS4909">
        <v>0</v>
      </c>
    </row>
    <row r="4910" spans="1:123" x14ac:dyDescent="0.3">
      <c r="A4910" t="str">
        <f>"05/01/2025 15:18:11.068"</f>
        <v>05/01/2025 15:18:11.068</v>
      </c>
      <c r="C4910" t="str">
        <f t="shared" si="1926"/>
        <v>FFDFD3C0</v>
      </c>
      <c r="D4910" t="s">
        <v>145</v>
      </c>
      <c r="E4910" t="str">
        <f>"09"</f>
        <v>09</v>
      </c>
      <c r="H4910">
        <v>51</v>
      </c>
      <c r="I4910" t="s">
        <v>147</v>
      </c>
      <c r="J4910" t="s">
        <v>138</v>
      </c>
      <c r="K4910">
        <v>0</v>
      </c>
      <c r="L4910">
        <v>3</v>
      </c>
      <c r="M4910">
        <v>0</v>
      </c>
      <c r="N4910">
        <v>2</v>
      </c>
      <c r="O4910">
        <v>0</v>
      </c>
      <c r="P4910">
        <v>1</v>
      </c>
      <c r="Q4910">
        <v>0</v>
      </c>
      <c r="R4910" t="s">
        <v>127</v>
      </c>
      <c r="S4910" t="str">
        <f t="shared" ref="S4910:T4915" si="1944">"15:18:10.000"</f>
        <v>15:18:10.000</v>
      </c>
      <c r="T4910" t="str">
        <f t="shared" si="1944"/>
        <v>15:18:10.000</v>
      </c>
      <c r="U4910" t="str">
        <f t="shared" si="1927"/>
        <v>A68FCB</v>
      </c>
      <c r="V4910">
        <v>0</v>
      </c>
      <c r="W4910">
        <v>0</v>
      </c>
      <c r="X4910">
        <v>2</v>
      </c>
      <c r="Y4910">
        <v>0</v>
      </c>
      <c r="AA4910">
        <v>1</v>
      </c>
      <c r="AB4910">
        <v>8</v>
      </c>
      <c r="AC4910">
        <v>3</v>
      </c>
      <c r="AD4910">
        <v>0</v>
      </c>
      <c r="AE4910">
        <v>9</v>
      </c>
      <c r="AF4910" t="s">
        <v>138</v>
      </c>
      <c r="AG4910">
        <v>0</v>
      </c>
      <c r="AH4910">
        <v>3</v>
      </c>
      <c r="AI4910">
        <v>2</v>
      </c>
      <c r="AJ4910">
        <v>0</v>
      </c>
      <c r="AK4910" t="s">
        <v>1553</v>
      </c>
      <c r="AL4910">
        <v>39.233358000000003</v>
      </c>
      <c r="AM4910" t="s">
        <v>1554</v>
      </c>
      <c r="AN4910">
        <v>-121.002002</v>
      </c>
      <c r="AO4910">
        <v>25</v>
      </c>
      <c r="AP4910">
        <v>4000</v>
      </c>
      <c r="AQ4910" t="s">
        <v>131</v>
      </c>
      <c r="AR4910">
        <v>-70</v>
      </c>
      <c r="AS4910">
        <v>74</v>
      </c>
      <c r="AT4910">
        <v>-192</v>
      </c>
      <c r="BB4910" t="str">
        <f t="shared" si="1928"/>
        <v>1200</v>
      </c>
      <c r="BC4910">
        <v>1</v>
      </c>
      <c r="BD4910" t="str">
        <f t="shared" si="1929"/>
        <v xml:space="preserve">N52156  </v>
      </c>
      <c r="BE4910">
        <v>1</v>
      </c>
      <c r="BG4910">
        <v>0</v>
      </c>
      <c r="BH4910">
        <v>0</v>
      </c>
      <c r="BI4910">
        <v>0</v>
      </c>
      <c r="BJ4910">
        <v>4075</v>
      </c>
      <c r="BK4910">
        <v>75</v>
      </c>
      <c r="BL4910" t="s">
        <v>188</v>
      </c>
      <c r="BM4910">
        <v>1</v>
      </c>
      <c r="BN4910">
        <v>1</v>
      </c>
      <c r="BO4910">
        <v>0</v>
      </c>
      <c r="BP4910">
        <v>0</v>
      </c>
      <c r="BS4910">
        <v>0</v>
      </c>
      <c r="BT4910">
        <v>0</v>
      </c>
      <c r="BU4910">
        <v>0</v>
      </c>
      <c r="CE4910" t="str">
        <f t="shared" ref="CE4910:CE4915" si="1945">"15:18:10.822"</f>
        <v>15:18:10.822</v>
      </c>
      <c r="CF4910">
        <v>821512342</v>
      </c>
      <c r="CS4910">
        <v>0</v>
      </c>
      <c r="CT4910">
        <v>2</v>
      </c>
      <c r="CU4910">
        <v>0</v>
      </c>
      <c r="CV4910">
        <v>2</v>
      </c>
      <c r="CW4910">
        <v>0</v>
      </c>
      <c r="CX4910">
        <v>2</v>
      </c>
      <c r="CY4910">
        <v>7</v>
      </c>
      <c r="CZ4910" t="s">
        <v>133</v>
      </c>
      <c r="DA4910">
        <v>275</v>
      </c>
      <c r="DB4910">
        <v>0</v>
      </c>
      <c r="DC4910" t="s">
        <v>134</v>
      </c>
      <c r="DD4910" t="s">
        <v>135</v>
      </c>
      <c r="DG4910">
        <v>3323442</v>
      </c>
      <c r="DI4910">
        <v>1</v>
      </c>
      <c r="DJ4910">
        <v>0</v>
      </c>
      <c r="DK4910">
        <v>0</v>
      </c>
      <c r="DL4910">
        <v>0</v>
      </c>
      <c r="DM4910">
        <v>0</v>
      </c>
      <c r="DN4910">
        <v>0</v>
      </c>
      <c r="DO4910">
        <v>0</v>
      </c>
      <c r="DP4910">
        <v>0</v>
      </c>
      <c r="DQ4910">
        <v>0</v>
      </c>
      <c r="DR4910">
        <v>0</v>
      </c>
      <c r="DS4910">
        <v>0</v>
      </c>
    </row>
    <row r="4911" spans="1:123" x14ac:dyDescent="0.3">
      <c r="A4911" t="str">
        <f>"05/01/2025 15:18:11.070"</f>
        <v>05/01/2025 15:18:11.070</v>
      </c>
      <c r="C4911" t="str">
        <f t="shared" si="1926"/>
        <v>FFDFD3C0</v>
      </c>
      <c r="D4911" t="s">
        <v>145</v>
      </c>
      <c r="E4911" t="str">
        <f>"05"</f>
        <v>05</v>
      </c>
      <c r="H4911">
        <v>47</v>
      </c>
      <c r="I4911" t="s">
        <v>146</v>
      </c>
      <c r="J4911" t="s">
        <v>138</v>
      </c>
      <c r="K4911">
        <v>0</v>
      </c>
      <c r="L4911">
        <v>3</v>
      </c>
      <c r="M4911">
        <v>0</v>
      </c>
      <c r="N4911">
        <v>2</v>
      </c>
      <c r="O4911">
        <v>0</v>
      </c>
      <c r="P4911">
        <v>1</v>
      </c>
      <c r="Q4911">
        <v>0</v>
      </c>
      <c r="R4911" t="s">
        <v>127</v>
      </c>
      <c r="S4911" t="str">
        <f t="shared" si="1944"/>
        <v>15:18:10.000</v>
      </c>
      <c r="T4911" t="str">
        <f t="shared" si="1944"/>
        <v>15:18:10.000</v>
      </c>
      <c r="U4911" t="str">
        <f t="shared" si="1927"/>
        <v>A68FCB</v>
      </c>
      <c r="V4911">
        <v>0</v>
      </c>
      <c r="W4911">
        <v>0</v>
      </c>
      <c r="X4911">
        <v>2</v>
      </c>
      <c r="Y4911">
        <v>0</v>
      </c>
      <c r="AA4911">
        <v>1</v>
      </c>
      <c r="AB4911">
        <v>8</v>
      </c>
      <c r="AC4911">
        <v>3</v>
      </c>
      <c r="AD4911">
        <v>0</v>
      </c>
      <c r="AE4911">
        <v>9</v>
      </c>
      <c r="AF4911" t="s">
        <v>138</v>
      </c>
      <c r="AG4911">
        <v>0</v>
      </c>
      <c r="AH4911">
        <v>3</v>
      </c>
      <c r="AI4911">
        <v>2</v>
      </c>
      <c r="AJ4911">
        <v>0</v>
      </c>
      <c r="AK4911" t="s">
        <v>1553</v>
      </c>
      <c r="AL4911">
        <v>39.233358000000003</v>
      </c>
      <c r="AM4911" t="s">
        <v>1554</v>
      </c>
      <c r="AN4911">
        <v>-121.002002</v>
      </c>
      <c r="AO4911">
        <v>25</v>
      </c>
      <c r="AP4911">
        <v>4000</v>
      </c>
      <c r="AQ4911" t="s">
        <v>131</v>
      </c>
      <c r="AR4911">
        <v>-70</v>
      </c>
      <c r="AS4911">
        <v>74</v>
      </c>
      <c r="AT4911">
        <v>-192</v>
      </c>
      <c r="BB4911" t="str">
        <f t="shared" si="1928"/>
        <v>1200</v>
      </c>
      <c r="BC4911">
        <v>1</v>
      </c>
      <c r="BD4911" t="str">
        <f t="shared" si="1929"/>
        <v xml:space="preserve">N52156  </v>
      </c>
      <c r="BE4911">
        <v>1</v>
      </c>
      <c r="BG4911">
        <v>0</v>
      </c>
      <c r="BH4911">
        <v>0</v>
      </c>
      <c r="BI4911">
        <v>0</v>
      </c>
      <c r="BJ4911">
        <v>4075</v>
      </c>
      <c r="BK4911">
        <v>75</v>
      </c>
      <c r="BL4911" t="s">
        <v>188</v>
      </c>
      <c r="BM4911">
        <v>1</v>
      </c>
      <c r="BN4911">
        <v>1</v>
      </c>
      <c r="BO4911">
        <v>0</v>
      </c>
      <c r="BP4911">
        <v>0</v>
      </c>
      <c r="BS4911">
        <v>0</v>
      </c>
      <c r="BT4911">
        <v>0</v>
      </c>
      <c r="BU4911">
        <v>0</v>
      </c>
      <c r="CE4911" t="str">
        <f t="shared" si="1945"/>
        <v>15:18:10.822</v>
      </c>
      <c r="CF4911">
        <v>821512342</v>
      </c>
      <c r="CS4911">
        <v>0</v>
      </c>
      <c r="CT4911">
        <v>2</v>
      </c>
      <c r="CU4911">
        <v>0</v>
      </c>
      <c r="CV4911">
        <v>2</v>
      </c>
      <c r="CW4911">
        <v>0</v>
      </c>
      <c r="CX4911">
        <v>2</v>
      </c>
      <c r="CY4911">
        <v>7</v>
      </c>
      <c r="CZ4911" t="s">
        <v>133</v>
      </c>
      <c r="DA4911">
        <v>275</v>
      </c>
      <c r="DB4911">
        <v>0</v>
      </c>
      <c r="DC4911" t="s">
        <v>134</v>
      </c>
      <c r="DD4911" t="s">
        <v>135</v>
      </c>
      <c r="DG4911">
        <v>3323442</v>
      </c>
      <c r="DI4911">
        <v>1</v>
      </c>
      <c r="DJ4911">
        <v>0</v>
      </c>
      <c r="DK4911">
        <v>1</v>
      </c>
      <c r="DL4911">
        <v>0</v>
      </c>
      <c r="DM4911">
        <v>0</v>
      </c>
      <c r="DN4911">
        <v>0</v>
      </c>
      <c r="DO4911">
        <v>0</v>
      </c>
      <c r="DP4911">
        <v>0</v>
      </c>
      <c r="DQ4911">
        <v>0</v>
      </c>
      <c r="DR4911">
        <v>0</v>
      </c>
      <c r="DS4911">
        <v>0</v>
      </c>
    </row>
    <row r="4912" spans="1:123" x14ac:dyDescent="0.3">
      <c r="A4912" t="str">
        <f>"05/01/2025 15:18:11.080"</f>
        <v>05/01/2025 15:18:11.080</v>
      </c>
      <c r="C4912" t="str">
        <f t="shared" si="1926"/>
        <v>FFDFD3C0</v>
      </c>
      <c r="D4912" t="s">
        <v>136</v>
      </c>
      <c r="E4912" t="str">
        <f>"20"</f>
        <v>20</v>
      </c>
      <c r="H4912">
        <v>400</v>
      </c>
      <c r="I4912" t="s">
        <v>137</v>
      </c>
      <c r="J4912" t="s">
        <v>138</v>
      </c>
      <c r="K4912">
        <v>0</v>
      </c>
      <c r="L4912">
        <v>3</v>
      </c>
      <c r="M4912">
        <v>0</v>
      </c>
      <c r="N4912">
        <v>2</v>
      </c>
      <c r="O4912">
        <v>0</v>
      </c>
      <c r="P4912">
        <v>1</v>
      </c>
      <c r="Q4912">
        <v>0</v>
      </c>
      <c r="R4912" t="s">
        <v>127</v>
      </c>
      <c r="S4912" t="str">
        <f t="shared" si="1944"/>
        <v>15:18:10.000</v>
      </c>
      <c r="T4912" t="str">
        <f t="shared" si="1944"/>
        <v>15:18:10.000</v>
      </c>
      <c r="U4912" t="str">
        <f t="shared" si="1927"/>
        <v>A68FCB</v>
      </c>
      <c r="V4912">
        <v>0</v>
      </c>
      <c r="W4912">
        <v>0</v>
      </c>
      <c r="X4912">
        <v>2</v>
      </c>
      <c r="Y4912">
        <v>0</v>
      </c>
      <c r="AA4912">
        <v>1</v>
      </c>
      <c r="AB4912">
        <v>8</v>
      </c>
      <c r="AC4912">
        <v>3</v>
      </c>
      <c r="AD4912">
        <v>0</v>
      </c>
      <c r="AE4912">
        <v>9</v>
      </c>
      <c r="AF4912" t="s">
        <v>138</v>
      </c>
      <c r="AG4912">
        <v>0</v>
      </c>
      <c r="AH4912">
        <v>3</v>
      </c>
      <c r="AI4912">
        <v>2</v>
      </c>
      <c r="AJ4912">
        <v>0</v>
      </c>
      <c r="AK4912" t="s">
        <v>1553</v>
      </c>
      <c r="AL4912">
        <v>39.233358000000003</v>
      </c>
      <c r="AM4912" t="s">
        <v>1554</v>
      </c>
      <c r="AN4912">
        <v>-121.002002</v>
      </c>
      <c r="AO4912">
        <v>25</v>
      </c>
      <c r="AP4912">
        <v>4000</v>
      </c>
      <c r="AQ4912" t="s">
        <v>131</v>
      </c>
      <c r="AR4912">
        <v>-70</v>
      </c>
      <c r="AS4912">
        <v>74</v>
      </c>
      <c r="AT4912">
        <v>-192</v>
      </c>
      <c r="BB4912" t="str">
        <f t="shared" si="1928"/>
        <v>1200</v>
      </c>
      <c r="BC4912">
        <v>1</v>
      </c>
      <c r="BD4912" t="str">
        <f t="shared" si="1929"/>
        <v xml:space="preserve">N52156  </v>
      </c>
      <c r="BE4912">
        <v>1</v>
      </c>
      <c r="BG4912">
        <v>0</v>
      </c>
      <c r="BH4912">
        <v>0</v>
      </c>
      <c r="BI4912">
        <v>0</v>
      </c>
      <c r="BJ4912">
        <v>4075</v>
      </c>
      <c r="BK4912">
        <v>75</v>
      </c>
      <c r="BL4912" t="s">
        <v>188</v>
      </c>
      <c r="BM4912">
        <v>1</v>
      </c>
      <c r="BN4912">
        <v>1</v>
      </c>
      <c r="BO4912">
        <v>0</v>
      </c>
      <c r="BP4912">
        <v>0</v>
      </c>
      <c r="BS4912">
        <v>0</v>
      </c>
      <c r="BT4912">
        <v>0</v>
      </c>
      <c r="BU4912">
        <v>0</v>
      </c>
      <c r="CE4912" t="str">
        <f t="shared" si="1945"/>
        <v>15:18:10.822</v>
      </c>
      <c r="CF4912">
        <v>821512342</v>
      </c>
      <c r="CS4912">
        <v>0</v>
      </c>
      <c r="CT4912">
        <v>2</v>
      </c>
      <c r="CU4912">
        <v>0</v>
      </c>
      <c r="CV4912">
        <v>2</v>
      </c>
      <c r="CW4912">
        <v>0</v>
      </c>
      <c r="CX4912">
        <v>2</v>
      </c>
      <c r="CY4912">
        <v>7</v>
      </c>
      <c r="CZ4912" t="s">
        <v>133</v>
      </c>
      <c r="DA4912">
        <v>275</v>
      </c>
      <c r="DB4912">
        <v>0</v>
      </c>
      <c r="DC4912" t="s">
        <v>134</v>
      </c>
      <c r="DD4912" t="s">
        <v>135</v>
      </c>
      <c r="DG4912">
        <v>3323442</v>
      </c>
      <c r="DI4912">
        <v>1</v>
      </c>
      <c r="DJ4912">
        <v>0</v>
      </c>
      <c r="DK4912">
        <v>1</v>
      </c>
      <c r="DL4912">
        <v>0</v>
      </c>
      <c r="DM4912">
        <v>0</v>
      </c>
      <c r="DN4912">
        <v>0</v>
      </c>
      <c r="DO4912">
        <v>0</v>
      </c>
      <c r="DP4912">
        <v>0</v>
      </c>
      <c r="DQ4912">
        <v>0</v>
      </c>
      <c r="DR4912">
        <v>0</v>
      </c>
      <c r="DS4912">
        <v>0</v>
      </c>
    </row>
    <row r="4913" spans="1:123" x14ac:dyDescent="0.3">
      <c r="A4913" t="str">
        <f>"05/01/2025 15:18:11.094"</f>
        <v>05/01/2025 15:18:11.094</v>
      </c>
      <c r="C4913" t="str">
        <f t="shared" si="1926"/>
        <v>FFDFD3C0</v>
      </c>
      <c r="D4913" t="s">
        <v>140</v>
      </c>
      <c r="E4913" t="str">
        <f>"13"</f>
        <v>13</v>
      </c>
      <c r="F4913">
        <v>1019</v>
      </c>
      <c r="G4913" t="s">
        <v>141</v>
      </c>
      <c r="J4913" t="s">
        <v>142</v>
      </c>
      <c r="K4913">
        <v>0</v>
      </c>
      <c r="L4913">
        <v>3</v>
      </c>
      <c r="M4913">
        <v>0</v>
      </c>
      <c r="N4913">
        <v>2</v>
      </c>
      <c r="O4913">
        <v>0</v>
      </c>
      <c r="P4913">
        <v>1</v>
      </c>
      <c r="Q4913">
        <v>0</v>
      </c>
      <c r="R4913" t="s">
        <v>127</v>
      </c>
      <c r="S4913" t="str">
        <f t="shared" si="1944"/>
        <v>15:18:10.000</v>
      </c>
      <c r="T4913" t="str">
        <f t="shared" si="1944"/>
        <v>15:18:10.000</v>
      </c>
      <c r="U4913" t="str">
        <f t="shared" si="1927"/>
        <v>A68FCB</v>
      </c>
      <c r="V4913">
        <v>0</v>
      </c>
      <c r="W4913">
        <v>0</v>
      </c>
      <c r="X4913">
        <v>2</v>
      </c>
      <c r="Y4913">
        <v>0</v>
      </c>
      <c r="AA4913">
        <v>1</v>
      </c>
      <c r="AB4913">
        <v>8</v>
      </c>
      <c r="AC4913">
        <v>3</v>
      </c>
      <c r="AD4913">
        <v>0</v>
      </c>
      <c r="AE4913">
        <v>9</v>
      </c>
      <c r="AF4913" t="s">
        <v>138</v>
      </c>
      <c r="AG4913">
        <v>0</v>
      </c>
      <c r="AH4913">
        <v>3</v>
      </c>
      <c r="AI4913">
        <v>2</v>
      </c>
      <c r="AJ4913">
        <v>0</v>
      </c>
      <c r="AK4913" t="s">
        <v>1553</v>
      </c>
      <c r="AL4913">
        <v>39.233358000000003</v>
      </c>
      <c r="AM4913" t="s">
        <v>1554</v>
      </c>
      <c r="AN4913">
        <v>-121.002002</v>
      </c>
      <c r="AO4913">
        <v>25</v>
      </c>
      <c r="AP4913">
        <v>4000</v>
      </c>
      <c r="AQ4913" t="s">
        <v>131</v>
      </c>
      <c r="AR4913">
        <v>-70</v>
      </c>
      <c r="AS4913">
        <v>74</v>
      </c>
      <c r="AT4913">
        <v>-192</v>
      </c>
      <c r="BB4913" t="str">
        <f t="shared" si="1928"/>
        <v>1200</v>
      </c>
      <c r="BC4913">
        <v>1</v>
      </c>
      <c r="BD4913" t="str">
        <f t="shared" si="1929"/>
        <v xml:space="preserve">N52156  </v>
      </c>
      <c r="BE4913">
        <v>1</v>
      </c>
      <c r="BG4913">
        <v>0</v>
      </c>
      <c r="BH4913">
        <v>0</v>
      </c>
      <c r="BI4913">
        <v>0</v>
      </c>
      <c r="BJ4913">
        <v>4075</v>
      </c>
      <c r="BK4913">
        <v>75</v>
      </c>
      <c r="BL4913" t="s">
        <v>188</v>
      </c>
      <c r="BM4913">
        <v>1</v>
      </c>
      <c r="BN4913">
        <v>1</v>
      </c>
      <c r="BO4913">
        <v>0</v>
      </c>
      <c r="BP4913">
        <v>0</v>
      </c>
      <c r="BS4913">
        <v>0</v>
      </c>
      <c r="BT4913">
        <v>0</v>
      </c>
      <c r="BU4913">
        <v>0</v>
      </c>
      <c r="CE4913" t="str">
        <f t="shared" si="1945"/>
        <v>15:18:10.822</v>
      </c>
      <c r="CF4913">
        <v>821512342</v>
      </c>
      <c r="CS4913">
        <v>0</v>
      </c>
      <c r="CT4913">
        <v>2</v>
      </c>
      <c r="CU4913">
        <v>0</v>
      </c>
      <c r="CV4913">
        <v>2</v>
      </c>
      <c r="CW4913">
        <v>0</v>
      </c>
      <c r="CX4913">
        <v>2</v>
      </c>
      <c r="CY4913">
        <v>7</v>
      </c>
      <c r="CZ4913" t="s">
        <v>133</v>
      </c>
      <c r="DA4913">
        <v>275</v>
      </c>
      <c r="DB4913">
        <v>0</v>
      </c>
      <c r="DC4913" t="s">
        <v>134</v>
      </c>
      <c r="DD4913" t="s">
        <v>135</v>
      </c>
      <c r="DG4913">
        <v>3323442</v>
      </c>
      <c r="DI4913">
        <v>1</v>
      </c>
      <c r="DJ4913">
        <v>0</v>
      </c>
      <c r="DK4913">
        <v>1</v>
      </c>
      <c r="DL4913">
        <v>0</v>
      </c>
      <c r="DM4913">
        <v>0</v>
      </c>
      <c r="DN4913">
        <v>0</v>
      </c>
      <c r="DO4913">
        <v>0</v>
      </c>
      <c r="DP4913">
        <v>0</v>
      </c>
      <c r="DQ4913">
        <v>0</v>
      </c>
      <c r="DR4913">
        <v>0</v>
      </c>
      <c r="DS4913">
        <v>0</v>
      </c>
    </row>
    <row r="4914" spans="1:123" x14ac:dyDescent="0.3">
      <c r="A4914" t="str">
        <f>"05/01/2025 15:18:11.096"</f>
        <v>05/01/2025 15:18:11.096</v>
      </c>
      <c r="C4914" t="str">
        <f t="shared" si="1926"/>
        <v>FFDFD3C0</v>
      </c>
      <c r="D4914" t="s">
        <v>124</v>
      </c>
      <c r="E4914" t="str">
        <f>"06"</f>
        <v>06</v>
      </c>
      <c r="F4914">
        <v>2006</v>
      </c>
      <c r="G4914" t="s">
        <v>125</v>
      </c>
      <c r="J4914" t="s">
        <v>126</v>
      </c>
      <c r="K4914">
        <v>0</v>
      </c>
      <c r="L4914">
        <v>3</v>
      </c>
      <c r="M4914">
        <v>0</v>
      </c>
      <c r="N4914">
        <v>2</v>
      </c>
      <c r="O4914">
        <v>0</v>
      </c>
      <c r="P4914">
        <v>1</v>
      </c>
      <c r="Q4914">
        <v>0</v>
      </c>
      <c r="R4914" t="s">
        <v>127</v>
      </c>
      <c r="S4914" t="str">
        <f t="shared" si="1944"/>
        <v>15:18:10.000</v>
      </c>
      <c r="T4914" t="str">
        <f t="shared" si="1944"/>
        <v>15:18:10.000</v>
      </c>
      <c r="U4914" t="str">
        <f t="shared" si="1927"/>
        <v>A68FCB</v>
      </c>
      <c r="V4914">
        <v>0</v>
      </c>
      <c r="W4914">
        <v>0</v>
      </c>
      <c r="X4914">
        <v>2</v>
      </c>
      <c r="Y4914">
        <v>0</v>
      </c>
      <c r="AA4914">
        <v>1</v>
      </c>
      <c r="AB4914">
        <v>8</v>
      </c>
      <c r="AC4914">
        <v>3</v>
      </c>
      <c r="AD4914">
        <v>0</v>
      </c>
      <c r="AE4914">
        <v>9</v>
      </c>
      <c r="AF4914" t="s">
        <v>138</v>
      </c>
      <c r="AG4914">
        <v>0</v>
      </c>
      <c r="AH4914">
        <v>3</v>
      </c>
      <c r="AI4914">
        <v>2</v>
      </c>
      <c r="AJ4914">
        <v>0</v>
      </c>
      <c r="AK4914" t="s">
        <v>1553</v>
      </c>
      <c r="AL4914">
        <v>39.233358000000003</v>
      </c>
      <c r="AM4914" t="s">
        <v>1554</v>
      </c>
      <c r="AN4914">
        <v>-121.002002</v>
      </c>
      <c r="AO4914">
        <v>25</v>
      </c>
      <c r="AP4914">
        <v>4000</v>
      </c>
      <c r="AQ4914" t="s">
        <v>131</v>
      </c>
      <c r="AR4914">
        <v>-70</v>
      </c>
      <c r="AS4914">
        <v>74</v>
      </c>
      <c r="AT4914">
        <v>-192</v>
      </c>
      <c r="BB4914" t="str">
        <f t="shared" si="1928"/>
        <v>1200</v>
      </c>
      <c r="BC4914">
        <v>1</v>
      </c>
      <c r="BD4914" t="str">
        <f t="shared" si="1929"/>
        <v xml:space="preserve">N52156  </v>
      </c>
      <c r="BE4914">
        <v>1</v>
      </c>
      <c r="BG4914">
        <v>0</v>
      </c>
      <c r="BH4914">
        <v>0</v>
      </c>
      <c r="BI4914">
        <v>0</v>
      </c>
      <c r="BJ4914">
        <v>4075</v>
      </c>
      <c r="BK4914">
        <v>75</v>
      </c>
      <c r="BL4914" t="s">
        <v>188</v>
      </c>
      <c r="BM4914">
        <v>1</v>
      </c>
      <c r="BN4914">
        <v>1</v>
      </c>
      <c r="BO4914">
        <v>0</v>
      </c>
      <c r="BP4914">
        <v>0</v>
      </c>
      <c r="BS4914">
        <v>0</v>
      </c>
      <c r="BT4914">
        <v>0</v>
      </c>
      <c r="BU4914">
        <v>0</v>
      </c>
      <c r="CE4914" t="str">
        <f t="shared" si="1945"/>
        <v>15:18:10.822</v>
      </c>
      <c r="CF4914">
        <v>821512342</v>
      </c>
      <c r="CS4914">
        <v>0</v>
      </c>
      <c r="CT4914">
        <v>2</v>
      </c>
      <c r="CU4914">
        <v>0</v>
      </c>
      <c r="CV4914">
        <v>2</v>
      </c>
      <c r="CW4914">
        <v>0</v>
      </c>
      <c r="CX4914">
        <v>2</v>
      </c>
      <c r="CY4914">
        <v>7</v>
      </c>
      <c r="CZ4914" t="s">
        <v>133</v>
      </c>
      <c r="DA4914">
        <v>275</v>
      </c>
      <c r="DB4914">
        <v>0</v>
      </c>
      <c r="DC4914" t="s">
        <v>134</v>
      </c>
      <c r="DD4914" t="s">
        <v>135</v>
      </c>
      <c r="DG4914">
        <v>3323442</v>
      </c>
      <c r="DI4914">
        <v>1</v>
      </c>
      <c r="DJ4914">
        <v>0</v>
      </c>
      <c r="DK4914">
        <v>1</v>
      </c>
      <c r="DL4914">
        <v>0</v>
      </c>
      <c r="DM4914">
        <v>0</v>
      </c>
      <c r="DN4914">
        <v>0</v>
      </c>
      <c r="DO4914">
        <v>0</v>
      </c>
      <c r="DP4914">
        <v>0</v>
      </c>
      <c r="DQ4914">
        <v>0</v>
      </c>
      <c r="DR4914">
        <v>0</v>
      </c>
      <c r="DS4914">
        <v>0</v>
      </c>
    </row>
    <row r="4915" spans="1:123" x14ac:dyDescent="0.3">
      <c r="A4915" t="str">
        <f>"05/01/2025 15:18:11.105"</f>
        <v>05/01/2025 15:18:11.105</v>
      </c>
      <c r="C4915" t="str">
        <f t="shared" si="1926"/>
        <v>FFDFD3C0</v>
      </c>
      <c r="D4915" t="s">
        <v>143</v>
      </c>
      <c r="E4915" t="str">
        <f>"05"</f>
        <v>05</v>
      </c>
      <c r="H4915">
        <v>172</v>
      </c>
      <c r="I4915" t="s">
        <v>141</v>
      </c>
      <c r="J4915" t="s">
        <v>144</v>
      </c>
      <c r="K4915">
        <v>0</v>
      </c>
      <c r="L4915">
        <v>3</v>
      </c>
      <c r="M4915">
        <v>0</v>
      </c>
      <c r="N4915">
        <v>2</v>
      </c>
      <c r="O4915">
        <v>0</v>
      </c>
      <c r="P4915">
        <v>1</v>
      </c>
      <c r="Q4915">
        <v>0</v>
      </c>
      <c r="R4915" t="s">
        <v>127</v>
      </c>
      <c r="S4915" t="str">
        <f t="shared" si="1944"/>
        <v>15:18:10.000</v>
      </c>
      <c r="T4915" t="str">
        <f t="shared" si="1944"/>
        <v>15:18:10.000</v>
      </c>
      <c r="U4915" t="str">
        <f t="shared" si="1927"/>
        <v>A68FCB</v>
      </c>
      <c r="V4915">
        <v>0</v>
      </c>
      <c r="W4915">
        <v>0</v>
      </c>
      <c r="X4915">
        <v>2</v>
      </c>
      <c r="Y4915">
        <v>0</v>
      </c>
      <c r="AA4915">
        <v>1</v>
      </c>
      <c r="AB4915">
        <v>8</v>
      </c>
      <c r="AC4915">
        <v>3</v>
      </c>
      <c r="AD4915">
        <v>0</v>
      </c>
      <c r="AE4915">
        <v>9</v>
      </c>
      <c r="AF4915" t="s">
        <v>138</v>
      </c>
      <c r="AG4915">
        <v>0</v>
      </c>
      <c r="AH4915">
        <v>3</v>
      </c>
      <c r="AI4915">
        <v>2</v>
      </c>
      <c r="AJ4915">
        <v>0</v>
      </c>
      <c r="AK4915" t="s">
        <v>1553</v>
      </c>
      <c r="AL4915">
        <v>39.233358000000003</v>
      </c>
      <c r="AM4915" t="s">
        <v>1554</v>
      </c>
      <c r="AN4915">
        <v>-121.002002</v>
      </c>
      <c r="AO4915">
        <v>25</v>
      </c>
      <c r="AP4915">
        <v>4000</v>
      </c>
      <c r="AQ4915" t="s">
        <v>131</v>
      </c>
      <c r="AR4915">
        <v>-70</v>
      </c>
      <c r="AS4915">
        <v>74</v>
      </c>
      <c r="AT4915">
        <v>-192</v>
      </c>
      <c r="BB4915" t="str">
        <f t="shared" si="1928"/>
        <v>1200</v>
      </c>
      <c r="BC4915">
        <v>1</v>
      </c>
      <c r="BD4915" t="str">
        <f t="shared" si="1929"/>
        <v xml:space="preserve">N52156  </v>
      </c>
      <c r="BE4915">
        <v>1</v>
      </c>
      <c r="BG4915">
        <v>0</v>
      </c>
      <c r="BH4915">
        <v>0</v>
      </c>
      <c r="BI4915">
        <v>0</v>
      </c>
      <c r="BJ4915">
        <v>4075</v>
      </c>
      <c r="BK4915">
        <v>75</v>
      </c>
      <c r="BL4915" t="s">
        <v>188</v>
      </c>
      <c r="BM4915">
        <v>1</v>
      </c>
      <c r="BN4915">
        <v>1</v>
      </c>
      <c r="BO4915">
        <v>0</v>
      </c>
      <c r="BP4915">
        <v>0</v>
      </c>
      <c r="BS4915">
        <v>0</v>
      </c>
      <c r="BT4915">
        <v>0</v>
      </c>
      <c r="BU4915">
        <v>0</v>
      </c>
      <c r="CE4915" t="str">
        <f t="shared" si="1945"/>
        <v>15:18:10.822</v>
      </c>
      <c r="CF4915">
        <v>821512342</v>
      </c>
      <c r="CS4915">
        <v>0</v>
      </c>
      <c r="CT4915">
        <v>2</v>
      </c>
      <c r="CU4915">
        <v>0</v>
      </c>
      <c r="CV4915">
        <v>2</v>
      </c>
      <c r="CW4915">
        <v>0</v>
      </c>
      <c r="CX4915">
        <v>2</v>
      </c>
      <c r="CY4915">
        <v>7</v>
      </c>
      <c r="CZ4915" t="s">
        <v>133</v>
      </c>
      <c r="DA4915">
        <v>275</v>
      </c>
      <c r="DB4915">
        <v>0</v>
      </c>
      <c r="DC4915" t="s">
        <v>134</v>
      </c>
      <c r="DD4915" t="s">
        <v>135</v>
      </c>
      <c r="DG4915">
        <v>3323442</v>
      </c>
      <c r="DI4915">
        <v>1</v>
      </c>
      <c r="DJ4915">
        <v>0</v>
      </c>
      <c r="DK4915">
        <v>1</v>
      </c>
      <c r="DL4915">
        <v>0</v>
      </c>
      <c r="DM4915">
        <v>0</v>
      </c>
      <c r="DN4915">
        <v>0</v>
      </c>
      <c r="DO4915">
        <v>0</v>
      </c>
      <c r="DP4915">
        <v>0</v>
      </c>
      <c r="DQ4915">
        <v>0</v>
      </c>
      <c r="DR4915">
        <v>0</v>
      </c>
      <c r="DS4915">
        <v>0</v>
      </c>
    </row>
    <row r="4916" spans="1:123" x14ac:dyDescent="0.3">
      <c r="A4916" t="str">
        <f>"05/01/2025 15:18:11.694"</f>
        <v>05/01/2025 15:18:11.694</v>
      </c>
      <c r="C4916" t="str">
        <f t="shared" si="1926"/>
        <v>FFDFD3C0</v>
      </c>
      <c r="D4916" t="s">
        <v>140</v>
      </c>
      <c r="E4916" t="str">
        <f>"13"</f>
        <v>13</v>
      </c>
      <c r="F4916">
        <v>1019</v>
      </c>
      <c r="G4916" t="s">
        <v>141</v>
      </c>
      <c r="J4916" t="s">
        <v>142</v>
      </c>
      <c r="K4916">
        <v>0</v>
      </c>
      <c r="L4916">
        <v>3</v>
      </c>
      <c r="M4916">
        <v>0</v>
      </c>
      <c r="N4916">
        <v>2</v>
      </c>
      <c r="O4916">
        <v>0</v>
      </c>
      <c r="P4916">
        <v>1</v>
      </c>
      <c r="Q4916">
        <v>0</v>
      </c>
      <c r="R4916" t="s">
        <v>127</v>
      </c>
      <c r="S4916" t="str">
        <f t="shared" ref="S4916:T4921" si="1946">"15:18:11.000"</f>
        <v>15:18:11.000</v>
      </c>
      <c r="T4916" t="str">
        <f t="shared" si="1946"/>
        <v>15:18:11.000</v>
      </c>
      <c r="U4916" t="str">
        <f t="shared" si="1927"/>
        <v>A68FCB</v>
      </c>
      <c r="V4916">
        <v>0</v>
      </c>
      <c r="W4916">
        <v>0</v>
      </c>
      <c r="X4916">
        <v>2</v>
      </c>
      <c r="Y4916">
        <v>0</v>
      </c>
      <c r="AA4916">
        <v>1</v>
      </c>
      <c r="AB4916">
        <v>8</v>
      </c>
      <c r="AC4916">
        <v>3</v>
      </c>
      <c r="AD4916">
        <v>0</v>
      </c>
      <c r="AE4916">
        <v>9</v>
      </c>
      <c r="AF4916" t="s">
        <v>138</v>
      </c>
      <c r="AG4916">
        <v>0</v>
      </c>
      <c r="AH4916">
        <v>3</v>
      </c>
      <c r="AI4916">
        <v>2</v>
      </c>
      <c r="AJ4916">
        <v>0</v>
      </c>
      <c r="AK4916" t="s">
        <v>1555</v>
      </c>
      <c r="AL4916">
        <v>39.233722999999998</v>
      </c>
      <c r="AM4916" t="s">
        <v>1556</v>
      </c>
      <c r="AN4916">
        <v>-121.00245200000001</v>
      </c>
      <c r="AO4916">
        <v>25</v>
      </c>
      <c r="AP4916">
        <v>4000</v>
      </c>
      <c r="AQ4916" t="s">
        <v>131</v>
      </c>
      <c r="AR4916">
        <v>-75</v>
      </c>
      <c r="AS4916">
        <v>70</v>
      </c>
      <c r="AT4916">
        <v>-128</v>
      </c>
      <c r="BB4916" t="str">
        <f t="shared" si="1928"/>
        <v>1200</v>
      </c>
      <c r="BC4916">
        <v>1</v>
      </c>
      <c r="BD4916" t="str">
        <f t="shared" si="1929"/>
        <v xml:space="preserve">N52156  </v>
      </c>
      <c r="BE4916">
        <v>1</v>
      </c>
      <c r="BG4916">
        <v>0</v>
      </c>
      <c r="BH4916">
        <v>0</v>
      </c>
      <c r="BI4916">
        <v>0</v>
      </c>
      <c r="BJ4916">
        <v>4075</v>
      </c>
      <c r="BK4916">
        <v>75</v>
      </c>
      <c r="BL4916" t="s">
        <v>188</v>
      </c>
      <c r="BM4916">
        <v>1</v>
      </c>
      <c r="BN4916">
        <v>1</v>
      </c>
      <c r="BO4916">
        <v>0</v>
      </c>
      <c r="BP4916">
        <v>0</v>
      </c>
      <c r="BS4916">
        <v>0</v>
      </c>
      <c r="BT4916">
        <v>0</v>
      </c>
      <c r="BU4916">
        <v>0</v>
      </c>
      <c r="CE4916" t="str">
        <f t="shared" ref="CE4916:CE4921" si="1947">"15:18:11.489"</f>
        <v>15:18:11.489</v>
      </c>
      <c r="CF4916">
        <v>488842172</v>
      </c>
      <c r="CS4916">
        <v>0</v>
      </c>
      <c r="CT4916">
        <v>2</v>
      </c>
      <c r="CU4916">
        <v>0</v>
      </c>
      <c r="CV4916">
        <v>2</v>
      </c>
      <c r="CW4916">
        <v>0</v>
      </c>
      <c r="CX4916">
        <v>2</v>
      </c>
      <c r="CY4916">
        <v>7</v>
      </c>
      <c r="CZ4916" t="s">
        <v>133</v>
      </c>
      <c r="DA4916">
        <v>276</v>
      </c>
      <c r="DB4916">
        <v>0</v>
      </c>
      <c r="DC4916" t="s">
        <v>402</v>
      </c>
      <c r="DD4916" t="s">
        <v>403</v>
      </c>
      <c r="DG4916">
        <v>1628886</v>
      </c>
      <c r="DI4916">
        <v>1</v>
      </c>
      <c r="DJ4916">
        <v>0</v>
      </c>
      <c r="DK4916">
        <v>0</v>
      </c>
      <c r="DL4916">
        <v>0</v>
      </c>
      <c r="DM4916">
        <v>0</v>
      </c>
      <c r="DN4916">
        <v>0</v>
      </c>
      <c r="DO4916">
        <v>0</v>
      </c>
      <c r="DP4916">
        <v>0</v>
      </c>
      <c r="DQ4916">
        <v>0</v>
      </c>
      <c r="DR4916">
        <v>0</v>
      </c>
      <c r="DS4916">
        <v>0</v>
      </c>
    </row>
    <row r="4917" spans="1:123" x14ac:dyDescent="0.3">
      <c r="A4917" t="str">
        <f>"05/01/2025 15:18:11.697"</f>
        <v>05/01/2025 15:18:11.697</v>
      </c>
      <c r="C4917" t="str">
        <f t="shared" si="1926"/>
        <v>FFDFD3C0</v>
      </c>
      <c r="D4917" t="s">
        <v>124</v>
      </c>
      <c r="E4917" t="str">
        <f>"06"</f>
        <v>06</v>
      </c>
      <c r="F4917">
        <v>2006</v>
      </c>
      <c r="G4917" t="s">
        <v>125</v>
      </c>
      <c r="J4917" t="s">
        <v>126</v>
      </c>
      <c r="K4917">
        <v>0</v>
      </c>
      <c r="L4917">
        <v>3</v>
      </c>
      <c r="M4917">
        <v>0</v>
      </c>
      <c r="N4917">
        <v>2</v>
      </c>
      <c r="O4917">
        <v>0</v>
      </c>
      <c r="P4917">
        <v>1</v>
      </c>
      <c r="Q4917">
        <v>0</v>
      </c>
      <c r="R4917" t="s">
        <v>127</v>
      </c>
      <c r="S4917" t="str">
        <f t="shared" si="1946"/>
        <v>15:18:11.000</v>
      </c>
      <c r="T4917" t="str">
        <f t="shared" si="1946"/>
        <v>15:18:11.000</v>
      </c>
      <c r="U4917" t="str">
        <f t="shared" si="1927"/>
        <v>A68FCB</v>
      </c>
      <c r="V4917">
        <v>0</v>
      </c>
      <c r="W4917">
        <v>0</v>
      </c>
      <c r="X4917">
        <v>2</v>
      </c>
      <c r="Y4917">
        <v>0</v>
      </c>
      <c r="AA4917">
        <v>1</v>
      </c>
      <c r="AB4917">
        <v>8</v>
      </c>
      <c r="AC4917">
        <v>3</v>
      </c>
      <c r="AD4917">
        <v>0</v>
      </c>
      <c r="AE4917">
        <v>9</v>
      </c>
      <c r="AF4917" t="s">
        <v>138</v>
      </c>
      <c r="AG4917">
        <v>0</v>
      </c>
      <c r="AH4917">
        <v>3</v>
      </c>
      <c r="AI4917">
        <v>2</v>
      </c>
      <c r="AJ4917">
        <v>0</v>
      </c>
      <c r="AK4917" t="s">
        <v>1555</v>
      </c>
      <c r="AL4917">
        <v>39.233722999999998</v>
      </c>
      <c r="AM4917" t="s">
        <v>1556</v>
      </c>
      <c r="AN4917">
        <v>-121.00245200000001</v>
      </c>
      <c r="AO4917">
        <v>25</v>
      </c>
      <c r="AP4917">
        <v>4000</v>
      </c>
      <c r="AQ4917" t="s">
        <v>131</v>
      </c>
      <c r="AR4917">
        <v>-75</v>
      </c>
      <c r="AS4917">
        <v>70</v>
      </c>
      <c r="AT4917">
        <v>-128</v>
      </c>
      <c r="BB4917" t="str">
        <f t="shared" si="1928"/>
        <v>1200</v>
      </c>
      <c r="BC4917">
        <v>1</v>
      </c>
      <c r="BD4917" t="str">
        <f t="shared" si="1929"/>
        <v xml:space="preserve">N52156  </v>
      </c>
      <c r="BE4917">
        <v>1</v>
      </c>
      <c r="BG4917">
        <v>0</v>
      </c>
      <c r="BH4917">
        <v>0</v>
      </c>
      <c r="BI4917">
        <v>0</v>
      </c>
      <c r="BJ4917">
        <v>4075</v>
      </c>
      <c r="BK4917">
        <v>75</v>
      </c>
      <c r="BL4917" t="s">
        <v>188</v>
      </c>
      <c r="BM4917">
        <v>1</v>
      </c>
      <c r="BN4917">
        <v>1</v>
      </c>
      <c r="BO4917">
        <v>0</v>
      </c>
      <c r="BP4917">
        <v>0</v>
      </c>
      <c r="BS4917">
        <v>0</v>
      </c>
      <c r="BT4917">
        <v>0</v>
      </c>
      <c r="BU4917">
        <v>0</v>
      </c>
      <c r="CE4917" t="str">
        <f t="shared" si="1947"/>
        <v>15:18:11.489</v>
      </c>
      <c r="CF4917">
        <v>488842172</v>
      </c>
      <c r="CS4917">
        <v>0</v>
      </c>
      <c r="CT4917">
        <v>2</v>
      </c>
      <c r="CU4917">
        <v>0</v>
      </c>
      <c r="CV4917">
        <v>2</v>
      </c>
      <c r="CW4917">
        <v>0</v>
      </c>
      <c r="CX4917">
        <v>2</v>
      </c>
      <c r="CY4917">
        <v>7</v>
      </c>
      <c r="CZ4917" t="s">
        <v>133</v>
      </c>
      <c r="DA4917">
        <v>276</v>
      </c>
      <c r="DB4917">
        <v>0</v>
      </c>
      <c r="DC4917" t="s">
        <v>402</v>
      </c>
      <c r="DD4917" t="s">
        <v>403</v>
      </c>
      <c r="DG4917">
        <v>1628886</v>
      </c>
      <c r="DI4917">
        <v>1</v>
      </c>
      <c r="DJ4917">
        <v>0</v>
      </c>
      <c r="DK4917">
        <v>1</v>
      </c>
      <c r="DL4917">
        <v>0</v>
      </c>
      <c r="DM4917">
        <v>0</v>
      </c>
      <c r="DN4917">
        <v>0</v>
      </c>
      <c r="DO4917">
        <v>0</v>
      </c>
      <c r="DP4917">
        <v>0</v>
      </c>
      <c r="DQ4917">
        <v>0</v>
      </c>
      <c r="DR4917">
        <v>0</v>
      </c>
      <c r="DS4917">
        <v>0</v>
      </c>
    </row>
    <row r="4918" spans="1:123" x14ac:dyDescent="0.3">
      <c r="A4918" t="str">
        <f>"05/01/2025 15:18:11.706"</f>
        <v>05/01/2025 15:18:11.706</v>
      </c>
      <c r="C4918" t="str">
        <f t="shared" si="1926"/>
        <v>FFDFD3C0</v>
      </c>
      <c r="D4918" t="s">
        <v>143</v>
      </c>
      <c r="E4918" t="str">
        <f>"05"</f>
        <v>05</v>
      </c>
      <c r="H4918">
        <v>172</v>
      </c>
      <c r="I4918" t="s">
        <v>141</v>
      </c>
      <c r="J4918" t="s">
        <v>144</v>
      </c>
      <c r="K4918">
        <v>0</v>
      </c>
      <c r="L4918">
        <v>3</v>
      </c>
      <c r="M4918">
        <v>0</v>
      </c>
      <c r="N4918">
        <v>2</v>
      </c>
      <c r="O4918">
        <v>0</v>
      </c>
      <c r="P4918">
        <v>1</v>
      </c>
      <c r="Q4918">
        <v>0</v>
      </c>
      <c r="R4918" t="s">
        <v>127</v>
      </c>
      <c r="S4918" t="str">
        <f t="shared" si="1946"/>
        <v>15:18:11.000</v>
      </c>
      <c r="T4918" t="str">
        <f t="shared" si="1946"/>
        <v>15:18:11.000</v>
      </c>
      <c r="U4918" t="str">
        <f t="shared" si="1927"/>
        <v>A68FCB</v>
      </c>
      <c r="V4918">
        <v>0</v>
      </c>
      <c r="W4918">
        <v>0</v>
      </c>
      <c r="X4918">
        <v>2</v>
      </c>
      <c r="Y4918">
        <v>0</v>
      </c>
      <c r="AA4918">
        <v>1</v>
      </c>
      <c r="AB4918">
        <v>8</v>
      </c>
      <c r="AC4918">
        <v>3</v>
      </c>
      <c r="AD4918">
        <v>0</v>
      </c>
      <c r="AE4918">
        <v>9</v>
      </c>
      <c r="AF4918" t="s">
        <v>138</v>
      </c>
      <c r="AG4918">
        <v>0</v>
      </c>
      <c r="AH4918">
        <v>3</v>
      </c>
      <c r="AI4918">
        <v>2</v>
      </c>
      <c r="AJ4918">
        <v>0</v>
      </c>
      <c r="AK4918" t="s">
        <v>1555</v>
      </c>
      <c r="AL4918">
        <v>39.233722999999998</v>
      </c>
      <c r="AM4918" t="s">
        <v>1556</v>
      </c>
      <c r="AN4918">
        <v>-121.00245200000001</v>
      </c>
      <c r="AO4918">
        <v>25</v>
      </c>
      <c r="AP4918">
        <v>4000</v>
      </c>
      <c r="AQ4918" t="s">
        <v>131</v>
      </c>
      <c r="AR4918">
        <v>-75</v>
      </c>
      <c r="AS4918">
        <v>70</v>
      </c>
      <c r="AT4918">
        <v>-128</v>
      </c>
      <c r="BB4918" t="str">
        <f t="shared" si="1928"/>
        <v>1200</v>
      </c>
      <c r="BC4918">
        <v>1</v>
      </c>
      <c r="BD4918" t="str">
        <f t="shared" si="1929"/>
        <v xml:space="preserve">N52156  </v>
      </c>
      <c r="BE4918">
        <v>1</v>
      </c>
      <c r="BG4918">
        <v>0</v>
      </c>
      <c r="BH4918">
        <v>0</v>
      </c>
      <c r="BI4918">
        <v>0</v>
      </c>
      <c r="BJ4918">
        <v>4075</v>
      </c>
      <c r="BK4918">
        <v>75</v>
      </c>
      <c r="BL4918" t="s">
        <v>188</v>
      </c>
      <c r="BM4918">
        <v>1</v>
      </c>
      <c r="BN4918">
        <v>1</v>
      </c>
      <c r="BO4918">
        <v>0</v>
      </c>
      <c r="BP4918">
        <v>0</v>
      </c>
      <c r="BS4918">
        <v>0</v>
      </c>
      <c r="BT4918">
        <v>0</v>
      </c>
      <c r="BU4918">
        <v>0</v>
      </c>
      <c r="CE4918" t="str">
        <f t="shared" si="1947"/>
        <v>15:18:11.489</v>
      </c>
      <c r="CF4918">
        <v>488842172</v>
      </c>
      <c r="CS4918">
        <v>0</v>
      </c>
      <c r="CT4918">
        <v>2</v>
      </c>
      <c r="CU4918">
        <v>0</v>
      </c>
      <c r="CV4918">
        <v>2</v>
      </c>
      <c r="CW4918">
        <v>0</v>
      </c>
      <c r="CX4918">
        <v>2</v>
      </c>
      <c r="CY4918">
        <v>7</v>
      </c>
      <c r="CZ4918" t="s">
        <v>133</v>
      </c>
      <c r="DA4918">
        <v>276</v>
      </c>
      <c r="DB4918">
        <v>0</v>
      </c>
      <c r="DC4918" t="s">
        <v>402</v>
      </c>
      <c r="DD4918" t="s">
        <v>403</v>
      </c>
      <c r="DG4918">
        <v>1628886</v>
      </c>
      <c r="DI4918">
        <v>1</v>
      </c>
      <c r="DJ4918">
        <v>0</v>
      </c>
      <c r="DK4918">
        <v>1</v>
      </c>
      <c r="DL4918">
        <v>0</v>
      </c>
      <c r="DM4918">
        <v>0</v>
      </c>
      <c r="DN4918">
        <v>0</v>
      </c>
      <c r="DO4918">
        <v>0</v>
      </c>
      <c r="DP4918">
        <v>0</v>
      </c>
      <c r="DQ4918">
        <v>0</v>
      </c>
      <c r="DR4918">
        <v>0</v>
      </c>
      <c r="DS4918">
        <v>0</v>
      </c>
    </row>
    <row r="4919" spans="1:123" x14ac:dyDescent="0.3">
      <c r="A4919" t="str">
        <f>"05/01/2025 15:18:11.718"</f>
        <v>05/01/2025 15:18:11.718</v>
      </c>
      <c r="C4919" t="str">
        <f t="shared" si="1926"/>
        <v>FFDFD3C0</v>
      </c>
      <c r="D4919" t="s">
        <v>145</v>
      </c>
      <c r="E4919" t="str">
        <f>"09"</f>
        <v>09</v>
      </c>
      <c r="H4919">
        <v>51</v>
      </c>
      <c r="I4919" t="s">
        <v>147</v>
      </c>
      <c r="J4919" t="s">
        <v>138</v>
      </c>
      <c r="K4919">
        <v>0</v>
      </c>
      <c r="L4919">
        <v>3</v>
      </c>
      <c r="M4919">
        <v>0</v>
      </c>
      <c r="N4919">
        <v>2</v>
      </c>
      <c r="O4919">
        <v>0</v>
      </c>
      <c r="P4919">
        <v>1</v>
      </c>
      <c r="Q4919">
        <v>0</v>
      </c>
      <c r="R4919" t="s">
        <v>127</v>
      </c>
      <c r="S4919" t="str">
        <f t="shared" si="1946"/>
        <v>15:18:11.000</v>
      </c>
      <c r="T4919" t="str">
        <f t="shared" si="1946"/>
        <v>15:18:11.000</v>
      </c>
      <c r="U4919" t="str">
        <f t="shared" si="1927"/>
        <v>A68FCB</v>
      </c>
      <c r="V4919">
        <v>0</v>
      </c>
      <c r="W4919">
        <v>0</v>
      </c>
      <c r="X4919">
        <v>2</v>
      </c>
      <c r="Y4919">
        <v>0</v>
      </c>
      <c r="AA4919">
        <v>1</v>
      </c>
      <c r="AB4919">
        <v>8</v>
      </c>
      <c r="AC4919">
        <v>3</v>
      </c>
      <c r="AD4919">
        <v>0</v>
      </c>
      <c r="AE4919">
        <v>9</v>
      </c>
      <c r="AF4919" t="s">
        <v>138</v>
      </c>
      <c r="AG4919">
        <v>0</v>
      </c>
      <c r="AH4919">
        <v>3</v>
      </c>
      <c r="AI4919">
        <v>2</v>
      </c>
      <c r="AJ4919">
        <v>0</v>
      </c>
      <c r="AK4919" t="s">
        <v>1555</v>
      </c>
      <c r="AL4919">
        <v>39.233722999999998</v>
      </c>
      <c r="AM4919" t="s">
        <v>1556</v>
      </c>
      <c r="AN4919">
        <v>-121.00245200000001</v>
      </c>
      <c r="AO4919">
        <v>25</v>
      </c>
      <c r="AP4919">
        <v>4000</v>
      </c>
      <c r="AQ4919" t="s">
        <v>131</v>
      </c>
      <c r="AR4919">
        <v>-75</v>
      </c>
      <c r="AS4919">
        <v>70</v>
      </c>
      <c r="AT4919">
        <v>-128</v>
      </c>
      <c r="BB4919" t="str">
        <f t="shared" si="1928"/>
        <v>1200</v>
      </c>
      <c r="BC4919">
        <v>1</v>
      </c>
      <c r="BD4919" t="str">
        <f t="shared" si="1929"/>
        <v xml:space="preserve">N52156  </v>
      </c>
      <c r="BE4919">
        <v>1</v>
      </c>
      <c r="BG4919">
        <v>0</v>
      </c>
      <c r="BH4919">
        <v>0</v>
      </c>
      <c r="BI4919">
        <v>0</v>
      </c>
      <c r="BJ4919">
        <v>4075</v>
      </c>
      <c r="BK4919">
        <v>75</v>
      </c>
      <c r="BL4919" t="s">
        <v>188</v>
      </c>
      <c r="BM4919">
        <v>1</v>
      </c>
      <c r="BN4919">
        <v>1</v>
      </c>
      <c r="BO4919">
        <v>0</v>
      </c>
      <c r="BP4919">
        <v>0</v>
      </c>
      <c r="BS4919">
        <v>0</v>
      </c>
      <c r="BT4919">
        <v>0</v>
      </c>
      <c r="BU4919">
        <v>0</v>
      </c>
      <c r="CE4919" t="str">
        <f t="shared" si="1947"/>
        <v>15:18:11.489</v>
      </c>
      <c r="CF4919">
        <v>488842172</v>
      </c>
      <c r="CS4919">
        <v>0</v>
      </c>
      <c r="CT4919">
        <v>2</v>
      </c>
      <c r="CU4919">
        <v>0</v>
      </c>
      <c r="CV4919">
        <v>2</v>
      </c>
      <c r="CW4919">
        <v>0</v>
      </c>
      <c r="CX4919">
        <v>2</v>
      </c>
      <c r="CY4919">
        <v>7</v>
      </c>
      <c r="CZ4919" t="s">
        <v>133</v>
      </c>
      <c r="DA4919">
        <v>276</v>
      </c>
      <c r="DB4919">
        <v>0</v>
      </c>
      <c r="DC4919" t="s">
        <v>402</v>
      </c>
      <c r="DD4919" t="s">
        <v>403</v>
      </c>
      <c r="DG4919">
        <v>1628886</v>
      </c>
      <c r="DI4919">
        <v>1</v>
      </c>
      <c r="DJ4919">
        <v>0</v>
      </c>
      <c r="DK4919">
        <v>1</v>
      </c>
      <c r="DL4919">
        <v>0</v>
      </c>
      <c r="DM4919">
        <v>0</v>
      </c>
      <c r="DN4919">
        <v>0</v>
      </c>
      <c r="DO4919">
        <v>0</v>
      </c>
      <c r="DP4919">
        <v>0</v>
      </c>
      <c r="DQ4919">
        <v>0</v>
      </c>
      <c r="DR4919">
        <v>0</v>
      </c>
      <c r="DS4919">
        <v>0</v>
      </c>
    </row>
    <row r="4920" spans="1:123" x14ac:dyDescent="0.3">
      <c r="A4920" t="str">
        <f>"05/01/2025 15:18:11.721"</f>
        <v>05/01/2025 15:18:11.721</v>
      </c>
      <c r="C4920" t="str">
        <f t="shared" si="1926"/>
        <v>FFDFD3C0</v>
      </c>
      <c r="D4920" t="s">
        <v>145</v>
      </c>
      <c r="E4920" t="str">
        <f>"05"</f>
        <v>05</v>
      </c>
      <c r="H4920">
        <v>47</v>
      </c>
      <c r="I4920" t="s">
        <v>146</v>
      </c>
      <c r="J4920" t="s">
        <v>138</v>
      </c>
      <c r="K4920">
        <v>0</v>
      </c>
      <c r="L4920">
        <v>3</v>
      </c>
      <c r="M4920">
        <v>0</v>
      </c>
      <c r="N4920">
        <v>2</v>
      </c>
      <c r="O4920">
        <v>0</v>
      </c>
      <c r="P4920">
        <v>1</v>
      </c>
      <c r="Q4920">
        <v>0</v>
      </c>
      <c r="R4920" t="s">
        <v>127</v>
      </c>
      <c r="S4920" t="str">
        <f t="shared" si="1946"/>
        <v>15:18:11.000</v>
      </c>
      <c r="T4920" t="str">
        <f t="shared" si="1946"/>
        <v>15:18:11.000</v>
      </c>
      <c r="U4920" t="str">
        <f t="shared" si="1927"/>
        <v>A68FCB</v>
      </c>
      <c r="V4920">
        <v>0</v>
      </c>
      <c r="W4920">
        <v>0</v>
      </c>
      <c r="X4920">
        <v>2</v>
      </c>
      <c r="Y4920">
        <v>0</v>
      </c>
      <c r="AA4920">
        <v>1</v>
      </c>
      <c r="AB4920">
        <v>8</v>
      </c>
      <c r="AC4920">
        <v>3</v>
      </c>
      <c r="AD4920">
        <v>0</v>
      </c>
      <c r="AE4920">
        <v>9</v>
      </c>
      <c r="AF4920" t="s">
        <v>138</v>
      </c>
      <c r="AG4920">
        <v>0</v>
      </c>
      <c r="AH4920">
        <v>3</v>
      </c>
      <c r="AI4920">
        <v>2</v>
      </c>
      <c r="AJ4920">
        <v>0</v>
      </c>
      <c r="AK4920" t="s">
        <v>1555</v>
      </c>
      <c r="AL4920">
        <v>39.233722999999998</v>
      </c>
      <c r="AM4920" t="s">
        <v>1556</v>
      </c>
      <c r="AN4920">
        <v>-121.00245200000001</v>
      </c>
      <c r="AO4920">
        <v>25</v>
      </c>
      <c r="AP4920">
        <v>4000</v>
      </c>
      <c r="AQ4920" t="s">
        <v>131</v>
      </c>
      <c r="AR4920">
        <v>-75</v>
      </c>
      <c r="AS4920">
        <v>70</v>
      </c>
      <c r="AT4920">
        <v>-128</v>
      </c>
      <c r="BB4920" t="str">
        <f t="shared" si="1928"/>
        <v>1200</v>
      </c>
      <c r="BC4920">
        <v>1</v>
      </c>
      <c r="BD4920" t="str">
        <f t="shared" si="1929"/>
        <v xml:space="preserve">N52156  </v>
      </c>
      <c r="BE4920">
        <v>1</v>
      </c>
      <c r="BG4920">
        <v>0</v>
      </c>
      <c r="BH4920">
        <v>0</v>
      </c>
      <c r="BI4920">
        <v>0</v>
      </c>
      <c r="BJ4920">
        <v>4075</v>
      </c>
      <c r="BK4920">
        <v>75</v>
      </c>
      <c r="BL4920" t="s">
        <v>188</v>
      </c>
      <c r="BM4920">
        <v>1</v>
      </c>
      <c r="BN4920">
        <v>1</v>
      </c>
      <c r="BO4920">
        <v>0</v>
      </c>
      <c r="BP4920">
        <v>0</v>
      </c>
      <c r="BS4920">
        <v>0</v>
      </c>
      <c r="BT4920">
        <v>0</v>
      </c>
      <c r="BU4920">
        <v>0</v>
      </c>
      <c r="CE4920" t="str">
        <f t="shared" si="1947"/>
        <v>15:18:11.489</v>
      </c>
      <c r="CF4920">
        <v>488842172</v>
      </c>
      <c r="CS4920">
        <v>0</v>
      </c>
      <c r="CT4920">
        <v>2</v>
      </c>
      <c r="CU4920">
        <v>0</v>
      </c>
      <c r="CV4920">
        <v>2</v>
      </c>
      <c r="CW4920">
        <v>0</v>
      </c>
      <c r="CX4920">
        <v>2</v>
      </c>
      <c r="CY4920">
        <v>7</v>
      </c>
      <c r="CZ4920" t="s">
        <v>133</v>
      </c>
      <c r="DA4920">
        <v>276</v>
      </c>
      <c r="DB4920">
        <v>0</v>
      </c>
      <c r="DC4920" t="s">
        <v>402</v>
      </c>
      <c r="DD4920" t="s">
        <v>403</v>
      </c>
      <c r="DG4920">
        <v>1628886</v>
      </c>
      <c r="DI4920">
        <v>1</v>
      </c>
      <c r="DJ4920">
        <v>0</v>
      </c>
      <c r="DK4920">
        <v>1</v>
      </c>
      <c r="DL4920">
        <v>0</v>
      </c>
      <c r="DM4920">
        <v>0</v>
      </c>
      <c r="DN4920">
        <v>0</v>
      </c>
      <c r="DO4920">
        <v>0</v>
      </c>
      <c r="DP4920">
        <v>0</v>
      </c>
      <c r="DQ4920">
        <v>0</v>
      </c>
      <c r="DR4920">
        <v>0</v>
      </c>
      <c r="DS4920">
        <v>0</v>
      </c>
    </row>
    <row r="4921" spans="1:123" x14ac:dyDescent="0.3">
      <c r="A4921" t="str">
        <f>"05/01/2025 15:18:11.730"</f>
        <v>05/01/2025 15:18:11.730</v>
      </c>
      <c r="C4921" t="str">
        <f t="shared" si="1926"/>
        <v>FFDFD3C0</v>
      </c>
      <c r="D4921" t="s">
        <v>136</v>
      </c>
      <c r="E4921" t="str">
        <f>"20"</f>
        <v>20</v>
      </c>
      <c r="H4921">
        <v>400</v>
      </c>
      <c r="I4921" t="s">
        <v>137</v>
      </c>
      <c r="J4921" t="s">
        <v>138</v>
      </c>
      <c r="K4921">
        <v>0</v>
      </c>
      <c r="L4921">
        <v>3</v>
      </c>
      <c r="M4921">
        <v>0</v>
      </c>
      <c r="N4921">
        <v>2</v>
      </c>
      <c r="O4921">
        <v>0</v>
      </c>
      <c r="P4921">
        <v>1</v>
      </c>
      <c r="Q4921">
        <v>0</v>
      </c>
      <c r="R4921" t="s">
        <v>127</v>
      </c>
      <c r="S4921" t="str">
        <f t="shared" si="1946"/>
        <v>15:18:11.000</v>
      </c>
      <c r="T4921" t="str">
        <f t="shared" si="1946"/>
        <v>15:18:11.000</v>
      </c>
      <c r="U4921" t="str">
        <f t="shared" si="1927"/>
        <v>A68FCB</v>
      </c>
      <c r="V4921">
        <v>0</v>
      </c>
      <c r="W4921">
        <v>0</v>
      </c>
      <c r="X4921">
        <v>2</v>
      </c>
      <c r="Y4921">
        <v>0</v>
      </c>
      <c r="AA4921">
        <v>1</v>
      </c>
      <c r="AB4921">
        <v>8</v>
      </c>
      <c r="AC4921">
        <v>3</v>
      </c>
      <c r="AD4921">
        <v>0</v>
      </c>
      <c r="AE4921">
        <v>9</v>
      </c>
      <c r="AF4921" t="s">
        <v>138</v>
      </c>
      <c r="AG4921">
        <v>0</v>
      </c>
      <c r="AH4921">
        <v>3</v>
      </c>
      <c r="AI4921">
        <v>2</v>
      </c>
      <c r="AJ4921">
        <v>0</v>
      </c>
      <c r="AK4921" t="s">
        <v>1555</v>
      </c>
      <c r="AL4921">
        <v>39.233722999999998</v>
      </c>
      <c r="AM4921" t="s">
        <v>1556</v>
      </c>
      <c r="AN4921">
        <v>-121.00245200000001</v>
      </c>
      <c r="AO4921">
        <v>25</v>
      </c>
      <c r="AP4921">
        <v>4000</v>
      </c>
      <c r="AQ4921" t="s">
        <v>131</v>
      </c>
      <c r="AR4921">
        <v>-75</v>
      </c>
      <c r="AS4921">
        <v>70</v>
      </c>
      <c r="AT4921">
        <v>-128</v>
      </c>
      <c r="BB4921" t="str">
        <f t="shared" si="1928"/>
        <v>1200</v>
      </c>
      <c r="BC4921">
        <v>1</v>
      </c>
      <c r="BD4921" t="str">
        <f t="shared" si="1929"/>
        <v xml:space="preserve">N52156  </v>
      </c>
      <c r="BE4921">
        <v>1</v>
      </c>
      <c r="BG4921">
        <v>0</v>
      </c>
      <c r="BH4921">
        <v>0</v>
      </c>
      <c r="BI4921">
        <v>0</v>
      </c>
      <c r="BJ4921">
        <v>4075</v>
      </c>
      <c r="BK4921">
        <v>75</v>
      </c>
      <c r="BL4921" t="s">
        <v>188</v>
      </c>
      <c r="BM4921">
        <v>1</v>
      </c>
      <c r="BN4921">
        <v>1</v>
      </c>
      <c r="BO4921">
        <v>0</v>
      </c>
      <c r="BP4921">
        <v>0</v>
      </c>
      <c r="BS4921">
        <v>0</v>
      </c>
      <c r="BT4921">
        <v>0</v>
      </c>
      <c r="BU4921">
        <v>0</v>
      </c>
      <c r="CE4921" t="str">
        <f t="shared" si="1947"/>
        <v>15:18:11.489</v>
      </c>
      <c r="CF4921">
        <v>488842172</v>
      </c>
      <c r="CS4921">
        <v>0</v>
      </c>
      <c r="CT4921">
        <v>2</v>
      </c>
      <c r="CU4921">
        <v>0</v>
      </c>
      <c r="CV4921">
        <v>2</v>
      </c>
      <c r="CW4921">
        <v>0</v>
      </c>
      <c r="CX4921">
        <v>2</v>
      </c>
      <c r="CY4921">
        <v>7</v>
      </c>
      <c r="CZ4921" t="s">
        <v>133</v>
      </c>
      <c r="DA4921">
        <v>276</v>
      </c>
      <c r="DB4921">
        <v>0</v>
      </c>
      <c r="DC4921" t="s">
        <v>402</v>
      </c>
      <c r="DD4921" t="s">
        <v>403</v>
      </c>
      <c r="DG4921">
        <v>1628886</v>
      </c>
      <c r="DI4921">
        <v>1</v>
      </c>
      <c r="DJ4921">
        <v>0</v>
      </c>
      <c r="DK4921">
        <v>1</v>
      </c>
      <c r="DL4921">
        <v>0</v>
      </c>
      <c r="DM4921">
        <v>0</v>
      </c>
      <c r="DN4921">
        <v>0</v>
      </c>
      <c r="DO4921">
        <v>0</v>
      </c>
      <c r="DP4921">
        <v>0</v>
      </c>
      <c r="DQ4921">
        <v>0</v>
      </c>
      <c r="DR4921">
        <v>0</v>
      </c>
      <c r="DS4921">
        <v>0</v>
      </c>
    </row>
    <row r="4922" spans="1:123" x14ac:dyDescent="0.3">
      <c r="A4922" t="str">
        <f>"05/01/2025 15:18:12.707"</f>
        <v>05/01/2025 15:18:12.707</v>
      </c>
      <c r="C4922" t="str">
        <f t="shared" si="1926"/>
        <v>FFDFD3C0</v>
      </c>
      <c r="D4922" t="s">
        <v>143</v>
      </c>
      <c r="E4922" t="str">
        <f>"05"</f>
        <v>05</v>
      </c>
      <c r="H4922">
        <v>172</v>
      </c>
      <c r="I4922" t="s">
        <v>141</v>
      </c>
      <c r="J4922" t="s">
        <v>144</v>
      </c>
      <c r="K4922">
        <v>0</v>
      </c>
      <c r="L4922">
        <v>3</v>
      </c>
      <c r="M4922">
        <v>0</v>
      </c>
      <c r="N4922">
        <v>2</v>
      </c>
      <c r="O4922">
        <v>0</v>
      </c>
      <c r="P4922">
        <v>1</v>
      </c>
      <c r="Q4922">
        <v>0</v>
      </c>
      <c r="R4922" t="s">
        <v>127</v>
      </c>
      <c r="S4922" t="str">
        <f t="shared" ref="S4922:T4927" si="1948">"15:18:12.000"</f>
        <v>15:18:12.000</v>
      </c>
      <c r="T4922" t="str">
        <f t="shared" si="1948"/>
        <v>15:18:12.000</v>
      </c>
      <c r="U4922" t="str">
        <f t="shared" si="1927"/>
        <v>A68FCB</v>
      </c>
      <c r="V4922">
        <v>0</v>
      </c>
      <c r="W4922">
        <v>0</v>
      </c>
      <c r="X4922">
        <v>2</v>
      </c>
      <c r="Y4922">
        <v>0</v>
      </c>
      <c r="AA4922">
        <v>1</v>
      </c>
      <c r="AB4922">
        <v>8</v>
      </c>
      <c r="AC4922">
        <v>3</v>
      </c>
      <c r="AD4922">
        <v>0</v>
      </c>
      <c r="AE4922">
        <v>9</v>
      </c>
      <c r="AF4922" t="s">
        <v>138</v>
      </c>
      <c r="AG4922">
        <v>0</v>
      </c>
      <c r="AH4922">
        <v>3</v>
      </c>
      <c r="AI4922">
        <v>2</v>
      </c>
      <c r="AJ4922">
        <v>0</v>
      </c>
      <c r="AK4922" t="s">
        <v>1557</v>
      </c>
      <c r="AL4922">
        <v>39.234045000000002</v>
      </c>
      <c r="AM4922" t="s">
        <v>1558</v>
      </c>
      <c r="AN4922">
        <v>-121.002882</v>
      </c>
      <c r="AO4922">
        <v>25</v>
      </c>
      <c r="AP4922">
        <v>4000</v>
      </c>
      <c r="AQ4922" t="s">
        <v>131</v>
      </c>
      <c r="AR4922">
        <v>-83</v>
      </c>
      <c r="AS4922">
        <v>64</v>
      </c>
      <c r="AT4922">
        <v>-192</v>
      </c>
      <c r="BB4922" t="str">
        <f t="shared" si="1928"/>
        <v>1200</v>
      </c>
      <c r="BC4922">
        <v>1</v>
      </c>
      <c r="BD4922" t="str">
        <f t="shared" si="1929"/>
        <v xml:space="preserve">N52156  </v>
      </c>
      <c r="BE4922">
        <v>1</v>
      </c>
      <c r="BG4922">
        <v>0</v>
      </c>
      <c r="BH4922">
        <v>0</v>
      </c>
      <c r="BI4922">
        <v>0</v>
      </c>
      <c r="BJ4922">
        <v>4050</v>
      </c>
      <c r="BK4922">
        <v>50</v>
      </c>
      <c r="BL4922" t="s">
        <v>188</v>
      </c>
      <c r="BM4922">
        <v>1</v>
      </c>
      <c r="BN4922">
        <v>1</v>
      </c>
      <c r="BO4922">
        <v>0</v>
      </c>
      <c r="BP4922">
        <v>0</v>
      </c>
      <c r="BS4922">
        <v>0</v>
      </c>
      <c r="BT4922">
        <v>0</v>
      </c>
      <c r="BU4922">
        <v>0</v>
      </c>
      <c r="CE4922" t="str">
        <f t="shared" ref="CE4922:CE4927" si="1949">"15:18:12.495"</f>
        <v>15:18:12.495</v>
      </c>
      <c r="CF4922">
        <v>494511487</v>
      </c>
      <c r="CS4922">
        <v>0</v>
      </c>
      <c r="CT4922">
        <v>2</v>
      </c>
      <c r="CU4922">
        <v>0</v>
      </c>
      <c r="CV4922">
        <v>2</v>
      </c>
      <c r="CW4922">
        <v>0</v>
      </c>
      <c r="CX4922">
        <v>3</v>
      </c>
      <c r="CY4922">
        <v>7</v>
      </c>
      <c r="CZ4922" t="s">
        <v>133</v>
      </c>
      <c r="DA4922">
        <v>275</v>
      </c>
      <c r="DB4922">
        <v>0</v>
      </c>
      <c r="DC4922" t="s">
        <v>134</v>
      </c>
      <c r="DD4922" t="s">
        <v>135</v>
      </c>
      <c r="DG4922">
        <v>3323447</v>
      </c>
      <c r="DI4922">
        <v>1</v>
      </c>
      <c r="DJ4922">
        <v>0</v>
      </c>
      <c r="DK4922">
        <v>0</v>
      </c>
      <c r="DL4922">
        <v>0</v>
      </c>
      <c r="DM4922">
        <v>0</v>
      </c>
      <c r="DN4922">
        <v>0</v>
      </c>
      <c r="DO4922">
        <v>0</v>
      </c>
      <c r="DP4922">
        <v>0</v>
      </c>
      <c r="DQ4922">
        <v>0</v>
      </c>
      <c r="DR4922">
        <v>0</v>
      </c>
      <c r="DS4922">
        <v>0</v>
      </c>
    </row>
    <row r="4923" spans="1:123" x14ac:dyDescent="0.3">
      <c r="A4923" t="str">
        <f>"05/01/2025 15:18:12.720"</f>
        <v>05/01/2025 15:18:12.720</v>
      </c>
      <c r="C4923" t="str">
        <f t="shared" si="1926"/>
        <v>FFDFD3C0</v>
      </c>
      <c r="D4923" t="s">
        <v>145</v>
      </c>
      <c r="E4923" t="str">
        <f>"09"</f>
        <v>09</v>
      </c>
      <c r="H4923">
        <v>51</v>
      </c>
      <c r="I4923" t="s">
        <v>147</v>
      </c>
      <c r="J4923" t="s">
        <v>138</v>
      </c>
      <c r="K4923">
        <v>0</v>
      </c>
      <c r="L4923">
        <v>3</v>
      </c>
      <c r="M4923">
        <v>0</v>
      </c>
      <c r="N4923">
        <v>2</v>
      </c>
      <c r="O4923">
        <v>0</v>
      </c>
      <c r="P4923">
        <v>1</v>
      </c>
      <c r="Q4923">
        <v>0</v>
      </c>
      <c r="R4923" t="s">
        <v>127</v>
      </c>
      <c r="S4923" t="str">
        <f t="shared" si="1948"/>
        <v>15:18:12.000</v>
      </c>
      <c r="T4923" t="str">
        <f t="shared" si="1948"/>
        <v>15:18:12.000</v>
      </c>
      <c r="U4923" t="str">
        <f t="shared" si="1927"/>
        <v>A68FCB</v>
      </c>
      <c r="V4923">
        <v>0</v>
      </c>
      <c r="W4923">
        <v>0</v>
      </c>
      <c r="X4923">
        <v>2</v>
      </c>
      <c r="Y4923">
        <v>0</v>
      </c>
      <c r="AA4923">
        <v>1</v>
      </c>
      <c r="AB4923">
        <v>8</v>
      </c>
      <c r="AC4923">
        <v>3</v>
      </c>
      <c r="AD4923">
        <v>0</v>
      </c>
      <c r="AE4923">
        <v>9</v>
      </c>
      <c r="AF4923" t="s">
        <v>138</v>
      </c>
      <c r="AG4923">
        <v>0</v>
      </c>
      <c r="AH4923">
        <v>3</v>
      </c>
      <c r="AI4923">
        <v>2</v>
      </c>
      <c r="AJ4923">
        <v>0</v>
      </c>
      <c r="AK4923" t="s">
        <v>1557</v>
      </c>
      <c r="AL4923">
        <v>39.234045000000002</v>
      </c>
      <c r="AM4923" t="s">
        <v>1558</v>
      </c>
      <c r="AN4923">
        <v>-121.002882</v>
      </c>
      <c r="AO4923">
        <v>25</v>
      </c>
      <c r="AP4923">
        <v>4000</v>
      </c>
      <c r="AQ4923" t="s">
        <v>131</v>
      </c>
      <c r="AR4923">
        <v>-83</v>
      </c>
      <c r="AS4923">
        <v>64</v>
      </c>
      <c r="AT4923">
        <v>-192</v>
      </c>
      <c r="BB4923" t="str">
        <f t="shared" si="1928"/>
        <v>1200</v>
      </c>
      <c r="BC4923">
        <v>1</v>
      </c>
      <c r="BD4923" t="str">
        <f t="shared" si="1929"/>
        <v xml:space="preserve">N52156  </v>
      </c>
      <c r="BE4923">
        <v>1</v>
      </c>
      <c r="BG4923">
        <v>0</v>
      </c>
      <c r="BH4923">
        <v>0</v>
      </c>
      <c r="BI4923">
        <v>0</v>
      </c>
      <c r="BJ4923">
        <v>4050</v>
      </c>
      <c r="BK4923">
        <v>50</v>
      </c>
      <c r="BL4923" t="s">
        <v>188</v>
      </c>
      <c r="BM4923">
        <v>1</v>
      </c>
      <c r="BN4923">
        <v>1</v>
      </c>
      <c r="BO4923">
        <v>0</v>
      </c>
      <c r="BP4923">
        <v>0</v>
      </c>
      <c r="BS4923">
        <v>0</v>
      </c>
      <c r="BT4923">
        <v>0</v>
      </c>
      <c r="BU4923">
        <v>0</v>
      </c>
      <c r="CE4923" t="str">
        <f t="shared" si="1949"/>
        <v>15:18:12.495</v>
      </c>
      <c r="CF4923">
        <v>494511487</v>
      </c>
      <c r="CS4923">
        <v>0</v>
      </c>
      <c r="CT4923">
        <v>2</v>
      </c>
      <c r="CU4923">
        <v>0</v>
      </c>
      <c r="CV4923">
        <v>2</v>
      </c>
      <c r="CW4923">
        <v>0</v>
      </c>
      <c r="CX4923">
        <v>3</v>
      </c>
      <c r="CY4923">
        <v>7</v>
      </c>
      <c r="CZ4923" t="s">
        <v>133</v>
      </c>
      <c r="DA4923">
        <v>275</v>
      </c>
      <c r="DB4923">
        <v>0</v>
      </c>
      <c r="DC4923" t="s">
        <v>134</v>
      </c>
      <c r="DD4923" t="s">
        <v>135</v>
      </c>
      <c r="DG4923">
        <v>3323447</v>
      </c>
      <c r="DI4923">
        <v>1</v>
      </c>
      <c r="DJ4923">
        <v>0</v>
      </c>
      <c r="DK4923">
        <v>1</v>
      </c>
      <c r="DL4923">
        <v>0</v>
      </c>
      <c r="DM4923">
        <v>0</v>
      </c>
      <c r="DN4923">
        <v>0</v>
      </c>
      <c r="DO4923">
        <v>0</v>
      </c>
      <c r="DP4923">
        <v>0</v>
      </c>
      <c r="DQ4923">
        <v>0</v>
      </c>
      <c r="DR4923">
        <v>0</v>
      </c>
      <c r="DS4923">
        <v>0</v>
      </c>
    </row>
    <row r="4924" spans="1:123" x14ac:dyDescent="0.3">
      <c r="A4924" t="str">
        <f>"05/01/2025 15:18:12.722"</f>
        <v>05/01/2025 15:18:12.722</v>
      </c>
      <c r="C4924" t="str">
        <f t="shared" si="1926"/>
        <v>FFDFD3C0</v>
      </c>
      <c r="D4924" t="s">
        <v>145</v>
      </c>
      <c r="E4924" t="str">
        <f>"05"</f>
        <v>05</v>
      </c>
      <c r="H4924">
        <v>47</v>
      </c>
      <c r="I4924" t="s">
        <v>146</v>
      </c>
      <c r="J4924" t="s">
        <v>138</v>
      </c>
      <c r="K4924">
        <v>0</v>
      </c>
      <c r="L4924">
        <v>3</v>
      </c>
      <c r="M4924">
        <v>0</v>
      </c>
      <c r="N4924">
        <v>2</v>
      </c>
      <c r="O4924">
        <v>0</v>
      </c>
      <c r="P4924">
        <v>1</v>
      </c>
      <c r="Q4924">
        <v>0</v>
      </c>
      <c r="R4924" t="s">
        <v>127</v>
      </c>
      <c r="S4924" t="str">
        <f t="shared" si="1948"/>
        <v>15:18:12.000</v>
      </c>
      <c r="T4924" t="str">
        <f t="shared" si="1948"/>
        <v>15:18:12.000</v>
      </c>
      <c r="U4924" t="str">
        <f t="shared" si="1927"/>
        <v>A68FCB</v>
      </c>
      <c r="V4924">
        <v>0</v>
      </c>
      <c r="W4924">
        <v>0</v>
      </c>
      <c r="X4924">
        <v>2</v>
      </c>
      <c r="Y4924">
        <v>0</v>
      </c>
      <c r="AA4924">
        <v>1</v>
      </c>
      <c r="AB4924">
        <v>8</v>
      </c>
      <c r="AC4924">
        <v>3</v>
      </c>
      <c r="AD4924">
        <v>0</v>
      </c>
      <c r="AE4924">
        <v>9</v>
      </c>
      <c r="AF4924" t="s">
        <v>138</v>
      </c>
      <c r="AG4924">
        <v>0</v>
      </c>
      <c r="AH4924">
        <v>3</v>
      </c>
      <c r="AI4924">
        <v>2</v>
      </c>
      <c r="AJ4924">
        <v>0</v>
      </c>
      <c r="AK4924" t="s">
        <v>1557</v>
      </c>
      <c r="AL4924">
        <v>39.234045000000002</v>
      </c>
      <c r="AM4924" t="s">
        <v>1558</v>
      </c>
      <c r="AN4924">
        <v>-121.002882</v>
      </c>
      <c r="AO4924">
        <v>25</v>
      </c>
      <c r="AP4924">
        <v>4000</v>
      </c>
      <c r="AQ4924" t="s">
        <v>131</v>
      </c>
      <c r="AR4924">
        <v>-83</v>
      </c>
      <c r="AS4924">
        <v>64</v>
      </c>
      <c r="AT4924">
        <v>-192</v>
      </c>
      <c r="BB4924" t="str">
        <f t="shared" si="1928"/>
        <v>1200</v>
      </c>
      <c r="BC4924">
        <v>1</v>
      </c>
      <c r="BD4924" t="str">
        <f t="shared" si="1929"/>
        <v xml:space="preserve">N52156  </v>
      </c>
      <c r="BE4924">
        <v>1</v>
      </c>
      <c r="BG4924">
        <v>0</v>
      </c>
      <c r="BH4924">
        <v>0</v>
      </c>
      <c r="BI4924">
        <v>0</v>
      </c>
      <c r="BJ4924">
        <v>4050</v>
      </c>
      <c r="BK4924">
        <v>50</v>
      </c>
      <c r="BL4924" t="s">
        <v>188</v>
      </c>
      <c r="BM4924">
        <v>1</v>
      </c>
      <c r="BN4924">
        <v>1</v>
      </c>
      <c r="BO4924">
        <v>0</v>
      </c>
      <c r="BP4924">
        <v>0</v>
      </c>
      <c r="BS4924">
        <v>0</v>
      </c>
      <c r="BT4924">
        <v>0</v>
      </c>
      <c r="BU4924">
        <v>0</v>
      </c>
      <c r="CE4924" t="str">
        <f t="shared" si="1949"/>
        <v>15:18:12.495</v>
      </c>
      <c r="CF4924">
        <v>494511487</v>
      </c>
      <c r="CS4924">
        <v>0</v>
      </c>
      <c r="CT4924">
        <v>2</v>
      </c>
      <c r="CU4924">
        <v>0</v>
      </c>
      <c r="CV4924">
        <v>2</v>
      </c>
      <c r="CW4924">
        <v>0</v>
      </c>
      <c r="CX4924">
        <v>3</v>
      </c>
      <c r="CY4924">
        <v>7</v>
      </c>
      <c r="CZ4924" t="s">
        <v>133</v>
      </c>
      <c r="DA4924">
        <v>275</v>
      </c>
      <c r="DB4924">
        <v>0</v>
      </c>
      <c r="DC4924" t="s">
        <v>134</v>
      </c>
      <c r="DD4924" t="s">
        <v>135</v>
      </c>
      <c r="DG4924">
        <v>3323447</v>
      </c>
      <c r="DI4924">
        <v>1</v>
      </c>
      <c r="DJ4924">
        <v>0</v>
      </c>
      <c r="DK4924">
        <v>1</v>
      </c>
      <c r="DL4924">
        <v>0</v>
      </c>
      <c r="DM4924">
        <v>0</v>
      </c>
      <c r="DN4924">
        <v>0</v>
      </c>
      <c r="DO4924">
        <v>0</v>
      </c>
      <c r="DP4924">
        <v>0</v>
      </c>
      <c r="DQ4924">
        <v>0</v>
      </c>
      <c r="DR4924">
        <v>0</v>
      </c>
      <c r="DS4924">
        <v>0</v>
      </c>
    </row>
    <row r="4925" spans="1:123" x14ac:dyDescent="0.3">
      <c r="A4925" t="str">
        <f>"05/01/2025 15:18:12.732"</f>
        <v>05/01/2025 15:18:12.732</v>
      </c>
      <c r="C4925" t="str">
        <f t="shared" si="1926"/>
        <v>FFDFD3C0</v>
      </c>
      <c r="D4925" t="s">
        <v>136</v>
      </c>
      <c r="E4925" t="str">
        <f>"20"</f>
        <v>20</v>
      </c>
      <c r="H4925">
        <v>400</v>
      </c>
      <c r="I4925" t="s">
        <v>137</v>
      </c>
      <c r="J4925" t="s">
        <v>138</v>
      </c>
      <c r="K4925">
        <v>0</v>
      </c>
      <c r="L4925">
        <v>3</v>
      </c>
      <c r="M4925">
        <v>0</v>
      </c>
      <c r="N4925">
        <v>2</v>
      </c>
      <c r="O4925">
        <v>0</v>
      </c>
      <c r="P4925">
        <v>1</v>
      </c>
      <c r="Q4925">
        <v>0</v>
      </c>
      <c r="R4925" t="s">
        <v>127</v>
      </c>
      <c r="S4925" t="str">
        <f t="shared" si="1948"/>
        <v>15:18:12.000</v>
      </c>
      <c r="T4925" t="str">
        <f t="shared" si="1948"/>
        <v>15:18:12.000</v>
      </c>
      <c r="U4925" t="str">
        <f t="shared" si="1927"/>
        <v>A68FCB</v>
      </c>
      <c r="V4925">
        <v>0</v>
      </c>
      <c r="W4925">
        <v>0</v>
      </c>
      <c r="X4925">
        <v>2</v>
      </c>
      <c r="Y4925">
        <v>0</v>
      </c>
      <c r="AA4925">
        <v>1</v>
      </c>
      <c r="AB4925">
        <v>8</v>
      </c>
      <c r="AC4925">
        <v>3</v>
      </c>
      <c r="AD4925">
        <v>0</v>
      </c>
      <c r="AE4925">
        <v>9</v>
      </c>
      <c r="AF4925" t="s">
        <v>138</v>
      </c>
      <c r="AG4925">
        <v>0</v>
      </c>
      <c r="AH4925">
        <v>3</v>
      </c>
      <c r="AI4925">
        <v>2</v>
      </c>
      <c r="AJ4925">
        <v>0</v>
      </c>
      <c r="AK4925" t="s">
        <v>1557</v>
      </c>
      <c r="AL4925">
        <v>39.234045000000002</v>
      </c>
      <c r="AM4925" t="s">
        <v>1558</v>
      </c>
      <c r="AN4925">
        <v>-121.002882</v>
      </c>
      <c r="AO4925">
        <v>25</v>
      </c>
      <c r="AP4925">
        <v>4000</v>
      </c>
      <c r="AQ4925" t="s">
        <v>131</v>
      </c>
      <c r="AR4925">
        <v>-83</v>
      </c>
      <c r="AS4925">
        <v>64</v>
      </c>
      <c r="AT4925">
        <v>-192</v>
      </c>
      <c r="BB4925" t="str">
        <f t="shared" si="1928"/>
        <v>1200</v>
      </c>
      <c r="BC4925">
        <v>1</v>
      </c>
      <c r="BD4925" t="str">
        <f t="shared" si="1929"/>
        <v xml:space="preserve">N52156  </v>
      </c>
      <c r="BE4925">
        <v>1</v>
      </c>
      <c r="BG4925">
        <v>0</v>
      </c>
      <c r="BH4925">
        <v>0</v>
      </c>
      <c r="BI4925">
        <v>0</v>
      </c>
      <c r="BJ4925">
        <v>4050</v>
      </c>
      <c r="BK4925">
        <v>50</v>
      </c>
      <c r="BL4925" t="s">
        <v>188</v>
      </c>
      <c r="BM4925">
        <v>1</v>
      </c>
      <c r="BN4925">
        <v>1</v>
      </c>
      <c r="BO4925">
        <v>0</v>
      </c>
      <c r="BP4925">
        <v>0</v>
      </c>
      <c r="BS4925">
        <v>0</v>
      </c>
      <c r="BT4925">
        <v>0</v>
      </c>
      <c r="BU4925">
        <v>0</v>
      </c>
      <c r="CE4925" t="str">
        <f t="shared" si="1949"/>
        <v>15:18:12.495</v>
      </c>
      <c r="CF4925">
        <v>494511487</v>
      </c>
      <c r="CS4925">
        <v>0</v>
      </c>
      <c r="CT4925">
        <v>2</v>
      </c>
      <c r="CU4925">
        <v>0</v>
      </c>
      <c r="CV4925">
        <v>2</v>
      </c>
      <c r="CW4925">
        <v>0</v>
      </c>
      <c r="CX4925">
        <v>3</v>
      </c>
      <c r="CY4925">
        <v>7</v>
      </c>
      <c r="CZ4925" t="s">
        <v>133</v>
      </c>
      <c r="DA4925">
        <v>275</v>
      </c>
      <c r="DB4925">
        <v>0</v>
      </c>
      <c r="DC4925" t="s">
        <v>134</v>
      </c>
      <c r="DD4925" t="s">
        <v>135</v>
      </c>
      <c r="DG4925">
        <v>3323447</v>
      </c>
      <c r="DI4925">
        <v>1</v>
      </c>
      <c r="DJ4925">
        <v>0</v>
      </c>
      <c r="DK4925">
        <v>1</v>
      </c>
      <c r="DL4925">
        <v>0</v>
      </c>
      <c r="DM4925">
        <v>0</v>
      </c>
      <c r="DN4925">
        <v>0</v>
      </c>
      <c r="DO4925">
        <v>0</v>
      </c>
      <c r="DP4925">
        <v>0</v>
      </c>
      <c r="DQ4925">
        <v>0</v>
      </c>
      <c r="DR4925">
        <v>0</v>
      </c>
      <c r="DS4925">
        <v>0</v>
      </c>
    </row>
    <row r="4926" spans="1:123" x14ac:dyDescent="0.3">
      <c r="A4926" t="str">
        <f>"05/01/2025 15:18:12.746"</f>
        <v>05/01/2025 15:18:12.746</v>
      </c>
      <c r="C4926" t="str">
        <f t="shared" si="1926"/>
        <v>FFDFD3C0</v>
      </c>
      <c r="D4926" t="s">
        <v>140</v>
      </c>
      <c r="E4926" t="str">
        <f>"13"</f>
        <v>13</v>
      </c>
      <c r="F4926">
        <v>1019</v>
      </c>
      <c r="G4926" t="s">
        <v>141</v>
      </c>
      <c r="J4926" t="s">
        <v>142</v>
      </c>
      <c r="K4926">
        <v>0</v>
      </c>
      <c r="L4926">
        <v>3</v>
      </c>
      <c r="M4926">
        <v>0</v>
      </c>
      <c r="N4926">
        <v>2</v>
      </c>
      <c r="O4926">
        <v>0</v>
      </c>
      <c r="P4926">
        <v>1</v>
      </c>
      <c r="Q4926">
        <v>0</v>
      </c>
      <c r="R4926" t="s">
        <v>127</v>
      </c>
      <c r="S4926" t="str">
        <f t="shared" si="1948"/>
        <v>15:18:12.000</v>
      </c>
      <c r="T4926" t="str">
        <f t="shared" si="1948"/>
        <v>15:18:12.000</v>
      </c>
      <c r="U4926" t="str">
        <f t="shared" si="1927"/>
        <v>A68FCB</v>
      </c>
      <c r="V4926">
        <v>0</v>
      </c>
      <c r="W4926">
        <v>0</v>
      </c>
      <c r="X4926">
        <v>2</v>
      </c>
      <c r="Y4926">
        <v>0</v>
      </c>
      <c r="AA4926">
        <v>1</v>
      </c>
      <c r="AB4926">
        <v>8</v>
      </c>
      <c r="AC4926">
        <v>3</v>
      </c>
      <c r="AD4926">
        <v>0</v>
      </c>
      <c r="AE4926">
        <v>9</v>
      </c>
      <c r="AF4926" t="s">
        <v>138</v>
      </c>
      <c r="AG4926">
        <v>0</v>
      </c>
      <c r="AH4926">
        <v>3</v>
      </c>
      <c r="AI4926">
        <v>2</v>
      </c>
      <c r="AJ4926">
        <v>0</v>
      </c>
      <c r="AK4926" t="s">
        <v>1557</v>
      </c>
      <c r="AL4926">
        <v>39.234045000000002</v>
      </c>
      <c r="AM4926" t="s">
        <v>1558</v>
      </c>
      <c r="AN4926">
        <v>-121.002882</v>
      </c>
      <c r="AO4926">
        <v>25</v>
      </c>
      <c r="AP4926">
        <v>4000</v>
      </c>
      <c r="AQ4926" t="s">
        <v>131</v>
      </c>
      <c r="AR4926">
        <v>-83</v>
      </c>
      <c r="AS4926">
        <v>64</v>
      </c>
      <c r="AT4926">
        <v>-192</v>
      </c>
      <c r="BB4926" t="str">
        <f t="shared" si="1928"/>
        <v>1200</v>
      </c>
      <c r="BC4926">
        <v>1</v>
      </c>
      <c r="BD4926" t="str">
        <f t="shared" si="1929"/>
        <v xml:space="preserve">N52156  </v>
      </c>
      <c r="BE4926">
        <v>1</v>
      </c>
      <c r="BG4926">
        <v>0</v>
      </c>
      <c r="BH4926">
        <v>0</v>
      </c>
      <c r="BI4926">
        <v>0</v>
      </c>
      <c r="BJ4926">
        <v>4050</v>
      </c>
      <c r="BK4926">
        <v>50</v>
      </c>
      <c r="BL4926" t="s">
        <v>188</v>
      </c>
      <c r="BM4926">
        <v>1</v>
      </c>
      <c r="BN4926">
        <v>1</v>
      </c>
      <c r="BO4926">
        <v>0</v>
      </c>
      <c r="BP4926">
        <v>0</v>
      </c>
      <c r="BS4926">
        <v>0</v>
      </c>
      <c r="BT4926">
        <v>0</v>
      </c>
      <c r="BU4926">
        <v>0</v>
      </c>
      <c r="CE4926" t="str">
        <f t="shared" si="1949"/>
        <v>15:18:12.495</v>
      </c>
      <c r="CF4926">
        <v>494511487</v>
      </c>
      <c r="CS4926">
        <v>0</v>
      </c>
      <c r="CT4926">
        <v>2</v>
      </c>
      <c r="CU4926">
        <v>0</v>
      </c>
      <c r="CV4926">
        <v>2</v>
      </c>
      <c r="CW4926">
        <v>0</v>
      </c>
      <c r="CX4926">
        <v>3</v>
      </c>
      <c r="CY4926">
        <v>7</v>
      </c>
      <c r="CZ4926" t="s">
        <v>133</v>
      </c>
      <c r="DA4926">
        <v>275</v>
      </c>
      <c r="DB4926">
        <v>0</v>
      </c>
      <c r="DC4926" t="s">
        <v>134</v>
      </c>
      <c r="DD4926" t="s">
        <v>135</v>
      </c>
      <c r="DG4926">
        <v>3323447</v>
      </c>
      <c r="DI4926">
        <v>1</v>
      </c>
      <c r="DJ4926">
        <v>0</v>
      </c>
      <c r="DK4926">
        <v>1</v>
      </c>
      <c r="DL4926">
        <v>0</v>
      </c>
      <c r="DM4926">
        <v>0</v>
      </c>
      <c r="DN4926">
        <v>0</v>
      </c>
      <c r="DO4926">
        <v>0</v>
      </c>
      <c r="DP4926">
        <v>0</v>
      </c>
      <c r="DQ4926">
        <v>0</v>
      </c>
      <c r="DR4926">
        <v>0</v>
      </c>
      <c r="DS4926">
        <v>0</v>
      </c>
    </row>
    <row r="4927" spans="1:123" x14ac:dyDescent="0.3">
      <c r="A4927" t="str">
        <f>"05/01/2025 15:18:12.749"</f>
        <v>05/01/2025 15:18:12.749</v>
      </c>
      <c r="C4927" t="str">
        <f t="shared" si="1926"/>
        <v>FFDFD3C0</v>
      </c>
      <c r="D4927" t="s">
        <v>124</v>
      </c>
      <c r="E4927" t="str">
        <f>"06"</f>
        <v>06</v>
      </c>
      <c r="F4927">
        <v>2006</v>
      </c>
      <c r="G4927" t="s">
        <v>125</v>
      </c>
      <c r="J4927" t="s">
        <v>126</v>
      </c>
      <c r="K4927">
        <v>0</v>
      </c>
      <c r="L4927">
        <v>3</v>
      </c>
      <c r="M4927">
        <v>0</v>
      </c>
      <c r="N4927">
        <v>2</v>
      </c>
      <c r="O4927">
        <v>0</v>
      </c>
      <c r="P4927">
        <v>1</v>
      </c>
      <c r="Q4927">
        <v>0</v>
      </c>
      <c r="R4927" t="s">
        <v>127</v>
      </c>
      <c r="S4927" t="str">
        <f t="shared" si="1948"/>
        <v>15:18:12.000</v>
      </c>
      <c r="T4927" t="str">
        <f t="shared" si="1948"/>
        <v>15:18:12.000</v>
      </c>
      <c r="U4927" t="str">
        <f t="shared" si="1927"/>
        <v>A68FCB</v>
      </c>
      <c r="V4927">
        <v>0</v>
      </c>
      <c r="W4927">
        <v>0</v>
      </c>
      <c r="X4927">
        <v>2</v>
      </c>
      <c r="Y4927">
        <v>0</v>
      </c>
      <c r="AA4927">
        <v>1</v>
      </c>
      <c r="AB4927">
        <v>8</v>
      </c>
      <c r="AC4927">
        <v>3</v>
      </c>
      <c r="AD4927">
        <v>0</v>
      </c>
      <c r="AE4927">
        <v>9</v>
      </c>
      <c r="AF4927" t="s">
        <v>138</v>
      </c>
      <c r="AG4927">
        <v>0</v>
      </c>
      <c r="AH4927">
        <v>3</v>
      </c>
      <c r="AI4927">
        <v>2</v>
      </c>
      <c r="AJ4927">
        <v>0</v>
      </c>
      <c r="AK4927" t="s">
        <v>1557</v>
      </c>
      <c r="AL4927">
        <v>39.234045000000002</v>
      </c>
      <c r="AM4927" t="s">
        <v>1558</v>
      </c>
      <c r="AN4927">
        <v>-121.002882</v>
      </c>
      <c r="AO4927">
        <v>25</v>
      </c>
      <c r="AP4927">
        <v>4000</v>
      </c>
      <c r="AQ4927" t="s">
        <v>131</v>
      </c>
      <c r="AR4927">
        <v>-83</v>
      </c>
      <c r="AS4927">
        <v>64</v>
      </c>
      <c r="AT4927">
        <v>-192</v>
      </c>
      <c r="BB4927" t="str">
        <f t="shared" si="1928"/>
        <v>1200</v>
      </c>
      <c r="BC4927">
        <v>1</v>
      </c>
      <c r="BD4927" t="str">
        <f t="shared" si="1929"/>
        <v xml:space="preserve">N52156  </v>
      </c>
      <c r="BE4927">
        <v>1</v>
      </c>
      <c r="BG4927">
        <v>0</v>
      </c>
      <c r="BH4927">
        <v>0</v>
      </c>
      <c r="BI4927">
        <v>0</v>
      </c>
      <c r="BJ4927">
        <v>4050</v>
      </c>
      <c r="BK4927">
        <v>50</v>
      </c>
      <c r="BL4927" t="s">
        <v>188</v>
      </c>
      <c r="BM4927">
        <v>1</v>
      </c>
      <c r="BN4927">
        <v>1</v>
      </c>
      <c r="BO4927">
        <v>0</v>
      </c>
      <c r="BP4927">
        <v>0</v>
      </c>
      <c r="BS4927">
        <v>0</v>
      </c>
      <c r="BT4927">
        <v>0</v>
      </c>
      <c r="BU4927">
        <v>0</v>
      </c>
      <c r="CE4927" t="str">
        <f t="shared" si="1949"/>
        <v>15:18:12.495</v>
      </c>
      <c r="CF4927">
        <v>494511487</v>
      </c>
      <c r="CS4927">
        <v>0</v>
      </c>
      <c r="CT4927">
        <v>2</v>
      </c>
      <c r="CU4927">
        <v>0</v>
      </c>
      <c r="CV4927">
        <v>2</v>
      </c>
      <c r="CW4927">
        <v>0</v>
      </c>
      <c r="CX4927">
        <v>3</v>
      </c>
      <c r="CY4927">
        <v>7</v>
      </c>
      <c r="CZ4927" t="s">
        <v>133</v>
      </c>
      <c r="DA4927">
        <v>275</v>
      </c>
      <c r="DB4927">
        <v>0</v>
      </c>
      <c r="DC4927" t="s">
        <v>134</v>
      </c>
      <c r="DD4927" t="s">
        <v>135</v>
      </c>
      <c r="DG4927">
        <v>3323447</v>
      </c>
      <c r="DI4927">
        <v>1</v>
      </c>
      <c r="DJ4927">
        <v>0</v>
      </c>
      <c r="DK4927">
        <v>1</v>
      </c>
      <c r="DL4927">
        <v>0</v>
      </c>
      <c r="DM4927">
        <v>0</v>
      </c>
      <c r="DN4927">
        <v>0</v>
      </c>
      <c r="DO4927">
        <v>0</v>
      </c>
      <c r="DP4927">
        <v>0</v>
      </c>
      <c r="DQ4927">
        <v>0</v>
      </c>
      <c r="DR4927">
        <v>0</v>
      </c>
      <c r="DS4927">
        <v>0</v>
      </c>
    </row>
    <row r="4928" spans="1:123" x14ac:dyDescent="0.3">
      <c r="A4928" t="str">
        <f>"05/01/2025 15:18:14.159"</f>
        <v>05/01/2025 15:18:14.159</v>
      </c>
      <c r="C4928" t="str">
        <f t="shared" si="1926"/>
        <v>FFDFD3C0</v>
      </c>
      <c r="D4928" t="s">
        <v>143</v>
      </c>
      <c r="E4928" t="str">
        <f>"05"</f>
        <v>05</v>
      </c>
      <c r="H4928">
        <v>172</v>
      </c>
      <c r="I4928" t="s">
        <v>141</v>
      </c>
      <c r="J4928" t="s">
        <v>144</v>
      </c>
      <c r="K4928">
        <v>0</v>
      </c>
      <c r="L4928">
        <v>3</v>
      </c>
      <c r="M4928">
        <v>0</v>
      </c>
      <c r="N4928">
        <v>2</v>
      </c>
      <c r="O4928">
        <v>0</v>
      </c>
      <c r="P4928">
        <v>1</v>
      </c>
      <c r="Q4928">
        <v>0</v>
      </c>
      <c r="R4928" t="s">
        <v>127</v>
      </c>
      <c r="S4928" t="str">
        <f t="shared" ref="S4928:T4933" si="1950">"15:18:13.000"</f>
        <v>15:18:13.000</v>
      </c>
      <c r="T4928" t="str">
        <f t="shared" si="1950"/>
        <v>15:18:13.000</v>
      </c>
      <c r="U4928" t="str">
        <f t="shared" si="1927"/>
        <v>A68FCB</v>
      </c>
      <c r="V4928">
        <v>0</v>
      </c>
      <c r="W4928">
        <v>0</v>
      </c>
      <c r="X4928">
        <v>2</v>
      </c>
      <c r="Y4928">
        <v>0</v>
      </c>
      <c r="AA4928">
        <v>1</v>
      </c>
      <c r="AB4928">
        <v>8</v>
      </c>
      <c r="AC4928">
        <v>3</v>
      </c>
      <c r="AD4928">
        <v>0</v>
      </c>
      <c r="AE4928">
        <v>9</v>
      </c>
      <c r="AF4928" t="s">
        <v>138</v>
      </c>
      <c r="AG4928">
        <v>0</v>
      </c>
      <c r="AH4928">
        <v>3</v>
      </c>
      <c r="AI4928">
        <v>2</v>
      </c>
      <c r="AJ4928">
        <v>0</v>
      </c>
      <c r="AK4928" t="s">
        <v>1559</v>
      </c>
      <c r="AL4928">
        <v>39.234344999999998</v>
      </c>
      <c r="AM4928" t="s">
        <v>1560</v>
      </c>
      <c r="AN4928">
        <v>-121.00337500000001</v>
      </c>
      <c r="AO4928">
        <v>25</v>
      </c>
      <c r="AP4928">
        <v>4000</v>
      </c>
      <c r="AQ4928" t="s">
        <v>131</v>
      </c>
      <c r="AR4928">
        <v>-91</v>
      </c>
      <c r="AS4928">
        <v>55</v>
      </c>
      <c r="AT4928">
        <v>-192</v>
      </c>
      <c r="BB4928" t="str">
        <f t="shared" si="1928"/>
        <v>1200</v>
      </c>
      <c r="BC4928">
        <v>1</v>
      </c>
      <c r="BD4928" t="str">
        <f t="shared" si="1929"/>
        <v xml:space="preserve">N52156  </v>
      </c>
      <c r="BE4928">
        <v>1</v>
      </c>
      <c r="BG4928">
        <v>0</v>
      </c>
      <c r="BH4928">
        <v>0</v>
      </c>
      <c r="BI4928">
        <v>0</v>
      </c>
      <c r="BJ4928">
        <v>4050</v>
      </c>
      <c r="BK4928">
        <v>50</v>
      </c>
      <c r="BL4928" t="s">
        <v>188</v>
      </c>
      <c r="BM4928">
        <v>1</v>
      </c>
      <c r="BN4928">
        <v>1</v>
      </c>
      <c r="BO4928">
        <v>0</v>
      </c>
      <c r="BP4928">
        <v>0</v>
      </c>
      <c r="BS4928">
        <v>0</v>
      </c>
      <c r="BT4928">
        <v>0</v>
      </c>
      <c r="BU4928">
        <v>0</v>
      </c>
      <c r="CE4928" t="str">
        <f t="shared" ref="CE4928:CE4933" si="1951">"15:18:13.951"</f>
        <v>15:18:13.951</v>
      </c>
      <c r="CF4928">
        <v>951012532</v>
      </c>
      <c r="CS4928">
        <v>0</v>
      </c>
      <c r="CT4928">
        <v>2</v>
      </c>
      <c r="CU4928">
        <v>0</v>
      </c>
      <c r="CV4928">
        <v>2</v>
      </c>
      <c r="CW4928">
        <v>0</v>
      </c>
      <c r="CX4928">
        <v>2</v>
      </c>
      <c r="CY4928">
        <v>7</v>
      </c>
      <c r="CZ4928" t="s">
        <v>133</v>
      </c>
      <c r="DA4928">
        <v>275</v>
      </c>
      <c r="DB4928">
        <v>0</v>
      </c>
      <c r="DC4928" t="s">
        <v>134</v>
      </c>
      <c r="DD4928" t="s">
        <v>135</v>
      </c>
      <c r="DG4928">
        <v>3323452</v>
      </c>
      <c r="DI4928">
        <v>1</v>
      </c>
      <c r="DJ4928">
        <v>0</v>
      </c>
      <c r="DK4928">
        <v>0</v>
      </c>
      <c r="DL4928">
        <v>0</v>
      </c>
      <c r="DM4928">
        <v>0</v>
      </c>
      <c r="DN4928">
        <v>0</v>
      </c>
      <c r="DO4928">
        <v>0</v>
      </c>
      <c r="DP4928">
        <v>0</v>
      </c>
      <c r="DQ4928">
        <v>0</v>
      </c>
      <c r="DR4928">
        <v>0</v>
      </c>
      <c r="DS4928">
        <v>0</v>
      </c>
    </row>
    <row r="4929" spans="1:123" x14ac:dyDescent="0.3">
      <c r="A4929" t="str">
        <f>"05/01/2025 15:18:14.173"</f>
        <v>05/01/2025 15:18:14.173</v>
      </c>
      <c r="C4929" t="str">
        <f t="shared" si="1926"/>
        <v>FFDFD3C0</v>
      </c>
      <c r="D4929" t="s">
        <v>145</v>
      </c>
      <c r="E4929" t="str">
        <f>"09"</f>
        <v>09</v>
      </c>
      <c r="H4929">
        <v>51</v>
      </c>
      <c r="I4929" t="s">
        <v>147</v>
      </c>
      <c r="J4929" t="s">
        <v>138</v>
      </c>
      <c r="K4929">
        <v>0</v>
      </c>
      <c r="L4929">
        <v>3</v>
      </c>
      <c r="M4929">
        <v>0</v>
      </c>
      <c r="N4929">
        <v>2</v>
      </c>
      <c r="O4929">
        <v>0</v>
      </c>
      <c r="P4929">
        <v>1</v>
      </c>
      <c r="Q4929">
        <v>0</v>
      </c>
      <c r="R4929" t="s">
        <v>127</v>
      </c>
      <c r="S4929" t="str">
        <f t="shared" si="1950"/>
        <v>15:18:13.000</v>
      </c>
      <c r="T4929" t="str">
        <f t="shared" si="1950"/>
        <v>15:18:13.000</v>
      </c>
      <c r="U4929" t="str">
        <f t="shared" si="1927"/>
        <v>A68FCB</v>
      </c>
      <c r="V4929">
        <v>0</v>
      </c>
      <c r="W4929">
        <v>0</v>
      </c>
      <c r="X4929">
        <v>2</v>
      </c>
      <c r="Y4929">
        <v>0</v>
      </c>
      <c r="AA4929">
        <v>1</v>
      </c>
      <c r="AB4929">
        <v>8</v>
      </c>
      <c r="AC4929">
        <v>3</v>
      </c>
      <c r="AD4929">
        <v>0</v>
      </c>
      <c r="AE4929">
        <v>9</v>
      </c>
      <c r="AF4929" t="s">
        <v>138</v>
      </c>
      <c r="AG4929">
        <v>0</v>
      </c>
      <c r="AH4929">
        <v>3</v>
      </c>
      <c r="AI4929">
        <v>2</v>
      </c>
      <c r="AJ4929">
        <v>0</v>
      </c>
      <c r="AK4929" t="s">
        <v>1559</v>
      </c>
      <c r="AL4929">
        <v>39.234344999999998</v>
      </c>
      <c r="AM4929" t="s">
        <v>1560</v>
      </c>
      <c r="AN4929">
        <v>-121.00337500000001</v>
      </c>
      <c r="AO4929">
        <v>25</v>
      </c>
      <c r="AP4929">
        <v>4000</v>
      </c>
      <c r="AQ4929" t="s">
        <v>131</v>
      </c>
      <c r="AR4929">
        <v>-91</v>
      </c>
      <c r="AS4929">
        <v>55</v>
      </c>
      <c r="AT4929">
        <v>-192</v>
      </c>
      <c r="BB4929" t="str">
        <f t="shared" si="1928"/>
        <v>1200</v>
      </c>
      <c r="BC4929">
        <v>1</v>
      </c>
      <c r="BD4929" t="str">
        <f t="shared" si="1929"/>
        <v xml:space="preserve">N52156  </v>
      </c>
      <c r="BE4929">
        <v>1</v>
      </c>
      <c r="BG4929">
        <v>0</v>
      </c>
      <c r="BH4929">
        <v>0</v>
      </c>
      <c r="BI4929">
        <v>0</v>
      </c>
      <c r="BJ4929">
        <v>4050</v>
      </c>
      <c r="BK4929">
        <v>50</v>
      </c>
      <c r="BL4929" t="s">
        <v>188</v>
      </c>
      <c r="BM4929">
        <v>1</v>
      </c>
      <c r="BN4929">
        <v>1</v>
      </c>
      <c r="BO4929">
        <v>0</v>
      </c>
      <c r="BP4929">
        <v>0</v>
      </c>
      <c r="BS4929">
        <v>0</v>
      </c>
      <c r="BT4929">
        <v>0</v>
      </c>
      <c r="BU4929">
        <v>0</v>
      </c>
      <c r="CE4929" t="str">
        <f t="shared" si="1951"/>
        <v>15:18:13.951</v>
      </c>
      <c r="CF4929">
        <v>951012532</v>
      </c>
      <c r="CS4929">
        <v>0</v>
      </c>
      <c r="CT4929">
        <v>2</v>
      </c>
      <c r="CU4929">
        <v>0</v>
      </c>
      <c r="CV4929">
        <v>2</v>
      </c>
      <c r="CW4929">
        <v>0</v>
      </c>
      <c r="CX4929">
        <v>2</v>
      </c>
      <c r="CY4929">
        <v>7</v>
      </c>
      <c r="CZ4929" t="s">
        <v>133</v>
      </c>
      <c r="DA4929">
        <v>275</v>
      </c>
      <c r="DB4929">
        <v>0</v>
      </c>
      <c r="DC4929" t="s">
        <v>134</v>
      </c>
      <c r="DD4929" t="s">
        <v>135</v>
      </c>
      <c r="DG4929">
        <v>3323452</v>
      </c>
      <c r="DI4929">
        <v>1</v>
      </c>
      <c r="DJ4929">
        <v>0</v>
      </c>
      <c r="DK4929">
        <v>1</v>
      </c>
      <c r="DL4929">
        <v>0</v>
      </c>
      <c r="DM4929">
        <v>0</v>
      </c>
      <c r="DN4929">
        <v>0</v>
      </c>
      <c r="DO4929">
        <v>0</v>
      </c>
      <c r="DP4929">
        <v>0</v>
      </c>
      <c r="DQ4929">
        <v>0</v>
      </c>
      <c r="DR4929">
        <v>0</v>
      </c>
      <c r="DS4929">
        <v>0</v>
      </c>
    </row>
    <row r="4930" spans="1:123" x14ac:dyDescent="0.3">
      <c r="A4930" t="str">
        <f>"05/01/2025 15:18:14.175"</f>
        <v>05/01/2025 15:18:14.175</v>
      </c>
      <c r="C4930" t="str">
        <f t="shared" ref="C4930:C4993" si="1952">"FFDFD3C0"</f>
        <v>FFDFD3C0</v>
      </c>
      <c r="D4930" t="s">
        <v>145</v>
      </c>
      <c r="E4930" t="str">
        <f>"05"</f>
        <v>05</v>
      </c>
      <c r="H4930">
        <v>47</v>
      </c>
      <c r="I4930" t="s">
        <v>146</v>
      </c>
      <c r="J4930" t="s">
        <v>138</v>
      </c>
      <c r="K4930">
        <v>0</v>
      </c>
      <c r="L4930">
        <v>3</v>
      </c>
      <c r="M4930">
        <v>0</v>
      </c>
      <c r="N4930">
        <v>2</v>
      </c>
      <c r="O4930">
        <v>0</v>
      </c>
      <c r="P4930">
        <v>1</v>
      </c>
      <c r="Q4930">
        <v>0</v>
      </c>
      <c r="R4930" t="s">
        <v>127</v>
      </c>
      <c r="S4930" t="str">
        <f t="shared" si="1950"/>
        <v>15:18:13.000</v>
      </c>
      <c r="T4930" t="str">
        <f t="shared" si="1950"/>
        <v>15:18:13.000</v>
      </c>
      <c r="U4930" t="str">
        <f t="shared" ref="U4930:U4993" si="1953">"A68FCB"</f>
        <v>A68FCB</v>
      </c>
      <c r="V4930">
        <v>0</v>
      </c>
      <c r="W4930">
        <v>0</v>
      </c>
      <c r="X4930">
        <v>2</v>
      </c>
      <c r="Y4930">
        <v>0</v>
      </c>
      <c r="AA4930">
        <v>1</v>
      </c>
      <c r="AB4930">
        <v>8</v>
      </c>
      <c r="AC4930">
        <v>3</v>
      </c>
      <c r="AD4930">
        <v>0</v>
      </c>
      <c r="AE4930">
        <v>9</v>
      </c>
      <c r="AF4930" t="s">
        <v>138</v>
      </c>
      <c r="AG4930">
        <v>0</v>
      </c>
      <c r="AH4930">
        <v>3</v>
      </c>
      <c r="AI4930">
        <v>2</v>
      </c>
      <c r="AJ4930">
        <v>0</v>
      </c>
      <c r="AK4930" t="s">
        <v>1559</v>
      </c>
      <c r="AL4930">
        <v>39.234344999999998</v>
      </c>
      <c r="AM4930" t="s">
        <v>1560</v>
      </c>
      <c r="AN4930">
        <v>-121.00337500000001</v>
      </c>
      <c r="AO4930">
        <v>25</v>
      </c>
      <c r="AP4930">
        <v>4000</v>
      </c>
      <c r="AQ4930" t="s">
        <v>131</v>
      </c>
      <c r="AR4930">
        <v>-91</v>
      </c>
      <c r="AS4930">
        <v>55</v>
      </c>
      <c r="AT4930">
        <v>-192</v>
      </c>
      <c r="BB4930" t="str">
        <f t="shared" ref="BB4930:BB4993" si="1954">"1200"</f>
        <v>1200</v>
      </c>
      <c r="BC4930">
        <v>1</v>
      </c>
      <c r="BD4930" t="str">
        <f t="shared" ref="BD4930:BD4993" si="1955">"N52156  "</f>
        <v xml:space="preserve">N52156  </v>
      </c>
      <c r="BE4930">
        <v>1</v>
      </c>
      <c r="BG4930">
        <v>0</v>
      </c>
      <c r="BH4930">
        <v>0</v>
      </c>
      <c r="BI4930">
        <v>0</v>
      </c>
      <c r="BJ4930">
        <v>4050</v>
      </c>
      <c r="BK4930">
        <v>50</v>
      </c>
      <c r="BL4930" t="s">
        <v>188</v>
      </c>
      <c r="BM4930">
        <v>1</v>
      </c>
      <c r="BN4930">
        <v>1</v>
      </c>
      <c r="BO4930">
        <v>0</v>
      </c>
      <c r="BP4930">
        <v>0</v>
      </c>
      <c r="BS4930">
        <v>0</v>
      </c>
      <c r="BT4930">
        <v>0</v>
      </c>
      <c r="BU4930">
        <v>0</v>
      </c>
      <c r="CE4930" t="str">
        <f t="shared" si="1951"/>
        <v>15:18:13.951</v>
      </c>
      <c r="CF4930">
        <v>951012532</v>
      </c>
      <c r="CS4930">
        <v>0</v>
      </c>
      <c r="CT4930">
        <v>2</v>
      </c>
      <c r="CU4930">
        <v>0</v>
      </c>
      <c r="CV4930">
        <v>2</v>
      </c>
      <c r="CW4930">
        <v>0</v>
      </c>
      <c r="CX4930">
        <v>2</v>
      </c>
      <c r="CY4930">
        <v>7</v>
      </c>
      <c r="CZ4930" t="s">
        <v>133</v>
      </c>
      <c r="DA4930">
        <v>275</v>
      </c>
      <c r="DB4930">
        <v>0</v>
      </c>
      <c r="DC4930" t="s">
        <v>134</v>
      </c>
      <c r="DD4930" t="s">
        <v>135</v>
      </c>
      <c r="DG4930">
        <v>3323452</v>
      </c>
      <c r="DI4930">
        <v>1</v>
      </c>
      <c r="DJ4930">
        <v>0</v>
      </c>
      <c r="DK4930">
        <v>1</v>
      </c>
      <c r="DL4930">
        <v>0</v>
      </c>
      <c r="DM4930">
        <v>0</v>
      </c>
      <c r="DN4930">
        <v>0</v>
      </c>
      <c r="DO4930">
        <v>0</v>
      </c>
      <c r="DP4930">
        <v>0</v>
      </c>
      <c r="DQ4930">
        <v>0</v>
      </c>
      <c r="DR4930">
        <v>0</v>
      </c>
      <c r="DS4930">
        <v>0</v>
      </c>
    </row>
    <row r="4931" spans="1:123" x14ac:dyDescent="0.3">
      <c r="A4931" t="str">
        <f>"05/01/2025 15:18:14.184"</f>
        <v>05/01/2025 15:18:14.184</v>
      </c>
      <c r="C4931" t="str">
        <f t="shared" si="1952"/>
        <v>FFDFD3C0</v>
      </c>
      <c r="D4931" t="s">
        <v>136</v>
      </c>
      <c r="E4931" t="str">
        <f>"20"</f>
        <v>20</v>
      </c>
      <c r="H4931">
        <v>400</v>
      </c>
      <c r="I4931" t="s">
        <v>137</v>
      </c>
      <c r="J4931" t="s">
        <v>138</v>
      </c>
      <c r="K4931">
        <v>0</v>
      </c>
      <c r="L4931">
        <v>3</v>
      </c>
      <c r="M4931">
        <v>0</v>
      </c>
      <c r="N4931">
        <v>2</v>
      </c>
      <c r="O4931">
        <v>0</v>
      </c>
      <c r="P4931">
        <v>1</v>
      </c>
      <c r="Q4931">
        <v>0</v>
      </c>
      <c r="R4931" t="s">
        <v>127</v>
      </c>
      <c r="S4931" t="str">
        <f t="shared" si="1950"/>
        <v>15:18:13.000</v>
      </c>
      <c r="T4931" t="str">
        <f t="shared" si="1950"/>
        <v>15:18:13.000</v>
      </c>
      <c r="U4931" t="str">
        <f t="shared" si="1953"/>
        <v>A68FCB</v>
      </c>
      <c r="V4931">
        <v>0</v>
      </c>
      <c r="W4931">
        <v>0</v>
      </c>
      <c r="X4931">
        <v>2</v>
      </c>
      <c r="Y4931">
        <v>0</v>
      </c>
      <c r="AA4931">
        <v>1</v>
      </c>
      <c r="AB4931">
        <v>8</v>
      </c>
      <c r="AC4931">
        <v>3</v>
      </c>
      <c r="AD4931">
        <v>0</v>
      </c>
      <c r="AE4931">
        <v>9</v>
      </c>
      <c r="AF4931" t="s">
        <v>138</v>
      </c>
      <c r="AG4931">
        <v>0</v>
      </c>
      <c r="AH4931">
        <v>3</v>
      </c>
      <c r="AI4931">
        <v>2</v>
      </c>
      <c r="AJ4931">
        <v>0</v>
      </c>
      <c r="AK4931" t="s">
        <v>1559</v>
      </c>
      <c r="AL4931">
        <v>39.234344999999998</v>
      </c>
      <c r="AM4931" t="s">
        <v>1560</v>
      </c>
      <c r="AN4931">
        <v>-121.00337500000001</v>
      </c>
      <c r="AO4931">
        <v>25</v>
      </c>
      <c r="AP4931">
        <v>4000</v>
      </c>
      <c r="AQ4931" t="s">
        <v>131</v>
      </c>
      <c r="AR4931">
        <v>-91</v>
      </c>
      <c r="AS4931">
        <v>55</v>
      </c>
      <c r="AT4931">
        <v>-192</v>
      </c>
      <c r="BB4931" t="str">
        <f t="shared" si="1954"/>
        <v>1200</v>
      </c>
      <c r="BC4931">
        <v>1</v>
      </c>
      <c r="BD4931" t="str">
        <f t="shared" si="1955"/>
        <v xml:space="preserve">N52156  </v>
      </c>
      <c r="BE4931">
        <v>1</v>
      </c>
      <c r="BG4931">
        <v>0</v>
      </c>
      <c r="BH4931">
        <v>0</v>
      </c>
      <c r="BI4931">
        <v>0</v>
      </c>
      <c r="BJ4931">
        <v>4050</v>
      </c>
      <c r="BK4931">
        <v>50</v>
      </c>
      <c r="BL4931" t="s">
        <v>188</v>
      </c>
      <c r="BM4931">
        <v>1</v>
      </c>
      <c r="BN4931">
        <v>1</v>
      </c>
      <c r="BO4931">
        <v>0</v>
      </c>
      <c r="BP4931">
        <v>0</v>
      </c>
      <c r="BS4931">
        <v>0</v>
      </c>
      <c r="BT4931">
        <v>0</v>
      </c>
      <c r="BU4931">
        <v>0</v>
      </c>
      <c r="CE4931" t="str">
        <f t="shared" si="1951"/>
        <v>15:18:13.951</v>
      </c>
      <c r="CF4931">
        <v>951012532</v>
      </c>
      <c r="CS4931">
        <v>0</v>
      </c>
      <c r="CT4931">
        <v>2</v>
      </c>
      <c r="CU4931">
        <v>0</v>
      </c>
      <c r="CV4931">
        <v>2</v>
      </c>
      <c r="CW4931">
        <v>0</v>
      </c>
      <c r="CX4931">
        <v>2</v>
      </c>
      <c r="CY4931">
        <v>7</v>
      </c>
      <c r="CZ4931" t="s">
        <v>133</v>
      </c>
      <c r="DA4931">
        <v>275</v>
      </c>
      <c r="DB4931">
        <v>0</v>
      </c>
      <c r="DC4931" t="s">
        <v>134</v>
      </c>
      <c r="DD4931" t="s">
        <v>135</v>
      </c>
      <c r="DG4931">
        <v>3323452</v>
      </c>
      <c r="DI4931">
        <v>1</v>
      </c>
      <c r="DJ4931">
        <v>0</v>
      </c>
      <c r="DK4931">
        <v>1</v>
      </c>
      <c r="DL4931">
        <v>0</v>
      </c>
      <c r="DM4931">
        <v>0</v>
      </c>
      <c r="DN4931">
        <v>0</v>
      </c>
      <c r="DO4931">
        <v>0</v>
      </c>
      <c r="DP4931">
        <v>0</v>
      </c>
      <c r="DQ4931">
        <v>0</v>
      </c>
      <c r="DR4931">
        <v>0</v>
      </c>
      <c r="DS4931">
        <v>0</v>
      </c>
    </row>
    <row r="4932" spans="1:123" x14ac:dyDescent="0.3">
      <c r="A4932" t="str">
        <f>"05/01/2025 15:18:14.199"</f>
        <v>05/01/2025 15:18:14.199</v>
      </c>
      <c r="C4932" t="str">
        <f t="shared" si="1952"/>
        <v>FFDFD3C0</v>
      </c>
      <c r="D4932" t="s">
        <v>140</v>
      </c>
      <c r="E4932" t="str">
        <f>"13"</f>
        <v>13</v>
      </c>
      <c r="F4932">
        <v>1019</v>
      </c>
      <c r="G4932" t="s">
        <v>141</v>
      </c>
      <c r="J4932" t="s">
        <v>142</v>
      </c>
      <c r="K4932">
        <v>0</v>
      </c>
      <c r="L4932">
        <v>3</v>
      </c>
      <c r="M4932">
        <v>0</v>
      </c>
      <c r="N4932">
        <v>2</v>
      </c>
      <c r="O4932">
        <v>0</v>
      </c>
      <c r="P4932">
        <v>1</v>
      </c>
      <c r="Q4932">
        <v>0</v>
      </c>
      <c r="R4932" t="s">
        <v>127</v>
      </c>
      <c r="S4932" t="str">
        <f t="shared" si="1950"/>
        <v>15:18:13.000</v>
      </c>
      <c r="T4932" t="str">
        <f t="shared" si="1950"/>
        <v>15:18:13.000</v>
      </c>
      <c r="U4932" t="str">
        <f t="shared" si="1953"/>
        <v>A68FCB</v>
      </c>
      <c r="V4932">
        <v>0</v>
      </c>
      <c r="W4932">
        <v>0</v>
      </c>
      <c r="X4932">
        <v>2</v>
      </c>
      <c r="Y4932">
        <v>0</v>
      </c>
      <c r="AA4932">
        <v>1</v>
      </c>
      <c r="AB4932">
        <v>8</v>
      </c>
      <c r="AC4932">
        <v>3</v>
      </c>
      <c r="AD4932">
        <v>0</v>
      </c>
      <c r="AE4932">
        <v>9</v>
      </c>
      <c r="AF4932" t="s">
        <v>138</v>
      </c>
      <c r="AG4932">
        <v>0</v>
      </c>
      <c r="AH4932">
        <v>3</v>
      </c>
      <c r="AI4932">
        <v>2</v>
      </c>
      <c r="AJ4932">
        <v>0</v>
      </c>
      <c r="AK4932" t="s">
        <v>1559</v>
      </c>
      <c r="AL4932">
        <v>39.234344999999998</v>
      </c>
      <c r="AM4932" t="s">
        <v>1560</v>
      </c>
      <c r="AN4932">
        <v>-121.00337500000001</v>
      </c>
      <c r="AO4932">
        <v>25</v>
      </c>
      <c r="AP4932">
        <v>4000</v>
      </c>
      <c r="AQ4932" t="s">
        <v>131</v>
      </c>
      <c r="AR4932">
        <v>-91</v>
      </c>
      <c r="AS4932">
        <v>55</v>
      </c>
      <c r="AT4932">
        <v>-192</v>
      </c>
      <c r="BB4932" t="str">
        <f t="shared" si="1954"/>
        <v>1200</v>
      </c>
      <c r="BC4932">
        <v>1</v>
      </c>
      <c r="BD4932" t="str">
        <f t="shared" si="1955"/>
        <v xml:space="preserve">N52156  </v>
      </c>
      <c r="BE4932">
        <v>1</v>
      </c>
      <c r="BG4932">
        <v>0</v>
      </c>
      <c r="BH4932">
        <v>0</v>
      </c>
      <c r="BI4932">
        <v>0</v>
      </c>
      <c r="BJ4932">
        <v>4050</v>
      </c>
      <c r="BK4932">
        <v>50</v>
      </c>
      <c r="BL4932" t="s">
        <v>188</v>
      </c>
      <c r="BM4932">
        <v>1</v>
      </c>
      <c r="BN4932">
        <v>1</v>
      </c>
      <c r="BO4932">
        <v>0</v>
      </c>
      <c r="BP4932">
        <v>0</v>
      </c>
      <c r="BS4932">
        <v>0</v>
      </c>
      <c r="BT4932">
        <v>0</v>
      </c>
      <c r="BU4932">
        <v>0</v>
      </c>
      <c r="CE4932" t="str">
        <f t="shared" si="1951"/>
        <v>15:18:13.951</v>
      </c>
      <c r="CF4932">
        <v>951012532</v>
      </c>
      <c r="CS4932">
        <v>0</v>
      </c>
      <c r="CT4932">
        <v>2</v>
      </c>
      <c r="CU4932">
        <v>0</v>
      </c>
      <c r="CV4932">
        <v>2</v>
      </c>
      <c r="CW4932">
        <v>0</v>
      </c>
      <c r="CX4932">
        <v>2</v>
      </c>
      <c r="CY4932">
        <v>7</v>
      </c>
      <c r="CZ4932" t="s">
        <v>133</v>
      </c>
      <c r="DA4932">
        <v>275</v>
      </c>
      <c r="DB4932">
        <v>0</v>
      </c>
      <c r="DC4932" t="s">
        <v>134</v>
      </c>
      <c r="DD4932" t="s">
        <v>135</v>
      </c>
      <c r="DG4932">
        <v>3323452</v>
      </c>
      <c r="DI4932">
        <v>1</v>
      </c>
      <c r="DJ4932">
        <v>0</v>
      </c>
      <c r="DK4932">
        <v>1</v>
      </c>
      <c r="DL4932">
        <v>0</v>
      </c>
      <c r="DM4932">
        <v>0</v>
      </c>
      <c r="DN4932">
        <v>0</v>
      </c>
      <c r="DO4932">
        <v>0</v>
      </c>
      <c r="DP4932">
        <v>0</v>
      </c>
      <c r="DQ4932">
        <v>0</v>
      </c>
      <c r="DR4932">
        <v>0</v>
      </c>
      <c r="DS4932">
        <v>0</v>
      </c>
    </row>
    <row r="4933" spans="1:123" x14ac:dyDescent="0.3">
      <c r="A4933" t="str">
        <f>"05/01/2025 15:18:14.201"</f>
        <v>05/01/2025 15:18:14.201</v>
      </c>
      <c r="C4933" t="str">
        <f t="shared" si="1952"/>
        <v>FFDFD3C0</v>
      </c>
      <c r="D4933" t="s">
        <v>124</v>
      </c>
      <c r="E4933" t="str">
        <f>"06"</f>
        <v>06</v>
      </c>
      <c r="F4933">
        <v>2006</v>
      </c>
      <c r="G4933" t="s">
        <v>125</v>
      </c>
      <c r="J4933" t="s">
        <v>126</v>
      </c>
      <c r="K4933">
        <v>0</v>
      </c>
      <c r="L4933">
        <v>3</v>
      </c>
      <c r="M4933">
        <v>0</v>
      </c>
      <c r="N4933">
        <v>2</v>
      </c>
      <c r="O4933">
        <v>0</v>
      </c>
      <c r="P4933">
        <v>1</v>
      </c>
      <c r="Q4933">
        <v>0</v>
      </c>
      <c r="R4933" t="s">
        <v>127</v>
      </c>
      <c r="S4933" t="str">
        <f t="shared" si="1950"/>
        <v>15:18:13.000</v>
      </c>
      <c r="T4933" t="str">
        <f t="shared" si="1950"/>
        <v>15:18:13.000</v>
      </c>
      <c r="U4933" t="str">
        <f t="shared" si="1953"/>
        <v>A68FCB</v>
      </c>
      <c r="V4933">
        <v>0</v>
      </c>
      <c r="W4933">
        <v>0</v>
      </c>
      <c r="X4933">
        <v>2</v>
      </c>
      <c r="Y4933">
        <v>0</v>
      </c>
      <c r="AA4933">
        <v>1</v>
      </c>
      <c r="AB4933">
        <v>8</v>
      </c>
      <c r="AC4933">
        <v>3</v>
      </c>
      <c r="AD4933">
        <v>0</v>
      </c>
      <c r="AE4933">
        <v>9</v>
      </c>
      <c r="AF4933" t="s">
        <v>138</v>
      </c>
      <c r="AG4933">
        <v>0</v>
      </c>
      <c r="AH4933">
        <v>3</v>
      </c>
      <c r="AI4933">
        <v>2</v>
      </c>
      <c r="AJ4933">
        <v>0</v>
      </c>
      <c r="AK4933" t="s">
        <v>1559</v>
      </c>
      <c r="AL4933">
        <v>39.234344999999998</v>
      </c>
      <c r="AM4933" t="s">
        <v>1560</v>
      </c>
      <c r="AN4933">
        <v>-121.00337500000001</v>
      </c>
      <c r="AO4933">
        <v>25</v>
      </c>
      <c r="AP4933">
        <v>4000</v>
      </c>
      <c r="AQ4933" t="s">
        <v>131</v>
      </c>
      <c r="AR4933">
        <v>-91</v>
      </c>
      <c r="AS4933">
        <v>55</v>
      </c>
      <c r="AT4933">
        <v>-192</v>
      </c>
      <c r="BB4933" t="str">
        <f t="shared" si="1954"/>
        <v>1200</v>
      </c>
      <c r="BC4933">
        <v>1</v>
      </c>
      <c r="BD4933" t="str">
        <f t="shared" si="1955"/>
        <v xml:space="preserve">N52156  </v>
      </c>
      <c r="BE4933">
        <v>1</v>
      </c>
      <c r="BG4933">
        <v>0</v>
      </c>
      <c r="BH4933">
        <v>0</v>
      </c>
      <c r="BI4933">
        <v>0</v>
      </c>
      <c r="BJ4933">
        <v>4050</v>
      </c>
      <c r="BK4933">
        <v>50</v>
      </c>
      <c r="BL4933" t="s">
        <v>188</v>
      </c>
      <c r="BM4933">
        <v>1</v>
      </c>
      <c r="BN4933">
        <v>1</v>
      </c>
      <c r="BO4933">
        <v>0</v>
      </c>
      <c r="BP4933">
        <v>0</v>
      </c>
      <c r="BS4933">
        <v>0</v>
      </c>
      <c r="BT4933">
        <v>0</v>
      </c>
      <c r="BU4933">
        <v>0</v>
      </c>
      <c r="CE4933" t="str">
        <f t="shared" si="1951"/>
        <v>15:18:13.951</v>
      </c>
      <c r="CF4933">
        <v>951012532</v>
      </c>
      <c r="CS4933">
        <v>0</v>
      </c>
      <c r="CT4933">
        <v>2</v>
      </c>
      <c r="CU4933">
        <v>0</v>
      </c>
      <c r="CV4933">
        <v>2</v>
      </c>
      <c r="CW4933">
        <v>0</v>
      </c>
      <c r="CX4933">
        <v>2</v>
      </c>
      <c r="CY4933">
        <v>7</v>
      </c>
      <c r="CZ4933" t="s">
        <v>133</v>
      </c>
      <c r="DA4933">
        <v>275</v>
      </c>
      <c r="DB4933">
        <v>0</v>
      </c>
      <c r="DC4933" t="s">
        <v>134</v>
      </c>
      <c r="DD4933" t="s">
        <v>135</v>
      </c>
      <c r="DG4933">
        <v>3323452</v>
      </c>
      <c r="DI4933">
        <v>1</v>
      </c>
      <c r="DJ4933">
        <v>0</v>
      </c>
      <c r="DK4933">
        <v>1</v>
      </c>
      <c r="DL4933">
        <v>0</v>
      </c>
      <c r="DM4933">
        <v>0</v>
      </c>
      <c r="DN4933">
        <v>0</v>
      </c>
      <c r="DO4933">
        <v>0</v>
      </c>
      <c r="DP4933">
        <v>0</v>
      </c>
      <c r="DQ4933">
        <v>0</v>
      </c>
      <c r="DR4933">
        <v>0</v>
      </c>
      <c r="DS4933">
        <v>0</v>
      </c>
    </row>
    <row r="4934" spans="1:123" x14ac:dyDescent="0.3">
      <c r="A4934" t="str">
        <f>"05/01/2025 15:18:14.599"</f>
        <v>05/01/2025 15:18:14.599</v>
      </c>
      <c r="C4934" t="str">
        <f t="shared" si="1952"/>
        <v>FFDFD3C0</v>
      </c>
      <c r="D4934" t="s">
        <v>140</v>
      </c>
      <c r="E4934" t="str">
        <f>"13"</f>
        <v>13</v>
      </c>
      <c r="F4934">
        <v>1019</v>
      </c>
      <c r="G4934" t="s">
        <v>141</v>
      </c>
      <c r="J4934" t="s">
        <v>142</v>
      </c>
      <c r="K4934">
        <v>0</v>
      </c>
      <c r="L4934">
        <v>3</v>
      </c>
      <c r="M4934">
        <v>0</v>
      </c>
      <c r="N4934">
        <v>2</v>
      </c>
      <c r="O4934">
        <v>0</v>
      </c>
      <c r="P4934">
        <v>1</v>
      </c>
      <c r="Q4934">
        <v>0</v>
      </c>
      <c r="R4934" t="s">
        <v>127</v>
      </c>
      <c r="S4934" t="str">
        <f t="shared" ref="S4934:T4939" si="1956">"15:18:14.000"</f>
        <v>15:18:14.000</v>
      </c>
      <c r="T4934" t="str">
        <f t="shared" si="1956"/>
        <v>15:18:14.000</v>
      </c>
      <c r="U4934" t="str">
        <f t="shared" si="1953"/>
        <v>A68FCB</v>
      </c>
      <c r="V4934">
        <v>0</v>
      </c>
      <c r="W4934">
        <v>0</v>
      </c>
      <c r="X4934">
        <v>2</v>
      </c>
      <c r="Y4934">
        <v>0</v>
      </c>
      <c r="AA4934">
        <v>1</v>
      </c>
      <c r="AB4934">
        <v>8</v>
      </c>
      <c r="AC4934">
        <v>3</v>
      </c>
      <c r="AD4934">
        <v>0</v>
      </c>
      <c r="AE4934">
        <v>9</v>
      </c>
      <c r="AF4934" t="s">
        <v>138</v>
      </c>
      <c r="AG4934">
        <v>0</v>
      </c>
      <c r="AH4934">
        <v>3</v>
      </c>
      <c r="AI4934">
        <v>2</v>
      </c>
      <c r="AJ4934">
        <v>0</v>
      </c>
      <c r="AK4934" t="s">
        <v>1561</v>
      </c>
      <c r="AL4934">
        <v>39.234623999999997</v>
      </c>
      <c r="AM4934" t="s">
        <v>1562</v>
      </c>
      <c r="AN4934">
        <v>-121.003911</v>
      </c>
      <c r="AO4934">
        <v>25</v>
      </c>
      <c r="AP4934">
        <v>4000</v>
      </c>
      <c r="AQ4934" t="s">
        <v>131</v>
      </c>
      <c r="AR4934">
        <v>-93</v>
      </c>
      <c r="AS4934">
        <v>52</v>
      </c>
      <c r="AT4934">
        <v>-192</v>
      </c>
      <c r="BB4934" t="str">
        <f t="shared" si="1954"/>
        <v>1200</v>
      </c>
      <c r="BC4934">
        <v>1</v>
      </c>
      <c r="BD4934" t="str">
        <f t="shared" si="1955"/>
        <v xml:space="preserve">N52156  </v>
      </c>
      <c r="BE4934">
        <v>1</v>
      </c>
      <c r="BG4934">
        <v>0</v>
      </c>
      <c r="BH4934">
        <v>0</v>
      </c>
      <c r="BI4934">
        <v>0</v>
      </c>
      <c r="BJ4934">
        <v>4050</v>
      </c>
      <c r="BK4934">
        <v>50</v>
      </c>
      <c r="BL4934" t="s">
        <v>188</v>
      </c>
      <c r="BM4934">
        <v>1</v>
      </c>
      <c r="BN4934">
        <v>1</v>
      </c>
      <c r="BO4934">
        <v>0</v>
      </c>
      <c r="BP4934">
        <v>0</v>
      </c>
      <c r="BS4934">
        <v>0</v>
      </c>
      <c r="BT4934">
        <v>0</v>
      </c>
      <c r="BU4934">
        <v>0</v>
      </c>
      <c r="CE4934" t="str">
        <f t="shared" ref="CE4934:CE4939" si="1957">"15:18:14.364"</f>
        <v>15:18:14.364</v>
      </c>
      <c r="CF4934">
        <v>363511250</v>
      </c>
      <c r="CS4934">
        <v>0</v>
      </c>
      <c r="CT4934">
        <v>2</v>
      </c>
      <c r="CU4934">
        <v>0</v>
      </c>
      <c r="CV4934">
        <v>2</v>
      </c>
      <c r="CW4934">
        <v>0</v>
      </c>
      <c r="CX4934">
        <v>3</v>
      </c>
      <c r="CY4934">
        <v>7</v>
      </c>
      <c r="CZ4934" t="s">
        <v>133</v>
      </c>
      <c r="DA4934">
        <v>275</v>
      </c>
      <c r="DB4934">
        <v>0</v>
      </c>
      <c r="DC4934" t="s">
        <v>134</v>
      </c>
      <c r="DD4934" t="s">
        <v>135</v>
      </c>
      <c r="DG4934">
        <v>3323455</v>
      </c>
      <c r="DI4934">
        <v>1</v>
      </c>
      <c r="DJ4934">
        <v>0</v>
      </c>
      <c r="DK4934">
        <v>0</v>
      </c>
      <c r="DL4934">
        <v>0</v>
      </c>
      <c r="DM4934">
        <v>0</v>
      </c>
      <c r="DN4934">
        <v>0</v>
      </c>
      <c r="DO4934">
        <v>0</v>
      </c>
      <c r="DP4934">
        <v>0</v>
      </c>
      <c r="DQ4934">
        <v>0</v>
      </c>
      <c r="DR4934">
        <v>0</v>
      </c>
      <c r="DS4934">
        <v>0</v>
      </c>
    </row>
    <row r="4935" spans="1:123" x14ac:dyDescent="0.3">
      <c r="A4935" t="str">
        <f>"05/01/2025 15:18:14.602"</f>
        <v>05/01/2025 15:18:14.602</v>
      </c>
      <c r="C4935" t="str">
        <f t="shared" si="1952"/>
        <v>FFDFD3C0</v>
      </c>
      <c r="D4935" t="s">
        <v>124</v>
      </c>
      <c r="E4935" t="str">
        <f>"06"</f>
        <v>06</v>
      </c>
      <c r="F4935">
        <v>2006</v>
      </c>
      <c r="G4935" t="s">
        <v>125</v>
      </c>
      <c r="J4935" t="s">
        <v>126</v>
      </c>
      <c r="K4935">
        <v>0</v>
      </c>
      <c r="L4935">
        <v>3</v>
      </c>
      <c r="M4935">
        <v>0</v>
      </c>
      <c r="N4935">
        <v>2</v>
      </c>
      <c r="O4935">
        <v>0</v>
      </c>
      <c r="P4935">
        <v>1</v>
      </c>
      <c r="Q4935">
        <v>0</v>
      </c>
      <c r="R4935" t="s">
        <v>127</v>
      </c>
      <c r="S4935" t="str">
        <f t="shared" si="1956"/>
        <v>15:18:14.000</v>
      </c>
      <c r="T4935" t="str">
        <f t="shared" si="1956"/>
        <v>15:18:14.000</v>
      </c>
      <c r="U4935" t="str">
        <f t="shared" si="1953"/>
        <v>A68FCB</v>
      </c>
      <c r="V4935">
        <v>0</v>
      </c>
      <c r="W4935">
        <v>0</v>
      </c>
      <c r="X4935">
        <v>2</v>
      </c>
      <c r="Y4935">
        <v>0</v>
      </c>
      <c r="AA4935">
        <v>1</v>
      </c>
      <c r="AB4935">
        <v>8</v>
      </c>
      <c r="AC4935">
        <v>3</v>
      </c>
      <c r="AD4935">
        <v>0</v>
      </c>
      <c r="AE4935">
        <v>9</v>
      </c>
      <c r="AF4935" t="s">
        <v>138</v>
      </c>
      <c r="AG4935">
        <v>0</v>
      </c>
      <c r="AH4935">
        <v>3</v>
      </c>
      <c r="AI4935">
        <v>2</v>
      </c>
      <c r="AJ4935">
        <v>0</v>
      </c>
      <c r="AK4935" t="s">
        <v>1561</v>
      </c>
      <c r="AL4935">
        <v>39.234623999999997</v>
      </c>
      <c r="AM4935" t="s">
        <v>1562</v>
      </c>
      <c r="AN4935">
        <v>-121.003911</v>
      </c>
      <c r="AO4935">
        <v>25</v>
      </c>
      <c r="AP4935">
        <v>4000</v>
      </c>
      <c r="AQ4935" t="s">
        <v>131</v>
      </c>
      <c r="AR4935">
        <v>-93</v>
      </c>
      <c r="AS4935">
        <v>52</v>
      </c>
      <c r="AT4935">
        <v>-192</v>
      </c>
      <c r="BB4935" t="str">
        <f t="shared" si="1954"/>
        <v>1200</v>
      </c>
      <c r="BC4935">
        <v>1</v>
      </c>
      <c r="BD4935" t="str">
        <f t="shared" si="1955"/>
        <v xml:space="preserve">N52156  </v>
      </c>
      <c r="BE4935">
        <v>1</v>
      </c>
      <c r="BG4935">
        <v>0</v>
      </c>
      <c r="BH4935">
        <v>0</v>
      </c>
      <c r="BI4935">
        <v>0</v>
      </c>
      <c r="BJ4935">
        <v>4050</v>
      </c>
      <c r="BK4935">
        <v>50</v>
      </c>
      <c r="BL4935" t="s">
        <v>188</v>
      </c>
      <c r="BM4935">
        <v>1</v>
      </c>
      <c r="BN4935">
        <v>1</v>
      </c>
      <c r="BO4935">
        <v>0</v>
      </c>
      <c r="BP4935">
        <v>0</v>
      </c>
      <c r="BS4935">
        <v>0</v>
      </c>
      <c r="BT4935">
        <v>0</v>
      </c>
      <c r="BU4935">
        <v>0</v>
      </c>
      <c r="CE4935" t="str">
        <f t="shared" si="1957"/>
        <v>15:18:14.364</v>
      </c>
      <c r="CF4935">
        <v>363511250</v>
      </c>
      <c r="CS4935">
        <v>0</v>
      </c>
      <c r="CT4935">
        <v>2</v>
      </c>
      <c r="CU4935">
        <v>0</v>
      </c>
      <c r="CV4935">
        <v>2</v>
      </c>
      <c r="CW4935">
        <v>0</v>
      </c>
      <c r="CX4935">
        <v>3</v>
      </c>
      <c r="CY4935">
        <v>7</v>
      </c>
      <c r="CZ4935" t="s">
        <v>133</v>
      </c>
      <c r="DA4935">
        <v>275</v>
      </c>
      <c r="DB4935">
        <v>0</v>
      </c>
      <c r="DC4935" t="s">
        <v>134</v>
      </c>
      <c r="DD4935" t="s">
        <v>135</v>
      </c>
      <c r="DG4935">
        <v>3323455</v>
      </c>
      <c r="DI4935">
        <v>1</v>
      </c>
      <c r="DJ4935">
        <v>0</v>
      </c>
      <c r="DK4935">
        <v>1</v>
      </c>
      <c r="DL4935">
        <v>0</v>
      </c>
      <c r="DM4935">
        <v>0</v>
      </c>
      <c r="DN4935">
        <v>0</v>
      </c>
      <c r="DO4935">
        <v>0</v>
      </c>
      <c r="DP4935">
        <v>0</v>
      </c>
      <c r="DQ4935">
        <v>0</v>
      </c>
      <c r="DR4935">
        <v>0</v>
      </c>
      <c r="DS4935">
        <v>0</v>
      </c>
    </row>
    <row r="4936" spans="1:123" x14ac:dyDescent="0.3">
      <c r="A4936" t="str">
        <f>"05/01/2025 15:18:14.610"</f>
        <v>05/01/2025 15:18:14.610</v>
      </c>
      <c r="C4936" t="str">
        <f t="shared" si="1952"/>
        <v>FFDFD3C0</v>
      </c>
      <c r="D4936" t="s">
        <v>143</v>
      </c>
      <c r="E4936" t="str">
        <f>"05"</f>
        <v>05</v>
      </c>
      <c r="H4936">
        <v>172</v>
      </c>
      <c r="I4936" t="s">
        <v>141</v>
      </c>
      <c r="J4936" t="s">
        <v>144</v>
      </c>
      <c r="K4936">
        <v>0</v>
      </c>
      <c r="L4936">
        <v>3</v>
      </c>
      <c r="M4936">
        <v>0</v>
      </c>
      <c r="N4936">
        <v>2</v>
      </c>
      <c r="O4936">
        <v>0</v>
      </c>
      <c r="P4936">
        <v>1</v>
      </c>
      <c r="Q4936">
        <v>0</v>
      </c>
      <c r="R4936" t="s">
        <v>127</v>
      </c>
      <c r="S4936" t="str">
        <f t="shared" si="1956"/>
        <v>15:18:14.000</v>
      </c>
      <c r="T4936" t="str">
        <f t="shared" si="1956"/>
        <v>15:18:14.000</v>
      </c>
      <c r="U4936" t="str">
        <f t="shared" si="1953"/>
        <v>A68FCB</v>
      </c>
      <c r="V4936">
        <v>0</v>
      </c>
      <c r="W4936">
        <v>0</v>
      </c>
      <c r="X4936">
        <v>2</v>
      </c>
      <c r="Y4936">
        <v>0</v>
      </c>
      <c r="AA4936">
        <v>1</v>
      </c>
      <c r="AB4936">
        <v>8</v>
      </c>
      <c r="AC4936">
        <v>3</v>
      </c>
      <c r="AD4936">
        <v>0</v>
      </c>
      <c r="AE4936">
        <v>9</v>
      </c>
      <c r="AF4936" t="s">
        <v>138</v>
      </c>
      <c r="AG4936">
        <v>0</v>
      </c>
      <c r="AH4936">
        <v>3</v>
      </c>
      <c r="AI4936">
        <v>2</v>
      </c>
      <c r="AJ4936">
        <v>0</v>
      </c>
      <c r="AK4936" t="s">
        <v>1561</v>
      </c>
      <c r="AL4936">
        <v>39.234623999999997</v>
      </c>
      <c r="AM4936" t="s">
        <v>1562</v>
      </c>
      <c r="AN4936">
        <v>-121.003911</v>
      </c>
      <c r="AO4936">
        <v>25</v>
      </c>
      <c r="AP4936">
        <v>4000</v>
      </c>
      <c r="AQ4936" t="s">
        <v>131</v>
      </c>
      <c r="AR4936">
        <v>-93</v>
      </c>
      <c r="AS4936">
        <v>52</v>
      </c>
      <c r="AT4936">
        <v>-192</v>
      </c>
      <c r="BB4936" t="str">
        <f t="shared" si="1954"/>
        <v>1200</v>
      </c>
      <c r="BC4936">
        <v>1</v>
      </c>
      <c r="BD4936" t="str">
        <f t="shared" si="1955"/>
        <v xml:space="preserve">N52156  </v>
      </c>
      <c r="BE4936">
        <v>1</v>
      </c>
      <c r="BG4936">
        <v>0</v>
      </c>
      <c r="BH4936">
        <v>0</v>
      </c>
      <c r="BI4936">
        <v>0</v>
      </c>
      <c r="BJ4936">
        <v>4050</v>
      </c>
      <c r="BK4936">
        <v>50</v>
      </c>
      <c r="BL4936" t="s">
        <v>188</v>
      </c>
      <c r="BM4936">
        <v>1</v>
      </c>
      <c r="BN4936">
        <v>1</v>
      </c>
      <c r="BO4936">
        <v>0</v>
      </c>
      <c r="BP4936">
        <v>0</v>
      </c>
      <c r="BS4936">
        <v>0</v>
      </c>
      <c r="BT4936">
        <v>0</v>
      </c>
      <c r="BU4936">
        <v>0</v>
      </c>
      <c r="CE4936" t="str">
        <f t="shared" si="1957"/>
        <v>15:18:14.364</v>
      </c>
      <c r="CF4936">
        <v>363511250</v>
      </c>
      <c r="CS4936">
        <v>0</v>
      </c>
      <c r="CT4936">
        <v>2</v>
      </c>
      <c r="CU4936">
        <v>0</v>
      </c>
      <c r="CV4936">
        <v>2</v>
      </c>
      <c r="CW4936">
        <v>0</v>
      </c>
      <c r="CX4936">
        <v>3</v>
      </c>
      <c r="CY4936">
        <v>7</v>
      </c>
      <c r="CZ4936" t="s">
        <v>133</v>
      </c>
      <c r="DA4936">
        <v>275</v>
      </c>
      <c r="DB4936">
        <v>0</v>
      </c>
      <c r="DC4936" t="s">
        <v>134</v>
      </c>
      <c r="DD4936" t="s">
        <v>135</v>
      </c>
      <c r="DG4936">
        <v>3323455</v>
      </c>
      <c r="DI4936">
        <v>1</v>
      </c>
      <c r="DJ4936">
        <v>0</v>
      </c>
      <c r="DK4936">
        <v>1</v>
      </c>
      <c r="DL4936">
        <v>0</v>
      </c>
      <c r="DM4936">
        <v>0</v>
      </c>
      <c r="DN4936">
        <v>0</v>
      </c>
      <c r="DO4936">
        <v>0</v>
      </c>
      <c r="DP4936">
        <v>0</v>
      </c>
      <c r="DQ4936">
        <v>0</v>
      </c>
      <c r="DR4936">
        <v>0</v>
      </c>
      <c r="DS4936">
        <v>0</v>
      </c>
    </row>
    <row r="4937" spans="1:123" x14ac:dyDescent="0.3">
      <c r="A4937" t="str">
        <f>"05/01/2025 15:18:14.623"</f>
        <v>05/01/2025 15:18:14.623</v>
      </c>
      <c r="C4937" t="str">
        <f t="shared" si="1952"/>
        <v>FFDFD3C0</v>
      </c>
      <c r="D4937" t="s">
        <v>145</v>
      </c>
      <c r="E4937" t="str">
        <f>"09"</f>
        <v>09</v>
      </c>
      <c r="H4937">
        <v>51</v>
      </c>
      <c r="I4937" t="s">
        <v>147</v>
      </c>
      <c r="J4937" t="s">
        <v>138</v>
      </c>
      <c r="K4937">
        <v>0</v>
      </c>
      <c r="L4937">
        <v>3</v>
      </c>
      <c r="M4937">
        <v>0</v>
      </c>
      <c r="N4937">
        <v>2</v>
      </c>
      <c r="O4937">
        <v>0</v>
      </c>
      <c r="P4937">
        <v>1</v>
      </c>
      <c r="Q4937">
        <v>0</v>
      </c>
      <c r="R4937" t="s">
        <v>127</v>
      </c>
      <c r="S4937" t="str">
        <f t="shared" si="1956"/>
        <v>15:18:14.000</v>
      </c>
      <c r="T4937" t="str">
        <f t="shared" si="1956"/>
        <v>15:18:14.000</v>
      </c>
      <c r="U4937" t="str">
        <f t="shared" si="1953"/>
        <v>A68FCB</v>
      </c>
      <c r="V4937">
        <v>0</v>
      </c>
      <c r="W4937">
        <v>0</v>
      </c>
      <c r="X4937">
        <v>2</v>
      </c>
      <c r="Y4937">
        <v>0</v>
      </c>
      <c r="AA4937">
        <v>1</v>
      </c>
      <c r="AB4937">
        <v>8</v>
      </c>
      <c r="AC4937">
        <v>3</v>
      </c>
      <c r="AD4937">
        <v>0</v>
      </c>
      <c r="AE4937">
        <v>9</v>
      </c>
      <c r="AF4937" t="s">
        <v>138</v>
      </c>
      <c r="AG4937">
        <v>0</v>
      </c>
      <c r="AH4937">
        <v>3</v>
      </c>
      <c r="AI4937">
        <v>2</v>
      </c>
      <c r="AJ4937">
        <v>0</v>
      </c>
      <c r="AK4937" t="s">
        <v>1561</v>
      </c>
      <c r="AL4937">
        <v>39.234623999999997</v>
      </c>
      <c r="AM4937" t="s">
        <v>1562</v>
      </c>
      <c r="AN4937">
        <v>-121.003911</v>
      </c>
      <c r="AO4937">
        <v>25</v>
      </c>
      <c r="AP4937">
        <v>4000</v>
      </c>
      <c r="AQ4937" t="s">
        <v>131</v>
      </c>
      <c r="AR4937">
        <v>-93</v>
      </c>
      <c r="AS4937">
        <v>52</v>
      </c>
      <c r="AT4937">
        <v>-192</v>
      </c>
      <c r="BB4937" t="str">
        <f t="shared" si="1954"/>
        <v>1200</v>
      </c>
      <c r="BC4937">
        <v>1</v>
      </c>
      <c r="BD4937" t="str">
        <f t="shared" si="1955"/>
        <v xml:space="preserve">N52156  </v>
      </c>
      <c r="BE4937">
        <v>1</v>
      </c>
      <c r="BG4937">
        <v>0</v>
      </c>
      <c r="BH4937">
        <v>0</v>
      </c>
      <c r="BI4937">
        <v>0</v>
      </c>
      <c r="BJ4937">
        <v>4050</v>
      </c>
      <c r="BK4937">
        <v>50</v>
      </c>
      <c r="BL4937" t="s">
        <v>188</v>
      </c>
      <c r="BM4937">
        <v>1</v>
      </c>
      <c r="BN4937">
        <v>1</v>
      </c>
      <c r="BO4937">
        <v>0</v>
      </c>
      <c r="BP4937">
        <v>0</v>
      </c>
      <c r="BS4937">
        <v>0</v>
      </c>
      <c r="BT4937">
        <v>0</v>
      </c>
      <c r="BU4937">
        <v>0</v>
      </c>
      <c r="CE4937" t="str">
        <f t="shared" si="1957"/>
        <v>15:18:14.364</v>
      </c>
      <c r="CF4937">
        <v>363511250</v>
      </c>
      <c r="CS4937">
        <v>0</v>
      </c>
      <c r="CT4937">
        <v>2</v>
      </c>
      <c r="CU4937">
        <v>0</v>
      </c>
      <c r="CV4937">
        <v>2</v>
      </c>
      <c r="CW4937">
        <v>0</v>
      </c>
      <c r="CX4937">
        <v>3</v>
      </c>
      <c r="CY4937">
        <v>7</v>
      </c>
      <c r="CZ4937" t="s">
        <v>133</v>
      </c>
      <c r="DA4937">
        <v>275</v>
      </c>
      <c r="DB4937">
        <v>0</v>
      </c>
      <c r="DC4937" t="s">
        <v>134</v>
      </c>
      <c r="DD4937" t="s">
        <v>135</v>
      </c>
      <c r="DG4937">
        <v>3323455</v>
      </c>
      <c r="DI4937">
        <v>1</v>
      </c>
      <c r="DJ4937">
        <v>0</v>
      </c>
      <c r="DK4937">
        <v>1</v>
      </c>
      <c r="DL4937">
        <v>0</v>
      </c>
      <c r="DM4937">
        <v>0</v>
      </c>
      <c r="DN4937">
        <v>0</v>
      </c>
      <c r="DO4937">
        <v>0</v>
      </c>
      <c r="DP4937">
        <v>0</v>
      </c>
      <c r="DQ4937">
        <v>0</v>
      </c>
      <c r="DR4937">
        <v>0</v>
      </c>
      <c r="DS4937">
        <v>0</v>
      </c>
    </row>
    <row r="4938" spans="1:123" x14ac:dyDescent="0.3">
      <c r="A4938" t="str">
        <f>"05/01/2025 15:18:14.626"</f>
        <v>05/01/2025 15:18:14.626</v>
      </c>
      <c r="C4938" t="str">
        <f t="shared" si="1952"/>
        <v>FFDFD3C0</v>
      </c>
      <c r="D4938" t="s">
        <v>145</v>
      </c>
      <c r="E4938" t="str">
        <f>"05"</f>
        <v>05</v>
      </c>
      <c r="H4938">
        <v>47</v>
      </c>
      <c r="I4938" t="s">
        <v>146</v>
      </c>
      <c r="J4938" t="s">
        <v>138</v>
      </c>
      <c r="K4938">
        <v>0</v>
      </c>
      <c r="L4938">
        <v>3</v>
      </c>
      <c r="M4938">
        <v>0</v>
      </c>
      <c r="N4938">
        <v>2</v>
      </c>
      <c r="O4938">
        <v>0</v>
      </c>
      <c r="P4938">
        <v>1</v>
      </c>
      <c r="Q4938">
        <v>0</v>
      </c>
      <c r="R4938" t="s">
        <v>127</v>
      </c>
      <c r="S4938" t="str">
        <f t="shared" si="1956"/>
        <v>15:18:14.000</v>
      </c>
      <c r="T4938" t="str">
        <f t="shared" si="1956"/>
        <v>15:18:14.000</v>
      </c>
      <c r="U4938" t="str">
        <f t="shared" si="1953"/>
        <v>A68FCB</v>
      </c>
      <c r="V4938">
        <v>0</v>
      </c>
      <c r="W4938">
        <v>0</v>
      </c>
      <c r="X4938">
        <v>2</v>
      </c>
      <c r="Y4938">
        <v>0</v>
      </c>
      <c r="AA4938">
        <v>1</v>
      </c>
      <c r="AB4938">
        <v>8</v>
      </c>
      <c r="AC4938">
        <v>3</v>
      </c>
      <c r="AD4938">
        <v>0</v>
      </c>
      <c r="AE4938">
        <v>9</v>
      </c>
      <c r="AF4938" t="s">
        <v>138</v>
      </c>
      <c r="AG4938">
        <v>0</v>
      </c>
      <c r="AH4938">
        <v>3</v>
      </c>
      <c r="AI4938">
        <v>2</v>
      </c>
      <c r="AJ4938">
        <v>0</v>
      </c>
      <c r="AK4938" t="s">
        <v>1561</v>
      </c>
      <c r="AL4938">
        <v>39.234623999999997</v>
      </c>
      <c r="AM4938" t="s">
        <v>1562</v>
      </c>
      <c r="AN4938">
        <v>-121.003911</v>
      </c>
      <c r="AO4938">
        <v>25</v>
      </c>
      <c r="AP4938">
        <v>4000</v>
      </c>
      <c r="AQ4938" t="s">
        <v>131</v>
      </c>
      <c r="AR4938">
        <v>-93</v>
      </c>
      <c r="AS4938">
        <v>52</v>
      </c>
      <c r="AT4938">
        <v>-192</v>
      </c>
      <c r="BB4938" t="str">
        <f t="shared" si="1954"/>
        <v>1200</v>
      </c>
      <c r="BC4938">
        <v>1</v>
      </c>
      <c r="BD4938" t="str">
        <f t="shared" si="1955"/>
        <v xml:space="preserve">N52156  </v>
      </c>
      <c r="BE4938">
        <v>1</v>
      </c>
      <c r="BG4938">
        <v>0</v>
      </c>
      <c r="BH4938">
        <v>0</v>
      </c>
      <c r="BI4938">
        <v>0</v>
      </c>
      <c r="BJ4938">
        <v>4050</v>
      </c>
      <c r="BK4938">
        <v>50</v>
      </c>
      <c r="BL4938" t="s">
        <v>188</v>
      </c>
      <c r="BM4938">
        <v>1</v>
      </c>
      <c r="BN4938">
        <v>1</v>
      </c>
      <c r="BO4938">
        <v>0</v>
      </c>
      <c r="BP4938">
        <v>0</v>
      </c>
      <c r="BS4938">
        <v>0</v>
      </c>
      <c r="BT4938">
        <v>0</v>
      </c>
      <c r="BU4938">
        <v>0</v>
      </c>
      <c r="CE4938" t="str">
        <f t="shared" si="1957"/>
        <v>15:18:14.364</v>
      </c>
      <c r="CF4938">
        <v>363511250</v>
      </c>
      <c r="CS4938">
        <v>0</v>
      </c>
      <c r="CT4938">
        <v>2</v>
      </c>
      <c r="CU4938">
        <v>0</v>
      </c>
      <c r="CV4938">
        <v>2</v>
      </c>
      <c r="CW4938">
        <v>0</v>
      </c>
      <c r="CX4938">
        <v>3</v>
      </c>
      <c r="CY4938">
        <v>7</v>
      </c>
      <c r="CZ4938" t="s">
        <v>133</v>
      </c>
      <c r="DA4938">
        <v>275</v>
      </c>
      <c r="DB4938">
        <v>0</v>
      </c>
      <c r="DC4938" t="s">
        <v>134</v>
      </c>
      <c r="DD4938" t="s">
        <v>135</v>
      </c>
      <c r="DG4938">
        <v>3323455</v>
      </c>
      <c r="DI4938">
        <v>1</v>
      </c>
      <c r="DJ4938">
        <v>0</v>
      </c>
      <c r="DK4938">
        <v>1</v>
      </c>
      <c r="DL4938">
        <v>0</v>
      </c>
      <c r="DM4938">
        <v>0</v>
      </c>
      <c r="DN4938">
        <v>0</v>
      </c>
      <c r="DO4938">
        <v>0</v>
      </c>
      <c r="DP4938">
        <v>0</v>
      </c>
      <c r="DQ4938">
        <v>0</v>
      </c>
      <c r="DR4938">
        <v>0</v>
      </c>
      <c r="DS4938">
        <v>0</v>
      </c>
    </row>
    <row r="4939" spans="1:123" x14ac:dyDescent="0.3">
      <c r="A4939" t="str">
        <f>"05/01/2025 15:18:14.635"</f>
        <v>05/01/2025 15:18:14.635</v>
      </c>
      <c r="C4939" t="str">
        <f t="shared" si="1952"/>
        <v>FFDFD3C0</v>
      </c>
      <c r="D4939" t="s">
        <v>136</v>
      </c>
      <c r="E4939" t="str">
        <f>"20"</f>
        <v>20</v>
      </c>
      <c r="H4939">
        <v>400</v>
      </c>
      <c r="I4939" t="s">
        <v>137</v>
      </c>
      <c r="J4939" t="s">
        <v>138</v>
      </c>
      <c r="K4939">
        <v>0</v>
      </c>
      <c r="L4939">
        <v>3</v>
      </c>
      <c r="M4939">
        <v>0</v>
      </c>
      <c r="N4939">
        <v>2</v>
      </c>
      <c r="O4939">
        <v>0</v>
      </c>
      <c r="P4939">
        <v>1</v>
      </c>
      <c r="Q4939">
        <v>0</v>
      </c>
      <c r="R4939" t="s">
        <v>127</v>
      </c>
      <c r="S4939" t="str">
        <f t="shared" si="1956"/>
        <v>15:18:14.000</v>
      </c>
      <c r="T4939" t="str">
        <f t="shared" si="1956"/>
        <v>15:18:14.000</v>
      </c>
      <c r="U4939" t="str">
        <f t="shared" si="1953"/>
        <v>A68FCB</v>
      </c>
      <c r="V4939">
        <v>0</v>
      </c>
      <c r="W4939">
        <v>0</v>
      </c>
      <c r="X4939">
        <v>2</v>
      </c>
      <c r="Y4939">
        <v>0</v>
      </c>
      <c r="AA4939">
        <v>1</v>
      </c>
      <c r="AB4939">
        <v>8</v>
      </c>
      <c r="AC4939">
        <v>3</v>
      </c>
      <c r="AD4939">
        <v>0</v>
      </c>
      <c r="AE4939">
        <v>9</v>
      </c>
      <c r="AF4939" t="s">
        <v>138</v>
      </c>
      <c r="AG4939">
        <v>0</v>
      </c>
      <c r="AH4939">
        <v>3</v>
      </c>
      <c r="AI4939">
        <v>2</v>
      </c>
      <c r="AJ4939">
        <v>0</v>
      </c>
      <c r="AK4939" t="s">
        <v>1561</v>
      </c>
      <c r="AL4939">
        <v>39.234623999999997</v>
      </c>
      <c r="AM4939" t="s">
        <v>1562</v>
      </c>
      <c r="AN4939">
        <v>-121.003911</v>
      </c>
      <c r="AO4939">
        <v>25</v>
      </c>
      <c r="AP4939">
        <v>4000</v>
      </c>
      <c r="AQ4939" t="s">
        <v>131</v>
      </c>
      <c r="AR4939">
        <v>-93</v>
      </c>
      <c r="AS4939">
        <v>52</v>
      </c>
      <c r="AT4939">
        <v>-192</v>
      </c>
      <c r="BB4939" t="str">
        <f t="shared" si="1954"/>
        <v>1200</v>
      </c>
      <c r="BC4939">
        <v>1</v>
      </c>
      <c r="BD4939" t="str">
        <f t="shared" si="1955"/>
        <v xml:space="preserve">N52156  </v>
      </c>
      <c r="BE4939">
        <v>1</v>
      </c>
      <c r="BG4939">
        <v>0</v>
      </c>
      <c r="BH4939">
        <v>0</v>
      </c>
      <c r="BI4939">
        <v>0</v>
      </c>
      <c r="BJ4939">
        <v>4050</v>
      </c>
      <c r="BK4939">
        <v>50</v>
      </c>
      <c r="BL4939" t="s">
        <v>188</v>
      </c>
      <c r="BM4939">
        <v>1</v>
      </c>
      <c r="BN4939">
        <v>1</v>
      </c>
      <c r="BO4939">
        <v>0</v>
      </c>
      <c r="BP4939">
        <v>0</v>
      </c>
      <c r="BS4939">
        <v>0</v>
      </c>
      <c r="BT4939">
        <v>0</v>
      </c>
      <c r="BU4939">
        <v>0</v>
      </c>
      <c r="CE4939" t="str">
        <f t="shared" si="1957"/>
        <v>15:18:14.364</v>
      </c>
      <c r="CF4939">
        <v>363511250</v>
      </c>
      <c r="CS4939">
        <v>0</v>
      </c>
      <c r="CT4939">
        <v>2</v>
      </c>
      <c r="CU4939">
        <v>0</v>
      </c>
      <c r="CV4939">
        <v>2</v>
      </c>
      <c r="CW4939">
        <v>0</v>
      </c>
      <c r="CX4939">
        <v>3</v>
      </c>
      <c r="CY4939">
        <v>7</v>
      </c>
      <c r="CZ4939" t="s">
        <v>133</v>
      </c>
      <c r="DA4939">
        <v>275</v>
      </c>
      <c r="DB4939">
        <v>0</v>
      </c>
      <c r="DC4939" t="s">
        <v>134</v>
      </c>
      <c r="DD4939" t="s">
        <v>135</v>
      </c>
      <c r="DG4939">
        <v>3323455</v>
      </c>
      <c r="DI4939">
        <v>1</v>
      </c>
      <c r="DJ4939">
        <v>0</v>
      </c>
      <c r="DK4939">
        <v>1</v>
      </c>
      <c r="DL4939">
        <v>0</v>
      </c>
      <c r="DM4939">
        <v>0</v>
      </c>
      <c r="DN4939">
        <v>0</v>
      </c>
      <c r="DO4939">
        <v>0</v>
      </c>
      <c r="DP4939">
        <v>0</v>
      </c>
      <c r="DQ4939">
        <v>0</v>
      </c>
      <c r="DR4939">
        <v>0</v>
      </c>
      <c r="DS4939">
        <v>0</v>
      </c>
    </row>
    <row r="4940" spans="1:123" x14ac:dyDescent="0.3">
      <c r="A4940" t="str">
        <f>"05/01/2025 15:18:16.013"</f>
        <v>05/01/2025 15:18:16.013</v>
      </c>
      <c r="C4940" t="str">
        <f t="shared" si="1952"/>
        <v>FFDFD3C0</v>
      </c>
      <c r="D4940" t="s">
        <v>143</v>
      </c>
      <c r="E4940" t="str">
        <f>"05"</f>
        <v>05</v>
      </c>
      <c r="H4940">
        <v>172</v>
      </c>
      <c r="I4940" t="s">
        <v>141</v>
      </c>
      <c r="J4940" t="s">
        <v>144</v>
      </c>
      <c r="K4940">
        <v>0</v>
      </c>
      <c r="L4940">
        <v>3</v>
      </c>
      <c r="M4940">
        <v>0</v>
      </c>
      <c r="N4940">
        <v>2</v>
      </c>
      <c r="O4940">
        <v>0</v>
      </c>
      <c r="P4940">
        <v>1</v>
      </c>
      <c r="Q4940">
        <v>0</v>
      </c>
      <c r="R4940" t="s">
        <v>127</v>
      </c>
      <c r="S4940" t="str">
        <f t="shared" ref="S4940:T4945" si="1958">"15:18:15.000"</f>
        <v>15:18:15.000</v>
      </c>
      <c r="T4940" t="str">
        <f t="shared" si="1958"/>
        <v>15:18:15.000</v>
      </c>
      <c r="U4940" t="str">
        <f t="shared" si="1953"/>
        <v>A68FCB</v>
      </c>
      <c r="V4940">
        <v>0</v>
      </c>
      <c r="W4940">
        <v>0</v>
      </c>
      <c r="X4940">
        <v>2</v>
      </c>
      <c r="Y4940">
        <v>0</v>
      </c>
      <c r="AA4940">
        <v>1</v>
      </c>
      <c r="AB4940">
        <v>8</v>
      </c>
      <c r="AC4940">
        <v>3</v>
      </c>
      <c r="AD4940">
        <v>0</v>
      </c>
      <c r="AE4940">
        <v>9</v>
      </c>
      <c r="AF4940" t="s">
        <v>138</v>
      </c>
      <c r="AG4940">
        <v>0</v>
      </c>
      <c r="AH4940">
        <v>3</v>
      </c>
      <c r="AI4940">
        <v>2</v>
      </c>
      <c r="AJ4940">
        <v>0</v>
      </c>
      <c r="AK4940" t="s">
        <v>1563</v>
      </c>
      <c r="AL4940">
        <v>39.234859999999998</v>
      </c>
      <c r="AM4940" t="s">
        <v>1564</v>
      </c>
      <c r="AN4940">
        <v>-121.004469</v>
      </c>
      <c r="AO4940">
        <v>25</v>
      </c>
      <c r="AP4940">
        <v>4000</v>
      </c>
      <c r="AQ4940" t="s">
        <v>131</v>
      </c>
      <c r="AR4940">
        <v>-99</v>
      </c>
      <c r="AS4940">
        <v>43</v>
      </c>
      <c r="AT4940">
        <v>-192</v>
      </c>
      <c r="BB4940" t="str">
        <f t="shared" si="1954"/>
        <v>1200</v>
      </c>
      <c r="BC4940">
        <v>1</v>
      </c>
      <c r="BD4940" t="str">
        <f t="shared" si="1955"/>
        <v xml:space="preserve">N52156  </v>
      </c>
      <c r="BE4940">
        <v>1</v>
      </c>
      <c r="BG4940">
        <v>0</v>
      </c>
      <c r="BH4940">
        <v>0</v>
      </c>
      <c r="BI4940">
        <v>0</v>
      </c>
      <c r="BJ4940">
        <v>4050</v>
      </c>
      <c r="BK4940">
        <v>50</v>
      </c>
      <c r="BL4940" t="s">
        <v>188</v>
      </c>
      <c r="BM4940">
        <v>1</v>
      </c>
      <c r="BN4940">
        <v>1</v>
      </c>
      <c r="BO4940">
        <v>0</v>
      </c>
      <c r="BP4940">
        <v>0</v>
      </c>
      <c r="BS4940">
        <v>0</v>
      </c>
      <c r="BT4940">
        <v>0</v>
      </c>
      <c r="BU4940">
        <v>0</v>
      </c>
      <c r="CE4940" t="str">
        <f t="shared" ref="CE4940:CE4945" si="1959">"15:18:15.807"</f>
        <v>15:18:15.807</v>
      </c>
      <c r="CF4940">
        <v>807343725</v>
      </c>
      <c r="CS4940">
        <v>0</v>
      </c>
      <c r="CT4940">
        <v>2</v>
      </c>
      <c r="CU4940">
        <v>0</v>
      </c>
      <c r="CV4940">
        <v>2</v>
      </c>
      <c r="CW4940">
        <v>0</v>
      </c>
      <c r="CX4940">
        <v>3</v>
      </c>
      <c r="CY4940">
        <v>7</v>
      </c>
      <c r="CZ4940" t="s">
        <v>133</v>
      </c>
      <c r="DA4940">
        <v>276</v>
      </c>
      <c r="DB4940">
        <v>0</v>
      </c>
      <c r="DC4940" t="s">
        <v>402</v>
      </c>
      <c r="DD4940" t="s">
        <v>403</v>
      </c>
      <c r="DG4940">
        <v>1628901</v>
      </c>
      <c r="DI4940">
        <v>1</v>
      </c>
      <c r="DJ4940">
        <v>0</v>
      </c>
      <c r="DK4940">
        <v>0</v>
      </c>
      <c r="DL4940">
        <v>0</v>
      </c>
      <c r="DM4940">
        <v>0</v>
      </c>
      <c r="DN4940">
        <v>0</v>
      </c>
      <c r="DO4940">
        <v>0</v>
      </c>
      <c r="DP4940">
        <v>0</v>
      </c>
      <c r="DQ4940">
        <v>0</v>
      </c>
      <c r="DR4940">
        <v>0</v>
      </c>
      <c r="DS4940">
        <v>0</v>
      </c>
    </row>
    <row r="4941" spans="1:123" x14ac:dyDescent="0.3">
      <c r="A4941" t="str">
        <f>"05/01/2025 15:18:16.026"</f>
        <v>05/01/2025 15:18:16.026</v>
      </c>
      <c r="C4941" t="str">
        <f t="shared" si="1952"/>
        <v>FFDFD3C0</v>
      </c>
      <c r="D4941" t="s">
        <v>145</v>
      </c>
      <c r="E4941" t="str">
        <f>"09"</f>
        <v>09</v>
      </c>
      <c r="H4941">
        <v>51</v>
      </c>
      <c r="I4941" t="s">
        <v>147</v>
      </c>
      <c r="J4941" t="s">
        <v>138</v>
      </c>
      <c r="K4941">
        <v>0</v>
      </c>
      <c r="L4941">
        <v>3</v>
      </c>
      <c r="M4941">
        <v>0</v>
      </c>
      <c r="N4941">
        <v>2</v>
      </c>
      <c r="O4941">
        <v>0</v>
      </c>
      <c r="P4941">
        <v>1</v>
      </c>
      <c r="Q4941">
        <v>0</v>
      </c>
      <c r="R4941" t="s">
        <v>127</v>
      </c>
      <c r="S4941" t="str">
        <f t="shared" si="1958"/>
        <v>15:18:15.000</v>
      </c>
      <c r="T4941" t="str">
        <f t="shared" si="1958"/>
        <v>15:18:15.000</v>
      </c>
      <c r="U4941" t="str">
        <f t="shared" si="1953"/>
        <v>A68FCB</v>
      </c>
      <c r="V4941">
        <v>0</v>
      </c>
      <c r="W4941">
        <v>0</v>
      </c>
      <c r="X4941">
        <v>2</v>
      </c>
      <c r="Y4941">
        <v>0</v>
      </c>
      <c r="AA4941">
        <v>1</v>
      </c>
      <c r="AB4941">
        <v>8</v>
      </c>
      <c r="AC4941">
        <v>3</v>
      </c>
      <c r="AD4941">
        <v>0</v>
      </c>
      <c r="AE4941">
        <v>9</v>
      </c>
      <c r="AF4941" t="s">
        <v>138</v>
      </c>
      <c r="AG4941">
        <v>0</v>
      </c>
      <c r="AH4941">
        <v>3</v>
      </c>
      <c r="AI4941">
        <v>2</v>
      </c>
      <c r="AJ4941">
        <v>0</v>
      </c>
      <c r="AK4941" t="s">
        <v>1563</v>
      </c>
      <c r="AL4941">
        <v>39.234859999999998</v>
      </c>
      <c r="AM4941" t="s">
        <v>1564</v>
      </c>
      <c r="AN4941">
        <v>-121.004469</v>
      </c>
      <c r="AO4941">
        <v>25</v>
      </c>
      <c r="AP4941">
        <v>4000</v>
      </c>
      <c r="AQ4941" t="s">
        <v>131</v>
      </c>
      <c r="AR4941">
        <v>-99</v>
      </c>
      <c r="AS4941">
        <v>43</v>
      </c>
      <c r="AT4941">
        <v>-192</v>
      </c>
      <c r="BB4941" t="str">
        <f t="shared" si="1954"/>
        <v>1200</v>
      </c>
      <c r="BC4941">
        <v>1</v>
      </c>
      <c r="BD4941" t="str">
        <f t="shared" si="1955"/>
        <v xml:space="preserve">N52156  </v>
      </c>
      <c r="BE4941">
        <v>1</v>
      </c>
      <c r="BG4941">
        <v>0</v>
      </c>
      <c r="BH4941">
        <v>0</v>
      </c>
      <c r="BI4941">
        <v>0</v>
      </c>
      <c r="BJ4941">
        <v>4050</v>
      </c>
      <c r="BK4941">
        <v>50</v>
      </c>
      <c r="BL4941" t="s">
        <v>188</v>
      </c>
      <c r="BM4941">
        <v>1</v>
      </c>
      <c r="BN4941">
        <v>1</v>
      </c>
      <c r="BO4941">
        <v>0</v>
      </c>
      <c r="BP4941">
        <v>0</v>
      </c>
      <c r="BS4941">
        <v>0</v>
      </c>
      <c r="BT4941">
        <v>0</v>
      </c>
      <c r="BU4941">
        <v>0</v>
      </c>
      <c r="CE4941" t="str">
        <f t="shared" si="1959"/>
        <v>15:18:15.807</v>
      </c>
      <c r="CF4941">
        <v>807343725</v>
      </c>
      <c r="CS4941">
        <v>0</v>
      </c>
      <c r="CT4941">
        <v>2</v>
      </c>
      <c r="CU4941">
        <v>0</v>
      </c>
      <c r="CV4941">
        <v>2</v>
      </c>
      <c r="CW4941">
        <v>0</v>
      </c>
      <c r="CX4941">
        <v>3</v>
      </c>
      <c r="CY4941">
        <v>7</v>
      </c>
      <c r="CZ4941" t="s">
        <v>133</v>
      </c>
      <c r="DA4941">
        <v>276</v>
      </c>
      <c r="DB4941">
        <v>0</v>
      </c>
      <c r="DC4941" t="s">
        <v>402</v>
      </c>
      <c r="DD4941" t="s">
        <v>403</v>
      </c>
      <c r="DG4941">
        <v>1628901</v>
      </c>
      <c r="DI4941">
        <v>1</v>
      </c>
      <c r="DJ4941">
        <v>0</v>
      </c>
      <c r="DK4941">
        <v>1</v>
      </c>
      <c r="DL4941">
        <v>0</v>
      </c>
      <c r="DM4941">
        <v>0</v>
      </c>
      <c r="DN4941">
        <v>0</v>
      </c>
      <c r="DO4941">
        <v>0</v>
      </c>
      <c r="DP4941">
        <v>0</v>
      </c>
      <c r="DQ4941">
        <v>0</v>
      </c>
      <c r="DR4941">
        <v>0</v>
      </c>
      <c r="DS4941">
        <v>0</v>
      </c>
    </row>
    <row r="4942" spans="1:123" x14ac:dyDescent="0.3">
      <c r="A4942" t="str">
        <f>"05/01/2025 15:18:16.028"</f>
        <v>05/01/2025 15:18:16.028</v>
      </c>
      <c r="C4942" t="str">
        <f t="shared" si="1952"/>
        <v>FFDFD3C0</v>
      </c>
      <c r="D4942" t="s">
        <v>145</v>
      </c>
      <c r="E4942" t="str">
        <f>"05"</f>
        <v>05</v>
      </c>
      <c r="H4942">
        <v>47</v>
      </c>
      <c r="I4942" t="s">
        <v>146</v>
      </c>
      <c r="J4942" t="s">
        <v>138</v>
      </c>
      <c r="K4942">
        <v>0</v>
      </c>
      <c r="L4942">
        <v>3</v>
      </c>
      <c r="M4942">
        <v>0</v>
      </c>
      <c r="N4942">
        <v>2</v>
      </c>
      <c r="O4942">
        <v>0</v>
      </c>
      <c r="P4942">
        <v>1</v>
      </c>
      <c r="Q4942">
        <v>0</v>
      </c>
      <c r="R4942" t="s">
        <v>127</v>
      </c>
      <c r="S4942" t="str">
        <f t="shared" si="1958"/>
        <v>15:18:15.000</v>
      </c>
      <c r="T4942" t="str">
        <f t="shared" si="1958"/>
        <v>15:18:15.000</v>
      </c>
      <c r="U4942" t="str">
        <f t="shared" si="1953"/>
        <v>A68FCB</v>
      </c>
      <c r="V4942">
        <v>0</v>
      </c>
      <c r="W4942">
        <v>0</v>
      </c>
      <c r="X4942">
        <v>2</v>
      </c>
      <c r="Y4942">
        <v>0</v>
      </c>
      <c r="AA4942">
        <v>1</v>
      </c>
      <c r="AB4942">
        <v>8</v>
      </c>
      <c r="AC4942">
        <v>3</v>
      </c>
      <c r="AD4942">
        <v>0</v>
      </c>
      <c r="AE4942">
        <v>9</v>
      </c>
      <c r="AF4942" t="s">
        <v>138</v>
      </c>
      <c r="AG4942">
        <v>0</v>
      </c>
      <c r="AH4942">
        <v>3</v>
      </c>
      <c r="AI4942">
        <v>2</v>
      </c>
      <c r="AJ4942">
        <v>0</v>
      </c>
      <c r="AK4942" t="s">
        <v>1563</v>
      </c>
      <c r="AL4942">
        <v>39.234859999999998</v>
      </c>
      <c r="AM4942" t="s">
        <v>1564</v>
      </c>
      <c r="AN4942">
        <v>-121.004469</v>
      </c>
      <c r="AO4942">
        <v>25</v>
      </c>
      <c r="AP4942">
        <v>4000</v>
      </c>
      <c r="AQ4942" t="s">
        <v>131</v>
      </c>
      <c r="AR4942">
        <v>-99</v>
      </c>
      <c r="AS4942">
        <v>43</v>
      </c>
      <c r="AT4942">
        <v>-192</v>
      </c>
      <c r="BB4942" t="str">
        <f t="shared" si="1954"/>
        <v>1200</v>
      </c>
      <c r="BC4942">
        <v>1</v>
      </c>
      <c r="BD4942" t="str">
        <f t="shared" si="1955"/>
        <v xml:space="preserve">N52156  </v>
      </c>
      <c r="BE4942">
        <v>1</v>
      </c>
      <c r="BG4942">
        <v>0</v>
      </c>
      <c r="BH4942">
        <v>0</v>
      </c>
      <c r="BI4942">
        <v>0</v>
      </c>
      <c r="BJ4942">
        <v>4050</v>
      </c>
      <c r="BK4942">
        <v>50</v>
      </c>
      <c r="BL4942" t="s">
        <v>188</v>
      </c>
      <c r="BM4942">
        <v>1</v>
      </c>
      <c r="BN4942">
        <v>1</v>
      </c>
      <c r="BO4942">
        <v>0</v>
      </c>
      <c r="BP4942">
        <v>0</v>
      </c>
      <c r="BS4942">
        <v>0</v>
      </c>
      <c r="BT4942">
        <v>0</v>
      </c>
      <c r="BU4942">
        <v>0</v>
      </c>
      <c r="CE4942" t="str">
        <f t="shared" si="1959"/>
        <v>15:18:15.807</v>
      </c>
      <c r="CF4942">
        <v>807343725</v>
      </c>
      <c r="CS4942">
        <v>0</v>
      </c>
      <c r="CT4942">
        <v>2</v>
      </c>
      <c r="CU4942">
        <v>0</v>
      </c>
      <c r="CV4942">
        <v>2</v>
      </c>
      <c r="CW4942">
        <v>0</v>
      </c>
      <c r="CX4942">
        <v>3</v>
      </c>
      <c r="CY4942">
        <v>7</v>
      </c>
      <c r="CZ4942" t="s">
        <v>133</v>
      </c>
      <c r="DA4942">
        <v>276</v>
      </c>
      <c r="DB4942">
        <v>0</v>
      </c>
      <c r="DC4942" t="s">
        <v>402</v>
      </c>
      <c r="DD4942" t="s">
        <v>403</v>
      </c>
      <c r="DG4942">
        <v>1628901</v>
      </c>
      <c r="DI4942">
        <v>1</v>
      </c>
      <c r="DJ4942">
        <v>0</v>
      </c>
      <c r="DK4942">
        <v>1</v>
      </c>
      <c r="DL4942">
        <v>0</v>
      </c>
      <c r="DM4942">
        <v>0</v>
      </c>
      <c r="DN4942">
        <v>0</v>
      </c>
      <c r="DO4942">
        <v>0</v>
      </c>
      <c r="DP4942">
        <v>0</v>
      </c>
      <c r="DQ4942">
        <v>0</v>
      </c>
      <c r="DR4942">
        <v>0</v>
      </c>
      <c r="DS4942">
        <v>0</v>
      </c>
    </row>
    <row r="4943" spans="1:123" x14ac:dyDescent="0.3">
      <c r="A4943" t="str">
        <f>"05/01/2025 15:18:16.037"</f>
        <v>05/01/2025 15:18:16.037</v>
      </c>
      <c r="C4943" t="str">
        <f t="shared" si="1952"/>
        <v>FFDFD3C0</v>
      </c>
      <c r="D4943" t="s">
        <v>136</v>
      </c>
      <c r="E4943" t="str">
        <f>"20"</f>
        <v>20</v>
      </c>
      <c r="H4943">
        <v>400</v>
      </c>
      <c r="I4943" t="s">
        <v>137</v>
      </c>
      <c r="J4943" t="s">
        <v>138</v>
      </c>
      <c r="K4943">
        <v>0</v>
      </c>
      <c r="L4943">
        <v>3</v>
      </c>
      <c r="M4943">
        <v>0</v>
      </c>
      <c r="N4943">
        <v>2</v>
      </c>
      <c r="O4943">
        <v>0</v>
      </c>
      <c r="P4943">
        <v>1</v>
      </c>
      <c r="Q4943">
        <v>0</v>
      </c>
      <c r="R4943" t="s">
        <v>127</v>
      </c>
      <c r="S4943" t="str">
        <f t="shared" si="1958"/>
        <v>15:18:15.000</v>
      </c>
      <c r="T4943" t="str">
        <f t="shared" si="1958"/>
        <v>15:18:15.000</v>
      </c>
      <c r="U4943" t="str">
        <f t="shared" si="1953"/>
        <v>A68FCB</v>
      </c>
      <c r="V4943">
        <v>0</v>
      </c>
      <c r="W4943">
        <v>0</v>
      </c>
      <c r="X4943">
        <v>2</v>
      </c>
      <c r="Y4943">
        <v>0</v>
      </c>
      <c r="AA4943">
        <v>1</v>
      </c>
      <c r="AB4943">
        <v>8</v>
      </c>
      <c r="AC4943">
        <v>3</v>
      </c>
      <c r="AD4943">
        <v>0</v>
      </c>
      <c r="AE4943">
        <v>9</v>
      </c>
      <c r="AF4943" t="s">
        <v>138</v>
      </c>
      <c r="AG4943">
        <v>0</v>
      </c>
      <c r="AH4943">
        <v>3</v>
      </c>
      <c r="AI4943">
        <v>2</v>
      </c>
      <c r="AJ4943">
        <v>0</v>
      </c>
      <c r="AK4943" t="s">
        <v>1563</v>
      </c>
      <c r="AL4943">
        <v>39.234859999999998</v>
      </c>
      <c r="AM4943" t="s">
        <v>1564</v>
      </c>
      <c r="AN4943">
        <v>-121.004469</v>
      </c>
      <c r="AO4943">
        <v>25</v>
      </c>
      <c r="AP4943">
        <v>4000</v>
      </c>
      <c r="AQ4943" t="s">
        <v>131</v>
      </c>
      <c r="AR4943">
        <v>-99</v>
      </c>
      <c r="AS4943">
        <v>43</v>
      </c>
      <c r="AT4943">
        <v>-192</v>
      </c>
      <c r="BB4943" t="str">
        <f t="shared" si="1954"/>
        <v>1200</v>
      </c>
      <c r="BC4943">
        <v>1</v>
      </c>
      <c r="BD4943" t="str">
        <f t="shared" si="1955"/>
        <v xml:space="preserve">N52156  </v>
      </c>
      <c r="BE4943">
        <v>1</v>
      </c>
      <c r="BG4943">
        <v>0</v>
      </c>
      <c r="BH4943">
        <v>0</v>
      </c>
      <c r="BI4943">
        <v>0</v>
      </c>
      <c r="BJ4943">
        <v>4050</v>
      </c>
      <c r="BK4943">
        <v>50</v>
      </c>
      <c r="BL4943" t="s">
        <v>188</v>
      </c>
      <c r="BM4943">
        <v>1</v>
      </c>
      <c r="BN4943">
        <v>1</v>
      </c>
      <c r="BO4943">
        <v>0</v>
      </c>
      <c r="BP4943">
        <v>0</v>
      </c>
      <c r="BS4943">
        <v>0</v>
      </c>
      <c r="BT4943">
        <v>0</v>
      </c>
      <c r="BU4943">
        <v>0</v>
      </c>
      <c r="CE4943" t="str">
        <f t="shared" si="1959"/>
        <v>15:18:15.807</v>
      </c>
      <c r="CF4943">
        <v>807343725</v>
      </c>
      <c r="CS4943">
        <v>0</v>
      </c>
      <c r="CT4943">
        <v>2</v>
      </c>
      <c r="CU4943">
        <v>0</v>
      </c>
      <c r="CV4943">
        <v>2</v>
      </c>
      <c r="CW4943">
        <v>0</v>
      </c>
      <c r="CX4943">
        <v>3</v>
      </c>
      <c r="CY4943">
        <v>7</v>
      </c>
      <c r="CZ4943" t="s">
        <v>133</v>
      </c>
      <c r="DA4943">
        <v>276</v>
      </c>
      <c r="DB4943">
        <v>0</v>
      </c>
      <c r="DC4943" t="s">
        <v>402</v>
      </c>
      <c r="DD4943" t="s">
        <v>403</v>
      </c>
      <c r="DG4943">
        <v>1628901</v>
      </c>
      <c r="DI4943">
        <v>1</v>
      </c>
      <c r="DJ4943">
        <v>0</v>
      </c>
      <c r="DK4943">
        <v>1</v>
      </c>
      <c r="DL4943">
        <v>0</v>
      </c>
      <c r="DM4943">
        <v>0</v>
      </c>
      <c r="DN4943">
        <v>0</v>
      </c>
      <c r="DO4943">
        <v>0</v>
      </c>
      <c r="DP4943">
        <v>0</v>
      </c>
      <c r="DQ4943">
        <v>0</v>
      </c>
      <c r="DR4943">
        <v>0</v>
      </c>
      <c r="DS4943">
        <v>0</v>
      </c>
    </row>
    <row r="4944" spans="1:123" x14ac:dyDescent="0.3">
      <c r="A4944" t="str">
        <f>"05/01/2025 15:18:16.052"</f>
        <v>05/01/2025 15:18:16.052</v>
      </c>
      <c r="C4944" t="str">
        <f t="shared" si="1952"/>
        <v>FFDFD3C0</v>
      </c>
      <c r="D4944" t="s">
        <v>140</v>
      </c>
      <c r="E4944" t="str">
        <f>"13"</f>
        <v>13</v>
      </c>
      <c r="F4944">
        <v>1019</v>
      </c>
      <c r="G4944" t="s">
        <v>141</v>
      </c>
      <c r="J4944" t="s">
        <v>142</v>
      </c>
      <c r="K4944">
        <v>0</v>
      </c>
      <c r="L4944">
        <v>3</v>
      </c>
      <c r="M4944">
        <v>0</v>
      </c>
      <c r="N4944">
        <v>2</v>
      </c>
      <c r="O4944">
        <v>0</v>
      </c>
      <c r="P4944">
        <v>1</v>
      </c>
      <c r="Q4944">
        <v>0</v>
      </c>
      <c r="R4944" t="s">
        <v>127</v>
      </c>
      <c r="S4944" t="str">
        <f t="shared" si="1958"/>
        <v>15:18:15.000</v>
      </c>
      <c r="T4944" t="str">
        <f t="shared" si="1958"/>
        <v>15:18:15.000</v>
      </c>
      <c r="U4944" t="str">
        <f t="shared" si="1953"/>
        <v>A68FCB</v>
      </c>
      <c r="V4944">
        <v>0</v>
      </c>
      <c r="W4944">
        <v>0</v>
      </c>
      <c r="X4944">
        <v>2</v>
      </c>
      <c r="Y4944">
        <v>0</v>
      </c>
      <c r="AA4944">
        <v>1</v>
      </c>
      <c r="AB4944">
        <v>8</v>
      </c>
      <c r="AC4944">
        <v>3</v>
      </c>
      <c r="AD4944">
        <v>0</v>
      </c>
      <c r="AE4944">
        <v>9</v>
      </c>
      <c r="AF4944" t="s">
        <v>138</v>
      </c>
      <c r="AG4944">
        <v>0</v>
      </c>
      <c r="AH4944">
        <v>3</v>
      </c>
      <c r="AI4944">
        <v>2</v>
      </c>
      <c r="AJ4944">
        <v>0</v>
      </c>
      <c r="AK4944" t="s">
        <v>1563</v>
      </c>
      <c r="AL4944">
        <v>39.234859999999998</v>
      </c>
      <c r="AM4944" t="s">
        <v>1564</v>
      </c>
      <c r="AN4944">
        <v>-121.004469</v>
      </c>
      <c r="AO4944">
        <v>25</v>
      </c>
      <c r="AP4944">
        <v>4000</v>
      </c>
      <c r="AQ4944" t="s">
        <v>131</v>
      </c>
      <c r="AR4944">
        <v>-99</v>
      </c>
      <c r="AS4944">
        <v>43</v>
      </c>
      <c r="AT4944">
        <v>-192</v>
      </c>
      <c r="BB4944" t="str">
        <f t="shared" si="1954"/>
        <v>1200</v>
      </c>
      <c r="BC4944">
        <v>1</v>
      </c>
      <c r="BD4944" t="str">
        <f t="shared" si="1955"/>
        <v xml:space="preserve">N52156  </v>
      </c>
      <c r="BE4944">
        <v>1</v>
      </c>
      <c r="BG4944">
        <v>0</v>
      </c>
      <c r="BH4944">
        <v>0</v>
      </c>
      <c r="BI4944">
        <v>0</v>
      </c>
      <c r="BJ4944">
        <v>4050</v>
      </c>
      <c r="BK4944">
        <v>50</v>
      </c>
      <c r="BL4944" t="s">
        <v>188</v>
      </c>
      <c r="BM4944">
        <v>1</v>
      </c>
      <c r="BN4944">
        <v>1</v>
      </c>
      <c r="BO4944">
        <v>0</v>
      </c>
      <c r="BP4944">
        <v>0</v>
      </c>
      <c r="BS4944">
        <v>0</v>
      </c>
      <c r="BT4944">
        <v>0</v>
      </c>
      <c r="BU4944">
        <v>0</v>
      </c>
      <c r="CE4944" t="str">
        <f t="shared" si="1959"/>
        <v>15:18:15.807</v>
      </c>
      <c r="CF4944">
        <v>807343725</v>
      </c>
      <c r="CS4944">
        <v>0</v>
      </c>
      <c r="CT4944">
        <v>2</v>
      </c>
      <c r="CU4944">
        <v>0</v>
      </c>
      <c r="CV4944">
        <v>2</v>
      </c>
      <c r="CW4944">
        <v>0</v>
      </c>
      <c r="CX4944">
        <v>3</v>
      </c>
      <c r="CY4944">
        <v>7</v>
      </c>
      <c r="CZ4944" t="s">
        <v>133</v>
      </c>
      <c r="DA4944">
        <v>276</v>
      </c>
      <c r="DB4944">
        <v>0</v>
      </c>
      <c r="DC4944" t="s">
        <v>402</v>
      </c>
      <c r="DD4944" t="s">
        <v>403</v>
      </c>
      <c r="DG4944">
        <v>1628901</v>
      </c>
      <c r="DI4944">
        <v>1</v>
      </c>
      <c r="DJ4944">
        <v>0</v>
      </c>
      <c r="DK4944">
        <v>1</v>
      </c>
      <c r="DL4944">
        <v>0</v>
      </c>
      <c r="DM4944">
        <v>0</v>
      </c>
      <c r="DN4944">
        <v>0</v>
      </c>
      <c r="DO4944">
        <v>0</v>
      </c>
      <c r="DP4944">
        <v>0</v>
      </c>
      <c r="DQ4944">
        <v>0</v>
      </c>
      <c r="DR4944">
        <v>0</v>
      </c>
      <c r="DS4944">
        <v>0</v>
      </c>
    </row>
    <row r="4945" spans="1:123" x14ac:dyDescent="0.3">
      <c r="A4945" t="str">
        <f>"05/01/2025 15:18:16.055"</f>
        <v>05/01/2025 15:18:16.055</v>
      </c>
      <c r="C4945" t="str">
        <f t="shared" si="1952"/>
        <v>FFDFD3C0</v>
      </c>
      <c r="D4945" t="s">
        <v>124</v>
      </c>
      <c r="E4945" t="str">
        <f>"06"</f>
        <v>06</v>
      </c>
      <c r="F4945">
        <v>2006</v>
      </c>
      <c r="G4945" t="s">
        <v>125</v>
      </c>
      <c r="J4945" t="s">
        <v>126</v>
      </c>
      <c r="K4945">
        <v>0</v>
      </c>
      <c r="L4945">
        <v>3</v>
      </c>
      <c r="M4945">
        <v>0</v>
      </c>
      <c r="N4945">
        <v>2</v>
      </c>
      <c r="O4945">
        <v>0</v>
      </c>
      <c r="P4945">
        <v>1</v>
      </c>
      <c r="Q4945">
        <v>0</v>
      </c>
      <c r="R4945" t="s">
        <v>127</v>
      </c>
      <c r="S4945" t="str">
        <f t="shared" si="1958"/>
        <v>15:18:15.000</v>
      </c>
      <c r="T4945" t="str">
        <f t="shared" si="1958"/>
        <v>15:18:15.000</v>
      </c>
      <c r="U4945" t="str">
        <f t="shared" si="1953"/>
        <v>A68FCB</v>
      </c>
      <c r="V4945">
        <v>0</v>
      </c>
      <c r="W4945">
        <v>0</v>
      </c>
      <c r="X4945">
        <v>2</v>
      </c>
      <c r="Y4945">
        <v>0</v>
      </c>
      <c r="AA4945">
        <v>1</v>
      </c>
      <c r="AB4945">
        <v>8</v>
      </c>
      <c r="AC4945">
        <v>3</v>
      </c>
      <c r="AD4945">
        <v>0</v>
      </c>
      <c r="AE4945">
        <v>9</v>
      </c>
      <c r="AF4945" t="s">
        <v>138</v>
      </c>
      <c r="AG4945">
        <v>0</v>
      </c>
      <c r="AH4945">
        <v>3</v>
      </c>
      <c r="AI4945">
        <v>2</v>
      </c>
      <c r="AJ4945">
        <v>0</v>
      </c>
      <c r="AK4945" t="s">
        <v>1563</v>
      </c>
      <c r="AL4945">
        <v>39.234859999999998</v>
      </c>
      <c r="AM4945" t="s">
        <v>1564</v>
      </c>
      <c r="AN4945">
        <v>-121.004469</v>
      </c>
      <c r="AO4945">
        <v>25</v>
      </c>
      <c r="AP4945">
        <v>4000</v>
      </c>
      <c r="AQ4945" t="s">
        <v>131</v>
      </c>
      <c r="AR4945">
        <v>-99</v>
      </c>
      <c r="AS4945">
        <v>43</v>
      </c>
      <c r="AT4945">
        <v>-192</v>
      </c>
      <c r="BB4945" t="str">
        <f t="shared" si="1954"/>
        <v>1200</v>
      </c>
      <c r="BC4945">
        <v>1</v>
      </c>
      <c r="BD4945" t="str">
        <f t="shared" si="1955"/>
        <v xml:space="preserve">N52156  </v>
      </c>
      <c r="BE4945">
        <v>1</v>
      </c>
      <c r="BG4945">
        <v>0</v>
      </c>
      <c r="BH4945">
        <v>0</v>
      </c>
      <c r="BI4945">
        <v>0</v>
      </c>
      <c r="BJ4945">
        <v>4050</v>
      </c>
      <c r="BK4945">
        <v>50</v>
      </c>
      <c r="BL4945" t="s">
        <v>188</v>
      </c>
      <c r="BM4945">
        <v>1</v>
      </c>
      <c r="BN4945">
        <v>1</v>
      </c>
      <c r="BO4945">
        <v>0</v>
      </c>
      <c r="BP4945">
        <v>0</v>
      </c>
      <c r="BS4945">
        <v>0</v>
      </c>
      <c r="BT4945">
        <v>0</v>
      </c>
      <c r="BU4945">
        <v>0</v>
      </c>
      <c r="CE4945" t="str">
        <f t="shared" si="1959"/>
        <v>15:18:15.807</v>
      </c>
      <c r="CF4945">
        <v>807343725</v>
      </c>
      <c r="CS4945">
        <v>0</v>
      </c>
      <c r="CT4945">
        <v>2</v>
      </c>
      <c r="CU4945">
        <v>0</v>
      </c>
      <c r="CV4945">
        <v>2</v>
      </c>
      <c r="CW4945">
        <v>0</v>
      </c>
      <c r="CX4945">
        <v>3</v>
      </c>
      <c r="CY4945">
        <v>7</v>
      </c>
      <c r="CZ4945" t="s">
        <v>133</v>
      </c>
      <c r="DA4945">
        <v>276</v>
      </c>
      <c r="DB4945">
        <v>0</v>
      </c>
      <c r="DC4945" t="s">
        <v>402</v>
      </c>
      <c r="DD4945" t="s">
        <v>403</v>
      </c>
      <c r="DG4945">
        <v>1628901</v>
      </c>
      <c r="DI4945">
        <v>1</v>
      </c>
      <c r="DJ4945">
        <v>0</v>
      </c>
      <c r="DK4945">
        <v>1</v>
      </c>
      <c r="DL4945">
        <v>0</v>
      </c>
      <c r="DM4945">
        <v>0</v>
      </c>
      <c r="DN4945">
        <v>0</v>
      </c>
      <c r="DO4945">
        <v>0</v>
      </c>
      <c r="DP4945">
        <v>0</v>
      </c>
      <c r="DQ4945">
        <v>0</v>
      </c>
      <c r="DR4945">
        <v>0</v>
      </c>
      <c r="DS4945">
        <v>0</v>
      </c>
    </row>
    <row r="4946" spans="1:123" x14ac:dyDescent="0.3">
      <c r="A4946" t="str">
        <f>"05/01/2025 15:18:16.627"</f>
        <v>05/01/2025 15:18:16.627</v>
      </c>
      <c r="C4946" t="str">
        <f t="shared" si="1952"/>
        <v>FFDFD3C0</v>
      </c>
      <c r="D4946" t="s">
        <v>145</v>
      </c>
      <c r="E4946" t="str">
        <f>"09"</f>
        <v>09</v>
      </c>
      <c r="H4946">
        <v>51</v>
      </c>
      <c r="I4946" t="s">
        <v>147</v>
      </c>
      <c r="J4946" t="s">
        <v>138</v>
      </c>
      <c r="K4946">
        <v>0</v>
      </c>
      <c r="L4946">
        <v>3</v>
      </c>
      <c r="M4946">
        <v>0</v>
      </c>
      <c r="N4946">
        <v>2</v>
      </c>
      <c r="O4946">
        <v>0</v>
      </c>
      <c r="P4946">
        <v>1</v>
      </c>
      <c r="Q4946">
        <v>0</v>
      </c>
      <c r="R4946" t="s">
        <v>127</v>
      </c>
      <c r="S4946" t="str">
        <f t="shared" ref="S4946:T4951" si="1960">"15:18:16.000"</f>
        <v>15:18:16.000</v>
      </c>
      <c r="T4946" t="str">
        <f t="shared" si="1960"/>
        <v>15:18:16.000</v>
      </c>
      <c r="U4946" t="str">
        <f t="shared" si="1953"/>
        <v>A68FCB</v>
      </c>
      <c r="V4946">
        <v>0</v>
      </c>
      <c r="W4946">
        <v>0</v>
      </c>
      <c r="X4946">
        <v>2</v>
      </c>
      <c r="Y4946">
        <v>0</v>
      </c>
      <c r="AA4946">
        <v>1</v>
      </c>
      <c r="AB4946">
        <v>8</v>
      </c>
      <c r="AC4946">
        <v>3</v>
      </c>
      <c r="AD4946">
        <v>0</v>
      </c>
      <c r="AE4946">
        <v>9</v>
      </c>
      <c r="AF4946" t="s">
        <v>138</v>
      </c>
      <c r="AG4946">
        <v>0</v>
      </c>
      <c r="AH4946">
        <v>3</v>
      </c>
      <c r="AI4946">
        <v>2</v>
      </c>
      <c r="AJ4946">
        <v>0</v>
      </c>
      <c r="AK4946" t="s">
        <v>1565</v>
      </c>
      <c r="AL4946">
        <v>39.235053000000001</v>
      </c>
      <c r="AM4946" t="s">
        <v>1566</v>
      </c>
      <c r="AN4946">
        <v>-121.005049</v>
      </c>
      <c r="AO4946">
        <v>25</v>
      </c>
      <c r="AP4946">
        <v>4000</v>
      </c>
      <c r="AQ4946" t="s">
        <v>131</v>
      </c>
      <c r="AR4946">
        <v>-101</v>
      </c>
      <c r="AS4946">
        <v>38</v>
      </c>
      <c r="AT4946">
        <v>-192</v>
      </c>
      <c r="BB4946" t="str">
        <f t="shared" si="1954"/>
        <v>1200</v>
      </c>
      <c r="BC4946">
        <v>1</v>
      </c>
      <c r="BD4946" t="str">
        <f t="shared" si="1955"/>
        <v xml:space="preserve">N52156  </v>
      </c>
      <c r="BE4946">
        <v>1</v>
      </c>
      <c r="BG4946">
        <v>0</v>
      </c>
      <c r="BH4946">
        <v>0</v>
      </c>
      <c r="BI4946">
        <v>0</v>
      </c>
      <c r="BJ4946">
        <v>4050</v>
      </c>
      <c r="BK4946">
        <v>50</v>
      </c>
      <c r="BL4946" t="s">
        <v>188</v>
      </c>
      <c r="BM4946">
        <v>1</v>
      </c>
      <c r="BN4946">
        <v>1</v>
      </c>
      <c r="BO4946">
        <v>0</v>
      </c>
      <c r="BP4946">
        <v>0</v>
      </c>
      <c r="BS4946">
        <v>0</v>
      </c>
      <c r="BT4946">
        <v>0</v>
      </c>
      <c r="BU4946">
        <v>0</v>
      </c>
      <c r="CE4946" t="str">
        <f t="shared" ref="CE4946:CE4951" si="1961">"15:18:16.425"</f>
        <v>15:18:16.425</v>
      </c>
      <c r="CF4946">
        <v>424761217</v>
      </c>
      <c r="CS4946">
        <v>0</v>
      </c>
      <c r="CT4946">
        <v>2</v>
      </c>
      <c r="CU4946">
        <v>0</v>
      </c>
      <c r="CV4946">
        <v>2</v>
      </c>
      <c r="CW4946">
        <v>0</v>
      </c>
      <c r="CX4946">
        <v>3</v>
      </c>
      <c r="CY4946">
        <v>7</v>
      </c>
      <c r="CZ4946" t="s">
        <v>133</v>
      </c>
      <c r="DA4946">
        <v>275</v>
      </c>
      <c r="DB4946">
        <v>0</v>
      </c>
      <c r="DC4946" t="s">
        <v>134</v>
      </c>
      <c r="DD4946" t="s">
        <v>135</v>
      </c>
      <c r="DG4946">
        <v>3323460</v>
      </c>
      <c r="DI4946">
        <v>1</v>
      </c>
      <c r="DJ4946">
        <v>0</v>
      </c>
      <c r="DK4946">
        <v>0</v>
      </c>
      <c r="DL4946">
        <v>0</v>
      </c>
      <c r="DM4946">
        <v>0</v>
      </c>
      <c r="DN4946">
        <v>0</v>
      </c>
      <c r="DO4946">
        <v>0</v>
      </c>
      <c r="DP4946">
        <v>0</v>
      </c>
      <c r="DQ4946">
        <v>0</v>
      </c>
      <c r="DR4946">
        <v>0</v>
      </c>
      <c r="DS4946">
        <v>0</v>
      </c>
    </row>
    <row r="4947" spans="1:123" x14ac:dyDescent="0.3">
      <c r="A4947" t="str">
        <f>"05/01/2025 15:18:16.629"</f>
        <v>05/01/2025 15:18:16.629</v>
      </c>
      <c r="C4947" t="str">
        <f t="shared" si="1952"/>
        <v>FFDFD3C0</v>
      </c>
      <c r="D4947" t="s">
        <v>145</v>
      </c>
      <c r="E4947" t="str">
        <f>"05"</f>
        <v>05</v>
      </c>
      <c r="H4947">
        <v>47</v>
      </c>
      <c r="I4947" t="s">
        <v>146</v>
      </c>
      <c r="J4947" t="s">
        <v>138</v>
      </c>
      <c r="K4947">
        <v>0</v>
      </c>
      <c r="L4947">
        <v>3</v>
      </c>
      <c r="M4947">
        <v>0</v>
      </c>
      <c r="N4947">
        <v>2</v>
      </c>
      <c r="O4947">
        <v>0</v>
      </c>
      <c r="P4947">
        <v>1</v>
      </c>
      <c r="Q4947">
        <v>0</v>
      </c>
      <c r="R4947" t="s">
        <v>127</v>
      </c>
      <c r="S4947" t="str">
        <f t="shared" si="1960"/>
        <v>15:18:16.000</v>
      </c>
      <c r="T4947" t="str">
        <f t="shared" si="1960"/>
        <v>15:18:16.000</v>
      </c>
      <c r="U4947" t="str">
        <f t="shared" si="1953"/>
        <v>A68FCB</v>
      </c>
      <c r="V4947">
        <v>0</v>
      </c>
      <c r="W4947">
        <v>0</v>
      </c>
      <c r="X4947">
        <v>2</v>
      </c>
      <c r="Y4947">
        <v>0</v>
      </c>
      <c r="AA4947">
        <v>1</v>
      </c>
      <c r="AB4947">
        <v>8</v>
      </c>
      <c r="AC4947">
        <v>3</v>
      </c>
      <c r="AD4947">
        <v>0</v>
      </c>
      <c r="AE4947">
        <v>9</v>
      </c>
      <c r="AF4947" t="s">
        <v>138</v>
      </c>
      <c r="AG4947">
        <v>0</v>
      </c>
      <c r="AH4947">
        <v>3</v>
      </c>
      <c r="AI4947">
        <v>2</v>
      </c>
      <c r="AJ4947">
        <v>0</v>
      </c>
      <c r="AK4947" t="s">
        <v>1565</v>
      </c>
      <c r="AL4947">
        <v>39.235053000000001</v>
      </c>
      <c r="AM4947" t="s">
        <v>1566</v>
      </c>
      <c r="AN4947">
        <v>-121.005049</v>
      </c>
      <c r="AO4947">
        <v>25</v>
      </c>
      <c r="AP4947">
        <v>4000</v>
      </c>
      <c r="AQ4947" t="s">
        <v>131</v>
      </c>
      <c r="AR4947">
        <v>-101</v>
      </c>
      <c r="AS4947">
        <v>38</v>
      </c>
      <c r="AT4947">
        <v>-192</v>
      </c>
      <c r="BB4947" t="str">
        <f t="shared" si="1954"/>
        <v>1200</v>
      </c>
      <c r="BC4947">
        <v>1</v>
      </c>
      <c r="BD4947" t="str">
        <f t="shared" si="1955"/>
        <v xml:space="preserve">N52156  </v>
      </c>
      <c r="BE4947">
        <v>1</v>
      </c>
      <c r="BG4947">
        <v>0</v>
      </c>
      <c r="BH4947">
        <v>0</v>
      </c>
      <c r="BI4947">
        <v>0</v>
      </c>
      <c r="BJ4947">
        <v>4050</v>
      </c>
      <c r="BK4947">
        <v>50</v>
      </c>
      <c r="BL4947" t="s">
        <v>188</v>
      </c>
      <c r="BM4947">
        <v>1</v>
      </c>
      <c r="BN4947">
        <v>1</v>
      </c>
      <c r="BO4947">
        <v>0</v>
      </c>
      <c r="BP4947">
        <v>0</v>
      </c>
      <c r="BS4947">
        <v>0</v>
      </c>
      <c r="BT4947">
        <v>0</v>
      </c>
      <c r="BU4947">
        <v>0</v>
      </c>
      <c r="CE4947" t="str">
        <f t="shared" si="1961"/>
        <v>15:18:16.425</v>
      </c>
      <c r="CF4947">
        <v>424761217</v>
      </c>
      <c r="CS4947">
        <v>0</v>
      </c>
      <c r="CT4947">
        <v>2</v>
      </c>
      <c r="CU4947">
        <v>0</v>
      </c>
      <c r="CV4947">
        <v>2</v>
      </c>
      <c r="CW4947">
        <v>0</v>
      </c>
      <c r="CX4947">
        <v>3</v>
      </c>
      <c r="CY4947">
        <v>7</v>
      </c>
      <c r="CZ4947" t="s">
        <v>133</v>
      </c>
      <c r="DA4947">
        <v>275</v>
      </c>
      <c r="DB4947">
        <v>0</v>
      </c>
      <c r="DC4947" t="s">
        <v>134</v>
      </c>
      <c r="DD4947" t="s">
        <v>135</v>
      </c>
      <c r="DG4947">
        <v>3323460</v>
      </c>
      <c r="DI4947">
        <v>1</v>
      </c>
      <c r="DJ4947">
        <v>0</v>
      </c>
      <c r="DK4947">
        <v>1</v>
      </c>
      <c r="DL4947">
        <v>0</v>
      </c>
      <c r="DM4947">
        <v>0</v>
      </c>
      <c r="DN4947">
        <v>0</v>
      </c>
      <c r="DO4947">
        <v>0</v>
      </c>
      <c r="DP4947">
        <v>0</v>
      </c>
      <c r="DQ4947">
        <v>0</v>
      </c>
      <c r="DR4947">
        <v>0</v>
      </c>
      <c r="DS4947">
        <v>0</v>
      </c>
    </row>
    <row r="4948" spans="1:123" x14ac:dyDescent="0.3">
      <c r="A4948" t="str">
        <f>"05/01/2025 15:18:16.638"</f>
        <v>05/01/2025 15:18:16.638</v>
      </c>
      <c r="C4948" t="str">
        <f t="shared" si="1952"/>
        <v>FFDFD3C0</v>
      </c>
      <c r="D4948" t="s">
        <v>136</v>
      </c>
      <c r="E4948" t="str">
        <f>"20"</f>
        <v>20</v>
      </c>
      <c r="H4948">
        <v>400</v>
      </c>
      <c r="I4948" t="s">
        <v>137</v>
      </c>
      <c r="J4948" t="s">
        <v>138</v>
      </c>
      <c r="K4948">
        <v>0</v>
      </c>
      <c r="L4948">
        <v>3</v>
      </c>
      <c r="M4948">
        <v>0</v>
      </c>
      <c r="N4948">
        <v>2</v>
      </c>
      <c r="O4948">
        <v>0</v>
      </c>
      <c r="P4948">
        <v>1</v>
      </c>
      <c r="Q4948">
        <v>0</v>
      </c>
      <c r="R4948" t="s">
        <v>127</v>
      </c>
      <c r="S4948" t="str">
        <f t="shared" si="1960"/>
        <v>15:18:16.000</v>
      </c>
      <c r="T4948" t="str">
        <f t="shared" si="1960"/>
        <v>15:18:16.000</v>
      </c>
      <c r="U4948" t="str">
        <f t="shared" si="1953"/>
        <v>A68FCB</v>
      </c>
      <c r="V4948">
        <v>0</v>
      </c>
      <c r="W4948">
        <v>0</v>
      </c>
      <c r="X4948">
        <v>2</v>
      </c>
      <c r="Y4948">
        <v>0</v>
      </c>
      <c r="AA4948">
        <v>1</v>
      </c>
      <c r="AB4948">
        <v>8</v>
      </c>
      <c r="AC4948">
        <v>3</v>
      </c>
      <c r="AD4948">
        <v>0</v>
      </c>
      <c r="AE4948">
        <v>9</v>
      </c>
      <c r="AF4948" t="s">
        <v>138</v>
      </c>
      <c r="AG4948">
        <v>0</v>
      </c>
      <c r="AH4948">
        <v>3</v>
      </c>
      <c r="AI4948">
        <v>2</v>
      </c>
      <c r="AJ4948">
        <v>0</v>
      </c>
      <c r="AK4948" t="s">
        <v>1565</v>
      </c>
      <c r="AL4948">
        <v>39.235053000000001</v>
      </c>
      <c r="AM4948" t="s">
        <v>1566</v>
      </c>
      <c r="AN4948">
        <v>-121.005049</v>
      </c>
      <c r="AO4948">
        <v>25</v>
      </c>
      <c r="AP4948">
        <v>4000</v>
      </c>
      <c r="AQ4948" t="s">
        <v>131</v>
      </c>
      <c r="AR4948">
        <v>-101</v>
      </c>
      <c r="AS4948">
        <v>38</v>
      </c>
      <c r="AT4948">
        <v>-192</v>
      </c>
      <c r="BB4948" t="str">
        <f t="shared" si="1954"/>
        <v>1200</v>
      </c>
      <c r="BC4948">
        <v>1</v>
      </c>
      <c r="BD4948" t="str">
        <f t="shared" si="1955"/>
        <v xml:space="preserve">N52156  </v>
      </c>
      <c r="BE4948">
        <v>1</v>
      </c>
      <c r="BG4948">
        <v>0</v>
      </c>
      <c r="BH4948">
        <v>0</v>
      </c>
      <c r="BI4948">
        <v>0</v>
      </c>
      <c r="BJ4948">
        <v>4050</v>
      </c>
      <c r="BK4948">
        <v>50</v>
      </c>
      <c r="BL4948" t="s">
        <v>188</v>
      </c>
      <c r="BM4948">
        <v>1</v>
      </c>
      <c r="BN4948">
        <v>1</v>
      </c>
      <c r="BO4948">
        <v>0</v>
      </c>
      <c r="BP4948">
        <v>0</v>
      </c>
      <c r="BS4948">
        <v>0</v>
      </c>
      <c r="BT4948">
        <v>0</v>
      </c>
      <c r="BU4948">
        <v>0</v>
      </c>
      <c r="CE4948" t="str">
        <f t="shared" si="1961"/>
        <v>15:18:16.425</v>
      </c>
      <c r="CF4948">
        <v>424761217</v>
      </c>
      <c r="CS4948">
        <v>0</v>
      </c>
      <c r="CT4948">
        <v>2</v>
      </c>
      <c r="CU4948">
        <v>0</v>
      </c>
      <c r="CV4948">
        <v>2</v>
      </c>
      <c r="CW4948">
        <v>0</v>
      </c>
      <c r="CX4948">
        <v>3</v>
      </c>
      <c r="CY4948">
        <v>7</v>
      </c>
      <c r="CZ4948" t="s">
        <v>133</v>
      </c>
      <c r="DA4948">
        <v>275</v>
      </c>
      <c r="DB4948">
        <v>0</v>
      </c>
      <c r="DC4948" t="s">
        <v>134</v>
      </c>
      <c r="DD4948" t="s">
        <v>135</v>
      </c>
      <c r="DG4948">
        <v>3323460</v>
      </c>
      <c r="DI4948">
        <v>1</v>
      </c>
      <c r="DJ4948">
        <v>0</v>
      </c>
      <c r="DK4948">
        <v>1</v>
      </c>
      <c r="DL4948">
        <v>0</v>
      </c>
      <c r="DM4948">
        <v>0</v>
      </c>
      <c r="DN4948">
        <v>0</v>
      </c>
      <c r="DO4948">
        <v>0</v>
      </c>
      <c r="DP4948">
        <v>0</v>
      </c>
      <c r="DQ4948">
        <v>0</v>
      </c>
      <c r="DR4948">
        <v>0</v>
      </c>
      <c r="DS4948">
        <v>0</v>
      </c>
    </row>
    <row r="4949" spans="1:123" x14ac:dyDescent="0.3">
      <c r="A4949" t="str">
        <f>"05/01/2025 15:18:16.653"</f>
        <v>05/01/2025 15:18:16.653</v>
      </c>
      <c r="C4949" t="str">
        <f t="shared" si="1952"/>
        <v>FFDFD3C0</v>
      </c>
      <c r="D4949" t="s">
        <v>140</v>
      </c>
      <c r="E4949" t="str">
        <f>"13"</f>
        <v>13</v>
      </c>
      <c r="F4949">
        <v>1019</v>
      </c>
      <c r="G4949" t="s">
        <v>141</v>
      </c>
      <c r="J4949" t="s">
        <v>142</v>
      </c>
      <c r="K4949">
        <v>0</v>
      </c>
      <c r="L4949">
        <v>3</v>
      </c>
      <c r="M4949">
        <v>0</v>
      </c>
      <c r="N4949">
        <v>2</v>
      </c>
      <c r="O4949">
        <v>0</v>
      </c>
      <c r="P4949">
        <v>1</v>
      </c>
      <c r="Q4949">
        <v>0</v>
      </c>
      <c r="R4949" t="s">
        <v>127</v>
      </c>
      <c r="S4949" t="str">
        <f t="shared" si="1960"/>
        <v>15:18:16.000</v>
      </c>
      <c r="T4949" t="str">
        <f t="shared" si="1960"/>
        <v>15:18:16.000</v>
      </c>
      <c r="U4949" t="str">
        <f t="shared" si="1953"/>
        <v>A68FCB</v>
      </c>
      <c r="V4949">
        <v>0</v>
      </c>
      <c r="W4949">
        <v>0</v>
      </c>
      <c r="X4949">
        <v>2</v>
      </c>
      <c r="Y4949">
        <v>0</v>
      </c>
      <c r="AA4949">
        <v>1</v>
      </c>
      <c r="AB4949">
        <v>8</v>
      </c>
      <c r="AC4949">
        <v>3</v>
      </c>
      <c r="AD4949">
        <v>0</v>
      </c>
      <c r="AE4949">
        <v>9</v>
      </c>
      <c r="AF4949" t="s">
        <v>138</v>
      </c>
      <c r="AG4949">
        <v>0</v>
      </c>
      <c r="AH4949">
        <v>3</v>
      </c>
      <c r="AI4949">
        <v>2</v>
      </c>
      <c r="AJ4949">
        <v>0</v>
      </c>
      <c r="AK4949" t="s">
        <v>1565</v>
      </c>
      <c r="AL4949">
        <v>39.235053000000001</v>
      </c>
      <c r="AM4949" t="s">
        <v>1566</v>
      </c>
      <c r="AN4949">
        <v>-121.005049</v>
      </c>
      <c r="AO4949">
        <v>25</v>
      </c>
      <c r="AP4949">
        <v>4000</v>
      </c>
      <c r="AQ4949" t="s">
        <v>131</v>
      </c>
      <c r="AR4949">
        <v>-101</v>
      </c>
      <c r="AS4949">
        <v>38</v>
      </c>
      <c r="AT4949">
        <v>-192</v>
      </c>
      <c r="BB4949" t="str">
        <f t="shared" si="1954"/>
        <v>1200</v>
      </c>
      <c r="BC4949">
        <v>1</v>
      </c>
      <c r="BD4949" t="str">
        <f t="shared" si="1955"/>
        <v xml:space="preserve">N52156  </v>
      </c>
      <c r="BE4949">
        <v>1</v>
      </c>
      <c r="BG4949">
        <v>0</v>
      </c>
      <c r="BH4949">
        <v>0</v>
      </c>
      <c r="BI4949">
        <v>0</v>
      </c>
      <c r="BJ4949">
        <v>4050</v>
      </c>
      <c r="BK4949">
        <v>50</v>
      </c>
      <c r="BL4949" t="s">
        <v>188</v>
      </c>
      <c r="BM4949">
        <v>1</v>
      </c>
      <c r="BN4949">
        <v>1</v>
      </c>
      <c r="BO4949">
        <v>0</v>
      </c>
      <c r="BP4949">
        <v>0</v>
      </c>
      <c r="BS4949">
        <v>0</v>
      </c>
      <c r="BT4949">
        <v>0</v>
      </c>
      <c r="BU4949">
        <v>0</v>
      </c>
      <c r="CE4949" t="str">
        <f t="shared" si="1961"/>
        <v>15:18:16.425</v>
      </c>
      <c r="CF4949">
        <v>424761217</v>
      </c>
      <c r="CS4949">
        <v>0</v>
      </c>
      <c r="CT4949">
        <v>2</v>
      </c>
      <c r="CU4949">
        <v>0</v>
      </c>
      <c r="CV4949">
        <v>2</v>
      </c>
      <c r="CW4949">
        <v>0</v>
      </c>
      <c r="CX4949">
        <v>3</v>
      </c>
      <c r="CY4949">
        <v>7</v>
      </c>
      <c r="CZ4949" t="s">
        <v>133</v>
      </c>
      <c r="DA4949">
        <v>275</v>
      </c>
      <c r="DB4949">
        <v>0</v>
      </c>
      <c r="DC4949" t="s">
        <v>134</v>
      </c>
      <c r="DD4949" t="s">
        <v>135</v>
      </c>
      <c r="DG4949">
        <v>3323460</v>
      </c>
      <c r="DI4949">
        <v>1</v>
      </c>
      <c r="DJ4949">
        <v>0</v>
      </c>
      <c r="DK4949">
        <v>1</v>
      </c>
      <c r="DL4949">
        <v>0</v>
      </c>
      <c r="DM4949">
        <v>0</v>
      </c>
      <c r="DN4949">
        <v>0</v>
      </c>
      <c r="DO4949">
        <v>0</v>
      </c>
      <c r="DP4949">
        <v>0</v>
      </c>
      <c r="DQ4949">
        <v>0</v>
      </c>
      <c r="DR4949">
        <v>0</v>
      </c>
      <c r="DS4949">
        <v>0</v>
      </c>
    </row>
    <row r="4950" spans="1:123" x14ac:dyDescent="0.3">
      <c r="A4950" t="str">
        <f>"05/01/2025 15:18:16.656"</f>
        <v>05/01/2025 15:18:16.656</v>
      </c>
      <c r="C4950" t="str">
        <f t="shared" si="1952"/>
        <v>FFDFD3C0</v>
      </c>
      <c r="D4950" t="s">
        <v>124</v>
      </c>
      <c r="E4950" t="str">
        <f>"06"</f>
        <v>06</v>
      </c>
      <c r="F4950">
        <v>2006</v>
      </c>
      <c r="G4950" t="s">
        <v>125</v>
      </c>
      <c r="J4950" t="s">
        <v>126</v>
      </c>
      <c r="K4950">
        <v>0</v>
      </c>
      <c r="L4950">
        <v>3</v>
      </c>
      <c r="M4950">
        <v>0</v>
      </c>
      <c r="N4950">
        <v>2</v>
      </c>
      <c r="O4950">
        <v>0</v>
      </c>
      <c r="P4950">
        <v>1</v>
      </c>
      <c r="Q4950">
        <v>0</v>
      </c>
      <c r="R4950" t="s">
        <v>127</v>
      </c>
      <c r="S4950" t="str">
        <f t="shared" si="1960"/>
        <v>15:18:16.000</v>
      </c>
      <c r="T4950" t="str">
        <f t="shared" si="1960"/>
        <v>15:18:16.000</v>
      </c>
      <c r="U4950" t="str">
        <f t="shared" si="1953"/>
        <v>A68FCB</v>
      </c>
      <c r="V4950">
        <v>0</v>
      </c>
      <c r="W4950">
        <v>0</v>
      </c>
      <c r="X4950">
        <v>2</v>
      </c>
      <c r="Y4950">
        <v>0</v>
      </c>
      <c r="AA4950">
        <v>1</v>
      </c>
      <c r="AB4950">
        <v>8</v>
      </c>
      <c r="AC4950">
        <v>3</v>
      </c>
      <c r="AD4950">
        <v>0</v>
      </c>
      <c r="AE4950">
        <v>9</v>
      </c>
      <c r="AF4950" t="s">
        <v>138</v>
      </c>
      <c r="AG4950">
        <v>0</v>
      </c>
      <c r="AH4950">
        <v>3</v>
      </c>
      <c r="AI4950">
        <v>2</v>
      </c>
      <c r="AJ4950">
        <v>0</v>
      </c>
      <c r="AK4950" t="s">
        <v>1565</v>
      </c>
      <c r="AL4950">
        <v>39.235053000000001</v>
      </c>
      <c r="AM4950" t="s">
        <v>1566</v>
      </c>
      <c r="AN4950">
        <v>-121.005049</v>
      </c>
      <c r="AO4950">
        <v>25</v>
      </c>
      <c r="AP4950">
        <v>4000</v>
      </c>
      <c r="AQ4950" t="s">
        <v>131</v>
      </c>
      <c r="AR4950">
        <v>-101</v>
      </c>
      <c r="AS4950">
        <v>38</v>
      </c>
      <c r="AT4950">
        <v>-192</v>
      </c>
      <c r="BB4950" t="str">
        <f t="shared" si="1954"/>
        <v>1200</v>
      </c>
      <c r="BC4950">
        <v>1</v>
      </c>
      <c r="BD4950" t="str">
        <f t="shared" si="1955"/>
        <v xml:space="preserve">N52156  </v>
      </c>
      <c r="BE4950">
        <v>1</v>
      </c>
      <c r="BG4950">
        <v>0</v>
      </c>
      <c r="BH4950">
        <v>0</v>
      </c>
      <c r="BI4950">
        <v>0</v>
      </c>
      <c r="BJ4950">
        <v>4050</v>
      </c>
      <c r="BK4950">
        <v>50</v>
      </c>
      <c r="BL4950" t="s">
        <v>188</v>
      </c>
      <c r="BM4950">
        <v>1</v>
      </c>
      <c r="BN4950">
        <v>1</v>
      </c>
      <c r="BO4950">
        <v>0</v>
      </c>
      <c r="BP4950">
        <v>0</v>
      </c>
      <c r="BS4950">
        <v>0</v>
      </c>
      <c r="BT4950">
        <v>0</v>
      </c>
      <c r="BU4950">
        <v>0</v>
      </c>
      <c r="CE4950" t="str">
        <f t="shared" si="1961"/>
        <v>15:18:16.425</v>
      </c>
      <c r="CF4950">
        <v>424761217</v>
      </c>
      <c r="CS4950">
        <v>0</v>
      </c>
      <c r="CT4950">
        <v>2</v>
      </c>
      <c r="CU4950">
        <v>0</v>
      </c>
      <c r="CV4950">
        <v>2</v>
      </c>
      <c r="CW4950">
        <v>0</v>
      </c>
      <c r="CX4950">
        <v>3</v>
      </c>
      <c r="CY4950">
        <v>7</v>
      </c>
      <c r="CZ4950" t="s">
        <v>133</v>
      </c>
      <c r="DA4950">
        <v>275</v>
      </c>
      <c r="DB4950">
        <v>0</v>
      </c>
      <c r="DC4950" t="s">
        <v>134</v>
      </c>
      <c r="DD4950" t="s">
        <v>135</v>
      </c>
      <c r="DG4950">
        <v>3323460</v>
      </c>
      <c r="DI4950">
        <v>1</v>
      </c>
      <c r="DJ4950">
        <v>0</v>
      </c>
      <c r="DK4950">
        <v>1</v>
      </c>
      <c r="DL4950">
        <v>0</v>
      </c>
      <c r="DM4950">
        <v>0</v>
      </c>
      <c r="DN4950">
        <v>0</v>
      </c>
      <c r="DO4950">
        <v>0</v>
      </c>
      <c r="DP4950">
        <v>0</v>
      </c>
      <c r="DQ4950">
        <v>0</v>
      </c>
      <c r="DR4950">
        <v>0</v>
      </c>
      <c r="DS4950">
        <v>0</v>
      </c>
    </row>
    <row r="4951" spans="1:123" x14ac:dyDescent="0.3">
      <c r="A4951" t="str">
        <f>"05/01/2025 15:18:16.664"</f>
        <v>05/01/2025 15:18:16.664</v>
      </c>
      <c r="C4951" t="str">
        <f t="shared" si="1952"/>
        <v>FFDFD3C0</v>
      </c>
      <c r="D4951" t="s">
        <v>143</v>
      </c>
      <c r="E4951" t="str">
        <f>"05"</f>
        <v>05</v>
      </c>
      <c r="H4951">
        <v>172</v>
      </c>
      <c r="I4951" t="s">
        <v>141</v>
      </c>
      <c r="J4951" t="s">
        <v>144</v>
      </c>
      <c r="K4951">
        <v>0</v>
      </c>
      <c r="L4951">
        <v>3</v>
      </c>
      <c r="M4951">
        <v>0</v>
      </c>
      <c r="N4951">
        <v>2</v>
      </c>
      <c r="O4951">
        <v>0</v>
      </c>
      <c r="P4951">
        <v>1</v>
      </c>
      <c r="Q4951">
        <v>0</v>
      </c>
      <c r="R4951" t="s">
        <v>127</v>
      </c>
      <c r="S4951" t="str">
        <f t="shared" si="1960"/>
        <v>15:18:16.000</v>
      </c>
      <c r="T4951" t="str">
        <f t="shared" si="1960"/>
        <v>15:18:16.000</v>
      </c>
      <c r="U4951" t="str">
        <f t="shared" si="1953"/>
        <v>A68FCB</v>
      </c>
      <c r="V4951">
        <v>0</v>
      </c>
      <c r="W4951">
        <v>0</v>
      </c>
      <c r="X4951">
        <v>2</v>
      </c>
      <c r="Y4951">
        <v>0</v>
      </c>
      <c r="AA4951">
        <v>1</v>
      </c>
      <c r="AB4951">
        <v>8</v>
      </c>
      <c r="AC4951">
        <v>3</v>
      </c>
      <c r="AD4951">
        <v>0</v>
      </c>
      <c r="AE4951">
        <v>9</v>
      </c>
      <c r="AF4951" t="s">
        <v>138</v>
      </c>
      <c r="AG4951">
        <v>0</v>
      </c>
      <c r="AH4951">
        <v>3</v>
      </c>
      <c r="AI4951">
        <v>2</v>
      </c>
      <c r="AJ4951">
        <v>0</v>
      </c>
      <c r="AK4951" t="s">
        <v>1565</v>
      </c>
      <c r="AL4951">
        <v>39.235053000000001</v>
      </c>
      <c r="AM4951" t="s">
        <v>1566</v>
      </c>
      <c r="AN4951">
        <v>-121.005049</v>
      </c>
      <c r="AO4951">
        <v>25</v>
      </c>
      <c r="AP4951">
        <v>4000</v>
      </c>
      <c r="AQ4951" t="s">
        <v>131</v>
      </c>
      <c r="AR4951">
        <v>-101</v>
      </c>
      <c r="AS4951">
        <v>38</v>
      </c>
      <c r="AT4951">
        <v>-192</v>
      </c>
      <c r="BB4951" t="str">
        <f t="shared" si="1954"/>
        <v>1200</v>
      </c>
      <c r="BC4951">
        <v>1</v>
      </c>
      <c r="BD4951" t="str">
        <f t="shared" si="1955"/>
        <v xml:space="preserve">N52156  </v>
      </c>
      <c r="BE4951">
        <v>1</v>
      </c>
      <c r="BG4951">
        <v>0</v>
      </c>
      <c r="BH4951">
        <v>0</v>
      </c>
      <c r="BI4951">
        <v>0</v>
      </c>
      <c r="BJ4951">
        <v>4050</v>
      </c>
      <c r="BK4951">
        <v>50</v>
      </c>
      <c r="BL4951" t="s">
        <v>188</v>
      </c>
      <c r="BM4951">
        <v>1</v>
      </c>
      <c r="BN4951">
        <v>1</v>
      </c>
      <c r="BO4951">
        <v>0</v>
      </c>
      <c r="BP4951">
        <v>0</v>
      </c>
      <c r="BS4951">
        <v>0</v>
      </c>
      <c r="BT4951">
        <v>0</v>
      </c>
      <c r="BU4951">
        <v>0</v>
      </c>
      <c r="CE4951" t="str">
        <f t="shared" si="1961"/>
        <v>15:18:16.425</v>
      </c>
      <c r="CF4951">
        <v>424761217</v>
      </c>
      <c r="CS4951">
        <v>0</v>
      </c>
      <c r="CT4951">
        <v>2</v>
      </c>
      <c r="CU4951">
        <v>0</v>
      </c>
      <c r="CV4951">
        <v>2</v>
      </c>
      <c r="CW4951">
        <v>0</v>
      </c>
      <c r="CX4951">
        <v>3</v>
      </c>
      <c r="CY4951">
        <v>7</v>
      </c>
      <c r="CZ4951" t="s">
        <v>133</v>
      </c>
      <c r="DA4951">
        <v>275</v>
      </c>
      <c r="DB4951">
        <v>0</v>
      </c>
      <c r="DC4951" t="s">
        <v>134</v>
      </c>
      <c r="DD4951" t="s">
        <v>135</v>
      </c>
      <c r="DG4951">
        <v>3323460</v>
      </c>
      <c r="DI4951">
        <v>1</v>
      </c>
      <c r="DJ4951">
        <v>0</v>
      </c>
      <c r="DK4951">
        <v>1</v>
      </c>
      <c r="DL4951">
        <v>0</v>
      </c>
      <c r="DM4951">
        <v>0</v>
      </c>
      <c r="DN4951">
        <v>0</v>
      </c>
      <c r="DO4951">
        <v>0</v>
      </c>
      <c r="DP4951">
        <v>0</v>
      </c>
      <c r="DQ4951">
        <v>0</v>
      </c>
      <c r="DR4951">
        <v>0</v>
      </c>
      <c r="DS4951">
        <v>0</v>
      </c>
    </row>
    <row r="4952" spans="1:123" x14ac:dyDescent="0.3">
      <c r="A4952" t="str">
        <f>"05/01/2025 15:18:17.465"</f>
        <v>05/01/2025 15:18:17.465</v>
      </c>
      <c r="C4952" t="str">
        <f t="shared" si="1952"/>
        <v>FFDFD3C0</v>
      </c>
      <c r="D4952" t="s">
        <v>143</v>
      </c>
      <c r="E4952" t="str">
        <f>"05"</f>
        <v>05</v>
      </c>
      <c r="H4952">
        <v>172</v>
      </c>
      <c r="I4952" t="s">
        <v>141</v>
      </c>
      <c r="J4952" t="s">
        <v>144</v>
      </c>
      <c r="K4952">
        <v>0</v>
      </c>
      <c r="L4952">
        <v>3</v>
      </c>
      <c r="M4952">
        <v>0</v>
      </c>
      <c r="N4952">
        <v>2</v>
      </c>
      <c r="O4952">
        <v>0</v>
      </c>
      <c r="P4952">
        <v>1</v>
      </c>
      <c r="Q4952">
        <v>0</v>
      </c>
      <c r="R4952" t="s">
        <v>127</v>
      </c>
      <c r="S4952" t="str">
        <f t="shared" ref="S4952:T4957" si="1962">"15:18:17.000"</f>
        <v>15:18:17.000</v>
      </c>
      <c r="T4952" t="str">
        <f t="shared" si="1962"/>
        <v>15:18:17.000</v>
      </c>
      <c r="U4952" t="str">
        <f t="shared" si="1953"/>
        <v>A68FCB</v>
      </c>
      <c r="V4952">
        <v>0</v>
      </c>
      <c r="W4952">
        <v>0</v>
      </c>
      <c r="X4952">
        <v>2</v>
      </c>
      <c r="Y4952">
        <v>0</v>
      </c>
      <c r="AA4952">
        <v>1</v>
      </c>
      <c r="AB4952">
        <v>8</v>
      </c>
      <c r="AC4952">
        <v>3</v>
      </c>
      <c r="AD4952">
        <v>0</v>
      </c>
      <c r="AE4952">
        <v>9</v>
      </c>
      <c r="AF4952" t="s">
        <v>138</v>
      </c>
      <c r="AG4952">
        <v>0</v>
      </c>
      <c r="AH4952">
        <v>3</v>
      </c>
      <c r="AI4952">
        <v>2</v>
      </c>
      <c r="AJ4952">
        <v>0</v>
      </c>
      <c r="AK4952" t="s">
        <v>1567</v>
      </c>
      <c r="AL4952">
        <v>39.235245999999997</v>
      </c>
      <c r="AM4952" t="s">
        <v>1568</v>
      </c>
      <c r="AN4952">
        <v>-121.00565</v>
      </c>
      <c r="AO4952">
        <v>25</v>
      </c>
      <c r="AP4952">
        <v>4000</v>
      </c>
      <c r="AQ4952" t="s">
        <v>131</v>
      </c>
      <c r="AR4952">
        <v>-103</v>
      </c>
      <c r="AS4952">
        <v>33</v>
      </c>
      <c r="AT4952">
        <v>-128</v>
      </c>
      <c r="BB4952" t="str">
        <f t="shared" si="1954"/>
        <v>1200</v>
      </c>
      <c r="BC4952">
        <v>1</v>
      </c>
      <c r="BD4952" t="str">
        <f t="shared" si="1955"/>
        <v xml:space="preserve">N52156  </v>
      </c>
      <c r="BE4952">
        <v>1</v>
      </c>
      <c r="BG4952">
        <v>0</v>
      </c>
      <c r="BH4952">
        <v>0</v>
      </c>
      <c r="BI4952">
        <v>0</v>
      </c>
      <c r="BJ4952">
        <v>4050</v>
      </c>
      <c r="BK4952">
        <v>50</v>
      </c>
      <c r="BL4952" t="s">
        <v>188</v>
      </c>
      <c r="BM4952">
        <v>1</v>
      </c>
      <c r="BN4952">
        <v>1</v>
      </c>
      <c r="BO4952">
        <v>0</v>
      </c>
      <c r="BP4952">
        <v>0</v>
      </c>
      <c r="BS4952">
        <v>0</v>
      </c>
      <c r="BT4952">
        <v>0</v>
      </c>
      <c r="BU4952">
        <v>0</v>
      </c>
      <c r="CE4952" t="str">
        <f t="shared" ref="CE4952:CE4957" si="1963">"15:18:17.255"</f>
        <v>15:18:17.255</v>
      </c>
      <c r="CF4952">
        <v>254760700</v>
      </c>
      <c r="CS4952">
        <v>0</v>
      </c>
      <c r="CT4952">
        <v>2</v>
      </c>
      <c r="CU4952">
        <v>0</v>
      </c>
      <c r="CV4952">
        <v>2</v>
      </c>
      <c r="CW4952">
        <v>0</v>
      </c>
      <c r="CX4952">
        <v>3</v>
      </c>
      <c r="CY4952">
        <v>7</v>
      </c>
      <c r="CZ4952" t="s">
        <v>133</v>
      </c>
      <c r="DA4952">
        <v>275</v>
      </c>
      <c r="DB4952">
        <v>0</v>
      </c>
      <c r="DC4952" t="s">
        <v>134</v>
      </c>
      <c r="DD4952" t="s">
        <v>135</v>
      </c>
      <c r="DG4952">
        <v>3323464</v>
      </c>
      <c r="DI4952">
        <v>1</v>
      </c>
      <c r="DJ4952">
        <v>0</v>
      </c>
      <c r="DK4952">
        <v>0</v>
      </c>
      <c r="DL4952">
        <v>0</v>
      </c>
      <c r="DM4952">
        <v>0</v>
      </c>
      <c r="DN4952">
        <v>0</v>
      </c>
      <c r="DO4952">
        <v>0</v>
      </c>
      <c r="DP4952">
        <v>0</v>
      </c>
      <c r="DQ4952">
        <v>0</v>
      </c>
      <c r="DR4952">
        <v>0</v>
      </c>
      <c r="DS4952">
        <v>0</v>
      </c>
    </row>
    <row r="4953" spans="1:123" x14ac:dyDescent="0.3">
      <c r="A4953" t="str">
        <f>"05/01/2025 15:18:17.479"</f>
        <v>05/01/2025 15:18:17.479</v>
      </c>
      <c r="C4953" t="str">
        <f t="shared" si="1952"/>
        <v>FFDFD3C0</v>
      </c>
      <c r="D4953" t="s">
        <v>145</v>
      </c>
      <c r="E4953" t="str">
        <f>"09"</f>
        <v>09</v>
      </c>
      <c r="H4953">
        <v>51</v>
      </c>
      <c r="I4953" t="s">
        <v>147</v>
      </c>
      <c r="J4953" t="s">
        <v>138</v>
      </c>
      <c r="K4953">
        <v>0</v>
      </c>
      <c r="L4953">
        <v>3</v>
      </c>
      <c r="M4953">
        <v>0</v>
      </c>
      <c r="N4953">
        <v>2</v>
      </c>
      <c r="O4953">
        <v>0</v>
      </c>
      <c r="P4953">
        <v>1</v>
      </c>
      <c r="Q4953">
        <v>0</v>
      </c>
      <c r="R4953" t="s">
        <v>127</v>
      </c>
      <c r="S4953" t="str">
        <f t="shared" si="1962"/>
        <v>15:18:17.000</v>
      </c>
      <c r="T4953" t="str">
        <f t="shared" si="1962"/>
        <v>15:18:17.000</v>
      </c>
      <c r="U4953" t="str">
        <f t="shared" si="1953"/>
        <v>A68FCB</v>
      </c>
      <c r="V4953">
        <v>0</v>
      </c>
      <c r="W4953">
        <v>0</v>
      </c>
      <c r="X4953">
        <v>2</v>
      </c>
      <c r="Y4953">
        <v>0</v>
      </c>
      <c r="AA4953">
        <v>1</v>
      </c>
      <c r="AB4953">
        <v>8</v>
      </c>
      <c r="AC4953">
        <v>3</v>
      </c>
      <c r="AD4953">
        <v>0</v>
      </c>
      <c r="AE4953">
        <v>9</v>
      </c>
      <c r="AF4953" t="s">
        <v>138</v>
      </c>
      <c r="AG4953">
        <v>0</v>
      </c>
      <c r="AH4953">
        <v>3</v>
      </c>
      <c r="AI4953">
        <v>2</v>
      </c>
      <c r="AJ4953">
        <v>0</v>
      </c>
      <c r="AK4953" t="s">
        <v>1567</v>
      </c>
      <c r="AL4953">
        <v>39.235245999999997</v>
      </c>
      <c r="AM4953" t="s">
        <v>1568</v>
      </c>
      <c r="AN4953">
        <v>-121.00565</v>
      </c>
      <c r="AO4953">
        <v>25</v>
      </c>
      <c r="AP4953">
        <v>4000</v>
      </c>
      <c r="AQ4953" t="s">
        <v>131</v>
      </c>
      <c r="AR4953">
        <v>-103</v>
      </c>
      <c r="AS4953">
        <v>33</v>
      </c>
      <c r="AT4953">
        <v>-128</v>
      </c>
      <c r="BB4953" t="str">
        <f t="shared" si="1954"/>
        <v>1200</v>
      </c>
      <c r="BC4953">
        <v>1</v>
      </c>
      <c r="BD4953" t="str">
        <f t="shared" si="1955"/>
        <v xml:space="preserve">N52156  </v>
      </c>
      <c r="BE4953">
        <v>1</v>
      </c>
      <c r="BG4953">
        <v>0</v>
      </c>
      <c r="BH4953">
        <v>0</v>
      </c>
      <c r="BI4953">
        <v>0</v>
      </c>
      <c r="BJ4953">
        <v>4050</v>
      </c>
      <c r="BK4953">
        <v>50</v>
      </c>
      <c r="BL4953" t="s">
        <v>188</v>
      </c>
      <c r="BM4953">
        <v>1</v>
      </c>
      <c r="BN4953">
        <v>1</v>
      </c>
      <c r="BO4953">
        <v>0</v>
      </c>
      <c r="BP4953">
        <v>0</v>
      </c>
      <c r="BS4953">
        <v>0</v>
      </c>
      <c r="BT4953">
        <v>0</v>
      </c>
      <c r="BU4953">
        <v>0</v>
      </c>
      <c r="CE4953" t="str">
        <f t="shared" si="1963"/>
        <v>15:18:17.255</v>
      </c>
      <c r="CF4953">
        <v>254760700</v>
      </c>
      <c r="CS4953">
        <v>0</v>
      </c>
      <c r="CT4953">
        <v>2</v>
      </c>
      <c r="CU4953">
        <v>0</v>
      </c>
      <c r="CV4953">
        <v>2</v>
      </c>
      <c r="CW4953">
        <v>0</v>
      </c>
      <c r="CX4953">
        <v>3</v>
      </c>
      <c r="CY4953">
        <v>7</v>
      </c>
      <c r="CZ4953" t="s">
        <v>133</v>
      </c>
      <c r="DA4953">
        <v>275</v>
      </c>
      <c r="DB4953">
        <v>0</v>
      </c>
      <c r="DC4953" t="s">
        <v>134</v>
      </c>
      <c r="DD4953" t="s">
        <v>135</v>
      </c>
      <c r="DG4953">
        <v>3323464</v>
      </c>
      <c r="DI4953">
        <v>1</v>
      </c>
      <c r="DJ4953">
        <v>0</v>
      </c>
      <c r="DK4953">
        <v>1</v>
      </c>
      <c r="DL4953">
        <v>0</v>
      </c>
      <c r="DM4953">
        <v>0</v>
      </c>
      <c r="DN4953">
        <v>0</v>
      </c>
      <c r="DO4953">
        <v>0</v>
      </c>
      <c r="DP4953">
        <v>0</v>
      </c>
      <c r="DQ4953">
        <v>0</v>
      </c>
      <c r="DR4953">
        <v>0</v>
      </c>
      <c r="DS4953">
        <v>0</v>
      </c>
    </row>
    <row r="4954" spans="1:123" x14ac:dyDescent="0.3">
      <c r="A4954" t="str">
        <f>"05/01/2025 15:18:17.481"</f>
        <v>05/01/2025 15:18:17.481</v>
      </c>
      <c r="C4954" t="str">
        <f t="shared" si="1952"/>
        <v>FFDFD3C0</v>
      </c>
      <c r="D4954" t="s">
        <v>145</v>
      </c>
      <c r="E4954" t="str">
        <f>"05"</f>
        <v>05</v>
      </c>
      <c r="H4954">
        <v>47</v>
      </c>
      <c r="I4954" t="s">
        <v>146</v>
      </c>
      <c r="J4954" t="s">
        <v>138</v>
      </c>
      <c r="K4954">
        <v>0</v>
      </c>
      <c r="L4954">
        <v>3</v>
      </c>
      <c r="M4954">
        <v>0</v>
      </c>
      <c r="N4954">
        <v>2</v>
      </c>
      <c r="O4954">
        <v>0</v>
      </c>
      <c r="P4954">
        <v>1</v>
      </c>
      <c r="Q4954">
        <v>0</v>
      </c>
      <c r="R4954" t="s">
        <v>127</v>
      </c>
      <c r="S4954" t="str">
        <f t="shared" si="1962"/>
        <v>15:18:17.000</v>
      </c>
      <c r="T4954" t="str">
        <f t="shared" si="1962"/>
        <v>15:18:17.000</v>
      </c>
      <c r="U4954" t="str">
        <f t="shared" si="1953"/>
        <v>A68FCB</v>
      </c>
      <c r="V4954">
        <v>0</v>
      </c>
      <c r="W4954">
        <v>0</v>
      </c>
      <c r="X4954">
        <v>2</v>
      </c>
      <c r="Y4954">
        <v>0</v>
      </c>
      <c r="AA4954">
        <v>1</v>
      </c>
      <c r="AB4954">
        <v>8</v>
      </c>
      <c r="AC4954">
        <v>3</v>
      </c>
      <c r="AD4954">
        <v>0</v>
      </c>
      <c r="AE4954">
        <v>9</v>
      </c>
      <c r="AF4954" t="s">
        <v>138</v>
      </c>
      <c r="AG4954">
        <v>0</v>
      </c>
      <c r="AH4954">
        <v>3</v>
      </c>
      <c r="AI4954">
        <v>2</v>
      </c>
      <c r="AJ4954">
        <v>0</v>
      </c>
      <c r="AK4954" t="s">
        <v>1567</v>
      </c>
      <c r="AL4954">
        <v>39.235245999999997</v>
      </c>
      <c r="AM4954" t="s">
        <v>1568</v>
      </c>
      <c r="AN4954">
        <v>-121.00565</v>
      </c>
      <c r="AO4954">
        <v>25</v>
      </c>
      <c r="AP4954">
        <v>4000</v>
      </c>
      <c r="AQ4954" t="s">
        <v>131</v>
      </c>
      <c r="AR4954">
        <v>-103</v>
      </c>
      <c r="AS4954">
        <v>33</v>
      </c>
      <c r="AT4954">
        <v>-128</v>
      </c>
      <c r="BB4954" t="str">
        <f t="shared" si="1954"/>
        <v>1200</v>
      </c>
      <c r="BC4954">
        <v>1</v>
      </c>
      <c r="BD4954" t="str">
        <f t="shared" si="1955"/>
        <v xml:space="preserve">N52156  </v>
      </c>
      <c r="BE4954">
        <v>1</v>
      </c>
      <c r="BG4954">
        <v>0</v>
      </c>
      <c r="BH4954">
        <v>0</v>
      </c>
      <c r="BI4954">
        <v>0</v>
      </c>
      <c r="BJ4954">
        <v>4050</v>
      </c>
      <c r="BK4954">
        <v>50</v>
      </c>
      <c r="BL4954" t="s">
        <v>188</v>
      </c>
      <c r="BM4954">
        <v>1</v>
      </c>
      <c r="BN4954">
        <v>1</v>
      </c>
      <c r="BO4954">
        <v>0</v>
      </c>
      <c r="BP4954">
        <v>0</v>
      </c>
      <c r="BS4954">
        <v>0</v>
      </c>
      <c r="BT4954">
        <v>0</v>
      </c>
      <c r="BU4954">
        <v>0</v>
      </c>
      <c r="CE4954" t="str">
        <f t="shared" si="1963"/>
        <v>15:18:17.255</v>
      </c>
      <c r="CF4954">
        <v>254760700</v>
      </c>
      <c r="CS4954">
        <v>0</v>
      </c>
      <c r="CT4954">
        <v>2</v>
      </c>
      <c r="CU4954">
        <v>0</v>
      </c>
      <c r="CV4954">
        <v>2</v>
      </c>
      <c r="CW4954">
        <v>0</v>
      </c>
      <c r="CX4954">
        <v>3</v>
      </c>
      <c r="CY4954">
        <v>7</v>
      </c>
      <c r="CZ4954" t="s">
        <v>133</v>
      </c>
      <c r="DA4954">
        <v>275</v>
      </c>
      <c r="DB4954">
        <v>0</v>
      </c>
      <c r="DC4954" t="s">
        <v>134</v>
      </c>
      <c r="DD4954" t="s">
        <v>135</v>
      </c>
      <c r="DG4954">
        <v>3323464</v>
      </c>
      <c r="DI4954">
        <v>1</v>
      </c>
      <c r="DJ4954">
        <v>0</v>
      </c>
      <c r="DK4954">
        <v>1</v>
      </c>
      <c r="DL4954">
        <v>0</v>
      </c>
      <c r="DM4954">
        <v>0</v>
      </c>
      <c r="DN4954">
        <v>0</v>
      </c>
      <c r="DO4954">
        <v>0</v>
      </c>
      <c r="DP4954">
        <v>0</v>
      </c>
      <c r="DQ4954">
        <v>0</v>
      </c>
      <c r="DR4954">
        <v>0</v>
      </c>
      <c r="DS4954">
        <v>0</v>
      </c>
    </row>
    <row r="4955" spans="1:123" x14ac:dyDescent="0.3">
      <c r="A4955" t="str">
        <f>"05/01/2025 15:18:17.490"</f>
        <v>05/01/2025 15:18:17.490</v>
      </c>
      <c r="C4955" t="str">
        <f t="shared" si="1952"/>
        <v>FFDFD3C0</v>
      </c>
      <c r="D4955" t="s">
        <v>136</v>
      </c>
      <c r="E4955" t="str">
        <f>"20"</f>
        <v>20</v>
      </c>
      <c r="H4955">
        <v>400</v>
      </c>
      <c r="I4955" t="s">
        <v>137</v>
      </c>
      <c r="J4955" t="s">
        <v>138</v>
      </c>
      <c r="K4955">
        <v>0</v>
      </c>
      <c r="L4955">
        <v>3</v>
      </c>
      <c r="M4955">
        <v>0</v>
      </c>
      <c r="N4955">
        <v>2</v>
      </c>
      <c r="O4955">
        <v>0</v>
      </c>
      <c r="P4955">
        <v>1</v>
      </c>
      <c r="Q4955">
        <v>0</v>
      </c>
      <c r="R4955" t="s">
        <v>127</v>
      </c>
      <c r="S4955" t="str">
        <f t="shared" si="1962"/>
        <v>15:18:17.000</v>
      </c>
      <c r="T4955" t="str">
        <f t="shared" si="1962"/>
        <v>15:18:17.000</v>
      </c>
      <c r="U4955" t="str">
        <f t="shared" si="1953"/>
        <v>A68FCB</v>
      </c>
      <c r="V4955">
        <v>0</v>
      </c>
      <c r="W4955">
        <v>0</v>
      </c>
      <c r="X4955">
        <v>2</v>
      </c>
      <c r="Y4955">
        <v>0</v>
      </c>
      <c r="AA4955">
        <v>1</v>
      </c>
      <c r="AB4955">
        <v>8</v>
      </c>
      <c r="AC4955">
        <v>3</v>
      </c>
      <c r="AD4955">
        <v>0</v>
      </c>
      <c r="AE4955">
        <v>9</v>
      </c>
      <c r="AF4955" t="s">
        <v>138</v>
      </c>
      <c r="AG4955">
        <v>0</v>
      </c>
      <c r="AH4955">
        <v>3</v>
      </c>
      <c r="AI4955">
        <v>2</v>
      </c>
      <c r="AJ4955">
        <v>0</v>
      </c>
      <c r="AK4955" t="s">
        <v>1567</v>
      </c>
      <c r="AL4955">
        <v>39.235245999999997</v>
      </c>
      <c r="AM4955" t="s">
        <v>1568</v>
      </c>
      <c r="AN4955">
        <v>-121.00565</v>
      </c>
      <c r="AO4955">
        <v>25</v>
      </c>
      <c r="AP4955">
        <v>4000</v>
      </c>
      <c r="AQ4955" t="s">
        <v>131</v>
      </c>
      <c r="AR4955">
        <v>-103</v>
      </c>
      <c r="AS4955">
        <v>33</v>
      </c>
      <c r="AT4955">
        <v>-128</v>
      </c>
      <c r="BB4955" t="str">
        <f t="shared" si="1954"/>
        <v>1200</v>
      </c>
      <c r="BC4955">
        <v>1</v>
      </c>
      <c r="BD4955" t="str">
        <f t="shared" si="1955"/>
        <v xml:space="preserve">N52156  </v>
      </c>
      <c r="BE4955">
        <v>1</v>
      </c>
      <c r="BG4955">
        <v>0</v>
      </c>
      <c r="BH4955">
        <v>0</v>
      </c>
      <c r="BI4955">
        <v>0</v>
      </c>
      <c r="BJ4955">
        <v>4050</v>
      </c>
      <c r="BK4955">
        <v>50</v>
      </c>
      <c r="BL4955" t="s">
        <v>188</v>
      </c>
      <c r="BM4955">
        <v>1</v>
      </c>
      <c r="BN4955">
        <v>1</v>
      </c>
      <c r="BO4955">
        <v>0</v>
      </c>
      <c r="BP4955">
        <v>0</v>
      </c>
      <c r="BS4955">
        <v>0</v>
      </c>
      <c r="BT4955">
        <v>0</v>
      </c>
      <c r="BU4955">
        <v>0</v>
      </c>
      <c r="CE4955" t="str">
        <f t="shared" si="1963"/>
        <v>15:18:17.255</v>
      </c>
      <c r="CF4955">
        <v>254760700</v>
      </c>
      <c r="CS4955">
        <v>0</v>
      </c>
      <c r="CT4955">
        <v>2</v>
      </c>
      <c r="CU4955">
        <v>0</v>
      </c>
      <c r="CV4955">
        <v>2</v>
      </c>
      <c r="CW4955">
        <v>0</v>
      </c>
      <c r="CX4955">
        <v>3</v>
      </c>
      <c r="CY4955">
        <v>7</v>
      </c>
      <c r="CZ4955" t="s">
        <v>133</v>
      </c>
      <c r="DA4955">
        <v>275</v>
      </c>
      <c r="DB4955">
        <v>0</v>
      </c>
      <c r="DC4955" t="s">
        <v>134</v>
      </c>
      <c r="DD4955" t="s">
        <v>135</v>
      </c>
      <c r="DG4955">
        <v>3323464</v>
      </c>
      <c r="DI4955">
        <v>1</v>
      </c>
      <c r="DJ4955">
        <v>0</v>
      </c>
      <c r="DK4955">
        <v>1</v>
      </c>
      <c r="DL4955">
        <v>0</v>
      </c>
      <c r="DM4955">
        <v>0</v>
      </c>
      <c r="DN4955">
        <v>0</v>
      </c>
      <c r="DO4955">
        <v>0</v>
      </c>
      <c r="DP4955">
        <v>0</v>
      </c>
      <c r="DQ4955">
        <v>0</v>
      </c>
      <c r="DR4955">
        <v>0</v>
      </c>
      <c r="DS4955">
        <v>0</v>
      </c>
    </row>
    <row r="4956" spans="1:123" x14ac:dyDescent="0.3">
      <c r="A4956" t="str">
        <f>"05/01/2025 15:18:17.505"</f>
        <v>05/01/2025 15:18:17.505</v>
      </c>
      <c r="C4956" t="str">
        <f t="shared" si="1952"/>
        <v>FFDFD3C0</v>
      </c>
      <c r="D4956" t="s">
        <v>140</v>
      </c>
      <c r="E4956" t="str">
        <f>"13"</f>
        <v>13</v>
      </c>
      <c r="F4956">
        <v>1019</v>
      </c>
      <c r="G4956" t="s">
        <v>141</v>
      </c>
      <c r="J4956" t="s">
        <v>142</v>
      </c>
      <c r="K4956">
        <v>0</v>
      </c>
      <c r="L4956">
        <v>3</v>
      </c>
      <c r="M4956">
        <v>0</v>
      </c>
      <c r="N4956">
        <v>2</v>
      </c>
      <c r="O4956">
        <v>0</v>
      </c>
      <c r="P4956">
        <v>1</v>
      </c>
      <c r="Q4956">
        <v>0</v>
      </c>
      <c r="R4956" t="s">
        <v>127</v>
      </c>
      <c r="S4956" t="str">
        <f t="shared" si="1962"/>
        <v>15:18:17.000</v>
      </c>
      <c r="T4956" t="str">
        <f t="shared" si="1962"/>
        <v>15:18:17.000</v>
      </c>
      <c r="U4956" t="str">
        <f t="shared" si="1953"/>
        <v>A68FCB</v>
      </c>
      <c r="V4956">
        <v>0</v>
      </c>
      <c r="W4956">
        <v>0</v>
      </c>
      <c r="X4956">
        <v>2</v>
      </c>
      <c r="Y4956">
        <v>0</v>
      </c>
      <c r="AA4956">
        <v>1</v>
      </c>
      <c r="AB4956">
        <v>8</v>
      </c>
      <c r="AC4956">
        <v>3</v>
      </c>
      <c r="AD4956">
        <v>0</v>
      </c>
      <c r="AE4956">
        <v>9</v>
      </c>
      <c r="AF4956" t="s">
        <v>138</v>
      </c>
      <c r="AG4956">
        <v>0</v>
      </c>
      <c r="AH4956">
        <v>3</v>
      </c>
      <c r="AI4956">
        <v>2</v>
      </c>
      <c r="AJ4956">
        <v>0</v>
      </c>
      <c r="AK4956" t="s">
        <v>1567</v>
      </c>
      <c r="AL4956">
        <v>39.235245999999997</v>
      </c>
      <c r="AM4956" t="s">
        <v>1568</v>
      </c>
      <c r="AN4956">
        <v>-121.00565</v>
      </c>
      <c r="AO4956">
        <v>25</v>
      </c>
      <c r="AP4956">
        <v>4000</v>
      </c>
      <c r="AQ4956" t="s">
        <v>131</v>
      </c>
      <c r="AR4956">
        <v>-103</v>
      </c>
      <c r="AS4956">
        <v>33</v>
      </c>
      <c r="AT4956">
        <v>-128</v>
      </c>
      <c r="BB4956" t="str">
        <f t="shared" si="1954"/>
        <v>1200</v>
      </c>
      <c r="BC4956">
        <v>1</v>
      </c>
      <c r="BD4956" t="str">
        <f t="shared" si="1955"/>
        <v xml:space="preserve">N52156  </v>
      </c>
      <c r="BE4956">
        <v>1</v>
      </c>
      <c r="BG4956">
        <v>0</v>
      </c>
      <c r="BH4956">
        <v>0</v>
      </c>
      <c r="BI4956">
        <v>0</v>
      </c>
      <c r="BJ4956">
        <v>4050</v>
      </c>
      <c r="BK4956">
        <v>50</v>
      </c>
      <c r="BL4956" t="s">
        <v>188</v>
      </c>
      <c r="BM4956">
        <v>1</v>
      </c>
      <c r="BN4956">
        <v>1</v>
      </c>
      <c r="BO4956">
        <v>0</v>
      </c>
      <c r="BP4956">
        <v>0</v>
      </c>
      <c r="BS4956">
        <v>0</v>
      </c>
      <c r="BT4956">
        <v>0</v>
      </c>
      <c r="BU4956">
        <v>0</v>
      </c>
      <c r="CE4956" t="str">
        <f t="shared" si="1963"/>
        <v>15:18:17.255</v>
      </c>
      <c r="CF4956">
        <v>254760700</v>
      </c>
      <c r="CS4956">
        <v>0</v>
      </c>
      <c r="CT4956">
        <v>2</v>
      </c>
      <c r="CU4956">
        <v>0</v>
      </c>
      <c r="CV4956">
        <v>2</v>
      </c>
      <c r="CW4956">
        <v>0</v>
      </c>
      <c r="CX4956">
        <v>3</v>
      </c>
      <c r="CY4956">
        <v>7</v>
      </c>
      <c r="CZ4956" t="s">
        <v>133</v>
      </c>
      <c r="DA4956">
        <v>275</v>
      </c>
      <c r="DB4956">
        <v>0</v>
      </c>
      <c r="DC4956" t="s">
        <v>134</v>
      </c>
      <c r="DD4956" t="s">
        <v>135</v>
      </c>
      <c r="DG4956">
        <v>3323464</v>
      </c>
      <c r="DI4956">
        <v>1</v>
      </c>
      <c r="DJ4956">
        <v>0</v>
      </c>
      <c r="DK4956">
        <v>1</v>
      </c>
      <c r="DL4956">
        <v>0</v>
      </c>
      <c r="DM4956">
        <v>0</v>
      </c>
      <c r="DN4956">
        <v>0</v>
      </c>
      <c r="DO4956">
        <v>0</v>
      </c>
      <c r="DP4956">
        <v>0</v>
      </c>
      <c r="DQ4956">
        <v>0</v>
      </c>
      <c r="DR4956">
        <v>0</v>
      </c>
      <c r="DS4956">
        <v>0</v>
      </c>
    </row>
    <row r="4957" spans="1:123" x14ac:dyDescent="0.3">
      <c r="A4957" t="str">
        <f>"05/01/2025 15:18:17.507"</f>
        <v>05/01/2025 15:18:17.507</v>
      </c>
      <c r="C4957" t="str">
        <f t="shared" si="1952"/>
        <v>FFDFD3C0</v>
      </c>
      <c r="D4957" t="s">
        <v>124</v>
      </c>
      <c r="E4957" t="str">
        <f>"06"</f>
        <v>06</v>
      </c>
      <c r="F4957">
        <v>2006</v>
      </c>
      <c r="G4957" t="s">
        <v>125</v>
      </c>
      <c r="J4957" t="s">
        <v>126</v>
      </c>
      <c r="K4957">
        <v>0</v>
      </c>
      <c r="L4957">
        <v>3</v>
      </c>
      <c r="M4957">
        <v>0</v>
      </c>
      <c r="N4957">
        <v>2</v>
      </c>
      <c r="O4957">
        <v>0</v>
      </c>
      <c r="P4957">
        <v>1</v>
      </c>
      <c r="Q4957">
        <v>0</v>
      </c>
      <c r="R4957" t="s">
        <v>127</v>
      </c>
      <c r="S4957" t="str">
        <f t="shared" si="1962"/>
        <v>15:18:17.000</v>
      </c>
      <c r="T4957" t="str">
        <f t="shared" si="1962"/>
        <v>15:18:17.000</v>
      </c>
      <c r="U4957" t="str">
        <f t="shared" si="1953"/>
        <v>A68FCB</v>
      </c>
      <c r="V4957">
        <v>0</v>
      </c>
      <c r="W4957">
        <v>0</v>
      </c>
      <c r="X4957">
        <v>2</v>
      </c>
      <c r="Y4957">
        <v>0</v>
      </c>
      <c r="AA4957">
        <v>1</v>
      </c>
      <c r="AB4957">
        <v>8</v>
      </c>
      <c r="AC4957">
        <v>3</v>
      </c>
      <c r="AD4957">
        <v>0</v>
      </c>
      <c r="AE4957">
        <v>9</v>
      </c>
      <c r="AF4957" t="s">
        <v>138</v>
      </c>
      <c r="AG4957">
        <v>0</v>
      </c>
      <c r="AH4957">
        <v>3</v>
      </c>
      <c r="AI4957">
        <v>2</v>
      </c>
      <c r="AJ4957">
        <v>0</v>
      </c>
      <c r="AK4957" t="s">
        <v>1567</v>
      </c>
      <c r="AL4957">
        <v>39.235245999999997</v>
      </c>
      <c r="AM4957" t="s">
        <v>1568</v>
      </c>
      <c r="AN4957">
        <v>-121.00565</v>
      </c>
      <c r="AO4957">
        <v>25</v>
      </c>
      <c r="AP4957">
        <v>4000</v>
      </c>
      <c r="AQ4957" t="s">
        <v>131</v>
      </c>
      <c r="AR4957">
        <v>-103</v>
      </c>
      <c r="AS4957">
        <v>33</v>
      </c>
      <c r="AT4957">
        <v>-128</v>
      </c>
      <c r="BB4957" t="str">
        <f t="shared" si="1954"/>
        <v>1200</v>
      </c>
      <c r="BC4957">
        <v>1</v>
      </c>
      <c r="BD4957" t="str">
        <f t="shared" si="1955"/>
        <v xml:space="preserve">N52156  </v>
      </c>
      <c r="BE4957">
        <v>1</v>
      </c>
      <c r="BG4957">
        <v>0</v>
      </c>
      <c r="BH4957">
        <v>0</v>
      </c>
      <c r="BI4957">
        <v>0</v>
      </c>
      <c r="BJ4957">
        <v>4050</v>
      </c>
      <c r="BK4957">
        <v>50</v>
      </c>
      <c r="BL4957" t="s">
        <v>188</v>
      </c>
      <c r="BM4957">
        <v>1</v>
      </c>
      <c r="BN4957">
        <v>1</v>
      </c>
      <c r="BO4957">
        <v>0</v>
      </c>
      <c r="BP4957">
        <v>0</v>
      </c>
      <c r="BS4957">
        <v>0</v>
      </c>
      <c r="BT4957">
        <v>0</v>
      </c>
      <c r="BU4957">
        <v>0</v>
      </c>
      <c r="CE4957" t="str">
        <f t="shared" si="1963"/>
        <v>15:18:17.255</v>
      </c>
      <c r="CF4957">
        <v>254760700</v>
      </c>
      <c r="CS4957">
        <v>0</v>
      </c>
      <c r="CT4957">
        <v>2</v>
      </c>
      <c r="CU4957">
        <v>0</v>
      </c>
      <c r="CV4957">
        <v>2</v>
      </c>
      <c r="CW4957">
        <v>0</v>
      </c>
      <c r="CX4957">
        <v>3</v>
      </c>
      <c r="CY4957">
        <v>7</v>
      </c>
      <c r="CZ4957" t="s">
        <v>133</v>
      </c>
      <c r="DA4957">
        <v>275</v>
      </c>
      <c r="DB4957">
        <v>0</v>
      </c>
      <c r="DC4957" t="s">
        <v>134</v>
      </c>
      <c r="DD4957" t="s">
        <v>135</v>
      </c>
      <c r="DG4957">
        <v>3323464</v>
      </c>
      <c r="DI4957">
        <v>1</v>
      </c>
      <c r="DJ4957">
        <v>0</v>
      </c>
      <c r="DK4957">
        <v>1</v>
      </c>
      <c r="DL4957">
        <v>0</v>
      </c>
      <c r="DM4957">
        <v>0</v>
      </c>
      <c r="DN4957">
        <v>0</v>
      </c>
      <c r="DO4957">
        <v>0</v>
      </c>
      <c r="DP4957">
        <v>0</v>
      </c>
      <c r="DQ4957">
        <v>0</v>
      </c>
      <c r="DR4957">
        <v>0</v>
      </c>
      <c r="DS4957">
        <v>0</v>
      </c>
    </row>
    <row r="4958" spans="1:123" x14ac:dyDescent="0.3">
      <c r="A4958" t="str">
        <f>"05/01/2025 15:18:18.480"</f>
        <v>05/01/2025 15:18:18.480</v>
      </c>
      <c r="C4958" t="str">
        <f t="shared" si="1952"/>
        <v>FFDFD3C0</v>
      </c>
      <c r="D4958" t="s">
        <v>145</v>
      </c>
      <c r="E4958" t="str">
        <f>"09"</f>
        <v>09</v>
      </c>
      <c r="H4958">
        <v>51</v>
      </c>
      <c r="I4958" t="s">
        <v>147</v>
      </c>
      <c r="J4958" t="s">
        <v>138</v>
      </c>
      <c r="K4958">
        <v>0</v>
      </c>
      <c r="L4958">
        <v>3</v>
      </c>
      <c r="M4958">
        <v>0</v>
      </c>
      <c r="N4958">
        <v>2</v>
      </c>
      <c r="O4958">
        <v>0</v>
      </c>
      <c r="P4958">
        <v>1</v>
      </c>
      <c r="Q4958">
        <v>0</v>
      </c>
      <c r="R4958" t="s">
        <v>127</v>
      </c>
      <c r="S4958" t="str">
        <f t="shared" ref="S4958:T4963" si="1964">"15:18:18.000"</f>
        <v>15:18:18.000</v>
      </c>
      <c r="T4958" t="str">
        <f t="shared" si="1964"/>
        <v>15:18:18.000</v>
      </c>
      <c r="U4958" t="str">
        <f t="shared" si="1953"/>
        <v>A68FCB</v>
      </c>
      <c r="V4958">
        <v>0</v>
      </c>
      <c r="W4958">
        <v>0</v>
      </c>
      <c r="X4958">
        <v>2</v>
      </c>
      <c r="Y4958">
        <v>0</v>
      </c>
      <c r="AA4958">
        <v>1</v>
      </c>
      <c r="AB4958">
        <v>8</v>
      </c>
      <c r="AC4958">
        <v>3</v>
      </c>
      <c r="AD4958">
        <v>0</v>
      </c>
      <c r="AE4958">
        <v>9</v>
      </c>
      <c r="AF4958" t="s">
        <v>138</v>
      </c>
      <c r="AG4958">
        <v>0</v>
      </c>
      <c r="AH4958">
        <v>3</v>
      </c>
      <c r="AI4958">
        <v>2</v>
      </c>
      <c r="AJ4958">
        <v>0</v>
      </c>
      <c r="AK4958" t="s">
        <v>1569</v>
      </c>
      <c r="AL4958">
        <v>39.235374999999998</v>
      </c>
      <c r="AM4958" t="s">
        <v>1570</v>
      </c>
      <c r="AN4958">
        <v>-121.006272</v>
      </c>
      <c r="AO4958">
        <v>25</v>
      </c>
      <c r="AP4958">
        <v>4000</v>
      </c>
      <c r="AQ4958" t="s">
        <v>131</v>
      </c>
      <c r="AR4958">
        <v>-105</v>
      </c>
      <c r="AS4958">
        <v>26</v>
      </c>
      <c r="AT4958">
        <v>-128</v>
      </c>
      <c r="BB4958" t="str">
        <f t="shared" si="1954"/>
        <v>1200</v>
      </c>
      <c r="BC4958">
        <v>1</v>
      </c>
      <c r="BD4958" t="str">
        <f t="shared" si="1955"/>
        <v xml:space="preserve">N52156  </v>
      </c>
      <c r="BE4958">
        <v>1</v>
      </c>
      <c r="BG4958">
        <v>0</v>
      </c>
      <c r="BH4958">
        <v>0</v>
      </c>
      <c r="BI4958">
        <v>0</v>
      </c>
      <c r="BJ4958">
        <v>4050</v>
      </c>
      <c r="BK4958">
        <v>50</v>
      </c>
      <c r="BL4958" t="s">
        <v>188</v>
      </c>
      <c r="BM4958">
        <v>1</v>
      </c>
      <c r="BN4958">
        <v>1</v>
      </c>
      <c r="BO4958">
        <v>0</v>
      </c>
      <c r="BP4958">
        <v>0</v>
      </c>
      <c r="BS4958">
        <v>0</v>
      </c>
      <c r="BT4958">
        <v>0</v>
      </c>
      <c r="BU4958">
        <v>0</v>
      </c>
      <c r="CE4958" t="str">
        <f t="shared" ref="CE4958:CE4963" si="1965">"15:18:18.276"</f>
        <v>15:18:18.276</v>
      </c>
      <c r="CF4958">
        <v>276010646</v>
      </c>
      <c r="CS4958">
        <v>0</v>
      </c>
      <c r="CT4958">
        <v>2</v>
      </c>
      <c r="CU4958">
        <v>0</v>
      </c>
      <c r="CV4958">
        <v>2</v>
      </c>
      <c r="CW4958">
        <v>0</v>
      </c>
      <c r="CX4958">
        <v>4</v>
      </c>
      <c r="CY4958">
        <v>7</v>
      </c>
      <c r="CZ4958" t="s">
        <v>133</v>
      </c>
      <c r="DA4958">
        <v>275</v>
      </c>
      <c r="DB4958">
        <v>0</v>
      </c>
      <c r="DC4958" t="s">
        <v>134</v>
      </c>
      <c r="DD4958" t="s">
        <v>135</v>
      </c>
      <c r="DG4958">
        <v>3323467</v>
      </c>
      <c r="DI4958">
        <v>1</v>
      </c>
      <c r="DJ4958">
        <v>0</v>
      </c>
      <c r="DK4958">
        <v>0</v>
      </c>
      <c r="DL4958">
        <v>0</v>
      </c>
      <c r="DM4958">
        <v>0</v>
      </c>
      <c r="DN4958">
        <v>0</v>
      </c>
      <c r="DO4958">
        <v>0</v>
      </c>
      <c r="DP4958">
        <v>0</v>
      </c>
      <c r="DQ4958">
        <v>0</v>
      </c>
      <c r="DR4958">
        <v>0</v>
      </c>
      <c r="DS4958">
        <v>0</v>
      </c>
    </row>
    <row r="4959" spans="1:123" x14ac:dyDescent="0.3">
      <c r="A4959" t="str">
        <f>"05/01/2025 15:18:18.482"</f>
        <v>05/01/2025 15:18:18.482</v>
      </c>
      <c r="C4959" t="str">
        <f t="shared" si="1952"/>
        <v>FFDFD3C0</v>
      </c>
      <c r="D4959" t="s">
        <v>145</v>
      </c>
      <c r="E4959" t="str">
        <f>"05"</f>
        <v>05</v>
      </c>
      <c r="H4959">
        <v>47</v>
      </c>
      <c r="I4959" t="s">
        <v>146</v>
      </c>
      <c r="J4959" t="s">
        <v>138</v>
      </c>
      <c r="K4959">
        <v>0</v>
      </c>
      <c r="L4959">
        <v>3</v>
      </c>
      <c r="M4959">
        <v>0</v>
      </c>
      <c r="N4959">
        <v>2</v>
      </c>
      <c r="O4959">
        <v>0</v>
      </c>
      <c r="P4959">
        <v>1</v>
      </c>
      <c r="Q4959">
        <v>0</v>
      </c>
      <c r="R4959" t="s">
        <v>127</v>
      </c>
      <c r="S4959" t="str">
        <f t="shared" si="1964"/>
        <v>15:18:18.000</v>
      </c>
      <c r="T4959" t="str">
        <f t="shared" si="1964"/>
        <v>15:18:18.000</v>
      </c>
      <c r="U4959" t="str">
        <f t="shared" si="1953"/>
        <v>A68FCB</v>
      </c>
      <c r="V4959">
        <v>0</v>
      </c>
      <c r="W4959">
        <v>0</v>
      </c>
      <c r="X4959">
        <v>2</v>
      </c>
      <c r="Y4959">
        <v>0</v>
      </c>
      <c r="AA4959">
        <v>1</v>
      </c>
      <c r="AB4959">
        <v>8</v>
      </c>
      <c r="AC4959">
        <v>3</v>
      </c>
      <c r="AD4959">
        <v>0</v>
      </c>
      <c r="AE4959">
        <v>9</v>
      </c>
      <c r="AF4959" t="s">
        <v>138</v>
      </c>
      <c r="AG4959">
        <v>0</v>
      </c>
      <c r="AH4959">
        <v>3</v>
      </c>
      <c r="AI4959">
        <v>2</v>
      </c>
      <c r="AJ4959">
        <v>0</v>
      </c>
      <c r="AK4959" t="s">
        <v>1569</v>
      </c>
      <c r="AL4959">
        <v>39.235374999999998</v>
      </c>
      <c r="AM4959" t="s">
        <v>1570</v>
      </c>
      <c r="AN4959">
        <v>-121.006272</v>
      </c>
      <c r="AO4959">
        <v>25</v>
      </c>
      <c r="AP4959">
        <v>4000</v>
      </c>
      <c r="AQ4959" t="s">
        <v>131</v>
      </c>
      <c r="AR4959">
        <v>-105</v>
      </c>
      <c r="AS4959">
        <v>26</v>
      </c>
      <c r="AT4959">
        <v>-128</v>
      </c>
      <c r="BB4959" t="str">
        <f t="shared" si="1954"/>
        <v>1200</v>
      </c>
      <c r="BC4959">
        <v>1</v>
      </c>
      <c r="BD4959" t="str">
        <f t="shared" si="1955"/>
        <v xml:space="preserve">N52156  </v>
      </c>
      <c r="BE4959">
        <v>1</v>
      </c>
      <c r="BG4959">
        <v>0</v>
      </c>
      <c r="BH4959">
        <v>0</v>
      </c>
      <c r="BI4959">
        <v>0</v>
      </c>
      <c r="BJ4959">
        <v>4050</v>
      </c>
      <c r="BK4959">
        <v>50</v>
      </c>
      <c r="BL4959" t="s">
        <v>188</v>
      </c>
      <c r="BM4959">
        <v>1</v>
      </c>
      <c r="BN4959">
        <v>1</v>
      </c>
      <c r="BO4959">
        <v>0</v>
      </c>
      <c r="BP4959">
        <v>0</v>
      </c>
      <c r="BS4959">
        <v>0</v>
      </c>
      <c r="BT4959">
        <v>0</v>
      </c>
      <c r="BU4959">
        <v>0</v>
      </c>
      <c r="CE4959" t="str">
        <f t="shared" si="1965"/>
        <v>15:18:18.276</v>
      </c>
      <c r="CF4959">
        <v>276010646</v>
      </c>
      <c r="CS4959">
        <v>0</v>
      </c>
      <c r="CT4959">
        <v>2</v>
      </c>
      <c r="CU4959">
        <v>0</v>
      </c>
      <c r="CV4959">
        <v>2</v>
      </c>
      <c r="CW4959">
        <v>0</v>
      </c>
      <c r="CX4959">
        <v>4</v>
      </c>
      <c r="CY4959">
        <v>7</v>
      </c>
      <c r="CZ4959" t="s">
        <v>133</v>
      </c>
      <c r="DA4959">
        <v>275</v>
      </c>
      <c r="DB4959">
        <v>0</v>
      </c>
      <c r="DC4959" t="s">
        <v>134</v>
      </c>
      <c r="DD4959" t="s">
        <v>135</v>
      </c>
      <c r="DG4959">
        <v>3323467</v>
      </c>
      <c r="DI4959">
        <v>1</v>
      </c>
      <c r="DJ4959">
        <v>0</v>
      </c>
      <c r="DK4959">
        <v>1</v>
      </c>
      <c r="DL4959">
        <v>0</v>
      </c>
      <c r="DM4959">
        <v>0</v>
      </c>
      <c r="DN4959">
        <v>0</v>
      </c>
      <c r="DO4959">
        <v>0</v>
      </c>
      <c r="DP4959">
        <v>0</v>
      </c>
      <c r="DQ4959">
        <v>0</v>
      </c>
      <c r="DR4959">
        <v>0</v>
      </c>
      <c r="DS4959">
        <v>0</v>
      </c>
    </row>
    <row r="4960" spans="1:123" x14ac:dyDescent="0.3">
      <c r="A4960" t="str">
        <f>"05/01/2025 15:18:18.491"</f>
        <v>05/01/2025 15:18:18.491</v>
      </c>
      <c r="C4960" t="str">
        <f t="shared" si="1952"/>
        <v>FFDFD3C0</v>
      </c>
      <c r="D4960" t="s">
        <v>136</v>
      </c>
      <c r="E4960" t="str">
        <f>"20"</f>
        <v>20</v>
      </c>
      <c r="H4960">
        <v>400</v>
      </c>
      <c r="I4960" t="s">
        <v>137</v>
      </c>
      <c r="J4960" t="s">
        <v>138</v>
      </c>
      <c r="K4960">
        <v>0</v>
      </c>
      <c r="L4960">
        <v>3</v>
      </c>
      <c r="M4960">
        <v>0</v>
      </c>
      <c r="N4960">
        <v>2</v>
      </c>
      <c r="O4960">
        <v>0</v>
      </c>
      <c r="P4960">
        <v>1</v>
      </c>
      <c r="Q4960">
        <v>0</v>
      </c>
      <c r="R4960" t="s">
        <v>127</v>
      </c>
      <c r="S4960" t="str">
        <f t="shared" si="1964"/>
        <v>15:18:18.000</v>
      </c>
      <c r="T4960" t="str">
        <f t="shared" si="1964"/>
        <v>15:18:18.000</v>
      </c>
      <c r="U4960" t="str">
        <f t="shared" si="1953"/>
        <v>A68FCB</v>
      </c>
      <c r="V4960">
        <v>0</v>
      </c>
      <c r="W4960">
        <v>0</v>
      </c>
      <c r="X4960">
        <v>2</v>
      </c>
      <c r="Y4960">
        <v>0</v>
      </c>
      <c r="AA4960">
        <v>1</v>
      </c>
      <c r="AB4960">
        <v>8</v>
      </c>
      <c r="AC4960">
        <v>3</v>
      </c>
      <c r="AD4960">
        <v>0</v>
      </c>
      <c r="AE4960">
        <v>9</v>
      </c>
      <c r="AF4960" t="s">
        <v>138</v>
      </c>
      <c r="AG4960">
        <v>0</v>
      </c>
      <c r="AH4960">
        <v>3</v>
      </c>
      <c r="AI4960">
        <v>2</v>
      </c>
      <c r="AJ4960">
        <v>0</v>
      </c>
      <c r="AK4960" t="s">
        <v>1569</v>
      </c>
      <c r="AL4960">
        <v>39.235374999999998</v>
      </c>
      <c r="AM4960" t="s">
        <v>1570</v>
      </c>
      <c r="AN4960">
        <v>-121.006272</v>
      </c>
      <c r="AO4960">
        <v>25</v>
      </c>
      <c r="AP4960">
        <v>4000</v>
      </c>
      <c r="AQ4960" t="s">
        <v>131</v>
      </c>
      <c r="AR4960">
        <v>-105</v>
      </c>
      <c r="AS4960">
        <v>26</v>
      </c>
      <c r="AT4960">
        <v>-128</v>
      </c>
      <c r="BB4960" t="str">
        <f t="shared" si="1954"/>
        <v>1200</v>
      </c>
      <c r="BC4960">
        <v>1</v>
      </c>
      <c r="BD4960" t="str">
        <f t="shared" si="1955"/>
        <v xml:space="preserve">N52156  </v>
      </c>
      <c r="BE4960">
        <v>1</v>
      </c>
      <c r="BG4960">
        <v>0</v>
      </c>
      <c r="BH4960">
        <v>0</v>
      </c>
      <c r="BI4960">
        <v>0</v>
      </c>
      <c r="BJ4960">
        <v>4050</v>
      </c>
      <c r="BK4960">
        <v>50</v>
      </c>
      <c r="BL4960" t="s">
        <v>188</v>
      </c>
      <c r="BM4960">
        <v>1</v>
      </c>
      <c r="BN4960">
        <v>1</v>
      </c>
      <c r="BO4960">
        <v>0</v>
      </c>
      <c r="BP4960">
        <v>0</v>
      </c>
      <c r="BS4960">
        <v>0</v>
      </c>
      <c r="BT4960">
        <v>0</v>
      </c>
      <c r="BU4960">
        <v>0</v>
      </c>
      <c r="CE4960" t="str">
        <f t="shared" si="1965"/>
        <v>15:18:18.276</v>
      </c>
      <c r="CF4960">
        <v>276010646</v>
      </c>
      <c r="CS4960">
        <v>0</v>
      </c>
      <c r="CT4960">
        <v>2</v>
      </c>
      <c r="CU4960">
        <v>0</v>
      </c>
      <c r="CV4960">
        <v>2</v>
      </c>
      <c r="CW4960">
        <v>0</v>
      </c>
      <c r="CX4960">
        <v>4</v>
      </c>
      <c r="CY4960">
        <v>7</v>
      </c>
      <c r="CZ4960" t="s">
        <v>133</v>
      </c>
      <c r="DA4960">
        <v>275</v>
      </c>
      <c r="DB4960">
        <v>0</v>
      </c>
      <c r="DC4960" t="s">
        <v>134</v>
      </c>
      <c r="DD4960" t="s">
        <v>135</v>
      </c>
      <c r="DG4960">
        <v>3323467</v>
      </c>
      <c r="DI4960">
        <v>1</v>
      </c>
      <c r="DJ4960">
        <v>0</v>
      </c>
      <c r="DK4960">
        <v>1</v>
      </c>
      <c r="DL4960">
        <v>0</v>
      </c>
      <c r="DM4960">
        <v>0</v>
      </c>
      <c r="DN4960">
        <v>0</v>
      </c>
      <c r="DO4960">
        <v>0</v>
      </c>
      <c r="DP4960">
        <v>0</v>
      </c>
      <c r="DQ4960">
        <v>0</v>
      </c>
      <c r="DR4960">
        <v>0</v>
      </c>
      <c r="DS4960">
        <v>0</v>
      </c>
    </row>
    <row r="4961" spans="1:123" x14ac:dyDescent="0.3">
      <c r="A4961" t="str">
        <f>"05/01/2025 15:18:18.506"</f>
        <v>05/01/2025 15:18:18.506</v>
      </c>
      <c r="C4961" t="str">
        <f t="shared" si="1952"/>
        <v>FFDFD3C0</v>
      </c>
      <c r="D4961" t="s">
        <v>140</v>
      </c>
      <c r="E4961" t="str">
        <f>"13"</f>
        <v>13</v>
      </c>
      <c r="F4961">
        <v>1019</v>
      </c>
      <c r="G4961" t="s">
        <v>141</v>
      </c>
      <c r="J4961" t="s">
        <v>142</v>
      </c>
      <c r="K4961">
        <v>0</v>
      </c>
      <c r="L4961">
        <v>3</v>
      </c>
      <c r="M4961">
        <v>0</v>
      </c>
      <c r="N4961">
        <v>2</v>
      </c>
      <c r="O4961">
        <v>0</v>
      </c>
      <c r="P4961">
        <v>1</v>
      </c>
      <c r="Q4961">
        <v>0</v>
      </c>
      <c r="R4961" t="s">
        <v>127</v>
      </c>
      <c r="S4961" t="str">
        <f t="shared" si="1964"/>
        <v>15:18:18.000</v>
      </c>
      <c r="T4961" t="str">
        <f t="shared" si="1964"/>
        <v>15:18:18.000</v>
      </c>
      <c r="U4961" t="str">
        <f t="shared" si="1953"/>
        <v>A68FCB</v>
      </c>
      <c r="V4961">
        <v>0</v>
      </c>
      <c r="W4961">
        <v>0</v>
      </c>
      <c r="X4961">
        <v>2</v>
      </c>
      <c r="Y4961">
        <v>0</v>
      </c>
      <c r="AA4961">
        <v>1</v>
      </c>
      <c r="AB4961">
        <v>8</v>
      </c>
      <c r="AC4961">
        <v>3</v>
      </c>
      <c r="AD4961">
        <v>0</v>
      </c>
      <c r="AE4961">
        <v>9</v>
      </c>
      <c r="AF4961" t="s">
        <v>138</v>
      </c>
      <c r="AG4961">
        <v>0</v>
      </c>
      <c r="AH4961">
        <v>3</v>
      </c>
      <c r="AI4961">
        <v>2</v>
      </c>
      <c r="AJ4961">
        <v>0</v>
      </c>
      <c r="AK4961" t="s">
        <v>1569</v>
      </c>
      <c r="AL4961">
        <v>39.235374999999998</v>
      </c>
      <c r="AM4961" t="s">
        <v>1570</v>
      </c>
      <c r="AN4961">
        <v>-121.006272</v>
      </c>
      <c r="AO4961">
        <v>25</v>
      </c>
      <c r="AP4961">
        <v>4000</v>
      </c>
      <c r="AQ4961" t="s">
        <v>131</v>
      </c>
      <c r="AR4961">
        <v>-105</v>
      </c>
      <c r="AS4961">
        <v>26</v>
      </c>
      <c r="AT4961">
        <v>-128</v>
      </c>
      <c r="BB4961" t="str">
        <f t="shared" si="1954"/>
        <v>1200</v>
      </c>
      <c r="BC4961">
        <v>1</v>
      </c>
      <c r="BD4961" t="str">
        <f t="shared" si="1955"/>
        <v xml:space="preserve">N52156  </v>
      </c>
      <c r="BE4961">
        <v>1</v>
      </c>
      <c r="BG4961">
        <v>0</v>
      </c>
      <c r="BH4961">
        <v>0</v>
      </c>
      <c r="BI4961">
        <v>0</v>
      </c>
      <c r="BJ4961">
        <v>4050</v>
      </c>
      <c r="BK4961">
        <v>50</v>
      </c>
      <c r="BL4961" t="s">
        <v>188</v>
      </c>
      <c r="BM4961">
        <v>1</v>
      </c>
      <c r="BN4961">
        <v>1</v>
      </c>
      <c r="BO4961">
        <v>0</v>
      </c>
      <c r="BP4961">
        <v>0</v>
      </c>
      <c r="BS4961">
        <v>0</v>
      </c>
      <c r="BT4961">
        <v>0</v>
      </c>
      <c r="BU4961">
        <v>0</v>
      </c>
      <c r="CE4961" t="str">
        <f t="shared" si="1965"/>
        <v>15:18:18.276</v>
      </c>
      <c r="CF4961">
        <v>276010646</v>
      </c>
      <c r="CS4961">
        <v>0</v>
      </c>
      <c r="CT4961">
        <v>2</v>
      </c>
      <c r="CU4961">
        <v>0</v>
      </c>
      <c r="CV4961">
        <v>2</v>
      </c>
      <c r="CW4961">
        <v>0</v>
      </c>
      <c r="CX4961">
        <v>4</v>
      </c>
      <c r="CY4961">
        <v>7</v>
      </c>
      <c r="CZ4961" t="s">
        <v>133</v>
      </c>
      <c r="DA4961">
        <v>275</v>
      </c>
      <c r="DB4961">
        <v>0</v>
      </c>
      <c r="DC4961" t="s">
        <v>134</v>
      </c>
      <c r="DD4961" t="s">
        <v>135</v>
      </c>
      <c r="DG4961">
        <v>3323467</v>
      </c>
      <c r="DI4961">
        <v>1</v>
      </c>
      <c r="DJ4961">
        <v>0</v>
      </c>
      <c r="DK4961">
        <v>1</v>
      </c>
      <c r="DL4961">
        <v>0</v>
      </c>
      <c r="DM4961">
        <v>0</v>
      </c>
      <c r="DN4961">
        <v>0</v>
      </c>
      <c r="DO4961">
        <v>0</v>
      </c>
      <c r="DP4961">
        <v>0</v>
      </c>
      <c r="DQ4961">
        <v>0</v>
      </c>
      <c r="DR4961">
        <v>0</v>
      </c>
      <c r="DS4961">
        <v>0</v>
      </c>
    </row>
    <row r="4962" spans="1:123" x14ac:dyDescent="0.3">
      <c r="A4962" t="str">
        <f>"05/01/2025 15:18:18.509"</f>
        <v>05/01/2025 15:18:18.509</v>
      </c>
      <c r="C4962" t="str">
        <f t="shared" si="1952"/>
        <v>FFDFD3C0</v>
      </c>
      <c r="D4962" t="s">
        <v>124</v>
      </c>
      <c r="E4962" t="str">
        <f>"06"</f>
        <v>06</v>
      </c>
      <c r="F4962">
        <v>2006</v>
      </c>
      <c r="G4962" t="s">
        <v>125</v>
      </c>
      <c r="J4962" t="s">
        <v>126</v>
      </c>
      <c r="K4962">
        <v>0</v>
      </c>
      <c r="L4962">
        <v>3</v>
      </c>
      <c r="M4962">
        <v>0</v>
      </c>
      <c r="N4962">
        <v>2</v>
      </c>
      <c r="O4962">
        <v>0</v>
      </c>
      <c r="P4962">
        <v>1</v>
      </c>
      <c r="Q4962">
        <v>0</v>
      </c>
      <c r="R4962" t="s">
        <v>127</v>
      </c>
      <c r="S4962" t="str">
        <f t="shared" si="1964"/>
        <v>15:18:18.000</v>
      </c>
      <c r="T4962" t="str">
        <f t="shared" si="1964"/>
        <v>15:18:18.000</v>
      </c>
      <c r="U4962" t="str">
        <f t="shared" si="1953"/>
        <v>A68FCB</v>
      </c>
      <c r="V4962">
        <v>0</v>
      </c>
      <c r="W4962">
        <v>0</v>
      </c>
      <c r="X4962">
        <v>2</v>
      </c>
      <c r="Y4962">
        <v>0</v>
      </c>
      <c r="AA4962">
        <v>1</v>
      </c>
      <c r="AB4962">
        <v>8</v>
      </c>
      <c r="AC4962">
        <v>3</v>
      </c>
      <c r="AD4962">
        <v>0</v>
      </c>
      <c r="AE4962">
        <v>9</v>
      </c>
      <c r="AF4962" t="s">
        <v>138</v>
      </c>
      <c r="AG4962">
        <v>0</v>
      </c>
      <c r="AH4962">
        <v>3</v>
      </c>
      <c r="AI4962">
        <v>2</v>
      </c>
      <c r="AJ4962">
        <v>0</v>
      </c>
      <c r="AK4962" t="s">
        <v>1569</v>
      </c>
      <c r="AL4962">
        <v>39.235374999999998</v>
      </c>
      <c r="AM4962" t="s">
        <v>1570</v>
      </c>
      <c r="AN4962">
        <v>-121.006272</v>
      </c>
      <c r="AO4962">
        <v>25</v>
      </c>
      <c r="AP4962">
        <v>4000</v>
      </c>
      <c r="AQ4962" t="s">
        <v>131</v>
      </c>
      <c r="AR4962">
        <v>-105</v>
      </c>
      <c r="AS4962">
        <v>26</v>
      </c>
      <c r="AT4962">
        <v>-128</v>
      </c>
      <c r="BB4962" t="str">
        <f t="shared" si="1954"/>
        <v>1200</v>
      </c>
      <c r="BC4962">
        <v>1</v>
      </c>
      <c r="BD4962" t="str">
        <f t="shared" si="1955"/>
        <v xml:space="preserve">N52156  </v>
      </c>
      <c r="BE4962">
        <v>1</v>
      </c>
      <c r="BG4962">
        <v>0</v>
      </c>
      <c r="BH4962">
        <v>0</v>
      </c>
      <c r="BI4962">
        <v>0</v>
      </c>
      <c r="BJ4962">
        <v>4050</v>
      </c>
      <c r="BK4962">
        <v>50</v>
      </c>
      <c r="BL4962" t="s">
        <v>188</v>
      </c>
      <c r="BM4962">
        <v>1</v>
      </c>
      <c r="BN4962">
        <v>1</v>
      </c>
      <c r="BO4962">
        <v>0</v>
      </c>
      <c r="BP4962">
        <v>0</v>
      </c>
      <c r="BS4962">
        <v>0</v>
      </c>
      <c r="BT4962">
        <v>0</v>
      </c>
      <c r="BU4962">
        <v>0</v>
      </c>
      <c r="CE4962" t="str">
        <f t="shared" si="1965"/>
        <v>15:18:18.276</v>
      </c>
      <c r="CF4962">
        <v>276010646</v>
      </c>
      <c r="CS4962">
        <v>0</v>
      </c>
      <c r="CT4962">
        <v>2</v>
      </c>
      <c r="CU4962">
        <v>0</v>
      </c>
      <c r="CV4962">
        <v>2</v>
      </c>
      <c r="CW4962">
        <v>0</v>
      </c>
      <c r="CX4962">
        <v>4</v>
      </c>
      <c r="CY4962">
        <v>7</v>
      </c>
      <c r="CZ4962" t="s">
        <v>133</v>
      </c>
      <c r="DA4962">
        <v>275</v>
      </c>
      <c r="DB4962">
        <v>0</v>
      </c>
      <c r="DC4962" t="s">
        <v>134</v>
      </c>
      <c r="DD4962" t="s">
        <v>135</v>
      </c>
      <c r="DG4962">
        <v>3323467</v>
      </c>
      <c r="DI4962">
        <v>1</v>
      </c>
      <c r="DJ4962">
        <v>0</v>
      </c>
      <c r="DK4962">
        <v>1</v>
      </c>
      <c r="DL4962">
        <v>0</v>
      </c>
      <c r="DM4962">
        <v>0</v>
      </c>
      <c r="DN4962">
        <v>0</v>
      </c>
      <c r="DO4962">
        <v>0</v>
      </c>
      <c r="DP4962">
        <v>0</v>
      </c>
      <c r="DQ4962">
        <v>0</v>
      </c>
      <c r="DR4962">
        <v>0</v>
      </c>
      <c r="DS4962">
        <v>0</v>
      </c>
    </row>
    <row r="4963" spans="1:123" x14ac:dyDescent="0.3">
      <c r="A4963" t="str">
        <f>"05/01/2025 15:18:18.517"</f>
        <v>05/01/2025 15:18:18.517</v>
      </c>
      <c r="C4963" t="str">
        <f t="shared" si="1952"/>
        <v>FFDFD3C0</v>
      </c>
      <c r="D4963" t="s">
        <v>143</v>
      </c>
      <c r="E4963" t="str">
        <f>"05"</f>
        <v>05</v>
      </c>
      <c r="H4963">
        <v>172</v>
      </c>
      <c r="I4963" t="s">
        <v>141</v>
      </c>
      <c r="J4963" t="s">
        <v>144</v>
      </c>
      <c r="K4963">
        <v>0</v>
      </c>
      <c r="L4963">
        <v>3</v>
      </c>
      <c r="M4963">
        <v>0</v>
      </c>
      <c r="N4963">
        <v>2</v>
      </c>
      <c r="O4963">
        <v>0</v>
      </c>
      <c r="P4963">
        <v>1</v>
      </c>
      <c r="Q4963">
        <v>0</v>
      </c>
      <c r="R4963" t="s">
        <v>127</v>
      </c>
      <c r="S4963" t="str">
        <f t="shared" si="1964"/>
        <v>15:18:18.000</v>
      </c>
      <c r="T4963" t="str">
        <f t="shared" si="1964"/>
        <v>15:18:18.000</v>
      </c>
      <c r="U4963" t="str">
        <f t="shared" si="1953"/>
        <v>A68FCB</v>
      </c>
      <c r="V4963">
        <v>0</v>
      </c>
      <c r="W4963">
        <v>0</v>
      </c>
      <c r="X4963">
        <v>2</v>
      </c>
      <c r="Y4963">
        <v>0</v>
      </c>
      <c r="AA4963">
        <v>1</v>
      </c>
      <c r="AB4963">
        <v>8</v>
      </c>
      <c r="AC4963">
        <v>3</v>
      </c>
      <c r="AD4963">
        <v>0</v>
      </c>
      <c r="AE4963">
        <v>9</v>
      </c>
      <c r="AF4963" t="s">
        <v>138</v>
      </c>
      <c r="AG4963">
        <v>0</v>
      </c>
      <c r="AH4963">
        <v>3</v>
      </c>
      <c r="AI4963">
        <v>2</v>
      </c>
      <c r="AJ4963">
        <v>0</v>
      </c>
      <c r="AK4963" t="s">
        <v>1569</v>
      </c>
      <c r="AL4963">
        <v>39.235374999999998</v>
      </c>
      <c r="AM4963" t="s">
        <v>1570</v>
      </c>
      <c r="AN4963">
        <v>-121.006272</v>
      </c>
      <c r="AO4963">
        <v>25</v>
      </c>
      <c r="AP4963">
        <v>4000</v>
      </c>
      <c r="AQ4963" t="s">
        <v>131</v>
      </c>
      <c r="AR4963">
        <v>-105</v>
      </c>
      <c r="AS4963">
        <v>26</v>
      </c>
      <c r="AT4963">
        <v>-128</v>
      </c>
      <c r="BB4963" t="str">
        <f t="shared" si="1954"/>
        <v>1200</v>
      </c>
      <c r="BC4963">
        <v>1</v>
      </c>
      <c r="BD4963" t="str">
        <f t="shared" si="1955"/>
        <v xml:space="preserve">N52156  </v>
      </c>
      <c r="BE4963">
        <v>1</v>
      </c>
      <c r="BG4963">
        <v>0</v>
      </c>
      <c r="BH4963">
        <v>0</v>
      </c>
      <c r="BI4963">
        <v>0</v>
      </c>
      <c r="BJ4963">
        <v>4050</v>
      </c>
      <c r="BK4963">
        <v>50</v>
      </c>
      <c r="BL4963" t="s">
        <v>188</v>
      </c>
      <c r="BM4963">
        <v>1</v>
      </c>
      <c r="BN4963">
        <v>1</v>
      </c>
      <c r="BO4963">
        <v>0</v>
      </c>
      <c r="BP4963">
        <v>0</v>
      </c>
      <c r="BS4963">
        <v>0</v>
      </c>
      <c r="BT4963">
        <v>0</v>
      </c>
      <c r="BU4963">
        <v>0</v>
      </c>
      <c r="CE4963" t="str">
        <f t="shared" si="1965"/>
        <v>15:18:18.276</v>
      </c>
      <c r="CF4963">
        <v>276010646</v>
      </c>
      <c r="CS4963">
        <v>0</v>
      </c>
      <c r="CT4963">
        <v>2</v>
      </c>
      <c r="CU4963">
        <v>0</v>
      </c>
      <c r="CV4963">
        <v>2</v>
      </c>
      <c r="CW4963">
        <v>0</v>
      </c>
      <c r="CX4963">
        <v>4</v>
      </c>
      <c r="CY4963">
        <v>7</v>
      </c>
      <c r="CZ4963" t="s">
        <v>133</v>
      </c>
      <c r="DA4963">
        <v>275</v>
      </c>
      <c r="DB4963">
        <v>0</v>
      </c>
      <c r="DC4963" t="s">
        <v>134</v>
      </c>
      <c r="DD4963" t="s">
        <v>135</v>
      </c>
      <c r="DG4963">
        <v>3323467</v>
      </c>
      <c r="DI4963">
        <v>1</v>
      </c>
      <c r="DJ4963">
        <v>0</v>
      </c>
      <c r="DK4963">
        <v>1</v>
      </c>
      <c r="DL4963">
        <v>0</v>
      </c>
      <c r="DM4963">
        <v>0</v>
      </c>
      <c r="DN4963">
        <v>0</v>
      </c>
      <c r="DO4963">
        <v>0</v>
      </c>
      <c r="DP4963">
        <v>0</v>
      </c>
      <c r="DQ4963">
        <v>0</v>
      </c>
      <c r="DR4963">
        <v>0</v>
      </c>
      <c r="DS4963">
        <v>0</v>
      </c>
    </row>
    <row r="4964" spans="1:123" x14ac:dyDescent="0.3">
      <c r="A4964" t="str">
        <f>"05/01/2025 15:18:19.493"</f>
        <v>05/01/2025 15:18:19.493</v>
      </c>
      <c r="C4964" t="str">
        <f t="shared" si="1952"/>
        <v>FFDFD3C0</v>
      </c>
      <c r="D4964" t="s">
        <v>136</v>
      </c>
      <c r="E4964" t="str">
        <f>"20"</f>
        <v>20</v>
      </c>
      <c r="H4964">
        <v>400</v>
      </c>
      <c r="I4964" t="s">
        <v>137</v>
      </c>
      <c r="J4964" t="s">
        <v>138</v>
      </c>
      <c r="K4964">
        <v>0</v>
      </c>
      <c r="L4964">
        <v>3</v>
      </c>
      <c r="M4964">
        <v>0</v>
      </c>
      <c r="N4964">
        <v>2</v>
      </c>
      <c r="O4964">
        <v>0</v>
      </c>
      <c r="P4964">
        <v>1</v>
      </c>
      <c r="Q4964">
        <v>0</v>
      </c>
      <c r="R4964" t="s">
        <v>127</v>
      </c>
      <c r="S4964" t="str">
        <f t="shared" ref="S4964:T4969" si="1966">"15:18:19.000"</f>
        <v>15:18:19.000</v>
      </c>
      <c r="T4964" t="str">
        <f t="shared" si="1966"/>
        <v>15:18:19.000</v>
      </c>
      <c r="U4964" t="str">
        <f t="shared" si="1953"/>
        <v>A68FCB</v>
      </c>
      <c r="V4964">
        <v>0</v>
      </c>
      <c r="W4964">
        <v>0</v>
      </c>
      <c r="X4964">
        <v>2</v>
      </c>
      <c r="Y4964">
        <v>0</v>
      </c>
      <c r="AA4964">
        <v>1</v>
      </c>
      <c r="AB4964">
        <v>8</v>
      </c>
      <c r="AC4964">
        <v>3</v>
      </c>
      <c r="AD4964">
        <v>0</v>
      </c>
      <c r="AE4964">
        <v>9</v>
      </c>
      <c r="AF4964" t="s">
        <v>138</v>
      </c>
      <c r="AG4964">
        <v>0</v>
      </c>
      <c r="AH4964">
        <v>3</v>
      </c>
      <c r="AI4964">
        <v>2</v>
      </c>
      <c r="AJ4964">
        <v>0</v>
      </c>
      <c r="AK4964" t="s">
        <v>1571</v>
      </c>
      <c r="AL4964">
        <v>39.235481999999998</v>
      </c>
      <c r="AM4964" t="s">
        <v>1572</v>
      </c>
      <c r="AN4964">
        <v>-121.006916</v>
      </c>
      <c r="AO4964">
        <v>25</v>
      </c>
      <c r="AP4964">
        <v>4000</v>
      </c>
      <c r="AQ4964" t="s">
        <v>131</v>
      </c>
      <c r="AR4964">
        <v>-107</v>
      </c>
      <c r="AS4964">
        <v>19</v>
      </c>
      <c r="AT4964">
        <v>-128</v>
      </c>
      <c r="BB4964" t="str">
        <f t="shared" si="1954"/>
        <v>1200</v>
      </c>
      <c r="BC4964">
        <v>1</v>
      </c>
      <c r="BD4964" t="str">
        <f t="shared" si="1955"/>
        <v xml:space="preserve">N52156  </v>
      </c>
      <c r="BE4964">
        <v>1</v>
      </c>
      <c r="BG4964">
        <v>0</v>
      </c>
      <c r="BH4964">
        <v>0</v>
      </c>
      <c r="BI4964">
        <v>0</v>
      </c>
      <c r="BJ4964">
        <v>4050</v>
      </c>
      <c r="BK4964">
        <v>50</v>
      </c>
      <c r="BL4964" t="s">
        <v>188</v>
      </c>
      <c r="BM4964">
        <v>1</v>
      </c>
      <c r="BN4964">
        <v>1</v>
      </c>
      <c r="BO4964">
        <v>0</v>
      </c>
      <c r="BP4964">
        <v>0</v>
      </c>
      <c r="BS4964">
        <v>0</v>
      </c>
      <c r="BT4964">
        <v>0</v>
      </c>
      <c r="BU4964">
        <v>0</v>
      </c>
      <c r="CE4964" t="str">
        <f t="shared" ref="CE4964:CE4969" si="1967">"15:18:19.291"</f>
        <v>15:18:19.291</v>
      </c>
      <c r="CF4964">
        <v>291260513</v>
      </c>
      <c r="CS4964">
        <v>0</v>
      </c>
      <c r="CT4964">
        <v>2</v>
      </c>
      <c r="CU4964">
        <v>0</v>
      </c>
      <c r="CV4964">
        <v>2</v>
      </c>
      <c r="CW4964">
        <v>0</v>
      </c>
      <c r="CX4964">
        <v>3</v>
      </c>
      <c r="CY4964">
        <v>7</v>
      </c>
      <c r="CZ4964" t="s">
        <v>133</v>
      </c>
      <c r="DA4964">
        <v>275</v>
      </c>
      <c r="DB4964">
        <v>0</v>
      </c>
      <c r="DC4964" t="s">
        <v>134</v>
      </c>
      <c r="DD4964" t="s">
        <v>135</v>
      </c>
      <c r="DG4964">
        <v>3323472</v>
      </c>
      <c r="DI4964">
        <v>1</v>
      </c>
      <c r="DJ4964">
        <v>0</v>
      </c>
      <c r="DK4964">
        <v>0</v>
      </c>
      <c r="DL4964">
        <v>0</v>
      </c>
      <c r="DM4964">
        <v>0</v>
      </c>
      <c r="DN4964">
        <v>0</v>
      </c>
      <c r="DO4964">
        <v>0</v>
      </c>
      <c r="DP4964">
        <v>0</v>
      </c>
      <c r="DQ4964">
        <v>0</v>
      </c>
      <c r="DR4964">
        <v>0</v>
      </c>
      <c r="DS4964">
        <v>0</v>
      </c>
    </row>
    <row r="4965" spans="1:123" x14ac:dyDescent="0.3">
      <c r="A4965" t="str">
        <f>"05/01/2025 15:18:19.508"</f>
        <v>05/01/2025 15:18:19.508</v>
      </c>
      <c r="C4965" t="str">
        <f t="shared" si="1952"/>
        <v>FFDFD3C0</v>
      </c>
      <c r="D4965" t="s">
        <v>140</v>
      </c>
      <c r="E4965" t="str">
        <f>"13"</f>
        <v>13</v>
      </c>
      <c r="F4965">
        <v>1019</v>
      </c>
      <c r="G4965" t="s">
        <v>141</v>
      </c>
      <c r="J4965" t="s">
        <v>142</v>
      </c>
      <c r="K4965">
        <v>0</v>
      </c>
      <c r="L4965">
        <v>3</v>
      </c>
      <c r="M4965">
        <v>0</v>
      </c>
      <c r="N4965">
        <v>2</v>
      </c>
      <c r="O4965">
        <v>0</v>
      </c>
      <c r="P4965">
        <v>1</v>
      </c>
      <c r="Q4965">
        <v>0</v>
      </c>
      <c r="R4965" t="s">
        <v>127</v>
      </c>
      <c r="S4965" t="str">
        <f t="shared" si="1966"/>
        <v>15:18:19.000</v>
      </c>
      <c r="T4965" t="str">
        <f t="shared" si="1966"/>
        <v>15:18:19.000</v>
      </c>
      <c r="U4965" t="str">
        <f t="shared" si="1953"/>
        <v>A68FCB</v>
      </c>
      <c r="V4965">
        <v>0</v>
      </c>
      <c r="W4965">
        <v>0</v>
      </c>
      <c r="X4965">
        <v>2</v>
      </c>
      <c r="Y4965">
        <v>0</v>
      </c>
      <c r="AA4965">
        <v>1</v>
      </c>
      <c r="AB4965">
        <v>8</v>
      </c>
      <c r="AC4965">
        <v>3</v>
      </c>
      <c r="AD4965">
        <v>0</v>
      </c>
      <c r="AE4965">
        <v>9</v>
      </c>
      <c r="AF4965" t="s">
        <v>138</v>
      </c>
      <c r="AG4965">
        <v>0</v>
      </c>
      <c r="AH4965">
        <v>3</v>
      </c>
      <c r="AI4965">
        <v>2</v>
      </c>
      <c r="AJ4965">
        <v>0</v>
      </c>
      <c r="AK4965" t="s">
        <v>1571</v>
      </c>
      <c r="AL4965">
        <v>39.235481999999998</v>
      </c>
      <c r="AM4965" t="s">
        <v>1572</v>
      </c>
      <c r="AN4965">
        <v>-121.006916</v>
      </c>
      <c r="AO4965">
        <v>25</v>
      </c>
      <c r="AP4965">
        <v>4000</v>
      </c>
      <c r="AQ4965" t="s">
        <v>131</v>
      </c>
      <c r="AR4965">
        <v>-107</v>
      </c>
      <c r="AS4965">
        <v>19</v>
      </c>
      <c r="AT4965">
        <v>-128</v>
      </c>
      <c r="BB4965" t="str">
        <f t="shared" si="1954"/>
        <v>1200</v>
      </c>
      <c r="BC4965">
        <v>1</v>
      </c>
      <c r="BD4965" t="str">
        <f t="shared" si="1955"/>
        <v xml:space="preserve">N52156  </v>
      </c>
      <c r="BE4965">
        <v>1</v>
      </c>
      <c r="BG4965">
        <v>0</v>
      </c>
      <c r="BH4965">
        <v>0</v>
      </c>
      <c r="BI4965">
        <v>0</v>
      </c>
      <c r="BJ4965">
        <v>4050</v>
      </c>
      <c r="BK4965">
        <v>50</v>
      </c>
      <c r="BL4965" t="s">
        <v>188</v>
      </c>
      <c r="BM4965">
        <v>1</v>
      </c>
      <c r="BN4965">
        <v>1</v>
      </c>
      <c r="BO4965">
        <v>0</v>
      </c>
      <c r="BP4965">
        <v>0</v>
      </c>
      <c r="BS4965">
        <v>0</v>
      </c>
      <c r="BT4965">
        <v>0</v>
      </c>
      <c r="BU4965">
        <v>0</v>
      </c>
      <c r="CE4965" t="str">
        <f t="shared" si="1967"/>
        <v>15:18:19.291</v>
      </c>
      <c r="CF4965">
        <v>291260513</v>
      </c>
      <c r="CS4965">
        <v>0</v>
      </c>
      <c r="CT4965">
        <v>2</v>
      </c>
      <c r="CU4965">
        <v>0</v>
      </c>
      <c r="CV4965">
        <v>2</v>
      </c>
      <c r="CW4965">
        <v>0</v>
      </c>
      <c r="CX4965">
        <v>3</v>
      </c>
      <c r="CY4965">
        <v>7</v>
      </c>
      <c r="CZ4965" t="s">
        <v>133</v>
      </c>
      <c r="DA4965">
        <v>275</v>
      </c>
      <c r="DB4965">
        <v>0</v>
      </c>
      <c r="DC4965" t="s">
        <v>134</v>
      </c>
      <c r="DD4965" t="s">
        <v>135</v>
      </c>
      <c r="DG4965">
        <v>3323472</v>
      </c>
      <c r="DI4965">
        <v>1</v>
      </c>
      <c r="DJ4965">
        <v>0</v>
      </c>
      <c r="DK4965">
        <v>1</v>
      </c>
      <c r="DL4965">
        <v>0</v>
      </c>
      <c r="DM4965">
        <v>0</v>
      </c>
      <c r="DN4965">
        <v>0</v>
      </c>
      <c r="DO4965">
        <v>0</v>
      </c>
      <c r="DP4965">
        <v>0</v>
      </c>
      <c r="DQ4965">
        <v>0</v>
      </c>
      <c r="DR4965">
        <v>0</v>
      </c>
      <c r="DS4965">
        <v>0</v>
      </c>
    </row>
    <row r="4966" spans="1:123" x14ac:dyDescent="0.3">
      <c r="A4966" t="str">
        <f>"05/01/2025 15:18:19.511"</f>
        <v>05/01/2025 15:18:19.511</v>
      </c>
      <c r="C4966" t="str">
        <f t="shared" si="1952"/>
        <v>FFDFD3C0</v>
      </c>
      <c r="D4966" t="s">
        <v>124</v>
      </c>
      <c r="E4966" t="str">
        <f>"06"</f>
        <v>06</v>
      </c>
      <c r="F4966">
        <v>2006</v>
      </c>
      <c r="G4966" t="s">
        <v>125</v>
      </c>
      <c r="J4966" t="s">
        <v>126</v>
      </c>
      <c r="K4966">
        <v>0</v>
      </c>
      <c r="L4966">
        <v>3</v>
      </c>
      <c r="M4966">
        <v>0</v>
      </c>
      <c r="N4966">
        <v>2</v>
      </c>
      <c r="O4966">
        <v>0</v>
      </c>
      <c r="P4966">
        <v>1</v>
      </c>
      <c r="Q4966">
        <v>0</v>
      </c>
      <c r="R4966" t="s">
        <v>127</v>
      </c>
      <c r="S4966" t="str">
        <f t="shared" si="1966"/>
        <v>15:18:19.000</v>
      </c>
      <c r="T4966" t="str">
        <f t="shared" si="1966"/>
        <v>15:18:19.000</v>
      </c>
      <c r="U4966" t="str">
        <f t="shared" si="1953"/>
        <v>A68FCB</v>
      </c>
      <c r="V4966">
        <v>0</v>
      </c>
      <c r="W4966">
        <v>0</v>
      </c>
      <c r="X4966">
        <v>2</v>
      </c>
      <c r="Y4966">
        <v>0</v>
      </c>
      <c r="AA4966">
        <v>1</v>
      </c>
      <c r="AB4966">
        <v>8</v>
      </c>
      <c r="AC4966">
        <v>3</v>
      </c>
      <c r="AD4966">
        <v>0</v>
      </c>
      <c r="AE4966">
        <v>9</v>
      </c>
      <c r="AF4966" t="s">
        <v>138</v>
      </c>
      <c r="AG4966">
        <v>0</v>
      </c>
      <c r="AH4966">
        <v>3</v>
      </c>
      <c r="AI4966">
        <v>2</v>
      </c>
      <c r="AJ4966">
        <v>0</v>
      </c>
      <c r="AK4966" t="s">
        <v>1571</v>
      </c>
      <c r="AL4966">
        <v>39.235481999999998</v>
      </c>
      <c r="AM4966" t="s">
        <v>1572</v>
      </c>
      <c r="AN4966">
        <v>-121.006916</v>
      </c>
      <c r="AO4966">
        <v>25</v>
      </c>
      <c r="AP4966">
        <v>4000</v>
      </c>
      <c r="AQ4966" t="s">
        <v>131</v>
      </c>
      <c r="AR4966">
        <v>-107</v>
      </c>
      <c r="AS4966">
        <v>19</v>
      </c>
      <c r="AT4966">
        <v>-128</v>
      </c>
      <c r="BB4966" t="str">
        <f t="shared" si="1954"/>
        <v>1200</v>
      </c>
      <c r="BC4966">
        <v>1</v>
      </c>
      <c r="BD4966" t="str">
        <f t="shared" si="1955"/>
        <v xml:space="preserve">N52156  </v>
      </c>
      <c r="BE4966">
        <v>1</v>
      </c>
      <c r="BG4966">
        <v>0</v>
      </c>
      <c r="BH4966">
        <v>0</v>
      </c>
      <c r="BI4966">
        <v>0</v>
      </c>
      <c r="BJ4966">
        <v>4050</v>
      </c>
      <c r="BK4966">
        <v>50</v>
      </c>
      <c r="BL4966" t="s">
        <v>188</v>
      </c>
      <c r="BM4966">
        <v>1</v>
      </c>
      <c r="BN4966">
        <v>1</v>
      </c>
      <c r="BO4966">
        <v>0</v>
      </c>
      <c r="BP4966">
        <v>0</v>
      </c>
      <c r="BS4966">
        <v>0</v>
      </c>
      <c r="BT4966">
        <v>0</v>
      </c>
      <c r="BU4966">
        <v>0</v>
      </c>
      <c r="CE4966" t="str">
        <f t="shared" si="1967"/>
        <v>15:18:19.291</v>
      </c>
      <c r="CF4966">
        <v>291260513</v>
      </c>
      <c r="CS4966">
        <v>0</v>
      </c>
      <c r="CT4966">
        <v>2</v>
      </c>
      <c r="CU4966">
        <v>0</v>
      </c>
      <c r="CV4966">
        <v>2</v>
      </c>
      <c r="CW4966">
        <v>0</v>
      </c>
      <c r="CX4966">
        <v>3</v>
      </c>
      <c r="CY4966">
        <v>7</v>
      </c>
      <c r="CZ4966" t="s">
        <v>133</v>
      </c>
      <c r="DA4966">
        <v>275</v>
      </c>
      <c r="DB4966">
        <v>0</v>
      </c>
      <c r="DC4966" t="s">
        <v>134</v>
      </c>
      <c r="DD4966" t="s">
        <v>135</v>
      </c>
      <c r="DG4966">
        <v>3323472</v>
      </c>
      <c r="DI4966">
        <v>1</v>
      </c>
      <c r="DJ4966">
        <v>0</v>
      </c>
      <c r="DK4966">
        <v>1</v>
      </c>
      <c r="DL4966">
        <v>0</v>
      </c>
      <c r="DM4966">
        <v>0</v>
      </c>
      <c r="DN4966">
        <v>0</v>
      </c>
      <c r="DO4966">
        <v>0</v>
      </c>
      <c r="DP4966">
        <v>0</v>
      </c>
      <c r="DQ4966">
        <v>0</v>
      </c>
      <c r="DR4966">
        <v>0</v>
      </c>
      <c r="DS4966">
        <v>0</v>
      </c>
    </row>
    <row r="4967" spans="1:123" x14ac:dyDescent="0.3">
      <c r="A4967" t="str">
        <f>"05/01/2025 15:18:19.519"</f>
        <v>05/01/2025 15:18:19.519</v>
      </c>
      <c r="C4967" t="str">
        <f t="shared" si="1952"/>
        <v>FFDFD3C0</v>
      </c>
      <c r="D4967" t="s">
        <v>143</v>
      </c>
      <c r="E4967" t="str">
        <f>"05"</f>
        <v>05</v>
      </c>
      <c r="H4967">
        <v>172</v>
      </c>
      <c r="I4967" t="s">
        <v>141</v>
      </c>
      <c r="J4967" t="s">
        <v>144</v>
      </c>
      <c r="K4967">
        <v>0</v>
      </c>
      <c r="L4967">
        <v>3</v>
      </c>
      <c r="M4967">
        <v>0</v>
      </c>
      <c r="N4967">
        <v>2</v>
      </c>
      <c r="O4967">
        <v>0</v>
      </c>
      <c r="P4967">
        <v>1</v>
      </c>
      <c r="Q4967">
        <v>0</v>
      </c>
      <c r="R4967" t="s">
        <v>127</v>
      </c>
      <c r="S4967" t="str">
        <f t="shared" si="1966"/>
        <v>15:18:19.000</v>
      </c>
      <c r="T4967" t="str">
        <f t="shared" si="1966"/>
        <v>15:18:19.000</v>
      </c>
      <c r="U4967" t="str">
        <f t="shared" si="1953"/>
        <v>A68FCB</v>
      </c>
      <c r="V4967">
        <v>0</v>
      </c>
      <c r="W4967">
        <v>0</v>
      </c>
      <c r="X4967">
        <v>2</v>
      </c>
      <c r="Y4967">
        <v>0</v>
      </c>
      <c r="AA4967">
        <v>1</v>
      </c>
      <c r="AB4967">
        <v>8</v>
      </c>
      <c r="AC4967">
        <v>3</v>
      </c>
      <c r="AD4967">
        <v>0</v>
      </c>
      <c r="AE4967">
        <v>9</v>
      </c>
      <c r="AF4967" t="s">
        <v>138</v>
      </c>
      <c r="AG4967">
        <v>0</v>
      </c>
      <c r="AH4967">
        <v>3</v>
      </c>
      <c r="AI4967">
        <v>2</v>
      </c>
      <c r="AJ4967">
        <v>0</v>
      </c>
      <c r="AK4967" t="s">
        <v>1571</v>
      </c>
      <c r="AL4967">
        <v>39.235481999999998</v>
      </c>
      <c r="AM4967" t="s">
        <v>1572</v>
      </c>
      <c r="AN4967">
        <v>-121.006916</v>
      </c>
      <c r="AO4967">
        <v>25</v>
      </c>
      <c r="AP4967">
        <v>4000</v>
      </c>
      <c r="AQ4967" t="s">
        <v>131</v>
      </c>
      <c r="AR4967">
        <v>-107</v>
      </c>
      <c r="AS4967">
        <v>19</v>
      </c>
      <c r="AT4967">
        <v>-128</v>
      </c>
      <c r="BB4967" t="str">
        <f t="shared" si="1954"/>
        <v>1200</v>
      </c>
      <c r="BC4967">
        <v>1</v>
      </c>
      <c r="BD4967" t="str">
        <f t="shared" si="1955"/>
        <v xml:space="preserve">N52156  </v>
      </c>
      <c r="BE4967">
        <v>1</v>
      </c>
      <c r="BG4967">
        <v>0</v>
      </c>
      <c r="BH4967">
        <v>0</v>
      </c>
      <c r="BI4967">
        <v>0</v>
      </c>
      <c r="BJ4967">
        <v>4050</v>
      </c>
      <c r="BK4967">
        <v>50</v>
      </c>
      <c r="BL4967" t="s">
        <v>188</v>
      </c>
      <c r="BM4967">
        <v>1</v>
      </c>
      <c r="BN4967">
        <v>1</v>
      </c>
      <c r="BO4967">
        <v>0</v>
      </c>
      <c r="BP4967">
        <v>0</v>
      </c>
      <c r="BS4967">
        <v>0</v>
      </c>
      <c r="BT4967">
        <v>0</v>
      </c>
      <c r="BU4967">
        <v>0</v>
      </c>
      <c r="CE4967" t="str">
        <f t="shared" si="1967"/>
        <v>15:18:19.291</v>
      </c>
      <c r="CF4967">
        <v>291260513</v>
      </c>
      <c r="CS4967">
        <v>0</v>
      </c>
      <c r="CT4967">
        <v>2</v>
      </c>
      <c r="CU4967">
        <v>0</v>
      </c>
      <c r="CV4967">
        <v>2</v>
      </c>
      <c r="CW4967">
        <v>0</v>
      </c>
      <c r="CX4967">
        <v>3</v>
      </c>
      <c r="CY4967">
        <v>7</v>
      </c>
      <c r="CZ4967" t="s">
        <v>133</v>
      </c>
      <c r="DA4967">
        <v>275</v>
      </c>
      <c r="DB4967">
        <v>0</v>
      </c>
      <c r="DC4967" t="s">
        <v>134</v>
      </c>
      <c r="DD4967" t="s">
        <v>135</v>
      </c>
      <c r="DG4967">
        <v>3323472</v>
      </c>
      <c r="DI4967">
        <v>1</v>
      </c>
      <c r="DJ4967">
        <v>0</v>
      </c>
      <c r="DK4967">
        <v>1</v>
      </c>
      <c r="DL4967">
        <v>0</v>
      </c>
      <c r="DM4967">
        <v>0</v>
      </c>
      <c r="DN4967">
        <v>0</v>
      </c>
      <c r="DO4967">
        <v>0</v>
      </c>
      <c r="DP4967">
        <v>0</v>
      </c>
      <c r="DQ4967">
        <v>0</v>
      </c>
      <c r="DR4967">
        <v>0</v>
      </c>
      <c r="DS4967">
        <v>0</v>
      </c>
    </row>
    <row r="4968" spans="1:123" x14ac:dyDescent="0.3">
      <c r="A4968" t="str">
        <f>"05/01/2025 15:18:19.532"</f>
        <v>05/01/2025 15:18:19.532</v>
      </c>
      <c r="C4968" t="str">
        <f t="shared" si="1952"/>
        <v>FFDFD3C0</v>
      </c>
      <c r="D4968" t="s">
        <v>145</v>
      </c>
      <c r="E4968" t="str">
        <f>"09"</f>
        <v>09</v>
      </c>
      <c r="H4968">
        <v>51</v>
      </c>
      <c r="I4968" t="s">
        <v>147</v>
      </c>
      <c r="J4968" t="s">
        <v>138</v>
      </c>
      <c r="K4968">
        <v>0</v>
      </c>
      <c r="L4968">
        <v>3</v>
      </c>
      <c r="M4968">
        <v>0</v>
      </c>
      <c r="N4968">
        <v>2</v>
      </c>
      <c r="O4968">
        <v>0</v>
      </c>
      <c r="P4968">
        <v>1</v>
      </c>
      <c r="Q4968">
        <v>0</v>
      </c>
      <c r="R4968" t="s">
        <v>127</v>
      </c>
      <c r="S4968" t="str">
        <f t="shared" si="1966"/>
        <v>15:18:19.000</v>
      </c>
      <c r="T4968" t="str">
        <f t="shared" si="1966"/>
        <v>15:18:19.000</v>
      </c>
      <c r="U4968" t="str">
        <f t="shared" si="1953"/>
        <v>A68FCB</v>
      </c>
      <c r="V4968">
        <v>0</v>
      </c>
      <c r="W4968">
        <v>0</v>
      </c>
      <c r="X4968">
        <v>2</v>
      </c>
      <c r="Y4968">
        <v>0</v>
      </c>
      <c r="AA4968">
        <v>1</v>
      </c>
      <c r="AB4968">
        <v>8</v>
      </c>
      <c r="AC4968">
        <v>3</v>
      </c>
      <c r="AD4968">
        <v>0</v>
      </c>
      <c r="AE4968">
        <v>9</v>
      </c>
      <c r="AF4968" t="s">
        <v>138</v>
      </c>
      <c r="AG4968">
        <v>0</v>
      </c>
      <c r="AH4968">
        <v>3</v>
      </c>
      <c r="AI4968">
        <v>2</v>
      </c>
      <c r="AJ4968">
        <v>0</v>
      </c>
      <c r="AK4968" t="s">
        <v>1571</v>
      </c>
      <c r="AL4968">
        <v>39.235481999999998</v>
      </c>
      <c r="AM4968" t="s">
        <v>1572</v>
      </c>
      <c r="AN4968">
        <v>-121.006916</v>
      </c>
      <c r="AO4968">
        <v>25</v>
      </c>
      <c r="AP4968">
        <v>4000</v>
      </c>
      <c r="AQ4968" t="s">
        <v>131</v>
      </c>
      <c r="AR4968">
        <v>-107</v>
      </c>
      <c r="AS4968">
        <v>19</v>
      </c>
      <c r="AT4968">
        <v>-128</v>
      </c>
      <c r="BB4968" t="str">
        <f t="shared" si="1954"/>
        <v>1200</v>
      </c>
      <c r="BC4968">
        <v>1</v>
      </c>
      <c r="BD4968" t="str">
        <f t="shared" si="1955"/>
        <v xml:space="preserve">N52156  </v>
      </c>
      <c r="BE4968">
        <v>1</v>
      </c>
      <c r="BG4968">
        <v>0</v>
      </c>
      <c r="BH4968">
        <v>0</v>
      </c>
      <c r="BI4968">
        <v>0</v>
      </c>
      <c r="BJ4968">
        <v>4050</v>
      </c>
      <c r="BK4968">
        <v>50</v>
      </c>
      <c r="BL4968" t="s">
        <v>188</v>
      </c>
      <c r="BM4968">
        <v>1</v>
      </c>
      <c r="BN4968">
        <v>1</v>
      </c>
      <c r="BO4968">
        <v>0</v>
      </c>
      <c r="BP4968">
        <v>0</v>
      </c>
      <c r="BS4968">
        <v>0</v>
      </c>
      <c r="BT4968">
        <v>0</v>
      </c>
      <c r="BU4968">
        <v>0</v>
      </c>
      <c r="CE4968" t="str">
        <f t="shared" si="1967"/>
        <v>15:18:19.291</v>
      </c>
      <c r="CF4968">
        <v>291260513</v>
      </c>
      <c r="CS4968">
        <v>0</v>
      </c>
      <c r="CT4968">
        <v>2</v>
      </c>
      <c r="CU4968">
        <v>0</v>
      </c>
      <c r="CV4968">
        <v>2</v>
      </c>
      <c r="CW4968">
        <v>0</v>
      </c>
      <c r="CX4968">
        <v>3</v>
      </c>
      <c r="CY4968">
        <v>7</v>
      </c>
      <c r="CZ4968" t="s">
        <v>133</v>
      </c>
      <c r="DA4968">
        <v>275</v>
      </c>
      <c r="DB4968">
        <v>0</v>
      </c>
      <c r="DC4968" t="s">
        <v>134</v>
      </c>
      <c r="DD4968" t="s">
        <v>135</v>
      </c>
      <c r="DG4968">
        <v>3323472</v>
      </c>
      <c r="DI4968">
        <v>1</v>
      </c>
      <c r="DJ4968">
        <v>0</v>
      </c>
      <c r="DK4968">
        <v>1</v>
      </c>
      <c r="DL4968">
        <v>0</v>
      </c>
      <c r="DM4968">
        <v>0</v>
      </c>
      <c r="DN4968">
        <v>0</v>
      </c>
      <c r="DO4968">
        <v>0</v>
      </c>
      <c r="DP4968">
        <v>0</v>
      </c>
      <c r="DQ4968">
        <v>0</v>
      </c>
      <c r="DR4968">
        <v>0</v>
      </c>
      <c r="DS4968">
        <v>0</v>
      </c>
    </row>
    <row r="4969" spans="1:123" x14ac:dyDescent="0.3">
      <c r="A4969" t="str">
        <f>"05/01/2025 15:18:19.533"</f>
        <v>05/01/2025 15:18:19.533</v>
      </c>
      <c r="C4969" t="str">
        <f t="shared" si="1952"/>
        <v>FFDFD3C0</v>
      </c>
      <c r="D4969" t="s">
        <v>145</v>
      </c>
      <c r="E4969" t="str">
        <f>"05"</f>
        <v>05</v>
      </c>
      <c r="H4969">
        <v>47</v>
      </c>
      <c r="I4969" t="s">
        <v>146</v>
      </c>
      <c r="J4969" t="s">
        <v>138</v>
      </c>
      <c r="K4969">
        <v>0</v>
      </c>
      <c r="L4969">
        <v>3</v>
      </c>
      <c r="M4969">
        <v>0</v>
      </c>
      <c r="N4969">
        <v>2</v>
      </c>
      <c r="O4969">
        <v>0</v>
      </c>
      <c r="P4969">
        <v>1</v>
      </c>
      <c r="Q4969">
        <v>0</v>
      </c>
      <c r="R4969" t="s">
        <v>127</v>
      </c>
      <c r="S4969" t="str">
        <f t="shared" si="1966"/>
        <v>15:18:19.000</v>
      </c>
      <c r="T4969" t="str">
        <f t="shared" si="1966"/>
        <v>15:18:19.000</v>
      </c>
      <c r="U4969" t="str">
        <f t="shared" si="1953"/>
        <v>A68FCB</v>
      </c>
      <c r="V4969">
        <v>0</v>
      </c>
      <c r="W4969">
        <v>0</v>
      </c>
      <c r="X4969">
        <v>2</v>
      </c>
      <c r="Y4969">
        <v>0</v>
      </c>
      <c r="AA4969">
        <v>1</v>
      </c>
      <c r="AB4969">
        <v>8</v>
      </c>
      <c r="AC4969">
        <v>3</v>
      </c>
      <c r="AD4969">
        <v>0</v>
      </c>
      <c r="AE4969">
        <v>9</v>
      </c>
      <c r="AF4969" t="s">
        <v>138</v>
      </c>
      <c r="AG4969">
        <v>0</v>
      </c>
      <c r="AH4969">
        <v>3</v>
      </c>
      <c r="AI4969">
        <v>2</v>
      </c>
      <c r="AJ4969">
        <v>0</v>
      </c>
      <c r="AK4969" t="s">
        <v>1571</v>
      </c>
      <c r="AL4969">
        <v>39.235481999999998</v>
      </c>
      <c r="AM4969" t="s">
        <v>1572</v>
      </c>
      <c r="AN4969">
        <v>-121.006916</v>
      </c>
      <c r="AO4969">
        <v>25</v>
      </c>
      <c r="AP4969">
        <v>4000</v>
      </c>
      <c r="AQ4969" t="s">
        <v>131</v>
      </c>
      <c r="AR4969">
        <v>-107</v>
      </c>
      <c r="AS4969">
        <v>19</v>
      </c>
      <c r="AT4969">
        <v>-128</v>
      </c>
      <c r="BB4969" t="str">
        <f t="shared" si="1954"/>
        <v>1200</v>
      </c>
      <c r="BC4969">
        <v>1</v>
      </c>
      <c r="BD4969" t="str">
        <f t="shared" si="1955"/>
        <v xml:space="preserve">N52156  </v>
      </c>
      <c r="BE4969">
        <v>1</v>
      </c>
      <c r="BG4969">
        <v>0</v>
      </c>
      <c r="BH4969">
        <v>0</v>
      </c>
      <c r="BI4969">
        <v>0</v>
      </c>
      <c r="BJ4969">
        <v>4050</v>
      </c>
      <c r="BK4969">
        <v>50</v>
      </c>
      <c r="BL4969" t="s">
        <v>188</v>
      </c>
      <c r="BM4969">
        <v>1</v>
      </c>
      <c r="BN4969">
        <v>1</v>
      </c>
      <c r="BO4969">
        <v>0</v>
      </c>
      <c r="BP4969">
        <v>0</v>
      </c>
      <c r="BS4969">
        <v>0</v>
      </c>
      <c r="BT4969">
        <v>0</v>
      </c>
      <c r="BU4969">
        <v>0</v>
      </c>
      <c r="CE4969" t="str">
        <f t="shared" si="1967"/>
        <v>15:18:19.291</v>
      </c>
      <c r="CF4969">
        <v>291260513</v>
      </c>
      <c r="CS4969">
        <v>0</v>
      </c>
      <c r="CT4969">
        <v>2</v>
      </c>
      <c r="CU4969">
        <v>0</v>
      </c>
      <c r="CV4969">
        <v>2</v>
      </c>
      <c r="CW4969">
        <v>0</v>
      </c>
      <c r="CX4969">
        <v>3</v>
      </c>
      <c r="CY4969">
        <v>7</v>
      </c>
      <c r="CZ4969" t="s">
        <v>133</v>
      </c>
      <c r="DA4969">
        <v>275</v>
      </c>
      <c r="DB4969">
        <v>0</v>
      </c>
      <c r="DC4969" t="s">
        <v>134</v>
      </c>
      <c r="DD4969" t="s">
        <v>135</v>
      </c>
      <c r="DG4969">
        <v>3323472</v>
      </c>
      <c r="DI4969">
        <v>1</v>
      </c>
      <c r="DJ4969">
        <v>0</v>
      </c>
      <c r="DK4969">
        <v>1</v>
      </c>
      <c r="DL4969">
        <v>0</v>
      </c>
      <c r="DM4969">
        <v>0</v>
      </c>
      <c r="DN4969">
        <v>0</v>
      </c>
      <c r="DO4969">
        <v>0</v>
      </c>
      <c r="DP4969">
        <v>0</v>
      </c>
      <c r="DQ4969">
        <v>0</v>
      </c>
      <c r="DR4969">
        <v>0</v>
      </c>
      <c r="DS4969">
        <v>0</v>
      </c>
    </row>
    <row r="4970" spans="1:123" x14ac:dyDescent="0.3">
      <c r="A4970" t="str">
        <f>"05/01/2025 15:18:20.914"</f>
        <v>05/01/2025 15:18:20.914</v>
      </c>
      <c r="C4970" t="str">
        <f t="shared" si="1952"/>
        <v>FFDFD3C0</v>
      </c>
      <c r="D4970" t="s">
        <v>124</v>
      </c>
      <c r="E4970" t="str">
        <f>"06"</f>
        <v>06</v>
      </c>
      <c r="F4970">
        <v>2006</v>
      </c>
      <c r="G4970" t="s">
        <v>125</v>
      </c>
      <c r="J4970" t="s">
        <v>126</v>
      </c>
      <c r="K4970">
        <v>0</v>
      </c>
      <c r="L4970">
        <v>3</v>
      </c>
      <c r="M4970">
        <v>0</v>
      </c>
      <c r="N4970">
        <v>2</v>
      </c>
      <c r="O4970">
        <v>0</v>
      </c>
      <c r="P4970">
        <v>1</v>
      </c>
      <c r="Q4970">
        <v>0</v>
      </c>
      <c r="R4970" t="s">
        <v>127</v>
      </c>
      <c r="S4970" t="str">
        <f t="shared" ref="S4970:T4975" si="1968">"15:18:20.000"</f>
        <v>15:18:20.000</v>
      </c>
      <c r="T4970" t="str">
        <f t="shared" si="1968"/>
        <v>15:18:20.000</v>
      </c>
      <c r="U4970" t="str">
        <f t="shared" si="1953"/>
        <v>A68FCB</v>
      </c>
      <c r="V4970">
        <v>0</v>
      </c>
      <c r="W4970">
        <v>0</v>
      </c>
      <c r="X4970">
        <v>2</v>
      </c>
      <c r="Y4970">
        <v>0</v>
      </c>
      <c r="AA4970">
        <v>1</v>
      </c>
      <c r="AB4970">
        <v>8</v>
      </c>
      <c r="AC4970">
        <v>3</v>
      </c>
      <c r="AD4970">
        <v>0</v>
      </c>
      <c r="AE4970">
        <v>9</v>
      </c>
      <c r="AF4970" t="s">
        <v>138</v>
      </c>
      <c r="AG4970">
        <v>0</v>
      </c>
      <c r="AH4970">
        <v>3</v>
      </c>
      <c r="AI4970">
        <v>2</v>
      </c>
      <c r="AJ4970">
        <v>0</v>
      </c>
      <c r="AK4970" t="s">
        <v>1573</v>
      </c>
      <c r="AL4970">
        <v>39.235590000000002</v>
      </c>
      <c r="AM4970" t="s">
        <v>1574</v>
      </c>
      <c r="AN4970">
        <v>-121.007559</v>
      </c>
      <c r="AO4970">
        <v>25</v>
      </c>
      <c r="AP4970">
        <v>4000</v>
      </c>
      <c r="AQ4970" t="s">
        <v>131</v>
      </c>
      <c r="AR4970">
        <v>-109</v>
      </c>
      <c r="AS4970">
        <v>10</v>
      </c>
      <c r="AT4970">
        <v>-128</v>
      </c>
      <c r="BB4970" t="str">
        <f t="shared" si="1954"/>
        <v>1200</v>
      </c>
      <c r="BC4970">
        <v>1</v>
      </c>
      <c r="BD4970" t="str">
        <f t="shared" si="1955"/>
        <v xml:space="preserve">N52156  </v>
      </c>
      <c r="BE4970">
        <v>1</v>
      </c>
      <c r="BG4970">
        <v>0</v>
      </c>
      <c r="BH4970">
        <v>0</v>
      </c>
      <c r="BI4970">
        <v>0</v>
      </c>
      <c r="BJ4970">
        <v>4025</v>
      </c>
      <c r="BK4970">
        <v>25</v>
      </c>
      <c r="BL4970" t="s">
        <v>188</v>
      </c>
      <c r="BM4970">
        <v>1</v>
      </c>
      <c r="BN4970">
        <v>1</v>
      </c>
      <c r="BO4970">
        <v>0</v>
      </c>
      <c r="BP4970">
        <v>0</v>
      </c>
      <c r="BS4970">
        <v>0</v>
      </c>
      <c r="BT4970">
        <v>0</v>
      </c>
      <c r="BU4970">
        <v>0</v>
      </c>
      <c r="CE4970" t="str">
        <f t="shared" ref="CE4970:CE4975" si="1969">"15:18:20.715"</f>
        <v>15:18:20.715</v>
      </c>
      <c r="CF4970">
        <v>714761388</v>
      </c>
      <c r="CS4970">
        <v>0</v>
      </c>
      <c r="CT4970">
        <v>2</v>
      </c>
      <c r="CU4970">
        <v>0</v>
      </c>
      <c r="CV4970">
        <v>2</v>
      </c>
      <c r="CW4970">
        <v>0</v>
      </c>
      <c r="CX4970">
        <v>2</v>
      </c>
      <c r="CY4970">
        <v>7</v>
      </c>
      <c r="CZ4970" t="s">
        <v>133</v>
      </c>
      <c r="DA4970">
        <v>275</v>
      </c>
      <c r="DB4970">
        <v>0</v>
      </c>
      <c r="DC4970" t="s">
        <v>134</v>
      </c>
      <c r="DD4970" t="s">
        <v>135</v>
      </c>
      <c r="DG4970">
        <v>3323474</v>
      </c>
      <c r="DI4970">
        <v>1</v>
      </c>
      <c r="DJ4970">
        <v>0</v>
      </c>
      <c r="DK4970">
        <v>0</v>
      </c>
      <c r="DL4970">
        <v>0</v>
      </c>
      <c r="DM4970">
        <v>0</v>
      </c>
      <c r="DN4970">
        <v>0</v>
      </c>
      <c r="DO4970">
        <v>0</v>
      </c>
      <c r="DP4970">
        <v>0</v>
      </c>
      <c r="DQ4970">
        <v>0</v>
      </c>
      <c r="DR4970">
        <v>0</v>
      </c>
      <c r="DS4970">
        <v>0</v>
      </c>
    </row>
    <row r="4971" spans="1:123" x14ac:dyDescent="0.3">
      <c r="A4971" t="str">
        <f>"05/01/2025 15:18:20.921"</f>
        <v>05/01/2025 15:18:20.921</v>
      </c>
      <c r="C4971" t="str">
        <f t="shared" si="1952"/>
        <v>FFDFD3C0</v>
      </c>
      <c r="D4971" t="s">
        <v>143</v>
      </c>
      <c r="E4971" t="str">
        <f>"05"</f>
        <v>05</v>
      </c>
      <c r="H4971">
        <v>172</v>
      </c>
      <c r="I4971" t="s">
        <v>141</v>
      </c>
      <c r="J4971" t="s">
        <v>144</v>
      </c>
      <c r="K4971">
        <v>0</v>
      </c>
      <c r="L4971">
        <v>3</v>
      </c>
      <c r="M4971">
        <v>0</v>
      </c>
      <c r="N4971">
        <v>2</v>
      </c>
      <c r="O4971">
        <v>0</v>
      </c>
      <c r="P4971">
        <v>1</v>
      </c>
      <c r="Q4971">
        <v>0</v>
      </c>
      <c r="R4971" t="s">
        <v>127</v>
      </c>
      <c r="S4971" t="str">
        <f t="shared" si="1968"/>
        <v>15:18:20.000</v>
      </c>
      <c r="T4971" t="str">
        <f t="shared" si="1968"/>
        <v>15:18:20.000</v>
      </c>
      <c r="U4971" t="str">
        <f t="shared" si="1953"/>
        <v>A68FCB</v>
      </c>
      <c r="V4971">
        <v>0</v>
      </c>
      <c r="W4971">
        <v>0</v>
      </c>
      <c r="X4971">
        <v>2</v>
      </c>
      <c r="Y4971">
        <v>0</v>
      </c>
      <c r="AA4971">
        <v>1</v>
      </c>
      <c r="AB4971">
        <v>8</v>
      </c>
      <c r="AC4971">
        <v>3</v>
      </c>
      <c r="AD4971">
        <v>0</v>
      </c>
      <c r="AE4971">
        <v>9</v>
      </c>
      <c r="AF4971" t="s">
        <v>138</v>
      </c>
      <c r="AG4971">
        <v>0</v>
      </c>
      <c r="AH4971">
        <v>3</v>
      </c>
      <c r="AI4971">
        <v>2</v>
      </c>
      <c r="AJ4971">
        <v>0</v>
      </c>
      <c r="AK4971" t="s">
        <v>1573</v>
      </c>
      <c r="AL4971">
        <v>39.235590000000002</v>
      </c>
      <c r="AM4971" t="s">
        <v>1574</v>
      </c>
      <c r="AN4971">
        <v>-121.007559</v>
      </c>
      <c r="AO4971">
        <v>25</v>
      </c>
      <c r="AP4971">
        <v>4000</v>
      </c>
      <c r="AQ4971" t="s">
        <v>131</v>
      </c>
      <c r="AR4971">
        <v>-109</v>
      </c>
      <c r="AS4971">
        <v>10</v>
      </c>
      <c r="AT4971">
        <v>-128</v>
      </c>
      <c r="BB4971" t="str">
        <f t="shared" si="1954"/>
        <v>1200</v>
      </c>
      <c r="BC4971">
        <v>1</v>
      </c>
      <c r="BD4971" t="str">
        <f t="shared" si="1955"/>
        <v xml:space="preserve">N52156  </v>
      </c>
      <c r="BE4971">
        <v>1</v>
      </c>
      <c r="BG4971">
        <v>0</v>
      </c>
      <c r="BH4971">
        <v>0</v>
      </c>
      <c r="BI4971">
        <v>0</v>
      </c>
      <c r="BJ4971">
        <v>4025</v>
      </c>
      <c r="BK4971">
        <v>25</v>
      </c>
      <c r="BL4971" t="s">
        <v>188</v>
      </c>
      <c r="BM4971">
        <v>1</v>
      </c>
      <c r="BN4971">
        <v>1</v>
      </c>
      <c r="BO4971">
        <v>0</v>
      </c>
      <c r="BP4971">
        <v>0</v>
      </c>
      <c r="BS4971">
        <v>0</v>
      </c>
      <c r="BT4971">
        <v>0</v>
      </c>
      <c r="BU4971">
        <v>0</v>
      </c>
      <c r="CE4971" t="str">
        <f t="shared" si="1969"/>
        <v>15:18:20.715</v>
      </c>
      <c r="CF4971">
        <v>714761388</v>
      </c>
      <c r="CS4971">
        <v>0</v>
      </c>
      <c r="CT4971">
        <v>2</v>
      </c>
      <c r="CU4971">
        <v>0</v>
      </c>
      <c r="CV4971">
        <v>2</v>
      </c>
      <c r="CW4971">
        <v>0</v>
      </c>
      <c r="CX4971">
        <v>2</v>
      </c>
      <c r="CY4971">
        <v>7</v>
      </c>
      <c r="CZ4971" t="s">
        <v>133</v>
      </c>
      <c r="DA4971">
        <v>275</v>
      </c>
      <c r="DB4971">
        <v>0</v>
      </c>
      <c r="DC4971" t="s">
        <v>134</v>
      </c>
      <c r="DD4971" t="s">
        <v>135</v>
      </c>
      <c r="DG4971">
        <v>3323474</v>
      </c>
      <c r="DI4971">
        <v>1</v>
      </c>
      <c r="DJ4971">
        <v>0</v>
      </c>
      <c r="DK4971">
        <v>1</v>
      </c>
      <c r="DL4971">
        <v>0</v>
      </c>
      <c r="DM4971">
        <v>0</v>
      </c>
      <c r="DN4971">
        <v>0</v>
      </c>
      <c r="DO4971">
        <v>0</v>
      </c>
      <c r="DP4971">
        <v>0</v>
      </c>
      <c r="DQ4971">
        <v>0</v>
      </c>
      <c r="DR4971">
        <v>0</v>
      </c>
      <c r="DS4971">
        <v>0</v>
      </c>
    </row>
    <row r="4972" spans="1:123" x14ac:dyDescent="0.3">
      <c r="A4972" t="str">
        <f>"05/01/2025 15:18:20.935"</f>
        <v>05/01/2025 15:18:20.935</v>
      </c>
      <c r="C4972" t="str">
        <f t="shared" si="1952"/>
        <v>FFDFD3C0</v>
      </c>
      <c r="D4972" t="s">
        <v>145</v>
      </c>
      <c r="E4972" t="str">
        <f>"09"</f>
        <v>09</v>
      </c>
      <c r="H4972">
        <v>51</v>
      </c>
      <c r="I4972" t="s">
        <v>147</v>
      </c>
      <c r="J4972" t="s">
        <v>138</v>
      </c>
      <c r="K4972">
        <v>0</v>
      </c>
      <c r="L4972">
        <v>3</v>
      </c>
      <c r="M4972">
        <v>0</v>
      </c>
      <c r="N4972">
        <v>2</v>
      </c>
      <c r="O4972">
        <v>0</v>
      </c>
      <c r="P4972">
        <v>1</v>
      </c>
      <c r="Q4972">
        <v>0</v>
      </c>
      <c r="R4972" t="s">
        <v>127</v>
      </c>
      <c r="S4972" t="str">
        <f t="shared" si="1968"/>
        <v>15:18:20.000</v>
      </c>
      <c r="T4972" t="str">
        <f t="shared" si="1968"/>
        <v>15:18:20.000</v>
      </c>
      <c r="U4972" t="str">
        <f t="shared" si="1953"/>
        <v>A68FCB</v>
      </c>
      <c r="V4972">
        <v>0</v>
      </c>
      <c r="W4972">
        <v>0</v>
      </c>
      <c r="X4972">
        <v>2</v>
      </c>
      <c r="Y4972">
        <v>0</v>
      </c>
      <c r="AA4972">
        <v>1</v>
      </c>
      <c r="AB4972">
        <v>8</v>
      </c>
      <c r="AC4972">
        <v>3</v>
      </c>
      <c r="AD4972">
        <v>0</v>
      </c>
      <c r="AE4972">
        <v>9</v>
      </c>
      <c r="AF4972" t="s">
        <v>138</v>
      </c>
      <c r="AG4972">
        <v>0</v>
      </c>
      <c r="AH4972">
        <v>3</v>
      </c>
      <c r="AI4972">
        <v>2</v>
      </c>
      <c r="AJ4972">
        <v>0</v>
      </c>
      <c r="AK4972" t="s">
        <v>1573</v>
      </c>
      <c r="AL4972">
        <v>39.235590000000002</v>
      </c>
      <c r="AM4972" t="s">
        <v>1574</v>
      </c>
      <c r="AN4972">
        <v>-121.007559</v>
      </c>
      <c r="AO4972">
        <v>25</v>
      </c>
      <c r="AP4972">
        <v>4000</v>
      </c>
      <c r="AQ4972" t="s">
        <v>131</v>
      </c>
      <c r="AR4972">
        <v>-109</v>
      </c>
      <c r="AS4972">
        <v>10</v>
      </c>
      <c r="AT4972">
        <v>-128</v>
      </c>
      <c r="BB4972" t="str">
        <f t="shared" si="1954"/>
        <v>1200</v>
      </c>
      <c r="BC4972">
        <v>1</v>
      </c>
      <c r="BD4972" t="str">
        <f t="shared" si="1955"/>
        <v xml:space="preserve">N52156  </v>
      </c>
      <c r="BE4972">
        <v>1</v>
      </c>
      <c r="BG4972">
        <v>0</v>
      </c>
      <c r="BH4972">
        <v>0</v>
      </c>
      <c r="BI4972">
        <v>0</v>
      </c>
      <c r="BJ4972">
        <v>4025</v>
      </c>
      <c r="BK4972">
        <v>25</v>
      </c>
      <c r="BL4972" t="s">
        <v>188</v>
      </c>
      <c r="BM4972">
        <v>1</v>
      </c>
      <c r="BN4972">
        <v>1</v>
      </c>
      <c r="BO4972">
        <v>0</v>
      </c>
      <c r="BP4972">
        <v>0</v>
      </c>
      <c r="BS4972">
        <v>0</v>
      </c>
      <c r="BT4972">
        <v>0</v>
      </c>
      <c r="BU4972">
        <v>0</v>
      </c>
      <c r="CE4972" t="str">
        <f t="shared" si="1969"/>
        <v>15:18:20.715</v>
      </c>
      <c r="CF4972">
        <v>714761388</v>
      </c>
      <c r="CS4972">
        <v>0</v>
      </c>
      <c r="CT4972">
        <v>2</v>
      </c>
      <c r="CU4972">
        <v>0</v>
      </c>
      <c r="CV4972">
        <v>2</v>
      </c>
      <c r="CW4972">
        <v>0</v>
      </c>
      <c r="CX4972">
        <v>2</v>
      </c>
      <c r="CY4972">
        <v>7</v>
      </c>
      <c r="CZ4972" t="s">
        <v>133</v>
      </c>
      <c r="DA4972">
        <v>275</v>
      </c>
      <c r="DB4972">
        <v>0</v>
      </c>
      <c r="DC4972" t="s">
        <v>134</v>
      </c>
      <c r="DD4972" t="s">
        <v>135</v>
      </c>
      <c r="DG4972">
        <v>3323474</v>
      </c>
      <c r="DI4972">
        <v>1</v>
      </c>
      <c r="DJ4972">
        <v>0</v>
      </c>
      <c r="DK4972">
        <v>1</v>
      </c>
      <c r="DL4972">
        <v>0</v>
      </c>
      <c r="DM4972">
        <v>0</v>
      </c>
      <c r="DN4972">
        <v>0</v>
      </c>
      <c r="DO4972">
        <v>0</v>
      </c>
      <c r="DP4972">
        <v>0</v>
      </c>
      <c r="DQ4972">
        <v>0</v>
      </c>
      <c r="DR4972">
        <v>0</v>
      </c>
      <c r="DS4972">
        <v>0</v>
      </c>
    </row>
    <row r="4973" spans="1:123" x14ac:dyDescent="0.3">
      <c r="A4973" t="str">
        <f>"05/01/2025 15:18:20.936"</f>
        <v>05/01/2025 15:18:20.936</v>
      </c>
      <c r="C4973" t="str">
        <f t="shared" si="1952"/>
        <v>FFDFD3C0</v>
      </c>
      <c r="D4973" t="s">
        <v>145</v>
      </c>
      <c r="E4973" t="str">
        <f>"05"</f>
        <v>05</v>
      </c>
      <c r="H4973">
        <v>47</v>
      </c>
      <c r="I4973" t="s">
        <v>146</v>
      </c>
      <c r="J4973" t="s">
        <v>138</v>
      </c>
      <c r="K4973">
        <v>0</v>
      </c>
      <c r="L4973">
        <v>3</v>
      </c>
      <c r="M4973">
        <v>0</v>
      </c>
      <c r="N4973">
        <v>2</v>
      </c>
      <c r="O4973">
        <v>0</v>
      </c>
      <c r="P4973">
        <v>1</v>
      </c>
      <c r="Q4973">
        <v>0</v>
      </c>
      <c r="R4973" t="s">
        <v>127</v>
      </c>
      <c r="S4973" t="str">
        <f t="shared" si="1968"/>
        <v>15:18:20.000</v>
      </c>
      <c r="T4973" t="str">
        <f t="shared" si="1968"/>
        <v>15:18:20.000</v>
      </c>
      <c r="U4973" t="str">
        <f t="shared" si="1953"/>
        <v>A68FCB</v>
      </c>
      <c r="V4973">
        <v>0</v>
      </c>
      <c r="W4973">
        <v>0</v>
      </c>
      <c r="X4973">
        <v>2</v>
      </c>
      <c r="Y4973">
        <v>0</v>
      </c>
      <c r="AA4973">
        <v>1</v>
      </c>
      <c r="AB4973">
        <v>8</v>
      </c>
      <c r="AC4973">
        <v>3</v>
      </c>
      <c r="AD4973">
        <v>0</v>
      </c>
      <c r="AE4973">
        <v>9</v>
      </c>
      <c r="AF4973" t="s">
        <v>138</v>
      </c>
      <c r="AG4973">
        <v>0</v>
      </c>
      <c r="AH4973">
        <v>3</v>
      </c>
      <c r="AI4973">
        <v>2</v>
      </c>
      <c r="AJ4973">
        <v>0</v>
      </c>
      <c r="AK4973" t="s">
        <v>1573</v>
      </c>
      <c r="AL4973">
        <v>39.235590000000002</v>
      </c>
      <c r="AM4973" t="s">
        <v>1574</v>
      </c>
      <c r="AN4973">
        <v>-121.007559</v>
      </c>
      <c r="AO4973">
        <v>25</v>
      </c>
      <c r="AP4973">
        <v>4000</v>
      </c>
      <c r="AQ4973" t="s">
        <v>131</v>
      </c>
      <c r="AR4973">
        <v>-109</v>
      </c>
      <c r="AS4973">
        <v>10</v>
      </c>
      <c r="AT4973">
        <v>-128</v>
      </c>
      <c r="BB4973" t="str">
        <f t="shared" si="1954"/>
        <v>1200</v>
      </c>
      <c r="BC4973">
        <v>1</v>
      </c>
      <c r="BD4973" t="str">
        <f t="shared" si="1955"/>
        <v xml:space="preserve">N52156  </v>
      </c>
      <c r="BE4973">
        <v>1</v>
      </c>
      <c r="BG4973">
        <v>0</v>
      </c>
      <c r="BH4973">
        <v>0</v>
      </c>
      <c r="BI4973">
        <v>0</v>
      </c>
      <c r="BJ4973">
        <v>4025</v>
      </c>
      <c r="BK4973">
        <v>25</v>
      </c>
      <c r="BL4973" t="s">
        <v>188</v>
      </c>
      <c r="BM4973">
        <v>1</v>
      </c>
      <c r="BN4973">
        <v>1</v>
      </c>
      <c r="BO4973">
        <v>0</v>
      </c>
      <c r="BP4973">
        <v>0</v>
      </c>
      <c r="BS4973">
        <v>0</v>
      </c>
      <c r="BT4973">
        <v>0</v>
      </c>
      <c r="BU4973">
        <v>0</v>
      </c>
      <c r="CE4973" t="str">
        <f t="shared" si="1969"/>
        <v>15:18:20.715</v>
      </c>
      <c r="CF4973">
        <v>714761388</v>
      </c>
      <c r="CS4973">
        <v>0</v>
      </c>
      <c r="CT4973">
        <v>2</v>
      </c>
      <c r="CU4973">
        <v>0</v>
      </c>
      <c r="CV4973">
        <v>2</v>
      </c>
      <c r="CW4973">
        <v>0</v>
      </c>
      <c r="CX4973">
        <v>2</v>
      </c>
      <c r="CY4973">
        <v>7</v>
      </c>
      <c r="CZ4973" t="s">
        <v>133</v>
      </c>
      <c r="DA4973">
        <v>275</v>
      </c>
      <c r="DB4973">
        <v>0</v>
      </c>
      <c r="DC4973" t="s">
        <v>134</v>
      </c>
      <c r="DD4973" t="s">
        <v>135</v>
      </c>
      <c r="DG4973">
        <v>3323474</v>
      </c>
      <c r="DI4973">
        <v>1</v>
      </c>
      <c r="DJ4973">
        <v>0</v>
      </c>
      <c r="DK4973">
        <v>1</v>
      </c>
      <c r="DL4973">
        <v>0</v>
      </c>
      <c r="DM4973">
        <v>0</v>
      </c>
      <c r="DN4973">
        <v>0</v>
      </c>
      <c r="DO4973">
        <v>0</v>
      </c>
      <c r="DP4973">
        <v>0</v>
      </c>
      <c r="DQ4973">
        <v>0</v>
      </c>
      <c r="DR4973">
        <v>0</v>
      </c>
      <c r="DS4973">
        <v>0</v>
      </c>
    </row>
    <row r="4974" spans="1:123" x14ac:dyDescent="0.3">
      <c r="A4974" t="str">
        <f>"05/01/2025 15:18:20.945"</f>
        <v>05/01/2025 15:18:20.945</v>
      </c>
      <c r="C4974" t="str">
        <f t="shared" si="1952"/>
        <v>FFDFD3C0</v>
      </c>
      <c r="D4974" t="s">
        <v>136</v>
      </c>
      <c r="E4974" t="str">
        <f>"20"</f>
        <v>20</v>
      </c>
      <c r="H4974">
        <v>400</v>
      </c>
      <c r="I4974" t="s">
        <v>137</v>
      </c>
      <c r="J4974" t="s">
        <v>138</v>
      </c>
      <c r="K4974">
        <v>0</v>
      </c>
      <c r="L4974">
        <v>3</v>
      </c>
      <c r="M4974">
        <v>0</v>
      </c>
      <c r="N4974">
        <v>2</v>
      </c>
      <c r="O4974">
        <v>0</v>
      </c>
      <c r="P4974">
        <v>1</v>
      </c>
      <c r="Q4974">
        <v>0</v>
      </c>
      <c r="R4974" t="s">
        <v>127</v>
      </c>
      <c r="S4974" t="str">
        <f t="shared" si="1968"/>
        <v>15:18:20.000</v>
      </c>
      <c r="T4974" t="str">
        <f t="shared" si="1968"/>
        <v>15:18:20.000</v>
      </c>
      <c r="U4974" t="str">
        <f t="shared" si="1953"/>
        <v>A68FCB</v>
      </c>
      <c r="V4974">
        <v>0</v>
      </c>
      <c r="W4974">
        <v>0</v>
      </c>
      <c r="X4974">
        <v>2</v>
      </c>
      <c r="Y4974">
        <v>0</v>
      </c>
      <c r="AA4974">
        <v>1</v>
      </c>
      <c r="AB4974">
        <v>8</v>
      </c>
      <c r="AC4974">
        <v>3</v>
      </c>
      <c r="AD4974">
        <v>0</v>
      </c>
      <c r="AE4974">
        <v>9</v>
      </c>
      <c r="AF4974" t="s">
        <v>138</v>
      </c>
      <c r="AG4974">
        <v>0</v>
      </c>
      <c r="AH4974">
        <v>3</v>
      </c>
      <c r="AI4974">
        <v>2</v>
      </c>
      <c r="AJ4974">
        <v>0</v>
      </c>
      <c r="AK4974" t="s">
        <v>1573</v>
      </c>
      <c r="AL4974">
        <v>39.235590000000002</v>
      </c>
      <c r="AM4974" t="s">
        <v>1574</v>
      </c>
      <c r="AN4974">
        <v>-121.007559</v>
      </c>
      <c r="AO4974">
        <v>25</v>
      </c>
      <c r="AP4974">
        <v>4000</v>
      </c>
      <c r="AQ4974" t="s">
        <v>131</v>
      </c>
      <c r="AR4974">
        <v>-109</v>
      </c>
      <c r="AS4974">
        <v>10</v>
      </c>
      <c r="AT4974">
        <v>-128</v>
      </c>
      <c r="BB4974" t="str">
        <f t="shared" si="1954"/>
        <v>1200</v>
      </c>
      <c r="BC4974">
        <v>1</v>
      </c>
      <c r="BD4974" t="str">
        <f t="shared" si="1955"/>
        <v xml:space="preserve">N52156  </v>
      </c>
      <c r="BE4974">
        <v>1</v>
      </c>
      <c r="BG4974">
        <v>0</v>
      </c>
      <c r="BH4974">
        <v>0</v>
      </c>
      <c r="BI4974">
        <v>0</v>
      </c>
      <c r="BJ4974">
        <v>4025</v>
      </c>
      <c r="BK4974">
        <v>25</v>
      </c>
      <c r="BL4974" t="s">
        <v>188</v>
      </c>
      <c r="BM4974">
        <v>1</v>
      </c>
      <c r="BN4974">
        <v>1</v>
      </c>
      <c r="BO4974">
        <v>0</v>
      </c>
      <c r="BP4974">
        <v>0</v>
      </c>
      <c r="BS4974">
        <v>0</v>
      </c>
      <c r="BT4974">
        <v>0</v>
      </c>
      <c r="BU4974">
        <v>0</v>
      </c>
      <c r="CE4974" t="str">
        <f t="shared" si="1969"/>
        <v>15:18:20.715</v>
      </c>
      <c r="CF4974">
        <v>714761388</v>
      </c>
      <c r="CS4974">
        <v>0</v>
      </c>
      <c r="CT4974">
        <v>2</v>
      </c>
      <c r="CU4974">
        <v>0</v>
      </c>
      <c r="CV4974">
        <v>2</v>
      </c>
      <c r="CW4974">
        <v>0</v>
      </c>
      <c r="CX4974">
        <v>2</v>
      </c>
      <c r="CY4974">
        <v>7</v>
      </c>
      <c r="CZ4974" t="s">
        <v>133</v>
      </c>
      <c r="DA4974">
        <v>275</v>
      </c>
      <c r="DB4974">
        <v>0</v>
      </c>
      <c r="DC4974" t="s">
        <v>134</v>
      </c>
      <c r="DD4974" t="s">
        <v>135</v>
      </c>
      <c r="DG4974">
        <v>3323474</v>
      </c>
      <c r="DI4974">
        <v>1</v>
      </c>
      <c r="DJ4974">
        <v>0</v>
      </c>
      <c r="DK4974">
        <v>1</v>
      </c>
      <c r="DL4974">
        <v>0</v>
      </c>
      <c r="DM4974">
        <v>0</v>
      </c>
      <c r="DN4974">
        <v>0</v>
      </c>
      <c r="DO4974">
        <v>0</v>
      </c>
      <c r="DP4974">
        <v>0</v>
      </c>
      <c r="DQ4974">
        <v>0</v>
      </c>
      <c r="DR4974">
        <v>0</v>
      </c>
      <c r="DS4974">
        <v>0</v>
      </c>
    </row>
    <row r="4975" spans="1:123" x14ac:dyDescent="0.3">
      <c r="A4975" t="str">
        <f>"05/01/2025 15:18:20.961"</f>
        <v>05/01/2025 15:18:20.961</v>
      </c>
      <c r="C4975" t="str">
        <f t="shared" si="1952"/>
        <v>FFDFD3C0</v>
      </c>
      <c r="D4975" t="s">
        <v>140</v>
      </c>
      <c r="E4975" t="str">
        <f>"13"</f>
        <v>13</v>
      </c>
      <c r="F4975">
        <v>1019</v>
      </c>
      <c r="G4975" t="s">
        <v>141</v>
      </c>
      <c r="J4975" t="s">
        <v>142</v>
      </c>
      <c r="K4975">
        <v>0</v>
      </c>
      <c r="L4975">
        <v>3</v>
      </c>
      <c r="M4975">
        <v>0</v>
      </c>
      <c r="N4975">
        <v>2</v>
      </c>
      <c r="O4975">
        <v>0</v>
      </c>
      <c r="P4975">
        <v>1</v>
      </c>
      <c r="Q4975">
        <v>0</v>
      </c>
      <c r="R4975" t="s">
        <v>127</v>
      </c>
      <c r="S4975" t="str">
        <f t="shared" si="1968"/>
        <v>15:18:20.000</v>
      </c>
      <c r="T4975" t="str">
        <f t="shared" si="1968"/>
        <v>15:18:20.000</v>
      </c>
      <c r="U4975" t="str">
        <f t="shared" si="1953"/>
        <v>A68FCB</v>
      </c>
      <c r="V4975">
        <v>0</v>
      </c>
      <c r="W4975">
        <v>0</v>
      </c>
      <c r="X4975">
        <v>2</v>
      </c>
      <c r="Y4975">
        <v>0</v>
      </c>
      <c r="AA4975">
        <v>1</v>
      </c>
      <c r="AB4975">
        <v>8</v>
      </c>
      <c r="AC4975">
        <v>3</v>
      </c>
      <c r="AD4975">
        <v>0</v>
      </c>
      <c r="AE4975">
        <v>9</v>
      </c>
      <c r="AF4975" t="s">
        <v>138</v>
      </c>
      <c r="AG4975">
        <v>0</v>
      </c>
      <c r="AH4975">
        <v>3</v>
      </c>
      <c r="AI4975">
        <v>2</v>
      </c>
      <c r="AJ4975">
        <v>0</v>
      </c>
      <c r="AK4975" t="s">
        <v>1573</v>
      </c>
      <c r="AL4975">
        <v>39.235590000000002</v>
      </c>
      <c r="AM4975" t="s">
        <v>1574</v>
      </c>
      <c r="AN4975">
        <v>-121.007559</v>
      </c>
      <c r="AO4975">
        <v>25</v>
      </c>
      <c r="AP4975">
        <v>4000</v>
      </c>
      <c r="AQ4975" t="s">
        <v>131</v>
      </c>
      <c r="AR4975">
        <v>-109</v>
      </c>
      <c r="AS4975">
        <v>10</v>
      </c>
      <c r="AT4975">
        <v>-128</v>
      </c>
      <c r="BB4975" t="str">
        <f t="shared" si="1954"/>
        <v>1200</v>
      </c>
      <c r="BC4975">
        <v>1</v>
      </c>
      <c r="BD4975" t="str">
        <f t="shared" si="1955"/>
        <v xml:space="preserve">N52156  </v>
      </c>
      <c r="BE4975">
        <v>1</v>
      </c>
      <c r="BG4975">
        <v>0</v>
      </c>
      <c r="BH4975">
        <v>0</v>
      </c>
      <c r="BI4975">
        <v>0</v>
      </c>
      <c r="BJ4975">
        <v>4025</v>
      </c>
      <c r="BK4975">
        <v>25</v>
      </c>
      <c r="BL4975" t="s">
        <v>188</v>
      </c>
      <c r="BM4975">
        <v>1</v>
      </c>
      <c r="BN4975">
        <v>1</v>
      </c>
      <c r="BO4975">
        <v>0</v>
      </c>
      <c r="BP4975">
        <v>0</v>
      </c>
      <c r="BS4975">
        <v>0</v>
      </c>
      <c r="BT4975">
        <v>0</v>
      </c>
      <c r="BU4975">
        <v>0</v>
      </c>
      <c r="CE4975" t="str">
        <f t="shared" si="1969"/>
        <v>15:18:20.715</v>
      </c>
      <c r="CF4975">
        <v>714761388</v>
      </c>
      <c r="CS4975">
        <v>0</v>
      </c>
      <c r="CT4975">
        <v>2</v>
      </c>
      <c r="CU4975">
        <v>0</v>
      </c>
      <c r="CV4975">
        <v>2</v>
      </c>
      <c r="CW4975">
        <v>0</v>
      </c>
      <c r="CX4975">
        <v>2</v>
      </c>
      <c r="CY4975">
        <v>7</v>
      </c>
      <c r="CZ4975" t="s">
        <v>133</v>
      </c>
      <c r="DA4975">
        <v>275</v>
      </c>
      <c r="DB4975">
        <v>0</v>
      </c>
      <c r="DC4975" t="s">
        <v>134</v>
      </c>
      <c r="DD4975" t="s">
        <v>135</v>
      </c>
      <c r="DG4975">
        <v>3323474</v>
      </c>
      <c r="DI4975">
        <v>1</v>
      </c>
      <c r="DJ4975">
        <v>0</v>
      </c>
      <c r="DK4975">
        <v>1</v>
      </c>
      <c r="DL4975">
        <v>0</v>
      </c>
      <c r="DM4975">
        <v>0</v>
      </c>
      <c r="DN4975">
        <v>0</v>
      </c>
      <c r="DO4975">
        <v>0</v>
      </c>
      <c r="DP4975">
        <v>0</v>
      </c>
      <c r="DQ4975">
        <v>0</v>
      </c>
      <c r="DR4975">
        <v>0</v>
      </c>
      <c r="DS4975">
        <v>0</v>
      </c>
    </row>
    <row r="4976" spans="1:123" x14ac:dyDescent="0.3">
      <c r="A4976" t="str">
        <f>"05/01/2025 15:18:21.765"</f>
        <v>05/01/2025 15:18:21.765</v>
      </c>
      <c r="C4976" t="str">
        <f t="shared" si="1952"/>
        <v>FFDFD3C0</v>
      </c>
      <c r="D4976" t="s">
        <v>124</v>
      </c>
      <c r="E4976" t="str">
        <f>"06"</f>
        <v>06</v>
      </c>
      <c r="F4976">
        <v>2006</v>
      </c>
      <c r="G4976" t="s">
        <v>125</v>
      </c>
      <c r="J4976" t="s">
        <v>126</v>
      </c>
      <c r="K4976">
        <v>0</v>
      </c>
      <c r="L4976">
        <v>3</v>
      </c>
      <c r="M4976">
        <v>0</v>
      </c>
      <c r="N4976">
        <v>2</v>
      </c>
      <c r="O4976">
        <v>0</v>
      </c>
      <c r="P4976">
        <v>1</v>
      </c>
      <c r="Q4976">
        <v>0</v>
      </c>
      <c r="R4976" t="s">
        <v>127</v>
      </c>
      <c r="S4976" t="str">
        <f t="shared" ref="S4976:T4981" si="1970">"15:18:21.000"</f>
        <v>15:18:21.000</v>
      </c>
      <c r="T4976" t="str">
        <f t="shared" si="1970"/>
        <v>15:18:21.000</v>
      </c>
      <c r="U4976" t="str">
        <f t="shared" si="1953"/>
        <v>A68FCB</v>
      </c>
      <c r="V4976">
        <v>0</v>
      </c>
      <c r="W4976">
        <v>0</v>
      </c>
      <c r="X4976">
        <v>2</v>
      </c>
      <c r="Y4976">
        <v>0</v>
      </c>
      <c r="AA4976">
        <v>1</v>
      </c>
      <c r="AB4976">
        <v>8</v>
      </c>
      <c r="AC4976">
        <v>3</v>
      </c>
      <c r="AD4976">
        <v>0</v>
      </c>
      <c r="AE4976">
        <v>9</v>
      </c>
      <c r="AF4976" t="s">
        <v>138</v>
      </c>
      <c r="AG4976">
        <v>0</v>
      </c>
      <c r="AH4976">
        <v>3</v>
      </c>
      <c r="AI4976">
        <v>2</v>
      </c>
      <c r="AJ4976">
        <v>0</v>
      </c>
      <c r="AK4976" t="s">
        <v>1575</v>
      </c>
      <c r="AL4976">
        <v>39.235632000000003</v>
      </c>
      <c r="AM4976" t="s">
        <v>1576</v>
      </c>
      <c r="AN4976">
        <v>-121.00820299999999</v>
      </c>
      <c r="AO4976">
        <v>25</v>
      </c>
      <c r="AP4976">
        <v>4000</v>
      </c>
      <c r="AQ4976" t="s">
        <v>131</v>
      </c>
      <c r="AR4976">
        <v>-109</v>
      </c>
      <c r="AS4976">
        <v>5</v>
      </c>
      <c r="AT4976">
        <v>-128</v>
      </c>
      <c r="BB4976" t="str">
        <f t="shared" si="1954"/>
        <v>1200</v>
      </c>
      <c r="BC4976">
        <v>1</v>
      </c>
      <c r="BD4976" t="str">
        <f t="shared" si="1955"/>
        <v xml:space="preserve">N52156  </v>
      </c>
      <c r="BE4976">
        <v>1</v>
      </c>
      <c r="BG4976">
        <v>0</v>
      </c>
      <c r="BH4976">
        <v>0</v>
      </c>
      <c r="BI4976">
        <v>0</v>
      </c>
      <c r="BJ4976">
        <v>4025</v>
      </c>
      <c r="BK4976">
        <v>25</v>
      </c>
      <c r="BL4976" t="s">
        <v>188</v>
      </c>
      <c r="BM4976">
        <v>1</v>
      </c>
      <c r="BN4976">
        <v>1</v>
      </c>
      <c r="BO4976">
        <v>0</v>
      </c>
      <c r="BP4976">
        <v>0</v>
      </c>
      <c r="BS4976">
        <v>0</v>
      </c>
      <c r="BT4976">
        <v>0</v>
      </c>
      <c r="BU4976">
        <v>0</v>
      </c>
      <c r="CE4976" t="str">
        <f t="shared" ref="CE4976:CE4981" si="1971">"15:18:21.515"</f>
        <v>15:18:21.515</v>
      </c>
      <c r="CF4976">
        <v>514760773</v>
      </c>
      <c r="CS4976">
        <v>0</v>
      </c>
      <c r="CT4976">
        <v>2</v>
      </c>
      <c r="CU4976">
        <v>0</v>
      </c>
      <c r="CV4976">
        <v>2</v>
      </c>
      <c r="CW4976">
        <v>0</v>
      </c>
      <c r="CX4976">
        <v>3</v>
      </c>
      <c r="CY4976">
        <v>7</v>
      </c>
      <c r="CZ4976" t="s">
        <v>133</v>
      </c>
      <c r="DA4976">
        <v>275</v>
      </c>
      <c r="DB4976">
        <v>0</v>
      </c>
      <c r="DC4976" t="s">
        <v>134</v>
      </c>
      <c r="DD4976" t="s">
        <v>135</v>
      </c>
      <c r="DG4976">
        <v>3323480</v>
      </c>
      <c r="DI4976">
        <v>1</v>
      </c>
      <c r="DJ4976">
        <v>0</v>
      </c>
      <c r="DK4976">
        <v>0</v>
      </c>
      <c r="DL4976">
        <v>0</v>
      </c>
      <c r="DM4976">
        <v>0</v>
      </c>
      <c r="DN4976">
        <v>0</v>
      </c>
      <c r="DO4976">
        <v>0</v>
      </c>
      <c r="DP4976">
        <v>0</v>
      </c>
      <c r="DQ4976">
        <v>0</v>
      </c>
      <c r="DR4976">
        <v>0</v>
      </c>
      <c r="DS4976">
        <v>0</v>
      </c>
    </row>
    <row r="4977" spans="1:123" x14ac:dyDescent="0.3">
      <c r="A4977" t="str">
        <f>"05/01/2025 15:18:21.763"</f>
        <v>05/01/2025 15:18:21.763</v>
      </c>
      <c r="C4977" t="str">
        <f t="shared" si="1952"/>
        <v>FFDFD3C0</v>
      </c>
      <c r="D4977" t="s">
        <v>140</v>
      </c>
      <c r="E4977" t="str">
        <f>"13"</f>
        <v>13</v>
      </c>
      <c r="F4977">
        <v>1019</v>
      </c>
      <c r="G4977" t="s">
        <v>141</v>
      </c>
      <c r="J4977" t="s">
        <v>142</v>
      </c>
      <c r="K4977">
        <v>0</v>
      </c>
      <c r="L4977">
        <v>3</v>
      </c>
      <c r="M4977">
        <v>0</v>
      </c>
      <c r="N4977">
        <v>2</v>
      </c>
      <c r="O4977">
        <v>0</v>
      </c>
      <c r="P4977">
        <v>1</v>
      </c>
      <c r="Q4977">
        <v>0</v>
      </c>
      <c r="R4977" t="s">
        <v>127</v>
      </c>
      <c r="S4977" t="str">
        <f t="shared" si="1970"/>
        <v>15:18:21.000</v>
      </c>
      <c r="T4977" t="str">
        <f t="shared" si="1970"/>
        <v>15:18:21.000</v>
      </c>
      <c r="U4977" t="str">
        <f t="shared" si="1953"/>
        <v>A68FCB</v>
      </c>
      <c r="V4977">
        <v>0</v>
      </c>
      <c r="W4977">
        <v>0</v>
      </c>
      <c r="X4977">
        <v>2</v>
      </c>
      <c r="Y4977">
        <v>0</v>
      </c>
      <c r="AA4977">
        <v>1</v>
      </c>
      <c r="AB4977">
        <v>8</v>
      </c>
      <c r="AC4977">
        <v>3</v>
      </c>
      <c r="AD4977">
        <v>0</v>
      </c>
      <c r="AE4977">
        <v>9</v>
      </c>
      <c r="AF4977" t="s">
        <v>138</v>
      </c>
      <c r="AG4977">
        <v>0</v>
      </c>
      <c r="AH4977">
        <v>3</v>
      </c>
      <c r="AI4977">
        <v>2</v>
      </c>
      <c r="AJ4977">
        <v>0</v>
      </c>
      <c r="AK4977" t="s">
        <v>1575</v>
      </c>
      <c r="AL4977">
        <v>39.235632000000003</v>
      </c>
      <c r="AM4977" t="s">
        <v>1576</v>
      </c>
      <c r="AN4977">
        <v>-121.00820299999999</v>
      </c>
      <c r="AO4977">
        <v>25</v>
      </c>
      <c r="AP4977">
        <v>4000</v>
      </c>
      <c r="AQ4977" t="s">
        <v>131</v>
      </c>
      <c r="AR4977">
        <v>-109</v>
      </c>
      <c r="AS4977">
        <v>5</v>
      </c>
      <c r="AT4977">
        <v>-128</v>
      </c>
      <c r="BB4977" t="str">
        <f t="shared" si="1954"/>
        <v>1200</v>
      </c>
      <c r="BC4977">
        <v>1</v>
      </c>
      <c r="BD4977" t="str">
        <f t="shared" si="1955"/>
        <v xml:space="preserve">N52156  </v>
      </c>
      <c r="BE4977">
        <v>1</v>
      </c>
      <c r="BG4977">
        <v>0</v>
      </c>
      <c r="BH4977">
        <v>0</v>
      </c>
      <c r="BI4977">
        <v>0</v>
      </c>
      <c r="BJ4977">
        <v>4025</v>
      </c>
      <c r="BK4977">
        <v>25</v>
      </c>
      <c r="BL4977" t="s">
        <v>188</v>
      </c>
      <c r="BM4977">
        <v>1</v>
      </c>
      <c r="BN4977">
        <v>1</v>
      </c>
      <c r="BO4977">
        <v>0</v>
      </c>
      <c r="BP4977">
        <v>0</v>
      </c>
      <c r="BS4977">
        <v>0</v>
      </c>
      <c r="BT4977">
        <v>0</v>
      </c>
      <c r="BU4977">
        <v>0</v>
      </c>
      <c r="CE4977" t="str">
        <f t="shared" si="1971"/>
        <v>15:18:21.515</v>
      </c>
      <c r="CF4977">
        <v>514760773</v>
      </c>
      <c r="CS4977">
        <v>0</v>
      </c>
      <c r="CT4977">
        <v>2</v>
      </c>
      <c r="CU4977">
        <v>0</v>
      </c>
      <c r="CV4977">
        <v>2</v>
      </c>
      <c r="CW4977">
        <v>0</v>
      </c>
      <c r="CX4977">
        <v>3</v>
      </c>
      <c r="CY4977">
        <v>7</v>
      </c>
      <c r="CZ4977" t="s">
        <v>133</v>
      </c>
      <c r="DA4977">
        <v>275</v>
      </c>
      <c r="DB4977">
        <v>0</v>
      </c>
      <c r="DC4977" t="s">
        <v>134</v>
      </c>
      <c r="DD4977" t="s">
        <v>135</v>
      </c>
      <c r="DG4977">
        <v>3323480</v>
      </c>
      <c r="DI4977">
        <v>1</v>
      </c>
      <c r="DJ4977">
        <v>0</v>
      </c>
      <c r="DK4977">
        <v>1</v>
      </c>
      <c r="DL4977">
        <v>0</v>
      </c>
      <c r="DM4977">
        <v>0</v>
      </c>
      <c r="DN4977">
        <v>0</v>
      </c>
      <c r="DO4977">
        <v>0</v>
      </c>
      <c r="DP4977">
        <v>0</v>
      </c>
      <c r="DQ4977">
        <v>0</v>
      </c>
      <c r="DR4977">
        <v>0</v>
      </c>
      <c r="DS4977">
        <v>0</v>
      </c>
    </row>
    <row r="4978" spans="1:123" x14ac:dyDescent="0.3">
      <c r="A4978" t="str">
        <f>"05/01/2025 15:18:21.773"</f>
        <v>05/01/2025 15:18:21.773</v>
      </c>
      <c r="C4978" t="str">
        <f t="shared" si="1952"/>
        <v>FFDFD3C0</v>
      </c>
      <c r="D4978" t="s">
        <v>143</v>
      </c>
      <c r="E4978" t="str">
        <f>"05"</f>
        <v>05</v>
      </c>
      <c r="H4978">
        <v>172</v>
      </c>
      <c r="I4978" t="s">
        <v>141</v>
      </c>
      <c r="J4978" t="s">
        <v>144</v>
      </c>
      <c r="K4978">
        <v>0</v>
      </c>
      <c r="L4978">
        <v>3</v>
      </c>
      <c r="M4978">
        <v>0</v>
      </c>
      <c r="N4978">
        <v>2</v>
      </c>
      <c r="O4978">
        <v>0</v>
      </c>
      <c r="P4978">
        <v>1</v>
      </c>
      <c r="Q4978">
        <v>0</v>
      </c>
      <c r="R4978" t="s">
        <v>127</v>
      </c>
      <c r="S4978" t="str">
        <f t="shared" si="1970"/>
        <v>15:18:21.000</v>
      </c>
      <c r="T4978" t="str">
        <f t="shared" si="1970"/>
        <v>15:18:21.000</v>
      </c>
      <c r="U4978" t="str">
        <f t="shared" si="1953"/>
        <v>A68FCB</v>
      </c>
      <c r="V4978">
        <v>0</v>
      </c>
      <c r="W4978">
        <v>0</v>
      </c>
      <c r="X4978">
        <v>2</v>
      </c>
      <c r="Y4978">
        <v>0</v>
      </c>
      <c r="AA4978">
        <v>1</v>
      </c>
      <c r="AB4978">
        <v>8</v>
      </c>
      <c r="AC4978">
        <v>3</v>
      </c>
      <c r="AD4978">
        <v>0</v>
      </c>
      <c r="AE4978">
        <v>9</v>
      </c>
      <c r="AF4978" t="s">
        <v>138</v>
      </c>
      <c r="AG4978">
        <v>0</v>
      </c>
      <c r="AH4978">
        <v>3</v>
      </c>
      <c r="AI4978">
        <v>2</v>
      </c>
      <c r="AJ4978">
        <v>0</v>
      </c>
      <c r="AK4978" t="s">
        <v>1575</v>
      </c>
      <c r="AL4978">
        <v>39.235632000000003</v>
      </c>
      <c r="AM4978" t="s">
        <v>1576</v>
      </c>
      <c r="AN4978">
        <v>-121.00820299999999</v>
      </c>
      <c r="AO4978">
        <v>25</v>
      </c>
      <c r="AP4978">
        <v>4000</v>
      </c>
      <c r="AQ4978" t="s">
        <v>131</v>
      </c>
      <c r="AR4978">
        <v>-109</v>
      </c>
      <c r="AS4978">
        <v>5</v>
      </c>
      <c r="AT4978">
        <v>-128</v>
      </c>
      <c r="BB4978" t="str">
        <f t="shared" si="1954"/>
        <v>1200</v>
      </c>
      <c r="BC4978">
        <v>1</v>
      </c>
      <c r="BD4978" t="str">
        <f t="shared" si="1955"/>
        <v xml:space="preserve">N52156  </v>
      </c>
      <c r="BE4978">
        <v>1</v>
      </c>
      <c r="BG4978">
        <v>0</v>
      </c>
      <c r="BH4978">
        <v>0</v>
      </c>
      <c r="BI4978">
        <v>0</v>
      </c>
      <c r="BJ4978">
        <v>4025</v>
      </c>
      <c r="BK4978">
        <v>25</v>
      </c>
      <c r="BL4978" t="s">
        <v>188</v>
      </c>
      <c r="BM4978">
        <v>1</v>
      </c>
      <c r="BN4978">
        <v>1</v>
      </c>
      <c r="BO4978">
        <v>0</v>
      </c>
      <c r="BP4978">
        <v>0</v>
      </c>
      <c r="BS4978">
        <v>0</v>
      </c>
      <c r="BT4978">
        <v>0</v>
      </c>
      <c r="BU4978">
        <v>0</v>
      </c>
      <c r="CE4978" t="str">
        <f t="shared" si="1971"/>
        <v>15:18:21.515</v>
      </c>
      <c r="CF4978">
        <v>514760773</v>
      </c>
      <c r="CS4978">
        <v>0</v>
      </c>
      <c r="CT4978">
        <v>2</v>
      </c>
      <c r="CU4978">
        <v>0</v>
      </c>
      <c r="CV4978">
        <v>2</v>
      </c>
      <c r="CW4978">
        <v>0</v>
      </c>
      <c r="CX4978">
        <v>3</v>
      </c>
      <c r="CY4978">
        <v>7</v>
      </c>
      <c r="CZ4978" t="s">
        <v>133</v>
      </c>
      <c r="DA4978">
        <v>275</v>
      </c>
      <c r="DB4978">
        <v>0</v>
      </c>
      <c r="DC4978" t="s">
        <v>134</v>
      </c>
      <c r="DD4978" t="s">
        <v>135</v>
      </c>
      <c r="DG4978">
        <v>3323480</v>
      </c>
      <c r="DI4978">
        <v>1</v>
      </c>
      <c r="DJ4978">
        <v>0</v>
      </c>
      <c r="DK4978">
        <v>1</v>
      </c>
      <c r="DL4978">
        <v>0</v>
      </c>
      <c r="DM4978">
        <v>0</v>
      </c>
      <c r="DN4978">
        <v>0</v>
      </c>
      <c r="DO4978">
        <v>0</v>
      </c>
      <c r="DP4978">
        <v>0</v>
      </c>
      <c r="DQ4978">
        <v>0</v>
      </c>
      <c r="DR4978">
        <v>0</v>
      </c>
      <c r="DS4978">
        <v>0</v>
      </c>
    </row>
    <row r="4979" spans="1:123" x14ac:dyDescent="0.3">
      <c r="A4979" t="str">
        <f>"05/01/2025 15:18:21.786"</f>
        <v>05/01/2025 15:18:21.786</v>
      </c>
      <c r="C4979" t="str">
        <f t="shared" si="1952"/>
        <v>FFDFD3C0</v>
      </c>
      <c r="D4979" t="s">
        <v>145</v>
      </c>
      <c r="E4979" t="str">
        <f>"09"</f>
        <v>09</v>
      </c>
      <c r="H4979">
        <v>51</v>
      </c>
      <c r="I4979" t="s">
        <v>147</v>
      </c>
      <c r="J4979" t="s">
        <v>138</v>
      </c>
      <c r="K4979">
        <v>0</v>
      </c>
      <c r="L4979">
        <v>3</v>
      </c>
      <c r="M4979">
        <v>0</v>
      </c>
      <c r="N4979">
        <v>2</v>
      </c>
      <c r="O4979">
        <v>0</v>
      </c>
      <c r="P4979">
        <v>1</v>
      </c>
      <c r="Q4979">
        <v>0</v>
      </c>
      <c r="R4979" t="s">
        <v>127</v>
      </c>
      <c r="S4979" t="str">
        <f t="shared" si="1970"/>
        <v>15:18:21.000</v>
      </c>
      <c r="T4979" t="str">
        <f t="shared" si="1970"/>
        <v>15:18:21.000</v>
      </c>
      <c r="U4979" t="str">
        <f t="shared" si="1953"/>
        <v>A68FCB</v>
      </c>
      <c r="V4979">
        <v>0</v>
      </c>
      <c r="W4979">
        <v>0</v>
      </c>
      <c r="X4979">
        <v>2</v>
      </c>
      <c r="Y4979">
        <v>0</v>
      </c>
      <c r="AA4979">
        <v>1</v>
      </c>
      <c r="AB4979">
        <v>8</v>
      </c>
      <c r="AC4979">
        <v>3</v>
      </c>
      <c r="AD4979">
        <v>0</v>
      </c>
      <c r="AE4979">
        <v>9</v>
      </c>
      <c r="AF4979" t="s">
        <v>138</v>
      </c>
      <c r="AG4979">
        <v>0</v>
      </c>
      <c r="AH4979">
        <v>3</v>
      </c>
      <c r="AI4979">
        <v>2</v>
      </c>
      <c r="AJ4979">
        <v>0</v>
      </c>
      <c r="AK4979" t="s">
        <v>1575</v>
      </c>
      <c r="AL4979">
        <v>39.235632000000003</v>
      </c>
      <c r="AM4979" t="s">
        <v>1576</v>
      </c>
      <c r="AN4979">
        <v>-121.00820299999999</v>
      </c>
      <c r="AO4979">
        <v>25</v>
      </c>
      <c r="AP4979">
        <v>4000</v>
      </c>
      <c r="AQ4979" t="s">
        <v>131</v>
      </c>
      <c r="AR4979">
        <v>-109</v>
      </c>
      <c r="AS4979">
        <v>5</v>
      </c>
      <c r="AT4979">
        <v>-128</v>
      </c>
      <c r="BB4979" t="str">
        <f t="shared" si="1954"/>
        <v>1200</v>
      </c>
      <c r="BC4979">
        <v>1</v>
      </c>
      <c r="BD4979" t="str">
        <f t="shared" si="1955"/>
        <v xml:space="preserve">N52156  </v>
      </c>
      <c r="BE4979">
        <v>1</v>
      </c>
      <c r="BG4979">
        <v>0</v>
      </c>
      <c r="BH4979">
        <v>0</v>
      </c>
      <c r="BI4979">
        <v>0</v>
      </c>
      <c r="BJ4979">
        <v>4025</v>
      </c>
      <c r="BK4979">
        <v>25</v>
      </c>
      <c r="BL4979" t="s">
        <v>188</v>
      </c>
      <c r="BM4979">
        <v>1</v>
      </c>
      <c r="BN4979">
        <v>1</v>
      </c>
      <c r="BO4979">
        <v>0</v>
      </c>
      <c r="BP4979">
        <v>0</v>
      </c>
      <c r="BS4979">
        <v>0</v>
      </c>
      <c r="BT4979">
        <v>0</v>
      </c>
      <c r="BU4979">
        <v>0</v>
      </c>
      <c r="CE4979" t="str">
        <f t="shared" si="1971"/>
        <v>15:18:21.515</v>
      </c>
      <c r="CF4979">
        <v>514760773</v>
      </c>
      <c r="CS4979">
        <v>0</v>
      </c>
      <c r="CT4979">
        <v>2</v>
      </c>
      <c r="CU4979">
        <v>0</v>
      </c>
      <c r="CV4979">
        <v>2</v>
      </c>
      <c r="CW4979">
        <v>0</v>
      </c>
      <c r="CX4979">
        <v>3</v>
      </c>
      <c r="CY4979">
        <v>7</v>
      </c>
      <c r="CZ4979" t="s">
        <v>133</v>
      </c>
      <c r="DA4979">
        <v>275</v>
      </c>
      <c r="DB4979">
        <v>0</v>
      </c>
      <c r="DC4979" t="s">
        <v>134</v>
      </c>
      <c r="DD4979" t="s">
        <v>135</v>
      </c>
      <c r="DG4979">
        <v>3323480</v>
      </c>
      <c r="DI4979">
        <v>1</v>
      </c>
      <c r="DJ4979">
        <v>0</v>
      </c>
      <c r="DK4979">
        <v>1</v>
      </c>
      <c r="DL4979">
        <v>0</v>
      </c>
      <c r="DM4979">
        <v>0</v>
      </c>
      <c r="DN4979">
        <v>0</v>
      </c>
      <c r="DO4979">
        <v>0</v>
      </c>
      <c r="DP4979">
        <v>0</v>
      </c>
      <c r="DQ4979">
        <v>0</v>
      </c>
      <c r="DR4979">
        <v>0</v>
      </c>
      <c r="DS4979">
        <v>0</v>
      </c>
    </row>
    <row r="4980" spans="1:123" x14ac:dyDescent="0.3">
      <c r="A4980" t="str">
        <f>"05/01/2025 15:18:21.787"</f>
        <v>05/01/2025 15:18:21.787</v>
      </c>
      <c r="C4980" t="str">
        <f t="shared" si="1952"/>
        <v>FFDFD3C0</v>
      </c>
      <c r="D4980" t="s">
        <v>145</v>
      </c>
      <c r="E4980" t="str">
        <f>"05"</f>
        <v>05</v>
      </c>
      <c r="H4980">
        <v>47</v>
      </c>
      <c r="I4980" t="s">
        <v>146</v>
      </c>
      <c r="J4980" t="s">
        <v>138</v>
      </c>
      <c r="K4980">
        <v>0</v>
      </c>
      <c r="L4980">
        <v>3</v>
      </c>
      <c r="M4980">
        <v>0</v>
      </c>
      <c r="N4980">
        <v>2</v>
      </c>
      <c r="O4980">
        <v>0</v>
      </c>
      <c r="P4980">
        <v>1</v>
      </c>
      <c r="Q4980">
        <v>0</v>
      </c>
      <c r="R4980" t="s">
        <v>127</v>
      </c>
      <c r="S4980" t="str">
        <f t="shared" si="1970"/>
        <v>15:18:21.000</v>
      </c>
      <c r="T4980" t="str">
        <f t="shared" si="1970"/>
        <v>15:18:21.000</v>
      </c>
      <c r="U4980" t="str">
        <f t="shared" si="1953"/>
        <v>A68FCB</v>
      </c>
      <c r="V4980">
        <v>0</v>
      </c>
      <c r="W4980">
        <v>0</v>
      </c>
      <c r="X4980">
        <v>2</v>
      </c>
      <c r="Y4980">
        <v>0</v>
      </c>
      <c r="AA4980">
        <v>1</v>
      </c>
      <c r="AB4980">
        <v>8</v>
      </c>
      <c r="AC4980">
        <v>3</v>
      </c>
      <c r="AD4980">
        <v>0</v>
      </c>
      <c r="AE4980">
        <v>9</v>
      </c>
      <c r="AF4980" t="s">
        <v>138</v>
      </c>
      <c r="AG4980">
        <v>0</v>
      </c>
      <c r="AH4980">
        <v>3</v>
      </c>
      <c r="AI4980">
        <v>2</v>
      </c>
      <c r="AJ4980">
        <v>0</v>
      </c>
      <c r="AK4980" t="s">
        <v>1575</v>
      </c>
      <c r="AL4980">
        <v>39.235632000000003</v>
      </c>
      <c r="AM4980" t="s">
        <v>1576</v>
      </c>
      <c r="AN4980">
        <v>-121.00820299999999</v>
      </c>
      <c r="AO4980">
        <v>25</v>
      </c>
      <c r="AP4980">
        <v>4000</v>
      </c>
      <c r="AQ4980" t="s">
        <v>131</v>
      </c>
      <c r="AR4980">
        <v>-109</v>
      </c>
      <c r="AS4980">
        <v>5</v>
      </c>
      <c r="AT4980">
        <v>-128</v>
      </c>
      <c r="BB4980" t="str">
        <f t="shared" si="1954"/>
        <v>1200</v>
      </c>
      <c r="BC4980">
        <v>1</v>
      </c>
      <c r="BD4980" t="str">
        <f t="shared" si="1955"/>
        <v xml:space="preserve">N52156  </v>
      </c>
      <c r="BE4980">
        <v>1</v>
      </c>
      <c r="BG4980">
        <v>0</v>
      </c>
      <c r="BH4980">
        <v>0</v>
      </c>
      <c r="BI4980">
        <v>0</v>
      </c>
      <c r="BJ4980">
        <v>4025</v>
      </c>
      <c r="BK4980">
        <v>25</v>
      </c>
      <c r="BL4980" t="s">
        <v>188</v>
      </c>
      <c r="BM4980">
        <v>1</v>
      </c>
      <c r="BN4980">
        <v>1</v>
      </c>
      <c r="BO4980">
        <v>0</v>
      </c>
      <c r="BP4980">
        <v>0</v>
      </c>
      <c r="BS4980">
        <v>0</v>
      </c>
      <c r="BT4980">
        <v>0</v>
      </c>
      <c r="BU4980">
        <v>0</v>
      </c>
      <c r="CE4980" t="str">
        <f t="shared" si="1971"/>
        <v>15:18:21.515</v>
      </c>
      <c r="CF4980">
        <v>514760773</v>
      </c>
      <c r="CS4980">
        <v>0</v>
      </c>
      <c r="CT4980">
        <v>2</v>
      </c>
      <c r="CU4980">
        <v>0</v>
      </c>
      <c r="CV4980">
        <v>2</v>
      </c>
      <c r="CW4980">
        <v>0</v>
      </c>
      <c r="CX4980">
        <v>3</v>
      </c>
      <c r="CY4980">
        <v>7</v>
      </c>
      <c r="CZ4980" t="s">
        <v>133</v>
      </c>
      <c r="DA4980">
        <v>275</v>
      </c>
      <c r="DB4980">
        <v>0</v>
      </c>
      <c r="DC4980" t="s">
        <v>134</v>
      </c>
      <c r="DD4980" t="s">
        <v>135</v>
      </c>
      <c r="DG4980">
        <v>3323480</v>
      </c>
      <c r="DI4980">
        <v>1</v>
      </c>
      <c r="DJ4980">
        <v>0</v>
      </c>
      <c r="DK4980">
        <v>1</v>
      </c>
      <c r="DL4980">
        <v>0</v>
      </c>
      <c r="DM4980">
        <v>0</v>
      </c>
      <c r="DN4980">
        <v>0</v>
      </c>
      <c r="DO4980">
        <v>0</v>
      </c>
      <c r="DP4980">
        <v>0</v>
      </c>
      <c r="DQ4980">
        <v>0</v>
      </c>
      <c r="DR4980">
        <v>0</v>
      </c>
      <c r="DS4980">
        <v>0</v>
      </c>
    </row>
    <row r="4981" spans="1:123" x14ac:dyDescent="0.3">
      <c r="A4981" t="str">
        <f>"05/01/2025 15:18:21.797"</f>
        <v>05/01/2025 15:18:21.797</v>
      </c>
      <c r="C4981" t="str">
        <f t="shared" si="1952"/>
        <v>FFDFD3C0</v>
      </c>
      <c r="D4981" t="s">
        <v>136</v>
      </c>
      <c r="E4981" t="str">
        <f>"20"</f>
        <v>20</v>
      </c>
      <c r="H4981">
        <v>400</v>
      </c>
      <c r="I4981" t="s">
        <v>137</v>
      </c>
      <c r="J4981" t="s">
        <v>138</v>
      </c>
      <c r="K4981">
        <v>0</v>
      </c>
      <c r="L4981">
        <v>3</v>
      </c>
      <c r="M4981">
        <v>0</v>
      </c>
      <c r="N4981">
        <v>2</v>
      </c>
      <c r="O4981">
        <v>0</v>
      </c>
      <c r="P4981">
        <v>1</v>
      </c>
      <c r="Q4981">
        <v>0</v>
      </c>
      <c r="R4981" t="s">
        <v>127</v>
      </c>
      <c r="S4981" t="str">
        <f t="shared" si="1970"/>
        <v>15:18:21.000</v>
      </c>
      <c r="T4981" t="str">
        <f t="shared" si="1970"/>
        <v>15:18:21.000</v>
      </c>
      <c r="U4981" t="str">
        <f t="shared" si="1953"/>
        <v>A68FCB</v>
      </c>
      <c r="V4981">
        <v>0</v>
      </c>
      <c r="W4981">
        <v>0</v>
      </c>
      <c r="X4981">
        <v>2</v>
      </c>
      <c r="Y4981">
        <v>0</v>
      </c>
      <c r="AA4981">
        <v>1</v>
      </c>
      <c r="AB4981">
        <v>8</v>
      </c>
      <c r="AC4981">
        <v>3</v>
      </c>
      <c r="AD4981">
        <v>0</v>
      </c>
      <c r="AE4981">
        <v>9</v>
      </c>
      <c r="AF4981" t="s">
        <v>138</v>
      </c>
      <c r="AG4981">
        <v>0</v>
      </c>
      <c r="AH4981">
        <v>3</v>
      </c>
      <c r="AI4981">
        <v>2</v>
      </c>
      <c r="AJ4981">
        <v>0</v>
      </c>
      <c r="AK4981" t="s">
        <v>1575</v>
      </c>
      <c r="AL4981">
        <v>39.235632000000003</v>
      </c>
      <c r="AM4981" t="s">
        <v>1576</v>
      </c>
      <c r="AN4981">
        <v>-121.00820299999999</v>
      </c>
      <c r="AO4981">
        <v>25</v>
      </c>
      <c r="AP4981">
        <v>4000</v>
      </c>
      <c r="AQ4981" t="s">
        <v>131</v>
      </c>
      <c r="AR4981">
        <v>-109</v>
      </c>
      <c r="AS4981">
        <v>5</v>
      </c>
      <c r="AT4981">
        <v>-128</v>
      </c>
      <c r="BB4981" t="str">
        <f t="shared" si="1954"/>
        <v>1200</v>
      </c>
      <c r="BC4981">
        <v>1</v>
      </c>
      <c r="BD4981" t="str">
        <f t="shared" si="1955"/>
        <v xml:space="preserve">N52156  </v>
      </c>
      <c r="BE4981">
        <v>1</v>
      </c>
      <c r="BG4981">
        <v>0</v>
      </c>
      <c r="BH4981">
        <v>0</v>
      </c>
      <c r="BI4981">
        <v>0</v>
      </c>
      <c r="BJ4981">
        <v>4025</v>
      </c>
      <c r="BK4981">
        <v>25</v>
      </c>
      <c r="BL4981" t="s">
        <v>188</v>
      </c>
      <c r="BM4981">
        <v>1</v>
      </c>
      <c r="BN4981">
        <v>1</v>
      </c>
      <c r="BO4981">
        <v>0</v>
      </c>
      <c r="BP4981">
        <v>0</v>
      </c>
      <c r="BS4981">
        <v>0</v>
      </c>
      <c r="BT4981">
        <v>0</v>
      </c>
      <c r="BU4981">
        <v>0</v>
      </c>
      <c r="CE4981" t="str">
        <f t="shared" si="1971"/>
        <v>15:18:21.515</v>
      </c>
      <c r="CF4981">
        <v>514760773</v>
      </c>
      <c r="CS4981">
        <v>0</v>
      </c>
      <c r="CT4981">
        <v>2</v>
      </c>
      <c r="CU4981">
        <v>0</v>
      </c>
      <c r="CV4981">
        <v>2</v>
      </c>
      <c r="CW4981">
        <v>0</v>
      </c>
      <c r="CX4981">
        <v>3</v>
      </c>
      <c r="CY4981">
        <v>7</v>
      </c>
      <c r="CZ4981" t="s">
        <v>133</v>
      </c>
      <c r="DA4981">
        <v>275</v>
      </c>
      <c r="DB4981">
        <v>0</v>
      </c>
      <c r="DC4981" t="s">
        <v>134</v>
      </c>
      <c r="DD4981" t="s">
        <v>135</v>
      </c>
      <c r="DG4981">
        <v>3323480</v>
      </c>
      <c r="DI4981">
        <v>1</v>
      </c>
      <c r="DJ4981">
        <v>0</v>
      </c>
      <c r="DK4981">
        <v>1</v>
      </c>
      <c r="DL4981">
        <v>0</v>
      </c>
      <c r="DM4981">
        <v>0</v>
      </c>
      <c r="DN4981">
        <v>0</v>
      </c>
      <c r="DO4981">
        <v>0</v>
      </c>
      <c r="DP4981">
        <v>0</v>
      </c>
      <c r="DQ4981">
        <v>0</v>
      </c>
      <c r="DR4981">
        <v>0</v>
      </c>
      <c r="DS4981">
        <v>0</v>
      </c>
    </row>
    <row r="4982" spans="1:123" x14ac:dyDescent="0.3">
      <c r="A4982" t="str">
        <f>"05/01/2025 15:18:22.764"</f>
        <v>05/01/2025 15:18:22.764</v>
      </c>
      <c r="C4982" t="str">
        <f t="shared" si="1952"/>
        <v>FFDFD3C0</v>
      </c>
      <c r="D4982" t="s">
        <v>140</v>
      </c>
      <c r="E4982" t="str">
        <f>"13"</f>
        <v>13</v>
      </c>
      <c r="F4982">
        <v>1019</v>
      </c>
      <c r="G4982" t="s">
        <v>141</v>
      </c>
      <c r="J4982" t="s">
        <v>142</v>
      </c>
      <c r="K4982">
        <v>0</v>
      </c>
      <c r="L4982">
        <v>3</v>
      </c>
      <c r="M4982">
        <v>0</v>
      </c>
      <c r="N4982">
        <v>2</v>
      </c>
      <c r="O4982">
        <v>0</v>
      </c>
      <c r="P4982">
        <v>1</v>
      </c>
      <c r="Q4982">
        <v>0</v>
      </c>
      <c r="R4982" t="s">
        <v>127</v>
      </c>
      <c r="S4982" t="str">
        <f t="shared" ref="S4982:T4987" si="1972">"15:18:22.000"</f>
        <v>15:18:22.000</v>
      </c>
      <c r="T4982" t="str">
        <f t="shared" si="1972"/>
        <v>15:18:22.000</v>
      </c>
      <c r="U4982" t="str">
        <f t="shared" si="1953"/>
        <v>A68FCB</v>
      </c>
      <c r="V4982">
        <v>0</v>
      </c>
      <c r="W4982">
        <v>0</v>
      </c>
      <c r="X4982">
        <v>2</v>
      </c>
      <c r="Y4982">
        <v>0</v>
      </c>
      <c r="AA4982">
        <v>1</v>
      </c>
      <c r="AB4982">
        <v>8</v>
      </c>
      <c r="AC4982">
        <v>3</v>
      </c>
      <c r="AD4982">
        <v>0</v>
      </c>
      <c r="AE4982">
        <v>9</v>
      </c>
      <c r="AF4982" t="s">
        <v>138</v>
      </c>
      <c r="AG4982">
        <v>0</v>
      </c>
      <c r="AH4982">
        <v>3</v>
      </c>
      <c r="AI4982">
        <v>2</v>
      </c>
      <c r="AJ4982">
        <v>0</v>
      </c>
      <c r="AK4982" t="s">
        <v>1577</v>
      </c>
      <c r="AL4982">
        <v>39.235653999999997</v>
      </c>
      <c r="AM4982" t="s">
        <v>1423</v>
      </c>
      <c r="AN4982">
        <v>-121.00886800000001</v>
      </c>
      <c r="AO4982">
        <v>25</v>
      </c>
      <c r="AP4982">
        <v>4000</v>
      </c>
      <c r="AQ4982" t="s">
        <v>131</v>
      </c>
      <c r="AR4982">
        <v>-109</v>
      </c>
      <c r="AS4982">
        <v>0</v>
      </c>
      <c r="AT4982">
        <v>-192</v>
      </c>
      <c r="BB4982" t="str">
        <f t="shared" si="1954"/>
        <v>1200</v>
      </c>
      <c r="BC4982">
        <v>1</v>
      </c>
      <c r="BD4982" t="str">
        <f t="shared" si="1955"/>
        <v xml:space="preserve">N52156  </v>
      </c>
      <c r="BE4982">
        <v>1</v>
      </c>
      <c r="BG4982">
        <v>0</v>
      </c>
      <c r="BH4982">
        <v>0</v>
      </c>
      <c r="BI4982">
        <v>0</v>
      </c>
      <c r="BJ4982">
        <v>4025</v>
      </c>
      <c r="BK4982">
        <v>25</v>
      </c>
      <c r="BL4982" t="s">
        <v>188</v>
      </c>
      <c r="BM4982">
        <v>1</v>
      </c>
      <c r="BN4982">
        <v>1</v>
      </c>
      <c r="BO4982">
        <v>0</v>
      </c>
      <c r="BP4982">
        <v>0</v>
      </c>
      <c r="BS4982">
        <v>0</v>
      </c>
      <c r="BT4982">
        <v>0</v>
      </c>
      <c r="BU4982">
        <v>0</v>
      </c>
      <c r="CE4982" t="str">
        <f t="shared" ref="CE4982:CE4987" si="1973">"15:18:22.539"</f>
        <v>15:18:22.539</v>
      </c>
      <c r="CF4982">
        <v>539260649</v>
      </c>
      <c r="CS4982">
        <v>0</v>
      </c>
      <c r="CT4982">
        <v>2</v>
      </c>
      <c r="CU4982">
        <v>0</v>
      </c>
      <c r="CV4982">
        <v>2</v>
      </c>
      <c r="CW4982">
        <v>0</v>
      </c>
      <c r="CX4982">
        <v>3</v>
      </c>
      <c r="CY4982">
        <v>7</v>
      </c>
      <c r="CZ4982" t="s">
        <v>133</v>
      </c>
      <c r="DA4982">
        <v>275</v>
      </c>
      <c r="DB4982">
        <v>0</v>
      </c>
      <c r="DC4982" t="s">
        <v>134</v>
      </c>
      <c r="DD4982" t="s">
        <v>135</v>
      </c>
      <c r="DG4982">
        <v>3323481</v>
      </c>
      <c r="DI4982">
        <v>1</v>
      </c>
      <c r="DJ4982">
        <v>0</v>
      </c>
      <c r="DK4982">
        <v>0</v>
      </c>
      <c r="DL4982">
        <v>0</v>
      </c>
      <c r="DM4982">
        <v>0</v>
      </c>
      <c r="DN4982">
        <v>0</v>
      </c>
      <c r="DO4982">
        <v>0</v>
      </c>
      <c r="DP4982">
        <v>0</v>
      </c>
      <c r="DQ4982">
        <v>0</v>
      </c>
      <c r="DR4982">
        <v>0</v>
      </c>
      <c r="DS4982">
        <v>0</v>
      </c>
    </row>
    <row r="4983" spans="1:123" x14ac:dyDescent="0.3">
      <c r="A4983" t="str">
        <f>"05/01/2025 15:18:22.767"</f>
        <v>05/01/2025 15:18:22.767</v>
      </c>
      <c r="C4983" t="str">
        <f t="shared" si="1952"/>
        <v>FFDFD3C0</v>
      </c>
      <c r="D4983" t="s">
        <v>124</v>
      </c>
      <c r="E4983" t="str">
        <f>"06"</f>
        <v>06</v>
      </c>
      <c r="F4983">
        <v>2006</v>
      </c>
      <c r="G4983" t="s">
        <v>125</v>
      </c>
      <c r="J4983" t="s">
        <v>126</v>
      </c>
      <c r="K4983">
        <v>0</v>
      </c>
      <c r="L4983">
        <v>3</v>
      </c>
      <c r="M4983">
        <v>0</v>
      </c>
      <c r="N4983">
        <v>2</v>
      </c>
      <c r="O4983">
        <v>0</v>
      </c>
      <c r="P4983">
        <v>1</v>
      </c>
      <c r="Q4983">
        <v>0</v>
      </c>
      <c r="R4983" t="s">
        <v>127</v>
      </c>
      <c r="S4983" t="str">
        <f t="shared" si="1972"/>
        <v>15:18:22.000</v>
      </c>
      <c r="T4983" t="str">
        <f t="shared" si="1972"/>
        <v>15:18:22.000</v>
      </c>
      <c r="U4983" t="str">
        <f t="shared" si="1953"/>
        <v>A68FCB</v>
      </c>
      <c r="V4983">
        <v>0</v>
      </c>
      <c r="W4983">
        <v>0</v>
      </c>
      <c r="X4983">
        <v>2</v>
      </c>
      <c r="Y4983">
        <v>0</v>
      </c>
      <c r="AA4983">
        <v>1</v>
      </c>
      <c r="AB4983">
        <v>8</v>
      </c>
      <c r="AC4983">
        <v>3</v>
      </c>
      <c r="AD4983">
        <v>0</v>
      </c>
      <c r="AE4983">
        <v>9</v>
      </c>
      <c r="AF4983" t="s">
        <v>138</v>
      </c>
      <c r="AG4983">
        <v>0</v>
      </c>
      <c r="AH4983">
        <v>3</v>
      </c>
      <c r="AI4983">
        <v>2</v>
      </c>
      <c r="AJ4983">
        <v>0</v>
      </c>
      <c r="AK4983" t="s">
        <v>1577</v>
      </c>
      <c r="AL4983">
        <v>39.235653999999997</v>
      </c>
      <c r="AM4983" t="s">
        <v>1423</v>
      </c>
      <c r="AN4983">
        <v>-121.00886800000001</v>
      </c>
      <c r="AO4983">
        <v>25</v>
      </c>
      <c r="AP4983">
        <v>4000</v>
      </c>
      <c r="AQ4983" t="s">
        <v>131</v>
      </c>
      <c r="AR4983">
        <v>-109</v>
      </c>
      <c r="AS4983">
        <v>0</v>
      </c>
      <c r="AT4983">
        <v>-192</v>
      </c>
      <c r="BB4983" t="str">
        <f t="shared" si="1954"/>
        <v>1200</v>
      </c>
      <c r="BC4983">
        <v>1</v>
      </c>
      <c r="BD4983" t="str">
        <f t="shared" si="1955"/>
        <v xml:space="preserve">N52156  </v>
      </c>
      <c r="BE4983">
        <v>1</v>
      </c>
      <c r="BG4983">
        <v>0</v>
      </c>
      <c r="BH4983">
        <v>0</v>
      </c>
      <c r="BI4983">
        <v>0</v>
      </c>
      <c r="BJ4983">
        <v>4025</v>
      </c>
      <c r="BK4983">
        <v>25</v>
      </c>
      <c r="BL4983" t="s">
        <v>188</v>
      </c>
      <c r="BM4983">
        <v>1</v>
      </c>
      <c r="BN4983">
        <v>1</v>
      </c>
      <c r="BO4983">
        <v>0</v>
      </c>
      <c r="BP4983">
        <v>0</v>
      </c>
      <c r="BS4983">
        <v>0</v>
      </c>
      <c r="BT4983">
        <v>0</v>
      </c>
      <c r="BU4983">
        <v>0</v>
      </c>
      <c r="CE4983" t="str">
        <f t="shared" si="1973"/>
        <v>15:18:22.539</v>
      </c>
      <c r="CF4983">
        <v>539260649</v>
      </c>
      <c r="CS4983">
        <v>0</v>
      </c>
      <c r="CT4983">
        <v>2</v>
      </c>
      <c r="CU4983">
        <v>0</v>
      </c>
      <c r="CV4983">
        <v>2</v>
      </c>
      <c r="CW4983">
        <v>0</v>
      </c>
      <c r="CX4983">
        <v>3</v>
      </c>
      <c r="CY4983">
        <v>7</v>
      </c>
      <c r="CZ4983" t="s">
        <v>133</v>
      </c>
      <c r="DA4983">
        <v>275</v>
      </c>
      <c r="DB4983">
        <v>0</v>
      </c>
      <c r="DC4983" t="s">
        <v>134</v>
      </c>
      <c r="DD4983" t="s">
        <v>135</v>
      </c>
      <c r="DG4983">
        <v>3323481</v>
      </c>
      <c r="DI4983">
        <v>1</v>
      </c>
      <c r="DJ4983">
        <v>0</v>
      </c>
      <c r="DK4983">
        <v>1</v>
      </c>
      <c r="DL4983">
        <v>0</v>
      </c>
      <c r="DM4983">
        <v>0</v>
      </c>
      <c r="DN4983">
        <v>0</v>
      </c>
      <c r="DO4983">
        <v>0</v>
      </c>
      <c r="DP4983">
        <v>0</v>
      </c>
      <c r="DQ4983">
        <v>0</v>
      </c>
      <c r="DR4983">
        <v>0</v>
      </c>
      <c r="DS4983">
        <v>0</v>
      </c>
    </row>
    <row r="4984" spans="1:123" x14ac:dyDescent="0.3">
      <c r="A4984" t="str">
        <f>"05/01/2025 15:18:22.775"</f>
        <v>05/01/2025 15:18:22.775</v>
      </c>
      <c r="C4984" t="str">
        <f t="shared" si="1952"/>
        <v>FFDFD3C0</v>
      </c>
      <c r="D4984" t="s">
        <v>143</v>
      </c>
      <c r="E4984" t="str">
        <f>"05"</f>
        <v>05</v>
      </c>
      <c r="H4984">
        <v>172</v>
      </c>
      <c r="I4984" t="s">
        <v>141</v>
      </c>
      <c r="J4984" t="s">
        <v>144</v>
      </c>
      <c r="K4984">
        <v>0</v>
      </c>
      <c r="L4984">
        <v>3</v>
      </c>
      <c r="M4984">
        <v>0</v>
      </c>
      <c r="N4984">
        <v>2</v>
      </c>
      <c r="O4984">
        <v>0</v>
      </c>
      <c r="P4984">
        <v>1</v>
      </c>
      <c r="Q4984">
        <v>0</v>
      </c>
      <c r="R4984" t="s">
        <v>127</v>
      </c>
      <c r="S4984" t="str">
        <f t="shared" si="1972"/>
        <v>15:18:22.000</v>
      </c>
      <c r="T4984" t="str">
        <f t="shared" si="1972"/>
        <v>15:18:22.000</v>
      </c>
      <c r="U4984" t="str">
        <f t="shared" si="1953"/>
        <v>A68FCB</v>
      </c>
      <c r="V4984">
        <v>0</v>
      </c>
      <c r="W4984">
        <v>0</v>
      </c>
      <c r="X4984">
        <v>2</v>
      </c>
      <c r="Y4984">
        <v>0</v>
      </c>
      <c r="AA4984">
        <v>1</v>
      </c>
      <c r="AB4984">
        <v>8</v>
      </c>
      <c r="AC4984">
        <v>3</v>
      </c>
      <c r="AD4984">
        <v>0</v>
      </c>
      <c r="AE4984">
        <v>9</v>
      </c>
      <c r="AF4984" t="s">
        <v>138</v>
      </c>
      <c r="AG4984">
        <v>0</v>
      </c>
      <c r="AH4984">
        <v>3</v>
      </c>
      <c r="AI4984">
        <v>2</v>
      </c>
      <c r="AJ4984">
        <v>0</v>
      </c>
      <c r="AK4984" t="s">
        <v>1577</v>
      </c>
      <c r="AL4984">
        <v>39.235653999999997</v>
      </c>
      <c r="AM4984" t="s">
        <v>1423</v>
      </c>
      <c r="AN4984">
        <v>-121.00886800000001</v>
      </c>
      <c r="AO4984">
        <v>25</v>
      </c>
      <c r="AP4984">
        <v>4000</v>
      </c>
      <c r="AQ4984" t="s">
        <v>131</v>
      </c>
      <c r="AR4984">
        <v>-109</v>
      </c>
      <c r="AS4984">
        <v>0</v>
      </c>
      <c r="AT4984">
        <v>-192</v>
      </c>
      <c r="BB4984" t="str">
        <f t="shared" si="1954"/>
        <v>1200</v>
      </c>
      <c r="BC4984">
        <v>1</v>
      </c>
      <c r="BD4984" t="str">
        <f t="shared" si="1955"/>
        <v xml:space="preserve">N52156  </v>
      </c>
      <c r="BE4984">
        <v>1</v>
      </c>
      <c r="BG4984">
        <v>0</v>
      </c>
      <c r="BH4984">
        <v>0</v>
      </c>
      <c r="BI4984">
        <v>0</v>
      </c>
      <c r="BJ4984">
        <v>4025</v>
      </c>
      <c r="BK4984">
        <v>25</v>
      </c>
      <c r="BL4984" t="s">
        <v>188</v>
      </c>
      <c r="BM4984">
        <v>1</v>
      </c>
      <c r="BN4984">
        <v>1</v>
      </c>
      <c r="BO4984">
        <v>0</v>
      </c>
      <c r="BP4984">
        <v>0</v>
      </c>
      <c r="BS4984">
        <v>0</v>
      </c>
      <c r="BT4984">
        <v>0</v>
      </c>
      <c r="BU4984">
        <v>0</v>
      </c>
      <c r="CE4984" t="str">
        <f t="shared" si="1973"/>
        <v>15:18:22.539</v>
      </c>
      <c r="CF4984">
        <v>539260649</v>
      </c>
      <c r="CS4984">
        <v>0</v>
      </c>
      <c r="CT4984">
        <v>2</v>
      </c>
      <c r="CU4984">
        <v>0</v>
      </c>
      <c r="CV4984">
        <v>2</v>
      </c>
      <c r="CW4984">
        <v>0</v>
      </c>
      <c r="CX4984">
        <v>3</v>
      </c>
      <c r="CY4984">
        <v>7</v>
      </c>
      <c r="CZ4984" t="s">
        <v>133</v>
      </c>
      <c r="DA4984">
        <v>275</v>
      </c>
      <c r="DB4984">
        <v>0</v>
      </c>
      <c r="DC4984" t="s">
        <v>134</v>
      </c>
      <c r="DD4984" t="s">
        <v>135</v>
      </c>
      <c r="DG4984">
        <v>3323481</v>
      </c>
      <c r="DI4984">
        <v>1</v>
      </c>
      <c r="DJ4984">
        <v>0</v>
      </c>
      <c r="DK4984">
        <v>1</v>
      </c>
      <c r="DL4984">
        <v>0</v>
      </c>
      <c r="DM4984">
        <v>0</v>
      </c>
      <c r="DN4984">
        <v>0</v>
      </c>
      <c r="DO4984">
        <v>0</v>
      </c>
      <c r="DP4984">
        <v>0</v>
      </c>
      <c r="DQ4984">
        <v>0</v>
      </c>
      <c r="DR4984">
        <v>0</v>
      </c>
      <c r="DS4984">
        <v>0</v>
      </c>
    </row>
    <row r="4985" spans="1:123" x14ac:dyDescent="0.3">
      <c r="A4985" t="str">
        <f>"05/01/2025 15:18:22.789"</f>
        <v>05/01/2025 15:18:22.789</v>
      </c>
      <c r="C4985" t="str">
        <f t="shared" si="1952"/>
        <v>FFDFD3C0</v>
      </c>
      <c r="D4985" t="s">
        <v>145</v>
      </c>
      <c r="E4985" t="str">
        <f>"05"</f>
        <v>05</v>
      </c>
      <c r="H4985">
        <v>47</v>
      </c>
      <c r="I4985" t="s">
        <v>146</v>
      </c>
      <c r="J4985" t="s">
        <v>138</v>
      </c>
      <c r="K4985">
        <v>0</v>
      </c>
      <c r="L4985">
        <v>3</v>
      </c>
      <c r="M4985">
        <v>0</v>
      </c>
      <c r="N4985">
        <v>2</v>
      </c>
      <c r="O4985">
        <v>0</v>
      </c>
      <c r="P4985">
        <v>1</v>
      </c>
      <c r="Q4985">
        <v>0</v>
      </c>
      <c r="R4985" t="s">
        <v>127</v>
      </c>
      <c r="S4985" t="str">
        <f t="shared" si="1972"/>
        <v>15:18:22.000</v>
      </c>
      <c r="T4985" t="str">
        <f t="shared" si="1972"/>
        <v>15:18:22.000</v>
      </c>
      <c r="U4985" t="str">
        <f t="shared" si="1953"/>
        <v>A68FCB</v>
      </c>
      <c r="V4985">
        <v>0</v>
      </c>
      <c r="W4985">
        <v>0</v>
      </c>
      <c r="X4985">
        <v>2</v>
      </c>
      <c r="Y4985">
        <v>0</v>
      </c>
      <c r="AA4985">
        <v>1</v>
      </c>
      <c r="AB4985">
        <v>8</v>
      </c>
      <c r="AC4985">
        <v>3</v>
      </c>
      <c r="AD4985">
        <v>0</v>
      </c>
      <c r="AE4985">
        <v>9</v>
      </c>
      <c r="AF4985" t="s">
        <v>138</v>
      </c>
      <c r="AG4985">
        <v>0</v>
      </c>
      <c r="AH4985">
        <v>3</v>
      </c>
      <c r="AI4985">
        <v>2</v>
      </c>
      <c r="AJ4985">
        <v>0</v>
      </c>
      <c r="AK4985" t="s">
        <v>1577</v>
      </c>
      <c r="AL4985">
        <v>39.235653999999997</v>
      </c>
      <c r="AM4985" t="s">
        <v>1423</v>
      </c>
      <c r="AN4985">
        <v>-121.00886800000001</v>
      </c>
      <c r="AO4985">
        <v>25</v>
      </c>
      <c r="AP4985">
        <v>4000</v>
      </c>
      <c r="AQ4985" t="s">
        <v>131</v>
      </c>
      <c r="AR4985">
        <v>-109</v>
      </c>
      <c r="AS4985">
        <v>0</v>
      </c>
      <c r="AT4985">
        <v>-192</v>
      </c>
      <c r="BB4985" t="str">
        <f t="shared" si="1954"/>
        <v>1200</v>
      </c>
      <c r="BC4985">
        <v>1</v>
      </c>
      <c r="BD4985" t="str">
        <f t="shared" si="1955"/>
        <v xml:space="preserve">N52156  </v>
      </c>
      <c r="BE4985">
        <v>1</v>
      </c>
      <c r="BG4985">
        <v>0</v>
      </c>
      <c r="BH4985">
        <v>0</v>
      </c>
      <c r="BI4985">
        <v>0</v>
      </c>
      <c r="BJ4985">
        <v>4025</v>
      </c>
      <c r="BK4985">
        <v>25</v>
      </c>
      <c r="BL4985" t="s">
        <v>188</v>
      </c>
      <c r="BM4985">
        <v>1</v>
      </c>
      <c r="BN4985">
        <v>1</v>
      </c>
      <c r="BO4985">
        <v>0</v>
      </c>
      <c r="BP4985">
        <v>0</v>
      </c>
      <c r="BS4985">
        <v>0</v>
      </c>
      <c r="BT4985">
        <v>0</v>
      </c>
      <c r="BU4985">
        <v>0</v>
      </c>
      <c r="CE4985" t="str">
        <f t="shared" si="1973"/>
        <v>15:18:22.539</v>
      </c>
      <c r="CF4985">
        <v>539260649</v>
      </c>
      <c r="CS4985">
        <v>0</v>
      </c>
      <c r="CT4985">
        <v>2</v>
      </c>
      <c r="CU4985">
        <v>0</v>
      </c>
      <c r="CV4985">
        <v>2</v>
      </c>
      <c r="CW4985">
        <v>0</v>
      </c>
      <c r="CX4985">
        <v>3</v>
      </c>
      <c r="CY4985">
        <v>7</v>
      </c>
      <c r="CZ4985" t="s">
        <v>133</v>
      </c>
      <c r="DA4985">
        <v>275</v>
      </c>
      <c r="DB4985">
        <v>0</v>
      </c>
      <c r="DC4985" t="s">
        <v>134</v>
      </c>
      <c r="DD4985" t="s">
        <v>135</v>
      </c>
      <c r="DG4985">
        <v>3323481</v>
      </c>
      <c r="DI4985">
        <v>1</v>
      </c>
      <c r="DJ4985">
        <v>0</v>
      </c>
      <c r="DK4985">
        <v>1</v>
      </c>
      <c r="DL4985">
        <v>0</v>
      </c>
      <c r="DM4985">
        <v>0</v>
      </c>
      <c r="DN4985">
        <v>0</v>
      </c>
      <c r="DO4985">
        <v>0</v>
      </c>
      <c r="DP4985">
        <v>0</v>
      </c>
      <c r="DQ4985">
        <v>0</v>
      </c>
      <c r="DR4985">
        <v>0</v>
      </c>
      <c r="DS4985">
        <v>0</v>
      </c>
    </row>
    <row r="4986" spans="1:123" x14ac:dyDescent="0.3">
      <c r="A4986" t="str">
        <f>"05/01/2025 15:18:22.788"</f>
        <v>05/01/2025 15:18:22.788</v>
      </c>
      <c r="C4986" t="str">
        <f t="shared" si="1952"/>
        <v>FFDFD3C0</v>
      </c>
      <c r="D4986" t="s">
        <v>145</v>
      </c>
      <c r="E4986" t="str">
        <f>"09"</f>
        <v>09</v>
      </c>
      <c r="H4986">
        <v>51</v>
      </c>
      <c r="I4986" t="s">
        <v>147</v>
      </c>
      <c r="J4986" t="s">
        <v>138</v>
      </c>
      <c r="K4986">
        <v>0</v>
      </c>
      <c r="L4986">
        <v>3</v>
      </c>
      <c r="M4986">
        <v>0</v>
      </c>
      <c r="N4986">
        <v>2</v>
      </c>
      <c r="O4986">
        <v>0</v>
      </c>
      <c r="P4986">
        <v>1</v>
      </c>
      <c r="Q4986">
        <v>0</v>
      </c>
      <c r="R4986" t="s">
        <v>127</v>
      </c>
      <c r="S4986" t="str">
        <f t="shared" si="1972"/>
        <v>15:18:22.000</v>
      </c>
      <c r="T4986" t="str">
        <f t="shared" si="1972"/>
        <v>15:18:22.000</v>
      </c>
      <c r="U4986" t="str">
        <f t="shared" si="1953"/>
        <v>A68FCB</v>
      </c>
      <c r="V4986">
        <v>0</v>
      </c>
      <c r="W4986">
        <v>0</v>
      </c>
      <c r="X4986">
        <v>2</v>
      </c>
      <c r="Y4986">
        <v>0</v>
      </c>
      <c r="AA4986">
        <v>1</v>
      </c>
      <c r="AB4986">
        <v>8</v>
      </c>
      <c r="AC4986">
        <v>3</v>
      </c>
      <c r="AD4986">
        <v>0</v>
      </c>
      <c r="AE4986">
        <v>9</v>
      </c>
      <c r="AF4986" t="s">
        <v>138</v>
      </c>
      <c r="AG4986">
        <v>0</v>
      </c>
      <c r="AH4986">
        <v>3</v>
      </c>
      <c r="AI4986">
        <v>2</v>
      </c>
      <c r="AJ4986">
        <v>0</v>
      </c>
      <c r="AK4986" t="s">
        <v>1577</v>
      </c>
      <c r="AL4986">
        <v>39.235653999999997</v>
      </c>
      <c r="AM4986" t="s">
        <v>1423</v>
      </c>
      <c r="AN4986">
        <v>-121.00886800000001</v>
      </c>
      <c r="AO4986">
        <v>25</v>
      </c>
      <c r="AP4986">
        <v>4000</v>
      </c>
      <c r="AQ4986" t="s">
        <v>131</v>
      </c>
      <c r="AR4986">
        <v>-109</v>
      </c>
      <c r="AS4986">
        <v>0</v>
      </c>
      <c r="AT4986">
        <v>-192</v>
      </c>
      <c r="BB4986" t="str">
        <f t="shared" si="1954"/>
        <v>1200</v>
      </c>
      <c r="BC4986">
        <v>1</v>
      </c>
      <c r="BD4986" t="str">
        <f t="shared" si="1955"/>
        <v xml:space="preserve">N52156  </v>
      </c>
      <c r="BE4986">
        <v>1</v>
      </c>
      <c r="BG4986">
        <v>0</v>
      </c>
      <c r="BH4986">
        <v>0</v>
      </c>
      <c r="BI4986">
        <v>0</v>
      </c>
      <c r="BJ4986">
        <v>4025</v>
      </c>
      <c r="BK4986">
        <v>25</v>
      </c>
      <c r="BL4986" t="s">
        <v>188</v>
      </c>
      <c r="BM4986">
        <v>1</v>
      </c>
      <c r="BN4986">
        <v>1</v>
      </c>
      <c r="BO4986">
        <v>0</v>
      </c>
      <c r="BP4986">
        <v>0</v>
      </c>
      <c r="BS4986">
        <v>0</v>
      </c>
      <c r="BT4986">
        <v>0</v>
      </c>
      <c r="BU4986">
        <v>0</v>
      </c>
      <c r="CE4986" t="str">
        <f t="shared" si="1973"/>
        <v>15:18:22.539</v>
      </c>
      <c r="CF4986">
        <v>539260649</v>
      </c>
      <c r="CS4986">
        <v>0</v>
      </c>
      <c r="CT4986">
        <v>2</v>
      </c>
      <c r="CU4986">
        <v>0</v>
      </c>
      <c r="CV4986">
        <v>2</v>
      </c>
      <c r="CW4986">
        <v>0</v>
      </c>
      <c r="CX4986">
        <v>3</v>
      </c>
      <c r="CY4986">
        <v>7</v>
      </c>
      <c r="CZ4986" t="s">
        <v>133</v>
      </c>
      <c r="DA4986">
        <v>275</v>
      </c>
      <c r="DB4986">
        <v>0</v>
      </c>
      <c r="DC4986" t="s">
        <v>134</v>
      </c>
      <c r="DD4986" t="s">
        <v>135</v>
      </c>
      <c r="DG4986">
        <v>3323481</v>
      </c>
      <c r="DI4986">
        <v>1</v>
      </c>
      <c r="DJ4986">
        <v>0</v>
      </c>
      <c r="DK4986">
        <v>1</v>
      </c>
      <c r="DL4986">
        <v>0</v>
      </c>
      <c r="DM4986">
        <v>0</v>
      </c>
      <c r="DN4986">
        <v>0</v>
      </c>
      <c r="DO4986">
        <v>0</v>
      </c>
      <c r="DP4986">
        <v>0</v>
      </c>
      <c r="DQ4986">
        <v>0</v>
      </c>
      <c r="DR4986">
        <v>0</v>
      </c>
      <c r="DS4986">
        <v>0</v>
      </c>
    </row>
    <row r="4987" spans="1:123" x14ac:dyDescent="0.3">
      <c r="A4987" t="str">
        <f>"05/01/2025 15:18:22.799"</f>
        <v>05/01/2025 15:18:22.799</v>
      </c>
      <c r="C4987" t="str">
        <f t="shared" si="1952"/>
        <v>FFDFD3C0</v>
      </c>
      <c r="D4987" t="s">
        <v>136</v>
      </c>
      <c r="E4987" t="str">
        <f>"20"</f>
        <v>20</v>
      </c>
      <c r="H4987">
        <v>400</v>
      </c>
      <c r="I4987" t="s">
        <v>137</v>
      </c>
      <c r="J4987" t="s">
        <v>138</v>
      </c>
      <c r="K4987">
        <v>0</v>
      </c>
      <c r="L4987">
        <v>3</v>
      </c>
      <c r="M4987">
        <v>0</v>
      </c>
      <c r="N4987">
        <v>2</v>
      </c>
      <c r="O4987">
        <v>0</v>
      </c>
      <c r="P4987">
        <v>1</v>
      </c>
      <c r="Q4987">
        <v>0</v>
      </c>
      <c r="R4987" t="s">
        <v>127</v>
      </c>
      <c r="S4987" t="str">
        <f t="shared" si="1972"/>
        <v>15:18:22.000</v>
      </c>
      <c r="T4987" t="str">
        <f t="shared" si="1972"/>
        <v>15:18:22.000</v>
      </c>
      <c r="U4987" t="str">
        <f t="shared" si="1953"/>
        <v>A68FCB</v>
      </c>
      <c r="V4987">
        <v>0</v>
      </c>
      <c r="W4987">
        <v>0</v>
      </c>
      <c r="X4987">
        <v>2</v>
      </c>
      <c r="Y4987">
        <v>0</v>
      </c>
      <c r="AA4987">
        <v>1</v>
      </c>
      <c r="AB4987">
        <v>8</v>
      </c>
      <c r="AC4987">
        <v>3</v>
      </c>
      <c r="AD4987">
        <v>0</v>
      </c>
      <c r="AE4987">
        <v>9</v>
      </c>
      <c r="AF4987" t="s">
        <v>138</v>
      </c>
      <c r="AG4987">
        <v>0</v>
      </c>
      <c r="AH4987">
        <v>3</v>
      </c>
      <c r="AI4987">
        <v>2</v>
      </c>
      <c r="AJ4987">
        <v>0</v>
      </c>
      <c r="AK4987" t="s">
        <v>1577</v>
      </c>
      <c r="AL4987">
        <v>39.235653999999997</v>
      </c>
      <c r="AM4987" t="s">
        <v>1423</v>
      </c>
      <c r="AN4987">
        <v>-121.00886800000001</v>
      </c>
      <c r="AO4987">
        <v>25</v>
      </c>
      <c r="AP4987">
        <v>4000</v>
      </c>
      <c r="AQ4987" t="s">
        <v>131</v>
      </c>
      <c r="AR4987">
        <v>-109</v>
      </c>
      <c r="AS4987">
        <v>0</v>
      </c>
      <c r="AT4987">
        <v>-192</v>
      </c>
      <c r="BB4987" t="str">
        <f t="shared" si="1954"/>
        <v>1200</v>
      </c>
      <c r="BC4987">
        <v>1</v>
      </c>
      <c r="BD4987" t="str">
        <f t="shared" si="1955"/>
        <v xml:space="preserve">N52156  </v>
      </c>
      <c r="BE4987">
        <v>1</v>
      </c>
      <c r="BG4987">
        <v>0</v>
      </c>
      <c r="BH4987">
        <v>0</v>
      </c>
      <c r="BI4987">
        <v>0</v>
      </c>
      <c r="BJ4987">
        <v>4025</v>
      </c>
      <c r="BK4987">
        <v>25</v>
      </c>
      <c r="BL4987" t="s">
        <v>188</v>
      </c>
      <c r="BM4987">
        <v>1</v>
      </c>
      <c r="BN4987">
        <v>1</v>
      </c>
      <c r="BO4987">
        <v>0</v>
      </c>
      <c r="BP4987">
        <v>0</v>
      </c>
      <c r="BS4987">
        <v>0</v>
      </c>
      <c r="BT4987">
        <v>0</v>
      </c>
      <c r="BU4987">
        <v>0</v>
      </c>
      <c r="CE4987" t="str">
        <f t="shared" si="1973"/>
        <v>15:18:22.539</v>
      </c>
      <c r="CF4987">
        <v>539260649</v>
      </c>
      <c r="CS4987">
        <v>0</v>
      </c>
      <c r="CT4987">
        <v>2</v>
      </c>
      <c r="CU4987">
        <v>0</v>
      </c>
      <c r="CV4987">
        <v>2</v>
      </c>
      <c r="CW4987">
        <v>0</v>
      </c>
      <c r="CX4987">
        <v>3</v>
      </c>
      <c r="CY4987">
        <v>7</v>
      </c>
      <c r="CZ4987" t="s">
        <v>133</v>
      </c>
      <c r="DA4987">
        <v>275</v>
      </c>
      <c r="DB4987">
        <v>0</v>
      </c>
      <c r="DC4987" t="s">
        <v>134</v>
      </c>
      <c r="DD4987" t="s">
        <v>135</v>
      </c>
      <c r="DG4987">
        <v>3323481</v>
      </c>
      <c r="DI4987">
        <v>1</v>
      </c>
      <c r="DJ4987">
        <v>0</v>
      </c>
      <c r="DK4987">
        <v>1</v>
      </c>
      <c r="DL4987">
        <v>0</v>
      </c>
      <c r="DM4987">
        <v>0</v>
      </c>
      <c r="DN4987">
        <v>0</v>
      </c>
      <c r="DO4987">
        <v>0</v>
      </c>
      <c r="DP4987">
        <v>0</v>
      </c>
      <c r="DQ4987">
        <v>0</v>
      </c>
      <c r="DR4987">
        <v>0</v>
      </c>
      <c r="DS4987">
        <v>0</v>
      </c>
    </row>
    <row r="4988" spans="1:123" x14ac:dyDescent="0.3">
      <c r="A4988" t="str">
        <f>"05/01/2025 15:18:23.927"</f>
        <v>05/01/2025 15:18:23.927</v>
      </c>
      <c r="C4988" t="str">
        <f t="shared" si="1952"/>
        <v>FFDFD3C0</v>
      </c>
      <c r="D4988" t="s">
        <v>143</v>
      </c>
      <c r="E4988" t="str">
        <f>"05"</f>
        <v>05</v>
      </c>
      <c r="H4988">
        <v>172</v>
      </c>
      <c r="I4988" t="s">
        <v>141</v>
      </c>
      <c r="J4988" t="s">
        <v>144</v>
      </c>
      <c r="K4988">
        <v>0</v>
      </c>
      <c r="L4988">
        <v>3</v>
      </c>
      <c r="M4988">
        <v>0</v>
      </c>
      <c r="N4988">
        <v>2</v>
      </c>
      <c r="O4988">
        <v>0</v>
      </c>
      <c r="P4988">
        <v>1</v>
      </c>
      <c r="Q4988">
        <v>0</v>
      </c>
      <c r="R4988" t="s">
        <v>127</v>
      </c>
      <c r="S4988" t="str">
        <f t="shared" ref="S4988:T4993" si="1974">"15:18:23.000"</f>
        <v>15:18:23.000</v>
      </c>
      <c r="T4988" t="str">
        <f t="shared" si="1974"/>
        <v>15:18:23.000</v>
      </c>
      <c r="U4988" t="str">
        <f t="shared" si="1953"/>
        <v>A68FCB</v>
      </c>
      <c r="V4988">
        <v>0</v>
      </c>
      <c r="W4988">
        <v>0</v>
      </c>
      <c r="X4988">
        <v>2</v>
      </c>
      <c r="Y4988">
        <v>0</v>
      </c>
      <c r="AA4988">
        <v>1</v>
      </c>
      <c r="AB4988">
        <v>8</v>
      </c>
      <c r="AC4988">
        <v>3</v>
      </c>
      <c r="AD4988">
        <v>0</v>
      </c>
      <c r="AE4988">
        <v>9</v>
      </c>
      <c r="AF4988" t="s">
        <v>138</v>
      </c>
      <c r="AG4988">
        <v>0</v>
      </c>
      <c r="AH4988">
        <v>3</v>
      </c>
      <c r="AI4988">
        <v>2</v>
      </c>
      <c r="AJ4988">
        <v>0</v>
      </c>
      <c r="AK4988" t="s">
        <v>1578</v>
      </c>
      <c r="AL4988">
        <v>39.235675000000001</v>
      </c>
      <c r="AM4988" t="s">
        <v>1579</v>
      </c>
      <c r="AN4988">
        <v>-121.009533</v>
      </c>
      <c r="AO4988">
        <v>25</v>
      </c>
      <c r="AP4988">
        <v>4000</v>
      </c>
      <c r="AQ4988" t="s">
        <v>131</v>
      </c>
      <c r="AR4988">
        <v>-108</v>
      </c>
      <c r="AS4988">
        <v>-5</v>
      </c>
      <c r="AT4988">
        <v>-256</v>
      </c>
      <c r="BB4988" t="str">
        <f t="shared" si="1954"/>
        <v>1200</v>
      </c>
      <c r="BC4988">
        <v>1</v>
      </c>
      <c r="BD4988" t="str">
        <f t="shared" si="1955"/>
        <v xml:space="preserve">N52156  </v>
      </c>
      <c r="BE4988">
        <v>1</v>
      </c>
      <c r="BG4988">
        <v>0</v>
      </c>
      <c r="BH4988">
        <v>0</v>
      </c>
      <c r="BI4988">
        <v>0</v>
      </c>
      <c r="BJ4988">
        <v>4025</v>
      </c>
      <c r="BK4988">
        <v>25</v>
      </c>
      <c r="BL4988" t="s">
        <v>188</v>
      </c>
      <c r="BM4988">
        <v>1</v>
      </c>
      <c r="BN4988">
        <v>1</v>
      </c>
      <c r="BO4988">
        <v>0</v>
      </c>
      <c r="BP4988">
        <v>0</v>
      </c>
      <c r="BS4988">
        <v>0</v>
      </c>
      <c r="BT4988">
        <v>0</v>
      </c>
      <c r="BU4988">
        <v>0</v>
      </c>
      <c r="CE4988" t="str">
        <f t="shared" ref="CE4988:CE4993" si="1975">"15:18:23.724"</f>
        <v>15:18:23.724</v>
      </c>
      <c r="CF4988">
        <v>724010941</v>
      </c>
      <c r="CS4988">
        <v>0</v>
      </c>
      <c r="CT4988">
        <v>2</v>
      </c>
      <c r="CU4988">
        <v>0</v>
      </c>
      <c r="CV4988">
        <v>2</v>
      </c>
      <c r="CW4988">
        <v>0</v>
      </c>
      <c r="CX4988">
        <v>3</v>
      </c>
      <c r="CY4988">
        <v>7</v>
      </c>
      <c r="CZ4988" t="s">
        <v>133</v>
      </c>
      <c r="DA4988">
        <v>275</v>
      </c>
      <c r="DB4988">
        <v>0</v>
      </c>
      <c r="DC4988" t="s">
        <v>134</v>
      </c>
      <c r="DD4988" t="s">
        <v>135</v>
      </c>
      <c r="DG4988">
        <v>3323486</v>
      </c>
      <c r="DI4988">
        <v>1</v>
      </c>
      <c r="DJ4988">
        <v>0</v>
      </c>
      <c r="DK4988">
        <v>0</v>
      </c>
      <c r="DL4988">
        <v>0</v>
      </c>
      <c r="DM4988">
        <v>0</v>
      </c>
      <c r="DN4988">
        <v>0</v>
      </c>
      <c r="DO4988">
        <v>0</v>
      </c>
      <c r="DP4988">
        <v>0</v>
      </c>
      <c r="DQ4988">
        <v>0</v>
      </c>
      <c r="DR4988">
        <v>0</v>
      </c>
      <c r="DS4988">
        <v>0</v>
      </c>
    </row>
    <row r="4989" spans="1:123" x14ac:dyDescent="0.3">
      <c r="A4989" t="str">
        <f>"05/01/2025 15:18:23.940"</f>
        <v>05/01/2025 15:18:23.940</v>
      </c>
      <c r="C4989" t="str">
        <f t="shared" si="1952"/>
        <v>FFDFD3C0</v>
      </c>
      <c r="D4989" t="s">
        <v>145</v>
      </c>
      <c r="E4989" t="str">
        <f>"09"</f>
        <v>09</v>
      </c>
      <c r="H4989">
        <v>51</v>
      </c>
      <c r="I4989" t="s">
        <v>147</v>
      </c>
      <c r="J4989" t="s">
        <v>138</v>
      </c>
      <c r="K4989">
        <v>0</v>
      </c>
      <c r="L4989">
        <v>3</v>
      </c>
      <c r="M4989">
        <v>0</v>
      </c>
      <c r="N4989">
        <v>2</v>
      </c>
      <c r="O4989">
        <v>0</v>
      </c>
      <c r="P4989">
        <v>1</v>
      </c>
      <c r="Q4989">
        <v>0</v>
      </c>
      <c r="R4989" t="s">
        <v>127</v>
      </c>
      <c r="S4989" t="str">
        <f t="shared" si="1974"/>
        <v>15:18:23.000</v>
      </c>
      <c r="T4989" t="str">
        <f t="shared" si="1974"/>
        <v>15:18:23.000</v>
      </c>
      <c r="U4989" t="str">
        <f t="shared" si="1953"/>
        <v>A68FCB</v>
      </c>
      <c r="V4989">
        <v>0</v>
      </c>
      <c r="W4989">
        <v>0</v>
      </c>
      <c r="X4989">
        <v>2</v>
      </c>
      <c r="Y4989">
        <v>0</v>
      </c>
      <c r="AA4989">
        <v>1</v>
      </c>
      <c r="AB4989">
        <v>8</v>
      </c>
      <c r="AC4989">
        <v>3</v>
      </c>
      <c r="AD4989">
        <v>0</v>
      </c>
      <c r="AE4989">
        <v>9</v>
      </c>
      <c r="AF4989" t="s">
        <v>138</v>
      </c>
      <c r="AG4989">
        <v>0</v>
      </c>
      <c r="AH4989">
        <v>3</v>
      </c>
      <c r="AI4989">
        <v>2</v>
      </c>
      <c r="AJ4989">
        <v>0</v>
      </c>
      <c r="AK4989" t="s">
        <v>1578</v>
      </c>
      <c r="AL4989">
        <v>39.235675000000001</v>
      </c>
      <c r="AM4989" t="s">
        <v>1579</v>
      </c>
      <c r="AN4989">
        <v>-121.009533</v>
      </c>
      <c r="AO4989">
        <v>25</v>
      </c>
      <c r="AP4989">
        <v>4000</v>
      </c>
      <c r="AQ4989" t="s">
        <v>131</v>
      </c>
      <c r="AR4989">
        <v>-108</v>
      </c>
      <c r="AS4989">
        <v>-5</v>
      </c>
      <c r="AT4989">
        <v>-256</v>
      </c>
      <c r="BB4989" t="str">
        <f t="shared" si="1954"/>
        <v>1200</v>
      </c>
      <c r="BC4989">
        <v>1</v>
      </c>
      <c r="BD4989" t="str">
        <f t="shared" si="1955"/>
        <v xml:space="preserve">N52156  </v>
      </c>
      <c r="BE4989">
        <v>1</v>
      </c>
      <c r="BG4989">
        <v>0</v>
      </c>
      <c r="BH4989">
        <v>0</v>
      </c>
      <c r="BI4989">
        <v>0</v>
      </c>
      <c r="BJ4989">
        <v>4025</v>
      </c>
      <c r="BK4989">
        <v>25</v>
      </c>
      <c r="BL4989" t="s">
        <v>188</v>
      </c>
      <c r="BM4989">
        <v>1</v>
      </c>
      <c r="BN4989">
        <v>1</v>
      </c>
      <c r="BO4989">
        <v>0</v>
      </c>
      <c r="BP4989">
        <v>0</v>
      </c>
      <c r="BS4989">
        <v>0</v>
      </c>
      <c r="BT4989">
        <v>0</v>
      </c>
      <c r="BU4989">
        <v>0</v>
      </c>
      <c r="CE4989" t="str">
        <f t="shared" si="1975"/>
        <v>15:18:23.724</v>
      </c>
      <c r="CF4989">
        <v>724010941</v>
      </c>
      <c r="CS4989">
        <v>0</v>
      </c>
      <c r="CT4989">
        <v>2</v>
      </c>
      <c r="CU4989">
        <v>0</v>
      </c>
      <c r="CV4989">
        <v>2</v>
      </c>
      <c r="CW4989">
        <v>0</v>
      </c>
      <c r="CX4989">
        <v>3</v>
      </c>
      <c r="CY4989">
        <v>7</v>
      </c>
      <c r="CZ4989" t="s">
        <v>133</v>
      </c>
      <c r="DA4989">
        <v>275</v>
      </c>
      <c r="DB4989">
        <v>0</v>
      </c>
      <c r="DC4989" t="s">
        <v>134</v>
      </c>
      <c r="DD4989" t="s">
        <v>135</v>
      </c>
      <c r="DG4989">
        <v>3323486</v>
      </c>
      <c r="DI4989">
        <v>1</v>
      </c>
      <c r="DJ4989">
        <v>0</v>
      </c>
      <c r="DK4989">
        <v>1</v>
      </c>
      <c r="DL4989">
        <v>0</v>
      </c>
      <c r="DM4989">
        <v>0</v>
      </c>
      <c r="DN4989">
        <v>0</v>
      </c>
      <c r="DO4989">
        <v>0</v>
      </c>
      <c r="DP4989">
        <v>0</v>
      </c>
      <c r="DQ4989">
        <v>0</v>
      </c>
      <c r="DR4989">
        <v>0</v>
      </c>
      <c r="DS4989">
        <v>0</v>
      </c>
    </row>
    <row r="4990" spans="1:123" x14ac:dyDescent="0.3">
      <c r="A4990" t="str">
        <f>"05/01/2025 15:18:23.941"</f>
        <v>05/01/2025 15:18:23.941</v>
      </c>
      <c r="C4990" t="str">
        <f t="shared" si="1952"/>
        <v>FFDFD3C0</v>
      </c>
      <c r="D4990" t="s">
        <v>145</v>
      </c>
      <c r="E4990" t="str">
        <f>"05"</f>
        <v>05</v>
      </c>
      <c r="H4990">
        <v>47</v>
      </c>
      <c r="I4990" t="s">
        <v>146</v>
      </c>
      <c r="J4990" t="s">
        <v>138</v>
      </c>
      <c r="K4990">
        <v>0</v>
      </c>
      <c r="L4990">
        <v>3</v>
      </c>
      <c r="M4990">
        <v>0</v>
      </c>
      <c r="N4990">
        <v>2</v>
      </c>
      <c r="O4990">
        <v>0</v>
      </c>
      <c r="P4990">
        <v>1</v>
      </c>
      <c r="Q4990">
        <v>0</v>
      </c>
      <c r="R4990" t="s">
        <v>127</v>
      </c>
      <c r="S4990" t="str">
        <f t="shared" si="1974"/>
        <v>15:18:23.000</v>
      </c>
      <c r="T4990" t="str">
        <f t="shared" si="1974"/>
        <v>15:18:23.000</v>
      </c>
      <c r="U4990" t="str">
        <f t="shared" si="1953"/>
        <v>A68FCB</v>
      </c>
      <c r="V4990">
        <v>0</v>
      </c>
      <c r="W4990">
        <v>0</v>
      </c>
      <c r="X4990">
        <v>2</v>
      </c>
      <c r="Y4990">
        <v>0</v>
      </c>
      <c r="AA4990">
        <v>1</v>
      </c>
      <c r="AB4990">
        <v>8</v>
      </c>
      <c r="AC4990">
        <v>3</v>
      </c>
      <c r="AD4990">
        <v>0</v>
      </c>
      <c r="AE4990">
        <v>9</v>
      </c>
      <c r="AF4990" t="s">
        <v>138</v>
      </c>
      <c r="AG4990">
        <v>0</v>
      </c>
      <c r="AH4990">
        <v>3</v>
      </c>
      <c r="AI4990">
        <v>2</v>
      </c>
      <c r="AJ4990">
        <v>0</v>
      </c>
      <c r="AK4990" t="s">
        <v>1578</v>
      </c>
      <c r="AL4990">
        <v>39.235675000000001</v>
      </c>
      <c r="AM4990" t="s">
        <v>1579</v>
      </c>
      <c r="AN4990">
        <v>-121.009533</v>
      </c>
      <c r="AO4990">
        <v>25</v>
      </c>
      <c r="AP4990">
        <v>4000</v>
      </c>
      <c r="AQ4990" t="s">
        <v>131</v>
      </c>
      <c r="AR4990">
        <v>-108</v>
      </c>
      <c r="AS4990">
        <v>-5</v>
      </c>
      <c r="AT4990">
        <v>-256</v>
      </c>
      <c r="BB4990" t="str">
        <f t="shared" si="1954"/>
        <v>1200</v>
      </c>
      <c r="BC4990">
        <v>1</v>
      </c>
      <c r="BD4990" t="str">
        <f t="shared" si="1955"/>
        <v xml:space="preserve">N52156  </v>
      </c>
      <c r="BE4990">
        <v>1</v>
      </c>
      <c r="BG4990">
        <v>0</v>
      </c>
      <c r="BH4990">
        <v>0</v>
      </c>
      <c r="BI4990">
        <v>0</v>
      </c>
      <c r="BJ4990">
        <v>4025</v>
      </c>
      <c r="BK4990">
        <v>25</v>
      </c>
      <c r="BL4990" t="s">
        <v>188</v>
      </c>
      <c r="BM4990">
        <v>1</v>
      </c>
      <c r="BN4990">
        <v>1</v>
      </c>
      <c r="BO4990">
        <v>0</v>
      </c>
      <c r="BP4990">
        <v>0</v>
      </c>
      <c r="BS4990">
        <v>0</v>
      </c>
      <c r="BT4990">
        <v>0</v>
      </c>
      <c r="BU4990">
        <v>0</v>
      </c>
      <c r="CE4990" t="str">
        <f t="shared" si="1975"/>
        <v>15:18:23.724</v>
      </c>
      <c r="CF4990">
        <v>724010941</v>
      </c>
      <c r="CS4990">
        <v>0</v>
      </c>
      <c r="CT4990">
        <v>2</v>
      </c>
      <c r="CU4990">
        <v>0</v>
      </c>
      <c r="CV4990">
        <v>2</v>
      </c>
      <c r="CW4990">
        <v>0</v>
      </c>
      <c r="CX4990">
        <v>3</v>
      </c>
      <c r="CY4990">
        <v>7</v>
      </c>
      <c r="CZ4990" t="s">
        <v>133</v>
      </c>
      <c r="DA4990">
        <v>275</v>
      </c>
      <c r="DB4990">
        <v>0</v>
      </c>
      <c r="DC4990" t="s">
        <v>134</v>
      </c>
      <c r="DD4990" t="s">
        <v>135</v>
      </c>
      <c r="DG4990">
        <v>3323486</v>
      </c>
      <c r="DI4990">
        <v>1</v>
      </c>
      <c r="DJ4990">
        <v>0</v>
      </c>
      <c r="DK4990">
        <v>1</v>
      </c>
      <c r="DL4990">
        <v>0</v>
      </c>
      <c r="DM4990">
        <v>0</v>
      </c>
      <c r="DN4990">
        <v>0</v>
      </c>
      <c r="DO4990">
        <v>0</v>
      </c>
      <c r="DP4990">
        <v>0</v>
      </c>
      <c r="DQ4990">
        <v>0</v>
      </c>
      <c r="DR4990">
        <v>0</v>
      </c>
      <c r="DS4990">
        <v>0</v>
      </c>
    </row>
    <row r="4991" spans="1:123" x14ac:dyDescent="0.3">
      <c r="A4991" t="str">
        <f>"05/01/2025 15:18:23.950"</f>
        <v>05/01/2025 15:18:23.950</v>
      </c>
      <c r="C4991" t="str">
        <f t="shared" si="1952"/>
        <v>FFDFD3C0</v>
      </c>
      <c r="D4991" t="s">
        <v>136</v>
      </c>
      <c r="E4991" t="str">
        <f>"20"</f>
        <v>20</v>
      </c>
      <c r="H4991">
        <v>400</v>
      </c>
      <c r="I4991" t="s">
        <v>137</v>
      </c>
      <c r="J4991" t="s">
        <v>138</v>
      </c>
      <c r="K4991">
        <v>0</v>
      </c>
      <c r="L4991">
        <v>3</v>
      </c>
      <c r="M4991">
        <v>0</v>
      </c>
      <c r="N4991">
        <v>2</v>
      </c>
      <c r="O4991">
        <v>0</v>
      </c>
      <c r="P4991">
        <v>1</v>
      </c>
      <c r="Q4991">
        <v>0</v>
      </c>
      <c r="R4991" t="s">
        <v>127</v>
      </c>
      <c r="S4991" t="str">
        <f t="shared" si="1974"/>
        <v>15:18:23.000</v>
      </c>
      <c r="T4991" t="str">
        <f t="shared" si="1974"/>
        <v>15:18:23.000</v>
      </c>
      <c r="U4991" t="str">
        <f t="shared" si="1953"/>
        <v>A68FCB</v>
      </c>
      <c r="V4991">
        <v>0</v>
      </c>
      <c r="W4991">
        <v>0</v>
      </c>
      <c r="X4991">
        <v>2</v>
      </c>
      <c r="Y4991">
        <v>0</v>
      </c>
      <c r="AA4991">
        <v>1</v>
      </c>
      <c r="AB4991">
        <v>8</v>
      </c>
      <c r="AC4991">
        <v>3</v>
      </c>
      <c r="AD4991">
        <v>0</v>
      </c>
      <c r="AE4991">
        <v>9</v>
      </c>
      <c r="AF4991" t="s">
        <v>138</v>
      </c>
      <c r="AG4991">
        <v>0</v>
      </c>
      <c r="AH4991">
        <v>3</v>
      </c>
      <c r="AI4991">
        <v>2</v>
      </c>
      <c r="AJ4991">
        <v>0</v>
      </c>
      <c r="AK4991" t="s">
        <v>1578</v>
      </c>
      <c r="AL4991">
        <v>39.235675000000001</v>
      </c>
      <c r="AM4991" t="s">
        <v>1579</v>
      </c>
      <c r="AN4991">
        <v>-121.009533</v>
      </c>
      <c r="AO4991">
        <v>25</v>
      </c>
      <c r="AP4991">
        <v>4000</v>
      </c>
      <c r="AQ4991" t="s">
        <v>131</v>
      </c>
      <c r="AR4991">
        <v>-108</v>
      </c>
      <c r="AS4991">
        <v>-5</v>
      </c>
      <c r="AT4991">
        <v>-256</v>
      </c>
      <c r="BB4991" t="str">
        <f t="shared" si="1954"/>
        <v>1200</v>
      </c>
      <c r="BC4991">
        <v>1</v>
      </c>
      <c r="BD4991" t="str">
        <f t="shared" si="1955"/>
        <v xml:space="preserve">N52156  </v>
      </c>
      <c r="BE4991">
        <v>1</v>
      </c>
      <c r="BG4991">
        <v>0</v>
      </c>
      <c r="BH4991">
        <v>0</v>
      </c>
      <c r="BI4991">
        <v>0</v>
      </c>
      <c r="BJ4991">
        <v>4025</v>
      </c>
      <c r="BK4991">
        <v>25</v>
      </c>
      <c r="BL4991" t="s">
        <v>188</v>
      </c>
      <c r="BM4991">
        <v>1</v>
      </c>
      <c r="BN4991">
        <v>1</v>
      </c>
      <c r="BO4991">
        <v>0</v>
      </c>
      <c r="BP4991">
        <v>0</v>
      </c>
      <c r="BS4991">
        <v>0</v>
      </c>
      <c r="BT4991">
        <v>0</v>
      </c>
      <c r="BU4991">
        <v>0</v>
      </c>
      <c r="CE4991" t="str">
        <f t="shared" si="1975"/>
        <v>15:18:23.724</v>
      </c>
      <c r="CF4991">
        <v>724010941</v>
      </c>
      <c r="CS4991">
        <v>0</v>
      </c>
      <c r="CT4991">
        <v>2</v>
      </c>
      <c r="CU4991">
        <v>0</v>
      </c>
      <c r="CV4991">
        <v>2</v>
      </c>
      <c r="CW4991">
        <v>0</v>
      </c>
      <c r="CX4991">
        <v>3</v>
      </c>
      <c r="CY4991">
        <v>7</v>
      </c>
      <c r="CZ4991" t="s">
        <v>133</v>
      </c>
      <c r="DA4991">
        <v>275</v>
      </c>
      <c r="DB4991">
        <v>0</v>
      </c>
      <c r="DC4991" t="s">
        <v>134</v>
      </c>
      <c r="DD4991" t="s">
        <v>135</v>
      </c>
      <c r="DG4991">
        <v>3323486</v>
      </c>
      <c r="DI4991">
        <v>1</v>
      </c>
      <c r="DJ4991">
        <v>0</v>
      </c>
      <c r="DK4991">
        <v>1</v>
      </c>
      <c r="DL4991">
        <v>0</v>
      </c>
      <c r="DM4991">
        <v>0</v>
      </c>
      <c r="DN4991">
        <v>0</v>
      </c>
      <c r="DO4991">
        <v>0</v>
      </c>
      <c r="DP4991">
        <v>0</v>
      </c>
      <c r="DQ4991">
        <v>0</v>
      </c>
      <c r="DR4991">
        <v>0</v>
      </c>
      <c r="DS4991">
        <v>0</v>
      </c>
    </row>
    <row r="4992" spans="1:123" x14ac:dyDescent="0.3">
      <c r="A4992" t="str">
        <f>"05/01/2025 15:18:23.965"</f>
        <v>05/01/2025 15:18:23.965</v>
      </c>
      <c r="C4992" t="str">
        <f t="shared" si="1952"/>
        <v>FFDFD3C0</v>
      </c>
      <c r="D4992" t="s">
        <v>140</v>
      </c>
      <c r="E4992" t="str">
        <f>"13"</f>
        <v>13</v>
      </c>
      <c r="F4992">
        <v>1019</v>
      </c>
      <c r="G4992" t="s">
        <v>141</v>
      </c>
      <c r="J4992" t="s">
        <v>142</v>
      </c>
      <c r="K4992">
        <v>0</v>
      </c>
      <c r="L4992">
        <v>3</v>
      </c>
      <c r="M4992">
        <v>0</v>
      </c>
      <c r="N4992">
        <v>2</v>
      </c>
      <c r="O4992">
        <v>0</v>
      </c>
      <c r="P4992">
        <v>1</v>
      </c>
      <c r="Q4992">
        <v>0</v>
      </c>
      <c r="R4992" t="s">
        <v>127</v>
      </c>
      <c r="S4992" t="str">
        <f t="shared" si="1974"/>
        <v>15:18:23.000</v>
      </c>
      <c r="T4992" t="str">
        <f t="shared" si="1974"/>
        <v>15:18:23.000</v>
      </c>
      <c r="U4992" t="str">
        <f t="shared" si="1953"/>
        <v>A68FCB</v>
      </c>
      <c r="V4992">
        <v>0</v>
      </c>
      <c r="W4992">
        <v>0</v>
      </c>
      <c r="X4992">
        <v>2</v>
      </c>
      <c r="Y4992">
        <v>0</v>
      </c>
      <c r="AA4992">
        <v>1</v>
      </c>
      <c r="AB4992">
        <v>8</v>
      </c>
      <c r="AC4992">
        <v>3</v>
      </c>
      <c r="AD4992">
        <v>0</v>
      </c>
      <c r="AE4992">
        <v>9</v>
      </c>
      <c r="AF4992" t="s">
        <v>138</v>
      </c>
      <c r="AG4992">
        <v>0</v>
      </c>
      <c r="AH4992">
        <v>3</v>
      </c>
      <c r="AI4992">
        <v>2</v>
      </c>
      <c r="AJ4992">
        <v>0</v>
      </c>
      <c r="AK4992" t="s">
        <v>1578</v>
      </c>
      <c r="AL4992">
        <v>39.235675000000001</v>
      </c>
      <c r="AM4992" t="s">
        <v>1579</v>
      </c>
      <c r="AN4992">
        <v>-121.009533</v>
      </c>
      <c r="AO4992">
        <v>25</v>
      </c>
      <c r="AP4992">
        <v>4000</v>
      </c>
      <c r="AQ4992" t="s">
        <v>131</v>
      </c>
      <c r="AR4992">
        <v>-108</v>
      </c>
      <c r="AS4992">
        <v>-5</v>
      </c>
      <c r="AT4992">
        <v>-256</v>
      </c>
      <c r="BB4992" t="str">
        <f t="shared" si="1954"/>
        <v>1200</v>
      </c>
      <c r="BC4992">
        <v>1</v>
      </c>
      <c r="BD4992" t="str">
        <f t="shared" si="1955"/>
        <v xml:space="preserve">N52156  </v>
      </c>
      <c r="BE4992">
        <v>1</v>
      </c>
      <c r="BG4992">
        <v>0</v>
      </c>
      <c r="BH4992">
        <v>0</v>
      </c>
      <c r="BI4992">
        <v>0</v>
      </c>
      <c r="BJ4992">
        <v>4025</v>
      </c>
      <c r="BK4992">
        <v>25</v>
      </c>
      <c r="BL4992" t="s">
        <v>188</v>
      </c>
      <c r="BM4992">
        <v>1</v>
      </c>
      <c r="BN4992">
        <v>1</v>
      </c>
      <c r="BO4992">
        <v>0</v>
      </c>
      <c r="BP4992">
        <v>0</v>
      </c>
      <c r="BS4992">
        <v>0</v>
      </c>
      <c r="BT4992">
        <v>0</v>
      </c>
      <c r="BU4992">
        <v>0</v>
      </c>
      <c r="CE4992" t="str">
        <f t="shared" si="1975"/>
        <v>15:18:23.724</v>
      </c>
      <c r="CF4992">
        <v>724010941</v>
      </c>
      <c r="CS4992">
        <v>0</v>
      </c>
      <c r="CT4992">
        <v>2</v>
      </c>
      <c r="CU4992">
        <v>0</v>
      </c>
      <c r="CV4992">
        <v>2</v>
      </c>
      <c r="CW4992">
        <v>0</v>
      </c>
      <c r="CX4992">
        <v>3</v>
      </c>
      <c r="CY4992">
        <v>7</v>
      </c>
      <c r="CZ4992" t="s">
        <v>133</v>
      </c>
      <c r="DA4992">
        <v>275</v>
      </c>
      <c r="DB4992">
        <v>0</v>
      </c>
      <c r="DC4992" t="s">
        <v>134</v>
      </c>
      <c r="DD4992" t="s">
        <v>135</v>
      </c>
      <c r="DG4992">
        <v>3323486</v>
      </c>
      <c r="DI4992">
        <v>1</v>
      </c>
      <c r="DJ4992">
        <v>0</v>
      </c>
      <c r="DK4992">
        <v>1</v>
      </c>
      <c r="DL4992">
        <v>0</v>
      </c>
      <c r="DM4992">
        <v>0</v>
      </c>
      <c r="DN4992">
        <v>0</v>
      </c>
      <c r="DO4992">
        <v>0</v>
      </c>
      <c r="DP4992">
        <v>0</v>
      </c>
      <c r="DQ4992">
        <v>0</v>
      </c>
      <c r="DR4992">
        <v>0</v>
      </c>
      <c r="DS4992">
        <v>0</v>
      </c>
    </row>
    <row r="4993" spans="1:123" x14ac:dyDescent="0.3">
      <c r="A4993" t="str">
        <f>"05/01/2025 15:18:23.969"</f>
        <v>05/01/2025 15:18:23.969</v>
      </c>
      <c r="C4993" t="str">
        <f t="shared" si="1952"/>
        <v>FFDFD3C0</v>
      </c>
      <c r="D4993" t="s">
        <v>124</v>
      </c>
      <c r="E4993" t="str">
        <f>"06"</f>
        <v>06</v>
      </c>
      <c r="F4993">
        <v>2006</v>
      </c>
      <c r="G4993" t="s">
        <v>125</v>
      </c>
      <c r="J4993" t="s">
        <v>126</v>
      </c>
      <c r="K4993">
        <v>0</v>
      </c>
      <c r="L4993">
        <v>3</v>
      </c>
      <c r="M4993">
        <v>0</v>
      </c>
      <c r="N4993">
        <v>2</v>
      </c>
      <c r="O4993">
        <v>0</v>
      </c>
      <c r="P4993">
        <v>1</v>
      </c>
      <c r="Q4993">
        <v>0</v>
      </c>
      <c r="R4993" t="s">
        <v>127</v>
      </c>
      <c r="S4993" t="str">
        <f t="shared" si="1974"/>
        <v>15:18:23.000</v>
      </c>
      <c r="T4993" t="str">
        <f t="shared" si="1974"/>
        <v>15:18:23.000</v>
      </c>
      <c r="U4993" t="str">
        <f t="shared" si="1953"/>
        <v>A68FCB</v>
      </c>
      <c r="V4993">
        <v>0</v>
      </c>
      <c r="W4993">
        <v>0</v>
      </c>
      <c r="X4993">
        <v>2</v>
      </c>
      <c r="Y4993">
        <v>0</v>
      </c>
      <c r="AA4993">
        <v>1</v>
      </c>
      <c r="AB4993">
        <v>8</v>
      </c>
      <c r="AC4993">
        <v>3</v>
      </c>
      <c r="AD4993">
        <v>0</v>
      </c>
      <c r="AE4993">
        <v>9</v>
      </c>
      <c r="AF4993" t="s">
        <v>138</v>
      </c>
      <c r="AG4993">
        <v>0</v>
      </c>
      <c r="AH4993">
        <v>3</v>
      </c>
      <c r="AI4993">
        <v>2</v>
      </c>
      <c r="AJ4993">
        <v>0</v>
      </c>
      <c r="AK4993" t="s">
        <v>1578</v>
      </c>
      <c r="AL4993">
        <v>39.235675000000001</v>
      </c>
      <c r="AM4993" t="s">
        <v>1579</v>
      </c>
      <c r="AN4993">
        <v>-121.009533</v>
      </c>
      <c r="AO4993">
        <v>25</v>
      </c>
      <c r="AP4993">
        <v>4000</v>
      </c>
      <c r="AQ4993" t="s">
        <v>131</v>
      </c>
      <c r="AR4993">
        <v>-108</v>
      </c>
      <c r="AS4993">
        <v>-5</v>
      </c>
      <c r="AT4993">
        <v>-256</v>
      </c>
      <c r="BB4993" t="str">
        <f t="shared" si="1954"/>
        <v>1200</v>
      </c>
      <c r="BC4993">
        <v>1</v>
      </c>
      <c r="BD4993" t="str">
        <f t="shared" si="1955"/>
        <v xml:space="preserve">N52156  </v>
      </c>
      <c r="BE4993">
        <v>1</v>
      </c>
      <c r="BG4993">
        <v>0</v>
      </c>
      <c r="BH4993">
        <v>0</v>
      </c>
      <c r="BI4993">
        <v>0</v>
      </c>
      <c r="BJ4993">
        <v>4025</v>
      </c>
      <c r="BK4993">
        <v>25</v>
      </c>
      <c r="BL4993" t="s">
        <v>188</v>
      </c>
      <c r="BM4993">
        <v>1</v>
      </c>
      <c r="BN4993">
        <v>1</v>
      </c>
      <c r="BO4993">
        <v>0</v>
      </c>
      <c r="BP4993">
        <v>0</v>
      </c>
      <c r="BS4993">
        <v>0</v>
      </c>
      <c r="BT4993">
        <v>0</v>
      </c>
      <c r="BU4993">
        <v>0</v>
      </c>
      <c r="CE4993" t="str">
        <f t="shared" si="1975"/>
        <v>15:18:23.724</v>
      </c>
      <c r="CF4993">
        <v>724010941</v>
      </c>
      <c r="CS4993">
        <v>0</v>
      </c>
      <c r="CT4993">
        <v>2</v>
      </c>
      <c r="CU4993">
        <v>0</v>
      </c>
      <c r="CV4993">
        <v>2</v>
      </c>
      <c r="CW4993">
        <v>0</v>
      </c>
      <c r="CX4993">
        <v>3</v>
      </c>
      <c r="CY4993">
        <v>7</v>
      </c>
      <c r="CZ4993" t="s">
        <v>133</v>
      </c>
      <c r="DA4993">
        <v>275</v>
      </c>
      <c r="DB4993">
        <v>0</v>
      </c>
      <c r="DC4993" t="s">
        <v>134</v>
      </c>
      <c r="DD4993" t="s">
        <v>135</v>
      </c>
      <c r="DG4993">
        <v>3323486</v>
      </c>
      <c r="DI4993">
        <v>1</v>
      </c>
      <c r="DJ4993">
        <v>0</v>
      </c>
      <c r="DK4993">
        <v>1</v>
      </c>
      <c r="DL4993">
        <v>0</v>
      </c>
      <c r="DM4993">
        <v>0</v>
      </c>
      <c r="DN4993">
        <v>0</v>
      </c>
      <c r="DO4993">
        <v>0</v>
      </c>
      <c r="DP4993">
        <v>0</v>
      </c>
      <c r="DQ4993">
        <v>0</v>
      </c>
      <c r="DR4993">
        <v>0</v>
      </c>
      <c r="DS4993">
        <v>0</v>
      </c>
    </row>
    <row r="4994" spans="1:123" x14ac:dyDescent="0.3">
      <c r="A4994" t="str">
        <f>"05/01/2025 15:18:25.152"</f>
        <v>05/01/2025 15:18:25.152</v>
      </c>
      <c r="C4994" t="str">
        <f t="shared" ref="C4994:C5057" si="1976">"FFDFD3C0"</f>
        <v>FFDFD3C0</v>
      </c>
      <c r="D4994" t="s">
        <v>136</v>
      </c>
      <c r="E4994" t="str">
        <f>"20"</f>
        <v>20</v>
      </c>
      <c r="H4994">
        <v>400</v>
      </c>
      <c r="I4994" t="s">
        <v>137</v>
      </c>
      <c r="J4994" t="s">
        <v>138</v>
      </c>
      <c r="K4994">
        <v>0</v>
      </c>
      <c r="L4994">
        <v>3</v>
      </c>
      <c r="M4994">
        <v>0</v>
      </c>
      <c r="N4994">
        <v>2</v>
      </c>
      <c r="O4994">
        <v>0</v>
      </c>
      <c r="P4994">
        <v>1</v>
      </c>
      <c r="Q4994">
        <v>0</v>
      </c>
      <c r="R4994" t="s">
        <v>127</v>
      </c>
      <c r="S4994" t="str">
        <f t="shared" ref="S4994:T4999" si="1977">"15:18:24.000"</f>
        <v>15:18:24.000</v>
      </c>
      <c r="T4994" t="str">
        <f t="shared" si="1977"/>
        <v>15:18:24.000</v>
      </c>
      <c r="U4994" t="str">
        <f t="shared" ref="U4994:U5057" si="1978">"A68FCB"</f>
        <v>A68FCB</v>
      </c>
      <c r="V4994">
        <v>0</v>
      </c>
      <c r="W4994">
        <v>0</v>
      </c>
      <c r="X4994">
        <v>2</v>
      </c>
      <c r="Y4994">
        <v>0</v>
      </c>
      <c r="AA4994">
        <v>1</v>
      </c>
      <c r="AB4994">
        <v>8</v>
      </c>
      <c r="AC4994">
        <v>3</v>
      </c>
      <c r="AD4994">
        <v>0</v>
      </c>
      <c r="AE4994">
        <v>9</v>
      </c>
      <c r="AF4994" t="s">
        <v>138</v>
      </c>
      <c r="AG4994">
        <v>0</v>
      </c>
      <c r="AH4994">
        <v>3</v>
      </c>
      <c r="AI4994">
        <v>2</v>
      </c>
      <c r="AJ4994">
        <v>0</v>
      </c>
      <c r="AK4994" t="s">
        <v>1577</v>
      </c>
      <c r="AL4994">
        <v>39.235653999999997</v>
      </c>
      <c r="AM4994" t="s">
        <v>1580</v>
      </c>
      <c r="AN4994">
        <v>-121.010177</v>
      </c>
      <c r="AO4994">
        <v>25</v>
      </c>
      <c r="AP4994">
        <v>4000</v>
      </c>
      <c r="AQ4994" t="s">
        <v>131</v>
      </c>
      <c r="AR4994">
        <v>-106</v>
      </c>
      <c r="AS4994">
        <v>-8</v>
      </c>
      <c r="AT4994">
        <v>-256</v>
      </c>
      <c r="BB4994" t="str">
        <f t="shared" ref="BB4994:BB5057" si="1979">"1200"</f>
        <v>1200</v>
      </c>
      <c r="BC4994">
        <v>1</v>
      </c>
      <c r="BD4994" t="str">
        <f t="shared" ref="BD4994:BD5057" si="1980">"N52156  "</f>
        <v xml:space="preserve">N52156  </v>
      </c>
      <c r="BE4994">
        <v>1</v>
      </c>
      <c r="BG4994">
        <v>0</v>
      </c>
      <c r="BH4994">
        <v>0</v>
      </c>
      <c r="BI4994">
        <v>0</v>
      </c>
      <c r="BJ4994">
        <v>4025</v>
      </c>
      <c r="BK4994">
        <v>25</v>
      </c>
      <c r="BL4994" t="s">
        <v>188</v>
      </c>
      <c r="BM4994">
        <v>1</v>
      </c>
      <c r="BN4994">
        <v>1</v>
      </c>
      <c r="BO4994">
        <v>0</v>
      </c>
      <c r="BP4994">
        <v>0</v>
      </c>
      <c r="BS4994">
        <v>0</v>
      </c>
      <c r="BT4994">
        <v>0</v>
      </c>
      <c r="BU4994">
        <v>0</v>
      </c>
      <c r="CE4994" t="str">
        <f t="shared" ref="CE4994:CE4999" si="1981">"15:18:24.949"</f>
        <v>15:18:24.949</v>
      </c>
      <c r="CF4994">
        <v>948511274</v>
      </c>
      <c r="CS4994">
        <v>0</v>
      </c>
      <c r="CT4994">
        <v>2</v>
      </c>
      <c r="CU4994">
        <v>0</v>
      </c>
      <c r="CV4994">
        <v>2</v>
      </c>
      <c r="CW4994">
        <v>0</v>
      </c>
      <c r="CX4994">
        <v>1</v>
      </c>
      <c r="CY4994">
        <v>7</v>
      </c>
      <c r="CZ4994" t="s">
        <v>133</v>
      </c>
      <c r="DA4994">
        <v>275</v>
      </c>
      <c r="DB4994">
        <v>0</v>
      </c>
      <c r="DC4994" t="s">
        <v>134</v>
      </c>
      <c r="DD4994" t="s">
        <v>135</v>
      </c>
      <c r="DG4994">
        <v>3323489</v>
      </c>
      <c r="DI4994">
        <v>1</v>
      </c>
      <c r="DJ4994">
        <v>0</v>
      </c>
      <c r="DK4994">
        <v>0</v>
      </c>
      <c r="DL4994">
        <v>0</v>
      </c>
      <c r="DM4994">
        <v>0</v>
      </c>
      <c r="DN4994">
        <v>0</v>
      </c>
      <c r="DO4994">
        <v>0</v>
      </c>
      <c r="DP4994">
        <v>0</v>
      </c>
      <c r="DQ4994">
        <v>0</v>
      </c>
      <c r="DR4994">
        <v>0</v>
      </c>
      <c r="DS4994">
        <v>0</v>
      </c>
    </row>
    <row r="4995" spans="1:123" x14ac:dyDescent="0.3">
      <c r="A4995" t="str">
        <f>"05/01/2025 15:18:25.168"</f>
        <v>05/01/2025 15:18:25.168</v>
      </c>
      <c r="C4995" t="str">
        <f t="shared" si="1976"/>
        <v>FFDFD3C0</v>
      </c>
      <c r="D4995" t="s">
        <v>140</v>
      </c>
      <c r="E4995" t="str">
        <f>"13"</f>
        <v>13</v>
      </c>
      <c r="F4995">
        <v>1019</v>
      </c>
      <c r="G4995" t="s">
        <v>141</v>
      </c>
      <c r="J4995" t="s">
        <v>142</v>
      </c>
      <c r="K4995">
        <v>0</v>
      </c>
      <c r="L4995">
        <v>3</v>
      </c>
      <c r="M4995">
        <v>0</v>
      </c>
      <c r="N4995">
        <v>2</v>
      </c>
      <c r="O4995">
        <v>0</v>
      </c>
      <c r="P4995">
        <v>1</v>
      </c>
      <c r="Q4995">
        <v>0</v>
      </c>
      <c r="R4995" t="s">
        <v>127</v>
      </c>
      <c r="S4995" t="str">
        <f t="shared" si="1977"/>
        <v>15:18:24.000</v>
      </c>
      <c r="T4995" t="str">
        <f t="shared" si="1977"/>
        <v>15:18:24.000</v>
      </c>
      <c r="U4995" t="str">
        <f t="shared" si="1978"/>
        <v>A68FCB</v>
      </c>
      <c r="V4995">
        <v>0</v>
      </c>
      <c r="W4995">
        <v>0</v>
      </c>
      <c r="X4995">
        <v>2</v>
      </c>
      <c r="Y4995">
        <v>0</v>
      </c>
      <c r="AA4995">
        <v>1</v>
      </c>
      <c r="AB4995">
        <v>8</v>
      </c>
      <c r="AC4995">
        <v>3</v>
      </c>
      <c r="AD4995">
        <v>0</v>
      </c>
      <c r="AE4995">
        <v>9</v>
      </c>
      <c r="AF4995" t="s">
        <v>138</v>
      </c>
      <c r="AG4995">
        <v>0</v>
      </c>
      <c r="AH4995">
        <v>3</v>
      </c>
      <c r="AI4995">
        <v>2</v>
      </c>
      <c r="AJ4995">
        <v>0</v>
      </c>
      <c r="AK4995" t="s">
        <v>1577</v>
      </c>
      <c r="AL4995">
        <v>39.235653999999997</v>
      </c>
      <c r="AM4995" t="s">
        <v>1580</v>
      </c>
      <c r="AN4995">
        <v>-121.010177</v>
      </c>
      <c r="AO4995">
        <v>25</v>
      </c>
      <c r="AP4995">
        <v>4000</v>
      </c>
      <c r="AQ4995" t="s">
        <v>131</v>
      </c>
      <c r="AR4995">
        <v>-106</v>
      </c>
      <c r="AS4995">
        <v>-8</v>
      </c>
      <c r="AT4995">
        <v>-256</v>
      </c>
      <c r="BB4995" t="str">
        <f t="shared" si="1979"/>
        <v>1200</v>
      </c>
      <c r="BC4995">
        <v>1</v>
      </c>
      <c r="BD4995" t="str">
        <f t="shared" si="1980"/>
        <v xml:space="preserve">N52156  </v>
      </c>
      <c r="BE4995">
        <v>1</v>
      </c>
      <c r="BG4995">
        <v>0</v>
      </c>
      <c r="BH4995">
        <v>0</v>
      </c>
      <c r="BI4995">
        <v>0</v>
      </c>
      <c r="BJ4995">
        <v>4025</v>
      </c>
      <c r="BK4995">
        <v>25</v>
      </c>
      <c r="BL4995" t="s">
        <v>188</v>
      </c>
      <c r="BM4995">
        <v>1</v>
      </c>
      <c r="BN4995">
        <v>1</v>
      </c>
      <c r="BO4995">
        <v>0</v>
      </c>
      <c r="BP4995">
        <v>0</v>
      </c>
      <c r="BS4995">
        <v>0</v>
      </c>
      <c r="BT4995">
        <v>0</v>
      </c>
      <c r="BU4995">
        <v>0</v>
      </c>
      <c r="CE4995" t="str">
        <f t="shared" si="1981"/>
        <v>15:18:24.949</v>
      </c>
      <c r="CF4995">
        <v>948511274</v>
      </c>
      <c r="CS4995">
        <v>0</v>
      </c>
      <c r="CT4995">
        <v>2</v>
      </c>
      <c r="CU4995">
        <v>0</v>
      </c>
      <c r="CV4995">
        <v>2</v>
      </c>
      <c r="CW4995">
        <v>0</v>
      </c>
      <c r="CX4995">
        <v>1</v>
      </c>
      <c r="CY4995">
        <v>7</v>
      </c>
      <c r="CZ4995" t="s">
        <v>133</v>
      </c>
      <c r="DA4995">
        <v>275</v>
      </c>
      <c r="DB4995">
        <v>0</v>
      </c>
      <c r="DC4995" t="s">
        <v>134</v>
      </c>
      <c r="DD4995" t="s">
        <v>135</v>
      </c>
      <c r="DG4995">
        <v>3323489</v>
      </c>
      <c r="DI4995">
        <v>1</v>
      </c>
      <c r="DJ4995">
        <v>0</v>
      </c>
      <c r="DK4995">
        <v>1</v>
      </c>
      <c r="DL4995">
        <v>0</v>
      </c>
      <c r="DM4995">
        <v>0</v>
      </c>
      <c r="DN4995">
        <v>0</v>
      </c>
      <c r="DO4995">
        <v>0</v>
      </c>
      <c r="DP4995">
        <v>0</v>
      </c>
      <c r="DQ4995">
        <v>0</v>
      </c>
      <c r="DR4995">
        <v>0</v>
      </c>
      <c r="DS4995">
        <v>0</v>
      </c>
    </row>
    <row r="4996" spans="1:123" x14ac:dyDescent="0.3">
      <c r="A4996" t="str">
        <f>"05/01/2025 15:18:25.171"</f>
        <v>05/01/2025 15:18:25.171</v>
      </c>
      <c r="C4996" t="str">
        <f t="shared" si="1976"/>
        <v>FFDFD3C0</v>
      </c>
      <c r="D4996" t="s">
        <v>124</v>
      </c>
      <c r="E4996" t="str">
        <f>"06"</f>
        <v>06</v>
      </c>
      <c r="F4996">
        <v>2006</v>
      </c>
      <c r="G4996" t="s">
        <v>125</v>
      </c>
      <c r="J4996" t="s">
        <v>126</v>
      </c>
      <c r="K4996">
        <v>0</v>
      </c>
      <c r="L4996">
        <v>3</v>
      </c>
      <c r="M4996">
        <v>0</v>
      </c>
      <c r="N4996">
        <v>2</v>
      </c>
      <c r="O4996">
        <v>0</v>
      </c>
      <c r="P4996">
        <v>1</v>
      </c>
      <c r="Q4996">
        <v>0</v>
      </c>
      <c r="R4996" t="s">
        <v>127</v>
      </c>
      <c r="S4996" t="str">
        <f t="shared" si="1977"/>
        <v>15:18:24.000</v>
      </c>
      <c r="T4996" t="str">
        <f t="shared" si="1977"/>
        <v>15:18:24.000</v>
      </c>
      <c r="U4996" t="str">
        <f t="shared" si="1978"/>
        <v>A68FCB</v>
      </c>
      <c r="V4996">
        <v>0</v>
      </c>
      <c r="W4996">
        <v>0</v>
      </c>
      <c r="X4996">
        <v>2</v>
      </c>
      <c r="Y4996">
        <v>0</v>
      </c>
      <c r="AA4996">
        <v>1</v>
      </c>
      <c r="AB4996">
        <v>8</v>
      </c>
      <c r="AC4996">
        <v>3</v>
      </c>
      <c r="AD4996">
        <v>0</v>
      </c>
      <c r="AE4996">
        <v>9</v>
      </c>
      <c r="AF4996" t="s">
        <v>138</v>
      </c>
      <c r="AG4996">
        <v>0</v>
      </c>
      <c r="AH4996">
        <v>3</v>
      </c>
      <c r="AI4996">
        <v>2</v>
      </c>
      <c r="AJ4996">
        <v>0</v>
      </c>
      <c r="AK4996" t="s">
        <v>1577</v>
      </c>
      <c r="AL4996">
        <v>39.235653999999997</v>
      </c>
      <c r="AM4996" t="s">
        <v>1580</v>
      </c>
      <c r="AN4996">
        <v>-121.010177</v>
      </c>
      <c r="AO4996">
        <v>25</v>
      </c>
      <c r="AP4996">
        <v>4000</v>
      </c>
      <c r="AQ4996" t="s">
        <v>131</v>
      </c>
      <c r="AR4996">
        <v>-106</v>
      </c>
      <c r="AS4996">
        <v>-8</v>
      </c>
      <c r="AT4996">
        <v>-256</v>
      </c>
      <c r="BB4996" t="str">
        <f t="shared" si="1979"/>
        <v>1200</v>
      </c>
      <c r="BC4996">
        <v>1</v>
      </c>
      <c r="BD4996" t="str">
        <f t="shared" si="1980"/>
        <v xml:space="preserve">N52156  </v>
      </c>
      <c r="BE4996">
        <v>1</v>
      </c>
      <c r="BG4996">
        <v>0</v>
      </c>
      <c r="BH4996">
        <v>0</v>
      </c>
      <c r="BI4996">
        <v>0</v>
      </c>
      <c r="BJ4996">
        <v>4025</v>
      </c>
      <c r="BK4996">
        <v>25</v>
      </c>
      <c r="BL4996" t="s">
        <v>188</v>
      </c>
      <c r="BM4996">
        <v>1</v>
      </c>
      <c r="BN4996">
        <v>1</v>
      </c>
      <c r="BO4996">
        <v>0</v>
      </c>
      <c r="BP4996">
        <v>0</v>
      </c>
      <c r="BS4996">
        <v>0</v>
      </c>
      <c r="BT4996">
        <v>0</v>
      </c>
      <c r="BU4996">
        <v>0</v>
      </c>
      <c r="CE4996" t="str">
        <f t="shared" si="1981"/>
        <v>15:18:24.949</v>
      </c>
      <c r="CF4996">
        <v>948511274</v>
      </c>
      <c r="CS4996">
        <v>0</v>
      </c>
      <c r="CT4996">
        <v>2</v>
      </c>
      <c r="CU4996">
        <v>0</v>
      </c>
      <c r="CV4996">
        <v>2</v>
      </c>
      <c r="CW4996">
        <v>0</v>
      </c>
      <c r="CX4996">
        <v>1</v>
      </c>
      <c r="CY4996">
        <v>7</v>
      </c>
      <c r="CZ4996" t="s">
        <v>133</v>
      </c>
      <c r="DA4996">
        <v>275</v>
      </c>
      <c r="DB4996">
        <v>0</v>
      </c>
      <c r="DC4996" t="s">
        <v>134</v>
      </c>
      <c r="DD4996" t="s">
        <v>135</v>
      </c>
      <c r="DG4996">
        <v>3323489</v>
      </c>
      <c r="DI4996">
        <v>1</v>
      </c>
      <c r="DJ4996">
        <v>0</v>
      </c>
      <c r="DK4996">
        <v>1</v>
      </c>
      <c r="DL4996">
        <v>0</v>
      </c>
      <c r="DM4996">
        <v>0</v>
      </c>
      <c r="DN4996">
        <v>0</v>
      </c>
      <c r="DO4996">
        <v>0</v>
      </c>
      <c r="DP4996">
        <v>0</v>
      </c>
      <c r="DQ4996">
        <v>0</v>
      </c>
      <c r="DR4996">
        <v>0</v>
      </c>
      <c r="DS4996">
        <v>0</v>
      </c>
    </row>
    <row r="4997" spans="1:123" x14ac:dyDescent="0.3">
      <c r="A4997" t="str">
        <f>"05/01/2025 15:18:25.179"</f>
        <v>05/01/2025 15:18:25.179</v>
      </c>
      <c r="C4997" t="str">
        <f t="shared" si="1976"/>
        <v>FFDFD3C0</v>
      </c>
      <c r="D4997" t="s">
        <v>143</v>
      </c>
      <c r="E4997" t="str">
        <f>"05"</f>
        <v>05</v>
      </c>
      <c r="H4997">
        <v>172</v>
      </c>
      <c r="I4997" t="s">
        <v>141</v>
      </c>
      <c r="J4997" t="s">
        <v>144</v>
      </c>
      <c r="K4997">
        <v>0</v>
      </c>
      <c r="L4997">
        <v>3</v>
      </c>
      <c r="M4997">
        <v>0</v>
      </c>
      <c r="N4997">
        <v>2</v>
      </c>
      <c r="O4997">
        <v>0</v>
      </c>
      <c r="P4997">
        <v>1</v>
      </c>
      <c r="Q4997">
        <v>0</v>
      </c>
      <c r="R4997" t="s">
        <v>127</v>
      </c>
      <c r="S4997" t="str">
        <f t="shared" si="1977"/>
        <v>15:18:24.000</v>
      </c>
      <c r="T4997" t="str">
        <f t="shared" si="1977"/>
        <v>15:18:24.000</v>
      </c>
      <c r="U4997" t="str">
        <f t="shared" si="1978"/>
        <v>A68FCB</v>
      </c>
      <c r="V4997">
        <v>0</v>
      </c>
      <c r="W4997">
        <v>0</v>
      </c>
      <c r="X4997">
        <v>2</v>
      </c>
      <c r="Y4997">
        <v>0</v>
      </c>
      <c r="AA4997">
        <v>1</v>
      </c>
      <c r="AB4997">
        <v>8</v>
      </c>
      <c r="AC4997">
        <v>3</v>
      </c>
      <c r="AD4997">
        <v>0</v>
      </c>
      <c r="AE4997">
        <v>9</v>
      </c>
      <c r="AF4997" t="s">
        <v>138</v>
      </c>
      <c r="AG4997">
        <v>0</v>
      </c>
      <c r="AH4997">
        <v>3</v>
      </c>
      <c r="AI4997">
        <v>2</v>
      </c>
      <c r="AJ4997">
        <v>0</v>
      </c>
      <c r="AK4997" t="s">
        <v>1577</v>
      </c>
      <c r="AL4997">
        <v>39.235653999999997</v>
      </c>
      <c r="AM4997" t="s">
        <v>1580</v>
      </c>
      <c r="AN4997">
        <v>-121.010177</v>
      </c>
      <c r="AO4997">
        <v>25</v>
      </c>
      <c r="AP4997">
        <v>4000</v>
      </c>
      <c r="AQ4997" t="s">
        <v>131</v>
      </c>
      <c r="AR4997">
        <v>-106</v>
      </c>
      <c r="AS4997">
        <v>-8</v>
      </c>
      <c r="AT4997">
        <v>-256</v>
      </c>
      <c r="BB4997" t="str">
        <f t="shared" si="1979"/>
        <v>1200</v>
      </c>
      <c r="BC4997">
        <v>1</v>
      </c>
      <c r="BD4997" t="str">
        <f t="shared" si="1980"/>
        <v xml:space="preserve">N52156  </v>
      </c>
      <c r="BE4997">
        <v>1</v>
      </c>
      <c r="BG4997">
        <v>0</v>
      </c>
      <c r="BH4997">
        <v>0</v>
      </c>
      <c r="BI4997">
        <v>0</v>
      </c>
      <c r="BJ4997">
        <v>4025</v>
      </c>
      <c r="BK4997">
        <v>25</v>
      </c>
      <c r="BL4997" t="s">
        <v>188</v>
      </c>
      <c r="BM4997">
        <v>1</v>
      </c>
      <c r="BN4997">
        <v>1</v>
      </c>
      <c r="BO4997">
        <v>0</v>
      </c>
      <c r="BP4997">
        <v>0</v>
      </c>
      <c r="BS4997">
        <v>0</v>
      </c>
      <c r="BT4997">
        <v>0</v>
      </c>
      <c r="BU4997">
        <v>0</v>
      </c>
      <c r="CE4997" t="str">
        <f t="shared" si="1981"/>
        <v>15:18:24.949</v>
      </c>
      <c r="CF4997">
        <v>948511274</v>
      </c>
      <c r="CS4997">
        <v>0</v>
      </c>
      <c r="CT4997">
        <v>2</v>
      </c>
      <c r="CU4997">
        <v>0</v>
      </c>
      <c r="CV4997">
        <v>2</v>
      </c>
      <c r="CW4997">
        <v>0</v>
      </c>
      <c r="CX4997">
        <v>1</v>
      </c>
      <c r="CY4997">
        <v>7</v>
      </c>
      <c r="CZ4997" t="s">
        <v>133</v>
      </c>
      <c r="DA4997">
        <v>275</v>
      </c>
      <c r="DB4997">
        <v>0</v>
      </c>
      <c r="DC4997" t="s">
        <v>134</v>
      </c>
      <c r="DD4997" t="s">
        <v>135</v>
      </c>
      <c r="DG4997">
        <v>3323489</v>
      </c>
      <c r="DI4997">
        <v>1</v>
      </c>
      <c r="DJ4997">
        <v>0</v>
      </c>
      <c r="DK4997">
        <v>1</v>
      </c>
      <c r="DL4997">
        <v>0</v>
      </c>
      <c r="DM4997">
        <v>0</v>
      </c>
      <c r="DN4997">
        <v>0</v>
      </c>
      <c r="DO4997">
        <v>0</v>
      </c>
      <c r="DP4997">
        <v>0</v>
      </c>
      <c r="DQ4997">
        <v>0</v>
      </c>
      <c r="DR4997">
        <v>0</v>
      </c>
      <c r="DS4997">
        <v>0</v>
      </c>
    </row>
    <row r="4998" spans="1:123" x14ac:dyDescent="0.3">
      <c r="A4998" t="str">
        <f>"05/01/2025 15:18:25.192"</f>
        <v>05/01/2025 15:18:25.192</v>
      </c>
      <c r="C4998" t="str">
        <f t="shared" si="1976"/>
        <v>FFDFD3C0</v>
      </c>
      <c r="D4998" t="s">
        <v>145</v>
      </c>
      <c r="E4998" t="str">
        <f>"09"</f>
        <v>09</v>
      </c>
      <c r="H4998">
        <v>51</v>
      </c>
      <c r="I4998" t="s">
        <v>147</v>
      </c>
      <c r="J4998" t="s">
        <v>138</v>
      </c>
      <c r="K4998">
        <v>0</v>
      </c>
      <c r="L4998">
        <v>3</v>
      </c>
      <c r="M4998">
        <v>0</v>
      </c>
      <c r="N4998">
        <v>2</v>
      </c>
      <c r="O4998">
        <v>0</v>
      </c>
      <c r="P4998">
        <v>1</v>
      </c>
      <c r="Q4998">
        <v>0</v>
      </c>
      <c r="R4998" t="s">
        <v>127</v>
      </c>
      <c r="S4998" t="str">
        <f t="shared" si="1977"/>
        <v>15:18:24.000</v>
      </c>
      <c r="T4998" t="str">
        <f t="shared" si="1977"/>
        <v>15:18:24.000</v>
      </c>
      <c r="U4998" t="str">
        <f t="shared" si="1978"/>
        <v>A68FCB</v>
      </c>
      <c r="V4998">
        <v>0</v>
      </c>
      <c r="W4998">
        <v>0</v>
      </c>
      <c r="X4998">
        <v>2</v>
      </c>
      <c r="Y4998">
        <v>0</v>
      </c>
      <c r="AA4998">
        <v>1</v>
      </c>
      <c r="AB4998">
        <v>8</v>
      </c>
      <c r="AC4998">
        <v>3</v>
      </c>
      <c r="AD4998">
        <v>0</v>
      </c>
      <c r="AE4998">
        <v>9</v>
      </c>
      <c r="AF4998" t="s">
        <v>138</v>
      </c>
      <c r="AG4998">
        <v>0</v>
      </c>
      <c r="AH4998">
        <v>3</v>
      </c>
      <c r="AI4998">
        <v>2</v>
      </c>
      <c r="AJ4998">
        <v>0</v>
      </c>
      <c r="AK4998" t="s">
        <v>1577</v>
      </c>
      <c r="AL4998">
        <v>39.235653999999997</v>
      </c>
      <c r="AM4998" t="s">
        <v>1580</v>
      </c>
      <c r="AN4998">
        <v>-121.010177</v>
      </c>
      <c r="AO4998">
        <v>25</v>
      </c>
      <c r="AP4998">
        <v>4000</v>
      </c>
      <c r="AQ4998" t="s">
        <v>131</v>
      </c>
      <c r="AR4998">
        <v>-106</v>
      </c>
      <c r="AS4998">
        <v>-8</v>
      </c>
      <c r="AT4998">
        <v>-256</v>
      </c>
      <c r="BB4998" t="str">
        <f t="shared" si="1979"/>
        <v>1200</v>
      </c>
      <c r="BC4998">
        <v>1</v>
      </c>
      <c r="BD4998" t="str">
        <f t="shared" si="1980"/>
        <v xml:space="preserve">N52156  </v>
      </c>
      <c r="BE4998">
        <v>1</v>
      </c>
      <c r="BG4998">
        <v>0</v>
      </c>
      <c r="BH4998">
        <v>0</v>
      </c>
      <c r="BI4998">
        <v>0</v>
      </c>
      <c r="BJ4998">
        <v>4025</v>
      </c>
      <c r="BK4998">
        <v>25</v>
      </c>
      <c r="BL4998" t="s">
        <v>188</v>
      </c>
      <c r="BM4998">
        <v>1</v>
      </c>
      <c r="BN4998">
        <v>1</v>
      </c>
      <c r="BO4998">
        <v>0</v>
      </c>
      <c r="BP4998">
        <v>0</v>
      </c>
      <c r="BS4998">
        <v>0</v>
      </c>
      <c r="BT4998">
        <v>0</v>
      </c>
      <c r="BU4998">
        <v>0</v>
      </c>
      <c r="CE4998" t="str">
        <f t="shared" si="1981"/>
        <v>15:18:24.949</v>
      </c>
      <c r="CF4998">
        <v>948511274</v>
      </c>
      <c r="CS4998">
        <v>0</v>
      </c>
      <c r="CT4998">
        <v>2</v>
      </c>
      <c r="CU4998">
        <v>0</v>
      </c>
      <c r="CV4998">
        <v>2</v>
      </c>
      <c r="CW4998">
        <v>0</v>
      </c>
      <c r="CX4998">
        <v>1</v>
      </c>
      <c r="CY4998">
        <v>7</v>
      </c>
      <c r="CZ4998" t="s">
        <v>133</v>
      </c>
      <c r="DA4998">
        <v>275</v>
      </c>
      <c r="DB4998">
        <v>0</v>
      </c>
      <c r="DC4998" t="s">
        <v>134</v>
      </c>
      <c r="DD4998" t="s">
        <v>135</v>
      </c>
      <c r="DG4998">
        <v>3323489</v>
      </c>
      <c r="DI4998">
        <v>1</v>
      </c>
      <c r="DJ4998">
        <v>0</v>
      </c>
      <c r="DK4998">
        <v>1</v>
      </c>
      <c r="DL4998">
        <v>0</v>
      </c>
      <c r="DM4998">
        <v>0</v>
      </c>
      <c r="DN4998">
        <v>0</v>
      </c>
      <c r="DO4998">
        <v>0</v>
      </c>
      <c r="DP4998">
        <v>0</v>
      </c>
      <c r="DQ4998">
        <v>0</v>
      </c>
      <c r="DR4998">
        <v>0</v>
      </c>
      <c r="DS4998">
        <v>0</v>
      </c>
    </row>
    <row r="4999" spans="1:123" x14ac:dyDescent="0.3">
      <c r="A4999" t="str">
        <f>"05/01/2025 15:18:25.194"</f>
        <v>05/01/2025 15:18:25.194</v>
      </c>
      <c r="C4999" t="str">
        <f t="shared" si="1976"/>
        <v>FFDFD3C0</v>
      </c>
      <c r="D4999" t="s">
        <v>145</v>
      </c>
      <c r="E4999" t="str">
        <f>"05"</f>
        <v>05</v>
      </c>
      <c r="H4999">
        <v>47</v>
      </c>
      <c r="I4999" t="s">
        <v>146</v>
      </c>
      <c r="J4999" t="s">
        <v>138</v>
      </c>
      <c r="K4999">
        <v>0</v>
      </c>
      <c r="L4999">
        <v>3</v>
      </c>
      <c r="M4999">
        <v>0</v>
      </c>
      <c r="N4999">
        <v>2</v>
      </c>
      <c r="O4999">
        <v>0</v>
      </c>
      <c r="P4999">
        <v>1</v>
      </c>
      <c r="Q4999">
        <v>0</v>
      </c>
      <c r="R4999" t="s">
        <v>127</v>
      </c>
      <c r="S4999" t="str">
        <f t="shared" si="1977"/>
        <v>15:18:24.000</v>
      </c>
      <c r="T4999" t="str">
        <f t="shared" si="1977"/>
        <v>15:18:24.000</v>
      </c>
      <c r="U4999" t="str">
        <f t="shared" si="1978"/>
        <v>A68FCB</v>
      </c>
      <c r="V4999">
        <v>0</v>
      </c>
      <c r="W4999">
        <v>0</v>
      </c>
      <c r="X4999">
        <v>2</v>
      </c>
      <c r="Y4999">
        <v>0</v>
      </c>
      <c r="AA4999">
        <v>1</v>
      </c>
      <c r="AB4999">
        <v>8</v>
      </c>
      <c r="AC4999">
        <v>3</v>
      </c>
      <c r="AD4999">
        <v>0</v>
      </c>
      <c r="AE4999">
        <v>9</v>
      </c>
      <c r="AF4999" t="s">
        <v>138</v>
      </c>
      <c r="AG4999">
        <v>0</v>
      </c>
      <c r="AH4999">
        <v>3</v>
      </c>
      <c r="AI4999">
        <v>2</v>
      </c>
      <c r="AJ4999">
        <v>0</v>
      </c>
      <c r="AK4999" t="s">
        <v>1577</v>
      </c>
      <c r="AL4999">
        <v>39.235653999999997</v>
      </c>
      <c r="AM4999" t="s">
        <v>1580</v>
      </c>
      <c r="AN4999">
        <v>-121.010177</v>
      </c>
      <c r="AO4999">
        <v>25</v>
      </c>
      <c r="AP4999">
        <v>4000</v>
      </c>
      <c r="AQ4999" t="s">
        <v>131</v>
      </c>
      <c r="AR4999">
        <v>-106</v>
      </c>
      <c r="AS4999">
        <v>-8</v>
      </c>
      <c r="AT4999">
        <v>-256</v>
      </c>
      <c r="BB4999" t="str">
        <f t="shared" si="1979"/>
        <v>1200</v>
      </c>
      <c r="BC4999">
        <v>1</v>
      </c>
      <c r="BD4999" t="str">
        <f t="shared" si="1980"/>
        <v xml:space="preserve">N52156  </v>
      </c>
      <c r="BE4999">
        <v>1</v>
      </c>
      <c r="BG4999">
        <v>0</v>
      </c>
      <c r="BH4999">
        <v>0</v>
      </c>
      <c r="BI4999">
        <v>0</v>
      </c>
      <c r="BJ4999">
        <v>4025</v>
      </c>
      <c r="BK4999">
        <v>25</v>
      </c>
      <c r="BL4999" t="s">
        <v>188</v>
      </c>
      <c r="BM4999">
        <v>1</v>
      </c>
      <c r="BN4999">
        <v>1</v>
      </c>
      <c r="BO4999">
        <v>0</v>
      </c>
      <c r="BP4999">
        <v>0</v>
      </c>
      <c r="BS4999">
        <v>0</v>
      </c>
      <c r="BT4999">
        <v>0</v>
      </c>
      <c r="BU4999">
        <v>0</v>
      </c>
      <c r="CE4999" t="str">
        <f t="shared" si="1981"/>
        <v>15:18:24.949</v>
      </c>
      <c r="CF4999">
        <v>948511274</v>
      </c>
      <c r="CS4999">
        <v>0</v>
      </c>
      <c r="CT4999">
        <v>2</v>
      </c>
      <c r="CU4999">
        <v>0</v>
      </c>
      <c r="CV4999">
        <v>2</v>
      </c>
      <c r="CW4999">
        <v>0</v>
      </c>
      <c r="CX4999">
        <v>1</v>
      </c>
      <c r="CY4999">
        <v>7</v>
      </c>
      <c r="CZ4999" t="s">
        <v>133</v>
      </c>
      <c r="DA4999">
        <v>275</v>
      </c>
      <c r="DB4999">
        <v>0</v>
      </c>
      <c r="DC4999" t="s">
        <v>134</v>
      </c>
      <c r="DD4999" t="s">
        <v>135</v>
      </c>
      <c r="DG4999">
        <v>3323489</v>
      </c>
      <c r="DI4999">
        <v>1</v>
      </c>
      <c r="DJ4999">
        <v>0</v>
      </c>
      <c r="DK4999">
        <v>1</v>
      </c>
      <c r="DL4999">
        <v>0</v>
      </c>
      <c r="DM4999">
        <v>0</v>
      </c>
      <c r="DN4999">
        <v>0</v>
      </c>
      <c r="DO4999">
        <v>0</v>
      </c>
      <c r="DP4999">
        <v>0</v>
      </c>
      <c r="DQ4999">
        <v>0</v>
      </c>
      <c r="DR4999">
        <v>0</v>
      </c>
      <c r="DS4999">
        <v>0</v>
      </c>
    </row>
    <row r="5000" spans="1:123" x14ac:dyDescent="0.3">
      <c r="A5000" t="str">
        <f>"05/01/2025 15:18:25.743"</f>
        <v>05/01/2025 15:18:25.743</v>
      </c>
      <c r="C5000" t="str">
        <f t="shared" si="1976"/>
        <v>FFDFD3C0</v>
      </c>
      <c r="D5000" t="s">
        <v>145</v>
      </c>
      <c r="E5000" t="str">
        <f>"09"</f>
        <v>09</v>
      </c>
      <c r="H5000">
        <v>51</v>
      </c>
      <c r="I5000" t="s">
        <v>147</v>
      </c>
      <c r="J5000" t="s">
        <v>138</v>
      </c>
      <c r="K5000">
        <v>0</v>
      </c>
      <c r="L5000">
        <v>3</v>
      </c>
      <c r="M5000">
        <v>0</v>
      </c>
      <c r="N5000">
        <v>2</v>
      </c>
      <c r="O5000">
        <v>0</v>
      </c>
      <c r="P5000">
        <v>1</v>
      </c>
      <c r="Q5000">
        <v>0</v>
      </c>
      <c r="R5000" t="s">
        <v>127</v>
      </c>
      <c r="S5000" t="str">
        <f t="shared" ref="S5000:T5005" si="1982">"15:18:25.000"</f>
        <v>15:18:25.000</v>
      </c>
      <c r="T5000" t="str">
        <f t="shared" si="1982"/>
        <v>15:18:25.000</v>
      </c>
      <c r="U5000" t="str">
        <f t="shared" si="1978"/>
        <v>A68FCB</v>
      </c>
      <c r="V5000">
        <v>0</v>
      </c>
      <c r="W5000">
        <v>0</v>
      </c>
      <c r="X5000">
        <v>2</v>
      </c>
      <c r="Y5000">
        <v>0</v>
      </c>
      <c r="AA5000">
        <v>1</v>
      </c>
      <c r="AB5000">
        <v>8</v>
      </c>
      <c r="AC5000">
        <v>3</v>
      </c>
      <c r="AD5000">
        <v>0</v>
      </c>
      <c r="AE5000">
        <v>9</v>
      </c>
      <c r="AF5000" t="s">
        <v>138</v>
      </c>
      <c r="AG5000">
        <v>0</v>
      </c>
      <c r="AH5000">
        <v>3</v>
      </c>
      <c r="AI5000">
        <v>2</v>
      </c>
      <c r="AJ5000">
        <v>0</v>
      </c>
      <c r="AK5000" t="s">
        <v>1581</v>
      </c>
      <c r="AL5000">
        <v>39.235610999999999</v>
      </c>
      <c r="AM5000" t="s">
        <v>1582</v>
      </c>
      <c r="AN5000">
        <v>-121.01079900000001</v>
      </c>
      <c r="AO5000">
        <v>25</v>
      </c>
      <c r="AP5000">
        <v>4000</v>
      </c>
      <c r="AQ5000" t="s">
        <v>131</v>
      </c>
      <c r="AR5000">
        <v>-105</v>
      </c>
      <c r="AS5000">
        <v>-9</v>
      </c>
      <c r="AT5000">
        <v>-320</v>
      </c>
      <c r="BB5000" t="str">
        <f t="shared" si="1979"/>
        <v>1200</v>
      </c>
      <c r="BC5000">
        <v>1</v>
      </c>
      <c r="BD5000" t="str">
        <f t="shared" si="1980"/>
        <v xml:space="preserve">N52156  </v>
      </c>
      <c r="BE5000">
        <v>1</v>
      </c>
      <c r="BG5000">
        <v>0</v>
      </c>
      <c r="BH5000">
        <v>0</v>
      </c>
      <c r="BI5000">
        <v>0</v>
      </c>
      <c r="BJ5000">
        <v>4025</v>
      </c>
      <c r="BK5000">
        <v>25</v>
      </c>
      <c r="BL5000" t="s">
        <v>188</v>
      </c>
      <c r="BM5000">
        <v>1</v>
      </c>
      <c r="BN5000">
        <v>1</v>
      </c>
      <c r="BO5000">
        <v>0</v>
      </c>
      <c r="BP5000">
        <v>0</v>
      </c>
      <c r="BS5000">
        <v>0</v>
      </c>
      <c r="BT5000">
        <v>0</v>
      </c>
      <c r="BU5000">
        <v>0</v>
      </c>
      <c r="CE5000" t="str">
        <f t="shared" ref="CE5000:CE5005" si="1983">"15:18:25.519"</f>
        <v>15:18:25.519</v>
      </c>
      <c r="CF5000">
        <v>518510088</v>
      </c>
      <c r="CS5000">
        <v>0</v>
      </c>
      <c r="CT5000">
        <v>2</v>
      </c>
      <c r="CU5000">
        <v>0</v>
      </c>
      <c r="CV5000">
        <v>2</v>
      </c>
      <c r="CW5000">
        <v>0</v>
      </c>
      <c r="CX5000">
        <v>1</v>
      </c>
      <c r="CY5000">
        <v>7</v>
      </c>
      <c r="CZ5000" t="s">
        <v>133</v>
      </c>
      <c r="DA5000">
        <v>275</v>
      </c>
      <c r="DB5000">
        <v>0</v>
      </c>
      <c r="DC5000" t="s">
        <v>134</v>
      </c>
      <c r="DD5000" t="s">
        <v>135</v>
      </c>
      <c r="DG5000">
        <v>3323492</v>
      </c>
      <c r="DI5000">
        <v>1</v>
      </c>
      <c r="DJ5000">
        <v>0</v>
      </c>
      <c r="DK5000">
        <v>0</v>
      </c>
      <c r="DL5000">
        <v>0</v>
      </c>
      <c r="DM5000">
        <v>0</v>
      </c>
      <c r="DN5000">
        <v>0</v>
      </c>
      <c r="DO5000">
        <v>0</v>
      </c>
      <c r="DP5000">
        <v>0</v>
      </c>
      <c r="DQ5000">
        <v>0</v>
      </c>
      <c r="DR5000">
        <v>0</v>
      </c>
      <c r="DS5000">
        <v>0</v>
      </c>
    </row>
    <row r="5001" spans="1:123" x14ac:dyDescent="0.3">
      <c r="A5001" t="str">
        <f>"05/01/2025 15:18:25.745"</f>
        <v>05/01/2025 15:18:25.745</v>
      </c>
      <c r="C5001" t="str">
        <f t="shared" si="1976"/>
        <v>FFDFD3C0</v>
      </c>
      <c r="D5001" t="s">
        <v>145</v>
      </c>
      <c r="E5001" t="str">
        <f>"05"</f>
        <v>05</v>
      </c>
      <c r="H5001">
        <v>47</v>
      </c>
      <c r="I5001" t="s">
        <v>146</v>
      </c>
      <c r="J5001" t="s">
        <v>138</v>
      </c>
      <c r="K5001">
        <v>0</v>
      </c>
      <c r="L5001">
        <v>3</v>
      </c>
      <c r="M5001">
        <v>0</v>
      </c>
      <c r="N5001">
        <v>2</v>
      </c>
      <c r="O5001">
        <v>0</v>
      </c>
      <c r="P5001">
        <v>1</v>
      </c>
      <c r="Q5001">
        <v>0</v>
      </c>
      <c r="R5001" t="s">
        <v>127</v>
      </c>
      <c r="S5001" t="str">
        <f t="shared" si="1982"/>
        <v>15:18:25.000</v>
      </c>
      <c r="T5001" t="str">
        <f t="shared" si="1982"/>
        <v>15:18:25.000</v>
      </c>
      <c r="U5001" t="str">
        <f t="shared" si="1978"/>
        <v>A68FCB</v>
      </c>
      <c r="V5001">
        <v>0</v>
      </c>
      <c r="W5001">
        <v>0</v>
      </c>
      <c r="X5001">
        <v>2</v>
      </c>
      <c r="Y5001">
        <v>0</v>
      </c>
      <c r="AA5001">
        <v>1</v>
      </c>
      <c r="AB5001">
        <v>8</v>
      </c>
      <c r="AC5001">
        <v>3</v>
      </c>
      <c r="AD5001">
        <v>0</v>
      </c>
      <c r="AE5001">
        <v>9</v>
      </c>
      <c r="AF5001" t="s">
        <v>138</v>
      </c>
      <c r="AG5001">
        <v>0</v>
      </c>
      <c r="AH5001">
        <v>3</v>
      </c>
      <c r="AI5001">
        <v>2</v>
      </c>
      <c r="AJ5001">
        <v>0</v>
      </c>
      <c r="AK5001" t="s">
        <v>1581</v>
      </c>
      <c r="AL5001">
        <v>39.235610999999999</v>
      </c>
      <c r="AM5001" t="s">
        <v>1582</v>
      </c>
      <c r="AN5001">
        <v>-121.01079900000001</v>
      </c>
      <c r="AO5001">
        <v>25</v>
      </c>
      <c r="AP5001">
        <v>4000</v>
      </c>
      <c r="AQ5001" t="s">
        <v>131</v>
      </c>
      <c r="AR5001">
        <v>-105</v>
      </c>
      <c r="AS5001">
        <v>-9</v>
      </c>
      <c r="AT5001">
        <v>-320</v>
      </c>
      <c r="BB5001" t="str">
        <f t="shared" si="1979"/>
        <v>1200</v>
      </c>
      <c r="BC5001">
        <v>1</v>
      </c>
      <c r="BD5001" t="str">
        <f t="shared" si="1980"/>
        <v xml:space="preserve">N52156  </v>
      </c>
      <c r="BE5001">
        <v>1</v>
      </c>
      <c r="BG5001">
        <v>0</v>
      </c>
      <c r="BH5001">
        <v>0</v>
      </c>
      <c r="BI5001">
        <v>0</v>
      </c>
      <c r="BJ5001">
        <v>4025</v>
      </c>
      <c r="BK5001">
        <v>25</v>
      </c>
      <c r="BL5001" t="s">
        <v>188</v>
      </c>
      <c r="BM5001">
        <v>1</v>
      </c>
      <c r="BN5001">
        <v>1</v>
      </c>
      <c r="BO5001">
        <v>0</v>
      </c>
      <c r="BP5001">
        <v>0</v>
      </c>
      <c r="BS5001">
        <v>0</v>
      </c>
      <c r="BT5001">
        <v>0</v>
      </c>
      <c r="BU5001">
        <v>0</v>
      </c>
      <c r="CE5001" t="str">
        <f t="shared" si="1983"/>
        <v>15:18:25.519</v>
      </c>
      <c r="CF5001">
        <v>518510088</v>
      </c>
      <c r="CS5001">
        <v>0</v>
      </c>
      <c r="CT5001">
        <v>2</v>
      </c>
      <c r="CU5001">
        <v>0</v>
      </c>
      <c r="CV5001">
        <v>2</v>
      </c>
      <c r="CW5001">
        <v>0</v>
      </c>
      <c r="CX5001">
        <v>1</v>
      </c>
      <c r="CY5001">
        <v>7</v>
      </c>
      <c r="CZ5001" t="s">
        <v>133</v>
      </c>
      <c r="DA5001">
        <v>275</v>
      </c>
      <c r="DB5001">
        <v>0</v>
      </c>
      <c r="DC5001" t="s">
        <v>134</v>
      </c>
      <c r="DD5001" t="s">
        <v>135</v>
      </c>
      <c r="DG5001">
        <v>3323492</v>
      </c>
      <c r="DI5001">
        <v>1</v>
      </c>
      <c r="DJ5001">
        <v>0</v>
      </c>
      <c r="DK5001">
        <v>1</v>
      </c>
      <c r="DL5001">
        <v>0</v>
      </c>
      <c r="DM5001">
        <v>0</v>
      </c>
      <c r="DN5001">
        <v>0</v>
      </c>
      <c r="DO5001">
        <v>0</v>
      </c>
      <c r="DP5001">
        <v>0</v>
      </c>
      <c r="DQ5001">
        <v>0</v>
      </c>
      <c r="DR5001">
        <v>0</v>
      </c>
      <c r="DS5001">
        <v>0</v>
      </c>
    </row>
    <row r="5002" spans="1:123" x14ac:dyDescent="0.3">
      <c r="A5002" t="str">
        <f>"05/01/2025 15:18:25.753"</f>
        <v>05/01/2025 15:18:25.753</v>
      </c>
      <c r="C5002" t="str">
        <f t="shared" si="1976"/>
        <v>FFDFD3C0</v>
      </c>
      <c r="D5002" t="s">
        <v>136</v>
      </c>
      <c r="E5002" t="str">
        <f>"20"</f>
        <v>20</v>
      </c>
      <c r="H5002">
        <v>400</v>
      </c>
      <c r="I5002" t="s">
        <v>137</v>
      </c>
      <c r="J5002" t="s">
        <v>138</v>
      </c>
      <c r="K5002">
        <v>0</v>
      </c>
      <c r="L5002">
        <v>3</v>
      </c>
      <c r="M5002">
        <v>0</v>
      </c>
      <c r="N5002">
        <v>2</v>
      </c>
      <c r="O5002">
        <v>0</v>
      </c>
      <c r="P5002">
        <v>1</v>
      </c>
      <c r="Q5002">
        <v>0</v>
      </c>
      <c r="R5002" t="s">
        <v>127</v>
      </c>
      <c r="S5002" t="str">
        <f t="shared" si="1982"/>
        <v>15:18:25.000</v>
      </c>
      <c r="T5002" t="str">
        <f t="shared" si="1982"/>
        <v>15:18:25.000</v>
      </c>
      <c r="U5002" t="str">
        <f t="shared" si="1978"/>
        <v>A68FCB</v>
      </c>
      <c r="V5002">
        <v>0</v>
      </c>
      <c r="W5002">
        <v>0</v>
      </c>
      <c r="X5002">
        <v>2</v>
      </c>
      <c r="Y5002">
        <v>0</v>
      </c>
      <c r="AA5002">
        <v>1</v>
      </c>
      <c r="AB5002">
        <v>8</v>
      </c>
      <c r="AC5002">
        <v>3</v>
      </c>
      <c r="AD5002">
        <v>0</v>
      </c>
      <c r="AE5002">
        <v>9</v>
      </c>
      <c r="AF5002" t="s">
        <v>138</v>
      </c>
      <c r="AG5002">
        <v>0</v>
      </c>
      <c r="AH5002">
        <v>3</v>
      </c>
      <c r="AI5002">
        <v>2</v>
      </c>
      <c r="AJ5002">
        <v>0</v>
      </c>
      <c r="AK5002" t="s">
        <v>1581</v>
      </c>
      <c r="AL5002">
        <v>39.235610999999999</v>
      </c>
      <c r="AM5002" t="s">
        <v>1582</v>
      </c>
      <c r="AN5002">
        <v>-121.01079900000001</v>
      </c>
      <c r="AO5002">
        <v>25</v>
      </c>
      <c r="AP5002">
        <v>4000</v>
      </c>
      <c r="AQ5002" t="s">
        <v>131</v>
      </c>
      <c r="AR5002">
        <v>-105</v>
      </c>
      <c r="AS5002">
        <v>-9</v>
      </c>
      <c r="AT5002">
        <v>-320</v>
      </c>
      <c r="BB5002" t="str">
        <f t="shared" si="1979"/>
        <v>1200</v>
      </c>
      <c r="BC5002">
        <v>1</v>
      </c>
      <c r="BD5002" t="str">
        <f t="shared" si="1980"/>
        <v xml:space="preserve">N52156  </v>
      </c>
      <c r="BE5002">
        <v>1</v>
      </c>
      <c r="BG5002">
        <v>0</v>
      </c>
      <c r="BH5002">
        <v>0</v>
      </c>
      <c r="BI5002">
        <v>0</v>
      </c>
      <c r="BJ5002">
        <v>4025</v>
      </c>
      <c r="BK5002">
        <v>25</v>
      </c>
      <c r="BL5002" t="s">
        <v>188</v>
      </c>
      <c r="BM5002">
        <v>1</v>
      </c>
      <c r="BN5002">
        <v>1</v>
      </c>
      <c r="BO5002">
        <v>0</v>
      </c>
      <c r="BP5002">
        <v>0</v>
      </c>
      <c r="BS5002">
        <v>0</v>
      </c>
      <c r="BT5002">
        <v>0</v>
      </c>
      <c r="BU5002">
        <v>0</v>
      </c>
      <c r="CE5002" t="str">
        <f t="shared" si="1983"/>
        <v>15:18:25.519</v>
      </c>
      <c r="CF5002">
        <v>518510088</v>
      </c>
      <c r="CS5002">
        <v>0</v>
      </c>
      <c r="CT5002">
        <v>2</v>
      </c>
      <c r="CU5002">
        <v>0</v>
      </c>
      <c r="CV5002">
        <v>2</v>
      </c>
      <c r="CW5002">
        <v>0</v>
      </c>
      <c r="CX5002">
        <v>1</v>
      </c>
      <c r="CY5002">
        <v>7</v>
      </c>
      <c r="CZ5002" t="s">
        <v>133</v>
      </c>
      <c r="DA5002">
        <v>275</v>
      </c>
      <c r="DB5002">
        <v>0</v>
      </c>
      <c r="DC5002" t="s">
        <v>134</v>
      </c>
      <c r="DD5002" t="s">
        <v>135</v>
      </c>
      <c r="DG5002">
        <v>3323492</v>
      </c>
      <c r="DI5002">
        <v>1</v>
      </c>
      <c r="DJ5002">
        <v>0</v>
      </c>
      <c r="DK5002">
        <v>1</v>
      </c>
      <c r="DL5002">
        <v>0</v>
      </c>
      <c r="DM5002">
        <v>0</v>
      </c>
      <c r="DN5002">
        <v>0</v>
      </c>
      <c r="DO5002">
        <v>0</v>
      </c>
      <c r="DP5002">
        <v>0</v>
      </c>
      <c r="DQ5002">
        <v>0</v>
      </c>
      <c r="DR5002">
        <v>0</v>
      </c>
      <c r="DS5002">
        <v>0</v>
      </c>
    </row>
    <row r="5003" spans="1:123" x14ac:dyDescent="0.3">
      <c r="A5003" t="str">
        <f>"05/01/2025 15:18:25.769"</f>
        <v>05/01/2025 15:18:25.769</v>
      </c>
      <c r="C5003" t="str">
        <f t="shared" si="1976"/>
        <v>FFDFD3C0</v>
      </c>
      <c r="D5003" t="s">
        <v>140</v>
      </c>
      <c r="E5003" t="str">
        <f>"13"</f>
        <v>13</v>
      </c>
      <c r="F5003">
        <v>1019</v>
      </c>
      <c r="G5003" t="s">
        <v>141</v>
      </c>
      <c r="J5003" t="s">
        <v>142</v>
      </c>
      <c r="K5003">
        <v>0</v>
      </c>
      <c r="L5003">
        <v>3</v>
      </c>
      <c r="M5003">
        <v>0</v>
      </c>
      <c r="N5003">
        <v>2</v>
      </c>
      <c r="O5003">
        <v>0</v>
      </c>
      <c r="P5003">
        <v>1</v>
      </c>
      <c r="Q5003">
        <v>0</v>
      </c>
      <c r="R5003" t="s">
        <v>127</v>
      </c>
      <c r="S5003" t="str">
        <f t="shared" si="1982"/>
        <v>15:18:25.000</v>
      </c>
      <c r="T5003" t="str">
        <f t="shared" si="1982"/>
        <v>15:18:25.000</v>
      </c>
      <c r="U5003" t="str">
        <f t="shared" si="1978"/>
        <v>A68FCB</v>
      </c>
      <c r="V5003">
        <v>0</v>
      </c>
      <c r="W5003">
        <v>0</v>
      </c>
      <c r="X5003">
        <v>2</v>
      </c>
      <c r="Y5003">
        <v>0</v>
      </c>
      <c r="AA5003">
        <v>1</v>
      </c>
      <c r="AB5003">
        <v>8</v>
      </c>
      <c r="AC5003">
        <v>3</v>
      </c>
      <c r="AD5003">
        <v>0</v>
      </c>
      <c r="AE5003">
        <v>9</v>
      </c>
      <c r="AF5003" t="s">
        <v>138</v>
      </c>
      <c r="AG5003">
        <v>0</v>
      </c>
      <c r="AH5003">
        <v>3</v>
      </c>
      <c r="AI5003">
        <v>2</v>
      </c>
      <c r="AJ5003">
        <v>0</v>
      </c>
      <c r="AK5003" t="s">
        <v>1581</v>
      </c>
      <c r="AL5003">
        <v>39.235610999999999</v>
      </c>
      <c r="AM5003" t="s">
        <v>1582</v>
      </c>
      <c r="AN5003">
        <v>-121.01079900000001</v>
      </c>
      <c r="AO5003">
        <v>25</v>
      </c>
      <c r="AP5003">
        <v>4000</v>
      </c>
      <c r="AQ5003" t="s">
        <v>131</v>
      </c>
      <c r="AR5003">
        <v>-105</v>
      </c>
      <c r="AS5003">
        <v>-9</v>
      </c>
      <c r="AT5003">
        <v>-320</v>
      </c>
      <c r="BB5003" t="str">
        <f t="shared" si="1979"/>
        <v>1200</v>
      </c>
      <c r="BC5003">
        <v>1</v>
      </c>
      <c r="BD5003" t="str">
        <f t="shared" si="1980"/>
        <v xml:space="preserve">N52156  </v>
      </c>
      <c r="BE5003">
        <v>1</v>
      </c>
      <c r="BG5003">
        <v>0</v>
      </c>
      <c r="BH5003">
        <v>0</v>
      </c>
      <c r="BI5003">
        <v>0</v>
      </c>
      <c r="BJ5003">
        <v>4025</v>
      </c>
      <c r="BK5003">
        <v>25</v>
      </c>
      <c r="BL5003" t="s">
        <v>188</v>
      </c>
      <c r="BM5003">
        <v>1</v>
      </c>
      <c r="BN5003">
        <v>1</v>
      </c>
      <c r="BO5003">
        <v>0</v>
      </c>
      <c r="BP5003">
        <v>0</v>
      </c>
      <c r="BS5003">
        <v>0</v>
      </c>
      <c r="BT5003">
        <v>0</v>
      </c>
      <c r="BU5003">
        <v>0</v>
      </c>
      <c r="CE5003" t="str">
        <f t="shared" si="1983"/>
        <v>15:18:25.519</v>
      </c>
      <c r="CF5003">
        <v>518510088</v>
      </c>
      <c r="CS5003">
        <v>0</v>
      </c>
      <c r="CT5003">
        <v>2</v>
      </c>
      <c r="CU5003">
        <v>0</v>
      </c>
      <c r="CV5003">
        <v>2</v>
      </c>
      <c r="CW5003">
        <v>0</v>
      </c>
      <c r="CX5003">
        <v>1</v>
      </c>
      <c r="CY5003">
        <v>7</v>
      </c>
      <c r="CZ5003" t="s">
        <v>133</v>
      </c>
      <c r="DA5003">
        <v>275</v>
      </c>
      <c r="DB5003">
        <v>0</v>
      </c>
      <c r="DC5003" t="s">
        <v>134</v>
      </c>
      <c r="DD5003" t="s">
        <v>135</v>
      </c>
      <c r="DG5003">
        <v>3323492</v>
      </c>
      <c r="DI5003">
        <v>1</v>
      </c>
      <c r="DJ5003">
        <v>0</v>
      </c>
      <c r="DK5003">
        <v>1</v>
      </c>
      <c r="DL5003">
        <v>0</v>
      </c>
      <c r="DM5003">
        <v>0</v>
      </c>
      <c r="DN5003">
        <v>0</v>
      </c>
      <c r="DO5003">
        <v>0</v>
      </c>
      <c r="DP5003">
        <v>0</v>
      </c>
      <c r="DQ5003">
        <v>0</v>
      </c>
      <c r="DR5003">
        <v>0</v>
      </c>
      <c r="DS5003">
        <v>0</v>
      </c>
    </row>
    <row r="5004" spans="1:123" x14ac:dyDescent="0.3">
      <c r="A5004" t="str">
        <f>"05/01/2025 15:18:25.772"</f>
        <v>05/01/2025 15:18:25.772</v>
      </c>
      <c r="C5004" t="str">
        <f t="shared" si="1976"/>
        <v>FFDFD3C0</v>
      </c>
      <c r="D5004" t="s">
        <v>124</v>
      </c>
      <c r="E5004" t="str">
        <f>"06"</f>
        <v>06</v>
      </c>
      <c r="F5004">
        <v>2006</v>
      </c>
      <c r="G5004" t="s">
        <v>125</v>
      </c>
      <c r="J5004" t="s">
        <v>126</v>
      </c>
      <c r="K5004">
        <v>0</v>
      </c>
      <c r="L5004">
        <v>3</v>
      </c>
      <c r="M5004">
        <v>0</v>
      </c>
      <c r="N5004">
        <v>2</v>
      </c>
      <c r="O5004">
        <v>0</v>
      </c>
      <c r="P5004">
        <v>1</v>
      </c>
      <c r="Q5004">
        <v>0</v>
      </c>
      <c r="R5004" t="s">
        <v>127</v>
      </c>
      <c r="S5004" t="str">
        <f t="shared" si="1982"/>
        <v>15:18:25.000</v>
      </c>
      <c r="T5004" t="str">
        <f t="shared" si="1982"/>
        <v>15:18:25.000</v>
      </c>
      <c r="U5004" t="str">
        <f t="shared" si="1978"/>
        <v>A68FCB</v>
      </c>
      <c r="V5004">
        <v>0</v>
      </c>
      <c r="W5004">
        <v>0</v>
      </c>
      <c r="X5004">
        <v>2</v>
      </c>
      <c r="Y5004">
        <v>0</v>
      </c>
      <c r="AA5004">
        <v>1</v>
      </c>
      <c r="AB5004">
        <v>8</v>
      </c>
      <c r="AC5004">
        <v>3</v>
      </c>
      <c r="AD5004">
        <v>0</v>
      </c>
      <c r="AE5004">
        <v>9</v>
      </c>
      <c r="AF5004" t="s">
        <v>138</v>
      </c>
      <c r="AG5004">
        <v>0</v>
      </c>
      <c r="AH5004">
        <v>3</v>
      </c>
      <c r="AI5004">
        <v>2</v>
      </c>
      <c r="AJ5004">
        <v>0</v>
      </c>
      <c r="AK5004" t="s">
        <v>1581</v>
      </c>
      <c r="AL5004">
        <v>39.235610999999999</v>
      </c>
      <c r="AM5004" t="s">
        <v>1582</v>
      </c>
      <c r="AN5004">
        <v>-121.01079900000001</v>
      </c>
      <c r="AO5004">
        <v>25</v>
      </c>
      <c r="AP5004">
        <v>4000</v>
      </c>
      <c r="AQ5004" t="s">
        <v>131</v>
      </c>
      <c r="AR5004">
        <v>-105</v>
      </c>
      <c r="AS5004">
        <v>-9</v>
      </c>
      <c r="AT5004">
        <v>-320</v>
      </c>
      <c r="BB5004" t="str">
        <f t="shared" si="1979"/>
        <v>1200</v>
      </c>
      <c r="BC5004">
        <v>1</v>
      </c>
      <c r="BD5004" t="str">
        <f t="shared" si="1980"/>
        <v xml:space="preserve">N52156  </v>
      </c>
      <c r="BE5004">
        <v>1</v>
      </c>
      <c r="BG5004">
        <v>0</v>
      </c>
      <c r="BH5004">
        <v>0</v>
      </c>
      <c r="BI5004">
        <v>0</v>
      </c>
      <c r="BJ5004">
        <v>4025</v>
      </c>
      <c r="BK5004">
        <v>25</v>
      </c>
      <c r="BL5004" t="s">
        <v>188</v>
      </c>
      <c r="BM5004">
        <v>1</v>
      </c>
      <c r="BN5004">
        <v>1</v>
      </c>
      <c r="BO5004">
        <v>0</v>
      </c>
      <c r="BP5004">
        <v>0</v>
      </c>
      <c r="BS5004">
        <v>0</v>
      </c>
      <c r="BT5004">
        <v>0</v>
      </c>
      <c r="BU5004">
        <v>0</v>
      </c>
      <c r="CE5004" t="str">
        <f t="shared" si="1983"/>
        <v>15:18:25.519</v>
      </c>
      <c r="CF5004">
        <v>518510088</v>
      </c>
      <c r="CS5004">
        <v>0</v>
      </c>
      <c r="CT5004">
        <v>2</v>
      </c>
      <c r="CU5004">
        <v>0</v>
      </c>
      <c r="CV5004">
        <v>2</v>
      </c>
      <c r="CW5004">
        <v>0</v>
      </c>
      <c r="CX5004">
        <v>1</v>
      </c>
      <c r="CY5004">
        <v>7</v>
      </c>
      <c r="CZ5004" t="s">
        <v>133</v>
      </c>
      <c r="DA5004">
        <v>275</v>
      </c>
      <c r="DB5004">
        <v>0</v>
      </c>
      <c r="DC5004" t="s">
        <v>134</v>
      </c>
      <c r="DD5004" t="s">
        <v>135</v>
      </c>
      <c r="DG5004">
        <v>3323492</v>
      </c>
      <c r="DI5004">
        <v>1</v>
      </c>
      <c r="DJ5004">
        <v>0</v>
      </c>
      <c r="DK5004">
        <v>1</v>
      </c>
      <c r="DL5004">
        <v>0</v>
      </c>
      <c r="DM5004">
        <v>0</v>
      </c>
      <c r="DN5004">
        <v>0</v>
      </c>
      <c r="DO5004">
        <v>0</v>
      </c>
      <c r="DP5004">
        <v>0</v>
      </c>
      <c r="DQ5004">
        <v>0</v>
      </c>
      <c r="DR5004">
        <v>0</v>
      </c>
      <c r="DS5004">
        <v>0</v>
      </c>
    </row>
    <row r="5005" spans="1:123" x14ac:dyDescent="0.3">
      <c r="A5005" t="str">
        <f>"05/01/2025 15:18:25.780"</f>
        <v>05/01/2025 15:18:25.780</v>
      </c>
      <c r="C5005" t="str">
        <f t="shared" si="1976"/>
        <v>FFDFD3C0</v>
      </c>
      <c r="D5005" t="s">
        <v>143</v>
      </c>
      <c r="E5005" t="str">
        <f>"05"</f>
        <v>05</v>
      </c>
      <c r="H5005">
        <v>172</v>
      </c>
      <c r="I5005" t="s">
        <v>141</v>
      </c>
      <c r="J5005" t="s">
        <v>144</v>
      </c>
      <c r="K5005">
        <v>0</v>
      </c>
      <c r="L5005">
        <v>3</v>
      </c>
      <c r="M5005">
        <v>0</v>
      </c>
      <c r="N5005">
        <v>2</v>
      </c>
      <c r="O5005">
        <v>0</v>
      </c>
      <c r="P5005">
        <v>1</v>
      </c>
      <c r="Q5005">
        <v>0</v>
      </c>
      <c r="R5005" t="s">
        <v>127</v>
      </c>
      <c r="S5005" t="str">
        <f t="shared" si="1982"/>
        <v>15:18:25.000</v>
      </c>
      <c r="T5005" t="str">
        <f t="shared" si="1982"/>
        <v>15:18:25.000</v>
      </c>
      <c r="U5005" t="str">
        <f t="shared" si="1978"/>
        <v>A68FCB</v>
      </c>
      <c r="V5005">
        <v>0</v>
      </c>
      <c r="W5005">
        <v>0</v>
      </c>
      <c r="X5005">
        <v>2</v>
      </c>
      <c r="Y5005">
        <v>0</v>
      </c>
      <c r="AA5005">
        <v>1</v>
      </c>
      <c r="AB5005">
        <v>8</v>
      </c>
      <c r="AC5005">
        <v>3</v>
      </c>
      <c r="AD5005">
        <v>0</v>
      </c>
      <c r="AE5005">
        <v>9</v>
      </c>
      <c r="AF5005" t="s">
        <v>138</v>
      </c>
      <c r="AG5005">
        <v>0</v>
      </c>
      <c r="AH5005">
        <v>3</v>
      </c>
      <c r="AI5005">
        <v>2</v>
      </c>
      <c r="AJ5005">
        <v>0</v>
      </c>
      <c r="AK5005" t="s">
        <v>1581</v>
      </c>
      <c r="AL5005">
        <v>39.235610999999999</v>
      </c>
      <c r="AM5005" t="s">
        <v>1582</v>
      </c>
      <c r="AN5005">
        <v>-121.01079900000001</v>
      </c>
      <c r="AO5005">
        <v>25</v>
      </c>
      <c r="AP5005">
        <v>4000</v>
      </c>
      <c r="AQ5005" t="s">
        <v>131</v>
      </c>
      <c r="AR5005">
        <v>-105</v>
      </c>
      <c r="AS5005">
        <v>-9</v>
      </c>
      <c r="AT5005">
        <v>-320</v>
      </c>
      <c r="BB5005" t="str">
        <f t="shared" si="1979"/>
        <v>1200</v>
      </c>
      <c r="BC5005">
        <v>1</v>
      </c>
      <c r="BD5005" t="str">
        <f t="shared" si="1980"/>
        <v xml:space="preserve">N52156  </v>
      </c>
      <c r="BE5005">
        <v>1</v>
      </c>
      <c r="BG5005">
        <v>0</v>
      </c>
      <c r="BH5005">
        <v>0</v>
      </c>
      <c r="BI5005">
        <v>0</v>
      </c>
      <c r="BJ5005">
        <v>4025</v>
      </c>
      <c r="BK5005">
        <v>25</v>
      </c>
      <c r="BL5005" t="s">
        <v>188</v>
      </c>
      <c r="BM5005">
        <v>1</v>
      </c>
      <c r="BN5005">
        <v>1</v>
      </c>
      <c r="BO5005">
        <v>0</v>
      </c>
      <c r="BP5005">
        <v>0</v>
      </c>
      <c r="BS5005">
        <v>0</v>
      </c>
      <c r="BT5005">
        <v>0</v>
      </c>
      <c r="BU5005">
        <v>0</v>
      </c>
      <c r="CE5005" t="str">
        <f t="shared" si="1983"/>
        <v>15:18:25.519</v>
      </c>
      <c r="CF5005">
        <v>518510088</v>
      </c>
      <c r="CS5005">
        <v>0</v>
      </c>
      <c r="CT5005">
        <v>2</v>
      </c>
      <c r="CU5005">
        <v>0</v>
      </c>
      <c r="CV5005">
        <v>2</v>
      </c>
      <c r="CW5005">
        <v>0</v>
      </c>
      <c r="CX5005">
        <v>1</v>
      </c>
      <c r="CY5005">
        <v>7</v>
      </c>
      <c r="CZ5005" t="s">
        <v>133</v>
      </c>
      <c r="DA5005">
        <v>275</v>
      </c>
      <c r="DB5005">
        <v>0</v>
      </c>
      <c r="DC5005" t="s">
        <v>134</v>
      </c>
      <c r="DD5005" t="s">
        <v>135</v>
      </c>
      <c r="DG5005">
        <v>3323492</v>
      </c>
      <c r="DI5005">
        <v>1</v>
      </c>
      <c r="DJ5005">
        <v>0</v>
      </c>
      <c r="DK5005">
        <v>1</v>
      </c>
      <c r="DL5005">
        <v>0</v>
      </c>
      <c r="DM5005">
        <v>0</v>
      </c>
      <c r="DN5005">
        <v>0</v>
      </c>
      <c r="DO5005">
        <v>0</v>
      </c>
      <c r="DP5005">
        <v>0</v>
      </c>
      <c r="DQ5005">
        <v>0</v>
      </c>
      <c r="DR5005">
        <v>0</v>
      </c>
      <c r="DS5005">
        <v>0</v>
      </c>
    </row>
    <row r="5006" spans="1:123" x14ac:dyDescent="0.3">
      <c r="A5006" t="str">
        <f>"05/01/2025 15:18:26.570"</f>
        <v>05/01/2025 15:18:26.570</v>
      </c>
      <c r="C5006" t="str">
        <f t="shared" si="1976"/>
        <v>FFDFD3C0</v>
      </c>
      <c r="D5006" t="s">
        <v>140</v>
      </c>
      <c r="E5006" t="str">
        <f>"13"</f>
        <v>13</v>
      </c>
      <c r="F5006">
        <v>1019</v>
      </c>
      <c r="G5006" t="s">
        <v>141</v>
      </c>
      <c r="J5006" t="s">
        <v>142</v>
      </c>
      <c r="K5006">
        <v>0</v>
      </c>
      <c r="L5006">
        <v>3</v>
      </c>
      <c r="M5006">
        <v>0</v>
      </c>
      <c r="N5006">
        <v>2</v>
      </c>
      <c r="O5006">
        <v>0</v>
      </c>
      <c r="P5006">
        <v>1</v>
      </c>
      <c r="Q5006">
        <v>0</v>
      </c>
      <c r="R5006" t="s">
        <v>127</v>
      </c>
      <c r="S5006" t="str">
        <f t="shared" ref="S5006:T5011" si="1984">"15:18:26.000"</f>
        <v>15:18:26.000</v>
      </c>
      <c r="T5006" t="str">
        <f t="shared" si="1984"/>
        <v>15:18:26.000</v>
      </c>
      <c r="U5006" t="str">
        <f t="shared" si="1978"/>
        <v>A68FCB</v>
      </c>
      <c r="V5006">
        <v>0</v>
      </c>
      <c r="W5006">
        <v>0</v>
      </c>
      <c r="X5006">
        <v>2</v>
      </c>
      <c r="Y5006">
        <v>0</v>
      </c>
      <c r="AA5006">
        <v>1</v>
      </c>
      <c r="AB5006">
        <v>8</v>
      </c>
      <c r="AC5006">
        <v>3</v>
      </c>
      <c r="AD5006">
        <v>0</v>
      </c>
      <c r="AE5006">
        <v>9</v>
      </c>
      <c r="AF5006" t="s">
        <v>138</v>
      </c>
      <c r="AG5006">
        <v>0</v>
      </c>
      <c r="AH5006">
        <v>3</v>
      </c>
      <c r="AI5006">
        <v>2</v>
      </c>
      <c r="AJ5006">
        <v>0</v>
      </c>
      <c r="AK5006" t="s">
        <v>1583</v>
      </c>
      <c r="AL5006">
        <v>39.235568000000001</v>
      </c>
      <c r="AM5006" t="s">
        <v>1584</v>
      </c>
      <c r="AN5006">
        <v>-121.011443</v>
      </c>
      <c r="AO5006">
        <v>25</v>
      </c>
      <c r="AP5006">
        <v>4000</v>
      </c>
      <c r="AQ5006" t="s">
        <v>131</v>
      </c>
      <c r="AR5006">
        <v>-105</v>
      </c>
      <c r="AS5006">
        <v>-10</v>
      </c>
      <c r="AT5006">
        <v>-384</v>
      </c>
      <c r="BB5006" t="str">
        <f t="shared" si="1979"/>
        <v>1200</v>
      </c>
      <c r="BC5006">
        <v>1</v>
      </c>
      <c r="BD5006" t="str">
        <f t="shared" si="1980"/>
        <v xml:space="preserve">N52156  </v>
      </c>
      <c r="BE5006">
        <v>1</v>
      </c>
      <c r="BG5006">
        <v>0</v>
      </c>
      <c r="BH5006">
        <v>0</v>
      </c>
      <c r="BI5006">
        <v>0</v>
      </c>
      <c r="BJ5006">
        <v>4000</v>
      </c>
      <c r="BK5006">
        <v>0</v>
      </c>
      <c r="BL5006" t="s">
        <v>188</v>
      </c>
      <c r="BM5006">
        <v>1</v>
      </c>
      <c r="BN5006">
        <v>1</v>
      </c>
      <c r="BO5006">
        <v>0</v>
      </c>
      <c r="BP5006">
        <v>0</v>
      </c>
      <c r="BS5006">
        <v>0</v>
      </c>
      <c r="BT5006">
        <v>0</v>
      </c>
      <c r="BU5006">
        <v>0</v>
      </c>
      <c r="CE5006" t="str">
        <f t="shared" ref="CE5006:CE5011" si="1985">"15:18:26.342"</f>
        <v>15:18:26.342</v>
      </c>
      <c r="CF5006">
        <v>342009527</v>
      </c>
      <c r="CS5006">
        <v>0</v>
      </c>
      <c r="CT5006">
        <v>2</v>
      </c>
      <c r="CU5006">
        <v>0</v>
      </c>
      <c r="CV5006">
        <v>2</v>
      </c>
      <c r="CW5006">
        <v>0</v>
      </c>
      <c r="CX5006">
        <v>2</v>
      </c>
      <c r="CY5006">
        <v>7</v>
      </c>
      <c r="CZ5006" t="s">
        <v>133</v>
      </c>
      <c r="DA5006">
        <v>275</v>
      </c>
      <c r="DB5006">
        <v>0</v>
      </c>
      <c r="DC5006" t="s">
        <v>134</v>
      </c>
      <c r="DD5006" t="s">
        <v>135</v>
      </c>
      <c r="DG5006">
        <v>3323495</v>
      </c>
      <c r="DI5006">
        <v>1</v>
      </c>
      <c r="DJ5006">
        <v>0</v>
      </c>
      <c r="DK5006">
        <v>0</v>
      </c>
      <c r="DL5006">
        <v>0</v>
      </c>
      <c r="DM5006">
        <v>0</v>
      </c>
      <c r="DN5006">
        <v>0</v>
      </c>
      <c r="DO5006">
        <v>0</v>
      </c>
      <c r="DP5006">
        <v>0</v>
      </c>
      <c r="DQ5006">
        <v>0</v>
      </c>
      <c r="DR5006">
        <v>0</v>
      </c>
      <c r="DS5006">
        <v>0</v>
      </c>
    </row>
    <row r="5007" spans="1:123" x14ac:dyDescent="0.3">
      <c r="A5007" t="str">
        <f>"05/01/2025 15:18:26.574"</f>
        <v>05/01/2025 15:18:26.574</v>
      </c>
      <c r="C5007" t="str">
        <f t="shared" si="1976"/>
        <v>FFDFD3C0</v>
      </c>
      <c r="D5007" t="s">
        <v>124</v>
      </c>
      <c r="E5007" t="str">
        <f>"06"</f>
        <v>06</v>
      </c>
      <c r="F5007">
        <v>2006</v>
      </c>
      <c r="G5007" t="s">
        <v>125</v>
      </c>
      <c r="J5007" t="s">
        <v>126</v>
      </c>
      <c r="K5007">
        <v>0</v>
      </c>
      <c r="L5007">
        <v>3</v>
      </c>
      <c r="M5007">
        <v>0</v>
      </c>
      <c r="N5007">
        <v>2</v>
      </c>
      <c r="O5007">
        <v>0</v>
      </c>
      <c r="P5007">
        <v>1</v>
      </c>
      <c r="Q5007">
        <v>0</v>
      </c>
      <c r="R5007" t="s">
        <v>127</v>
      </c>
      <c r="S5007" t="str">
        <f t="shared" si="1984"/>
        <v>15:18:26.000</v>
      </c>
      <c r="T5007" t="str">
        <f t="shared" si="1984"/>
        <v>15:18:26.000</v>
      </c>
      <c r="U5007" t="str">
        <f t="shared" si="1978"/>
        <v>A68FCB</v>
      </c>
      <c r="V5007">
        <v>0</v>
      </c>
      <c r="W5007">
        <v>0</v>
      </c>
      <c r="X5007">
        <v>2</v>
      </c>
      <c r="Y5007">
        <v>0</v>
      </c>
      <c r="AA5007">
        <v>1</v>
      </c>
      <c r="AB5007">
        <v>8</v>
      </c>
      <c r="AC5007">
        <v>3</v>
      </c>
      <c r="AD5007">
        <v>0</v>
      </c>
      <c r="AE5007">
        <v>9</v>
      </c>
      <c r="AF5007" t="s">
        <v>138</v>
      </c>
      <c r="AG5007">
        <v>0</v>
      </c>
      <c r="AH5007">
        <v>3</v>
      </c>
      <c r="AI5007">
        <v>2</v>
      </c>
      <c r="AJ5007">
        <v>0</v>
      </c>
      <c r="AK5007" t="s">
        <v>1583</v>
      </c>
      <c r="AL5007">
        <v>39.235568000000001</v>
      </c>
      <c r="AM5007" t="s">
        <v>1584</v>
      </c>
      <c r="AN5007">
        <v>-121.011443</v>
      </c>
      <c r="AO5007">
        <v>25</v>
      </c>
      <c r="AP5007">
        <v>4000</v>
      </c>
      <c r="AQ5007" t="s">
        <v>131</v>
      </c>
      <c r="AR5007">
        <v>-105</v>
      </c>
      <c r="AS5007">
        <v>-10</v>
      </c>
      <c r="AT5007">
        <v>-384</v>
      </c>
      <c r="BB5007" t="str">
        <f t="shared" si="1979"/>
        <v>1200</v>
      </c>
      <c r="BC5007">
        <v>1</v>
      </c>
      <c r="BD5007" t="str">
        <f t="shared" si="1980"/>
        <v xml:space="preserve">N52156  </v>
      </c>
      <c r="BE5007">
        <v>1</v>
      </c>
      <c r="BG5007">
        <v>0</v>
      </c>
      <c r="BH5007">
        <v>0</v>
      </c>
      <c r="BI5007">
        <v>0</v>
      </c>
      <c r="BJ5007">
        <v>4000</v>
      </c>
      <c r="BK5007">
        <v>0</v>
      </c>
      <c r="BL5007" t="s">
        <v>188</v>
      </c>
      <c r="BM5007">
        <v>1</v>
      </c>
      <c r="BN5007">
        <v>1</v>
      </c>
      <c r="BO5007">
        <v>0</v>
      </c>
      <c r="BP5007">
        <v>0</v>
      </c>
      <c r="BS5007">
        <v>0</v>
      </c>
      <c r="BT5007">
        <v>0</v>
      </c>
      <c r="BU5007">
        <v>0</v>
      </c>
      <c r="CE5007" t="str">
        <f t="shared" si="1985"/>
        <v>15:18:26.342</v>
      </c>
      <c r="CF5007">
        <v>342009527</v>
      </c>
      <c r="CS5007">
        <v>0</v>
      </c>
      <c r="CT5007">
        <v>2</v>
      </c>
      <c r="CU5007">
        <v>0</v>
      </c>
      <c r="CV5007">
        <v>2</v>
      </c>
      <c r="CW5007">
        <v>0</v>
      </c>
      <c r="CX5007">
        <v>2</v>
      </c>
      <c r="CY5007">
        <v>7</v>
      </c>
      <c r="CZ5007" t="s">
        <v>133</v>
      </c>
      <c r="DA5007">
        <v>275</v>
      </c>
      <c r="DB5007">
        <v>0</v>
      </c>
      <c r="DC5007" t="s">
        <v>134</v>
      </c>
      <c r="DD5007" t="s">
        <v>135</v>
      </c>
      <c r="DG5007">
        <v>3323495</v>
      </c>
      <c r="DI5007">
        <v>1</v>
      </c>
      <c r="DJ5007">
        <v>0</v>
      </c>
      <c r="DK5007">
        <v>1</v>
      </c>
      <c r="DL5007">
        <v>0</v>
      </c>
      <c r="DM5007">
        <v>0</v>
      </c>
      <c r="DN5007">
        <v>0</v>
      </c>
      <c r="DO5007">
        <v>0</v>
      </c>
      <c r="DP5007">
        <v>0</v>
      </c>
      <c r="DQ5007">
        <v>0</v>
      </c>
      <c r="DR5007">
        <v>0</v>
      </c>
      <c r="DS5007">
        <v>0</v>
      </c>
    </row>
    <row r="5008" spans="1:123" x14ac:dyDescent="0.3">
      <c r="A5008" t="str">
        <f>"05/01/2025 15:18:26.581"</f>
        <v>05/01/2025 15:18:26.581</v>
      </c>
      <c r="C5008" t="str">
        <f t="shared" si="1976"/>
        <v>FFDFD3C0</v>
      </c>
      <c r="D5008" t="s">
        <v>143</v>
      </c>
      <c r="E5008" t="str">
        <f>"05"</f>
        <v>05</v>
      </c>
      <c r="H5008">
        <v>172</v>
      </c>
      <c r="I5008" t="s">
        <v>141</v>
      </c>
      <c r="J5008" t="s">
        <v>144</v>
      </c>
      <c r="K5008">
        <v>0</v>
      </c>
      <c r="L5008">
        <v>3</v>
      </c>
      <c r="M5008">
        <v>0</v>
      </c>
      <c r="N5008">
        <v>2</v>
      </c>
      <c r="O5008">
        <v>0</v>
      </c>
      <c r="P5008">
        <v>1</v>
      </c>
      <c r="Q5008">
        <v>0</v>
      </c>
      <c r="R5008" t="s">
        <v>127</v>
      </c>
      <c r="S5008" t="str">
        <f t="shared" si="1984"/>
        <v>15:18:26.000</v>
      </c>
      <c r="T5008" t="str">
        <f t="shared" si="1984"/>
        <v>15:18:26.000</v>
      </c>
      <c r="U5008" t="str">
        <f t="shared" si="1978"/>
        <v>A68FCB</v>
      </c>
      <c r="V5008">
        <v>0</v>
      </c>
      <c r="W5008">
        <v>0</v>
      </c>
      <c r="X5008">
        <v>2</v>
      </c>
      <c r="Y5008">
        <v>0</v>
      </c>
      <c r="AA5008">
        <v>1</v>
      </c>
      <c r="AB5008">
        <v>8</v>
      </c>
      <c r="AC5008">
        <v>3</v>
      </c>
      <c r="AD5008">
        <v>0</v>
      </c>
      <c r="AE5008">
        <v>9</v>
      </c>
      <c r="AF5008" t="s">
        <v>138</v>
      </c>
      <c r="AG5008">
        <v>0</v>
      </c>
      <c r="AH5008">
        <v>3</v>
      </c>
      <c r="AI5008">
        <v>2</v>
      </c>
      <c r="AJ5008">
        <v>0</v>
      </c>
      <c r="AK5008" t="s">
        <v>1583</v>
      </c>
      <c r="AL5008">
        <v>39.235568000000001</v>
      </c>
      <c r="AM5008" t="s">
        <v>1584</v>
      </c>
      <c r="AN5008">
        <v>-121.011443</v>
      </c>
      <c r="AO5008">
        <v>25</v>
      </c>
      <c r="AP5008">
        <v>4000</v>
      </c>
      <c r="AQ5008" t="s">
        <v>131</v>
      </c>
      <c r="AR5008">
        <v>-105</v>
      </c>
      <c r="AS5008">
        <v>-10</v>
      </c>
      <c r="AT5008">
        <v>-384</v>
      </c>
      <c r="BB5008" t="str">
        <f t="shared" si="1979"/>
        <v>1200</v>
      </c>
      <c r="BC5008">
        <v>1</v>
      </c>
      <c r="BD5008" t="str">
        <f t="shared" si="1980"/>
        <v xml:space="preserve">N52156  </v>
      </c>
      <c r="BE5008">
        <v>1</v>
      </c>
      <c r="BG5008">
        <v>0</v>
      </c>
      <c r="BH5008">
        <v>0</v>
      </c>
      <c r="BI5008">
        <v>0</v>
      </c>
      <c r="BJ5008">
        <v>4000</v>
      </c>
      <c r="BK5008">
        <v>0</v>
      </c>
      <c r="BL5008" t="s">
        <v>188</v>
      </c>
      <c r="BM5008">
        <v>1</v>
      </c>
      <c r="BN5008">
        <v>1</v>
      </c>
      <c r="BO5008">
        <v>0</v>
      </c>
      <c r="BP5008">
        <v>0</v>
      </c>
      <c r="BS5008">
        <v>0</v>
      </c>
      <c r="BT5008">
        <v>0</v>
      </c>
      <c r="BU5008">
        <v>0</v>
      </c>
      <c r="CE5008" t="str">
        <f t="shared" si="1985"/>
        <v>15:18:26.342</v>
      </c>
      <c r="CF5008">
        <v>342009527</v>
      </c>
      <c r="CS5008">
        <v>0</v>
      </c>
      <c r="CT5008">
        <v>2</v>
      </c>
      <c r="CU5008">
        <v>0</v>
      </c>
      <c r="CV5008">
        <v>2</v>
      </c>
      <c r="CW5008">
        <v>0</v>
      </c>
      <c r="CX5008">
        <v>2</v>
      </c>
      <c r="CY5008">
        <v>7</v>
      </c>
      <c r="CZ5008" t="s">
        <v>133</v>
      </c>
      <c r="DA5008">
        <v>275</v>
      </c>
      <c r="DB5008">
        <v>0</v>
      </c>
      <c r="DC5008" t="s">
        <v>134</v>
      </c>
      <c r="DD5008" t="s">
        <v>135</v>
      </c>
      <c r="DG5008">
        <v>3323495</v>
      </c>
      <c r="DI5008">
        <v>1</v>
      </c>
      <c r="DJ5008">
        <v>0</v>
      </c>
      <c r="DK5008">
        <v>1</v>
      </c>
      <c r="DL5008">
        <v>0</v>
      </c>
      <c r="DM5008">
        <v>0</v>
      </c>
      <c r="DN5008">
        <v>0</v>
      </c>
      <c r="DO5008">
        <v>0</v>
      </c>
      <c r="DP5008">
        <v>0</v>
      </c>
      <c r="DQ5008">
        <v>0</v>
      </c>
      <c r="DR5008">
        <v>0</v>
      </c>
      <c r="DS5008">
        <v>0</v>
      </c>
    </row>
    <row r="5009" spans="1:123" x14ac:dyDescent="0.3">
      <c r="A5009" t="str">
        <f>"05/01/2025 15:18:26.595"</f>
        <v>05/01/2025 15:18:26.595</v>
      </c>
      <c r="C5009" t="str">
        <f t="shared" si="1976"/>
        <v>FFDFD3C0</v>
      </c>
      <c r="D5009" t="s">
        <v>145</v>
      </c>
      <c r="E5009" t="str">
        <f>"09"</f>
        <v>09</v>
      </c>
      <c r="H5009">
        <v>51</v>
      </c>
      <c r="I5009" t="s">
        <v>147</v>
      </c>
      <c r="J5009" t="s">
        <v>138</v>
      </c>
      <c r="K5009">
        <v>0</v>
      </c>
      <c r="L5009">
        <v>3</v>
      </c>
      <c r="M5009">
        <v>0</v>
      </c>
      <c r="N5009">
        <v>2</v>
      </c>
      <c r="O5009">
        <v>0</v>
      </c>
      <c r="P5009">
        <v>1</v>
      </c>
      <c r="Q5009">
        <v>0</v>
      </c>
      <c r="R5009" t="s">
        <v>127</v>
      </c>
      <c r="S5009" t="str">
        <f t="shared" si="1984"/>
        <v>15:18:26.000</v>
      </c>
      <c r="T5009" t="str">
        <f t="shared" si="1984"/>
        <v>15:18:26.000</v>
      </c>
      <c r="U5009" t="str">
        <f t="shared" si="1978"/>
        <v>A68FCB</v>
      </c>
      <c r="V5009">
        <v>0</v>
      </c>
      <c r="W5009">
        <v>0</v>
      </c>
      <c r="X5009">
        <v>2</v>
      </c>
      <c r="Y5009">
        <v>0</v>
      </c>
      <c r="AA5009">
        <v>1</v>
      </c>
      <c r="AB5009">
        <v>8</v>
      </c>
      <c r="AC5009">
        <v>3</v>
      </c>
      <c r="AD5009">
        <v>0</v>
      </c>
      <c r="AE5009">
        <v>9</v>
      </c>
      <c r="AF5009" t="s">
        <v>138</v>
      </c>
      <c r="AG5009">
        <v>0</v>
      </c>
      <c r="AH5009">
        <v>3</v>
      </c>
      <c r="AI5009">
        <v>2</v>
      </c>
      <c r="AJ5009">
        <v>0</v>
      </c>
      <c r="AK5009" t="s">
        <v>1583</v>
      </c>
      <c r="AL5009">
        <v>39.235568000000001</v>
      </c>
      <c r="AM5009" t="s">
        <v>1584</v>
      </c>
      <c r="AN5009">
        <v>-121.011443</v>
      </c>
      <c r="AO5009">
        <v>25</v>
      </c>
      <c r="AP5009">
        <v>4000</v>
      </c>
      <c r="AQ5009" t="s">
        <v>131</v>
      </c>
      <c r="AR5009">
        <v>-105</v>
      </c>
      <c r="AS5009">
        <v>-10</v>
      </c>
      <c r="AT5009">
        <v>-384</v>
      </c>
      <c r="BB5009" t="str">
        <f t="shared" si="1979"/>
        <v>1200</v>
      </c>
      <c r="BC5009">
        <v>1</v>
      </c>
      <c r="BD5009" t="str">
        <f t="shared" si="1980"/>
        <v xml:space="preserve">N52156  </v>
      </c>
      <c r="BE5009">
        <v>1</v>
      </c>
      <c r="BG5009">
        <v>0</v>
      </c>
      <c r="BH5009">
        <v>0</v>
      </c>
      <c r="BI5009">
        <v>0</v>
      </c>
      <c r="BJ5009">
        <v>4000</v>
      </c>
      <c r="BK5009">
        <v>0</v>
      </c>
      <c r="BL5009" t="s">
        <v>188</v>
      </c>
      <c r="BM5009">
        <v>1</v>
      </c>
      <c r="BN5009">
        <v>1</v>
      </c>
      <c r="BO5009">
        <v>0</v>
      </c>
      <c r="BP5009">
        <v>0</v>
      </c>
      <c r="BS5009">
        <v>0</v>
      </c>
      <c r="BT5009">
        <v>0</v>
      </c>
      <c r="BU5009">
        <v>0</v>
      </c>
      <c r="CE5009" t="str">
        <f t="shared" si="1985"/>
        <v>15:18:26.342</v>
      </c>
      <c r="CF5009">
        <v>342009527</v>
      </c>
      <c r="CS5009">
        <v>0</v>
      </c>
      <c r="CT5009">
        <v>2</v>
      </c>
      <c r="CU5009">
        <v>0</v>
      </c>
      <c r="CV5009">
        <v>2</v>
      </c>
      <c r="CW5009">
        <v>0</v>
      </c>
      <c r="CX5009">
        <v>2</v>
      </c>
      <c r="CY5009">
        <v>7</v>
      </c>
      <c r="CZ5009" t="s">
        <v>133</v>
      </c>
      <c r="DA5009">
        <v>275</v>
      </c>
      <c r="DB5009">
        <v>0</v>
      </c>
      <c r="DC5009" t="s">
        <v>134</v>
      </c>
      <c r="DD5009" t="s">
        <v>135</v>
      </c>
      <c r="DG5009">
        <v>3323495</v>
      </c>
      <c r="DI5009">
        <v>1</v>
      </c>
      <c r="DJ5009">
        <v>0</v>
      </c>
      <c r="DK5009">
        <v>1</v>
      </c>
      <c r="DL5009">
        <v>0</v>
      </c>
      <c r="DM5009">
        <v>0</v>
      </c>
      <c r="DN5009">
        <v>0</v>
      </c>
      <c r="DO5009">
        <v>0</v>
      </c>
      <c r="DP5009">
        <v>0</v>
      </c>
      <c r="DQ5009">
        <v>0</v>
      </c>
      <c r="DR5009">
        <v>0</v>
      </c>
      <c r="DS5009">
        <v>0</v>
      </c>
    </row>
    <row r="5010" spans="1:123" x14ac:dyDescent="0.3">
      <c r="A5010" t="str">
        <f>"05/01/2025 15:18:26.596"</f>
        <v>05/01/2025 15:18:26.596</v>
      </c>
      <c r="C5010" t="str">
        <f t="shared" si="1976"/>
        <v>FFDFD3C0</v>
      </c>
      <c r="D5010" t="s">
        <v>145</v>
      </c>
      <c r="E5010" t="str">
        <f>"05"</f>
        <v>05</v>
      </c>
      <c r="H5010">
        <v>47</v>
      </c>
      <c r="I5010" t="s">
        <v>146</v>
      </c>
      <c r="J5010" t="s">
        <v>138</v>
      </c>
      <c r="K5010">
        <v>0</v>
      </c>
      <c r="L5010">
        <v>3</v>
      </c>
      <c r="M5010">
        <v>0</v>
      </c>
      <c r="N5010">
        <v>2</v>
      </c>
      <c r="O5010">
        <v>0</v>
      </c>
      <c r="P5010">
        <v>1</v>
      </c>
      <c r="Q5010">
        <v>0</v>
      </c>
      <c r="R5010" t="s">
        <v>127</v>
      </c>
      <c r="S5010" t="str">
        <f t="shared" si="1984"/>
        <v>15:18:26.000</v>
      </c>
      <c r="T5010" t="str">
        <f t="shared" si="1984"/>
        <v>15:18:26.000</v>
      </c>
      <c r="U5010" t="str">
        <f t="shared" si="1978"/>
        <v>A68FCB</v>
      </c>
      <c r="V5010">
        <v>0</v>
      </c>
      <c r="W5010">
        <v>0</v>
      </c>
      <c r="X5010">
        <v>2</v>
      </c>
      <c r="Y5010">
        <v>0</v>
      </c>
      <c r="AA5010">
        <v>1</v>
      </c>
      <c r="AB5010">
        <v>8</v>
      </c>
      <c r="AC5010">
        <v>3</v>
      </c>
      <c r="AD5010">
        <v>0</v>
      </c>
      <c r="AE5010">
        <v>9</v>
      </c>
      <c r="AF5010" t="s">
        <v>138</v>
      </c>
      <c r="AG5010">
        <v>0</v>
      </c>
      <c r="AH5010">
        <v>3</v>
      </c>
      <c r="AI5010">
        <v>2</v>
      </c>
      <c r="AJ5010">
        <v>0</v>
      </c>
      <c r="AK5010" t="s">
        <v>1583</v>
      </c>
      <c r="AL5010">
        <v>39.235568000000001</v>
      </c>
      <c r="AM5010" t="s">
        <v>1584</v>
      </c>
      <c r="AN5010">
        <v>-121.011443</v>
      </c>
      <c r="AO5010">
        <v>25</v>
      </c>
      <c r="AP5010">
        <v>4000</v>
      </c>
      <c r="AQ5010" t="s">
        <v>131</v>
      </c>
      <c r="AR5010">
        <v>-105</v>
      </c>
      <c r="AS5010">
        <v>-10</v>
      </c>
      <c r="AT5010">
        <v>-384</v>
      </c>
      <c r="BB5010" t="str">
        <f t="shared" si="1979"/>
        <v>1200</v>
      </c>
      <c r="BC5010">
        <v>1</v>
      </c>
      <c r="BD5010" t="str">
        <f t="shared" si="1980"/>
        <v xml:space="preserve">N52156  </v>
      </c>
      <c r="BE5010">
        <v>1</v>
      </c>
      <c r="BG5010">
        <v>0</v>
      </c>
      <c r="BH5010">
        <v>0</v>
      </c>
      <c r="BI5010">
        <v>0</v>
      </c>
      <c r="BJ5010">
        <v>4000</v>
      </c>
      <c r="BK5010">
        <v>0</v>
      </c>
      <c r="BL5010" t="s">
        <v>188</v>
      </c>
      <c r="BM5010">
        <v>1</v>
      </c>
      <c r="BN5010">
        <v>1</v>
      </c>
      <c r="BO5010">
        <v>0</v>
      </c>
      <c r="BP5010">
        <v>0</v>
      </c>
      <c r="BS5010">
        <v>0</v>
      </c>
      <c r="BT5010">
        <v>0</v>
      </c>
      <c r="BU5010">
        <v>0</v>
      </c>
      <c r="CE5010" t="str">
        <f t="shared" si="1985"/>
        <v>15:18:26.342</v>
      </c>
      <c r="CF5010">
        <v>342009527</v>
      </c>
      <c r="CS5010">
        <v>0</v>
      </c>
      <c r="CT5010">
        <v>2</v>
      </c>
      <c r="CU5010">
        <v>0</v>
      </c>
      <c r="CV5010">
        <v>2</v>
      </c>
      <c r="CW5010">
        <v>0</v>
      </c>
      <c r="CX5010">
        <v>2</v>
      </c>
      <c r="CY5010">
        <v>7</v>
      </c>
      <c r="CZ5010" t="s">
        <v>133</v>
      </c>
      <c r="DA5010">
        <v>275</v>
      </c>
      <c r="DB5010">
        <v>0</v>
      </c>
      <c r="DC5010" t="s">
        <v>134</v>
      </c>
      <c r="DD5010" t="s">
        <v>135</v>
      </c>
      <c r="DG5010">
        <v>3323495</v>
      </c>
      <c r="DI5010">
        <v>1</v>
      </c>
      <c r="DJ5010">
        <v>0</v>
      </c>
      <c r="DK5010">
        <v>1</v>
      </c>
      <c r="DL5010">
        <v>0</v>
      </c>
      <c r="DM5010">
        <v>0</v>
      </c>
      <c r="DN5010">
        <v>0</v>
      </c>
      <c r="DO5010">
        <v>0</v>
      </c>
      <c r="DP5010">
        <v>0</v>
      </c>
      <c r="DQ5010">
        <v>0</v>
      </c>
      <c r="DR5010">
        <v>0</v>
      </c>
      <c r="DS5010">
        <v>0</v>
      </c>
    </row>
    <row r="5011" spans="1:123" x14ac:dyDescent="0.3">
      <c r="A5011" t="str">
        <f>"05/01/2025 15:18:26.605"</f>
        <v>05/01/2025 15:18:26.605</v>
      </c>
      <c r="C5011" t="str">
        <f t="shared" si="1976"/>
        <v>FFDFD3C0</v>
      </c>
      <c r="D5011" t="s">
        <v>136</v>
      </c>
      <c r="E5011" t="str">
        <f>"20"</f>
        <v>20</v>
      </c>
      <c r="H5011">
        <v>400</v>
      </c>
      <c r="I5011" t="s">
        <v>137</v>
      </c>
      <c r="J5011" t="s">
        <v>138</v>
      </c>
      <c r="K5011">
        <v>0</v>
      </c>
      <c r="L5011">
        <v>3</v>
      </c>
      <c r="M5011">
        <v>0</v>
      </c>
      <c r="N5011">
        <v>2</v>
      </c>
      <c r="O5011">
        <v>0</v>
      </c>
      <c r="P5011">
        <v>1</v>
      </c>
      <c r="Q5011">
        <v>0</v>
      </c>
      <c r="R5011" t="s">
        <v>127</v>
      </c>
      <c r="S5011" t="str">
        <f t="shared" si="1984"/>
        <v>15:18:26.000</v>
      </c>
      <c r="T5011" t="str">
        <f t="shared" si="1984"/>
        <v>15:18:26.000</v>
      </c>
      <c r="U5011" t="str">
        <f t="shared" si="1978"/>
        <v>A68FCB</v>
      </c>
      <c r="V5011">
        <v>0</v>
      </c>
      <c r="W5011">
        <v>0</v>
      </c>
      <c r="X5011">
        <v>2</v>
      </c>
      <c r="Y5011">
        <v>0</v>
      </c>
      <c r="AA5011">
        <v>1</v>
      </c>
      <c r="AB5011">
        <v>8</v>
      </c>
      <c r="AC5011">
        <v>3</v>
      </c>
      <c r="AD5011">
        <v>0</v>
      </c>
      <c r="AE5011">
        <v>9</v>
      </c>
      <c r="AF5011" t="s">
        <v>138</v>
      </c>
      <c r="AG5011">
        <v>0</v>
      </c>
      <c r="AH5011">
        <v>3</v>
      </c>
      <c r="AI5011">
        <v>2</v>
      </c>
      <c r="AJ5011">
        <v>0</v>
      </c>
      <c r="AK5011" t="s">
        <v>1583</v>
      </c>
      <c r="AL5011">
        <v>39.235568000000001</v>
      </c>
      <c r="AM5011" t="s">
        <v>1584</v>
      </c>
      <c r="AN5011">
        <v>-121.011443</v>
      </c>
      <c r="AO5011">
        <v>25</v>
      </c>
      <c r="AP5011">
        <v>4000</v>
      </c>
      <c r="AQ5011" t="s">
        <v>131</v>
      </c>
      <c r="AR5011">
        <v>-105</v>
      </c>
      <c r="AS5011">
        <v>-10</v>
      </c>
      <c r="AT5011">
        <v>-384</v>
      </c>
      <c r="BB5011" t="str">
        <f t="shared" si="1979"/>
        <v>1200</v>
      </c>
      <c r="BC5011">
        <v>1</v>
      </c>
      <c r="BD5011" t="str">
        <f t="shared" si="1980"/>
        <v xml:space="preserve">N52156  </v>
      </c>
      <c r="BE5011">
        <v>1</v>
      </c>
      <c r="BG5011">
        <v>0</v>
      </c>
      <c r="BH5011">
        <v>0</v>
      </c>
      <c r="BI5011">
        <v>0</v>
      </c>
      <c r="BJ5011">
        <v>4000</v>
      </c>
      <c r="BK5011">
        <v>0</v>
      </c>
      <c r="BL5011" t="s">
        <v>188</v>
      </c>
      <c r="BM5011">
        <v>1</v>
      </c>
      <c r="BN5011">
        <v>1</v>
      </c>
      <c r="BO5011">
        <v>0</v>
      </c>
      <c r="BP5011">
        <v>0</v>
      </c>
      <c r="BS5011">
        <v>0</v>
      </c>
      <c r="BT5011">
        <v>0</v>
      </c>
      <c r="BU5011">
        <v>0</v>
      </c>
      <c r="CE5011" t="str">
        <f t="shared" si="1985"/>
        <v>15:18:26.342</v>
      </c>
      <c r="CF5011">
        <v>342009527</v>
      </c>
      <c r="CS5011">
        <v>0</v>
      </c>
      <c r="CT5011">
        <v>2</v>
      </c>
      <c r="CU5011">
        <v>0</v>
      </c>
      <c r="CV5011">
        <v>2</v>
      </c>
      <c r="CW5011">
        <v>0</v>
      </c>
      <c r="CX5011">
        <v>2</v>
      </c>
      <c r="CY5011">
        <v>7</v>
      </c>
      <c r="CZ5011" t="s">
        <v>133</v>
      </c>
      <c r="DA5011">
        <v>275</v>
      </c>
      <c r="DB5011">
        <v>0</v>
      </c>
      <c r="DC5011" t="s">
        <v>134</v>
      </c>
      <c r="DD5011" t="s">
        <v>135</v>
      </c>
      <c r="DG5011">
        <v>3323495</v>
      </c>
      <c r="DI5011">
        <v>1</v>
      </c>
      <c r="DJ5011">
        <v>0</v>
      </c>
      <c r="DK5011">
        <v>1</v>
      </c>
      <c r="DL5011">
        <v>0</v>
      </c>
      <c r="DM5011">
        <v>0</v>
      </c>
      <c r="DN5011">
        <v>0</v>
      </c>
      <c r="DO5011">
        <v>0</v>
      </c>
      <c r="DP5011">
        <v>0</v>
      </c>
      <c r="DQ5011">
        <v>0</v>
      </c>
      <c r="DR5011">
        <v>0</v>
      </c>
      <c r="DS5011">
        <v>0</v>
      </c>
    </row>
    <row r="5012" spans="1:123" x14ac:dyDescent="0.3">
      <c r="A5012" t="str">
        <f>"05/01/2025 15:18:27.522"</f>
        <v>05/01/2025 15:18:27.522</v>
      </c>
      <c r="C5012" t="str">
        <f t="shared" si="1976"/>
        <v>FFDFD3C0</v>
      </c>
      <c r="D5012" t="s">
        <v>140</v>
      </c>
      <c r="E5012" t="str">
        <f>"13"</f>
        <v>13</v>
      </c>
      <c r="F5012">
        <v>1019</v>
      </c>
      <c r="G5012" t="s">
        <v>141</v>
      </c>
      <c r="J5012" t="s">
        <v>142</v>
      </c>
      <c r="K5012">
        <v>0</v>
      </c>
      <c r="L5012">
        <v>3</v>
      </c>
      <c r="M5012">
        <v>0</v>
      </c>
      <c r="N5012">
        <v>2</v>
      </c>
      <c r="O5012">
        <v>0</v>
      </c>
      <c r="P5012">
        <v>1</v>
      </c>
      <c r="Q5012">
        <v>0</v>
      </c>
      <c r="R5012" t="s">
        <v>127</v>
      </c>
      <c r="S5012" t="str">
        <f t="shared" ref="S5012:T5017" si="1986">"15:18:27.000"</f>
        <v>15:18:27.000</v>
      </c>
      <c r="T5012" t="str">
        <f t="shared" si="1986"/>
        <v>15:18:27.000</v>
      </c>
      <c r="U5012" t="str">
        <f t="shared" si="1978"/>
        <v>A68FCB</v>
      </c>
      <c r="V5012">
        <v>0</v>
      </c>
      <c r="W5012">
        <v>0</v>
      </c>
      <c r="X5012">
        <v>2</v>
      </c>
      <c r="Y5012">
        <v>0</v>
      </c>
      <c r="AA5012">
        <v>1</v>
      </c>
      <c r="AB5012">
        <v>8</v>
      </c>
      <c r="AC5012">
        <v>3</v>
      </c>
      <c r="AD5012">
        <v>0</v>
      </c>
      <c r="AE5012">
        <v>9</v>
      </c>
      <c r="AF5012" t="s">
        <v>138</v>
      </c>
      <c r="AG5012">
        <v>0</v>
      </c>
      <c r="AH5012">
        <v>3</v>
      </c>
      <c r="AI5012">
        <v>2</v>
      </c>
      <c r="AJ5012">
        <v>0</v>
      </c>
      <c r="AK5012" t="s">
        <v>1585</v>
      </c>
      <c r="AL5012">
        <v>39.235525000000003</v>
      </c>
      <c r="AM5012" t="s">
        <v>1586</v>
      </c>
      <c r="AN5012">
        <v>-121.01206500000001</v>
      </c>
      <c r="AO5012">
        <v>25</v>
      </c>
      <c r="AP5012">
        <v>4000</v>
      </c>
      <c r="AQ5012" t="s">
        <v>131</v>
      </c>
      <c r="AR5012">
        <v>-104</v>
      </c>
      <c r="AS5012">
        <v>-10</v>
      </c>
      <c r="AT5012">
        <v>-512</v>
      </c>
      <c r="BB5012" t="str">
        <f t="shared" si="1979"/>
        <v>1200</v>
      </c>
      <c r="BC5012">
        <v>1</v>
      </c>
      <c r="BD5012" t="str">
        <f t="shared" si="1980"/>
        <v xml:space="preserve">N52156  </v>
      </c>
      <c r="BE5012">
        <v>1</v>
      </c>
      <c r="BG5012">
        <v>0</v>
      </c>
      <c r="BH5012">
        <v>0</v>
      </c>
      <c r="BI5012">
        <v>0</v>
      </c>
      <c r="BJ5012">
        <v>4000</v>
      </c>
      <c r="BK5012">
        <v>0</v>
      </c>
      <c r="BL5012" t="s">
        <v>188</v>
      </c>
      <c r="BM5012">
        <v>1</v>
      </c>
      <c r="BN5012">
        <v>1</v>
      </c>
      <c r="BO5012">
        <v>0</v>
      </c>
      <c r="BP5012">
        <v>0</v>
      </c>
      <c r="BS5012">
        <v>0</v>
      </c>
      <c r="BT5012">
        <v>0</v>
      </c>
      <c r="BU5012">
        <v>0</v>
      </c>
      <c r="CE5012" t="str">
        <f t="shared" ref="CE5012:CE5017" si="1987">"15:18:27.297"</f>
        <v>15:18:27.297</v>
      </c>
      <c r="CF5012">
        <v>297259199</v>
      </c>
      <c r="CS5012">
        <v>0</v>
      </c>
      <c r="CT5012">
        <v>2</v>
      </c>
      <c r="CU5012">
        <v>0</v>
      </c>
      <c r="CV5012">
        <v>2</v>
      </c>
      <c r="CW5012">
        <v>0</v>
      </c>
      <c r="CX5012">
        <v>2</v>
      </c>
      <c r="CY5012">
        <v>7</v>
      </c>
      <c r="CZ5012" t="s">
        <v>133</v>
      </c>
      <c r="DA5012">
        <v>275</v>
      </c>
      <c r="DB5012">
        <v>0</v>
      </c>
      <c r="DC5012" t="s">
        <v>134</v>
      </c>
      <c r="DD5012" t="s">
        <v>135</v>
      </c>
      <c r="DG5012">
        <v>3323499</v>
      </c>
      <c r="DI5012">
        <v>1</v>
      </c>
      <c r="DJ5012">
        <v>0</v>
      </c>
      <c r="DK5012">
        <v>0</v>
      </c>
      <c r="DL5012">
        <v>0</v>
      </c>
      <c r="DM5012">
        <v>0</v>
      </c>
      <c r="DN5012">
        <v>0</v>
      </c>
      <c r="DO5012">
        <v>0</v>
      </c>
      <c r="DP5012">
        <v>0</v>
      </c>
      <c r="DQ5012">
        <v>0</v>
      </c>
      <c r="DR5012">
        <v>0</v>
      </c>
      <c r="DS5012">
        <v>0</v>
      </c>
    </row>
    <row r="5013" spans="1:123" x14ac:dyDescent="0.3">
      <c r="A5013" t="str">
        <f>"05/01/2025 15:18:27.525"</f>
        <v>05/01/2025 15:18:27.525</v>
      </c>
      <c r="C5013" t="str">
        <f t="shared" si="1976"/>
        <v>FFDFD3C0</v>
      </c>
      <c r="D5013" t="s">
        <v>124</v>
      </c>
      <c r="E5013" t="str">
        <f>"06"</f>
        <v>06</v>
      </c>
      <c r="F5013">
        <v>2006</v>
      </c>
      <c r="G5013" t="s">
        <v>125</v>
      </c>
      <c r="J5013" t="s">
        <v>126</v>
      </c>
      <c r="K5013">
        <v>0</v>
      </c>
      <c r="L5013">
        <v>3</v>
      </c>
      <c r="M5013">
        <v>0</v>
      </c>
      <c r="N5013">
        <v>2</v>
      </c>
      <c r="O5013">
        <v>0</v>
      </c>
      <c r="P5013">
        <v>1</v>
      </c>
      <c r="Q5013">
        <v>0</v>
      </c>
      <c r="R5013" t="s">
        <v>127</v>
      </c>
      <c r="S5013" t="str">
        <f t="shared" si="1986"/>
        <v>15:18:27.000</v>
      </c>
      <c r="T5013" t="str">
        <f t="shared" si="1986"/>
        <v>15:18:27.000</v>
      </c>
      <c r="U5013" t="str">
        <f t="shared" si="1978"/>
        <v>A68FCB</v>
      </c>
      <c r="V5013">
        <v>0</v>
      </c>
      <c r="W5013">
        <v>0</v>
      </c>
      <c r="X5013">
        <v>2</v>
      </c>
      <c r="Y5013">
        <v>0</v>
      </c>
      <c r="AA5013">
        <v>1</v>
      </c>
      <c r="AB5013">
        <v>8</v>
      </c>
      <c r="AC5013">
        <v>3</v>
      </c>
      <c r="AD5013">
        <v>0</v>
      </c>
      <c r="AE5013">
        <v>9</v>
      </c>
      <c r="AF5013" t="s">
        <v>138</v>
      </c>
      <c r="AG5013">
        <v>0</v>
      </c>
      <c r="AH5013">
        <v>3</v>
      </c>
      <c r="AI5013">
        <v>2</v>
      </c>
      <c r="AJ5013">
        <v>0</v>
      </c>
      <c r="AK5013" t="s">
        <v>1585</v>
      </c>
      <c r="AL5013">
        <v>39.235525000000003</v>
      </c>
      <c r="AM5013" t="s">
        <v>1586</v>
      </c>
      <c r="AN5013">
        <v>-121.01206500000001</v>
      </c>
      <c r="AO5013">
        <v>25</v>
      </c>
      <c r="AP5013">
        <v>4000</v>
      </c>
      <c r="AQ5013" t="s">
        <v>131</v>
      </c>
      <c r="AR5013">
        <v>-104</v>
      </c>
      <c r="AS5013">
        <v>-10</v>
      </c>
      <c r="AT5013">
        <v>-512</v>
      </c>
      <c r="BB5013" t="str">
        <f t="shared" si="1979"/>
        <v>1200</v>
      </c>
      <c r="BC5013">
        <v>1</v>
      </c>
      <c r="BD5013" t="str">
        <f t="shared" si="1980"/>
        <v xml:space="preserve">N52156  </v>
      </c>
      <c r="BE5013">
        <v>1</v>
      </c>
      <c r="BG5013">
        <v>0</v>
      </c>
      <c r="BH5013">
        <v>0</v>
      </c>
      <c r="BI5013">
        <v>0</v>
      </c>
      <c r="BJ5013">
        <v>4000</v>
      </c>
      <c r="BK5013">
        <v>0</v>
      </c>
      <c r="BL5013" t="s">
        <v>188</v>
      </c>
      <c r="BM5013">
        <v>1</v>
      </c>
      <c r="BN5013">
        <v>1</v>
      </c>
      <c r="BO5013">
        <v>0</v>
      </c>
      <c r="BP5013">
        <v>0</v>
      </c>
      <c r="BS5013">
        <v>0</v>
      </c>
      <c r="BT5013">
        <v>0</v>
      </c>
      <c r="BU5013">
        <v>0</v>
      </c>
      <c r="CE5013" t="str">
        <f t="shared" si="1987"/>
        <v>15:18:27.297</v>
      </c>
      <c r="CF5013">
        <v>297259199</v>
      </c>
      <c r="CS5013">
        <v>0</v>
      </c>
      <c r="CT5013">
        <v>2</v>
      </c>
      <c r="CU5013">
        <v>0</v>
      </c>
      <c r="CV5013">
        <v>2</v>
      </c>
      <c r="CW5013">
        <v>0</v>
      </c>
      <c r="CX5013">
        <v>2</v>
      </c>
      <c r="CY5013">
        <v>7</v>
      </c>
      <c r="CZ5013" t="s">
        <v>133</v>
      </c>
      <c r="DA5013">
        <v>275</v>
      </c>
      <c r="DB5013">
        <v>0</v>
      </c>
      <c r="DC5013" t="s">
        <v>134</v>
      </c>
      <c r="DD5013" t="s">
        <v>135</v>
      </c>
      <c r="DG5013">
        <v>3323499</v>
      </c>
      <c r="DI5013">
        <v>1</v>
      </c>
      <c r="DJ5013">
        <v>0</v>
      </c>
      <c r="DK5013">
        <v>1</v>
      </c>
      <c r="DL5013">
        <v>0</v>
      </c>
      <c r="DM5013">
        <v>0</v>
      </c>
      <c r="DN5013">
        <v>0</v>
      </c>
      <c r="DO5013">
        <v>0</v>
      </c>
      <c r="DP5013">
        <v>0</v>
      </c>
      <c r="DQ5013">
        <v>0</v>
      </c>
      <c r="DR5013">
        <v>0</v>
      </c>
      <c r="DS5013">
        <v>0</v>
      </c>
    </row>
    <row r="5014" spans="1:123" x14ac:dyDescent="0.3">
      <c r="A5014" t="str">
        <f>"05/01/2025 15:18:27.532"</f>
        <v>05/01/2025 15:18:27.532</v>
      </c>
      <c r="C5014" t="str">
        <f t="shared" si="1976"/>
        <v>FFDFD3C0</v>
      </c>
      <c r="D5014" t="s">
        <v>143</v>
      </c>
      <c r="E5014" t="str">
        <f>"05"</f>
        <v>05</v>
      </c>
      <c r="H5014">
        <v>172</v>
      </c>
      <c r="I5014" t="s">
        <v>141</v>
      </c>
      <c r="J5014" t="s">
        <v>144</v>
      </c>
      <c r="K5014">
        <v>0</v>
      </c>
      <c r="L5014">
        <v>3</v>
      </c>
      <c r="M5014">
        <v>0</v>
      </c>
      <c r="N5014">
        <v>2</v>
      </c>
      <c r="O5014">
        <v>0</v>
      </c>
      <c r="P5014">
        <v>1</v>
      </c>
      <c r="Q5014">
        <v>0</v>
      </c>
      <c r="R5014" t="s">
        <v>127</v>
      </c>
      <c r="S5014" t="str">
        <f t="shared" si="1986"/>
        <v>15:18:27.000</v>
      </c>
      <c r="T5014" t="str">
        <f t="shared" si="1986"/>
        <v>15:18:27.000</v>
      </c>
      <c r="U5014" t="str">
        <f t="shared" si="1978"/>
        <v>A68FCB</v>
      </c>
      <c r="V5014">
        <v>0</v>
      </c>
      <c r="W5014">
        <v>0</v>
      </c>
      <c r="X5014">
        <v>2</v>
      </c>
      <c r="Y5014">
        <v>0</v>
      </c>
      <c r="AA5014">
        <v>1</v>
      </c>
      <c r="AB5014">
        <v>8</v>
      </c>
      <c r="AC5014">
        <v>3</v>
      </c>
      <c r="AD5014">
        <v>0</v>
      </c>
      <c r="AE5014">
        <v>9</v>
      </c>
      <c r="AF5014" t="s">
        <v>138</v>
      </c>
      <c r="AG5014">
        <v>0</v>
      </c>
      <c r="AH5014">
        <v>3</v>
      </c>
      <c r="AI5014">
        <v>2</v>
      </c>
      <c r="AJ5014">
        <v>0</v>
      </c>
      <c r="AK5014" t="s">
        <v>1585</v>
      </c>
      <c r="AL5014">
        <v>39.235525000000003</v>
      </c>
      <c r="AM5014" t="s">
        <v>1586</v>
      </c>
      <c r="AN5014">
        <v>-121.01206500000001</v>
      </c>
      <c r="AO5014">
        <v>25</v>
      </c>
      <c r="AP5014">
        <v>4000</v>
      </c>
      <c r="AQ5014" t="s">
        <v>131</v>
      </c>
      <c r="AR5014">
        <v>-104</v>
      </c>
      <c r="AS5014">
        <v>-10</v>
      </c>
      <c r="AT5014">
        <v>-512</v>
      </c>
      <c r="BB5014" t="str">
        <f t="shared" si="1979"/>
        <v>1200</v>
      </c>
      <c r="BC5014">
        <v>1</v>
      </c>
      <c r="BD5014" t="str">
        <f t="shared" si="1980"/>
        <v xml:space="preserve">N52156  </v>
      </c>
      <c r="BE5014">
        <v>1</v>
      </c>
      <c r="BG5014">
        <v>0</v>
      </c>
      <c r="BH5014">
        <v>0</v>
      </c>
      <c r="BI5014">
        <v>0</v>
      </c>
      <c r="BJ5014">
        <v>4000</v>
      </c>
      <c r="BK5014">
        <v>0</v>
      </c>
      <c r="BL5014" t="s">
        <v>188</v>
      </c>
      <c r="BM5014">
        <v>1</v>
      </c>
      <c r="BN5014">
        <v>1</v>
      </c>
      <c r="BO5014">
        <v>0</v>
      </c>
      <c r="BP5014">
        <v>0</v>
      </c>
      <c r="BS5014">
        <v>0</v>
      </c>
      <c r="BT5014">
        <v>0</v>
      </c>
      <c r="BU5014">
        <v>0</v>
      </c>
      <c r="CE5014" t="str">
        <f t="shared" si="1987"/>
        <v>15:18:27.297</v>
      </c>
      <c r="CF5014">
        <v>297259199</v>
      </c>
      <c r="CS5014">
        <v>0</v>
      </c>
      <c r="CT5014">
        <v>2</v>
      </c>
      <c r="CU5014">
        <v>0</v>
      </c>
      <c r="CV5014">
        <v>2</v>
      </c>
      <c r="CW5014">
        <v>0</v>
      </c>
      <c r="CX5014">
        <v>2</v>
      </c>
      <c r="CY5014">
        <v>7</v>
      </c>
      <c r="CZ5014" t="s">
        <v>133</v>
      </c>
      <c r="DA5014">
        <v>275</v>
      </c>
      <c r="DB5014">
        <v>0</v>
      </c>
      <c r="DC5014" t="s">
        <v>134</v>
      </c>
      <c r="DD5014" t="s">
        <v>135</v>
      </c>
      <c r="DG5014">
        <v>3323499</v>
      </c>
      <c r="DI5014">
        <v>1</v>
      </c>
      <c r="DJ5014">
        <v>0</v>
      </c>
      <c r="DK5014">
        <v>1</v>
      </c>
      <c r="DL5014">
        <v>0</v>
      </c>
      <c r="DM5014">
        <v>0</v>
      </c>
      <c r="DN5014">
        <v>0</v>
      </c>
      <c r="DO5014">
        <v>0</v>
      </c>
      <c r="DP5014">
        <v>0</v>
      </c>
      <c r="DQ5014">
        <v>0</v>
      </c>
      <c r="DR5014">
        <v>0</v>
      </c>
      <c r="DS5014">
        <v>0</v>
      </c>
    </row>
    <row r="5015" spans="1:123" x14ac:dyDescent="0.3">
      <c r="A5015" t="str">
        <f>"05/01/2025 15:18:27.547"</f>
        <v>05/01/2025 15:18:27.547</v>
      </c>
      <c r="C5015" t="str">
        <f t="shared" si="1976"/>
        <v>FFDFD3C0</v>
      </c>
      <c r="D5015" t="s">
        <v>145</v>
      </c>
      <c r="E5015" t="str">
        <f>"09"</f>
        <v>09</v>
      </c>
      <c r="H5015">
        <v>51</v>
      </c>
      <c r="I5015" t="s">
        <v>147</v>
      </c>
      <c r="J5015" t="s">
        <v>138</v>
      </c>
      <c r="K5015">
        <v>0</v>
      </c>
      <c r="L5015">
        <v>3</v>
      </c>
      <c r="M5015">
        <v>0</v>
      </c>
      <c r="N5015">
        <v>2</v>
      </c>
      <c r="O5015">
        <v>0</v>
      </c>
      <c r="P5015">
        <v>1</v>
      </c>
      <c r="Q5015">
        <v>0</v>
      </c>
      <c r="R5015" t="s">
        <v>127</v>
      </c>
      <c r="S5015" t="str">
        <f t="shared" si="1986"/>
        <v>15:18:27.000</v>
      </c>
      <c r="T5015" t="str">
        <f t="shared" si="1986"/>
        <v>15:18:27.000</v>
      </c>
      <c r="U5015" t="str">
        <f t="shared" si="1978"/>
        <v>A68FCB</v>
      </c>
      <c r="V5015">
        <v>0</v>
      </c>
      <c r="W5015">
        <v>0</v>
      </c>
      <c r="X5015">
        <v>2</v>
      </c>
      <c r="Y5015">
        <v>0</v>
      </c>
      <c r="AA5015">
        <v>1</v>
      </c>
      <c r="AB5015">
        <v>8</v>
      </c>
      <c r="AC5015">
        <v>3</v>
      </c>
      <c r="AD5015">
        <v>0</v>
      </c>
      <c r="AE5015">
        <v>9</v>
      </c>
      <c r="AF5015" t="s">
        <v>138</v>
      </c>
      <c r="AG5015">
        <v>0</v>
      </c>
      <c r="AH5015">
        <v>3</v>
      </c>
      <c r="AI5015">
        <v>2</v>
      </c>
      <c r="AJ5015">
        <v>0</v>
      </c>
      <c r="AK5015" t="s">
        <v>1585</v>
      </c>
      <c r="AL5015">
        <v>39.235525000000003</v>
      </c>
      <c r="AM5015" t="s">
        <v>1586</v>
      </c>
      <c r="AN5015">
        <v>-121.01206500000001</v>
      </c>
      <c r="AO5015">
        <v>25</v>
      </c>
      <c r="AP5015">
        <v>4000</v>
      </c>
      <c r="AQ5015" t="s">
        <v>131</v>
      </c>
      <c r="AR5015">
        <v>-104</v>
      </c>
      <c r="AS5015">
        <v>-10</v>
      </c>
      <c r="AT5015">
        <v>-512</v>
      </c>
      <c r="BB5015" t="str">
        <f t="shared" si="1979"/>
        <v>1200</v>
      </c>
      <c r="BC5015">
        <v>1</v>
      </c>
      <c r="BD5015" t="str">
        <f t="shared" si="1980"/>
        <v xml:space="preserve">N52156  </v>
      </c>
      <c r="BE5015">
        <v>1</v>
      </c>
      <c r="BG5015">
        <v>0</v>
      </c>
      <c r="BH5015">
        <v>0</v>
      </c>
      <c r="BI5015">
        <v>0</v>
      </c>
      <c r="BJ5015">
        <v>4000</v>
      </c>
      <c r="BK5015">
        <v>0</v>
      </c>
      <c r="BL5015" t="s">
        <v>188</v>
      </c>
      <c r="BM5015">
        <v>1</v>
      </c>
      <c r="BN5015">
        <v>1</v>
      </c>
      <c r="BO5015">
        <v>0</v>
      </c>
      <c r="BP5015">
        <v>0</v>
      </c>
      <c r="BS5015">
        <v>0</v>
      </c>
      <c r="BT5015">
        <v>0</v>
      </c>
      <c r="BU5015">
        <v>0</v>
      </c>
      <c r="CE5015" t="str">
        <f t="shared" si="1987"/>
        <v>15:18:27.297</v>
      </c>
      <c r="CF5015">
        <v>297259199</v>
      </c>
      <c r="CS5015">
        <v>0</v>
      </c>
      <c r="CT5015">
        <v>2</v>
      </c>
      <c r="CU5015">
        <v>0</v>
      </c>
      <c r="CV5015">
        <v>2</v>
      </c>
      <c r="CW5015">
        <v>0</v>
      </c>
      <c r="CX5015">
        <v>2</v>
      </c>
      <c r="CY5015">
        <v>7</v>
      </c>
      <c r="CZ5015" t="s">
        <v>133</v>
      </c>
      <c r="DA5015">
        <v>275</v>
      </c>
      <c r="DB5015">
        <v>0</v>
      </c>
      <c r="DC5015" t="s">
        <v>134</v>
      </c>
      <c r="DD5015" t="s">
        <v>135</v>
      </c>
      <c r="DG5015">
        <v>3323499</v>
      </c>
      <c r="DI5015">
        <v>1</v>
      </c>
      <c r="DJ5015">
        <v>0</v>
      </c>
      <c r="DK5015">
        <v>1</v>
      </c>
      <c r="DL5015">
        <v>0</v>
      </c>
      <c r="DM5015">
        <v>0</v>
      </c>
      <c r="DN5015">
        <v>0</v>
      </c>
      <c r="DO5015">
        <v>0</v>
      </c>
      <c r="DP5015">
        <v>0</v>
      </c>
      <c r="DQ5015">
        <v>0</v>
      </c>
      <c r="DR5015">
        <v>0</v>
      </c>
      <c r="DS5015">
        <v>0</v>
      </c>
    </row>
    <row r="5016" spans="1:123" x14ac:dyDescent="0.3">
      <c r="A5016" t="str">
        <f>"05/01/2025 15:18:27.548"</f>
        <v>05/01/2025 15:18:27.548</v>
      </c>
      <c r="C5016" t="str">
        <f t="shared" si="1976"/>
        <v>FFDFD3C0</v>
      </c>
      <c r="D5016" t="s">
        <v>145</v>
      </c>
      <c r="E5016" t="str">
        <f>"05"</f>
        <v>05</v>
      </c>
      <c r="H5016">
        <v>47</v>
      </c>
      <c r="I5016" t="s">
        <v>146</v>
      </c>
      <c r="J5016" t="s">
        <v>138</v>
      </c>
      <c r="K5016">
        <v>0</v>
      </c>
      <c r="L5016">
        <v>3</v>
      </c>
      <c r="M5016">
        <v>0</v>
      </c>
      <c r="N5016">
        <v>2</v>
      </c>
      <c r="O5016">
        <v>0</v>
      </c>
      <c r="P5016">
        <v>1</v>
      </c>
      <c r="Q5016">
        <v>0</v>
      </c>
      <c r="R5016" t="s">
        <v>127</v>
      </c>
      <c r="S5016" t="str">
        <f t="shared" si="1986"/>
        <v>15:18:27.000</v>
      </c>
      <c r="T5016" t="str">
        <f t="shared" si="1986"/>
        <v>15:18:27.000</v>
      </c>
      <c r="U5016" t="str">
        <f t="shared" si="1978"/>
        <v>A68FCB</v>
      </c>
      <c r="V5016">
        <v>0</v>
      </c>
      <c r="W5016">
        <v>0</v>
      </c>
      <c r="X5016">
        <v>2</v>
      </c>
      <c r="Y5016">
        <v>0</v>
      </c>
      <c r="AA5016">
        <v>1</v>
      </c>
      <c r="AB5016">
        <v>8</v>
      </c>
      <c r="AC5016">
        <v>3</v>
      </c>
      <c r="AD5016">
        <v>0</v>
      </c>
      <c r="AE5016">
        <v>9</v>
      </c>
      <c r="AF5016" t="s">
        <v>138</v>
      </c>
      <c r="AG5016">
        <v>0</v>
      </c>
      <c r="AH5016">
        <v>3</v>
      </c>
      <c r="AI5016">
        <v>2</v>
      </c>
      <c r="AJ5016">
        <v>0</v>
      </c>
      <c r="AK5016" t="s">
        <v>1585</v>
      </c>
      <c r="AL5016">
        <v>39.235525000000003</v>
      </c>
      <c r="AM5016" t="s">
        <v>1586</v>
      </c>
      <c r="AN5016">
        <v>-121.01206500000001</v>
      </c>
      <c r="AO5016">
        <v>25</v>
      </c>
      <c r="AP5016">
        <v>4000</v>
      </c>
      <c r="AQ5016" t="s">
        <v>131</v>
      </c>
      <c r="AR5016">
        <v>-104</v>
      </c>
      <c r="AS5016">
        <v>-10</v>
      </c>
      <c r="AT5016">
        <v>-512</v>
      </c>
      <c r="BB5016" t="str">
        <f t="shared" si="1979"/>
        <v>1200</v>
      </c>
      <c r="BC5016">
        <v>1</v>
      </c>
      <c r="BD5016" t="str">
        <f t="shared" si="1980"/>
        <v xml:space="preserve">N52156  </v>
      </c>
      <c r="BE5016">
        <v>1</v>
      </c>
      <c r="BG5016">
        <v>0</v>
      </c>
      <c r="BH5016">
        <v>0</v>
      </c>
      <c r="BI5016">
        <v>0</v>
      </c>
      <c r="BJ5016">
        <v>4000</v>
      </c>
      <c r="BK5016">
        <v>0</v>
      </c>
      <c r="BL5016" t="s">
        <v>188</v>
      </c>
      <c r="BM5016">
        <v>1</v>
      </c>
      <c r="BN5016">
        <v>1</v>
      </c>
      <c r="BO5016">
        <v>0</v>
      </c>
      <c r="BP5016">
        <v>0</v>
      </c>
      <c r="BS5016">
        <v>0</v>
      </c>
      <c r="BT5016">
        <v>0</v>
      </c>
      <c r="BU5016">
        <v>0</v>
      </c>
      <c r="CE5016" t="str">
        <f t="shared" si="1987"/>
        <v>15:18:27.297</v>
      </c>
      <c r="CF5016">
        <v>297259199</v>
      </c>
      <c r="CS5016">
        <v>0</v>
      </c>
      <c r="CT5016">
        <v>2</v>
      </c>
      <c r="CU5016">
        <v>0</v>
      </c>
      <c r="CV5016">
        <v>2</v>
      </c>
      <c r="CW5016">
        <v>0</v>
      </c>
      <c r="CX5016">
        <v>2</v>
      </c>
      <c r="CY5016">
        <v>7</v>
      </c>
      <c r="CZ5016" t="s">
        <v>133</v>
      </c>
      <c r="DA5016">
        <v>275</v>
      </c>
      <c r="DB5016">
        <v>0</v>
      </c>
      <c r="DC5016" t="s">
        <v>134</v>
      </c>
      <c r="DD5016" t="s">
        <v>135</v>
      </c>
      <c r="DG5016">
        <v>3323499</v>
      </c>
      <c r="DI5016">
        <v>1</v>
      </c>
      <c r="DJ5016">
        <v>0</v>
      </c>
      <c r="DK5016">
        <v>1</v>
      </c>
      <c r="DL5016">
        <v>0</v>
      </c>
      <c r="DM5016">
        <v>0</v>
      </c>
      <c r="DN5016">
        <v>0</v>
      </c>
      <c r="DO5016">
        <v>0</v>
      </c>
      <c r="DP5016">
        <v>0</v>
      </c>
      <c r="DQ5016">
        <v>0</v>
      </c>
      <c r="DR5016">
        <v>0</v>
      </c>
      <c r="DS5016">
        <v>0</v>
      </c>
    </row>
    <row r="5017" spans="1:123" x14ac:dyDescent="0.3">
      <c r="A5017" t="str">
        <f>"05/01/2025 15:18:27.556"</f>
        <v>05/01/2025 15:18:27.556</v>
      </c>
      <c r="C5017" t="str">
        <f t="shared" si="1976"/>
        <v>FFDFD3C0</v>
      </c>
      <c r="D5017" t="s">
        <v>136</v>
      </c>
      <c r="E5017" t="str">
        <f>"20"</f>
        <v>20</v>
      </c>
      <c r="H5017">
        <v>400</v>
      </c>
      <c r="I5017" t="s">
        <v>137</v>
      </c>
      <c r="J5017" t="s">
        <v>138</v>
      </c>
      <c r="K5017">
        <v>0</v>
      </c>
      <c r="L5017">
        <v>3</v>
      </c>
      <c r="M5017">
        <v>0</v>
      </c>
      <c r="N5017">
        <v>2</v>
      </c>
      <c r="O5017">
        <v>0</v>
      </c>
      <c r="P5017">
        <v>1</v>
      </c>
      <c r="Q5017">
        <v>0</v>
      </c>
      <c r="R5017" t="s">
        <v>127</v>
      </c>
      <c r="S5017" t="str">
        <f t="shared" si="1986"/>
        <v>15:18:27.000</v>
      </c>
      <c r="T5017" t="str">
        <f t="shared" si="1986"/>
        <v>15:18:27.000</v>
      </c>
      <c r="U5017" t="str">
        <f t="shared" si="1978"/>
        <v>A68FCB</v>
      </c>
      <c r="V5017">
        <v>0</v>
      </c>
      <c r="W5017">
        <v>0</v>
      </c>
      <c r="X5017">
        <v>2</v>
      </c>
      <c r="Y5017">
        <v>0</v>
      </c>
      <c r="AA5017">
        <v>1</v>
      </c>
      <c r="AB5017">
        <v>8</v>
      </c>
      <c r="AC5017">
        <v>3</v>
      </c>
      <c r="AD5017">
        <v>0</v>
      </c>
      <c r="AE5017">
        <v>9</v>
      </c>
      <c r="AF5017" t="s">
        <v>138</v>
      </c>
      <c r="AG5017">
        <v>0</v>
      </c>
      <c r="AH5017">
        <v>3</v>
      </c>
      <c r="AI5017">
        <v>2</v>
      </c>
      <c r="AJ5017">
        <v>0</v>
      </c>
      <c r="AK5017" t="s">
        <v>1585</v>
      </c>
      <c r="AL5017">
        <v>39.235525000000003</v>
      </c>
      <c r="AM5017" t="s">
        <v>1586</v>
      </c>
      <c r="AN5017">
        <v>-121.01206500000001</v>
      </c>
      <c r="AO5017">
        <v>25</v>
      </c>
      <c r="AP5017">
        <v>4000</v>
      </c>
      <c r="AQ5017" t="s">
        <v>131</v>
      </c>
      <c r="AR5017">
        <v>-104</v>
      </c>
      <c r="AS5017">
        <v>-10</v>
      </c>
      <c r="AT5017">
        <v>-512</v>
      </c>
      <c r="BB5017" t="str">
        <f t="shared" si="1979"/>
        <v>1200</v>
      </c>
      <c r="BC5017">
        <v>1</v>
      </c>
      <c r="BD5017" t="str">
        <f t="shared" si="1980"/>
        <v xml:space="preserve">N52156  </v>
      </c>
      <c r="BE5017">
        <v>1</v>
      </c>
      <c r="BG5017">
        <v>0</v>
      </c>
      <c r="BH5017">
        <v>0</v>
      </c>
      <c r="BI5017">
        <v>0</v>
      </c>
      <c r="BJ5017">
        <v>4000</v>
      </c>
      <c r="BK5017">
        <v>0</v>
      </c>
      <c r="BL5017" t="s">
        <v>188</v>
      </c>
      <c r="BM5017">
        <v>1</v>
      </c>
      <c r="BN5017">
        <v>1</v>
      </c>
      <c r="BO5017">
        <v>0</v>
      </c>
      <c r="BP5017">
        <v>0</v>
      </c>
      <c r="BS5017">
        <v>0</v>
      </c>
      <c r="BT5017">
        <v>0</v>
      </c>
      <c r="BU5017">
        <v>0</v>
      </c>
      <c r="CE5017" t="str">
        <f t="shared" si="1987"/>
        <v>15:18:27.297</v>
      </c>
      <c r="CF5017">
        <v>297259199</v>
      </c>
      <c r="CS5017">
        <v>0</v>
      </c>
      <c r="CT5017">
        <v>2</v>
      </c>
      <c r="CU5017">
        <v>0</v>
      </c>
      <c r="CV5017">
        <v>2</v>
      </c>
      <c r="CW5017">
        <v>0</v>
      </c>
      <c r="CX5017">
        <v>2</v>
      </c>
      <c r="CY5017">
        <v>7</v>
      </c>
      <c r="CZ5017" t="s">
        <v>133</v>
      </c>
      <c r="DA5017">
        <v>275</v>
      </c>
      <c r="DB5017">
        <v>0</v>
      </c>
      <c r="DC5017" t="s">
        <v>134</v>
      </c>
      <c r="DD5017" t="s">
        <v>135</v>
      </c>
      <c r="DG5017">
        <v>3323499</v>
      </c>
      <c r="DI5017">
        <v>1</v>
      </c>
      <c r="DJ5017">
        <v>0</v>
      </c>
      <c r="DK5017">
        <v>1</v>
      </c>
      <c r="DL5017">
        <v>0</v>
      </c>
      <c r="DM5017">
        <v>0</v>
      </c>
      <c r="DN5017">
        <v>0</v>
      </c>
      <c r="DO5017">
        <v>0</v>
      </c>
      <c r="DP5017">
        <v>0</v>
      </c>
      <c r="DQ5017">
        <v>0</v>
      </c>
      <c r="DR5017">
        <v>0</v>
      </c>
      <c r="DS5017">
        <v>0</v>
      </c>
    </row>
    <row r="5018" spans="1:123" x14ac:dyDescent="0.3">
      <c r="A5018" t="str">
        <f>"05/01/2025 15:18:28.935"</f>
        <v>05/01/2025 15:18:28.935</v>
      </c>
      <c r="C5018" t="str">
        <f t="shared" si="1976"/>
        <v>FFDFD3C0</v>
      </c>
      <c r="D5018" t="s">
        <v>143</v>
      </c>
      <c r="E5018" t="str">
        <f>"05"</f>
        <v>05</v>
      </c>
      <c r="H5018">
        <v>172</v>
      </c>
      <c r="I5018" t="s">
        <v>141</v>
      </c>
      <c r="J5018" t="s">
        <v>144</v>
      </c>
      <c r="K5018">
        <v>0</v>
      </c>
      <c r="L5018">
        <v>3</v>
      </c>
      <c r="M5018">
        <v>0</v>
      </c>
      <c r="N5018">
        <v>2</v>
      </c>
      <c r="O5018">
        <v>0</v>
      </c>
      <c r="P5018">
        <v>1</v>
      </c>
      <c r="Q5018">
        <v>0</v>
      </c>
      <c r="R5018" t="s">
        <v>127</v>
      </c>
      <c r="S5018" t="str">
        <f t="shared" ref="S5018:T5023" si="1988">"15:18:28.000"</f>
        <v>15:18:28.000</v>
      </c>
      <c r="T5018" t="str">
        <f t="shared" si="1988"/>
        <v>15:18:28.000</v>
      </c>
      <c r="U5018" t="str">
        <f t="shared" si="1978"/>
        <v>A68FCB</v>
      </c>
      <c r="V5018">
        <v>0</v>
      </c>
      <c r="W5018">
        <v>0</v>
      </c>
      <c r="X5018">
        <v>2</v>
      </c>
      <c r="Y5018">
        <v>0</v>
      </c>
      <c r="AA5018">
        <v>1</v>
      </c>
      <c r="AB5018">
        <v>8</v>
      </c>
      <c r="AC5018">
        <v>3</v>
      </c>
      <c r="AD5018">
        <v>0</v>
      </c>
      <c r="AE5018">
        <v>9</v>
      </c>
      <c r="AF5018" t="s">
        <v>138</v>
      </c>
      <c r="AG5018">
        <v>0</v>
      </c>
      <c r="AH5018">
        <v>3</v>
      </c>
      <c r="AI5018">
        <v>2</v>
      </c>
      <c r="AJ5018">
        <v>0</v>
      </c>
      <c r="AK5018" t="s">
        <v>1571</v>
      </c>
      <c r="AL5018">
        <v>39.235481999999998</v>
      </c>
      <c r="AM5018" t="s">
        <v>1587</v>
      </c>
      <c r="AN5018">
        <v>-121.012688</v>
      </c>
      <c r="AO5018">
        <v>25</v>
      </c>
      <c r="AP5018">
        <v>3900</v>
      </c>
      <c r="AQ5018" t="s">
        <v>131</v>
      </c>
      <c r="AR5018">
        <v>-103</v>
      </c>
      <c r="AS5018">
        <v>-11</v>
      </c>
      <c r="AT5018">
        <v>-704</v>
      </c>
      <c r="BB5018" t="str">
        <f t="shared" si="1979"/>
        <v>1200</v>
      </c>
      <c r="BC5018">
        <v>1</v>
      </c>
      <c r="BD5018" t="str">
        <f t="shared" si="1980"/>
        <v xml:space="preserve">N52156  </v>
      </c>
      <c r="BE5018">
        <v>1</v>
      </c>
      <c r="BG5018">
        <v>0</v>
      </c>
      <c r="BH5018">
        <v>0</v>
      </c>
      <c r="BI5018">
        <v>0</v>
      </c>
      <c r="BJ5018">
        <v>4000</v>
      </c>
      <c r="BK5018">
        <v>100</v>
      </c>
      <c r="BL5018" t="s">
        <v>188</v>
      </c>
      <c r="BM5018">
        <v>1</v>
      </c>
      <c r="BN5018">
        <v>1</v>
      </c>
      <c r="BO5018">
        <v>0</v>
      </c>
      <c r="BP5018">
        <v>0</v>
      </c>
      <c r="BS5018">
        <v>0</v>
      </c>
      <c r="BT5018">
        <v>0</v>
      </c>
      <c r="BU5018">
        <v>0</v>
      </c>
      <c r="CE5018" t="str">
        <f t="shared" ref="CE5018:CE5023" si="1989">"15:18:28.720"</f>
        <v>15:18:28.720</v>
      </c>
      <c r="CF5018">
        <v>719760356</v>
      </c>
      <c r="CS5018">
        <v>0</v>
      </c>
      <c r="CT5018">
        <v>2</v>
      </c>
      <c r="CU5018">
        <v>0</v>
      </c>
      <c r="CV5018">
        <v>2</v>
      </c>
      <c r="CW5018">
        <v>0</v>
      </c>
      <c r="CX5018">
        <v>2</v>
      </c>
      <c r="CY5018">
        <v>7</v>
      </c>
      <c r="CZ5018" t="s">
        <v>133</v>
      </c>
      <c r="DA5018">
        <v>275</v>
      </c>
      <c r="DB5018">
        <v>0</v>
      </c>
      <c r="DC5018" t="s">
        <v>134</v>
      </c>
      <c r="DD5018" t="s">
        <v>135</v>
      </c>
      <c r="DG5018">
        <v>3323503</v>
      </c>
      <c r="DI5018">
        <v>1</v>
      </c>
      <c r="DJ5018">
        <v>0</v>
      </c>
      <c r="DK5018">
        <v>0</v>
      </c>
      <c r="DL5018">
        <v>0</v>
      </c>
      <c r="DM5018">
        <v>0</v>
      </c>
      <c r="DN5018">
        <v>0</v>
      </c>
      <c r="DO5018">
        <v>0</v>
      </c>
      <c r="DP5018">
        <v>0</v>
      </c>
      <c r="DQ5018">
        <v>0</v>
      </c>
      <c r="DR5018">
        <v>0</v>
      </c>
      <c r="DS5018">
        <v>0</v>
      </c>
    </row>
    <row r="5019" spans="1:123" x14ac:dyDescent="0.3">
      <c r="A5019" t="str">
        <f>"05/01/2025 15:18:28.950"</f>
        <v>05/01/2025 15:18:28.950</v>
      </c>
      <c r="C5019" t="str">
        <f t="shared" si="1976"/>
        <v>FFDFD3C0</v>
      </c>
      <c r="D5019" t="s">
        <v>145</v>
      </c>
      <c r="E5019" t="str">
        <f>"05"</f>
        <v>05</v>
      </c>
      <c r="H5019">
        <v>47</v>
      </c>
      <c r="I5019" t="s">
        <v>146</v>
      </c>
      <c r="J5019" t="s">
        <v>138</v>
      </c>
      <c r="K5019">
        <v>0</v>
      </c>
      <c r="L5019">
        <v>3</v>
      </c>
      <c r="M5019">
        <v>0</v>
      </c>
      <c r="N5019">
        <v>2</v>
      </c>
      <c r="O5019">
        <v>0</v>
      </c>
      <c r="P5019">
        <v>1</v>
      </c>
      <c r="Q5019">
        <v>0</v>
      </c>
      <c r="R5019" t="s">
        <v>127</v>
      </c>
      <c r="S5019" t="str">
        <f t="shared" si="1988"/>
        <v>15:18:28.000</v>
      </c>
      <c r="T5019" t="str">
        <f t="shared" si="1988"/>
        <v>15:18:28.000</v>
      </c>
      <c r="U5019" t="str">
        <f t="shared" si="1978"/>
        <v>A68FCB</v>
      </c>
      <c r="V5019">
        <v>0</v>
      </c>
      <c r="W5019">
        <v>0</v>
      </c>
      <c r="X5019">
        <v>2</v>
      </c>
      <c r="Y5019">
        <v>0</v>
      </c>
      <c r="AA5019">
        <v>1</v>
      </c>
      <c r="AB5019">
        <v>8</v>
      </c>
      <c r="AC5019">
        <v>3</v>
      </c>
      <c r="AD5019">
        <v>0</v>
      </c>
      <c r="AE5019">
        <v>9</v>
      </c>
      <c r="AF5019" t="s">
        <v>138</v>
      </c>
      <c r="AG5019">
        <v>0</v>
      </c>
      <c r="AH5019">
        <v>3</v>
      </c>
      <c r="AI5019">
        <v>2</v>
      </c>
      <c r="AJ5019">
        <v>0</v>
      </c>
      <c r="AK5019" t="s">
        <v>1571</v>
      </c>
      <c r="AL5019">
        <v>39.235481999999998</v>
      </c>
      <c r="AM5019" t="s">
        <v>1587</v>
      </c>
      <c r="AN5019">
        <v>-121.012688</v>
      </c>
      <c r="AO5019">
        <v>25</v>
      </c>
      <c r="AP5019">
        <v>3900</v>
      </c>
      <c r="AQ5019" t="s">
        <v>131</v>
      </c>
      <c r="AR5019">
        <v>-103</v>
      </c>
      <c r="AS5019">
        <v>-11</v>
      </c>
      <c r="AT5019">
        <v>-704</v>
      </c>
      <c r="BB5019" t="str">
        <f t="shared" si="1979"/>
        <v>1200</v>
      </c>
      <c r="BC5019">
        <v>1</v>
      </c>
      <c r="BD5019" t="str">
        <f t="shared" si="1980"/>
        <v xml:space="preserve">N52156  </v>
      </c>
      <c r="BE5019">
        <v>1</v>
      </c>
      <c r="BG5019">
        <v>0</v>
      </c>
      <c r="BH5019">
        <v>0</v>
      </c>
      <c r="BI5019">
        <v>0</v>
      </c>
      <c r="BJ5019">
        <v>4000</v>
      </c>
      <c r="BK5019">
        <v>100</v>
      </c>
      <c r="BL5019" t="s">
        <v>188</v>
      </c>
      <c r="BM5019">
        <v>1</v>
      </c>
      <c r="BN5019">
        <v>1</v>
      </c>
      <c r="BO5019">
        <v>0</v>
      </c>
      <c r="BP5019">
        <v>0</v>
      </c>
      <c r="BS5019">
        <v>0</v>
      </c>
      <c r="BT5019">
        <v>0</v>
      </c>
      <c r="BU5019">
        <v>0</v>
      </c>
      <c r="CE5019" t="str">
        <f t="shared" si="1989"/>
        <v>15:18:28.720</v>
      </c>
      <c r="CF5019">
        <v>719760356</v>
      </c>
      <c r="CS5019">
        <v>0</v>
      </c>
      <c r="CT5019">
        <v>2</v>
      </c>
      <c r="CU5019">
        <v>0</v>
      </c>
      <c r="CV5019">
        <v>2</v>
      </c>
      <c r="CW5019">
        <v>0</v>
      </c>
      <c r="CX5019">
        <v>2</v>
      </c>
      <c r="CY5019">
        <v>7</v>
      </c>
      <c r="CZ5019" t="s">
        <v>133</v>
      </c>
      <c r="DA5019">
        <v>275</v>
      </c>
      <c r="DB5019">
        <v>0</v>
      </c>
      <c r="DC5019" t="s">
        <v>134</v>
      </c>
      <c r="DD5019" t="s">
        <v>135</v>
      </c>
      <c r="DG5019">
        <v>3323503</v>
      </c>
      <c r="DI5019">
        <v>1</v>
      </c>
      <c r="DJ5019">
        <v>0</v>
      </c>
      <c r="DK5019">
        <v>1</v>
      </c>
      <c r="DL5019">
        <v>0</v>
      </c>
      <c r="DM5019">
        <v>0</v>
      </c>
      <c r="DN5019">
        <v>0</v>
      </c>
      <c r="DO5019">
        <v>0</v>
      </c>
      <c r="DP5019">
        <v>0</v>
      </c>
      <c r="DQ5019">
        <v>0</v>
      </c>
      <c r="DR5019">
        <v>0</v>
      </c>
      <c r="DS5019">
        <v>0</v>
      </c>
    </row>
    <row r="5020" spans="1:123" x14ac:dyDescent="0.3">
      <c r="A5020" t="str">
        <f>"05/01/2025 15:18:28.949"</f>
        <v>05/01/2025 15:18:28.949</v>
      </c>
      <c r="C5020" t="str">
        <f t="shared" si="1976"/>
        <v>FFDFD3C0</v>
      </c>
      <c r="D5020" t="s">
        <v>145</v>
      </c>
      <c r="E5020" t="str">
        <f>"09"</f>
        <v>09</v>
      </c>
      <c r="H5020">
        <v>51</v>
      </c>
      <c r="I5020" t="s">
        <v>147</v>
      </c>
      <c r="J5020" t="s">
        <v>138</v>
      </c>
      <c r="K5020">
        <v>0</v>
      </c>
      <c r="L5020">
        <v>3</v>
      </c>
      <c r="M5020">
        <v>0</v>
      </c>
      <c r="N5020">
        <v>2</v>
      </c>
      <c r="O5020">
        <v>0</v>
      </c>
      <c r="P5020">
        <v>1</v>
      </c>
      <c r="Q5020">
        <v>0</v>
      </c>
      <c r="R5020" t="s">
        <v>127</v>
      </c>
      <c r="S5020" t="str">
        <f t="shared" si="1988"/>
        <v>15:18:28.000</v>
      </c>
      <c r="T5020" t="str">
        <f t="shared" si="1988"/>
        <v>15:18:28.000</v>
      </c>
      <c r="U5020" t="str">
        <f t="shared" si="1978"/>
        <v>A68FCB</v>
      </c>
      <c r="V5020">
        <v>0</v>
      </c>
      <c r="W5020">
        <v>0</v>
      </c>
      <c r="X5020">
        <v>2</v>
      </c>
      <c r="Y5020">
        <v>0</v>
      </c>
      <c r="AA5020">
        <v>1</v>
      </c>
      <c r="AB5020">
        <v>8</v>
      </c>
      <c r="AC5020">
        <v>3</v>
      </c>
      <c r="AD5020">
        <v>0</v>
      </c>
      <c r="AE5020">
        <v>9</v>
      </c>
      <c r="AF5020" t="s">
        <v>138</v>
      </c>
      <c r="AG5020">
        <v>0</v>
      </c>
      <c r="AH5020">
        <v>3</v>
      </c>
      <c r="AI5020">
        <v>2</v>
      </c>
      <c r="AJ5020">
        <v>0</v>
      </c>
      <c r="AK5020" t="s">
        <v>1571</v>
      </c>
      <c r="AL5020">
        <v>39.235481999999998</v>
      </c>
      <c r="AM5020" t="s">
        <v>1587</v>
      </c>
      <c r="AN5020">
        <v>-121.012688</v>
      </c>
      <c r="AO5020">
        <v>25</v>
      </c>
      <c r="AP5020">
        <v>3900</v>
      </c>
      <c r="AQ5020" t="s">
        <v>131</v>
      </c>
      <c r="AR5020">
        <v>-103</v>
      </c>
      <c r="AS5020">
        <v>-11</v>
      </c>
      <c r="AT5020">
        <v>-704</v>
      </c>
      <c r="BB5020" t="str">
        <f t="shared" si="1979"/>
        <v>1200</v>
      </c>
      <c r="BC5020">
        <v>1</v>
      </c>
      <c r="BD5020" t="str">
        <f t="shared" si="1980"/>
        <v xml:space="preserve">N52156  </v>
      </c>
      <c r="BE5020">
        <v>1</v>
      </c>
      <c r="BG5020">
        <v>0</v>
      </c>
      <c r="BH5020">
        <v>0</v>
      </c>
      <c r="BI5020">
        <v>0</v>
      </c>
      <c r="BJ5020">
        <v>4000</v>
      </c>
      <c r="BK5020">
        <v>100</v>
      </c>
      <c r="BL5020" t="s">
        <v>188</v>
      </c>
      <c r="BM5020">
        <v>1</v>
      </c>
      <c r="BN5020">
        <v>1</v>
      </c>
      <c r="BO5020">
        <v>0</v>
      </c>
      <c r="BP5020">
        <v>0</v>
      </c>
      <c r="BS5020">
        <v>0</v>
      </c>
      <c r="BT5020">
        <v>0</v>
      </c>
      <c r="BU5020">
        <v>0</v>
      </c>
      <c r="CE5020" t="str">
        <f t="shared" si="1989"/>
        <v>15:18:28.720</v>
      </c>
      <c r="CF5020">
        <v>719760356</v>
      </c>
      <c r="CS5020">
        <v>0</v>
      </c>
      <c r="CT5020">
        <v>2</v>
      </c>
      <c r="CU5020">
        <v>0</v>
      </c>
      <c r="CV5020">
        <v>2</v>
      </c>
      <c r="CW5020">
        <v>0</v>
      </c>
      <c r="CX5020">
        <v>2</v>
      </c>
      <c r="CY5020">
        <v>7</v>
      </c>
      <c r="CZ5020" t="s">
        <v>133</v>
      </c>
      <c r="DA5020">
        <v>275</v>
      </c>
      <c r="DB5020">
        <v>0</v>
      </c>
      <c r="DC5020" t="s">
        <v>134</v>
      </c>
      <c r="DD5020" t="s">
        <v>135</v>
      </c>
      <c r="DG5020">
        <v>3323503</v>
      </c>
      <c r="DI5020">
        <v>1</v>
      </c>
      <c r="DJ5020">
        <v>0</v>
      </c>
      <c r="DK5020">
        <v>1</v>
      </c>
      <c r="DL5020">
        <v>0</v>
      </c>
      <c r="DM5020">
        <v>0</v>
      </c>
      <c r="DN5020">
        <v>0</v>
      </c>
      <c r="DO5020">
        <v>0</v>
      </c>
      <c r="DP5020">
        <v>0</v>
      </c>
      <c r="DQ5020">
        <v>0</v>
      </c>
      <c r="DR5020">
        <v>0</v>
      </c>
      <c r="DS5020">
        <v>0</v>
      </c>
    </row>
    <row r="5021" spans="1:123" x14ac:dyDescent="0.3">
      <c r="A5021" t="str">
        <f>"05/01/2025 15:18:28.958"</f>
        <v>05/01/2025 15:18:28.958</v>
      </c>
      <c r="C5021" t="str">
        <f t="shared" si="1976"/>
        <v>FFDFD3C0</v>
      </c>
      <c r="D5021" t="s">
        <v>136</v>
      </c>
      <c r="E5021" t="str">
        <f>"20"</f>
        <v>20</v>
      </c>
      <c r="H5021">
        <v>400</v>
      </c>
      <c r="I5021" t="s">
        <v>137</v>
      </c>
      <c r="J5021" t="s">
        <v>138</v>
      </c>
      <c r="K5021">
        <v>0</v>
      </c>
      <c r="L5021">
        <v>3</v>
      </c>
      <c r="M5021">
        <v>0</v>
      </c>
      <c r="N5021">
        <v>2</v>
      </c>
      <c r="O5021">
        <v>0</v>
      </c>
      <c r="P5021">
        <v>1</v>
      </c>
      <c r="Q5021">
        <v>0</v>
      </c>
      <c r="R5021" t="s">
        <v>127</v>
      </c>
      <c r="S5021" t="str">
        <f t="shared" si="1988"/>
        <v>15:18:28.000</v>
      </c>
      <c r="T5021" t="str">
        <f t="shared" si="1988"/>
        <v>15:18:28.000</v>
      </c>
      <c r="U5021" t="str">
        <f t="shared" si="1978"/>
        <v>A68FCB</v>
      </c>
      <c r="V5021">
        <v>0</v>
      </c>
      <c r="W5021">
        <v>0</v>
      </c>
      <c r="X5021">
        <v>2</v>
      </c>
      <c r="Y5021">
        <v>0</v>
      </c>
      <c r="AA5021">
        <v>1</v>
      </c>
      <c r="AB5021">
        <v>8</v>
      </c>
      <c r="AC5021">
        <v>3</v>
      </c>
      <c r="AD5021">
        <v>0</v>
      </c>
      <c r="AE5021">
        <v>9</v>
      </c>
      <c r="AF5021" t="s">
        <v>138</v>
      </c>
      <c r="AG5021">
        <v>0</v>
      </c>
      <c r="AH5021">
        <v>3</v>
      </c>
      <c r="AI5021">
        <v>2</v>
      </c>
      <c r="AJ5021">
        <v>0</v>
      </c>
      <c r="AK5021" t="s">
        <v>1571</v>
      </c>
      <c r="AL5021">
        <v>39.235481999999998</v>
      </c>
      <c r="AM5021" t="s">
        <v>1587</v>
      </c>
      <c r="AN5021">
        <v>-121.012688</v>
      </c>
      <c r="AO5021">
        <v>25</v>
      </c>
      <c r="AP5021">
        <v>3900</v>
      </c>
      <c r="AQ5021" t="s">
        <v>131</v>
      </c>
      <c r="AR5021">
        <v>-103</v>
      </c>
      <c r="AS5021">
        <v>-11</v>
      </c>
      <c r="AT5021">
        <v>-704</v>
      </c>
      <c r="BB5021" t="str">
        <f t="shared" si="1979"/>
        <v>1200</v>
      </c>
      <c r="BC5021">
        <v>1</v>
      </c>
      <c r="BD5021" t="str">
        <f t="shared" si="1980"/>
        <v xml:space="preserve">N52156  </v>
      </c>
      <c r="BE5021">
        <v>1</v>
      </c>
      <c r="BG5021">
        <v>0</v>
      </c>
      <c r="BH5021">
        <v>0</v>
      </c>
      <c r="BI5021">
        <v>0</v>
      </c>
      <c r="BJ5021">
        <v>4000</v>
      </c>
      <c r="BK5021">
        <v>100</v>
      </c>
      <c r="BL5021" t="s">
        <v>188</v>
      </c>
      <c r="BM5021">
        <v>1</v>
      </c>
      <c r="BN5021">
        <v>1</v>
      </c>
      <c r="BO5021">
        <v>0</v>
      </c>
      <c r="BP5021">
        <v>0</v>
      </c>
      <c r="BS5021">
        <v>0</v>
      </c>
      <c r="BT5021">
        <v>0</v>
      </c>
      <c r="BU5021">
        <v>0</v>
      </c>
      <c r="CE5021" t="str">
        <f t="shared" si="1989"/>
        <v>15:18:28.720</v>
      </c>
      <c r="CF5021">
        <v>719760356</v>
      </c>
      <c r="CS5021">
        <v>0</v>
      </c>
      <c r="CT5021">
        <v>2</v>
      </c>
      <c r="CU5021">
        <v>0</v>
      </c>
      <c r="CV5021">
        <v>2</v>
      </c>
      <c r="CW5021">
        <v>0</v>
      </c>
      <c r="CX5021">
        <v>2</v>
      </c>
      <c r="CY5021">
        <v>7</v>
      </c>
      <c r="CZ5021" t="s">
        <v>133</v>
      </c>
      <c r="DA5021">
        <v>275</v>
      </c>
      <c r="DB5021">
        <v>0</v>
      </c>
      <c r="DC5021" t="s">
        <v>134</v>
      </c>
      <c r="DD5021" t="s">
        <v>135</v>
      </c>
      <c r="DG5021">
        <v>3323503</v>
      </c>
      <c r="DI5021">
        <v>1</v>
      </c>
      <c r="DJ5021">
        <v>0</v>
      </c>
      <c r="DK5021">
        <v>1</v>
      </c>
      <c r="DL5021">
        <v>0</v>
      </c>
      <c r="DM5021">
        <v>0</v>
      </c>
      <c r="DN5021">
        <v>0</v>
      </c>
      <c r="DO5021">
        <v>0</v>
      </c>
      <c r="DP5021">
        <v>0</v>
      </c>
      <c r="DQ5021">
        <v>0</v>
      </c>
      <c r="DR5021">
        <v>0</v>
      </c>
      <c r="DS5021">
        <v>0</v>
      </c>
    </row>
    <row r="5022" spans="1:123" x14ac:dyDescent="0.3">
      <c r="A5022" t="str">
        <f>"05/01/2025 15:18:28.974"</f>
        <v>05/01/2025 15:18:28.974</v>
      </c>
      <c r="C5022" t="str">
        <f t="shared" si="1976"/>
        <v>FFDFD3C0</v>
      </c>
      <c r="D5022" t="s">
        <v>140</v>
      </c>
      <c r="E5022" t="str">
        <f>"13"</f>
        <v>13</v>
      </c>
      <c r="F5022">
        <v>1019</v>
      </c>
      <c r="G5022" t="s">
        <v>141</v>
      </c>
      <c r="J5022" t="s">
        <v>142</v>
      </c>
      <c r="K5022">
        <v>0</v>
      </c>
      <c r="L5022">
        <v>3</v>
      </c>
      <c r="M5022">
        <v>0</v>
      </c>
      <c r="N5022">
        <v>2</v>
      </c>
      <c r="O5022">
        <v>0</v>
      </c>
      <c r="P5022">
        <v>1</v>
      </c>
      <c r="Q5022">
        <v>0</v>
      </c>
      <c r="R5022" t="s">
        <v>127</v>
      </c>
      <c r="S5022" t="str">
        <f t="shared" si="1988"/>
        <v>15:18:28.000</v>
      </c>
      <c r="T5022" t="str">
        <f t="shared" si="1988"/>
        <v>15:18:28.000</v>
      </c>
      <c r="U5022" t="str">
        <f t="shared" si="1978"/>
        <v>A68FCB</v>
      </c>
      <c r="V5022">
        <v>0</v>
      </c>
      <c r="W5022">
        <v>0</v>
      </c>
      <c r="X5022">
        <v>2</v>
      </c>
      <c r="Y5022">
        <v>0</v>
      </c>
      <c r="AA5022">
        <v>1</v>
      </c>
      <c r="AB5022">
        <v>8</v>
      </c>
      <c r="AC5022">
        <v>3</v>
      </c>
      <c r="AD5022">
        <v>0</v>
      </c>
      <c r="AE5022">
        <v>9</v>
      </c>
      <c r="AF5022" t="s">
        <v>138</v>
      </c>
      <c r="AG5022">
        <v>0</v>
      </c>
      <c r="AH5022">
        <v>3</v>
      </c>
      <c r="AI5022">
        <v>2</v>
      </c>
      <c r="AJ5022">
        <v>0</v>
      </c>
      <c r="AK5022" t="s">
        <v>1571</v>
      </c>
      <c r="AL5022">
        <v>39.235481999999998</v>
      </c>
      <c r="AM5022" t="s">
        <v>1587</v>
      </c>
      <c r="AN5022">
        <v>-121.012688</v>
      </c>
      <c r="AO5022">
        <v>25</v>
      </c>
      <c r="AP5022">
        <v>3900</v>
      </c>
      <c r="AQ5022" t="s">
        <v>131</v>
      </c>
      <c r="AR5022">
        <v>-103</v>
      </c>
      <c r="AS5022">
        <v>-11</v>
      </c>
      <c r="AT5022">
        <v>-704</v>
      </c>
      <c r="BB5022" t="str">
        <f t="shared" si="1979"/>
        <v>1200</v>
      </c>
      <c r="BC5022">
        <v>1</v>
      </c>
      <c r="BD5022" t="str">
        <f t="shared" si="1980"/>
        <v xml:space="preserve">N52156  </v>
      </c>
      <c r="BE5022">
        <v>1</v>
      </c>
      <c r="BG5022">
        <v>0</v>
      </c>
      <c r="BH5022">
        <v>0</v>
      </c>
      <c r="BI5022">
        <v>0</v>
      </c>
      <c r="BJ5022">
        <v>4000</v>
      </c>
      <c r="BK5022">
        <v>100</v>
      </c>
      <c r="BL5022" t="s">
        <v>188</v>
      </c>
      <c r="BM5022">
        <v>1</v>
      </c>
      <c r="BN5022">
        <v>1</v>
      </c>
      <c r="BO5022">
        <v>0</v>
      </c>
      <c r="BP5022">
        <v>0</v>
      </c>
      <c r="BS5022">
        <v>0</v>
      </c>
      <c r="BT5022">
        <v>0</v>
      </c>
      <c r="BU5022">
        <v>0</v>
      </c>
      <c r="CE5022" t="str">
        <f t="shared" si="1989"/>
        <v>15:18:28.720</v>
      </c>
      <c r="CF5022">
        <v>719760356</v>
      </c>
      <c r="CS5022">
        <v>0</v>
      </c>
      <c r="CT5022">
        <v>2</v>
      </c>
      <c r="CU5022">
        <v>0</v>
      </c>
      <c r="CV5022">
        <v>2</v>
      </c>
      <c r="CW5022">
        <v>0</v>
      </c>
      <c r="CX5022">
        <v>2</v>
      </c>
      <c r="CY5022">
        <v>7</v>
      </c>
      <c r="CZ5022" t="s">
        <v>133</v>
      </c>
      <c r="DA5022">
        <v>275</v>
      </c>
      <c r="DB5022">
        <v>0</v>
      </c>
      <c r="DC5022" t="s">
        <v>134</v>
      </c>
      <c r="DD5022" t="s">
        <v>135</v>
      </c>
      <c r="DG5022">
        <v>3323503</v>
      </c>
      <c r="DI5022">
        <v>1</v>
      </c>
      <c r="DJ5022">
        <v>0</v>
      </c>
      <c r="DK5022">
        <v>1</v>
      </c>
      <c r="DL5022">
        <v>0</v>
      </c>
      <c r="DM5022">
        <v>0</v>
      </c>
      <c r="DN5022">
        <v>0</v>
      </c>
      <c r="DO5022">
        <v>0</v>
      </c>
      <c r="DP5022">
        <v>0</v>
      </c>
      <c r="DQ5022">
        <v>0</v>
      </c>
      <c r="DR5022">
        <v>0</v>
      </c>
      <c r="DS5022">
        <v>0</v>
      </c>
    </row>
    <row r="5023" spans="1:123" x14ac:dyDescent="0.3">
      <c r="A5023" t="str">
        <f>"05/01/2025 15:18:28.977"</f>
        <v>05/01/2025 15:18:28.977</v>
      </c>
      <c r="C5023" t="str">
        <f t="shared" si="1976"/>
        <v>FFDFD3C0</v>
      </c>
      <c r="D5023" t="s">
        <v>124</v>
      </c>
      <c r="E5023" t="str">
        <f>"06"</f>
        <v>06</v>
      </c>
      <c r="F5023">
        <v>2006</v>
      </c>
      <c r="G5023" t="s">
        <v>125</v>
      </c>
      <c r="J5023" t="s">
        <v>126</v>
      </c>
      <c r="K5023">
        <v>0</v>
      </c>
      <c r="L5023">
        <v>3</v>
      </c>
      <c r="M5023">
        <v>0</v>
      </c>
      <c r="N5023">
        <v>2</v>
      </c>
      <c r="O5023">
        <v>0</v>
      </c>
      <c r="P5023">
        <v>1</v>
      </c>
      <c r="Q5023">
        <v>0</v>
      </c>
      <c r="R5023" t="s">
        <v>127</v>
      </c>
      <c r="S5023" t="str">
        <f t="shared" si="1988"/>
        <v>15:18:28.000</v>
      </c>
      <c r="T5023" t="str">
        <f t="shared" si="1988"/>
        <v>15:18:28.000</v>
      </c>
      <c r="U5023" t="str">
        <f t="shared" si="1978"/>
        <v>A68FCB</v>
      </c>
      <c r="V5023">
        <v>0</v>
      </c>
      <c r="W5023">
        <v>0</v>
      </c>
      <c r="X5023">
        <v>2</v>
      </c>
      <c r="Y5023">
        <v>0</v>
      </c>
      <c r="AA5023">
        <v>1</v>
      </c>
      <c r="AB5023">
        <v>8</v>
      </c>
      <c r="AC5023">
        <v>3</v>
      </c>
      <c r="AD5023">
        <v>0</v>
      </c>
      <c r="AE5023">
        <v>9</v>
      </c>
      <c r="AF5023" t="s">
        <v>138</v>
      </c>
      <c r="AG5023">
        <v>0</v>
      </c>
      <c r="AH5023">
        <v>3</v>
      </c>
      <c r="AI5023">
        <v>2</v>
      </c>
      <c r="AJ5023">
        <v>0</v>
      </c>
      <c r="AK5023" t="s">
        <v>1571</v>
      </c>
      <c r="AL5023">
        <v>39.235481999999998</v>
      </c>
      <c r="AM5023" t="s">
        <v>1587</v>
      </c>
      <c r="AN5023">
        <v>-121.012688</v>
      </c>
      <c r="AO5023">
        <v>25</v>
      </c>
      <c r="AP5023">
        <v>3900</v>
      </c>
      <c r="AQ5023" t="s">
        <v>131</v>
      </c>
      <c r="AR5023">
        <v>-103</v>
      </c>
      <c r="AS5023">
        <v>-11</v>
      </c>
      <c r="AT5023">
        <v>-704</v>
      </c>
      <c r="BB5023" t="str">
        <f t="shared" si="1979"/>
        <v>1200</v>
      </c>
      <c r="BC5023">
        <v>1</v>
      </c>
      <c r="BD5023" t="str">
        <f t="shared" si="1980"/>
        <v xml:space="preserve">N52156  </v>
      </c>
      <c r="BE5023">
        <v>1</v>
      </c>
      <c r="BG5023">
        <v>0</v>
      </c>
      <c r="BH5023">
        <v>0</v>
      </c>
      <c r="BI5023">
        <v>0</v>
      </c>
      <c r="BJ5023">
        <v>4000</v>
      </c>
      <c r="BK5023">
        <v>100</v>
      </c>
      <c r="BL5023" t="s">
        <v>188</v>
      </c>
      <c r="BM5023">
        <v>1</v>
      </c>
      <c r="BN5023">
        <v>1</v>
      </c>
      <c r="BO5023">
        <v>0</v>
      </c>
      <c r="BP5023">
        <v>0</v>
      </c>
      <c r="BS5023">
        <v>0</v>
      </c>
      <c r="BT5023">
        <v>0</v>
      </c>
      <c r="BU5023">
        <v>0</v>
      </c>
      <c r="CE5023" t="str">
        <f t="shared" si="1989"/>
        <v>15:18:28.720</v>
      </c>
      <c r="CF5023">
        <v>719760356</v>
      </c>
      <c r="CS5023">
        <v>0</v>
      </c>
      <c r="CT5023">
        <v>2</v>
      </c>
      <c r="CU5023">
        <v>0</v>
      </c>
      <c r="CV5023">
        <v>2</v>
      </c>
      <c r="CW5023">
        <v>0</v>
      </c>
      <c r="CX5023">
        <v>2</v>
      </c>
      <c r="CY5023">
        <v>7</v>
      </c>
      <c r="CZ5023" t="s">
        <v>133</v>
      </c>
      <c r="DA5023">
        <v>275</v>
      </c>
      <c r="DB5023">
        <v>0</v>
      </c>
      <c r="DC5023" t="s">
        <v>134</v>
      </c>
      <c r="DD5023" t="s">
        <v>135</v>
      </c>
      <c r="DG5023">
        <v>3323503</v>
      </c>
      <c r="DI5023">
        <v>1</v>
      </c>
      <c r="DJ5023">
        <v>0</v>
      </c>
      <c r="DK5023">
        <v>1</v>
      </c>
      <c r="DL5023">
        <v>0</v>
      </c>
      <c r="DM5023">
        <v>0</v>
      </c>
      <c r="DN5023">
        <v>0</v>
      </c>
      <c r="DO5023">
        <v>0</v>
      </c>
      <c r="DP5023">
        <v>0</v>
      </c>
      <c r="DQ5023">
        <v>0</v>
      </c>
      <c r="DR5023">
        <v>0</v>
      </c>
      <c r="DS5023">
        <v>0</v>
      </c>
    </row>
    <row r="5024" spans="1:123" x14ac:dyDescent="0.3">
      <c r="A5024" t="str">
        <f>"05/01/2025 15:18:29.701"</f>
        <v>05/01/2025 15:18:29.701</v>
      </c>
      <c r="C5024" t="str">
        <f t="shared" si="1976"/>
        <v>FFDFD3C0</v>
      </c>
      <c r="D5024" t="s">
        <v>145</v>
      </c>
      <c r="E5024" t="str">
        <f>"09"</f>
        <v>09</v>
      </c>
      <c r="H5024">
        <v>51</v>
      </c>
      <c r="I5024" t="s">
        <v>147</v>
      </c>
      <c r="J5024" t="s">
        <v>138</v>
      </c>
      <c r="K5024">
        <v>0</v>
      </c>
      <c r="L5024">
        <v>3</v>
      </c>
      <c r="M5024">
        <v>0</v>
      </c>
      <c r="N5024">
        <v>2</v>
      </c>
      <c r="O5024">
        <v>0</v>
      </c>
      <c r="P5024">
        <v>1</v>
      </c>
      <c r="Q5024">
        <v>0</v>
      </c>
      <c r="R5024" t="s">
        <v>127</v>
      </c>
      <c r="S5024" t="str">
        <f t="shared" ref="S5024:T5029" si="1990">"15:18:29.000"</f>
        <v>15:18:29.000</v>
      </c>
      <c r="T5024" t="str">
        <f t="shared" si="1990"/>
        <v>15:18:29.000</v>
      </c>
      <c r="U5024" t="str">
        <f t="shared" si="1978"/>
        <v>A68FCB</v>
      </c>
      <c r="V5024">
        <v>0</v>
      </c>
      <c r="W5024">
        <v>0</v>
      </c>
      <c r="X5024">
        <v>2</v>
      </c>
      <c r="Y5024">
        <v>0</v>
      </c>
      <c r="AA5024">
        <v>1</v>
      </c>
      <c r="AB5024">
        <v>8</v>
      </c>
      <c r="AC5024">
        <v>3</v>
      </c>
      <c r="AD5024">
        <v>0</v>
      </c>
      <c r="AE5024">
        <v>9</v>
      </c>
      <c r="AF5024" t="s">
        <v>138</v>
      </c>
      <c r="AG5024">
        <v>0</v>
      </c>
      <c r="AH5024">
        <v>3</v>
      </c>
      <c r="AI5024">
        <v>2</v>
      </c>
      <c r="AJ5024">
        <v>0</v>
      </c>
      <c r="AK5024" t="s">
        <v>1588</v>
      </c>
      <c r="AL5024">
        <v>39.235418000000003</v>
      </c>
      <c r="AM5024" t="s">
        <v>1589</v>
      </c>
      <c r="AN5024">
        <v>-121.01331</v>
      </c>
      <c r="AO5024">
        <v>25</v>
      </c>
      <c r="AP5024">
        <v>3900</v>
      </c>
      <c r="AQ5024" t="s">
        <v>131</v>
      </c>
      <c r="AR5024">
        <v>-103</v>
      </c>
      <c r="AS5024">
        <v>-11</v>
      </c>
      <c r="AT5024">
        <v>-704</v>
      </c>
      <c r="BB5024" t="str">
        <f t="shared" si="1979"/>
        <v>1200</v>
      </c>
      <c r="BC5024">
        <v>1</v>
      </c>
      <c r="BD5024" t="str">
        <f t="shared" si="1980"/>
        <v xml:space="preserve">N52156  </v>
      </c>
      <c r="BE5024">
        <v>1</v>
      </c>
      <c r="BG5024">
        <v>0</v>
      </c>
      <c r="BH5024">
        <v>0</v>
      </c>
      <c r="BI5024">
        <v>0</v>
      </c>
      <c r="BJ5024">
        <v>4000</v>
      </c>
      <c r="BK5024">
        <v>100</v>
      </c>
      <c r="BL5024" t="s">
        <v>188</v>
      </c>
      <c r="BM5024">
        <v>1</v>
      </c>
      <c r="BN5024">
        <v>1</v>
      </c>
      <c r="BO5024">
        <v>0</v>
      </c>
      <c r="BP5024">
        <v>0</v>
      </c>
      <c r="BS5024">
        <v>0</v>
      </c>
      <c r="BT5024">
        <v>0</v>
      </c>
      <c r="BU5024">
        <v>0</v>
      </c>
      <c r="CE5024" t="str">
        <f t="shared" ref="CE5024:CE5029" si="1991">"15:18:29.461"</f>
        <v>15:18:29.461</v>
      </c>
      <c r="CF5024">
        <v>460509462</v>
      </c>
      <c r="CS5024">
        <v>0</v>
      </c>
      <c r="CT5024">
        <v>2</v>
      </c>
      <c r="CU5024">
        <v>0</v>
      </c>
      <c r="CV5024">
        <v>2</v>
      </c>
      <c r="CW5024">
        <v>0</v>
      </c>
      <c r="CX5024">
        <v>2</v>
      </c>
      <c r="CY5024">
        <v>7</v>
      </c>
      <c r="CZ5024" t="s">
        <v>133</v>
      </c>
      <c r="DA5024">
        <v>275</v>
      </c>
      <c r="DB5024">
        <v>0</v>
      </c>
      <c r="DC5024" t="s">
        <v>134</v>
      </c>
      <c r="DD5024" t="s">
        <v>135</v>
      </c>
      <c r="DG5024">
        <v>3323507</v>
      </c>
      <c r="DI5024">
        <v>1</v>
      </c>
      <c r="DJ5024">
        <v>0</v>
      </c>
      <c r="DK5024">
        <v>0</v>
      </c>
      <c r="DL5024">
        <v>0</v>
      </c>
      <c r="DM5024">
        <v>0</v>
      </c>
      <c r="DN5024">
        <v>0</v>
      </c>
      <c r="DO5024">
        <v>0</v>
      </c>
      <c r="DP5024">
        <v>0</v>
      </c>
      <c r="DQ5024">
        <v>0</v>
      </c>
      <c r="DR5024">
        <v>0</v>
      </c>
      <c r="DS5024">
        <v>0</v>
      </c>
    </row>
    <row r="5025" spans="1:123" x14ac:dyDescent="0.3">
      <c r="A5025" t="str">
        <f>"05/01/2025 15:18:29.702"</f>
        <v>05/01/2025 15:18:29.702</v>
      </c>
      <c r="C5025" t="str">
        <f t="shared" si="1976"/>
        <v>FFDFD3C0</v>
      </c>
      <c r="D5025" t="s">
        <v>145</v>
      </c>
      <c r="E5025" t="str">
        <f>"05"</f>
        <v>05</v>
      </c>
      <c r="H5025">
        <v>47</v>
      </c>
      <c r="I5025" t="s">
        <v>146</v>
      </c>
      <c r="J5025" t="s">
        <v>138</v>
      </c>
      <c r="K5025">
        <v>0</v>
      </c>
      <c r="L5025">
        <v>3</v>
      </c>
      <c r="M5025">
        <v>0</v>
      </c>
      <c r="N5025">
        <v>2</v>
      </c>
      <c r="O5025">
        <v>0</v>
      </c>
      <c r="P5025">
        <v>1</v>
      </c>
      <c r="Q5025">
        <v>0</v>
      </c>
      <c r="R5025" t="s">
        <v>127</v>
      </c>
      <c r="S5025" t="str">
        <f t="shared" si="1990"/>
        <v>15:18:29.000</v>
      </c>
      <c r="T5025" t="str">
        <f t="shared" si="1990"/>
        <v>15:18:29.000</v>
      </c>
      <c r="U5025" t="str">
        <f t="shared" si="1978"/>
        <v>A68FCB</v>
      </c>
      <c r="V5025">
        <v>0</v>
      </c>
      <c r="W5025">
        <v>0</v>
      </c>
      <c r="X5025">
        <v>2</v>
      </c>
      <c r="Y5025">
        <v>0</v>
      </c>
      <c r="AA5025">
        <v>1</v>
      </c>
      <c r="AB5025">
        <v>8</v>
      </c>
      <c r="AC5025">
        <v>3</v>
      </c>
      <c r="AD5025">
        <v>0</v>
      </c>
      <c r="AE5025">
        <v>9</v>
      </c>
      <c r="AF5025" t="s">
        <v>138</v>
      </c>
      <c r="AG5025">
        <v>0</v>
      </c>
      <c r="AH5025">
        <v>3</v>
      </c>
      <c r="AI5025">
        <v>2</v>
      </c>
      <c r="AJ5025">
        <v>0</v>
      </c>
      <c r="AK5025" t="s">
        <v>1588</v>
      </c>
      <c r="AL5025">
        <v>39.235418000000003</v>
      </c>
      <c r="AM5025" t="s">
        <v>1589</v>
      </c>
      <c r="AN5025">
        <v>-121.01331</v>
      </c>
      <c r="AO5025">
        <v>25</v>
      </c>
      <c r="AP5025">
        <v>3900</v>
      </c>
      <c r="AQ5025" t="s">
        <v>131</v>
      </c>
      <c r="AR5025">
        <v>-103</v>
      </c>
      <c r="AS5025">
        <v>-11</v>
      </c>
      <c r="AT5025">
        <v>-704</v>
      </c>
      <c r="BB5025" t="str">
        <f t="shared" si="1979"/>
        <v>1200</v>
      </c>
      <c r="BC5025">
        <v>1</v>
      </c>
      <c r="BD5025" t="str">
        <f t="shared" si="1980"/>
        <v xml:space="preserve">N52156  </v>
      </c>
      <c r="BE5025">
        <v>1</v>
      </c>
      <c r="BG5025">
        <v>0</v>
      </c>
      <c r="BH5025">
        <v>0</v>
      </c>
      <c r="BI5025">
        <v>0</v>
      </c>
      <c r="BJ5025">
        <v>4000</v>
      </c>
      <c r="BK5025">
        <v>100</v>
      </c>
      <c r="BL5025" t="s">
        <v>188</v>
      </c>
      <c r="BM5025">
        <v>1</v>
      </c>
      <c r="BN5025">
        <v>1</v>
      </c>
      <c r="BO5025">
        <v>0</v>
      </c>
      <c r="BP5025">
        <v>0</v>
      </c>
      <c r="BS5025">
        <v>0</v>
      </c>
      <c r="BT5025">
        <v>0</v>
      </c>
      <c r="BU5025">
        <v>0</v>
      </c>
      <c r="CE5025" t="str">
        <f t="shared" si="1991"/>
        <v>15:18:29.461</v>
      </c>
      <c r="CF5025">
        <v>460509462</v>
      </c>
      <c r="CS5025">
        <v>0</v>
      </c>
      <c r="CT5025">
        <v>2</v>
      </c>
      <c r="CU5025">
        <v>0</v>
      </c>
      <c r="CV5025">
        <v>2</v>
      </c>
      <c r="CW5025">
        <v>0</v>
      </c>
      <c r="CX5025">
        <v>2</v>
      </c>
      <c r="CY5025">
        <v>7</v>
      </c>
      <c r="CZ5025" t="s">
        <v>133</v>
      </c>
      <c r="DA5025">
        <v>275</v>
      </c>
      <c r="DB5025">
        <v>0</v>
      </c>
      <c r="DC5025" t="s">
        <v>134</v>
      </c>
      <c r="DD5025" t="s">
        <v>135</v>
      </c>
      <c r="DG5025">
        <v>3323507</v>
      </c>
      <c r="DI5025">
        <v>1</v>
      </c>
      <c r="DJ5025">
        <v>0</v>
      </c>
      <c r="DK5025">
        <v>1</v>
      </c>
      <c r="DL5025">
        <v>0</v>
      </c>
      <c r="DM5025">
        <v>0</v>
      </c>
      <c r="DN5025">
        <v>0</v>
      </c>
      <c r="DO5025">
        <v>0</v>
      </c>
      <c r="DP5025">
        <v>0</v>
      </c>
      <c r="DQ5025">
        <v>0</v>
      </c>
      <c r="DR5025">
        <v>0</v>
      </c>
      <c r="DS5025">
        <v>0</v>
      </c>
    </row>
    <row r="5026" spans="1:123" x14ac:dyDescent="0.3">
      <c r="A5026" t="str">
        <f>"05/01/2025 15:18:29.710"</f>
        <v>05/01/2025 15:18:29.710</v>
      </c>
      <c r="C5026" t="str">
        <f t="shared" si="1976"/>
        <v>FFDFD3C0</v>
      </c>
      <c r="D5026" t="s">
        <v>136</v>
      </c>
      <c r="E5026" t="str">
        <f>"20"</f>
        <v>20</v>
      </c>
      <c r="H5026">
        <v>400</v>
      </c>
      <c r="I5026" t="s">
        <v>137</v>
      </c>
      <c r="J5026" t="s">
        <v>138</v>
      </c>
      <c r="K5026">
        <v>0</v>
      </c>
      <c r="L5026">
        <v>3</v>
      </c>
      <c r="M5026">
        <v>0</v>
      </c>
      <c r="N5026">
        <v>2</v>
      </c>
      <c r="O5026">
        <v>0</v>
      </c>
      <c r="P5026">
        <v>1</v>
      </c>
      <c r="Q5026">
        <v>0</v>
      </c>
      <c r="R5026" t="s">
        <v>127</v>
      </c>
      <c r="S5026" t="str">
        <f t="shared" si="1990"/>
        <v>15:18:29.000</v>
      </c>
      <c r="T5026" t="str">
        <f t="shared" si="1990"/>
        <v>15:18:29.000</v>
      </c>
      <c r="U5026" t="str">
        <f t="shared" si="1978"/>
        <v>A68FCB</v>
      </c>
      <c r="V5026">
        <v>0</v>
      </c>
      <c r="W5026">
        <v>0</v>
      </c>
      <c r="X5026">
        <v>2</v>
      </c>
      <c r="Y5026">
        <v>0</v>
      </c>
      <c r="AA5026">
        <v>1</v>
      </c>
      <c r="AB5026">
        <v>8</v>
      </c>
      <c r="AC5026">
        <v>3</v>
      </c>
      <c r="AD5026">
        <v>0</v>
      </c>
      <c r="AE5026">
        <v>9</v>
      </c>
      <c r="AF5026" t="s">
        <v>138</v>
      </c>
      <c r="AG5026">
        <v>0</v>
      </c>
      <c r="AH5026">
        <v>3</v>
      </c>
      <c r="AI5026">
        <v>2</v>
      </c>
      <c r="AJ5026">
        <v>0</v>
      </c>
      <c r="AK5026" t="s">
        <v>1588</v>
      </c>
      <c r="AL5026">
        <v>39.235418000000003</v>
      </c>
      <c r="AM5026" t="s">
        <v>1589</v>
      </c>
      <c r="AN5026">
        <v>-121.01331</v>
      </c>
      <c r="AO5026">
        <v>25</v>
      </c>
      <c r="AP5026">
        <v>3900</v>
      </c>
      <c r="AQ5026" t="s">
        <v>131</v>
      </c>
      <c r="AR5026">
        <v>-103</v>
      </c>
      <c r="AS5026">
        <v>-11</v>
      </c>
      <c r="AT5026">
        <v>-704</v>
      </c>
      <c r="BB5026" t="str">
        <f t="shared" si="1979"/>
        <v>1200</v>
      </c>
      <c r="BC5026">
        <v>1</v>
      </c>
      <c r="BD5026" t="str">
        <f t="shared" si="1980"/>
        <v xml:space="preserve">N52156  </v>
      </c>
      <c r="BE5026">
        <v>1</v>
      </c>
      <c r="BG5026">
        <v>0</v>
      </c>
      <c r="BH5026">
        <v>0</v>
      </c>
      <c r="BI5026">
        <v>0</v>
      </c>
      <c r="BJ5026">
        <v>4000</v>
      </c>
      <c r="BK5026">
        <v>100</v>
      </c>
      <c r="BL5026" t="s">
        <v>188</v>
      </c>
      <c r="BM5026">
        <v>1</v>
      </c>
      <c r="BN5026">
        <v>1</v>
      </c>
      <c r="BO5026">
        <v>0</v>
      </c>
      <c r="BP5026">
        <v>0</v>
      </c>
      <c r="BS5026">
        <v>0</v>
      </c>
      <c r="BT5026">
        <v>0</v>
      </c>
      <c r="BU5026">
        <v>0</v>
      </c>
      <c r="CE5026" t="str">
        <f t="shared" si="1991"/>
        <v>15:18:29.461</v>
      </c>
      <c r="CF5026">
        <v>460509462</v>
      </c>
      <c r="CS5026">
        <v>0</v>
      </c>
      <c r="CT5026">
        <v>2</v>
      </c>
      <c r="CU5026">
        <v>0</v>
      </c>
      <c r="CV5026">
        <v>2</v>
      </c>
      <c r="CW5026">
        <v>0</v>
      </c>
      <c r="CX5026">
        <v>2</v>
      </c>
      <c r="CY5026">
        <v>7</v>
      </c>
      <c r="CZ5026" t="s">
        <v>133</v>
      </c>
      <c r="DA5026">
        <v>275</v>
      </c>
      <c r="DB5026">
        <v>0</v>
      </c>
      <c r="DC5026" t="s">
        <v>134</v>
      </c>
      <c r="DD5026" t="s">
        <v>135</v>
      </c>
      <c r="DG5026">
        <v>3323507</v>
      </c>
      <c r="DI5026">
        <v>1</v>
      </c>
      <c r="DJ5026">
        <v>0</v>
      </c>
      <c r="DK5026">
        <v>1</v>
      </c>
      <c r="DL5026">
        <v>0</v>
      </c>
      <c r="DM5026">
        <v>0</v>
      </c>
      <c r="DN5026">
        <v>0</v>
      </c>
      <c r="DO5026">
        <v>0</v>
      </c>
      <c r="DP5026">
        <v>0</v>
      </c>
      <c r="DQ5026">
        <v>0</v>
      </c>
      <c r="DR5026">
        <v>0</v>
      </c>
      <c r="DS5026">
        <v>0</v>
      </c>
    </row>
    <row r="5027" spans="1:123" x14ac:dyDescent="0.3">
      <c r="A5027" t="str">
        <f>"05/01/2025 15:18:29.726"</f>
        <v>05/01/2025 15:18:29.726</v>
      </c>
      <c r="C5027" t="str">
        <f t="shared" si="1976"/>
        <v>FFDFD3C0</v>
      </c>
      <c r="D5027" t="s">
        <v>140</v>
      </c>
      <c r="E5027" t="str">
        <f>"13"</f>
        <v>13</v>
      </c>
      <c r="F5027">
        <v>1019</v>
      </c>
      <c r="G5027" t="s">
        <v>141</v>
      </c>
      <c r="J5027" t="s">
        <v>142</v>
      </c>
      <c r="K5027">
        <v>0</v>
      </c>
      <c r="L5027">
        <v>3</v>
      </c>
      <c r="M5027">
        <v>0</v>
      </c>
      <c r="N5027">
        <v>2</v>
      </c>
      <c r="O5027">
        <v>0</v>
      </c>
      <c r="P5027">
        <v>1</v>
      </c>
      <c r="Q5027">
        <v>0</v>
      </c>
      <c r="R5027" t="s">
        <v>127</v>
      </c>
      <c r="S5027" t="str">
        <f t="shared" si="1990"/>
        <v>15:18:29.000</v>
      </c>
      <c r="T5027" t="str">
        <f t="shared" si="1990"/>
        <v>15:18:29.000</v>
      </c>
      <c r="U5027" t="str">
        <f t="shared" si="1978"/>
        <v>A68FCB</v>
      </c>
      <c r="V5027">
        <v>0</v>
      </c>
      <c r="W5027">
        <v>0</v>
      </c>
      <c r="X5027">
        <v>2</v>
      </c>
      <c r="Y5027">
        <v>0</v>
      </c>
      <c r="AA5027">
        <v>1</v>
      </c>
      <c r="AB5027">
        <v>8</v>
      </c>
      <c r="AC5027">
        <v>3</v>
      </c>
      <c r="AD5027">
        <v>0</v>
      </c>
      <c r="AE5027">
        <v>9</v>
      </c>
      <c r="AF5027" t="s">
        <v>138</v>
      </c>
      <c r="AG5027">
        <v>0</v>
      </c>
      <c r="AH5027">
        <v>3</v>
      </c>
      <c r="AI5027">
        <v>2</v>
      </c>
      <c r="AJ5027">
        <v>0</v>
      </c>
      <c r="AK5027" t="s">
        <v>1588</v>
      </c>
      <c r="AL5027">
        <v>39.235418000000003</v>
      </c>
      <c r="AM5027" t="s">
        <v>1589</v>
      </c>
      <c r="AN5027">
        <v>-121.01331</v>
      </c>
      <c r="AO5027">
        <v>25</v>
      </c>
      <c r="AP5027">
        <v>3900</v>
      </c>
      <c r="AQ5027" t="s">
        <v>131</v>
      </c>
      <c r="AR5027">
        <v>-103</v>
      </c>
      <c r="AS5027">
        <v>-11</v>
      </c>
      <c r="AT5027">
        <v>-704</v>
      </c>
      <c r="BB5027" t="str">
        <f t="shared" si="1979"/>
        <v>1200</v>
      </c>
      <c r="BC5027">
        <v>1</v>
      </c>
      <c r="BD5027" t="str">
        <f t="shared" si="1980"/>
        <v xml:space="preserve">N52156  </v>
      </c>
      <c r="BE5027">
        <v>1</v>
      </c>
      <c r="BG5027">
        <v>0</v>
      </c>
      <c r="BH5027">
        <v>0</v>
      </c>
      <c r="BI5027">
        <v>0</v>
      </c>
      <c r="BJ5027">
        <v>4000</v>
      </c>
      <c r="BK5027">
        <v>100</v>
      </c>
      <c r="BL5027" t="s">
        <v>188</v>
      </c>
      <c r="BM5027">
        <v>1</v>
      </c>
      <c r="BN5027">
        <v>1</v>
      </c>
      <c r="BO5027">
        <v>0</v>
      </c>
      <c r="BP5027">
        <v>0</v>
      </c>
      <c r="BS5027">
        <v>0</v>
      </c>
      <c r="BT5027">
        <v>0</v>
      </c>
      <c r="BU5027">
        <v>0</v>
      </c>
      <c r="CE5027" t="str">
        <f t="shared" si="1991"/>
        <v>15:18:29.461</v>
      </c>
      <c r="CF5027">
        <v>460509462</v>
      </c>
      <c r="CS5027">
        <v>0</v>
      </c>
      <c r="CT5027">
        <v>2</v>
      </c>
      <c r="CU5027">
        <v>0</v>
      </c>
      <c r="CV5027">
        <v>2</v>
      </c>
      <c r="CW5027">
        <v>0</v>
      </c>
      <c r="CX5027">
        <v>2</v>
      </c>
      <c r="CY5027">
        <v>7</v>
      </c>
      <c r="CZ5027" t="s">
        <v>133</v>
      </c>
      <c r="DA5027">
        <v>275</v>
      </c>
      <c r="DB5027">
        <v>0</v>
      </c>
      <c r="DC5027" t="s">
        <v>134</v>
      </c>
      <c r="DD5027" t="s">
        <v>135</v>
      </c>
      <c r="DG5027">
        <v>3323507</v>
      </c>
      <c r="DI5027">
        <v>1</v>
      </c>
      <c r="DJ5027">
        <v>0</v>
      </c>
      <c r="DK5027">
        <v>1</v>
      </c>
      <c r="DL5027">
        <v>0</v>
      </c>
      <c r="DM5027">
        <v>0</v>
      </c>
      <c r="DN5027">
        <v>0</v>
      </c>
      <c r="DO5027">
        <v>0</v>
      </c>
      <c r="DP5027">
        <v>0</v>
      </c>
      <c r="DQ5027">
        <v>0</v>
      </c>
      <c r="DR5027">
        <v>0</v>
      </c>
      <c r="DS5027">
        <v>0</v>
      </c>
    </row>
    <row r="5028" spans="1:123" x14ac:dyDescent="0.3">
      <c r="A5028" t="str">
        <f>"05/01/2025 15:18:29.728"</f>
        <v>05/01/2025 15:18:29.728</v>
      </c>
      <c r="C5028" t="str">
        <f t="shared" si="1976"/>
        <v>FFDFD3C0</v>
      </c>
      <c r="D5028" t="s">
        <v>124</v>
      </c>
      <c r="E5028" t="str">
        <f>"06"</f>
        <v>06</v>
      </c>
      <c r="F5028">
        <v>2006</v>
      </c>
      <c r="G5028" t="s">
        <v>125</v>
      </c>
      <c r="J5028" t="s">
        <v>126</v>
      </c>
      <c r="K5028">
        <v>0</v>
      </c>
      <c r="L5028">
        <v>3</v>
      </c>
      <c r="M5028">
        <v>0</v>
      </c>
      <c r="N5028">
        <v>2</v>
      </c>
      <c r="O5028">
        <v>0</v>
      </c>
      <c r="P5028">
        <v>1</v>
      </c>
      <c r="Q5028">
        <v>0</v>
      </c>
      <c r="R5028" t="s">
        <v>127</v>
      </c>
      <c r="S5028" t="str">
        <f t="shared" si="1990"/>
        <v>15:18:29.000</v>
      </c>
      <c r="T5028" t="str">
        <f t="shared" si="1990"/>
        <v>15:18:29.000</v>
      </c>
      <c r="U5028" t="str">
        <f t="shared" si="1978"/>
        <v>A68FCB</v>
      </c>
      <c r="V5028">
        <v>0</v>
      </c>
      <c r="W5028">
        <v>0</v>
      </c>
      <c r="X5028">
        <v>2</v>
      </c>
      <c r="Y5028">
        <v>0</v>
      </c>
      <c r="AA5028">
        <v>1</v>
      </c>
      <c r="AB5028">
        <v>8</v>
      </c>
      <c r="AC5028">
        <v>3</v>
      </c>
      <c r="AD5028">
        <v>0</v>
      </c>
      <c r="AE5028">
        <v>9</v>
      </c>
      <c r="AF5028" t="s">
        <v>138</v>
      </c>
      <c r="AG5028">
        <v>0</v>
      </c>
      <c r="AH5028">
        <v>3</v>
      </c>
      <c r="AI5028">
        <v>2</v>
      </c>
      <c r="AJ5028">
        <v>0</v>
      </c>
      <c r="AK5028" t="s">
        <v>1588</v>
      </c>
      <c r="AL5028">
        <v>39.235418000000003</v>
      </c>
      <c r="AM5028" t="s">
        <v>1589</v>
      </c>
      <c r="AN5028">
        <v>-121.01331</v>
      </c>
      <c r="AO5028">
        <v>25</v>
      </c>
      <c r="AP5028">
        <v>3900</v>
      </c>
      <c r="AQ5028" t="s">
        <v>131</v>
      </c>
      <c r="AR5028">
        <v>-103</v>
      </c>
      <c r="AS5028">
        <v>-11</v>
      </c>
      <c r="AT5028">
        <v>-704</v>
      </c>
      <c r="BB5028" t="str">
        <f t="shared" si="1979"/>
        <v>1200</v>
      </c>
      <c r="BC5028">
        <v>1</v>
      </c>
      <c r="BD5028" t="str">
        <f t="shared" si="1980"/>
        <v xml:space="preserve">N52156  </v>
      </c>
      <c r="BE5028">
        <v>1</v>
      </c>
      <c r="BG5028">
        <v>0</v>
      </c>
      <c r="BH5028">
        <v>0</v>
      </c>
      <c r="BI5028">
        <v>0</v>
      </c>
      <c r="BJ5028">
        <v>4000</v>
      </c>
      <c r="BK5028">
        <v>100</v>
      </c>
      <c r="BL5028" t="s">
        <v>188</v>
      </c>
      <c r="BM5028">
        <v>1</v>
      </c>
      <c r="BN5028">
        <v>1</v>
      </c>
      <c r="BO5028">
        <v>0</v>
      </c>
      <c r="BP5028">
        <v>0</v>
      </c>
      <c r="BS5028">
        <v>0</v>
      </c>
      <c r="BT5028">
        <v>0</v>
      </c>
      <c r="BU5028">
        <v>0</v>
      </c>
      <c r="CE5028" t="str">
        <f t="shared" si="1991"/>
        <v>15:18:29.461</v>
      </c>
      <c r="CF5028">
        <v>460509462</v>
      </c>
      <c r="CS5028">
        <v>0</v>
      </c>
      <c r="CT5028">
        <v>2</v>
      </c>
      <c r="CU5028">
        <v>0</v>
      </c>
      <c r="CV5028">
        <v>2</v>
      </c>
      <c r="CW5028">
        <v>0</v>
      </c>
      <c r="CX5028">
        <v>2</v>
      </c>
      <c r="CY5028">
        <v>7</v>
      </c>
      <c r="CZ5028" t="s">
        <v>133</v>
      </c>
      <c r="DA5028">
        <v>275</v>
      </c>
      <c r="DB5028">
        <v>0</v>
      </c>
      <c r="DC5028" t="s">
        <v>134</v>
      </c>
      <c r="DD5028" t="s">
        <v>135</v>
      </c>
      <c r="DG5028">
        <v>3323507</v>
      </c>
      <c r="DI5028">
        <v>1</v>
      </c>
      <c r="DJ5028">
        <v>0</v>
      </c>
      <c r="DK5028">
        <v>1</v>
      </c>
      <c r="DL5028">
        <v>0</v>
      </c>
      <c r="DM5028">
        <v>0</v>
      </c>
      <c r="DN5028">
        <v>0</v>
      </c>
      <c r="DO5028">
        <v>0</v>
      </c>
      <c r="DP5028">
        <v>0</v>
      </c>
      <c r="DQ5028">
        <v>0</v>
      </c>
      <c r="DR5028">
        <v>0</v>
      </c>
      <c r="DS5028">
        <v>0</v>
      </c>
    </row>
    <row r="5029" spans="1:123" x14ac:dyDescent="0.3">
      <c r="A5029" t="str">
        <f>"05/01/2025 15:18:29.736"</f>
        <v>05/01/2025 15:18:29.736</v>
      </c>
      <c r="C5029" t="str">
        <f t="shared" si="1976"/>
        <v>FFDFD3C0</v>
      </c>
      <c r="D5029" t="s">
        <v>143</v>
      </c>
      <c r="E5029" t="str">
        <f>"05"</f>
        <v>05</v>
      </c>
      <c r="H5029">
        <v>172</v>
      </c>
      <c r="I5029" t="s">
        <v>141</v>
      </c>
      <c r="J5029" t="s">
        <v>144</v>
      </c>
      <c r="K5029">
        <v>0</v>
      </c>
      <c r="L5029">
        <v>3</v>
      </c>
      <c r="M5029">
        <v>0</v>
      </c>
      <c r="N5029">
        <v>2</v>
      </c>
      <c r="O5029">
        <v>0</v>
      </c>
      <c r="P5029">
        <v>1</v>
      </c>
      <c r="Q5029">
        <v>0</v>
      </c>
      <c r="R5029" t="s">
        <v>127</v>
      </c>
      <c r="S5029" t="str">
        <f t="shared" si="1990"/>
        <v>15:18:29.000</v>
      </c>
      <c r="T5029" t="str">
        <f t="shared" si="1990"/>
        <v>15:18:29.000</v>
      </c>
      <c r="U5029" t="str">
        <f t="shared" si="1978"/>
        <v>A68FCB</v>
      </c>
      <c r="V5029">
        <v>0</v>
      </c>
      <c r="W5029">
        <v>0</v>
      </c>
      <c r="X5029">
        <v>2</v>
      </c>
      <c r="Y5029">
        <v>0</v>
      </c>
      <c r="AA5029">
        <v>1</v>
      </c>
      <c r="AB5029">
        <v>8</v>
      </c>
      <c r="AC5029">
        <v>3</v>
      </c>
      <c r="AD5029">
        <v>0</v>
      </c>
      <c r="AE5029">
        <v>9</v>
      </c>
      <c r="AF5029" t="s">
        <v>138</v>
      </c>
      <c r="AG5029">
        <v>0</v>
      </c>
      <c r="AH5029">
        <v>3</v>
      </c>
      <c r="AI5029">
        <v>2</v>
      </c>
      <c r="AJ5029">
        <v>0</v>
      </c>
      <c r="AK5029" t="s">
        <v>1588</v>
      </c>
      <c r="AL5029">
        <v>39.235418000000003</v>
      </c>
      <c r="AM5029" t="s">
        <v>1589</v>
      </c>
      <c r="AN5029">
        <v>-121.01331</v>
      </c>
      <c r="AO5029">
        <v>25</v>
      </c>
      <c r="AP5029">
        <v>3900</v>
      </c>
      <c r="AQ5029" t="s">
        <v>131</v>
      </c>
      <c r="AR5029">
        <v>-103</v>
      </c>
      <c r="AS5029">
        <v>-11</v>
      </c>
      <c r="AT5029">
        <v>-704</v>
      </c>
      <c r="BB5029" t="str">
        <f t="shared" si="1979"/>
        <v>1200</v>
      </c>
      <c r="BC5029">
        <v>1</v>
      </c>
      <c r="BD5029" t="str">
        <f t="shared" si="1980"/>
        <v xml:space="preserve">N52156  </v>
      </c>
      <c r="BE5029">
        <v>1</v>
      </c>
      <c r="BG5029">
        <v>0</v>
      </c>
      <c r="BH5029">
        <v>0</v>
      </c>
      <c r="BI5029">
        <v>0</v>
      </c>
      <c r="BJ5029">
        <v>4000</v>
      </c>
      <c r="BK5029">
        <v>100</v>
      </c>
      <c r="BL5029" t="s">
        <v>188</v>
      </c>
      <c r="BM5029">
        <v>1</v>
      </c>
      <c r="BN5029">
        <v>1</v>
      </c>
      <c r="BO5029">
        <v>0</v>
      </c>
      <c r="BP5029">
        <v>0</v>
      </c>
      <c r="BS5029">
        <v>0</v>
      </c>
      <c r="BT5029">
        <v>0</v>
      </c>
      <c r="BU5029">
        <v>0</v>
      </c>
      <c r="CE5029" t="str">
        <f t="shared" si="1991"/>
        <v>15:18:29.461</v>
      </c>
      <c r="CF5029">
        <v>460509462</v>
      </c>
      <c r="CS5029">
        <v>0</v>
      </c>
      <c r="CT5029">
        <v>2</v>
      </c>
      <c r="CU5029">
        <v>0</v>
      </c>
      <c r="CV5029">
        <v>2</v>
      </c>
      <c r="CW5029">
        <v>0</v>
      </c>
      <c r="CX5029">
        <v>2</v>
      </c>
      <c r="CY5029">
        <v>7</v>
      </c>
      <c r="CZ5029" t="s">
        <v>133</v>
      </c>
      <c r="DA5029">
        <v>275</v>
      </c>
      <c r="DB5029">
        <v>0</v>
      </c>
      <c r="DC5029" t="s">
        <v>134</v>
      </c>
      <c r="DD5029" t="s">
        <v>135</v>
      </c>
      <c r="DG5029">
        <v>3323507</v>
      </c>
      <c r="DI5029">
        <v>1</v>
      </c>
      <c r="DJ5029">
        <v>0</v>
      </c>
      <c r="DK5029">
        <v>1</v>
      </c>
      <c r="DL5029">
        <v>0</v>
      </c>
      <c r="DM5029">
        <v>0</v>
      </c>
      <c r="DN5029">
        <v>0</v>
      </c>
      <c r="DO5029">
        <v>0</v>
      </c>
      <c r="DP5029">
        <v>0</v>
      </c>
      <c r="DQ5029">
        <v>0</v>
      </c>
      <c r="DR5029">
        <v>0</v>
      </c>
      <c r="DS5029">
        <v>0</v>
      </c>
    </row>
    <row r="5030" spans="1:123" x14ac:dyDescent="0.3">
      <c r="A5030" t="str">
        <f>"05/01/2025 15:18:30.502"</f>
        <v>05/01/2025 15:18:30.502</v>
      </c>
      <c r="C5030" t="str">
        <f t="shared" si="1976"/>
        <v>FFDFD3C0</v>
      </c>
      <c r="D5030" t="s">
        <v>145</v>
      </c>
      <c r="E5030" t="str">
        <f>"09"</f>
        <v>09</v>
      </c>
      <c r="H5030">
        <v>51</v>
      </c>
      <c r="I5030" t="s">
        <v>147</v>
      </c>
      <c r="J5030" t="s">
        <v>138</v>
      </c>
      <c r="K5030">
        <v>0</v>
      </c>
      <c r="L5030">
        <v>3</v>
      </c>
      <c r="M5030">
        <v>0</v>
      </c>
      <c r="N5030">
        <v>2</v>
      </c>
      <c r="O5030">
        <v>0</v>
      </c>
      <c r="P5030">
        <v>1</v>
      </c>
      <c r="Q5030">
        <v>0</v>
      </c>
      <c r="R5030" t="s">
        <v>127</v>
      </c>
      <c r="S5030" t="str">
        <f t="shared" ref="S5030:T5035" si="1992">"15:18:30.000"</f>
        <v>15:18:30.000</v>
      </c>
      <c r="T5030" t="str">
        <f t="shared" si="1992"/>
        <v>15:18:30.000</v>
      </c>
      <c r="U5030" t="str">
        <f t="shared" si="1978"/>
        <v>A68FCB</v>
      </c>
      <c r="V5030">
        <v>0</v>
      </c>
      <c r="W5030">
        <v>0</v>
      </c>
      <c r="X5030">
        <v>2</v>
      </c>
      <c r="Y5030">
        <v>0</v>
      </c>
      <c r="AA5030">
        <v>1</v>
      </c>
      <c r="AB5030">
        <v>8</v>
      </c>
      <c r="AC5030">
        <v>3</v>
      </c>
      <c r="AD5030">
        <v>0</v>
      </c>
      <c r="AE5030">
        <v>9</v>
      </c>
      <c r="AF5030" t="s">
        <v>138</v>
      </c>
      <c r="AG5030">
        <v>0</v>
      </c>
      <c r="AH5030">
        <v>3</v>
      </c>
      <c r="AI5030">
        <v>2</v>
      </c>
      <c r="AJ5030">
        <v>0</v>
      </c>
      <c r="AK5030" t="s">
        <v>1569</v>
      </c>
      <c r="AL5030">
        <v>39.235374999999998</v>
      </c>
      <c r="AM5030" t="s">
        <v>1590</v>
      </c>
      <c r="AN5030">
        <v>-121.01391099999999</v>
      </c>
      <c r="AO5030">
        <v>25</v>
      </c>
      <c r="AP5030">
        <v>3900</v>
      </c>
      <c r="AQ5030" t="s">
        <v>131</v>
      </c>
      <c r="AR5030">
        <v>-102</v>
      </c>
      <c r="AS5030">
        <v>-11</v>
      </c>
      <c r="AT5030">
        <v>-768</v>
      </c>
      <c r="BB5030" t="str">
        <f t="shared" si="1979"/>
        <v>1200</v>
      </c>
      <c r="BC5030">
        <v>1</v>
      </c>
      <c r="BD5030" t="str">
        <f t="shared" si="1980"/>
        <v xml:space="preserve">N52156  </v>
      </c>
      <c r="BE5030">
        <v>1</v>
      </c>
      <c r="BG5030">
        <v>0</v>
      </c>
      <c r="BH5030">
        <v>0</v>
      </c>
      <c r="BI5030">
        <v>0</v>
      </c>
      <c r="BJ5030">
        <v>4000</v>
      </c>
      <c r="BK5030">
        <v>100</v>
      </c>
      <c r="BL5030" t="s">
        <v>188</v>
      </c>
      <c r="BM5030">
        <v>1</v>
      </c>
      <c r="BN5030">
        <v>1</v>
      </c>
      <c r="BO5030">
        <v>0</v>
      </c>
      <c r="BP5030">
        <v>0</v>
      </c>
      <c r="BS5030">
        <v>0</v>
      </c>
      <c r="BT5030">
        <v>0</v>
      </c>
      <c r="BU5030">
        <v>0</v>
      </c>
      <c r="CE5030" t="str">
        <f t="shared" ref="CE5030:CE5035" si="1993">"15:18:30.282"</f>
        <v>15:18:30.282</v>
      </c>
      <c r="CF5030">
        <v>281508882</v>
      </c>
      <c r="CS5030">
        <v>0</v>
      </c>
      <c r="CT5030">
        <v>2</v>
      </c>
      <c r="CU5030">
        <v>0</v>
      </c>
      <c r="CV5030">
        <v>2</v>
      </c>
      <c r="CW5030">
        <v>0</v>
      </c>
      <c r="CX5030">
        <v>3</v>
      </c>
      <c r="CY5030">
        <v>7</v>
      </c>
      <c r="CZ5030" t="s">
        <v>133</v>
      </c>
      <c r="DA5030">
        <v>275</v>
      </c>
      <c r="DB5030">
        <v>0</v>
      </c>
      <c r="DC5030" t="s">
        <v>134</v>
      </c>
      <c r="DD5030" t="s">
        <v>135</v>
      </c>
      <c r="DG5030">
        <v>3323509</v>
      </c>
      <c r="DI5030">
        <v>1</v>
      </c>
      <c r="DJ5030">
        <v>0</v>
      </c>
      <c r="DK5030">
        <v>0</v>
      </c>
      <c r="DL5030">
        <v>0</v>
      </c>
      <c r="DM5030">
        <v>0</v>
      </c>
      <c r="DN5030">
        <v>0</v>
      </c>
      <c r="DO5030">
        <v>0</v>
      </c>
      <c r="DP5030">
        <v>0</v>
      </c>
      <c r="DQ5030">
        <v>0</v>
      </c>
      <c r="DR5030">
        <v>0</v>
      </c>
      <c r="DS5030">
        <v>0</v>
      </c>
    </row>
    <row r="5031" spans="1:123" x14ac:dyDescent="0.3">
      <c r="A5031" t="str">
        <f>"05/01/2025 15:18:30.503"</f>
        <v>05/01/2025 15:18:30.503</v>
      </c>
      <c r="C5031" t="str">
        <f t="shared" si="1976"/>
        <v>FFDFD3C0</v>
      </c>
      <c r="D5031" t="s">
        <v>145</v>
      </c>
      <c r="E5031" t="str">
        <f>"05"</f>
        <v>05</v>
      </c>
      <c r="H5031">
        <v>47</v>
      </c>
      <c r="I5031" t="s">
        <v>146</v>
      </c>
      <c r="J5031" t="s">
        <v>138</v>
      </c>
      <c r="K5031">
        <v>0</v>
      </c>
      <c r="L5031">
        <v>3</v>
      </c>
      <c r="M5031">
        <v>0</v>
      </c>
      <c r="N5031">
        <v>2</v>
      </c>
      <c r="O5031">
        <v>0</v>
      </c>
      <c r="P5031">
        <v>1</v>
      </c>
      <c r="Q5031">
        <v>0</v>
      </c>
      <c r="R5031" t="s">
        <v>127</v>
      </c>
      <c r="S5031" t="str">
        <f t="shared" si="1992"/>
        <v>15:18:30.000</v>
      </c>
      <c r="T5031" t="str">
        <f t="shared" si="1992"/>
        <v>15:18:30.000</v>
      </c>
      <c r="U5031" t="str">
        <f t="shared" si="1978"/>
        <v>A68FCB</v>
      </c>
      <c r="V5031">
        <v>0</v>
      </c>
      <c r="W5031">
        <v>0</v>
      </c>
      <c r="X5031">
        <v>2</v>
      </c>
      <c r="Y5031">
        <v>0</v>
      </c>
      <c r="AA5031">
        <v>1</v>
      </c>
      <c r="AB5031">
        <v>8</v>
      </c>
      <c r="AC5031">
        <v>3</v>
      </c>
      <c r="AD5031">
        <v>0</v>
      </c>
      <c r="AE5031">
        <v>9</v>
      </c>
      <c r="AF5031" t="s">
        <v>138</v>
      </c>
      <c r="AG5031">
        <v>0</v>
      </c>
      <c r="AH5031">
        <v>3</v>
      </c>
      <c r="AI5031">
        <v>2</v>
      </c>
      <c r="AJ5031">
        <v>0</v>
      </c>
      <c r="AK5031" t="s">
        <v>1569</v>
      </c>
      <c r="AL5031">
        <v>39.235374999999998</v>
      </c>
      <c r="AM5031" t="s">
        <v>1590</v>
      </c>
      <c r="AN5031">
        <v>-121.01391099999999</v>
      </c>
      <c r="AO5031">
        <v>25</v>
      </c>
      <c r="AP5031">
        <v>3900</v>
      </c>
      <c r="AQ5031" t="s">
        <v>131</v>
      </c>
      <c r="AR5031">
        <v>-102</v>
      </c>
      <c r="AS5031">
        <v>-11</v>
      </c>
      <c r="AT5031">
        <v>-768</v>
      </c>
      <c r="BB5031" t="str">
        <f t="shared" si="1979"/>
        <v>1200</v>
      </c>
      <c r="BC5031">
        <v>1</v>
      </c>
      <c r="BD5031" t="str">
        <f t="shared" si="1980"/>
        <v xml:space="preserve">N52156  </v>
      </c>
      <c r="BE5031">
        <v>1</v>
      </c>
      <c r="BG5031">
        <v>0</v>
      </c>
      <c r="BH5031">
        <v>0</v>
      </c>
      <c r="BI5031">
        <v>0</v>
      </c>
      <c r="BJ5031">
        <v>4000</v>
      </c>
      <c r="BK5031">
        <v>100</v>
      </c>
      <c r="BL5031" t="s">
        <v>188</v>
      </c>
      <c r="BM5031">
        <v>1</v>
      </c>
      <c r="BN5031">
        <v>1</v>
      </c>
      <c r="BO5031">
        <v>0</v>
      </c>
      <c r="BP5031">
        <v>0</v>
      </c>
      <c r="BS5031">
        <v>0</v>
      </c>
      <c r="BT5031">
        <v>0</v>
      </c>
      <c r="BU5031">
        <v>0</v>
      </c>
      <c r="CE5031" t="str">
        <f t="shared" si="1993"/>
        <v>15:18:30.282</v>
      </c>
      <c r="CF5031">
        <v>281508882</v>
      </c>
      <c r="CS5031">
        <v>0</v>
      </c>
      <c r="CT5031">
        <v>2</v>
      </c>
      <c r="CU5031">
        <v>0</v>
      </c>
      <c r="CV5031">
        <v>2</v>
      </c>
      <c r="CW5031">
        <v>0</v>
      </c>
      <c r="CX5031">
        <v>3</v>
      </c>
      <c r="CY5031">
        <v>7</v>
      </c>
      <c r="CZ5031" t="s">
        <v>133</v>
      </c>
      <c r="DA5031">
        <v>275</v>
      </c>
      <c r="DB5031">
        <v>0</v>
      </c>
      <c r="DC5031" t="s">
        <v>134</v>
      </c>
      <c r="DD5031" t="s">
        <v>135</v>
      </c>
      <c r="DG5031">
        <v>3323509</v>
      </c>
      <c r="DI5031">
        <v>1</v>
      </c>
      <c r="DJ5031">
        <v>0</v>
      </c>
      <c r="DK5031">
        <v>1</v>
      </c>
      <c r="DL5031">
        <v>0</v>
      </c>
      <c r="DM5031">
        <v>0</v>
      </c>
      <c r="DN5031">
        <v>0</v>
      </c>
      <c r="DO5031">
        <v>0</v>
      </c>
      <c r="DP5031">
        <v>0</v>
      </c>
      <c r="DQ5031">
        <v>0</v>
      </c>
      <c r="DR5031">
        <v>0</v>
      </c>
      <c r="DS5031">
        <v>0</v>
      </c>
    </row>
    <row r="5032" spans="1:123" x14ac:dyDescent="0.3">
      <c r="A5032" t="str">
        <f>"05/01/2025 15:18:30.511"</f>
        <v>05/01/2025 15:18:30.511</v>
      </c>
      <c r="C5032" t="str">
        <f t="shared" si="1976"/>
        <v>FFDFD3C0</v>
      </c>
      <c r="D5032" t="s">
        <v>136</v>
      </c>
      <c r="E5032" t="str">
        <f>"20"</f>
        <v>20</v>
      </c>
      <c r="H5032">
        <v>400</v>
      </c>
      <c r="I5032" t="s">
        <v>137</v>
      </c>
      <c r="J5032" t="s">
        <v>138</v>
      </c>
      <c r="K5032">
        <v>0</v>
      </c>
      <c r="L5032">
        <v>3</v>
      </c>
      <c r="M5032">
        <v>0</v>
      </c>
      <c r="N5032">
        <v>2</v>
      </c>
      <c r="O5032">
        <v>0</v>
      </c>
      <c r="P5032">
        <v>1</v>
      </c>
      <c r="Q5032">
        <v>0</v>
      </c>
      <c r="R5032" t="s">
        <v>127</v>
      </c>
      <c r="S5032" t="str">
        <f t="shared" si="1992"/>
        <v>15:18:30.000</v>
      </c>
      <c r="T5032" t="str">
        <f t="shared" si="1992"/>
        <v>15:18:30.000</v>
      </c>
      <c r="U5032" t="str">
        <f t="shared" si="1978"/>
        <v>A68FCB</v>
      </c>
      <c r="V5032">
        <v>0</v>
      </c>
      <c r="W5032">
        <v>0</v>
      </c>
      <c r="X5032">
        <v>2</v>
      </c>
      <c r="Y5032">
        <v>0</v>
      </c>
      <c r="AA5032">
        <v>1</v>
      </c>
      <c r="AB5032">
        <v>8</v>
      </c>
      <c r="AC5032">
        <v>3</v>
      </c>
      <c r="AD5032">
        <v>0</v>
      </c>
      <c r="AE5032">
        <v>9</v>
      </c>
      <c r="AF5032" t="s">
        <v>138</v>
      </c>
      <c r="AG5032">
        <v>0</v>
      </c>
      <c r="AH5032">
        <v>3</v>
      </c>
      <c r="AI5032">
        <v>2</v>
      </c>
      <c r="AJ5032">
        <v>0</v>
      </c>
      <c r="AK5032" t="s">
        <v>1569</v>
      </c>
      <c r="AL5032">
        <v>39.235374999999998</v>
      </c>
      <c r="AM5032" t="s">
        <v>1590</v>
      </c>
      <c r="AN5032">
        <v>-121.01391099999999</v>
      </c>
      <c r="AO5032">
        <v>25</v>
      </c>
      <c r="AP5032">
        <v>3900</v>
      </c>
      <c r="AQ5032" t="s">
        <v>131</v>
      </c>
      <c r="AR5032">
        <v>-102</v>
      </c>
      <c r="AS5032">
        <v>-11</v>
      </c>
      <c r="AT5032">
        <v>-768</v>
      </c>
      <c r="BB5032" t="str">
        <f t="shared" si="1979"/>
        <v>1200</v>
      </c>
      <c r="BC5032">
        <v>1</v>
      </c>
      <c r="BD5032" t="str">
        <f t="shared" si="1980"/>
        <v xml:space="preserve">N52156  </v>
      </c>
      <c r="BE5032">
        <v>1</v>
      </c>
      <c r="BG5032">
        <v>0</v>
      </c>
      <c r="BH5032">
        <v>0</v>
      </c>
      <c r="BI5032">
        <v>0</v>
      </c>
      <c r="BJ5032">
        <v>4000</v>
      </c>
      <c r="BK5032">
        <v>100</v>
      </c>
      <c r="BL5032" t="s">
        <v>188</v>
      </c>
      <c r="BM5032">
        <v>1</v>
      </c>
      <c r="BN5032">
        <v>1</v>
      </c>
      <c r="BO5032">
        <v>0</v>
      </c>
      <c r="BP5032">
        <v>0</v>
      </c>
      <c r="BS5032">
        <v>0</v>
      </c>
      <c r="BT5032">
        <v>0</v>
      </c>
      <c r="BU5032">
        <v>0</v>
      </c>
      <c r="CE5032" t="str">
        <f t="shared" si="1993"/>
        <v>15:18:30.282</v>
      </c>
      <c r="CF5032">
        <v>281508882</v>
      </c>
      <c r="CS5032">
        <v>0</v>
      </c>
      <c r="CT5032">
        <v>2</v>
      </c>
      <c r="CU5032">
        <v>0</v>
      </c>
      <c r="CV5032">
        <v>2</v>
      </c>
      <c r="CW5032">
        <v>0</v>
      </c>
      <c r="CX5032">
        <v>3</v>
      </c>
      <c r="CY5032">
        <v>7</v>
      </c>
      <c r="CZ5032" t="s">
        <v>133</v>
      </c>
      <c r="DA5032">
        <v>275</v>
      </c>
      <c r="DB5032">
        <v>0</v>
      </c>
      <c r="DC5032" t="s">
        <v>134</v>
      </c>
      <c r="DD5032" t="s">
        <v>135</v>
      </c>
      <c r="DG5032">
        <v>3323509</v>
      </c>
      <c r="DI5032">
        <v>1</v>
      </c>
      <c r="DJ5032">
        <v>0</v>
      </c>
      <c r="DK5032">
        <v>1</v>
      </c>
      <c r="DL5032">
        <v>0</v>
      </c>
      <c r="DM5032">
        <v>0</v>
      </c>
      <c r="DN5032">
        <v>0</v>
      </c>
      <c r="DO5032">
        <v>0</v>
      </c>
      <c r="DP5032">
        <v>0</v>
      </c>
      <c r="DQ5032">
        <v>0</v>
      </c>
      <c r="DR5032">
        <v>0</v>
      </c>
      <c r="DS5032">
        <v>0</v>
      </c>
    </row>
    <row r="5033" spans="1:123" x14ac:dyDescent="0.3">
      <c r="A5033" t="str">
        <f>"05/01/2025 15:18:30.527"</f>
        <v>05/01/2025 15:18:30.527</v>
      </c>
      <c r="C5033" t="str">
        <f t="shared" si="1976"/>
        <v>FFDFD3C0</v>
      </c>
      <c r="D5033" t="s">
        <v>140</v>
      </c>
      <c r="E5033" t="str">
        <f>"13"</f>
        <v>13</v>
      </c>
      <c r="F5033">
        <v>1019</v>
      </c>
      <c r="G5033" t="s">
        <v>141</v>
      </c>
      <c r="J5033" t="s">
        <v>142</v>
      </c>
      <c r="K5033">
        <v>0</v>
      </c>
      <c r="L5033">
        <v>3</v>
      </c>
      <c r="M5033">
        <v>0</v>
      </c>
      <c r="N5033">
        <v>2</v>
      </c>
      <c r="O5033">
        <v>0</v>
      </c>
      <c r="P5033">
        <v>1</v>
      </c>
      <c r="Q5033">
        <v>0</v>
      </c>
      <c r="R5033" t="s">
        <v>127</v>
      </c>
      <c r="S5033" t="str">
        <f t="shared" si="1992"/>
        <v>15:18:30.000</v>
      </c>
      <c r="T5033" t="str">
        <f t="shared" si="1992"/>
        <v>15:18:30.000</v>
      </c>
      <c r="U5033" t="str">
        <f t="shared" si="1978"/>
        <v>A68FCB</v>
      </c>
      <c r="V5033">
        <v>0</v>
      </c>
      <c r="W5033">
        <v>0</v>
      </c>
      <c r="X5033">
        <v>2</v>
      </c>
      <c r="Y5033">
        <v>0</v>
      </c>
      <c r="AA5033">
        <v>1</v>
      </c>
      <c r="AB5033">
        <v>8</v>
      </c>
      <c r="AC5033">
        <v>3</v>
      </c>
      <c r="AD5033">
        <v>0</v>
      </c>
      <c r="AE5033">
        <v>9</v>
      </c>
      <c r="AF5033" t="s">
        <v>138</v>
      </c>
      <c r="AG5033">
        <v>0</v>
      </c>
      <c r="AH5033">
        <v>3</v>
      </c>
      <c r="AI5033">
        <v>2</v>
      </c>
      <c r="AJ5033">
        <v>0</v>
      </c>
      <c r="AK5033" t="s">
        <v>1569</v>
      </c>
      <c r="AL5033">
        <v>39.235374999999998</v>
      </c>
      <c r="AM5033" t="s">
        <v>1590</v>
      </c>
      <c r="AN5033">
        <v>-121.01391099999999</v>
      </c>
      <c r="AO5033">
        <v>25</v>
      </c>
      <c r="AP5033">
        <v>3900</v>
      </c>
      <c r="AQ5033" t="s">
        <v>131</v>
      </c>
      <c r="AR5033">
        <v>-102</v>
      </c>
      <c r="AS5033">
        <v>-11</v>
      </c>
      <c r="AT5033">
        <v>-768</v>
      </c>
      <c r="BB5033" t="str">
        <f t="shared" si="1979"/>
        <v>1200</v>
      </c>
      <c r="BC5033">
        <v>1</v>
      </c>
      <c r="BD5033" t="str">
        <f t="shared" si="1980"/>
        <v xml:space="preserve">N52156  </v>
      </c>
      <c r="BE5033">
        <v>1</v>
      </c>
      <c r="BG5033">
        <v>0</v>
      </c>
      <c r="BH5033">
        <v>0</v>
      </c>
      <c r="BI5033">
        <v>0</v>
      </c>
      <c r="BJ5033">
        <v>4000</v>
      </c>
      <c r="BK5033">
        <v>100</v>
      </c>
      <c r="BL5033" t="s">
        <v>188</v>
      </c>
      <c r="BM5033">
        <v>1</v>
      </c>
      <c r="BN5033">
        <v>1</v>
      </c>
      <c r="BO5033">
        <v>0</v>
      </c>
      <c r="BP5033">
        <v>0</v>
      </c>
      <c r="BS5033">
        <v>0</v>
      </c>
      <c r="BT5033">
        <v>0</v>
      </c>
      <c r="BU5033">
        <v>0</v>
      </c>
      <c r="CE5033" t="str">
        <f t="shared" si="1993"/>
        <v>15:18:30.282</v>
      </c>
      <c r="CF5033">
        <v>281508882</v>
      </c>
      <c r="CS5033">
        <v>0</v>
      </c>
      <c r="CT5033">
        <v>2</v>
      </c>
      <c r="CU5033">
        <v>0</v>
      </c>
      <c r="CV5033">
        <v>2</v>
      </c>
      <c r="CW5033">
        <v>0</v>
      </c>
      <c r="CX5033">
        <v>3</v>
      </c>
      <c r="CY5033">
        <v>7</v>
      </c>
      <c r="CZ5033" t="s">
        <v>133</v>
      </c>
      <c r="DA5033">
        <v>275</v>
      </c>
      <c r="DB5033">
        <v>0</v>
      </c>
      <c r="DC5033" t="s">
        <v>134</v>
      </c>
      <c r="DD5033" t="s">
        <v>135</v>
      </c>
      <c r="DG5033">
        <v>3323509</v>
      </c>
      <c r="DI5033">
        <v>1</v>
      </c>
      <c r="DJ5033">
        <v>0</v>
      </c>
      <c r="DK5033">
        <v>1</v>
      </c>
      <c r="DL5033">
        <v>0</v>
      </c>
      <c r="DM5033">
        <v>0</v>
      </c>
      <c r="DN5033">
        <v>0</v>
      </c>
      <c r="DO5033">
        <v>0</v>
      </c>
      <c r="DP5033">
        <v>0</v>
      </c>
      <c r="DQ5033">
        <v>0</v>
      </c>
      <c r="DR5033">
        <v>0</v>
      </c>
      <c r="DS5033">
        <v>0</v>
      </c>
    </row>
    <row r="5034" spans="1:123" x14ac:dyDescent="0.3">
      <c r="A5034" t="str">
        <f>"05/01/2025 15:18:30.530"</f>
        <v>05/01/2025 15:18:30.530</v>
      </c>
      <c r="C5034" t="str">
        <f t="shared" si="1976"/>
        <v>FFDFD3C0</v>
      </c>
      <c r="D5034" t="s">
        <v>124</v>
      </c>
      <c r="E5034" t="str">
        <f>"06"</f>
        <v>06</v>
      </c>
      <c r="F5034">
        <v>2006</v>
      </c>
      <c r="G5034" t="s">
        <v>125</v>
      </c>
      <c r="J5034" t="s">
        <v>126</v>
      </c>
      <c r="K5034">
        <v>0</v>
      </c>
      <c r="L5034">
        <v>3</v>
      </c>
      <c r="M5034">
        <v>0</v>
      </c>
      <c r="N5034">
        <v>2</v>
      </c>
      <c r="O5034">
        <v>0</v>
      </c>
      <c r="P5034">
        <v>1</v>
      </c>
      <c r="Q5034">
        <v>0</v>
      </c>
      <c r="R5034" t="s">
        <v>127</v>
      </c>
      <c r="S5034" t="str">
        <f t="shared" si="1992"/>
        <v>15:18:30.000</v>
      </c>
      <c r="T5034" t="str">
        <f t="shared" si="1992"/>
        <v>15:18:30.000</v>
      </c>
      <c r="U5034" t="str">
        <f t="shared" si="1978"/>
        <v>A68FCB</v>
      </c>
      <c r="V5034">
        <v>0</v>
      </c>
      <c r="W5034">
        <v>0</v>
      </c>
      <c r="X5034">
        <v>2</v>
      </c>
      <c r="Y5034">
        <v>0</v>
      </c>
      <c r="AA5034">
        <v>1</v>
      </c>
      <c r="AB5034">
        <v>8</v>
      </c>
      <c r="AC5034">
        <v>3</v>
      </c>
      <c r="AD5034">
        <v>0</v>
      </c>
      <c r="AE5034">
        <v>9</v>
      </c>
      <c r="AF5034" t="s">
        <v>138</v>
      </c>
      <c r="AG5034">
        <v>0</v>
      </c>
      <c r="AH5034">
        <v>3</v>
      </c>
      <c r="AI5034">
        <v>2</v>
      </c>
      <c r="AJ5034">
        <v>0</v>
      </c>
      <c r="AK5034" t="s">
        <v>1569</v>
      </c>
      <c r="AL5034">
        <v>39.235374999999998</v>
      </c>
      <c r="AM5034" t="s">
        <v>1590</v>
      </c>
      <c r="AN5034">
        <v>-121.01391099999999</v>
      </c>
      <c r="AO5034">
        <v>25</v>
      </c>
      <c r="AP5034">
        <v>3900</v>
      </c>
      <c r="AQ5034" t="s">
        <v>131</v>
      </c>
      <c r="AR5034">
        <v>-102</v>
      </c>
      <c r="AS5034">
        <v>-11</v>
      </c>
      <c r="AT5034">
        <v>-768</v>
      </c>
      <c r="BB5034" t="str">
        <f t="shared" si="1979"/>
        <v>1200</v>
      </c>
      <c r="BC5034">
        <v>1</v>
      </c>
      <c r="BD5034" t="str">
        <f t="shared" si="1980"/>
        <v xml:space="preserve">N52156  </v>
      </c>
      <c r="BE5034">
        <v>1</v>
      </c>
      <c r="BG5034">
        <v>0</v>
      </c>
      <c r="BH5034">
        <v>0</v>
      </c>
      <c r="BI5034">
        <v>0</v>
      </c>
      <c r="BJ5034">
        <v>4000</v>
      </c>
      <c r="BK5034">
        <v>100</v>
      </c>
      <c r="BL5034" t="s">
        <v>188</v>
      </c>
      <c r="BM5034">
        <v>1</v>
      </c>
      <c r="BN5034">
        <v>1</v>
      </c>
      <c r="BO5034">
        <v>0</v>
      </c>
      <c r="BP5034">
        <v>0</v>
      </c>
      <c r="BS5034">
        <v>0</v>
      </c>
      <c r="BT5034">
        <v>0</v>
      </c>
      <c r="BU5034">
        <v>0</v>
      </c>
      <c r="CE5034" t="str">
        <f t="shared" si="1993"/>
        <v>15:18:30.282</v>
      </c>
      <c r="CF5034">
        <v>281508882</v>
      </c>
      <c r="CS5034">
        <v>0</v>
      </c>
      <c r="CT5034">
        <v>2</v>
      </c>
      <c r="CU5034">
        <v>0</v>
      </c>
      <c r="CV5034">
        <v>2</v>
      </c>
      <c r="CW5034">
        <v>0</v>
      </c>
      <c r="CX5034">
        <v>3</v>
      </c>
      <c r="CY5034">
        <v>7</v>
      </c>
      <c r="CZ5034" t="s">
        <v>133</v>
      </c>
      <c r="DA5034">
        <v>275</v>
      </c>
      <c r="DB5034">
        <v>0</v>
      </c>
      <c r="DC5034" t="s">
        <v>134</v>
      </c>
      <c r="DD5034" t="s">
        <v>135</v>
      </c>
      <c r="DG5034">
        <v>3323509</v>
      </c>
      <c r="DI5034">
        <v>1</v>
      </c>
      <c r="DJ5034">
        <v>0</v>
      </c>
      <c r="DK5034">
        <v>1</v>
      </c>
      <c r="DL5034">
        <v>0</v>
      </c>
      <c r="DM5034">
        <v>0</v>
      </c>
      <c r="DN5034">
        <v>0</v>
      </c>
      <c r="DO5034">
        <v>0</v>
      </c>
      <c r="DP5034">
        <v>0</v>
      </c>
      <c r="DQ5034">
        <v>0</v>
      </c>
      <c r="DR5034">
        <v>0</v>
      </c>
      <c r="DS5034">
        <v>0</v>
      </c>
    </row>
    <row r="5035" spans="1:123" x14ac:dyDescent="0.3">
      <c r="A5035" t="str">
        <f>"05/01/2025 15:18:30.538"</f>
        <v>05/01/2025 15:18:30.538</v>
      </c>
      <c r="C5035" t="str">
        <f t="shared" si="1976"/>
        <v>FFDFD3C0</v>
      </c>
      <c r="D5035" t="s">
        <v>143</v>
      </c>
      <c r="E5035" t="str">
        <f>"05"</f>
        <v>05</v>
      </c>
      <c r="H5035">
        <v>172</v>
      </c>
      <c r="I5035" t="s">
        <v>141</v>
      </c>
      <c r="J5035" t="s">
        <v>144</v>
      </c>
      <c r="K5035">
        <v>0</v>
      </c>
      <c r="L5035">
        <v>3</v>
      </c>
      <c r="M5035">
        <v>0</v>
      </c>
      <c r="N5035">
        <v>2</v>
      </c>
      <c r="O5035">
        <v>0</v>
      </c>
      <c r="P5035">
        <v>1</v>
      </c>
      <c r="Q5035">
        <v>0</v>
      </c>
      <c r="R5035" t="s">
        <v>127</v>
      </c>
      <c r="S5035" t="str">
        <f t="shared" si="1992"/>
        <v>15:18:30.000</v>
      </c>
      <c r="T5035" t="str">
        <f t="shared" si="1992"/>
        <v>15:18:30.000</v>
      </c>
      <c r="U5035" t="str">
        <f t="shared" si="1978"/>
        <v>A68FCB</v>
      </c>
      <c r="V5035">
        <v>0</v>
      </c>
      <c r="W5035">
        <v>0</v>
      </c>
      <c r="X5035">
        <v>2</v>
      </c>
      <c r="Y5035">
        <v>0</v>
      </c>
      <c r="AA5035">
        <v>1</v>
      </c>
      <c r="AB5035">
        <v>8</v>
      </c>
      <c r="AC5035">
        <v>3</v>
      </c>
      <c r="AD5035">
        <v>0</v>
      </c>
      <c r="AE5035">
        <v>9</v>
      </c>
      <c r="AF5035" t="s">
        <v>138</v>
      </c>
      <c r="AG5035">
        <v>0</v>
      </c>
      <c r="AH5035">
        <v>3</v>
      </c>
      <c r="AI5035">
        <v>2</v>
      </c>
      <c r="AJ5035">
        <v>0</v>
      </c>
      <c r="AK5035" t="s">
        <v>1569</v>
      </c>
      <c r="AL5035">
        <v>39.235374999999998</v>
      </c>
      <c r="AM5035" t="s">
        <v>1590</v>
      </c>
      <c r="AN5035">
        <v>-121.01391099999999</v>
      </c>
      <c r="AO5035">
        <v>25</v>
      </c>
      <c r="AP5035">
        <v>3900</v>
      </c>
      <c r="AQ5035" t="s">
        <v>131</v>
      </c>
      <c r="AR5035">
        <v>-102</v>
      </c>
      <c r="AS5035">
        <v>-11</v>
      </c>
      <c r="AT5035">
        <v>-768</v>
      </c>
      <c r="BB5035" t="str">
        <f t="shared" si="1979"/>
        <v>1200</v>
      </c>
      <c r="BC5035">
        <v>1</v>
      </c>
      <c r="BD5035" t="str">
        <f t="shared" si="1980"/>
        <v xml:space="preserve">N52156  </v>
      </c>
      <c r="BE5035">
        <v>1</v>
      </c>
      <c r="BG5035">
        <v>0</v>
      </c>
      <c r="BH5035">
        <v>0</v>
      </c>
      <c r="BI5035">
        <v>0</v>
      </c>
      <c r="BJ5035">
        <v>4000</v>
      </c>
      <c r="BK5035">
        <v>100</v>
      </c>
      <c r="BL5035" t="s">
        <v>188</v>
      </c>
      <c r="BM5035">
        <v>1</v>
      </c>
      <c r="BN5035">
        <v>1</v>
      </c>
      <c r="BO5035">
        <v>0</v>
      </c>
      <c r="BP5035">
        <v>0</v>
      </c>
      <c r="BS5035">
        <v>0</v>
      </c>
      <c r="BT5035">
        <v>0</v>
      </c>
      <c r="BU5035">
        <v>0</v>
      </c>
      <c r="CE5035" t="str">
        <f t="shared" si="1993"/>
        <v>15:18:30.282</v>
      </c>
      <c r="CF5035">
        <v>281508882</v>
      </c>
      <c r="CS5035">
        <v>0</v>
      </c>
      <c r="CT5035">
        <v>2</v>
      </c>
      <c r="CU5035">
        <v>0</v>
      </c>
      <c r="CV5035">
        <v>2</v>
      </c>
      <c r="CW5035">
        <v>0</v>
      </c>
      <c r="CX5035">
        <v>3</v>
      </c>
      <c r="CY5035">
        <v>7</v>
      </c>
      <c r="CZ5035" t="s">
        <v>133</v>
      </c>
      <c r="DA5035">
        <v>275</v>
      </c>
      <c r="DB5035">
        <v>0</v>
      </c>
      <c r="DC5035" t="s">
        <v>134</v>
      </c>
      <c r="DD5035" t="s">
        <v>135</v>
      </c>
      <c r="DG5035">
        <v>3323509</v>
      </c>
      <c r="DI5035">
        <v>1</v>
      </c>
      <c r="DJ5035">
        <v>0</v>
      </c>
      <c r="DK5035">
        <v>1</v>
      </c>
      <c r="DL5035">
        <v>0</v>
      </c>
      <c r="DM5035">
        <v>0</v>
      </c>
      <c r="DN5035">
        <v>0</v>
      </c>
      <c r="DO5035">
        <v>0</v>
      </c>
      <c r="DP5035">
        <v>0</v>
      </c>
      <c r="DQ5035">
        <v>0</v>
      </c>
      <c r="DR5035">
        <v>0</v>
      </c>
      <c r="DS5035">
        <v>0</v>
      </c>
    </row>
    <row r="5036" spans="1:123" x14ac:dyDescent="0.3">
      <c r="A5036" t="str">
        <f>"05/01/2025 15:18:31.829"</f>
        <v>05/01/2025 15:18:31.829</v>
      </c>
      <c r="C5036" t="str">
        <f t="shared" si="1976"/>
        <v>FFDFD3C0</v>
      </c>
      <c r="D5036" t="s">
        <v>140</v>
      </c>
      <c r="E5036" t="str">
        <f>"13"</f>
        <v>13</v>
      </c>
      <c r="F5036">
        <v>1019</v>
      </c>
      <c r="G5036" t="s">
        <v>141</v>
      </c>
      <c r="J5036" t="s">
        <v>142</v>
      </c>
      <c r="K5036">
        <v>0</v>
      </c>
      <c r="L5036">
        <v>3</v>
      </c>
      <c r="M5036">
        <v>0</v>
      </c>
      <c r="N5036">
        <v>2</v>
      </c>
      <c r="O5036">
        <v>0</v>
      </c>
      <c r="P5036">
        <v>1</v>
      </c>
      <c r="Q5036">
        <v>0</v>
      </c>
      <c r="R5036" t="s">
        <v>127</v>
      </c>
      <c r="S5036" t="str">
        <f t="shared" ref="S5036:T5041" si="1994">"15:18:31.000"</f>
        <v>15:18:31.000</v>
      </c>
      <c r="T5036" t="str">
        <f t="shared" si="1994"/>
        <v>15:18:31.000</v>
      </c>
      <c r="U5036" t="str">
        <f t="shared" si="1978"/>
        <v>A68FCB</v>
      </c>
      <c r="V5036">
        <v>0</v>
      </c>
      <c r="W5036">
        <v>0</v>
      </c>
      <c r="X5036">
        <v>2</v>
      </c>
      <c r="Y5036">
        <v>0</v>
      </c>
      <c r="AA5036">
        <v>1</v>
      </c>
      <c r="AB5036">
        <v>8</v>
      </c>
      <c r="AC5036">
        <v>3</v>
      </c>
      <c r="AD5036">
        <v>0</v>
      </c>
      <c r="AE5036">
        <v>9</v>
      </c>
      <c r="AF5036" t="s">
        <v>138</v>
      </c>
      <c r="AG5036">
        <v>0</v>
      </c>
      <c r="AH5036">
        <v>3</v>
      </c>
      <c r="AI5036">
        <v>2</v>
      </c>
      <c r="AJ5036">
        <v>0</v>
      </c>
      <c r="AK5036" t="s">
        <v>1591</v>
      </c>
      <c r="AL5036">
        <v>39.235311000000003</v>
      </c>
      <c r="AM5036" t="s">
        <v>1592</v>
      </c>
      <c r="AN5036">
        <v>-121.014533</v>
      </c>
      <c r="AO5036">
        <v>25</v>
      </c>
      <c r="AP5036">
        <v>3900</v>
      </c>
      <c r="AQ5036" t="s">
        <v>131</v>
      </c>
      <c r="AR5036">
        <v>-102</v>
      </c>
      <c r="AS5036">
        <v>-13</v>
      </c>
      <c r="AT5036">
        <v>-832</v>
      </c>
      <c r="BB5036" t="str">
        <f t="shared" si="1979"/>
        <v>1200</v>
      </c>
      <c r="BC5036">
        <v>1</v>
      </c>
      <c r="BD5036" t="str">
        <f t="shared" si="1980"/>
        <v xml:space="preserve">N52156  </v>
      </c>
      <c r="BE5036">
        <v>1</v>
      </c>
      <c r="BG5036">
        <v>0</v>
      </c>
      <c r="BH5036">
        <v>0</v>
      </c>
      <c r="BI5036">
        <v>0</v>
      </c>
      <c r="BJ5036">
        <v>3950</v>
      </c>
      <c r="BK5036">
        <v>50</v>
      </c>
      <c r="BL5036" t="s">
        <v>188</v>
      </c>
      <c r="BM5036">
        <v>1</v>
      </c>
      <c r="BN5036">
        <v>1</v>
      </c>
      <c r="BO5036">
        <v>0</v>
      </c>
      <c r="BP5036">
        <v>0</v>
      </c>
      <c r="BS5036">
        <v>0</v>
      </c>
      <c r="BT5036">
        <v>0</v>
      </c>
      <c r="BU5036">
        <v>0</v>
      </c>
      <c r="CE5036" t="str">
        <f t="shared" ref="CE5036:CE5041" si="1995">"15:18:31.608"</f>
        <v>15:18:31.608</v>
      </c>
      <c r="CF5036">
        <v>608009526</v>
      </c>
      <c r="CS5036">
        <v>0</v>
      </c>
      <c r="CT5036">
        <v>2</v>
      </c>
      <c r="CU5036">
        <v>0</v>
      </c>
      <c r="CV5036">
        <v>2</v>
      </c>
      <c r="CW5036">
        <v>0</v>
      </c>
      <c r="CX5036">
        <v>3</v>
      </c>
      <c r="CY5036">
        <v>7</v>
      </c>
      <c r="CZ5036" t="s">
        <v>133</v>
      </c>
      <c r="DA5036">
        <v>275</v>
      </c>
      <c r="DB5036">
        <v>0</v>
      </c>
      <c r="DC5036" t="s">
        <v>134</v>
      </c>
      <c r="DD5036" t="s">
        <v>135</v>
      </c>
      <c r="DG5036">
        <v>3323514</v>
      </c>
      <c r="DI5036">
        <v>1</v>
      </c>
      <c r="DJ5036">
        <v>0</v>
      </c>
      <c r="DK5036">
        <v>0</v>
      </c>
      <c r="DL5036">
        <v>0</v>
      </c>
      <c r="DM5036">
        <v>0</v>
      </c>
      <c r="DN5036">
        <v>0</v>
      </c>
      <c r="DO5036">
        <v>0</v>
      </c>
      <c r="DP5036">
        <v>0</v>
      </c>
      <c r="DQ5036">
        <v>0</v>
      </c>
      <c r="DR5036">
        <v>0</v>
      </c>
      <c r="DS5036">
        <v>0</v>
      </c>
    </row>
    <row r="5037" spans="1:123" x14ac:dyDescent="0.3">
      <c r="A5037" t="str">
        <f>"05/01/2025 15:18:31.832"</f>
        <v>05/01/2025 15:18:31.832</v>
      </c>
      <c r="C5037" t="str">
        <f t="shared" si="1976"/>
        <v>FFDFD3C0</v>
      </c>
      <c r="D5037" t="s">
        <v>124</v>
      </c>
      <c r="E5037" t="str">
        <f>"06"</f>
        <v>06</v>
      </c>
      <c r="F5037">
        <v>2006</v>
      </c>
      <c r="G5037" t="s">
        <v>125</v>
      </c>
      <c r="J5037" t="s">
        <v>126</v>
      </c>
      <c r="K5037">
        <v>0</v>
      </c>
      <c r="L5037">
        <v>3</v>
      </c>
      <c r="M5037">
        <v>0</v>
      </c>
      <c r="N5037">
        <v>2</v>
      </c>
      <c r="O5037">
        <v>0</v>
      </c>
      <c r="P5037">
        <v>1</v>
      </c>
      <c r="Q5037">
        <v>0</v>
      </c>
      <c r="R5037" t="s">
        <v>127</v>
      </c>
      <c r="S5037" t="str">
        <f t="shared" si="1994"/>
        <v>15:18:31.000</v>
      </c>
      <c r="T5037" t="str">
        <f t="shared" si="1994"/>
        <v>15:18:31.000</v>
      </c>
      <c r="U5037" t="str">
        <f t="shared" si="1978"/>
        <v>A68FCB</v>
      </c>
      <c r="V5037">
        <v>0</v>
      </c>
      <c r="W5037">
        <v>0</v>
      </c>
      <c r="X5037">
        <v>2</v>
      </c>
      <c r="Y5037">
        <v>0</v>
      </c>
      <c r="AA5037">
        <v>1</v>
      </c>
      <c r="AB5037">
        <v>8</v>
      </c>
      <c r="AC5037">
        <v>3</v>
      </c>
      <c r="AD5037">
        <v>0</v>
      </c>
      <c r="AE5037">
        <v>9</v>
      </c>
      <c r="AF5037" t="s">
        <v>138</v>
      </c>
      <c r="AG5037">
        <v>0</v>
      </c>
      <c r="AH5037">
        <v>3</v>
      </c>
      <c r="AI5037">
        <v>2</v>
      </c>
      <c r="AJ5037">
        <v>0</v>
      </c>
      <c r="AK5037" t="s">
        <v>1591</v>
      </c>
      <c r="AL5037">
        <v>39.235311000000003</v>
      </c>
      <c r="AM5037" t="s">
        <v>1592</v>
      </c>
      <c r="AN5037">
        <v>-121.014533</v>
      </c>
      <c r="AO5037">
        <v>25</v>
      </c>
      <c r="AP5037">
        <v>3900</v>
      </c>
      <c r="AQ5037" t="s">
        <v>131</v>
      </c>
      <c r="AR5037">
        <v>-102</v>
      </c>
      <c r="AS5037">
        <v>-13</v>
      </c>
      <c r="AT5037">
        <v>-832</v>
      </c>
      <c r="BB5037" t="str">
        <f t="shared" si="1979"/>
        <v>1200</v>
      </c>
      <c r="BC5037">
        <v>1</v>
      </c>
      <c r="BD5037" t="str">
        <f t="shared" si="1980"/>
        <v xml:space="preserve">N52156  </v>
      </c>
      <c r="BE5037">
        <v>1</v>
      </c>
      <c r="BG5037">
        <v>0</v>
      </c>
      <c r="BH5037">
        <v>0</v>
      </c>
      <c r="BI5037">
        <v>0</v>
      </c>
      <c r="BJ5037">
        <v>3950</v>
      </c>
      <c r="BK5037">
        <v>50</v>
      </c>
      <c r="BL5037" t="s">
        <v>188</v>
      </c>
      <c r="BM5037">
        <v>1</v>
      </c>
      <c r="BN5037">
        <v>1</v>
      </c>
      <c r="BO5037">
        <v>0</v>
      </c>
      <c r="BP5037">
        <v>0</v>
      </c>
      <c r="BS5037">
        <v>0</v>
      </c>
      <c r="BT5037">
        <v>0</v>
      </c>
      <c r="BU5037">
        <v>0</v>
      </c>
      <c r="CE5037" t="str">
        <f t="shared" si="1995"/>
        <v>15:18:31.608</v>
      </c>
      <c r="CF5037">
        <v>608009526</v>
      </c>
      <c r="CS5037">
        <v>0</v>
      </c>
      <c r="CT5037">
        <v>2</v>
      </c>
      <c r="CU5037">
        <v>0</v>
      </c>
      <c r="CV5037">
        <v>2</v>
      </c>
      <c r="CW5037">
        <v>0</v>
      </c>
      <c r="CX5037">
        <v>3</v>
      </c>
      <c r="CY5037">
        <v>7</v>
      </c>
      <c r="CZ5037" t="s">
        <v>133</v>
      </c>
      <c r="DA5037">
        <v>275</v>
      </c>
      <c r="DB5037">
        <v>0</v>
      </c>
      <c r="DC5037" t="s">
        <v>134</v>
      </c>
      <c r="DD5037" t="s">
        <v>135</v>
      </c>
      <c r="DG5037">
        <v>3323514</v>
      </c>
      <c r="DI5037">
        <v>1</v>
      </c>
      <c r="DJ5037">
        <v>0</v>
      </c>
      <c r="DK5037">
        <v>1</v>
      </c>
      <c r="DL5037">
        <v>0</v>
      </c>
      <c r="DM5037">
        <v>0</v>
      </c>
      <c r="DN5037">
        <v>0</v>
      </c>
      <c r="DO5037">
        <v>0</v>
      </c>
      <c r="DP5037">
        <v>0</v>
      </c>
      <c r="DQ5037">
        <v>0</v>
      </c>
      <c r="DR5037">
        <v>0</v>
      </c>
      <c r="DS5037">
        <v>0</v>
      </c>
    </row>
    <row r="5038" spans="1:123" x14ac:dyDescent="0.3">
      <c r="A5038" t="str">
        <f>"05/01/2025 15:18:31.840"</f>
        <v>05/01/2025 15:18:31.840</v>
      </c>
      <c r="C5038" t="str">
        <f t="shared" si="1976"/>
        <v>FFDFD3C0</v>
      </c>
      <c r="D5038" t="s">
        <v>143</v>
      </c>
      <c r="E5038" t="str">
        <f>"05"</f>
        <v>05</v>
      </c>
      <c r="H5038">
        <v>172</v>
      </c>
      <c r="I5038" t="s">
        <v>141</v>
      </c>
      <c r="J5038" t="s">
        <v>144</v>
      </c>
      <c r="K5038">
        <v>0</v>
      </c>
      <c r="L5038">
        <v>3</v>
      </c>
      <c r="M5038">
        <v>0</v>
      </c>
      <c r="N5038">
        <v>2</v>
      </c>
      <c r="O5038">
        <v>0</v>
      </c>
      <c r="P5038">
        <v>1</v>
      </c>
      <c r="Q5038">
        <v>0</v>
      </c>
      <c r="R5038" t="s">
        <v>127</v>
      </c>
      <c r="S5038" t="str">
        <f t="shared" si="1994"/>
        <v>15:18:31.000</v>
      </c>
      <c r="T5038" t="str">
        <f t="shared" si="1994"/>
        <v>15:18:31.000</v>
      </c>
      <c r="U5038" t="str">
        <f t="shared" si="1978"/>
        <v>A68FCB</v>
      </c>
      <c r="V5038">
        <v>0</v>
      </c>
      <c r="W5038">
        <v>0</v>
      </c>
      <c r="X5038">
        <v>2</v>
      </c>
      <c r="Y5038">
        <v>0</v>
      </c>
      <c r="AA5038">
        <v>1</v>
      </c>
      <c r="AB5038">
        <v>8</v>
      </c>
      <c r="AC5038">
        <v>3</v>
      </c>
      <c r="AD5038">
        <v>0</v>
      </c>
      <c r="AE5038">
        <v>9</v>
      </c>
      <c r="AF5038" t="s">
        <v>138</v>
      </c>
      <c r="AG5038">
        <v>0</v>
      </c>
      <c r="AH5038">
        <v>3</v>
      </c>
      <c r="AI5038">
        <v>2</v>
      </c>
      <c r="AJ5038">
        <v>0</v>
      </c>
      <c r="AK5038" t="s">
        <v>1591</v>
      </c>
      <c r="AL5038">
        <v>39.235311000000003</v>
      </c>
      <c r="AM5038" t="s">
        <v>1592</v>
      </c>
      <c r="AN5038">
        <v>-121.014533</v>
      </c>
      <c r="AO5038">
        <v>25</v>
      </c>
      <c r="AP5038">
        <v>3900</v>
      </c>
      <c r="AQ5038" t="s">
        <v>131</v>
      </c>
      <c r="AR5038">
        <v>-102</v>
      </c>
      <c r="AS5038">
        <v>-13</v>
      </c>
      <c r="AT5038">
        <v>-832</v>
      </c>
      <c r="BB5038" t="str">
        <f t="shared" si="1979"/>
        <v>1200</v>
      </c>
      <c r="BC5038">
        <v>1</v>
      </c>
      <c r="BD5038" t="str">
        <f t="shared" si="1980"/>
        <v xml:space="preserve">N52156  </v>
      </c>
      <c r="BE5038">
        <v>1</v>
      </c>
      <c r="BG5038">
        <v>0</v>
      </c>
      <c r="BH5038">
        <v>0</v>
      </c>
      <c r="BI5038">
        <v>0</v>
      </c>
      <c r="BJ5038">
        <v>3950</v>
      </c>
      <c r="BK5038">
        <v>50</v>
      </c>
      <c r="BL5038" t="s">
        <v>188</v>
      </c>
      <c r="BM5038">
        <v>1</v>
      </c>
      <c r="BN5038">
        <v>1</v>
      </c>
      <c r="BO5038">
        <v>0</v>
      </c>
      <c r="BP5038">
        <v>0</v>
      </c>
      <c r="BS5038">
        <v>0</v>
      </c>
      <c r="BT5038">
        <v>0</v>
      </c>
      <c r="BU5038">
        <v>0</v>
      </c>
      <c r="CE5038" t="str">
        <f t="shared" si="1995"/>
        <v>15:18:31.608</v>
      </c>
      <c r="CF5038">
        <v>608009526</v>
      </c>
      <c r="CS5038">
        <v>0</v>
      </c>
      <c r="CT5038">
        <v>2</v>
      </c>
      <c r="CU5038">
        <v>0</v>
      </c>
      <c r="CV5038">
        <v>2</v>
      </c>
      <c r="CW5038">
        <v>0</v>
      </c>
      <c r="CX5038">
        <v>3</v>
      </c>
      <c r="CY5038">
        <v>7</v>
      </c>
      <c r="CZ5038" t="s">
        <v>133</v>
      </c>
      <c r="DA5038">
        <v>275</v>
      </c>
      <c r="DB5038">
        <v>0</v>
      </c>
      <c r="DC5038" t="s">
        <v>134</v>
      </c>
      <c r="DD5038" t="s">
        <v>135</v>
      </c>
      <c r="DG5038">
        <v>3323514</v>
      </c>
      <c r="DI5038">
        <v>1</v>
      </c>
      <c r="DJ5038">
        <v>0</v>
      </c>
      <c r="DK5038">
        <v>1</v>
      </c>
      <c r="DL5038">
        <v>0</v>
      </c>
      <c r="DM5038">
        <v>0</v>
      </c>
      <c r="DN5038">
        <v>0</v>
      </c>
      <c r="DO5038">
        <v>0</v>
      </c>
      <c r="DP5038">
        <v>0</v>
      </c>
      <c r="DQ5038">
        <v>0</v>
      </c>
      <c r="DR5038">
        <v>0</v>
      </c>
      <c r="DS5038">
        <v>0</v>
      </c>
    </row>
    <row r="5039" spans="1:123" x14ac:dyDescent="0.3">
      <c r="A5039" t="str">
        <f>"05/01/2025 15:18:31.855"</f>
        <v>05/01/2025 15:18:31.855</v>
      </c>
      <c r="C5039" t="str">
        <f t="shared" si="1976"/>
        <v>FFDFD3C0</v>
      </c>
      <c r="D5039" t="s">
        <v>145</v>
      </c>
      <c r="E5039" t="str">
        <f>"05"</f>
        <v>05</v>
      </c>
      <c r="H5039">
        <v>47</v>
      </c>
      <c r="I5039" t="s">
        <v>146</v>
      </c>
      <c r="J5039" t="s">
        <v>138</v>
      </c>
      <c r="K5039">
        <v>0</v>
      </c>
      <c r="L5039">
        <v>3</v>
      </c>
      <c r="M5039">
        <v>0</v>
      </c>
      <c r="N5039">
        <v>2</v>
      </c>
      <c r="O5039">
        <v>0</v>
      </c>
      <c r="P5039">
        <v>1</v>
      </c>
      <c r="Q5039">
        <v>0</v>
      </c>
      <c r="R5039" t="s">
        <v>127</v>
      </c>
      <c r="S5039" t="str">
        <f t="shared" si="1994"/>
        <v>15:18:31.000</v>
      </c>
      <c r="T5039" t="str">
        <f t="shared" si="1994"/>
        <v>15:18:31.000</v>
      </c>
      <c r="U5039" t="str">
        <f t="shared" si="1978"/>
        <v>A68FCB</v>
      </c>
      <c r="V5039">
        <v>0</v>
      </c>
      <c r="W5039">
        <v>0</v>
      </c>
      <c r="X5039">
        <v>2</v>
      </c>
      <c r="Y5039">
        <v>0</v>
      </c>
      <c r="AA5039">
        <v>1</v>
      </c>
      <c r="AB5039">
        <v>8</v>
      </c>
      <c r="AC5039">
        <v>3</v>
      </c>
      <c r="AD5039">
        <v>0</v>
      </c>
      <c r="AE5039">
        <v>9</v>
      </c>
      <c r="AF5039" t="s">
        <v>138</v>
      </c>
      <c r="AG5039">
        <v>0</v>
      </c>
      <c r="AH5039">
        <v>3</v>
      </c>
      <c r="AI5039">
        <v>2</v>
      </c>
      <c r="AJ5039">
        <v>0</v>
      </c>
      <c r="AK5039" t="s">
        <v>1591</v>
      </c>
      <c r="AL5039">
        <v>39.235311000000003</v>
      </c>
      <c r="AM5039" t="s">
        <v>1592</v>
      </c>
      <c r="AN5039">
        <v>-121.014533</v>
      </c>
      <c r="AO5039">
        <v>25</v>
      </c>
      <c r="AP5039">
        <v>3900</v>
      </c>
      <c r="AQ5039" t="s">
        <v>131</v>
      </c>
      <c r="AR5039">
        <v>-102</v>
      </c>
      <c r="AS5039">
        <v>-13</v>
      </c>
      <c r="AT5039">
        <v>-832</v>
      </c>
      <c r="BB5039" t="str">
        <f t="shared" si="1979"/>
        <v>1200</v>
      </c>
      <c r="BC5039">
        <v>1</v>
      </c>
      <c r="BD5039" t="str">
        <f t="shared" si="1980"/>
        <v xml:space="preserve">N52156  </v>
      </c>
      <c r="BE5039">
        <v>1</v>
      </c>
      <c r="BG5039">
        <v>0</v>
      </c>
      <c r="BH5039">
        <v>0</v>
      </c>
      <c r="BI5039">
        <v>0</v>
      </c>
      <c r="BJ5039">
        <v>3950</v>
      </c>
      <c r="BK5039">
        <v>50</v>
      </c>
      <c r="BL5039" t="s">
        <v>188</v>
      </c>
      <c r="BM5039">
        <v>1</v>
      </c>
      <c r="BN5039">
        <v>1</v>
      </c>
      <c r="BO5039">
        <v>0</v>
      </c>
      <c r="BP5039">
        <v>0</v>
      </c>
      <c r="BS5039">
        <v>0</v>
      </c>
      <c r="BT5039">
        <v>0</v>
      </c>
      <c r="BU5039">
        <v>0</v>
      </c>
      <c r="CE5039" t="str">
        <f t="shared" si="1995"/>
        <v>15:18:31.608</v>
      </c>
      <c r="CF5039">
        <v>608009526</v>
      </c>
      <c r="CS5039">
        <v>0</v>
      </c>
      <c r="CT5039">
        <v>2</v>
      </c>
      <c r="CU5039">
        <v>0</v>
      </c>
      <c r="CV5039">
        <v>2</v>
      </c>
      <c r="CW5039">
        <v>0</v>
      </c>
      <c r="CX5039">
        <v>3</v>
      </c>
      <c r="CY5039">
        <v>7</v>
      </c>
      <c r="CZ5039" t="s">
        <v>133</v>
      </c>
      <c r="DA5039">
        <v>275</v>
      </c>
      <c r="DB5039">
        <v>0</v>
      </c>
      <c r="DC5039" t="s">
        <v>134</v>
      </c>
      <c r="DD5039" t="s">
        <v>135</v>
      </c>
      <c r="DG5039">
        <v>3323514</v>
      </c>
      <c r="DI5039">
        <v>1</v>
      </c>
      <c r="DJ5039">
        <v>0</v>
      </c>
      <c r="DK5039">
        <v>1</v>
      </c>
      <c r="DL5039">
        <v>0</v>
      </c>
      <c r="DM5039">
        <v>0</v>
      </c>
      <c r="DN5039">
        <v>0</v>
      </c>
      <c r="DO5039">
        <v>0</v>
      </c>
      <c r="DP5039">
        <v>0</v>
      </c>
      <c r="DQ5039">
        <v>0</v>
      </c>
      <c r="DR5039">
        <v>0</v>
      </c>
      <c r="DS5039">
        <v>0</v>
      </c>
    </row>
    <row r="5040" spans="1:123" x14ac:dyDescent="0.3">
      <c r="A5040" t="str">
        <f>"05/01/2025 15:18:31.855"</f>
        <v>05/01/2025 15:18:31.855</v>
      </c>
      <c r="C5040" t="str">
        <f t="shared" si="1976"/>
        <v>FFDFD3C0</v>
      </c>
      <c r="D5040" t="s">
        <v>145</v>
      </c>
      <c r="E5040" t="str">
        <f>"09"</f>
        <v>09</v>
      </c>
      <c r="H5040">
        <v>51</v>
      </c>
      <c r="I5040" t="s">
        <v>147</v>
      </c>
      <c r="J5040" t="s">
        <v>138</v>
      </c>
      <c r="K5040">
        <v>0</v>
      </c>
      <c r="L5040">
        <v>3</v>
      </c>
      <c r="M5040">
        <v>0</v>
      </c>
      <c r="N5040">
        <v>2</v>
      </c>
      <c r="O5040">
        <v>0</v>
      </c>
      <c r="P5040">
        <v>1</v>
      </c>
      <c r="Q5040">
        <v>0</v>
      </c>
      <c r="R5040" t="s">
        <v>127</v>
      </c>
      <c r="S5040" t="str">
        <f t="shared" si="1994"/>
        <v>15:18:31.000</v>
      </c>
      <c r="T5040" t="str">
        <f t="shared" si="1994"/>
        <v>15:18:31.000</v>
      </c>
      <c r="U5040" t="str">
        <f t="shared" si="1978"/>
        <v>A68FCB</v>
      </c>
      <c r="V5040">
        <v>0</v>
      </c>
      <c r="W5040">
        <v>0</v>
      </c>
      <c r="X5040">
        <v>2</v>
      </c>
      <c r="Y5040">
        <v>0</v>
      </c>
      <c r="AA5040">
        <v>1</v>
      </c>
      <c r="AB5040">
        <v>8</v>
      </c>
      <c r="AC5040">
        <v>3</v>
      </c>
      <c r="AD5040">
        <v>0</v>
      </c>
      <c r="AE5040">
        <v>9</v>
      </c>
      <c r="AF5040" t="s">
        <v>138</v>
      </c>
      <c r="AG5040">
        <v>0</v>
      </c>
      <c r="AH5040">
        <v>3</v>
      </c>
      <c r="AI5040">
        <v>2</v>
      </c>
      <c r="AJ5040">
        <v>0</v>
      </c>
      <c r="AK5040" t="s">
        <v>1591</v>
      </c>
      <c r="AL5040">
        <v>39.235311000000003</v>
      </c>
      <c r="AM5040" t="s">
        <v>1592</v>
      </c>
      <c r="AN5040">
        <v>-121.014533</v>
      </c>
      <c r="AO5040">
        <v>25</v>
      </c>
      <c r="AP5040">
        <v>3900</v>
      </c>
      <c r="AQ5040" t="s">
        <v>131</v>
      </c>
      <c r="AR5040">
        <v>-102</v>
      </c>
      <c r="AS5040">
        <v>-13</v>
      </c>
      <c r="AT5040">
        <v>-832</v>
      </c>
      <c r="BB5040" t="str">
        <f t="shared" si="1979"/>
        <v>1200</v>
      </c>
      <c r="BC5040">
        <v>1</v>
      </c>
      <c r="BD5040" t="str">
        <f t="shared" si="1980"/>
        <v xml:space="preserve">N52156  </v>
      </c>
      <c r="BE5040">
        <v>1</v>
      </c>
      <c r="BG5040">
        <v>0</v>
      </c>
      <c r="BH5040">
        <v>0</v>
      </c>
      <c r="BI5040">
        <v>0</v>
      </c>
      <c r="BJ5040">
        <v>3950</v>
      </c>
      <c r="BK5040">
        <v>50</v>
      </c>
      <c r="BL5040" t="s">
        <v>188</v>
      </c>
      <c r="BM5040">
        <v>1</v>
      </c>
      <c r="BN5040">
        <v>1</v>
      </c>
      <c r="BO5040">
        <v>0</v>
      </c>
      <c r="BP5040">
        <v>0</v>
      </c>
      <c r="BS5040">
        <v>0</v>
      </c>
      <c r="BT5040">
        <v>0</v>
      </c>
      <c r="BU5040">
        <v>0</v>
      </c>
      <c r="CE5040" t="str">
        <f t="shared" si="1995"/>
        <v>15:18:31.608</v>
      </c>
      <c r="CF5040">
        <v>608009526</v>
      </c>
      <c r="CS5040">
        <v>0</v>
      </c>
      <c r="CT5040">
        <v>2</v>
      </c>
      <c r="CU5040">
        <v>0</v>
      </c>
      <c r="CV5040">
        <v>2</v>
      </c>
      <c r="CW5040">
        <v>0</v>
      </c>
      <c r="CX5040">
        <v>3</v>
      </c>
      <c r="CY5040">
        <v>7</v>
      </c>
      <c r="CZ5040" t="s">
        <v>133</v>
      </c>
      <c r="DA5040">
        <v>275</v>
      </c>
      <c r="DB5040">
        <v>0</v>
      </c>
      <c r="DC5040" t="s">
        <v>134</v>
      </c>
      <c r="DD5040" t="s">
        <v>135</v>
      </c>
      <c r="DG5040">
        <v>3323514</v>
      </c>
      <c r="DI5040">
        <v>1</v>
      </c>
      <c r="DJ5040">
        <v>0</v>
      </c>
      <c r="DK5040">
        <v>1</v>
      </c>
      <c r="DL5040">
        <v>0</v>
      </c>
      <c r="DM5040">
        <v>0</v>
      </c>
      <c r="DN5040">
        <v>0</v>
      </c>
      <c r="DO5040">
        <v>0</v>
      </c>
      <c r="DP5040">
        <v>0</v>
      </c>
      <c r="DQ5040">
        <v>0</v>
      </c>
      <c r="DR5040">
        <v>0</v>
      </c>
      <c r="DS5040">
        <v>0</v>
      </c>
    </row>
    <row r="5041" spans="1:123" x14ac:dyDescent="0.3">
      <c r="A5041" t="str">
        <f>"05/01/2025 15:18:31.863"</f>
        <v>05/01/2025 15:18:31.863</v>
      </c>
      <c r="C5041" t="str">
        <f t="shared" si="1976"/>
        <v>FFDFD3C0</v>
      </c>
      <c r="D5041" t="s">
        <v>136</v>
      </c>
      <c r="E5041" t="str">
        <f>"20"</f>
        <v>20</v>
      </c>
      <c r="H5041">
        <v>400</v>
      </c>
      <c r="I5041" t="s">
        <v>137</v>
      </c>
      <c r="J5041" t="s">
        <v>138</v>
      </c>
      <c r="K5041">
        <v>0</v>
      </c>
      <c r="L5041">
        <v>3</v>
      </c>
      <c r="M5041">
        <v>0</v>
      </c>
      <c r="N5041">
        <v>2</v>
      </c>
      <c r="O5041">
        <v>0</v>
      </c>
      <c r="P5041">
        <v>1</v>
      </c>
      <c r="Q5041">
        <v>0</v>
      </c>
      <c r="R5041" t="s">
        <v>127</v>
      </c>
      <c r="S5041" t="str">
        <f t="shared" si="1994"/>
        <v>15:18:31.000</v>
      </c>
      <c r="T5041" t="str">
        <f t="shared" si="1994"/>
        <v>15:18:31.000</v>
      </c>
      <c r="U5041" t="str">
        <f t="shared" si="1978"/>
        <v>A68FCB</v>
      </c>
      <c r="V5041">
        <v>0</v>
      </c>
      <c r="W5041">
        <v>0</v>
      </c>
      <c r="X5041">
        <v>2</v>
      </c>
      <c r="Y5041">
        <v>0</v>
      </c>
      <c r="AA5041">
        <v>1</v>
      </c>
      <c r="AB5041">
        <v>8</v>
      </c>
      <c r="AC5041">
        <v>3</v>
      </c>
      <c r="AD5041">
        <v>0</v>
      </c>
      <c r="AE5041">
        <v>9</v>
      </c>
      <c r="AF5041" t="s">
        <v>138</v>
      </c>
      <c r="AG5041">
        <v>0</v>
      </c>
      <c r="AH5041">
        <v>3</v>
      </c>
      <c r="AI5041">
        <v>2</v>
      </c>
      <c r="AJ5041">
        <v>0</v>
      </c>
      <c r="AK5041" t="s">
        <v>1591</v>
      </c>
      <c r="AL5041">
        <v>39.235311000000003</v>
      </c>
      <c r="AM5041" t="s">
        <v>1592</v>
      </c>
      <c r="AN5041">
        <v>-121.014533</v>
      </c>
      <c r="AO5041">
        <v>25</v>
      </c>
      <c r="AP5041">
        <v>3900</v>
      </c>
      <c r="AQ5041" t="s">
        <v>131</v>
      </c>
      <c r="AR5041">
        <v>-102</v>
      </c>
      <c r="AS5041">
        <v>-13</v>
      </c>
      <c r="AT5041">
        <v>-832</v>
      </c>
      <c r="BB5041" t="str">
        <f t="shared" si="1979"/>
        <v>1200</v>
      </c>
      <c r="BC5041">
        <v>1</v>
      </c>
      <c r="BD5041" t="str">
        <f t="shared" si="1980"/>
        <v xml:space="preserve">N52156  </v>
      </c>
      <c r="BE5041">
        <v>1</v>
      </c>
      <c r="BG5041">
        <v>0</v>
      </c>
      <c r="BH5041">
        <v>0</v>
      </c>
      <c r="BI5041">
        <v>0</v>
      </c>
      <c r="BJ5041">
        <v>3950</v>
      </c>
      <c r="BK5041">
        <v>50</v>
      </c>
      <c r="BL5041" t="s">
        <v>188</v>
      </c>
      <c r="BM5041">
        <v>1</v>
      </c>
      <c r="BN5041">
        <v>1</v>
      </c>
      <c r="BO5041">
        <v>0</v>
      </c>
      <c r="BP5041">
        <v>0</v>
      </c>
      <c r="BS5041">
        <v>0</v>
      </c>
      <c r="BT5041">
        <v>0</v>
      </c>
      <c r="BU5041">
        <v>0</v>
      </c>
      <c r="CE5041" t="str">
        <f t="shared" si="1995"/>
        <v>15:18:31.608</v>
      </c>
      <c r="CF5041">
        <v>608009526</v>
      </c>
      <c r="CS5041">
        <v>0</v>
      </c>
      <c r="CT5041">
        <v>2</v>
      </c>
      <c r="CU5041">
        <v>0</v>
      </c>
      <c r="CV5041">
        <v>2</v>
      </c>
      <c r="CW5041">
        <v>0</v>
      </c>
      <c r="CX5041">
        <v>3</v>
      </c>
      <c r="CY5041">
        <v>7</v>
      </c>
      <c r="CZ5041" t="s">
        <v>133</v>
      </c>
      <c r="DA5041">
        <v>275</v>
      </c>
      <c r="DB5041">
        <v>0</v>
      </c>
      <c r="DC5041" t="s">
        <v>134</v>
      </c>
      <c r="DD5041" t="s">
        <v>135</v>
      </c>
      <c r="DG5041">
        <v>3323514</v>
      </c>
      <c r="DI5041">
        <v>1</v>
      </c>
      <c r="DJ5041">
        <v>0</v>
      </c>
      <c r="DK5041">
        <v>1</v>
      </c>
      <c r="DL5041">
        <v>0</v>
      </c>
      <c r="DM5041">
        <v>0</v>
      </c>
      <c r="DN5041">
        <v>0</v>
      </c>
      <c r="DO5041">
        <v>0</v>
      </c>
      <c r="DP5041">
        <v>0</v>
      </c>
      <c r="DQ5041">
        <v>0</v>
      </c>
      <c r="DR5041">
        <v>0</v>
      </c>
      <c r="DS5041">
        <v>0</v>
      </c>
    </row>
    <row r="5042" spans="1:123" x14ac:dyDescent="0.3">
      <c r="A5042" t="str">
        <f>"05/01/2025 15:18:33.030"</f>
        <v>05/01/2025 15:18:33.030</v>
      </c>
      <c r="C5042" t="str">
        <f t="shared" si="1976"/>
        <v>FFDFD3C0</v>
      </c>
      <c r="D5042" t="s">
        <v>140</v>
      </c>
      <c r="E5042" t="str">
        <f>"13"</f>
        <v>13</v>
      </c>
      <c r="F5042">
        <v>1019</v>
      </c>
      <c r="G5042" t="s">
        <v>141</v>
      </c>
      <c r="J5042" t="s">
        <v>142</v>
      </c>
      <c r="K5042">
        <v>0</v>
      </c>
      <c r="L5042">
        <v>3</v>
      </c>
      <c r="M5042">
        <v>0</v>
      </c>
      <c r="N5042">
        <v>2</v>
      </c>
      <c r="O5042">
        <v>0</v>
      </c>
      <c r="P5042">
        <v>1</v>
      </c>
      <c r="Q5042">
        <v>0</v>
      </c>
      <c r="R5042" t="s">
        <v>127</v>
      </c>
      <c r="S5042" t="str">
        <f t="shared" ref="S5042:T5047" si="1996">"15:18:32.000"</f>
        <v>15:18:32.000</v>
      </c>
      <c r="T5042" t="str">
        <f t="shared" si="1996"/>
        <v>15:18:32.000</v>
      </c>
      <c r="U5042" t="str">
        <f t="shared" si="1978"/>
        <v>A68FCB</v>
      </c>
      <c r="V5042">
        <v>0</v>
      </c>
      <c r="W5042">
        <v>0</v>
      </c>
      <c r="X5042">
        <v>2</v>
      </c>
      <c r="Y5042">
        <v>0</v>
      </c>
      <c r="AA5042">
        <v>1</v>
      </c>
      <c r="AB5042">
        <v>8</v>
      </c>
      <c r="AC5042">
        <v>3</v>
      </c>
      <c r="AD5042">
        <v>0</v>
      </c>
      <c r="AE5042">
        <v>9</v>
      </c>
      <c r="AF5042" t="s">
        <v>138</v>
      </c>
      <c r="AG5042">
        <v>0</v>
      </c>
      <c r="AH5042">
        <v>3</v>
      </c>
      <c r="AI5042">
        <v>2</v>
      </c>
      <c r="AJ5042">
        <v>0</v>
      </c>
      <c r="AK5042" t="s">
        <v>1567</v>
      </c>
      <c r="AL5042">
        <v>39.235245999999997</v>
      </c>
      <c r="AM5042" t="s">
        <v>1593</v>
      </c>
      <c r="AN5042">
        <v>-121.015134</v>
      </c>
      <c r="AO5042">
        <v>25</v>
      </c>
      <c r="AP5042">
        <v>3900</v>
      </c>
      <c r="AQ5042" t="s">
        <v>131</v>
      </c>
      <c r="AR5042">
        <v>-102</v>
      </c>
      <c r="AS5042">
        <v>-13</v>
      </c>
      <c r="AT5042">
        <v>-896</v>
      </c>
      <c r="BB5042" t="str">
        <f t="shared" si="1979"/>
        <v>1200</v>
      </c>
      <c r="BC5042">
        <v>1</v>
      </c>
      <c r="BD5042" t="str">
        <f t="shared" si="1980"/>
        <v xml:space="preserve">N52156  </v>
      </c>
      <c r="BE5042">
        <v>1</v>
      </c>
      <c r="BG5042">
        <v>0</v>
      </c>
      <c r="BH5042">
        <v>0</v>
      </c>
      <c r="BI5042">
        <v>0</v>
      </c>
      <c r="BJ5042">
        <v>3950</v>
      </c>
      <c r="BK5042">
        <v>50</v>
      </c>
      <c r="BL5042" t="s">
        <v>188</v>
      </c>
      <c r="BM5042">
        <v>1</v>
      </c>
      <c r="BN5042">
        <v>1</v>
      </c>
      <c r="BO5042">
        <v>0</v>
      </c>
      <c r="BP5042">
        <v>0</v>
      </c>
      <c r="BS5042">
        <v>0</v>
      </c>
      <c r="BT5042">
        <v>0</v>
      </c>
      <c r="BU5042">
        <v>0</v>
      </c>
      <c r="CE5042" t="str">
        <f t="shared" ref="CE5042:CE5047" si="1997">"15:18:32.828"</f>
        <v>15:18:32.828</v>
      </c>
      <c r="CF5042">
        <v>827759832</v>
      </c>
      <c r="CS5042">
        <v>0</v>
      </c>
      <c r="CT5042">
        <v>2</v>
      </c>
      <c r="CU5042">
        <v>0</v>
      </c>
      <c r="CV5042">
        <v>2</v>
      </c>
      <c r="CW5042">
        <v>0</v>
      </c>
      <c r="CX5042">
        <v>2</v>
      </c>
      <c r="CY5042">
        <v>7</v>
      </c>
      <c r="CZ5042" t="s">
        <v>133</v>
      </c>
      <c r="DA5042">
        <v>275</v>
      </c>
      <c r="DB5042">
        <v>0</v>
      </c>
      <c r="DC5042" t="s">
        <v>134</v>
      </c>
      <c r="DD5042" t="s">
        <v>135</v>
      </c>
      <c r="DG5042">
        <v>3323517</v>
      </c>
      <c r="DI5042">
        <v>1</v>
      </c>
      <c r="DJ5042">
        <v>0</v>
      </c>
      <c r="DK5042">
        <v>0</v>
      </c>
      <c r="DL5042">
        <v>0</v>
      </c>
      <c r="DM5042">
        <v>0</v>
      </c>
      <c r="DN5042">
        <v>0</v>
      </c>
      <c r="DO5042">
        <v>0</v>
      </c>
      <c r="DP5042">
        <v>0</v>
      </c>
      <c r="DQ5042">
        <v>0</v>
      </c>
      <c r="DR5042">
        <v>0</v>
      </c>
      <c r="DS5042">
        <v>0</v>
      </c>
    </row>
    <row r="5043" spans="1:123" x14ac:dyDescent="0.3">
      <c r="A5043" t="str">
        <f>"05/01/2025 15:18:33.034"</f>
        <v>05/01/2025 15:18:33.034</v>
      </c>
      <c r="C5043" t="str">
        <f t="shared" si="1976"/>
        <v>FFDFD3C0</v>
      </c>
      <c r="D5043" t="s">
        <v>124</v>
      </c>
      <c r="E5043" t="str">
        <f>"06"</f>
        <v>06</v>
      </c>
      <c r="F5043">
        <v>2006</v>
      </c>
      <c r="G5043" t="s">
        <v>125</v>
      </c>
      <c r="J5043" t="s">
        <v>126</v>
      </c>
      <c r="K5043">
        <v>0</v>
      </c>
      <c r="L5043">
        <v>3</v>
      </c>
      <c r="M5043">
        <v>0</v>
      </c>
      <c r="N5043">
        <v>2</v>
      </c>
      <c r="O5043">
        <v>0</v>
      </c>
      <c r="P5043">
        <v>1</v>
      </c>
      <c r="Q5043">
        <v>0</v>
      </c>
      <c r="R5043" t="s">
        <v>127</v>
      </c>
      <c r="S5043" t="str">
        <f t="shared" si="1996"/>
        <v>15:18:32.000</v>
      </c>
      <c r="T5043" t="str">
        <f t="shared" si="1996"/>
        <v>15:18:32.000</v>
      </c>
      <c r="U5043" t="str">
        <f t="shared" si="1978"/>
        <v>A68FCB</v>
      </c>
      <c r="V5043">
        <v>0</v>
      </c>
      <c r="W5043">
        <v>0</v>
      </c>
      <c r="X5043">
        <v>2</v>
      </c>
      <c r="Y5043">
        <v>0</v>
      </c>
      <c r="AA5043">
        <v>1</v>
      </c>
      <c r="AB5043">
        <v>8</v>
      </c>
      <c r="AC5043">
        <v>3</v>
      </c>
      <c r="AD5043">
        <v>0</v>
      </c>
      <c r="AE5043">
        <v>9</v>
      </c>
      <c r="AF5043" t="s">
        <v>138</v>
      </c>
      <c r="AG5043">
        <v>0</v>
      </c>
      <c r="AH5043">
        <v>3</v>
      </c>
      <c r="AI5043">
        <v>2</v>
      </c>
      <c r="AJ5043">
        <v>0</v>
      </c>
      <c r="AK5043" t="s">
        <v>1567</v>
      </c>
      <c r="AL5043">
        <v>39.235245999999997</v>
      </c>
      <c r="AM5043" t="s">
        <v>1593</v>
      </c>
      <c r="AN5043">
        <v>-121.015134</v>
      </c>
      <c r="AO5043">
        <v>25</v>
      </c>
      <c r="AP5043">
        <v>3900</v>
      </c>
      <c r="AQ5043" t="s">
        <v>131</v>
      </c>
      <c r="AR5043">
        <v>-102</v>
      </c>
      <c r="AS5043">
        <v>-13</v>
      </c>
      <c r="AT5043">
        <v>-896</v>
      </c>
      <c r="BB5043" t="str">
        <f t="shared" si="1979"/>
        <v>1200</v>
      </c>
      <c r="BC5043">
        <v>1</v>
      </c>
      <c r="BD5043" t="str">
        <f t="shared" si="1980"/>
        <v xml:space="preserve">N52156  </v>
      </c>
      <c r="BE5043">
        <v>1</v>
      </c>
      <c r="BG5043">
        <v>0</v>
      </c>
      <c r="BH5043">
        <v>0</v>
      </c>
      <c r="BI5043">
        <v>0</v>
      </c>
      <c r="BJ5043">
        <v>3950</v>
      </c>
      <c r="BK5043">
        <v>50</v>
      </c>
      <c r="BL5043" t="s">
        <v>188</v>
      </c>
      <c r="BM5043">
        <v>1</v>
      </c>
      <c r="BN5043">
        <v>1</v>
      </c>
      <c r="BO5043">
        <v>0</v>
      </c>
      <c r="BP5043">
        <v>0</v>
      </c>
      <c r="BS5043">
        <v>0</v>
      </c>
      <c r="BT5043">
        <v>0</v>
      </c>
      <c r="BU5043">
        <v>0</v>
      </c>
      <c r="CE5043" t="str">
        <f t="shared" si="1997"/>
        <v>15:18:32.828</v>
      </c>
      <c r="CF5043">
        <v>827759832</v>
      </c>
      <c r="CS5043">
        <v>0</v>
      </c>
      <c r="CT5043">
        <v>2</v>
      </c>
      <c r="CU5043">
        <v>0</v>
      </c>
      <c r="CV5043">
        <v>2</v>
      </c>
      <c r="CW5043">
        <v>0</v>
      </c>
      <c r="CX5043">
        <v>2</v>
      </c>
      <c r="CY5043">
        <v>7</v>
      </c>
      <c r="CZ5043" t="s">
        <v>133</v>
      </c>
      <c r="DA5043">
        <v>275</v>
      </c>
      <c r="DB5043">
        <v>0</v>
      </c>
      <c r="DC5043" t="s">
        <v>134</v>
      </c>
      <c r="DD5043" t="s">
        <v>135</v>
      </c>
      <c r="DG5043">
        <v>3323517</v>
      </c>
      <c r="DI5043">
        <v>1</v>
      </c>
      <c r="DJ5043">
        <v>0</v>
      </c>
      <c r="DK5043">
        <v>1</v>
      </c>
      <c r="DL5043">
        <v>0</v>
      </c>
      <c r="DM5043">
        <v>0</v>
      </c>
      <c r="DN5043">
        <v>0</v>
      </c>
      <c r="DO5043">
        <v>0</v>
      </c>
      <c r="DP5043">
        <v>0</v>
      </c>
      <c r="DQ5043">
        <v>0</v>
      </c>
      <c r="DR5043">
        <v>0</v>
      </c>
      <c r="DS5043">
        <v>0</v>
      </c>
    </row>
    <row r="5044" spans="1:123" x14ac:dyDescent="0.3">
      <c r="A5044" t="str">
        <f>"05/01/2025 15:18:33.042"</f>
        <v>05/01/2025 15:18:33.042</v>
      </c>
      <c r="C5044" t="str">
        <f t="shared" si="1976"/>
        <v>FFDFD3C0</v>
      </c>
      <c r="D5044" t="s">
        <v>143</v>
      </c>
      <c r="E5044" t="str">
        <f>"05"</f>
        <v>05</v>
      </c>
      <c r="H5044">
        <v>172</v>
      </c>
      <c r="I5044" t="s">
        <v>141</v>
      </c>
      <c r="J5044" t="s">
        <v>144</v>
      </c>
      <c r="K5044">
        <v>0</v>
      </c>
      <c r="L5044">
        <v>3</v>
      </c>
      <c r="M5044">
        <v>0</v>
      </c>
      <c r="N5044">
        <v>2</v>
      </c>
      <c r="O5044">
        <v>0</v>
      </c>
      <c r="P5044">
        <v>1</v>
      </c>
      <c r="Q5044">
        <v>0</v>
      </c>
      <c r="R5044" t="s">
        <v>127</v>
      </c>
      <c r="S5044" t="str">
        <f t="shared" si="1996"/>
        <v>15:18:32.000</v>
      </c>
      <c r="T5044" t="str">
        <f t="shared" si="1996"/>
        <v>15:18:32.000</v>
      </c>
      <c r="U5044" t="str">
        <f t="shared" si="1978"/>
        <v>A68FCB</v>
      </c>
      <c r="V5044">
        <v>0</v>
      </c>
      <c r="W5044">
        <v>0</v>
      </c>
      <c r="X5044">
        <v>2</v>
      </c>
      <c r="Y5044">
        <v>0</v>
      </c>
      <c r="AA5044">
        <v>1</v>
      </c>
      <c r="AB5044">
        <v>8</v>
      </c>
      <c r="AC5044">
        <v>3</v>
      </c>
      <c r="AD5044">
        <v>0</v>
      </c>
      <c r="AE5044">
        <v>9</v>
      </c>
      <c r="AF5044" t="s">
        <v>138</v>
      </c>
      <c r="AG5044">
        <v>0</v>
      </c>
      <c r="AH5044">
        <v>3</v>
      </c>
      <c r="AI5044">
        <v>2</v>
      </c>
      <c r="AJ5044">
        <v>0</v>
      </c>
      <c r="AK5044" t="s">
        <v>1567</v>
      </c>
      <c r="AL5044">
        <v>39.235245999999997</v>
      </c>
      <c r="AM5044" t="s">
        <v>1593</v>
      </c>
      <c r="AN5044">
        <v>-121.015134</v>
      </c>
      <c r="AO5044">
        <v>25</v>
      </c>
      <c r="AP5044">
        <v>3900</v>
      </c>
      <c r="AQ5044" t="s">
        <v>131</v>
      </c>
      <c r="AR5044">
        <v>-102</v>
      </c>
      <c r="AS5044">
        <v>-13</v>
      </c>
      <c r="AT5044">
        <v>-896</v>
      </c>
      <c r="BB5044" t="str">
        <f t="shared" si="1979"/>
        <v>1200</v>
      </c>
      <c r="BC5044">
        <v>1</v>
      </c>
      <c r="BD5044" t="str">
        <f t="shared" si="1980"/>
        <v xml:space="preserve">N52156  </v>
      </c>
      <c r="BE5044">
        <v>1</v>
      </c>
      <c r="BG5044">
        <v>0</v>
      </c>
      <c r="BH5044">
        <v>0</v>
      </c>
      <c r="BI5044">
        <v>0</v>
      </c>
      <c r="BJ5044">
        <v>3950</v>
      </c>
      <c r="BK5044">
        <v>50</v>
      </c>
      <c r="BL5044" t="s">
        <v>188</v>
      </c>
      <c r="BM5044">
        <v>1</v>
      </c>
      <c r="BN5044">
        <v>1</v>
      </c>
      <c r="BO5044">
        <v>0</v>
      </c>
      <c r="BP5044">
        <v>0</v>
      </c>
      <c r="BS5044">
        <v>0</v>
      </c>
      <c r="BT5044">
        <v>0</v>
      </c>
      <c r="BU5044">
        <v>0</v>
      </c>
      <c r="CE5044" t="str">
        <f t="shared" si="1997"/>
        <v>15:18:32.828</v>
      </c>
      <c r="CF5044">
        <v>827759832</v>
      </c>
      <c r="CS5044">
        <v>0</v>
      </c>
      <c r="CT5044">
        <v>2</v>
      </c>
      <c r="CU5044">
        <v>0</v>
      </c>
      <c r="CV5044">
        <v>2</v>
      </c>
      <c r="CW5044">
        <v>0</v>
      </c>
      <c r="CX5044">
        <v>2</v>
      </c>
      <c r="CY5044">
        <v>7</v>
      </c>
      <c r="CZ5044" t="s">
        <v>133</v>
      </c>
      <c r="DA5044">
        <v>275</v>
      </c>
      <c r="DB5044">
        <v>0</v>
      </c>
      <c r="DC5044" t="s">
        <v>134</v>
      </c>
      <c r="DD5044" t="s">
        <v>135</v>
      </c>
      <c r="DG5044">
        <v>3323517</v>
      </c>
      <c r="DI5044">
        <v>1</v>
      </c>
      <c r="DJ5044">
        <v>0</v>
      </c>
      <c r="DK5044">
        <v>1</v>
      </c>
      <c r="DL5044">
        <v>0</v>
      </c>
      <c r="DM5044">
        <v>0</v>
      </c>
      <c r="DN5044">
        <v>0</v>
      </c>
      <c r="DO5044">
        <v>0</v>
      </c>
      <c r="DP5044">
        <v>0</v>
      </c>
      <c r="DQ5044">
        <v>0</v>
      </c>
      <c r="DR5044">
        <v>0</v>
      </c>
      <c r="DS5044">
        <v>0</v>
      </c>
    </row>
    <row r="5045" spans="1:123" x14ac:dyDescent="0.3">
      <c r="A5045" t="str">
        <f>"05/01/2025 15:18:33.057"</f>
        <v>05/01/2025 15:18:33.057</v>
      </c>
      <c r="C5045" t="str">
        <f t="shared" si="1976"/>
        <v>FFDFD3C0</v>
      </c>
      <c r="D5045" t="s">
        <v>145</v>
      </c>
      <c r="E5045" t="str">
        <f>"05"</f>
        <v>05</v>
      </c>
      <c r="H5045">
        <v>47</v>
      </c>
      <c r="I5045" t="s">
        <v>146</v>
      </c>
      <c r="J5045" t="s">
        <v>138</v>
      </c>
      <c r="K5045">
        <v>0</v>
      </c>
      <c r="L5045">
        <v>3</v>
      </c>
      <c r="M5045">
        <v>0</v>
      </c>
      <c r="N5045">
        <v>2</v>
      </c>
      <c r="O5045">
        <v>0</v>
      </c>
      <c r="P5045">
        <v>1</v>
      </c>
      <c r="Q5045">
        <v>0</v>
      </c>
      <c r="R5045" t="s">
        <v>127</v>
      </c>
      <c r="S5045" t="str">
        <f t="shared" si="1996"/>
        <v>15:18:32.000</v>
      </c>
      <c r="T5045" t="str">
        <f t="shared" si="1996"/>
        <v>15:18:32.000</v>
      </c>
      <c r="U5045" t="str">
        <f t="shared" si="1978"/>
        <v>A68FCB</v>
      </c>
      <c r="V5045">
        <v>0</v>
      </c>
      <c r="W5045">
        <v>0</v>
      </c>
      <c r="X5045">
        <v>2</v>
      </c>
      <c r="Y5045">
        <v>0</v>
      </c>
      <c r="AA5045">
        <v>1</v>
      </c>
      <c r="AB5045">
        <v>8</v>
      </c>
      <c r="AC5045">
        <v>3</v>
      </c>
      <c r="AD5045">
        <v>0</v>
      </c>
      <c r="AE5045">
        <v>9</v>
      </c>
      <c r="AF5045" t="s">
        <v>138</v>
      </c>
      <c r="AG5045">
        <v>0</v>
      </c>
      <c r="AH5045">
        <v>3</v>
      </c>
      <c r="AI5045">
        <v>2</v>
      </c>
      <c r="AJ5045">
        <v>0</v>
      </c>
      <c r="AK5045" t="s">
        <v>1567</v>
      </c>
      <c r="AL5045">
        <v>39.235245999999997</v>
      </c>
      <c r="AM5045" t="s">
        <v>1593</v>
      </c>
      <c r="AN5045">
        <v>-121.015134</v>
      </c>
      <c r="AO5045">
        <v>25</v>
      </c>
      <c r="AP5045">
        <v>3900</v>
      </c>
      <c r="AQ5045" t="s">
        <v>131</v>
      </c>
      <c r="AR5045">
        <v>-102</v>
      </c>
      <c r="AS5045">
        <v>-13</v>
      </c>
      <c r="AT5045">
        <v>-896</v>
      </c>
      <c r="BB5045" t="str">
        <f t="shared" si="1979"/>
        <v>1200</v>
      </c>
      <c r="BC5045">
        <v>1</v>
      </c>
      <c r="BD5045" t="str">
        <f t="shared" si="1980"/>
        <v xml:space="preserve">N52156  </v>
      </c>
      <c r="BE5045">
        <v>1</v>
      </c>
      <c r="BG5045">
        <v>0</v>
      </c>
      <c r="BH5045">
        <v>0</v>
      </c>
      <c r="BI5045">
        <v>0</v>
      </c>
      <c r="BJ5045">
        <v>3950</v>
      </c>
      <c r="BK5045">
        <v>50</v>
      </c>
      <c r="BL5045" t="s">
        <v>188</v>
      </c>
      <c r="BM5045">
        <v>1</v>
      </c>
      <c r="BN5045">
        <v>1</v>
      </c>
      <c r="BO5045">
        <v>0</v>
      </c>
      <c r="BP5045">
        <v>0</v>
      </c>
      <c r="BS5045">
        <v>0</v>
      </c>
      <c r="BT5045">
        <v>0</v>
      </c>
      <c r="BU5045">
        <v>0</v>
      </c>
      <c r="CE5045" t="str">
        <f t="shared" si="1997"/>
        <v>15:18:32.828</v>
      </c>
      <c r="CF5045">
        <v>827759832</v>
      </c>
      <c r="CS5045">
        <v>0</v>
      </c>
      <c r="CT5045">
        <v>2</v>
      </c>
      <c r="CU5045">
        <v>0</v>
      </c>
      <c r="CV5045">
        <v>2</v>
      </c>
      <c r="CW5045">
        <v>0</v>
      </c>
      <c r="CX5045">
        <v>2</v>
      </c>
      <c r="CY5045">
        <v>7</v>
      </c>
      <c r="CZ5045" t="s">
        <v>133</v>
      </c>
      <c r="DA5045">
        <v>275</v>
      </c>
      <c r="DB5045">
        <v>0</v>
      </c>
      <c r="DC5045" t="s">
        <v>134</v>
      </c>
      <c r="DD5045" t="s">
        <v>135</v>
      </c>
      <c r="DG5045">
        <v>3323517</v>
      </c>
      <c r="DI5045">
        <v>1</v>
      </c>
      <c r="DJ5045">
        <v>0</v>
      </c>
      <c r="DK5045">
        <v>1</v>
      </c>
      <c r="DL5045">
        <v>0</v>
      </c>
      <c r="DM5045">
        <v>0</v>
      </c>
      <c r="DN5045">
        <v>0</v>
      </c>
      <c r="DO5045">
        <v>0</v>
      </c>
      <c r="DP5045">
        <v>0</v>
      </c>
      <c r="DQ5045">
        <v>0</v>
      </c>
      <c r="DR5045">
        <v>0</v>
      </c>
      <c r="DS5045">
        <v>0</v>
      </c>
    </row>
    <row r="5046" spans="1:123" x14ac:dyDescent="0.3">
      <c r="A5046" t="str">
        <f>"05/01/2025 15:18:33.057"</f>
        <v>05/01/2025 15:18:33.057</v>
      </c>
      <c r="C5046" t="str">
        <f t="shared" si="1976"/>
        <v>FFDFD3C0</v>
      </c>
      <c r="D5046" t="s">
        <v>145</v>
      </c>
      <c r="E5046" t="str">
        <f>"09"</f>
        <v>09</v>
      </c>
      <c r="H5046">
        <v>51</v>
      </c>
      <c r="I5046" t="s">
        <v>147</v>
      </c>
      <c r="J5046" t="s">
        <v>138</v>
      </c>
      <c r="K5046">
        <v>0</v>
      </c>
      <c r="L5046">
        <v>3</v>
      </c>
      <c r="M5046">
        <v>0</v>
      </c>
      <c r="N5046">
        <v>2</v>
      </c>
      <c r="O5046">
        <v>0</v>
      </c>
      <c r="P5046">
        <v>1</v>
      </c>
      <c r="Q5046">
        <v>0</v>
      </c>
      <c r="R5046" t="s">
        <v>127</v>
      </c>
      <c r="S5046" t="str">
        <f t="shared" si="1996"/>
        <v>15:18:32.000</v>
      </c>
      <c r="T5046" t="str">
        <f t="shared" si="1996"/>
        <v>15:18:32.000</v>
      </c>
      <c r="U5046" t="str">
        <f t="shared" si="1978"/>
        <v>A68FCB</v>
      </c>
      <c r="V5046">
        <v>0</v>
      </c>
      <c r="W5046">
        <v>0</v>
      </c>
      <c r="X5046">
        <v>2</v>
      </c>
      <c r="Y5046">
        <v>0</v>
      </c>
      <c r="AA5046">
        <v>1</v>
      </c>
      <c r="AB5046">
        <v>8</v>
      </c>
      <c r="AC5046">
        <v>3</v>
      </c>
      <c r="AD5046">
        <v>0</v>
      </c>
      <c r="AE5046">
        <v>9</v>
      </c>
      <c r="AF5046" t="s">
        <v>138</v>
      </c>
      <c r="AG5046">
        <v>0</v>
      </c>
      <c r="AH5046">
        <v>3</v>
      </c>
      <c r="AI5046">
        <v>2</v>
      </c>
      <c r="AJ5046">
        <v>0</v>
      </c>
      <c r="AK5046" t="s">
        <v>1567</v>
      </c>
      <c r="AL5046">
        <v>39.235245999999997</v>
      </c>
      <c r="AM5046" t="s">
        <v>1593</v>
      </c>
      <c r="AN5046">
        <v>-121.015134</v>
      </c>
      <c r="AO5046">
        <v>25</v>
      </c>
      <c r="AP5046">
        <v>3900</v>
      </c>
      <c r="AQ5046" t="s">
        <v>131</v>
      </c>
      <c r="AR5046">
        <v>-102</v>
      </c>
      <c r="AS5046">
        <v>-13</v>
      </c>
      <c r="AT5046">
        <v>-896</v>
      </c>
      <c r="BB5046" t="str">
        <f t="shared" si="1979"/>
        <v>1200</v>
      </c>
      <c r="BC5046">
        <v>1</v>
      </c>
      <c r="BD5046" t="str">
        <f t="shared" si="1980"/>
        <v xml:space="preserve">N52156  </v>
      </c>
      <c r="BE5046">
        <v>1</v>
      </c>
      <c r="BG5046">
        <v>0</v>
      </c>
      <c r="BH5046">
        <v>0</v>
      </c>
      <c r="BI5046">
        <v>0</v>
      </c>
      <c r="BJ5046">
        <v>3950</v>
      </c>
      <c r="BK5046">
        <v>50</v>
      </c>
      <c r="BL5046" t="s">
        <v>188</v>
      </c>
      <c r="BM5046">
        <v>1</v>
      </c>
      <c r="BN5046">
        <v>1</v>
      </c>
      <c r="BO5046">
        <v>0</v>
      </c>
      <c r="BP5046">
        <v>0</v>
      </c>
      <c r="BS5046">
        <v>0</v>
      </c>
      <c r="BT5046">
        <v>0</v>
      </c>
      <c r="BU5046">
        <v>0</v>
      </c>
      <c r="CE5046" t="str">
        <f t="shared" si="1997"/>
        <v>15:18:32.828</v>
      </c>
      <c r="CF5046">
        <v>827759832</v>
      </c>
      <c r="CS5046">
        <v>0</v>
      </c>
      <c r="CT5046">
        <v>2</v>
      </c>
      <c r="CU5046">
        <v>0</v>
      </c>
      <c r="CV5046">
        <v>2</v>
      </c>
      <c r="CW5046">
        <v>0</v>
      </c>
      <c r="CX5046">
        <v>2</v>
      </c>
      <c r="CY5046">
        <v>7</v>
      </c>
      <c r="CZ5046" t="s">
        <v>133</v>
      </c>
      <c r="DA5046">
        <v>275</v>
      </c>
      <c r="DB5046">
        <v>0</v>
      </c>
      <c r="DC5046" t="s">
        <v>134</v>
      </c>
      <c r="DD5046" t="s">
        <v>135</v>
      </c>
      <c r="DG5046">
        <v>3323517</v>
      </c>
      <c r="DI5046">
        <v>1</v>
      </c>
      <c r="DJ5046">
        <v>0</v>
      </c>
      <c r="DK5046">
        <v>1</v>
      </c>
      <c r="DL5046">
        <v>0</v>
      </c>
      <c r="DM5046">
        <v>0</v>
      </c>
      <c r="DN5046">
        <v>0</v>
      </c>
      <c r="DO5046">
        <v>0</v>
      </c>
      <c r="DP5046">
        <v>0</v>
      </c>
      <c r="DQ5046">
        <v>0</v>
      </c>
      <c r="DR5046">
        <v>0</v>
      </c>
      <c r="DS5046">
        <v>0</v>
      </c>
    </row>
    <row r="5047" spans="1:123" x14ac:dyDescent="0.3">
      <c r="A5047" t="str">
        <f>"05/01/2025 15:18:33.066"</f>
        <v>05/01/2025 15:18:33.066</v>
      </c>
      <c r="C5047" t="str">
        <f t="shared" si="1976"/>
        <v>FFDFD3C0</v>
      </c>
      <c r="D5047" t="s">
        <v>136</v>
      </c>
      <c r="E5047" t="str">
        <f>"20"</f>
        <v>20</v>
      </c>
      <c r="H5047">
        <v>400</v>
      </c>
      <c r="I5047" t="s">
        <v>137</v>
      </c>
      <c r="J5047" t="s">
        <v>138</v>
      </c>
      <c r="K5047">
        <v>0</v>
      </c>
      <c r="L5047">
        <v>3</v>
      </c>
      <c r="M5047">
        <v>0</v>
      </c>
      <c r="N5047">
        <v>2</v>
      </c>
      <c r="O5047">
        <v>0</v>
      </c>
      <c r="P5047">
        <v>1</v>
      </c>
      <c r="Q5047">
        <v>0</v>
      </c>
      <c r="R5047" t="s">
        <v>127</v>
      </c>
      <c r="S5047" t="str">
        <f t="shared" si="1996"/>
        <v>15:18:32.000</v>
      </c>
      <c r="T5047" t="str">
        <f t="shared" si="1996"/>
        <v>15:18:32.000</v>
      </c>
      <c r="U5047" t="str">
        <f t="shared" si="1978"/>
        <v>A68FCB</v>
      </c>
      <c r="V5047">
        <v>0</v>
      </c>
      <c r="W5047">
        <v>0</v>
      </c>
      <c r="X5047">
        <v>2</v>
      </c>
      <c r="Y5047">
        <v>0</v>
      </c>
      <c r="AA5047">
        <v>1</v>
      </c>
      <c r="AB5047">
        <v>8</v>
      </c>
      <c r="AC5047">
        <v>3</v>
      </c>
      <c r="AD5047">
        <v>0</v>
      </c>
      <c r="AE5047">
        <v>9</v>
      </c>
      <c r="AF5047" t="s">
        <v>138</v>
      </c>
      <c r="AG5047">
        <v>0</v>
      </c>
      <c r="AH5047">
        <v>3</v>
      </c>
      <c r="AI5047">
        <v>2</v>
      </c>
      <c r="AJ5047">
        <v>0</v>
      </c>
      <c r="AK5047" t="s">
        <v>1567</v>
      </c>
      <c r="AL5047">
        <v>39.235245999999997</v>
      </c>
      <c r="AM5047" t="s">
        <v>1593</v>
      </c>
      <c r="AN5047">
        <v>-121.015134</v>
      </c>
      <c r="AO5047">
        <v>25</v>
      </c>
      <c r="AP5047">
        <v>3900</v>
      </c>
      <c r="AQ5047" t="s">
        <v>131</v>
      </c>
      <c r="AR5047">
        <v>-102</v>
      </c>
      <c r="AS5047">
        <v>-13</v>
      </c>
      <c r="AT5047">
        <v>-896</v>
      </c>
      <c r="BB5047" t="str">
        <f t="shared" si="1979"/>
        <v>1200</v>
      </c>
      <c r="BC5047">
        <v>1</v>
      </c>
      <c r="BD5047" t="str">
        <f t="shared" si="1980"/>
        <v xml:space="preserve">N52156  </v>
      </c>
      <c r="BE5047">
        <v>1</v>
      </c>
      <c r="BG5047">
        <v>0</v>
      </c>
      <c r="BH5047">
        <v>0</v>
      </c>
      <c r="BI5047">
        <v>0</v>
      </c>
      <c r="BJ5047">
        <v>3950</v>
      </c>
      <c r="BK5047">
        <v>50</v>
      </c>
      <c r="BL5047" t="s">
        <v>188</v>
      </c>
      <c r="BM5047">
        <v>1</v>
      </c>
      <c r="BN5047">
        <v>1</v>
      </c>
      <c r="BO5047">
        <v>0</v>
      </c>
      <c r="BP5047">
        <v>0</v>
      </c>
      <c r="BS5047">
        <v>0</v>
      </c>
      <c r="BT5047">
        <v>0</v>
      </c>
      <c r="BU5047">
        <v>0</v>
      </c>
      <c r="CE5047" t="str">
        <f t="shared" si="1997"/>
        <v>15:18:32.828</v>
      </c>
      <c r="CF5047">
        <v>827759832</v>
      </c>
      <c r="CS5047">
        <v>0</v>
      </c>
      <c r="CT5047">
        <v>2</v>
      </c>
      <c r="CU5047">
        <v>0</v>
      </c>
      <c r="CV5047">
        <v>2</v>
      </c>
      <c r="CW5047">
        <v>0</v>
      </c>
      <c r="CX5047">
        <v>2</v>
      </c>
      <c r="CY5047">
        <v>7</v>
      </c>
      <c r="CZ5047" t="s">
        <v>133</v>
      </c>
      <c r="DA5047">
        <v>275</v>
      </c>
      <c r="DB5047">
        <v>0</v>
      </c>
      <c r="DC5047" t="s">
        <v>134</v>
      </c>
      <c r="DD5047" t="s">
        <v>135</v>
      </c>
      <c r="DG5047">
        <v>3323517</v>
      </c>
      <c r="DI5047">
        <v>1</v>
      </c>
      <c r="DJ5047">
        <v>0</v>
      </c>
      <c r="DK5047">
        <v>1</v>
      </c>
      <c r="DL5047">
        <v>0</v>
      </c>
      <c r="DM5047">
        <v>0</v>
      </c>
      <c r="DN5047">
        <v>0</v>
      </c>
      <c r="DO5047">
        <v>0</v>
      </c>
      <c r="DP5047">
        <v>0</v>
      </c>
      <c r="DQ5047">
        <v>0</v>
      </c>
      <c r="DR5047">
        <v>0</v>
      </c>
      <c r="DS5047">
        <v>0</v>
      </c>
    </row>
    <row r="5048" spans="1:123" x14ac:dyDescent="0.3">
      <c r="A5048" t="str">
        <f>"05/01/2025 15:18:33.758"</f>
        <v>05/01/2025 15:18:33.758</v>
      </c>
      <c r="C5048" t="str">
        <f t="shared" si="1976"/>
        <v>FFDFD3C0</v>
      </c>
      <c r="D5048" t="s">
        <v>145</v>
      </c>
      <c r="E5048" t="str">
        <f>"05"</f>
        <v>05</v>
      </c>
      <c r="H5048">
        <v>47</v>
      </c>
      <c r="I5048" t="s">
        <v>146</v>
      </c>
      <c r="J5048" t="s">
        <v>138</v>
      </c>
      <c r="K5048">
        <v>0</v>
      </c>
      <c r="L5048">
        <v>3</v>
      </c>
      <c r="M5048">
        <v>0</v>
      </c>
      <c r="N5048">
        <v>2</v>
      </c>
      <c r="O5048">
        <v>0</v>
      </c>
      <c r="P5048">
        <v>1</v>
      </c>
      <c r="Q5048">
        <v>0</v>
      </c>
      <c r="R5048" t="s">
        <v>127</v>
      </c>
      <c r="S5048" t="str">
        <f t="shared" ref="S5048:T5053" si="1998">"15:18:33.000"</f>
        <v>15:18:33.000</v>
      </c>
      <c r="T5048" t="str">
        <f t="shared" si="1998"/>
        <v>15:18:33.000</v>
      </c>
      <c r="U5048" t="str">
        <f t="shared" si="1978"/>
        <v>A68FCB</v>
      </c>
      <c r="V5048">
        <v>0</v>
      </c>
      <c r="W5048">
        <v>0</v>
      </c>
      <c r="X5048">
        <v>2</v>
      </c>
      <c r="Y5048">
        <v>0</v>
      </c>
      <c r="AA5048">
        <v>1</v>
      </c>
      <c r="AB5048">
        <v>8</v>
      </c>
      <c r="AC5048">
        <v>3</v>
      </c>
      <c r="AD5048">
        <v>0</v>
      </c>
      <c r="AE5048">
        <v>9</v>
      </c>
      <c r="AF5048" t="s">
        <v>138</v>
      </c>
      <c r="AG5048">
        <v>0</v>
      </c>
      <c r="AH5048">
        <v>3</v>
      </c>
      <c r="AI5048">
        <v>2</v>
      </c>
      <c r="AJ5048">
        <v>0</v>
      </c>
      <c r="AK5048" t="s">
        <v>1594</v>
      </c>
      <c r="AL5048">
        <v>39.235182000000002</v>
      </c>
      <c r="AM5048" t="s">
        <v>1595</v>
      </c>
      <c r="AN5048">
        <v>-121.015756</v>
      </c>
      <c r="AO5048">
        <v>25</v>
      </c>
      <c r="AP5048">
        <v>3900</v>
      </c>
      <c r="AQ5048" t="s">
        <v>131</v>
      </c>
      <c r="AR5048">
        <v>-102</v>
      </c>
      <c r="AS5048">
        <v>-13</v>
      </c>
      <c r="AT5048">
        <v>-896</v>
      </c>
      <c r="BB5048" t="str">
        <f t="shared" si="1979"/>
        <v>1200</v>
      </c>
      <c r="BC5048">
        <v>1</v>
      </c>
      <c r="BD5048" t="str">
        <f t="shared" si="1980"/>
        <v xml:space="preserve">N52156  </v>
      </c>
      <c r="BE5048">
        <v>1</v>
      </c>
      <c r="BG5048">
        <v>0</v>
      </c>
      <c r="BH5048">
        <v>0</v>
      </c>
      <c r="BI5048">
        <v>0</v>
      </c>
      <c r="BJ5048">
        <v>3925</v>
      </c>
      <c r="BK5048">
        <v>25</v>
      </c>
      <c r="BL5048" t="s">
        <v>188</v>
      </c>
      <c r="BM5048">
        <v>1</v>
      </c>
      <c r="BN5048">
        <v>1</v>
      </c>
      <c r="BO5048">
        <v>0</v>
      </c>
      <c r="BP5048">
        <v>0</v>
      </c>
      <c r="BS5048">
        <v>0</v>
      </c>
      <c r="BT5048">
        <v>0</v>
      </c>
      <c r="BU5048">
        <v>0</v>
      </c>
      <c r="CE5048" t="str">
        <f t="shared" ref="CE5048:CE5053" si="1999">"15:18:33.540"</f>
        <v>15:18:33.540</v>
      </c>
      <c r="CF5048">
        <v>540093756</v>
      </c>
      <c r="CS5048">
        <v>0</v>
      </c>
      <c r="CT5048">
        <v>2</v>
      </c>
      <c r="CU5048">
        <v>0</v>
      </c>
      <c r="CV5048">
        <v>2</v>
      </c>
      <c r="CW5048">
        <v>0</v>
      </c>
      <c r="CX5048">
        <v>2</v>
      </c>
      <c r="CY5048">
        <v>7</v>
      </c>
      <c r="CZ5048" t="s">
        <v>133</v>
      </c>
      <c r="DA5048">
        <v>276</v>
      </c>
      <c r="DB5048">
        <v>0</v>
      </c>
      <c r="DC5048" t="s">
        <v>402</v>
      </c>
      <c r="DD5048" t="s">
        <v>403</v>
      </c>
      <c r="DG5048">
        <v>1628987</v>
      </c>
      <c r="DI5048">
        <v>1</v>
      </c>
      <c r="DJ5048">
        <v>0</v>
      </c>
      <c r="DK5048">
        <v>0</v>
      </c>
      <c r="DL5048">
        <v>0</v>
      </c>
      <c r="DM5048">
        <v>0</v>
      </c>
      <c r="DN5048">
        <v>0</v>
      </c>
      <c r="DO5048">
        <v>0</v>
      </c>
      <c r="DP5048">
        <v>0</v>
      </c>
      <c r="DQ5048">
        <v>0</v>
      </c>
      <c r="DR5048">
        <v>0</v>
      </c>
      <c r="DS5048">
        <v>0</v>
      </c>
    </row>
    <row r="5049" spans="1:123" x14ac:dyDescent="0.3">
      <c r="A5049" t="str">
        <f>"05/01/2025 15:18:33.758"</f>
        <v>05/01/2025 15:18:33.758</v>
      </c>
      <c r="C5049" t="str">
        <f t="shared" si="1976"/>
        <v>FFDFD3C0</v>
      </c>
      <c r="D5049" t="s">
        <v>145</v>
      </c>
      <c r="E5049" t="str">
        <f>"09"</f>
        <v>09</v>
      </c>
      <c r="H5049">
        <v>51</v>
      </c>
      <c r="I5049" t="s">
        <v>147</v>
      </c>
      <c r="J5049" t="s">
        <v>138</v>
      </c>
      <c r="K5049">
        <v>0</v>
      </c>
      <c r="L5049">
        <v>3</v>
      </c>
      <c r="M5049">
        <v>0</v>
      </c>
      <c r="N5049">
        <v>2</v>
      </c>
      <c r="O5049">
        <v>0</v>
      </c>
      <c r="P5049">
        <v>1</v>
      </c>
      <c r="Q5049">
        <v>0</v>
      </c>
      <c r="R5049" t="s">
        <v>127</v>
      </c>
      <c r="S5049" t="str">
        <f t="shared" si="1998"/>
        <v>15:18:33.000</v>
      </c>
      <c r="T5049" t="str">
        <f t="shared" si="1998"/>
        <v>15:18:33.000</v>
      </c>
      <c r="U5049" t="str">
        <f t="shared" si="1978"/>
        <v>A68FCB</v>
      </c>
      <c r="V5049">
        <v>0</v>
      </c>
      <c r="W5049">
        <v>0</v>
      </c>
      <c r="X5049">
        <v>2</v>
      </c>
      <c r="Y5049">
        <v>0</v>
      </c>
      <c r="AA5049">
        <v>1</v>
      </c>
      <c r="AB5049">
        <v>8</v>
      </c>
      <c r="AC5049">
        <v>3</v>
      </c>
      <c r="AD5049">
        <v>0</v>
      </c>
      <c r="AE5049">
        <v>9</v>
      </c>
      <c r="AF5049" t="s">
        <v>138</v>
      </c>
      <c r="AG5049">
        <v>0</v>
      </c>
      <c r="AH5049">
        <v>3</v>
      </c>
      <c r="AI5049">
        <v>2</v>
      </c>
      <c r="AJ5049">
        <v>0</v>
      </c>
      <c r="AK5049" t="s">
        <v>1594</v>
      </c>
      <c r="AL5049">
        <v>39.235182000000002</v>
      </c>
      <c r="AM5049" t="s">
        <v>1595</v>
      </c>
      <c r="AN5049">
        <v>-121.015756</v>
      </c>
      <c r="AO5049">
        <v>25</v>
      </c>
      <c r="AP5049">
        <v>3900</v>
      </c>
      <c r="AQ5049" t="s">
        <v>131</v>
      </c>
      <c r="AR5049">
        <v>-102</v>
      </c>
      <c r="AS5049">
        <v>-13</v>
      </c>
      <c r="AT5049">
        <v>-896</v>
      </c>
      <c r="BB5049" t="str">
        <f t="shared" si="1979"/>
        <v>1200</v>
      </c>
      <c r="BC5049">
        <v>1</v>
      </c>
      <c r="BD5049" t="str">
        <f t="shared" si="1980"/>
        <v xml:space="preserve">N52156  </v>
      </c>
      <c r="BE5049">
        <v>1</v>
      </c>
      <c r="BG5049">
        <v>0</v>
      </c>
      <c r="BH5049">
        <v>0</v>
      </c>
      <c r="BI5049">
        <v>0</v>
      </c>
      <c r="BJ5049">
        <v>3925</v>
      </c>
      <c r="BK5049">
        <v>25</v>
      </c>
      <c r="BL5049" t="s">
        <v>188</v>
      </c>
      <c r="BM5049">
        <v>1</v>
      </c>
      <c r="BN5049">
        <v>1</v>
      </c>
      <c r="BO5049">
        <v>0</v>
      </c>
      <c r="BP5049">
        <v>0</v>
      </c>
      <c r="BS5049">
        <v>0</v>
      </c>
      <c r="BT5049">
        <v>0</v>
      </c>
      <c r="BU5049">
        <v>0</v>
      </c>
      <c r="CE5049" t="str">
        <f t="shared" si="1999"/>
        <v>15:18:33.540</v>
      </c>
      <c r="CF5049">
        <v>540093756</v>
      </c>
      <c r="CS5049">
        <v>0</v>
      </c>
      <c r="CT5049">
        <v>2</v>
      </c>
      <c r="CU5049">
        <v>0</v>
      </c>
      <c r="CV5049">
        <v>2</v>
      </c>
      <c r="CW5049">
        <v>0</v>
      </c>
      <c r="CX5049">
        <v>2</v>
      </c>
      <c r="CY5049">
        <v>7</v>
      </c>
      <c r="CZ5049" t="s">
        <v>133</v>
      </c>
      <c r="DA5049">
        <v>276</v>
      </c>
      <c r="DB5049">
        <v>0</v>
      </c>
      <c r="DC5049" t="s">
        <v>402</v>
      </c>
      <c r="DD5049" t="s">
        <v>403</v>
      </c>
      <c r="DG5049">
        <v>1628987</v>
      </c>
      <c r="DI5049">
        <v>1</v>
      </c>
      <c r="DJ5049">
        <v>0</v>
      </c>
      <c r="DK5049">
        <v>1</v>
      </c>
      <c r="DL5049">
        <v>0</v>
      </c>
      <c r="DM5049">
        <v>0</v>
      </c>
      <c r="DN5049">
        <v>0</v>
      </c>
      <c r="DO5049">
        <v>0</v>
      </c>
      <c r="DP5049">
        <v>0</v>
      </c>
      <c r="DQ5049">
        <v>0</v>
      </c>
      <c r="DR5049">
        <v>0</v>
      </c>
      <c r="DS5049">
        <v>0</v>
      </c>
    </row>
    <row r="5050" spans="1:123" x14ac:dyDescent="0.3">
      <c r="A5050" t="str">
        <f>"05/01/2025 15:18:33.766"</f>
        <v>05/01/2025 15:18:33.766</v>
      </c>
      <c r="C5050" t="str">
        <f t="shared" si="1976"/>
        <v>FFDFD3C0</v>
      </c>
      <c r="D5050" t="s">
        <v>136</v>
      </c>
      <c r="E5050" t="str">
        <f>"20"</f>
        <v>20</v>
      </c>
      <c r="H5050">
        <v>400</v>
      </c>
      <c r="I5050" t="s">
        <v>137</v>
      </c>
      <c r="J5050" t="s">
        <v>138</v>
      </c>
      <c r="K5050">
        <v>0</v>
      </c>
      <c r="L5050">
        <v>3</v>
      </c>
      <c r="M5050">
        <v>0</v>
      </c>
      <c r="N5050">
        <v>2</v>
      </c>
      <c r="O5050">
        <v>0</v>
      </c>
      <c r="P5050">
        <v>1</v>
      </c>
      <c r="Q5050">
        <v>0</v>
      </c>
      <c r="R5050" t="s">
        <v>127</v>
      </c>
      <c r="S5050" t="str">
        <f t="shared" si="1998"/>
        <v>15:18:33.000</v>
      </c>
      <c r="T5050" t="str">
        <f t="shared" si="1998"/>
        <v>15:18:33.000</v>
      </c>
      <c r="U5050" t="str">
        <f t="shared" si="1978"/>
        <v>A68FCB</v>
      </c>
      <c r="V5050">
        <v>0</v>
      </c>
      <c r="W5050">
        <v>0</v>
      </c>
      <c r="X5050">
        <v>2</v>
      </c>
      <c r="Y5050">
        <v>0</v>
      </c>
      <c r="AA5050">
        <v>1</v>
      </c>
      <c r="AB5050">
        <v>8</v>
      </c>
      <c r="AC5050">
        <v>3</v>
      </c>
      <c r="AD5050">
        <v>0</v>
      </c>
      <c r="AE5050">
        <v>9</v>
      </c>
      <c r="AF5050" t="s">
        <v>138</v>
      </c>
      <c r="AG5050">
        <v>0</v>
      </c>
      <c r="AH5050">
        <v>3</v>
      </c>
      <c r="AI5050">
        <v>2</v>
      </c>
      <c r="AJ5050">
        <v>0</v>
      </c>
      <c r="AK5050" t="s">
        <v>1594</v>
      </c>
      <c r="AL5050">
        <v>39.235182000000002</v>
      </c>
      <c r="AM5050" t="s">
        <v>1595</v>
      </c>
      <c r="AN5050">
        <v>-121.015756</v>
      </c>
      <c r="AO5050">
        <v>25</v>
      </c>
      <c r="AP5050">
        <v>3900</v>
      </c>
      <c r="AQ5050" t="s">
        <v>131</v>
      </c>
      <c r="AR5050">
        <v>-102</v>
      </c>
      <c r="AS5050">
        <v>-13</v>
      </c>
      <c r="AT5050">
        <v>-896</v>
      </c>
      <c r="BB5050" t="str">
        <f t="shared" si="1979"/>
        <v>1200</v>
      </c>
      <c r="BC5050">
        <v>1</v>
      </c>
      <c r="BD5050" t="str">
        <f t="shared" si="1980"/>
        <v xml:space="preserve">N52156  </v>
      </c>
      <c r="BE5050">
        <v>1</v>
      </c>
      <c r="BG5050">
        <v>0</v>
      </c>
      <c r="BH5050">
        <v>0</v>
      </c>
      <c r="BI5050">
        <v>0</v>
      </c>
      <c r="BJ5050">
        <v>3925</v>
      </c>
      <c r="BK5050">
        <v>25</v>
      </c>
      <c r="BL5050" t="s">
        <v>188</v>
      </c>
      <c r="BM5050">
        <v>1</v>
      </c>
      <c r="BN5050">
        <v>1</v>
      </c>
      <c r="BO5050">
        <v>0</v>
      </c>
      <c r="BP5050">
        <v>0</v>
      </c>
      <c r="BS5050">
        <v>0</v>
      </c>
      <c r="BT5050">
        <v>0</v>
      </c>
      <c r="BU5050">
        <v>0</v>
      </c>
      <c r="CE5050" t="str">
        <f t="shared" si="1999"/>
        <v>15:18:33.540</v>
      </c>
      <c r="CF5050">
        <v>540093756</v>
      </c>
      <c r="CS5050">
        <v>0</v>
      </c>
      <c r="CT5050">
        <v>2</v>
      </c>
      <c r="CU5050">
        <v>0</v>
      </c>
      <c r="CV5050">
        <v>2</v>
      </c>
      <c r="CW5050">
        <v>0</v>
      </c>
      <c r="CX5050">
        <v>2</v>
      </c>
      <c r="CY5050">
        <v>7</v>
      </c>
      <c r="CZ5050" t="s">
        <v>133</v>
      </c>
      <c r="DA5050">
        <v>276</v>
      </c>
      <c r="DB5050">
        <v>0</v>
      </c>
      <c r="DC5050" t="s">
        <v>402</v>
      </c>
      <c r="DD5050" t="s">
        <v>403</v>
      </c>
      <c r="DG5050">
        <v>1628987</v>
      </c>
      <c r="DI5050">
        <v>1</v>
      </c>
      <c r="DJ5050">
        <v>0</v>
      </c>
      <c r="DK5050">
        <v>1</v>
      </c>
      <c r="DL5050">
        <v>0</v>
      </c>
      <c r="DM5050">
        <v>0</v>
      </c>
      <c r="DN5050">
        <v>0</v>
      </c>
      <c r="DO5050">
        <v>0</v>
      </c>
      <c r="DP5050">
        <v>0</v>
      </c>
      <c r="DQ5050">
        <v>0</v>
      </c>
      <c r="DR5050">
        <v>0</v>
      </c>
      <c r="DS5050">
        <v>0</v>
      </c>
    </row>
    <row r="5051" spans="1:123" x14ac:dyDescent="0.3">
      <c r="A5051" t="str">
        <f>"05/01/2025 15:18:33.782"</f>
        <v>05/01/2025 15:18:33.782</v>
      </c>
      <c r="C5051" t="str">
        <f t="shared" si="1976"/>
        <v>FFDFD3C0</v>
      </c>
      <c r="D5051" t="s">
        <v>140</v>
      </c>
      <c r="E5051" t="str">
        <f>"13"</f>
        <v>13</v>
      </c>
      <c r="F5051">
        <v>1019</v>
      </c>
      <c r="G5051" t="s">
        <v>141</v>
      </c>
      <c r="J5051" t="s">
        <v>142</v>
      </c>
      <c r="K5051">
        <v>0</v>
      </c>
      <c r="L5051">
        <v>3</v>
      </c>
      <c r="M5051">
        <v>0</v>
      </c>
      <c r="N5051">
        <v>2</v>
      </c>
      <c r="O5051">
        <v>0</v>
      </c>
      <c r="P5051">
        <v>1</v>
      </c>
      <c r="Q5051">
        <v>0</v>
      </c>
      <c r="R5051" t="s">
        <v>127</v>
      </c>
      <c r="S5051" t="str">
        <f t="shared" si="1998"/>
        <v>15:18:33.000</v>
      </c>
      <c r="T5051" t="str">
        <f t="shared" si="1998"/>
        <v>15:18:33.000</v>
      </c>
      <c r="U5051" t="str">
        <f t="shared" si="1978"/>
        <v>A68FCB</v>
      </c>
      <c r="V5051">
        <v>0</v>
      </c>
      <c r="W5051">
        <v>0</v>
      </c>
      <c r="X5051">
        <v>2</v>
      </c>
      <c r="Y5051">
        <v>0</v>
      </c>
      <c r="AA5051">
        <v>1</v>
      </c>
      <c r="AB5051">
        <v>8</v>
      </c>
      <c r="AC5051">
        <v>3</v>
      </c>
      <c r="AD5051">
        <v>0</v>
      </c>
      <c r="AE5051">
        <v>9</v>
      </c>
      <c r="AF5051" t="s">
        <v>138</v>
      </c>
      <c r="AG5051">
        <v>0</v>
      </c>
      <c r="AH5051">
        <v>3</v>
      </c>
      <c r="AI5051">
        <v>2</v>
      </c>
      <c r="AJ5051">
        <v>0</v>
      </c>
      <c r="AK5051" t="s">
        <v>1594</v>
      </c>
      <c r="AL5051">
        <v>39.235182000000002</v>
      </c>
      <c r="AM5051" t="s">
        <v>1595</v>
      </c>
      <c r="AN5051">
        <v>-121.015756</v>
      </c>
      <c r="AO5051">
        <v>25</v>
      </c>
      <c r="AP5051">
        <v>3900</v>
      </c>
      <c r="AQ5051" t="s">
        <v>131</v>
      </c>
      <c r="AR5051">
        <v>-102</v>
      </c>
      <c r="AS5051">
        <v>-13</v>
      </c>
      <c r="AT5051">
        <v>-896</v>
      </c>
      <c r="BB5051" t="str">
        <f t="shared" si="1979"/>
        <v>1200</v>
      </c>
      <c r="BC5051">
        <v>1</v>
      </c>
      <c r="BD5051" t="str">
        <f t="shared" si="1980"/>
        <v xml:space="preserve">N52156  </v>
      </c>
      <c r="BE5051">
        <v>1</v>
      </c>
      <c r="BG5051">
        <v>0</v>
      </c>
      <c r="BH5051">
        <v>0</v>
      </c>
      <c r="BI5051">
        <v>0</v>
      </c>
      <c r="BJ5051">
        <v>3925</v>
      </c>
      <c r="BK5051">
        <v>25</v>
      </c>
      <c r="BL5051" t="s">
        <v>188</v>
      </c>
      <c r="BM5051">
        <v>1</v>
      </c>
      <c r="BN5051">
        <v>1</v>
      </c>
      <c r="BO5051">
        <v>0</v>
      </c>
      <c r="BP5051">
        <v>0</v>
      </c>
      <c r="BS5051">
        <v>0</v>
      </c>
      <c r="BT5051">
        <v>0</v>
      </c>
      <c r="BU5051">
        <v>0</v>
      </c>
      <c r="CE5051" t="str">
        <f t="shared" si="1999"/>
        <v>15:18:33.540</v>
      </c>
      <c r="CF5051">
        <v>540093756</v>
      </c>
      <c r="CS5051">
        <v>0</v>
      </c>
      <c r="CT5051">
        <v>2</v>
      </c>
      <c r="CU5051">
        <v>0</v>
      </c>
      <c r="CV5051">
        <v>2</v>
      </c>
      <c r="CW5051">
        <v>0</v>
      </c>
      <c r="CX5051">
        <v>2</v>
      </c>
      <c r="CY5051">
        <v>7</v>
      </c>
      <c r="CZ5051" t="s">
        <v>133</v>
      </c>
      <c r="DA5051">
        <v>276</v>
      </c>
      <c r="DB5051">
        <v>0</v>
      </c>
      <c r="DC5051" t="s">
        <v>402</v>
      </c>
      <c r="DD5051" t="s">
        <v>403</v>
      </c>
      <c r="DG5051">
        <v>1628987</v>
      </c>
      <c r="DI5051">
        <v>1</v>
      </c>
      <c r="DJ5051">
        <v>0</v>
      </c>
      <c r="DK5051">
        <v>1</v>
      </c>
      <c r="DL5051">
        <v>0</v>
      </c>
      <c r="DM5051">
        <v>0</v>
      </c>
      <c r="DN5051">
        <v>0</v>
      </c>
      <c r="DO5051">
        <v>0</v>
      </c>
      <c r="DP5051">
        <v>0</v>
      </c>
      <c r="DQ5051">
        <v>0</v>
      </c>
      <c r="DR5051">
        <v>0</v>
      </c>
      <c r="DS5051">
        <v>0</v>
      </c>
    </row>
    <row r="5052" spans="1:123" x14ac:dyDescent="0.3">
      <c r="A5052" t="str">
        <f>"05/01/2025 15:18:33.785"</f>
        <v>05/01/2025 15:18:33.785</v>
      </c>
      <c r="C5052" t="str">
        <f t="shared" si="1976"/>
        <v>FFDFD3C0</v>
      </c>
      <c r="D5052" t="s">
        <v>124</v>
      </c>
      <c r="E5052" t="str">
        <f>"06"</f>
        <v>06</v>
      </c>
      <c r="F5052">
        <v>2006</v>
      </c>
      <c r="G5052" t="s">
        <v>125</v>
      </c>
      <c r="J5052" t="s">
        <v>126</v>
      </c>
      <c r="K5052">
        <v>0</v>
      </c>
      <c r="L5052">
        <v>3</v>
      </c>
      <c r="M5052">
        <v>0</v>
      </c>
      <c r="N5052">
        <v>2</v>
      </c>
      <c r="O5052">
        <v>0</v>
      </c>
      <c r="P5052">
        <v>1</v>
      </c>
      <c r="Q5052">
        <v>0</v>
      </c>
      <c r="R5052" t="s">
        <v>127</v>
      </c>
      <c r="S5052" t="str">
        <f t="shared" si="1998"/>
        <v>15:18:33.000</v>
      </c>
      <c r="T5052" t="str">
        <f t="shared" si="1998"/>
        <v>15:18:33.000</v>
      </c>
      <c r="U5052" t="str">
        <f t="shared" si="1978"/>
        <v>A68FCB</v>
      </c>
      <c r="V5052">
        <v>0</v>
      </c>
      <c r="W5052">
        <v>0</v>
      </c>
      <c r="X5052">
        <v>2</v>
      </c>
      <c r="Y5052">
        <v>0</v>
      </c>
      <c r="AA5052">
        <v>1</v>
      </c>
      <c r="AB5052">
        <v>8</v>
      </c>
      <c r="AC5052">
        <v>3</v>
      </c>
      <c r="AD5052">
        <v>0</v>
      </c>
      <c r="AE5052">
        <v>9</v>
      </c>
      <c r="AF5052" t="s">
        <v>138</v>
      </c>
      <c r="AG5052">
        <v>0</v>
      </c>
      <c r="AH5052">
        <v>3</v>
      </c>
      <c r="AI5052">
        <v>2</v>
      </c>
      <c r="AJ5052">
        <v>0</v>
      </c>
      <c r="AK5052" t="s">
        <v>1594</v>
      </c>
      <c r="AL5052">
        <v>39.235182000000002</v>
      </c>
      <c r="AM5052" t="s">
        <v>1595</v>
      </c>
      <c r="AN5052">
        <v>-121.015756</v>
      </c>
      <c r="AO5052">
        <v>25</v>
      </c>
      <c r="AP5052">
        <v>3900</v>
      </c>
      <c r="AQ5052" t="s">
        <v>131</v>
      </c>
      <c r="AR5052">
        <v>-102</v>
      </c>
      <c r="AS5052">
        <v>-13</v>
      </c>
      <c r="AT5052">
        <v>-896</v>
      </c>
      <c r="BB5052" t="str">
        <f t="shared" si="1979"/>
        <v>1200</v>
      </c>
      <c r="BC5052">
        <v>1</v>
      </c>
      <c r="BD5052" t="str">
        <f t="shared" si="1980"/>
        <v xml:space="preserve">N52156  </v>
      </c>
      <c r="BE5052">
        <v>1</v>
      </c>
      <c r="BG5052">
        <v>0</v>
      </c>
      <c r="BH5052">
        <v>0</v>
      </c>
      <c r="BI5052">
        <v>0</v>
      </c>
      <c r="BJ5052">
        <v>3925</v>
      </c>
      <c r="BK5052">
        <v>25</v>
      </c>
      <c r="BL5052" t="s">
        <v>188</v>
      </c>
      <c r="BM5052">
        <v>1</v>
      </c>
      <c r="BN5052">
        <v>1</v>
      </c>
      <c r="BO5052">
        <v>0</v>
      </c>
      <c r="BP5052">
        <v>0</v>
      </c>
      <c r="BS5052">
        <v>0</v>
      </c>
      <c r="BT5052">
        <v>0</v>
      </c>
      <c r="BU5052">
        <v>0</v>
      </c>
      <c r="CE5052" t="str">
        <f t="shared" si="1999"/>
        <v>15:18:33.540</v>
      </c>
      <c r="CF5052">
        <v>540093756</v>
      </c>
      <c r="CS5052">
        <v>0</v>
      </c>
      <c r="CT5052">
        <v>2</v>
      </c>
      <c r="CU5052">
        <v>0</v>
      </c>
      <c r="CV5052">
        <v>2</v>
      </c>
      <c r="CW5052">
        <v>0</v>
      </c>
      <c r="CX5052">
        <v>2</v>
      </c>
      <c r="CY5052">
        <v>7</v>
      </c>
      <c r="CZ5052" t="s">
        <v>133</v>
      </c>
      <c r="DA5052">
        <v>276</v>
      </c>
      <c r="DB5052">
        <v>0</v>
      </c>
      <c r="DC5052" t="s">
        <v>402</v>
      </c>
      <c r="DD5052" t="s">
        <v>403</v>
      </c>
      <c r="DG5052">
        <v>1628987</v>
      </c>
      <c r="DI5052">
        <v>1</v>
      </c>
      <c r="DJ5052">
        <v>0</v>
      </c>
      <c r="DK5052">
        <v>1</v>
      </c>
      <c r="DL5052">
        <v>0</v>
      </c>
      <c r="DM5052">
        <v>0</v>
      </c>
      <c r="DN5052">
        <v>0</v>
      </c>
      <c r="DO5052">
        <v>0</v>
      </c>
      <c r="DP5052">
        <v>0</v>
      </c>
      <c r="DQ5052">
        <v>0</v>
      </c>
      <c r="DR5052">
        <v>0</v>
      </c>
      <c r="DS5052">
        <v>0</v>
      </c>
    </row>
    <row r="5053" spans="1:123" x14ac:dyDescent="0.3">
      <c r="A5053" t="str">
        <f>"05/01/2025 15:18:33.794"</f>
        <v>05/01/2025 15:18:33.794</v>
      </c>
      <c r="C5053" t="str">
        <f t="shared" si="1976"/>
        <v>FFDFD3C0</v>
      </c>
      <c r="D5053" t="s">
        <v>143</v>
      </c>
      <c r="E5053" t="str">
        <f>"05"</f>
        <v>05</v>
      </c>
      <c r="H5053">
        <v>172</v>
      </c>
      <c r="I5053" t="s">
        <v>141</v>
      </c>
      <c r="J5053" t="s">
        <v>144</v>
      </c>
      <c r="K5053">
        <v>0</v>
      </c>
      <c r="L5053">
        <v>3</v>
      </c>
      <c r="M5053">
        <v>0</v>
      </c>
      <c r="N5053">
        <v>2</v>
      </c>
      <c r="O5053">
        <v>0</v>
      </c>
      <c r="P5053">
        <v>1</v>
      </c>
      <c r="Q5053">
        <v>0</v>
      </c>
      <c r="R5053" t="s">
        <v>127</v>
      </c>
      <c r="S5053" t="str">
        <f t="shared" si="1998"/>
        <v>15:18:33.000</v>
      </c>
      <c r="T5053" t="str">
        <f t="shared" si="1998"/>
        <v>15:18:33.000</v>
      </c>
      <c r="U5053" t="str">
        <f t="shared" si="1978"/>
        <v>A68FCB</v>
      </c>
      <c r="V5053">
        <v>0</v>
      </c>
      <c r="W5053">
        <v>0</v>
      </c>
      <c r="X5053">
        <v>2</v>
      </c>
      <c r="Y5053">
        <v>0</v>
      </c>
      <c r="AA5053">
        <v>1</v>
      </c>
      <c r="AB5053">
        <v>8</v>
      </c>
      <c r="AC5053">
        <v>3</v>
      </c>
      <c r="AD5053">
        <v>0</v>
      </c>
      <c r="AE5053">
        <v>9</v>
      </c>
      <c r="AF5053" t="s">
        <v>138</v>
      </c>
      <c r="AG5053">
        <v>0</v>
      </c>
      <c r="AH5053">
        <v>3</v>
      </c>
      <c r="AI5053">
        <v>2</v>
      </c>
      <c r="AJ5053">
        <v>0</v>
      </c>
      <c r="AK5053" t="s">
        <v>1594</v>
      </c>
      <c r="AL5053">
        <v>39.235182000000002</v>
      </c>
      <c r="AM5053" t="s">
        <v>1595</v>
      </c>
      <c r="AN5053">
        <v>-121.015756</v>
      </c>
      <c r="AO5053">
        <v>25</v>
      </c>
      <c r="AP5053">
        <v>3900</v>
      </c>
      <c r="AQ5053" t="s">
        <v>131</v>
      </c>
      <c r="AR5053">
        <v>-102</v>
      </c>
      <c r="AS5053">
        <v>-13</v>
      </c>
      <c r="AT5053">
        <v>-896</v>
      </c>
      <c r="BB5053" t="str">
        <f t="shared" si="1979"/>
        <v>1200</v>
      </c>
      <c r="BC5053">
        <v>1</v>
      </c>
      <c r="BD5053" t="str">
        <f t="shared" si="1980"/>
        <v xml:space="preserve">N52156  </v>
      </c>
      <c r="BE5053">
        <v>1</v>
      </c>
      <c r="BG5053">
        <v>0</v>
      </c>
      <c r="BH5053">
        <v>0</v>
      </c>
      <c r="BI5053">
        <v>0</v>
      </c>
      <c r="BJ5053">
        <v>3925</v>
      </c>
      <c r="BK5053">
        <v>25</v>
      </c>
      <c r="BL5053" t="s">
        <v>188</v>
      </c>
      <c r="BM5053">
        <v>1</v>
      </c>
      <c r="BN5053">
        <v>1</v>
      </c>
      <c r="BO5053">
        <v>0</v>
      </c>
      <c r="BP5053">
        <v>0</v>
      </c>
      <c r="BS5053">
        <v>0</v>
      </c>
      <c r="BT5053">
        <v>0</v>
      </c>
      <c r="BU5053">
        <v>0</v>
      </c>
      <c r="CE5053" t="str">
        <f t="shared" si="1999"/>
        <v>15:18:33.540</v>
      </c>
      <c r="CF5053">
        <v>540093756</v>
      </c>
      <c r="CS5053">
        <v>0</v>
      </c>
      <c r="CT5053">
        <v>2</v>
      </c>
      <c r="CU5053">
        <v>0</v>
      </c>
      <c r="CV5053">
        <v>2</v>
      </c>
      <c r="CW5053">
        <v>0</v>
      </c>
      <c r="CX5053">
        <v>2</v>
      </c>
      <c r="CY5053">
        <v>7</v>
      </c>
      <c r="CZ5053" t="s">
        <v>133</v>
      </c>
      <c r="DA5053">
        <v>276</v>
      </c>
      <c r="DB5053">
        <v>0</v>
      </c>
      <c r="DC5053" t="s">
        <v>402</v>
      </c>
      <c r="DD5053" t="s">
        <v>403</v>
      </c>
      <c r="DG5053">
        <v>1628987</v>
      </c>
      <c r="DI5053">
        <v>1</v>
      </c>
      <c r="DJ5053">
        <v>0</v>
      </c>
      <c r="DK5053">
        <v>1</v>
      </c>
      <c r="DL5053">
        <v>0</v>
      </c>
      <c r="DM5053">
        <v>0</v>
      </c>
      <c r="DN5053">
        <v>0</v>
      </c>
      <c r="DO5053">
        <v>0</v>
      </c>
      <c r="DP5053">
        <v>0</v>
      </c>
      <c r="DQ5053">
        <v>0</v>
      </c>
      <c r="DR5053">
        <v>0</v>
      </c>
      <c r="DS5053">
        <v>0</v>
      </c>
    </row>
    <row r="5054" spans="1:123" x14ac:dyDescent="0.3">
      <c r="A5054" t="str">
        <f>"05/01/2025 15:18:34.960"</f>
        <v>05/01/2025 15:18:34.960</v>
      </c>
      <c r="C5054" t="str">
        <f t="shared" si="1976"/>
        <v>FFDFD3C0</v>
      </c>
      <c r="D5054" t="s">
        <v>145</v>
      </c>
      <c r="E5054" t="str">
        <f>"09"</f>
        <v>09</v>
      </c>
      <c r="H5054">
        <v>51</v>
      </c>
      <c r="I5054" t="s">
        <v>147</v>
      </c>
      <c r="J5054" t="s">
        <v>138</v>
      </c>
      <c r="K5054">
        <v>0</v>
      </c>
      <c r="L5054">
        <v>3</v>
      </c>
      <c r="M5054">
        <v>0</v>
      </c>
      <c r="N5054">
        <v>2</v>
      </c>
      <c r="O5054">
        <v>0</v>
      </c>
      <c r="P5054">
        <v>1</v>
      </c>
      <c r="Q5054">
        <v>0</v>
      </c>
      <c r="R5054" t="s">
        <v>127</v>
      </c>
      <c r="S5054" t="str">
        <f t="shared" ref="S5054:T5059" si="2000">"15:18:34.000"</f>
        <v>15:18:34.000</v>
      </c>
      <c r="T5054" t="str">
        <f t="shared" si="2000"/>
        <v>15:18:34.000</v>
      </c>
      <c r="U5054" t="str">
        <f t="shared" si="1978"/>
        <v>A68FCB</v>
      </c>
      <c r="V5054">
        <v>0</v>
      </c>
      <c r="W5054">
        <v>0</v>
      </c>
      <c r="X5054">
        <v>2</v>
      </c>
      <c r="Y5054">
        <v>0</v>
      </c>
      <c r="AA5054">
        <v>1</v>
      </c>
      <c r="AB5054">
        <v>8</v>
      </c>
      <c r="AC5054">
        <v>3</v>
      </c>
      <c r="AD5054">
        <v>0</v>
      </c>
      <c r="AE5054">
        <v>9</v>
      </c>
      <c r="AF5054" t="s">
        <v>138</v>
      </c>
      <c r="AG5054">
        <v>0</v>
      </c>
      <c r="AH5054">
        <v>3</v>
      </c>
      <c r="AI5054">
        <v>2</v>
      </c>
      <c r="AJ5054">
        <v>0</v>
      </c>
      <c r="AK5054" t="s">
        <v>1596</v>
      </c>
      <c r="AL5054">
        <v>39.235117000000002</v>
      </c>
      <c r="AM5054" t="s">
        <v>1597</v>
      </c>
      <c r="AN5054">
        <v>-121.016357</v>
      </c>
      <c r="AO5054">
        <v>25</v>
      </c>
      <c r="AP5054">
        <v>3800</v>
      </c>
      <c r="AQ5054" t="s">
        <v>131</v>
      </c>
      <c r="AR5054">
        <v>-102</v>
      </c>
      <c r="AS5054">
        <v>-14</v>
      </c>
      <c r="AT5054">
        <v>-896</v>
      </c>
      <c r="BB5054" t="str">
        <f t="shared" si="1979"/>
        <v>1200</v>
      </c>
      <c r="BC5054">
        <v>1</v>
      </c>
      <c r="BD5054" t="str">
        <f t="shared" si="1980"/>
        <v xml:space="preserve">N52156  </v>
      </c>
      <c r="BE5054">
        <v>1</v>
      </c>
      <c r="BG5054">
        <v>0</v>
      </c>
      <c r="BH5054">
        <v>0</v>
      </c>
      <c r="BI5054">
        <v>0</v>
      </c>
      <c r="BJ5054">
        <v>3900</v>
      </c>
      <c r="BK5054">
        <v>100</v>
      </c>
      <c r="BL5054" t="s">
        <v>188</v>
      </c>
      <c r="BM5054">
        <v>1</v>
      </c>
      <c r="BN5054">
        <v>1</v>
      </c>
      <c r="BO5054">
        <v>0</v>
      </c>
      <c r="BP5054">
        <v>0</v>
      </c>
      <c r="BS5054">
        <v>0</v>
      </c>
      <c r="BT5054">
        <v>0</v>
      </c>
      <c r="BU5054">
        <v>0</v>
      </c>
      <c r="CE5054" t="str">
        <f t="shared" ref="CE5054:CE5059" si="2001">"15:18:34.758"</f>
        <v>15:18:34.758</v>
      </c>
      <c r="CF5054">
        <v>758259350</v>
      </c>
      <c r="CS5054">
        <v>0</v>
      </c>
      <c r="CT5054">
        <v>2</v>
      </c>
      <c r="CU5054">
        <v>0</v>
      </c>
      <c r="CV5054">
        <v>2</v>
      </c>
      <c r="CW5054">
        <v>0</v>
      </c>
      <c r="CX5054">
        <v>2</v>
      </c>
      <c r="CY5054">
        <v>7</v>
      </c>
      <c r="CZ5054" t="s">
        <v>133</v>
      </c>
      <c r="DA5054">
        <v>275</v>
      </c>
      <c r="DB5054">
        <v>0</v>
      </c>
      <c r="DC5054" t="s">
        <v>134</v>
      </c>
      <c r="DD5054" t="s">
        <v>135</v>
      </c>
      <c r="DG5054">
        <v>3323527</v>
      </c>
      <c r="DI5054">
        <v>1</v>
      </c>
      <c r="DJ5054">
        <v>0</v>
      </c>
      <c r="DK5054">
        <v>0</v>
      </c>
      <c r="DL5054">
        <v>0</v>
      </c>
      <c r="DM5054">
        <v>0</v>
      </c>
      <c r="DN5054">
        <v>0</v>
      </c>
      <c r="DO5054">
        <v>0</v>
      </c>
      <c r="DP5054">
        <v>0</v>
      </c>
      <c r="DQ5054">
        <v>0</v>
      </c>
      <c r="DR5054">
        <v>0</v>
      </c>
      <c r="DS5054">
        <v>0</v>
      </c>
    </row>
    <row r="5055" spans="1:123" x14ac:dyDescent="0.3">
      <c r="A5055" t="str">
        <f>"05/01/2025 15:18:34.960"</f>
        <v>05/01/2025 15:18:34.960</v>
      </c>
      <c r="C5055" t="str">
        <f t="shared" si="1976"/>
        <v>FFDFD3C0</v>
      </c>
      <c r="D5055" t="s">
        <v>145</v>
      </c>
      <c r="E5055" t="str">
        <f>"05"</f>
        <v>05</v>
      </c>
      <c r="H5055">
        <v>47</v>
      </c>
      <c r="I5055" t="s">
        <v>146</v>
      </c>
      <c r="J5055" t="s">
        <v>138</v>
      </c>
      <c r="K5055">
        <v>0</v>
      </c>
      <c r="L5055">
        <v>3</v>
      </c>
      <c r="M5055">
        <v>0</v>
      </c>
      <c r="N5055">
        <v>2</v>
      </c>
      <c r="O5055">
        <v>0</v>
      </c>
      <c r="P5055">
        <v>1</v>
      </c>
      <c r="Q5055">
        <v>0</v>
      </c>
      <c r="R5055" t="s">
        <v>127</v>
      </c>
      <c r="S5055" t="str">
        <f t="shared" si="2000"/>
        <v>15:18:34.000</v>
      </c>
      <c r="T5055" t="str">
        <f t="shared" si="2000"/>
        <v>15:18:34.000</v>
      </c>
      <c r="U5055" t="str">
        <f t="shared" si="1978"/>
        <v>A68FCB</v>
      </c>
      <c r="V5055">
        <v>0</v>
      </c>
      <c r="W5055">
        <v>0</v>
      </c>
      <c r="X5055">
        <v>2</v>
      </c>
      <c r="Y5055">
        <v>0</v>
      </c>
      <c r="AA5055">
        <v>1</v>
      </c>
      <c r="AB5055">
        <v>8</v>
      </c>
      <c r="AC5055">
        <v>3</v>
      </c>
      <c r="AD5055">
        <v>0</v>
      </c>
      <c r="AE5055">
        <v>9</v>
      </c>
      <c r="AF5055" t="s">
        <v>138</v>
      </c>
      <c r="AG5055">
        <v>0</v>
      </c>
      <c r="AH5055">
        <v>3</v>
      </c>
      <c r="AI5055">
        <v>2</v>
      </c>
      <c r="AJ5055">
        <v>0</v>
      </c>
      <c r="AK5055" t="s">
        <v>1596</v>
      </c>
      <c r="AL5055">
        <v>39.235117000000002</v>
      </c>
      <c r="AM5055" t="s">
        <v>1597</v>
      </c>
      <c r="AN5055">
        <v>-121.016357</v>
      </c>
      <c r="AO5055">
        <v>25</v>
      </c>
      <c r="AP5055">
        <v>3800</v>
      </c>
      <c r="AQ5055" t="s">
        <v>131</v>
      </c>
      <c r="AR5055">
        <v>-102</v>
      </c>
      <c r="AS5055">
        <v>-14</v>
      </c>
      <c r="AT5055">
        <v>-896</v>
      </c>
      <c r="BB5055" t="str">
        <f t="shared" si="1979"/>
        <v>1200</v>
      </c>
      <c r="BC5055">
        <v>1</v>
      </c>
      <c r="BD5055" t="str">
        <f t="shared" si="1980"/>
        <v xml:space="preserve">N52156  </v>
      </c>
      <c r="BE5055">
        <v>1</v>
      </c>
      <c r="BG5055">
        <v>0</v>
      </c>
      <c r="BH5055">
        <v>0</v>
      </c>
      <c r="BI5055">
        <v>0</v>
      </c>
      <c r="BJ5055">
        <v>3900</v>
      </c>
      <c r="BK5055">
        <v>100</v>
      </c>
      <c r="BL5055" t="s">
        <v>188</v>
      </c>
      <c r="BM5055">
        <v>1</v>
      </c>
      <c r="BN5055">
        <v>1</v>
      </c>
      <c r="BO5055">
        <v>0</v>
      </c>
      <c r="BP5055">
        <v>0</v>
      </c>
      <c r="BS5055">
        <v>0</v>
      </c>
      <c r="BT5055">
        <v>0</v>
      </c>
      <c r="BU5055">
        <v>0</v>
      </c>
      <c r="CE5055" t="str">
        <f t="shared" si="2001"/>
        <v>15:18:34.758</v>
      </c>
      <c r="CF5055">
        <v>758259350</v>
      </c>
      <c r="CS5055">
        <v>0</v>
      </c>
      <c r="CT5055">
        <v>2</v>
      </c>
      <c r="CU5055">
        <v>0</v>
      </c>
      <c r="CV5055">
        <v>2</v>
      </c>
      <c r="CW5055">
        <v>0</v>
      </c>
      <c r="CX5055">
        <v>2</v>
      </c>
      <c r="CY5055">
        <v>7</v>
      </c>
      <c r="CZ5055" t="s">
        <v>133</v>
      </c>
      <c r="DA5055">
        <v>275</v>
      </c>
      <c r="DB5055">
        <v>0</v>
      </c>
      <c r="DC5055" t="s">
        <v>134</v>
      </c>
      <c r="DD5055" t="s">
        <v>135</v>
      </c>
      <c r="DG5055">
        <v>3323527</v>
      </c>
      <c r="DI5055">
        <v>1</v>
      </c>
      <c r="DJ5055">
        <v>0</v>
      </c>
      <c r="DK5055">
        <v>1</v>
      </c>
      <c r="DL5055">
        <v>0</v>
      </c>
      <c r="DM5055">
        <v>0</v>
      </c>
      <c r="DN5055">
        <v>0</v>
      </c>
      <c r="DO5055">
        <v>0</v>
      </c>
      <c r="DP5055">
        <v>0</v>
      </c>
      <c r="DQ5055">
        <v>0</v>
      </c>
      <c r="DR5055">
        <v>0</v>
      </c>
      <c r="DS5055">
        <v>0</v>
      </c>
    </row>
    <row r="5056" spans="1:123" x14ac:dyDescent="0.3">
      <c r="A5056" t="str">
        <f>"05/01/2025 15:18:34.968"</f>
        <v>05/01/2025 15:18:34.968</v>
      </c>
      <c r="C5056" t="str">
        <f t="shared" si="1976"/>
        <v>FFDFD3C0</v>
      </c>
      <c r="D5056" t="s">
        <v>136</v>
      </c>
      <c r="E5056" t="str">
        <f>"20"</f>
        <v>20</v>
      </c>
      <c r="H5056">
        <v>400</v>
      </c>
      <c r="I5056" t="s">
        <v>137</v>
      </c>
      <c r="J5056" t="s">
        <v>138</v>
      </c>
      <c r="K5056">
        <v>0</v>
      </c>
      <c r="L5056">
        <v>3</v>
      </c>
      <c r="M5056">
        <v>0</v>
      </c>
      <c r="N5056">
        <v>2</v>
      </c>
      <c r="O5056">
        <v>0</v>
      </c>
      <c r="P5056">
        <v>1</v>
      </c>
      <c r="Q5056">
        <v>0</v>
      </c>
      <c r="R5056" t="s">
        <v>127</v>
      </c>
      <c r="S5056" t="str">
        <f t="shared" si="2000"/>
        <v>15:18:34.000</v>
      </c>
      <c r="T5056" t="str">
        <f t="shared" si="2000"/>
        <v>15:18:34.000</v>
      </c>
      <c r="U5056" t="str">
        <f t="shared" si="1978"/>
        <v>A68FCB</v>
      </c>
      <c r="V5056">
        <v>0</v>
      </c>
      <c r="W5056">
        <v>0</v>
      </c>
      <c r="X5056">
        <v>2</v>
      </c>
      <c r="Y5056">
        <v>0</v>
      </c>
      <c r="AA5056">
        <v>1</v>
      </c>
      <c r="AB5056">
        <v>8</v>
      </c>
      <c r="AC5056">
        <v>3</v>
      </c>
      <c r="AD5056">
        <v>0</v>
      </c>
      <c r="AE5056">
        <v>9</v>
      </c>
      <c r="AF5056" t="s">
        <v>138</v>
      </c>
      <c r="AG5056">
        <v>0</v>
      </c>
      <c r="AH5056">
        <v>3</v>
      </c>
      <c r="AI5056">
        <v>2</v>
      </c>
      <c r="AJ5056">
        <v>0</v>
      </c>
      <c r="AK5056" t="s">
        <v>1596</v>
      </c>
      <c r="AL5056">
        <v>39.235117000000002</v>
      </c>
      <c r="AM5056" t="s">
        <v>1597</v>
      </c>
      <c r="AN5056">
        <v>-121.016357</v>
      </c>
      <c r="AO5056">
        <v>25</v>
      </c>
      <c r="AP5056">
        <v>3800</v>
      </c>
      <c r="AQ5056" t="s">
        <v>131</v>
      </c>
      <c r="AR5056">
        <v>-102</v>
      </c>
      <c r="AS5056">
        <v>-14</v>
      </c>
      <c r="AT5056">
        <v>-896</v>
      </c>
      <c r="BB5056" t="str">
        <f t="shared" si="1979"/>
        <v>1200</v>
      </c>
      <c r="BC5056">
        <v>1</v>
      </c>
      <c r="BD5056" t="str">
        <f t="shared" si="1980"/>
        <v xml:space="preserve">N52156  </v>
      </c>
      <c r="BE5056">
        <v>1</v>
      </c>
      <c r="BG5056">
        <v>0</v>
      </c>
      <c r="BH5056">
        <v>0</v>
      </c>
      <c r="BI5056">
        <v>0</v>
      </c>
      <c r="BJ5056">
        <v>3900</v>
      </c>
      <c r="BK5056">
        <v>100</v>
      </c>
      <c r="BL5056" t="s">
        <v>188</v>
      </c>
      <c r="BM5056">
        <v>1</v>
      </c>
      <c r="BN5056">
        <v>1</v>
      </c>
      <c r="BO5056">
        <v>0</v>
      </c>
      <c r="BP5056">
        <v>0</v>
      </c>
      <c r="BS5056">
        <v>0</v>
      </c>
      <c r="BT5056">
        <v>0</v>
      </c>
      <c r="BU5056">
        <v>0</v>
      </c>
      <c r="CE5056" t="str">
        <f t="shared" si="2001"/>
        <v>15:18:34.758</v>
      </c>
      <c r="CF5056">
        <v>758259350</v>
      </c>
      <c r="CS5056">
        <v>0</v>
      </c>
      <c r="CT5056">
        <v>2</v>
      </c>
      <c r="CU5056">
        <v>0</v>
      </c>
      <c r="CV5056">
        <v>2</v>
      </c>
      <c r="CW5056">
        <v>0</v>
      </c>
      <c r="CX5056">
        <v>2</v>
      </c>
      <c r="CY5056">
        <v>7</v>
      </c>
      <c r="CZ5056" t="s">
        <v>133</v>
      </c>
      <c r="DA5056">
        <v>275</v>
      </c>
      <c r="DB5056">
        <v>0</v>
      </c>
      <c r="DC5056" t="s">
        <v>134</v>
      </c>
      <c r="DD5056" t="s">
        <v>135</v>
      </c>
      <c r="DG5056">
        <v>3323527</v>
      </c>
      <c r="DI5056">
        <v>1</v>
      </c>
      <c r="DJ5056">
        <v>0</v>
      </c>
      <c r="DK5056">
        <v>1</v>
      </c>
      <c r="DL5056">
        <v>0</v>
      </c>
      <c r="DM5056">
        <v>0</v>
      </c>
      <c r="DN5056">
        <v>0</v>
      </c>
      <c r="DO5056">
        <v>0</v>
      </c>
      <c r="DP5056">
        <v>0</v>
      </c>
      <c r="DQ5056">
        <v>0</v>
      </c>
      <c r="DR5056">
        <v>0</v>
      </c>
      <c r="DS5056">
        <v>0</v>
      </c>
    </row>
    <row r="5057" spans="1:123" x14ac:dyDescent="0.3">
      <c r="A5057" t="str">
        <f>"05/01/2025 15:18:34.984"</f>
        <v>05/01/2025 15:18:34.984</v>
      </c>
      <c r="C5057" t="str">
        <f t="shared" si="1976"/>
        <v>FFDFD3C0</v>
      </c>
      <c r="D5057" t="s">
        <v>140</v>
      </c>
      <c r="E5057" t="str">
        <f>"13"</f>
        <v>13</v>
      </c>
      <c r="F5057">
        <v>1019</v>
      </c>
      <c r="G5057" t="s">
        <v>141</v>
      </c>
      <c r="J5057" t="s">
        <v>142</v>
      </c>
      <c r="K5057">
        <v>0</v>
      </c>
      <c r="L5057">
        <v>3</v>
      </c>
      <c r="M5057">
        <v>0</v>
      </c>
      <c r="N5057">
        <v>2</v>
      </c>
      <c r="O5057">
        <v>0</v>
      </c>
      <c r="P5057">
        <v>1</v>
      </c>
      <c r="Q5057">
        <v>0</v>
      </c>
      <c r="R5057" t="s">
        <v>127</v>
      </c>
      <c r="S5057" t="str">
        <f t="shared" si="2000"/>
        <v>15:18:34.000</v>
      </c>
      <c r="T5057" t="str">
        <f t="shared" si="2000"/>
        <v>15:18:34.000</v>
      </c>
      <c r="U5057" t="str">
        <f t="shared" si="1978"/>
        <v>A68FCB</v>
      </c>
      <c r="V5057">
        <v>0</v>
      </c>
      <c r="W5057">
        <v>0</v>
      </c>
      <c r="X5057">
        <v>2</v>
      </c>
      <c r="Y5057">
        <v>0</v>
      </c>
      <c r="AA5057">
        <v>1</v>
      </c>
      <c r="AB5057">
        <v>8</v>
      </c>
      <c r="AC5057">
        <v>3</v>
      </c>
      <c r="AD5057">
        <v>0</v>
      </c>
      <c r="AE5057">
        <v>9</v>
      </c>
      <c r="AF5057" t="s">
        <v>138</v>
      </c>
      <c r="AG5057">
        <v>0</v>
      </c>
      <c r="AH5057">
        <v>3</v>
      </c>
      <c r="AI5057">
        <v>2</v>
      </c>
      <c r="AJ5057">
        <v>0</v>
      </c>
      <c r="AK5057" t="s">
        <v>1596</v>
      </c>
      <c r="AL5057">
        <v>39.235117000000002</v>
      </c>
      <c r="AM5057" t="s">
        <v>1597</v>
      </c>
      <c r="AN5057">
        <v>-121.016357</v>
      </c>
      <c r="AO5057">
        <v>25</v>
      </c>
      <c r="AP5057">
        <v>3800</v>
      </c>
      <c r="AQ5057" t="s">
        <v>131</v>
      </c>
      <c r="AR5057">
        <v>-102</v>
      </c>
      <c r="AS5057">
        <v>-14</v>
      </c>
      <c r="AT5057">
        <v>-896</v>
      </c>
      <c r="BB5057" t="str">
        <f t="shared" si="1979"/>
        <v>1200</v>
      </c>
      <c r="BC5057">
        <v>1</v>
      </c>
      <c r="BD5057" t="str">
        <f t="shared" si="1980"/>
        <v xml:space="preserve">N52156  </v>
      </c>
      <c r="BE5057">
        <v>1</v>
      </c>
      <c r="BG5057">
        <v>0</v>
      </c>
      <c r="BH5057">
        <v>0</v>
      </c>
      <c r="BI5057">
        <v>0</v>
      </c>
      <c r="BJ5057">
        <v>3900</v>
      </c>
      <c r="BK5057">
        <v>100</v>
      </c>
      <c r="BL5057" t="s">
        <v>188</v>
      </c>
      <c r="BM5057">
        <v>1</v>
      </c>
      <c r="BN5057">
        <v>1</v>
      </c>
      <c r="BO5057">
        <v>0</v>
      </c>
      <c r="BP5057">
        <v>0</v>
      </c>
      <c r="BS5057">
        <v>0</v>
      </c>
      <c r="BT5057">
        <v>0</v>
      </c>
      <c r="BU5057">
        <v>0</v>
      </c>
      <c r="CE5057" t="str">
        <f t="shared" si="2001"/>
        <v>15:18:34.758</v>
      </c>
      <c r="CF5057">
        <v>758259350</v>
      </c>
      <c r="CS5057">
        <v>0</v>
      </c>
      <c r="CT5057">
        <v>2</v>
      </c>
      <c r="CU5057">
        <v>0</v>
      </c>
      <c r="CV5057">
        <v>2</v>
      </c>
      <c r="CW5057">
        <v>0</v>
      </c>
      <c r="CX5057">
        <v>2</v>
      </c>
      <c r="CY5057">
        <v>7</v>
      </c>
      <c r="CZ5057" t="s">
        <v>133</v>
      </c>
      <c r="DA5057">
        <v>275</v>
      </c>
      <c r="DB5057">
        <v>0</v>
      </c>
      <c r="DC5057" t="s">
        <v>134</v>
      </c>
      <c r="DD5057" t="s">
        <v>135</v>
      </c>
      <c r="DG5057">
        <v>3323527</v>
      </c>
      <c r="DI5057">
        <v>1</v>
      </c>
      <c r="DJ5057">
        <v>0</v>
      </c>
      <c r="DK5057">
        <v>1</v>
      </c>
      <c r="DL5057">
        <v>0</v>
      </c>
      <c r="DM5057">
        <v>0</v>
      </c>
      <c r="DN5057">
        <v>0</v>
      </c>
      <c r="DO5057">
        <v>0</v>
      </c>
      <c r="DP5057">
        <v>0</v>
      </c>
      <c r="DQ5057">
        <v>0</v>
      </c>
      <c r="DR5057">
        <v>0</v>
      </c>
      <c r="DS5057">
        <v>0</v>
      </c>
    </row>
    <row r="5058" spans="1:123" x14ac:dyDescent="0.3">
      <c r="A5058" t="str">
        <f>"05/01/2025 15:18:34.987"</f>
        <v>05/01/2025 15:18:34.987</v>
      </c>
      <c r="C5058" t="str">
        <f t="shared" ref="C5058:C5121" si="2002">"FFDFD3C0"</f>
        <v>FFDFD3C0</v>
      </c>
      <c r="D5058" t="s">
        <v>124</v>
      </c>
      <c r="E5058" t="str">
        <f>"06"</f>
        <v>06</v>
      </c>
      <c r="F5058">
        <v>2006</v>
      </c>
      <c r="G5058" t="s">
        <v>125</v>
      </c>
      <c r="J5058" t="s">
        <v>126</v>
      </c>
      <c r="K5058">
        <v>0</v>
      </c>
      <c r="L5058">
        <v>3</v>
      </c>
      <c r="M5058">
        <v>0</v>
      </c>
      <c r="N5058">
        <v>2</v>
      </c>
      <c r="O5058">
        <v>0</v>
      </c>
      <c r="P5058">
        <v>1</v>
      </c>
      <c r="Q5058">
        <v>0</v>
      </c>
      <c r="R5058" t="s">
        <v>127</v>
      </c>
      <c r="S5058" t="str">
        <f t="shared" si="2000"/>
        <v>15:18:34.000</v>
      </c>
      <c r="T5058" t="str">
        <f t="shared" si="2000"/>
        <v>15:18:34.000</v>
      </c>
      <c r="U5058" t="str">
        <f t="shared" ref="U5058:U5121" si="2003">"A68FCB"</f>
        <v>A68FCB</v>
      </c>
      <c r="V5058">
        <v>0</v>
      </c>
      <c r="W5058">
        <v>0</v>
      </c>
      <c r="X5058">
        <v>2</v>
      </c>
      <c r="Y5058">
        <v>0</v>
      </c>
      <c r="AA5058">
        <v>1</v>
      </c>
      <c r="AB5058">
        <v>8</v>
      </c>
      <c r="AC5058">
        <v>3</v>
      </c>
      <c r="AD5058">
        <v>0</v>
      </c>
      <c r="AE5058">
        <v>9</v>
      </c>
      <c r="AF5058" t="s">
        <v>138</v>
      </c>
      <c r="AG5058">
        <v>0</v>
      </c>
      <c r="AH5058">
        <v>3</v>
      </c>
      <c r="AI5058">
        <v>2</v>
      </c>
      <c r="AJ5058">
        <v>0</v>
      </c>
      <c r="AK5058" t="s">
        <v>1596</v>
      </c>
      <c r="AL5058">
        <v>39.235117000000002</v>
      </c>
      <c r="AM5058" t="s">
        <v>1597</v>
      </c>
      <c r="AN5058">
        <v>-121.016357</v>
      </c>
      <c r="AO5058">
        <v>25</v>
      </c>
      <c r="AP5058">
        <v>3800</v>
      </c>
      <c r="AQ5058" t="s">
        <v>131</v>
      </c>
      <c r="AR5058">
        <v>-102</v>
      </c>
      <c r="AS5058">
        <v>-14</v>
      </c>
      <c r="AT5058">
        <v>-896</v>
      </c>
      <c r="BB5058" t="str">
        <f t="shared" ref="BB5058:BB5121" si="2004">"1200"</f>
        <v>1200</v>
      </c>
      <c r="BC5058">
        <v>1</v>
      </c>
      <c r="BD5058" t="str">
        <f t="shared" ref="BD5058:BD5121" si="2005">"N52156  "</f>
        <v xml:space="preserve">N52156  </v>
      </c>
      <c r="BE5058">
        <v>1</v>
      </c>
      <c r="BG5058">
        <v>0</v>
      </c>
      <c r="BH5058">
        <v>0</v>
      </c>
      <c r="BI5058">
        <v>0</v>
      </c>
      <c r="BJ5058">
        <v>3900</v>
      </c>
      <c r="BK5058">
        <v>100</v>
      </c>
      <c r="BL5058" t="s">
        <v>188</v>
      </c>
      <c r="BM5058">
        <v>1</v>
      </c>
      <c r="BN5058">
        <v>1</v>
      </c>
      <c r="BO5058">
        <v>0</v>
      </c>
      <c r="BP5058">
        <v>0</v>
      </c>
      <c r="BS5058">
        <v>0</v>
      </c>
      <c r="BT5058">
        <v>0</v>
      </c>
      <c r="BU5058">
        <v>0</v>
      </c>
      <c r="CE5058" t="str">
        <f t="shared" si="2001"/>
        <v>15:18:34.758</v>
      </c>
      <c r="CF5058">
        <v>758259350</v>
      </c>
      <c r="CS5058">
        <v>0</v>
      </c>
      <c r="CT5058">
        <v>2</v>
      </c>
      <c r="CU5058">
        <v>0</v>
      </c>
      <c r="CV5058">
        <v>2</v>
      </c>
      <c r="CW5058">
        <v>0</v>
      </c>
      <c r="CX5058">
        <v>2</v>
      </c>
      <c r="CY5058">
        <v>7</v>
      </c>
      <c r="CZ5058" t="s">
        <v>133</v>
      </c>
      <c r="DA5058">
        <v>275</v>
      </c>
      <c r="DB5058">
        <v>0</v>
      </c>
      <c r="DC5058" t="s">
        <v>134</v>
      </c>
      <c r="DD5058" t="s">
        <v>135</v>
      </c>
      <c r="DG5058">
        <v>3323527</v>
      </c>
      <c r="DI5058">
        <v>1</v>
      </c>
      <c r="DJ5058">
        <v>0</v>
      </c>
      <c r="DK5058">
        <v>1</v>
      </c>
      <c r="DL5058">
        <v>0</v>
      </c>
      <c r="DM5058">
        <v>0</v>
      </c>
      <c r="DN5058">
        <v>0</v>
      </c>
      <c r="DO5058">
        <v>0</v>
      </c>
      <c r="DP5058">
        <v>0</v>
      </c>
      <c r="DQ5058">
        <v>0</v>
      </c>
      <c r="DR5058">
        <v>0</v>
      </c>
      <c r="DS5058">
        <v>0</v>
      </c>
    </row>
    <row r="5059" spans="1:123" x14ac:dyDescent="0.3">
      <c r="A5059" t="str">
        <f>"05/01/2025 15:18:34.996"</f>
        <v>05/01/2025 15:18:34.996</v>
      </c>
      <c r="C5059" t="str">
        <f t="shared" si="2002"/>
        <v>FFDFD3C0</v>
      </c>
      <c r="D5059" t="s">
        <v>143</v>
      </c>
      <c r="E5059" t="str">
        <f>"05"</f>
        <v>05</v>
      </c>
      <c r="H5059">
        <v>172</v>
      </c>
      <c r="I5059" t="s">
        <v>141</v>
      </c>
      <c r="J5059" t="s">
        <v>144</v>
      </c>
      <c r="K5059">
        <v>0</v>
      </c>
      <c r="L5059">
        <v>3</v>
      </c>
      <c r="M5059">
        <v>0</v>
      </c>
      <c r="N5059">
        <v>2</v>
      </c>
      <c r="O5059">
        <v>0</v>
      </c>
      <c r="P5059">
        <v>1</v>
      </c>
      <c r="Q5059">
        <v>0</v>
      </c>
      <c r="R5059" t="s">
        <v>127</v>
      </c>
      <c r="S5059" t="str">
        <f t="shared" si="2000"/>
        <v>15:18:34.000</v>
      </c>
      <c r="T5059" t="str">
        <f t="shared" si="2000"/>
        <v>15:18:34.000</v>
      </c>
      <c r="U5059" t="str">
        <f t="shared" si="2003"/>
        <v>A68FCB</v>
      </c>
      <c r="V5059">
        <v>0</v>
      </c>
      <c r="W5059">
        <v>0</v>
      </c>
      <c r="X5059">
        <v>2</v>
      </c>
      <c r="Y5059">
        <v>0</v>
      </c>
      <c r="AA5059">
        <v>1</v>
      </c>
      <c r="AB5059">
        <v>8</v>
      </c>
      <c r="AC5059">
        <v>3</v>
      </c>
      <c r="AD5059">
        <v>0</v>
      </c>
      <c r="AE5059">
        <v>9</v>
      </c>
      <c r="AF5059" t="s">
        <v>138</v>
      </c>
      <c r="AG5059">
        <v>0</v>
      </c>
      <c r="AH5059">
        <v>3</v>
      </c>
      <c r="AI5059">
        <v>2</v>
      </c>
      <c r="AJ5059">
        <v>0</v>
      </c>
      <c r="AK5059" t="s">
        <v>1596</v>
      </c>
      <c r="AL5059">
        <v>39.235117000000002</v>
      </c>
      <c r="AM5059" t="s">
        <v>1597</v>
      </c>
      <c r="AN5059">
        <v>-121.016357</v>
      </c>
      <c r="AO5059">
        <v>25</v>
      </c>
      <c r="AP5059">
        <v>3800</v>
      </c>
      <c r="AQ5059" t="s">
        <v>131</v>
      </c>
      <c r="AR5059">
        <v>-102</v>
      </c>
      <c r="AS5059">
        <v>-14</v>
      </c>
      <c r="AT5059">
        <v>-896</v>
      </c>
      <c r="BB5059" t="str">
        <f t="shared" si="2004"/>
        <v>1200</v>
      </c>
      <c r="BC5059">
        <v>1</v>
      </c>
      <c r="BD5059" t="str">
        <f t="shared" si="2005"/>
        <v xml:space="preserve">N52156  </v>
      </c>
      <c r="BE5059">
        <v>1</v>
      </c>
      <c r="BG5059">
        <v>0</v>
      </c>
      <c r="BH5059">
        <v>0</v>
      </c>
      <c r="BI5059">
        <v>0</v>
      </c>
      <c r="BJ5059">
        <v>3900</v>
      </c>
      <c r="BK5059">
        <v>100</v>
      </c>
      <c r="BL5059" t="s">
        <v>188</v>
      </c>
      <c r="BM5059">
        <v>1</v>
      </c>
      <c r="BN5059">
        <v>1</v>
      </c>
      <c r="BO5059">
        <v>0</v>
      </c>
      <c r="BP5059">
        <v>0</v>
      </c>
      <c r="BS5059">
        <v>0</v>
      </c>
      <c r="BT5059">
        <v>0</v>
      </c>
      <c r="BU5059">
        <v>0</v>
      </c>
      <c r="CE5059" t="str">
        <f t="shared" si="2001"/>
        <v>15:18:34.758</v>
      </c>
      <c r="CF5059">
        <v>758259350</v>
      </c>
      <c r="CS5059">
        <v>0</v>
      </c>
      <c r="CT5059">
        <v>2</v>
      </c>
      <c r="CU5059">
        <v>0</v>
      </c>
      <c r="CV5059">
        <v>2</v>
      </c>
      <c r="CW5059">
        <v>0</v>
      </c>
      <c r="CX5059">
        <v>2</v>
      </c>
      <c r="CY5059">
        <v>7</v>
      </c>
      <c r="CZ5059" t="s">
        <v>133</v>
      </c>
      <c r="DA5059">
        <v>275</v>
      </c>
      <c r="DB5059">
        <v>0</v>
      </c>
      <c r="DC5059" t="s">
        <v>134</v>
      </c>
      <c r="DD5059" t="s">
        <v>135</v>
      </c>
      <c r="DG5059">
        <v>3323527</v>
      </c>
      <c r="DI5059">
        <v>1</v>
      </c>
      <c r="DJ5059">
        <v>0</v>
      </c>
      <c r="DK5059">
        <v>1</v>
      </c>
      <c r="DL5059">
        <v>0</v>
      </c>
      <c r="DM5059">
        <v>0</v>
      </c>
      <c r="DN5059">
        <v>0</v>
      </c>
      <c r="DO5059">
        <v>0</v>
      </c>
      <c r="DP5059">
        <v>0</v>
      </c>
      <c r="DQ5059">
        <v>0</v>
      </c>
      <c r="DR5059">
        <v>0</v>
      </c>
      <c r="DS5059">
        <v>0</v>
      </c>
    </row>
    <row r="5060" spans="1:123" x14ac:dyDescent="0.3">
      <c r="A5060" t="str">
        <f>"05/01/2025 15:18:36.086"</f>
        <v>05/01/2025 15:18:36.086</v>
      </c>
      <c r="C5060" t="str">
        <f t="shared" si="2002"/>
        <v>FFDFD3C0</v>
      </c>
      <c r="D5060" t="s">
        <v>140</v>
      </c>
      <c r="E5060" t="str">
        <f>"13"</f>
        <v>13</v>
      </c>
      <c r="F5060">
        <v>1019</v>
      </c>
      <c r="G5060" t="s">
        <v>141</v>
      </c>
      <c r="J5060" t="s">
        <v>142</v>
      </c>
      <c r="K5060">
        <v>0</v>
      </c>
      <c r="L5060">
        <v>3</v>
      </c>
      <c r="M5060">
        <v>0</v>
      </c>
      <c r="N5060">
        <v>2</v>
      </c>
      <c r="O5060">
        <v>0</v>
      </c>
      <c r="P5060">
        <v>1</v>
      </c>
      <c r="Q5060">
        <v>0</v>
      </c>
      <c r="R5060" t="s">
        <v>127</v>
      </c>
      <c r="S5060" t="str">
        <f t="shared" ref="S5060:T5065" si="2006">"15:18:35.000"</f>
        <v>15:18:35.000</v>
      </c>
      <c r="T5060" t="str">
        <f t="shared" si="2006"/>
        <v>15:18:35.000</v>
      </c>
      <c r="U5060" t="str">
        <f t="shared" si="2003"/>
        <v>A68FCB</v>
      </c>
      <c r="V5060">
        <v>0</v>
      </c>
      <c r="W5060">
        <v>0</v>
      </c>
      <c r="X5060">
        <v>2</v>
      </c>
      <c r="Y5060">
        <v>0</v>
      </c>
      <c r="AA5060">
        <v>1</v>
      </c>
      <c r="AB5060">
        <v>8</v>
      </c>
      <c r="AC5060">
        <v>3</v>
      </c>
      <c r="AD5060">
        <v>0</v>
      </c>
      <c r="AE5060">
        <v>9</v>
      </c>
      <c r="AF5060" t="s">
        <v>138</v>
      </c>
      <c r="AG5060">
        <v>0</v>
      </c>
      <c r="AH5060">
        <v>3</v>
      </c>
      <c r="AI5060">
        <v>2</v>
      </c>
      <c r="AJ5060">
        <v>0</v>
      </c>
      <c r="AK5060" t="s">
        <v>1598</v>
      </c>
      <c r="AL5060">
        <v>39.235075000000002</v>
      </c>
      <c r="AM5060" t="s">
        <v>1599</v>
      </c>
      <c r="AN5060">
        <v>-121.01697900000001</v>
      </c>
      <c r="AO5060">
        <v>25</v>
      </c>
      <c r="AP5060">
        <v>3800</v>
      </c>
      <c r="AQ5060" t="s">
        <v>131</v>
      </c>
      <c r="AR5060">
        <v>-101</v>
      </c>
      <c r="AS5060">
        <v>-13</v>
      </c>
      <c r="AT5060">
        <v>-896</v>
      </c>
      <c r="BB5060" t="str">
        <f t="shared" si="2004"/>
        <v>1200</v>
      </c>
      <c r="BC5060">
        <v>1</v>
      </c>
      <c r="BD5060" t="str">
        <f t="shared" si="2005"/>
        <v xml:space="preserve">N52156  </v>
      </c>
      <c r="BE5060">
        <v>1</v>
      </c>
      <c r="BG5060">
        <v>0</v>
      </c>
      <c r="BH5060">
        <v>0</v>
      </c>
      <c r="BI5060">
        <v>0</v>
      </c>
      <c r="BJ5060">
        <v>3900</v>
      </c>
      <c r="BK5060">
        <v>100</v>
      </c>
      <c r="BL5060" t="s">
        <v>188</v>
      </c>
      <c r="BM5060">
        <v>1</v>
      </c>
      <c r="BN5060">
        <v>1</v>
      </c>
      <c r="BO5060">
        <v>0</v>
      </c>
      <c r="BP5060">
        <v>0</v>
      </c>
      <c r="BS5060">
        <v>0</v>
      </c>
      <c r="BT5060">
        <v>0</v>
      </c>
      <c r="BU5060">
        <v>0</v>
      </c>
      <c r="CE5060" t="str">
        <f t="shared" ref="CE5060:CE5065" si="2007">"15:18:35.856"</f>
        <v>15:18:35.856</v>
      </c>
      <c r="CF5060">
        <v>856259368</v>
      </c>
      <c r="CS5060">
        <v>0</v>
      </c>
      <c r="CT5060">
        <v>2</v>
      </c>
      <c r="CU5060">
        <v>0</v>
      </c>
      <c r="CV5060">
        <v>2</v>
      </c>
      <c r="CW5060">
        <v>0</v>
      </c>
      <c r="CX5060">
        <v>3</v>
      </c>
      <c r="CY5060">
        <v>7</v>
      </c>
      <c r="CZ5060" t="s">
        <v>133</v>
      </c>
      <c r="DA5060">
        <v>275</v>
      </c>
      <c r="DB5060">
        <v>0</v>
      </c>
      <c r="DC5060" t="s">
        <v>134</v>
      </c>
      <c r="DD5060" t="s">
        <v>135</v>
      </c>
      <c r="DG5060">
        <v>3323535</v>
      </c>
      <c r="DI5060">
        <v>1</v>
      </c>
      <c r="DJ5060">
        <v>0</v>
      </c>
      <c r="DK5060">
        <v>0</v>
      </c>
      <c r="DL5060">
        <v>0</v>
      </c>
      <c r="DM5060">
        <v>0</v>
      </c>
      <c r="DN5060">
        <v>0</v>
      </c>
      <c r="DO5060">
        <v>0</v>
      </c>
      <c r="DP5060">
        <v>0</v>
      </c>
      <c r="DQ5060">
        <v>0</v>
      </c>
      <c r="DR5060">
        <v>0</v>
      </c>
      <c r="DS5060">
        <v>0</v>
      </c>
    </row>
    <row r="5061" spans="1:123" x14ac:dyDescent="0.3">
      <c r="A5061" t="str">
        <f>"05/01/2025 15:18:36.089"</f>
        <v>05/01/2025 15:18:36.089</v>
      </c>
      <c r="C5061" t="str">
        <f t="shared" si="2002"/>
        <v>FFDFD3C0</v>
      </c>
      <c r="D5061" t="s">
        <v>124</v>
      </c>
      <c r="E5061" t="str">
        <f>"06"</f>
        <v>06</v>
      </c>
      <c r="F5061">
        <v>2006</v>
      </c>
      <c r="G5061" t="s">
        <v>125</v>
      </c>
      <c r="J5061" t="s">
        <v>126</v>
      </c>
      <c r="K5061">
        <v>0</v>
      </c>
      <c r="L5061">
        <v>3</v>
      </c>
      <c r="M5061">
        <v>0</v>
      </c>
      <c r="N5061">
        <v>2</v>
      </c>
      <c r="O5061">
        <v>0</v>
      </c>
      <c r="P5061">
        <v>1</v>
      </c>
      <c r="Q5061">
        <v>0</v>
      </c>
      <c r="R5061" t="s">
        <v>127</v>
      </c>
      <c r="S5061" t="str">
        <f t="shared" si="2006"/>
        <v>15:18:35.000</v>
      </c>
      <c r="T5061" t="str">
        <f t="shared" si="2006"/>
        <v>15:18:35.000</v>
      </c>
      <c r="U5061" t="str">
        <f t="shared" si="2003"/>
        <v>A68FCB</v>
      </c>
      <c r="V5061">
        <v>0</v>
      </c>
      <c r="W5061">
        <v>0</v>
      </c>
      <c r="X5061">
        <v>2</v>
      </c>
      <c r="Y5061">
        <v>0</v>
      </c>
      <c r="AA5061">
        <v>1</v>
      </c>
      <c r="AB5061">
        <v>8</v>
      </c>
      <c r="AC5061">
        <v>3</v>
      </c>
      <c r="AD5061">
        <v>0</v>
      </c>
      <c r="AE5061">
        <v>9</v>
      </c>
      <c r="AF5061" t="s">
        <v>138</v>
      </c>
      <c r="AG5061">
        <v>0</v>
      </c>
      <c r="AH5061">
        <v>3</v>
      </c>
      <c r="AI5061">
        <v>2</v>
      </c>
      <c r="AJ5061">
        <v>0</v>
      </c>
      <c r="AK5061" t="s">
        <v>1598</v>
      </c>
      <c r="AL5061">
        <v>39.235075000000002</v>
      </c>
      <c r="AM5061" t="s">
        <v>1599</v>
      </c>
      <c r="AN5061">
        <v>-121.01697900000001</v>
      </c>
      <c r="AO5061">
        <v>25</v>
      </c>
      <c r="AP5061">
        <v>3800</v>
      </c>
      <c r="AQ5061" t="s">
        <v>131</v>
      </c>
      <c r="AR5061">
        <v>-101</v>
      </c>
      <c r="AS5061">
        <v>-13</v>
      </c>
      <c r="AT5061">
        <v>-896</v>
      </c>
      <c r="BB5061" t="str">
        <f t="shared" si="2004"/>
        <v>1200</v>
      </c>
      <c r="BC5061">
        <v>1</v>
      </c>
      <c r="BD5061" t="str">
        <f t="shared" si="2005"/>
        <v xml:space="preserve">N52156  </v>
      </c>
      <c r="BE5061">
        <v>1</v>
      </c>
      <c r="BG5061">
        <v>0</v>
      </c>
      <c r="BH5061">
        <v>0</v>
      </c>
      <c r="BI5061">
        <v>0</v>
      </c>
      <c r="BJ5061">
        <v>3900</v>
      </c>
      <c r="BK5061">
        <v>100</v>
      </c>
      <c r="BL5061" t="s">
        <v>188</v>
      </c>
      <c r="BM5061">
        <v>1</v>
      </c>
      <c r="BN5061">
        <v>1</v>
      </c>
      <c r="BO5061">
        <v>0</v>
      </c>
      <c r="BP5061">
        <v>0</v>
      </c>
      <c r="BS5061">
        <v>0</v>
      </c>
      <c r="BT5061">
        <v>0</v>
      </c>
      <c r="BU5061">
        <v>0</v>
      </c>
      <c r="CE5061" t="str">
        <f t="shared" si="2007"/>
        <v>15:18:35.856</v>
      </c>
      <c r="CF5061">
        <v>856259368</v>
      </c>
      <c r="CS5061">
        <v>0</v>
      </c>
      <c r="CT5061">
        <v>2</v>
      </c>
      <c r="CU5061">
        <v>0</v>
      </c>
      <c r="CV5061">
        <v>2</v>
      </c>
      <c r="CW5061">
        <v>0</v>
      </c>
      <c r="CX5061">
        <v>3</v>
      </c>
      <c r="CY5061">
        <v>7</v>
      </c>
      <c r="CZ5061" t="s">
        <v>133</v>
      </c>
      <c r="DA5061">
        <v>275</v>
      </c>
      <c r="DB5061">
        <v>0</v>
      </c>
      <c r="DC5061" t="s">
        <v>134</v>
      </c>
      <c r="DD5061" t="s">
        <v>135</v>
      </c>
      <c r="DG5061">
        <v>3323535</v>
      </c>
      <c r="DI5061">
        <v>1</v>
      </c>
      <c r="DJ5061">
        <v>0</v>
      </c>
      <c r="DK5061">
        <v>1</v>
      </c>
      <c r="DL5061">
        <v>0</v>
      </c>
      <c r="DM5061">
        <v>0</v>
      </c>
      <c r="DN5061">
        <v>0</v>
      </c>
      <c r="DO5061">
        <v>0</v>
      </c>
      <c r="DP5061">
        <v>0</v>
      </c>
      <c r="DQ5061">
        <v>0</v>
      </c>
      <c r="DR5061">
        <v>0</v>
      </c>
      <c r="DS5061">
        <v>0</v>
      </c>
    </row>
    <row r="5062" spans="1:123" x14ac:dyDescent="0.3">
      <c r="A5062" t="str">
        <f>"05/01/2025 15:18:36.098"</f>
        <v>05/01/2025 15:18:36.098</v>
      </c>
      <c r="C5062" t="str">
        <f t="shared" si="2002"/>
        <v>FFDFD3C0</v>
      </c>
      <c r="D5062" t="s">
        <v>143</v>
      </c>
      <c r="E5062" t="str">
        <f>"05"</f>
        <v>05</v>
      </c>
      <c r="H5062">
        <v>172</v>
      </c>
      <c r="I5062" t="s">
        <v>141</v>
      </c>
      <c r="J5062" t="s">
        <v>144</v>
      </c>
      <c r="K5062">
        <v>0</v>
      </c>
      <c r="L5062">
        <v>3</v>
      </c>
      <c r="M5062">
        <v>0</v>
      </c>
      <c r="N5062">
        <v>2</v>
      </c>
      <c r="O5062">
        <v>0</v>
      </c>
      <c r="P5062">
        <v>1</v>
      </c>
      <c r="Q5062">
        <v>0</v>
      </c>
      <c r="R5062" t="s">
        <v>127</v>
      </c>
      <c r="S5062" t="str">
        <f t="shared" si="2006"/>
        <v>15:18:35.000</v>
      </c>
      <c r="T5062" t="str">
        <f t="shared" si="2006"/>
        <v>15:18:35.000</v>
      </c>
      <c r="U5062" t="str">
        <f t="shared" si="2003"/>
        <v>A68FCB</v>
      </c>
      <c r="V5062">
        <v>0</v>
      </c>
      <c r="W5062">
        <v>0</v>
      </c>
      <c r="X5062">
        <v>2</v>
      </c>
      <c r="Y5062">
        <v>0</v>
      </c>
      <c r="AA5062">
        <v>1</v>
      </c>
      <c r="AB5062">
        <v>8</v>
      </c>
      <c r="AC5062">
        <v>3</v>
      </c>
      <c r="AD5062">
        <v>0</v>
      </c>
      <c r="AE5062">
        <v>9</v>
      </c>
      <c r="AF5062" t="s">
        <v>138</v>
      </c>
      <c r="AG5062">
        <v>0</v>
      </c>
      <c r="AH5062">
        <v>3</v>
      </c>
      <c r="AI5062">
        <v>2</v>
      </c>
      <c r="AJ5062">
        <v>0</v>
      </c>
      <c r="AK5062" t="s">
        <v>1598</v>
      </c>
      <c r="AL5062">
        <v>39.235075000000002</v>
      </c>
      <c r="AM5062" t="s">
        <v>1599</v>
      </c>
      <c r="AN5062">
        <v>-121.01697900000001</v>
      </c>
      <c r="AO5062">
        <v>25</v>
      </c>
      <c r="AP5062">
        <v>3800</v>
      </c>
      <c r="AQ5062" t="s">
        <v>131</v>
      </c>
      <c r="AR5062">
        <v>-101</v>
      </c>
      <c r="AS5062">
        <v>-13</v>
      </c>
      <c r="AT5062">
        <v>-896</v>
      </c>
      <c r="BB5062" t="str">
        <f t="shared" si="2004"/>
        <v>1200</v>
      </c>
      <c r="BC5062">
        <v>1</v>
      </c>
      <c r="BD5062" t="str">
        <f t="shared" si="2005"/>
        <v xml:space="preserve">N52156  </v>
      </c>
      <c r="BE5062">
        <v>1</v>
      </c>
      <c r="BG5062">
        <v>0</v>
      </c>
      <c r="BH5062">
        <v>0</v>
      </c>
      <c r="BI5062">
        <v>0</v>
      </c>
      <c r="BJ5062">
        <v>3900</v>
      </c>
      <c r="BK5062">
        <v>100</v>
      </c>
      <c r="BL5062" t="s">
        <v>188</v>
      </c>
      <c r="BM5062">
        <v>1</v>
      </c>
      <c r="BN5062">
        <v>1</v>
      </c>
      <c r="BO5062">
        <v>0</v>
      </c>
      <c r="BP5062">
        <v>0</v>
      </c>
      <c r="BS5062">
        <v>0</v>
      </c>
      <c r="BT5062">
        <v>0</v>
      </c>
      <c r="BU5062">
        <v>0</v>
      </c>
      <c r="CE5062" t="str">
        <f t="shared" si="2007"/>
        <v>15:18:35.856</v>
      </c>
      <c r="CF5062">
        <v>856259368</v>
      </c>
      <c r="CS5062">
        <v>0</v>
      </c>
      <c r="CT5062">
        <v>2</v>
      </c>
      <c r="CU5062">
        <v>0</v>
      </c>
      <c r="CV5062">
        <v>2</v>
      </c>
      <c r="CW5062">
        <v>0</v>
      </c>
      <c r="CX5062">
        <v>3</v>
      </c>
      <c r="CY5062">
        <v>7</v>
      </c>
      <c r="CZ5062" t="s">
        <v>133</v>
      </c>
      <c r="DA5062">
        <v>275</v>
      </c>
      <c r="DB5062">
        <v>0</v>
      </c>
      <c r="DC5062" t="s">
        <v>134</v>
      </c>
      <c r="DD5062" t="s">
        <v>135</v>
      </c>
      <c r="DG5062">
        <v>3323535</v>
      </c>
      <c r="DI5062">
        <v>1</v>
      </c>
      <c r="DJ5062">
        <v>0</v>
      </c>
      <c r="DK5062">
        <v>1</v>
      </c>
      <c r="DL5062">
        <v>0</v>
      </c>
      <c r="DM5062">
        <v>0</v>
      </c>
      <c r="DN5062">
        <v>0</v>
      </c>
      <c r="DO5062">
        <v>0</v>
      </c>
      <c r="DP5062">
        <v>0</v>
      </c>
      <c r="DQ5062">
        <v>0</v>
      </c>
      <c r="DR5062">
        <v>0</v>
      </c>
      <c r="DS5062">
        <v>0</v>
      </c>
    </row>
    <row r="5063" spans="1:123" x14ac:dyDescent="0.3">
      <c r="A5063" t="str">
        <f>"05/01/2025 15:18:36.112"</f>
        <v>05/01/2025 15:18:36.112</v>
      </c>
      <c r="C5063" t="str">
        <f t="shared" si="2002"/>
        <v>FFDFD3C0</v>
      </c>
      <c r="D5063" t="s">
        <v>145</v>
      </c>
      <c r="E5063" t="str">
        <f>"05"</f>
        <v>05</v>
      </c>
      <c r="H5063">
        <v>47</v>
      </c>
      <c r="I5063" t="s">
        <v>146</v>
      </c>
      <c r="J5063" t="s">
        <v>138</v>
      </c>
      <c r="K5063">
        <v>0</v>
      </c>
      <c r="L5063">
        <v>3</v>
      </c>
      <c r="M5063">
        <v>0</v>
      </c>
      <c r="N5063">
        <v>2</v>
      </c>
      <c r="O5063">
        <v>0</v>
      </c>
      <c r="P5063">
        <v>1</v>
      </c>
      <c r="Q5063">
        <v>0</v>
      </c>
      <c r="R5063" t="s">
        <v>127</v>
      </c>
      <c r="S5063" t="str">
        <f t="shared" si="2006"/>
        <v>15:18:35.000</v>
      </c>
      <c r="T5063" t="str">
        <f t="shared" si="2006"/>
        <v>15:18:35.000</v>
      </c>
      <c r="U5063" t="str">
        <f t="shared" si="2003"/>
        <v>A68FCB</v>
      </c>
      <c r="V5063">
        <v>0</v>
      </c>
      <c r="W5063">
        <v>0</v>
      </c>
      <c r="X5063">
        <v>2</v>
      </c>
      <c r="Y5063">
        <v>0</v>
      </c>
      <c r="AA5063">
        <v>1</v>
      </c>
      <c r="AB5063">
        <v>8</v>
      </c>
      <c r="AC5063">
        <v>3</v>
      </c>
      <c r="AD5063">
        <v>0</v>
      </c>
      <c r="AE5063">
        <v>9</v>
      </c>
      <c r="AF5063" t="s">
        <v>138</v>
      </c>
      <c r="AG5063">
        <v>0</v>
      </c>
      <c r="AH5063">
        <v>3</v>
      </c>
      <c r="AI5063">
        <v>2</v>
      </c>
      <c r="AJ5063">
        <v>0</v>
      </c>
      <c r="AK5063" t="s">
        <v>1598</v>
      </c>
      <c r="AL5063">
        <v>39.235075000000002</v>
      </c>
      <c r="AM5063" t="s">
        <v>1599</v>
      </c>
      <c r="AN5063">
        <v>-121.01697900000001</v>
      </c>
      <c r="AO5063">
        <v>25</v>
      </c>
      <c r="AP5063">
        <v>3800</v>
      </c>
      <c r="AQ5063" t="s">
        <v>131</v>
      </c>
      <c r="AR5063">
        <v>-101</v>
      </c>
      <c r="AS5063">
        <v>-13</v>
      </c>
      <c r="AT5063">
        <v>-896</v>
      </c>
      <c r="BB5063" t="str">
        <f t="shared" si="2004"/>
        <v>1200</v>
      </c>
      <c r="BC5063">
        <v>1</v>
      </c>
      <c r="BD5063" t="str">
        <f t="shared" si="2005"/>
        <v xml:space="preserve">N52156  </v>
      </c>
      <c r="BE5063">
        <v>1</v>
      </c>
      <c r="BG5063">
        <v>0</v>
      </c>
      <c r="BH5063">
        <v>0</v>
      </c>
      <c r="BI5063">
        <v>0</v>
      </c>
      <c r="BJ5063">
        <v>3900</v>
      </c>
      <c r="BK5063">
        <v>100</v>
      </c>
      <c r="BL5063" t="s">
        <v>188</v>
      </c>
      <c r="BM5063">
        <v>1</v>
      </c>
      <c r="BN5063">
        <v>1</v>
      </c>
      <c r="BO5063">
        <v>0</v>
      </c>
      <c r="BP5063">
        <v>0</v>
      </c>
      <c r="BS5063">
        <v>0</v>
      </c>
      <c r="BT5063">
        <v>0</v>
      </c>
      <c r="BU5063">
        <v>0</v>
      </c>
      <c r="CE5063" t="str">
        <f t="shared" si="2007"/>
        <v>15:18:35.856</v>
      </c>
      <c r="CF5063">
        <v>856259368</v>
      </c>
      <c r="CS5063">
        <v>0</v>
      </c>
      <c r="CT5063">
        <v>2</v>
      </c>
      <c r="CU5063">
        <v>0</v>
      </c>
      <c r="CV5063">
        <v>2</v>
      </c>
      <c r="CW5063">
        <v>0</v>
      </c>
      <c r="CX5063">
        <v>3</v>
      </c>
      <c r="CY5063">
        <v>7</v>
      </c>
      <c r="CZ5063" t="s">
        <v>133</v>
      </c>
      <c r="DA5063">
        <v>275</v>
      </c>
      <c r="DB5063">
        <v>0</v>
      </c>
      <c r="DC5063" t="s">
        <v>134</v>
      </c>
      <c r="DD5063" t="s">
        <v>135</v>
      </c>
      <c r="DG5063">
        <v>3323535</v>
      </c>
      <c r="DI5063">
        <v>1</v>
      </c>
      <c r="DJ5063">
        <v>0</v>
      </c>
      <c r="DK5063">
        <v>1</v>
      </c>
      <c r="DL5063">
        <v>0</v>
      </c>
      <c r="DM5063">
        <v>0</v>
      </c>
      <c r="DN5063">
        <v>0</v>
      </c>
      <c r="DO5063">
        <v>0</v>
      </c>
      <c r="DP5063">
        <v>0</v>
      </c>
      <c r="DQ5063">
        <v>0</v>
      </c>
      <c r="DR5063">
        <v>0</v>
      </c>
      <c r="DS5063">
        <v>0</v>
      </c>
    </row>
    <row r="5064" spans="1:123" x14ac:dyDescent="0.3">
      <c r="A5064" t="str">
        <f>"05/01/2025 15:18:36.112"</f>
        <v>05/01/2025 15:18:36.112</v>
      </c>
      <c r="C5064" t="str">
        <f t="shared" si="2002"/>
        <v>FFDFD3C0</v>
      </c>
      <c r="D5064" t="s">
        <v>145</v>
      </c>
      <c r="E5064" t="str">
        <f>"09"</f>
        <v>09</v>
      </c>
      <c r="H5064">
        <v>51</v>
      </c>
      <c r="I5064" t="s">
        <v>147</v>
      </c>
      <c r="J5064" t="s">
        <v>138</v>
      </c>
      <c r="K5064">
        <v>0</v>
      </c>
      <c r="L5064">
        <v>3</v>
      </c>
      <c r="M5064">
        <v>0</v>
      </c>
      <c r="N5064">
        <v>2</v>
      </c>
      <c r="O5064">
        <v>0</v>
      </c>
      <c r="P5064">
        <v>1</v>
      </c>
      <c r="Q5064">
        <v>0</v>
      </c>
      <c r="R5064" t="s">
        <v>127</v>
      </c>
      <c r="S5064" t="str">
        <f t="shared" si="2006"/>
        <v>15:18:35.000</v>
      </c>
      <c r="T5064" t="str">
        <f t="shared" si="2006"/>
        <v>15:18:35.000</v>
      </c>
      <c r="U5064" t="str">
        <f t="shared" si="2003"/>
        <v>A68FCB</v>
      </c>
      <c r="V5064">
        <v>0</v>
      </c>
      <c r="W5064">
        <v>0</v>
      </c>
      <c r="X5064">
        <v>2</v>
      </c>
      <c r="Y5064">
        <v>0</v>
      </c>
      <c r="AA5064">
        <v>1</v>
      </c>
      <c r="AB5064">
        <v>8</v>
      </c>
      <c r="AC5064">
        <v>3</v>
      </c>
      <c r="AD5064">
        <v>0</v>
      </c>
      <c r="AE5064">
        <v>9</v>
      </c>
      <c r="AF5064" t="s">
        <v>138</v>
      </c>
      <c r="AG5064">
        <v>0</v>
      </c>
      <c r="AH5064">
        <v>3</v>
      </c>
      <c r="AI5064">
        <v>2</v>
      </c>
      <c r="AJ5064">
        <v>0</v>
      </c>
      <c r="AK5064" t="s">
        <v>1598</v>
      </c>
      <c r="AL5064">
        <v>39.235075000000002</v>
      </c>
      <c r="AM5064" t="s">
        <v>1599</v>
      </c>
      <c r="AN5064">
        <v>-121.01697900000001</v>
      </c>
      <c r="AO5064">
        <v>25</v>
      </c>
      <c r="AP5064">
        <v>3800</v>
      </c>
      <c r="AQ5064" t="s">
        <v>131</v>
      </c>
      <c r="AR5064">
        <v>-101</v>
      </c>
      <c r="AS5064">
        <v>-13</v>
      </c>
      <c r="AT5064">
        <v>-896</v>
      </c>
      <c r="BB5064" t="str">
        <f t="shared" si="2004"/>
        <v>1200</v>
      </c>
      <c r="BC5064">
        <v>1</v>
      </c>
      <c r="BD5064" t="str">
        <f t="shared" si="2005"/>
        <v xml:space="preserve">N52156  </v>
      </c>
      <c r="BE5064">
        <v>1</v>
      </c>
      <c r="BG5064">
        <v>0</v>
      </c>
      <c r="BH5064">
        <v>0</v>
      </c>
      <c r="BI5064">
        <v>0</v>
      </c>
      <c r="BJ5064">
        <v>3900</v>
      </c>
      <c r="BK5064">
        <v>100</v>
      </c>
      <c r="BL5064" t="s">
        <v>188</v>
      </c>
      <c r="BM5064">
        <v>1</v>
      </c>
      <c r="BN5064">
        <v>1</v>
      </c>
      <c r="BO5064">
        <v>0</v>
      </c>
      <c r="BP5064">
        <v>0</v>
      </c>
      <c r="BS5064">
        <v>0</v>
      </c>
      <c r="BT5064">
        <v>0</v>
      </c>
      <c r="BU5064">
        <v>0</v>
      </c>
      <c r="CE5064" t="str">
        <f t="shared" si="2007"/>
        <v>15:18:35.856</v>
      </c>
      <c r="CF5064">
        <v>856259368</v>
      </c>
      <c r="CS5064">
        <v>0</v>
      </c>
      <c r="CT5064">
        <v>2</v>
      </c>
      <c r="CU5064">
        <v>0</v>
      </c>
      <c r="CV5064">
        <v>2</v>
      </c>
      <c r="CW5064">
        <v>0</v>
      </c>
      <c r="CX5064">
        <v>3</v>
      </c>
      <c r="CY5064">
        <v>7</v>
      </c>
      <c r="CZ5064" t="s">
        <v>133</v>
      </c>
      <c r="DA5064">
        <v>275</v>
      </c>
      <c r="DB5064">
        <v>0</v>
      </c>
      <c r="DC5064" t="s">
        <v>134</v>
      </c>
      <c r="DD5064" t="s">
        <v>135</v>
      </c>
      <c r="DG5064">
        <v>3323535</v>
      </c>
      <c r="DI5064">
        <v>1</v>
      </c>
      <c r="DJ5064">
        <v>0</v>
      </c>
      <c r="DK5064">
        <v>1</v>
      </c>
      <c r="DL5064">
        <v>0</v>
      </c>
      <c r="DM5064">
        <v>0</v>
      </c>
      <c r="DN5064">
        <v>0</v>
      </c>
      <c r="DO5064">
        <v>0</v>
      </c>
      <c r="DP5064">
        <v>0</v>
      </c>
      <c r="DQ5064">
        <v>0</v>
      </c>
      <c r="DR5064">
        <v>0</v>
      </c>
      <c r="DS5064">
        <v>0</v>
      </c>
    </row>
    <row r="5065" spans="1:123" x14ac:dyDescent="0.3">
      <c r="A5065" t="str">
        <f>"05/01/2025 15:18:36.120"</f>
        <v>05/01/2025 15:18:36.120</v>
      </c>
      <c r="C5065" t="str">
        <f t="shared" si="2002"/>
        <v>FFDFD3C0</v>
      </c>
      <c r="D5065" t="s">
        <v>136</v>
      </c>
      <c r="E5065" t="str">
        <f>"20"</f>
        <v>20</v>
      </c>
      <c r="H5065">
        <v>400</v>
      </c>
      <c r="I5065" t="s">
        <v>137</v>
      </c>
      <c r="J5065" t="s">
        <v>138</v>
      </c>
      <c r="K5065">
        <v>0</v>
      </c>
      <c r="L5065">
        <v>3</v>
      </c>
      <c r="M5065">
        <v>0</v>
      </c>
      <c r="N5065">
        <v>2</v>
      </c>
      <c r="O5065">
        <v>0</v>
      </c>
      <c r="P5065">
        <v>1</v>
      </c>
      <c r="Q5065">
        <v>0</v>
      </c>
      <c r="R5065" t="s">
        <v>127</v>
      </c>
      <c r="S5065" t="str">
        <f t="shared" si="2006"/>
        <v>15:18:35.000</v>
      </c>
      <c r="T5065" t="str">
        <f t="shared" si="2006"/>
        <v>15:18:35.000</v>
      </c>
      <c r="U5065" t="str">
        <f t="shared" si="2003"/>
        <v>A68FCB</v>
      </c>
      <c r="V5065">
        <v>0</v>
      </c>
      <c r="W5065">
        <v>0</v>
      </c>
      <c r="X5065">
        <v>2</v>
      </c>
      <c r="Y5065">
        <v>0</v>
      </c>
      <c r="AA5065">
        <v>1</v>
      </c>
      <c r="AB5065">
        <v>8</v>
      </c>
      <c r="AC5065">
        <v>3</v>
      </c>
      <c r="AD5065">
        <v>0</v>
      </c>
      <c r="AE5065">
        <v>9</v>
      </c>
      <c r="AF5065" t="s">
        <v>138</v>
      </c>
      <c r="AG5065">
        <v>0</v>
      </c>
      <c r="AH5065">
        <v>3</v>
      </c>
      <c r="AI5065">
        <v>2</v>
      </c>
      <c r="AJ5065">
        <v>0</v>
      </c>
      <c r="AK5065" t="s">
        <v>1598</v>
      </c>
      <c r="AL5065">
        <v>39.235075000000002</v>
      </c>
      <c r="AM5065" t="s">
        <v>1599</v>
      </c>
      <c r="AN5065">
        <v>-121.01697900000001</v>
      </c>
      <c r="AO5065">
        <v>25</v>
      </c>
      <c r="AP5065">
        <v>3800</v>
      </c>
      <c r="AQ5065" t="s">
        <v>131</v>
      </c>
      <c r="AR5065">
        <v>-101</v>
      </c>
      <c r="AS5065">
        <v>-13</v>
      </c>
      <c r="AT5065">
        <v>-896</v>
      </c>
      <c r="BB5065" t="str">
        <f t="shared" si="2004"/>
        <v>1200</v>
      </c>
      <c r="BC5065">
        <v>1</v>
      </c>
      <c r="BD5065" t="str">
        <f t="shared" si="2005"/>
        <v xml:space="preserve">N52156  </v>
      </c>
      <c r="BE5065">
        <v>1</v>
      </c>
      <c r="BG5065">
        <v>0</v>
      </c>
      <c r="BH5065">
        <v>0</v>
      </c>
      <c r="BI5065">
        <v>0</v>
      </c>
      <c r="BJ5065">
        <v>3900</v>
      </c>
      <c r="BK5065">
        <v>100</v>
      </c>
      <c r="BL5065" t="s">
        <v>188</v>
      </c>
      <c r="BM5065">
        <v>1</v>
      </c>
      <c r="BN5065">
        <v>1</v>
      </c>
      <c r="BO5065">
        <v>0</v>
      </c>
      <c r="BP5065">
        <v>0</v>
      </c>
      <c r="BS5065">
        <v>0</v>
      </c>
      <c r="BT5065">
        <v>0</v>
      </c>
      <c r="BU5065">
        <v>0</v>
      </c>
      <c r="CE5065" t="str">
        <f t="shared" si="2007"/>
        <v>15:18:35.856</v>
      </c>
      <c r="CF5065">
        <v>856259368</v>
      </c>
      <c r="CS5065">
        <v>0</v>
      </c>
      <c r="CT5065">
        <v>2</v>
      </c>
      <c r="CU5065">
        <v>0</v>
      </c>
      <c r="CV5065">
        <v>2</v>
      </c>
      <c r="CW5065">
        <v>0</v>
      </c>
      <c r="CX5065">
        <v>3</v>
      </c>
      <c r="CY5065">
        <v>7</v>
      </c>
      <c r="CZ5065" t="s">
        <v>133</v>
      </c>
      <c r="DA5065">
        <v>275</v>
      </c>
      <c r="DB5065">
        <v>0</v>
      </c>
      <c r="DC5065" t="s">
        <v>134</v>
      </c>
      <c r="DD5065" t="s">
        <v>135</v>
      </c>
      <c r="DG5065">
        <v>3323535</v>
      </c>
      <c r="DI5065">
        <v>1</v>
      </c>
      <c r="DJ5065">
        <v>0</v>
      </c>
      <c r="DK5065">
        <v>1</v>
      </c>
      <c r="DL5065">
        <v>0</v>
      </c>
      <c r="DM5065">
        <v>0</v>
      </c>
      <c r="DN5065">
        <v>0</v>
      </c>
      <c r="DO5065">
        <v>0</v>
      </c>
      <c r="DP5065">
        <v>0</v>
      </c>
      <c r="DQ5065">
        <v>0</v>
      </c>
      <c r="DR5065">
        <v>0</v>
      </c>
      <c r="DS5065">
        <v>0</v>
      </c>
    </row>
    <row r="5066" spans="1:123" x14ac:dyDescent="0.3">
      <c r="A5066" t="str">
        <f>"05/01/2025 15:18:36.671"</f>
        <v>05/01/2025 15:18:36.671</v>
      </c>
      <c r="C5066" t="str">
        <f t="shared" si="2002"/>
        <v>FFDFD3C0</v>
      </c>
      <c r="D5066" t="s">
        <v>136</v>
      </c>
      <c r="E5066" t="str">
        <f>"20"</f>
        <v>20</v>
      </c>
      <c r="H5066">
        <v>400</v>
      </c>
      <c r="I5066" t="s">
        <v>137</v>
      </c>
      <c r="J5066" t="s">
        <v>138</v>
      </c>
      <c r="K5066">
        <v>0</v>
      </c>
      <c r="L5066">
        <v>3</v>
      </c>
      <c r="M5066">
        <v>0</v>
      </c>
      <c r="N5066">
        <v>2</v>
      </c>
      <c r="O5066">
        <v>0</v>
      </c>
      <c r="P5066">
        <v>1</v>
      </c>
      <c r="Q5066">
        <v>0</v>
      </c>
      <c r="R5066" t="s">
        <v>127</v>
      </c>
      <c r="S5066" t="str">
        <f t="shared" ref="S5066:T5071" si="2008">"15:18:36.000"</f>
        <v>15:18:36.000</v>
      </c>
      <c r="T5066" t="str">
        <f t="shared" si="2008"/>
        <v>15:18:36.000</v>
      </c>
      <c r="U5066" t="str">
        <f t="shared" si="2003"/>
        <v>A68FCB</v>
      </c>
      <c r="V5066">
        <v>0</v>
      </c>
      <c r="W5066">
        <v>0</v>
      </c>
      <c r="X5066">
        <v>2</v>
      </c>
      <c r="Y5066">
        <v>0</v>
      </c>
      <c r="AA5066">
        <v>1</v>
      </c>
      <c r="AB5066">
        <v>8</v>
      </c>
      <c r="AC5066">
        <v>3</v>
      </c>
      <c r="AD5066">
        <v>0</v>
      </c>
      <c r="AE5066">
        <v>9</v>
      </c>
      <c r="AF5066" t="s">
        <v>138</v>
      </c>
      <c r="AG5066">
        <v>0</v>
      </c>
      <c r="AH5066">
        <v>3</v>
      </c>
      <c r="AI5066">
        <v>2</v>
      </c>
      <c r="AJ5066">
        <v>0</v>
      </c>
      <c r="AK5066" t="s">
        <v>1600</v>
      </c>
      <c r="AL5066">
        <v>39.235031999999997</v>
      </c>
      <c r="AM5066" t="s">
        <v>1601</v>
      </c>
      <c r="AN5066">
        <v>-121.01755900000001</v>
      </c>
      <c r="AO5066">
        <v>25</v>
      </c>
      <c r="AP5066">
        <v>3800</v>
      </c>
      <c r="AQ5066" t="s">
        <v>131</v>
      </c>
      <c r="AR5066">
        <v>-101</v>
      </c>
      <c r="AS5066">
        <v>-13</v>
      </c>
      <c r="AT5066">
        <v>-960</v>
      </c>
      <c r="BB5066" t="str">
        <f t="shared" si="2004"/>
        <v>1200</v>
      </c>
      <c r="BC5066">
        <v>1</v>
      </c>
      <c r="BD5066" t="str">
        <f t="shared" si="2005"/>
        <v xml:space="preserve">N52156  </v>
      </c>
      <c r="BE5066">
        <v>1</v>
      </c>
      <c r="BG5066">
        <v>0</v>
      </c>
      <c r="BH5066">
        <v>0</v>
      </c>
      <c r="BI5066">
        <v>0</v>
      </c>
      <c r="BJ5066">
        <v>3875</v>
      </c>
      <c r="BK5066">
        <v>75</v>
      </c>
      <c r="BL5066" t="s">
        <v>188</v>
      </c>
      <c r="BM5066">
        <v>1</v>
      </c>
      <c r="BN5066">
        <v>1</v>
      </c>
      <c r="BO5066">
        <v>0</v>
      </c>
      <c r="BP5066">
        <v>0</v>
      </c>
      <c r="BS5066">
        <v>0</v>
      </c>
      <c r="BT5066">
        <v>0</v>
      </c>
      <c r="BU5066">
        <v>0</v>
      </c>
      <c r="CE5066" t="str">
        <f t="shared" ref="CE5066:CE5071" si="2009">"15:18:36.474"</f>
        <v>15:18:36.474</v>
      </c>
      <c r="CF5066">
        <v>473508297</v>
      </c>
      <c r="CS5066">
        <v>0</v>
      </c>
      <c r="CT5066">
        <v>2</v>
      </c>
      <c r="CU5066">
        <v>0</v>
      </c>
      <c r="CV5066">
        <v>2</v>
      </c>
      <c r="CW5066">
        <v>0</v>
      </c>
      <c r="CX5066">
        <v>3</v>
      </c>
      <c r="CY5066">
        <v>7</v>
      </c>
      <c r="CZ5066" t="s">
        <v>133</v>
      </c>
      <c r="DA5066">
        <v>275</v>
      </c>
      <c r="DB5066">
        <v>0</v>
      </c>
      <c r="DC5066" t="s">
        <v>134</v>
      </c>
      <c r="DD5066" t="s">
        <v>135</v>
      </c>
      <c r="DG5066">
        <v>3323540</v>
      </c>
      <c r="DI5066">
        <v>1</v>
      </c>
      <c r="DJ5066">
        <v>0</v>
      </c>
      <c r="DK5066">
        <v>0</v>
      </c>
      <c r="DL5066">
        <v>0</v>
      </c>
      <c r="DM5066">
        <v>0</v>
      </c>
      <c r="DN5066">
        <v>0</v>
      </c>
      <c r="DO5066">
        <v>0</v>
      </c>
      <c r="DP5066">
        <v>0</v>
      </c>
      <c r="DQ5066">
        <v>0</v>
      </c>
      <c r="DR5066">
        <v>0</v>
      </c>
      <c r="DS5066">
        <v>0</v>
      </c>
    </row>
    <row r="5067" spans="1:123" x14ac:dyDescent="0.3">
      <c r="A5067" t="str">
        <f>"05/01/2025 15:18:36.688"</f>
        <v>05/01/2025 15:18:36.688</v>
      </c>
      <c r="C5067" t="str">
        <f t="shared" si="2002"/>
        <v>FFDFD3C0</v>
      </c>
      <c r="D5067" t="s">
        <v>140</v>
      </c>
      <c r="E5067" t="str">
        <f>"13"</f>
        <v>13</v>
      </c>
      <c r="F5067">
        <v>1019</v>
      </c>
      <c r="G5067" t="s">
        <v>141</v>
      </c>
      <c r="J5067" t="s">
        <v>142</v>
      </c>
      <c r="K5067">
        <v>0</v>
      </c>
      <c r="L5067">
        <v>3</v>
      </c>
      <c r="M5067">
        <v>0</v>
      </c>
      <c r="N5067">
        <v>2</v>
      </c>
      <c r="O5067">
        <v>0</v>
      </c>
      <c r="P5067">
        <v>1</v>
      </c>
      <c r="Q5067">
        <v>0</v>
      </c>
      <c r="R5067" t="s">
        <v>127</v>
      </c>
      <c r="S5067" t="str">
        <f t="shared" si="2008"/>
        <v>15:18:36.000</v>
      </c>
      <c r="T5067" t="str">
        <f t="shared" si="2008"/>
        <v>15:18:36.000</v>
      </c>
      <c r="U5067" t="str">
        <f t="shared" si="2003"/>
        <v>A68FCB</v>
      </c>
      <c r="V5067">
        <v>0</v>
      </c>
      <c r="W5067">
        <v>0</v>
      </c>
      <c r="X5067">
        <v>2</v>
      </c>
      <c r="Y5067">
        <v>0</v>
      </c>
      <c r="AA5067">
        <v>1</v>
      </c>
      <c r="AB5067">
        <v>8</v>
      </c>
      <c r="AC5067">
        <v>3</v>
      </c>
      <c r="AD5067">
        <v>0</v>
      </c>
      <c r="AE5067">
        <v>9</v>
      </c>
      <c r="AF5067" t="s">
        <v>138</v>
      </c>
      <c r="AG5067">
        <v>0</v>
      </c>
      <c r="AH5067">
        <v>3</v>
      </c>
      <c r="AI5067">
        <v>2</v>
      </c>
      <c r="AJ5067">
        <v>0</v>
      </c>
      <c r="AK5067" t="s">
        <v>1600</v>
      </c>
      <c r="AL5067">
        <v>39.235031999999997</v>
      </c>
      <c r="AM5067" t="s">
        <v>1601</v>
      </c>
      <c r="AN5067">
        <v>-121.01755900000001</v>
      </c>
      <c r="AO5067">
        <v>25</v>
      </c>
      <c r="AP5067">
        <v>3800</v>
      </c>
      <c r="AQ5067" t="s">
        <v>131</v>
      </c>
      <c r="AR5067">
        <v>-101</v>
      </c>
      <c r="AS5067">
        <v>-13</v>
      </c>
      <c r="AT5067">
        <v>-960</v>
      </c>
      <c r="BB5067" t="str">
        <f t="shared" si="2004"/>
        <v>1200</v>
      </c>
      <c r="BC5067">
        <v>1</v>
      </c>
      <c r="BD5067" t="str">
        <f t="shared" si="2005"/>
        <v xml:space="preserve">N52156  </v>
      </c>
      <c r="BE5067">
        <v>1</v>
      </c>
      <c r="BG5067">
        <v>0</v>
      </c>
      <c r="BH5067">
        <v>0</v>
      </c>
      <c r="BI5067">
        <v>0</v>
      </c>
      <c r="BJ5067">
        <v>3875</v>
      </c>
      <c r="BK5067">
        <v>75</v>
      </c>
      <c r="BL5067" t="s">
        <v>188</v>
      </c>
      <c r="BM5067">
        <v>1</v>
      </c>
      <c r="BN5067">
        <v>1</v>
      </c>
      <c r="BO5067">
        <v>0</v>
      </c>
      <c r="BP5067">
        <v>0</v>
      </c>
      <c r="BS5067">
        <v>0</v>
      </c>
      <c r="BT5067">
        <v>0</v>
      </c>
      <c r="BU5067">
        <v>0</v>
      </c>
      <c r="CE5067" t="str">
        <f t="shared" si="2009"/>
        <v>15:18:36.474</v>
      </c>
      <c r="CF5067">
        <v>473508297</v>
      </c>
      <c r="CS5067">
        <v>0</v>
      </c>
      <c r="CT5067">
        <v>2</v>
      </c>
      <c r="CU5067">
        <v>0</v>
      </c>
      <c r="CV5067">
        <v>2</v>
      </c>
      <c r="CW5067">
        <v>0</v>
      </c>
      <c r="CX5067">
        <v>3</v>
      </c>
      <c r="CY5067">
        <v>7</v>
      </c>
      <c r="CZ5067" t="s">
        <v>133</v>
      </c>
      <c r="DA5067">
        <v>275</v>
      </c>
      <c r="DB5067">
        <v>0</v>
      </c>
      <c r="DC5067" t="s">
        <v>134</v>
      </c>
      <c r="DD5067" t="s">
        <v>135</v>
      </c>
      <c r="DG5067">
        <v>3323540</v>
      </c>
      <c r="DI5067">
        <v>1</v>
      </c>
      <c r="DJ5067">
        <v>0</v>
      </c>
      <c r="DK5067">
        <v>1</v>
      </c>
      <c r="DL5067">
        <v>0</v>
      </c>
      <c r="DM5067">
        <v>0</v>
      </c>
      <c r="DN5067">
        <v>0</v>
      </c>
      <c r="DO5067">
        <v>0</v>
      </c>
      <c r="DP5067">
        <v>0</v>
      </c>
      <c r="DQ5067">
        <v>0</v>
      </c>
      <c r="DR5067">
        <v>0</v>
      </c>
      <c r="DS5067">
        <v>0</v>
      </c>
    </row>
    <row r="5068" spans="1:123" x14ac:dyDescent="0.3">
      <c r="A5068" t="str">
        <f>"05/01/2025 15:18:36.691"</f>
        <v>05/01/2025 15:18:36.691</v>
      </c>
      <c r="C5068" t="str">
        <f t="shared" si="2002"/>
        <v>FFDFD3C0</v>
      </c>
      <c r="D5068" t="s">
        <v>124</v>
      </c>
      <c r="E5068" t="str">
        <f>"06"</f>
        <v>06</v>
      </c>
      <c r="F5068">
        <v>2006</v>
      </c>
      <c r="G5068" t="s">
        <v>125</v>
      </c>
      <c r="J5068" t="s">
        <v>126</v>
      </c>
      <c r="K5068">
        <v>0</v>
      </c>
      <c r="L5068">
        <v>3</v>
      </c>
      <c r="M5068">
        <v>0</v>
      </c>
      <c r="N5068">
        <v>2</v>
      </c>
      <c r="O5068">
        <v>0</v>
      </c>
      <c r="P5068">
        <v>1</v>
      </c>
      <c r="Q5068">
        <v>0</v>
      </c>
      <c r="R5068" t="s">
        <v>127</v>
      </c>
      <c r="S5068" t="str">
        <f t="shared" si="2008"/>
        <v>15:18:36.000</v>
      </c>
      <c r="T5068" t="str">
        <f t="shared" si="2008"/>
        <v>15:18:36.000</v>
      </c>
      <c r="U5068" t="str">
        <f t="shared" si="2003"/>
        <v>A68FCB</v>
      </c>
      <c r="V5068">
        <v>0</v>
      </c>
      <c r="W5068">
        <v>0</v>
      </c>
      <c r="X5068">
        <v>2</v>
      </c>
      <c r="Y5068">
        <v>0</v>
      </c>
      <c r="AA5068">
        <v>1</v>
      </c>
      <c r="AB5068">
        <v>8</v>
      </c>
      <c r="AC5068">
        <v>3</v>
      </c>
      <c r="AD5068">
        <v>0</v>
      </c>
      <c r="AE5068">
        <v>9</v>
      </c>
      <c r="AF5068" t="s">
        <v>138</v>
      </c>
      <c r="AG5068">
        <v>0</v>
      </c>
      <c r="AH5068">
        <v>3</v>
      </c>
      <c r="AI5068">
        <v>2</v>
      </c>
      <c r="AJ5068">
        <v>0</v>
      </c>
      <c r="AK5068" t="s">
        <v>1600</v>
      </c>
      <c r="AL5068">
        <v>39.235031999999997</v>
      </c>
      <c r="AM5068" t="s">
        <v>1601</v>
      </c>
      <c r="AN5068">
        <v>-121.01755900000001</v>
      </c>
      <c r="AO5068">
        <v>25</v>
      </c>
      <c r="AP5068">
        <v>3800</v>
      </c>
      <c r="AQ5068" t="s">
        <v>131</v>
      </c>
      <c r="AR5068">
        <v>-101</v>
      </c>
      <c r="AS5068">
        <v>-13</v>
      </c>
      <c r="AT5068">
        <v>-960</v>
      </c>
      <c r="BB5068" t="str">
        <f t="shared" si="2004"/>
        <v>1200</v>
      </c>
      <c r="BC5068">
        <v>1</v>
      </c>
      <c r="BD5068" t="str">
        <f t="shared" si="2005"/>
        <v xml:space="preserve">N52156  </v>
      </c>
      <c r="BE5068">
        <v>1</v>
      </c>
      <c r="BG5068">
        <v>0</v>
      </c>
      <c r="BH5068">
        <v>0</v>
      </c>
      <c r="BI5068">
        <v>0</v>
      </c>
      <c r="BJ5068">
        <v>3875</v>
      </c>
      <c r="BK5068">
        <v>75</v>
      </c>
      <c r="BL5068" t="s">
        <v>188</v>
      </c>
      <c r="BM5068">
        <v>1</v>
      </c>
      <c r="BN5068">
        <v>1</v>
      </c>
      <c r="BO5068">
        <v>0</v>
      </c>
      <c r="BP5068">
        <v>0</v>
      </c>
      <c r="BS5068">
        <v>0</v>
      </c>
      <c r="BT5068">
        <v>0</v>
      </c>
      <c r="BU5068">
        <v>0</v>
      </c>
      <c r="CE5068" t="str">
        <f t="shared" si="2009"/>
        <v>15:18:36.474</v>
      </c>
      <c r="CF5068">
        <v>473508297</v>
      </c>
      <c r="CS5068">
        <v>0</v>
      </c>
      <c r="CT5068">
        <v>2</v>
      </c>
      <c r="CU5068">
        <v>0</v>
      </c>
      <c r="CV5068">
        <v>2</v>
      </c>
      <c r="CW5068">
        <v>0</v>
      </c>
      <c r="CX5068">
        <v>3</v>
      </c>
      <c r="CY5068">
        <v>7</v>
      </c>
      <c r="CZ5068" t="s">
        <v>133</v>
      </c>
      <c r="DA5068">
        <v>275</v>
      </c>
      <c r="DB5068">
        <v>0</v>
      </c>
      <c r="DC5068" t="s">
        <v>134</v>
      </c>
      <c r="DD5068" t="s">
        <v>135</v>
      </c>
      <c r="DG5068">
        <v>3323540</v>
      </c>
      <c r="DI5068">
        <v>1</v>
      </c>
      <c r="DJ5068">
        <v>0</v>
      </c>
      <c r="DK5068">
        <v>1</v>
      </c>
      <c r="DL5068">
        <v>0</v>
      </c>
      <c r="DM5068">
        <v>0</v>
      </c>
      <c r="DN5068">
        <v>0</v>
      </c>
      <c r="DO5068">
        <v>0</v>
      </c>
      <c r="DP5068">
        <v>0</v>
      </c>
      <c r="DQ5068">
        <v>0</v>
      </c>
      <c r="DR5068">
        <v>0</v>
      </c>
      <c r="DS5068">
        <v>0</v>
      </c>
    </row>
    <row r="5069" spans="1:123" x14ac:dyDescent="0.3">
      <c r="A5069" t="str">
        <f>"05/01/2025 15:18:36.699"</f>
        <v>05/01/2025 15:18:36.699</v>
      </c>
      <c r="C5069" t="str">
        <f t="shared" si="2002"/>
        <v>FFDFD3C0</v>
      </c>
      <c r="D5069" t="s">
        <v>143</v>
      </c>
      <c r="E5069" t="str">
        <f>"05"</f>
        <v>05</v>
      </c>
      <c r="H5069">
        <v>172</v>
      </c>
      <c r="I5069" t="s">
        <v>141</v>
      </c>
      <c r="J5069" t="s">
        <v>144</v>
      </c>
      <c r="K5069">
        <v>0</v>
      </c>
      <c r="L5069">
        <v>3</v>
      </c>
      <c r="M5069">
        <v>0</v>
      </c>
      <c r="N5069">
        <v>2</v>
      </c>
      <c r="O5069">
        <v>0</v>
      </c>
      <c r="P5069">
        <v>1</v>
      </c>
      <c r="Q5069">
        <v>0</v>
      </c>
      <c r="R5069" t="s">
        <v>127</v>
      </c>
      <c r="S5069" t="str">
        <f t="shared" si="2008"/>
        <v>15:18:36.000</v>
      </c>
      <c r="T5069" t="str">
        <f t="shared" si="2008"/>
        <v>15:18:36.000</v>
      </c>
      <c r="U5069" t="str">
        <f t="shared" si="2003"/>
        <v>A68FCB</v>
      </c>
      <c r="V5069">
        <v>0</v>
      </c>
      <c r="W5069">
        <v>0</v>
      </c>
      <c r="X5069">
        <v>2</v>
      </c>
      <c r="Y5069">
        <v>0</v>
      </c>
      <c r="AA5069">
        <v>1</v>
      </c>
      <c r="AB5069">
        <v>8</v>
      </c>
      <c r="AC5069">
        <v>3</v>
      </c>
      <c r="AD5069">
        <v>0</v>
      </c>
      <c r="AE5069">
        <v>9</v>
      </c>
      <c r="AF5069" t="s">
        <v>138</v>
      </c>
      <c r="AG5069">
        <v>0</v>
      </c>
      <c r="AH5069">
        <v>3</v>
      </c>
      <c r="AI5069">
        <v>2</v>
      </c>
      <c r="AJ5069">
        <v>0</v>
      </c>
      <c r="AK5069" t="s">
        <v>1600</v>
      </c>
      <c r="AL5069">
        <v>39.235031999999997</v>
      </c>
      <c r="AM5069" t="s">
        <v>1601</v>
      </c>
      <c r="AN5069">
        <v>-121.01755900000001</v>
      </c>
      <c r="AO5069">
        <v>25</v>
      </c>
      <c r="AP5069">
        <v>3800</v>
      </c>
      <c r="AQ5069" t="s">
        <v>131</v>
      </c>
      <c r="AR5069">
        <v>-101</v>
      </c>
      <c r="AS5069">
        <v>-13</v>
      </c>
      <c r="AT5069">
        <v>-960</v>
      </c>
      <c r="BB5069" t="str">
        <f t="shared" si="2004"/>
        <v>1200</v>
      </c>
      <c r="BC5069">
        <v>1</v>
      </c>
      <c r="BD5069" t="str">
        <f t="shared" si="2005"/>
        <v xml:space="preserve">N52156  </v>
      </c>
      <c r="BE5069">
        <v>1</v>
      </c>
      <c r="BG5069">
        <v>0</v>
      </c>
      <c r="BH5069">
        <v>0</v>
      </c>
      <c r="BI5069">
        <v>0</v>
      </c>
      <c r="BJ5069">
        <v>3875</v>
      </c>
      <c r="BK5069">
        <v>75</v>
      </c>
      <c r="BL5069" t="s">
        <v>188</v>
      </c>
      <c r="BM5069">
        <v>1</v>
      </c>
      <c r="BN5069">
        <v>1</v>
      </c>
      <c r="BO5069">
        <v>0</v>
      </c>
      <c r="BP5069">
        <v>0</v>
      </c>
      <c r="BS5069">
        <v>0</v>
      </c>
      <c r="BT5069">
        <v>0</v>
      </c>
      <c r="BU5069">
        <v>0</v>
      </c>
      <c r="CE5069" t="str">
        <f t="shared" si="2009"/>
        <v>15:18:36.474</v>
      </c>
      <c r="CF5069">
        <v>473508297</v>
      </c>
      <c r="CS5069">
        <v>0</v>
      </c>
      <c r="CT5069">
        <v>2</v>
      </c>
      <c r="CU5069">
        <v>0</v>
      </c>
      <c r="CV5069">
        <v>2</v>
      </c>
      <c r="CW5069">
        <v>0</v>
      </c>
      <c r="CX5069">
        <v>3</v>
      </c>
      <c r="CY5069">
        <v>7</v>
      </c>
      <c r="CZ5069" t="s">
        <v>133</v>
      </c>
      <c r="DA5069">
        <v>275</v>
      </c>
      <c r="DB5069">
        <v>0</v>
      </c>
      <c r="DC5069" t="s">
        <v>134</v>
      </c>
      <c r="DD5069" t="s">
        <v>135</v>
      </c>
      <c r="DG5069">
        <v>3323540</v>
      </c>
      <c r="DI5069">
        <v>1</v>
      </c>
      <c r="DJ5069">
        <v>0</v>
      </c>
      <c r="DK5069">
        <v>1</v>
      </c>
      <c r="DL5069">
        <v>0</v>
      </c>
      <c r="DM5069">
        <v>0</v>
      </c>
      <c r="DN5069">
        <v>0</v>
      </c>
      <c r="DO5069">
        <v>0</v>
      </c>
      <c r="DP5069">
        <v>0</v>
      </c>
      <c r="DQ5069">
        <v>0</v>
      </c>
      <c r="DR5069">
        <v>0</v>
      </c>
      <c r="DS5069">
        <v>0</v>
      </c>
    </row>
    <row r="5070" spans="1:123" x14ac:dyDescent="0.3">
      <c r="A5070" t="str">
        <f>"05/01/2025 15:18:36.713"</f>
        <v>05/01/2025 15:18:36.713</v>
      </c>
      <c r="C5070" t="str">
        <f t="shared" si="2002"/>
        <v>FFDFD3C0</v>
      </c>
      <c r="D5070" t="s">
        <v>145</v>
      </c>
      <c r="E5070" t="str">
        <f>"05"</f>
        <v>05</v>
      </c>
      <c r="H5070">
        <v>47</v>
      </c>
      <c r="I5070" t="s">
        <v>146</v>
      </c>
      <c r="J5070" t="s">
        <v>138</v>
      </c>
      <c r="K5070">
        <v>0</v>
      </c>
      <c r="L5070">
        <v>3</v>
      </c>
      <c r="M5070">
        <v>0</v>
      </c>
      <c r="N5070">
        <v>2</v>
      </c>
      <c r="O5070">
        <v>0</v>
      </c>
      <c r="P5070">
        <v>1</v>
      </c>
      <c r="Q5070">
        <v>0</v>
      </c>
      <c r="R5070" t="s">
        <v>127</v>
      </c>
      <c r="S5070" t="str">
        <f t="shared" si="2008"/>
        <v>15:18:36.000</v>
      </c>
      <c r="T5070" t="str">
        <f t="shared" si="2008"/>
        <v>15:18:36.000</v>
      </c>
      <c r="U5070" t="str">
        <f t="shared" si="2003"/>
        <v>A68FCB</v>
      </c>
      <c r="V5070">
        <v>0</v>
      </c>
      <c r="W5070">
        <v>0</v>
      </c>
      <c r="X5070">
        <v>2</v>
      </c>
      <c r="Y5070">
        <v>0</v>
      </c>
      <c r="AA5070">
        <v>1</v>
      </c>
      <c r="AB5070">
        <v>8</v>
      </c>
      <c r="AC5070">
        <v>3</v>
      </c>
      <c r="AD5070">
        <v>0</v>
      </c>
      <c r="AE5070">
        <v>9</v>
      </c>
      <c r="AF5070" t="s">
        <v>138</v>
      </c>
      <c r="AG5070">
        <v>0</v>
      </c>
      <c r="AH5070">
        <v>3</v>
      </c>
      <c r="AI5070">
        <v>2</v>
      </c>
      <c r="AJ5070">
        <v>0</v>
      </c>
      <c r="AK5070" t="s">
        <v>1600</v>
      </c>
      <c r="AL5070">
        <v>39.235031999999997</v>
      </c>
      <c r="AM5070" t="s">
        <v>1601</v>
      </c>
      <c r="AN5070">
        <v>-121.01755900000001</v>
      </c>
      <c r="AO5070">
        <v>25</v>
      </c>
      <c r="AP5070">
        <v>3800</v>
      </c>
      <c r="AQ5070" t="s">
        <v>131</v>
      </c>
      <c r="AR5070">
        <v>-101</v>
      </c>
      <c r="AS5070">
        <v>-13</v>
      </c>
      <c r="AT5070">
        <v>-960</v>
      </c>
      <c r="BB5070" t="str">
        <f t="shared" si="2004"/>
        <v>1200</v>
      </c>
      <c r="BC5070">
        <v>1</v>
      </c>
      <c r="BD5070" t="str">
        <f t="shared" si="2005"/>
        <v xml:space="preserve">N52156  </v>
      </c>
      <c r="BE5070">
        <v>1</v>
      </c>
      <c r="BG5070">
        <v>0</v>
      </c>
      <c r="BH5070">
        <v>0</v>
      </c>
      <c r="BI5070">
        <v>0</v>
      </c>
      <c r="BJ5070">
        <v>3875</v>
      </c>
      <c r="BK5070">
        <v>75</v>
      </c>
      <c r="BL5070" t="s">
        <v>188</v>
      </c>
      <c r="BM5070">
        <v>1</v>
      </c>
      <c r="BN5070">
        <v>1</v>
      </c>
      <c r="BO5070">
        <v>0</v>
      </c>
      <c r="BP5070">
        <v>0</v>
      </c>
      <c r="BS5070">
        <v>0</v>
      </c>
      <c r="BT5070">
        <v>0</v>
      </c>
      <c r="BU5070">
        <v>0</v>
      </c>
      <c r="CE5070" t="str">
        <f t="shared" si="2009"/>
        <v>15:18:36.474</v>
      </c>
      <c r="CF5070">
        <v>473508297</v>
      </c>
      <c r="CS5070">
        <v>0</v>
      </c>
      <c r="CT5070">
        <v>2</v>
      </c>
      <c r="CU5070">
        <v>0</v>
      </c>
      <c r="CV5070">
        <v>2</v>
      </c>
      <c r="CW5070">
        <v>0</v>
      </c>
      <c r="CX5070">
        <v>3</v>
      </c>
      <c r="CY5070">
        <v>7</v>
      </c>
      <c r="CZ5070" t="s">
        <v>133</v>
      </c>
      <c r="DA5070">
        <v>275</v>
      </c>
      <c r="DB5070">
        <v>0</v>
      </c>
      <c r="DC5070" t="s">
        <v>134</v>
      </c>
      <c r="DD5070" t="s">
        <v>135</v>
      </c>
      <c r="DG5070">
        <v>3323540</v>
      </c>
      <c r="DI5070">
        <v>1</v>
      </c>
      <c r="DJ5070">
        <v>0</v>
      </c>
      <c r="DK5070">
        <v>1</v>
      </c>
      <c r="DL5070">
        <v>0</v>
      </c>
      <c r="DM5070">
        <v>0</v>
      </c>
      <c r="DN5070">
        <v>0</v>
      </c>
      <c r="DO5070">
        <v>0</v>
      </c>
      <c r="DP5070">
        <v>0</v>
      </c>
      <c r="DQ5070">
        <v>0</v>
      </c>
      <c r="DR5070">
        <v>0</v>
      </c>
      <c r="DS5070">
        <v>0</v>
      </c>
    </row>
    <row r="5071" spans="1:123" x14ac:dyDescent="0.3">
      <c r="A5071" t="str">
        <f>"05/01/2025 15:18:36.713"</f>
        <v>05/01/2025 15:18:36.713</v>
      </c>
      <c r="C5071" t="str">
        <f t="shared" si="2002"/>
        <v>FFDFD3C0</v>
      </c>
      <c r="D5071" t="s">
        <v>145</v>
      </c>
      <c r="E5071" t="str">
        <f>"09"</f>
        <v>09</v>
      </c>
      <c r="H5071">
        <v>51</v>
      </c>
      <c r="I5071" t="s">
        <v>147</v>
      </c>
      <c r="J5071" t="s">
        <v>138</v>
      </c>
      <c r="K5071">
        <v>0</v>
      </c>
      <c r="L5071">
        <v>3</v>
      </c>
      <c r="M5071">
        <v>0</v>
      </c>
      <c r="N5071">
        <v>2</v>
      </c>
      <c r="O5071">
        <v>0</v>
      </c>
      <c r="P5071">
        <v>1</v>
      </c>
      <c r="Q5071">
        <v>0</v>
      </c>
      <c r="R5071" t="s">
        <v>127</v>
      </c>
      <c r="S5071" t="str">
        <f t="shared" si="2008"/>
        <v>15:18:36.000</v>
      </c>
      <c r="T5071" t="str">
        <f t="shared" si="2008"/>
        <v>15:18:36.000</v>
      </c>
      <c r="U5071" t="str">
        <f t="shared" si="2003"/>
        <v>A68FCB</v>
      </c>
      <c r="V5071">
        <v>0</v>
      </c>
      <c r="W5071">
        <v>0</v>
      </c>
      <c r="X5071">
        <v>2</v>
      </c>
      <c r="Y5071">
        <v>0</v>
      </c>
      <c r="AA5071">
        <v>1</v>
      </c>
      <c r="AB5071">
        <v>8</v>
      </c>
      <c r="AC5071">
        <v>3</v>
      </c>
      <c r="AD5071">
        <v>0</v>
      </c>
      <c r="AE5071">
        <v>9</v>
      </c>
      <c r="AF5071" t="s">
        <v>138</v>
      </c>
      <c r="AG5071">
        <v>0</v>
      </c>
      <c r="AH5071">
        <v>3</v>
      </c>
      <c r="AI5071">
        <v>2</v>
      </c>
      <c r="AJ5071">
        <v>0</v>
      </c>
      <c r="AK5071" t="s">
        <v>1600</v>
      </c>
      <c r="AL5071">
        <v>39.235031999999997</v>
      </c>
      <c r="AM5071" t="s">
        <v>1601</v>
      </c>
      <c r="AN5071">
        <v>-121.01755900000001</v>
      </c>
      <c r="AO5071">
        <v>25</v>
      </c>
      <c r="AP5071">
        <v>3800</v>
      </c>
      <c r="AQ5071" t="s">
        <v>131</v>
      </c>
      <c r="AR5071">
        <v>-101</v>
      </c>
      <c r="AS5071">
        <v>-13</v>
      </c>
      <c r="AT5071">
        <v>-960</v>
      </c>
      <c r="BB5071" t="str">
        <f t="shared" si="2004"/>
        <v>1200</v>
      </c>
      <c r="BC5071">
        <v>1</v>
      </c>
      <c r="BD5071" t="str">
        <f t="shared" si="2005"/>
        <v xml:space="preserve">N52156  </v>
      </c>
      <c r="BE5071">
        <v>1</v>
      </c>
      <c r="BG5071">
        <v>0</v>
      </c>
      <c r="BH5071">
        <v>0</v>
      </c>
      <c r="BI5071">
        <v>0</v>
      </c>
      <c r="BJ5071">
        <v>3875</v>
      </c>
      <c r="BK5071">
        <v>75</v>
      </c>
      <c r="BL5071" t="s">
        <v>188</v>
      </c>
      <c r="BM5071">
        <v>1</v>
      </c>
      <c r="BN5071">
        <v>1</v>
      </c>
      <c r="BO5071">
        <v>0</v>
      </c>
      <c r="BP5071">
        <v>0</v>
      </c>
      <c r="BS5071">
        <v>0</v>
      </c>
      <c r="BT5071">
        <v>0</v>
      </c>
      <c r="BU5071">
        <v>0</v>
      </c>
      <c r="CE5071" t="str">
        <f t="shared" si="2009"/>
        <v>15:18:36.474</v>
      </c>
      <c r="CF5071">
        <v>473508297</v>
      </c>
      <c r="CS5071">
        <v>0</v>
      </c>
      <c r="CT5071">
        <v>2</v>
      </c>
      <c r="CU5071">
        <v>0</v>
      </c>
      <c r="CV5071">
        <v>2</v>
      </c>
      <c r="CW5071">
        <v>0</v>
      </c>
      <c r="CX5071">
        <v>3</v>
      </c>
      <c r="CY5071">
        <v>7</v>
      </c>
      <c r="CZ5071" t="s">
        <v>133</v>
      </c>
      <c r="DA5071">
        <v>275</v>
      </c>
      <c r="DB5071">
        <v>0</v>
      </c>
      <c r="DC5071" t="s">
        <v>134</v>
      </c>
      <c r="DD5071" t="s">
        <v>135</v>
      </c>
      <c r="DG5071">
        <v>3323540</v>
      </c>
      <c r="DI5071">
        <v>1</v>
      </c>
      <c r="DJ5071">
        <v>0</v>
      </c>
      <c r="DK5071">
        <v>1</v>
      </c>
      <c r="DL5071">
        <v>0</v>
      </c>
      <c r="DM5071">
        <v>0</v>
      </c>
      <c r="DN5071">
        <v>0</v>
      </c>
      <c r="DO5071">
        <v>0</v>
      </c>
      <c r="DP5071">
        <v>0</v>
      </c>
      <c r="DQ5071">
        <v>0</v>
      </c>
      <c r="DR5071">
        <v>0</v>
      </c>
      <c r="DS5071">
        <v>0</v>
      </c>
    </row>
    <row r="5072" spans="1:123" x14ac:dyDescent="0.3">
      <c r="A5072" t="str">
        <f>"05/01/2025 15:18:37.965"</f>
        <v>05/01/2025 15:18:37.965</v>
      </c>
      <c r="C5072" t="str">
        <f t="shared" si="2002"/>
        <v>FFDFD3C0</v>
      </c>
      <c r="D5072" t="s">
        <v>145</v>
      </c>
      <c r="E5072" t="str">
        <f>"09"</f>
        <v>09</v>
      </c>
      <c r="H5072">
        <v>51</v>
      </c>
      <c r="I5072" t="s">
        <v>147</v>
      </c>
      <c r="J5072" t="s">
        <v>138</v>
      </c>
      <c r="K5072">
        <v>0</v>
      </c>
      <c r="L5072">
        <v>3</v>
      </c>
      <c r="M5072">
        <v>0</v>
      </c>
      <c r="N5072">
        <v>2</v>
      </c>
      <c r="O5072">
        <v>0</v>
      </c>
      <c r="P5072">
        <v>1</v>
      </c>
      <c r="Q5072">
        <v>0</v>
      </c>
      <c r="R5072" t="s">
        <v>127</v>
      </c>
      <c r="S5072" t="str">
        <f t="shared" ref="S5072:T5077" si="2010">"15:18:37.000"</f>
        <v>15:18:37.000</v>
      </c>
      <c r="T5072" t="str">
        <f t="shared" si="2010"/>
        <v>15:18:37.000</v>
      </c>
      <c r="U5072" t="str">
        <f t="shared" si="2003"/>
        <v>A68FCB</v>
      </c>
      <c r="V5072">
        <v>0</v>
      </c>
      <c r="W5072">
        <v>0</v>
      </c>
      <c r="X5072">
        <v>2</v>
      </c>
      <c r="Y5072">
        <v>0</v>
      </c>
      <c r="AA5072">
        <v>1</v>
      </c>
      <c r="AB5072">
        <v>8</v>
      </c>
      <c r="AC5072">
        <v>3</v>
      </c>
      <c r="AD5072">
        <v>0</v>
      </c>
      <c r="AE5072">
        <v>9</v>
      </c>
      <c r="AF5072" t="s">
        <v>138</v>
      </c>
      <c r="AG5072">
        <v>0</v>
      </c>
      <c r="AH5072">
        <v>3</v>
      </c>
      <c r="AI5072">
        <v>2</v>
      </c>
      <c r="AJ5072">
        <v>0</v>
      </c>
      <c r="AK5072" t="s">
        <v>1602</v>
      </c>
      <c r="AL5072">
        <v>39.234946000000001</v>
      </c>
      <c r="AM5072" t="s">
        <v>1603</v>
      </c>
      <c r="AN5072">
        <v>-121.018181</v>
      </c>
      <c r="AO5072">
        <v>25</v>
      </c>
      <c r="AP5072">
        <v>3800</v>
      </c>
      <c r="AQ5072" t="s">
        <v>131</v>
      </c>
      <c r="AR5072">
        <v>-97</v>
      </c>
      <c r="AS5072">
        <v>-7</v>
      </c>
      <c r="AT5072">
        <v>-1408</v>
      </c>
      <c r="BB5072" t="str">
        <f t="shared" si="2004"/>
        <v>1200</v>
      </c>
      <c r="BC5072">
        <v>1</v>
      </c>
      <c r="BD5072" t="str">
        <f t="shared" si="2005"/>
        <v xml:space="preserve">N52156  </v>
      </c>
      <c r="BE5072">
        <v>1</v>
      </c>
      <c r="BG5072">
        <v>0</v>
      </c>
      <c r="BH5072">
        <v>0</v>
      </c>
      <c r="BI5072">
        <v>0</v>
      </c>
      <c r="BJ5072">
        <v>3875</v>
      </c>
      <c r="BK5072">
        <v>75</v>
      </c>
      <c r="BL5072" t="s">
        <v>188</v>
      </c>
      <c r="BM5072">
        <v>1</v>
      </c>
      <c r="BN5072">
        <v>1</v>
      </c>
      <c r="BO5072">
        <v>0</v>
      </c>
      <c r="BP5072">
        <v>0</v>
      </c>
      <c r="BS5072">
        <v>0</v>
      </c>
      <c r="BT5072">
        <v>0</v>
      </c>
      <c r="BU5072">
        <v>0</v>
      </c>
      <c r="CE5072" t="str">
        <f t="shared" ref="CE5072:CE5077" si="2011">"15:18:37.758"</f>
        <v>15:18:37.758</v>
      </c>
      <c r="CF5072">
        <v>757508799</v>
      </c>
      <c r="CS5072">
        <v>0</v>
      </c>
      <c r="CT5072">
        <v>2</v>
      </c>
      <c r="CU5072">
        <v>0</v>
      </c>
      <c r="CV5072">
        <v>2</v>
      </c>
      <c r="CW5072">
        <v>0</v>
      </c>
      <c r="CX5072">
        <v>3</v>
      </c>
      <c r="CY5072">
        <v>7</v>
      </c>
      <c r="CZ5072" t="s">
        <v>133</v>
      </c>
      <c r="DA5072">
        <v>275</v>
      </c>
      <c r="DB5072">
        <v>0</v>
      </c>
      <c r="DC5072" t="s">
        <v>134</v>
      </c>
      <c r="DD5072" t="s">
        <v>135</v>
      </c>
      <c r="DG5072">
        <v>3323551</v>
      </c>
      <c r="DI5072">
        <v>1</v>
      </c>
      <c r="DJ5072">
        <v>0</v>
      </c>
      <c r="DK5072">
        <v>0</v>
      </c>
      <c r="DL5072">
        <v>0</v>
      </c>
      <c r="DM5072">
        <v>0</v>
      </c>
      <c r="DN5072">
        <v>0</v>
      </c>
      <c r="DO5072">
        <v>0</v>
      </c>
      <c r="DP5072">
        <v>0</v>
      </c>
      <c r="DQ5072">
        <v>0</v>
      </c>
      <c r="DR5072">
        <v>0</v>
      </c>
      <c r="DS5072">
        <v>0</v>
      </c>
    </row>
    <row r="5073" spans="1:123" x14ac:dyDescent="0.3">
      <c r="A5073" t="str">
        <f>"05/01/2025 15:18:37.965"</f>
        <v>05/01/2025 15:18:37.965</v>
      </c>
      <c r="C5073" t="str">
        <f t="shared" si="2002"/>
        <v>FFDFD3C0</v>
      </c>
      <c r="D5073" t="s">
        <v>145</v>
      </c>
      <c r="E5073" t="str">
        <f>"05"</f>
        <v>05</v>
      </c>
      <c r="H5073">
        <v>47</v>
      </c>
      <c r="I5073" t="s">
        <v>146</v>
      </c>
      <c r="J5073" t="s">
        <v>138</v>
      </c>
      <c r="K5073">
        <v>0</v>
      </c>
      <c r="L5073">
        <v>3</v>
      </c>
      <c r="M5073">
        <v>0</v>
      </c>
      <c r="N5073">
        <v>2</v>
      </c>
      <c r="O5073">
        <v>0</v>
      </c>
      <c r="P5073">
        <v>1</v>
      </c>
      <c r="Q5073">
        <v>0</v>
      </c>
      <c r="R5073" t="s">
        <v>127</v>
      </c>
      <c r="S5073" t="str">
        <f t="shared" si="2010"/>
        <v>15:18:37.000</v>
      </c>
      <c r="T5073" t="str">
        <f t="shared" si="2010"/>
        <v>15:18:37.000</v>
      </c>
      <c r="U5073" t="str">
        <f t="shared" si="2003"/>
        <v>A68FCB</v>
      </c>
      <c r="V5073">
        <v>0</v>
      </c>
      <c r="W5073">
        <v>0</v>
      </c>
      <c r="X5073">
        <v>2</v>
      </c>
      <c r="Y5073">
        <v>0</v>
      </c>
      <c r="AA5073">
        <v>1</v>
      </c>
      <c r="AB5073">
        <v>8</v>
      </c>
      <c r="AC5073">
        <v>3</v>
      </c>
      <c r="AD5073">
        <v>0</v>
      </c>
      <c r="AE5073">
        <v>9</v>
      </c>
      <c r="AF5073" t="s">
        <v>138</v>
      </c>
      <c r="AG5073">
        <v>0</v>
      </c>
      <c r="AH5073">
        <v>3</v>
      </c>
      <c r="AI5073">
        <v>2</v>
      </c>
      <c r="AJ5073">
        <v>0</v>
      </c>
      <c r="AK5073" t="s">
        <v>1602</v>
      </c>
      <c r="AL5073">
        <v>39.234946000000001</v>
      </c>
      <c r="AM5073" t="s">
        <v>1603</v>
      </c>
      <c r="AN5073">
        <v>-121.018181</v>
      </c>
      <c r="AO5073">
        <v>25</v>
      </c>
      <c r="AP5073">
        <v>3800</v>
      </c>
      <c r="AQ5073" t="s">
        <v>131</v>
      </c>
      <c r="AR5073">
        <v>-97</v>
      </c>
      <c r="AS5073">
        <v>-7</v>
      </c>
      <c r="AT5073">
        <v>-1408</v>
      </c>
      <c r="BB5073" t="str">
        <f t="shared" si="2004"/>
        <v>1200</v>
      </c>
      <c r="BC5073">
        <v>1</v>
      </c>
      <c r="BD5073" t="str">
        <f t="shared" si="2005"/>
        <v xml:space="preserve">N52156  </v>
      </c>
      <c r="BE5073">
        <v>1</v>
      </c>
      <c r="BG5073">
        <v>0</v>
      </c>
      <c r="BH5073">
        <v>0</v>
      </c>
      <c r="BI5073">
        <v>0</v>
      </c>
      <c r="BJ5073">
        <v>3875</v>
      </c>
      <c r="BK5073">
        <v>75</v>
      </c>
      <c r="BL5073" t="s">
        <v>188</v>
      </c>
      <c r="BM5073">
        <v>1</v>
      </c>
      <c r="BN5073">
        <v>1</v>
      </c>
      <c r="BO5073">
        <v>0</v>
      </c>
      <c r="BP5073">
        <v>0</v>
      </c>
      <c r="BS5073">
        <v>0</v>
      </c>
      <c r="BT5073">
        <v>0</v>
      </c>
      <c r="BU5073">
        <v>0</v>
      </c>
      <c r="CE5073" t="str">
        <f t="shared" si="2011"/>
        <v>15:18:37.758</v>
      </c>
      <c r="CF5073">
        <v>757508799</v>
      </c>
      <c r="CS5073">
        <v>0</v>
      </c>
      <c r="CT5073">
        <v>2</v>
      </c>
      <c r="CU5073">
        <v>0</v>
      </c>
      <c r="CV5073">
        <v>2</v>
      </c>
      <c r="CW5073">
        <v>0</v>
      </c>
      <c r="CX5073">
        <v>3</v>
      </c>
      <c r="CY5073">
        <v>7</v>
      </c>
      <c r="CZ5073" t="s">
        <v>133</v>
      </c>
      <c r="DA5073">
        <v>275</v>
      </c>
      <c r="DB5073">
        <v>0</v>
      </c>
      <c r="DC5073" t="s">
        <v>134</v>
      </c>
      <c r="DD5073" t="s">
        <v>135</v>
      </c>
      <c r="DG5073">
        <v>3323551</v>
      </c>
      <c r="DI5073">
        <v>1</v>
      </c>
      <c r="DJ5073">
        <v>0</v>
      </c>
      <c r="DK5073">
        <v>1</v>
      </c>
      <c r="DL5073">
        <v>0</v>
      </c>
      <c r="DM5073">
        <v>0</v>
      </c>
      <c r="DN5073">
        <v>0</v>
      </c>
      <c r="DO5073">
        <v>0</v>
      </c>
      <c r="DP5073">
        <v>0</v>
      </c>
      <c r="DQ5073">
        <v>0</v>
      </c>
      <c r="DR5073">
        <v>0</v>
      </c>
      <c r="DS5073">
        <v>0</v>
      </c>
    </row>
    <row r="5074" spans="1:123" x14ac:dyDescent="0.3">
      <c r="A5074" t="str">
        <f>"05/01/2025 15:18:37.974"</f>
        <v>05/01/2025 15:18:37.974</v>
      </c>
      <c r="C5074" t="str">
        <f t="shared" si="2002"/>
        <v>FFDFD3C0</v>
      </c>
      <c r="D5074" t="s">
        <v>136</v>
      </c>
      <c r="E5074" t="str">
        <f>"20"</f>
        <v>20</v>
      </c>
      <c r="H5074">
        <v>400</v>
      </c>
      <c r="I5074" t="s">
        <v>137</v>
      </c>
      <c r="J5074" t="s">
        <v>138</v>
      </c>
      <c r="K5074">
        <v>0</v>
      </c>
      <c r="L5074">
        <v>3</v>
      </c>
      <c r="M5074">
        <v>0</v>
      </c>
      <c r="N5074">
        <v>2</v>
      </c>
      <c r="O5074">
        <v>0</v>
      </c>
      <c r="P5074">
        <v>1</v>
      </c>
      <c r="Q5074">
        <v>0</v>
      </c>
      <c r="R5074" t="s">
        <v>127</v>
      </c>
      <c r="S5074" t="str">
        <f t="shared" si="2010"/>
        <v>15:18:37.000</v>
      </c>
      <c r="T5074" t="str">
        <f t="shared" si="2010"/>
        <v>15:18:37.000</v>
      </c>
      <c r="U5074" t="str">
        <f t="shared" si="2003"/>
        <v>A68FCB</v>
      </c>
      <c r="V5074">
        <v>0</v>
      </c>
      <c r="W5074">
        <v>0</v>
      </c>
      <c r="X5074">
        <v>2</v>
      </c>
      <c r="Y5074">
        <v>0</v>
      </c>
      <c r="AA5074">
        <v>1</v>
      </c>
      <c r="AB5074">
        <v>8</v>
      </c>
      <c r="AC5074">
        <v>3</v>
      </c>
      <c r="AD5074">
        <v>0</v>
      </c>
      <c r="AE5074">
        <v>9</v>
      </c>
      <c r="AF5074" t="s">
        <v>138</v>
      </c>
      <c r="AG5074">
        <v>0</v>
      </c>
      <c r="AH5074">
        <v>3</v>
      </c>
      <c r="AI5074">
        <v>2</v>
      </c>
      <c r="AJ5074">
        <v>0</v>
      </c>
      <c r="AK5074" t="s">
        <v>1602</v>
      </c>
      <c r="AL5074">
        <v>39.234946000000001</v>
      </c>
      <c r="AM5074" t="s">
        <v>1603</v>
      </c>
      <c r="AN5074">
        <v>-121.018181</v>
      </c>
      <c r="AO5074">
        <v>25</v>
      </c>
      <c r="AP5074">
        <v>3800</v>
      </c>
      <c r="AQ5074" t="s">
        <v>131</v>
      </c>
      <c r="AR5074">
        <v>-97</v>
      </c>
      <c r="AS5074">
        <v>-7</v>
      </c>
      <c r="AT5074">
        <v>-1408</v>
      </c>
      <c r="BB5074" t="str">
        <f t="shared" si="2004"/>
        <v>1200</v>
      </c>
      <c r="BC5074">
        <v>1</v>
      </c>
      <c r="BD5074" t="str">
        <f t="shared" si="2005"/>
        <v xml:space="preserve">N52156  </v>
      </c>
      <c r="BE5074">
        <v>1</v>
      </c>
      <c r="BG5074">
        <v>0</v>
      </c>
      <c r="BH5074">
        <v>0</v>
      </c>
      <c r="BI5074">
        <v>0</v>
      </c>
      <c r="BJ5074">
        <v>3875</v>
      </c>
      <c r="BK5074">
        <v>75</v>
      </c>
      <c r="BL5074" t="s">
        <v>188</v>
      </c>
      <c r="BM5074">
        <v>1</v>
      </c>
      <c r="BN5074">
        <v>1</v>
      </c>
      <c r="BO5074">
        <v>0</v>
      </c>
      <c r="BP5074">
        <v>0</v>
      </c>
      <c r="BS5074">
        <v>0</v>
      </c>
      <c r="BT5074">
        <v>0</v>
      </c>
      <c r="BU5074">
        <v>0</v>
      </c>
      <c r="CE5074" t="str">
        <f t="shared" si="2011"/>
        <v>15:18:37.758</v>
      </c>
      <c r="CF5074">
        <v>757508799</v>
      </c>
      <c r="CS5074">
        <v>0</v>
      </c>
      <c r="CT5074">
        <v>2</v>
      </c>
      <c r="CU5074">
        <v>0</v>
      </c>
      <c r="CV5074">
        <v>2</v>
      </c>
      <c r="CW5074">
        <v>0</v>
      </c>
      <c r="CX5074">
        <v>3</v>
      </c>
      <c r="CY5074">
        <v>7</v>
      </c>
      <c r="CZ5074" t="s">
        <v>133</v>
      </c>
      <c r="DA5074">
        <v>275</v>
      </c>
      <c r="DB5074">
        <v>0</v>
      </c>
      <c r="DC5074" t="s">
        <v>134</v>
      </c>
      <c r="DD5074" t="s">
        <v>135</v>
      </c>
      <c r="DG5074">
        <v>3323551</v>
      </c>
      <c r="DI5074">
        <v>1</v>
      </c>
      <c r="DJ5074">
        <v>0</v>
      </c>
      <c r="DK5074">
        <v>1</v>
      </c>
      <c r="DL5074">
        <v>0</v>
      </c>
      <c r="DM5074">
        <v>0</v>
      </c>
      <c r="DN5074">
        <v>0</v>
      </c>
      <c r="DO5074">
        <v>0</v>
      </c>
      <c r="DP5074">
        <v>0</v>
      </c>
      <c r="DQ5074">
        <v>0</v>
      </c>
      <c r="DR5074">
        <v>0</v>
      </c>
      <c r="DS5074">
        <v>0</v>
      </c>
    </row>
    <row r="5075" spans="1:123" x14ac:dyDescent="0.3">
      <c r="A5075" t="str">
        <f>"05/01/2025 15:18:37.990"</f>
        <v>05/01/2025 15:18:37.990</v>
      </c>
      <c r="C5075" t="str">
        <f t="shared" si="2002"/>
        <v>FFDFD3C0</v>
      </c>
      <c r="D5075" t="s">
        <v>140</v>
      </c>
      <c r="E5075" t="str">
        <f>"13"</f>
        <v>13</v>
      </c>
      <c r="F5075">
        <v>1019</v>
      </c>
      <c r="G5075" t="s">
        <v>141</v>
      </c>
      <c r="J5075" t="s">
        <v>142</v>
      </c>
      <c r="K5075">
        <v>0</v>
      </c>
      <c r="L5075">
        <v>3</v>
      </c>
      <c r="M5075">
        <v>0</v>
      </c>
      <c r="N5075">
        <v>2</v>
      </c>
      <c r="O5075">
        <v>0</v>
      </c>
      <c r="P5075">
        <v>1</v>
      </c>
      <c r="Q5075">
        <v>0</v>
      </c>
      <c r="R5075" t="s">
        <v>127</v>
      </c>
      <c r="S5075" t="str">
        <f t="shared" si="2010"/>
        <v>15:18:37.000</v>
      </c>
      <c r="T5075" t="str">
        <f t="shared" si="2010"/>
        <v>15:18:37.000</v>
      </c>
      <c r="U5075" t="str">
        <f t="shared" si="2003"/>
        <v>A68FCB</v>
      </c>
      <c r="V5075">
        <v>0</v>
      </c>
      <c r="W5075">
        <v>0</v>
      </c>
      <c r="X5075">
        <v>2</v>
      </c>
      <c r="Y5075">
        <v>0</v>
      </c>
      <c r="AA5075">
        <v>1</v>
      </c>
      <c r="AB5075">
        <v>8</v>
      </c>
      <c r="AC5075">
        <v>3</v>
      </c>
      <c r="AD5075">
        <v>0</v>
      </c>
      <c r="AE5075">
        <v>9</v>
      </c>
      <c r="AF5075" t="s">
        <v>138</v>
      </c>
      <c r="AG5075">
        <v>0</v>
      </c>
      <c r="AH5075">
        <v>3</v>
      </c>
      <c r="AI5075">
        <v>2</v>
      </c>
      <c r="AJ5075">
        <v>0</v>
      </c>
      <c r="AK5075" t="s">
        <v>1602</v>
      </c>
      <c r="AL5075">
        <v>39.234946000000001</v>
      </c>
      <c r="AM5075" t="s">
        <v>1603</v>
      </c>
      <c r="AN5075">
        <v>-121.018181</v>
      </c>
      <c r="AO5075">
        <v>25</v>
      </c>
      <c r="AP5075">
        <v>3800</v>
      </c>
      <c r="AQ5075" t="s">
        <v>131</v>
      </c>
      <c r="AR5075">
        <v>-97</v>
      </c>
      <c r="AS5075">
        <v>-7</v>
      </c>
      <c r="AT5075">
        <v>-1408</v>
      </c>
      <c r="BB5075" t="str">
        <f t="shared" si="2004"/>
        <v>1200</v>
      </c>
      <c r="BC5075">
        <v>1</v>
      </c>
      <c r="BD5075" t="str">
        <f t="shared" si="2005"/>
        <v xml:space="preserve">N52156  </v>
      </c>
      <c r="BE5075">
        <v>1</v>
      </c>
      <c r="BG5075">
        <v>0</v>
      </c>
      <c r="BH5075">
        <v>0</v>
      </c>
      <c r="BI5075">
        <v>0</v>
      </c>
      <c r="BJ5075">
        <v>3875</v>
      </c>
      <c r="BK5075">
        <v>75</v>
      </c>
      <c r="BL5075" t="s">
        <v>188</v>
      </c>
      <c r="BM5075">
        <v>1</v>
      </c>
      <c r="BN5075">
        <v>1</v>
      </c>
      <c r="BO5075">
        <v>0</v>
      </c>
      <c r="BP5075">
        <v>0</v>
      </c>
      <c r="BS5075">
        <v>0</v>
      </c>
      <c r="BT5075">
        <v>0</v>
      </c>
      <c r="BU5075">
        <v>0</v>
      </c>
      <c r="CE5075" t="str">
        <f t="shared" si="2011"/>
        <v>15:18:37.758</v>
      </c>
      <c r="CF5075">
        <v>757508799</v>
      </c>
      <c r="CS5075">
        <v>0</v>
      </c>
      <c r="CT5075">
        <v>2</v>
      </c>
      <c r="CU5075">
        <v>0</v>
      </c>
      <c r="CV5075">
        <v>2</v>
      </c>
      <c r="CW5075">
        <v>0</v>
      </c>
      <c r="CX5075">
        <v>3</v>
      </c>
      <c r="CY5075">
        <v>7</v>
      </c>
      <c r="CZ5075" t="s">
        <v>133</v>
      </c>
      <c r="DA5075">
        <v>275</v>
      </c>
      <c r="DB5075">
        <v>0</v>
      </c>
      <c r="DC5075" t="s">
        <v>134</v>
      </c>
      <c r="DD5075" t="s">
        <v>135</v>
      </c>
      <c r="DG5075">
        <v>3323551</v>
      </c>
      <c r="DI5075">
        <v>1</v>
      </c>
      <c r="DJ5075">
        <v>0</v>
      </c>
      <c r="DK5075">
        <v>1</v>
      </c>
      <c r="DL5075">
        <v>0</v>
      </c>
      <c r="DM5075">
        <v>0</v>
      </c>
      <c r="DN5075">
        <v>0</v>
      </c>
      <c r="DO5075">
        <v>0</v>
      </c>
      <c r="DP5075">
        <v>0</v>
      </c>
      <c r="DQ5075">
        <v>0</v>
      </c>
      <c r="DR5075">
        <v>0</v>
      </c>
      <c r="DS5075">
        <v>0</v>
      </c>
    </row>
    <row r="5076" spans="1:123" x14ac:dyDescent="0.3">
      <c r="A5076" t="str">
        <f>"05/01/2025 15:18:37.994"</f>
        <v>05/01/2025 15:18:37.994</v>
      </c>
      <c r="C5076" t="str">
        <f t="shared" si="2002"/>
        <v>FFDFD3C0</v>
      </c>
      <c r="D5076" t="s">
        <v>124</v>
      </c>
      <c r="E5076" t="str">
        <f>"06"</f>
        <v>06</v>
      </c>
      <c r="F5076">
        <v>2006</v>
      </c>
      <c r="G5076" t="s">
        <v>125</v>
      </c>
      <c r="J5076" t="s">
        <v>126</v>
      </c>
      <c r="K5076">
        <v>0</v>
      </c>
      <c r="L5076">
        <v>3</v>
      </c>
      <c r="M5076">
        <v>0</v>
      </c>
      <c r="N5076">
        <v>2</v>
      </c>
      <c r="O5076">
        <v>0</v>
      </c>
      <c r="P5076">
        <v>1</v>
      </c>
      <c r="Q5076">
        <v>0</v>
      </c>
      <c r="R5076" t="s">
        <v>127</v>
      </c>
      <c r="S5076" t="str">
        <f t="shared" si="2010"/>
        <v>15:18:37.000</v>
      </c>
      <c r="T5076" t="str">
        <f t="shared" si="2010"/>
        <v>15:18:37.000</v>
      </c>
      <c r="U5076" t="str">
        <f t="shared" si="2003"/>
        <v>A68FCB</v>
      </c>
      <c r="V5076">
        <v>0</v>
      </c>
      <c r="W5076">
        <v>0</v>
      </c>
      <c r="X5076">
        <v>2</v>
      </c>
      <c r="Y5076">
        <v>0</v>
      </c>
      <c r="AA5076">
        <v>1</v>
      </c>
      <c r="AB5076">
        <v>8</v>
      </c>
      <c r="AC5076">
        <v>3</v>
      </c>
      <c r="AD5076">
        <v>0</v>
      </c>
      <c r="AE5076">
        <v>9</v>
      </c>
      <c r="AF5076" t="s">
        <v>138</v>
      </c>
      <c r="AG5076">
        <v>0</v>
      </c>
      <c r="AH5076">
        <v>3</v>
      </c>
      <c r="AI5076">
        <v>2</v>
      </c>
      <c r="AJ5076">
        <v>0</v>
      </c>
      <c r="AK5076" t="s">
        <v>1602</v>
      </c>
      <c r="AL5076">
        <v>39.234946000000001</v>
      </c>
      <c r="AM5076" t="s">
        <v>1603</v>
      </c>
      <c r="AN5076">
        <v>-121.018181</v>
      </c>
      <c r="AO5076">
        <v>25</v>
      </c>
      <c r="AP5076">
        <v>3800</v>
      </c>
      <c r="AQ5076" t="s">
        <v>131</v>
      </c>
      <c r="AR5076">
        <v>-97</v>
      </c>
      <c r="AS5076">
        <v>-7</v>
      </c>
      <c r="AT5076">
        <v>-1408</v>
      </c>
      <c r="BB5076" t="str">
        <f t="shared" si="2004"/>
        <v>1200</v>
      </c>
      <c r="BC5076">
        <v>1</v>
      </c>
      <c r="BD5076" t="str">
        <f t="shared" si="2005"/>
        <v xml:space="preserve">N52156  </v>
      </c>
      <c r="BE5076">
        <v>1</v>
      </c>
      <c r="BG5076">
        <v>0</v>
      </c>
      <c r="BH5076">
        <v>0</v>
      </c>
      <c r="BI5076">
        <v>0</v>
      </c>
      <c r="BJ5076">
        <v>3875</v>
      </c>
      <c r="BK5076">
        <v>75</v>
      </c>
      <c r="BL5076" t="s">
        <v>188</v>
      </c>
      <c r="BM5076">
        <v>1</v>
      </c>
      <c r="BN5076">
        <v>1</v>
      </c>
      <c r="BO5076">
        <v>0</v>
      </c>
      <c r="BP5076">
        <v>0</v>
      </c>
      <c r="BS5076">
        <v>0</v>
      </c>
      <c r="BT5076">
        <v>0</v>
      </c>
      <c r="BU5076">
        <v>0</v>
      </c>
      <c r="CE5076" t="str">
        <f t="shared" si="2011"/>
        <v>15:18:37.758</v>
      </c>
      <c r="CF5076">
        <v>757508799</v>
      </c>
      <c r="CS5076">
        <v>0</v>
      </c>
      <c r="CT5076">
        <v>2</v>
      </c>
      <c r="CU5076">
        <v>0</v>
      </c>
      <c r="CV5076">
        <v>2</v>
      </c>
      <c r="CW5076">
        <v>0</v>
      </c>
      <c r="CX5076">
        <v>3</v>
      </c>
      <c r="CY5076">
        <v>7</v>
      </c>
      <c r="CZ5076" t="s">
        <v>133</v>
      </c>
      <c r="DA5076">
        <v>275</v>
      </c>
      <c r="DB5076">
        <v>0</v>
      </c>
      <c r="DC5076" t="s">
        <v>134</v>
      </c>
      <c r="DD5076" t="s">
        <v>135</v>
      </c>
      <c r="DG5076">
        <v>3323551</v>
      </c>
      <c r="DI5076">
        <v>1</v>
      </c>
      <c r="DJ5076">
        <v>0</v>
      </c>
      <c r="DK5076">
        <v>1</v>
      </c>
      <c r="DL5076">
        <v>0</v>
      </c>
      <c r="DM5076">
        <v>0</v>
      </c>
      <c r="DN5076">
        <v>0</v>
      </c>
      <c r="DO5076">
        <v>0</v>
      </c>
      <c r="DP5076">
        <v>0</v>
      </c>
      <c r="DQ5076">
        <v>0</v>
      </c>
      <c r="DR5076">
        <v>0</v>
      </c>
      <c r="DS5076">
        <v>0</v>
      </c>
    </row>
    <row r="5077" spans="1:123" x14ac:dyDescent="0.3">
      <c r="A5077" t="str">
        <f>"05/01/2025 15:18:38.001"</f>
        <v>05/01/2025 15:18:38.001</v>
      </c>
      <c r="C5077" t="str">
        <f t="shared" si="2002"/>
        <v>FFDFD3C0</v>
      </c>
      <c r="D5077" t="s">
        <v>143</v>
      </c>
      <c r="E5077" t="str">
        <f>"05"</f>
        <v>05</v>
      </c>
      <c r="H5077">
        <v>172</v>
      </c>
      <c r="I5077" t="s">
        <v>141</v>
      </c>
      <c r="J5077" t="s">
        <v>144</v>
      </c>
      <c r="K5077">
        <v>0</v>
      </c>
      <c r="L5077">
        <v>3</v>
      </c>
      <c r="M5077">
        <v>0</v>
      </c>
      <c r="N5077">
        <v>2</v>
      </c>
      <c r="O5077">
        <v>0</v>
      </c>
      <c r="P5077">
        <v>1</v>
      </c>
      <c r="Q5077">
        <v>0</v>
      </c>
      <c r="R5077" t="s">
        <v>127</v>
      </c>
      <c r="S5077" t="str">
        <f t="shared" si="2010"/>
        <v>15:18:37.000</v>
      </c>
      <c r="T5077" t="str">
        <f t="shared" si="2010"/>
        <v>15:18:37.000</v>
      </c>
      <c r="U5077" t="str">
        <f t="shared" si="2003"/>
        <v>A68FCB</v>
      </c>
      <c r="V5077">
        <v>0</v>
      </c>
      <c r="W5077">
        <v>0</v>
      </c>
      <c r="X5077">
        <v>2</v>
      </c>
      <c r="Y5077">
        <v>0</v>
      </c>
      <c r="AA5077">
        <v>1</v>
      </c>
      <c r="AB5077">
        <v>8</v>
      </c>
      <c r="AC5077">
        <v>3</v>
      </c>
      <c r="AD5077">
        <v>0</v>
      </c>
      <c r="AE5077">
        <v>9</v>
      </c>
      <c r="AF5077" t="s">
        <v>138</v>
      </c>
      <c r="AG5077">
        <v>0</v>
      </c>
      <c r="AH5077">
        <v>3</v>
      </c>
      <c r="AI5077">
        <v>2</v>
      </c>
      <c r="AJ5077">
        <v>0</v>
      </c>
      <c r="AK5077" t="s">
        <v>1602</v>
      </c>
      <c r="AL5077">
        <v>39.234946000000001</v>
      </c>
      <c r="AM5077" t="s">
        <v>1603</v>
      </c>
      <c r="AN5077">
        <v>-121.018181</v>
      </c>
      <c r="AO5077">
        <v>25</v>
      </c>
      <c r="AP5077">
        <v>3800</v>
      </c>
      <c r="AQ5077" t="s">
        <v>131</v>
      </c>
      <c r="AR5077">
        <v>-97</v>
      </c>
      <c r="AS5077">
        <v>-7</v>
      </c>
      <c r="AT5077">
        <v>-1408</v>
      </c>
      <c r="BB5077" t="str">
        <f t="shared" si="2004"/>
        <v>1200</v>
      </c>
      <c r="BC5077">
        <v>1</v>
      </c>
      <c r="BD5077" t="str">
        <f t="shared" si="2005"/>
        <v xml:space="preserve">N52156  </v>
      </c>
      <c r="BE5077">
        <v>1</v>
      </c>
      <c r="BG5077">
        <v>0</v>
      </c>
      <c r="BH5077">
        <v>0</v>
      </c>
      <c r="BI5077">
        <v>0</v>
      </c>
      <c r="BJ5077">
        <v>3875</v>
      </c>
      <c r="BK5077">
        <v>75</v>
      </c>
      <c r="BL5077" t="s">
        <v>188</v>
      </c>
      <c r="BM5077">
        <v>1</v>
      </c>
      <c r="BN5077">
        <v>1</v>
      </c>
      <c r="BO5077">
        <v>0</v>
      </c>
      <c r="BP5077">
        <v>0</v>
      </c>
      <c r="BS5077">
        <v>0</v>
      </c>
      <c r="BT5077">
        <v>0</v>
      </c>
      <c r="BU5077">
        <v>0</v>
      </c>
      <c r="CE5077" t="str">
        <f t="shared" si="2011"/>
        <v>15:18:37.758</v>
      </c>
      <c r="CF5077">
        <v>757508799</v>
      </c>
      <c r="CS5077">
        <v>0</v>
      </c>
      <c r="CT5077">
        <v>2</v>
      </c>
      <c r="CU5077">
        <v>0</v>
      </c>
      <c r="CV5077">
        <v>2</v>
      </c>
      <c r="CW5077">
        <v>0</v>
      </c>
      <c r="CX5077">
        <v>3</v>
      </c>
      <c r="CY5077">
        <v>7</v>
      </c>
      <c r="CZ5077" t="s">
        <v>133</v>
      </c>
      <c r="DA5077">
        <v>275</v>
      </c>
      <c r="DB5077">
        <v>0</v>
      </c>
      <c r="DC5077" t="s">
        <v>134</v>
      </c>
      <c r="DD5077" t="s">
        <v>135</v>
      </c>
      <c r="DG5077">
        <v>3323551</v>
      </c>
      <c r="DI5077">
        <v>1</v>
      </c>
      <c r="DJ5077">
        <v>0</v>
      </c>
      <c r="DK5077">
        <v>1</v>
      </c>
      <c r="DL5077">
        <v>0</v>
      </c>
      <c r="DM5077">
        <v>0</v>
      </c>
      <c r="DN5077">
        <v>0</v>
      </c>
      <c r="DO5077">
        <v>0</v>
      </c>
      <c r="DP5077">
        <v>0</v>
      </c>
      <c r="DQ5077">
        <v>0</v>
      </c>
      <c r="DR5077">
        <v>0</v>
      </c>
      <c r="DS5077">
        <v>0</v>
      </c>
    </row>
    <row r="5078" spans="1:123" x14ac:dyDescent="0.3">
      <c r="A5078" t="str">
        <f>"05/01/2025 15:18:38.817"</f>
        <v>05/01/2025 15:18:38.817</v>
      </c>
      <c r="C5078" t="str">
        <f t="shared" si="2002"/>
        <v>FFDFD3C0</v>
      </c>
      <c r="D5078" t="s">
        <v>145</v>
      </c>
      <c r="E5078" t="str">
        <f>"05"</f>
        <v>05</v>
      </c>
      <c r="H5078">
        <v>47</v>
      </c>
      <c r="I5078" t="s">
        <v>146</v>
      </c>
      <c r="J5078" t="s">
        <v>138</v>
      </c>
      <c r="K5078">
        <v>0</v>
      </c>
      <c r="L5078">
        <v>3</v>
      </c>
      <c r="M5078">
        <v>0</v>
      </c>
      <c r="N5078">
        <v>2</v>
      </c>
      <c r="O5078">
        <v>0</v>
      </c>
      <c r="P5078">
        <v>1</v>
      </c>
      <c r="Q5078">
        <v>0</v>
      </c>
      <c r="R5078" t="s">
        <v>127</v>
      </c>
      <c r="S5078" t="str">
        <f t="shared" ref="S5078:T5083" si="2012">"15:18:38.000"</f>
        <v>15:18:38.000</v>
      </c>
      <c r="T5078" t="str">
        <f t="shared" si="2012"/>
        <v>15:18:38.000</v>
      </c>
      <c r="U5078" t="str">
        <f t="shared" si="2003"/>
        <v>A68FCB</v>
      </c>
      <c r="V5078">
        <v>0</v>
      </c>
      <c r="W5078">
        <v>0</v>
      </c>
      <c r="X5078">
        <v>2</v>
      </c>
      <c r="Y5078">
        <v>0</v>
      </c>
      <c r="AA5078">
        <v>1</v>
      </c>
      <c r="AB5078">
        <v>8</v>
      </c>
      <c r="AC5078">
        <v>3</v>
      </c>
      <c r="AD5078">
        <v>0</v>
      </c>
      <c r="AE5078">
        <v>9</v>
      </c>
      <c r="AF5078" t="s">
        <v>138</v>
      </c>
      <c r="AG5078">
        <v>0</v>
      </c>
      <c r="AH5078">
        <v>3</v>
      </c>
      <c r="AI5078">
        <v>2</v>
      </c>
      <c r="AJ5078">
        <v>0</v>
      </c>
      <c r="AK5078" t="s">
        <v>1604</v>
      </c>
      <c r="AL5078">
        <v>39.235010000000003</v>
      </c>
      <c r="AM5078" t="s">
        <v>1605</v>
      </c>
      <c r="AN5078">
        <v>-121.018717</v>
      </c>
      <c r="AO5078">
        <v>25</v>
      </c>
      <c r="AP5078">
        <v>3800</v>
      </c>
      <c r="AQ5078" t="s">
        <v>131</v>
      </c>
      <c r="AR5078">
        <v>-100</v>
      </c>
      <c r="AS5078">
        <v>-14</v>
      </c>
      <c r="AT5078">
        <v>-1408</v>
      </c>
      <c r="BB5078" t="str">
        <f t="shared" si="2004"/>
        <v>1200</v>
      </c>
      <c r="BC5078">
        <v>1</v>
      </c>
      <c r="BD5078" t="str">
        <f t="shared" si="2005"/>
        <v xml:space="preserve">N52156  </v>
      </c>
      <c r="BE5078">
        <v>1</v>
      </c>
      <c r="BG5078">
        <v>0</v>
      </c>
      <c r="BH5078">
        <v>0</v>
      </c>
      <c r="BI5078">
        <v>0</v>
      </c>
      <c r="BJ5078">
        <v>3875</v>
      </c>
      <c r="BK5078">
        <v>75</v>
      </c>
      <c r="BL5078" t="s">
        <v>188</v>
      </c>
      <c r="BM5078">
        <v>1</v>
      </c>
      <c r="BN5078">
        <v>1</v>
      </c>
      <c r="BO5078">
        <v>0</v>
      </c>
      <c r="BP5078">
        <v>0</v>
      </c>
      <c r="BS5078">
        <v>0</v>
      </c>
      <c r="BT5078">
        <v>0</v>
      </c>
      <c r="BU5078">
        <v>0</v>
      </c>
      <c r="CE5078" t="str">
        <f t="shared" ref="CE5078:CE5083" si="2013">"15:18:38.574"</f>
        <v>15:18:38.574</v>
      </c>
      <c r="CF5078">
        <v>574258463</v>
      </c>
      <c r="CS5078">
        <v>0</v>
      </c>
      <c r="CT5078">
        <v>2</v>
      </c>
      <c r="CU5078">
        <v>0</v>
      </c>
      <c r="CV5078">
        <v>2</v>
      </c>
      <c r="CW5078">
        <v>0</v>
      </c>
      <c r="CX5078">
        <v>3</v>
      </c>
      <c r="CY5078">
        <v>7</v>
      </c>
      <c r="CZ5078" t="s">
        <v>133</v>
      </c>
      <c r="DA5078">
        <v>275</v>
      </c>
      <c r="DB5078">
        <v>0</v>
      </c>
      <c r="DC5078" t="s">
        <v>134</v>
      </c>
      <c r="DD5078" t="s">
        <v>135</v>
      </c>
      <c r="DG5078">
        <v>3323555</v>
      </c>
      <c r="DI5078">
        <v>1</v>
      </c>
      <c r="DJ5078">
        <v>0</v>
      </c>
      <c r="DK5078">
        <v>0</v>
      </c>
      <c r="DL5078">
        <v>0</v>
      </c>
      <c r="DM5078">
        <v>0</v>
      </c>
      <c r="DN5078">
        <v>0</v>
      </c>
      <c r="DO5078">
        <v>0</v>
      </c>
      <c r="DP5078">
        <v>0</v>
      </c>
      <c r="DQ5078">
        <v>0</v>
      </c>
      <c r="DR5078">
        <v>0</v>
      </c>
      <c r="DS5078">
        <v>0</v>
      </c>
    </row>
    <row r="5079" spans="1:123" x14ac:dyDescent="0.3">
      <c r="A5079" t="str">
        <f>"05/01/2025 15:18:38.816"</f>
        <v>05/01/2025 15:18:38.816</v>
      </c>
      <c r="C5079" t="str">
        <f t="shared" si="2002"/>
        <v>FFDFD3C0</v>
      </c>
      <c r="D5079" t="s">
        <v>145</v>
      </c>
      <c r="E5079" t="str">
        <f>"09"</f>
        <v>09</v>
      </c>
      <c r="H5079">
        <v>51</v>
      </c>
      <c r="I5079" t="s">
        <v>147</v>
      </c>
      <c r="J5079" t="s">
        <v>138</v>
      </c>
      <c r="K5079">
        <v>0</v>
      </c>
      <c r="L5079">
        <v>3</v>
      </c>
      <c r="M5079">
        <v>0</v>
      </c>
      <c r="N5079">
        <v>2</v>
      </c>
      <c r="O5079">
        <v>0</v>
      </c>
      <c r="P5079">
        <v>1</v>
      </c>
      <c r="Q5079">
        <v>0</v>
      </c>
      <c r="R5079" t="s">
        <v>127</v>
      </c>
      <c r="S5079" t="str">
        <f t="shared" si="2012"/>
        <v>15:18:38.000</v>
      </c>
      <c r="T5079" t="str">
        <f t="shared" si="2012"/>
        <v>15:18:38.000</v>
      </c>
      <c r="U5079" t="str">
        <f t="shared" si="2003"/>
        <v>A68FCB</v>
      </c>
      <c r="V5079">
        <v>0</v>
      </c>
      <c r="W5079">
        <v>0</v>
      </c>
      <c r="X5079">
        <v>2</v>
      </c>
      <c r="Y5079">
        <v>0</v>
      </c>
      <c r="AA5079">
        <v>1</v>
      </c>
      <c r="AB5079">
        <v>8</v>
      </c>
      <c r="AC5079">
        <v>3</v>
      </c>
      <c r="AD5079">
        <v>0</v>
      </c>
      <c r="AE5079">
        <v>9</v>
      </c>
      <c r="AF5079" t="s">
        <v>138</v>
      </c>
      <c r="AG5079">
        <v>0</v>
      </c>
      <c r="AH5079">
        <v>3</v>
      </c>
      <c r="AI5079">
        <v>2</v>
      </c>
      <c r="AJ5079">
        <v>0</v>
      </c>
      <c r="AK5079" t="s">
        <v>1604</v>
      </c>
      <c r="AL5079">
        <v>39.235010000000003</v>
      </c>
      <c r="AM5079" t="s">
        <v>1605</v>
      </c>
      <c r="AN5079">
        <v>-121.018717</v>
      </c>
      <c r="AO5079">
        <v>25</v>
      </c>
      <c r="AP5079">
        <v>3800</v>
      </c>
      <c r="AQ5079" t="s">
        <v>131</v>
      </c>
      <c r="AR5079">
        <v>-100</v>
      </c>
      <c r="AS5079">
        <v>-14</v>
      </c>
      <c r="AT5079">
        <v>-1408</v>
      </c>
      <c r="BB5079" t="str">
        <f t="shared" si="2004"/>
        <v>1200</v>
      </c>
      <c r="BC5079">
        <v>1</v>
      </c>
      <c r="BD5079" t="str">
        <f t="shared" si="2005"/>
        <v xml:space="preserve">N52156  </v>
      </c>
      <c r="BE5079">
        <v>1</v>
      </c>
      <c r="BG5079">
        <v>0</v>
      </c>
      <c r="BH5079">
        <v>0</v>
      </c>
      <c r="BI5079">
        <v>0</v>
      </c>
      <c r="BJ5079">
        <v>3875</v>
      </c>
      <c r="BK5079">
        <v>75</v>
      </c>
      <c r="BL5079" t="s">
        <v>188</v>
      </c>
      <c r="BM5079">
        <v>1</v>
      </c>
      <c r="BN5079">
        <v>1</v>
      </c>
      <c r="BO5079">
        <v>0</v>
      </c>
      <c r="BP5079">
        <v>0</v>
      </c>
      <c r="BS5079">
        <v>0</v>
      </c>
      <c r="BT5079">
        <v>0</v>
      </c>
      <c r="BU5079">
        <v>0</v>
      </c>
      <c r="CE5079" t="str">
        <f t="shared" si="2013"/>
        <v>15:18:38.574</v>
      </c>
      <c r="CF5079">
        <v>574258463</v>
      </c>
      <c r="CS5079">
        <v>0</v>
      </c>
      <c r="CT5079">
        <v>2</v>
      </c>
      <c r="CU5079">
        <v>0</v>
      </c>
      <c r="CV5079">
        <v>2</v>
      </c>
      <c r="CW5079">
        <v>0</v>
      </c>
      <c r="CX5079">
        <v>3</v>
      </c>
      <c r="CY5079">
        <v>7</v>
      </c>
      <c r="CZ5079" t="s">
        <v>133</v>
      </c>
      <c r="DA5079">
        <v>275</v>
      </c>
      <c r="DB5079">
        <v>0</v>
      </c>
      <c r="DC5079" t="s">
        <v>134</v>
      </c>
      <c r="DD5079" t="s">
        <v>135</v>
      </c>
      <c r="DG5079">
        <v>3323555</v>
      </c>
      <c r="DI5079">
        <v>1</v>
      </c>
      <c r="DJ5079">
        <v>0</v>
      </c>
      <c r="DK5079">
        <v>1</v>
      </c>
      <c r="DL5079">
        <v>0</v>
      </c>
      <c r="DM5079">
        <v>0</v>
      </c>
      <c r="DN5079">
        <v>0</v>
      </c>
      <c r="DO5079">
        <v>0</v>
      </c>
      <c r="DP5079">
        <v>0</v>
      </c>
      <c r="DQ5079">
        <v>0</v>
      </c>
      <c r="DR5079">
        <v>0</v>
      </c>
      <c r="DS5079">
        <v>0</v>
      </c>
    </row>
    <row r="5080" spans="1:123" x14ac:dyDescent="0.3">
      <c r="A5080" t="str">
        <f>"05/01/2025 15:18:38.825"</f>
        <v>05/01/2025 15:18:38.825</v>
      </c>
      <c r="C5080" t="str">
        <f t="shared" si="2002"/>
        <v>FFDFD3C0</v>
      </c>
      <c r="D5080" t="s">
        <v>136</v>
      </c>
      <c r="E5080" t="str">
        <f>"20"</f>
        <v>20</v>
      </c>
      <c r="H5080">
        <v>400</v>
      </c>
      <c r="I5080" t="s">
        <v>137</v>
      </c>
      <c r="J5080" t="s">
        <v>138</v>
      </c>
      <c r="K5080">
        <v>0</v>
      </c>
      <c r="L5080">
        <v>3</v>
      </c>
      <c r="M5080">
        <v>0</v>
      </c>
      <c r="N5080">
        <v>2</v>
      </c>
      <c r="O5080">
        <v>0</v>
      </c>
      <c r="P5080">
        <v>1</v>
      </c>
      <c r="Q5080">
        <v>0</v>
      </c>
      <c r="R5080" t="s">
        <v>127</v>
      </c>
      <c r="S5080" t="str">
        <f t="shared" si="2012"/>
        <v>15:18:38.000</v>
      </c>
      <c r="T5080" t="str">
        <f t="shared" si="2012"/>
        <v>15:18:38.000</v>
      </c>
      <c r="U5080" t="str">
        <f t="shared" si="2003"/>
        <v>A68FCB</v>
      </c>
      <c r="V5080">
        <v>0</v>
      </c>
      <c r="W5080">
        <v>0</v>
      </c>
      <c r="X5080">
        <v>2</v>
      </c>
      <c r="Y5080">
        <v>0</v>
      </c>
      <c r="AA5080">
        <v>1</v>
      </c>
      <c r="AB5080">
        <v>8</v>
      </c>
      <c r="AC5080">
        <v>3</v>
      </c>
      <c r="AD5080">
        <v>0</v>
      </c>
      <c r="AE5080">
        <v>9</v>
      </c>
      <c r="AF5080" t="s">
        <v>138</v>
      </c>
      <c r="AG5080">
        <v>0</v>
      </c>
      <c r="AH5080">
        <v>3</v>
      </c>
      <c r="AI5080">
        <v>2</v>
      </c>
      <c r="AJ5080">
        <v>0</v>
      </c>
      <c r="AK5080" t="s">
        <v>1604</v>
      </c>
      <c r="AL5080">
        <v>39.235010000000003</v>
      </c>
      <c r="AM5080" t="s">
        <v>1605</v>
      </c>
      <c r="AN5080">
        <v>-121.018717</v>
      </c>
      <c r="AO5080">
        <v>25</v>
      </c>
      <c r="AP5080">
        <v>3800</v>
      </c>
      <c r="AQ5080" t="s">
        <v>131</v>
      </c>
      <c r="AR5080">
        <v>-100</v>
      </c>
      <c r="AS5080">
        <v>-14</v>
      </c>
      <c r="AT5080">
        <v>-1408</v>
      </c>
      <c r="BB5080" t="str">
        <f t="shared" si="2004"/>
        <v>1200</v>
      </c>
      <c r="BC5080">
        <v>1</v>
      </c>
      <c r="BD5080" t="str">
        <f t="shared" si="2005"/>
        <v xml:space="preserve">N52156  </v>
      </c>
      <c r="BE5080">
        <v>1</v>
      </c>
      <c r="BG5080">
        <v>0</v>
      </c>
      <c r="BH5080">
        <v>0</v>
      </c>
      <c r="BI5080">
        <v>0</v>
      </c>
      <c r="BJ5080">
        <v>3875</v>
      </c>
      <c r="BK5080">
        <v>75</v>
      </c>
      <c r="BL5080" t="s">
        <v>188</v>
      </c>
      <c r="BM5080">
        <v>1</v>
      </c>
      <c r="BN5080">
        <v>1</v>
      </c>
      <c r="BO5080">
        <v>0</v>
      </c>
      <c r="BP5080">
        <v>0</v>
      </c>
      <c r="BS5080">
        <v>0</v>
      </c>
      <c r="BT5080">
        <v>0</v>
      </c>
      <c r="BU5080">
        <v>0</v>
      </c>
      <c r="CE5080" t="str">
        <f t="shared" si="2013"/>
        <v>15:18:38.574</v>
      </c>
      <c r="CF5080">
        <v>574258463</v>
      </c>
      <c r="CS5080">
        <v>0</v>
      </c>
      <c r="CT5080">
        <v>2</v>
      </c>
      <c r="CU5080">
        <v>0</v>
      </c>
      <c r="CV5080">
        <v>2</v>
      </c>
      <c r="CW5080">
        <v>0</v>
      </c>
      <c r="CX5080">
        <v>3</v>
      </c>
      <c r="CY5080">
        <v>7</v>
      </c>
      <c r="CZ5080" t="s">
        <v>133</v>
      </c>
      <c r="DA5080">
        <v>275</v>
      </c>
      <c r="DB5080">
        <v>0</v>
      </c>
      <c r="DC5080" t="s">
        <v>134</v>
      </c>
      <c r="DD5080" t="s">
        <v>135</v>
      </c>
      <c r="DG5080">
        <v>3323555</v>
      </c>
      <c r="DI5080">
        <v>1</v>
      </c>
      <c r="DJ5080">
        <v>0</v>
      </c>
      <c r="DK5080">
        <v>1</v>
      </c>
      <c r="DL5080">
        <v>0</v>
      </c>
      <c r="DM5080">
        <v>0</v>
      </c>
      <c r="DN5080">
        <v>0</v>
      </c>
      <c r="DO5080">
        <v>0</v>
      </c>
      <c r="DP5080">
        <v>0</v>
      </c>
      <c r="DQ5080">
        <v>0</v>
      </c>
      <c r="DR5080">
        <v>0</v>
      </c>
      <c r="DS5080">
        <v>0</v>
      </c>
    </row>
    <row r="5081" spans="1:123" x14ac:dyDescent="0.3">
      <c r="A5081" t="str">
        <f>"05/01/2025 15:18:38.841"</f>
        <v>05/01/2025 15:18:38.841</v>
      </c>
      <c r="C5081" t="str">
        <f t="shared" si="2002"/>
        <v>FFDFD3C0</v>
      </c>
      <c r="D5081" t="s">
        <v>140</v>
      </c>
      <c r="E5081" t="str">
        <f>"13"</f>
        <v>13</v>
      </c>
      <c r="F5081">
        <v>1019</v>
      </c>
      <c r="G5081" t="s">
        <v>141</v>
      </c>
      <c r="J5081" t="s">
        <v>142</v>
      </c>
      <c r="K5081">
        <v>0</v>
      </c>
      <c r="L5081">
        <v>3</v>
      </c>
      <c r="M5081">
        <v>0</v>
      </c>
      <c r="N5081">
        <v>2</v>
      </c>
      <c r="O5081">
        <v>0</v>
      </c>
      <c r="P5081">
        <v>1</v>
      </c>
      <c r="Q5081">
        <v>0</v>
      </c>
      <c r="R5081" t="s">
        <v>127</v>
      </c>
      <c r="S5081" t="str">
        <f t="shared" si="2012"/>
        <v>15:18:38.000</v>
      </c>
      <c r="T5081" t="str">
        <f t="shared" si="2012"/>
        <v>15:18:38.000</v>
      </c>
      <c r="U5081" t="str">
        <f t="shared" si="2003"/>
        <v>A68FCB</v>
      </c>
      <c r="V5081">
        <v>0</v>
      </c>
      <c r="W5081">
        <v>0</v>
      </c>
      <c r="X5081">
        <v>2</v>
      </c>
      <c r="Y5081">
        <v>0</v>
      </c>
      <c r="AA5081">
        <v>1</v>
      </c>
      <c r="AB5081">
        <v>8</v>
      </c>
      <c r="AC5081">
        <v>3</v>
      </c>
      <c r="AD5081">
        <v>0</v>
      </c>
      <c r="AE5081">
        <v>9</v>
      </c>
      <c r="AF5081" t="s">
        <v>138</v>
      </c>
      <c r="AG5081">
        <v>0</v>
      </c>
      <c r="AH5081">
        <v>3</v>
      </c>
      <c r="AI5081">
        <v>2</v>
      </c>
      <c r="AJ5081">
        <v>0</v>
      </c>
      <c r="AK5081" t="s">
        <v>1604</v>
      </c>
      <c r="AL5081">
        <v>39.235010000000003</v>
      </c>
      <c r="AM5081" t="s">
        <v>1605</v>
      </c>
      <c r="AN5081">
        <v>-121.018717</v>
      </c>
      <c r="AO5081">
        <v>25</v>
      </c>
      <c r="AP5081">
        <v>3800</v>
      </c>
      <c r="AQ5081" t="s">
        <v>131</v>
      </c>
      <c r="AR5081">
        <v>-100</v>
      </c>
      <c r="AS5081">
        <v>-14</v>
      </c>
      <c r="AT5081">
        <v>-1408</v>
      </c>
      <c r="BB5081" t="str">
        <f t="shared" si="2004"/>
        <v>1200</v>
      </c>
      <c r="BC5081">
        <v>1</v>
      </c>
      <c r="BD5081" t="str">
        <f t="shared" si="2005"/>
        <v xml:space="preserve">N52156  </v>
      </c>
      <c r="BE5081">
        <v>1</v>
      </c>
      <c r="BG5081">
        <v>0</v>
      </c>
      <c r="BH5081">
        <v>0</v>
      </c>
      <c r="BI5081">
        <v>0</v>
      </c>
      <c r="BJ5081">
        <v>3875</v>
      </c>
      <c r="BK5081">
        <v>75</v>
      </c>
      <c r="BL5081" t="s">
        <v>188</v>
      </c>
      <c r="BM5081">
        <v>1</v>
      </c>
      <c r="BN5081">
        <v>1</v>
      </c>
      <c r="BO5081">
        <v>0</v>
      </c>
      <c r="BP5081">
        <v>0</v>
      </c>
      <c r="BS5081">
        <v>0</v>
      </c>
      <c r="BT5081">
        <v>0</v>
      </c>
      <c r="BU5081">
        <v>0</v>
      </c>
      <c r="CE5081" t="str">
        <f t="shared" si="2013"/>
        <v>15:18:38.574</v>
      </c>
      <c r="CF5081">
        <v>574258463</v>
      </c>
      <c r="CS5081">
        <v>0</v>
      </c>
      <c r="CT5081">
        <v>2</v>
      </c>
      <c r="CU5081">
        <v>0</v>
      </c>
      <c r="CV5081">
        <v>2</v>
      </c>
      <c r="CW5081">
        <v>0</v>
      </c>
      <c r="CX5081">
        <v>3</v>
      </c>
      <c r="CY5081">
        <v>7</v>
      </c>
      <c r="CZ5081" t="s">
        <v>133</v>
      </c>
      <c r="DA5081">
        <v>275</v>
      </c>
      <c r="DB5081">
        <v>0</v>
      </c>
      <c r="DC5081" t="s">
        <v>134</v>
      </c>
      <c r="DD5081" t="s">
        <v>135</v>
      </c>
      <c r="DG5081">
        <v>3323555</v>
      </c>
      <c r="DI5081">
        <v>1</v>
      </c>
      <c r="DJ5081">
        <v>0</v>
      </c>
      <c r="DK5081">
        <v>1</v>
      </c>
      <c r="DL5081">
        <v>0</v>
      </c>
      <c r="DM5081">
        <v>0</v>
      </c>
      <c r="DN5081">
        <v>0</v>
      </c>
      <c r="DO5081">
        <v>0</v>
      </c>
      <c r="DP5081">
        <v>0</v>
      </c>
      <c r="DQ5081">
        <v>0</v>
      </c>
      <c r="DR5081">
        <v>0</v>
      </c>
      <c r="DS5081">
        <v>0</v>
      </c>
    </row>
    <row r="5082" spans="1:123" x14ac:dyDescent="0.3">
      <c r="A5082" t="str">
        <f>"05/01/2025 15:18:38.845"</f>
        <v>05/01/2025 15:18:38.845</v>
      </c>
      <c r="C5082" t="str">
        <f t="shared" si="2002"/>
        <v>FFDFD3C0</v>
      </c>
      <c r="D5082" t="s">
        <v>124</v>
      </c>
      <c r="E5082" t="str">
        <f>"06"</f>
        <v>06</v>
      </c>
      <c r="F5082">
        <v>2006</v>
      </c>
      <c r="G5082" t="s">
        <v>125</v>
      </c>
      <c r="J5082" t="s">
        <v>126</v>
      </c>
      <c r="K5082">
        <v>0</v>
      </c>
      <c r="L5082">
        <v>3</v>
      </c>
      <c r="M5082">
        <v>0</v>
      </c>
      <c r="N5082">
        <v>2</v>
      </c>
      <c r="O5082">
        <v>0</v>
      </c>
      <c r="P5082">
        <v>1</v>
      </c>
      <c r="Q5082">
        <v>0</v>
      </c>
      <c r="R5082" t="s">
        <v>127</v>
      </c>
      <c r="S5082" t="str">
        <f t="shared" si="2012"/>
        <v>15:18:38.000</v>
      </c>
      <c r="T5082" t="str">
        <f t="shared" si="2012"/>
        <v>15:18:38.000</v>
      </c>
      <c r="U5082" t="str">
        <f t="shared" si="2003"/>
        <v>A68FCB</v>
      </c>
      <c r="V5082">
        <v>0</v>
      </c>
      <c r="W5082">
        <v>0</v>
      </c>
      <c r="X5082">
        <v>2</v>
      </c>
      <c r="Y5082">
        <v>0</v>
      </c>
      <c r="AA5082">
        <v>1</v>
      </c>
      <c r="AB5082">
        <v>8</v>
      </c>
      <c r="AC5082">
        <v>3</v>
      </c>
      <c r="AD5082">
        <v>0</v>
      </c>
      <c r="AE5082">
        <v>9</v>
      </c>
      <c r="AF5082" t="s">
        <v>138</v>
      </c>
      <c r="AG5082">
        <v>0</v>
      </c>
      <c r="AH5082">
        <v>3</v>
      </c>
      <c r="AI5082">
        <v>2</v>
      </c>
      <c r="AJ5082">
        <v>0</v>
      </c>
      <c r="AK5082" t="s">
        <v>1604</v>
      </c>
      <c r="AL5082">
        <v>39.235010000000003</v>
      </c>
      <c r="AM5082" t="s">
        <v>1605</v>
      </c>
      <c r="AN5082">
        <v>-121.018717</v>
      </c>
      <c r="AO5082">
        <v>25</v>
      </c>
      <c r="AP5082">
        <v>3800</v>
      </c>
      <c r="AQ5082" t="s">
        <v>131</v>
      </c>
      <c r="AR5082">
        <v>-100</v>
      </c>
      <c r="AS5082">
        <v>-14</v>
      </c>
      <c r="AT5082">
        <v>-1408</v>
      </c>
      <c r="BB5082" t="str">
        <f t="shared" si="2004"/>
        <v>1200</v>
      </c>
      <c r="BC5082">
        <v>1</v>
      </c>
      <c r="BD5082" t="str">
        <f t="shared" si="2005"/>
        <v xml:space="preserve">N52156  </v>
      </c>
      <c r="BE5082">
        <v>1</v>
      </c>
      <c r="BG5082">
        <v>0</v>
      </c>
      <c r="BH5082">
        <v>0</v>
      </c>
      <c r="BI5082">
        <v>0</v>
      </c>
      <c r="BJ5082">
        <v>3875</v>
      </c>
      <c r="BK5082">
        <v>75</v>
      </c>
      <c r="BL5082" t="s">
        <v>188</v>
      </c>
      <c r="BM5082">
        <v>1</v>
      </c>
      <c r="BN5082">
        <v>1</v>
      </c>
      <c r="BO5082">
        <v>0</v>
      </c>
      <c r="BP5082">
        <v>0</v>
      </c>
      <c r="BS5082">
        <v>0</v>
      </c>
      <c r="BT5082">
        <v>0</v>
      </c>
      <c r="BU5082">
        <v>0</v>
      </c>
      <c r="CE5082" t="str">
        <f t="shared" si="2013"/>
        <v>15:18:38.574</v>
      </c>
      <c r="CF5082">
        <v>574258463</v>
      </c>
      <c r="CS5082">
        <v>0</v>
      </c>
      <c r="CT5082">
        <v>2</v>
      </c>
      <c r="CU5082">
        <v>0</v>
      </c>
      <c r="CV5082">
        <v>2</v>
      </c>
      <c r="CW5082">
        <v>0</v>
      </c>
      <c r="CX5082">
        <v>3</v>
      </c>
      <c r="CY5082">
        <v>7</v>
      </c>
      <c r="CZ5082" t="s">
        <v>133</v>
      </c>
      <c r="DA5082">
        <v>275</v>
      </c>
      <c r="DB5082">
        <v>0</v>
      </c>
      <c r="DC5082" t="s">
        <v>134</v>
      </c>
      <c r="DD5082" t="s">
        <v>135</v>
      </c>
      <c r="DG5082">
        <v>3323555</v>
      </c>
      <c r="DI5082">
        <v>1</v>
      </c>
      <c r="DJ5082">
        <v>0</v>
      </c>
      <c r="DK5082">
        <v>1</v>
      </c>
      <c r="DL5082">
        <v>0</v>
      </c>
      <c r="DM5082">
        <v>0</v>
      </c>
      <c r="DN5082">
        <v>0</v>
      </c>
      <c r="DO5082">
        <v>0</v>
      </c>
      <c r="DP5082">
        <v>0</v>
      </c>
      <c r="DQ5082">
        <v>0</v>
      </c>
      <c r="DR5082">
        <v>0</v>
      </c>
      <c r="DS5082">
        <v>0</v>
      </c>
    </row>
    <row r="5083" spans="1:123" x14ac:dyDescent="0.3">
      <c r="A5083" t="str">
        <f>"05/01/2025 15:18:38.853"</f>
        <v>05/01/2025 15:18:38.853</v>
      </c>
      <c r="C5083" t="str">
        <f t="shared" si="2002"/>
        <v>FFDFD3C0</v>
      </c>
      <c r="D5083" t="s">
        <v>143</v>
      </c>
      <c r="E5083" t="str">
        <f>"05"</f>
        <v>05</v>
      </c>
      <c r="H5083">
        <v>172</v>
      </c>
      <c r="I5083" t="s">
        <v>141</v>
      </c>
      <c r="J5083" t="s">
        <v>144</v>
      </c>
      <c r="K5083">
        <v>0</v>
      </c>
      <c r="L5083">
        <v>3</v>
      </c>
      <c r="M5083">
        <v>0</v>
      </c>
      <c r="N5083">
        <v>2</v>
      </c>
      <c r="O5083">
        <v>0</v>
      </c>
      <c r="P5083">
        <v>1</v>
      </c>
      <c r="Q5083">
        <v>0</v>
      </c>
      <c r="R5083" t="s">
        <v>127</v>
      </c>
      <c r="S5083" t="str">
        <f t="shared" si="2012"/>
        <v>15:18:38.000</v>
      </c>
      <c r="T5083" t="str">
        <f t="shared" si="2012"/>
        <v>15:18:38.000</v>
      </c>
      <c r="U5083" t="str">
        <f t="shared" si="2003"/>
        <v>A68FCB</v>
      </c>
      <c r="V5083">
        <v>0</v>
      </c>
      <c r="W5083">
        <v>0</v>
      </c>
      <c r="X5083">
        <v>2</v>
      </c>
      <c r="Y5083">
        <v>0</v>
      </c>
      <c r="AA5083">
        <v>1</v>
      </c>
      <c r="AB5083">
        <v>8</v>
      </c>
      <c r="AC5083">
        <v>3</v>
      </c>
      <c r="AD5083">
        <v>0</v>
      </c>
      <c r="AE5083">
        <v>9</v>
      </c>
      <c r="AF5083" t="s">
        <v>138</v>
      </c>
      <c r="AG5083">
        <v>0</v>
      </c>
      <c r="AH5083">
        <v>3</v>
      </c>
      <c r="AI5083">
        <v>2</v>
      </c>
      <c r="AJ5083">
        <v>0</v>
      </c>
      <c r="AK5083" t="s">
        <v>1604</v>
      </c>
      <c r="AL5083">
        <v>39.235010000000003</v>
      </c>
      <c r="AM5083" t="s">
        <v>1605</v>
      </c>
      <c r="AN5083">
        <v>-121.018717</v>
      </c>
      <c r="AO5083">
        <v>25</v>
      </c>
      <c r="AP5083">
        <v>3800</v>
      </c>
      <c r="AQ5083" t="s">
        <v>131</v>
      </c>
      <c r="AR5083">
        <v>-100</v>
      </c>
      <c r="AS5083">
        <v>-14</v>
      </c>
      <c r="AT5083">
        <v>-1408</v>
      </c>
      <c r="BB5083" t="str">
        <f t="shared" si="2004"/>
        <v>1200</v>
      </c>
      <c r="BC5083">
        <v>1</v>
      </c>
      <c r="BD5083" t="str">
        <f t="shared" si="2005"/>
        <v xml:space="preserve">N52156  </v>
      </c>
      <c r="BE5083">
        <v>1</v>
      </c>
      <c r="BG5083">
        <v>0</v>
      </c>
      <c r="BH5083">
        <v>0</v>
      </c>
      <c r="BI5083">
        <v>0</v>
      </c>
      <c r="BJ5083">
        <v>3875</v>
      </c>
      <c r="BK5083">
        <v>75</v>
      </c>
      <c r="BL5083" t="s">
        <v>188</v>
      </c>
      <c r="BM5083">
        <v>1</v>
      </c>
      <c r="BN5083">
        <v>1</v>
      </c>
      <c r="BO5083">
        <v>0</v>
      </c>
      <c r="BP5083">
        <v>0</v>
      </c>
      <c r="BS5083">
        <v>0</v>
      </c>
      <c r="BT5083">
        <v>0</v>
      </c>
      <c r="BU5083">
        <v>0</v>
      </c>
      <c r="CE5083" t="str">
        <f t="shared" si="2013"/>
        <v>15:18:38.574</v>
      </c>
      <c r="CF5083">
        <v>574258463</v>
      </c>
      <c r="CS5083">
        <v>0</v>
      </c>
      <c r="CT5083">
        <v>2</v>
      </c>
      <c r="CU5083">
        <v>0</v>
      </c>
      <c r="CV5083">
        <v>2</v>
      </c>
      <c r="CW5083">
        <v>0</v>
      </c>
      <c r="CX5083">
        <v>3</v>
      </c>
      <c r="CY5083">
        <v>7</v>
      </c>
      <c r="CZ5083" t="s">
        <v>133</v>
      </c>
      <c r="DA5083">
        <v>275</v>
      </c>
      <c r="DB5083">
        <v>0</v>
      </c>
      <c r="DC5083" t="s">
        <v>134</v>
      </c>
      <c r="DD5083" t="s">
        <v>135</v>
      </c>
      <c r="DG5083">
        <v>3323555</v>
      </c>
      <c r="DI5083">
        <v>1</v>
      </c>
      <c r="DJ5083">
        <v>0</v>
      </c>
      <c r="DK5083">
        <v>1</v>
      </c>
      <c r="DL5083">
        <v>0</v>
      </c>
      <c r="DM5083">
        <v>0</v>
      </c>
      <c r="DN5083">
        <v>0</v>
      </c>
      <c r="DO5083">
        <v>0</v>
      </c>
      <c r="DP5083">
        <v>0</v>
      </c>
      <c r="DQ5083">
        <v>0</v>
      </c>
      <c r="DR5083">
        <v>0</v>
      </c>
      <c r="DS5083">
        <v>0</v>
      </c>
    </row>
    <row r="5084" spans="1:123" x14ac:dyDescent="0.3">
      <c r="A5084" t="str">
        <f>"05/01/2025 15:18:39.868"</f>
        <v>05/01/2025 15:18:39.868</v>
      </c>
      <c r="C5084" t="str">
        <f t="shared" si="2002"/>
        <v>FFDFD3C0</v>
      </c>
      <c r="D5084" t="s">
        <v>145</v>
      </c>
      <c r="E5084" t="str">
        <f>"09"</f>
        <v>09</v>
      </c>
      <c r="H5084">
        <v>51</v>
      </c>
      <c r="I5084" t="s">
        <v>147</v>
      </c>
      <c r="J5084" t="s">
        <v>138</v>
      </c>
      <c r="K5084">
        <v>0</v>
      </c>
      <c r="L5084">
        <v>3</v>
      </c>
      <c r="M5084">
        <v>0</v>
      </c>
      <c r="N5084">
        <v>2</v>
      </c>
      <c r="O5084">
        <v>0</v>
      </c>
      <c r="P5084">
        <v>1</v>
      </c>
      <c r="Q5084">
        <v>0</v>
      </c>
      <c r="R5084" t="s">
        <v>127</v>
      </c>
      <c r="S5084" t="str">
        <f t="shared" ref="S5084:T5089" si="2014">"15:18:39.000"</f>
        <v>15:18:39.000</v>
      </c>
      <c r="T5084" t="str">
        <f t="shared" si="2014"/>
        <v>15:18:39.000</v>
      </c>
      <c r="U5084" t="str">
        <f t="shared" si="2003"/>
        <v>A68FCB</v>
      </c>
      <c r="V5084">
        <v>0</v>
      </c>
      <c r="W5084">
        <v>0</v>
      </c>
      <c r="X5084">
        <v>2</v>
      </c>
      <c r="Y5084">
        <v>0</v>
      </c>
      <c r="AA5084">
        <v>1</v>
      </c>
      <c r="AB5084">
        <v>8</v>
      </c>
      <c r="AC5084">
        <v>3</v>
      </c>
      <c r="AD5084">
        <v>0</v>
      </c>
      <c r="AE5084">
        <v>9</v>
      </c>
      <c r="AF5084" t="s">
        <v>138</v>
      </c>
      <c r="AG5084">
        <v>0</v>
      </c>
      <c r="AH5084">
        <v>3</v>
      </c>
      <c r="AI5084">
        <v>2</v>
      </c>
      <c r="AJ5084">
        <v>0</v>
      </c>
      <c r="AK5084" t="s">
        <v>1606</v>
      </c>
      <c r="AL5084">
        <v>39.234817</v>
      </c>
      <c r="AM5084" t="s">
        <v>1333</v>
      </c>
      <c r="AN5084">
        <v>-121.01938199999999</v>
      </c>
      <c r="AO5084">
        <v>25</v>
      </c>
      <c r="AP5084">
        <v>3800</v>
      </c>
      <c r="AQ5084" t="s">
        <v>131</v>
      </c>
      <c r="AR5084">
        <v>-102</v>
      </c>
      <c r="AS5084">
        <v>-18</v>
      </c>
      <c r="AT5084">
        <v>-832</v>
      </c>
      <c r="BB5084" t="str">
        <f t="shared" si="2004"/>
        <v>1200</v>
      </c>
      <c r="BC5084">
        <v>1</v>
      </c>
      <c r="BD5084" t="str">
        <f t="shared" si="2005"/>
        <v xml:space="preserve">N52156  </v>
      </c>
      <c r="BE5084">
        <v>1</v>
      </c>
      <c r="BG5084">
        <v>0</v>
      </c>
      <c r="BH5084">
        <v>0</v>
      </c>
      <c r="BI5084">
        <v>0</v>
      </c>
      <c r="BJ5084">
        <v>3800</v>
      </c>
      <c r="BK5084">
        <v>0</v>
      </c>
      <c r="BL5084" t="s">
        <v>188</v>
      </c>
      <c r="BM5084">
        <v>1</v>
      </c>
      <c r="BN5084">
        <v>1</v>
      </c>
      <c r="BO5084">
        <v>0</v>
      </c>
      <c r="BP5084">
        <v>0</v>
      </c>
      <c r="BS5084">
        <v>0</v>
      </c>
      <c r="BT5084">
        <v>0</v>
      </c>
      <c r="BU5084">
        <v>0</v>
      </c>
      <c r="CE5084" t="str">
        <f t="shared" ref="CE5084:CE5089" si="2015">"15:18:39.644"</f>
        <v>15:18:39.644</v>
      </c>
      <c r="CF5084">
        <v>644258423</v>
      </c>
      <c r="CS5084">
        <v>0</v>
      </c>
      <c r="CT5084">
        <v>2</v>
      </c>
      <c r="CU5084">
        <v>0</v>
      </c>
      <c r="CV5084">
        <v>2</v>
      </c>
      <c r="CW5084">
        <v>0</v>
      </c>
      <c r="CX5084">
        <v>3</v>
      </c>
      <c r="CY5084">
        <v>7</v>
      </c>
      <c r="CZ5084" t="s">
        <v>133</v>
      </c>
      <c r="DA5084">
        <v>275</v>
      </c>
      <c r="DB5084">
        <v>0</v>
      </c>
      <c r="DC5084" t="s">
        <v>134</v>
      </c>
      <c r="DD5084" t="s">
        <v>135</v>
      </c>
      <c r="DG5084">
        <v>3323563</v>
      </c>
      <c r="DI5084">
        <v>1</v>
      </c>
      <c r="DJ5084">
        <v>0</v>
      </c>
      <c r="DK5084">
        <v>0</v>
      </c>
      <c r="DL5084">
        <v>0</v>
      </c>
      <c r="DM5084">
        <v>0</v>
      </c>
      <c r="DN5084">
        <v>0</v>
      </c>
      <c r="DO5084">
        <v>0</v>
      </c>
      <c r="DP5084">
        <v>0</v>
      </c>
      <c r="DQ5084">
        <v>0</v>
      </c>
      <c r="DR5084">
        <v>0</v>
      </c>
      <c r="DS5084">
        <v>0</v>
      </c>
    </row>
    <row r="5085" spans="1:123" x14ac:dyDescent="0.3">
      <c r="A5085" t="str">
        <f>"05/01/2025 15:18:39.869"</f>
        <v>05/01/2025 15:18:39.869</v>
      </c>
      <c r="C5085" t="str">
        <f t="shared" si="2002"/>
        <v>FFDFD3C0</v>
      </c>
      <c r="D5085" t="s">
        <v>145</v>
      </c>
      <c r="E5085" t="str">
        <f>"05"</f>
        <v>05</v>
      </c>
      <c r="H5085">
        <v>47</v>
      </c>
      <c r="I5085" t="s">
        <v>146</v>
      </c>
      <c r="J5085" t="s">
        <v>138</v>
      </c>
      <c r="K5085">
        <v>0</v>
      </c>
      <c r="L5085">
        <v>3</v>
      </c>
      <c r="M5085">
        <v>0</v>
      </c>
      <c r="N5085">
        <v>2</v>
      </c>
      <c r="O5085">
        <v>0</v>
      </c>
      <c r="P5085">
        <v>1</v>
      </c>
      <c r="Q5085">
        <v>0</v>
      </c>
      <c r="R5085" t="s">
        <v>127</v>
      </c>
      <c r="S5085" t="str">
        <f t="shared" si="2014"/>
        <v>15:18:39.000</v>
      </c>
      <c r="T5085" t="str">
        <f t="shared" si="2014"/>
        <v>15:18:39.000</v>
      </c>
      <c r="U5085" t="str">
        <f t="shared" si="2003"/>
        <v>A68FCB</v>
      </c>
      <c r="V5085">
        <v>0</v>
      </c>
      <c r="W5085">
        <v>0</v>
      </c>
      <c r="X5085">
        <v>2</v>
      </c>
      <c r="Y5085">
        <v>0</v>
      </c>
      <c r="AA5085">
        <v>1</v>
      </c>
      <c r="AB5085">
        <v>8</v>
      </c>
      <c r="AC5085">
        <v>3</v>
      </c>
      <c r="AD5085">
        <v>0</v>
      </c>
      <c r="AE5085">
        <v>9</v>
      </c>
      <c r="AF5085" t="s">
        <v>138</v>
      </c>
      <c r="AG5085">
        <v>0</v>
      </c>
      <c r="AH5085">
        <v>3</v>
      </c>
      <c r="AI5085">
        <v>2</v>
      </c>
      <c r="AJ5085">
        <v>0</v>
      </c>
      <c r="AK5085" t="s">
        <v>1606</v>
      </c>
      <c r="AL5085">
        <v>39.234817</v>
      </c>
      <c r="AM5085" t="s">
        <v>1333</v>
      </c>
      <c r="AN5085">
        <v>-121.01938199999999</v>
      </c>
      <c r="AO5085">
        <v>25</v>
      </c>
      <c r="AP5085">
        <v>3800</v>
      </c>
      <c r="AQ5085" t="s">
        <v>131</v>
      </c>
      <c r="AR5085">
        <v>-102</v>
      </c>
      <c r="AS5085">
        <v>-18</v>
      </c>
      <c r="AT5085">
        <v>-832</v>
      </c>
      <c r="BB5085" t="str">
        <f t="shared" si="2004"/>
        <v>1200</v>
      </c>
      <c r="BC5085">
        <v>1</v>
      </c>
      <c r="BD5085" t="str">
        <f t="shared" si="2005"/>
        <v xml:space="preserve">N52156  </v>
      </c>
      <c r="BE5085">
        <v>1</v>
      </c>
      <c r="BG5085">
        <v>0</v>
      </c>
      <c r="BH5085">
        <v>0</v>
      </c>
      <c r="BI5085">
        <v>0</v>
      </c>
      <c r="BJ5085">
        <v>3800</v>
      </c>
      <c r="BK5085">
        <v>0</v>
      </c>
      <c r="BL5085" t="s">
        <v>188</v>
      </c>
      <c r="BM5085">
        <v>1</v>
      </c>
      <c r="BN5085">
        <v>1</v>
      </c>
      <c r="BO5085">
        <v>0</v>
      </c>
      <c r="BP5085">
        <v>0</v>
      </c>
      <c r="BS5085">
        <v>0</v>
      </c>
      <c r="BT5085">
        <v>0</v>
      </c>
      <c r="BU5085">
        <v>0</v>
      </c>
      <c r="CE5085" t="str">
        <f t="shared" si="2015"/>
        <v>15:18:39.644</v>
      </c>
      <c r="CF5085">
        <v>644258423</v>
      </c>
      <c r="CS5085">
        <v>0</v>
      </c>
      <c r="CT5085">
        <v>2</v>
      </c>
      <c r="CU5085">
        <v>0</v>
      </c>
      <c r="CV5085">
        <v>2</v>
      </c>
      <c r="CW5085">
        <v>0</v>
      </c>
      <c r="CX5085">
        <v>3</v>
      </c>
      <c r="CY5085">
        <v>7</v>
      </c>
      <c r="CZ5085" t="s">
        <v>133</v>
      </c>
      <c r="DA5085">
        <v>275</v>
      </c>
      <c r="DB5085">
        <v>0</v>
      </c>
      <c r="DC5085" t="s">
        <v>134</v>
      </c>
      <c r="DD5085" t="s">
        <v>135</v>
      </c>
      <c r="DG5085">
        <v>3323563</v>
      </c>
      <c r="DI5085">
        <v>1</v>
      </c>
      <c r="DJ5085">
        <v>0</v>
      </c>
      <c r="DK5085">
        <v>1</v>
      </c>
      <c r="DL5085">
        <v>0</v>
      </c>
      <c r="DM5085">
        <v>0</v>
      </c>
      <c r="DN5085">
        <v>0</v>
      </c>
      <c r="DO5085">
        <v>0</v>
      </c>
      <c r="DP5085">
        <v>0</v>
      </c>
      <c r="DQ5085">
        <v>0</v>
      </c>
      <c r="DR5085">
        <v>0</v>
      </c>
      <c r="DS5085">
        <v>0</v>
      </c>
    </row>
    <row r="5086" spans="1:123" x14ac:dyDescent="0.3">
      <c r="A5086" t="str">
        <f>"05/01/2025 15:18:39.877"</f>
        <v>05/01/2025 15:18:39.877</v>
      </c>
      <c r="C5086" t="str">
        <f t="shared" si="2002"/>
        <v>FFDFD3C0</v>
      </c>
      <c r="D5086" t="s">
        <v>136</v>
      </c>
      <c r="E5086" t="str">
        <f>"20"</f>
        <v>20</v>
      </c>
      <c r="H5086">
        <v>400</v>
      </c>
      <c r="I5086" t="s">
        <v>137</v>
      </c>
      <c r="J5086" t="s">
        <v>138</v>
      </c>
      <c r="K5086">
        <v>0</v>
      </c>
      <c r="L5086">
        <v>3</v>
      </c>
      <c r="M5086">
        <v>0</v>
      </c>
      <c r="N5086">
        <v>2</v>
      </c>
      <c r="O5086">
        <v>0</v>
      </c>
      <c r="P5086">
        <v>1</v>
      </c>
      <c r="Q5086">
        <v>0</v>
      </c>
      <c r="R5086" t="s">
        <v>127</v>
      </c>
      <c r="S5086" t="str">
        <f t="shared" si="2014"/>
        <v>15:18:39.000</v>
      </c>
      <c r="T5086" t="str">
        <f t="shared" si="2014"/>
        <v>15:18:39.000</v>
      </c>
      <c r="U5086" t="str">
        <f t="shared" si="2003"/>
        <v>A68FCB</v>
      </c>
      <c r="V5086">
        <v>0</v>
      </c>
      <c r="W5086">
        <v>0</v>
      </c>
      <c r="X5086">
        <v>2</v>
      </c>
      <c r="Y5086">
        <v>0</v>
      </c>
      <c r="AA5086">
        <v>1</v>
      </c>
      <c r="AB5086">
        <v>8</v>
      </c>
      <c r="AC5086">
        <v>3</v>
      </c>
      <c r="AD5086">
        <v>0</v>
      </c>
      <c r="AE5086">
        <v>9</v>
      </c>
      <c r="AF5086" t="s">
        <v>138</v>
      </c>
      <c r="AG5086">
        <v>0</v>
      </c>
      <c r="AH5086">
        <v>3</v>
      </c>
      <c r="AI5086">
        <v>2</v>
      </c>
      <c r="AJ5086">
        <v>0</v>
      </c>
      <c r="AK5086" t="s">
        <v>1606</v>
      </c>
      <c r="AL5086">
        <v>39.234817</v>
      </c>
      <c r="AM5086" t="s">
        <v>1333</v>
      </c>
      <c r="AN5086">
        <v>-121.01938199999999</v>
      </c>
      <c r="AO5086">
        <v>25</v>
      </c>
      <c r="AP5086">
        <v>3800</v>
      </c>
      <c r="AQ5086" t="s">
        <v>131</v>
      </c>
      <c r="AR5086">
        <v>-102</v>
      </c>
      <c r="AS5086">
        <v>-18</v>
      </c>
      <c r="AT5086">
        <v>-832</v>
      </c>
      <c r="BB5086" t="str">
        <f t="shared" si="2004"/>
        <v>1200</v>
      </c>
      <c r="BC5086">
        <v>1</v>
      </c>
      <c r="BD5086" t="str">
        <f t="shared" si="2005"/>
        <v xml:space="preserve">N52156  </v>
      </c>
      <c r="BE5086">
        <v>1</v>
      </c>
      <c r="BG5086">
        <v>0</v>
      </c>
      <c r="BH5086">
        <v>0</v>
      </c>
      <c r="BI5086">
        <v>0</v>
      </c>
      <c r="BJ5086">
        <v>3800</v>
      </c>
      <c r="BK5086">
        <v>0</v>
      </c>
      <c r="BL5086" t="s">
        <v>188</v>
      </c>
      <c r="BM5086">
        <v>1</v>
      </c>
      <c r="BN5086">
        <v>1</v>
      </c>
      <c r="BO5086">
        <v>0</v>
      </c>
      <c r="BP5086">
        <v>0</v>
      </c>
      <c r="BS5086">
        <v>0</v>
      </c>
      <c r="BT5086">
        <v>0</v>
      </c>
      <c r="BU5086">
        <v>0</v>
      </c>
      <c r="CE5086" t="str">
        <f t="shared" si="2015"/>
        <v>15:18:39.644</v>
      </c>
      <c r="CF5086">
        <v>644258423</v>
      </c>
      <c r="CS5086">
        <v>0</v>
      </c>
      <c r="CT5086">
        <v>2</v>
      </c>
      <c r="CU5086">
        <v>0</v>
      </c>
      <c r="CV5086">
        <v>2</v>
      </c>
      <c r="CW5086">
        <v>0</v>
      </c>
      <c r="CX5086">
        <v>3</v>
      </c>
      <c r="CY5086">
        <v>7</v>
      </c>
      <c r="CZ5086" t="s">
        <v>133</v>
      </c>
      <c r="DA5086">
        <v>275</v>
      </c>
      <c r="DB5086">
        <v>0</v>
      </c>
      <c r="DC5086" t="s">
        <v>134</v>
      </c>
      <c r="DD5086" t="s">
        <v>135</v>
      </c>
      <c r="DG5086">
        <v>3323563</v>
      </c>
      <c r="DI5086">
        <v>1</v>
      </c>
      <c r="DJ5086">
        <v>0</v>
      </c>
      <c r="DK5086">
        <v>1</v>
      </c>
      <c r="DL5086">
        <v>0</v>
      </c>
      <c r="DM5086">
        <v>0</v>
      </c>
      <c r="DN5086">
        <v>0</v>
      </c>
      <c r="DO5086">
        <v>0</v>
      </c>
      <c r="DP5086">
        <v>0</v>
      </c>
      <c r="DQ5086">
        <v>0</v>
      </c>
      <c r="DR5086">
        <v>0</v>
      </c>
      <c r="DS5086">
        <v>0</v>
      </c>
    </row>
    <row r="5087" spans="1:123" x14ac:dyDescent="0.3">
      <c r="A5087" t="str">
        <f>"05/01/2025 15:18:39.893"</f>
        <v>05/01/2025 15:18:39.893</v>
      </c>
      <c r="C5087" t="str">
        <f t="shared" si="2002"/>
        <v>FFDFD3C0</v>
      </c>
      <c r="D5087" t="s">
        <v>140</v>
      </c>
      <c r="E5087" t="str">
        <f>"13"</f>
        <v>13</v>
      </c>
      <c r="F5087">
        <v>1019</v>
      </c>
      <c r="G5087" t="s">
        <v>141</v>
      </c>
      <c r="J5087" t="s">
        <v>142</v>
      </c>
      <c r="K5087">
        <v>0</v>
      </c>
      <c r="L5087">
        <v>3</v>
      </c>
      <c r="M5087">
        <v>0</v>
      </c>
      <c r="N5087">
        <v>2</v>
      </c>
      <c r="O5087">
        <v>0</v>
      </c>
      <c r="P5087">
        <v>1</v>
      </c>
      <c r="Q5087">
        <v>0</v>
      </c>
      <c r="R5087" t="s">
        <v>127</v>
      </c>
      <c r="S5087" t="str">
        <f t="shared" si="2014"/>
        <v>15:18:39.000</v>
      </c>
      <c r="T5087" t="str">
        <f t="shared" si="2014"/>
        <v>15:18:39.000</v>
      </c>
      <c r="U5087" t="str">
        <f t="shared" si="2003"/>
        <v>A68FCB</v>
      </c>
      <c r="V5087">
        <v>0</v>
      </c>
      <c r="W5087">
        <v>0</v>
      </c>
      <c r="X5087">
        <v>2</v>
      </c>
      <c r="Y5087">
        <v>0</v>
      </c>
      <c r="AA5087">
        <v>1</v>
      </c>
      <c r="AB5087">
        <v>8</v>
      </c>
      <c r="AC5087">
        <v>3</v>
      </c>
      <c r="AD5087">
        <v>0</v>
      </c>
      <c r="AE5087">
        <v>9</v>
      </c>
      <c r="AF5087" t="s">
        <v>138</v>
      </c>
      <c r="AG5087">
        <v>0</v>
      </c>
      <c r="AH5087">
        <v>3</v>
      </c>
      <c r="AI5087">
        <v>2</v>
      </c>
      <c r="AJ5087">
        <v>0</v>
      </c>
      <c r="AK5087" t="s">
        <v>1606</v>
      </c>
      <c r="AL5087">
        <v>39.234817</v>
      </c>
      <c r="AM5087" t="s">
        <v>1333</v>
      </c>
      <c r="AN5087">
        <v>-121.01938199999999</v>
      </c>
      <c r="AO5087">
        <v>25</v>
      </c>
      <c r="AP5087">
        <v>3800</v>
      </c>
      <c r="AQ5087" t="s">
        <v>131</v>
      </c>
      <c r="AR5087">
        <v>-102</v>
      </c>
      <c r="AS5087">
        <v>-18</v>
      </c>
      <c r="AT5087">
        <v>-832</v>
      </c>
      <c r="BB5087" t="str">
        <f t="shared" si="2004"/>
        <v>1200</v>
      </c>
      <c r="BC5087">
        <v>1</v>
      </c>
      <c r="BD5087" t="str">
        <f t="shared" si="2005"/>
        <v xml:space="preserve">N52156  </v>
      </c>
      <c r="BE5087">
        <v>1</v>
      </c>
      <c r="BG5087">
        <v>0</v>
      </c>
      <c r="BH5087">
        <v>0</v>
      </c>
      <c r="BI5087">
        <v>0</v>
      </c>
      <c r="BJ5087">
        <v>3800</v>
      </c>
      <c r="BK5087">
        <v>0</v>
      </c>
      <c r="BL5087" t="s">
        <v>188</v>
      </c>
      <c r="BM5087">
        <v>1</v>
      </c>
      <c r="BN5087">
        <v>1</v>
      </c>
      <c r="BO5087">
        <v>0</v>
      </c>
      <c r="BP5087">
        <v>0</v>
      </c>
      <c r="BS5087">
        <v>0</v>
      </c>
      <c r="BT5087">
        <v>0</v>
      </c>
      <c r="BU5087">
        <v>0</v>
      </c>
      <c r="CE5087" t="str">
        <f t="shared" si="2015"/>
        <v>15:18:39.644</v>
      </c>
      <c r="CF5087">
        <v>644258423</v>
      </c>
      <c r="CS5087">
        <v>0</v>
      </c>
      <c r="CT5087">
        <v>2</v>
      </c>
      <c r="CU5087">
        <v>0</v>
      </c>
      <c r="CV5087">
        <v>2</v>
      </c>
      <c r="CW5087">
        <v>0</v>
      </c>
      <c r="CX5087">
        <v>3</v>
      </c>
      <c r="CY5087">
        <v>7</v>
      </c>
      <c r="CZ5087" t="s">
        <v>133</v>
      </c>
      <c r="DA5087">
        <v>275</v>
      </c>
      <c r="DB5087">
        <v>0</v>
      </c>
      <c r="DC5087" t="s">
        <v>134</v>
      </c>
      <c r="DD5087" t="s">
        <v>135</v>
      </c>
      <c r="DG5087">
        <v>3323563</v>
      </c>
      <c r="DI5087">
        <v>1</v>
      </c>
      <c r="DJ5087">
        <v>0</v>
      </c>
      <c r="DK5087">
        <v>1</v>
      </c>
      <c r="DL5087">
        <v>0</v>
      </c>
      <c r="DM5087">
        <v>0</v>
      </c>
      <c r="DN5087">
        <v>0</v>
      </c>
      <c r="DO5087">
        <v>0</v>
      </c>
      <c r="DP5087">
        <v>0</v>
      </c>
      <c r="DQ5087">
        <v>0</v>
      </c>
      <c r="DR5087">
        <v>0</v>
      </c>
      <c r="DS5087">
        <v>0</v>
      </c>
    </row>
    <row r="5088" spans="1:123" x14ac:dyDescent="0.3">
      <c r="A5088" t="str">
        <f>"05/01/2025 15:18:39.896"</f>
        <v>05/01/2025 15:18:39.896</v>
      </c>
      <c r="C5088" t="str">
        <f t="shared" si="2002"/>
        <v>FFDFD3C0</v>
      </c>
      <c r="D5088" t="s">
        <v>124</v>
      </c>
      <c r="E5088" t="str">
        <f>"06"</f>
        <v>06</v>
      </c>
      <c r="F5088">
        <v>2006</v>
      </c>
      <c r="G5088" t="s">
        <v>125</v>
      </c>
      <c r="J5088" t="s">
        <v>126</v>
      </c>
      <c r="K5088">
        <v>0</v>
      </c>
      <c r="L5088">
        <v>3</v>
      </c>
      <c r="M5088">
        <v>0</v>
      </c>
      <c r="N5088">
        <v>2</v>
      </c>
      <c r="O5088">
        <v>0</v>
      </c>
      <c r="P5088">
        <v>1</v>
      </c>
      <c r="Q5088">
        <v>0</v>
      </c>
      <c r="R5088" t="s">
        <v>127</v>
      </c>
      <c r="S5088" t="str">
        <f t="shared" si="2014"/>
        <v>15:18:39.000</v>
      </c>
      <c r="T5088" t="str">
        <f t="shared" si="2014"/>
        <v>15:18:39.000</v>
      </c>
      <c r="U5088" t="str">
        <f t="shared" si="2003"/>
        <v>A68FCB</v>
      </c>
      <c r="V5088">
        <v>0</v>
      </c>
      <c r="W5088">
        <v>0</v>
      </c>
      <c r="X5088">
        <v>2</v>
      </c>
      <c r="Y5088">
        <v>0</v>
      </c>
      <c r="AA5088">
        <v>1</v>
      </c>
      <c r="AB5088">
        <v>8</v>
      </c>
      <c r="AC5088">
        <v>3</v>
      </c>
      <c r="AD5088">
        <v>0</v>
      </c>
      <c r="AE5088">
        <v>9</v>
      </c>
      <c r="AF5088" t="s">
        <v>138</v>
      </c>
      <c r="AG5088">
        <v>0</v>
      </c>
      <c r="AH5088">
        <v>3</v>
      </c>
      <c r="AI5088">
        <v>2</v>
      </c>
      <c r="AJ5088">
        <v>0</v>
      </c>
      <c r="AK5088" t="s">
        <v>1606</v>
      </c>
      <c r="AL5088">
        <v>39.234817</v>
      </c>
      <c r="AM5088" t="s">
        <v>1333</v>
      </c>
      <c r="AN5088">
        <v>-121.01938199999999</v>
      </c>
      <c r="AO5088">
        <v>25</v>
      </c>
      <c r="AP5088">
        <v>3800</v>
      </c>
      <c r="AQ5088" t="s">
        <v>131</v>
      </c>
      <c r="AR5088">
        <v>-102</v>
      </c>
      <c r="AS5088">
        <v>-18</v>
      </c>
      <c r="AT5088">
        <v>-832</v>
      </c>
      <c r="BB5088" t="str">
        <f t="shared" si="2004"/>
        <v>1200</v>
      </c>
      <c r="BC5088">
        <v>1</v>
      </c>
      <c r="BD5088" t="str">
        <f t="shared" si="2005"/>
        <v xml:space="preserve">N52156  </v>
      </c>
      <c r="BE5088">
        <v>1</v>
      </c>
      <c r="BG5088">
        <v>0</v>
      </c>
      <c r="BH5088">
        <v>0</v>
      </c>
      <c r="BI5088">
        <v>0</v>
      </c>
      <c r="BJ5088">
        <v>3800</v>
      </c>
      <c r="BK5088">
        <v>0</v>
      </c>
      <c r="BL5088" t="s">
        <v>188</v>
      </c>
      <c r="BM5088">
        <v>1</v>
      </c>
      <c r="BN5088">
        <v>1</v>
      </c>
      <c r="BO5088">
        <v>0</v>
      </c>
      <c r="BP5088">
        <v>0</v>
      </c>
      <c r="BS5088">
        <v>0</v>
      </c>
      <c r="BT5088">
        <v>0</v>
      </c>
      <c r="BU5088">
        <v>0</v>
      </c>
      <c r="CE5088" t="str">
        <f t="shared" si="2015"/>
        <v>15:18:39.644</v>
      </c>
      <c r="CF5088">
        <v>644258423</v>
      </c>
      <c r="CS5088">
        <v>0</v>
      </c>
      <c r="CT5088">
        <v>2</v>
      </c>
      <c r="CU5088">
        <v>0</v>
      </c>
      <c r="CV5088">
        <v>2</v>
      </c>
      <c r="CW5088">
        <v>0</v>
      </c>
      <c r="CX5088">
        <v>3</v>
      </c>
      <c r="CY5088">
        <v>7</v>
      </c>
      <c r="CZ5088" t="s">
        <v>133</v>
      </c>
      <c r="DA5088">
        <v>275</v>
      </c>
      <c r="DB5088">
        <v>0</v>
      </c>
      <c r="DC5088" t="s">
        <v>134</v>
      </c>
      <c r="DD5088" t="s">
        <v>135</v>
      </c>
      <c r="DG5088">
        <v>3323563</v>
      </c>
      <c r="DI5088">
        <v>1</v>
      </c>
      <c r="DJ5088">
        <v>0</v>
      </c>
      <c r="DK5088">
        <v>1</v>
      </c>
      <c r="DL5088">
        <v>0</v>
      </c>
      <c r="DM5088">
        <v>0</v>
      </c>
      <c r="DN5088">
        <v>0</v>
      </c>
      <c r="DO5088">
        <v>0</v>
      </c>
      <c r="DP5088">
        <v>0</v>
      </c>
      <c r="DQ5088">
        <v>0</v>
      </c>
      <c r="DR5088">
        <v>0</v>
      </c>
      <c r="DS5088">
        <v>0</v>
      </c>
    </row>
    <row r="5089" spans="1:123" x14ac:dyDescent="0.3">
      <c r="A5089" t="str">
        <f>"05/01/2025 15:18:39.905"</f>
        <v>05/01/2025 15:18:39.905</v>
      </c>
      <c r="C5089" t="str">
        <f t="shared" si="2002"/>
        <v>FFDFD3C0</v>
      </c>
      <c r="D5089" t="s">
        <v>143</v>
      </c>
      <c r="E5089" t="str">
        <f>"05"</f>
        <v>05</v>
      </c>
      <c r="H5089">
        <v>172</v>
      </c>
      <c r="I5089" t="s">
        <v>141</v>
      </c>
      <c r="J5089" t="s">
        <v>144</v>
      </c>
      <c r="K5089">
        <v>0</v>
      </c>
      <c r="L5089">
        <v>3</v>
      </c>
      <c r="M5089">
        <v>0</v>
      </c>
      <c r="N5089">
        <v>2</v>
      </c>
      <c r="O5089">
        <v>0</v>
      </c>
      <c r="P5089">
        <v>1</v>
      </c>
      <c r="Q5089">
        <v>0</v>
      </c>
      <c r="R5089" t="s">
        <v>127</v>
      </c>
      <c r="S5089" t="str">
        <f t="shared" si="2014"/>
        <v>15:18:39.000</v>
      </c>
      <c r="T5089" t="str">
        <f t="shared" si="2014"/>
        <v>15:18:39.000</v>
      </c>
      <c r="U5089" t="str">
        <f t="shared" si="2003"/>
        <v>A68FCB</v>
      </c>
      <c r="V5089">
        <v>0</v>
      </c>
      <c r="W5089">
        <v>0</v>
      </c>
      <c r="X5089">
        <v>2</v>
      </c>
      <c r="Y5089">
        <v>0</v>
      </c>
      <c r="AA5089">
        <v>1</v>
      </c>
      <c r="AB5089">
        <v>8</v>
      </c>
      <c r="AC5089">
        <v>3</v>
      </c>
      <c r="AD5089">
        <v>0</v>
      </c>
      <c r="AE5089">
        <v>9</v>
      </c>
      <c r="AF5089" t="s">
        <v>138</v>
      </c>
      <c r="AG5089">
        <v>0</v>
      </c>
      <c r="AH5089">
        <v>3</v>
      </c>
      <c r="AI5089">
        <v>2</v>
      </c>
      <c r="AJ5089">
        <v>0</v>
      </c>
      <c r="AK5089" t="s">
        <v>1606</v>
      </c>
      <c r="AL5089">
        <v>39.234817</v>
      </c>
      <c r="AM5089" t="s">
        <v>1333</v>
      </c>
      <c r="AN5089">
        <v>-121.01938199999999</v>
      </c>
      <c r="AO5089">
        <v>25</v>
      </c>
      <c r="AP5089">
        <v>3800</v>
      </c>
      <c r="AQ5089" t="s">
        <v>131</v>
      </c>
      <c r="AR5089">
        <v>-102</v>
      </c>
      <c r="AS5089">
        <v>-18</v>
      </c>
      <c r="AT5089">
        <v>-832</v>
      </c>
      <c r="BB5089" t="str">
        <f t="shared" si="2004"/>
        <v>1200</v>
      </c>
      <c r="BC5089">
        <v>1</v>
      </c>
      <c r="BD5089" t="str">
        <f t="shared" si="2005"/>
        <v xml:space="preserve">N52156  </v>
      </c>
      <c r="BE5089">
        <v>1</v>
      </c>
      <c r="BG5089">
        <v>0</v>
      </c>
      <c r="BH5089">
        <v>0</v>
      </c>
      <c r="BI5089">
        <v>0</v>
      </c>
      <c r="BJ5089">
        <v>3800</v>
      </c>
      <c r="BK5089">
        <v>0</v>
      </c>
      <c r="BL5089" t="s">
        <v>188</v>
      </c>
      <c r="BM5089">
        <v>1</v>
      </c>
      <c r="BN5089">
        <v>1</v>
      </c>
      <c r="BO5089">
        <v>0</v>
      </c>
      <c r="BP5089">
        <v>0</v>
      </c>
      <c r="BS5089">
        <v>0</v>
      </c>
      <c r="BT5089">
        <v>0</v>
      </c>
      <c r="BU5089">
        <v>0</v>
      </c>
      <c r="CE5089" t="str">
        <f t="shared" si="2015"/>
        <v>15:18:39.644</v>
      </c>
      <c r="CF5089">
        <v>644258423</v>
      </c>
      <c r="CS5089">
        <v>0</v>
      </c>
      <c r="CT5089">
        <v>2</v>
      </c>
      <c r="CU5089">
        <v>0</v>
      </c>
      <c r="CV5089">
        <v>2</v>
      </c>
      <c r="CW5089">
        <v>0</v>
      </c>
      <c r="CX5089">
        <v>3</v>
      </c>
      <c r="CY5089">
        <v>7</v>
      </c>
      <c r="CZ5089" t="s">
        <v>133</v>
      </c>
      <c r="DA5089">
        <v>275</v>
      </c>
      <c r="DB5089">
        <v>0</v>
      </c>
      <c r="DC5089" t="s">
        <v>134</v>
      </c>
      <c r="DD5089" t="s">
        <v>135</v>
      </c>
      <c r="DG5089">
        <v>3323563</v>
      </c>
      <c r="DI5089">
        <v>1</v>
      </c>
      <c r="DJ5089">
        <v>0</v>
      </c>
      <c r="DK5089">
        <v>1</v>
      </c>
      <c r="DL5089">
        <v>0</v>
      </c>
      <c r="DM5089">
        <v>0</v>
      </c>
      <c r="DN5089">
        <v>0</v>
      </c>
      <c r="DO5089">
        <v>0</v>
      </c>
      <c r="DP5089">
        <v>0</v>
      </c>
      <c r="DQ5089">
        <v>0</v>
      </c>
      <c r="DR5089">
        <v>0</v>
      </c>
      <c r="DS5089">
        <v>0</v>
      </c>
    </row>
    <row r="5090" spans="1:123" x14ac:dyDescent="0.3">
      <c r="A5090" t="str">
        <f>"05/01/2025 15:18:40.478"</f>
        <v>05/01/2025 15:18:40.478</v>
      </c>
      <c r="C5090" t="str">
        <f t="shared" si="2002"/>
        <v>FFDFD3C0</v>
      </c>
      <c r="D5090" t="s">
        <v>136</v>
      </c>
      <c r="E5090" t="str">
        <f>"20"</f>
        <v>20</v>
      </c>
      <c r="H5090">
        <v>400</v>
      </c>
      <c r="I5090" t="s">
        <v>137</v>
      </c>
      <c r="J5090" t="s">
        <v>138</v>
      </c>
      <c r="K5090">
        <v>0</v>
      </c>
      <c r="L5090">
        <v>3</v>
      </c>
      <c r="M5090">
        <v>0</v>
      </c>
      <c r="N5090">
        <v>2</v>
      </c>
      <c r="O5090">
        <v>0</v>
      </c>
      <c r="P5090">
        <v>1</v>
      </c>
      <c r="Q5090">
        <v>0</v>
      </c>
      <c r="R5090" t="s">
        <v>127</v>
      </c>
      <c r="S5090" t="str">
        <f t="shared" ref="S5090:T5095" si="2016">"15:18:40.000"</f>
        <v>15:18:40.000</v>
      </c>
      <c r="T5090" t="str">
        <f t="shared" si="2016"/>
        <v>15:18:40.000</v>
      </c>
      <c r="U5090" t="str">
        <f t="shared" si="2003"/>
        <v>A68FCB</v>
      </c>
      <c r="V5090">
        <v>0</v>
      </c>
      <c r="W5090">
        <v>0</v>
      </c>
      <c r="X5090">
        <v>2</v>
      </c>
      <c r="Y5090">
        <v>0</v>
      </c>
      <c r="AA5090">
        <v>1</v>
      </c>
      <c r="AB5090">
        <v>8</v>
      </c>
      <c r="AC5090">
        <v>3</v>
      </c>
      <c r="AD5090">
        <v>0</v>
      </c>
      <c r="AE5090">
        <v>9</v>
      </c>
      <c r="AF5090" t="s">
        <v>138</v>
      </c>
      <c r="AG5090">
        <v>0</v>
      </c>
      <c r="AH5090">
        <v>3</v>
      </c>
      <c r="AI5090">
        <v>2</v>
      </c>
      <c r="AJ5090">
        <v>0</v>
      </c>
      <c r="AK5090" t="s">
        <v>1607</v>
      </c>
      <c r="AL5090">
        <v>39.234752999999998</v>
      </c>
      <c r="AM5090" t="s">
        <v>1327</v>
      </c>
      <c r="AN5090">
        <v>-121.020005</v>
      </c>
      <c r="AO5090">
        <v>25</v>
      </c>
      <c r="AP5090">
        <v>3800</v>
      </c>
      <c r="AQ5090" t="s">
        <v>131</v>
      </c>
      <c r="AR5090">
        <v>-99</v>
      </c>
      <c r="AS5090">
        <v>-13</v>
      </c>
      <c r="AT5090">
        <v>-832</v>
      </c>
      <c r="BB5090" t="str">
        <f t="shared" si="2004"/>
        <v>1200</v>
      </c>
      <c r="BC5090">
        <v>1</v>
      </c>
      <c r="BD5090" t="str">
        <f t="shared" si="2005"/>
        <v xml:space="preserve">N52156  </v>
      </c>
      <c r="BE5090">
        <v>1</v>
      </c>
      <c r="BG5090">
        <v>0</v>
      </c>
      <c r="BH5090">
        <v>0</v>
      </c>
      <c r="BI5090">
        <v>0</v>
      </c>
      <c r="BJ5090">
        <v>3800</v>
      </c>
      <c r="BK5090">
        <v>0</v>
      </c>
      <c r="BL5090" t="s">
        <v>188</v>
      </c>
      <c r="BM5090">
        <v>1</v>
      </c>
      <c r="BN5090">
        <v>1</v>
      </c>
      <c r="BO5090">
        <v>0</v>
      </c>
      <c r="BP5090">
        <v>0</v>
      </c>
      <c r="BS5090">
        <v>0</v>
      </c>
      <c r="BT5090">
        <v>0</v>
      </c>
      <c r="BU5090">
        <v>0</v>
      </c>
      <c r="CE5090" t="str">
        <f t="shared" ref="CE5090:CE5095" si="2017">"15:18:40.258"</f>
        <v>15:18:40.258</v>
      </c>
      <c r="CF5090">
        <v>258257380</v>
      </c>
      <c r="CS5090">
        <v>0</v>
      </c>
      <c r="CT5090">
        <v>2</v>
      </c>
      <c r="CU5090">
        <v>0</v>
      </c>
      <c r="CV5090">
        <v>2</v>
      </c>
      <c r="CW5090">
        <v>0</v>
      </c>
      <c r="CX5090">
        <v>3</v>
      </c>
      <c r="CY5090">
        <v>7</v>
      </c>
      <c r="CZ5090" t="s">
        <v>133</v>
      </c>
      <c r="DA5090">
        <v>275</v>
      </c>
      <c r="DB5090">
        <v>0</v>
      </c>
      <c r="DC5090" t="s">
        <v>134</v>
      </c>
      <c r="DD5090" t="s">
        <v>135</v>
      </c>
      <c r="DG5090">
        <v>3323568</v>
      </c>
      <c r="DI5090">
        <v>1</v>
      </c>
      <c r="DJ5090">
        <v>0</v>
      </c>
      <c r="DK5090">
        <v>0</v>
      </c>
      <c r="DL5090">
        <v>0</v>
      </c>
      <c r="DM5090">
        <v>0</v>
      </c>
      <c r="DN5090">
        <v>0</v>
      </c>
      <c r="DO5090">
        <v>0</v>
      </c>
      <c r="DP5090">
        <v>0</v>
      </c>
      <c r="DQ5090">
        <v>0</v>
      </c>
      <c r="DR5090">
        <v>0</v>
      </c>
      <c r="DS5090">
        <v>0</v>
      </c>
    </row>
    <row r="5091" spans="1:123" x14ac:dyDescent="0.3">
      <c r="A5091" t="str">
        <f>"05/01/2025 15:18:40.494"</f>
        <v>05/01/2025 15:18:40.494</v>
      </c>
      <c r="C5091" t="str">
        <f t="shared" si="2002"/>
        <v>FFDFD3C0</v>
      </c>
      <c r="D5091" t="s">
        <v>140</v>
      </c>
      <c r="E5091" t="str">
        <f>"13"</f>
        <v>13</v>
      </c>
      <c r="F5091">
        <v>1019</v>
      </c>
      <c r="G5091" t="s">
        <v>141</v>
      </c>
      <c r="J5091" t="s">
        <v>142</v>
      </c>
      <c r="K5091">
        <v>0</v>
      </c>
      <c r="L5091">
        <v>3</v>
      </c>
      <c r="M5091">
        <v>0</v>
      </c>
      <c r="N5091">
        <v>2</v>
      </c>
      <c r="O5091">
        <v>0</v>
      </c>
      <c r="P5091">
        <v>1</v>
      </c>
      <c r="Q5091">
        <v>0</v>
      </c>
      <c r="R5091" t="s">
        <v>127</v>
      </c>
      <c r="S5091" t="str">
        <f t="shared" si="2016"/>
        <v>15:18:40.000</v>
      </c>
      <c r="T5091" t="str">
        <f t="shared" si="2016"/>
        <v>15:18:40.000</v>
      </c>
      <c r="U5091" t="str">
        <f t="shared" si="2003"/>
        <v>A68FCB</v>
      </c>
      <c r="V5091">
        <v>0</v>
      </c>
      <c r="W5091">
        <v>0</v>
      </c>
      <c r="X5091">
        <v>2</v>
      </c>
      <c r="Y5091">
        <v>0</v>
      </c>
      <c r="AA5091">
        <v>1</v>
      </c>
      <c r="AB5091">
        <v>8</v>
      </c>
      <c r="AC5091">
        <v>3</v>
      </c>
      <c r="AD5091">
        <v>0</v>
      </c>
      <c r="AE5091">
        <v>9</v>
      </c>
      <c r="AF5091" t="s">
        <v>138</v>
      </c>
      <c r="AG5091">
        <v>0</v>
      </c>
      <c r="AH5091">
        <v>3</v>
      </c>
      <c r="AI5091">
        <v>2</v>
      </c>
      <c r="AJ5091">
        <v>0</v>
      </c>
      <c r="AK5091" t="s">
        <v>1607</v>
      </c>
      <c r="AL5091">
        <v>39.234752999999998</v>
      </c>
      <c r="AM5091" t="s">
        <v>1327</v>
      </c>
      <c r="AN5091">
        <v>-121.020005</v>
      </c>
      <c r="AO5091">
        <v>25</v>
      </c>
      <c r="AP5091">
        <v>3800</v>
      </c>
      <c r="AQ5091" t="s">
        <v>131</v>
      </c>
      <c r="AR5091">
        <v>-99</v>
      </c>
      <c r="AS5091">
        <v>-13</v>
      </c>
      <c r="AT5091">
        <v>-832</v>
      </c>
      <c r="BB5091" t="str">
        <f t="shared" si="2004"/>
        <v>1200</v>
      </c>
      <c r="BC5091">
        <v>1</v>
      </c>
      <c r="BD5091" t="str">
        <f t="shared" si="2005"/>
        <v xml:space="preserve">N52156  </v>
      </c>
      <c r="BE5091">
        <v>1</v>
      </c>
      <c r="BG5091">
        <v>0</v>
      </c>
      <c r="BH5091">
        <v>0</v>
      </c>
      <c r="BI5091">
        <v>0</v>
      </c>
      <c r="BJ5091">
        <v>3800</v>
      </c>
      <c r="BK5091">
        <v>0</v>
      </c>
      <c r="BL5091" t="s">
        <v>188</v>
      </c>
      <c r="BM5091">
        <v>1</v>
      </c>
      <c r="BN5091">
        <v>1</v>
      </c>
      <c r="BO5091">
        <v>0</v>
      </c>
      <c r="BP5091">
        <v>0</v>
      </c>
      <c r="BS5091">
        <v>0</v>
      </c>
      <c r="BT5091">
        <v>0</v>
      </c>
      <c r="BU5091">
        <v>0</v>
      </c>
      <c r="CE5091" t="str">
        <f t="shared" si="2017"/>
        <v>15:18:40.258</v>
      </c>
      <c r="CF5091">
        <v>258257380</v>
      </c>
      <c r="CS5091">
        <v>0</v>
      </c>
      <c r="CT5091">
        <v>2</v>
      </c>
      <c r="CU5091">
        <v>0</v>
      </c>
      <c r="CV5091">
        <v>2</v>
      </c>
      <c r="CW5091">
        <v>0</v>
      </c>
      <c r="CX5091">
        <v>3</v>
      </c>
      <c r="CY5091">
        <v>7</v>
      </c>
      <c r="CZ5091" t="s">
        <v>133</v>
      </c>
      <c r="DA5091">
        <v>275</v>
      </c>
      <c r="DB5091">
        <v>0</v>
      </c>
      <c r="DC5091" t="s">
        <v>134</v>
      </c>
      <c r="DD5091" t="s">
        <v>135</v>
      </c>
      <c r="DG5091">
        <v>3323568</v>
      </c>
      <c r="DI5091">
        <v>1</v>
      </c>
      <c r="DJ5091">
        <v>0</v>
      </c>
      <c r="DK5091">
        <v>1</v>
      </c>
      <c r="DL5091">
        <v>0</v>
      </c>
      <c r="DM5091">
        <v>0</v>
      </c>
      <c r="DN5091">
        <v>0</v>
      </c>
      <c r="DO5091">
        <v>0</v>
      </c>
      <c r="DP5091">
        <v>0</v>
      </c>
      <c r="DQ5091">
        <v>0</v>
      </c>
      <c r="DR5091">
        <v>0</v>
      </c>
      <c r="DS5091">
        <v>0</v>
      </c>
    </row>
    <row r="5092" spans="1:123" x14ac:dyDescent="0.3">
      <c r="A5092" t="str">
        <f>"05/01/2025 15:18:40.498"</f>
        <v>05/01/2025 15:18:40.498</v>
      </c>
      <c r="C5092" t="str">
        <f t="shared" si="2002"/>
        <v>FFDFD3C0</v>
      </c>
      <c r="D5092" t="s">
        <v>124</v>
      </c>
      <c r="E5092" t="str">
        <f>"06"</f>
        <v>06</v>
      </c>
      <c r="F5092">
        <v>2006</v>
      </c>
      <c r="G5092" t="s">
        <v>125</v>
      </c>
      <c r="J5092" t="s">
        <v>126</v>
      </c>
      <c r="K5092">
        <v>0</v>
      </c>
      <c r="L5092">
        <v>3</v>
      </c>
      <c r="M5092">
        <v>0</v>
      </c>
      <c r="N5092">
        <v>2</v>
      </c>
      <c r="O5092">
        <v>0</v>
      </c>
      <c r="P5092">
        <v>1</v>
      </c>
      <c r="Q5092">
        <v>0</v>
      </c>
      <c r="R5092" t="s">
        <v>127</v>
      </c>
      <c r="S5092" t="str">
        <f t="shared" si="2016"/>
        <v>15:18:40.000</v>
      </c>
      <c r="T5092" t="str">
        <f t="shared" si="2016"/>
        <v>15:18:40.000</v>
      </c>
      <c r="U5092" t="str">
        <f t="shared" si="2003"/>
        <v>A68FCB</v>
      </c>
      <c r="V5092">
        <v>0</v>
      </c>
      <c r="W5092">
        <v>0</v>
      </c>
      <c r="X5092">
        <v>2</v>
      </c>
      <c r="Y5092">
        <v>0</v>
      </c>
      <c r="AA5092">
        <v>1</v>
      </c>
      <c r="AB5092">
        <v>8</v>
      </c>
      <c r="AC5092">
        <v>3</v>
      </c>
      <c r="AD5092">
        <v>0</v>
      </c>
      <c r="AE5092">
        <v>9</v>
      </c>
      <c r="AF5092" t="s">
        <v>138</v>
      </c>
      <c r="AG5092">
        <v>0</v>
      </c>
      <c r="AH5092">
        <v>3</v>
      </c>
      <c r="AI5092">
        <v>2</v>
      </c>
      <c r="AJ5092">
        <v>0</v>
      </c>
      <c r="AK5092" t="s">
        <v>1607</v>
      </c>
      <c r="AL5092">
        <v>39.234752999999998</v>
      </c>
      <c r="AM5092" t="s">
        <v>1327</v>
      </c>
      <c r="AN5092">
        <v>-121.020005</v>
      </c>
      <c r="AO5092">
        <v>25</v>
      </c>
      <c r="AP5092">
        <v>3800</v>
      </c>
      <c r="AQ5092" t="s">
        <v>131</v>
      </c>
      <c r="AR5092">
        <v>-99</v>
      </c>
      <c r="AS5092">
        <v>-13</v>
      </c>
      <c r="AT5092">
        <v>-832</v>
      </c>
      <c r="BB5092" t="str">
        <f t="shared" si="2004"/>
        <v>1200</v>
      </c>
      <c r="BC5092">
        <v>1</v>
      </c>
      <c r="BD5092" t="str">
        <f t="shared" si="2005"/>
        <v xml:space="preserve">N52156  </v>
      </c>
      <c r="BE5092">
        <v>1</v>
      </c>
      <c r="BG5092">
        <v>0</v>
      </c>
      <c r="BH5092">
        <v>0</v>
      </c>
      <c r="BI5092">
        <v>0</v>
      </c>
      <c r="BJ5092">
        <v>3800</v>
      </c>
      <c r="BK5092">
        <v>0</v>
      </c>
      <c r="BL5092" t="s">
        <v>188</v>
      </c>
      <c r="BM5092">
        <v>1</v>
      </c>
      <c r="BN5092">
        <v>1</v>
      </c>
      <c r="BO5092">
        <v>0</v>
      </c>
      <c r="BP5092">
        <v>0</v>
      </c>
      <c r="BS5092">
        <v>0</v>
      </c>
      <c r="BT5092">
        <v>0</v>
      </c>
      <c r="BU5092">
        <v>0</v>
      </c>
      <c r="CE5092" t="str">
        <f t="shared" si="2017"/>
        <v>15:18:40.258</v>
      </c>
      <c r="CF5092">
        <v>258257380</v>
      </c>
      <c r="CS5092">
        <v>0</v>
      </c>
      <c r="CT5092">
        <v>2</v>
      </c>
      <c r="CU5092">
        <v>0</v>
      </c>
      <c r="CV5092">
        <v>2</v>
      </c>
      <c r="CW5092">
        <v>0</v>
      </c>
      <c r="CX5092">
        <v>3</v>
      </c>
      <c r="CY5092">
        <v>7</v>
      </c>
      <c r="CZ5092" t="s">
        <v>133</v>
      </c>
      <c r="DA5092">
        <v>275</v>
      </c>
      <c r="DB5092">
        <v>0</v>
      </c>
      <c r="DC5092" t="s">
        <v>134</v>
      </c>
      <c r="DD5092" t="s">
        <v>135</v>
      </c>
      <c r="DG5092">
        <v>3323568</v>
      </c>
      <c r="DI5092">
        <v>1</v>
      </c>
      <c r="DJ5092">
        <v>0</v>
      </c>
      <c r="DK5092">
        <v>1</v>
      </c>
      <c r="DL5092">
        <v>0</v>
      </c>
      <c r="DM5092">
        <v>0</v>
      </c>
      <c r="DN5092">
        <v>0</v>
      </c>
      <c r="DO5092">
        <v>0</v>
      </c>
      <c r="DP5092">
        <v>0</v>
      </c>
      <c r="DQ5092">
        <v>0</v>
      </c>
      <c r="DR5092">
        <v>0</v>
      </c>
      <c r="DS5092">
        <v>0</v>
      </c>
    </row>
    <row r="5093" spans="1:123" x14ac:dyDescent="0.3">
      <c r="A5093" t="str">
        <f>"05/01/2025 15:18:40.506"</f>
        <v>05/01/2025 15:18:40.506</v>
      </c>
      <c r="C5093" t="str">
        <f t="shared" si="2002"/>
        <v>FFDFD3C0</v>
      </c>
      <c r="D5093" t="s">
        <v>143</v>
      </c>
      <c r="E5093" t="str">
        <f>"05"</f>
        <v>05</v>
      </c>
      <c r="H5093">
        <v>172</v>
      </c>
      <c r="I5093" t="s">
        <v>141</v>
      </c>
      <c r="J5093" t="s">
        <v>144</v>
      </c>
      <c r="K5093">
        <v>0</v>
      </c>
      <c r="L5093">
        <v>3</v>
      </c>
      <c r="M5093">
        <v>0</v>
      </c>
      <c r="N5093">
        <v>2</v>
      </c>
      <c r="O5093">
        <v>0</v>
      </c>
      <c r="P5093">
        <v>1</v>
      </c>
      <c r="Q5093">
        <v>0</v>
      </c>
      <c r="R5093" t="s">
        <v>127</v>
      </c>
      <c r="S5093" t="str">
        <f t="shared" si="2016"/>
        <v>15:18:40.000</v>
      </c>
      <c r="T5093" t="str">
        <f t="shared" si="2016"/>
        <v>15:18:40.000</v>
      </c>
      <c r="U5093" t="str">
        <f t="shared" si="2003"/>
        <v>A68FCB</v>
      </c>
      <c r="V5093">
        <v>0</v>
      </c>
      <c r="W5093">
        <v>0</v>
      </c>
      <c r="X5093">
        <v>2</v>
      </c>
      <c r="Y5093">
        <v>0</v>
      </c>
      <c r="AA5093">
        <v>1</v>
      </c>
      <c r="AB5093">
        <v>8</v>
      </c>
      <c r="AC5093">
        <v>3</v>
      </c>
      <c r="AD5093">
        <v>0</v>
      </c>
      <c r="AE5093">
        <v>9</v>
      </c>
      <c r="AF5093" t="s">
        <v>138</v>
      </c>
      <c r="AG5093">
        <v>0</v>
      </c>
      <c r="AH5093">
        <v>3</v>
      </c>
      <c r="AI5093">
        <v>2</v>
      </c>
      <c r="AJ5093">
        <v>0</v>
      </c>
      <c r="AK5093" t="s">
        <v>1607</v>
      </c>
      <c r="AL5093">
        <v>39.234752999999998</v>
      </c>
      <c r="AM5093" t="s">
        <v>1327</v>
      </c>
      <c r="AN5093">
        <v>-121.020005</v>
      </c>
      <c r="AO5093">
        <v>25</v>
      </c>
      <c r="AP5093">
        <v>3800</v>
      </c>
      <c r="AQ5093" t="s">
        <v>131</v>
      </c>
      <c r="AR5093">
        <v>-99</v>
      </c>
      <c r="AS5093">
        <v>-13</v>
      </c>
      <c r="AT5093">
        <v>-832</v>
      </c>
      <c r="BB5093" t="str">
        <f t="shared" si="2004"/>
        <v>1200</v>
      </c>
      <c r="BC5093">
        <v>1</v>
      </c>
      <c r="BD5093" t="str">
        <f t="shared" si="2005"/>
        <v xml:space="preserve">N52156  </v>
      </c>
      <c r="BE5093">
        <v>1</v>
      </c>
      <c r="BG5093">
        <v>0</v>
      </c>
      <c r="BH5093">
        <v>0</v>
      </c>
      <c r="BI5093">
        <v>0</v>
      </c>
      <c r="BJ5093">
        <v>3800</v>
      </c>
      <c r="BK5093">
        <v>0</v>
      </c>
      <c r="BL5093" t="s">
        <v>188</v>
      </c>
      <c r="BM5093">
        <v>1</v>
      </c>
      <c r="BN5093">
        <v>1</v>
      </c>
      <c r="BO5093">
        <v>0</v>
      </c>
      <c r="BP5093">
        <v>0</v>
      </c>
      <c r="BS5093">
        <v>0</v>
      </c>
      <c r="BT5093">
        <v>0</v>
      </c>
      <c r="BU5093">
        <v>0</v>
      </c>
      <c r="CE5093" t="str">
        <f t="shared" si="2017"/>
        <v>15:18:40.258</v>
      </c>
      <c r="CF5093">
        <v>258257380</v>
      </c>
      <c r="CS5093">
        <v>0</v>
      </c>
      <c r="CT5093">
        <v>2</v>
      </c>
      <c r="CU5093">
        <v>0</v>
      </c>
      <c r="CV5093">
        <v>2</v>
      </c>
      <c r="CW5093">
        <v>0</v>
      </c>
      <c r="CX5093">
        <v>3</v>
      </c>
      <c r="CY5093">
        <v>7</v>
      </c>
      <c r="CZ5093" t="s">
        <v>133</v>
      </c>
      <c r="DA5093">
        <v>275</v>
      </c>
      <c r="DB5093">
        <v>0</v>
      </c>
      <c r="DC5093" t="s">
        <v>134</v>
      </c>
      <c r="DD5093" t="s">
        <v>135</v>
      </c>
      <c r="DG5093">
        <v>3323568</v>
      </c>
      <c r="DI5093">
        <v>1</v>
      </c>
      <c r="DJ5093">
        <v>0</v>
      </c>
      <c r="DK5093">
        <v>1</v>
      </c>
      <c r="DL5093">
        <v>0</v>
      </c>
      <c r="DM5093">
        <v>0</v>
      </c>
      <c r="DN5093">
        <v>0</v>
      </c>
      <c r="DO5093">
        <v>0</v>
      </c>
      <c r="DP5093">
        <v>0</v>
      </c>
      <c r="DQ5093">
        <v>0</v>
      </c>
      <c r="DR5093">
        <v>0</v>
      </c>
      <c r="DS5093">
        <v>0</v>
      </c>
    </row>
    <row r="5094" spans="1:123" x14ac:dyDescent="0.3">
      <c r="A5094" t="str">
        <f>"05/01/2025 15:18:40.520"</f>
        <v>05/01/2025 15:18:40.520</v>
      </c>
      <c r="C5094" t="str">
        <f t="shared" si="2002"/>
        <v>FFDFD3C0</v>
      </c>
      <c r="D5094" t="s">
        <v>145</v>
      </c>
      <c r="E5094" t="str">
        <f>"05"</f>
        <v>05</v>
      </c>
      <c r="H5094">
        <v>47</v>
      </c>
      <c r="I5094" t="s">
        <v>146</v>
      </c>
      <c r="J5094" t="s">
        <v>138</v>
      </c>
      <c r="K5094">
        <v>0</v>
      </c>
      <c r="L5094">
        <v>3</v>
      </c>
      <c r="M5094">
        <v>0</v>
      </c>
      <c r="N5094">
        <v>2</v>
      </c>
      <c r="O5094">
        <v>0</v>
      </c>
      <c r="P5094">
        <v>1</v>
      </c>
      <c r="Q5094">
        <v>0</v>
      </c>
      <c r="R5094" t="s">
        <v>127</v>
      </c>
      <c r="S5094" t="str">
        <f t="shared" si="2016"/>
        <v>15:18:40.000</v>
      </c>
      <c r="T5094" t="str">
        <f t="shared" si="2016"/>
        <v>15:18:40.000</v>
      </c>
      <c r="U5094" t="str">
        <f t="shared" si="2003"/>
        <v>A68FCB</v>
      </c>
      <c r="V5094">
        <v>0</v>
      </c>
      <c r="W5094">
        <v>0</v>
      </c>
      <c r="X5094">
        <v>2</v>
      </c>
      <c r="Y5094">
        <v>0</v>
      </c>
      <c r="AA5094">
        <v>1</v>
      </c>
      <c r="AB5094">
        <v>8</v>
      </c>
      <c r="AC5094">
        <v>3</v>
      </c>
      <c r="AD5094">
        <v>0</v>
      </c>
      <c r="AE5094">
        <v>9</v>
      </c>
      <c r="AF5094" t="s">
        <v>138</v>
      </c>
      <c r="AG5094">
        <v>0</v>
      </c>
      <c r="AH5094">
        <v>3</v>
      </c>
      <c r="AI5094">
        <v>2</v>
      </c>
      <c r="AJ5094">
        <v>0</v>
      </c>
      <c r="AK5094" t="s">
        <v>1607</v>
      </c>
      <c r="AL5094">
        <v>39.234752999999998</v>
      </c>
      <c r="AM5094" t="s">
        <v>1327</v>
      </c>
      <c r="AN5094">
        <v>-121.020005</v>
      </c>
      <c r="AO5094">
        <v>25</v>
      </c>
      <c r="AP5094">
        <v>3800</v>
      </c>
      <c r="AQ5094" t="s">
        <v>131</v>
      </c>
      <c r="AR5094">
        <v>-99</v>
      </c>
      <c r="AS5094">
        <v>-13</v>
      </c>
      <c r="AT5094">
        <v>-832</v>
      </c>
      <c r="BB5094" t="str">
        <f t="shared" si="2004"/>
        <v>1200</v>
      </c>
      <c r="BC5094">
        <v>1</v>
      </c>
      <c r="BD5094" t="str">
        <f t="shared" si="2005"/>
        <v xml:space="preserve">N52156  </v>
      </c>
      <c r="BE5094">
        <v>1</v>
      </c>
      <c r="BG5094">
        <v>0</v>
      </c>
      <c r="BH5094">
        <v>0</v>
      </c>
      <c r="BI5094">
        <v>0</v>
      </c>
      <c r="BJ5094">
        <v>3800</v>
      </c>
      <c r="BK5094">
        <v>0</v>
      </c>
      <c r="BL5094" t="s">
        <v>188</v>
      </c>
      <c r="BM5094">
        <v>1</v>
      </c>
      <c r="BN5094">
        <v>1</v>
      </c>
      <c r="BO5094">
        <v>0</v>
      </c>
      <c r="BP5094">
        <v>0</v>
      </c>
      <c r="BS5094">
        <v>0</v>
      </c>
      <c r="BT5094">
        <v>0</v>
      </c>
      <c r="BU5094">
        <v>0</v>
      </c>
      <c r="CE5094" t="str">
        <f t="shared" si="2017"/>
        <v>15:18:40.258</v>
      </c>
      <c r="CF5094">
        <v>258257380</v>
      </c>
      <c r="CS5094">
        <v>0</v>
      </c>
      <c r="CT5094">
        <v>2</v>
      </c>
      <c r="CU5094">
        <v>0</v>
      </c>
      <c r="CV5094">
        <v>2</v>
      </c>
      <c r="CW5094">
        <v>0</v>
      </c>
      <c r="CX5094">
        <v>3</v>
      </c>
      <c r="CY5094">
        <v>7</v>
      </c>
      <c r="CZ5094" t="s">
        <v>133</v>
      </c>
      <c r="DA5094">
        <v>275</v>
      </c>
      <c r="DB5094">
        <v>0</v>
      </c>
      <c r="DC5094" t="s">
        <v>134</v>
      </c>
      <c r="DD5094" t="s">
        <v>135</v>
      </c>
      <c r="DG5094">
        <v>3323568</v>
      </c>
      <c r="DI5094">
        <v>1</v>
      </c>
      <c r="DJ5094">
        <v>0</v>
      </c>
      <c r="DK5094">
        <v>1</v>
      </c>
      <c r="DL5094">
        <v>0</v>
      </c>
      <c r="DM5094">
        <v>0</v>
      </c>
      <c r="DN5094">
        <v>0</v>
      </c>
      <c r="DO5094">
        <v>0</v>
      </c>
      <c r="DP5094">
        <v>0</v>
      </c>
      <c r="DQ5094">
        <v>0</v>
      </c>
      <c r="DR5094">
        <v>0</v>
      </c>
      <c r="DS5094">
        <v>0</v>
      </c>
    </row>
    <row r="5095" spans="1:123" x14ac:dyDescent="0.3">
      <c r="A5095" t="str">
        <f>"05/01/2025 15:18:40.520"</f>
        <v>05/01/2025 15:18:40.520</v>
      </c>
      <c r="C5095" t="str">
        <f t="shared" si="2002"/>
        <v>FFDFD3C0</v>
      </c>
      <c r="D5095" t="s">
        <v>145</v>
      </c>
      <c r="E5095" t="str">
        <f>"09"</f>
        <v>09</v>
      </c>
      <c r="H5095">
        <v>51</v>
      </c>
      <c r="I5095" t="s">
        <v>147</v>
      </c>
      <c r="J5095" t="s">
        <v>138</v>
      </c>
      <c r="K5095">
        <v>0</v>
      </c>
      <c r="L5095">
        <v>3</v>
      </c>
      <c r="M5095">
        <v>0</v>
      </c>
      <c r="N5095">
        <v>2</v>
      </c>
      <c r="O5095">
        <v>0</v>
      </c>
      <c r="P5095">
        <v>1</v>
      </c>
      <c r="Q5095">
        <v>0</v>
      </c>
      <c r="R5095" t="s">
        <v>127</v>
      </c>
      <c r="S5095" t="str">
        <f t="shared" si="2016"/>
        <v>15:18:40.000</v>
      </c>
      <c r="T5095" t="str">
        <f t="shared" si="2016"/>
        <v>15:18:40.000</v>
      </c>
      <c r="U5095" t="str">
        <f t="shared" si="2003"/>
        <v>A68FCB</v>
      </c>
      <c r="V5095">
        <v>0</v>
      </c>
      <c r="W5095">
        <v>0</v>
      </c>
      <c r="X5095">
        <v>2</v>
      </c>
      <c r="Y5095">
        <v>0</v>
      </c>
      <c r="AA5095">
        <v>1</v>
      </c>
      <c r="AB5095">
        <v>8</v>
      </c>
      <c r="AC5095">
        <v>3</v>
      </c>
      <c r="AD5095">
        <v>0</v>
      </c>
      <c r="AE5095">
        <v>9</v>
      </c>
      <c r="AF5095" t="s">
        <v>138</v>
      </c>
      <c r="AG5095">
        <v>0</v>
      </c>
      <c r="AH5095">
        <v>3</v>
      </c>
      <c r="AI5095">
        <v>2</v>
      </c>
      <c r="AJ5095">
        <v>0</v>
      </c>
      <c r="AK5095" t="s">
        <v>1607</v>
      </c>
      <c r="AL5095">
        <v>39.234752999999998</v>
      </c>
      <c r="AM5095" t="s">
        <v>1327</v>
      </c>
      <c r="AN5095">
        <v>-121.020005</v>
      </c>
      <c r="AO5095">
        <v>25</v>
      </c>
      <c r="AP5095">
        <v>3800</v>
      </c>
      <c r="AQ5095" t="s">
        <v>131</v>
      </c>
      <c r="AR5095">
        <v>-99</v>
      </c>
      <c r="AS5095">
        <v>-13</v>
      </c>
      <c r="AT5095">
        <v>-832</v>
      </c>
      <c r="BB5095" t="str">
        <f t="shared" si="2004"/>
        <v>1200</v>
      </c>
      <c r="BC5095">
        <v>1</v>
      </c>
      <c r="BD5095" t="str">
        <f t="shared" si="2005"/>
        <v xml:space="preserve">N52156  </v>
      </c>
      <c r="BE5095">
        <v>1</v>
      </c>
      <c r="BG5095">
        <v>0</v>
      </c>
      <c r="BH5095">
        <v>0</v>
      </c>
      <c r="BI5095">
        <v>0</v>
      </c>
      <c r="BJ5095">
        <v>3800</v>
      </c>
      <c r="BK5095">
        <v>0</v>
      </c>
      <c r="BL5095" t="s">
        <v>188</v>
      </c>
      <c r="BM5095">
        <v>1</v>
      </c>
      <c r="BN5095">
        <v>1</v>
      </c>
      <c r="BO5095">
        <v>0</v>
      </c>
      <c r="BP5095">
        <v>0</v>
      </c>
      <c r="BS5095">
        <v>0</v>
      </c>
      <c r="BT5095">
        <v>0</v>
      </c>
      <c r="BU5095">
        <v>0</v>
      </c>
      <c r="CE5095" t="str">
        <f t="shared" si="2017"/>
        <v>15:18:40.258</v>
      </c>
      <c r="CF5095">
        <v>258257380</v>
      </c>
      <c r="CS5095">
        <v>0</v>
      </c>
      <c r="CT5095">
        <v>2</v>
      </c>
      <c r="CU5095">
        <v>0</v>
      </c>
      <c r="CV5095">
        <v>2</v>
      </c>
      <c r="CW5095">
        <v>0</v>
      </c>
      <c r="CX5095">
        <v>3</v>
      </c>
      <c r="CY5095">
        <v>7</v>
      </c>
      <c r="CZ5095" t="s">
        <v>133</v>
      </c>
      <c r="DA5095">
        <v>275</v>
      </c>
      <c r="DB5095">
        <v>0</v>
      </c>
      <c r="DC5095" t="s">
        <v>134</v>
      </c>
      <c r="DD5095" t="s">
        <v>135</v>
      </c>
      <c r="DG5095">
        <v>3323568</v>
      </c>
      <c r="DI5095">
        <v>1</v>
      </c>
      <c r="DJ5095">
        <v>0</v>
      </c>
      <c r="DK5095">
        <v>1</v>
      </c>
      <c r="DL5095">
        <v>0</v>
      </c>
      <c r="DM5095">
        <v>0</v>
      </c>
      <c r="DN5095">
        <v>0</v>
      </c>
      <c r="DO5095">
        <v>0</v>
      </c>
      <c r="DP5095">
        <v>0</v>
      </c>
      <c r="DQ5095">
        <v>0</v>
      </c>
      <c r="DR5095">
        <v>0</v>
      </c>
      <c r="DS5095">
        <v>0</v>
      </c>
    </row>
    <row r="5096" spans="1:123" x14ac:dyDescent="0.3">
      <c r="A5096" t="str">
        <f>"05/01/2025 15:18:41.522"</f>
        <v>05/01/2025 15:18:41.522</v>
      </c>
      <c r="C5096" t="str">
        <f t="shared" si="2002"/>
        <v>FFDFD3C0</v>
      </c>
      <c r="D5096" t="s">
        <v>145</v>
      </c>
      <c r="E5096" t="str">
        <f>"05"</f>
        <v>05</v>
      </c>
      <c r="H5096">
        <v>47</v>
      </c>
      <c r="I5096" t="s">
        <v>146</v>
      </c>
      <c r="J5096" t="s">
        <v>138</v>
      </c>
      <c r="K5096">
        <v>0</v>
      </c>
      <c r="L5096">
        <v>3</v>
      </c>
      <c r="M5096">
        <v>0</v>
      </c>
      <c r="N5096">
        <v>2</v>
      </c>
      <c r="O5096">
        <v>0</v>
      </c>
      <c r="P5096">
        <v>1</v>
      </c>
      <c r="Q5096">
        <v>0</v>
      </c>
      <c r="R5096" t="s">
        <v>127</v>
      </c>
      <c r="S5096" t="str">
        <f t="shared" ref="S5096:T5101" si="2018">"15:18:41.000"</f>
        <v>15:18:41.000</v>
      </c>
      <c r="T5096" t="str">
        <f t="shared" si="2018"/>
        <v>15:18:41.000</v>
      </c>
      <c r="U5096" t="str">
        <f t="shared" si="2003"/>
        <v>A68FCB</v>
      </c>
      <c r="V5096">
        <v>0</v>
      </c>
      <c r="W5096">
        <v>0</v>
      </c>
      <c r="X5096">
        <v>2</v>
      </c>
      <c r="Y5096">
        <v>0</v>
      </c>
      <c r="AA5096">
        <v>1</v>
      </c>
      <c r="AB5096">
        <v>8</v>
      </c>
      <c r="AC5096">
        <v>3</v>
      </c>
      <c r="AD5096">
        <v>0</v>
      </c>
      <c r="AE5096">
        <v>9</v>
      </c>
      <c r="AF5096" t="s">
        <v>138</v>
      </c>
      <c r="AG5096">
        <v>0</v>
      </c>
      <c r="AH5096">
        <v>3</v>
      </c>
      <c r="AI5096">
        <v>2</v>
      </c>
      <c r="AJ5096">
        <v>0</v>
      </c>
      <c r="AK5096" t="s">
        <v>1608</v>
      </c>
      <c r="AL5096">
        <v>39.234774000000002</v>
      </c>
      <c r="AM5096" t="s">
        <v>1609</v>
      </c>
      <c r="AN5096">
        <v>-121.02052</v>
      </c>
      <c r="AO5096">
        <v>25</v>
      </c>
      <c r="AP5096">
        <v>3800</v>
      </c>
      <c r="AQ5096" t="s">
        <v>131</v>
      </c>
      <c r="AR5096">
        <v>-98</v>
      </c>
      <c r="AS5096">
        <v>-14</v>
      </c>
      <c r="AT5096">
        <v>-832</v>
      </c>
      <c r="BB5096" t="str">
        <f t="shared" si="2004"/>
        <v>1200</v>
      </c>
      <c r="BC5096">
        <v>1</v>
      </c>
      <c r="BD5096" t="str">
        <f t="shared" si="2005"/>
        <v xml:space="preserve">N52156  </v>
      </c>
      <c r="BE5096">
        <v>1</v>
      </c>
      <c r="BG5096">
        <v>0</v>
      </c>
      <c r="BH5096">
        <v>0</v>
      </c>
      <c r="BI5096">
        <v>0</v>
      </c>
      <c r="BJ5096">
        <v>3800</v>
      </c>
      <c r="BK5096">
        <v>0</v>
      </c>
      <c r="BL5096" t="s">
        <v>188</v>
      </c>
      <c r="BM5096">
        <v>1</v>
      </c>
      <c r="BN5096">
        <v>1</v>
      </c>
      <c r="BO5096">
        <v>0</v>
      </c>
      <c r="BP5096">
        <v>0</v>
      </c>
      <c r="BS5096">
        <v>0</v>
      </c>
      <c r="BT5096">
        <v>0</v>
      </c>
      <c r="BU5096">
        <v>0</v>
      </c>
      <c r="CE5096" t="str">
        <f t="shared" ref="CE5096:CE5101" si="2019">"15:18:41.315"</f>
        <v>15:18:41.315</v>
      </c>
      <c r="CF5096">
        <v>315007320</v>
      </c>
      <c r="CS5096">
        <v>0</v>
      </c>
      <c r="CT5096">
        <v>2</v>
      </c>
      <c r="CU5096">
        <v>0</v>
      </c>
      <c r="CV5096">
        <v>2</v>
      </c>
      <c r="CW5096">
        <v>0</v>
      </c>
      <c r="CX5096">
        <v>4</v>
      </c>
      <c r="CY5096">
        <v>7</v>
      </c>
      <c r="CZ5096" t="s">
        <v>133</v>
      </c>
      <c r="DA5096">
        <v>275</v>
      </c>
      <c r="DB5096">
        <v>0</v>
      </c>
      <c r="DC5096" t="s">
        <v>134</v>
      </c>
      <c r="DD5096" t="s">
        <v>135</v>
      </c>
      <c r="DG5096">
        <v>3323575</v>
      </c>
      <c r="DI5096">
        <v>1</v>
      </c>
      <c r="DJ5096">
        <v>0</v>
      </c>
      <c r="DK5096">
        <v>0</v>
      </c>
      <c r="DL5096">
        <v>0</v>
      </c>
      <c r="DM5096">
        <v>0</v>
      </c>
      <c r="DN5096">
        <v>0</v>
      </c>
      <c r="DO5096">
        <v>0</v>
      </c>
      <c r="DP5096">
        <v>0</v>
      </c>
      <c r="DQ5096">
        <v>0</v>
      </c>
      <c r="DR5096">
        <v>0</v>
      </c>
      <c r="DS5096">
        <v>0</v>
      </c>
    </row>
    <row r="5097" spans="1:123" x14ac:dyDescent="0.3">
      <c r="A5097" t="str">
        <f>"05/01/2025 15:18:41.521"</f>
        <v>05/01/2025 15:18:41.521</v>
      </c>
      <c r="C5097" t="str">
        <f t="shared" si="2002"/>
        <v>FFDFD3C0</v>
      </c>
      <c r="D5097" t="s">
        <v>145</v>
      </c>
      <c r="E5097" t="str">
        <f>"09"</f>
        <v>09</v>
      </c>
      <c r="H5097">
        <v>51</v>
      </c>
      <c r="I5097" t="s">
        <v>147</v>
      </c>
      <c r="J5097" t="s">
        <v>138</v>
      </c>
      <c r="K5097">
        <v>0</v>
      </c>
      <c r="L5097">
        <v>3</v>
      </c>
      <c r="M5097">
        <v>0</v>
      </c>
      <c r="N5097">
        <v>2</v>
      </c>
      <c r="O5097">
        <v>0</v>
      </c>
      <c r="P5097">
        <v>1</v>
      </c>
      <c r="Q5097">
        <v>0</v>
      </c>
      <c r="R5097" t="s">
        <v>127</v>
      </c>
      <c r="S5097" t="str">
        <f t="shared" si="2018"/>
        <v>15:18:41.000</v>
      </c>
      <c r="T5097" t="str">
        <f t="shared" si="2018"/>
        <v>15:18:41.000</v>
      </c>
      <c r="U5097" t="str">
        <f t="shared" si="2003"/>
        <v>A68FCB</v>
      </c>
      <c r="V5097">
        <v>0</v>
      </c>
      <c r="W5097">
        <v>0</v>
      </c>
      <c r="X5097">
        <v>2</v>
      </c>
      <c r="Y5097">
        <v>0</v>
      </c>
      <c r="AA5097">
        <v>1</v>
      </c>
      <c r="AB5097">
        <v>8</v>
      </c>
      <c r="AC5097">
        <v>3</v>
      </c>
      <c r="AD5097">
        <v>0</v>
      </c>
      <c r="AE5097">
        <v>9</v>
      </c>
      <c r="AF5097" t="s">
        <v>138</v>
      </c>
      <c r="AG5097">
        <v>0</v>
      </c>
      <c r="AH5097">
        <v>3</v>
      </c>
      <c r="AI5097">
        <v>2</v>
      </c>
      <c r="AJ5097">
        <v>0</v>
      </c>
      <c r="AK5097" t="s">
        <v>1608</v>
      </c>
      <c r="AL5097">
        <v>39.234774000000002</v>
      </c>
      <c r="AM5097" t="s">
        <v>1609</v>
      </c>
      <c r="AN5097">
        <v>-121.02052</v>
      </c>
      <c r="AO5097">
        <v>25</v>
      </c>
      <c r="AP5097">
        <v>3800</v>
      </c>
      <c r="AQ5097" t="s">
        <v>131</v>
      </c>
      <c r="AR5097">
        <v>-98</v>
      </c>
      <c r="AS5097">
        <v>-14</v>
      </c>
      <c r="AT5097">
        <v>-832</v>
      </c>
      <c r="BB5097" t="str">
        <f t="shared" si="2004"/>
        <v>1200</v>
      </c>
      <c r="BC5097">
        <v>1</v>
      </c>
      <c r="BD5097" t="str">
        <f t="shared" si="2005"/>
        <v xml:space="preserve">N52156  </v>
      </c>
      <c r="BE5097">
        <v>1</v>
      </c>
      <c r="BG5097">
        <v>0</v>
      </c>
      <c r="BH5097">
        <v>0</v>
      </c>
      <c r="BI5097">
        <v>0</v>
      </c>
      <c r="BJ5097">
        <v>3800</v>
      </c>
      <c r="BK5097">
        <v>0</v>
      </c>
      <c r="BL5097" t="s">
        <v>188</v>
      </c>
      <c r="BM5097">
        <v>1</v>
      </c>
      <c r="BN5097">
        <v>1</v>
      </c>
      <c r="BO5097">
        <v>0</v>
      </c>
      <c r="BP5097">
        <v>0</v>
      </c>
      <c r="BS5097">
        <v>0</v>
      </c>
      <c r="BT5097">
        <v>0</v>
      </c>
      <c r="BU5097">
        <v>0</v>
      </c>
      <c r="CE5097" t="str">
        <f t="shared" si="2019"/>
        <v>15:18:41.315</v>
      </c>
      <c r="CF5097">
        <v>315007320</v>
      </c>
      <c r="CS5097">
        <v>0</v>
      </c>
      <c r="CT5097">
        <v>2</v>
      </c>
      <c r="CU5097">
        <v>0</v>
      </c>
      <c r="CV5097">
        <v>2</v>
      </c>
      <c r="CW5097">
        <v>0</v>
      </c>
      <c r="CX5097">
        <v>4</v>
      </c>
      <c r="CY5097">
        <v>7</v>
      </c>
      <c r="CZ5097" t="s">
        <v>133</v>
      </c>
      <c r="DA5097">
        <v>275</v>
      </c>
      <c r="DB5097">
        <v>0</v>
      </c>
      <c r="DC5097" t="s">
        <v>134</v>
      </c>
      <c r="DD5097" t="s">
        <v>135</v>
      </c>
      <c r="DG5097">
        <v>3323575</v>
      </c>
      <c r="DI5097">
        <v>1</v>
      </c>
      <c r="DJ5097">
        <v>0</v>
      </c>
      <c r="DK5097">
        <v>1</v>
      </c>
      <c r="DL5097">
        <v>0</v>
      </c>
      <c r="DM5097">
        <v>0</v>
      </c>
      <c r="DN5097">
        <v>0</v>
      </c>
      <c r="DO5097">
        <v>0</v>
      </c>
      <c r="DP5097">
        <v>0</v>
      </c>
      <c r="DQ5097">
        <v>0</v>
      </c>
      <c r="DR5097">
        <v>0</v>
      </c>
      <c r="DS5097">
        <v>0</v>
      </c>
    </row>
    <row r="5098" spans="1:123" x14ac:dyDescent="0.3">
      <c r="A5098" t="str">
        <f>"05/01/2025 15:18:41.529"</f>
        <v>05/01/2025 15:18:41.529</v>
      </c>
      <c r="C5098" t="str">
        <f t="shared" si="2002"/>
        <v>FFDFD3C0</v>
      </c>
      <c r="D5098" t="s">
        <v>136</v>
      </c>
      <c r="E5098" t="str">
        <f>"20"</f>
        <v>20</v>
      </c>
      <c r="H5098">
        <v>400</v>
      </c>
      <c r="I5098" t="s">
        <v>137</v>
      </c>
      <c r="J5098" t="s">
        <v>138</v>
      </c>
      <c r="K5098">
        <v>0</v>
      </c>
      <c r="L5098">
        <v>3</v>
      </c>
      <c r="M5098">
        <v>0</v>
      </c>
      <c r="N5098">
        <v>2</v>
      </c>
      <c r="O5098">
        <v>0</v>
      </c>
      <c r="P5098">
        <v>1</v>
      </c>
      <c r="Q5098">
        <v>0</v>
      </c>
      <c r="R5098" t="s">
        <v>127</v>
      </c>
      <c r="S5098" t="str">
        <f t="shared" si="2018"/>
        <v>15:18:41.000</v>
      </c>
      <c r="T5098" t="str">
        <f t="shared" si="2018"/>
        <v>15:18:41.000</v>
      </c>
      <c r="U5098" t="str">
        <f t="shared" si="2003"/>
        <v>A68FCB</v>
      </c>
      <c r="V5098">
        <v>0</v>
      </c>
      <c r="W5098">
        <v>0</v>
      </c>
      <c r="X5098">
        <v>2</v>
      </c>
      <c r="Y5098">
        <v>0</v>
      </c>
      <c r="AA5098">
        <v>1</v>
      </c>
      <c r="AB5098">
        <v>8</v>
      </c>
      <c r="AC5098">
        <v>3</v>
      </c>
      <c r="AD5098">
        <v>0</v>
      </c>
      <c r="AE5098">
        <v>9</v>
      </c>
      <c r="AF5098" t="s">
        <v>138</v>
      </c>
      <c r="AG5098">
        <v>0</v>
      </c>
      <c r="AH5098">
        <v>3</v>
      </c>
      <c r="AI5098">
        <v>2</v>
      </c>
      <c r="AJ5098">
        <v>0</v>
      </c>
      <c r="AK5098" t="s">
        <v>1608</v>
      </c>
      <c r="AL5098">
        <v>39.234774000000002</v>
      </c>
      <c r="AM5098" t="s">
        <v>1609</v>
      </c>
      <c r="AN5098">
        <v>-121.02052</v>
      </c>
      <c r="AO5098">
        <v>25</v>
      </c>
      <c r="AP5098">
        <v>3800</v>
      </c>
      <c r="AQ5098" t="s">
        <v>131</v>
      </c>
      <c r="AR5098">
        <v>-98</v>
      </c>
      <c r="AS5098">
        <v>-14</v>
      </c>
      <c r="AT5098">
        <v>-832</v>
      </c>
      <c r="BB5098" t="str">
        <f t="shared" si="2004"/>
        <v>1200</v>
      </c>
      <c r="BC5098">
        <v>1</v>
      </c>
      <c r="BD5098" t="str">
        <f t="shared" si="2005"/>
        <v xml:space="preserve">N52156  </v>
      </c>
      <c r="BE5098">
        <v>1</v>
      </c>
      <c r="BG5098">
        <v>0</v>
      </c>
      <c r="BH5098">
        <v>0</v>
      </c>
      <c r="BI5098">
        <v>0</v>
      </c>
      <c r="BJ5098">
        <v>3800</v>
      </c>
      <c r="BK5098">
        <v>0</v>
      </c>
      <c r="BL5098" t="s">
        <v>188</v>
      </c>
      <c r="BM5098">
        <v>1</v>
      </c>
      <c r="BN5098">
        <v>1</v>
      </c>
      <c r="BO5098">
        <v>0</v>
      </c>
      <c r="BP5098">
        <v>0</v>
      </c>
      <c r="BS5098">
        <v>0</v>
      </c>
      <c r="BT5098">
        <v>0</v>
      </c>
      <c r="BU5098">
        <v>0</v>
      </c>
      <c r="CE5098" t="str">
        <f t="shared" si="2019"/>
        <v>15:18:41.315</v>
      </c>
      <c r="CF5098">
        <v>315007320</v>
      </c>
      <c r="CS5098">
        <v>0</v>
      </c>
      <c r="CT5098">
        <v>2</v>
      </c>
      <c r="CU5098">
        <v>0</v>
      </c>
      <c r="CV5098">
        <v>2</v>
      </c>
      <c r="CW5098">
        <v>0</v>
      </c>
      <c r="CX5098">
        <v>4</v>
      </c>
      <c r="CY5098">
        <v>7</v>
      </c>
      <c r="CZ5098" t="s">
        <v>133</v>
      </c>
      <c r="DA5098">
        <v>275</v>
      </c>
      <c r="DB5098">
        <v>0</v>
      </c>
      <c r="DC5098" t="s">
        <v>134</v>
      </c>
      <c r="DD5098" t="s">
        <v>135</v>
      </c>
      <c r="DG5098">
        <v>3323575</v>
      </c>
      <c r="DI5098">
        <v>1</v>
      </c>
      <c r="DJ5098">
        <v>0</v>
      </c>
      <c r="DK5098">
        <v>1</v>
      </c>
      <c r="DL5098">
        <v>0</v>
      </c>
      <c r="DM5098">
        <v>0</v>
      </c>
      <c r="DN5098">
        <v>0</v>
      </c>
      <c r="DO5098">
        <v>0</v>
      </c>
      <c r="DP5098">
        <v>0</v>
      </c>
      <c r="DQ5098">
        <v>0</v>
      </c>
      <c r="DR5098">
        <v>0</v>
      </c>
      <c r="DS5098">
        <v>0</v>
      </c>
    </row>
    <row r="5099" spans="1:123" x14ac:dyDescent="0.3">
      <c r="A5099" t="str">
        <f>"05/01/2025 15:18:41.546"</f>
        <v>05/01/2025 15:18:41.546</v>
      </c>
      <c r="C5099" t="str">
        <f t="shared" si="2002"/>
        <v>FFDFD3C0</v>
      </c>
      <c r="D5099" t="s">
        <v>140</v>
      </c>
      <c r="E5099" t="str">
        <f>"13"</f>
        <v>13</v>
      </c>
      <c r="F5099">
        <v>1019</v>
      </c>
      <c r="G5099" t="s">
        <v>141</v>
      </c>
      <c r="J5099" t="s">
        <v>142</v>
      </c>
      <c r="K5099">
        <v>0</v>
      </c>
      <c r="L5099">
        <v>3</v>
      </c>
      <c r="M5099">
        <v>0</v>
      </c>
      <c r="N5099">
        <v>2</v>
      </c>
      <c r="O5099">
        <v>0</v>
      </c>
      <c r="P5099">
        <v>1</v>
      </c>
      <c r="Q5099">
        <v>0</v>
      </c>
      <c r="R5099" t="s">
        <v>127</v>
      </c>
      <c r="S5099" t="str">
        <f t="shared" si="2018"/>
        <v>15:18:41.000</v>
      </c>
      <c r="T5099" t="str">
        <f t="shared" si="2018"/>
        <v>15:18:41.000</v>
      </c>
      <c r="U5099" t="str">
        <f t="shared" si="2003"/>
        <v>A68FCB</v>
      </c>
      <c r="V5099">
        <v>0</v>
      </c>
      <c r="W5099">
        <v>0</v>
      </c>
      <c r="X5099">
        <v>2</v>
      </c>
      <c r="Y5099">
        <v>0</v>
      </c>
      <c r="AA5099">
        <v>1</v>
      </c>
      <c r="AB5099">
        <v>8</v>
      </c>
      <c r="AC5099">
        <v>3</v>
      </c>
      <c r="AD5099">
        <v>0</v>
      </c>
      <c r="AE5099">
        <v>9</v>
      </c>
      <c r="AF5099" t="s">
        <v>138</v>
      </c>
      <c r="AG5099">
        <v>0</v>
      </c>
      <c r="AH5099">
        <v>3</v>
      </c>
      <c r="AI5099">
        <v>2</v>
      </c>
      <c r="AJ5099">
        <v>0</v>
      </c>
      <c r="AK5099" t="s">
        <v>1608</v>
      </c>
      <c r="AL5099">
        <v>39.234774000000002</v>
      </c>
      <c r="AM5099" t="s">
        <v>1609</v>
      </c>
      <c r="AN5099">
        <v>-121.02052</v>
      </c>
      <c r="AO5099">
        <v>25</v>
      </c>
      <c r="AP5099">
        <v>3800</v>
      </c>
      <c r="AQ5099" t="s">
        <v>131</v>
      </c>
      <c r="AR5099">
        <v>-98</v>
      </c>
      <c r="AS5099">
        <v>-14</v>
      </c>
      <c r="AT5099">
        <v>-832</v>
      </c>
      <c r="BB5099" t="str">
        <f t="shared" si="2004"/>
        <v>1200</v>
      </c>
      <c r="BC5099">
        <v>1</v>
      </c>
      <c r="BD5099" t="str">
        <f t="shared" si="2005"/>
        <v xml:space="preserve">N52156  </v>
      </c>
      <c r="BE5099">
        <v>1</v>
      </c>
      <c r="BG5099">
        <v>0</v>
      </c>
      <c r="BH5099">
        <v>0</v>
      </c>
      <c r="BI5099">
        <v>0</v>
      </c>
      <c r="BJ5099">
        <v>3800</v>
      </c>
      <c r="BK5099">
        <v>0</v>
      </c>
      <c r="BL5099" t="s">
        <v>188</v>
      </c>
      <c r="BM5099">
        <v>1</v>
      </c>
      <c r="BN5099">
        <v>1</v>
      </c>
      <c r="BO5099">
        <v>0</v>
      </c>
      <c r="BP5099">
        <v>0</v>
      </c>
      <c r="BS5099">
        <v>0</v>
      </c>
      <c r="BT5099">
        <v>0</v>
      </c>
      <c r="BU5099">
        <v>0</v>
      </c>
      <c r="CE5099" t="str">
        <f t="shared" si="2019"/>
        <v>15:18:41.315</v>
      </c>
      <c r="CF5099">
        <v>315007320</v>
      </c>
      <c r="CS5099">
        <v>0</v>
      </c>
      <c r="CT5099">
        <v>2</v>
      </c>
      <c r="CU5099">
        <v>0</v>
      </c>
      <c r="CV5099">
        <v>2</v>
      </c>
      <c r="CW5099">
        <v>0</v>
      </c>
      <c r="CX5099">
        <v>4</v>
      </c>
      <c r="CY5099">
        <v>7</v>
      </c>
      <c r="CZ5099" t="s">
        <v>133</v>
      </c>
      <c r="DA5099">
        <v>275</v>
      </c>
      <c r="DB5099">
        <v>0</v>
      </c>
      <c r="DC5099" t="s">
        <v>134</v>
      </c>
      <c r="DD5099" t="s">
        <v>135</v>
      </c>
      <c r="DG5099">
        <v>3323575</v>
      </c>
      <c r="DI5099">
        <v>1</v>
      </c>
      <c r="DJ5099">
        <v>0</v>
      </c>
      <c r="DK5099">
        <v>1</v>
      </c>
      <c r="DL5099">
        <v>0</v>
      </c>
      <c r="DM5099">
        <v>0</v>
      </c>
      <c r="DN5099">
        <v>0</v>
      </c>
      <c r="DO5099">
        <v>0</v>
      </c>
      <c r="DP5099">
        <v>0</v>
      </c>
      <c r="DQ5099">
        <v>0</v>
      </c>
      <c r="DR5099">
        <v>0</v>
      </c>
      <c r="DS5099">
        <v>0</v>
      </c>
    </row>
    <row r="5100" spans="1:123" x14ac:dyDescent="0.3">
      <c r="A5100" t="str">
        <f>"05/01/2025 15:18:41.549"</f>
        <v>05/01/2025 15:18:41.549</v>
      </c>
      <c r="C5100" t="str">
        <f t="shared" si="2002"/>
        <v>FFDFD3C0</v>
      </c>
      <c r="D5100" t="s">
        <v>124</v>
      </c>
      <c r="E5100" t="str">
        <f>"06"</f>
        <v>06</v>
      </c>
      <c r="F5100">
        <v>2006</v>
      </c>
      <c r="G5100" t="s">
        <v>125</v>
      </c>
      <c r="J5100" t="s">
        <v>126</v>
      </c>
      <c r="K5100">
        <v>0</v>
      </c>
      <c r="L5100">
        <v>3</v>
      </c>
      <c r="M5100">
        <v>0</v>
      </c>
      <c r="N5100">
        <v>2</v>
      </c>
      <c r="O5100">
        <v>0</v>
      </c>
      <c r="P5100">
        <v>1</v>
      </c>
      <c r="Q5100">
        <v>0</v>
      </c>
      <c r="R5100" t="s">
        <v>127</v>
      </c>
      <c r="S5100" t="str">
        <f t="shared" si="2018"/>
        <v>15:18:41.000</v>
      </c>
      <c r="T5100" t="str">
        <f t="shared" si="2018"/>
        <v>15:18:41.000</v>
      </c>
      <c r="U5100" t="str">
        <f t="shared" si="2003"/>
        <v>A68FCB</v>
      </c>
      <c r="V5100">
        <v>0</v>
      </c>
      <c r="W5100">
        <v>0</v>
      </c>
      <c r="X5100">
        <v>2</v>
      </c>
      <c r="Y5100">
        <v>0</v>
      </c>
      <c r="AA5100">
        <v>1</v>
      </c>
      <c r="AB5100">
        <v>8</v>
      </c>
      <c r="AC5100">
        <v>3</v>
      </c>
      <c r="AD5100">
        <v>0</v>
      </c>
      <c r="AE5100">
        <v>9</v>
      </c>
      <c r="AF5100" t="s">
        <v>138</v>
      </c>
      <c r="AG5100">
        <v>0</v>
      </c>
      <c r="AH5100">
        <v>3</v>
      </c>
      <c r="AI5100">
        <v>2</v>
      </c>
      <c r="AJ5100">
        <v>0</v>
      </c>
      <c r="AK5100" t="s">
        <v>1608</v>
      </c>
      <c r="AL5100">
        <v>39.234774000000002</v>
      </c>
      <c r="AM5100" t="s">
        <v>1609</v>
      </c>
      <c r="AN5100">
        <v>-121.02052</v>
      </c>
      <c r="AO5100">
        <v>25</v>
      </c>
      <c r="AP5100">
        <v>3800</v>
      </c>
      <c r="AQ5100" t="s">
        <v>131</v>
      </c>
      <c r="AR5100">
        <v>-98</v>
      </c>
      <c r="AS5100">
        <v>-14</v>
      </c>
      <c r="AT5100">
        <v>-832</v>
      </c>
      <c r="BB5100" t="str">
        <f t="shared" si="2004"/>
        <v>1200</v>
      </c>
      <c r="BC5100">
        <v>1</v>
      </c>
      <c r="BD5100" t="str">
        <f t="shared" si="2005"/>
        <v xml:space="preserve">N52156  </v>
      </c>
      <c r="BE5100">
        <v>1</v>
      </c>
      <c r="BG5100">
        <v>0</v>
      </c>
      <c r="BH5100">
        <v>0</v>
      </c>
      <c r="BI5100">
        <v>0</v>
      </c>
      <c r="BJ5100">
        <v>3800</v>
      </c>
      <c r="BK5100">
        <v>0</v>
      </c>
      <c r="BL5100" t="s">
        <v>188</v>
      </c>
      <c r="BM5100">
        <v>1</v>
      </c>
      <c r="BN5100">
        <v>1</v>
      </c>
      <c r="BO5100">
        <v>0</v>
      </c>
      <c r="BP5100">
        <v>0</v>
      </c>
      <c r="BS5100">
        <v>0</v>
      </c>
      <c r="BT5100">
        <v>0</v>
      </c>
      <c r="BU5100">
        <v>0</v>
      </c>
      <c r="CE5100" t="str">
        <f t="shared" si="2019"/>
        <v>15:18:41.315</v>
      </c>
      <c r="CF5100">
        <v>315007320</v>
      </c>
      <c r="CS5100">
        <v>0</v>
      </c>
      <c r="CT5100">
        <v>2</v>
      </c>
      <c r="CU5100">
        <v>0</v>
      </c>
      <c r="CV5100">
        <v>2</v>
      </c>
      <c r="CW5100">
        <v>0</v>
      </c>
      <c r="CX5100">
        <v>4</v>
      </c>
      <c r="CY5100">
        <v>7</v>
      </c>
      <c r="CZ5100" t="s">
        <v>133</v>
      </c>
      <c r="DA5100">
        <v>275</v>
      </c>
      <c r="DB5100">
        <v>0</v>
      </c>
      <c r="DC5100" t="s">
        <v>134</v>
      </c>
      <c r="DD5100" t="s">
        <v>135</v>
      </c>
      <c r="DG5100">
        <v>3323575</v>
      </c>
      <c r="DI5100">
        <v>1</v>
      </c>
      <c r="DJ5100">
        <v>0</v>
      </c>
      <c r="DK5100">
        <v>1</v>
      </c>
      <c r="DL5100">
        <v>0</v>
      </c>
      <c r="DM5100">
        <v>0</v>
      </c>
      <c r="DN5100">
        <v>0</v>
      </c>
      <c r="DO5100">
        <v>0</v>
      </c>
      <c r="DP5100">
        <v>0</v>
      </c>
      <c r="DQ5100">
        <v>0</v>
      </c>
      <c r="DR5100">
        <v>0</v>
      </c>
      <c r="DS5100">
        <v>0</v>
      </c>
    </row>
    <row r="5101" spans="1:123" x14ac:dyDescent="0.3">
      <c r="A5101" t="str">
        <f>"05/01/2025 15:18:41.558"</f>
        <v>05/01/2025 15:18:41.558</v>
      </c>
      <c r="C5101" t="str">
        <f t="shared" si="2002"/>
        <v>FFDFD3C0</v>
      </c>
      <c r="D5101" t="s">
        <v>143</v>
      </c>
      <c r="E5101" t="str">
        <f>"05"</f>
        <v>05</v>
      </c>
      <c r="H5101">
        <v>172</v>
      </c>
      <c r="I5101" t="s">
        <v>141</v>
      </c>
      <c r="J5101" t="s">
        <v>144</v>
      </c>
      <c r="K5101">
        <v>0</v>
      </c>
      <c r="L5101">
        <v>3</v>
      </c>
      <c r="M5101">
        <v>0</v>
      </c>
      <c r="N5101">
        <v>2</v>
      </c>
      <c r="O5101">
        <v>0</v>
      </c>
      <c r="P5101">
        <v>1</v>
      </c>
      <c r="Q5101">
        <v>0</v>
      </c>
      <c r="R5101" t="s">
        <v>127</v>
      </c>
      <c r="S5101" t="str">
        <f t="shared" si="2018"/>
        <v>15:18:41.000</v>
      </c>
      <c r="T5101" t="str">
        <f t="shared" si="2018"/>
        <v>15:18:41.000</v>
      </c>
      <c r="U5101" t="str">
        <f t="shared" si="2003"/>
        <v>A68FCB</v>
      </c>
      <c r="V5101">
        <v>0</v>
      </c>
      <c r="W5101">
        <v>0</v>
      </c>
      <c r="X5101">
        <v>2</v>
      </c>
      <c r="Y5101">
        <v>0</v>
      </c>
      <c r="AA5101">
        <v>1</v>
      </c>
      <c r="AB5101">
        <v>8</v>
      </c>
      <c r="AC5101">
        <v>3</v>
      </c>
      <c r="AD5101">
        <v>0</v>
      </c>
      <c r="AE5101">
        <v>9</v>
      </c>
      <c r="AF5101" t="s">
        <v>138</v>
      </c>
      <c r="AG5101">
        <v>0</v>
      </c>
      <c r="AH5101">
        <v>3</v>
      </c>
      <c r="AI5101">
        <v>2</v>
      </c>
      <c r="AJ5101">
        <v>0</v>
      </c>
      <c r="AK5101" t="s">
        <v>1608</v>
      </c>
      <c r="AL5101">
        <v>39.234774000000002</v>
      </c>
      <c r="AM5101" t="s">
        <v>1609</v>
      </c>
      <c r="AN5101">
        <v>-121.02052</v>
      </c>
      <c r="AO5101">
        <v>25</v>
      </c>
      <c r="AP5101">
        <v>3800</v>
      </c>
      <c r="AQ5101" t="s">
        <v>131</v>
      </c>
      <c r="AR5101">
        <v>-98</v>
      </c>
      <c r="AS5101">
        <v>-14</v>
      </c>
      <c r="AT5101">
        <v>-832</v>
      </c>
      <c r="BB5101" t="str">
        <f t="shared" si="2004"/>
        <v>1200</v>
      </c>
      <c r="BC5101">
        <v>1</v>
      </c>
      <c r="BD5101" t="str">
        <f t="shared" si="2005"/>
        <v xml:space="preserve">N52156  </v>
      </c>
      <c r="BE5101">
        <v>1</v>
      </c>
      <c r="BG5101">
        <v>0</v>
      </c>
      <c r="BH5101">
        <v>0</v>
      </c>
      <c r="BI5101">
        <v>0</v>
      </c>
      <c r="BJ5101">
        <v>3800</v>
      </c>
      <c r="BK5101">
        <v>0</v>
      </c>
      <c r="BL5101" t="s">
        <v>188</v>
      </c>
      <c r="BM5101">
        <v>1</v>
      </c>
      <c r="BN5101">
        <v>1</v>
      </c>
      <c r="BO5101">
        <v>0</v>
      </c>
      <c r="BP5101">
        <v>0</v>
      </c>
      <c r="BS5101">
        <v>0</v>
      </c>
      <c r="BT5101">
        <v>0</v>
      </c>
      <c r="BU5101">
        <v>0</v>
      </c>
      <c r="CE5101" t="str">
        <f t="shared" si="2019"/>
        <v>15:18:41.315</v>
      </c>
      <c r="CF5101">
        <v>315007320</v>
      </c>
      <c r="CS5101">
        <v>0</v>
      </c>
      <c r="CT5101">
        <v>2</v>
      </c>
      <c r="CU5101">
        <v>0</v>
      </c>
      <c r="CV5101">
        <v>2</v>
      </c>
      <c r="CW5101">
        <v>0</v>
      </c>
      <c r="CX5101">
        <v>4</v>
      </c>
      <c r="CY5101">
        <v>7</v>
      </c>
      <c r="CZ5101" t="s">
        <v>133</v>
      </c>
      <c r="DA5101">
        <v>275</v>
      </c>
      <c r="DB5101">
        <v>0</v>
      </c>
      <c r="DC5101" t="s">
        <v>134</v>
      </c>
      <c r="DD5101" t="s">
        <v>135</v>
      </c>
      <c r="DG5101">
        <v>3323575</v>
      </c>
      <c r="DI5101">
        <v>1</v>
      </c>
      <c r="DJ5101">
        <v>0</v>
      </c>
      <c r="DK5101">
        <v>1</v>
      </c>
      <c r="DL5101">
        <v>0</v>
      </c>
      <c r="DM5101">
        <v>0</v>
      </c>
      <c r="DN5101">
        <v>0</v>
      </c>
      <c r="DO5101">
        <v>0</v>
      </c>
      <c r="DP5101">
        <v>0</v>
      </c>
      <c r="DQ5101">
        <v>0</v>
      </c>
      <c r="DR5101">
        <v>0</v>
      </c>
      <c r="DS5101">
        <v>0</v>
      </c>
    </row>
    <row r="5102" spans="1:123" x14ac:dyDescent="0.3">
      <c r="A5102" t="str">
        <f>"05/01/2025 15:18:42.748"</f>
        <v>05/01/2025 15:18:42.748</v>
      </c>
      <c r="C5102" t="str">
        <f t="shared" si="2002"/>
        <v>FFDFD3C0</v>
      </c>
      <c r="D5102" t="s">
        <v>140</v>
      </c>
      <c r="E5102" t="str">
        <f>"13"</f>
        <v>13</v>
      </c>
      <c r="F5102">
        <v>1019</v>
      </c>
      <c r="G5102" t="s">
        <v>141</v>
      </c>
      <c r="J5102" t="s">
        <v>142</v>
      </c>
      <c r="K5102">
        <v>0</v>
      </c>
      <c r="L5102">
        <v>3</v>
      </c>
      <c r="M5102">
        <v>0</v>
      </c>
      <c r="N5102">
        <v>2</v>
      </c>
      <c r="O5102">
        <v>0</v>
      </c>
      <c r="P5102">
        <v>1</v>
      </c>
      <c r="Q5102">
        <v>0</v>
      </c>
      <c r="R5102" t="s">
        <v>127</v>
      </c>
      <c r="S5102" t="str">
        <f t="shared" ref="S5102:T5107" si="2020">"15:18:42.000"</f>
        <v>15:18:42.000</v>
      </c>
      <c r="T5102" t="str">
        <f t="shared" si="2020"/>
        <v>15:18:42.000</v>
      </c>
      <c r="U5102" t="str">
        <f t="shared" si="2003"/>
        <v>A68FCB</v>
      </c>
      <c r="V5102">
        <v>0</v>
      </c>
      <c r="W5102">
        <v>0</v>
      </c>
      <c r="X5102">
        <v>2</v>
      </c>
      <c r="Y5102">
        <v>0</v>
      </c>
      <c r="AA5102">
        <v>1</v>
      </c>
      <c r="AB5102">
        <v>8</v>
      </c>
      <c r="AC5102">
        <v>3</v>
      </c>
      <c r="AD5102">
        <v>0</v>
      </c>
      <c r="AE5102">
        <v>9</v>
      </c>
      <c r="AF5102" t="s">
        <v>138</v>
      </c>
      <c r="AG5102">
        <v>0</v>
      </c>
      <c r="AH5102">
        <v>3</v>
      </c>
      <c r="AI5102">
        <v>2</v>
      </c>
      <c r="AJ5102">
        <v>0</v>
      </c>
      <c r="AK5102" t="s">
        <v>1610</v>
      </c>
      <c r="AL5102">
        <v>39.234687999999998</v>
      </c>
      <c r="AM5102" t="s">
        <v>1611</v>
      </c>
      <c r="AN5102">
        <v>-121.02112099999999</v>
      </c>
      <c r="AO5102">
        <v>25</v>
      </c>
      <c r="AP5102">
        <v>3700</v>
      </c>
      <c r="AQ5102" t="s">
        <v>131</v>
      </c>
      <c r="AR5102">
        <v>-98</v>
      </c>
      <c r="AS5102">
        <v>-16</v>
      </c>
      <c r="AT5102">
        <v>-768</v>
      </c>
      <c r="BB5102" t="str">
        <f t="shared" si="2004"/>
        <v>1200</v>
      </c>
      <c r="BC5102">
        <v>1</v>
      </c>
      <c r="BD5102" t="str">
        <f t="shared" si="2005"/>
        <v xml:space="preserve">N52156  </v>
      </c>
      <c r="BE5102">
        <v>1</v>
      </c>
      <c r="BG5102">
        <v>0</v>
      </c>
      <c r="BH5102">
        <v>0</v>
      </c>
      <c r="BI5102">
        <v>0</v>
      </c>
      <c r="BJ5102">
        <v>3775</v>
      </c>
      <c r="BK5102">
        <v>75</v>
      </c>
      <c r="BL5102" t="s">
        <v>188</v>
      </c>
      <c r="BM5102">
        <v>1</v>
      </c>
      <c r="BN5102">
        <v>1</v>
      </c>
      <c r="BO5102">
        <v>0</v>
      </c>
      <c r="BP5102">
        <v>0</v>
      </c>
      <c r="BS5102">
        <v>0</v>
      </c>
      <c r="BT5102">
        <v>0</v>
      </c>
      <c r="BU5102">
        <v>0</v>
      </c>
      <c r="CE5102" t="str">
        <f t="shared" ref="CE5102:CE5107" si="2021">"15:18:42.528"</f>
        <v>15:18:42.528</v>
      </c>
      <c r="CF5102">
        <v>528257663</v>
      </c>
      <c r="CS5102">
        <v>0</v>
      </c>
      <c r="CT5102">
        <v>2</v>
      </c>
      <c r="CU5102">
        <v>0</v>
      </c>
      <c r="CV5102">
        <v>2</v>
      </c>
      <c r="CW5102">
        <v>0</v>
      </c>
      <c r="CX5102">
        <v>3</v>
      </c>
      <c r="CY5102">
        <v>7</v>
      </c>
      <c r="CZ5102" t="s">
        <v>133</v>
      </c>
      <c r="DA5102">
        <v>275</v>
      </c>
      <c r="DB5102">
        <v>0</v>
      </c>
      <c r="DC5102" t="s">
        <v>134</v>
      </c>
      <c r="DD5102" t="s">
        <v>135</v>
      </c>
      <c r="DG5102">
        <v>3323584</v>
      </c>
      <c r="DI5102">
        <v>1</v>
      </c>
      <c r="DJ5102">
        <v>0</v>
      </c>
      <c r="DK5102">
        <v>0</v>
      </c>
      <c r="DL5102">
        <v>0</v>
      </c>
      <c r="DM5102">
        <v>0</v>
      </c>
      <c r="DN5102">
        <v>0</v>
      </c>
      <c r="DO5102">
        <v>0</v>
      </c>
      <c r="DP5102">
        <v>0</v>
      </c>
      <c r="DQ5102">
        <v>0</v>
      </c>
      <c r="DR5102">
        <v>0</v>
      </c>
      <c r="DS5102">
        <v>0</v>
      </c>
    </row>
    <row r="5103" spans="1:123" x14ac:dyDescent="0.3">
      <c r="A5103" t="str">
        <f>"05/01/2025 15:18:42.751"</f>
        <v>05/01/2025 15:18:42.751</v>
      </c>
      <c r="C5103" t="str">
        <f t="shared" si="2002"/>
        <v>FFDFD3C0</v>
      </c>
      <c r="D5103" t="s">
        <v>124</v>
      </c>
      <c r="E5103" t="str">
        <f>"06"</f>
        <v>06</v>
      </c>
      <c r="F5103">
        <v>2006</v>
      </c>
      <c r="G5103" t="s">
        <v>125</v>
      </c>
      <c r="J5103" t="s">
        <v>126</v>
      </c>
      <c r="K5103">
        <v>0</v>
      </c>
      <c r="L5103">
        <v>3</v>
      </c>
      <c r="M5103">
        <v>0</v>
      </c>
      <c r="N5103">
        <v>2</v>
      </c>
      <c r="O5103">
        <v>0</v>
      </c>
      <c r="P5103">
        <v>1</v>
      </c>
      <c r="Q5103">
        <v>0</v>
      </c>
      <c r="R5103" t="s">
        <v>127</v>
      </c>
      <c r="S5103" t="str">
        <f t="shared" si="2020"/>
        <v>15:18:42.000</v>
      </c>
      <c r="T5103" t="str">
        <f t="shared" si="2020"/>
        <v>15:18:42.000</v>
      </c>
      <c r="U5103" t="str">
        <f t="shared" si="2003"/>
        <v>A68FCB</v>
      </c>
      <c r="V5103">
        <v>0</v>
      </c>
      <c r="W5103">
        <v>0</v>
      </c>
      <c r="X5103">
        <v>2</v>
      </c>
      <c r="Y5103">
        <v>0</v>
      </c>
      <c r="AA5103">
        <v>1</v>
      </c>
      <c r="AB5103">
        <v>8</v>
      </c>
      <c r="AC5103">
        <v>3</v>
      </c>
      <c r="AD5103">
        <v>0</v>
      </c>
      <c r="AE5103">
        <v>9</v>
      </c>
      <c r="AF5103" t="s">
        <v>138</v>
      </c>
      <c r="AG5103">
        <v>0</v>
      </c>
      <c r="AH5103">
        <v>3</v>
      </c>
      <c r="AI5103">
        <v>2</v>
      </c>
      <c r="AJ5103">
        <v>0</v>
      </c>
      <c r="AK5103" t="s">
        <v>1610</v>
      </c>
      <c r="AL5103">
        <v>39.234687999999998</v>
      </c>
      <c r="AM5103" t="s">
        <v>1611</v>
      </c>
      <c r="AN5103">
        <v>-121.02112099999999</v>
      </c>
      <c r="AO5103">
        <v>25</v>
      </c>
      <c r="AP5103">
        <v>3700</v>
      </c>
      <c r="AQ5103" t="s">
        <v>131</v>
      </c>
      <c r="AR5103">
        <v>-98</v>
      </c>
      <c r="AS5103">
        <v>-16</v>
      </c>
      <c r="AT5103">
        <v>-768</v>
      </c>
      <c r="BB5103" t="str">
        <f t="shared" si="2004"/>
        <v>1200</v>
      </c>
      <c r="BC5103">
        <v>1</v>
      </c>
      <c r="BD5103" t="str">
        <f t="shared" si="2005"/>
        <v xml:space="preserve">N52156  </v>
      </c>
      <c r="BE5103">
        <v>1</v>
      </c>
      <c r="BG5103">
        <v>0</v>
      </c>
      <c r="BH5103">
        <v>0</v>
      </c>
      <c r="BI5103">
        <v>0</v>
      </c>
      <c r="BJ5103">
        <v>3775</v>
      </c>
      <c r="BK5103">
        <v>75</v>
      </c>
      <c r="BL5103" t="s">
        <v>188</v>
      </c>
      <c r="BM5103">
        <v>1</v>
      </c>
      <c r="BN5103">
        <v>1</v>
      </c>
      <c r="BO5103">
        <v>0</v>
      </c>
      <c r="BP5103">
        <v>0</v>
      </c>
      <c r="BS5103">
        <v>0</v>
      </c>
      <c r="BT5103">
        <v>0</v>
      </c>
      <c r="BU5103">
        <v>0</v>
      </c>
      <c r="CE5103" t="str">
        <f t="shared" si="2021"/>
        <v>15:18:42.528</v>
      </c>
      <c r="CF5103">
        <v>528257663</v>
      </c>
      <c r="CS5103">
        <v>0</v>
      </c>
      <c r="CT5103">
        <v>2</v>
      </c>
      <c r="CU5103">
        <v>0</v>
      </c>
      <c r="CV5103">
        <v>2</v>
      </c>
      <c r="CW5103">
        <v>0</v>
      </c>
      <c r="CX5103">
        <v>3</v>
      </c>
      <c r="CY5103">
        <v>7</v>
      </c>
      <c r="CZ5103" t="s">
        <v>133</v>
      </c>
      <c r="DA5103">
        <v>275</v>
      </c>
      <c r="DB5103">
        <v>0</v>
      </c>
      <c r="DC5103" t="s">
        <v>134</v>
      </c>
      <c r="DD5103" t="s">
        <v>135</v>
      </c>
      <c r="DG5103">
        <v>3323584</v>
      </c>
      <c r="DI5103">
        <v>1</v>
      </c>
      <c r="DJ5103">
        <v>0</v>
      </c>
      <c r="DK5103">
        <v>1</v>
      </c>
      <c r="DL5103">
        <v>0</v>
      </c>
      <c r="DM5103">
        <v>0</v>
      </c>
      <c r="DN5103">
        <v>0</v>
      </c>
      <c r="DO5103">
        <v>0</v>
      </c>
      <c r="DP5103">
        <v>0</v>
      </c>
      <c r="DQ5103">
        <v>0</v>
      </c>
      <c r="DR5103">
        <v>0</v>
      </c>
      <c r="DS5103">
        <v>0</v>
      </c>
    </row>
    <row r="5104" spans="1:123" x14ac:dyDescent="0.3">
      <c r="A5104" t="str">
        <f>"05/01/2025 15:18:42.760"</f>
        <v>05/01/2025 15:18:42.760</v>
      </c>
      <c r="C5104" t="str">
        <f t="shared" si="2002"/>
        <v>FFDFD3C0</v>
      </c>
      <c r="D5104" t="s">
        <v>143</v>
      </c>
      <c r="E5104" t="str">
        <f>"05"</f>
        <v>05</v>
      </c>
      <c r="H5104">
        <v>172</v>
      </c>
      <c r="I5104" t="s">
        <v>141</v>
      </c>
      <c r="J5104" t="s">
        <v>144</v>
      </c>
      <c r="K5104">
        <v>0</v>
      </c>
      <c r="L5104">
        <v>3</v>
      </c>
      <c r="M5104">
        <v>0</v>
      </c>
      <c r="N5104">
        <v>2</v>
      </c>
      <c r="O5104">
        <v>0</v>
      </c>
      <c r="P5104">
        <v>1</v>
      </c>
      <c r="Q5104">
        <v>0</v>
      </c>
      <c r="R5104" t="s">
        <v>127</v>
      </c>
      <c r="S5104" t="str">
        <f t="shared" si="2020"/>
        <v>15:18:42.000</v>
      </c>
      <c r="T5104" t="str">
        <f t="shared" si="2020"/>
        <v>15:18:42.000</v>
      </c>
      <c r="U5104" t="str">
        <f t="shared" si="2003"/>
        <v>A68FCB</v>
      </c>
      <c r="V5104">
        <v>0</v>
      </c>
      <c r="W5104">
        <v>0</v>
      </c>
      <c r="X5104">
        <v>2</v>
      </c>
      <c r="Y5104">
        <v>0</v>
      </c>
      <c r="AA5104">
        <v>1</v>
      </c>
      <c r="AB5104">
        <v>8</v>
      </c>
      <c r="AC5104">
        <v>3</v>
      </c>
      <c r="AD5104">
        <v>0</v>
      </c>
      <c r="AE5104">
        <v>9</v>
      </c>
      <c r="AF5104" t="s">
        <v>138</v>
      </c>
      <c r="AG5104">
        <v>0</v>
      </c>
      <c r="AH5104">
        <v>3</v>
      </c>
      <c r="AI5104">
        <v>2</v>
      </c>
      <c r="AJ5104">
        <v>0</v>
      </c>
      <c r="AK5104" t="s">
        <v>1610</v>
      </c>
      <c r="AL5104">
        <v>39.234687999999998</v>
      </c>
      <c r="AM5104" t="s">
        <v>1611</v>
      </c>
      <c r="AN5104">
        <v>-121.02112099999999</v>
      </c>
      <c r="AO5104">
        <v>25</v>
      </c>
      <c r="AP5104">
        <v>3700</v>
      </c>
      <c r="AQ5104" t="s">
        <v>131</v>
      </c>
      <c r="AR5104">
        <v>-98</v>
      </c>
      <c r="AS5104">
        <v>-16</v>
      </c>
      <c r="AT5104">
        <v>-768</v>
      </c>
      <c r="BB5104" t="str">
        <f t="shared" si="2004"/>
        <v>1200</v>
      </c>
      <c r="BC5104">
        <v>1</v>
      </c>
      <c r="BD5104" t="str">
        <f t="shared" si="2005"/>
        <v xml:space="preserve">N52156  </v>
      </c>
      <c r="BE5104">
        <v>1</v>
      </c>
      <c r="BG5104">
        <v>0</v>
      </c>
      <c r="BH5104">
        <v>0</v>
      </c>
      <c r="BI5104">
        <v>0</v>
      </c>
      <c r="BJ5104">
        <v>3775</v>
      </c>
      <c r="BK5104">
        <v>75</v>
      </c>
      <c r="BL5104" t="s">
        <v>188</v>
      </c>
      <c r="BM5104">
        <v>1</v>
      </c>
      <c r="BN5104">
        <v>1</v>
      </c>
      <c r="BO5104">
        <v>0</v>
      </c>
      <c r="BP5104">
        <v>0</v>
      </c>
      <c r="BS5104">
        <v>0</v>
      </c>
      <c r="BT5104">
        <v>0</v>
      </c>
      <c r="BU5104">
        <v>0</v>
      </c>
      <c r="CE5104" t="str">
        <f t="shared" si="2021"/>
        <v>15:18:42.528</v>
      </c>
      <c r="CF5104">
        <v>528257663</v>
      </c>
      <c r="CS5104">
        <v>0</v>
      </c>
      <c r="CT5104">
        <v>2</v>
      </c>
      <c r="CU5104">
        <v>0</v>
      </c>
      <c r="CV5104">
        <v>2</v>
      </c>
      <c r="CW5104">
        <v>0</v>
      </c>
      <c r="CX5104">
        <v>3</v>
      </c>
      <c r="CY5104">
        <v>7</v>
      </c>
      <c r="CZ5104" t="s">
        <v>133</v>
      </c>
      <c r="DA5104">
        <v>275</v>
      </c>
      <c r="DB5104">
        <v>0</v>
      </c>
      <c r="DC5104" t="s">
        <v>134</v>
      </c>
      <c r="DD5104" t="s">
        <v>135</v>
      </c>
      <c r="DG5104">
        <v>3323584</v>
      </c>
      <c r="DI5104">
        <v>1</v>
      </c>
      <c r="DJ5104">
        <v>0</v>
      </c>
      <c r="DK5104">
        <v>1</v>
      </c>
      <c r="DL5104">
        <v>0</v>
      </c>
      <c r="DM5104">
        <v>0</v>
      </c>
      <c r="DN5104">
        <v>0</v>
      </c>
      <c r="DO5104">
        <v>0</v>
      </c>
      <c r="DP5104">
        <v>0</v>
      </c>
      <c r="DQ5104">
        <v>0</v>
      </c>
      <c r="DR5104">
        <v>0</v>
      </c>
      <c r="DS5104">
        <v>0</v>
      </c>
    </row>
    <row r="5105" spans="1:123" x14ac:dyDescent="0.3">
      <c r="A5105" t="str">
        <f>"05/01/2025 15:18:42.774"</f>
        <v>05/01/2025 15:18:42.774</v>
      </c>
      <c r="C5105" t="str">
        <f t="shared" si="2002"/>
        <v>FFDFD3C0</v>
      </c>
      <c r="D5105" t="s">
        <v>145</v>
      </c>
      <c r="E5105" t="str">
        <f>"09"</f>
        <v>09</v>
      </c>
      <c r="H5105">
        <v>51</v>
      </c>
      <c r="I5105" t="s">
        <v>147</v>
      </c>
      <c r="J5105" t="s">
        <v>138</v>
      </c>
      <c r="K5105">
        <v>0</v>
      </c>
      <c r="L5105">
        <v>3</v>
      </c>
      <c r="M5105">
        <v>0</v>
      </c>
      <c r="N5105">
        <v>2</v>
      </c>
      <c r="O5105">
        <v>0</v>
      </c>
      <c r="P5105">
        <v>1</v>
      </c>
      <c r="Q5105">
        <v>0</v>
      </c>
      <c r="R5105" t="s">
        <v>127</v>
      </c>
      <c r="S5105" t="str">
        <f t="shared" si="2020"/>
        <v>15:18:42.000</v>
      </c>
      <c r="T5105" t="str">
        <f t="shared" si="2020"/>
        <v>15:18:42.000</v>
      </c>
      <c r="U5105" t="str">
        <f t="shared" si="2003"/>
        <v>A68FCB</v>
      </c>
      <c r="V5105">
        <v>0</v>
      </c>
      <c r="W5105">
        <v>0</v>
      </c>
      <c r="X5105">
        <v>2</v>
      </c>
      <c r="Y5105">
        <v>0</v>
      </c>
      <c r="AA5105">
        <v>1</v>
      </c>
      <c r="AB5105">
        <v>8</v>
      </c>
      <c r="AC5105">
        <v>3</v>
      </c>
      <c r="AD5105">
        <v>0</v>
      </c>
      <c r="AE5105">
        <v>9</v>
      </c>
      <c r="AF5105" t="s">
        <v>138</v>
      </c>
      <c r="AG5105">
        <v>0</v>
      </c>
      <c r="AH5105">
        <v>3</v>
      </c>
      <c r="AI5105">
        <v>2</v>
      </c>
      <c r="AJ5105">
        <v>0</v>
      </c>
      <c r="AK5105" t="s">
        <v>1610</v>
      </c>
      <c r="AL5105">
        <v>39.234687999999998</v>
      </c>
      <c r="AM5105" t="s">
        <v>1611</v>
      </c>
      <c r="AN5105">
        <v>-121.02112099999999</v>
      </c>
      <c r="AO5105">
        <v>25</v>
      </c>
      <c r="AP5105">
        <v>3700</v>
      </c>
      <c r="AQ5105" t="s">
        <v>131</v>
      </c>
      <c r="AR5105">
        <v>-98</v>
      </c>
      <c r="AS5105">
        <v>-16</v>
      </c>
      <c r="AT5105">
        <v>-768</v>
      </c>
      <c r="BB5105" t="str">
        <f t="shared" si="2004"/>
        <v>1200</v>
      </c>
      <c r="BC5105">
        <v>1</v>
      </c>
      <c r="BD5105" t="str">
        <f t="shared" si="2005"/>
        <v xml:space="preserve">N52156  </v>
      </c>
      <c r="BE5105">
        <v>1</v>
      </c>
      <c r="BG5105">
        <v>0</v>
      </c>
      <c r="BH5105">
        <v>0</v>
      </c>
      <c r="BI5105">
        <v>0</v>
      </c>
      <c r="BJ5105">
        <v>3775</v>
      </c>
      <c r="BK5105">
        <v>75</v>
      </c>
      <c r="BL5105" t="s">
        <v>188</v>
      </c>
      <c r="BM5105">
        <v>1</v>
      </c>
      <c r="BN5105">
        <v>1</v>
      </c>
      <c r="BO5105">
        <v>0</v>
      </c>
      <c r="BP5105">
        <v>0</v>
      </c>
      <c r="BS5105">
        <v>0</v>
      </c>
      <c r="BT5105">
        <v>0</v>
      </c>
      <c r="BU5105">
        <v>0</v>
      </c>
      <c r="CE5105" t="str">
        <f t="shared" si="2021"/>
        <v>15:18:42.528</v>
      </c>
      <c r="CF5105">
        <v>528257663</v>
      </c>
      <c r="CS5105">
        <v>0</v>
      </c>
      <c r="CT5105">
        <v>2</v>
      </c>
      <c r="CU5105">
        <v>0</v>
      </c>
      <c r="CV5105">
        <v>2</v>
      </c>
      <c r="CW5105">
        <v>0</v>
      </c>
      <c r="CX5105">
        <v>3</v>
      </c>
      <c r="CY5105">
        <v>7</v>
      </c>
      <c r="CZ5105" t="s">
        <v>133</v>
      </c>
      <c r="DA5105">
        <v>275</v>
      </c>
      <c r="DB5105">
        <v>0</v>
      </c>
      <c r="DC5105" t="s">
        <v>134</v>
      </c>
      <c r="DD5105" t="s">
        <v>135</v>
      </c>
      <c r="DG5105">
        <v>3323584</v>
      </c>
      <c r="DI5105">
        <v>1</v>
      </c>
      <c r="DJ5105">
        <v>0</v>
      </c>
      <c r="DK5105">
        <v>1</v>
      </c>
      <c r="DL5105">
        <v>0</v>
      </c>
      <c r="DM5105">
        <v>0</v>
      </c>
      <c r="DN5105">
        <v>0</v>
      </c>
      <c r="DO5105">
        <v>0</v>
      </c>
      <c r="DP5105">
        <v>0</v>
      </c>
      <c r="DQ5105">
        <v>0</v>
      </c>
      <c r="DR5105">
        <v>0</v>
      </c>
      <c r="DS5105">
        <v>0</v>
      </c>
    </row>
    <row r="5106" spans="1:123" x14ac:dyDescent="0.3">
      <c r="A5106" t="str">
        <f>"05/01/2025 15:18:42.774"</f>
        <v>05/01/2025 15:18:42.774</v>
      </c>
      <c r="C5106" t="str">
        <f t="shared" si="2002"/>
        <v>FFDFD3C0</v>
      </c>
      <c r="D5106" t="s">
        <v>145</v>
      </c>
      <c r="E5106" t="str">
        <f>"05"</f>
        <v>05</v>
      </c>
      <c r="H5106">
        <v>47</v>
      </c>
      <c r="I5106" t="s">
        <v>146</v>
      </c>
      <c r="J5106" t="s">
        <v>138</v>
      </c>
      <c r="K5106">
        <v>0</v>
      </c>
      <c r="L5106">
        <v>3</v>
      </c>
      <c r="M5106">
        <v>0</v>
      </c>
      <c r="N5106">
        <v>2</v>
      </c>
      <c r="O5106">
        <v>0</v>
      </c>
      <c r="P5106">
        <v>1</v>
      </c>
      <c r="Q5106">
        <v>0</v>
      </c>
      <c r="R5106" t="s">
        <v>127</v>
      </c>
      <c r="S5106" t="str">
        <f t="shared" si="2020"/>
        <v>15:18:42.000</v>
      </c>
      <c r="T5106" t="str">
        <f t="shared" si="2020"/>
        <v>15:18:42.000</v>
      </c>
      <c r="U5106" t="str">
        <f t="shared" si="2003"/>
        <v>A68FCB</v>
      </c>
      <c r="V5106">
        <v>0</v>
      </c>
      <c r="W5106">
        <v>0</v>
      </c>
      <c r="X5106">
        <v>2</v>
      </c>
      <c r="Y5106">
        <v>0</v>
      </c>
      <c r="AA5106">
        <v>1</v>
      </c>
      <c r="AB5106">
        <v>8</v>
      </c>
      <c r="AC5106">
        <v>3</v>
      </c>
      <c r="AD5106">
        <v>0</v>
      </c>
      <c r="AE5106">
        <v>9</v>
      </c>
      <c r="AF5106" t="s">
        <v>138</v>
      </c>
      <c r="AG5106">
        <v>0</v>
      </c>
      <c r="AH5106">
        <v>3</v>
      </c>
      <c r="AI5106">
        <v>2</v>
      </c>
      <c r="AJ5106">
        <v>0</v>
      </c>
      <c r="AK5106" t="s">
        <v>1610</v>
      </c>
      <c r="AL5106">
        <v>39.234687999999998</v>
      </c>
      <c r="AM5106" t="s">
        <v>1611</v>
      </c>
      <c r="AN5106">
        <v>-121.02112099999999</v>
      </c>
      <c r="AO5106">
        <v>25</v>
      </c>
      <c r="AP5106">
        <v>3700</v>
      </c>
      <c r="AQ5106" t="s">
        <v>131</v>
      </c>
      <c r="AR5106">
        <v>-98</v>
      </c>
      <c r="AS5106">
        <v>-16</v>
      </c>
      <c r="AT5106">
        <v>-768</v>
      </c>
      <c r="BB5106" t="str">
        <f t="shared" si="2004"/>
        <v>1200</v>
      </c>
      <c r="BC5106">
        <v>1</v>
      </c>
      <c r="BD5106" t="str">
        <f t="shared" si="2005"/>
        <v xml:space="preserve">N52156  </v>
      </c>
      <c r="BE5106">
        <v>1</v>
      </c>
      <c r="BG5106">
        <v>0</v>
      </c>
      <c r="BH5106">
        <v>0</v>
      </c>
      <c r="BI5106">
        <v>0</v>
      </c>
      <c r="BJ5106">
        <v>3775</v>
      </c>
      <c r="BK5106">
        <v>75</v>
      </c>
      <c r="BL5106" t="s">
        <v>188</v>
      </c>
      <c r="BM5106">
        <v>1</v>
      </c>
      <c r="BN5106">
        <v>1</v>
      </c>
      <c r="BO5106">
        <v>0</v>
      </c>
      <c r="BP5106">
        <v>0</v>
      </c>
      <c r="BS5106">
        <v>0</v>
      </c>
      <c r="BT5106">
        <v>0</v>
      </c>
      <c r="BU5106">
        <v>0</v>
      </c>
      <c r="CE5106" t="str">
        <f t="shared" si="2021"/>
        <v>15:18:42.528</v>
      </c>
      <c r="CF5106">
        <v>528257663</v>
      </c>
      <c r="CS5106">
        <v>0</v>
      </c>
      <c r="CT5106">
        <v>2</v>
      </c>
      <c r="CU5106">
        <v>0</v>
      </c>
      <c r="CV5106">
        <v>2</v>
      </c>
      <c r="CW5106">
        <v>0</v>
      </c>
      <c r="CX5106">
        <v>3</v>
      </c>
      <c r="CY5106">
        <v>7</v>
      </c>
      <c r="CZ5106" t="s">
        <v>133</v>
      </c>
      <c r="DA5106">
        <v>275</v>
      </c>
      <c r="DB5106">
        <v>0</v>
      </c>
      <c r="DC5106" t="s">
        <v>134</v>
      </c>
      <c r="DD5106" t="s">
        <v>135</v>
      </c>
      <c r="DG5106">
        <v>3323584</v>
      </c>
      <c r="DI5106">
        <v>1</v>
      </c>
      <c r="DJ5106">
        <v>0</v>
      </c>
      <c r="DK5106">
        <v>1</v>
      </c>
      <c r="DL5106">
        <v>0</v>
      </c>
      <c r="DM5106">
        <v>0</v>
      </c>
      <c r="DN5106">
        <v>0</v>
      </c>
      <c r="DO5106">
        <v>0</v>
      </c>
      <c r="DP5106">
        <v>0</v>
      </c>
      <c r="DQ5106">
        <v>0</v>
      </c>
      <c r="DR5106">
        <v>0</v>
      </c>
      <c r="DS5106">
        <v>0</v>
      </c>
    </row>
    <row r="5107" spans="1:123" x14ac:dyDescent="0.3">
      <c r="A5107" t="str">
        <f>"05/01/2025 15:18:42.781"</f>
        <v>05/01/2025 15:18:42.781</v>
      </c>
      <c r="C5107" t="str">
        <f t="shared" si="2002"/>
        <v>FFDFD3C0</v>
      </c>
      <c r="D5107" t="s">
        <v>136</v>
      </c>
      <c r="E5107" t="str">
        <f>"20"</f>
        <v>20</v>
      </c>
      <c r="H5107">
        <v>400</v>
      </c>
      <c r="I5107" t="s">
        <v>137</v>
      </c>
      <c r="J5107" t="s">
        <v>138</v>
      </c>
      <c r="K5107">
        <v>0</v>
      </c>
      <c r="L5107">
        <v>3</v>
      </c>
      <c r="M5107">
        <v>0</v>
      </c>
      <c r="N5107">
        <v>2</v>
      </c>
      <c r="O5107">
        <v>0</v>
      </c>
      <c r="P5107">
        <v>1</v>
      </c>
      <c r="Q5107">
        <v>0</v>
      </c>
      <c r="R5107" t="s">
        <v>127</v>
      </c>
      <c r="S5107" t="str">
        <f t="shared" si="2020"/>
        <v>15:18:42.000</v>
      </c>
      <c r="T5107" t="str">
        <f t="shared" si="2020"/>
        <v>15:18:42.000</v>
      </c>
      <c r="U5107" t="str">
        <f t="shared" si="2003"/>
        <v>A68FCB</v>
      </c>
      <c r="V5107">
        <v>0</v>
      </c>
      <c r="W5107">
        <v>0</v>
      </c>
      <c r="X5107">
        <v>2</v>
      </c>
      <c r="Y5107">
        <v>0</v>
      </c>
      <c r="AA5107">
        <v>1</v>
      </c>
      <c r="AB5107">
        <v>8</v>
      </c>
      <c r="AC5107">
        <v>3</v>
      </c>
      <c r="AD5107">
        <v>0</v>
      </c>
      <c r="AE5107">
        <v>9</v>
      </c>
      <c r="AF5107" t="s">
        <v>138</v>
      </c>
      <c r="AG5107">
        <v>0</v>
      </c>
      <c r="AH5107">
        <v>3</v>
      </c>
      <c r="AI5107">
        <v>2</v>
      </c>
      <c r="AJ5107">
        <v>0</v>
      </c>
      <c r="AK5107" t="s">
        <v>1610</v>
      </c>
      <c r="AL5107">
        <v>39.234687999999998</v>
      </c>
      <c r="AM5107" t="s">
        <v>1611</v>
      </c>
      <c r="AN5107">
        <v>-121.02112099999999</v>
      </c>
      <c r="AO5107">
        <v>25</v>
      </c>
      <c r="AP5107">
        <v>3700</v>
      </c>
      <c r="AQ5107" t="s">
        <v>131</v>
      </c>
      <c r="AR5107">
        <v>-98</v>
      </c>
      <c r="AS5107">
        <v>-16</v>
      </c>
      <c r="AT5107">
        <v>-768</v>
      </c>
      <c r="BB5107" t="str">
        <f t="shared" si="2004"/>
        <v>1200</v>
      </c>
      <c r="BC5107">
        <v>1</v>
      </c>
      <c r="BD5107" t="str">
        <f t="shared" si="2005"/>
        <v xml:space="preserve">N52156  </v>
      </c>
      <c r="BE5107">
        <v>1</v>
      </c>
      <c r="BG5107">
        <v>0</v>
      </c>
      <c r="BH5107">
        <v>0</v>
      </c>
      <c r="BI5107">
        <v>0</v>
      </c>
      <c r="BJ5107">
        <v>3775</v>
      </c>
      <c r="BK5107">
        <v>75</v>
      </c>
      <c r="BL5107" t="s">
        <v>188</v>
      </c>
      <c r="BM5107">
        <v>1</v>
      </c>
      <c r="BN5107">
        <v>1</v>
      </c>
      <c r="BO5107">
        <v>0</v>
      </c>
      <c r="BP5107">
        <v>0</v>
      </c>
      <c r="BS5107">
        <v>0</v>
      </c>
      <c r="BT5107">
        <v>0</v>
      </c>
      <c r="BU5107">
        <v>0</v>
      </c>
      <c r="CE5107" t="str">
        <f t="shared" si="2021"/>
        <v>15:18:42.528</v>
      </c>
      <c r="CF5107">
        <v>528257663</v>
      </c>
      <c r="CS5107">
        <v>0</v>
      </c>
      <c r="CT5107">
        <v>2</v>
      </c>
      <c r="CU5107">
        <v>0</v>
      </c>
      <c r="CV5107">
        <v>2</v>
      </c>
      <c r="CW5107">
        <v>0</v>
      </c>
      <c r="CX5107">
        <v>3</v>
      </c>
      <c r="CY5107">
        <v>7</v>
      </c>
      <c r="CZ5107" t="s">
        <v>133</v>
      </c>
      <c r="DA5107">
        <v>275</v>
      </c>
      <c r="DB5107">
        <v>0</v>
      </c>
      <c r="DC5107" t="s">
        <v>134</v>
      </c>
      <c r="DD5107" t="s">
        <v>135</v>
      </c>
      <c r="DG5107">
        <v>3323584</v>
      </c>
      <c r="DI5107">
        <v>1</v>
      </c>
      <c r="DJ5107">
        <v>0</v>
      </c>
      <c r="DK5107">
        <v>1</v>
      </c>
      <c r="DL5107">
        <v>0</v>
      </c>
      <c r="DM5107">
        <v>0</v>
      </c>
      <c r="DN5107">
        <v>0</v>
      </c>
      <c r="DO5107">
        <v>0</v>
      </c>
      <c r="DP5107">
        <v>0</v>
      </c>
      <c r="DQ5107">
        <v>0</v>
      </c>
      <c r="DR5107">
        <v>0</v>
      </c>
      <c r="DS5107">
        <v>0</v>
      </c>
    </row>
    <row r="5108" spans="1:123" x14ac:dyDescent="0.3">
      <c r="A5108" t="str">
        <f>"05/01/2025 15:18:43.775"</f>
        <v>05/01/2025 15:18:43.775</v>
      </c>
      <c r="C5108" t="str">
        <f t="shared" si="2002"/>
        <v>FFDFD3C0</v>
      </c>
      <c r="D5108" t="s">
        <v>145</v>
      </c>
      <c r="E5108" t="str">
        <f>"05"</f>
        <v>05</v>
      </c>
      <c r="H5108">
        <v>47</v>
      </c>
      <c r="I5108" t="s">
        <v>146</v>
      </c>
      <c r="J5108" t="s">
        <v>138</v>
      </c>
      <c r="K5108">
        <v>0</v>
      </c>
      <c r="L5108">
        <v>3</v>
      </c>
      <c r="M5108">
        <v>0</v>
      </c>
      <c r="N5108">
        <v>2</v>
      </c>
      <c r="O5108">
        <v>0</v>
      </c>
      <c r="P5108">
        <v>1</v>
      </c>
      <c r="Q5108">
        <v>0</v>
      </c>
      <c r="R5108" t="s">
        <v>127</v>
      </c>
      <c r="S5108" t="str">
        <f t="shared" ref="S5108:T5113" si="2022">"15:18:43.000"</f>
        <v>15:18:43.000</v>
      </c>
      <c r="T5108" t="str">
        <f t="shared" si="2022"/>
        <v>15:18:43.000</v>
      </c>
      <c r="U5108" t="str">
        <f t="shared" si="2003"/>
        <v>A68FCB</v>
      </c>
      <c r="V5108">
        <v>0</v>
      </c>
      <c r="W5108">
        <v>0</v>
      </c>
      <c r="X5108">
        <v>2</v>
      </c>
      <c r="Y5108">
        <v>0</v>
      </c>
      <c r="AA5108">
        <v>1</v>
      </c>
      <c r="AB5108">
        <v>8</v>
      </c>
      <c r="AC5108">
        <v>3</v>
      </c>
      <c r="AD5108">
        <v>0</v>
      </c>
      <c r="AE5108">
        <v>9</v>
      </c>
      <c r="AF5108" t="s">
        <v>138</v>
      </c>
      <c r="AG5108">
        <v>0</v>
      </c>
      <c r="AH5108">
        <v>3</v>
      </c>
      <c r="AI5108">
        <v>2</v>
      </c>
      <c r="AJ5108">
        <v>0</v>
      </c>
      <c r="AK5108" t="s">
        <v>1561</v>
      </c>
      <c r="AL5108">
        <v>39.234623999999997</v>
      </c>
      <c r="AM5108" t="s">
        <v>1311</v>
      </c>
      <c r="AN5108">
        <v>-121.0217</v>
      </c>
      <c r="AO5108">
        <v>25</v>
      </c>
      <c r="AP5108">
        <v>3700</v>
      </c>
      <c r="AQ5108" t="s">
        <v>131</v>
      </c>
      <c r="AR5108">
        <v>-97</v>
      </c>
      <c r="AS5108">
        <v>-15</v>
      </c>
      <c r="AT5108">
        <v>-704</v>
      </c>
      <c r="BB5108" t="str">
        <f t="shared" si="2004"/>
        <v>1200</v>
      </c>
      <c r="BC5108">
        <v>1</v>
      </c>
      <c r="BD5108" t="str">
        <f t="shared" si="2005"/>
        <v xml:space="preserve">N52156  </v>
      </c>
      <c r="BE5108">
        <v>1</v>
      </c>
      <c r="BG5108">
        <v>0</v>
      </c>
      <c r="BH5108">
        <v>0</v>
      </c>
      <c r="BI5108">
        <v>0</v>
      </c>
      <c r="BJ5108">
        <v>3775</v>
      </c>
      <c r="BK5108">
        <v>75</v>
      </c>
      <c r="BL5108" t="s">
        <v>188</v>
      </c>
      <c r="BM5108">
        <v>1</v>
      </c>
      <c r="BN5108">
        <v>1</v>
      </c>
      <c r="BO5108">
        <v>0</v>
      </c>
      <c r="BP5108">
        <v>0</v>
      </c>
      <c r="BS5108">
        <v>0</v>
      </c>
      <c r="BT5108">
        <v>0</v>
      </c>
      <c r="BU5108">
        <v>0</v>
      </c>
      <c r="CE5108" t="str">
        <f t="shared" ref="CE5108:CE5113" si="2023">"15:18:43.571"</f>
        <v>15:18:43.571</v>
      </c>
      <c r="CF5108">
        <v>571257610</v>
      </c>
      <c r="CS5108">
        <v>0</v>
      </c>
      <c r="CT5108">
        <v>2</v>
      </c>
      <c r="CU5108">
        <v>0</v>
      </c>
      <c r="CV5108">
        <v>2</v>
      </c>
      <c r="CW5108">
        <v>0</v>
      </c>
      <c r="CX5108">
        <v>3</v>
      </c>
      <c r="CY5108">
        <v>7</v>
      </c>
      <c r="CZ5108" t="s">
        <v>133</v>
      </c>
      <c r="DA5108">
        <v>275</v>
      </c>
      <c r="DB5108">
        <v>0</v>
      </c>
      <c r="DC5108" t="s">
        <v>134</v>
      </c>
      <c r="DD5108" t="s">
        <v>135</v>
      </c>
      <c r="DG5108">
        <v>3323591</v>
      </c>
      <c r="DI5108">
        <v>1</v>
      </c>
      <c r="DJ5108">
        <v>0</v>
      </c>
      <c r="DK5108">
        <v>0</v>
      </c>
      <c r="DL5108">
        <v>0</v>
      </c>
      <c r="DM5108">
        <v>0</v>
      </c>
      <c r="DN5108">
        <v>0</v>
      </c>
      <c r="DO5108">
        <v>0</v>
      </c>
      <c r="DP5108">
        <v>0</v>
      </c>
      <c r="DQ5108">
        <v>0</v>
      </c>
      <c r="DR5108">
        <v>0</v>
      </c>
      <c r="DS5108">
        <v>0</v>
      </c>
    </row>
    <row r="5109" spans="1:123" x14ac:dyDescent="0.3">
      <c r="A5109" t="str">
        <f>"05/01/2025 15:18:43.775"</f>
        <v>05/01/2025 15:18:43.775</v>
      </c>
      <c r="C5109" t="str">
        <f t="shared" si="2002"/>
        <v>FFDFD3C0</v>
      </c>
      <c r="D5109" t="s">
        <v>145</v>
      </c>
      <c r="E5109" t="str">
        <f>"09"</f>
        <v>09</v>
      </c>
      <c r="H5109">
        <v>51</v>
      </c>
      <c r="I5109" t="s">
        <v>147</v>
      </c>
      <c r="J5109" t="s">
        <v>138</v>
      </c>
      <c r="K5109">
        <v>0</v>
      </c>
      <c r="L5109">
        <v>3</v>
      </c>
      <c r="M5109">
        <v>0</v>
      </c>
      <c r="N5109">
        <v>2</v>
      </c>
      <c r="O5109">
        <v>0</v>
      </c>
      <c r="P5109">
        <v>1</v>
      </c>
      <c r="Q5109">
        <v>0</v>
      </c>
      <c r="R5109" t="s">
        <v>127</v>
      </c>
      <c r="S5109" t="str">
        <f t="shared" si="2022"/>
        <v>15:18:43.000</v>
      </c>
      <c r="T5109" t="str">
        <f t="shared" si="2022"/>
        <v>15:18:43.000</v>
      </c>
      <c r="U5109" t="str">
        <f t="shared" si="2003"/>
        <v>A68FCB</v>
      </c>
      <c r="V5109">
        <v>0</v>
      </c>
      <c r="W5109">
        <v>0</v>
      </c>
      <c r="X5109">
        <v>2</v>
      </c>
      <c r="Y5109">
        <v>0</v>
      </c>
      <c r="AA5109">
        <v>1</v>
      </c>
      <c r="AB5109">
        <v>8</v>
      </c>
      <c r="AC5109">
        <v>3</v>
      </c>
      <c r="AD5109">
        <v>0</v>
      </c>
      <c r="AE5109">
        <v>9</v>
      </c>
      <c r="AF5109" t="s">
        <v>138</v>
      </c>
      <c r="AG5109">
        <v>0</v>
      </c>
      <c r="AH5109">
        <v>3</v>
      </c>
      <c r="AI5109">
        <v>2</v>
      </c>
      <c r="AJ5109">
        <v>0</v>
      </c>
      <c r="AK5109" t="s">
        <v>1561</v>
      </c>
      <c r="AL5109">
        <v>39.234623999999997</v>
      </c>
      <c r="AM5109" t="s">
        <v>1311</v>
      </c>
      <c r="AN5109">
        <v>-121.0217</v>
      </c>
      <c r="AO5109">
        <v>25</v>
      </c>
      <c r="AP5109">
        <v>3700</v>
      </c>
      <c r="AQ5109" t="s">
        <v>131</v>
      </c>
      <c r="AR5109">
        <v>-97</v>
      </c>
      <c r="AS5109">
        <v>-15</v>
      </c>
      <c r="AT5109">
        <v>-704</v>
      </c>
      <c r="BB5109" t="str">
        <f t="shared" si="2004"/>
        <v>1200</v>
      </c>
      <c r="BC5109">
        <v>1</v>
      </c>
      <c r="BD5109" t="str">
        <f t="shared" si="2005"/>
        <v xml:space="preserve">N52156  </v>
      </c>
      <c r="BE5109">
        <v>1</v>
      </c>
      <c r="BG5109">
        <v>0</v>
      </c>
      <c r="BH5109">
        <v>0</v>
      </c>
      <c r="BI5109">
        <v>0</v>
      </c>
      <c r="BJ5109">
        <v>3775</v>
      </c>
      <c r="BK5109">
        <v>75</v>
      </c>
      <c r="BL5109" t="s">
        <v>188</v>
      </c>
      <c r="BM5109">
        <v>1</v>
      </c>
      <c r="BN5109">
        <v>1</v>
      </c>
      <c r="BO5109">
        <v>0</v>
      </c>
      <c r="BP5109">
        <v>0</v>
      </c>
      <c r="BS5109">
        <v>0</v>
      </c>
      <c r="BT5109">
        <v>0</v>
      </c>
      <c r="BU5109">
        <v>0</v>
      </c>
      <c r="CE5109" t="str">
        <f t="shared" si="2023"/>
        <v>15:18:43.571</v>
      </c>
      <c r="CF5109">
        <v>571257610</v>
      </c>
      <c r="CS5109">
        <v>0</v>
      </c>
      <c r="CT5109">
        <v>2</v>
      </c>
      <c r="CU5109">
        <v>0</v>
      </c>
      <c r="CV5109">
        <v>2</v>
      </c>
      <c r="CW5109">
        <v>0</v>
      </c>
      <c r="CX5109">
        <v>3</v>
      </c>
      <c r="CY5109">
        <v>7</v>
      </c>
      <c r="CZ5109" t="s">
        <v>133</v>
      </c>
      <c r="DA5109">
        <v>275</v>
      </c>
      <c r="DB5109">
        <v>0</v>
      </c>
      <c r="DC5109" t="s">
        <v>134</v>
      </c>
      <c r="DD5109" t="s">
        <v>135</v>
      </c>
      <c r="DG5109">
        <v>3323591</v>
      </c>
      <c r="DI5109">
        <v>1</v>
      </c>
      <c r="DJ5109">
        <v>0</v>
      </c>
      <c r="DK5109">
        <v>1</v>
      </c>
      <c r="DL5109">
        <v>0</v>
      </c>
      <c r="DM5109">
        <v>0</v>
      </c>
      <c r="DN5109">
        <v>0</v>
      </c>
      <c r="DO5109">
        <v>0</v>
      </c>
      <c r="DP5109">
        <v>0</v>
      </c>
      <c r="DQ5109">
        <v>0</v>
      </c>
      <c r="DR5109">
        <v>0</v>
      </c>
      <c r="DS5109">
        <v>0</v>
      </c>
    </row>
    <row r="5110" spans="1:123" x14ac:dyDescent="0.3">
      <c r="A5110" t="str">
        <f>"05/01/2025 15:18:43.783"</f>
        <v>05/01/2025 15:18:43.783</v>
      </c>
      <c r="C5110" t="str">
        <f t="shared" si="2002"/>
        <v>FFDFD3C0</v>
      </c>
      <c r="D5110" t="s">
        <v>136</v>
      </c>
      <c r="E5110" t="str">
        <f>"20"</f>
        <v>20</v>
      </c>
      <c r="H5110">
        <v>400</v>
      </c>
      <c r="I5110" t="s">
        <v>137</v>
      </c>
      <c r="J5110" t="s">
        <v>138</v>
      </c>
      <c r="K5110">
        <v>0</v>
      </c>
      <c r="L5110">
        <v>3</v>
      </c>
      <c r="M5110">
        <v>0</v>
      </c>
      <c r="N5110">
        <v>2</v>
      </c>
      <c r="O5110">
        <v>0</v>
      </c>
      <c r="P5110">
        <v>1</v>
      </c>
      <c r="Q5110">
        <v>0</v>
      </c>
      <c r="R5110" t="s">
        <v>127</v>
      </c>
      <c r="S5110" t="str">
        <f t="shared" si="2022"/>
        <v>15:18:43.000</v>
      </c>
      <c r="T5110" t="str">
        <f t="shared" si="2022"/>
        <v>15:18:43.000</v>
      </c>
      <c r="U5110" t="str">
        <f t="shared" si="2003"/>
        <v>A68FCB</v>
      </c>
      <c r="V5110">
        <v>0</v>
      </c>
      <c r="W5110">
        <v>0</v>
      </c>
      <c r="X5110">
        <v>2</v>
      </c>
      <c r="Y5110">
        <v>0</v>
      </c>
      <c r="AA5110">
        <v>1</v>
      </c>
      <c r="AB5110">
        <v>8</v>
      </c>
      <c r="AC5110">
        <v>3</v>
      </c>
      <c r="AD5110">
        <v>0</v>
      </c>
      <c r="AE5110">
        <v>9</v>
      </c>
      <c r="AF5110" t="s">
        <v>138</v>
      </c>
      <c r="AG5110">
        <v>0</v>
      </c>
      <c r="AH5110">
        <v>3</v>
      </c>
      <c r="AI5110">
        <v>2</v>
      </c>
      <c r="AJ5110">
        <v>0</v>
      </c>
      <c r="AK5110" t="s">
        <v>1561</v>
      </c>
      <c r="AL5110">
        <v>39.234623999999997</v>
      </c>
      <c r="AM5110" t="s">
        <v>1311</v>
      </c>
      <c r="AN5110">
        <v>-121.0217</v>
      </c>
      <c r="AO5110">
        <v>25</v>
      </c>
      <c r="AP5110">
        <v>3700</v>
      </c>
      <c r="AQ5110" t="s">
        <v>131</v>
      </c>
      <c r="AR5110">
        <v>-97</v>
      </c>
      <c r="AS5110">
        <v>-15</v>
      </c>
      <c r="AT5110">
        <v>-704</v>
      </c>
      <c r="BB5110" t="str">
        <f t="shared" si="2004"/>
        <v>1200</v>
      </c>
      <c r="BC5110">
        <v>1</v>
      </c>
      <c r="BD5110" t="str">
        <f t="shared" si="2005"/>
        <v xml:space="preserve">N52156  </v>
      </c>
      <c r="BE5110">
        <v>1</v>
      </c>
      <c r="BG5110">
        <v>0</v>
      </c>
      <c r="BH5110">
        <v>0</v>
      </c>
      <c r="BI5110">
        <v>0</v>
      </c>
      <c r="BJ5110">
        <v>3775</v>
      </c>
      <c r="BK5110">
        <v>75</v>
      </c>
      <c r="BL5110" t="s">
        <v>188</v>
      </c>
      <c r="BM5110">
        <v>1</v>
      </c>
      <c r="BN5110">
        <v>1</v>
      </c>
      <c r="BO5110">
        <v>0</v>
      </c>
      <c r="BP5110">
        <v>0</v>
      </c>
      <c r="BS5110">
        <v>0</v>
      </c>
      <c r="BT5110">
        <v>0</v>
      </c>
      <c r="BU5110">
        <v>0</v>
      </c>
      <c r="CE5110" t="str">
        <f t="shared" si="2023"/>
        <v>15:18:43.571</v>
      </c>
      <c r="CF5110">
        <v>571257610</v>
      </c>
      <c r="CS5110">
        <v>0</v>
      </c>
      <c r="CT5110">
        <v>2</v>
      </c>
      <c r="CU5110">
        <v>0</v>
      </c>
      <c r="CV5110">
        <v>2</v>
      </c>
      <c r="CW5110">
        <v>0</v>
      </c>
      <c r="CX5110">
        <v>3</v>
      </c>
      <c r="CY5110">
        <v>7</v>
      </c>
      <c r="CZ5110" t="s">
        <v>133</v>
      </c>
      <c r="DA5110">
        <v>275</v>
      </c>
      <c r="DB5110">
        <v>0</v>
      </c>
      <c r="DC5110" t="s">
        <v>134</v>
      </c>
      <c r="DD5110" t="s">
        <v>135</v>
      </c>
      <c r="DG5110">
        <v>3323591</v>
      </c>
      <c r="DI5110">
        <v>1</v>
      </c>
      <c r="DJ5110">
        <v>0</v>
      </c>
      <c r="DK5110">
        <v>1</v>
      </c>
      <c r="DL5110">
        <v>0</v>
      </c>
      <c r="DM5110">
        <v>0</v>
      </c>
      <c r="DN5110">
        <v>0</v>
      </c>
      <c r="DO5110">
        <v>0</v>
      </c>
      <c r="DP5110">
        <v>0</v>
      </c>
      <c r="DQ5110">
        <v>0</v>
      </c>
      <c r="DR5110">
        <v>0</v>
      </c>
      <c r="DS5110">
        <v>0</v>
      </c>
    </row>
    <row r="5111" spans="1:123" x14ac:dyDescent="0.3">
      <c r="A5111" t="str">
        <f>"05/01/2025 15:18:43.800"</f>
        <v>05/01/2025 15:18:43.800</v>
      </c>
      <c r="C5111" t="str">
        <f t="shared" si="2002"/>
        <v>FFDFD3C0</v>
      </c>
      <c r="D5111" t="s">
        <v>140</v>
      </c>
      <c r="E5111" t="str">
        <f>"13"</f>
        <v>13</v>
      </c>
      <c r="F5111">
        <v>1019</v>
      </c>
      <c r="G5111" t="s">
        <v>141</v>
      </c>
      <c r="J5111" t="s">
        <v>142</v>
      </c>
      <c r="K5111">
        <v>0</v>
      </c>
      <c r="L5111">
        <v>3</v>
      </c>
      <c r="M5111">
        <v>0</v>
      </c>
      <c r="N5111">
        <v>2</v>
      </c>
      <c r="O5111">
        <v>0</v>
      </c>
      <c r="P5111">
        <v>1</v>
      </c>
      <c r="Q5111">
        <v>0</v>
      </c>
      <c r="R5111" t="s">
        <v>127</v>
      </c>
      <c r="S5111" t="str">
        <f t="shared" si="2022"/>
        <v>15:18:43.000</v>
      </c>
      <c r="T5111" t="str">
        <f t="shared" si="2022"/>
        <v>15:18:43.000</v>
      </c>
      <c r="U5111" t="str">
        <f t="shared" si="2003"/>
        <v>A68FCB</v>
      </c>
      <c r="V5111">
        <v>0</v>
      </c>
      <c r="W5111">
        <v>0</v>
      </c>
      <c r="X5111">
        <v>2</v>
      </c>
      <c r="Y5111">
        <v>0</v>
      </c>
      <c r="AA5111">
        <v>1</v>
      </c>
      <c r="AB5111">
        <v>8</v>
      </c>
      <c r="AC5111">
        <v>3</v>
      </c>
      <c r="AD5111">
        <v>0</v>
      </c>
      <c r="AE5111">
        <v>9</v>
      </c>
      <c r="AF5111" t="s">
        <v>138</v>
      </c>
      <c r="AG5111">
        <v>0</v>
      </c>
      <c r="AH5111">
        <v>3</v>
      </c>
      <c r="AI5111">
        <v>2</v>
      </c>
      <c r="AJ5111">
        <v>0</v>
      </c>
      <c r="AK5111" t="s">
        <v>1561</v>
      </c>
      <c r="AL5111">
        <v>39.234623999999997</v>
      </c>
      <c r="AM5111" t="s">
        <v>1311</v>
      </c>
      <c r="AN5111">
        <v>-121.0217</v>
      </c>
      <c r="AO5111">
        <v>25</v>
      </c>
      <c r="AP5111">
        <v>3700</v>
      </c>
      <c r="AQ5111" t="s">
        <v>131</v>
      </c>
      <c r="AR5111">
        <v>-97</v>
      </c>
      <c r="AS5111">
        <v>-15</v>
      </c>
      <c r="AT5111">
        <v>-704</v>
      </c>
      <c r="BB5111" t="str">
        <f t="shared" si="2004"/>
        <v>1200</v>
      </c>
      <c r="BC5111">
        <v>1</v>
      </c>
      <c r="BD5111" t="str">
        <f t="shared" si="2005"/>
        <v xml:space="preserve">N52156  </v>
      </c>
      <c r="BE5111">
        <v>1</v>
      </c>
      <c r="BG5111">
        <v>0</v>
      </c>
      <c r="BH5111">
        <v>0</v>
      </c>
      <c r="BI5111">
        <v>0</v>
      </c>
      <c r="BJ5111">
        <v>3775</v>
      </c>
      <c r="BK5111">
        <v>75</v>
      </c>
      <c r="BL5111" t="s">
        <v>188</v>
      </c>
      <c r="BM5111">
        <v>1</v>
      </c>
      <c r="BN5111">
        <v>1</v>
      </c>
      <c r="BO5111">
        <v>0</v>
      </c>
      <c r="BP5111">
        <v>0</v>
      </c>
      <c r="BS5111">
        <v>0</v>
      </c>
      <c r="BT5111">
        <v>0</v>
      </c>
      <c r="BU5111">
        <v>0</v>
      </c>
      <c r="CE5111" t="str">
        <f t="shared" si="2023"/>
        <v>15:18:43.571</v>
      </c>
      <c r="CF5111">
        <v>571257610</v>
      </c>
      <c r="CS5111">
        <v>0</v>
      </c>
      <c r="CT5111">
        <v>2</v>
      </c>
      <c r="CU5111">
        <v>0</v>
      </c>
      <c r="CV5111">
        <v>2</v>
      </c>
      <c r="CW5111">
        <v>0</v>
      </c>
      <c r="CX5111">
        <v>3</v>
      </c>
      <c r="CY5111">
        <v>7</v>
      </c>
      <c r="CZ5111" t="s">
        <v>133</v>
      </c>
      <c r="DA5111">
        <v>275</v>
      </c>
      <c r="DB5111">
        <v>0</v>
      </c>
      <c r="DC5111" t="s">
        <v>134</v>
      </c>
      <c r="DD5111" t="s">
        <v>135</v>
      </c>
      <c r="DG5111">
        <v>3323591</v>
      </c>
      <c r="DI5111">
        <v>1</v>
      </c>
      <c r="DJ5111">
        <v>0</v>
      </c>
      <c r="DK5111">
        <v>1</v>
      </c>
      <c r="DL5111">
        <v>0</v>
      </c>
      <c r="DM5111">
        <v>0</v>
      </c>
      <c r="DN5111">
        <v>0</v>
      </c>
      <c r="DO5111">
        <v>0</v>
      </c>
      <c r="DP5111">
        <v>0</v>
      </c>
      <c r="DQ5111">
        <v>0</v>
      </c>
      <c r="DR5111">
        <v>0</v>
      </c>
      <c r="DS5111">
        <v>0</v>
      </c>
    </row>
    <row r="5112" spans="1:123" x14ac:dyDescent="0.3">
      <c r="A5112" t="str">
        <f>"05/01/2025 15:18:43.803"</f>
        <v>05/01/2025 15:18:43.803</v>
      </c>
      <c r="C5112" t="str">
        <f t="shared" si="2002"/>
        <v>FFDFD3C0</v>
      </c>
      <c r="D5112" t="s">
        <v>124</v>
      </c>
      <c r="E5112" t="str">
        <f>"06"</f>
        <v>06</v>
      </c>
      <c r="F5112">
        <v>2006</v>
      </c>
      <c r="G5112" t="s">
        <v>125</v>
      </c>
      <c r="J5112" t="s">
        <v>126</v>
      </c>
      <c r="K5112">
        <v>0</v>
      </c>
      <c r="L5112">
        <v>3</v>
      </c>
      <c r="M5112">
        <v>0</v>
      </c>
      <c r="N5112">
        <v>2</v>
      </c>
      <c r="O5112">
        <v>0</v>
      </c>
      <c r="P5112">
        <v>1</v>
      </c>
      <c r="Q5112">
        <v>0</v>
      </c>
      <c r="R5112" t="s">
        <v>127</v>
      </c>
      <c r="S5112" t="str">
        <f t="shared" si="2022"/>
        <v>15:18:43.000</v>
      </c>
      <c r="T5112" t="str">
        <f t="shared" si="2022"/>
        <v>15:18:43.000</v>
      </c>
      <c r="U5112" t="str">
        <f t="shared" si="2003"/>
        <v>A68FCB</v>
      </c>
      <c r="V5112">
        <v>0</v>
      </c>
      <c r="W5112">
        <v>0</v>
      </c>
      <c r="X5112">
        <v>2</v>
      </c>
      <c r="Y5112">
        <v>0</v>
      </c>
      <c r="AA5112">
        <v>1</v>
      </c>
      <c r="AB5112">
        <v>8</v>
      </c>
      <c r="AC5112">
        <v>3</v>
      </c>
      <c r="AD5112">
        <v>0</v>
      </c>
      <c r="AE5112">
        <v>9</v>
      </c>
      <c r="AF5112" t="s">
        <v>138</v>
      </c>
      <c r="AG5112">
        <v>0</v>
      </c>
      <c r="AH5112">
        <v>3</v>
      </c>
      <c r="AI5112">
        <v>2</v>
      </c>
      <c r="AJ5112">
        <v>0</v>
      </c>
      <c r="AK5112" t="s">
        <v>1561</v>
      </c>
      <c r="AL5112">
        <v>39.234623999999997</v>
      </c>
      <c r="AM5112" t="s">
        <v>1311</v>
      </c>
      <c r="AN5112">
        <v>-121.0217</v>
      </c>
      <c r="AO5112">
        <v>25</v>
      </c>
      <c r="AP5112">
        <v>3700</v>
      </c>
      <c r="AQ5112" t="s">
        <v>131</v>
      </c>
      <c r="AR5112">
        <v>-97</v>
      </c>
      <c r="AS5112">
        <v>-15</v>
      </c>
      <c r="AT5112">
        <v>-704</v>
      </c>
      <c r="BB5112" t="str">
        <f t="shared" si="2004"/>
        <v>1200</v>
      </c>
      <c r="BC5112">
        <v>1</v>
      </c>
      <c r="BD5112" t="str">
        <f t="shared" si="2005"/>
        <v xml:space="preserve">N52156  </v>
      </c>
      <c r="BE5112">
        <v>1</v>
      </c>
      <c r="BG5112">
        <v>0</v>
      </c>
      <c r="BH5112">
        <v>0</v>
      </c>
      <c r="BI5112">
        <v>0</v>
      </c>
      <c r="BJ5112">
        <v>3775</v>
      </c>
      <c r="BK5112">
        <v>75</v>
      </c>
      <c r="BL5112" t="s">
        <v>188</v>
      </c>
      <c r="BM5112">
        <v>1</v>
      </c>
      <c r="BN5112">
        <v>1</v>
      </c>
      <c r="BO5112">
        <v>0</v>
      </c>
      <c r="BP5112">
        <v>0</v>
      </c>
      <c r="BS5112">
        <v>0</v>
      </c>
      <c r="BT5112">
        <v>0</v>
      </c>
      <c r="BU5112">
        <v>0</v>
      </c>
      <c r="CE5112" t="str">
        <f t="shared" si="2023"/>
        <v>15:18:43.571</v>
      </c>
      <c r="CF5112">
        <v>571257610</v>
      </c>
      <c r="CS5112">
        <v>0</v>
      </c>
      <c r="CT5112">
        <v>2</v>
      </c>
      <c r="CU5112">
        <v>0</v>
      </c>
      <c r="CV5112">
        <v>2</v>
      </c>
      <c r="CW5112">
        <v>0</v>
      </c>
      <c r="CX5112">
        <v>3</v>
      </c>
      <c r="CY5112">
        <v>7</v>
      </c>
      <c r="CZ5112" t="s">
        <v>133</v>
      </c>
      <c r="DA5112">
        <v>275</v>
      </c>
      <c r="DB5112">
        <v>0</v>
      </c>
      <c r="DC5112" t="s">
        <v>134</v>
      </c>
      <c r="DD5112" t="s">
        <v>135</v>
      </c>
      <c r="DG5112">
        <v>3323591</v>
      </c>
      <c r="DI5112">
        <v>1</v>
      </c>
      <c r="DJ5112">
        <v>0</v>
      </c>
      <c r="DK5112">
        <v>1</v>
      </c>
      <c r="DL5112">
        <v>0</v>
      </c>
      <c r="DM5112">
        <v>0</v>
      </c>
      <c r="DN5112">
        <v>0</v>
      </c>
      <c r="DO5112">
        <v>0</v>
      </c>
      <c r="DP5112">
        <v>0</v>
      </c>
      <c r="DQ5112">
        <v>0</v>
      </c>
      <c r="DR5112">
        <v>0</v>
      </c>
      <c r="DS5112">
        <v>0</v>
      </c>
    </row>
    <row r="5113" spans="1:123" x14ac:dyDescent="0.3">
      <c r="A5113" t="str">
        <f>"05/01/2025 15:18:43.812"</f>
        <v>05/01/2025 15:18:43.812</v>
      </c>
      <c r="C5113" t="str">
        <f t="shared" si="2002"/>
        <v>FFDFD3C0</v>
      </c>
      <c r="D5113" t="s">
        <v>143</v>
      </c>
      <c r="E5113" t="str">
        <f>"05"</f>
        <v>05</v>
      </c>
      <c r="H5113">
        <v>172</v>
      </c>
      <c r="I5113" t="s">
        <v>141</v>
      </c>
      <c r="J5113" t="s">
        <v>144</v>
      </c>
      <c r="K5113">
        <v>0</v>
      </c>
      <c r="L5113">
        <v>3</v>
      </c>
      <c r="M5113">
        <v>0</v>
      </c>
      <c r="N5113">
        <v>2</v>
      </c>
      <c r="O5113">
        <v>0</v>
      </c>
      <c r="P5113">
        <v>1</v>
      </c>
      <c r="Q5113">
        <v>0</v>
      </c>
      <c r="R5113" t="s">
        <v>127</v>
      </c>
      <c r="S5113" t="str">
        <f t="shared" si="2022"/>
        <v>15:18:43.000</v>
      </c>
      <c r="T5113" t="str">
        <f t="shared" si="2022"/>
        <v>15:18:43.000</v>
      </c>
      <c r="U5113" t="str">
        <f t="shared" si="2003"/>
        <v>A68FCB</v>
      </c>
      <c r="V5113">
        <v>0</v>
      </c>
      <c r="W5113">
        <v>0</v>
      </c>
      <c r="X5113">
        <v>2</v>
      </c>
      <c r="Y5113">
        <v>0</v>
      </c>
      <c r="AA5113">
        <v>1</v>
      </c>
      <c r="AB5113">
        <v>8</v>
      </c>
      <c r="AC5113">
        <v>3</v>
      </c>
      <c r="AD5113">
        <v>0</v>
      </c>
      <c r="AE5113">
        <v>9</v>
      </c>
      <c r="AF5113" t="s">
        <v>138</v>
      </c>
      <c r="AG5113">
        <v>0</v>
      </c>
      <c r="AH5113">
        <v>3</v>
      </c>
      <c r="AI5113">
        <v>2</v>
      </c>
      <c r="AJ5113">
        <v>0</v>
      </c>
      <c r="AK5113" t="s">
        <v>1561</v>
      </c>
      <c r="AL5113">
        <v>39.234623999999997</v>
      </c>
      <c r="AM5113" t="s">
        <v>1311</v>
      </c>
      <c r="AN5113">
        <v>-121.0217</v>
      </c>
      <c r="AO5113">
        <v>25</v>
      </c>
      <c r="AP5113">
        <v>3700</v>
      </c>
      <c r="AQ5113" t="s">
        <v>131</v>
      </c>
      <c r="AR5113">
        <v>-97</v>
      </c>
      <c r="AS5113">
        <v>-15</v>
      </c>
      <c r="AT5113">
        <v>-704</v>
      </c>
      <c r="BB5113" t="str">
        <f t="shared" si="2004"/>
        <v>1200</v>
      </c>
      <c r="BC5113">
        <v>1</v>
      </c>
      <c r="BD5113" t="str">
        <f t="shared" si="2005"/>
        <v xml:space="preserve">N52156  </v>
      </c>
      <c r="BE5113">
        <v>1</v>
      </c>
      <c r="BG5113">
        <v>0</v>
      </c>
      <c r="BH5113">
        <v>0</v>
      </c>
      <c r="BI5113">
        <v>0</v>
      </c>
      <c r="BJ5113">
        <v>3775</v>
      </c>
      <c r="BK5113">
        <v>75</v>
      </c>
      <c r="BL5113" t="s">
        <v>188</v>
      </c>
      <c r="BM5113">
        <v>1</v>
      </c>
      <c r="BN5113">
        <v>1</v>
      </c>
      <c r="BO5113">
        <v>0</v>
      </c>
      <c r="BP5113">
        <v>0</v>
      </c>
      <c r="BS5113">
        <v>0</v>
      </c>
      <c r="BT5113">
        <v>0</v>
      </c>
      <c r="BU5113">
        <v>0</v>
      </c>
      <c r="CE5113" t="str">
        <f t="shared" si="2023"/>
        <v>15:18:43.571</v>
      </c>
      <c r="CF5113">
        <v>571257610</v>
      </c>
      <c r="CS5113">
        <v>0</v>
      </c>
      <c r="CT5113">
        <v>2</v>
      </c>
      <c r="CU5113">
        <v>0</v>
      </c>
      <c r="CV5113">
        <v>2</v>
      </c>
      <c r="CW5113">
        <v>0</v>
      </c>
      <c r="CX5113">
        <v>3</v>
      </c>
      <c r="CY5113">
        <v>7</v>
      </c>
      <c r="CZ5113" t="s">
        <v>133</v>
      </c>
      <c r="DA5113">
        <v>275</v>
      </c>
      <c r="DB5113">
        <v>0</v>
      </c>
      <c r="DC5113" t="s">
        <v>134</v>
      </c>
      <c r="DD5113" t="s">
        <v>135</v>
      </c>
      <c r="DG5113">
        <v>3323591</v>
      </c>
      <c r="DI5113">
        <v>1</v>
      </c>
      <c r="DJ5113">
        <v>0</v>
      </c>
      <c r="DK5113">
        <v>1</v>
      </c>
      <c r="DL5113">
        <v>0</v>
      </c>
      <c r="DM5113">
        <v>0</v>
      </c>
      <c r="DN5113">
        <v>0</v>
      </c>
      <c r="DO5113">
        <v>0</v>
      </c>
      <c r="DP5113">
        <v>0</v>
      </c>
      <c r="DQ5113">
        <v>0</v>
      </c>
      <c r="DR5113">
        <v>0</v>
      </c>
      <c r="DS5113">
        <v>0</v>
      </c>
    </row>
    <row r="5114" spans="1:123" x14ac:dyDescent="0.3">
      <c r="A5114" t="str">
        <f>"05/01/2025 15:18:45.203"</f>
        <v>05/01/2025 15:18:45.203</v>
      </c>
      <c r="C5114" t="str">
        <f t="shared" si="2002"/>
        <v>FFDFD3C0</v>
      </c>
      <c r="D5114" t="s">
        <v>140</v>
      </c>
      <c r="E5114" t="str">
        <f>"13"</f>
        <v>13</v>
      </c>
      <c r="F5114">
        <v>1019</v>
      </c>
      <c r="G5114" t="s">
        <v>141</v>
      </c>
      <c r="J5114" t="s">
        <v>142</v>
      </c>
      <c r="K5114">
        <v>0</v>
      </c>
      <c r="L5114">
        <v>3</v>
      </c>
      <c r="M5114">
        <v>0</v>
      </c>
      <c r="N5114">
        <v>2</v>
      </c>
      <c r="O5114">
        <v>0</v>
      </c>
      <c r="P5114">
        <v>1</v>
      </c>
      <c r="Q5114">
        <v>0</v>
      </c>
      <c r="R5114" t="s">
        <v>127</v>
      </c>
      <c r="S5114" t="str">
        <f t="shared" ref="S5114:T5119" si="2024">"15:18:44.000"</f>
        <v>15:18:44.000</v>
      </c>
      <c r="T5114" t="str">
        <f t="shared" si="2024"/>
        <v>15:18:44.000</v>
      </c>
      <c r="U5114" t="str">
        <f t="shared" si="2003"/>
        <v>A68FCB</v>
      </c>
      <c r="V5114">
        <v>0</v>
      </c>
      <c r="W5114">
        <v>0</v>
      </c>
      <c r="X5114">
        <v>2</v>
      </c>
      <c r="Y5114">
        <v>0</v>
      </c>
      <c r="AA5114">
        <v>1</v>
      </c>
      <c r="AB5114">
        <v>8</v>
      </c>
      <c r="AC5114">
        <v>3</v>
      </c>
      <c r="AD5114">
        <v>0</v>
      </c>
      <c r="AE5114">
        <v>9</v>
      </c>
      <c r="AF5114" t="s">
        <v>138</v>
      </c>
      <c r="AG5114">
        <v>0</v>
      </c>
      <c r="AH5114">
        <v>3</v>
      </c>
      <c r="AI5114">
        <v>2</v>
      </c>
      <c r="AJ5114">
        <v>0</v>
      </c>
      <c r="AK5114" t="s">
        <v>1612</v>
      </c>
      <c r="AL5114">
        <v>39.234473999999999</v>
      </c>
      <c r="AM5114" t="s">
        <v>1613</v>
      </c>
      <c r="AN5114">
        <v>-121.022344</v>
      </c>
      <c r="AO5114">
        <v>25</v>
      </c>
      <c r="AP5114">
        <v>3700</v>
      </c>
      <c r="AQ5114" t="s">
        <v>131</v>
      </c>
      <c r="AR5114">
        <v>-96</v>
      </c>
      <c r="AS5114">
        <v>-16</v>
      </c>
      <c r="AT5114">
        <v>-960</v>
      </c>
      <c r="BB5114" t="str">
        <f t="shared" si="2004"/>
        <v>1200</v>
      </c>
      <c r="BC5114">
        <v>1</v>
      </c>
      <c r="BD5114" t="str">
        <f t="shared" si="2005"/>
        <v xml:space="preserve">N52156  </v>
      </c>
      <c r="BE5114">
        <v>1</v>
      </c>
      <c r="BG5114">
        <v>0</v>
      </c>
      <c r="BH5114">
        <v>0</v>
      </c>
      <c r="BI5114">
        <v>0</v>
      </c>
      <c r="BJ5114">
        <v>3725</v>
      </c>
      <c r="BK5114">
        <v>25</v>
      </c>
      <c r="BL5114" t="s">
        <v>188</v>
      </c>
      <c r="BM5114">
        <v>1</v>
      </c>
      <c r="BN5114">
        <v>1</v>
      </c>
      <c r="BO5114">
        <v>0</v>
      </c>
      <c r="BP5114">
        <v>0</v>
      </c>
      <c r="BS5114">
        <v>0</v>
      </c>
      <c r="BT5114">
        <v>0</v>
      </c>
      <c r="BU5114">
        <v>0</v>
      </c>
      <c r="CE5114" t="str">
        <f t="shared" ref="CE5114:CE5119" si="2025">"15:18:44.982"</f>
        <v>15:18:44.982</v>
      </c>
      <c r="CF5114">
        <v>982008368</v>
      </c>
      <c r="CS5114">
        <v>0</v>
      </c>
      <c r="CT5114">
        <v>2</v>
      </c>
      <c r="CU5114">
        <v>0</v>
      </c>
      <c r="CV5114">
        <v>2</v>
      </c>
      <c r="CW5114">
        <v>0</v>
      </c>
      <c r="CX5114">
        <v>3</v>
      </c>
      <c r="CY5114">
        <v>7</v>
      </c>
      <c r="CZ5114" t="s">
        <v>133</v>
      </c>
      <c r="DA5114">
        <v>275</v>
      </c>
      <c r="DB5114">
        <v>0</v>
      </c>
      <c r="DC5114" t="s">
        <v>134</v>
      </c>
      <c r="DD5114" t="s">
        <v>135</v>
      </c>
      <c r="DG5114">
        <v>3323597</v>
      </c>
      <c r="DI5114">
        <v>1</v>
      </c>
      <c r="DJ5114">
        <v>0</v>
      </c>
      <c r="DK5114">
        <v>0</v>
      </c>
      <c r="DL5114">
        <v>0</v>
      </c>
      <c r="DM5114">
        <v>0</v>
      </c>
      <c r="DN5114">
        <v>0</v>
      </c>
      <c r="DO5114">
        <v>0</v>
      </c>
      <c r="DP5114">
        <v>0</v>
      </c>
      <c r="DQ5114">
        <v>0</v>
      </c>
      <c r="DR5114">
        <v>0</v>
      </c>
      <c r="DS5114">
        <v>0</v>
      </c>
    </row>
    <row r="5115" spans="1:123" x14ac:dyDescent="0.3">
      <c r="A5115" t="str">
        <f>"05/01/2025 15:18:45.204"</f>
        <v>05/01/2025 15:18:45.204</v>
      </c>
      <c r="C5115" t="str">
        <f t="shared" si="2002"/>
        <v>FFDFD3C0</v>
      </c>
      <c r="D5115" t="s">
        <v>124</v>
      </c>
      <c r="E5115" t="str">
        <f>"06"</f>
        <v>06</v>
      </c>
      <c r="F5115">
        <v>2006</v>
      </c>
      <c r="G5115" t="s">
        <v>125</v>
      </c>
      <c r="J5115" t="s">
        <v>126</v>
      </c>
      <c r="K5115">
        <v>0</v>
      </c>
      <c r="L5115">
        <v>3</v>
      </c>
      <c r="M5115">
        <v>0</v>
      </c>
      <c r="N5115">
        <v>2</v>
      </c>
      <c r="O5115">
        <v>0</v>
      </c>
      <c r="P5115">
        <v>1</v>
      </c>
      <c r="Q5115">
        <v>0</v>
      </c>
      <c r="R5115" t="s">
        <v>127</v>
      </c>
      <c r="S5115" t="str">
        <f t="shared" si="2024"/>
        <v>15:18:44.000</v>
      </c>
      <c r="T5115" t="str">
        <f t="shared" si="2024"/>
        <v>15:18:44.000</v>
      </c>
      <c r="U5115" t="str">
        <f t="shared" si="2003"/>
        <v>A68FCB</v>
      </c>
      <c r="V5115">
        <v>0</v>
      </c>
      <c r="W5115">
        <v>0</v>
      </c>
      <c r="X5115">
        <v>2</v>
      </c>
      <c r="Y5115">
        <v>0</v>
      </c>
      <c r="AA5115">
        <v>1</v>
      </c>
      <c r="AB5115">
        <v>8</v>
      </c>
      <c r="AC5115">
        <v>3</v>
      </c>
      <c r="AD5115">
        <v>0</v>
      </c>
      <c r="AE5115">
        <v>9</v>
      </c>
      <c r="AF5115" t="s">
        <v>138</v>
      </c>
      <c r="AG5115">
        <v>0</v>
      </c>
      <c r="AH5115">
        <v>3</v>
      </c>
      <c r="AI5115">
        <v>2</v>
      </c>
      <c r="AJ5115">
        <v>0</v>
      </c>
      <c r="AK5115" t="s">
        <v>1612</v>
      </c>
      <c r="AL5115">
        <v>39.234473999999999</v>
      </c>
      <c r="AM5115" t="s">
        <v>1613</v>
      </c>
      <c r="AN5115">
        <v>-121.022344</v>
      </c>
      <c r="AO5115">
        <v>25</v>
      </c>
      <c r="AP5115">
        <v>3700</v>
      </c>
      <c r="AQ5115" t="s">
        <v>131</v>
      </c>
      <c r="AR5115">
        <v>-96</v>
      </c>
      <c r="AS5115">
        <v>-16</v>
      </c>
      <c r="AT5115">
        <v>-960</v>
      </c>
      <c r="BB5115" t="str">
        <f t="shared" si="2004"/>
        <v>1200</v>
      </c>
      <c r="BC5115">
        <v>1</v>
      </c>
      <c r="BD5115" t="str">
        <f t="shared" si="2005"/>
        <v xml:space="preserve">N52156  </v>
      </c>
      <c r="BE5115">
        <v>1</v>
      </c>
      <c r="BG5115">
        <v>0</v>
      </c>
      <c r="BH5115">
        <v>0</v>
      </c>
      <c r="BI5115">
        <v>0</v>
      </c>
      <c r="BJ5115">
        <v>3725</v>
      </c>
      <c r="BK5115">
        <v>25</v>
      </c>
      <c r="BL5115" t="s">
        <v>188</v>
      </c>
      <c r="BM5115">
        <v>1</v>
      </c>
      <c r="BN5115">
        <v>1</v>
      </c>
      <c r="BO5115">
        <v>0</v>
      </c>
      <c r="BP5115">
        <v>0</v>
      </c>
      <c r="BS5115">
        <v>0</v>
      </c>
      <c r="BT5115">
        <v>0</v>
      </c>
      <c r="BU5115">
        <v>0</v>
      </c>
      <c r="CE5115" t="str">
        <f t="shared" si="2025"/>
        <v>15:18:44.982</v>
      </c>
      <c r="CF5115">
        <v>982008368</v>
      </c>
      <c r="CS5115">
        <v>0</v>
      </c>
      <c r="CT5115">
        <v>2</v>
      </c>
      <c r="CU5115">
        <v>0</v>
      </c>
      <c r="CV5115">
        <v>2</v>
      </c>
      <c r="CW5115">
        <v>0</v>
      </c>
      <c r="CX5115">
        <v>3</v>
      </c>
      <c r="CY5115">
        <v>7</v>
      </c>
      <c r="CZ5115" t="s">
        <v>133</v>
      </c>
      <c r="DA5115">
        <v>275</v>
      </c>
      <c r="DB5115">
        <v>0</v>
      </c>
      <c r="DC5115" t="s">
        <v>134</v>
      </c>
      <c r="DD5115" t="s">
        <v>135</v>
      </c>
      <c r="DG5115">
        <v>3323597</v>
      </c>
      <c r="DI5115">
        <v>1</v>
      </c>
      <c r="DJ5115">
        <v>0</v>
      </c>
      <c r="DK5115">
        <v>1</v>
      </c>
      <c r="DL5115">
        <v>0</v>
      </c>
      <c r="DM5115">
        <v>0</v>
      </c>
      <c r="DN5115">
        <v>0</v>
      </c>
      <c r="DO5115">
        <v>0</v>
      </c>
      <c r="DP5115">
        <v>0</v>
      </c>
      <c r="DQ5115">
        <v>0</v>
      </c>
      <c r="DR5115">
        <v>0</v>
      </c>
      <c r="DS5115">
        <v>0</v>
      </c>
    </row>
    <row r="5116" spans="1:123" x14ac:dyDescent="0.3">
      <c r="A5116" t="str">
        <f>"05/01/2025 15:18:45.215"</f>
        <v>05/01/2025 15:18:45.215</v>
      </c>
      <c r="C5116" t="str">
        <f t="shared" si="2002"/>
        <v>FFDFD3C0</v>
      </c>
      <c r="D5116" t="s">
        <v>143</v>
      </c>
      <c r="E5116" t="str">
        <f>"05"</f>
        <v>05</v>
      </c>
      <c r="H5116">
        <v>172</v>
      </c>
      <c r="I5116" t="s">
        <v>141</v>
      </c>
      <c r="J5116" t="s">
        <v>144</v>
      </c>
      <c r="K5116">
        <v>0</v>
      </c>
      <c r="L5116">
        <v>3</v>
      </c>
      <c r="M5116">
        <v>0</v>
      </c>
      <c r="N5116">
        <v>2</v>
      </c>
      <c r="O5116">
        <v>0</v>
      </c>
      <c r="P5116">
        <v>1</v>
      </c>
      <c r="Q5116">
        <v>0</v>
      </c>
      <c r="R5116" t="s">
        <v>127</v>
      </c>
      <c r="S5116" t="str">
        <f t="shared" si="2024"/>
        <v>15:18:44.000</v>
      </c>
      <c r="T5116" t="str">
        <f t="shared" si="2024"/>
        <v>15:18:44.000</v>
      </c>
      <c r="U5116" t="str">
        <f t="shared" si="2003"/>
        <v>A68FCB</v>
      </c>
      <c r="V5116">
        <v>0</v>
      </c>
      <c r="W5116">
        <v>0</v>
      </c>
      <c r="X5116">
        <v>2</v>
      </c>
      <c r="Y5116">
        <v>0</v>
      </c>
      <c r="AA5116">
        <v>1</v>
      </c>
      <c r="AB5116">
        <v>8</v>
      </c>
      <c r="AC5116">
        <v>3</v>
      </c>
      <c r="AD5116">
        <v>0</v>
      </c>
      <c r="AE5116">
        <v>9</v>
      </c>
      <c r="AF5116" t="s">
        <v>138</v>
      </c>
      <c r="AG5116">
        <v>0</v>
      </c>
      <c r="AH5116">
        <v>3</v>
      </c>
      <c r="AI5116">
        <v>2</v>
      </c>
      <c r="AJ5116">
        <v>0</v>
      </c>
      <c r="AK5116" t="s">
        <v>1612</v>
      </c>
      <c r="AL5116">
        <v>39.234473999999999</v>
      </c>
      <c r="AM5116" t="s">
        <v>1613</v>
      </c>
      <c r="AN5116">
        <v>-121.022344</v>
      </c>
      <c r="AO5116">
        <v>25</v>
      </c>
      <c r="AP5116">
        <v>3700</v>
      </c>
      <c r="AQ5116" t="s">
        <v>131</v>
      </c>
      <c r="AR5116">
        <v>-96</v>
      </c>
      <c r="AS5116">
        <v>-16</v>
      </c>
      <c r="AT5116">
        <v>-960</v>
      </c>
      <c r="BB5116" t="str">
        <f t="shared" si="2004"/>
        <v>1200</v>
      </c>
      <c r="BC5116">
        <v>1</v>
      </c>
      <c r="BD5116" t="str">
        <f t="shared" si="2005"/>
        <v xml:space="preserve">N52156  </v>
      </c>
      <c r="BE5116">
        <v>1</v>
      </c>
      <c r="BG5116">
        <v>0</v>
      </c>
      <c r="BH5116">
        <v>0</v>
      </c>
      <c r="BI5116">
        <v>0</v>
      </c>
      <c r="BJ5116">
        <v>3725</v>
      </c>
      <c r="BK5116">
        <v>25</v>
      </c>
      <c r="BL5116" t="s">
        <v>188</v>
      </c>
      <c r="BM5116">
        <v>1</v>
      </c>
      <c r="BN5116">
        <v>1</v>
      </c>
      <c r="BO5116">
        <v>0</v>
      </c>
      <c r="BP5116">
        <v>0</v>
      </c>
      <c r="BS5116">
        <v>0</v>
      </c>
      <c r="BT5116">
        <v>0</v>
      </c>
      <c r="BU5116">
        <v>0</v>
      </c>
      <c r="CE5116" t="str">
        <f t="shared" si="2025"/>
        <v>15:18:44.982</v>
      </c>
      <c r="CF5116">
        <v>982008368</v>
      </c>
      <c r="CS5116">
        <v>0</v>
      </c>
      <c r="CT5116">
        <v>2</v>
      </c>
      <c r="CU5116">
        <v>0</v>
      </c>
      <c r="CV5116">
        <v>2</v>
      </c>
      <c r="CW5116">
        <v>0</v>
      </c>
      <c r="CX5116">
        <v>3</v>
      </c>
      <c r="CY5116">
        <v>7</v>
      </c>
      <c r="CZ5116" t="s">
        <v>133</v>
      </c>
      <c r="DA5116">
        <v>275</v>
      </c>
      <c r="DB5116">
        <v>0</v>
      </c>
      <c r="DC5116" t="s">
        <v>134</v>
      </c>
      <c r="DD5116" t="s">
        <v>135</v>
      </c>
      <c r="DG5116">
        <v>3323597</v>
      </c>
      <c r="DI5116">
        <v>1</v>
      </c>
      <c r="DJ5116">
        <v>0</v>
      </c>
      <c r="DK5116">
        <v>1</v>
      </c>
      <c r="DL5116">
        <v>0</v>
      </c>
      <c r="DM5116">
        <v>0</v>
      </c>
      <c r="DN5116">
        <v>0</v>
      </c>
      <c r="DO5116">
        <v>0</v>
      </c>
      <c r="DP5116">
        <v>0</v>
      </c>
      <c r="DQ5116">
        <v>0</v>
      </c>
      <c r="DR5116">
        <v>0</v>
      </c>
      <c r="DS5116">
        <v>0</v>
      </c>
    </row>
    <row r="5117" spans="1:123" x14ac:dyDescent="0.3">
      <c r="A5117" t="str">
        <f>"05/01/2025 15:18:45.228"</f>
        <v>05/01/2025 15:18:45.228</v>
      </c>
      <c r="C5117" t="str">
        <f t="shared" si="2002"/>
        <v>FFDFD3C0</v>
      </c>
      <c r="D5117" t="s">
        <v>145</v>
      </c>
      <c r="E5117" t="str">
        <f>"09"</f>
        <v>09</v>
      </c>
      <c r="H5117">
        <v>51</v>
      </c>
      <c r="I5117" t="s">
        <v>147</v>
      </c>
      <c r="J5117" t="s">
        <v>138</v>
      </c>
      <c r="K5117">
        <v>0</v>
      </c>
      <c r="L5117">
        <v>3</v>
      </c>
      <c r="M5117">
        <v>0</v>
      </c>
      <c r="N5117">
        <v>2</v>
      </c>
      <c r="O5117">
        <v>0</v>
      </c>
      <c r="P5117">
        <v>1</v>
      </c>
      <c r="Q5117">
        <v>0</v>
      </c>
      <c r="R5117" t="s">
        <v>127</v>
      </c>
      <c r="S5117" t="str">
        <f t="shared" si="2024"/>
        <v>15:18:44.000</v>
      </c>
      <c r="T5117" t="str">
        <f t="shared" si="2024"/>
        <v>15:18:44.000</v>
      </c>
      <c r="U5117" t="str">
        <f t="shared" si="2003"/>
        <v>A68FCB</v>
      </c>
      <c r="V5117">
        <v>0</v>
      </c>
      <c r="W5117">
        <v>0</v>
      </c>
      <c r="X5117">
        <v>2</v>
      </c>
      <c r="Y5117">
        <v>0</v>
      </c>
      <c r="AA5117">
        <v>1</v>
      </c>
      <c r="AB5117">
        <v>8</v>
      </c>
      <c r="AC5117">
        <v>3</v>
      </c>
      <c r="AD5117">
        <v>0</v>
      </c>
      <c r="AE5117">
        <v>9</v>
      </c>
      <c r="AF5117" t="s">
        <v>138</v>
      </c>
      <c r="AG5117">
        <v>0</v>
      </c>
      <c r="AH5117">
        <v>3</v>
      </c>
      <c r="AI5117">
        <v>2</v>
      </c>
      <c r="AJ5117">
        <v>0</v>
      </c>
      <c r="AK5117" t="s">
        <v>1612</v>
      </c>
      <c r="AL5117">
        <v>39.234473999999999</v>
      </c>
      <c r="AM5117" t="s">
        <v>1613</v>
      </c>
      <c r="AN5117">
        <v>-121.022344</v>
      </c>
      <c r="AO5117">
        <v>25</v>
      </c>
      <c r="AP5117">
        <v>3700</v>
      </c>
      <c r="AQ5117" t="s">
        <v>131</v>
      </c>
      <c r="AR5117">
        <v>-96</v>
      </c>
      <c r="AS5117">
        <v>-16</v>
      </c>
      <c r="AT5117">
        <v>-960</v>
      </c>
      <c r="BB5117" t="str">
        <f t="shared" si="2004"/>
        <v>1200</v>
      </c>
      <c r="BC5117">
        <v>1</v>
      </c>
      <c r="BD5117" t="str">
        <f t="shared" si="2005"/>
        <v xml:space="preserve">N52156  </v>
      </c>
      <c r="BE5117">
        <v>1</v>
      </c>
      <c r="BG5117">
        <v>0</v>
      </c>
      <c r="BH5117">
        <v>0</v>
      </c>
      <c r="BI5117">
        <v>0</v>
      </c>
      <c r="BJ5117">
        <v>3725</v>
      </c>
      <c r="BK5117">
        <v>25</v>
      </c>
      <c r="BL5117" t="s">
        <v>188</v>
      </c>
      <c r="BM5117">
        <v>1</v>
      </c>
      <c r="BN5117">
        <v>1</v>
      </c>
      <c r="BO5117">
        <v>0</v>
      </c>
      <c r="BP5117">
        <v>0</v>
      </c>
      <c r="BS5117">
        <v>0</v>
      </c>
      <c r="BT5117">
        <v>0</v>
      </c>
      <c r="BU5117">
        <v>0</v>
      </c>
      <c r="CE5117" t="str">
        <f t="shared" si="2025"/>
        <v>15:18:44.982</v>
      </c>
      <c r="CF5117">
        <v>982008368</v>
      </c>
      <c r="CS5117">
        <v>0</v>
      </c>
      <c r="CT5117">
        <v>2</v>
      </c>
      <c r="CU5117">
        <v>0</v>
      </c>
      <c r="CV5117">
        <v>2</v>
      </c>
      <c r="CW5117">
        <v>0</v>
      </c>
      <c r="CX5117">
        <v>3</v>
      </c>
      <c r="CY5117">
        <v>7</v>
      </c>
      <c r="CZ5117" t="s">
        <v>133</v>
      </c>
      <c r="DA5117">
        <v>275</v>
      </c>
      <c r="DB5117">
        <v>0</v>
      </c>
      <c r="DC5117" t="s">
        <v>134</v>
      </c>
      <c r="DD5117" t="s">
        <v>135</v>
      </c>
      <c r="DG5117">
        <v>3323597</v>
      </c>
      <c r="DI5117">
        <v>1</v>
      </c>
      <c r="DJ5117">
        <v>0</v>
      </c>
      <c r="DK5117">
        <v>1</v>
      </c>
      <c r="DL5117">
        <v>0</v>
      </c>
      <c r="DM5117">
        <v>0</v>
      </c>
      <c r="DN5117">
        <v>0</v>
      </c>
      <c r="DO5117">
        <v>0</v>
      </c>
      <c r="DP5117">
        <v>0</v>
      </c>
      <c r="DQ5117">
        <v>0</v>
      </c>
      <c r="DR5117">
        <v>0</v>
      </c>
      <c r="DS5117">
        <v>0</v>
      </c>
    </row>
    <row r="5118" spans="1:123" x14ac:dyDescent="0.3">
      <c r="A5118" t="str">
        <f>"05/01/2025 15:18:45.228"</f>
        <v>05/01/2025 15:18:45.228</v>
      </c>
      <c r="C5118" t="str">
        <f t="shared" si="2002"/>
        <v>FFDFD3C0</v>
      </c>
      <c r="D5118" t="s">
        <v>145</v>
      </c>
      <c r="E5118" t="str">
        <f>"05"</f>
        <v>05</v>
      </c>
      <c r="H5118">
        <v>47</v>
      </c>
      <c r="I5118" t="s">
        <v>146</v>
      </c>
      <c r="J5118" t="s">
        <v>138</v>
      </c>
      <c r="K5118">
        <v>0</v>
      </c>
      <c r="L5118">
        <v>3</v>
      </c>
      <c r="M5118">
        <v>0</v>
      </c>
      <c r="N5118">
        <v>2</v>
      </c>
      <c r="O5118">
        <v>0</v>
      </c>
      <c r="P5118">
        <v>1</v>
      </c>
      <c r="Q5118">
        <v>0</v>
      </c>
      <c r="R5118" t="s">
        <v>127</v>
      </c>
      <c r="S5118" t="str">
        <f t="shared" si="2024"/>
        <v>15:18:44.000</v>
      </c>
      <c r="T5118" t="str">
        <f t="shared" si="2024"/>
        <v>15:18:44.000</v>
      </c>
      <c r="U5118" t="str">
        <f t="shared" si="2003"/>
        <v>A68FCB</v>
      </c>
      <c r="V5118">
        <v>0</v>
      </c>
      <c r="W5118">
        <v>0</v>
      </c>
      <c r="X5118">
        <v>2</v>
      </c>
      <c r="Y5118">
        <v>0</v>
      </c>
      <c r="AA5118">
        <v>1</v>
      </c>
      <c r="AB5118">
        <v>8</v>
      </c>
      <c r="AC5118">
        <v>3</v>
      </c>
      <c r="AD5118">
        <v>0</v>
      </c>
      <c r="AE5118">
        <v>9</v>
      </c>
      <c r="AF5118" t="s">
        <v>138</v>
      </c>
      <c r="AG5118">
        <v>0</v>
      </c>
      <c r="AH5118">
        <v>3</v>
      </c>
      <c r="AI5118">
        <v>2</v>
      </c>
      <c r="AJ5118">
        <v>0</v>
      </c>
      <c r="AK5118" t="s">
        <v>1612</v>
      </c>
      <c r="AL5118">
        <v>39.234473999999999</v>
      </c>
      <c r="AM5118" t="s">
        <v>1613</v>
      </c>
      <c r="AN5118">
        <v>-121.022344</v>
      </c>
      <c r="AO5118">
        <v>25</v>
      </c>
      <c r="AP5118">
        <v>3700</v>
      </c>
      <c r="AQ5118" t="s">
        <v>131</v>
      </c>
      <c r="AR5118">
        <v>-96</v>
      </c>
      <c r="AS5118">
        <v>-16</v>
      </c>
      <c r="AT5118">
        <v>-960</v>
      </c>
      <c r="BB5118" t="str">
        <f t="shared" si="2004"/>
        <v>1200</v>
      </c>
      <c r="BC5118">
        <v>1</v>
      </c>
      <c r="BD5118" t="str">
        <f t="shared" si="2005"/>
        <v xml:space="preserve">N52156  </v>
      </c>
      <c r="BE5118">
        <v>1</v>
      </c>
      <c r="BG5118">
        <v>0</v>
      </c>
      <c r="BH5118">
        <v>0</v>
      </c>
      <c r="BI5118">
        <v>0</v>
      </c>
      <c r="BJ5118">
        <v>3725</v>
      </c>
      <c r="BK5118">
        <v>25</v>
      </c>
      <c r="BL5118" t="s">
        <v>188</v>
      </c>
      <c r="BM5118">
        <v>1</v>
      </c>
      <c r="BN5118">
        <v>1</v>
      </c>
      <c r="BO5118">
        <v>0</v>
      </c>
      <c r="BP5118">
        <v>0</v>
      </c>
      <c r="BS5118">
        <v>0</v>
      </c>
      <c r="BT5118">
        <v>0</v>
      </c>
      <c r="BU5118">
        <v>0</v>
      </c>
      <c r="CE5118" t="str">
        <f t="shared" si="2025"/>
        <v>15:18:44.982</v>
      </c>
      <c r="CF5118">
        <v>982008368</v>
      </c>
      <c r="CS5118">
        <v>0</v>
      </c>
      <c r="CT5118">
        <v>2</v>
      </c>
      <c r="CU5118">
        <v>0</v>
      </c>
      <c r="CV5118">
        <v>2</v>
      </c>
      <c r="CW5118">
        <v>0</v>
      </c>
      <c r="CX5118">
        <v>3</v>
      </c>
      <c r="CY5118">
        <v>7</v>
      </c>
      <c r="CZ5118" t="s">
        <v>133</v>
      </c>
      <c r="DA5118">
        <v>275</v>
      </c>
      <c r="DB5118">
        <v>0</v>
      </c>
      <c r="DC5118" t="s">
        <v>134</v>
      </c>
      <c r="DD5118" t="s">
        <v>135</v>
      </c>
      <c r="DG5118">
        <v>3323597</v>
      </c>
      <c r="DI5118">
        <v>1</v>
      </c>
      <c r="DJ5118">
        <v>0</v>
      </c>
      <c r="DK5118">
        <v>1</v>
      </c>
      <c r="DL5118">
        <v>0</v>
      </c>
      <c r="DM5118">
        <v>0</v>
      </c>
      <c r="DN5118">
        <v>0</v>
      </c>
      <c r="DO5118">
        <v>0</v>
      </c>
      <c r="DP5118">
        <v>0</v>
      </c>
      <c r="DQ5118">
        <v>0</v>
      </c>
      <c r="DR5118">
        <v>0</v>
      </c>
      <c r="DS5118">
        <v>0</v>
      </c>
    </row>
    <row r="5119" spans="1:123" x14ac:dyDescent="0.3">
      <c r="A5119" t="str">
        <f>"05/01/2025 15:18:45.236"</f>
        <v>05/01/2025 15:18:45.236</v>
      </c>
      <c r="C5119" t="str">
        <f t="shared" si="2002"/>
        <v>FFDFD3C0</v>
      </c>
      <c r="D5119" t="s">
        <v>136</v>
      </c>
      <c r="E5119" t="str">
        <f>"20"</f>
        <v>20</v>
      </c>
      <c r="H5119">
        <v>400</v>
      </c>
      <c r="I5119" t="s">
        <v>137</v>
      </c>
      <c r="J5119" t="s">
        <v>138</v>
      </c>
      <c r="K5119">
        <v>0</v>
      </c>
      <c r="L5119">
        <v>3</v>
      </c>
      <c r="M5119">
        <v>0</v>
      </c>
      <c r="N5119">
        <v>2</v>
      </c>
      <c r="O5119">
        <v>0</v>
      </c>
      <c r="P5119">
        <v>1</v>
      </c>
      <c r="Q5119">
        <v>0</v>
      </c>
      <c r="R5119" t="s">
        <v>127</v>
      </c>
      <c r="S5119" t="str">
        <f t="shared" si="2024"/>
        <v>15:18:44.000</v>
      </c>
      <c r="T5119" t="str">
        <f t="shared" si="2024"/>
        <v>15:18:44.000</v>
      </c>
      <c r="U5119" t="str">
        <f t="shared" si="2003"/>
        <v>A68FCB</v>
      </c>
      <c r="V5119">
        <v>0</v>
      </c>
      <c r="W5119">
        <v>0</v>
      </c>
      <c r="X5119">
        <v>2</v>
      </c>
      <c r="Y5119">
        <v>0</v>
      </c>
      <c r="AA5119">
        <v>1</v>
      </c>
      <c r="AB5119">
        <v>8</v>
      </c>
      <c r="AC5119">
        <v>3</v>
      </c>
      <c r="AD5119">
        <v>0</v>
      </c>
      <c r="AE5119">
        <v>9</v>
      </c>
      <c r="AF5119" t="s">
        <v>138</v>
      </c>
      <c r="AG5119">
        <v>0</v>
      </c>
      <c r="AH5119">
        <v>3</v>
      </c>
      <c r="AI5119">
        <v>2</v>
      </c>
      <c r="AJ5119">
        <v>0</v>
      </c>
      <c r="AK5119" t="s">
        <v>1612</v>
      </c>
      <c r="AL5119">
        <v>39.234473999999999</v>
      </c>
      <c r="AM5119" t="s">
        <v>1613</v>
      </c>
      <c r="AN5119">
        <v>-121.022344</v>
      </c>
      <c r="AO5119">
        <v>25</v>
      </c>
      <c r="AP5119">
        <v>3700</v>
      </c>
      <c r="AQ5119" t="s">
        <v>131</v>
      </c>
      <c r="AR5119">
        <v>-96</v>
      </c>
      <c r="AS5119">
        <v>-16</v>
      </c>
      <c r="AT5119">
        <v>-960</v>
      </c>
      <c r="BB5119" t="str">
        <f t="shared" si="2004"/>
        <v>1200</v>
      </c>
      <c r="BC5119">
        <v>1</v>
      </c>
      <c r="BD5119" t="str">
        <f t="shared" si="2005"/>
        <v xml:space="preserve">N52156  </v>
      </c>
      <c r="BE5119">
        <v>1</v>
      </c>
      <c r="BG5119">
        <v>0</v>
      </c>
      <c r="BH5119">
        <v>0</v>
      </c>
      <c r="BI5119">
        <v>0</v>
      </c>
      <c r="BJ5119">
        <v>3725</v>
      </c>
      <c r="BK5119">
        <v>25</v>
      </c>
      <c r="BL5119" t="s">
        <v>188</v>
      </c>
      <c r="BM5119">
        <v>1</v>
      </c>
      <c r="BN5119">
        <v>1</v>
      </c>
      <c r="BO5119">
        <v>0</v>
      </c>
      <c r="BP5119">
        <v>0</v>
      </c>
      <c r="BS5119">
        <v>0</v>
      </c>
      <c r="BT5119">
        <v>0</v>
      </c>
      <c r="BU5119">
        <v>0</v>
      </c>
      <c r="CE5119" t="str">
        <f t="shared" si="2025"/>
        <v>15:18:44.982</v>
      </c>
      <c r="CF5119">
        <v>982008368</v>
      </c>
      <c r="CS5119">
        <v>0</v>
      </c>
      <c r="CT5119">
        <v>2</v>
      </c>
      <c r="CU5119">
        <v>0</v>
      </c>
      <c r="CV5119">
        <v>2</v>
      </c>
      <c r="CW5119">
        <v>0</v>
      </c>
      <c r="CX5119">
        <v>3</v>
      </c>
      <c r="CY5119">
        <v>7</v>
      </c>
      <c r="CZ5119" t="s">
        <v>133</v>
      </c>
      <c r="DA5119">
        <v>275</v>
      </c>
      <c r="DB5119">
        <v>0</v>
      </c>
      <c r="DC5119" t="s">
        <v>134</v>
      </c>
      <c r="DD5119" t="s">
        <v>135</v>
      </c>
      <c r="DG5119">
        <v>3323597</v>
      </c>
      <c r="DI5119">
        <v>1</v>
      </c>
      <c r="DJ5119">
        <v>0</v>
      </c>
      <c r="DK5119">
        <v>1</v>
      </c>
      <c r="DL5119">
        <v>0</v>
      </c>
      <c r="DM5119">
        <v>0</v>
      </c>
      <c r="DN5119">
        <v>0</v>
      </c>
      <c r="DO5119">
        <v>0</v>
      </c>
      <c r="DP5119">
        <v>0</v>
      </c>
      <c r="DQ5119">
        <v>0</v>
      </c>
      <c r="DR5119">
        <v>0</v>
      </c>
      <c r="DS5119">
        <v>0</v>
      </c>
    </row>
    <row r="5120" spans="1:123" x14ac:dyDescent="0.3">
      <c r="A5120" t="str">
        <f>"05/01/2025 15:18:46.054"</f>
        <v>05/01/2025 15:18:46.054</v>
      </c>
      <c r="C5120" t="str">
        <f t="shared" si="2002"/>
        <v>FFDFD3C0</v>
      </c>
      <c r="D5120" t="s">
        <v>140</v>
      </c>
      <c r="E5120" t="str">
        <f>"13"</f>
        <v>13</v>
      </c>
      <c r="F5120">
        <v>1019</v>
      </c>
      <c r="G5120" t="s">
        <v>141</v>
      </c>
      <c r="J5120" t="s">
        <v>142</v>
      </c>
      <c r="K5120">
        <v>0</v>
      </c>
      <c r="L5120">
        <v>3</v>
      </c>
      <c r="M5120">
        <v>0</v>
      </c>
      <c r="N5120">
        <v>2</v>
      </c>
      <c r="O5120">
        <v>0</v>
      </c>
      <c r="P5120">
        <v>1</v>
      </c>
      <c r="Q5120">
        <v>0</v>
      </c>
      <c r="R5120" t="s">
        <v>127</v>
      </c>
      <c r="S5120" t="str">
        <f t="shared" ref="S5120:T5125" si="2026">"15:18:45.000"</f>
        <v>15:18:45.000</v>
      </c>
      <c r="T5120" t="str">
        <f t="shared" si="2026"/>
        <v>15:18:45.000</v>
      </c>
      <c r="U5120" t="str">
        <f t="shared" si="2003"/>
        <v>A68FCB</v>
      </c>
      <c r="V5120">
        <v>0</v>
      </c>
      <c r="W5120">
        <v>0</v>
      </c>
      <c r="X5120">
        <v>2</v>
      </c>
      <c r="Y5120">
        <v>0</v>
      </c>
      <c r="AA5120">
        <v>1</v>
      </c>
      <c r="AB5120">
        <v>8</v>
      </c>
      <c r="AC5120">
        <v>3</v>
      </c>
      <c r="AD5120">
        <v>0</v>
      </c>
      <c r="AE5120">
        <v>9</v>
      </c>
      <c r="AF5120" t="s">
        <v>138</v>
      </c>
      <c r="AG5120">
        <v>0</v>
      </c>
      <c r="AH5120">
        <v>3</v>
      </c>
      <c r="AI5120">
        <v>2</v>
      </c>
      <c r="AJ5120">
        <v>0</v>
      </c>
      <c r="AK5120" t="s">
        <v>1614</v>
      </c>
      <c r="AL5120">
        <v>39.234408999999999</v>
      </c>
      <c r="AM5120" t="s">
        <v>1615</v>
      </c>
      <c r="AN5120">
        <v>-121.022902</v>
      </c>
      <c r="AO5120">
        <v>25</v>
      </c>
      <c r="AP5120">
        <v>3700</v>
      </c>
      <c r="AQ5120" t="s">
        <v>131</v>
      </c>
      <c r="AR5120">
        <v>-95</v>
      </c>
      <c r="AS5120">
        <v>-16</v>
      </c>
      <c r="AT5120">
        <v>-896</v>
      </c>
      <c r="BB5120" t="str">
        <f t="shared" si="2004"/>
        <v>1200</v>
      </c>
      <c r="BC5120">
        <v>1</v>
      </c>
      <c r="BD5120" t="str">
        <f t="shared" si="2005"/>
        <v xml:space="preserve">N52156  </v>
      </c>
      <c r="BE5120">
        <v>1</v>
      </c>
      <c r="BG5120">
        <v>0</v>
      </c>
      <c r="BH5120">
        <v>0</v>
      </c>
      <c r="BI5120">
        <v>0</v>
      </c>
      <c r="BJ5120">
        <v>3725</v>
      </c>
      <c r="BK5120">
        <v>25</v>
      </c>
      <c r="BL5120" t="s">
        <v>188</v>
      </c>
      <c r="BM5120">
        <v>1</v>
      </c>
      <c r="BN5120">
        <v>1</v>
      </c>
      <c r="BO5120">
        <v>0</v>
      </c>
      <c r="BP5120">
        <v>0</v>
      </c>
      <c r="BS5120">
        <v>0</v>
      </c>
      <c r="BT5120">
        <v>0</v>
      </c>
      <c r="BU5120">
        <v>0</v>
      </c>
      <c r="CE5120" t="str">
        <f t="shared" ref="CE5120:CE5125" si="2027">"15:18:45.811"</f>
        <v>15:18:45.811</v>
      </c>
      <c r="CF5120">
        <v>811007799</v>
      </c>
      <c r="CS5120">
        <v>0</v>
      </c>
      <c r="CT5120">
        <v>2</v>
      </c>
      <c r="CU5120">
        <v>0</v>
      </c>
      <c r="CV5120">
        <v>2</v>
      </c>
      <c r="CW5120">
        <v>0</v>
      </c>
      <c r="CX5120">
        <v>3</v>
      </c>
      <c r="CY5120">
        <v>7</v>
      </c>
      <c r="CZ5120" t="s">
        <v>133</v>
      </c>
      <c r="DA5120">
        <v>275</v>
      </c>
      <c r="DB5120">
        <v>0</v>
      </c>
      <c r="DC5120" t="s">
        <v>134</v>
      </c>
      <c r="DD5120" t="s">
        <v>135</v>
      </c>
      <c r="DG5120">
        <v>3323603</v>
      </c>
      <c r="DI5120">
        <v>1</v>
      </c>
      <c r="DJ5120">
        <v>0</v>
      </c>
      <c r="DK5120">
        <v>0</v>
      </c>
      <c r="DL5120">
        <v>0</v>
      </c>
      <c r="DM5120">
        <v>0</v>
      </c>
      <c r="DN5120">
        <v>0</v>
      </c>
      <c r="DO5120">
        <v>0</v>
      </c>
      <c r="DP5120">
        <v>0</v>
      </c>
      <c r="DQ5120">
        <v>0</v>
      </c>
      <c r="DR5120">
        <v>0</v>
      </c>
      <c r="DS5120">
        <v>0</v>
      </c>
    </row>
    <row r="5121" spans="1:123" x14ac:dyDescent="0.3">
      <c r="A5121" t="str">
        <f>"05/01/2025 15:18:46.056"</f>
        <v>05/01/2025 15:18:46.056</v>
      </c>
      <c r="C5121" t="str">
        <f t="shared" si="2002"/>
        <v>FFDFD3C0</v>
      </c>
      <c r="D5121" t="s">
        <v>124</v>
      </c>
      <c r="E5121" t="str">
        <f>"06"</f>
        <v>06</v>
      </c>
      <c r="F5121">
        <v>2006</v>
      </c>
      <c r="G5121" t="s">
        <v>125</v>
      </c>
      <c r="J5121" t="s">
        <v>126</v>
      </c>
      <c r="K5121">
        <v>0</v>
      </c>
      <c r="L5121">
        <v>3</v>
      </c>
      <c r="M5121">
        <v>0</v>
      </c>
      <c r="N5121">
        <v>2</v>
      </c>
      <c r="O5121">
        <v>0</v>
      </c>
      <c r="P5121">
        <v>1</v>
      </c>
      <c r="Q5121">
        <v>0</v>
      </c>
      <c r="R5121" t="s">
        <v>127</v>
      </c>
      <c r="S5121" t="str">
        <f t="shared" si="2026"/>
        <v>15:18:45.000</v>
      </c>
      <c r="T5121" t="str">
        <f t="shared" si="2026"/>
        <v>15:18:45.000</v>
      </c>
      <c r="U5121" t="str">
        <f t="shared" si="2003"/>
        <v>A68FCB</v>
      </c>
      <c r="V5121">
        <v>0</v>
      </c>
      <c r="W5121">
        <v>0</v>
      </c>
      <c r="X5121">
        <v>2</v>
      </c>
      <c r="Y5121">
        <v>0</v>
      </c>
      <c r="AA5121">
        <v>1</v>
      </c>
      <c r="AB5121">
        <v>8</v>
      </c>
      <c r="AC5121">
        <v>3</v>
      </c>
      <c r="AD5121">
        <v>0</v>
      </c>
      <c r="AE5121">
        <v>9</v>
      </c>
      <c r="AF5121" t="s">
        <v>138</v>
      </c>
      <c r="AG5121">
        <v>0</v>
      </c>
      <c r="AH5121">
        <v>3</v>
      </c>
      <c r="AI5121">
        <v>2</v>
      </c>
      <c r="AJ5121">
        <v>0</v>
      </c>
      <c r="AK5121" t="s">
        <v>1614</v>
      </c>
      <c r="AL5121">
        <v>39.234408999999999</v>
      </c>
      <c r="AM5121" t="s">
        <v>1615</v>
      </c>
      <c r="AN5121">
        <v>-121.022902</v>
      </c>
      <c r="AO5121">
        <v>25</v>
      </c>
      <c r="AP5121">
        <v>3700</v>
      </c>
      <c r="AQ5121" t="s">
        <v>131</v>
      </c>
      <c r="AR5121">
        <v>-95</v>
      </c>
      <c r="AS5121">
        <v>-16</v>
      </c>
      <c r="AT5121">
        <v>-896</v>
      </c>
      <c r="BB5121" t="str">
        <f t="shared" si="2004"/>
        <v>1200</v>
      </c>
      <c r="BC5121">
        <v>1</v>
      </c>
      <c r="BD5121" t="str">
        <f t="shared" si="2005"/>
        <v xml:space="preserve">N52156  </v>
      </c>
      <c r="BE5121">
        <v>1</v>
      </c>
      <c r="BG5121">
        <v>0</v>
      </c>
      <c r="BH5121">
        <v>0</v>
      </c>
      <c r="BI5121">
        <v>0</v>
      </c>
      <c r="BJ5121">
        <v>3725</v>
      </c>
      <c r="BK5121">
        <v>25</v>
      </c>
      <c r="BL5121" t="s">
        <v>188</v>
      </c>
      <c r="BM5121">
        <v>1</v>
      </c>
      <c r="BN5121">
        <v>1</v>
      </c>
      <c r="BO5121">
        <v>0</v>
      </c>
      <c r="BP5121">
        <v>0</v>
      </c>
      <c r="BS5121">
        <v>0</v>
      </c>
      <c r="BT5121">
        <v>0</v>
      </c>
      <c r="BU5121">
        <v>0</v>
      </c>
      <c r="CE5121" t="str">
        <f t="shared" si="2027"/>
        <v>15:18:45.811</v>
      </c>
      <c r="CF5121">
        <v>811007799</v>
      </c>
      <c r="CS5121">
        <v>0</v>
      </c>
      <c r="CT5121">
        <v>2</v>
      </c>
      <c r="CU5121">
        <v>0</v>
      </c>
      <c r="CV5121">
        <v>2</v>
      </c>
      <c r="CW5121">
        <v>0</v>
      </c>
      <c r="CX5121">
        <v>3</v>
      </c>
      <c r="CY5121">
        <v>7</v>
      </c>
      <c r="CZ5121" t="s">
        <v>133</v>
      </c>
      <c r="DA5121">
        <v>275</v>
      </c>
      <c r="DB5121">
        <v>0</v>
      </c>
      <c r="DC5121" t="s">
        <v>134</v>
      </c>
      <c r="DD5121" t="s">
        <v>135</v>
      </c>
      <c r="DG5121">
        <v>3323603</v>
      </c>
      <c r="DI5121">
        <v>1</v>
      </c>
      <c r="DJ5121">
        <v>0</v>
      </c>
      <c r="DK5121">
        <v>1</v>
      </c>
      <c r="DL5121">
        <v>0</v>
      </c>
      <c r="DM5121">
        <v>0</v>
      </c>
      <c r="DN5121">
        <v>0</v>
      </c>
      <c r="DO5121">
        <v>0</v>
      </c>
      <c r="DP5121">
        <v>0</v>
      </c>
      <c r="DQ5121">
        <v>0</v>
      </c>
      <c r="DR5121">
        <v>0</v>
      </c>
      <c r="DS5121">
        <v>0</v>
      </c>
    </row>
    <row r="5122" spans="1:123" x14ac:dyDescent="0.3">
      <c r="A5122" t="str">
        <f>"05/01/2025 15:18:46.066"</f>
        <v>05/01/2025 15:18:46.066</v>
      </c>
      <c r="C5122" t="str">
        <f t="shared" ref="C5122:C5185" si="2028">"FFDFD3C0"</f>
        <v>FFDFD3C0</v>
      </c>
      <c r="D5122" t="s">
        <v>143</v>
      </c>
      <c r="E5122" t="str">
        <f>"05"</f>
        <v>05</v>
      </c>
      <c r="H5122">
        <v>172</v>
      </c>
      <c r="I5122" t="s">
        <v>141</v>
      </c>
      <c r="J5122" t="s">
        <v>144</v>
      </c>
      <c r="K5122">
        <v>0</v>
      </c>
      <c r="L5122">
        <v>3</v>
      </c>
      <c r="M5122">
        <v>0</v>
      </c>
      <c r="N5122">
        <v>2</v>
      </c>
      <c r="O5122">
        <v>0</v>
      </c>
      <c r="P5122">
        <v>1</v>
      </c>
      <c r="Q5122">
        <v>0</v>
      </c>
      <c r="R5122" t="s">
        <v>127</v>
      </c>
      <c r="S5122" t="str">
        <f t="shared" si="2026"/>
        <v>15:18:45.000</v>
      </c>
      <c r="T5122" t="str">
        <f t="shared" si="2026"/>
        <v>15:18:45.000</v>
      </c>
      <c r="U5122" t="str">
        <f t="shared" ref="U5122:U5185" si="2029">"A68FCB"</f>
        <v>A68FCB</v>
      </c>
      <c r="V5122">
        <v>0</v>
      </c>
      <c r="W5122">
        <v>0</v>
      </c>
      <c r="X5122">
        <v>2</v>
      </c>
      <c r="Y5122">
        <v>0</v>
      </c>
      <c r="AA5122">
        <v>1</v>
      </c>
      <c r="AB5122">
        <v>8</v>
      </c>
      <c r="AC5122">
        <v>3</v>
      </c>
      <c r="AD5122">
        <v>0</v>
      </c>
      <c r="AE5122">
        <v>9</v>
      </c>
      <c r="AF5122" t="s">
        <v>138</v>
      </c>
      <c r="AG5122">
        <v>0</v>
      </c>
      <c r="AH5122">
        <v>3</v>
      </c>
      <c r="AI5122">
        <v>2</v>
      </c>
      <c r="AJ5122">
        <v>0</v>
      </c>
      <c r="AK5122" t="s">
        <v>1614</v>
      </c>
      <c r="AL5122">
        <v>39.234408999999999</v>
      </c>
      <c r="AM5122" t="s">
        <v>1615</v>
      </c>
      <c r="AN5122">
        <v>-121.022902</v>
      </c>
      <c r="AO5122">
        <v>25</v>
      </c>
      <c r="AP5122">
        <v>3700</v>
      </c>
      <c r="AQ5122" t="s">
        <v>131</v>
      </c>
      <c r="AR5122">
        <v>-95</v>
      </c>
      <c r="AS5122">
        <v>-16</v>
      </c>
      <c r="AT5122">
        <v>-896</v>
      </c>
      <c r="BB5122" t="str">
        <f t="shared" ref="BB5122:BB5185" si="2030">"1200"</f>
        <v>1200</v>
      </c>
      <c r="BC5122">
        <v>1</v>
      </c>
      <c r="BD5122" t="str">
        <f t="shared" ref="BD5122:BD5185" si="2031">"N52156  "</f>
        <v xml:space="preserve">N52156  </v>
      </c>
      <c r="BE5122">
        <v>1</v>
      </c>
      <c r="BG5122">
        <v>0</v>
      </c>
      <c r="BH5122">
        <v>0</v>
      </c>
      <c r="BI5122">
        <v>0</v>
      </c>
      <c r="BJ5122">
        <v>3725</v>
      </c>
      <c r="BK5122">
        <v>25</v>
      </c>
      <c r="BL5122" t="s">
        <v>188</v>
      </c>
      <c r="BM5122">
        <v>1</v>
      </c>
      <c r="BN5122">
        <v>1</v>
      </c>
      <c r="BO5122">
        <v>0</v>
      </c>
      <c r="BP5122">
        <v>0</v>
      </c>
      <c r="BS5122">
        <v>0</v>
      </c>
      <c r="BT5122">
        <v>0</v>
      </c>
      <c r="BU5122">
        <v>0</v>
      </c>
      <c r="CE5122" t="str">
        <f t="shared" si="2027"/>
        <v>15:18:45.811</v>
      </c>
      <c r="CF5122">
        <v>811007799</v>
      </c>
      <c r="CS5122">
        <v>0</v>
      </c>
      <c r="CT5122">
        <v>2</v>
      </c>
      <c r="CU5122">
        <v>0</v>
      </c>
      <c r="CV5122">
        <v>2</v>
      </c>
      <c r="CW5122">
        <v>0</v>
      </c>
      <c r="CX5122">
        <v>3</v>
      </c>
      <c r="CY5122">
        <v>7</v>
      </c>
      <c r="CZ5122" t="s">
        <v>133</v>
      </c>
      <c r="DA5122">
        <v>275</v>
      </c>
      <c r="DB5122">
        <v>0</v>
      </c>
      <c r="DC5122" t="s">
        <v>134</v>
      </c>
      <c r="DD5122" t="s">
        <v>135</v>
      </c>
      <c r="DG5122">
        <v>3323603</v>
      </c>
      <c r="DI5122">
        <v>1</v>
      </c>
      <c r="DJ5122">
        <v>0</v>
      </c>
      <c r="DK5122">
        <v>1</v>
      </c>
      <c r="DL5122">
        <v>0</v>
      </c>
      <c r="DM5122">
        <v>0</v>
      </c>
      <c r="DN5122">
        <v>0</v>
      </c>
      <c r="DO5122">
        <v>0</v>
      </c>
      <c r="DP5122">
        <v>0</v>
      </c>
      <c r="DQ5122">
        <v>0</v>
      </c>
      <c r="DR5122">
        <v>0</v>
      </c>
      <c r="DS5122">
        <v>0</v>
      </c>
    </row>
    <row r="5123" spans="1:123" x14ac:dyDescent="0.3">
      <c r="A5123" t="str">
        <f>"05/01/2025 15:18:46.079"</f>
        <v>05/01/2025 15:18:46.079</v>
      </c>
      <c r="C5123" t="str">
        <f t="shared" si="2028"/>
        <v>FFDFD3C0</v>
      </c>
      <c r="D5123" t="s">
        <v>145</v>
      </c>
      <c r="E5123" t="str">
        <f>"09"</f>
        <v>09</v>
      </c>
      <c r="H5123">
        <v>51</v>
      </c>
      <c r="I5123" t="s">
        <v>147</v>
      </c>
      <c r="J5123" t="s">
        <v>138</v>
      </c>
      <c r="K5123">
        <v>0</v>
      </c>
      <c r="L5123">
        <v>3</v>
      </c>
      <c r="M5123">
        <v>0</v>
      </c>
      <c r="N5123">
        <v>2</v>
      </c>
      <c r="O5123">
        <v>0</v>
      </c>
      <c r="P5123">
        <v>1</v>
      </c>
      <c r="Q5123">
        <v>0</v>
      </c>
      <c r="R5123" t="s">
        <v>127</v>
      </c>
      <c r="S5123" t="str">
        <f t="shared" si="2026"/>
        <v>15:18:45.000</v>
      </c>
      <c r="T5123" t="str">
        <f t="shared" si="2026"/>
        <v>15:18:45.000</v>
      </c>
      <c r="U5123" t="str">
        <f t="shared" si="2029"/>
        <v>A68FCB</v>
      </c>
      <c r="V5123">
        <v>0</v>
      </c>
      <c r="W5123">
        <v>0</v>
      </c>
      <c r="X5123">
        <v>2</v>
      </c>
      <c r="Y5123">
        <v>0</v>
      </c>
      <c r="AA5123">
        <v>1</v>
      </c>
      <c r="AB5123">
        <v>8</v>
      </c>
      <c r="AC5123">
        <v>3</v>
      </c>
      <c r="AD5123">
        <v>0</v>
      </c>
      <c r="AE5123">
        <v>9</v>
      </c>
      <c r="AF5123" t="s">
        <v>138</v>
      </c>
      <c r="AG5123">
        <v>0</v>
      </c>
      <c r="AH5123">
        <v>3</v>
      </c>
      <c r="AI5123">
        <v>2</v>
      </c>
      <c r="AJ5123">
        <v>0</v>
      </c>
      <c r="AK5123" t="s">
        <v>1614</v>
      </c>
      <c r="AL5123">
        <v>39.234408999999999</v>
      </c>
      <c r="AM5123" t="s">
        <v>1615</v>
      </c>
      <c r="AN5123">
        <v>-121.022902</v>
      </c>
      <c r="AO5123">
        <v>25</v>
      </c>
      <c r="AP5123">
        <v>3700</v>
      </c>
      <c r="AQ5123" t="s">
        <v>131</v>
      </c>
      <c r="AR5123">
        <v>-95</v>
      </c>
      <c r="AS5123">
        <v>-16</v>
      </c>
      <c r="AT5123">
        <v>-896</v>
      </c>
      <c r="BB5123" t="str">
        <f t="shared" si="2030"/>
        <v>1200</v>
      </c>
      <c r="BC5123">
        <v>1</v>
      </c>
      <c r="BD5123" t="str">
        <f t="shared" si="2031"/>
        <v xml:space="preserve">N52156  </v>
      </c>
      <c r="BE5123">
        <v>1</v>
      </c>
      <c r="BG5123">
        <v>0</v>
      </c>
      <c r="BH5123">
        <v>0</v>
      </c>
      <c r="BI5123">
        <v>0</v>
      </c>
      <c r="BJ5123">
        <v>3725</v>
      </c>
      <c r="BK5123">
        <v>25</v>
      </c>
      <c r="BL5123" t="s">
        <v>188</v>
      </c>
      <c r="BM5123">
        <v>1</v>
      </c>
      <c r="BN5123">
        <v>1</v>
      </c>
      <c r="BO5123">
        <v>0</v>
      </c>
      <c r="BP5123">
        <v>0</v>
      </c>
      <c r="BS5123">
        <v>0</v>
      </c>
      <c r="BT5123">
        <v>0</v>
      </c>
      <c r="BU5123">
        <v>0</v>
      </c>
      <c r="CE5123" t="str">
        <f t="shared" si="2027"/>
        <v>15:18:45.811</v>
      </c>
      <c r="CF5123">
        <v>811007799</v>
      </c>
      <c r="CS5123">
        <v>0</v>
      </c>
      <c r="CT5123">
        <v>2</v>
      </c>
      <c r="CU5123">
        <v>0</v>
      </c>
      <c r="CV5123">
        <v>2</v>
      </c>
      <c r="CW5123">
        <v>0</v>
      </c>
      <c r="CX5123">
        <v>3</v>
      </c>
      <c r="CY5123">
        <v>7</v>
      </c>
      <c r="CZ5123" t="s">
        <v>133</v>
      </c>
      <c r="DA5123">
        <v>275</v>
      </c>
      <c r="DB5123">
        <v>0</v>
      </c>
      <c r="DC5123" t="s">
        <v>134</v>
      </c>
      <c r="DD5123" t="s">
        <v>135</v>
      </c>
      <c r="DG5123">
        <v>3323603</v>
      </c>
      <c r="DI5123">
        <v>1</v>
      </c>
      <c r="DJ5123">
        <v>0</v>
      </c>
      <c r="DK5123">
        <v>1</v>
      </c>
      <c r="DL5123">
        <v>0</v>
      </c>
      <c r="DM5123">
        <v>0</v>
      </c>
      <c r="DN5123">
        <v>0</v>
      </c>
      <c r="DO5123">
        <v>0</v>
      </c>
      <c r="DP5123">
        <v>0</v>
      </c>
      <c r="DQ5123">
        <v>0</v>
      </c>
      <c r="DR5123">
        <v>0</v>
      </c>
      <c r="DS5123">
        <v>0</v>
      </c>
    </row>
    <row r="5124" spans="1:123" x14ac:dyDescent="0.3">
      <c r="A5124" t="str">
        <f>"05/01/2025 15:18:46.079"</f>
        <v>05/01/2025 15:18:46.079</v>
      </c>
      <c r="C5124" t="str">
        <f t="shared" si="2028"/>
        <v>FFDFD3C0</v>
      </c>
      <c r="D5124" t="s">
        <v>145</v>
      </c>
      <c r="E5124" t="str">
        <f>"05"</f>
        <v>05</v>
      </c>
      <c r="H5124">
        <v>47</v>
      </c>
      <c r="I5124" t="s">
        <v>146</v>
      </c>
      <c r="J5124" t="s">
        <v>138</v>
      </c>
      <c r="K5124">
        <v>0</v>
      </c>
      <c r="L5124">
        <v>3</v>
      </c>
      <c r="M5124">
        <v>0</v>
      </c>
      <c r="N5124">
        <v>2</v>
      </c>
      <c r="O5124">
        <v>0</v>
      </c>
      <c r="P5124">
        <v>1</v>
      </c>
      <c r="Q5124">
        <v>0</v>
      </c>
      <c r="R5124" t="s">
        <v>127</v>
      </c>
      <c r="S5124" t="str">
        <f t="shared" si="2026"/>
        <v>15:18:45.000</v>
      </c>
      <c r="T5124" t="str">
        <f t="shared" si="2026"/>
        <v>15:18:45.000</v>
      </c>
      <c r="U5124" t="str">
        <f t="shared" si="2029"/>
        <v>A68FCB</v>
      </c>
      <c r="V5124">
        <v>0</v>
      </c>
      <c r="W5124">
        <v>0</v>
      </c>
      <c r="X5124">
        <v>2</v>
      </c>
      <c r="Y5124">
        <v>0</v>
      </c>
      <c r="AA5124">
        <v>1</v>
      </c>
      <c r="AB5124">
        <v>8</v>
      </c>
      <c r="AC5124">
        <v>3</v>
      </c>
      <c r="AD5124">
        <v>0</v>
      </c>
      <c r="AE5124">
        <v>9</v>
      </c>
      <c r="AF5124" t="s">
        <v>138</v>
      </c>
      <c r="AG5124">
        <v>0</v>
      </c>
      <c r="AH5124">
        <v>3</v>
      </c>
      <c r="AI5124">
        <v>2</v>
      </c>
      <c r="AJ5124">
        <v>0</v>
      </c>
      <c r="AK5124" t="s">
        <v>1614</v>
      </c>
      <c r="AL5124">
        <v>39.234408999999999</v>
      </c>
      <c r="AM5124" t="s">
        <v>1615</v>
      </c>
      <c r="AN5124">
        <v>-121.022902</v>
      </c>
      <c r="AO5124">
        <v>25</v>
      </c>
      <c r="AP5124">
        <v>3700</v>
      </c>
      <c r="AQ5124" t="s">
        <v>131</v>
      </c>
      <c r="AR5124">
        <v>-95</v>
      </c>
      <c r="AS5124">
        <v>-16</v>
      </c>
      <c r="AT5124">
        <v>-896</v>
      </c>
      <c r="BB5124" t="str">
        <f t="shared" si="2030"/>
        <v>1200</v>
      </c>
      <c r="BC5124">
        <v>1</v>
      </c>
      <c r="BD5124" t="str">
        <f t="shared" si="2031"/>
        <v xml:space="preserve">N52156  </v>
      </c>
      <c r="BE5124">
        <v>1</v>
      </c>
      <c r="BG5124">
        <v>0</v>
      </c>
      <c r="BH5124">
        <v>0</v>
      </c>
      <c r="BI5124">
        <v>0</v>
      </c>
      <c r="BJ5124">
        <v>3725</v>
      </c>
      <c r="BK5124">
        <v>25</v>
      </c>
      <c r="BL5124" t="s">
        <v>188</v>
      </c>
      <c r="BM5124">
        <v>1</v>
      </c>
      <c r="BN5124">
        <v>1</v>
      </c>
      <c r="BO5124">
        <v>0</v>
      </c>
      <c r="BP5124">
        <v>0</v>
      </c>
      <c r="BS5124">
        <v>0</v>
      </c>
      <c r="BT5124">
        <v>0</v>
      </c>
      <c r="BU5124">
        <v>0</v>
      </c>
      <c r="CE5124" t="str">
        <f t="shared" si="2027"/>
        <v>15:18:45.811</v>
      </c>
      <c r="CF5124">
        <v>811007799</v>
      </c>
      <c r="CS5124">
        <v>0</v>
      </c>
      <c r="CT5124">
        <v>2</v>
      </c>
      <c r="CU5124">
        <v>0</v>
      </c>
      <c r="CV5124">
        <v>2</v>
      </c>
      <c r="CW5124">
        <v>0</v>
      </c>
      <c r="CX5124">
        <v>3</v>
      </c>
      <c r="CY5124">
        <v>7</v>
      </c>
      <c r="CZ5124" t="s">
        <v>133</v>
      </c>
      <c r="DA5124">
        <v>275</v>
      </c>
      <c r="DB5124">
        <v>0</v>
      </c>
      <c r="DC5124" t="s">
        <v>134</v>
      </c>
      <c r="DD5124" t="s">
        <v>135</v>
      </c>
      <c r="DG5124">
        <v>3323603</v>
      </c>
      <c r="DI5124">
        <v>1</v>
      </c>
      <c r="DJ5124">
        <v>0</v>
      </c>
      <c r="DK5124">
        <v>1</v>
      </c>
      <c r="DL5124">
        <v>0</v>
      </c>
      <c r="DM5124">
        <v>0</v>
      </c>
      <c r="DN5124">
        <v>0</v>
      </c>
      <c r="DO5124">
        <v>0</v>
      </c>
      <c r="DP5124">
        <v>0</v>
      </c>
      <c r="DQ5124">
        <v>0</v>
      </c>
      <c r="DR5124">
        <v>0</v>
      </c>
      <c r="DS5124">
        <v>0</v>
      </c>
    </row>
    <row r="5125" spans="1:123" x14ac:dyDescent="0.3">
      <c r="A5125" t="str">
        <f>"05/01/2025 15:18:46.087"</f>
        <v>05/01/2025 15:18:46.087</v>
      </c>
      <c r="C5125" t="str">
        <f t="shared" si="2028"/>
        <v>FFDFD3C0</v>
      </c>
      <c r="D5125" t="s">
        <v>136</v>
      </c>
      <c r="E5125" t="str">
        <f>"20"</f>
        <v>20</v>
      </c>
      <c r="H5125">
        <v>400</v>
      </c>
      <c r="I5125" t="s">
        <v>137</v>
      </c>
      <c r="J5125" t="s">
        <v>138</v>
      </c>
      <c r="K5125">
        <v>0</v>
      </c>
      <c r="L5125">
        <v>3</v>
      </c>
      <c r="M5125">
        <v>0</v>
      </c>
      <c r="N5125">
        <v>2</v>
      </c>
      <c r="O5125">
        <v>0</v>
      </c>
      <c r="P5125">
        <v>1</v>
      </c>
      <c r="Q5125">
        <v>0</v>
      </c>
      <c r="R5125" t="s">
        <v>127</v>
      </c>
      <c r="S5125" t="str">
        <f t="shared" si="2026"/>
        <v>15:18:45.000</v>
      </c>
      <c r="T5125" t="str">
        <f t="shared" si="2026"/>
        <v>15:18:45.000</v>
      </c>
      <c r="U5125" t="str">
        <f t="shared" si="2029"/>
        <v>A68FCB</v>
      </c>
      <c r="V5125">
        <v>0</v>
      </c>
      <c r="W5125">
        <v>0</v>
      </c>
      <c r="X5125">
        <v>2</v>
      </c>
      <c r="Y5125">
        <v>0</v>
      </c>
      <c r="AA5125">
        <v>1</v>
      </c>
      <c r="AB5125">
        <v>8</v>
      </c>
      <c r="AC5125">
        <v>3</v>
      </c>
      <c r="AD5125">
        <v>0</v>
      </c>
      <c r="AE5125">
        <v>9</v>
      </c>
      <c r="AF5125" t="s">
        <v>138</v>
      </c>
      <c r="AG5125">
        <v>0</v>
      </c>
      <c r="AH5125">
        <v>3</v>
      </c>
      <c r="AI5125">
        <v>2</v>
      </c>
      <c r="AJ5125">
        <v>0</v>
      </c>
      <c r="AK5125" t="s">
        <v>1614</v>
      </c>
      <c r="AL5125">
        <v>39.234408999999999</v>
      </c>
      <c r="AM5125" t="s">
        <v>1615</v>
      </c>
      <c r="AN5125">
        <v>-121.022902</v>
      </c>
      <c r="AO5125">
        <v>25</v>
      </c>
      <c r="AP5125">
        <v>3700</v>
      </c>
      <c r="AQ5125" t="s">
        <v>131</v>
      </c>
      <c r="AR5125">
        <v>-95</v>
      </c>
      <c r="AS5125">
        <v>-16</v>
      </c>
      <c r="AT5125">
        <v>-896</v>
      </c>
      <c r="BB5125" t="str">
        <f t="shared" si="2030"/>
        <v>1200</v>
      </c>
      <c r="BC5125">
        <v>1</v>
      </c>
      <c r="BD5125" t="str">
        <f t="shared" si="2031"/>
        <v xml:space="preserve">N52156  </v>
      </c>
      <c r="BE5125">
        <v>1</v>
      </c>
      <c r="BG5125">
        <v>0</v>
      </c>
      <c r="BH5125">
        <v>0</v>
      </c>
      <c r="BI5125">
        <v>0</v>
      </c>
      <c r="BJ5125">
        <v>3725</v>
      </c>
      <c r="BK5125">
        <v>25</v>
      </c>
      <c r="BL5125" t="s">
        <v>188</v>
      </c>
      <c r="BM5125">
        <v>1</v>
      </c>
      <c r="BN5125">
        <v>1</v>
      </c>
      <c r="BO5125">
        <v>0</v>
      </c>
      <c r="BP5125">
        <v>0</v>
      </c>
      <c r="BS5125">
        <v>0</v>
      </c>
      <c r="BT5125">
        <v>0</v>
      </c>
      <c r="BU5125">
        <v>0</v>
      </c>
      <c r="CE5125" t="str">
        <f t="shared" si="2027"/>
        <v>15:18:45.811</v>
      </c>
      <c r="CF5125">
        <v>811007799</v>
      </c>
      <c r="CS5125">
        <v>0</v>
      </c>
      <c r="CT5125">
        <v>2</v>
      </c>
      <c r="CU5125">
        <v>0</v>
      </c>
      <c r="CV5125">
        <v>2</v>
      </c>
      <c r="CW5125">
        <v>0</v>
      </c>
      <c r="CX5125">
        <v>3</v>
      </c>
      <c r="CY5125">
        <v>7</v>
      </c>
      <c r="CZ5125" t="s">
        <v>133</v>
      </c>
      <c r="DA5125">
        <v>275</v>
      </c>
      <c r="DB5125">
        <v>0</v>
      </c>
      <c r="DC5125" t="s">
        <v>134</v>
      </c>
      <c r="DD5125" t="s">
        <v>135</v>
      </c>
      <c r="DG5125">
        <v>3323603</v>
      </c>
      <c r="DI5125">
        <v>1</v>
      </c>
      <c r="DJ5125">
        <v>0</v>
      </c>
      <c r="DK5125">
        <v>1</v>
      </c>
      <c r="DL5125">
        <v>0</v>
      </c>
      <c r="DM5125">
        <v>0</v>
      </c>
      <c r="DN5125">
        <v>0</v>
      </c>
      <c r="DO5125">
        <v>0</v>
      </c>
      <c r="DP5125">
        <v>0</v>
      </c>
      <c r="DQ5125">
        <v>0</v>
      </c>
      <c r="DR5125">
        <v>0</v>
      </c>
      <c r="DS5125">
        <v>0</v>
      </c>
    </row>
    <row r="5126" spans="1:123" x14ac:dyDescent="0.3">
      <c r="A5126" t="str">
        <f>"05/01/2025 15:18:46.430"</f>
        <v>05/01/2025 15:18:46.430</v>
      </c>
      <c r="C5126" t="str">
        <f t="shared" si="2028"/>
        <v>FFDFD3C0</v>
      </c>
      <c r="D5126" t="s">
        <v>145</v>
      </c>
      <c r="E5126" t="str">
        <f>"05"</f>
        <v>05</v>
      </c>
      <c r="H5126">
        <v>47</v>
      </c>
      <c r="I5126" t="s">
        <v>146</v>
      </c>
      <c r="J5126" t="s">
        <v>138</v>
      </c>
      <c r="K5126">
        <v>0</v>
      </c>
      <c r="L5126">
        <v>3</v>
      </c>
      <c r="M5126">
        <v>0</v>
      </c>
      <c r="N5126">
        <v>2</v>
      </c>
      <c r="O5126">
        <v>0</v>
      </c>
      <c r="P5126">
        <v>1</v>
      </c>
      <c r="Q5126">
        <v>0</v>
      </c>
      <c r="R5126" t="s">
        <v>127</v>
      </c>
      <c r="S5126" t="str">
        <f t="shared" ref="S5126:T5131" si="2032">"15:18:46.000"</f>
        <v>15:18:46.000</v>
      </c>
      <c r="T5126" t="str">
        <f t="shared" si="2032"/>
        <v>15:18:46.000</v>
      </c>
      <c r="U5126" t="str">
        <f t="shared" si="2029"/>
        <v>A68FCB</v>
      </c>
      <c r="V5126">
        <v>0</v>
      </c>
      <c r="W5126">
        <v>0</v>
      </c>
      <c r="X5126">
        <v>2</v>
      </c>
      <c r="Y5126">
        <v>0</v>
      </c>
      <c r="AA5126">
        <v>1</v>
      </c>
      <c r="AB5126">
        <v>8</v>
      </c>
      <c r="AC5126">
        <v>3</v>
      </c>
      <c r="AD5126">
        <v>0</v>
      </c>
      <c r="AE5126">
        <v>9</v>
      </c>
      <c r="AF5126" t="s">
        <v>138</v>
      </c>
      <c r="AG5126">
        <v>0</v>
      </c>
      <c r="AH5126">
        <v>3</v>
      </c>
      <c r="AI5126">
        <v>2</v>
      </c>
      <c r="AJ5126">
        <v>0</v>
      </c>
      <c r="AK5126" t="s">
        <v>1616</v>
      </c>
      <c r="AL5126">
        <v>39.234451999999997</v>
      </c>
      <c r="AM5126" t="s">
        <v>1617</v>
      </c>
      <c r="AN5126">
        <v>-121.02339499999999</v>
      </c>
      <c r="AO5126">
        <v>25</v>
      </c>
      <c r="AP5126">
        <v>3700</v>
      </c>
      <c r="AQ5126" t="s">
        <v>131</v>
      </c>
      <c r="AR5126">
        <v>-94</v>
      </c>
      <c r="AS5126">
        <v>-17</v>
      </c>
      <c r="AT5126">
        <v>-896</v>
      </c>
      <c r="BB5126" t="str">
        <f t="shared" si="2030"/>
        <v>1200</v>
      </c>
      <c r="BC5126">
        <v>1</v>
      </c>
      <c r="BD5126" t="str">
        <f t="shared" si="2031"/>
        <v xml:space="preserve">N52156  </v>
      </c>
      <c r="BE5126">
        <v>1</v>
      </c>
      <c r="BG5126">
        <v>0</v>
      </c>
      <c r="BH5126">
        <v>0</v>
      </c>
      <c r="BI5126">
        <v>0</v>
      </c>
      <c r="BJ5126">
        <v>3725</v>
      </c>
      <c r="BK5126">
        <v>25</v>
      </c>
      <c r="BL5126" t="s">
        <v>188</v>
      </c>
      <c r="BM5126">
        <v>1</v>
      </c>
      <c r="BN5126">
        <v>1</v>
      </c>
      <c r="BO5126">
        <v>0</v>
      </c>
      <c r="BP5126">
        <v>0</v>
      </c>
      <c r="BS5126">
        <v>0</v>
      </c>
      <c r="BT5126">
        <v>0</v>
      </c>
      <c r="BU5126">
        <v>0</v>
      </c>
      <c r="CE5126" t="str">
        <f t="shared" ref="CE5126:CE5131" si="2033">"15:18:46.222"</f>
        <v>15:18:46.222</v>
      </c>
      <c r="CF5126">
        <v>221506276</v>
      </c>
      <c r="CS5126">
        <v>0</v>
      </c>
      <c r="CT5126">
        <v>2</v>
      </c>
      <c r="CU5126">
        <v>0</v>
      </c>
      <c r="CV5126">
        <v>2</v>
      </c>
      <c r="CW5126">
        <v>0</v>
      </c>
      <c r="CX5126">
        <v>3</v>
      </c>
      <c r="CY5126">
        <v>7</v>
      </c>
      <c r="CZ5126" t="s">
        <v>133</v>
      </c>
      <c r="DA5126">
        <v>275</v>
      </c>
      <c r="DB5126">
        <v>0</v>
      </c>
      <c r="DC5126" t="s">
        <v>134</v>
      </c>
      <c r="DD5126" t="s">
        <v>135</v>
      </c>
      <c r="DG5126">
        <v>3323606</v>
      </c>
      <c r="DI5126">
        <v>1</v>
      </c>
      <c r="DJ5126">
        <v>0</v>
      </c>
      <c r="DK5126">
        <v>0</v>
      </c>
      <c r="DL5126">
        <v>0</v>
      </c>
      <c r="DM5126">
        <v>0</v>
      </c>
      <c r="DN5126">
        <v>0</v>
      </c>
      <c r="DO5126">
        <v>0</v>
      </c>
      <c r="DP5126">
        <v>0</v>
      </c>
      <c r="DQ5126">
        <v>0</v>
      </c>
      <c r="DR5126">
        <v>0</v>
      </c>
      <c r="DS5126">
        <v>0</v>
      </c>
    </row>
    <row r="5127" spans="1:123" x14ac:dyDescent="0.3">
      <c r="A5127" t="str">
        <f>"05/01/2025 15:18:46.430"</f>
        <v>05/01/2025 15:18:46.430</v>
      </c>
      <c r="C5127" t="str">
        <f t="shared" si="2028"/>
        <v>FFDFD3C0</v>
      </c>
      <c r="D5127" t="s">
        <v>145</v>
      </c>
      <c r="E5127" t="str">
        <f>"09"</f>
        <v>09</v>
      </c>
      <c r="H5127">
        <v>51</v>
      </c>
      <c r="I5127" t="s">
        <v>147</v>
      </c>
      <c r="J5127" t="s">
        <v>138</v>
      </c>
      <c r="K5127">
        <v>0</v>
      </c>
      <c r="L5127">
        <v>3</v>
      </c>
      <c r="M5127">
        <v>0</v>
      </c>
      <c r="N5127">
        <v>2</v>
      </c>
      <c r="O5127">
        <v>0</v>
      </c>
      <c r="P5127">
        <v>1</v>
      </c>
      <c r="Q5127">
        <v>0</v>
      </c>
      <c r="R5127" t="s">
        <v>127</v>
      </c>
      <c r="S5127" t="str">
        <f t="shared" si="2032"/>
        <v>15:18:46.000</v>
      </c>
      <c r="T5127" t="str">
        <f t="shared" si="2032"/>
        <v>15:18:46.000</v>
      </c>
      <c r="U5127" t="str">
        <f t="shared" si="2029"/>
        <v>A68FCB</v>
      </c>
      <c r="V5127">
        <v>0</v>
      </c>
      <c r="W5127">
        <v>0</v>
      </c>
      <c r="X5127">
        <v>2</v>
      </c>
      <c r="Y5127">
        <v>0</v>
      </c>
      <c r="AA5127">
        <v>1</v>
      </c>
      <c r="AB5127">
        <v>8</v>
      </c>
      <c r="AC5127">
        <v>3</v>
      </c>
      <c r="AD5127">
        <v>0</v>
      </c>
      <c r="AE5127">
        <v>9</v>
      </c>
      <c r="AF5127" t="s">
        <v>138</v>
      </c>
      <c r="AG5127">
        <v>0</v>
      </c>
      <c r="AH5127">
        <v>3</v>
      </c>
      <c r="AI5127">
        <v>2</v>
      </c>
      <c r="AJ5127">
        <v>0</v>
      </c>
      <c r="AK5127" t="s">
        <v>1616</v>
      </c>
      <c r="AL5127">
        <v>39.234451999999997</v>
      </c>
      <c r="AM5127" t="s">
        <v>1617</v>
      </c>
      <c r="AN5127">
        <v>-121.02339499999999</v>
      </c>
      <c r="AO5127">
        <v>25</v>
      </c>
      <c r="AP5127">
        <v>3700</v>
      </c>
      <c r="AQ5127" t="s">
        <v>131</v>
      </c>
      <c r="AR5127">
        <v>-94</v>
      </c>
      <c r="AS5127">
        <v>-17</v>
      </c>
      <c r="AT5127">
        <v>-896</v>
      </c>
      <c r="BB5127" t="str">
        <f t="shared" si="2030"/>
        <v>1200</v>
      </c>
      <c r="BC5127">
        <v>1</v>
      </c>
      <c r="BD5127" t="str">
        <f t="shared" si="2031"/>
        <v xml:space="preserve">N52156  </v>
      </c>
      <c r="BE5127">
        <v>1</v>
      </c>
      <c r="BG5127">
        <v>0</v>
      </c>
      <c r="BH5127">
        <v>0</v>
      </c>
      <c r="BI5127">
        <v>0</v>
      </c>
      <c r="BJ5127">
        <v>3725</v>
      </c>
      <c r="BK5127">
        <v>25</v>
      </c>
      <c r="BL5127" t="s">
        <v>188</v>
      </c>
      <c r="BM5127">
        <v>1</v>
      </c>
      <c r="BN5127">
        <v>1</v>
      </c>
      <c r="BO5127">
        <v>0</v>
      </c>
      <c r="BP5127">
        <v>0</v>
      </c>
      <c r="BS5127">
        <v>0</v>
      </c>
      <c r="BT5127">
        <v>0</v>
      </c>
      <c r="BU5127">
        <v>0</v>
      </c>
      <c r="CE5127" t="str">
        <f t="shared" si="2033"/>
        <v>15:18:46.222</v>
      </c>
      <c r="CF5127">
        <v>221506276</v>
      </c>
      <c r="CS5127">
        <v>0</v>
      </c>
      <c r="CT5127">
        <v>2</v>
      </c>
      <c r="CU5127">
        <v>0</v>
      </c>
      <c r="CV5127">
        <v>2</v>
      </c>
      <c r="CW5127">
        <v>0</v>
      </c>
      <c r="CX5127">
        <v>3</v>
      </c>
      <c r="CY5127">
        <v>7</v>
      </c>
      <c r="CZ5127" t="s">
        <v>133</v>
      </c>
      <c r="DA5127">
        <v>275</v>
      </c>
      <c r="DB5127">
        <v>0</v>
      </c>
      <c r="DC5127" t="s">
        <v>134</v>
      </c>
      <c r="DD5127" t="s">
        <v>135</v>
      </c>
      <c r="DG5127">
        <v>3323606</v>
      </c>
      <c r="DI5127">
        <v>1</v>
      </c>
      <c r="DJ5127">
        <v>0</v>
      </c>
      <c r="DK5127">
        <v>1</v>
      </c>
      <c r="DL5127">
        <v>0</v>
      </c>
      <c r="DM5127">
        <v>0</v>
      </c>
      <c r="DN5127">
        <v>0</v>
      </c>
      <c r="DO5127">
        <v>0</v>
      </c>
      <c r="DP5127">
        <v>0</v>
      </c>
      <c r="DQ5127">
        <v>0</v>
      </c>
      <c r="DR5127">
        <v>0</v>
      </c>
      <c r="DS5127">
        <v>0</v>
      </c>
    </row>
    <row r="5128" spans="1:123" x14ac:dyDescent="0.3">
      <c r="A5128" t="str">
        <f>"05/01/2025 15:18:46.438"</f>
        <v>05/01/2025 15:18:46.438</v>
      </c>
      <c r="C5128" t="str">
        <f t="shared" si="2028"/>
        <v>FFDFD3C0</v>
      </c>
      <c r="D5128" t="s">
        <v>136</v>
      </c>
      <c r="E5128" t="str">
        <f>"20"</f>
        <v>20</v>
      </c>
      <c r="H5128">
        <v>400</v>
      </c>
      <c r="I5128" t="s">
        <v>137</v>
      </c>
      <c r="J5128" t="s">
        <v>138</v>
      </c>
      <c r="K5128">
        <v>0</v>
      </c>
      <c r="L5128">
        <v>3</v>
      </c>
      <c r="M5128">
        <v>0</v>
      </c>
      <c r="N5128">
        <v>2</v>
      </c>
      <c r="O5128">
        <v>0</v>
      </c>
      <c r="P5128">
        <v>1</v>
      </c>
      <c r="Q5128">
        <v>0</v>
      </c>
      <c r="R5128" t="s">
        <v>127</v>
      </c>
      <c r="S5128" t="str">
        <f t="shared" si="2032"/>
        <v>15:18:46.000</v>
      </c>
      <c r="T5128" t="str">
        <f t="shared" si="2032"/>
        <v>15:18:46.000</v>
      </c>
      <c r="U5128" t="str">
        <f t="shared" si="2029"/>
        <v>A68FCB</v>
      </c>
      <c r="V5128">
        <v>0</v>
      </c>
      <c r="W5128">
        <v>0</v>
      </c>
      <c r="X5128">
        <v>2</v>
      </c>
      <c r="Y5128">
        <v>0</v>
      </c>
      <c r="AA5128">
        <v>1</v>
      </c>
      <c r="AB5128">
        <v>8</v>
      </c>
      <c r="AC5128">
        <v>3</v>
      </c>
      <c r="AD5128">
        <v>0</v>
      </c>
      <c r="AE5128">
        <v>9</v>
      </c>
      <c r="AF5128" t="s">
        <v>138</v>
      </c>
      <c r="AG5128">
        <v>0</v>
      </c>
      <c r="AH5128">
        <v>3</v>
      </c>
      <c r="AI5128">
        <v>2</v>
      </c>
      <c r="AJ5128">
        <v>0</v>
      </c>
      <c r="AK5128" t="s">
        <v>1616</v>
      </c>
      <c r="AL5128">
        <v>39.234451999999997</v>
      </c>
      <c r="AM5128" t="s">
        <v>1617</v>
      </c>
      <c r="AN5128">
        <v>-121.02339499999999</v>
      </c>
      <c r="AO5128">
        <v>25</v>
      </c>
      <c r="AP5128">
        <v>3700</v>
      </c>
      <c r="AQ5128" t="s">
        <v>131</v>
      </c>
      <c r="AR5128">
        <v>-94</v>
      </c>
      <c r="AS5128">
        <v>-17</v>
      </c>
      <c r="AT5128">
        <v>-896</v>
      </c>
      <c r="BB5128" t="str">
        <f t="shared" si="2030"/>
        <v>1200</v>
      </c>
      <c r="BC5128">
        <v>1</v>
      </c>
      <c r="BD5128" t="str">
        <f t="shared" si="2031"/>
        <v xml:space="preserve">N52156  </v>
      </c>
      <c r="BE5128">
        <v>1</v>
      </c>
      <c r="BG5128">
        <v>0</v>
      </c>
      <c r="BH5128">
        <v>0</v>
      </c>
      <c r="BI5128">
        <v>0</v>
      </c>
      <c r="BJ5128">
        <v>3725</v>
      </c>
      <c r="BK5128">
        <v>25</v>
      </c>
      <c r="BL5128" t="s">
        <v>188</v>
      </c>
      <c r="BM5128">
        <v>1</v>
      </c>
      <c r="BN5128">
        <v>1</v>
      </c>
      <c r="BO5128">
        <v>0</v>
      </c>
      <c r="BP5128">
        <v>0</v>
      </c>
      <c r="BS5128">
        <v>0</v>
      </c>
      <c r="BT5128">
        <v>0</v>
      </c>
      <c r="BU5128">
        <v>0</v>
      </c>
      <c r="CE5128" t="str">
        <f t="shared" si="2033"/>
        <v>15:18:46.222</v>
      </c>
      <c r="CF5128">
        <v>221506276</v>
      </c>
      <c r="CS5128">
        <v>0</v>
      </c>
      <c r="CT5128">
        <v>2</v>
      </c>
      <c r="CU5128">
        <v>0</v>
      </c>
      <c r="CV5128">
        <v>2</v>
      </c>
      <c r="CW5128">
        <v>0</v>
      </c>
      <c r="CX5128">
        <v>3</v>
      </c>
      <c r="CY5128">
        <v>7</v>
      </c>
      <c r="CZ5128" t="s">
        <v>133</v>
      </c>
      <c r="DA5128">
        <v>275</v>
      </c>
      <c r="DB5128">
        <v>0</v>
      </c>
      <c r="DC5128" t="s">
        <v>134</v>
      </c>
      <c r="DD5128" t="s">
        <v>135</v>
      </c>
      <c r="DG5128">
        <v>3323606</v>
      </c>
      <c r="DI5128">
        <v>1</v>
      </c>
      <c r="DJ5128">
        <v>0</v>
      </c>
      <c r="DK5128">
        <v>1</v>
      </c>
      <c r="DL5128">
        <v>0</v>
      </c>
      <c r="DM5128">
        <v>0</v>
      </c>
      <c r="DN5128">
        <v>0</v>
      </c>
      <c r="DO5128">
        <v>0</v>
      </c>
      <c r="DP5128">
        <v>0</v>
      </c>
      <c r="DQ5128">
        <v>0</v>
      </c>
      <c r="DR5128">
        <v>0</v>
      </c>
      <c r="DS5128">
        <v>0</v>
      </c>
    </row>
    <row r="5129" spans="1:123" x14ac:dyDescent="0.3">
      <c r="A5129" t="str">
        <f>"05/01/2025 15:18:46.455"</f>
        <v>05/01/2025 15:18:46.455</v>
      </c>
      <c r="C5129" t="str">
        <f t="shared" si="2028"/>
        <v>FFDFD3C0</v>
      </c>
      <c r="D5129" t="s">
        <v>140</v>
      </c>
      <c r="E5129" t="str">
        <f>"13"</f>
        <v>13</v>
      </c>
      <c r="F5129">
        <v>1019</v>
      </c>
      <c r="G5129" t="s">
        <v>141</v>
      </c>
      <c r="J5129" t="s">
        <v>142</v>
      </c>
      <c r="K5129">
        <v>0</v>
      </c>
      <c r="L5129">
        <v>3</v>
      </c>
      <c r="M5129">
        <v>0</v>
      </c>
      <c r="N5129">
        <v>2</v>
      </c>
      <c r="O5129">
        <v>0</v>
      </c>
      <c r="P5129">
        <v>1</v>
      </c>
      <c r="Q5129">
        <v>0</v>
      </c>
      <c r="R5129" t="s">
        <v>127</v>
      </c>
      <c r="S5129" t="str">
        <f t="shared" si="2032"/>
        <v>15:18:46.000</v>
      </c>
      <c r="T5129" t="str">
        <f t="shared" si="2032"/>
        <v>15:18:46.000</v>
      </c>
      <c r="U5129" t="str">
        <f t="shared" si="2029"/>
        <v>A68FCB</v>
      </c>
      <c r="V5129">
        <v>0</v>
      </c>
      <c r="W5129">
        <v>0</v>
      </c>
      <c r="X5129">
        <v>2</v>
      </c>
      <c r="Y5129">
        <v>0</v>
      </c>
      <c r="AA5129">
        <v>1</v>
      </c>
      <c r="AB5129">
        <v>8</v>
      </c>
      <c r="AC5129">
        <v>3</v>
      </c>
      <c r="AD5129">
        <v>0</v>
      </c>
      <c r="AE5129">
        <v>9</v>
      </c>
      <c r="AF5129" t="s">
        <v>138</v>
      </c>
      <c r="AG5129">
        <v>0</v>
      </c>
      <c r="AH5129">
        <v>3</v>
      </c>
      <c r="AI5129">
        <v>2</v>
      </c>
      <c r="AJ5129">
        <v>0</v>
      </c>
      <c r="AK5129" t="s">
        <v>1616</v>
      </c>
      <c r="AL5129">
        <v>39.234451999999997</v>
      </c>
      <c r="AM5129" t="s">
        <v>1617</v>
      </c>
      <c r="AN5129">
        <v>-121.02339499999999</v>
      </c>
      <c r="AO5129">
        <v>25</v>
      </c>
      <c r="AP5129">
        <v>3700</v>
      </c>
      <c r="AQ5129" t="s">
        <v>131</v>
      </c>
      <c r="AR5129">
        <v>-94</v>
      </c>
      <c r="AS5129">
        <v>-17</v>
      </c>
      <c r="AT5129">
        <v>-896</v>
      </c>
      <c r="BB5129" t="str">
        <f t="shared" si="2030"/>
        <v>1200</v>
      </c>
      <c r="BC5129">
        <v>1</v>
      </c>
      <c r="BD5129" t="str">
        <f t="shared" si="2031"/>
        <v xml:space="preserve">N52156  </v>
      </c>
      <c r="BE5129">
        <v>1</v>
      </c>
      <c r="BG5129">
        <v>0</v>
      </c>
      <c r="BH5129">
        <v>0</v>
      </c>
      <c r="BI5129">
        <v>0</v>
      </c>
      <c r="BJ5129">
        <v>3725</v>
      </c>
      <c r="BK5129">
        <v>25</v>
      </c>
      <c r="BL5129" t="s">
        <v>188</v>
      </c>
      <c r="BM5129">
        <v>1</v>
      </c>
      <c r="BN5129">
        <v>1</v>
      </c>
      <c r="BO5129">
        <v>0</v>
      </c>
      <c r="BP5129">
        <v>0</v>
      </c>
      <c r="BS5129">
        <v>0</v>
      </c>
      <c r="BT5129">
        <v>0</v>
      </c>
      <c r="BU5129">
        <v>0</v>
      </c>
      <c r="CE5129" t="str">
        <f t="shared" si="2033"/>
        <v>15:18:46.222</v>
      </c>
      <c r="CF5129">
        <v>221506276</v>
      </c>
      <c r="CS5129">
        <v>0</v>
      </c>
      <c r="CT5129">
        <v>2</v>
      </c>
      <c r="CU5129">
        <v>0</v>
      </c>
      <c r="CV5129">
        <v>2</v>
      </c>
      <c r="CW5129">
        <v>0</v>
      </c>
      <c r="CX5129">
        <v>3</v>
      </c>
      <c r="CY5129">
        <v>7</v>
      </c>
      <c r="CZ5129" t="s">
        <v>133</v>
      </c>
      <c r="DA5129">
        <v>275</v>
      </c>
      <c r="DB5129">
        <v>0</v>
      </c>
      <c r="DC5129" t="s">
        <v>134</v>
      </c>
      <c r="DD5129" t="s">
        <v>135</v>
      </c>
      <c r="DG5129">
        <v>3323606</v>
      </c>
      <c r="DI5129">
        <v>1</v>
      </c>
      <c r="DJ5129">
        <v>0</v>
      </c>
      <c r="DK5129">
        <v>1</v>
      </c>
      <c r="DL5129">
        <v>0</v>
      </c>
      <c r="DM5129">
        <v>0</v>
      </c>
      <c r="DN5129">
        <v>0</v>
      </c>
      <c r="DO5129">
        <v>0</v>
      </c>
      <c r="DP5129">
        <v>0</v>
      </c>
      <c r="DQ5129">
        <v>0</v>
      </c>
      <c r="DR5129">
        <v>0</v>
      </c>
      <c r="DS5129">
        <v>0</v>
      </c>
    </row>
    <row r="5130" spans="1:123" x14ac:dyDescent="0.3">
      <c r="A5130" t="str">
        <f>"05/01/2025 15:18:46.457"</f>
        <v>05/01/2025 15:18:46.457</v>
      </c>
      <c r="C5130" t="str">
        <f t="shared" si="2028"/>
        <v>FFDFD3C0</v>
      </c>
      <c r="D5130" t="s">
        <v>124</v>
      </c>
      <c r="E5130" t="str">
        <f>"06"</f>
        <v>06</v>
      </c>
      <c r="F5130">
        <v>2006</v>
      </c>
      <c r="G5130" t="s">
        <v>125</v>
      </c>
      <c r="J5130" t="s">
        <v>126</v>
      </c>
      <c r="K5130">
        <v>0</v>
      </c>
      <c r="L5130">
        <v>3</v>
      </c>
      <c r="M5130">
        <v>0</v>
      </c>
      <c r="N5130">
        <v>2</v>
      </c>
      <c r="O5130">
        <v>0</v>
      </c>
      <c r="P5130">
        <v>1</v>
      </c>
      <c r="Q5130">
        <v>0</v>
      </c>
      <c r="R5130" t="s">
        <v>127</v>
      </c>
      <c r="S5130" t="str">
        <f t="shared" si="2032"/>
        <v>15:18:46.000</v>
      </c>
      <c r="T5130" t="str">
        <f t="shared" si="2032"/>
        <v>15:18:46.000</v>
      </c>
      <c r="U5130" t="str">
        <f t="shared" si="2029"/>
        <v>A68FCB</v>
      </c>
      <c r="V5130">
        <v>0</v>
      </c>
      <c r="W5130">
        <v>0</v>
      </c>
      <c r="X5130">
        <v>2</v>
      </c>
      <c r="Y5130">
        <v>0</v>
      </c>
      <c r="AA5130">
        <v>1</v>
      </c>
      <c r="AB5130">
        <v>8</v>
      </c>
      <c r="AC5130">
        <v>3</v>
      </c>
      <c r="AD5130">
        <v>0</v>
      </c>
      <c r="AE5130">
        <v>9</v>
      </c>
      <c r="AF5130" t="s">
        <v>138</v>
      </c>
      <c r="AG5130">
        <v>0</v>
      </c>
      <c r="AH5130">
        <v>3</v>
      </c>
      <c r="AI5130">
        <v>2</v>
      </c>
      <c r="AJ5130">
        <v>0</v>
      </c>
      <c r="AK5130" t="s">
        <v>1616</v>
      </c>
      <c r="AL5130">
        <v>39.234451999999997</v>
      </c>
      <c r="AM5130" t="s">
        <v>1617</v>
      </c>
      <c r="AN5130">
        <v>-121.02339499999999</v>
      </c>
      <c r="AO5130">
        <v>25</v>
      </c>
      <c r="AP5130">
        <v>3700</v>
      </c>
      <c r="AQ5130" t="s">
        <v>131</v>
      </c>
      <c r="AR5130">
        <v>-94</v>
      </c>
      <c r="AS5130">
        <v>-17</v>
      </c>
      <c r="AT5130">
        <v>-896</v>
      </c>
      <c r="BB5130" t="str">
        <f t="shared" si="2030"/>
        <v>1200</v>
      </c>
      <c r="BC5130">
        <v>1</v>
      </c>
      <c r="BD5130" t="str">
        <f t="shared" si="2031"/>
        <v xml:space="preserve">N52156  </v>
      </c>
      <c r="BE5130">
        <v>1</v>
      </c>
      <c r="BG5130">
        <v>0</v>
      </c>
      <c r="BH5130">
        <v>0</v>
      </c>
      <c r="BI5130">
        <v>0</v>
      </c>
      <c r="BJ5130">
        <v>3725</v>
      </c>
      <c r="BK5130">
        <v>25</v>
      </c>
      <c r="BL5130" t="s">
        <v>188</v>
      </c>
      <c r="BM5130">
        <v>1</v>
      </c>
      <c r="BN5130">
        <v>1</v>
      </c>
      <c r="BO5130">
        <v>0</v>
      </c>
      <c r="BP5130">
        <v>0</v>
      </c>
      <c r="BS5130">
        <v>0</v>
      </c>
      <c r="BT5130">
        <v>0</v>
      </c>
      <c r="BU5130">
        <v>0</v>
      </c>
      <c r="CE5130" t="str">
        <f t="shared" si="2033"/>
        <v>15:18:46.222</v>
      </c>
      <c r="CF5130">
        <v>221506276</v>
      </c>
      <c r="CS5130">
        <v>0</v>
      </c>
      <c r="CT5130">
        <v>2</v>
      </c>
      <c r="CU5130">
        <v>0</v>
      </c>
      <c r="CV5130">
        <v>2</v>
      </c>
      <c r="CW5130">
        <v>0</v>
      </c>
      <c r="CX5130">
        <v>3</v>
      </c>
      <c r="CY5130">
        <v>7</v>
      </c>
      <c r="CZ5130" t="s">
        <v>133</v>
      </c>
      <c r="DA5130">
        <v>275</v>
      </c>
      <c r="DB5130">
        <v>0</v>
      </c>
      <c r="DC5130" t="s">
        <v>134</v>
      </c>
      <c r="DD5130" t="s">
        <v>135</v>
      </c>
      <c r="DG5130">
        <v>3323606</v>
      </c>
      <c r="DI5130">
        <v>1</v>
      </c>
      <c r="DJ5130">
        <v>0</v>
      </c>
      <c r="DK5130">
        <v>1</v>
      </c>
      <c r="DL5130">
        <v>0</v>
      </c>
      <c r="DM5130">
        <v>0</v>
      </c>
      <c r="DN5130">
        <v>0</v>
      </c>
      <c r="DO5130">
        <v>0</v>
      </c>
      <c r="DP5130">
        <v>0</v>
      </c>
      <c r="DQ5130">
        <v>0</v>
      </c>
      <c r="DR5130">
        <v>0</v>
      </c>
      <c r="DS5130">
        <v>0</v>
      </c>
    </row>
    <row r="5131" spans="1:123" x14ac:dyDescent="0.3">
      <c r="A5131" t="str">
        <f>"05/01/2025 15:18:46.467"</f>
        <v>05/01/2025 15:18:46.467</v>
      </c>
      <c r="C5131" t="str">
        <f t="shared" si="2028"/>
        <v>FFDFD3C0</v>
      </c>
      <c r="D5131" t="s">
        <v>143</v>
      </c>
      <c r="E5131" t="str">
        <f>"05"</f>
        <v>05</v>
      </c>
      <c r="H5131">
        <v>172</v>
      </c>
      <c r="I5131" t="s">
        <v>141</v>
      </c>
      <c r="J5131" t="s">
        <v>144</v>
      </c>
      <c r="K5131">
        <v>0</v>
      </c>
      <c r="L5131">
        <v>3</v>
      </c>
      <c r="M5131">
        <v>0</v>
      </c>
      <c r="N5131">
        <v>2</v>
      </c>
      <c r="O5131">
        <v>0</v>
      </c>
      <c r="P5131">
        <v>1</v>
      </c>
      <c r="Q5131">
        <v>0</v>
      </c>
      <c r="R5131" t="s">
        <v>127</v>
      </c>
      <c r="S5131" t="str">
        <f t="shared" si="2032"/>
        <v>15:18:46.000</v>
      </c>
      <c r="T5131" t="str">
        <f t="shared" si="2032"/>
        <v>15:18:46.000</v>
      </c>
      <c r="U5131" t="str">
        <f t="shared" si="2029"/>
        <v>A68FCB</v>
      </c>
      <c r="V5131">
        <v>0</v>
      </c>
      <c r="W5131">
        <v>0</v>
      </c>
      <c r="X5131">
        <v>2</v>
      </c>
      <c r="Y5131">
        <v>0</v>
      </c>
      <c r="AA5131">
        <v>1</v>
      </c>
      <c r="AB5131">
        <v>8</v>
      </c>
      <c r="AC5131">
        <v>3</v>
      </c>
      <c r="AD5131">
        <v>0</v>
      </c>
      <c r="AE5131">
        <v>9</v>
      </c>
      <c r="AF5131" t="s">
        <v>138</v>
      </c>
      <c r="AG5131">
        <v>0</v>
      </c>
      <c r="AH5131">
        <v>3</v>
      </c>
      <c r="AI5131">
        <v>2</v>
      </c>
      <c r="AJ5131">
        <v>0</v>
      </c>
      <c r="AK5131" t="s">
        <v>1616</v>
      </c>
      <c r="AL5131">
        <v>39.234451999999997</v>
      </c>
      <c r="AM5131" t="s">
        <v>1617</v>
      </c>
      <c r="AN5131">
        <v>-121.02339499999999</v>
      </c>
      <c r="AO5131">
        <v>25</v>
      </c>
      <c r="AP5131">
        <v>3700</v>
      </c>
      <c r="AQ5131" t="s">
        <v>131</v>
      </c>
      <c r="AR5131">
        <v>-94</v>
      </c>
      <c r="AS5131">
        <v>-17</v>
      </c>
      <c r="AT5131">
        <v>-896</v>
      </c>
      <c r="BB5131" t="str">
        <f t="shared" si="2030"/>
        <v>1200</v>
      </c>
      <c r="BC5131">
        <v>1</v>
      </c>
      <c r="BD5131" t="str">
        <f t="shared" si="2031"/>
        <v xml:space="preserve">N52156  </v>
      </c>
      <c r="BE5131">
        <v>1</v>
      </c>
      <c r="BG5131">
        <v>0</v>
      </c>
      <c r="BH5131">
        <v>0</v>
      </c>
      <c r="BI5131">
        <v>0</v>
      </c>
      <c r="BJ5131">
        <v>3725</v>
      </c>
      <c r="BK5131">
        <v>25</v>
      </c>
      <c r="BL5131" t="s">
        <v>188</v>
      </c>
      <c r="BM5131">
        <v>1</v>
      </c>
      <c r="BN5131">
        <v>1</v>
      </c>
      <c r="BO5131">
        <v>0</v>
      </c>
      <c r="BP5131">
        <v>0</v>
      </c>
      <c r="BS5131">
        <v>0</v>
      </c>
      <c r="BT5131">
        <v>0</v>
      </c>
      <c r="BU5131">
        <v>0</v>
      </c>
      <c r="CE5131" t="str">
        <f t="shared" si="2033"/>
        <v>15:18:46.222</v>
      </c>
      <c r="CF5131">
        <v>221506276</v>
      </c>
      <c r="CS5131">
        <v>0</v>
      </c>
      <c r="CT5131">
        <v>2</v>
      </c>
      <c r="CU5131">
        <v>0</v>
      </c>
      <c r="CV5131">
        <v>2</v>
      </c>
      <c r="CW5131">
        <v>0</v>
      </c>
      <c r="CX5131">
        <v>3</v>
      </c>
      <c r="CY5131">
        <v>7</v>
      </c>
      <c r="CZ5131" t="s">
        <v>133</v>
      </c>
      <c r="DA5131">
        <v>275</v>
      </c>
      <c r="DB5131">
        <v>0</v>
      </c>
      <c r="DC5131" t="s">
        <v>134</v>
      </c>
      <c r="DD5131" t="s">
        <v>135</v>
      </c>
      <c r="DG5131">
        <v>3323606</v>
      </c>
      <c r="DI5131">
        <v>1</v>
      </c>
      <c r="DJ5131">
        <v>0</v>
      </c>
      <c r="DK5131">
        <v>1</v>
      </c>
      <c r="DL5131">
        <v>0</v>
      </c>
      <c r="DM5131">
        <v>0</v>
      </c>
      <c r="DN5131">
        <v>0</v>
      </c>
      <c r="DO5131">
        <v>0</v>
      </c>
      <c r="DP5131">
        <v>0</v>
      </c>
      <c r="DQ5131">
        <v>0</v>
      </c>
      <c r="DR5131">
        <v>0</v>
      </c>
      <c r="DS5131">
        <v>0</v>
      </c>
    </row>
    <row r="5132" spans="1:123" x14ac:dyDescent="0.3">
      <c r="A5132" t="str">
        <f>"05/01/2025 15:18:47.656"</f>
        <v>05/01/2025 15:18:47.656</v>
      </c>
      <c r="C5132" t="str">
        <f t="shared" si="2028"/>
        <v>FFDFD3C0</v>
      </c>
      <c r="D5132" t="s">
        <v>140</v>
      </c>
      <c r="E5132" t="str">
        <f>"13"</f>
        <v>13</v>
      </c>
      <c r="F5132">
        <v>1019</v>
      </c>
      <c r="G5132" t="s">
        <v>141</v>
      </c>
      <c r="J5132" t="s">
        <v>142</v>
      </c>
      <c r="K5132">
        <v>0</v>
      </c>
      <c r="L5132">
        <v>3</v>
      </c>
      <c r="M5132">
        <v>0</v>
      </c>
      <c r="N5132">
        <v>2</v>
      </c>
      <c r="O5132">
        <v>0</v>
      </c>
      <c r="P5132">
        <v>1</v>
      </c>
      <c r="Q5132">
        <v>0</v>
      </c>
      <c r="R5132" t="s">
        <v>127</v>
      </c>
      <c r="S5132" t="str">
        <f t="shared" ref="S5132:T5137" si="2034">"15:18:47.000"</f>
        <v>15:18:47.000</v>
      </c>
      <c r="T5132" t="str">
        <f t="shared" si="2034"/>
        <v>15:18:47.000</v>
      </c>
      <c r="U5132" t="str">
        <f t="shared" si="2029"/>
        <v>A68FCB</v>
      </c>
      <c r="V5132">
        <v>0</v>
      </c>
      <c r="W5132">
        <v>0</v>
      </c>
      <c r="X5132">
        <v>2</v>
      </c>
      <c r="Y5132">
        <v>0</v>
      </c>
      <c r="AA5132">
        <v>1</v>
      </c>
      <c r="AB5132">
        <v>8</v>
      </c>
      <c r="AC5132">
        <v>3</v>
      </c>
      <c r="AD5132">
        <v>0</v>
      </c>
      <c r="AE5132">
        <v>9</v>
      </c>
      <c r="AF5132" t="s">
        <v>138</v>
      </c>
      <c r="AG5132">
        <v>0</v>
      </c>
      <c r="AH5132">
        <v>3</v>
      </c>
      <c r="AI5132">
        <v>2</v>
      </c>
      <c r="AJ5132">
        <v>0</v>
      </c>
      <c r="AK5132" t="s">
        <v>1618</v>
      </c>
      <c r="AL5132">
        <v>39.234366000000001</v>
      </c>
      <c r="AM5132" t="s">
        <v>1619</v>
      </c>
      <c r="AN5132">
        <v>-121.02395300000001</v>
      </c>
      <c r="AO5132">
        <v>25</v>
      </c>
      <c r="AP5132">
        <v>3700</v>
      </c>
      <c r="AQ5132" t="s">
        <v>131</v>
      </c>
      <c r="AR5132">
        <v>-93</v>
      </c>
      <c r="AS5132">
        <v>-20</v>
      </c>
      <c r="AT5132">
        <v>-896</v>
      </c>
      <c r="BB5132" t="str">
        <f t="shared" si="2030"/>
        <v>1200</v>
      </c>
      <c r="BC5132">
        <v>1</v>
      </c>
      <c r="BD5132" t="str">
        <f t="shared" si="2031"/>
        <v xml:space="preserve">N52156  </v>
      </c>
      <c r="BE5132">
        <v>1</v>
      </c>
      <c r="BG5132">
        <v>0</v>
      </c>
      <c r="BH5132">
        <v>0</v>
      </c>
      <c r="BI5132">
        <v>0</v>
      </c>
      <c r="BJ5132">
        <v>3675</v>
      </c>
      <c r="BK5132">
        <v>-25</v>
      </c>
      <c r="BL5132" t="s">
        <v>188</v>
      </c>
      <c r="BM5132">
        <v>1</v>
      </c>
      <c r="BN5132">
        <v>1</v>
      </c>
      <c r="BO5132">
        <v>0</v>
      </c>
      <c r="BP5132">
        <v>0</v>
      </c>
      <c r="BS5132">
        <v>0</v>
      </c>
      <c r="BT5132">
        <v>0</v>
      </c>
      <c r="BU5132">
        <v>0</v>
      </c>
      <c r="CE5132" t="str">
        <f t="shared" ref="CE5132:CE5137" si="2035">"15:18:47.438"</f>
        <v>15:18:47.438</v>
      </c>
      <c r="CF5132">
        <v>438256865</v>
      </c>
      <c r="CS5132">
        <v>0</v>
      </c>
      <c r="CT5132">
        <v>2</v>
      </c>
      <c r="CU5132">
        <v>0</v>
      </c>
      <c r="CV5132">
        <v>2</v>
      </c>
      <c r="CW5132">
        <v>0</v>
      </c>
      <c r="CX5132">
        <v>3</v>
      </c>
      <c r="CY5132">
        <v>7</v>
      </c>
      <c r="CZ5132" t="s">
        <v>133</v>
      </c>
      <c r="DA5132">
        <v>275</v>
      </c>
      <c r="DB5132">
        <v>0</v>
      </c>
      <c r="DC5132" t="s">
        <v>134</v>
      </c>
      <c r="DD5132" t="s">
        <v>135</v>
      </c>
      <c r="DG5132">
        <v>3323616</v>
      </c>
      <c r="DI5132">
        <v>1</v>
      </c>
      <c r="DJ5132">
        <v>0</v>
      </c>
      <c r="DK5132">
        <v>0</v>
      </c>
      <c r="DL5132">
        <v>0</v>
      </c>
      <c r="DM5132">
        <v>0</v>
      </c>
      <c r="DN5132">
        <v>0</v>
      </c>
      <c r="DO5132">
        <v>0</v>
      </c>
      <c r="DP5132">
        <v>0</v>
      </c>
      <c r="DQ5132">
        <v>0</v>
      </c>
      <c r="DR5132">
        <v>0</v>
      </c>
      <c r="DS5132">
        <v>0</v>
      </c>
    </row>
    <row r="5133" spans="1:123" x14ac:dyDescent="0.3">
      <c r="A5133" t="str">
        <f>"05/01/2025 15:18:47.658"</f>
        <v>05/01/2025 15:18:47.658</v>
      </c>
      <c r="C5133" t="str">
        <f t="shared" si="2028"/>
        <v>FFDFD3C0</v>
      </c>
      <c r="D5133" t="s">
        <v>124</v>
      </c>
      <c r="E5133" t="str">
        <f>"06"</f>
        <v>06</v>
      </c>
      <c r="F5133">
        <v>2006</v>
      </c>
      <c r="G5133" t="s">
        <v>125</v>
      </c>
      <c r="J5133" t="s">
        <v>126</v>
      </c>
      <c r="K5133">
        <v>0</v>
      </c>
      <c r="L5133">
        <v>3</v>
      </c>
      <c r="M5133">
        <v>0</v>
      </c>
      <c r="N5133">
        <v>2</v>
      </c>
      <c r="O5133">
        <v>0</v>
      </c>
      <c r="P5133">
        <v>1</v>
      </c>
      <c r="Q5133">
        <v>0</v>
      </c>
      <c r="R5133" t="s">
        <v>127</v>
      </c>
      <c r="S5133" t="str">
        <f t="shared" si="2034"/>
        <v>15:18:47.000</v>
      </c>
      <c r="T5133" t="str">
        <f t="shared" si="2034"/>
        <v>15:18:47.000</v>
      </c>
      <c r="U5133" t="str">
        <f t="shared" si="2029"/>
        <v>A68FCB</v>
      </c>
      <c r="V5133">
        <v>0</v>
      </c>
      <c r="W5133">
        <v>0</v>
      </c>
      <c r="X5133">
        <v>2</v>
      </c>
      <c r="Y5133">
        <v>0</v>
      </c>
      <c r="AA5133">
        <v>1</v>
      </c>
      <c r="AB5133">
        <v>8</v>
      </c>
      <c r="AC5133">
        <v>3</v>
      </c>
      <c r="AD5133">
        <v>0</v>
      </c>
      <c r="AE5133">
        <v>9</v>
      </c>
      <c r="AF5133" t="s">
        <v>138</v>
      </c>
      <c r="AG5133">
        <v>0</v>
      </c>
      <c r="AH5133">
        <v>3</v>
      </c>
      <c r="AI5133">
        <v>2</v>
      </c>
      <c r="AJ5133">
        <v>0</v>
      </c>
      <c r="AK5133" t="s">
        <v>1618</v>
      </c>
      <c r="AL5133">
        <v>39.234366000000001</v>
      </c>
      <c r="AM5133" t="s">
        <v>1619</v>
      </c>
      <c r="AN5133">
        <v>-121.02395300000001</v>
      </c>
      <c r="AO5133">
        <v>25</v>
      </c>
      <c r="AP5133">
        <v>3700</v>
      </c>
      <c r="AQ5133" t="s">
        <v>131</v>
      </c>
      <c r="AR5133">
        <v>-93</v>
      </c>
      <c r="AS5133">
        <v>-20</v>
      </c>
      <c r="AT5133">
        <v>-896</v>
      </c>
      <c r="BB5133" t="str">
        <f t="shared" si="2030"/>
        <v>1200</v>
      </c>
      <c r="BC5133">
        <v>1</v>
      </c>
      <c r="BD5133" t="str">
        <f t="shared" si="2031"/>
        <v xml:space="preserve">N52156  </v>
      </c>
      <c r="BE5133">
        <v>1</v>
      </c>
      <c r="BG5133">
        <v>0</v>
      </c>
      <c r="BH5133">
        <v>0</v>
      </c>
      <c r="BI5133">
        <v>0</v>
      </c>
      <c r="BJ5133">
        <v>3675</v>
      </c>
      <c r="BK5133">
        <v>-25</v>
      </c>
      <c r="BL5133" t="s">
        <v>188</v>
      </c>
      <c r="BM5133">
        <v>1</v>
      </c>
      <c r="BN5133">
        <v>1</v>
      </c>
      <c r="BO5133">
        <v>0</v>
      </c>
      <c r="BP5133">
        <v>0</v>
      </c>
      <c r="BS5133">
        <v>0</v>
      </c>
      <c r="BT5133">
        <v>0</v>
      </c>
      <c r="BU5133">
        <v>0</v>
      </c>
      <c r="CE5133" t="str">
        <f t="shared" si="2035"/>
        <v>15:18:47.438</v>
      </c>
      <c r="CF5133">
        <v>438256865</v>
      </c>
      <c r="CS5133">
        <v>0</v>
      </c>
      <c r="CT5133">
        <v>2</v>
      </c>
      <c r="CU5133">
        <v>0</v>
      </c>
      <c r="CV5133">
        <v>2</v>
      </c>
      <c r="CW5133">
        <v>0</v>
      </c>
      <c r="CX5133">
        <v>3</v>
      </c>
      <c r="CY5133">
        <v>7</v>
      </c>
      <c r="CZ5133" t="s">
        <v>133</v>
      </c>
      <c r="DA5133">
        <v>275</v>
      </c>
      <c r="DB5133">
        <v>0</v>
      </c>
      <c r="DC5133" t="s">
        <v>134</v>
      </c>
      <c r="DD5133" t="s">
        <v>135</v>
      </c>
      <c r="DG5133">
        <v>3323616</v>
      </c>
      <c r="DI5133">
        <v>1</v>
      </c>
      <c r="DJ5133">
        <v>0</v>
      </c>
      <c r="DK5133">
        <v>1</v>
      </c>
      <c r="DL5133">
        <v>0</v>
      </c>
      <c r="DM5133">
        <v>0</v>
      </c>
      <c r="DN5133">
        <v>0</v>
      </c>
      <c r="DO5133">
        <v>0</v>
      </c>
      <c r="DP5133">
        <v>0</v>
      </c>
      <c r="DQ5133">
        <v>0</v>
      </c>
      <c r="DR5133">
        <v>0</v>
      </c>
      <c r="DS5133">
        <v>0</v>
      </c>
    </row>
    <row r="5134" spans="1:123" x14ac:dyDescent="0.3">
      <c r="A5134" t="str">
        <f>"05/01/2025 15:18:47.669"</f>
        <v>05/01/2025 15:18:47.669</v>
      </c>
      <c r="C5134" t="str">
        <f t="shared" si="2028"/>
        <v>FFDFD3C0</v>
      </c>
      <c r="D5134" t="s">
        <v>143</v>
      </c>
      <c r="E5134" t="str">
        <f>"05"</f>
        <v>05</v>
      </c>
      <c r="H5134">
        <v>172</v>
      </c>
      <c r="I5134" t="s">
        <v>141</v>
      </c>
      <c r="J5134" t="s">
        <v>144</v>
      </c>
      <c r="K5134">
        <v>0</v>
      </c>
      <c r="L5134">
        <v>3</v>
      </c>
      <c r="M5134">
        <v>0</v>
      </c>
      <c r="N5134">
        <v>2</v>
      </c>
      <c r="O5134">
        <v>0</v>
      </c>
      <c r="P5134">
        <v>1</v>
      </c>
      <c r="Q5134">
        <v>0</v>
      </c>
      <c r="R5134" t="s">
        <v>127</v>
      </c>
      <c r="S5134" t="str">
        <f t="shared" si="2034"/>
        <v>15:18:47.000</v>
      </c>
      <c r="T5134" t="str">
        <f t="shared" si="2034"/>
        <v>15:18:47.000</v>
      </c>
      <c r="U5134" t="str">
        <f t="shared" si="2029"/>
        <v>A68FCB</v>
      </c>
      <c r="V5134">
        <v>0</v>
      </c>
      <c r="W5134">
        <v>0</v>
      </c>
      <c r="X5134">
        <v>2</v>
      </c>
      <c r="Y5134">
        <v>0</v>
      </c>
      <c r="AA5134">
        <v>1</v>
      </c>
      <c r="AB5134">
        <v>8</v>
      </c>
      <c r="AC5134">
        <v>3</v>
      </c>
      <c r="AD5134">
        <v>0</v>
      </c>
      <c r="AE5134">
        <v>9</v>
      </c>
      <c r="AF5134" t="s">
        <v>138</v>
      </c>
      <c r="AG5134">
        <v>0</v>
      </c>
      <c r="AH5134">
        <v>3</v>
      </c>
      <c r="AI5134">
        <v>2</v>
      </c>
      <c r="AJ5134">
        <v>0</v>
      </c>
      <c r="AK5134" t="s">
        <v>1618</v>
      </c>
      <c r="AL5134">
        <v>39.234366000000001</v>
      </c>
      <c r="AM5134" t="s">
        <v>1619</v>
      </c>
      <c r="AN5134">
        <v>-121.02395300000001</v>
      </c>
      <c r="AO5134">
        <v>25</v>
      </c>
      <c r="AP5134">
        <v>3700</v>
      </c>
      <c r="AQ5134" t="s">
        <v>131</v>
      </c>
      <c r="AR5134">
        <v>-93</v>
      </c>
      <c r="AS5134">
        <v>-20</v>
      </c>
      <c r="AT5134">
        <v>-896</v>
      </c>
      <c r="BB5134" t="str">
        <f t="shared" si="2030"/>
        <v>1200</v>
      </c>
      <c r="BC5134">
        <v>1</v>
      </c>
      <c r="BD5134" t="str">
        <f t="shared" si="2031"/>
        <v xml:space="preserve">N52156  </v>
      </c>
      <c r="BE5134">
        <v>1</v>
      </c>
      <c r="BG5134">
        <v>0</v>
      </c>
      <c r="BH5134">
        <v>0</v>
      </c>
      <c r="BI5134">
        <v>0</v>
      </c>
      <c r="BJ5134">
        <v>3675</v>
      </c>
      <c r="BK5134">
        <v>-25</v>
      </c>
      <c r="BL5134" t="s">
        <v>188</v>
      </c>
      <c r="BM5134">
        <v>1</v>
      </c>
      <c r="BN5134">
        <v>1</v>
      </c>
      <c r="BO5134">
        <v>0</v>
      </c>
      <c r="BP5134">
        <v>0</v>
      </c>
      <c r="BS5134">
        <v>0</v>
      </c>
      <c r="BT5134">
        <v>0</v>
      </c>
      <c r="BU5134">
        <v>0</v>
      </c>
      <c r="CE5134" t="str">
        <f t="shared" si="2035"/>
        <v>15:18:47.438</v>
      </c>
      <c r="CF5134">
        <v>438256865</v>
      </c>
      <c r="CS5134">
        <v>0</v>
      </c>
      <c r="CT5134">
        <v>2</v>
      </c>
      <c r="CU5134">
        <v>0</v>
      </c>
      <c r="CV5134">
        <v>2</v>
      </c>
      <c r="CW5134">
        <v>0</v>
      </c>
      <c r="CX5134">
        <v>3</v>
      </c>
      <c r="CY5134">
        <v>7</v>
      </c>
      <c r="CZ5134" t="s">
        <v>133</v>
      </c>
      <c r="DA5134">
        <v>275</v>
      </c>
      <c r="DB5134">
        <v>0</v>
      </c>
      <c r="DC5134" t="s">
        <v>134</v>
      </c>
      <c r="DD5134" t="s">
        <v>135</v>
      </c>
      <c r="DG5134">
        <v>3323616</v>
      </c>
      <c r="DI5134">
        <v>1</v>
      </c>
      <c r="DJ5134">
        <v>0</v>
      </c>
      <c r="DK5134">
        <v>1</v>
      </c>
      <c r="DL5134">
        <v>0</v>
      </c>
      <c r="DM5134">
        <v>0</v>
      </c>
      <c r="DN5134">
        <v>0</v>
      </c>
      <c r="DO5134">
        <v>0</v>
      </c>
      <c r="DP5134">
        <v>0</v>
      </c>
      <c r="DQ5134">
        <v>0</v>
      </c>
      <c r="DR5134">
        <v>0</v>
      </c>
      <c r="DS5134">
        <v>0</v>
      </c>
    </row>
    <row r="5135" spans="1:123" x14ac:dyDescent="0.3">
      <c r="A5135" t="str">
        <f>"05/01/2025 15:18:47.683"</f>
        <v>05/01/2025 15:18:47.683</v>
      </c>
      <c r="C5135" t="str">
        <f t="shared" si="2028"/>
        <v>FFDFD3C0</v>
      </c>
      <c r="D5135" t="s">
        <v>145</v>
      </c>
      <c r="E5135" t="str">
        <f>"05"</f>
        <v>05</v>
      </c>
      <c r="H5135">
        <v>47</v>
      </c>
      <c r="I5135" t="s">
        <v>146</v>
      </c>
      <c r="J5135" t="s">
        <v>138</v>
      </c>
      <c r="K5135">
        <v>0</v>
      </c>
      <c r="L5135">
        <v>3</v>
      </c>
      <c r="M5135">
        <v>0</v>
      </c>
      <c r="N5135">
        <v>2</v>
      </c>
      <c r="O5135">
        <v>0</v>
      </c>
      <c r="P5135">
        <v>1</v>
      </c>
      <c r="Q5135">
        <v>0</v>
      </c>
      <c r="R5135" t="s">
        <v>127</v>
      </c>
      <c r="S5135" t="str">
        <f t="shared" si="2034"/>
        <v>15:18:47.000</v>
      </c>
      <c r="T5135" t="str">
        <f t="shared" si="2034"/>
        <v>15:18:47.000</v>
      </c>
      <c r="U5135" t="str">
        <f t="shared" si="2029"/>
        <v>A68FCB</v>
      </c>
      <c r="V5135">
        <v>0</v>
      </c>
      <c r="W5135">
        <v>0</v>
      </c>
      <c r="X5135">
        <v>2</v>
      </c>
      <c r="Y5135">
        <v>0</v>
      </c>
      <c r="AA5135">
        <v>1</v>
      </c>
      <c r="AB5135">
        <v>8</v>
      </c>
      <c r="AC5135">
        <v>3</v>
      </c>
      <c r="AD5135">
        <v>0</v>
      </c>
      <c r="AE5135">
        <v>9</v>
      </c>
      <c r="AF5135" t="s">
        <v>138</v>
      </c>
      <c r="AG5135">
        <v>0</v>
      </c>
      <c r="AH5135">
        <v>3</v>
      </c>
      <c r="AI5135">
        <v>2</v>
      </c>
      <c r="AJ5135">
        <v>0</v>
      </c>
      <c r="AK5135" t="s">
        <v>1618</v>
      </c>
      <c r="AL5135">
        <v>39.234366000000001</v>
      </c>
      <c r="AM5135" t="s">
        <v>1619</v>
      </c>
      <c r="AN5135">
        <v>-121.02395300000001</v>
      </c>
      <c r="AO5135">
        <v>25</v>
      </c>
      <c r="AP5135">
        <v>3700</v>
      </c>
      <c r="AQ5135" t="s">
        <v>131</v>
      </c>
      <c r="AR5135">
        <v>-93</v>
      </c>
      <c r="AS5135">
        <v>-20</v>
      </c>
      <c r="AT5135">
        <v>-896</v>
      </c>
      <c r="BB5135" t="str">
        <f t="shared" si="2030"/>
        <v>1200</v>
      </c>
      <c r="BC5135">
        <v>1</v>
      </c>
      <c r="BD5135" t="str">
        <f t="shared" si="2031"/>
        <v xml:space="preserve">N52156  </v>
      </c>
      <c r="BE5135">
        <v>1</v>
      </c>
      <c r="BG5135">
        <v>0</v>
      </c>
      <c r="BH5135">
        <v>0</v>
      </c>
      <c r="BI5135">
        <v>0</v>
      </c>
      <c r="BJ5135">
        <v>3675</v>
      </c>
      <c r="BK5135">
        <v>-25</v>
      </c>
      <c r="BL5135" t="s">
        <v>188</v>
      </c>
      <c r="BM5135">
        <v>1</v>
      </c>
      <c r="BN5135">
        <v>1</v>
      </c>
      <c r="BO5135">
        <v>0</v>
      </c>
      <c r="BP5135">
        <v>0</v>
      </c>
      <c r="BS5135">
        <v>0</v>
      </c>
      <c r="BT5135">
        <v>0</v>
      </c>
      <c r="BU5135">
        <v>0</v>
      </c>
      <c r="CE5135" t="str">
        <f t="shared" si="2035"/>
        <v>15:18:47.438</v>
      </c>
      <c r="CF5135">
        <v>438256865</v>
      </c>
      <c r="CS5135">
        <v>0</v>
      </c>
      <c r="CT5135">
        <v>2</v>
      </c>
      <c r="CU5135">
        <v>0</v>
      </c>
      <c r="CV5135">
        <v>2</v>
      </c>
      <c r="CW5135">
        <v>0</v>
      </c>
      <c r="CX5135">
        <v>3</v>
      </c>
      <c r="CY5135">
        <v>7</v>
      </c>
      <c r="CZ5135" t="s">
        <v>133</v>
      </c>
      <c r="DA5135">
        <v>275</v>
      </c>
      <c r="DB5135">
        <v>0</v>
      </c>
      <c r="DC5135" t="s">
        <v>134</v>
      </c>
      <c r="DD5135" t="s">
        <v>135</v>
      </c>
      <c r="DG5135">
        <v>3323616</v>
      </c>
      <c r="DI5135">
        <v>1</v>
      </c>
      <c r="DJ5135">
        <v>0</v>
      </c>
      <c r="DK5135">
        <v>1</v>
      </c>
      <c r="DL5135">
        <v>0</v>
      </c>
      <c r="DM5135">
        <v>0</v>
      </c>
      <c r="DN5135">
        <v>0</v>
      </c>
      <c r="DO5135">
        <v>0</v>
      </c>
      <c r="DP5135">
        <v>0</v>
      </c>
      <c r="DQ5135">
        <v>0</v>
      </c>
      <c r="DR5135">
        <v>0</v>
      </c>
      <c r="DS5135">
        <v>0</v>
      </c>
    </row>
    <row r="5136" spans="1:123" x14ac:dyDescent="0.3">
      <c r="A5136" t="str">
        <f>"05/01/2025 15:18:47.683"</f>
        <v>05/01/2025 15:18:47.683</v>
      </c>
      <c r="C5136" t="str">
        <f t="shared" si="2028"/>
        <v>FFDFD3C0</v>
      </c>
      <c r="D5136" t="s">
        <v>145</v>
      </c>
      <c r="E5136" t="str">
        <f>"09"</f>
        <v>09</v>
      </c>
      <c r="H5136">
        <v>51</v>
      </c>
      <c r="I5136" t="s">
        <v>147</v>
      </c>
      <c r="J5136" t="s">
        <v>138</v>
      </c>
      <c r="K5136">
        <v>0</v>
      </c>
      <c r="L5136">
        <v>3</v>
      </c>
      <c r="M5136">
        <v>0</v>
      </c>
      <c r="N5136">
        <v>2</v>
      </c>
      <c r="O5136">
        <v>0</v>
      </c>
      <c r="P5136">
        <v>1</v>
      </c>
      <c r="Q5136">
        <v>0</v>
      </c>
      <c r="R5136" t="s">
        <v>127</v>
      </c>
      <c r="S5136" t="str">
        <f t="shared" si="2034"/>
        <v>15:18:47.000</v>
      </c>
      <c r="T5136" t="str">
        <f t="shared" si="2034"/>
        <v>15:18:47.000</v>
      </c>
      <c r="U5136" t="str">
        <f t="shared" si="2029"/>
        <v>A68FCB</v>
      </c>
      <c r="V5136">
        <v>0</v>
      </c>
      <c r="W5136">
        <v>0</v>
      </c>
      <c r="X5136">
        <v>2</v>
      </c>
      <c r="Y5136">
        <v>0</v>
      </c>
      <c r="AA5136">
        <v>1</v>
      </c>
      <c r="AB5136">
        <v>8</v>
      </c>
      <c r="AC5136">
        <v>3</v>
      </c>
      <c r="AD5136">
        <v>0</v>
      </c>
      <c r="AE5136">
        <v>9</v>
      </c>
      <c r="AF5136" t="s">
        <v>138</v>
      </c>
      <c r="AG5136">
        <v>0</v>
      </c>
      <c r="AH5136">
        <v>3</v>
      </c>
      <c r="AI5136">
        <v>2</v>
      </c>
      <c r="AJ5136">
        <v>0</v>
      </c>
      <c r="AK5136" t="s">
        <v>1618</v>
      </c>
      <c r="AL5136">
        <v>39.234366000000001</v>
      </c>
      <c r="AM5136" t="s">
        <v>1619</v>
      </c>
      <c r="AN5136">
        <v>-121.02395300000001</v>
      </c>
      <c r="AO5136">
        <v>25</v>
      </c>
      <c r="AP5136">
        <v>3700</v>
      </c>
      <c r="AQ5136" t="s">
        <v>131</v>
      </c>
      <c r="AR5136">
        <v>-93</v>
      </c>
      <c r="AS5136">
        <v>-20</v>
      </c>
      <c r="AT5136">
        <v>-896</v>
      </c>
      <c r="BB5136" t="str">
        <f t="shared" si="2030"/>
        <v>1200</v>
      </c>
      <c r="BC5136">
        <v>1</v>
      </c>
      <c r="BD5136" t="str">
        <f t="shared" si="2031"/>
        <v xml:space="preserve">N52156  </v>
      </c>
      <c r="BE5136">
        <v>1</v>
      </c>
      <c r="BG5136">
        <v>0</v>
      </c>
      <c r="BH5136">
        <v>0</v>
      </c>
      <c r="BI5136">
        <v>0</v>
      </c>
      <c r="BJ5136">
        <v>3675</v>
      </c>
      <c r="BK5136">
        <v>-25</v>
      </c>
      <c r="BL5136" t="s">
        <v>188</v>
      </c>
      <c r="BM5136">
        <v>1</v>
      </c>
      <c r="BN5136">
        <v>1</v>
      </c>
      <c r="BO5136">
        <v>0</v>
      </c>
      <c r="BP5136">
        <v>0</v>
      </c>
      <c r="BS5136">
        <v>0</v>
      </c>
      <c r="BT5136">
        <v>0</v>
      </c>
      <c r="BU5136">
        <v>0</v>
      </c>
      <c r="CE5136" t="str">
        <f t="shared" si="2035"/>
        <v>15:18:47.438</v>
      </c>
      <c r="CF5136">
        <v>438256865</v>
      </c>
      <c r="CS5136">
        <v>0</v>
      </c>
      <c r="CT5136">
        <v>2</v>
      </c>
      <c r="CU5136">
        <v>0</v>
      </c>
      <c r="CV5136">
        <v>2</v>
      </c>
      <c r="CW5136">
        <v>0</v>
      </c>
      <c r="CX5136">
        <v>3</v>
      </c>
      <c r="CY5136">
        <v>7</v>
      </c>
      <c r="CZ5136" t="s">
        <v>133</v>
      </c>
      <c r="DA5136">
        <v>275</v>
      </c>
      <c r="DB5136">
        <v>0</v>
      </c>
      <c r="DC5136" t="s">
        <v>134</v>
      </c>
      <c r="DD5136" t="s">
        <v>135</v>
      </c>
      <c r="DG5136">
        <v>3323616</v>
      </c>
      <c r="DI5136">
        <v>1</v>
      </c>
      <c r="DJ5136">
        <v>0</v>
      </c>
      <c r="DK5136">
        <v>1</v>
      </c>
      <c r="DL5136">
        <v>0</v>
      </c>
      <c r="DM5136">
        <v>0</v>
      </c>
      <c r="DN5136">
        <v>0</v>
      </c>
      <c r="DO5136">
        <v>0</v>
      </c>
      <c r="DP5136">
        <v>0</v>
      </c>
      <c r="DQ5136">
        <v>0</v>
      </c>
      <c r="DR5136">
        <v>0</v>
      </c>
      <c r="DS5136">
        <v>0</v>
      </c>
    </row>
    <row r="5137" spans="1:123" x14ac:dyDescent="0.3">
      <c r="A5137" t="str">
        <f>"05/01/2025 15:18:47.690"</f>
        <v>05/01/2025 15:18:47.690</v>
      </c>
      <c r="C5137" t="str">
        <f t="shared" si="2028"/>
        <v>FFDFD3C0</v>
      </c>
      <c r="D5137" t="s">
        <v>136</v>
      </c>
      <c r="E5137" t="str">
        <f>"20"</f>
        <v>20</v>
      </c>
      <c r="H5137">
        <v>400</v>
      </c>
      <c r="I5137" t="s">
        <v>137</v>
      </c>
      <c r="J5137" t="s">
        <v>138</v>
      </c>
      <c r="K5137">
        <v>0</v>
      </c>
      <c r="L5137">
        <v>3</v>
      </c>
      <c r="M5137">
        <v>0</v>
      </c>
      <c r="N5137">
        <v>2</v>
      </c>
      <c r="O5137">
        <v>0</v>
      </c>
      <c r="P5137">
        <v>1</v>
      </c>
      <c r="Q5137">
        <v>0</v>
      </c>
      <c r="R5137" t="s">
        <v>127</v>
      </c>
      <c r="S5137" t="str">
        <f t="shared" si="2034"/>
        <v>15:18:47.000</v>
      </c>
      <c r="T5137" t="str">
        <f t="shared" si="2034"/>
        <v>15:18:47.000</v>
      </c>
      <c r="U5137" t="str">
        <f t="shared" si="2029"/>
        <v>A68FCB</v>
      </c>
      <c r="V5137">
        <v>0</v>
      </c>
      <c r="W5137">
        <v>0</v>
      </c>
      <c r="X5137">
        <v>2</v>
      </c>
      <c r="Y5137">
        <v>0</v>
      </c>
      <c r="AA5137">
        <v>1</v>
      </c>
      <c r="AB5137">
        <v>8</v>
      </c>
      <c r="AC5137">
        <v>3</v>
      </c>
      <c r="AD5137">
        <v>0</v>
      </c>
      <c r="AE5137">
        <v>9</v>
      </c>
      <c r="AF5137" t="s">
        <v>138</v>
      </c>
      <c r="AG5137">
        <v>0</v>
      </c>
      <c r="AH5137">
        <v>3</v>
      </c>
      <c r="AI5137">
        <v>2</v>
      </c>
      <c r="AJ5137">
        <v>0</v>
      </c>
      <c r="AK5137" t="s">
        <v>1618</v>
      </c>
      <c r="AL5137">
        <v>39.234366000000001</v>
      </c>
      <c r="AM5137" t="s">
        <v>1619</v>
      </c>
      <c r="AN5137">
        <v>-121.02395300000001</v>
      </c>
      <c r="AO5137">
        <v>25</v>
      </c>
      <c r="AP5137">
        <v>3700</v>
      </c>
      <c r="AQ5137" t="s">
        <v>131</v>
      </c>
      <c r="AR5137">
        <v>-93</v>
      </c>
      <c r="AS5137">
        <v>-20</v>
      </c>
      <c r="AT5137">
        <v>-896</v>
      </c>
      <c r="BB5137" t="str">
        <f t="shared" si="2030"/>
        <v>1200</v>
      </c>
      <c r="BC5137">
        <v>1</v>
      </c>
      <c r="BD5137" t="str">
        <f t="shared" si="2031"/>
        <v xml:space="preserve">N52156  </v>
      </c>
      <c r="BE5137">
        <v>1</v>
      </c>
      <c r="BG5137">
        <v>0</v>
      </c>
      <c r="BH5137">
        <v>0</v>
      </c>
      <c r="BI5137">
        <v>0</v>
      </c>
      <c r="BJ5137">
        <v>3675</v>
      </c>
      <c r="BK5137">
        <v>-25</v>
      </c>
      <c r="BL5137" t="s">
        <v>188</v>
      </c>
      <c r="BM5137">
        <v>1</v>
      </c>
      <c r="BN5137">
        <v>1</v>
      </c>
      <c r="BO5137">
        <v>0</v>
      </c>
      <c r="BP5137">
        <v>0</v>
      </c>
      <c r="BS5137">
        <v>0</v>
      </c>
      <c r="BT5137">
        <v>0</v>
      </c>
      <c r="BU5137">
        <v>0</v>
      </c>
      <c r="CE5137" t="str">
        <f t="shared" si="2035"/>
        <v>15:18:47.438</v>
      </c>
      <c r="CF5137">
        <v>438256865</v>
      </c>
      <c r="CS5137">
        <v>0</v>
      </c>
      <c r="CT5137">
        <v>2</v>
      </c>
      <c r="CU5137">
        <v>0</v>
      </c>
      <c r="CV5137">
        <v>2</v>
      </c>
      <c r="CW5137">
        <v>0</v>
      </c>
      <c r="CX5137">
        <v>3</v>
      </c>
      <c r="CY5137">
        <v>7</v>
      </c>
      <c r="CZ5137" t="s">
        <v>133</v>
      </c>
      <c r="DA5137">
        <v>275</v>
      </c>
      <c r="DB5137">
        <v>0</v>
      </c>
      <c r="DC5137" t="s">
        <v>134</v>
      </c>
      <c r="DD5137" t="s">
        <v>135</v>
      </c>
      <c r="DG5137">
        <v>3323616</v>
      </c>
      <c r="DI5137">
        <v>1</v>
      </c>
      <c r="DJ5137">
        <v>0</v>
      </c>
      <c r="DK5137">
        <v>1</v>
      </c>
      <c r="DL5137">
        <v>0</v>
      </c>
      <c r="DM5137">
        <v>0</v>
      </c>
      <c r="DN5137">
        <v>0</v>
      </c>
      <c r="DO5137">
        <v>0</v>
      </c>
      <c r="DP5137">
        <v>0</v>
      </c>
      <c r="DQ5137">
        <v>0</v>
      </c>
      <c r="DR5137">
        <v>0</v>
      </c>
      <c r="DS5137">
        <v>0</v>
      </c>
    </row>
    <row r="5138" spans="1:123" x14ac:dyDescent="0.3">
      <c r="A5138" t="str">
        <f>"05/01/2025 15:18:49.061"</f>
        <v>05/01/2025 15:18:49.061</v>
      </c>
      <c r="C5138" t="str">
        <f t="shared" si="2028"/>
        <v>FFDFD3C0</v>
      </c>
      <c r="D5138" t="s">
        <v>124</v>
      </c>
      <c r="E5138" t="str">
        <f>"06"</f>
        <v>06</v>
      </c>
      <c r="F5138">
        <v>2006</v>
      </c>
      <c r="G5138" t="s">
        <v>125</v>
      </c>
      <c r="J5138" t="s">
        <v>126</v>
      </c>
      <c r="K5138">
        <v>0</v>
      </c>
      <c r="L5138">
        <v>3</v>
      </c>
      <c r="M5138">
        <v>0</v>
      </c>
      <c r="N5138">
        <v>2</v>
      </c>
      <c r="O5138">
        <v>0</v>
      </c>
      <c r="P5138">
        <v>1</v>
      </c>
      <c r="Q5138">
        <v>0</v>
      </c>
      <c r="R5138" t="s">
        <v>127</v>
      </c>
      <c r="S5138" t="str">
        <f t="shared" ref="S5138:T5143" si="2036">"15:18:48.000"</f>
        <v>15:18:48.000</v>
      </c>
      <c r="T5138" t="str">
        <f t="shared" si="2036"/>
        <v>15:18:48.000</v>
      </c>
      <c r="U5138" t="str">
        <f t="shared" si="2029"/>
        <v>A68FCB</v>
      </c>
      <c r="V5138">
        <v>0</v>
      </c>
      <c r="W5138">
        <v>0</v>
      </c>
      <c r="X5138">
        <v>2</v>
      </c>
      <c r="Y5138">
        <v>0</v>
      </c>
      <c r="AA5138">
        <v>1</v>
      </c>
      <c r="AB5138">
        <v>8</v>
      </c>
      <c r="AC5138">
        <v>3</v>
      </c>
      <c r="AD5138">
        <v>0</v>
      </c>
      <c r="AE5138">
        <v>9</v>
      </c>
      <c r="AF5138" t="s">
        <v>138</v>
      </c>
      <c r="AG5138">
        <v>0</v>
      </c>
      <c r="AH5138">
        <v>3</v>
      </c>
      <c r="AI5138">
        <v>2</v>
      </c>
      <c r="AJ5138">
        <v>0</v>
      </c>
      <c r="AK5138" t="s">
        <v>1620</v>
      </c>
      <c r="AL5138">
        <v>39.234281000000003</v>
      </c>
      <c r="AM5138" t="s">
        <v>1621</v>
      </c>
      <c r="AN5138">
        <v>-121.02453199999999</v>
      </c>
      <c r="AO5138">
        <v>25</v>
      </c>
      <c r="AP5138">
        <v>3600</v>
      </c>
      <c r="AQ5138" t="s">
        <v>131</v>
      </c>
      <c r="AR5138">
        <v>-90</v>
      </c>
      <c r="AS5138">
        <v>-27</v>
      </c>
      <c r="AT5138">
        <v>-832</v>
      </c>
      <c r="BB5138" t="str">
        <f t="shared" si="2030"/>
        <v>1200</v>
      </c>
      <c r="BC5138">
        <v>1</v>
      </c>
      <c r="BD5138" t="str">
        <f t="shared" si="2031"/>
        <v xml:space="preserve">N52156  </v>
      </c>
      <c r="BE5138">
        <v>1</v>
      </c>
      <c r="BG5138">
        <v>0</v>
      </c>
      <c r="BH5138">
        <v>0</v>
      </c>
      <c r="BI5138">
        <v>0</v>
      </c>
      <c r="BJ5138">
        <v>3675</v>
      </c>
      <c r="BK5138">
        <v>75</v>
      </c>
      <c r="BL5138" t="s">
        <v>188</v>
      </c>
      <c r="BM5138">
        <v>1</v>
      </c>
      <c r="BN5138">
        <v>1</v>
      </c>
      <c r="BO5138">
        <v>0</v>
      </c>
      <c r="BP5138">
        <v>0</v>
      </c>
      <c r="BS5138">
        <v>0</v>
      </c>
      <c r="BT5138">
        <v>0</v>
      </c>
      <c r="BU5138">
        <v>0</v>
      </c>
      <c r="CE5138" t="str">
        <f t="shared" ref="CE5138:CE5143" si="2037">"15:18:48.847"</f>
        <v>15:18:48.847</v>
      </c>
      <c r="CF5138">
        <v>846757624</v>
      </c>
      <c r="CS5138">
        <v>0</v>
      </c>
      <c r="CT5138">
        <v>2</v>
      </c>
      <c r="CU5138">
        <v>0</v>
      </c>
      <c r="CV5138">
        <v>2</v>
      </c>
      <c r="CW5138">
        <v>0</v>
      </c>
      <c r="CX5138">
        <v>4</v>
      </c>
      <c r="CY5138">
        <v>7</v>
      </c>
      <c r="CZ5138" t="s">
        <v>133</v>
      </c>
      <c r="DA5138">
        <v>275</v>
      </c>
      <c r="DB5138">
        <v>0</v>
      </c>
      <c r="DC5138" t="s">
        <v>134</v>
      </c>
      <c r="DD5138" t="s">
        <v>135</v>
      </c>
      <c r="DG5138">
        <v>3323624</v>
      </c>
      <c r="DI5138">
        <v>1</v>
      </c>
      <c r="DJ5138">
        <v>0</v>
      </c>
      <c r="DK5138">
        <v>0</v>
      </c>
      <c r="DL5138">
        <v>0</v>
      </c>
      <c r="DM5138">
        <v>0</v>
      </c>
      <c r="DN5138">
        <v>0</v>
      </c>
      <c r="DO5138">
        <v>0</v>
      </c>
      <c r="DP5138">
        <v>0</v>
      </c>
      <c r="DQ5138">
        <v>0</v>
      </c>
      <c r="DR5138">
        <v>0</v>
      </c>
      <c r="DS5138">
        <v>0</v>
      </c>
    </row>
    <row r="5139" spans="1:123" x14ac:dyDescent="0.3">
      <c r="A5139" t="str">
        <f>"05/01/2025 15:18:49.059"</f>
        <v>05/01/2025 15:18:49.059</v>
      </c>
      <c r="C5139" t="str">
        <f t="shared" si="2028"/>
        <v>FFDFD3C0</v>
      </c>
      <c r="D5139" t="s">
        <v>140</v>
      </c>
      <c r="E5139" t="str">
        <f>"13"</f>
        <v>13</v>
      </c>
      <c r="F5139">
        <v>1019</v>
      </c>
      <c r="G5139" t="s">
        <v>141</v>
      </c>
      <c r="J5139" t="s">
        <v>142</v>
      </c>
      <c r="K5139">
        <v>0</v>
      </c>
      <c r="L5139">
        <v>3</v>
      </c>
      <c r="M5139">
        <v>0</v>
      </c>
      <c r="N5139">
        <v>2</v>
      </c>
      <c r="O5139">
        <v>0</v>
      </c>
      <c r="P5139">
        <v>1</v>
      </c>
      <c r="Q5139">
        <v>0</v>
      </c>
      <c r="R5139" t="s">
        <v>127</v>
      </c>
      <c r="S5139" t="str">
        <f t="shared" si="2036"/>
        <v>15:18:48.000</v>
      </c>
      <c r="T5139" t="str">
        <f t="shared" si="2036"/>
        <v>15:18:48.000</v>
      </c>
      <c r="U5139" t="str">
        <f t="shared" si="2029"/>
        <v>A68FCB</v>
      </c>
      <c r="V5139">
        <v>0</v>
      </c>
      <c r="W5139">
        <v>0</v>
      </c>
      <c r="X5139">
        <v>2</v>
      </c>
      <c r="Y5139">
        <v>0</v>
      </c>
      <c r="AA5139">
        <v>1</v>
      </c>
      <c r="AB5139">
        <v>8</v>
      </c>
      <c r="AC5139">
        <v>3</v>
      </c>
      <c r="AD5139">
        <v>0</v>
      </c>
      <c r="AE5139">
        <v>9</v>
      </c>
      <c r="AF5139" t="s">
        <v>138</v>
      </c>
      <c r="AG5139">
        <v>0</v>
      </c>
      <c r="AH5139">
        <v>3</v>
      </c>
      <c r="AI5139">
        <v>2</v>
      </c>
      <c r="AJ5139">
        <v>0</v>
      </c>
      <c r="AK5139" t="s">
        <v>1620</v>
      </c>
      <c r="AL5139">
        <v>39.234281000000003</v>
      </c>
      <c r="AM5139" t="s">
        <v>1621</v>
      </c>
      <c r="AN5139">
        <v>-121.02453199999999</v>
      </c>
      <c r="AO5139">
        <v>25</v>
      </c>
      <c r="AP5139">
        <v>3600</v>
      </c>
      <c r="AQ5139" t="s">
        <v>131</v>
      </c>
      <c r="AR5139">
        <v>-90</v>
      </c>
      <c r="AS5139">
        <v>-27</v>
      </c>
      <c r="AT5139">
        <v>-832</v>
      </c>
      <c r="BB5139" t="str">
        <f t="shared" si="2030"/>
        <v>1200</v>
      </c>
      <c r="BC5139">
        <v>1</v>
      </c>
      <c r="BD5139" t="str">
        <f t="shared" si="2031"/>
        <v xml:space="preserve">N52156  </v>
      </c>
      <c r="BE5139">
        <v>1</v>
      </c>
      <c r="BG5139">
        <v>0</v>
      </c>
      <c r="BH5139">
        <v>0</v>
      </c>
      <c r="BI5139">
        <v>0</v>
      </c>
      <c r="BJ5139">
        <v>3675</v>
      </c>
      <c r="BK5139">
        <v>75</v>
      </c>
      <c r="BL5139" t="s">
        <v>188</v>
      </c>
      <c r="BM5139">
        <v>1</v>
      </c>
      <c r="BN5139">
        <v>1</v>
      </c>
      <c r="BO5139">
        <v>0</v>
      </c>
      <c r="BP5139">
        <v>0</v>
      </c>
      <c r="BS5139">
        <v>0</v>
      </c>
      <c r="BT5139">
        <v>0</v>
      </c>
      <c r="BU5139">
        <v>0</v>
      </c>
      <c r="CE5139" t="str">
        <f t="shared" si="2037"/>
        <v>15:18:48.847</v>
      </c>
      <c r="CF5139">
        <v>846757624</v>
      </c>
      <c r="CS5139">
        <v>0</v>
      </c>
      <c r="CT5139">
        <v>2</v>
      </c>
      <c r="CU5139">
        <v>0</v>
      </c>
      <c r="CV5139">
        <v>2</v>
      </c>
      <c r="CW5139">
        <v>0</v>
      </c>
      <c r="CX5139">
        <v>4</v>
      </c>
      <c r="CY5139">
        <v>7</v>
      </c>
      <c r="CZ5139" t="s">
        <v>133</v>
      </c>
      <c r="DA5139">
        <v>275</v>
      </c>
      <c r="DB5139">
        <v>0</v>
      </c>
      <c r="DC5139" t="s">
        <v>134</v>
      </c>
      <c r="DD5139" t="s">
        <v>135</v>
      </c>
      <c r="DG5139">
        <v>3323624</v>
      </c>
      <c r="DI5139">
        <v>1</v>
      </c>
      <c r="DJ5139">
        <v>0</v>
      </c>
      <c r="DK5139">
        <v>1</v>
      </c>
      <c r="DL5139">
        <v>0</v>
      </c>
      <c r="DM5139">
        <v>0</v>
      </c>
      <c r="DN5139">
        <v>0</v>
      </c>
      <c r="DO5139">
        <v>0</v>
      </c>
      <c r="DP5139">
        <v>0</v>
      </c>
      <c r="DQ5139">
        <v>0</v>
      </c>
      <c r="DR5139">
        <v>0</v>
      </c>
      <c r="DS5139">
        <v>0</v>
      </c>
    </row>
    <row r="5140" spans="1:123" x14ac:dyDescent="0.3">
      <c r="A5140" t="str">
        <f>"05/01/2025 15:18:49.072"</f>
        <v>05/01/2025 15:18:49.072</v>
      </c>
      <c r="C5140" t="str">
        <f t="shared" si="2028"/>
        <v>FFDFD3C0</v>
      </c>
      <c r="D5140" t="s">
        <v>143</v>
      </c>
      <c r="E5140" t="str">
        <f>"05"</f>
        <v>05</v>
      </c>
      <c r="H5140">
        <v>172</v>
      </c>
      <c r="I5140" t="s">
        <v>141</v>
      </c>
      <c r="J5140" t="s">
        <v>144</v>
      </c>
      <c r="K5140">
        <v>0</v>
      </c>
      <c r="L5140">
        <v>3</v>
      </c>
      <c r="M5140">
        <v>0</v>
      </c>
      <c r="N5140">
        <v>2</v>
      </c>
      <c r="O5140">
        <v>0</v>
      </c>
      <c r="P5140">
        <v>1</v>
      </c>
      <c r="Q5140">
        <v>0</v>
      </c>
      <c r="R5140" t="s">
        <v>127</v>
      </c>
      <c r="S5140" t="str">
        <f t="shared" si="2036"/>
        <v>15:18:48.000</v>
      </c>
      <c r="T5140" t="str">
        <f t="shared" si="2036"/>
        <v>15:18:48.000</v>
      </c>
      <c r="U5140" t="str">
        <f t="shared" si="2029"/>
        <v>A68FCB</v>
      </c>
      <c r="V5140">
        <v>0</v>
      </c>
      <c r="W5140">
        <v>0</v>
      </c>
      <c r="X5140">
        <v>2</v>
      </c>
      <c r="Y5140">
        <v>0</v>
      </c>
      <c r="AA5140">
        <v>1</v>
      </c>
      <c r="AB5140">
        <v>8</v>
      </c>
      <c r="AC5140">
        <v>3</v>
      </c>
      <c r="AD5140">
        <v>0</v>
      </c>
      <c r="AE5140">
        <v>9</v>
      </c>
      <c r="AF5140" t="s">
        <v>138</v>
      </c>
      <c r="AG5140">
        <v>0</v>
      </c>
      <c r="AH5140">
        <v>3</v>
      </c>
      <c r="AI5140">
        <v>2</v>
      </c>
      <c r="AJ5140">
        <v>0</v>
      </c>
      <c r="AK5140" t="s">
        <v>1620</v>
      </c>
      <c r="AL5140">
        <v>39.234281000000003</v>
      </c>
      <c r="AM5140" t="s">
        <v>1621</v>
      </c>
      <c r="AN5140">
        <v>-121.02453199999999</v>
      </c>
      <c r="AO5140">
        <v>25</v>
      </c>
      <c r="AP5140">
        <v>3600</v>
      </c>
      <c r="AQ5140" t="s">
        <v>131</v>
      </c>
      <c r="AR5140">
        <v>-90</v>
      </c>
      <c r="AS5140">
        <v>-27</v>
      </c>
      <c r="AT5140">
        <v>-832</v>
      </c>
      <c r="BB5140" t="str">
        <f t="shared" si="2030"/>
        <v>1200</v>
      </c>
      <c r="BC5140">
        <v>1</v>
      </c>
      <c r="BD5140" t="str">
        <f t="shared" si="2031"/>
        <v xml:space="preserve">N52156  </v>
      </c>
      <c r="BE5140">
        <v>1</v>
      </c>
      <c r="BG5140">
        <v>0</v>
      </c>
      <c r="BH5140">
        <v>0</v>
      </c>
      <c r="BI5140">
        <v>0</v>
      </c>
      <c r="BJ5140">
        <v>3675</v>
      </c>
      <c r="BK5140">
        <v>75</v>
      </c>
      <c r="BL5140" t="s">
        <v>188</v>
      </c>
      <c r="BM5140">
        <v>1</v>
      </c>
      <c r="BN5140">
        <v>1</v>
      </c>
      <c r="BO5140">
        <v>0</v>
      </c>
      <c r="BP5140">
        <v>0</v>
      </c>
      <c r="BS5140">
        <v>0</v>
      </c>
      <c r="BT5140">
        <v>0</v>
      </c>
      <c r="BU5140">
        <v>0</v>
      </c>
      <c r="CE5140" t="str">
        <f t="shared" si="2037"/>
        <v>15:18:48.847</v>
      </c>
      <c r="CF5140">
        <v>846757624</v>
      </c>
      <c r="CS5140">
        <v>0</v>
      </c>
      <c r="CT5140">
        <v>2</v>
      </c>
      <c r="CU5140">
        <v>0</v>
      </c>
      <c r="CV5140">
        <v>2</v>
      </c>
      <c r="CW5140">
        <v>0</v>
      </c>
      <c r="CX5140">
        <v>4</v>
      </c>
      <c r="CY5140">
        <v>7</v>
      </c>
      <c r="CZ5140" t="s">
        <v>133</v>
      </c>
      <c r="DA5140">
        <v>275</v>
      </c>
      <c r="DB5140">
        <v>0</v>
      </c>
      <c r="DC5140" t="s">
        <v>134</v>
      </c>
      <c r="DD5140" t="s">
        <v>135</v>
      </c>
      <c r="DG5140">
        <v>3323624</v>
      </c>
      <c r="DI5140">
        <v>1</v>
      </c>
      <c r="DJ5140">
        <v>0</v>
      </c>
      <c r="DK5140">
        <v>1</v>
      </c>
      <c r="DL5140">
        <v>0</v>
      </c>
      <c r="DM5140">
        <v>0</v>
      </c>
      <c r="DN5140">
        <v>0</v>
      </c>
      <c r="DO5140">
        <v>0</v>
      </c>
      <c r="DP5140">
        <v>0</v>
      </c>
      <c r="DQ5140">
        <v>0</v>
      </c>
      <c r="DR5140">
        <v>0</v>
      </c>
      <c r="DS5140">
        <v>0</v>
      </c>
    </row>
    <row r="5141" spans="1:123" x14ac:dyDescent="0.3">
      <c r="A5141" t="str">
        <f>"05/01/2025 15:18:49.085"</f>
        <v>05/01/2025 15:18:49.085</v>
      </c>
      <c r="C5141" t="str">
        <f t="shared" si="2028"/>
        <v>FFDFD3C0</v>
      </c>
      <c r="D5141" t="s">
        <v>145</v>
      </c>
      <c r="E5141" t="str">
        <f>"09"</f>
        <v>09</v>
      </c>
      <c r="H5141">
        <v>51</v>
      </c>
      <c r="I5141" t="s">
        <v>147</v>
      </c>
      <c r="J5141" t="s">
        <v>138</v>
      </c>
      <c r="K5141">
        <v>0</v>
      </c>
      <c r="L5141">
        <v>3</v>
      </c>
      <c r="M5141">
        <v>0</v>
      </c>
      <c r="N5141">
        <v>2</v>
      </c>
      <c r="O5141">
        <v>0</v>
      </c>
      <c r="P5141">
        <v>1</v>
      </c>
      <c r="Q5141">
        <v>0</v>
      </c>
      <c r="R5141" t="s">
        <v>127</v>
      </c>
      <c r="S5141" t="str">
        <f t="shared" si="2036"/>
        <v>15:18:48.000</v>
      </c>
      <c r="T5141" t="str">
        <f t="shared" si="2036"/>
        <v>15:18:48.000</v>
      </c>
      <c r="U5141" t="str">
        <f t="shared" si="2029"/>
        <v>A68FCB</v>
      </c>
      <c r="V5141">
        <v>0</v>
      </c>
      <c r="W5141">
        <v>0</v>
      </c>
      <c r="X5141">
        <v>2</v>
      </c>
      <c r="Y5141">
        <v>0</v>
      </c>
      <c r="AA5141">
        <v>1</v>
      </c>
      <c r="AB5141">
        <v>8</v>
      </c>
      <c r="AC5141">
        <v>3</v>
      </c>
      <c r="AD5141">
        <v>0</v>
      </c>
      <c r="AE5141">
        <v>9</v>
      </c>
      <c r="AF5141" t="s">
        <v>138</v>
      </c>
      <c r="AG5141">
        <v>0</v>
      </c>
      <c r="AH5141">
        <v>3</v>
      </c>
      <c r="AI5141">
        <v>2</v>
      </c>
      <c r="AJ5141">
        <v>0</v>
      </c>
      <c r="AK5141" t="s">
        <v>1620</v>
      </c>
      <c r="AL5141">
        <v>39.234281000000003</v>
      </c>
      <c r="AM5141" t="s">
        <v>1621</v>
      </c>
      <c r="AN5141">
        <v>-121.02453199999999</v>
      </c>
      <c r="AO5141">
        <v>25</v>
      </c>
      <c r="AP5141">
        <v>3600</v>
      </c>
      <c r="AQ5141" t="s">
        <v>131</v>
      </c>
      <c r="AR5141">
        <v>-90</v>
      </c>
      <c r="AS5141">
        <v>-27</v>
      </c>
      <c r="AT5141">
        <v>-832</v>
      </c>
      <c r="BB5141" t="str">
        <f t="shared" si="2030"/>
        <v>1200</v>
      </c>
      <c r="BC5141">
        <v>1</v>
      </c>
      <c r="BD5141" t="str">
        <f t="shared" si="2031"/>
        <v xml:space="preserve">N52156  </v>
      </c>
      <c r="BE5141">
        <v>1</v>
      </c>
      <c r="BG5141">
        <v>0</v>
      </c>
      <c r="BH5141">
        <v>0</v>
      </c>
      <c r="BI5141">
        <v>0</v>
      </c>
      <c r="BJ5141">
        <v>3675</v>
      </c>
      <c r="BK5141">
        <v>75</v>
      </c>
      <c r="BL5141" t="s">
        <v>188</v>
      </c>
      <c r="BM5141">
        <v>1</v>
      </c>
      <c r="BN5141">
        <v>1</v>
      </c>
      <c r="BO5141">
        <v>0</v>
      </c>
      <c r="BP5141">
        <v>0</v>
      </c>
      <c r="BS5141">
        <v>0</v>
      </c>
      <c r="BT5141">
        <v>0</v>
      </c>
      <c r="BU5141">
        <v>0</v>
      </c>
      <c r="CE5141" t="str">
        <f t="shared" si="2037"/>
        <v>15:18:48.847</v>
      </c>
      <c r="CF5141">
        <v>846757624</v>
      </c>
      <c r="CS5141">
        <v>0</v>
      </c>
      <c r="CT5141">
        <v>2</v>
      </c>
      <c r="CU5141">
        <v>0</v>
      </c>
      <c r="CV5141">
        <v>2</v>
      </c>
      <c r="CW5141">
        <v>0</v>
      </c>
      <c r="CX5141">
        <v>4</v>
      </c>
      <c r="CY5141">
        <v>7</v>
      </c>
      <c r="CZ5141" t="s">
        <v>133</v>
      </c>
      <c r="DA5141">
        <v>275</v>
      </c>
      <c r="DB5141">
        <v>0</v>
      </c>
      <c r="DC5141" t="s">
        <v>134</v>
      </c>
      <c r="DD5141" t="s">
        <v>135</v>
      </c>
      <c r="DG5141">
        <v>3323624</v>
      </c>
      <c r="DI5141">
        <v>1</v>
      </c>
      <c r="DJ5141">
        <v>0</v>
      </c>
      <c r="DK5141">
        <v>1</v>
      </c>
      <c r="DL5141">
        <v>0</v>
      </c>
      <c r="DM5141">
        <v>0</v>
      </c>
      <c r="DN5141">
        <v>0</v>
      </c>
      <c r="DO5141">
        <v>0</v>
      </c>
      <c r="DP5141">
        <v>0</v>
      </c>
      <c r="DQ5141">
        <v>0</v>
      </c>
      <c r="DR5141">
        <v>0</v>
      </c>
      <c r="DS5141">
        <v>0</v>
      </c>
    </row>
    <row r="5142" spans="1:123" x14ac:dyDescent="0.3">
      <c r="A5142" t="str">
        <f>"05/01/2025 15:18:49.085"</f>
        <v>05/01/2025 15:18:49.085</v>
      </c>
      <c r="C5142" t="str">
        <f t="shared" si="2028"/>
        <v>FFDFD3C0</v>
      </c>
      <c r="D5142" t="s">
        <v>145</v>
      </c>
      <c r="E5142" t="str">
        <f>"05"</f>
        <v>05</v>
      </c>
      <c r="H5142">
        <v>47</v>
      </c>
      <c r="I5142" t="s">
        <v>146</v>
      </c>
      <c r="J5142" t="s">
        <v>138</v>
      </c>
      <c r="K5142">
        <v>0</v>
      </c>
      <c r="L5142">
        <v>3</v>
      </c>
      <c r="M5142">
        <v>0</v>
      </c>
      <c r="N5142">
        <v>2</v>
      </c>
      <c r="O5142">
        <v>0</v>
      </c>
      <c r="P5142">
        <v>1</v>
      </c>
      <c r="Q5142">
        <v>0</v>
      </c>
      <c r="R5142" t="s">
        <v>127</v>
      </c>
      <c r="S5142" t="str">
        <f t="shared" si="2036"/>
        <v>15:18:48.000</v>
      </c>
      <c r="T5142" t="str">
        <f t="shared" si="2036"/>
        <v>15:18:48.000</v>
      </c>
      <c r="U5142" t="str">
        <f t="shared" si="2029"/>
        <v>A68FCB</v>
      </c>
      <c r="V5142">
        <v>0</v>
      </c>
      <c r="W5142">
        <v>0</v>
      </c>
      <c r="X5142">
        <v>2</v>
      </c>
      <c r="Y5142">
        <v>0</v>
      </c>
      <c r="AA5142">
        <v>1</v>
      </c>
      <c r="AB5142">
        <v>8</v>
      </c>
      <c r="AC5142">
        <v>3</v>
      </c>
      <c r="AD5142">
        <v>0</v>
      </c>
      <c r="AE5142">
        <v>9</v>
      </c>
      <c r="AF5142" t="s">
        <v>138</v>
      </c>
      <c r="AG5142">
        <v>0</v>
      </c>
      <c r="AH5142">
        <v>3</v>
      </c>
      <c r="AI5142">
        <v>2</v>
      </c>
      <c r="AJ5142">
        <v>0</v>
      </c>
      <c r="AK5142" t="s">
        <v>1620</v>
      </c>
      <c r="AL5142">
        <v>39.234281000000003</v>
      </c>
      <c r="AM5142" t="s">
        <v>1621</v>
      </c>
      <c r="AN5142">
        <v>-121.02453199999999</v>
      </c>
      <c r="AO5142">
        <v>25</v>
      </c>
      <c r="AP5142">
        <v>3600</v>
      </c>
      <c r="AQ5142" t="s">
        <v>131</v>
      </c>
      <c r="AR5142">
        <v>-90</v>
      </c>
      <c r="AS5142">
        <v>-27</v>
      </c>
      <c r="AT5142">
        <v>-832</v>
      </c>
      <c r="BB5142" t="str">
        <f t="shared" si="2030"/>
        <v>1200</v>
      </c>
      <c r="BC5142">
        <v>1</v>
      </c>
      <c r="BD5142" t="str">
        <f t="shared" si="2031"/>
        <v xml:space="preserve">N52156  </v>
      </c>
      <c r="BE5142">
        <v>1</v>
      </c>
      <c r="BG5142">
        <v>0</v>
      </c>
      <c r="BH5142">
        <v>0</v>
      </c>
      <c r="BI5142">
        <v>0</v>
      </c>
      <c r="BJ5142">
        <v>3675</v>
      </c>
      <c r="BK5142">
        <v>75</v>
      </c>
      <c r="BL5142" t="s">
        <v>188</v>
      </c>
      <c r="BM5142">
        <v>1</v>
      </c>
      <c r="BN5142">
        <v>1</v>
      </c>
      <c r="BO5142">
        <v>0</v>
      </c>
      <c r="BP5142">
        <v>0</v>
      </c>
      <c r="BS5142">
        <v>0</v>
      </c>
      <c r="BT5142">
        <v>0</v>
      </c>
      <c r="BU5142">
        <v>0</v>
      </c>
      <c r="CE5142" t="str">
        <f t="shared" si="2037"/>
        <v>15:18:48.847</v>
      </c>
      <c r="CF5142">
        <v>846757624</v>
      </c>
      <c r="CS5142">
        <v>0</v>
      </c>
      <c r="CT5142">
        <v>2</v>
      </c>
      <c r="CU5142">
        <v>0</v>
      </c>
      <c r="CV5142">
        <v>2</v>
      </c>
      <c r="CW5142">
        <v>0</v>
      </c>
      <c r="CX5142">
        <v>4</v>
      </c>
      <c r="CY5142">
        <v>7</v>
      </c>
      <c r="CZ5142" t="s">
        <v>133</v>
      </c>
      <c r="DA5142">
        <v>275</v>
      </c>
      <c r="DB5142">
        <v>0</v>
      </c>
      <c r="DC5142" t="s">
        <v>134</v>
      </c>
      <c r="DD5142" t="s">
        <v>135</v>
      </c>
      <c r="DG5142">
        <v>3323624</v>
      </c>
      <c r="DI5142">
        <v>1</v>
      </c>
      <c r="DJ5142">
        <v>0</v>
      </c>
      <c r="DK5142">
        <v>1</v>
      </c>
      <c r="DL5142">
        <v>0</v>
      </c>
      <c r="DM5142">
        <v>0</v>
      </c>
      <c r="DN5142">
        <v>0</v>
      </c>
      <c r="DO5142">
        <v>0</v>
      </c>
      <c r="DP5142">
        <v>0</v>
      </c>
      <c r="DQ5142">
        <v>0</v>
      </c>
      <c r="DR5142">
        <v>0</v>
      </c>
      <c r="DS5142">
        <v>0</v>
      </c>
    </row>
    <row r="5143" spans="1:123" x14ac:dyDescent="0.3">
      <c r="A5143" t="str">
        <f>"05/01/2025 15:18:49.092"</f>
        <v>05/01/2025 15:18:49.092</v>
      </c>
      <c r="C5143" t="str">
        <f t="shared" si="2028"/>
        <v>FFDFD3C0</v>
      </c>
      <c r="D5143" t="s">
        <v>136</v>
      </c>
      <c r="E5143" t="str">
        <f>"20"</f>
        <v>20</v>
      </c>
      <c r="H5143">
        <v>400</v>
      </c>
      <c r="I5143" t="s">
        <v>137</v>
      </c>
      <c r="J5143" t="s">
        <v>138</v>
      </c>
      <c r="K5143">
        <v>0</v>
      </c>
      <c r="L5143">
        <v>3</v>
      </c>
      <c r="M5143">
        <v>0</v>
      </c>
      <c r="N5143">
        <v>2</v>
      </c>
      <c r="O5143">
        <v>0</v>
      </c>
      <c r="P5143">
        <v>1</v>
      </c>
      <c r="Q5143">
        <v>0</v>
      </c>
      <c r="R5143" t="s">
        <v>127</v>
      </c>
      <c r="S5143" t="str">
        <f t="shared" si="2036"/>
        <v>15:18:48.000</v>
      </c>
      <c r="T5143" t="str">
        <f t="shared" si="2036"/>
        <v>15:18:48.000</v>
      </c>
      <c r="U5143" t="str">
        <f t="shared" si="2029"/>
        <v>A68FCB</v>
      </c>
      <c r="V5143">
        <v>0</v>
      </c>
      <c r="W5143">
        <v>0</v>
      </c>
      <c r="X5143">
        <v>2</v>
      </c>
      <c r="Y5143">
        <v>0</v>
      </c>
      <c r="AA5143">
        <v>1</v>
      </c>
      <c r="AB5143">
        <v>8</v>
      </c>
      <c r="AC5143">
        <v>3</v>
      </c>
      <c r="AD5143">
        <v>0</v>
      </c>
      <c r="AE5143">
        <v>9</v>
      </c>
      <c r="AF5143" t="s">
        <v>138</v>
      </c>
      <c r="AG5143">
        <v>0</v>
      </c>
      <c r="AH5143">
        <v>3</v>
      </c>
      <c r="AI5143">
        <v>2</v>
      </c>
      <c r="AJ5143">
        <v>0</v>
      </c>
      <c r="AK5143" t="s">
        <v>1620</v>
      </c>
      <c r="AL5143">
        <v>39.234281000000003</v>
      </c>
      <c r="AM5143" t="s">
        <v>1621</v>
      </c>
      <c r="AN5143">
        <v>-121.02453199999999</v>
      </c>
      <c r="AO5143">
        <v>25</v>
      </c>
      <c r="AP5143">
        <v>3600</v>
      </c>
      <c r="AQ5143" t="s">
        <v>131</v>
      </c>
      <c r="AR5143">
        <v>-90</v>
      </c>
      <c r="AS5143">
        <v>-27</v>
      </c>
      <c r="AT5143">
        <v>-832</v>
      </c>
      <c r="BB5143" t="str">
        <f t="shared" si="2030"/>
        <v>1200</v>
      </c>
      <c r="BC5143">
        <v>1</v>
      </c>
      <c r="BD5143" t="str">
        <f t="shared" si="2031"/>
        <v xml:space="preserve">N52156  </v>
      </c>
      <c r="BE5143">
        <v>1</v>
      </c>
      <c r="BG5143">
        <v>0</v>
      </c>
      <c r="BH5143">
        <v>0</v>
      </c>
      <c r="BI5143">
        <v>0</v>
      </c>
      <c r="BJ5143">
        <v>3675</v>
      </c>
      <c r="BK5143">
        <v>75</v>
      </c>
      <c r="BL5143" t="s">
        <v>188</v>
      </c>
      <c r="BM5143">
        <v>1</v>
      </c>
      <c r="BN5143">
        <v>1</v>
      </c>
      <c r="BO5143">
        <v>0</v>
      </c>
      <c r="BP5143">
        <v>0</v>
      </c>
      <c r="BS5143">
        <v>0</v>
      </c>
      <c r="BT5143">
        <v>0</v>
      </c>
      <c r="BU5143">
        <v>0</v>
      </c>
      <c r="CE5143" t="str">
        <f t="shared" si="2037"/>
        <v>15:18:48.847</v>
      </c>
      <c r="CF5143">
        <v>846757624</v>
      </c>
      <c r="CS5143">
        <v>0</v>
      </c>
      <c r="CT5143">
        <v>2</v>
      </c>
      <c r="CU5143">
        <v>0</v>
      </c>
      <c r="CV5143">
        <v>2</v>
      </c>
      <c r="CW5143">
        <v>0</v>
      </c>
      <c r="CX5143">
        <v>4</v>
      </c>
      <c r="CY5143">
        <v>7</v>
      </c>
      <c r="CZ5143" t="s">
        <v>133</v>
      </c>
      <c r="DA5143">
        <v>275</v>
      </c>
      <c r="DB5143">
        <v>0</v>
      </c>
      <c r="DC5143" t="s">
        <v>134</v>
      </c>
      <c r="DD5143" t="s">
        <v>135</v>
      </c>
      <c r="DG5143">
        <v>3323624</v>
      </c>
      <c r="DI5143">
        <v>1</v>
      </c>
      <c r="DJ5143">
        <v>0</v>
      </c>
      <c r="DK5143">
        <v>1</v>
      </c>
      <c r="DL5143">
        <v>0</v>
      </c>
      <c r="DM5143">
        <v>0</v>
      </c>
      <c r="DN5143">
        <v>0</v>
      </c>
      <c r="DO5143">
        <v>0</v>
      </c>
      <c r="DP5143">
        <v>0</v>
      </c>
      <c r="DQ5143">
        <v>0</v>
      </c>
      <c r="DR5143">
        <v>0</v>
      </c>
      <c r="DS5143">
        <v>0</v>
      </c>
    </row>
    <row r="5144" spans="1:123" x14ac:dyDescent="0.3">
      <c r="A5144" t="str">
        <f>"05/01/2025 15:18:49.662"</f>
        <v>05/01/2025 15:18:49.662</v>
      </c>
      <c r="C5144" t="str">
        <f t="shared" si="2028"/>
        <v>FFDFD3C0</v>
      </c>
      <c r="D5144" t="s">
        <v>124</v>
      </c>
      <c r="E5144" t="str">
        <f>"06"</f>
        <v>06</v>
      </c>
      <c r="F5144">
        <v>2006</v>
      </c>
      <c r="G5144" t="s">
        <v>125</v>
      </c>
      <c r="J5144" t="s">
        <v>126</v>
      </c>
      <c r="K5144">
        <v>0</v>
      </c>
      <c r="L5144">
        <v>3</v>
      </c>
      <c r="M5144">
        <v>0</v>
      </c>
      <c r="N5144">
        <v>2</v>
      </c>
      <c r="O5144">
        <v>0</v>
      </c>
      <c r="P5144">
        <v>1</v>
      </c>
      <c r="Q5144">
        <v>0</v>
      </c>
      <c r="R5144" t="s">
        <v>127</v>
      </c>
      <c r="S5144" t="str">
        <f t="shared" ref="S5144:T5149" si="2038">"15:18:49.000"</f>
        <v>15:18:49.000</v>
      </c>
      <c r="T5144" t="str">
        <f t="shared" si="2038"/>
        <v>15:18:49.000</v>
      </c>
      <c r="U5144" t="str">
        <f t="shared" si="2029"/>
        <v>A68FCB</v>
      </c>
      <c r="V5144">
        <v>0</v>
      </c>
      <c r="W5144">
        <v>0</v>
      </c>
      <c r="X5144">
        <v>2</v>
      </c>
      <c r="Y5144">
        <v>0</v>
      </c>
      <c r="AA5144">
        <v>1</v>
      </c>
      <c r="AB5144">
        <v>8</v>
      </c>
      <c r="AC5144">
        <v>3</v>
      </c>
      <c r="AD5144">
        <v>0</v>
      </c>
      <c r="AE5144">
        <v>9</v>
      </c>
      <c r="AF5144" t="s">
        <v>138</v>
      </c>
      <c r="AG5144">
        <v>0</v>
      </c>
      <c r="AH5144">
        <v>3</v>
      </c>
      <c r="AI5144">
        <v>2</v>
      </c>
      <c r="AJ5144">
        <v>0</v>
      </c>
      <c r="AK5144" t="s">
        <v>1622</v>
      </c>
      <c r="AL5144">
        <v>39.234152000000002</v>
      </c>
      <c r="AM5144" t="s">
        <v>1623</v>
      </c>
      <c r="AN5144">
        <v>-121.025047</v>
      </c>
      <c r="AO5144">
        <v>25</v>
      </c>
      <c r="AP5144">
        <v>3600</v>
      </c>
      <c r="AQ5144" t="s">
        <v>131</v>
      </c>
      <c r="AR5144">
        <v>-88</v>
      </c>
      <c r="AS5144">
        <v>-29</v>
      </c>
      <c r="AT5144">
        <v>-832</v>
      </c>
      <c r="BB5144" t="str">
        <f t="shared" si="2030"/>
        <v>1200</v>
      </c>
      <c r="BC5144">
        <v>1</v>
      </c>
      <c r="BD5144" t="str">
        <f t="shared" si="2031"/>
        <v xml:space="preserve">N52156  </v>
      </c>
      <c r="BE5144">
        <v>1</v>
      </c>
      <c r="BG5144">
        <v>0</v>
      </c>
      <c r="BH5144">
        <v>0</v>
      </c>
      <c r="BI5144">
        <v>0</v>
      </c>
      <c r="BJ5144">
        <v>3625</v>
      </c>
      <c r="BK5144">
        <v>25</v>
      </c>
      <c r="BL5144" t="s">
        <v>188</v>
      </c>
      <c r="BM5144">
        <v>1</v>
      </c>
      <c r="BN5144">
        <v>1</v>
      </c>
      <c r="BO5144">
        <v>0</v>
      </c>
      <c r="BP5144">
        <v>0</v>
      </c>
      <c r="BS5144">
        <v>0</v>
      </c>
      <c r="BT5144">
        <v>0</v>
      </c>
      <c r="BU5144">
        <v>0</v>
      </c>
      <c r="CE5144" t="str">
        <f t="shared" ref="CE5144:CE5149" si="2039">"15:18:49.451"</f>
        <v>15:18:49.451</v>
      </c>
      <c r="CF5144">
        <v>450756538</v>
      </c>
      <c r="CS5144">
        <v>0</v>
      </c>
      <c r="CT5144">
        <v>2</v>
      </c>
      <c r="CU5144">
        <v>0</v>
      </c>
      <c r="CV5144">
        <v>2</v>
      </c>
      <c r="CW5144">
        <v>0</v>
      </c>
      <c r="CX5144">
        <v>4</v>
      </c>
      <c r="CY5144">
        <v>7</v>
      </c>
      <c r="CZ5144" t="s">
        <v>133</v>
      </c>
      <c r="DA5144">
        <v>275</v>
      </c>
      <c r="DB5144">
        <v>0</v>
      </c>
      <c r="DC5144" t="s">
        <v>134</v>
      </c>
      <c r="DD5144" t="s">
        <v>135</v>
      </c>
      <c r="DG5144">
        <v>3323628</v>
      </c>
      <c r="DI5144">
        <v>1</v>
      </c>
      <c r="DJ5144">
        <v>0</v>
      </c>
      <c r="DK5144">
        <v>0</v>
      </c>
      <c r="DL5144">
        <v>0</v>
      </c>
      <c r="DM5144">
        <v>0</v>
      </c>
      <c r="DN5144">
        <v>0</v>
      </c>
      <c r="DO5144">
        <v>0</v>
      </c>
      <c r="DP5144">
        <v>0</v>
      </c>
      <c r="DQ5144">
        <v>0</v>
      </c>
      <c r="DR5144">
        <v>0</v>
      </c>
      <c r="DS5144">
        <v>0</v>
      </c>
    </row>
    <row r="5145" spans="1:123" x14ac:dyDescent="0.3">
      <c r="A5145" t="str">
        <f>"05/01/2025 15:18:49.660"</f>
        <v>05/01/2025 15:18:49.660</v>
      </c>
      <c r="C5145" t="str">
        <f t="shared" si="2028"/>
        <v>FFDFD3C0</v>
      </c>
      <c r="D5145" t="s">
        <v>140</v>
      </c>
      <c r="E5145" t="str">
        <f>"13"</f>
        <v>13</v>
      </c>
      <c r="F5145">
        <v>1019</v>
      </c>
      <c r="G5145" t="s">
        <v>141</v>
      </c>
      <c r="J5145" t="s">
        <v>142</v>
      </c>
      <c r="K5145">
        <v>0</v>
      </c>
      <c r="L5145">
        <v>3</v>
      </c>
      <c r="M5145">
        <v>0</v>
      </c>
      <c r="N5145">
        <v>2</v>
      </c>
      <c r="O5145">
        <v>0</v>
      </c>
      <c r="P5145">
        <v>1</v>
      </c>
      <c r="Q5145">
        <v>0</v>
      </c>
      <c r="R5145" t="s">
        <v>127</v>
      </c>
      <c r="S5145" t="str">
        <f t="shared" si="2038"/>
        <v>15:18:49.000</v>
      </c>
      <c r="T5145" t="str">
        <f t="shared" si="2038"/>
        <v>15:18:49.000</v>
      </c>
      <c r="U5145" t="str">
        <f t="shared" si="2029"/>
        <v>A68FCB</v>
      </c>
      <c r="V5145">
        <v>0</v>
      </c>
      <c r="W5145">
        <v>0</v>
      </c>
      <c r="X5145">
        <v>2</v>
      </c>
      <c r="Y5145">
        <v>0</v>
      </c>
      <c r="AA5145">
        <v>1</v>
      </c>
      <c r="AB5145">
        <v>8</v>
      </c>
      <c r="AC5145">
        <v>3</v>
      </c>
      <c r="AD5145">
        <v>0</v>
      </c>
      <c r="AE5145">
        <v>9</v>
      </c>
      <c r="AF5145" t="s">
        <v>138</v>
      </c>
      <c r="AG5145">
        <v>0</v>
      </c>
      <c r="AH5145">
        <v>3</v>
      </c>
      <c r="AI5145">
        <v>2</v>
      </c>
      <c r="AJ5145">
        <v>0</v>
      </c>
      <c r="AK5145" t="s">
        <v>1622</v>
      </c>
      <c r="AL5145">
        <v>39.234152000000002</v>
      </c>
      <c r="AM5145" t="s">
        <v>1623</v>
      </c>
      <c r="AN5145">
        <v>-121.025047</v>
      </c>
      <c r="AO5145">
        <v>25</v>
      </c>
      <c r="AP5145">
        <v>3600</v>
      </c>
      <c r="AQ5145" t="s">
        <v>131</v>
      </c>
      <c r="AR5145">
        <v>-88</v>
      </c>
      <c r="AS5145">
        <v>-29</v>
      </c>
      <c r="AT5145">
        <v>-832</v>
      </c>
      <c r="BB5145" t="str">
        <f t="shared" si="2030"/>
        <v>1200</v>
      </c>
      <c r="BC5145">
        <v>1</v>
      </c>
      <c r="BD5145" t="str">
        <f t="shared" si="2031"/>
        <v xml:space="preserve">N52156  </v>
      </c>
      <c r="BE5145">
        <v>1</v>
      </c>
      <c r="BG5145">
        <v>0</v>
      </c>
      <c r="BH5145">
        <v>0</v>
      </c>
      <c r="BI5145">
        <v>0</v>
      </c>
      <c r="BJ5145">
        <v>3625</v>
      </c>
      <c r="BK5145">
        <v>25</v>
      </c>
      <c r="BL5145" t="s">
        <v>188</v>
      </c>
      <c r="BM5145">
        <v>1</v>
      </c>
      <c r="BN5145">
        <v>1</v>
      </c>
      <c r="BO5145">
        <v>0</v>
      </c>
      <c r="BP5145">
        <v>0</v>
      </c>
      <c r="BS5145">
        <v>0</v>
      </c>
      <c r="BT5145">
        <v>0</v>
      </c>
      <c r="BU5145">
        <v>0</v>
      </c>
      <c r="CE5145" t="str">
        <f t="shared" si="2039"/>
        <v>15:18:49.451</v>
      </c>
      <c r="CF5145">
        <v>450756538</v>
      </c>
      <c r="CS5145">
        <v>0</v>
      </c>
      <c r="CT5145">
        <v>2</v>
      </c>
      <c r="CU5145">
        <v>0</v>
      </c>
      <c r="CV5145">
        <v>2</v>
      </c>
      <c r="CW5145">
        <v>0</v>
      </c>
      <c r="CX5145">
        <v>4</v>
      </c>
      <c r="CY5145">
        <v>7</v>
      </c>
      <c r="CZ5145" t="s">
        <v>133</v>
      </c>
      <c r="DA5145">
        <v>275</v>
      </c>
      <c r="DB5145">
        <v>0</v>
      </c>
      <c r="DC5145" t="s">
        <v>134</v>
      </c>
      <c r="DD5145" t="s">
        <v>135</v>
      </c>
      <c r="DG5145">
        <v>3323628</v>
      </c>
      <c r="DI5145">
        <v>1</v>
      </c>
      <c r="DJ5145">
        <v>0</v>
      </c>
      <c r="DK5145">
        <v>1</v>
      </c>
      <c r="DL5145">
        <v>0</v>
      </c>
      <c r="DM5145">
        <v>0</v>
      </c>
      <c r="DN5145">
        <v>0</v>
      </c>
      <c r="DO5145">
        <v>0</v>
      </c>
      <c r="DP5145">
        <v>0</v>
      </c>
      <c r="DQ5145">
        <v>0</v>
      </c>
      <c r="DR5145">
        <v>0</v>
      </c>
      <c r="DS5145">
        <v>0</v>
      </c>
    </row>
    <row r="5146" spans="1:123" x14ac:dyDescent="0.3">
      <c r="A5146" t="str">
        <f>"05/01/2025 15:18:49.673"</f>
        <v>05/01/2025 15:18:49.673</v>
      </c>
      <c r="C5146" t="str">
        <f t="shared" si="2028"/>
        <v>FFDFD3C0</v>
      </c>
      <c r="D5146" t="s">
        <v>143</v>
      </c>
      <c r="E5146" t="str">
        <f>"05"</f>
        <v>05</v>
      </c>
      <c r="H5146">
        <v>172</v>
      </c>
      <c r="I5146" t="s">
        <v>141</v>
      </c>
      <c r="J5146" t="s">
        <v>144</v>
      </c>
      <c r="K5146">
        <v>0</v>
      </c>
      <c r="L5146">
        <v>3</v>
      </c>
      <c r="M5146">
        <v>0</v>
      </c>
      <c r="N5146">
        <v>2</v>
      </c>
      <c r="O5146">
        <v>0</v>
      </c>
      <c r="P5146">
        <v>1</v>
      </c>
      <c r="Q5146">
        <v>0</v>
      </c>
      <c r="R5146" t="s">
        <v>127</v>
      </c>
      <c r="S5146" t="str">
        <f t="shared" si="2038"/>
        <v>15:18:49.000</v>
      </c>
      <c r="T5146" t="str">
        <f t="shared" si="2038"/>
        <v>15:18:49.000</v>
      </c>
      <c r="U5146" t="str">
        <f t="shared" si="2029"/>
        <v>A68FCB</v>
      </c>
      <c r="V5146">
        <v>0</v>
      </c>
      <c r="W5146">
        <v>0</v>
      </c>
      <c r="X5146">
        <v>2</v>
      </c>
      <c r="Y5146">
        <v>0</v>
      </c>
      <c r="AA5146">
        <v>1</v>
      </c>
      <c r="AB5146">
        <v>8</v>
      </c>
      <c r="AC5146">
        <v>3</v>
      </c>
      <c r="AD5146">
        <v>0</v>
      </c>
      <c r="AE5146">
        <v>9</v>
      </c>
      <c r="AF5146" t="s">
        <v>138</v>
      </c>
      <c r="AG5146">
        <v>0</v>
      </c>
      <c r="AH5146">
        <v>3</v>
      </c>
      <c r="AI5146">
        <v>2</v>
      </c>
      <c r="AJ5146">
        <v>0</v>
      </c>
      <c r="AK5146" t="s">
        <v>1622</v>
      </c>
      <c r="AL5146">
        <v>39.234152000000002</v>
      </c>
      <c r="AM5146" t="s">
        <v>1623</v>
      </c>
      <c r="AN5146">
        <v>-121.025047</v>
      </c>
      <c r="AO5146">
        <v>25</v>
      </c>
      <c r="AP5146">
        <v>3600</v>
      </c>
      <c r="AQ5146" t="s">
        <v>131</v>
      </c>
      <c r="AR5146">
        <v>-88</v>
      </c>
      <c r="AS5146">
        <v>-29</v>
      </c>
      <c r="AT5146">
        <v>-832</v>
      </c>
      <c r="BB5146" t="str">
        <f t="shared" si="2030"/>
        <v>1200</v>
      </c>
      <c r="BC5146">
        <v>1</v>
      </c>
      <c r="BD5146" t="str">
        <f t="shared" si="2031"/>
        <v xml:space="preserve">N52156  </v>
      </c>
      <c r="BE5146">
        <v>1</v>
      </c>
      <c r="BG5146">
        <v>0</v>
      </c>
      <c r="BH5146">
        <v>0</v>
      </c>
      <c r="BI5146">
        <v>0</v>
      </c>
      <c r="BJ5146">
        <v>3625</v>
      </c>
      <c r="BK5146">
        <v>25</v>
      </c>
      <c r="BL5146" t="s">
        <v>188</v>
      </c>
      <c r="BM5146">
        <v>1</v>
      </c>
      <c r="BN5146">
        <v>1</v>
      </c>
      <c r="BO5146">
        <v>0</v>
      </c>
      <c r="BP5146">
        <v>0</v>
      </c>
      <c r="BS5146">
        <v>0</v>
      </c>
      <c r="BT5146">
        <v>0</v>
      </c>
      <c r="BU5146">
        <v>0</v>
      </c>
      <c r="CE5146" t="str">
        <f t="shared" si="2039"/>
        <v>15:18:49.451</v>
      </c>
      <c r="CF5146">
        <v>450756538</v>
      </c>
      <c r="CS5146">
        <v>0</v>
      </c>
      <c r="CT5146">
        <v>2</v>
      </c>
      <c r="CU5146">
        <v>0</v>
      </c>
      <c r="CV5146">
        <v>2</v>
      </c>
      <c r="CW5146">
        <v>0</v>
      </c>
      <c r="CX5146">
        <v>4</v>
      </c>
      <c r="CY5146">
        <v>7</v>
      </c>
      <c r="CZ5146" t="s">
        <v>133</v>
      </c>
      <c r="DA5146">
        <v>275</v>
      </c>
      <c r="DB5146">
        <v>0</v>
      </c>
      <c r="DC5146" t="s">
        <v>134</v>
      </c>
      <c r="DD5146" t="s">
        <v>135</v>
      </c>
      <c r="DG5146">
        <v>3323628</v>
      </c>
      <c r="DI5146">
        <v>1</v>
      </c>
      <c r="DJ5146">
        <v>0</v>
      </c>
      <c r="DK5146">
        <v>1</v>
      </c>
      <c r="DL5146">
        <v>0</v>
      </c>
      <c r="DM5146">
        <v>0</v>
      </c>
      <c r="DN5146">
        <v>0</v>
      </c>
      <c r="DO5146">
        <v>0</v>
      </c>
      <c r="DP5146">
        <v>0</v>
      </c>
      <c r="DQ5146">
        <v>0</v>
      </c>
      <c r="DR5146">
        <v>0</v>
      </c>
      <c r="DS5146">
        <v>0</v>
      </c>
    </row>
    <row r="5147" spans="1:123" x14ac:dyDescent="0.3">
      <c r="A5147" t="str">
        <f>"05/01/2025 15:18:49.686"</f>
        <v>05/01/2025 15:18:49.686</v>
      </c>
      <c r="C5147" t="str">
        <f t="shared" si="2028"/>
        <v>FFDFD3C0</v>
      </c>
      <c r="D5147" t="s">
        <v>145</v>
      </c>
      <c r="E5147" t="str">
        <f>"09"</f>
        <v>09</v>
      </c>
      <c r="H5147">
        <v>51</v>
      </c>
      <c r="I5147" t="s">
        <v>147</v>
      </c>
      <c r="J5147" t="s">
        <v>138</v>
      </c>
      <c r="K5147">
        <v>0</v>
      </c>
      <c r="L5147">
        <v>3</v>
      </c>
      <c r="M5147">
        <v>0</v>
      </c>
      <c r="N5147">
        <v>2</v>
      </c>
      <c r="O5147">
        <v>0</v>
      </c>
      <c r="P5147">
        <v>1</v>
      </c>
      <c r="Q5147">
        <v>0</v>
      </c>
      <c r="R5147" t="s">
        <v>127</v>
      </c>
      <c r="S5147" t="str">
        <f t="shared" si="2038"/>
        <v>15:18:49.000</v>
      </c>
      <c r="T5147" t="str">
        <f t="shared" si="2038"/>
        <v>15:18:49.000</v>
      </c>
      <c r="U5147" t="str">
        <f t="shared" si="2029"/>
        <v>A68FCB</v>
      </c>
      <c r="V5147">
        <v>0</v>
      </c>
      <c r="W5147">
        <v>0</v>
      </c>
      <c r="X5147">
        <v>2</v>
      </c>
      <c r="Y5147">
        <v>0</v>
      </c>
      <c r="AA5147">
        <v>1</v>
      </c>
      <c r="AB5147">
        <v>8</v>
      </c>
      <c r="AC5147">
        <v>3</v>
      </c>
      <c r="AD5147">
        <v>0</v>
      </c>
      <c r="AE5147">
        <v>9</v>
      </c>
      <c r="AF5147" t="s">
        <v>138</v>
      </c>
      <c r="AG5147">
        <v>0</v>
      </c>
      <c r="AH5147">
        <v>3</v>
      </c>
      <c r="AI5147">
        <v>2</v>
      </c>
      <c r="AJ5147">
        <v>0</v>
      </c>
      <c r="AK5147" t="s">
        <v>1622</v>
      </c>
      <c r="AL5147">
        <v>39.234152000000002</v>
      </c>
      <c r="AM5147" t="s">
        <v>1623</v>
      </c>
      <c r="AN5147">
        <v>-121.025047</v>
      </c>
      <c r="AO5147">
        <v>25</v>
      </c>
      <c r="AP5147">
        <v>3600</v>
      </c>
      <c r="AQ5147" t="s">
        <v>131</v>
      </c>
      <c r="AR5147">
        <v>-88</v>
      </c>
      <c r="AS5147">
        <v>-29</v>
      </c>
      <c r="AT5147">
        <v>-832</v>
      </c>
      <c r="BB5147" t="str">
        <f t="shared" si="2030"/>
        <v>1200</v>
      </c>
      <c r="BC5147">
        <v>1</v>
      </c>
      <c r="BD5147" t="str">
        <f t="shared" si="2031"/>
        <v xml:space="preserve">N52156  </v>
      </c>
      <c r="BE5147">
        <v>1</v>
      </c>
      <c r="BG5147">
        <v>0</v>
      </c>
      <c r="BH5147">
        <v>0</v>
      </c>
      <c r="BI5147">
        <v>0</v>
      </c>
      <c r="BJ5147">
        <v>3625</v>
      </c>
      <c r="BK5147">
        <v>25</v>
      </c>
      <c r="BL5147" t="s">
        <v>188</v>
      </c>
      <c r="BM5147">
        <v>1</v>
      </c>
      <c r="BN5147">
        <v>1</v>
      </c>
      <c r="BO5147">
        <v>0</v>
      </c>
      <c r="BP5147">
        <v>0</v>
      </c>
      <c r="BS5147">
        <v>0</v>
      </c>
      <c r="BT5147">
        <v>0</v>
      </c>
      <c r="BU5147">
        <v>0</v>
      </c>
      <c r="CE5147" t="str">
        <f t="shared" si="2039"/>
        <v>15:18:49.451</v>
      </c>
      <c r="CF5147">
        <v>450756538</v>
      </c>
      <c r="CS5147">
        <v>0</v>
      </c>
      <c r="CT5147">
        <v>2</v>
      </c>
      <c r="CU5147">
        <v>0</v>
      </c>
      <c r="CV5147">
        <v>2</v>
      </c>
      <c r="CW5147">
        <v>0</v>
      </c>
      <c r="CX5147">
        <v>4</v>
      </c>
      <c r="CY5147">
        <v>7</v>
      </c>
      <c r="CZ5147" t="s">
        <v>133</v>
      </c>
      <c r="DA5147">
        <v>275</v>
      </c>
      <c r="DB5147">
        <v>0</v>
      </c>
      <c r="DC5147" t="s">
        <v>134</v>
      </c>
      <c r="DD5147" t="s">
        <v>135</v>
      </c>
      <c r="DG5147">
        <v>3323628</v>
      </c>
      <c r="DI5147">
        <v>1</v>
      </c>
      <c r="DJ5147">
        <v>0</v>
      </c>
      <c r="DK5147">
        <v>1</v>
      </c>
      <c r="DL5147">
        <v>0</v>
      </c>
      <c r="DM5147">
        <v>0</v>
      </c>
      <c r="DN5147">
        <v>0</v>
      </c>
      <c r="DO5147">
        <v>0</v>
      </c>
      <c r="DP5147">
        <v>0</v>
      </c>
      <c r="DQ5147">
        <v>0</v>
      </c>
      <c r="DR5147">
        <v>0</v>
      </c>
      <c r="DS5147">
        <v>0</v>
      </c>
    </row>
    <row r="5148" spans="1:123" x14ac:dyDescent="0.3">
      <c r="A5148" t="str">
        <f>"05/01/2025 15:18:49.686"</f>
        <v>05/01/2025 15:18:49.686</v>
      </c>
      <c r="C5148" t="str">
        <f t="shared" si="2028"/>
        <v>FFDFD3C0</v>
      </c>
      <c r="D5148" t="s">
        <v>145</v>
      </c>
      <c r="E5148" t="str">
        <f>"05"</f>
        <v>05</v>
      </c>
      <c r="H5148">
        <v>47</v>
      </c>
      <c r="I5148" t="s">
        <v>146</v>
      </c>
      <c r="J5148" t="s">
        <v>138</v>
      </c>
      <c r="K5148">
        <v>0</v>
      </c>
      <c r="L5148">
        <v>3</v>
      </c>
      <c r="M5148">
        <v>0</v>
      </c>
      <c r="N5148">
        <v>2</v>
      </c>
      <c r="O5148">
        <v>0</v>
      </c>
      <c r="P5148">
        <v>1</v>
      </c>
      <c r="Q5148">
        <v>0</v>
      </c>
      <c r="R5148" t="s">
        <v>127</v>
      </c>
      <c r="S5148" t="str">
        <f t="shared" si="2038"/>
        <v>15:18:49.000</v>
      </c>
      <c r="T5148" t="str">
        <f t="shared" si="2038"/>
        <v>15:18:49.000</v>
      </c>
      <c r="U5148" t="str">
        <f t="shared" si="2029"/>
        <v>A68FCB</v>
      </c>
      <c r="V5148">
        <v>0</v>
      </c>
      <c r="W5148">
        <v>0</v>
      </c>
      <c r="X5148">
        <v>2</v>
      </c>
      <c r="Y5148">
        <v>0</v>
      </c>
      <c r="AA5148">
        <v>1</v>
      </c>
      <c r="AB5148">
        <v>8</v>
      </c>
      <c r="AC5148">
        <v>3</v>
      </c>
      <c r="AD5148">
        <v>0</v>
      </c>
      <c r="AE5148">
        <v>9</v>
      </c>
      <c r="AF5148" t="s">
        <v>138</v>
      </c>
      <c r="AG5148">
        <v>0</v>
      </c>
      <c r="AH5148">
        <v>3</v>
      </c>
      <c r="AI5148">
        <v>2</v>
      </c>
      <c r="AJ5148">
        <v>0</v>
      </c>
      <c r="AK5148" t="s">
        <v>1622</v>
      </c>
      <c r="AL5148">
        <v>39.234152000000002</v>
      </c>
      <c r="AM5148" t="s">
        <v>1623</v>
      </c>
      <c r="AN5148">
        <v>-121.025047</v>
      </c>
      <c r="AO5148">
        <v>25</v>
      </c>
      <c r="AP5148">
        <v>3600</v>
      </c>
      <c r="AQ5148" t="s">
        <v>131</v>
      </c>
      <c r="AR5148">
        <v>-88</v>
      </c>
      <c r="AS5148">
        <v>-29</v>
      </c>
      <c r="AT5148">
        <v>-832</v>
      </c>
      <c r="BB5148" t="str">
        <f t="shared" si="2030"/>
        <v>1200</v>
      </c>
      <c r="BC5148">
        <v>1</v>
      </c>
      <c r="BD5148" t="str">
        <f t="shared" si="2031"/>
        <v xml:space="preserve">N52156  </v>
      </c>
      <c r="BE5148">
        <v>1</v>
      </c>
      <c r="BG5148">
        <v>0</v>
      </c>
      <c r="BH5148">
        <v>0</v>
      </c>
      <c r="BI5148">
        <v>0</v>
      </c>
      <c r="BJ5148">
        <v>3625</v>
      </c>
      <c r="BK5148">
        <v>25</v>
      </c>
      <c r="BL5148" t="s">
        <v>188</v>
      </c>
      <c r="BM5148">
        <v>1</v>
      </c>
      <c r="BN5148">
        <v>1</v>
      </c>
      <c r="BO5148">
        <v>0</v>
      </c>
      <c r="BP5148">
        <v>0</v>
      </c>
      <c r="BS5148">
        <v>0</v>
      </c>
      <c r="BT5148">
        <v>0</v>
      </c>
      <c r="BU5148">
        <v>0</v>
      </c>
      <c r="CE5148" t="str">
        <f t="shared" si="2039"/>
        <v>15:18:49.451</v>
      </c>
      <c r="CF5148">
        <v>450756538</v>
      </c>
      <c r="CS5148">
        <v>0</v>
      </c>
      <c r="CT5148">
        <v>2</v>
      </c>
      <c r="CU5148">
        <v>0</v>
      </c>
      <c r="CV5148">
        <v>2</v>
      </c>
      <c r="CW5148">
        <v>0</v>
      </c>
      <c r="CX5148">
        <v>4</v>
      </c>
      <c r="CY5148">
        <v>7</v>
      </c>
      <c r="CZ5148" t="s">
        <v>133</v>
      </c>
      <c r="DA5148">
        <v>275</v>
      </c>
      <c r="DB5148">
        <v>0</v>
      </c>
      <c r="DC5148" t="s">
        <v>134</v>
      </c>
      <c r="DD5148" t="s">
        <v>135</v>
      </c>
      <c r="DG5148">
        <v>3323628</v>
      </c>
      <c r="DI5148">
        <v>1</v>
      </c>
      <c r="DJ5148">
        <v>0</v>
      </c>
      <c r="DK5148">
        <v>1</v>
      </c>
      <c r="DL5148">
        <v>0</v>
      </c>
      <c r="DM5148">
        <v>0</v>
      </c>
      <c r="DN5148">
        <v>0</v>
      </c>
      <c r="DO5148">
        <v>0</v>
      </c>
      <c r="DP5148">
        <v>0</v>
      </c>
      <c r="DQ5148">
        <v>0</v>
      </c>
      <c r="DR5148">
        <v>0</v>
      </c>
      <c r="DS5148">
        <v>0</v>
      </c>
    </row>
    <row r="5149" spans="1:123" x14ac:dyDescent="0.3">
      <c r="A5149" t="str">
        <f>"05/01/2025 15:18:49.693"</f>
        <v>05/01/2025 15:18:49.693</v>
      </c>
      <c r="C5149" t="str">
        <f t="shared" si="2028"/>
        <v>FFDFD3C0</v>
      </c>
      <c r="D5149" t="s">
        <v>136</v>
      </c>
      <c r="E5149" t="str">
        <f>"20"</f>
        <v>20</v>
      </c>
      <c r="H5149">
        <v>400</v>
      </c>
      <c r="I5149" t="s">
        <v>137</v>
      </c>
      <c r="J5149" t="s">
        <v>138</v>
      </c>
      <c r="K5149">
        <v>0</v>
      </c>
      <c r="L5149">
        <v>3</v>
      </c>
      <c r="M5149">
        <v>0</v>
      </c>
      <c r="N5149">
        <v>2</v>
      </c>
      <c r="O5149">
        <v>0</v>
      </c>
      <c r="P5149">
        <v>1</v>
      </c>
      <c r="Q5149">
        <v>0</v>
      </c>
      <c r="R5149" t="s">
        <v>127</v>
      </c>
      <c r="S5149" t="str">
        <f t="shared" si="2038"/>
        <v>15:18:49.000</v>
      </c>
      <c r="T5149" t="str">
        <f t="shared" si="2038"/>
        <v>15:18:49.000</v>
      </c>
      <c r="U5149" t="str">
        <f t="shared" si="2029"/>
        <v>A68FCB</v>
      </c>
      <c r="V5149">
        <v>0</v>
      </c>
      <c r="W5149">
        <v>0</v>
      </c>
      <c r="X5149">
        <v>2</v>
      </c>
      <c r="Y5149">
        <v>0</v>
      </c>
      <c r="AA5149">
        <v>1</v>
      </c>
      <c r="AB5149">
        <v>8</v>
      </c>
      <c r="AC5149">
        <v>3</v>
      </c>
      <c r="AD5149">
        <v>0</v>
      </c>
      <c r="AE5149">
        <v>9</v>
      </c>
      <c r="AF5149" t="s">
        <v>138</v>
      </c>
      <c r="AG5149">
        <v>0</v>
      </c>
      <c r="AH5149">
        <v>3</v>
      </c>
      <c r="AI5149">
        <v>2</v>
      </c>
      <c r="AJ5149">
        <v>0</v>
      </c>
      <c r="AK5149" t="s">
        <v>1622</v>
      </c>
      <c r="AL5149">
        <v>39.234152000000002</v>
      </c>
      <c r="AM5149" t="s">
        <v>1623</v>
      </c>
      <c r="AN5149">
        <v>-121.025047</v>
      </c>
      <c r="AO5149">
        <v>25</v>
      </c>
      <c r="AP5149">
        <v>3600</v>
      </c>
      <c r="AQ5149" t="s">
        <v>131</v>
      </c>
      <c r="AR5149">
        <v>-88</v>
      </c>
      <c r="AS5149">
        <v>-29</v>
      </c>
      <c r="AT5149">
        <v>-832</v>
      </c>
      <c r="BB5149" t="str">
        <f t="shared" si="2030"/>
        <v>1200</v>
      </c>
      <c r="BC5149">
        <v>1</v>
      </c>
      <c r="BD5149" t="str">
        <f t="shared" si="2031"/>
        <v xml:space="preserve">N52156  </v>
      </c>
      <c r="BE5149">
        <v>1</v>
      </c>
      <c r="BG5149">
        <v>0</v>
      </c>
      <c r="BH5149">
        <v>0</v>
      </c>
      <c r="BI5149">
        <v>0</v>
      </c>
      <c r="BJ5149">
        <v>3625</v>
      </c>
      <c r="BK5149">
        <v>25</v>
      </c>
      <c r="BL5149" t="s">
        <v>188</v>
      </c>
      <c r="BM5149">
        <v>1</v>
      </c>
      <c r="BN5149">
        <v>1</v>
      </c>
      <c r="BO5149">
        <v>0</v>
      </c>
      <c r="BP5149">
        <v>0</v>
      </c>
      <c r="BS5149">
        <v>0</v>
      </c>
      <c r="BT5149">
        <v>0</v>
      </c>
      <c r="BU5149">
        <v>0</v>
      </c>
      <c r="CE5149" t="str">
        <f t="shared" si="2039"/>
        <v>15:18:49.451</v>
      </c>
      <c r="CF5149">
        <v>450756538</v>
      </c>
      <c r="CS5149">
        <v>0</v>
      </c>
      <c r="CT5149">
        <v>2</v>
      </c>
      <c r="CU5149">
        <v>0</v>
      </c>
      <c r="CV5149">
        <v>2</v>
      </c>
      <c r="CW5149">
        <v>0</v>
      </c>
      <c r="CX5149">
        <v>4</v>
      </c>
      <c r="CY5149">
        <v>7</v>
      </c>
      <c r="CZ5149" t="s">
        <v>133</v>
      </c>
      <c r="DA5149">
        <v>275</v>
      </c>
      <c r="DB5149">
        <v>0</v>
      </c>
      <c r="DC5149" t="s">
        <v>134</v>
      </c>
      <c r="DD5149" t="s">
        <v>135</v>
      </c>
      <c r="DG5149">
        <v>3323628</v>
      </c>
      <c r="DI5149">
        <v>1</v>
      </c>
      <c r="DJ5149">
        <v>0</v>
      </c>
      <c r="DK5149">
        <v>1</v>
      </c>
      <c r="DL5149">
        <v>0</v>
      </c>
      <c r="DM5149">
        <v>0</v>
      </c>
      <c r="DN5149">
        <v>0</v>
      </c>
      <c r="DO5149">
        <v>0</v>
      </c>
      <c r="DP5149">
        <v>0</v>
      </c>
      <c r="DQ5149">
        <v>0</v>
      </c>
      <c r="DR5149">
        <v>0</v>
      </c>
      <c r="DS5149">
        <v>0</v>
      </c>
    </row>
    <row r="5150" spans="1:123" x14ac:dyDescent="0.3">
      <c r="A5150" t="str">
        <f>"05/01/2025 15:18:50.675"</f>
        <v>05/01/2025 15:18:50.675</v>
      </c>
      <c r="C5150" t="str">
        <f t="shared" si="2028"/>
        <v>FFDFD3C0</v>
      </c>
      <c r="D5150" t="s">
        <v>143</v>
      </c>
      <c r="E5150" t="str">
        <f>"05"</f>
        <v>05</v>
      </c>
      <c r="H5150">
        <v>172</v>
      </c>
      <c r="I5150" t="s">
        <v>141</v>
      </c>
      <c r="J5150" t="s">
        <v>144</v>
      </c>
      <c r="K5150">
        <v>0</v>
      </c>
      <c r="L5150">
        <v>3</v>
      </c>
      <c r="M5150">
        <v>0</v>
      </c>
      <c r="N5150">
        <v>2</v>
      </c>
      <c r="O5150">
        <v>0</v>
      </c>
      <c r="P5150">
        <v>1</v>
      </c>
      <c r="Q5150">
        <v>0</v>
      </c>
      <c r="R5150" t="s">
        <v>127</v>
      </c>
      <c r="S5150" t="str">
        <f t="shared" ref="S5150:T5155" si="2040">"15:18:50.000"</f>
        <v>15:18:50.000</v>
      </c>
      <c r="T5150" t="str">
        <f t="shared" si="2040"/>
        <v>15:18:50.000</v>
      </c>
      <c r="U5150" t="str">
        <f t="shared" si="2029"/>
        <v>A68FCB</v>
      </c>
      <c r="V5150">
        <v>0</v>
      </c>
      <c r="W5150">
        <v>0</v>
      </c>
      <c r="X5150">
        <v>2</v>
      </c>
      <c r="Y5150">
        <v>0</v>
      </c>
      <c r="AA5150">
        <v>1</v>
      </c>
      <c r="AB5150">
        <v>8</v>
      </c>
      <c r="AC5150">
        <v>3</v>
      </c>
      <c r="AD5150">
        <v>0</v>
      </c>
      <c r="AE5150">
        <v>9</v>
      </c>
      <c r="AF5150" t="s">
        <v>138</v>
      </c>
      <c r="AG5150">
        <v>0</v>
      </c>
      <c r="AH5150">
        <v>3</v>
      </c>
      <c r="AI5150">
        <v>2</v>
      </c>
      <c r="AJ5150">
        <v>0</v>
      </c>
      <c r="AK5150" t="s">
        <v>1624</v>
      </c>
      <c r="AL5150">
        <v>39.234023000000001</v>
      </c>
      <c r="AM5150" t="s">
        <v>1625</v>
      </c>
      <c r="AN5150">
        <v>-121.025605</v>
      </c>
      <c r="AO5150">
        <v>25</v>
      </c>
      <c r="AP5150">
        <v>3600</v>
      </c>
      <c r="AQ5150" t="s">
        <v>131</v>
      </c>
      <c r="AR5150">
        <v>-84</v>
      </c>
      <c r="AS5150">
        <v>-34</v>
      </c>
      <c r="AT5150">
        <v>-704</v>
      </c>
      <c r="BB5150" t="str">
        <f t="shared" si="2030"/>
        <v>1200</v>
      </c>
      <c r="BC5150">
        <v>1</v>
      </c>
      <c r="BD5150" t="str">
        <f t="shared" si="2031"/>
        <v xml:space="preserve">N52156  </v>
      </c>
      <c r="BE5150">
        <v>1</v>
      </c>
      <c r="BG5150">
        <v>0</v>
      </c>
      <c r="BH5150">
        <v>0</v>
      </c>
      <c r="BI5150">
        <v>0</v>
      </c>
      <c r="BJ5150">
        <v>3600</v>
      </c>
      <c r="BK5150">
        <v>0</v>
      </c>
      <c r="BL5150" t="s">
        <v>188</v>
      </c>
      <c r="BM5150">
        <v>1</v>
      </c>
      <c r="BN5150">
        <v>1</v>
      </c>
      <c r="BO5150">
        <v>0</v>
      </c>
      <c r="BP5150">
        <v>0</v>
      </c>
      <c r="BS5150">
        <v>0</v>
      </c>
      <c r="BT5150">
        <v>0</v>
      </c>
      <c r="BU5150">
        <v>0</v>
      </c>
      <c r="CE5150" t="str">
        <f t="shared" ref="CE5150:CE5155" si="2041">"15:18:50.456"</f>
        <v>15:18:50.456</v>
      </c>
      <c r="CF5150">
        <v>456256342</v>
      </c>
      <c r="CS5150">
        <v>0</v>
      </c>
      <c r="CT5150">
        <v>2</v>
      </c>
      <c r="CU5150">
        <v>0</v>
      </c>
      <c r="CV5150">
        <v>2</v>
      </c>
      <c r="CW5150">
        <v>0</v>
      </c>
      <c r="CX5150">
        <v>3</v>
      </c>
      <c r="CY5150">
        <v>7</v>
      </c>
      <c r="CZ5150" t="s">
        <v>133</v>
      </c>
      <c r="DA5150">
        <v>275</v>
      </c>
      <c r="DB5150">
        <v>0</v>
      </c>
      <c r="DC5150" t="s">
        <v>134</v>
      </c>
      <c r="DD5150" t="s">
        <v>135</v>
      </c>
      <c r="DG5150">
        <v>3323635</v>
      </c>
      <c r="DI5150">
        <v>1</v>
      </c>
      <c r="DJ5150">
        <v>0</v>
      </c>
      <c r="DK5150">
        <v>0</v>
      </c>
      <c r="DL5150">
        <v>0</v>
      </c>
      <c r="DM5150">
        <v>0</v>
      </c>
      <c r="DN5150">
        <v>0</v>
      </c>
      <c r="DO5150">
        <v>0</v>
      </c>
      <c r="DP5150">
        <v>0</v>
      </c>
      <c r="DQ5150">
        <v>0</v>
      </c>
      <c r="DR5150">
        <v>0</v>
      </c>
      <c r="DS5150">
        <v>0</v>
      </c>
    </row>
    <row r="5151" spans="1:123" x14ac:dyDescent="0.3">
      <c r="A5151" t="str">
        <f>"05/01/2025 15:18:50.687"</f>
        <v>05/01/2025 15:18:50.687</v>
      </c>
      <c r="C5151" t="str">
        <f t="shared" si="2028"/>
        <v>FFDFD3C0</v>
      </c>
      <c r="D5151" t="s">
        <v>145</v>
      </c>
      <c r="E5151" t="str">
        <f>"05"</f>
        <v>05</v>
      </c>
      <c r="H5151">
        <v>47</v>
      </c>
      <c r="I5151" t="s">
        <v>146</v>
      </c>
      <c r="J5151" t="s">
        <v>138</v>
      </c>
      <c r="K5151">
        <v>0</v>
      </c>
      <c r="L5151">
        <v>3</v>
      </c>
      <c r="M5151">
        <v>0</v>
      </c>
      <c r="N5151">
        <v>2</v>
      </c>
      <c r="O5151">
        <v>0</v>
      </c>
      <c r="P5151">
        <v>1</v>
      </c>
      <c r="Q5151">
        <v>0</v>
      </c>
      <c r="R5151" t="s">
        <v>127</v>
      </c>
      <c r="S5151" t="str">
        <f t="shared" si="2040"/>
        <v>15:18:50.000</v>
      </c>
      <c r="T5151" t="str">
        <f t="shared" si="2040"/>
        <v>15:18:50.000</v>
      </c>
      <c r="U5151" t="str">
        <f t="shared" si="2029"/>
        <v>A68FCB</v>
      </c>
      <c r="V5151">
        <v>0</v>
      </c>
      <c r="W5151">
        <v>0</v>
      </c>
      <c r="X5151">
        <v>2</v>
      </c>
      <c r="Y5151">
        <v>0</v>
      </c>
      <c r="AA5151">
        <v>1</v>
      </c>
      <c r="AB5151">
        <v>8</v>
      </c>
      <c r="AC5151">
        <v>3</v>
      </c>
      <c r="AD5151">
        <v>0</v>
      </c>
      <c r="AE5151">
        <v>9</v>
      </c>
      <c r="AF5151" t="s">
        <v>138</v>
      </c>
      <c r="AG5151">
        <v>0</v>
      </c>
      <c r="AH5151">
        <v>3</v>
      </c>
      <c r="AI5151">
        <v>2</v>
      </c>
      <c r="AJ5151">
        <v>0</v>
      </c>
      <c r="AK5151" t="s">
        <v>1624</v>
      </c>
      <c r="AL5151">
        <v>39.234023000000001</v>
      </c>
      <c r="AM5151" t="s">
        <v>1625</v>
      </c>
      <c r="AN5151">
        <v>-121.025605</v>
      </c>
      <c r="AO5151">
        <v>25</v>
      </c>
      <c r="AP5151">
        <v>3600</v>
      </c>
      <c r="AQ5151" t="s">
        <v>131</v>
      </c>
      <c r="AR5151">
        <v>-84</v>
      </c>
      <c r="AS5151">
        <v>-34</v>
      </c>
      <c r="AT5151">
        <v>-704</v>
      </c>
      <c r="BB5151" t="str">
        <f t="shared" si="2030"/>
        <v>1200</v>
      </c>
      <c r="BC5151">
        <v>1</v>
      </c>
      <c r="BD5151" t="str">
        <f t="shared" si="2031"/>
        <v xml:space="preserve">N52156  </v>
      </c>
      <c r="BE5151">
        <v>1</v>
      </c>
      <c r="BG5151">
        <v>0</v>
      </c>
      <c r="BH5151">
        <v>0</v>
      </c>
      <c r="BI5151">
        <v>0</v>
      </c>
      <c r="BJ5151">
        <v>3600</v>
      </c>
      <c r="BK5151">
        <v>0</v>
      </c>
      <c r="BL5151" t="s">
        <v>188</v>
      </c>
      <c r="BM5151">
        <v>1</v>
      </c>
      <c r="BN5151">
        <v>1</v>
      </c>
      <c r="BO5151">
        <v>0</v>
      </c>
      <c r="BP5151">
        <v>0</v>
      </c>
      <c r="BS5151">
        <v>0</v>
      </c>
      <c r="BT5151">
        <v>0</v>
      </c>
      <c r="BU5151">
        <v>0</v>
      </c>
      <c r="CE5151" t="str">
        <f t="shared" si="2041"/>
        <v>15:18:50.456</v>
      </c>
      <c r="CF5151">
        <v>456256342</v>
      </c>
      <c r="CS5151">
        <v>0</v>
      </c>
      <c r="CT5151">
        <v>2</v>
      </c>
      <c r="CU5151">
        <v>0</v>
      </c>
      <c r="CV5151">
        <v>2</v>
      </c>
      <c r="CW5151">
        <v>0</v>
      </c>
      <c r="CX5151">
        <v>3</v>
      </c>
      <c r="CY5151">
        <v>7</v>
      </c>
      <c r="CZ5151" t="s">
        <v>133</v>
      </c>
      <c r="DA5151">
        <v>275</v>
      </c>
      <c r="DB5151">
        <v>0</v>
      </c>
      <c r="DC5151" t="s">
        <v>134</v>
      </c>
      <c r="DD5151" t="s">
        <v>135</v>
      </c>
      <c r="DG5151">
        <v>3323635</v>
      </c>
      <c r="DI5151">
        <v>1</v>
      </c>
      <c r="DJ5151">
        <v>0</v>
      </c>
      <c r="DK5151">
        <v>1</v>
      </c>
      <c r="DL5151">
        <v>0</v>
      </c>
      <c r="DM5151">
        <v>0</v>
      </c>
      <c r="DN5151">
        <v>0</v>
      </c>
      <c r="DO5151">
        <v>0</v>
      </c>
      <c r="DP5151">
        <v>0</v>
      </c>
      <c r="DQ5151">
        <v>0</v>
      </c>
      <c r="DR5151">
        <v>0</v>
      </c>
      <c r="DS5151">
        <v>0</v>
      </c>
    </row>
    <row r="5152" spans="1:123" x14ac:dyDescent="0.3">
      <c r="A5152" t="str">
        <f>"05/01/2025 15:18:50.687"</f>
        <v>05/01/2025 15:18:50.687</v>
      </c>
      <c r="C5152" t="str">
        <f t="shared" si="2028"/>
        <v>FFDFD3C0</v>
      </c>
      <c r="D5152" t="s">
        <v>145</v>
      </c>
      <c r="E5152" t="str">
        <f>"09"</f>
        <v>09</v>
      </c>
      <c r="H5152">
        <v>51</v>
      </c>
      <c r="I5152" t="s">
        <v>147</v>
      </c>
      <c r="J5152" t="s">
        <v>138</v>
      </c>
      <c r="K5152">
        <v>0</v>
      </c>
      <c r="L5152">
        <v>3</v>
      </c>
      <c r="M5152">
        <v>0</v>
      </c>
      <c r="N5152">
        <v>2</v>
      </c>
      <c r="O5152">
        <v>0</v>
      </c>
      <c r="P5152">
        <v>1</v>
      </c>
      <c r="Q5152">
        <v>0</v>
      </c>
      <c r="R5152" t="s">
        <v>127</v>
      </c>
      <c r="S5152" t="str">
        <f t="shared" si="2040"/>
        <v>15:18:50.000</v>
      </c>
      <c r="T5152" t="str">
        <f t="shared" si="2040"/>
        <v>15:18:50.000</v>
      </c>
      <c r="U5152" t="str">
        <f t="shared" si="2029"/>
        <v>A68FCB</v>
      </c>
      <c r="V5152">
        <v>0</v>
      </c>
      <c r="W5152">
        <v>0</v>
      </c>
      <c r="X5152">
        <v>2</v>
      </c>
      <c r="Y5152">
        <v>0</v>
      </c>
      <c r="AA5152">
        <v>1</v>
      </c>
      <c r="AB5152">
        <v>8</v>
      </c>
      <c r="AC5152">
        <v>3</v>
      </c>
      <c r="AD5152">
        <v>0</v>
      </c>
      <c r="AE5152">
        <v>9</v>
      </c>
      <c r="AF5152" t="s">
        <v>138</v>
      </c>
      <c r="AG5152">
        <v>0</v>
      </c>
      <c r="AH5152">
        <v>3</v>
      </c>
      <c r="AI5152">
        <v>2</v>
      </c>
      <c r="AJ5152">
        <v>0</v>
      </c>
      <c r="AK5152" t="s">
        <v>1624</v>
      </c>
      <c r="AL5152">
        <v>39.234023000000001</v>
      </c>
      <c r="AM5152" t="s">
        <v>1625</v>
      </c>
      <c r="AN5152">
        <v>-121.025605</v>
      </c>
      <c r="AO5152">
        <v>25</v>
      </c>
      <c r="AP5152">
        <v>3600</v>
      </c>
      <c r="AQ5152" t="s">
        <v>131</v>
      </c>
      <c r="AR5152">
        <v>-84</v>
      </c>
      <c r="AS5152">
        <v>-34</v>
      </c>
      <c r="AT5152">
        <v>-704</v>
      </c>
      <c r="BB5152" t="str">
        <f t="shared" si="2030"/>
        <v>1200</v>
      </c>
      <c r="BC5152">
        <v>1</v>
      </c>
      <c r="BD5152" t="str">
        <f t="shared" si="2031"/>
        <v xml:space="preserve">N52156  </v>
      </c>
      <c r="BE5152">
        <v>1</v>
      </c>
      <c r="BG5152">
        <v>0</v>
      </c>
      <c r="BH5152">
        <v>0</v>
      </c>
      <c r="BI5152">
        <v>0</v>
      </c>
      <c r="BJ5152">
        <v>3600</v>
      </c>
      <c r="BK5152">
        <v>0</v>
      </c>
      <c r="BL5152" t="s">
        <v>188</v>
      </c>
      <c r="BM5152">
        <v>1</v>
      </c>
      <c r="BN5152">
        <v>1</v>
      </c>
      <c r="BO5152">
        <v>0</v>
      </c>
      <c r="BP5152">
        <v>0</v>
      </c>
      <c r="BS5152">
        <v>0</v>
      </c>
      <c r="BT5152">
        <v>0</v>
      </c>
      <c r="BU5152">
        <v>0</v>
      </c>
      <c r="CE5152" t="str">
        <f t="shared" si="2041"/>
        <v>15:18:50.456</v>
      </c>
      <c r="CF5152">
        <v>456256342</v>
      </c>
      <c r="CS5152">
        <v>0</v>
      </c>
      <c r="CT5152">
        <v>2</v>
      </c>
      <c r="CU5152">
        <v>0</v>
      </c>
      <c r="CV5152">
        <v>2</v>
      </c>
      <c r="CW5152">
        <v>0</v>
      </c>
      <c r="CX5152">
        <v>3</v>
      </c>
      <c r="CY5152">
        <v>7</v>
      </c>
      <c r="CZ5152" t="s">
        <v>133</v>
      </c>
      <c r="DA5152">
        <v>275</v>
      </c>
      <c r="DB5152">
        <v>0</v>
      </c>
      <c r="DC5152" t="s">
        <v>134</v>
      </c>
      <c r="DD5152" t="s">
        <v>135</v>
      </c>
      <c r="DG5152">
        <v>3323635</v>
      </c>
      <c r="DI5152">
        <v>1</v>
      </c>
      <c r="DJ5152">
        <v>0</v>
      </c>
      <c r="DK5152">
        <v>1</v>
      </c>
      <c r="DL5152">
        <v>0</v>
      </c>
      <c r="DM5152">
        <v>0</v>
      </c>
      <c r="DN5152">
        <v>0</v>
      </c>
      <c r="DO5152">
        <v>0</v>
      </c>
      <c r="DP5152">
        <v>0</v>
      </c>
      <c r="DQ5152">
        <v>0</v>
      </c>
      <c r="DR5152">
        <v>0</v>
      </c>
      <c r="DS5152">
        <v>0</v>
      </c>
    </row>
    <row r="5153" spans="1:123" x14ac:dyDescent="0.3">
      <c r="A5153" t="str">
        <f>"05/01/2025 15:18:50.695"</f>
        <v>05/01/2025 15:18:50.695</v>
      </c>
      <c r="C5153" t="str">
        <f t="shared" si="2028"/>
        <v>FFDFD3C0</v>
      </c>
      <c r="D5153" t="s">
        <v>136</v>
      </c>
      <c r="E5153" t="str">
        <f>"20"</f>
        <v>20</v>
      </c>
      <c r="H5153">
        <v>400</v>
      </c>
      <c r="I5153" t="s">
        <v>137</v>
      </c>
      <c r="J5153" t="s">
        <v>138</v>
      </c>
      <c r="K5153">
        <v>0</v>
      </c>
      <c r="L5153">
        <v>3</v>
      </c>
      <c r="M5153">
        <v>0</v>
      </c>
      <c r="N5153">
        <v>2</v>
      </c>
      <c r="O5153">
        <v>0</v>
      </c>
      <c r="P5153">
        <v>1</v>
      </c>
      <c r="Q5153">
        <v>0</v>
      </c>
      <c r="R5153" t="s">
        <v>127</v>
      </c>
      <c r="S5153" t="str">
        <f t="shared" si="2040"/>
        <v>15:18:50.000</v>
      </c>
      <c r="T5153" t="str">
        <f t="shared" si="2040"/>
        <v>15:18:50.000</v>
      </c>
      <c r="U5153" t="str">
        <f t="shared" si="2029"/>
        <v>A68FCB</v>
      </c>
      <c r="V5153">
        <v>0</v>
      </c>
      <c r="W5153">
        <v>0</v>
      </c>
      <c r="X5153">
        <v>2</v>
      </c>
      <c r="Y5153">
        <v>0</v>
      </c>
      <c r="AA5153">
        <v>1</v>
      </c>
      <c r="AB5153">
        <v>8</v>
      </c>
      <c r="AC5153">
        <v>3</v>
      </c>
      <c r="AD5153">
        <v>0</v>
      </c>
      <c r="AE5153">
        <v>9</v>
      </c>
      <c r="AF5153" t="s">
        <v>138</v>
      </c>
      <c r="AG5153">
        <v>0</v>
      </c>
      <c r="AH5153">
        <v>3</v>
      </c>
      <c r="AI5153">
        <v>2</v>
      </c>
      <c r="AJ5153">
        <v>0</v>
      </c>
      <c r="AK5153" t="s">
        <v>1624</v>
      </c>
      <c r="AL5153">
        <v>39.234023000000001</v>
      </c>
      <c r="AM5153" t="s">
        <v>1625</v>
      </c>
      <c r="AN5153">
        <v>-121.025605</v>
      </c>
      <c r="AO5153">
        <v>25</v>
      </c>
      <c r="AP5153">
        <v>3600</v>
      </c>
      <c r="AQ5153" t="s">
        <v>131</v>
      </c>
      <c r="AR5153">
        <v>-84</v>
      </c>
      <c r="AS5153">
        <v>-34</v>
      </c>
      <c r="AT5153">
        <v>-704</v>
      </c>
      <c r="BB5153" t="str">
        <f t="shared" si="2030"/>
        <v>1200</v>
      </c>
      <c r="BC5153">
        <v>1</v>
      </c>
      <c r="BD5153" t="str">
        <f t="shared" si="2031"/>
        <v xml:space="preserve">N52156  </v>
      </c>
      <c r="BE5153">
        <v>1</v>
      </c>
      <c r="BG5153">
        <v>0</v>
      </c>
      <c r="BH5153">
        <v>0</v>
      </c>
      <c r="BI5153">
        <v>0</v>
      </c>
      <c r="BJ5153">
        <v>3600</v>
      </c>
      <c r="BK5153">
        <v>0</v>
      </c>
      <c r="BL5153" t="s">
        <v>188</v>
      </c>
      <c r="BM5153">
        <v>1</v>
      </c>
      <c r="BN5153">
        <v>1</v>
      </c>
      <c r="BO5153">
        <v>0</v>
      </c>
      <c r="BP5153">
        <v>0</v>
      </c>
      <c r="BS5153">
        <v>0</v>
      </c>
      <c r="BT5153">
        <v>0</v>
      </c>
      <c r="BU5153">
        <v>0</v>
      </c>
      <c r="CE5153" t="str">
        <f t="shared" si="2041"/>
        <v>15:18:50.456</v>
      </c>
      <c r="CF5153">
        <v>456256342</v>
      </c>
      <c r="CS5153">
        <v>0</v>
      </c>
      <c r="CT5153">
        <v>2</v>
      </c>
      <c r="CU5153">
        <v>0</v>
      </c>
      <c r="CV5153">
        <v>2</v>
      </c>
      <c r="CW5153">
        <v>0</v>
      </c>
      <c r="CX5153">
        <v>3</v>
      </c>
      <c r="CY5153">
        <v>7</v>
      </c>
      <c r="CZ5153" t="s">
        <v>133</v>
      </c>
      <c r="DA5153">
        <v>275</v>
      </c>
      <c r="DB5153">
        <v>0</v>
      </c>
      <c r="DC5153" t="s">
        <v>134</v>
      </c>
      <c r="DD5153" t="s">
        <v>135</v>
      </c>
      <c r="DG5153">
        <v>3323635</v>
      </c>
      <c r="DI5153">
        <v>1</v>
      </c>
      <c r="DJ5153">
        <v>0</v>
      </c>
      <c r="DK5153">
        <v>1</v>
      </c>
      <c r="DL5153">
        <v>0</v>
      </c>
      <c r="DM5153">
        <v>0</v>
      </c>
      <c r="DN5153">
        <v>0</v>
      </c>
      <c r="DO5153">
        <v>0</v>
      </c>
      <c r="DP5153">
        <v>0</v>
      </c>
      <c r="DQ5153">
        <v>0</v>
      </c>
      <c r="DR5153">
        <v>0</v>
      </c>
      <c r="DS5153">
        <v>0</v>
      </c>
    </row>
    <row r="5154" spans="1:123" x14ac:dyDescent="0.3">
      <c r="A5154" t="str">
        <f>"05/01/2025 15:18:50.712"</f>
        <v>05/01/2025 15:18:50.712</v>
      </c>
      <c r="C5154" t="str">
        <f t="shared" si="2028"/>
        <v>FFDFD3C0</v>
      </c>
      <c r="D5154" t="s">
        <v>140</v>
      </c>
      <c r="E5154" t="str">
        <f>"13"</f>
        <v>13</v>
      </c>
      <c r="F5154">
        <v>1019</v>
      </c>
      <c r="G5154" t="s">
        <v>141</v>
      </c>
      <c r="J5154" t="s">
        <v>142</v>
      </c>
      <c r="K5154">
        <v>0</v>
      </c>
      <c r="L5154">
        <v>3</v>
      </c>
      <c r="M5154">
        <v>0</v>
      </c>
      <c r="N5154">
        <v>2</v>
      </c>
      <c r="O5154">
        <v>0</v>
      </c>
      <c r="P5154">
        <v>1</v>
      </c>
      <c r="Q5154">
        <v>0</v>
      </c>
      <c r="R5154" t="s">
        <v>127</v>
      </c>
      <c r="S5154" t="str">
        <f t="shared" si="2040"/>
        <v>15:18:50.000</v>
      </c>
      <c r="T5154" t="str">
        <f t="shared" si="2040"/>
        <v>15:18:50.000</v>
      </c>
      <c r="U5154" t="str">
        <f t="shared" si="2029"/>
        <v>A68FCB</v>
      </c>
      <c r="V5154">
        <v>0</v>
      </c>
      <c r="W5154">
        <v>0</v>
      </c>
      <c r="X5154">
        <v>2</v>
      </c>
      <c r="Y5154">
        <v>0</v>
      </c>
      <c r="AA5154">
        <v>1</v>
      </c>
      <c r="AB5154">
        <v>8</v>
      </c>
      <c r="AC5154">
        <v>3</v>
      </c>
      <c r="AD5154">
        <v>0</v>
      </c>
      <c r="AE5154">
        <v>9</v>
      </c>
      <c r="AF5154" t="s">
        <v>138</v>
      </c>
      <c r="AG5154">
        <v>0</v>
      </c>
      <c r="AH5154">
        <v>3</v>
      </c>
      <c r="AI5154">
        <v>2</v>
      </c>
      <c r="AJ5154">
        <v>0</v>
      </c>
      <c r="AK5154" t="s">
        <v>1624</v>
      </c>
      <c r="AL5154">
        <v>39.234023000000001</v>
      </c>
      <c r="AM5154" t="s">
        <v>1625</v>
      </c>
      <c r="AN5154">
        <v>-121.025605</v>
      </c>
      <c r="AO5154">
        <v>25</v>
      </c>
      <c r="AP5154">
        <v>3600</v>
      </c>
      <c r="AQ5154" t="s">
        <v>131</v>
      </c>
      <c r="AR5154">
        <v>-84</v>
      </c>
      <c r="AS5154">
        <v>-34</v>
      </c>
      <c r="AT5154">
        <v>-704</v>
      </c>
      <c r="BB5154" t="str">
        <f t="shared" si="2030"/>
        <v>1200</v>
      </c>
      <c r="BC5154">
        <v>1</v>
      </c>
      <c r="BD5154" t="str">
        <f t="shared" si="2031"/>
        <v xml:space="preserve">N52156  </v>
      </c>
      <c r="BE5154">
        <v>1</v>
      </c>
      <c r="BG5154">
        <v>0</v>
      </c>
      <c r="BH5154">
        <v>0</v>
      </c>
      <c r="BI5154">
        <v>0</v>
      </c>
      <c r="BJ5154">
        <v>3600</v>
      </c>
      <c r="BK5154">
        <v>0</v>
      </c>
      <c r="BL5154" t="s">
        <v>188</v>
      </c>
      <c r="BM5154">
        <v>1</v>
      </c>
      <c r="BN5154">
        <v>1</v>
      </c>
      <c r="BO5154">
        <v>0</v>
      </c>
      <c r="BP5154">
        <v>0</v>
      </c>
      <c r="BS5154">
        <v>0</v>
      </c>
      <c r="BT5154">
        <v>0</v>
      </c>
      <c r="BU5154">
        <v>0</v>
      </c>
      <c r="CE5154" t="str">
        <f t="shared" si="2041"/>
        <v>15:18:50.456</v>
      </c>
      <c r="CF5154">
        <v>456256342</v>
      </c>
      <c r="CS5154">
        <v>0</v>
      </c>
      <c r="CT5154">
        <v>2</v>
      </c>
      <c r="CU5154">
        <v>0</v>
      </c>
      <c r="CV5154">
        <v>2</v>
      </c>
      <c r="CW5154">
        <v>0</v>
      </c>
      <c r="CX5154">
        <v>3</v>
      </c>
      <c r="CY5154">
        <v>7</v>
      </c>
      <c r="CZ5154" t="s">
        <v>133</v>
      </c>
      <c r="DA5154">
        <v>275</v>
      </c>
      <c r="DB5154">
        <v>0</v>
      </c>
      <c r="DC5154" t="s">
        <v>134</v>
      </c>
      <c r="DD5154" t="s">
        <v>135</v>
      </c>
      <c r="DG5154">
        <v>3323635</v>
      </c>
      <c r="DI5154">
        <v>1</v>
      </c>
      <c r="DJ5154">
        <v>0</v>
      </c>
      <c r="DK5154">
        <v>1</v>
      </c>
      <c r="DL5154">
        <v>0</v>
      </c>
      <c r="DM5154">
        <v>0</v>
      </c>
      <c r="DN5154">
        <v>0</v>
      </c>
      <c r="DO5154">
        <v>0</v>
      </c>
      <c r="DP5154">
        <v>0</v>
      </c>
      <c r="DQ5154">
        <v>0</v>
      </c>
      <c r="DR5154">
        <v>0</v>
      </c>
      <c r="DS5154">
        <v>0</v>
      </c>
    </row>
    <row r="5155" spans="1:123" x14ac:dyDescent="0.3">
      <c r="A5155" t="str">
        <f>"05/01/2025 15:18:50.714"</f>
        <v>05/01/2025 15:18:50.714</v>
      </c>
      <c r="C5155" t="str">
        <f t="shared" si="2028"/>
        <v>FFDFD3C0</v>
      </c>
      <c r="D5155" t="s">
        <v>124</v>
      </c>
      <c r="E5155" t="str">
        <f>"06"</f>
        <v>06</v>
      </c>
      <c r="F5155">
        <v>2006</v>
      </c>
      <c r="G5155" t="s">
        <v>125</v>
      </c>
      <c r="J5155" t="s">
        <v>126</v>
      </c>
      <c r="K5155">
        <v>0</v>
      </c>
      <c r="L5155">
        <v>3</v>
      </c>
      <c r="M5155">
        <v>0</v>
      </c>
      <c r="N5155">
        <v>2</v>
      </c>
      <c r="O5155">
        <v>0</v>
      </c>
      <c r="P5155">
        <v>1</v>
      </c>
      <c r="Q5155">
        <v>0</v>
      </c>
      <c r="R5155" t="s">
        <v>127</v>
      </c>
      <c r="S5155" t="str">
        <f t="shared" si="2040"/>
        <v>15:18:50.000</v>
      </c>
      <c r="T5155" t="str">
        <f t="shared" si="2040"/>
        <v>15:18:50.000</v>
      </c>
      <c r="U5155" t="str">
        <f t="shared" si="2029"/>
        <v>A68FCB</v>
      </c>
      <c r="V5155">
        <v>0</v>
      </c>
      <c r="W5155">
        <v>0</v>
      </c>
      <c r="X5155">
        <v>2</v>
      </c>
      <c r="Y5155">
        <v>0</v>
      </c>
      <c r="AA5155">
        <v>1</v>
      </c>
      <c r="AB5155">
        <v>8</v>
      </c>
      <c r="AC5155">
        <v>3</v>
      </c>
      <c r="AD5155">
        <v>0</v>
      </c>
      <c r="AE5155">
        <v>9</v>
      </c>
      <c r="AF5155" t="s">
        <v>138</v>
      </c>
      <c r="AG5155">
        <v>0</v>
      </c>
      <c r="AH5155">
        <v>3</v>
      </c>
      <c r="AI5155">
        <v>2</v>
      </c>
      <c r="AJ5155">
        <v>0</v>
      </c>
      <c r="AK5155" t="s">
        <v>1624</v>
      </c>
      <c r="AL5155">
        <v>39.234023000000001</v>
      </c>
      <c r="AM5155" t="s">
        <v>1625</v>
      </c>
      <c r="AN5155">
        <v>-121.025605</v>
      </c>
      <c r="AO5155">
        <v>25</v>
      </c>
      <c r="AP5155">
        <v>3600</v>
      </c>
      <c r="AQ5155" t="s">
        <v>131</v>
      </c>
      <c r="AR5155">
        <v>-84</v>
      </c>
      <c r="AS5155">
        <v>-34</v>
      </c>
      <c r="AT5155">
        <v>-704</v>
      </c>
      <c r="BB5155" t="str">
        <f t="shared" si="2030"/>
        <v>1200</v>
      </c>
      <c r="BC5155">
        <v>1</v>
      </c>
      <c r="BD5155" t="str">
        <f t="shared" si="2031"/>
        <v xml:space="preserve">N52156  </v>
      </c>
      <c r="BE5155">
        <v>1</v>
      </c>
      <c r="BG5155">
        <v>0</v>
      </c>
      <c r="BH5155">
        <v>0</v>
      </c>
      <c r="BI5155">
        <v>0</v>
      </c>
      <c r="BJ5155">
        <v>3600</v>
      </c>
      <c r="BK5155">
        <v>0</v>
      </c>
      <c r="BL5155" t="s">
        <v>188</v>
      </c>
      <c r="BM5155">
        <v>1</v>
      </c>
      <c r="BN5155">
        <v>1</v>
      </c>
      <c r="BO5155">
        <v>0</v>
      </c>
      <c r="BP5155">
        <v>0</v>
      </c>
      <c r="BS5155">
        <v>0</v>
      </c>
      <c r="BT5155">
        <v>0</v>
      </c>
      <c r="BU5155">
        <v>0</v>
      </c>
      <c r="CE5155" t="str">
        <f t="shared" si="2041"/>
        <v>15:18:50.456</v>
      </c>
      <c r="CF5155">
        <v>456256342</v>
      </c>
      <c r="CS5155">
        <v>0</v>
      </c>
      <c r="CT5155">
        <v>2</v>
      </c>
      <c r="CU5155">
        <v>0</v>
      </c>
      <c r="CV5155">
        <v>2</v>
      </c>
      <c r="CW5155">
        <v>0</v>
      </c>
      <c r="CX5155">
        <v>3</v>
      </c>
      <c r="CY5155">
        <v>7</v>
      </c>
      <c r="CZ5155" t="s">
        <v>133</v>
      </c>
      <c r="DA5155">
        <v>275</v>
      </c>
      <c r="DB5155">
        <v>0</v>
      </c>
      <c r="DC5155" t="s">
        <v>134</v>
      </c>
      <c r="DD5155" t="s">
        <v>135</v>
      </c>
      <c r="DG5155">
        <v>3323635</v>
      </c>
      <c r="DI5155">
        <v>1</v>
      </c>
      <c r="DJ5155">
        <v>0</v>
      </c>
      <c r="DK5155">
        <v>1</v>
      </c>
      <c r="DL5155">
        <v>0</v>
      </c>
      <c r="DM5155">
        <v>0</v>
      </c>
      <c r="DN5155">
        <v>0</v>
      </c>
      <c r="DO5155">
        <v>0</v>
      </c>
      <c r="DP5155">
        <v>0</v>
      </c>
      <c r="DQ5155">
        <v>0</v>
      </c>
      <c r="DR5155">
        <v>0</v>
      </c>
      <c r="DS5155">
        <v>0</v>
      </c>
    </row>
    <row r="5156" spans="1:123" x14ac:dyDescent="0.3">
      <c r="A5156" t="str">
        <f>"05/01/2025 15:18:51.877"</f>
        <v>05/01/2025 15:18:51.877</v>
      </c>
      <c r="C5156" t="str">
        <f t="shared" si="2028"/>
        <v>FFDFD3C0</v>
      </c>
      <c r="D5156" t="s">
        <v>143</v>
      </c>
      <c r="E5156" t="str">
        <f>"05"</f>
        <v>05</v>
      </c>
      <c r="H5156">
        <v>172</v>
      </c>
      <c r="I5156" t="s">
        <v>141</v>
      </c>
      <c r="J5156" t="s">
        <v>144</v>
      </c>
      <c r="K5156">
        <v>0</v>
      </c>
      <c r="L5156">
        <v>3</v>
      </c>
      <c r="M5156">
        <v>0</v>
      </c>
      <c r="N5156">
        <v>2</v>
      </c>
      <c r="O5156">
        <v>0</v>
      </c>
      <c r="P5156">
        <v>1</v>
      </c>
      <c r="Q5156">
        <v>0</v>
      </c>
      <c r="R5156" t="s">
        <v>127</v>
      </c>
      <c r="S5156" t="str">
        <f t="shared" ref="S5156:T5161" si="2042">"15:18:51.000"</f>
        <v>15:18:51.000</v>
      </c>
      <c r="T5156" t="str">
        <f t="shared" si="2042"/>
        <v>15:18:51.000</v>
      </c>
      <c r="U5156" t="str">
        <f t="shared" si="2029"/>
        <v>A68FCB</v>
      </c>
      <c r="V5156">
        <v>0</v>
      </c>
      <c r="W5156">
        <v>0</v>
      </c>
      <c r="X5156">
        <v>2</v>
      </c>
      <c r="Y5156">
        <v>0</v>
      </c>
      <c r="AA5156">
        <v>1</v>
      </c>
      <c r="AB5156">
        <v>8</v>
      </c>
      <c r="AC5156">
        <v>3</v>
      </c>
      <c r="AD5156">
        <v>0</v>
      </c>
      <c r="AE5156">
        <v>9</v>
      </c>
      <c r="AF5156" t="s">
        <v>138</v>
      </c>
      <c r="AG5156">
        <v>0</v>
      </c>
      <c r="AH5156">
        <v>3</v>
      </c>
      <c r="AI5156">
        <v>2</v>
      </c>
      <c r="AJ5156">
        <v>0</v>
      </c>
      <c r="AK5156" t="s">
        <v>1626</v>
      </c>
      <c r="AL5156">
        <v>39.233873000000003</v>
      </c>
      <c r="AM5156" t="s">
        <v>1271</v>
      </c>
      <c r="AN5156">
        <v>-121.026099</v>
      </c>
      <c r="AO5156">
        <v>25</v>
      </c>
      <c r="AP5156">
        <v>3600</v>
      </c>
      <c r="AQ5156" t="s">
        <v>131</v>
      </c>
      <c r="AR5156">
        <v>-79</v>
      </c>
      <c r="AS5156">
        <v>-41</v>
      </c>
      <c r="AT5156">
        <v>-704</v>
      </c>
      <c r="BB5156" t="str">
        <f t="shared" si="2030"/>
        <v>1200</v>
      </c>
      <c r="BC5156">
        <v>1</v>
      </c>
      <c r="BD5156" t="str">
        <f t="shared" si="2031"/>
        <v xml:space="preserve">N52156  </v>
      </c>
      <c r="BE5156">
        <v>1</v>
      </c>
      <c r="BG5156">
        <v>0</v>
      </c>
      <c r="BH5156">
        <v>0</v>
      </c>
      <c r="BI5156">
        <v>0</v>
      </c>
      <c r="BJ5156">
        <v>3600</v>
      </c>
      <c r="BK5156">
        <v>0</v>
      </c>
      <c r="BL5156" t="s">
        <v>188</v>
      </c>
      <c r="BM5156">
        <v>1</v>
      </c>
      <c r="BN5156">
        <v>1</v>
      </c>
      <c r="BO5156">
        <v>0</v>
      </c>
      <c r="BP5156">
        <v>0</v>
      </c>
      <c r="BS5156">
        <v>0</v>
      </c>
      <c r="BT5156">
        <v>0</v>
      </c>
      <c r="BU5156">
        <v>0</v>
      </c>
      <c r="CE5156" t="str">
        <f t="shared" ref="CE5156:CE5161" si="2043">"15:18:51.672"</f>
        <v>15:18:51.672</v>
      </c>
      <c r="CF5156">
        <v>672006669</v>
      </c>
      <c r="CS5156">
        <v>0</v>
      </c>
      <c r="CT5156">
        <v>2</v>
      </c>
      <c r="CU5156">
        <v>0</v>
      </c>
      <c r="CV5156">
        <v>2</v>
      </c>
      <c r="CW5156">
        <v>0</v>
      </c>
      <c r="CX5156">
        <v>3</v>
      </c>
      <c r="CY5156">
        <v>7</v>
      </c>
      <c r="CZ5156" t="s">
        <v>133</v>
      </c>
      <c r="DA5156">
        <v>275</v>
      </c>
      <c r="DB5156">
        <v>0</v>
      </c>
      <c r="DC5156" t="s">
        <v>134</v>
      </c>
      <c r="DD5156" t="s">
        <v>135</v>
      </c>
      <c r="DG5156">
        <v>3323642</v>
      </c>
      <c r="DI5156">
        <v>1</v>
      </c>
      <c r="DJ5156">
        <v>0</v>
      </c>
      <c r="DK5156">
        <v>0</v>
      </c>
      <c r="DL5156">
        <v>0</v>
      </c>
      <c r="DM5156">
        <v>0</v>
      </c>
      <c r="DN5156">
        <v>0</v>
      </c>
      <c r="DO5156">
        <v>0</v>
      </c>
      <c r="DP5156">
        <v>0</v>
      </c>
      <c r="DQ5156">
        <v>0</v>
      </c>
      <c r="DR5156">
        <v>0</v>
      </c>
      <c r="DS5156">
        <v>0</v>
      </c>
    </row>
    <row r="5157" spans="1:123" x14ac:dyDescent="0.3">
      <c r="A5157" t="str">
        <f>"05/01/2025 15:18:51.889"</f>
        <v>05/01/2025 15:18:51.889</v>
      </c>
      <c r="C5157" t="str">
        <f t="shared" si="2028"/>
        <v>FFDFD3C0</v>
      </c>
      <c r="D5157" t="s">
        <v>145</v>
      </c>
      <c r="E5157" t="str">
        <f>"05"</f>
        <v>05</v>
      </c>
      <c r="H5157">
        <v>47</v>
      </c>
      <c r="I5157" t="s">
        <v>146</v>
      </c>
      <c r="J5157" t="s">
        <v>138</v>
      </c>
      <c r="K5157">
        <v>0</v>
      </c>
      <c r="L5157">
        <v>3</v>
      </c>
      <c r="M5157">
        <v>0</v>
      </c>
      <c r="N5157">
        <v>2</v>
      </c>
      <c r="O5157">
        <v>0</v>
      </c>
      <c r="P5157">
        <v>1</v>
      </c>
      <c r="Q5157">
        <v>0</v>
      </c>
      <c r="R5157" t="s">
        <v>127</v>
      </c>
      <c r="S5157" t="str">
        <f t="shared" si="2042"/>
        <v>15:18:51.000</v>
      </c>
      <c r="T5157" t="str">
        <f t="shared" si="2042"/>
        <v>15:18:51.000</v>
      </c>
      <c r="U5157" t="str">
        <f t="shared" si="2029"/>
        <v>A68FCB</v>
      </c>
      <c r="V5157">
        <v>0</v>
      </c>
      <c r="W5157">
        <v>0</v>
      </c>
      <c r="X5157">
        <v>2</v>
      </c>
      <c r="Y5157">
        <v>0</v>
      </c>
      <c r="AA5157">
        <v>1</v>
      </c>
      <c r="AB5157">
        <v>8</v>
      </c>
      <c r="AC5157">
        <v>3</v>
      </c>
      <c r="AD5157">
        <v>0</v>
      </c>
      <c r="AE5157">
        <v>9</v>
      </c>
      <c r="AF5157" t="s">
        <v>138</v>
      </c>
      <c r="AG5157">
        <v>0</v>
      </c>
      <c r="AH5157">
        <v>3</v>
      </c>
      <c r="AI5157">
        <v>2</v>
      </c>
      <c r="AJ5157">
        <v>0</v>
      </c>
      <c r="AK5157" t="s">
        <v>1626</v>
      </c>
      <c r="AL5157">
        <v>39.233873000000003</v>
      </c>
      <c r="AM5157" t="s">
        <v>1271</v>
      </c>
      <c r="AN5157">
        <v>-121.026099</v>
      </c>
      <c r="AO5157">
        <v>25</v>
      </c>
      <c r="AP5157">
        <v>3600</v>
      </c>
      <c r="AQ5157" t="s">
        <v>131</v>
      </c>
      <c r="AR5157">
        <v>-79</v>
      </c>
      <c r="AS5157">
        <v>-41</v>
      </c>
      <c r="AT5157">
        <v>-704</v>
      </c>
      <c r="BB5157" t="str">
        <f t="shared" si="2030"/>
        <v>1200</v>
      </c>
      <c r="BC5157">
        <v>1</v>
      </c>
      <c r="BD5157" t="str">
        <f t="shared" si="2031"/>
        <v xml:space="preserve">N52156  </v>
      </c>
      <c r="BE5157">
        <v>1</v>
      </c>
      <c r="BG5157">
        <v>0</v>
      </c>
      <c r="BH5157">
        <v>0</v>
      </c>
      <c r="BI5157">
        <v>0</v>
      </c>
      <c r="BJ5157">
        <v>3600</v>
      </c>
      <c r="BK5157">
        <v>0</v>
      </c>
      <c r="BL5157" t="s">
        <v>188</v>
      </c>
      <c r="BM5157">
        <v>1</v>
      </c>
      <c r="BN5157">
        <v>1</v>
      </c>
      <c r="BO5157">
        <v>0</v>
      </c>
      <c r="BP5157">
        <v>0</v>
      </c>
      <c r="BS5157">
        <v>0</v>
      </c>
      <c r="BT5157">
        <v>0</v>
      </c>
      <c r="BU5157">
        <v>0</v>
      </c>
      <c r="CE5157" t="str">
        <f t="shared" si="2043"/>
        <v>15:18:51.672</v>
      </c>
      <c r="CF5157">
        <v>672006669</v>
      </c>
      <c r="CS5157">
        <v>0</v>
      </c>
      <c r="CT5157">
        <v>2</v>
      </c>
      <c r="CU5157">
        <v>0</v>
      </c>
      <c r="CV5157">
        <v>2</v>
      </c>
      <c r="CW5157">
        <v>0</v>
      </c>
      <c r="CX5157">
        <v>3</v>
      </c>
      <c r="CY5157">
        <v>7</v>
      </c>
      <c r="CZ5157" t="s">
        <v>133</v>
      </c>
      <c r="DA5157">
        <v>275</v>
      </c>
      <c r="DB5157">
        <v>0</v>
      </c>
      <c r="DC5157" t="s">
        <v>134</v>
      </c>
      <c r="DD5157" t="s">
        <v>135</v>
      </c>
      <c r="DG5157">
        <v>3323642</v>
      </c>
      <c r="DI5157">
        <v>1</v>
      </c>
      <c r="DJ5157">
        <v>0</v>
      </c>
      <c r="DK5157">
        <v>1</v>
      </c>
      <c r="DL5157">
        <v>0</v>
      </c>
      <c r="DM5157">
        <v>0</v>
      </c>
      <c r="DN5157">
        <v>0</v>
      </c>
      <c r="DO5157">
        <v>0</v>
      </c>
      <c r="DP5157">
        <v>0</v>
      </c>
      <c r="DQ5157">
        <v>0</v>
      </c>
      <c r="DR5157">
        <v>0</v>
      </c>
      <c r="DS5157">
        <v>0</v>
      </c>
    </row>
    <row r="5158" spans="1:123" x14ac:dyDescent="0.3">
      <c r="A5158" t="str">
        <f>"05/01/2025 15:18:51.889"</f>
        <v>05/01/2025 15:18:51.889</v>
      </c>
      <c r="C5158" t="str">
        <f t="shared" si="2028"/>
        <v>FFDFD3C0</v>
      </c>
      <c r="D5158" t="s">
        <v>145</v>
      </c>
      <c r="E5158" t="str">
        <f>"09"</f>
        <v>09</v>
      </c>
      <c r="H5158">
        <v>51</v>
      </c>
      <c r="I5158" t="s">
        <v>147</v>
      </c>
      <c r="J5158" t="s">
        <v>138</v>
      </c>
      <c r="K5158">
        <v>0</v>
      </c>
      <c r="L5158">
        <v>3</v>
      </c>
      <c r="M5158">
        <v>0</v>
      </c>
      <c r="N5158">
        <v>2</v>
      </c>
      <c r="O5158">
        <v>0</v>
      </c>
      <c r="P5158">
        <v>1</v>
      </c>
      <c r="Q5158">
        <v>0</v>
      </c>
      <c r="R5158" t="s">
        <v>127</v>
      </c>
      <c r="S5158" t="str">
        <f t="shared" si="2042"/>
        <v>15:18:51.000</v>
      </c>
      <c r="T5158" t="str">
        <f t="shared" si="2042"/>
        <v>15:18:51.000</v>
      </c>
      <c r="U5158" t="str">
        <f t="shared" si="2029"/>
        <v>A68FCB</v>
      </c>
      <c r="V5158">
        <v>0</v>
      </c>
      <c r="W5158">
        <v>0</v>
      </c>
      <c r="X5158">
        <v>2</v>
      </c>
      <c r="Y5158">
        <v>0</v>
      </c>
      <c r="AA5158">
        <v>1</v>
      </c>
      <c r="AB5158">
        <v>8</v>
      </c>
      <c r="AC5158">
        <v>3</v>
      </c>
      <c r="AD5158">
        <v>0</v>
      </c>
      <c r="AE5158">
        <v>9</v>
      </c>
      <c r="AF5158" t="s">
        <v>138</v>
      </c>
      <c r="AG5158">
        <v>0</v>
      </c>
      <c r="AH5158">
        <v>3</v>
      </c>
      <c r="AI5158">
        <v>2</v>
      </c>
      <c r="AJ5158">
        <v>0</v>
      </c>
      <c r="AK5158" t="s">
        <v>1626</v>
      </c>
      <c r="AL5158">
        <v>39.233873000000003</v>
      </c>
      <c r="AM5158" t="s">
        <v>1271</v>
      </c>
      <c r="AN5158">
        <v>-121.026099</v>
      </c>
      <c r="AO5158">
        <v>25</v>
      </c>
      <c r="AP5158">
        <v>3600</v>
      </c>
      <c r="AQ5158" t="s">
        <v>131</v>
      </c>
      <c r="AR5158">
        <v>-79</v>
      </c>
      <c r="AS5158">
        <v>-41</v>
      </c>
      <c r="AT5158">
        <v>-704</v>
      </c>
      <c r="BB5158" t="str">
        <f t="shared" si="2030"/>
        <v>1200</v>
      </c>
      <c r="BC5158">
        <v>1</v>
      </c>
      <c r="BD5158" t="str">
        <f t="shared" si="2031"/>
        <v xml:space="preserve">N52156  </v>
      </c>
      <c r="BE5158">
        <v>1</v>
      </c>
      <c r="BG5158">
        <v>0</v>
      </c>
      <c r="BH5158">
        <v>0</v>
      </c>
      <c r="BI5158">
        <v>0</v>
      </c>
      <c r="BJ5158">
        <v>3600</v>
      </c>
      <c r="BK5158">
        <v>0</v>
      </c>
      <c r="BL5158" t="s">
        <v>188</v>
      </c>
      <c r="BM5158">
        <v>1</v>
      </c>
      <c r="BN5158">
        <v>1</v>
      </c>
      <c r="BO5158">
        <v>0</v>
      </c>
      <c r="BP5158">
        <v>0</v>
      </c>
      <c r="BS5158">
        <v>0</v>
      </c>
      <c r="BT5158">
        <v>0</v>
      </c>
      <c r="BU5158">
        <v>0</v>
      </c>
      <c r="CE5158" t="str">
        <f t="shared" si="2043"/>
        <v>15:18:51.672</v>
      </c>
      <c r="CF5158">
        <v>672006669</v>
      </c>
      <c r="CS5158">
        <v>0</v>
      </c>
      <c r="CT5158">
        <v>2</v>
      </c>
      <c r="CU5158">
        <v>0</v>
      </c>
      <c r="CV5158">
        <v>2</v>
      </c>
      <c r="CW5158">
        <v>0</v>
      </c>
      <c r="CX5158">
        <v>3</v>
      </c>
      <c r="CY5158">
        <v>7</v>
      </c>
      <c r="CZ5158" t="s">
        <v>133</v>
      </c>
      <c r="DA5158">
        <v>275</v>
      </c>
      <c r="DB5158">
        <v>0</v>
      </c>
      <c r="DC5158" t="s">
        <v>134</v>
      </c>
      <c r="DD5158" t="s">
        <v>135</v>
      </c>
      <c r="DG5158">
        <v>3323642</v>
      </c>
      <c r="DI5158">
        <v>1</v>
      </c>
      <c r="DJ5158">
        <v>0</v>
      </c>
      <c r="DK5158">
        <v>1</v>
      </c>
      <c r="DL5158">
        <v>0</v>
      </c>
      <c r="DM5158">
        <v>0</v>
      </c>
      <c r="DN5158">
        <v>0</v>
      </c>
      <c r="DO5158">
        <v>0</v>
      </c>
      <c r="DP5158">
        <v>0</v>
      </c>
      <c r="DQ5158">
        <v>0</v>
      </c>
      <c r="DR5158">
        <v>0</v>
      </c>
      <c r="DS5158">
        <v>0</v>
      </c>
    </row>
    <row r="5159" spans="1:123" x14ac:dyDescent="0.3">
      <c r="A5159" t="str">
        <f>"05/01/2025 15:18:51.897"</f>
        <v>05/01/2025 15:18:51.897</v>
      </c>
      <c r="C5159" t="str">
        <f t="shared" si="2028"/>
        <v>FFDFD3C0</v>
      </c>
      <c r="D5159" t="s">
        <v>136</v>
      </c>
      <c r="E5159" t="str">
        <f>"20"</f>
        <v>20</v>
      </c>
      <c r="H5159">
        <v>400</v>
      </c>
      <c r="I5159" t="s">
        <v>137</v>
      </c>
      <c r="J5159" t="s">
        <v>138</v>
      </c>
      <c r="K5159">
        <v>0</v>
      </c>
      <c r="L5159">
        <v>3</v>
      </c>
      <c r="M5159">
        <v>0</v>
      </c>
      <c r="N5159">
        <v>2</v>
      </c>
      <c r="O5159">
        <v>0</v>
      </c>
      <c r="P5159">
        <v>1</v>
      </c>
      <c r="Q5159">
        <v>0</v>
      </c>
      <c r="R5159" t="s">
        <v>127</v>
      </c>
      <c r="S5159" t="str">
        <f t="shared" si="2042"/>
        <v>15:18:51.000</v>
      </c>
      <c r="T5159" t="str">
        <f t="shared" si="2042"/>
        <v>15:18:51.000</v>
      </c>
      <c r="U5159" t="str">
        <f t="shared" si="2029"/>
        <v>A68FCB</v>
      </c>
      <c r="V5159">
        <v>0</v>
      </c>
      <c r="W5159">
        <v>0</v>
      </c>
      <c r="X5159">
        <v>2</v>
      </c>
      <c r="Y5159">
        <v>0</v>
      </c>
      <c r="AA5159">
        <v>1</v>
      </c>
      <c r="AB5159">
        <v>8</v>
      </c>
      <c r="AC5159">
        <v>3</v>
      </c>
      <c r="AD5159">
        <v>0</v>
      </c>
      <c r="AE5159">
        <v>9</v>
      </c>
      <c r="AF5159" t="s">
        <v>138</v>
      </c>
      <c r="AG5159">
        <v>0</v>
      </c>
      <c r="AH5159">
        <v>3</v>
      </c>
      <c r="AI5159">
        <v>2</v>
      </c>
      <c r="AJ5159">
        <v>0</v>
      </c>
      <c r="AK5159" t="s">
        <v>1626</v>
      </c>
      <c r="AL5159">
        <v>39.233873000000003</v>
      </c>
      <c r="AM5159" t="s">
        <v>1271</v>
      </c>
      <c r="AN5159">
        <v>-121.026099</v>
      </c>
      <c r="AO5159">
        <v>25</v>
      </c>
      <c r="AP5159">
        <v>3600</v>
      </c>
      <c r="AQ5159" t="s">
        <v>131</v>
      </c>
      <c r="AR5159">
        <v>-79</v>
      </c>
      <c r="AS5159">
        <v>-41</v>
      </c>
      <c r="AT5159">
        <v>-704</v>
      </c>
      <c r="BB5159" t="str">
        <f t="shared" si="2030"/>
        <v>1200</v>
      </c>
      <c r="BC5159">
        <v>1</v>
      </c>
      <c r="BD5159" t="str">
        <f t="shared" si="2031"/>
        <v xml:space="preserve">N52156  </v>
      </c>
      <c r="BE5159">
        <v>1</v>
      </c>
      <c r="BG5159">
        <v>0</v>
      </c>
      <c r="BH5159">
        <v>0</v>
      </c>
      <c r="BI5159">
        <v>0</v>
      </c>
      <c r="BJ5159">
        <v>3600</v>
      </c>
      <c r="BK5159">
        <v>0</v>
      </c>
      <c r="BL5159" t="s">
        <v>188</v>
      </c>
      <c r="BM5159">
        <v>1</v>
      </c>
      <c r="BN5159">
        <v>1</v>
      </c>
      <c r="BO5159">
        <v>0</v>
      </c>
      <c r="BP5159">
        <v>0</v>
      </c>
      <c r="BS5159">
        <v>0</v>
      </c>
      <c r="BT5159">
        <v>0</v>
      </c>
      <c r="BU5159">
        <v>0</v>
      </c>
      <c r="CE5159" t="str">
        <f t="shared" si="2043"/>
        <v>15:18:51.672</v>
      </c>
      <c r="CF5159">
        <v>672006669</v>
      </c>
      <c r="CS5159">
        <v>0</v>
      </c>
      <c r="CT5159">
        <v>2</v>
      </c>
      <c r="CU5159">
        <v>0</v>
      </c>
      <c r="CV5159">
        <v>2</v>
      </c>
      <c r="CW5159">
        <v>0</v>
      </c>
      <c r="CX5159">
        <v>3</v>
      </c>
      <c r="CY5159">
        <v>7</v>
      </c>
      <c r="CZ5159" t="s">
        <v>133</v>
      </c>
      <c r="DA5159">
        <v>275</v>
      </c>
      <c r="DB5159">
        <v>0</v>
      </c>
      <c r="DC5159" t="s">
        <v>134</v>
      </c>
      <c r="DD5159" t="s">
        <v>135</v>
      </c>
      <c r="DG5159">
        <v>3323642</v>
      </c>
      <c r="DI5159">
        <v>1</v>
      </c>
      <c r="DJ5159">
        <v>0</v>
      </c>
      <c r="DK5159">
        <v>1</v>
      </c>
      <c r="DL5159">
        <v>0</v>
      </c>
      <c r="DM5159">
        <v>0</v>
      </c>
      <c r="DN5159">
        <v>0</v>
      </c>
      <c r="DO5159">
        <v>0</v>
      </c>
      <c r="DP5159">
        <v>0</v>
      </c>
      <c r="DQ5159">
        <v>0</v>
      </c>
      <c r="DR5159">
        <v>0</v>
      </c>
      <c r="DS5159">
        <v>0</v>
      </c>
    </row>
    <row r="5160" spans="1:123" x14ac:dyDescent="0.3">
      <c r="A5160" t="str">
        <f>"05/01/2025 15:18:51.914"</f>
        <v>05/01/2025 15:18:51.914</v>
      </c>
      <c r="C5160" t="str">
        <f t="shared" si="2028"/>
        <v>FFDFD3C0</v>
      </c>
      <c r="D5160" t="s">
        <v>140</v>
      </c>
      <c r="E5160" t="str">
        <f>"13"</f>
        <v>13</v>
      </c>
      <c r="F5160">
        <v>1019</v>
      </c>
      <c r="G5160" t="s">
        <v>141</v>
      </c>
      <c r="J5160" t="s">
        <v>142</v>
      </c>
      <c r="K5160">
        <v>0</v>
      </c>
      <c r="L5160">
        <v>3</v>
      </c>
      <c r="M5160">
        <v>0</v>
      </c>
      <c r="N5160">
        <v>2</v>
      </c>
      <c r="O5160">
        <v>0</v>
      </c>
      <c r="P5160">
        <v>1</v>
      </c>
      <c r="Q5160">
        <v>0</v>
      </c>
      <c r="R5160" t="s">
        <v>127</v>
      </c>
      <c r="S5160" t="str">
        <f t="shared" si="2042"/>
        <v>15:18:51.000</v>
      </c>
      <c r="T5160" t="str">
        <f t="shared" si="2042"/>
        <v>15:18:51.000</v>
      </c>
      <c r="U5160" t="str">
        <f t="shared" si="2029"/>
        <v>A68FCB</v>
      </c>
      <c r="V5160">
        <v>0</v>
      </c>
      <c r="W5160">
        <v>0</v>
      </c>
      <c r="X5160">
        <v>2</v>
      </c>
      <c r="Y5160">
        <v>0</v>
      </c>
      <c r="AA5160">
        <v>1</v>
      </c>
      <c r="AB5160">
        <v>8</v>
      </c>
      <c r="AC5160">
        <v>3</v>
      </c>
      <c r="AD5160">
        <v>0</v>
      </c>
      <c r="AE5160">
        <v>9</v>
      </c>
      <c r="AF5160" t="s">
        <v>138</v>
      </c>
      <c r="AG5160">
        <v>0</v>
      </c>
      <c r="AH5160">
        <v>3</v>
      </c>
      <c r="AI5160">
        <v>2</v>
      </c>
      <c r="AJ5160">
        <v>0</v>
      </c>
      <c r="AK5160" t="s">
        <v>1626</v>
      </c>
      <c r="AL5160">
        <v>39.233873000000003</v>
      </c>
      <c r="AM5160" t="s">
        <v>1271</v>
      </c>
      <c r="AN5160">
        <v>-121.026099</v>
      </c>
      <c r="AO5160">
        <v>25</v>
      </c>
      <c r="AP5160">
        <v>3600</v>
      </c>
      <c r="AQ5160" t="s">
        <v>131</v>
      </c>
      <c r="AR5160">
        <v>-79</v>
      </c>
      <c r="AS5160">
        <v>-41</v>
      </c>
      <c r="AT5160">
        <v>-704</v>
      </c>
      <c r="BB5160" t="str">
        <f t="shared" si="2030"/>
        <v>1200</v>
      </c>
      <c r="BC5160">
        <v>1</v>
      </c>
      <c r="BD5160" t="str">
        <f t="shared" si="2031"/>
        <v xml:space="preserve">N52156  </v>
      </c>
      <c r="BE5160">
        <v>1</v>
      </c>
      <c r="BG5160">
        <v>0</v>
      </c>
      <c r="BH5160">
        <v>0</v>
      </c>
      <c r="BI5160">
        <v>0</v>
      </c>
      <c r="BJ5160">
        <v>3600</v>
      </c>
      <c r="BK5160">
        <v>0</v>
      </c>
      <c r="BL5160" t="s">
        <v>188</v>
      </c>
      <c r="BM5160">
        <v>1</v>
      </c>
      <c r="BN5160">
        <v>1</v>
      </c>
      <c r="BO5160">
        <v>0</v>
      </c>
      <c r="BP5160">
        <v>0</v>
      </c>
      <c r="BS5160">
        <v>0</v>
      </c>
      <c r="BT5160">
        <v>0</v>
      </c>
      <c r="BU5160">
        <v>0</v>
      </c>
      <c r="CE5160" t="str">
        <f t="shared" si="2043"/>
        <v>15:18:51.672</v>
      </c>
      <c r="CF5160">
        <v>672006669</v>
      </c>
      <c r="CS5160">
        <v>0</v>
      </c>
      <c r="CT5160">
        <v>2</v>
      </c>
      <c r="CU5160">
        <v>0</v>
      </c>
      <c r="CV5160">
        <v>2</v>
      </c>
      <c r="CW5160">
        <v>0</v>
      </c>
      <c r="CX5160">
        <v>3</v>
      </c>
      <c r="CY5160">
        <v>7</v>
      </c>
      <c r="CZ5160" t="s">
        <v>133</v>
      </c>
      <c r="DA5160">
        <v>275</v>
      </c>
      <c r="DB5160">
        <v>0</v>
      </c>
      <c r="DC5160" t="s">
        <v>134</v>
      </c>
      <c r="DD5160" t="s">
        <v>135</v>
      </c>
      <c r="DG5160">
        <v>3323642</v>
      </c>
      <c r="DI5160">
        <v>1</v>
      </c>
      <c r="DJ5160">
        <v>0</v>
      </c>
      <c r="DK5160">
        <v>1</v>
      </c>
      <c r="DL5160">
        <v>0</v>
      </c>
      <c r="DM5160">
        <v>0</v>
      </c>
      <c r="DN5160">
        <v>0</v>
      </c>
      <c r="DO5160">
        <v>0</v>
      </c>
      <c r="DP5160">
        <v>0</v>
      </c>
      <c r="DQ5160">
        <v>0</v>
      </c>
      <c r="DR5160">
        <v>0</v>
      </c>
      <c r="DS5160">
        <v>0</v>
      </c>
    </row>
    <row r="5161" spans="1:123" x14ac:dyDescent="0.3">
      <c r="A5161" t="str">
        <f>"05/01/2025 15:18:51.916"</f>
        <v>05/01/2025 15:18:51.916</v>
      </c>
      <c r="C5161" t="str">
        <f t="shared" si="2028"/>
        <v>FFDFD3C0</v>
      </c>
      <c r="D5161" t="s">
        <v>124</v>
      </c>
      <c r="E5161" t="str">
        <f>"06"</f>
        <v>06</v>
      </c>
      <c r="F5161">
        <v>2006</v>
      </c>
      <c r="G5161" t="s">
        <v>125</v>
      </c>
      <c r="J5161" t="s">
        <v>126</v>
      </c>
      <c r="K5161">
        <v>0</v>
      </c>
      <c r="L5161">
        <v>3</v>
      </c>
      <c r="M5161">
        <v>0</v>
      </c>
      <c r="N5161">
        <v>2</v>
      </c>
      <c r="O5161">
        <v>0</v>
      </c>
      <c r="P5161">
        <v>1</v>
      </c>
      <c r="Q5161">
        <v>0</v>
      </c>
      <c r="R5161" t="s">
        <v>127</v>
      </c>
      <c r="S5161" t="str">
        <f t="shared" si="2042"/>
        <v>15:18:51.000</v>
      </c>
      <c r="T5161" t="str">
        <f t="shared" si="2042"/>
        <v>15:18:51.000</v>
      </c>
      <c r="U5161" t="str">
        <f t="shared" si="2029"/>
        <v>A68FCB</v>
      </c>
      <c r="V5161">
        <v>0</v>
      </c>
      <c r="W5161">
        <v>0</v>
      </c>
      <c r="X5161">
        <v>2</v>
      </c>
      <c r="Y5161">
        <v>0</v>
      </c>
      <c r="AA5161">
        <v>1</v>
      </c>
      <c r="AB5161">
        <v>8</v>
      </c>
      <c r="AC5161">
        <v>3</v>
      </c>
      <c r="AD5161">
        <v>0</v>
      </c>
      <c r="AE5161">
        <v>9</v>
      </c>
      <c r="AF5161" t="s">
        <v>138</v>
      </c>
      <c r="AG5161">
        <v>0</v>
      </c>
      <c r="AH5161">
        <v>3</v>
      </c>
      <c r="AI5161">
        <v>2</v>
      </c>
      <c r="AJ5161">
        <v>0</v>
      </c>
      <c r="AK5161" t="s">
        <v>1626</v>
      </c>
      <c r="AL5161">
        <v>39.233873000000003</v>
      </c>
      <c r="AM5161" t="s">
        <v>1271</v>
      </c>
      <c r="AN5161">
        <v>-121.026099</v>
      </c>
      <c r="AO5161">
        <v>25</v>
      </c>
      <c r="AP5161">
        <v>3600</v>
      </c>
      <c r="AQ5161" t="s">
        <v>131</v>
      </c>
      <c r="AR5161">
        <v>-79</v>
      </c>
      <c r="AS5161">
        <v>-41</v>
      </c>
      <c r="AT5161">
        <v>-704</v>
      </c>
      <c r="BB5161" t="str">
        <f t="shared" si="2030"/>
        <v>1200</v>
      </c>
      <c r="BC5161">
        <v>1</v>
      </c>
      <c r="BD5161" t="str">
        <f t="shared" si="2031"/>
        <v xml:space="preserve">N52156  </v>
      </c>
      <c r="BE5161">
        <v>1</v>
      </c>
      <c r="BG5161">
        <v>0</v>
      </c>
      <c r="BH5161">
        <v>0</v>
      </c>
      <c r="BI5161">
        <v>0</v>
      </c>
      <c r="BJ5161">
        <v>3600</v>
      </c>
      <c r="BK5161">
        <v>0</v>
      </c>
      <c r="BL5161" t="s">
        <v>188</v>
      </c>
      <c r="BM5161">
        <v>1</v>
      </c>
      <c r="BN5161">
        <v>1</v>
      </c>
      <c r="BO5161">
        <v>0</v>
      </c>
      <c r="BP5161">
        <v>0</v>
      </c>
      <c r="BS5161">
        <v>0</v>
      </c>
      <c r="BT5161">
        <v>0</v>
      </c>
      <c r="BU5161">
        <v>0</v>
      </c>
      <c r="CE5161" t="str">
        <f t="shared" si="2043"/>
        <v>15:18:51.672</v>
      </c>
      <c r="CF5161">
        <v>672006669</v>
      </c>
      <c r="CS5161">
        <v>0</v>
      </c>
      <c r="CT5161">
        <v>2</v>
      </c>
      <c r="CU5161">
        <v>0</v>
      </c>
      <c r="CV5161">
        <v>2</v>
      </c>
      <c r="CW5161">
        <v>0</v>
      </c>
      <c r="CX5161">
        <v>3</v>
      </c>
      <c r="CY5161">
        <v>7</v>
      </c>
      <c r="CZ5161" t="s">
        <v>133</v>
      </c>
      <c r="DA5161">
        <v>275</v>
      </c>
      <c r="DB5161">
        <v>0</v>
      </c>
      <c r="DC5161" t="s">
        <v>134</v>
      </c>
      <c r="DD5161" t="s">
        <v>135</v>
      </c>
      <c r="DG5161">
        <v>3323642</v>
      </c>
      <c r="DI5161">
        <v>1</v>
      </c>
      <c r="DJ5161">
        <v>0</v>
      </c>
      <c r="DK5161">
        <v>1</v>
      </c>
      <c r="DL5161">
        <v>0</v>
      </c>
      <c r="DM5161">
        <v>0</v>
      </c>
      <c r="DN5161">
        <v>0</v>
      </c>
      <c r="DO5161">
        <v>0</v>
      </c>
      <c r="DP5161">
        <v>0</v>
      </c>
      <c r="DQ5161">
        <v>0</v>
      </c>
      <c r="DR5161">
        <v>0</v>
      </c>
      <c r="DS5161">
        <v>0</v>
      </c>
    </row>
    <row r="5162" spans="1:123" x14ac:dyDescent="0.3">
      <c r="A5162" t="str">
        <f>"05/01/2025 15:18:53.080"</f>
        <v>05/01/2025 15:18:53.080</v>
      </c>
      <c r="C5162" t="str">
        <f t="shared" si="2028"/>
        <v>FFDFD3C0</v>
      </c>
      <c r="D5162" t="s">
        <v>143</v>
      </c>
      <c r="E5162" t="str">
        <f>"05"</f>
        <v>05</v>
      </c>
      <c r="H5162">
        <v>172</v>
      </c>
      <c r="I5162" t="s">
        <v>141</v>
      </c>
      <c r="J5162" t="s">
        <v>144</v>
      </c>
      <c r="K5162">
        <v>0</v>
      </c>
      <c r="L5162">
        <v>3</v>
      </c>
      <c r="M5162">
        <v>0</v>
      </c>
      <c r="N5162">
        <v>2</v>
      </c>
      <c r="O5162">
        <v>0</v>
      </c>
      <c r="P5162">
        <v>1</v>
      </c>
      <c r="Q5162">
        <v>0</v>
      </c>
      <c r="R5162" t="s">
        <v>127</v>
      </c>
      <c r="S5162" t="str">
        <f t="shared" ref="S5162:T5167" si="2044">"15:18:52.000"</f>
        <v>15:18:52.000</v>
      </c>
      <c r="T5162" t="str">
        <f t="shared" si="2044"/>
        <v>15:18:52.000</v>
      </c>
      <c r="U5162" t="str">
        <f t="shared" si="2029"/>
        <v>A68FCB</v>
      </c>
      <c r="V5162">
        <v>0</v>
      </c>
      <c r="W5162">
        <v>0</v>
      </c>
      <c r="X5162">
        <v>2</v>
      </c>
      <c r="Y5162">
        <v>0</v>
      </c>
      <c r="AA5162">
        <v>1</v>
      </c>
      <c r="AB5162">
        <v>8</v>
      </c>
      <c r="AC5162">
        <v>3</v>
      </c>
      <c r="AD5162">
        <v>0</v>
      </c>
      <c r="AE5162">
        <v>9</v>
      </c>
      <c r="AF5162" t="s">
        <v>138</v>
      </c>
      <c r="AG5162">
        <v>0</v>
      </c>
      <c r="AH5162">
        <v>3</v>
      </c>
      <c r="AI5162">
        <v>2</v>
      </c>
      <c r="AJ5162">
        <v>0</v>
      </c>
      <c r="AK5162" t="s">
        <v>1627</v>
      </c>
      <c r="AL5162">
        <v>39.233657999999998</v>
      </c>
      <c r="AM5162" t="s">
        <v>1628</v>
      </c>
      <c r="AN5162">
        <v>-121.026571</v>
      </c>
      <c r="AO5162">
        <v>25</v>
      </c>
      <c r="AP5162">
        <v>3600</v>
      </c>
      <c r="AQ5162" t="s">
        <v>131</v>
      </c>
      <c r="AR5162">
        <v>-73</v>
      </c>
      <c r="AS5162">
        <v>-47</v>
      </c>
      <c r="AT5162">
        <v>-704</v>
      </c>
      <c r="BB5162" t="str">
        <f t="shared" si="2030"/>
        <v>1200</v>
      </c>
      <c r="BC5162">
        <v>1</v>
      </c>
      <c r="BD5162" t="str">
        <f t="shared" si="2031"/>
        <v xml:space="preserve">N52156  </v>
      </c>
      <c r="BE5162">
        <v>1</v>
      </c>
      <c r="BG5162">
        <v>0</v>
      </c>
      <c r="BH5162">
        <v>0</v>
      </c>
      <c r="BI5162">
        <v>0</v>
      </c>
      <c r="BJ5162">
        <v>3575</v>
      </c>
      <c r="BK5162">
        <v>-25</v>
      </c>
      <c r="BL5162" t="s">
        <v>188</v>
      </c>
      <c r="BM5162">
        <v>1</v>
      </c>
      <c r="BN5162">
        <v>1</v>
      </c>
      <c r="BO5162">
        <v>0</v>
      </c>
      <c r="BP5162">
        <v>0</v>
      </c>
      <c r="BS5162">
        <v>0</v>
      </c>
      <c r="BT5162">
        <v>0</v>
      </c>
      <c r="BU5162">
        <v>0</v>
      </c>
      <c r="CE5162" t="str">
        <f t="shared" ref="CE5162:CE5167" si="2045">"15:18:52.873"</f>
        <v>15:18:52.873</v>
      </c>
      <c r="CF5162">
        <v>873344664</v>
      </c>
      <c r="CS5162">
        <v>0</v>
      </c>
      <c r="CT5162">
        <v>2</v>
      </c>
      <c r="CU5162">
        <v>0</v>
      </c>
      <c r="CV5162">
        <v>2</v>
      </c>
      <c r="CW5162">
        <v>0</v>
      </c>
      <c r="CX5162">
        <v>3</v>
      </c>
      <c r="CY5162">
        <v>7</v>
      </c>
      <c r="CZ5162" t="s">
        <v>133</v>
      </c>
      <c r="DA5162">
        <v>276</v>
      </c>
      <c r="DB5162">
        <v>0</v>
      </c>
      <c r="DC5162" t="s">
        <v>402</v>
      </c>
      <c r="DD5162" t="s">
        <v>403</v>
      </c>
      <c r="DG5162">
        <v>1629076</v>
      </c>
      <c r="DI5162">
        <v>1</v>
      </c>
      <c r="DJ5162">
        <v>0</v>
      </c>
      <c r="DK5162">
        <v>0</v>
      </c>
      <c r="DL5162">
        <v>0</v>
      </c>
      <c r="DM5162">
        <v>0</v>
      </c>
      <c r="DN5162">
        <v>0</v>
      </c>
      <c r="DO5162">
        <v>0</v>
      </c>
      <c r="DP5162">
        <v>0</v>
      </c>
      <c r="DQ5162">
        <v>0</v>
      </c>
      <c r="DR5162">
        <v>0</v>
      </c>
      <c r="DS5162">
        <v>0</v>
      </c>
    </row>
    <row r="5163" spans="1:123" x14ac:dyDescent="0.3">
      <c r="A5163" t="str">
        <f>"05/01/2025 15:18:53.091"</f>
        <v>05/01/2025 15:18:53.091</v>
      </c>
      <c r="C5163" t="str">
        <f t="shared" si="2028"/>
        <v>FFDFD3C0</v>
      </c>
      <c r="D5163" t="s">
        <v>145</v>
      </c>
      <c r="E5163" t="str">
        <f>"09"</f>
        <v>09</v>
      </c>
      <c r="H5163">
        <v>51</v>
      </c>
      <c r="I5163" t="s">
        <v>147</v>
      </c>
      <c r="J5163" t="s">
        <v>138</v>
      </c>
      <c r="K5163">
        <v>0</v>
      </c>
      <c r="L5163">
        <v>3</v>
      </c>
      <c r="M5163">
        <v>0</v>
      </c>
      <c r="N5163">
        <v>2</v>
      </c>
      <c r="O5163">
        <v>0</v>
      </c>
      <c r="P5163">
        <v>1</v>
      </c>
      <c r="Q5163">
        <v>0</v>
      </c>
      <c r="R5163" t="s">
        <v>127</v>
      </c>
      <c r="S5163" t="str">
        <f t="shared" si="2044"/>
        <v>15:18:52.000</v>
      </c>
      <c r="T5163" t="str">
        <f t="shared" si="2044"/>
        <v>15:18:52.000</v>
      </c>
      <c r="U5163" t="str">
        <f t="shared" si="2029"/>
        <v>A68FCB</v>
      </c>
      <c r="V5163">
        <v>0</v>
      </c>
      <c r="W5163">
        <v>0</v>
      </c>
      <c r="X5163">
        <v>2</v>
      </c>
      <c r="Y5163">
        <v>0</v>
      </c>
      <c r="AA5163">
        <v>1</v>
      </c>
      <c r="AB5163">
        <v>8</v>
      </c>
      <c r="AC5163">
        <v>3</v>
      </c>
      <c r="AD5163">
        <v>0</v>
      </c>
      <c r="AE5163">
        <v>9</v>
      </c>
      <c r="AF5163" t="s">
        <v>138</v>
      </c>
      <c r="AG5163">
        <v>0</v>
      </c>
      <c r="AH5163">
        <v>3</v>
      </c>
      <c r="AI5163">
        <v>2</v>
      </c>
      <c r="AJ5163">
        <v>0</v>
      </c>
      <c r="AK5163" t="s">
        <v>1627</v>
      </c>
      <c r="AL5163">
        <v>39.233657999999998</v>
      </c>
      <c r="AM5163" t="s">
        <v>1628</v>
      </c>
      <c r="AN5163">
        <v>-121.026571</v>
      </c>
      <c r="AO5163">
        <v>25</v>
      </c>
      <c r="AP5163">
        <v>3600</v>
      </c>
      <c r="AQ5163" t="s">
        <v>131</v>
      </c>
      <c r="AR5163">
        <v>-73</v>
      </c>
      <c r="AS5163">
        <v>-47</v>
      </c>
      <c r="AT5163">
        <v>-704</v>
      </c>
      <c r="BB5163" t="str">
        <f t="shared" si="2030"/>
        <v>1200</v>
      </c>
      <c r="BC5163">
        <v>1</v>
      </c>
      <c r="BD5163" t="str">
        <f t="shared" si="2031"/>
        <v xml:space="preserve">N52156  </v>
      </c>
      <c r="BE5163">
        <v>1</v>
      </c>
      <c r="BG5163">
        <v>0</v>
      </c>
      <c r="BH5163">
        <v>0</v>
      </c>
      <c r="BI5163">
        <v>0</v>
      </c>
      <c r="BJ5163">
        <v>3575</v>
      </c>
      <c r="BK5163">
        <v>-25</v>
      </c>
      <c r="BL5163" t="s">
        <v>188</v>
      </c>
      <c r="BM5163">
        <v>1</v>
      </c>
      <c r="BN5163">
        <v>1</v>
      </c>
      <c r="BO5163">
        <v>0</v>
      </c>
      <c r="BP5163">
        <v>0</v>
      </c>
      <c r="BS5163">
        <v>0</v>
      </c>
      <c r="BT5163">
        <v>0</v>
      </c>
      <c r="BU5163">
        <v>0</v>
      </c>
      <c r="CE5163" t="str">
        <f t="shared" si="2045"/>
        <v>15:18:52.873</v>
      </c>
      <c r="CF5163">
        <v>873344664</v>
      </c>
      <c r="CS5163">
        <v>0</v>
      </c>
      <c r="CT5163">
        <v>2</v>
      </c>
      <c r="CU5163">
        <v>0</v>
      </c>
      <c r="CV5163">
        <v>2</v>
      </c>
      <c r="CW5163">
        <v>0</v>
      </c>
      <c r="CX5163">
        <v>3</v>
      </c>
      <c r="CY5163">
        <v>7</v>
      </c>
      <c r="CZ5163" t="s">
        <v>133</v>
      </c>
      <c r="DA5163">
        <v>276</v>
      </c>
      <c r="DB5163">
        <v>0</v>
      </c>
      <c r="DC5163" t="s">
        <v>402</v>
      </c>
      <c r="DD5163" t="s">
        <v>403</v>
      </c>
      <c r="DG5163">
        <v>1629076</v>
      </c>
      <c r="DI5163">
        <v>1</v>
      </c>
      <c r="DJ5163">
        <v>0</v>
      </c>
      <c r="DK5163">
        <v>1</v>
      </c>
      <c r="DL5163">
        <v>0</v>
      </c>
      <c r="DM5163">
        <v>0</v>
      </c>
      <c r="DN5163">
        <v>0</v>
      </c>
      <c r="DO5163">
        <v>0</v>
      </c>
      <c r="DP5163">
        <v>0</v>
      </c>
      <c r="DQ5163">
        <v>0</v>
      </c>
      <c r="DR5163">
        <v>0</v>
      </c>
      <c r="DS5163">
        <v>0</v>
      </c>
    </row>
    <row r="5164" spans="1:123" x14ac:dyDescent="0.3">
      <c r="A5164" t="str">
        <f>"05/01/2025 15:18:53.091"</f>
        <v>05/01/2025 15:18:53.091</v>
      </c>
      <c r="C5164" t="str">
        <f t="shared" si="2028"/>
        <v>FFDFD3C0</v>
      </c>
      <c r="D5164" t="s">
        <v>145</v>
      </c>
      <c r="E5164" t="str">
        <f>"05"</f>
        <v>05</v>
      </c>
      <c r="H5164">
        <v>47</v>
      </c>
      <c r="I5164" t="s">
        <v>146</v>
      </c>
      <c r="J5164" t="s">
        <v>138</v>
      </c>
      <c r="K5164">
        <v>0</v>
      </c>
      <c r="L5164">
        <v>3</v>
      </c>
      <c r="M5164">
        <v>0</v>
      </c>
      <c r="N5164">
        <v>2</v>
      </c>
      <c r="O5164">
        <v>0</v>
      </c>
      <c r="P5164">
        <v>1</v>
      </c>
      <c r="Q5164">
        <v>0</v>
      </c>
      <c r="R5164" t="s">
        <v>127</v>
      </c>
      <c r="S5164" t="str">
        <f t="shared" si="2044"/>
        <v>15:18:52.000</v>
      </c>
      <c r="T5164" t="str">
        <f t="shared" si="2044"/>
        <v>15:18:52.000</v>
      </c>
      <c r="U5164" t="str">
        <f t="shared" si="2029"/>
        <v>A68FCB</v>
      </c>
      <c r="V5164">
        <v>0</v>
      </c>
      <c r="W5164">
        <v>0</v>
      </c>
      <c r="X5164">
        <v>2</v>
      </c>
      <c r="Y5164">
        <v>0</v>
      </c>
      <c r="AA5164">
        <v>1</v>
      </c>
      <c r="AB5164">
        <v>8</v>
      </c>
      <c r="AC5164">
        <v>3</v>
      </c>
      <c r="AD5164">
        <v>0</v>
      </c>
      <c r="AE5164">
        <v>9</v>
      </c>
      <c r="AF5164" t="s">
        <v>138</v>
      </c>
      <c r="AG5164">
        <v>0</v>
      </c>
      <c r="AH5164">
        <v>3</v>
      </c>
      <c r="AI5164">
        <v>2</v>
      </c>
      <c r="AJ5164">
        <v>0</v>
      </c>
      <c r="AK5164" t="s">
        <v>1627</v>
      </c>
      <c r="AL5164">
        <v>39.233657999999998</v>
      </c>
      <c r="AM5164" t="s">
        <v>1628</v>
      </c>
      <c r="AN5164">
        <v>-121.026571</v>
      </c>
      <c r="AO5164">
        <v>25</v>
      </c>
      <c r="AP5164">
        <v>3600</v>
      </c>
      <c r="AQ5164" t="s">
        <v>131</v>
      </c>
      <c r="AR5164">
        <v>-73</v>
      </c>
      <c r="AS5164">
        <v>-47</v>
      </c>
      <c r="AT5164">
        <v>-704</v>
      </c>
      <c r="BB5164" t="str">
        <f t="shared" si="2030"/>
        <v>1200</v>
      </c>
      <c r="BC5164">
        <v>1</v>
      </c>
      <c r="BD5164" t="str">
        <f t="shared" si="2031"/>
        <v xml:space="preserve">N52156  </v>
      </c>
      <c r="BE5164">
        <v>1</v>
      </c>
      <c r="BG5164">
        <v>0</v>
      </c>
      <c r="BH5164">
        <v>0</v>
      </c>
      <c r="BI5164">
        <v>0</v>
      </c>
      <c r="BJ5164">
        <v>3575</v>
      </c>
      <c r="BK5164">
        <v>-25</v>
      </c>
      <c r="BL5164" t="s">
        <v>188</v>
      </c>
      <c r="BM5164">
        <v>1</v>
      </c>
      <c r="BN5164">
        <v>1</v>
      </c>
      <c r="BO5164">
        <v>0</v>
      </c>
      <c r="BP5164">
        <v>0</v>
      </c>
      <c r="BS5164">
        <v>0</v>
      </c>
      <c r="BT5164">
        <v>0</v>
      </c>
      <c r="BU5164">
        <v>0</v>
      </c>
      <c r="CE5164" t="str">
        <f t="shared" si="2045"/>
        <v>15:18:52.873</v>
      </c>
      <c r="CF5164">
        <v>873344664</v>
      </c>
      <c r="CS5164">
        <v>0</v>
      </c>
      <c r="CT5164">
        <v>2</v>
      </c>
      <c r="CU5164">
        <v>0</v>
      </c>
      <c r="CV5164">
        <v>2</v>
      </c>
      <c r="CW5164">
        <v>0</v>
      </c>
      <c r="CX5164">
        <v>3</v>
      </c>
      <c r="CY5164">
        <v>7</v>
      </c>
      <c r="CZ5164" t="s">
        <v>133</v>
      </c>
      <c r="DA5164">
        <v>276</v>
      </c>
      <c r="DB5164">
        <v>0</v>
      </c>
      <c r="DC5164" t="s">
        <v>402</v>
      </c>
      <c r="DD5164" t="s">
        <v>403</v>
      </c>
      <c r="DG5164">
        <v>1629076</v>
      </c>
      <c r="DI5164">
        <v>1</v>
      </c>
      <c r="DJ5164">
        <v>0</v>
      </c>
      <c r="DK5164">
        <v>1</v>
      </c>
      <c r="DL5164">
        <v>0</v>
      </c>
      <c r="DM5164">
        <v>0</v>
      </c>
      <c r="DN5164">
        <v>0</v>
      </c>
      <c r="DO5164">
        <v>0</v>
      </c>
      <c r="DP5164">
        <v>0</v>
      </c>
      <c r="DQ5164">
        <v>0</v>
      </c>
      <c r="DR5164">
        <v>0</v>
      </c>
      <c r="DS5164">
        <v>0</v>
      </c>
    </row>
    <row r="5165" spans="1:123" x14ac:dyDescent="0.3">
      <c r="A5165" t="str">
        <f>"05/01/2025 15:18:53.099"</f>
        <v>05/01/2025 15:18:53.099</v>
      </c>
      <c r="C5165" t="str">
        <f t="shared" si="2028"/>
        <v>FFDFD3C0</v>
      </c>
      <c r="D5165" t="s">
        <v>136</v>
      </c>
      <c r="E5165" t="str">
        <f>"20"</f>
        <v>20</v>
      </c>
      <c r="H5165">
        <v>400</v>
      </c>
      <c r="I5165" t="s">
        <v>137</v>
      </c>
      <c r="J5165" t="s">
        <v>138</v>
      </c>
      <c r="K5165">
        <v>0</v>
      </c>
      <c r="L5165">
        <v>3</v>
      </c>
      <c r="M5165">
        <v>0</v>
      </c>
      <c r="N5165">
        <v>2</v>
      </c>
      <c r="O5165">
        <v>0</v>
      </c>
      <c r="P5165">
        <v>1</v>
      </c>
      <c r="Q5165">
        <v>0</v>
      </c>
      <c r="R5165" t="s">
        <v>127</v>
      </c>
      <c r="S5165" t="str">
        <f t="shared" si="2044"/>
        <v>15:18:52.000</v>
      </c>
      <c r="T5165" t="str">
        <f t="shared" si="2044"/>
        <v>15:18:52.000</v>
      </c>
      <c r="U5165" t="str">
        <f t="shared" si="2029"/>
        <v>A68FCB</v>
      </c>
      <c r="V5165">
        <v>0</v>
      </c>
      <c r="W5165">
        <v>0</v>
      </c>
      <c r="X5165">
        <v>2</v>
      </c>
      <c r="Y5165">
        <v>0</v>
      </c>
      <c r="AA5165">
        <v>1</v>
      </c>
      <c r="AB5165">
        <v>8</v>
      </c>
      <c r="AC5165">
        <v>3</v>
      </c>
      <c r="AD5165">
        <v>0</v>
      </c>
      <c r="AE5165">
        <v>9</v>
      </c>
      <c r="AF5165" t="s">
        <v>138</v>
      </c>
      <c r="AG5165">
        <v>0</v>
      </c>
      <c r="AH5165">
        <v>3</v>
      </c>
      <c r="AI5165">
        <v>2</v>
      </c>
      <c r="AJ5165">
        <v>0</v>
      </c>
      <c r="AK5165" t="s">
        <v>1627</v>
      </c>
      <c r="AL5165">
        <v>39.233657999999998</v>
      </c>
      <c r="AM5165" t="s">
        <v>1628</v>
      </c>
      <c r="AN5165">
        <v>-121.026571</v>
      </c>
      <c r="AO5165">
        <v>25</v>
      </c>
      <c r="AP5165">
        <v>3600</v>
      </c>
      <c r="AQ5165" t="s">
        <v>131</v>
      </c>
      <c r="AR5165">
        <v>-73</v>
      </c>
      <c r="AS5165">
        <v>-47</v>
      </c>
      <c r="AT5165">
        <v>-704</v>
      </c>
      <c r="BB5165" t="str">
        <f t="shared" si="2030"/>
        <v>1200</v>
      </c>
      <c r="BC5165">
        <v>1</v>
      </c>
      <c r="BD5165" t="str">
        <f t="shared" si="2031"/>
        <v xml:space="preserve">N52156  </v>
      </c>
      <c r="BE5165">
        <v>1</v>
      </c>
      <c r="BG5165">
        <v>0</v>
      </c>
      <c r="BH5165">
        <v>0</v>
      </c>
      <c r="BI5165">
        <v>0</v>
      </c>
      <c r="BJ5165">
        <v>3575</v>
      </c>
      <c r="BK5165">
        <v>-25</v>
      </c>
      <c r="BL5165" t="s">
        <v>188</v>
      </c>
      <c r="BM5165">
        <v>1</v>
      </c>
      <c r="BN5165">
        <v>1</v>
      </c>
      <c r="BO5165">
        <v>0</v>
      </c>
      <c r="BP5165">
        <v>0</v>
      </c>
      <c r="BS5165">
        <v>0</v>
      </c>
      <c r="BT5165">
        <v>0</v>
      </c>
      <c r="BU5165">
        <v>0</v>
      </c>
      <c r="CE5165" t="str">
        <f t="shared" si="2045"/>
        <v>15:18:52.873</v>
      </c>
      <c r="CF5165">
        <v>873344664</v>
      </c>
      <c r="CS5165">
        <v>0</v>
      </c>
      <c r="CT5165">
        <v>2</v>
      </c>
      <c r="CU5165">
        <v>0</v>
      </c>
      <c r="CV5165">
        <v>2</v>
      </c>
      <c r="CW5165">
        <v>0</v>
      </c>
      <c r="CX5165">
        <v>3</v>
      </c>
      <c r="CY5165">
        <v>7</v>
      </c>
      <c r="CZ5165" t="s">
        <v>133</v>
      </c>
      <c r="DA5165">
        <v>276</v>
      </c>
      <c r="DB5165">
        <v>0</v>
      </c>
      <c r="DC5165" t="s">
        <v>402</v>
      </c>
      <c r="DD5165" t="s">
        <v>403</v>
      </c>
      <c r="DG5165">
        <v>1629076</v>
      </c>
      <c r="DI5165">
        <v>1</v>
      </c>
      <c r="DJ5165">
        <v>0</v>
      </c>
      <c r="DK5165">
        <v>1</v>
      </c>
      <c r="DL5165">
        <v>0</v>
      </c>
      <c r="DM5165">
        <v>0</v>
      </c>
      <c r="DN5165">
        <v>0</v>
      </c>
      <c r="DO5165">
        <v>0</v>
      </c>
      <c r="DP5165">
        <v>0</v>
      </c>
      <c r="DQ5165">
        <v>0</v>
      </c>
      <c r="DR5165">
        <v>0</v>
      </c>
      <c r="DS5165">
        <v>0</v>
      </c>
    </row>
    <row r="5166" spans="1:123" x14ac:dyDescent="0.3">
      <c r="A5166" t="str">
        <f>"05/01/2025 15:18:53.116"</f>
        <v>05/01/2025 15:18:53.116</v>
      </c>
      <c r="C5166" t="str">
        <f t="shared" si="2028"/>
        <v>FFDFD3C0</v>
      </c>
      <c r="D5166" t="s">
        <v>140</v>
      </c>
      <c r="E5166" t="str">
        <f>"13"</f>
        <v>13</v>
      </c>
      <c r="F5166">
        <v>1019</v>
      </c>
      <c r="G5166" t="s">
        <v>141</v>
      </c>
      <c r="J5166" t="s">
        <v>142</v>
      </c>
      <c r="K5166">
        <v>0</v>
      </c>
      <c r="L5166">
        <v>3</v>
      </c>
      <c r="M5166">
        <v>0</v>
      </c>
      <c r="N5166">
        <v>2</v>
      </c>
      <c r="O5166">
        <v>0</v>
      </c>
      <c r="P5166">
        <v>1</v>
      </c>
      <c r="Q5166">
        <v>0</v>
      </c>
      <c r="R5166" t="s">
        <v>127</v>
      </c>
      <c r="S5166" t="str">
        <f t="shared" si="2044"/>
        <v>15:18:52.000</v>
      </c>
      <c r="T5166" t="str">
        <f t="shared" si="2044"/>
        <v>15:18:52.000</v>
      </c>
      <c r="U5166" t="str">
        <f t="shared" si="2029"/>
        <v>A68FCB</v>
      </c>
      <c r="V5166">
        <v>0</v>
      </c>
      <c r="W5166">
        <v>0</v>
      </c>
      <c r="X5166">
        <v>2</v>
      </c>
      <c r="Y5166">
        <v>0</v>
      </c>
      <c r="AA5166">
        <v>1</v>
      </c>
      <c r="AB5166">
        <v>8</v>
      </c>
      <c r="AC5166">
        <v>3</v>
      </c>
      <c r="AD5166">
        <v>0</v>
      </c>
      <c r="AE5166">
        <v>9</v>
      </c>
      <c r="AF5166" t="s">
        <v>138</v>
      </c>
      <c r="AG5166">
        <v>0</v>
      </c>
      <c r="AH5166">
        <v>3</v>
      </c>
      <c r="AI5166">
        <v>2</v>
      </c>
      <c r="AJ5166">
        <v>0</v>
      </c>
      <c r="AK5166" t="s">
        <v>1627</v>
      </c>
      <c r="AL5166">
        <v>39.233657999999998</v>
      </c>
      <c r="AM5166" t="s">
        <v>1628</v>
      </c>
      <c r="AN5166">
        <v>-121.026571</v>
      </c>
      <c r="AO5166">
        <v>25</v>
      </c>
      <c r="AP5166">
        <v>3600</v>
      </c>
      <c r="AQ5166" t="s">
        <v>131</v>
      </c>
      <c r="AR5166">
        <v>-73</v>
      </c>
      <c r="AS5166">
        <v>-47</v>
      </c>
      <c r="AT5166">
        <v>-704</v>
      </c>
      <c r="BB5166" t="str">
        <f t="shared" si="2030"/>
        <v>1200</v>
      </c>
      <c r="BC5166">
        <v>1</v>
      </c>
      <c r="BD5166" t="str">
        <f t="shared" si="2031"/>
        <v xml:space="preserve">N52156  </v>
      </c>
      <c r="BE5166">
        <v>1</v>
      </c>
      <c r="BG5166">
        <v>0</v>
      </c>
      <c r="BH5166">
        <v>0</v>
      </c>
      <c r="BI5166">
        <v>0</v>
      </c>
      <c r="BJ5166">
        <v>3575</v>
      </c>
      <c r="BK5166">
        <v>-25</v>
      </c>
      <c r="BL5166" t="s">
        <v>188</v>
      </c>
      <c r="BM5166">
        <v>1</v>
      </c>
      <c r="BN5166">
        <v>1</v>
      </c>
      <c r="BO5166">
        <v>0</v>
      </c>
      <c r="BP5166">
        <v>0</v>
      </c>
      <c r="BS5166">
        <v>0</v>
      </c>
      <c r="BT5166">
        <v>0</v>
      </c>
      <c r="BU5166">
        <v>0</v>
      </c>
      <c r="CE5166" t="str">
        <f t="shared" si="2045"/>
        <v>15:18:52.873</v>
      </c>
      <c r="CF5166">
        <v>873344664</v>
      </c>
      <c r="CS5166">
        <v>0</v>
      </c>
      <c r="CT5166">
        <v>2</v>
      </c>
      <c r="CU5166">
        <v>0</v>
      </c>
      <c r="CV5166">
        <v>2</v>
      </c>
      <c r="CW5166">
        <v>0</v>
      </c>
      <c r="CX5166">
        <v>3</v>
      </c>
      <c r="CY5166">
        <v>7</v>
      </c>
      <c r="CZ5166" t="s">
        <v>133</v>
      </c>
      <c r="DA5166">
        <v>276</v>
      </c>
      <c r="DB5166">
        <v>0</v>
      </c>
      <c r="DC5166" t="s">
        <v>402</v>
      </c>
      <c r="DD5166" t="s">
        <v>403</v>
      </c>
      <c r="DG5166">
        <v>1629076</v>
      </c>
      <c r="DI5166">
        <v>1</v>
      </c>
      <c r="DJ5166">
        <v>0</v>
      </c>
      <c r="DK5166">
        <v>1</v>
      </c>
      <c r="DL5166">
        <v>0</v>
      </c>
      <c r="DM5166">
        <v>0</v>
      </c>
      <c r="DN5166">
        <v>0</v>
      </c>
      <c r="DO5166">
        <v>0</v>
      </c>
      <c r="DP5166">
        <v>0</v>
      </c>
      <c r="DQ5166">
        <v>0</v>
      </c>
      <c r="DR5166">
        <v>0</v>
      </c>
      <c r="DS5166">
        <v>0</v>
      </c>
    </row>
    <row r="5167" spans="1:123" x14ac:dyDescent="0.3">
      <c r="A5167" t="str">
        <f>"05/01/2025 15:18:53.118"</f>
        <v>05/01/2025 15:18:53.118</v>
      </c>
      <c r="C5167" t="str">
        <f t="shared" si="2028"/>
        <v>FFDFD3C0</v>
      </c>
      <c r="D5167" t="s">
        <v>124</v>
      </c>
      <c r="E5167" t="str">
        <f>"06"</f>
        <v>06</v>
      </c>
      <c r="F5167">
        <v>2006</v>
      </c>
      <c r="G5167" t="s">
        <v>125</v>
      </c>
      <c r="J5167" t="s">
        <v>126</v>
      </c>
      <c r="K5167">
        <v>0</v>
      </c>
      <c r="L5167">
        <v>3</v>
      </c>
      <c r="M5167">
        <v>0</v>
      </c>
      <c r="N5167">
        <v>2</v>
      </c>
      <c r="O5167">
        <v>0</v>
      </c>
      <c r="P5167">
        <v>1</v>
      </c>
      <c r="Q5167">
        <v>0</v>
      </c>
      <c r="R5167" t="s">
        <v>127</v>
      </c>
      <c r="S5167" t="str">
        <f t="shared" si="2044"/>
        <v>15:18:52.000</v>
      </c>
      <c r="T5167" t="str">
        <f t="shared" si="2044"/>
        <v>15:18:52.000</v>
      </c>
      <c r="U5167" t="str">
        <f t="shared" si="2029"/>
        <v>A68FCB</v>
      </c>
      <c r="V5167">
        <v>0</v>
      </c>
      <c r="W5167">
        <v>0</v>
      </c>
      <c r="X5167">
        <v>2</v>
      </c>
      <c r="Y5167">
        <v>0</v>
      </c>
      <c r="AA5167">
        <v>1</v>
      </c>
      <c r="AB5167">
        <v>8</v>
      </c>
      <c r="AC5167">
        <v>3</v>
      </c>
      <c r="AD5167">
        <v>0</v>
      </c>
      <c r="AE5167">
        <v>9</v>
      </c>
      <c r="AF5167" t="s">
        <v>138</v>
      </c>
      <c r="AG5167">
        <v>0</v>
      </c>
      <c r="AH5167">
        <v>3</v>
      </c>
      <c r="AI5167">
        <v>2</v>
      </c>
      <c r="AJ5167">
        <v>0</v>
      </c>
      <c r="AK5167" t="s">
        <v>1627</v>
      </c>
      <c r="AL5167">
        <v>39.233657999999998</v>
      </c>
      <c r="AM5167" t="s">
        <v>1628</v>
      </c>
      <c r="AN5167">
        <v>-121.026571</v>
      </c>
      <c r="AO5167">
        <v>25</v>
      </c>
      <c r="AP5167">
        <v>3600</v>
      </c>
      <c r="AQ5167" t="s">
        <v>131</v>
      </c>
      <c r="AR5167">
        <v>-73</v>
      </c>
      <c r="AS5167">
        <v>-47</v>
      </c>
      <c r="AT5167">
        <v>-704</v>
      </c>
      <c r="BB5167" t="str">
        <f t="shared" si="2030"/>
        <v>1200</v>
      </c>
      <c r="BC5167">
        <v>1</v>
      </c>
      <c r="BD5167" t="str">
        <f t="shared" si="2031"/>
        <v xml:space="preserve">N52156  </v>
      </c>
      <c r="BE5167">
        <v>1</v>
      </c>
      <c r="BG5167">
        <v>0</v>
      </c>
      <c r="BH5167">
        <v>0</v>
      </c>
      <c r="BI5167">
        <v>0</v>
      </c>
      <c r="BJ5167">
        <v>3575</v>
      </c>
      <c r="BK5167">
        <v>-25</v>
      </c>
      <c r="BL5167" t="s">
        <v>188</v>
      </c>
      <c r="BM5167">
        <v>1</v>
      </c>
      <c r="BN5167">
        <v>1</v>
      </c>
      <c r="BO5167">
        <v>0</v>
      </c>
      <c r="BP5167">
        <v>0</v>
      </c>
      <c r="BS5167">
        <v>0</v>
      </c>
      <c r="BT5167">
        <v>0</v>
      </c>
      <c r="BU5167">
        <v>0</v>
      </c>
      <c r="CE5167" t="str">
        <f t="shared" si="2045"/>
        <v>15:18:52.873</v>
      </c>
      <c r="CF5167">
        <v>873344664</v>
      </c>
      <c r="CS5167">
        <v>0</v>
      </c>
      <c r="CT5167">
        <v>2</v>
      </c>
      <c r="CU5167">
        <v>0</v>
      </c>
      <c r="CV5167">
        <v>2</v>
      </c>
      <c r="CW5167">
        <v>0</v>
      </c>
      <c r="CX5167">
        <v>3</v>
      </c>
      <c r="CY5167">
        <v>7</v>
      </c>
      <c r="CZ5167" t="s">
        <v>133</v>
      </c>
      <c r="DA5167">
        <v>276</v>
      </c>
      <c r="DB5167">
        <v>0</v>
      </c>
      <c r="DC5167" t="s">
        <v>402</v>
      </c>
      <c r="DD5167" t="s">
        <v>403</v>
      </c>
      <c r="DG5167">
        <v>1629076</v>
      </c>
      <c r="DI5167">
        <v>1</v>
      </c>
      <c r="DJ5167">
        <v>0</v>
      </c>
      <c r="DK5167">
        <v>1</v>
      </c>
      <c r="DL5167">
        <v>0</v>
      </c>
      <c r="DM5167">
        <v>0</v>
      </c>
      <c r="DN5167">
        <v>0</v>
      </c>
      <c r="DO5167">
        <v>0</v>
      </c>
      <c r="DP5167">
        <v>0</v>
      </c>
      <c r="DQ5167">
        <v>0</v>
      </c>
      <c r="DR5167">
        <v>0</v>
      </c>
      <c r="DS5167">
        <v>0</v>
      </c>
    </row>
    <row r="5168" spans="1:123" x14ac:dyDescent="0.3">
      <c r="A5168" t="str">
        <f>"05/01/2025 15:18:53.480"</f>
        <v>05/01/2025 15:18:53.480</v>
      </c>
      <c r="C5168" t="str">
        <f t="shared" si="2028"/>
        <v>FFDFD3C0</v>
      </c>
      <c r="D5168" t="s">
        <v>143</v>
      </c>
      <c r="E5168" t="str">
        <f>"05"</f>
        <v>05</v>
      </c>
      <c r="H5168">
        <v>172</v>
      </c>
      <c r="I5168" t="s">
        <v>141</v>
      </c>
      <c r="J5168" t="s">
        <v>144</v>
      </c>
      <c r="K5168">
        <v>0</v>
      </c>
      <c r="L5168">
        <v>3</v>
      </c>
      <c r="M5168">
        <v>0</v>
      </c>
      <c r="N5168">
        <v>2</v>
      </c>
      <c r="O5168">
        <v>0</v>
      </c>
      <c r="P5168">
        <v>1</v>
      </c>
      <c r="Q5168">
        <v>0</v>
      </c>
      <c r="R5168" t="s">
        <v>127</v>
      </c>
      <c r="S5168" t="str">
        <f t="shared" ref="S5168:T5173" si="2046">"15:18:53.000"</f>
        <v>15:18:53.000</v>
      </c>
      <c r="T5168" t="str">
        <f t="shared" si="2046"/>
        <v>15:18:53.000</v>
      </c>
      <c r="U5168" t="str">
        <f t="shared" si="2029"/>
        <v>A68FCB</v>
      </c>
      <c r="V5168">
        <v>0</v>
      </c>
      <c r="W5168">
        <v>0</v>
      </c>
      <c r="X5168">
        <v>2</v>
      </c>
      <c r="Y5168">
        <v>0</v>
      </c>
      <c r="AA5168">
        <v>1</v>
      </c>
      <c r="AB5168">
        <v>8</v>
      </c>
      <c r="AC5168">
        <v>3</v>
      </c>
      <c r="AD5168">
        <v>0</v>
      </c>
      <c r="AE5168">
        <v>9</v>
      </c>
      <c r="AF5168" t="s">
        <v>138</v>
      </c>
      <c r="AG5168">
        <v>0</v>
      </c>
      <c r="AH5168">
        <v>3</v>
      </c>
      <c r="AI5168">
        <v>2</v>
      </c>
      <c r="AJ5168">
        <v>0</v>
      </c>
      <c r="AK5168" t="s">
        <v>1629</v>
      </c>
      <c r="AL5168">
        <v>39.233294000000001</v>
      </c>
      <c r="AM5168" t="s">
        <v>1630</v>
      </c>
      <c r="AN5168">
        <v>-121.027129</v>
      </c>
      <c r="AO5168">
        <v>25</v>
      </c>
      <c r="AP5168">
        <v>3600</v>
      </c>
      <c r="AQ5168" t="s">
        <v>131</v>
      </c>
      <c r="AR5168">
        <v>-71</v>
      </c>
      <c r="AS5168">
        <v>-50</v>
      </c>
      <c r="AT5168">
        <v>-704</v>
      </c>
      <c r="BB5168" t="str">
        <f t="shared" si="2030"/>
        <v>1200</v>
      </c>
      <c r="BC5168">
        <v>1</v>
      </c>
      <c r="BD5168" t="str">
        <f t="shared" si="2031"/>
        <v xml:space="preserve">N52156  </v>
      </c>
      <c r="BE5168">
        <v>1</v>
      </c>
      <c r="BG5168">
        <v>0</v>
      </c>
      <c r="BH5168">
        <v>0</v>
      </c>
      <c r="BI5168">
        <v>0</v>
      </c>
      <c r="BJ5168">
        <v>3575</v>
      </c>
      <c r="BK5168">
        <v>-25</v>
      </c>
      <c r="BL5168" t="s">
        <v>188</v>
      </c>
      <c r="BM5168">
        <v>1</v>
      </c>
      <c r="BN5168">
        <v>1</v>
      </c>
      <c r="BO5168">
        <v>0</v>
      </c>
      <c r="BP5168">
        <v>0</v>
      </c>
      <c r="BS5168">
        <v>0</v>
      </c>
      <c r="BT5168">
        <v>0</v>
      </c>
      <c r="BU5168">
        <v>0</v>
      </c>
      <c r="CE5168" t="str">
        <f t="shared" ref="CE5168:CE5173" si="2047">"15:18:53.277"</f>
        <v>15:18:53.277</v>
      </c>
      <c r="CF5168">
        <v>277005370</v>
      </c>
      <c r="CS5168">
        <v>0</v>
      </c>
      <c r="CT5168">
        <v>2</v>
      </c>
      <c r="CU5168">
        <v>0</v>
      </c>
      <c r="CV5168">
        <v>2</v>
      </c>
      <c r="CW5168">
        <v>0</v>
      </c>
      <c r="CX5168">
        <v>3</v>
      </c>
      <c r="CY5168">
        <v>7</v>
      </c>
      <c r="CZ5168" t="s">
        <v>133</v>
      </c>
      <c r="DA5168">
        <v>275</v>
      </c>
      <c r="DB5168">
        <v>0</v>
      </c>
      <c r="DC5168" t="s">
        <v>134</v>
      </c>
      <c r="DD5168" t="s">
        <v>135</v>
      </c>
      <c r="DG5168">
        <v>3323650</v>
      </c>
      <c r="DI5168">
        <v>1</v>
      </c>
      <c r="DJ5168">
        <v>0</v>
      </c>
      <c r="DK5168">
        <v>0</v>
      </c>
      <c r="DL5168">
        <v>0</v>
      </c>
      <c r="DM5168">
        <v>0</v>
      </c>
      <c r="DN5168">
        <v>0</v>
      </c>
      <c r="DO5168">
        <v>0</v>
      </c>
      <c r="DP5168">
        <v>0</v>
      </c>
      <c r="DQ5168">
        <v>0</v>
      </c>
      <c r="DR5168">
        <v>0</v>
      </c>
      <c r="DS5168">
        <v>0</v>
      </c>
    </row>
    <row r="5169" spans="1:123" x14ac:dyDescent="0.3">
      <c r="A5169" t="str">
        <f>"05/01/2025 15:18:53.492"</f>
        <v>05/01/2025 15:18:53.492</v>
      </c>
      <c r="C5169" t="str">
        <f t="shared" si="2028"/>
        <v>FFDFD3C0</v>
      </c>
      <c r="D5169" t="s">
        <v>145</v>
      </c>
      <c r="E5169" t="str">
        <f>"05"</f>
        <v>05</v>
      </c>
      <c r="H5169">
        <v>47</v>
      </c>
      <c r="I5169" t="s">
        <v>146</v>
      </c>
      <c r="J5169" t="s">
        <v>138</v>
      </c>
      <c r="K5169">
        <v>0</v>
      </c>
      <c r="L5169">
        <v>3</v>
      </c>
      <c r="M5169">
        <v>0</v>
      </c>
      <c r="N5169">
        <v>2</v>
      </c>
      <c r="O5169">
        <v>0</v>
      </c>
      <c r="P5169">
        <v>1</v>
      </c>
      <c r="Q5169">
        <v>0</v>
      </c>
      <c r="R5169" t="s">
        <v>127</v>
      </c>
      <c r="S5169" t="str">
        <f t="shared" si="2046"/>
        <v>15:18:53.000</v>
      </c>
      <c r="T5169" t="str">
        <f t="shared" si="2046"/>
        <v>15:18:53.000</v>
      </c>
      <c r="U5169" t="str">
        <f t="shared" si="2029"/>
        <v>A68FCB</v>
      </c>
      <c r="V5169">
        <v>0</v>
      </c>
      <c r="W5169">
        <v>0</v>
      </c>
      <c r="X5169">
        <v>2</v>
      </c>
      <c r="Y5169">
        <v>0</v>
      </c>
      <c r="AA5169">
        <v>1</v>
      </c>
      <c r="AB5169">
        <v>8</v>
      </c>
      <c r="AC5169">
        <v>3</v>
      </c>
      <c r="AD5169">
        <v>0</v>
      </c>
      <c r="AE5169">
        <v>9</v>
      </c>
      <c r="AF5169" t="s">
        <v>138</v>
      </c>
      <c r="AG5169">
        <v>0</v>
      </c>
      <c r="AH5169">
        <v>3</v>
      </c>
      <c r="AI5169">
        <v>2</v>
      </c>
      <c r="AJ5169">
        <v>0</v>
      </c>
      <c r="AK5169" t="s">
        <v>1629</v>
      </c>
      <c r="AL5169">
        <v>39.233294000000001</v>
      </c>
      <c r="AM5169" t="s">
        <v>1630</v>
      </c>
      <c r="AN5169">
        <v>-121.027129</v>
      </c>
      <c r="AO5169">
        <v>25</v>
      </c>
      <c r="AP5169">
        <v>3600</v>
      </c>
      <c r="AQ5169" t="s">
        <v>131</v>
      </c>
      <c r="AR5169">
        <v>-71</v>
      </c>
      <c r="AS5169">
        <v>-50</v>
      </c>
      <c r="AT5169">
        <v>-704</v>
      </c>
      <c r="BB5169" t="str">
        <f t="shared" si="2030"/>
        <v>1200</v>
      </c>
      <c r="BC5169">
        <v>1</v>
      </c>
      <c r="BD5169" t="str">
        <f t="shared" si="2031"/>
        <v xml:space="preserve">N52156  </v>
      </c>
      <c r="BE5169">
        <v>1</v>
      </c>
      <c r="BG5169">
        <v>0</v>
      </c>
      <c r="BH5169">
        <v>0</v>
      </c>
      <c r="BI5169">
        <v>0</v>
      </c>
      <c r="BJ5169">
        <v>3575</v>
      </c>
      <c r="BK5169">
        <v>-25</v>
      </c>
      <c r="BL5169" t="s">
        <v>188</v>
      </c>
      <c r="BM5169">
        <v>1</v>
      </c>
      <c r="BN5169">
        <v>1</v>
      </c>
      <c r="BO5169">
        <v>0</v>
      </c>
      <c r="BP5169">
        <v>0</v>
      </c>
      <c r="BS5169">
        <v>0</v>
      </c>
      <c r="BT5169">
        <v>0</v>
      </c>
      <c r="BU5169">
        <v>0</v>
      </c>
      <c r="CE5169" t="str">
        <f t="shared" si="2047"/>
        <v>15:18:53.277</v>
      </c>
      <c r="CF5169">
        <v>277005370</v>
      </c>
      <c r="CS5169">
        <v>0</v>
      </c>
      <c r="CT5169">
        <v>2</v>
      </c>
      <c r="CU5169">
        <v>0</v>
      </c>
      <c r="CV5169">
        <v>2</v>
      </c>
      <c r="CW5169">
        <v>0</v>
      </c>
      <c r="CX5169">
        <v>3</v>
      </c>
      <c r="CY5169">
        <v>7</v>
      </c>
      <c r="CZ5169" t="s">
        <v>133</v>
      </c>
      <c r="DA5169">
        <v>275</v>
      </c>
      <c r="DB5169">
        <v>0</v>
      </c>
      <c r="DC5169" t="s">
        <v>134</v>
      </c>
      <c r="DD5169" t="s">
        <v>135</v>
      </c>
      <c r="DG5169">
        <v>3323650</v>
      </c>
      <c r="DI5169">
        <v>1</v>
      </c>
      <c r="DJ5169">
        <v>0</v>
      </c>
      <c r="DK5169">
        <v>1</v>
      </c>
      <c r="DL5169">
        <v>0</v>
      </c>
      <c r="DM5169">
        <v>0</v>
      </c>
      <c r="DN5169">
        <v>0</v>
      </c>
      <c r="DO5169">
        <v>0</v>
      </c>
      <c r="DP5169">
        <v>0</v>
      </c>
      <c r="DQ5169">
        <v>0</v>
      </c>
      <c r="DR5169">
        <v>0</v>
      </c>
      <c r="DS5169">
        <v>0</v>
      </c>
    </row>
    <row r="5170" spans="1:123" x14ac:dyDescent="0.3">
      <c r="A5170" t="str">
        <f>"05/01/2025 15:18:53.492"</f>
        <v>05/01/2025 15:18:53.492</v>
      </c>
      <c r="C5170" t="str">
        <f t="shared" si="2028"/>
        <v>FFDFD3C0</v>
      </c>
      <c r="D5170" t="s">
        <v>145</v>
      </c>
      <c r="E5170" t="str">
        <f>"09"</f>
        <v>09</v>
      </c>
      <c r="H5170">
        <v>51</v>
      </c>
      <c r="I5170" t="s">
        <v>147</v>
      </c>
      <c r="J5170" t="s">
        <v>138</v>
      </c>
      <c r="K5170">
        <v>0</v>
      </c>
      <c r="L5170">
        <v>3</v>
      </c>
      <c r="M5170">
        <v>0</v>
      </c>
      <c r="N5170">
        <v>2</v>
      </c>
      <c r="O5170">
        <v>0</v>
      </c>
      <c r="P5170">
        <v>1</v>
      </c>
      <c r="Q5170">
        <v>0</v>
      </c>
      <c r="R5170" t="s">
        <v>127</v>
      </c>
      <c r="S5170" t="str">
        <f t="shared" si="2046"/>
        <v>15:18:53.000</v>
      </c>
      <c r="T5170" t="str">
        <f t="shared" si="2046"/>
        <v>15:18:53.000</v>
      </c>
      <c r="U5170" t="str">
        <f t="shared" si="2029"/>
        <v>A68FCB</v>
      </c>
      <c r="V5170">
        <v>0</v>
      </c>
      <c r="W5170">
        <v>0</v>
      </c>
      <c r="X5170">
        <v>2</v>
      </c>
      <c r="Y5170">
        <v>0</v>
      </c>
      <c r="AA5170">
        <v>1</v>
      </c>
      <c r="AB5170">
        <v>8</v>
      </c>
      <c r="AC5170">
        <v>3</v>
      </c>
      <c r="AD5170">
        <v>0</v>
      </c>
      <c r="AE5170">
        <v>9</v>
      </c>
      <c r="AF5170" t="s">
        <v>138</v>
      </c>
      <c r="AG5170">
        <v>0</v>
      </c>
      <c r="AH5170">
        <v>3</v>
      </c>
      <c r="AI5170">
        <v>2</v>
      </c>
      <c r="AJ5170">
        <v>0</v>
      </c>
      <c r="AK5170" t="s">
        <v>1629</v>
      </c>
      <c r="AL5170">
        <v>39.233294000000001</v>
      </c>
      <c r="AM5170" t="s">
        <v>1630</v>
      </c>
      <c r="AN5170">
        <v>-121.027129</v>
      </c>
      <c r="AO5170">
        <v>25</v>
      </c>
      <c r="AP5170">
        <v>3600</v>
      </c>
      <c r="AQ5170" t="s">
        <v>131</v>
      </c>
      <c r="AR5170">
        <v>-71</v>
      </c>
      <c r="AS5170">
        <v>-50</v>
      </c>
      <c r="AT5170">
        <v>-704</v>
      </c>
      <c r="BB5170" t="str">
        <f t="shared" si="2030"/>
        <v>1200</v>
      </c>
      <c r="BC5170">
        <v>1</v>
      </c>
      <c r="BD5170" t="str">
        <f t="shared" si="2031"/>
        <v xml:space="preserve">N52156  </v>
      </c>
      <c r="BE5170">
        <v>1</v>
      </c>
      <c r="BG5170">
        <v>0</v>
      </c>
      <c r="BH5170">
        <v>0</v>
      </c>
      <c r="BI5170">
        <v>0</v>
      </c>
      <c r="BJ5170">
        <v>3575</v>
      </c>
      <c r="BK5170">
        <v>-25</v>
      </c>
      <c r="BL5170" t="s">
        <v>188</v>
      </c>
      <c r="BM5170">
        <v>1</v>
      </c>
      <c r="BN5170">
        <v>1</v>
      </c>
      <c r="BO5170">
        <v>0</v>
      </c>
      <c r="BP5170">
        <v>0</v>
      </c>
      <c r="BS5170">
        <v>0</v>
      </c>
      <c r="BT5170">
        <v>0</v>
      </c>
      <c r="BU5170">
        <v>0</v>
      </c>
      <c r="CE5170" t="str">
        <f t="shared" si="2047"/>
        <v>15:18:53.277</v>
      </c>
      <c r="CF5170">
        <v>277005370</v>
      </c>
      <c r="CS5170">
        <v>0</v>
      </c>
      <c r="CT5170">
        <v>2</v>
      </c>
      <c r="CU5170">
        <v>0</v>
      </c>
      <c r="CV5170">
        <v>2</v>
      </c>
      <c r="CW5170">
        <v>0</v>
      </c>
      <c r="CX5170">
        <v>3</v>
      </c>
      <c r="CY5170">
        <v>7</v>
      </c>
      <c r="CZ5170" t="s">
        <v>133</v>
      </c>
      <c r="DA5170">
        <v>275</v>
      </c>
      <c r="DB5170">
        <v>0</v>
      </c>
      <c r="DC5170" t="s">
        <v>134</v>
      </c>
      <c r="DD5170" t="s">
        <v>135</v>
      </c>
      <c r="DG5170">
        <v>3323650</v>
      </c>
      <c r="DI5170">
        <v>1</v>
      </c>
      <c r="DJ5170">
        <v>0</v>
      </c>
      <c r="DK5170">
        <v>1</v>
      </c>
      <c r="DL5170">
        <v>0</v>
      </c>
      <c r="DM5170">
        <v>0</v>
      </c>
      <c r="DN5170">
        <v>0</v>
      </c>
      <c r="DO5170">
        <v>0</v>
      </c>
      <c r="DP5170">
        <v>0</v>
      </c>
      <c r="DQ5170">
        <v>0</v>
      </c>
      <c r="DR5170">
        <v>0</v>
      </c>
      <c r="DS5170">
        <v>0</v>
      </c>
    </row>
    <row r="5171" spans="1:123" x14ac:dyDescent="0.3">
      <c r="A5171" t="str">
        <f>"05/01/2025 15:18:53.500"</f>
        <v>05/01/2025 15:18:53.500</v>
      </c>
      <c r="C5171" t="str">
        <f t="shared" si="2028"/>
        <v>FFDFD3C0</v>
      </c>
      <c r="D5171" t="s">
        <v>136</v>
      </c>
      <c r="E5171" t="str">
        <f>"20"</f>
        <v>20</v>
      </c>
      <c r="H5171">
        <v>400</v>
      </c>
      <c r="I5171" t="s">
        <v>137</v>
      </c>
      <c r="J5171" t="s">
        <v>138</v>
      </c>
      <c r="K5171">
        <v>0</v>
      </c>
      <c r="L5171">
        <v>3</v>
      </c>
      <c r="M5171">
        <v>0</v>
      </c>
      <c r="N5171">
        <v>2</v>
      </c>
      <c r="O5171">
        <v>0</v>
      </c>
      <c r="P5171">
        <v>1</v>
      </c>
      <c r="Q5171">
        <v>0</v>
      </c>
      <c r="R5171" t="s">
        <v>127</v>
      </c>
      <c r="S5171" t="str">
        <f t="shared" si="2046"/>
        <v>15:18:53.000</v>
      </c>
      <c r="T5171" t="str">
        <f t="shared" si="2046"/>
        <v>15:18:53.000</v>
      </c>
      <c r="U5171" t="str">
        <f t="shared" si="2029"/>
        <v>A68FCB</v>
      </c>
      <c r="V5171">
        <v>0</v>
      </c>
      <c r="W5171">
        <v>0</v>
      </c>
      <c r="X5171">
        <v>2</v>
      </c>
      <c r="Y5171">
        <v>0</v>
      </c>
      <c r="AA5171">
        <v>1</v>
      </c>
      <c r="AB5171">
        <v>8</v>
      </c>
      <c r="AC5171">
        <v>3</v>
      </c>
      <c r="AD5171">
        <v>0</v>
      </c>
      <c r="AE5171">
        <v>9</v>
      </c>
      <c r="AF5171" t="s">
        <v>138</v>
      </c>
      <c r="AG5171">
        <v>0</v>
      </c>
      <c r="AH5171">
        <v>3</v>
      </c>
      <c r="AI5171">
        <v>2</v>
      </c>
      <c r="AJ5171">
        <v>0</v>
      </c>
      <c r="AK5171" t="s">
        <v>1629</v>
      </c>
      <c r="AL5171">
        <v>39.233294000000001</v>
      </c>
      <c r="AM5171" t="s">
        <v>1630</v>
      </c>
      <c r="AN5171">
        <v>-121.027129</v>
      </c>
      <c r="AO5171">
        <v>25</v>
      </c>
      <c r="AP5171">
        <v>3600</v>
      </c>
      <c r="AQ5171" t="s">
        <v>131</v>
      </c>
      <c r="AR5171">
        <v>-71</v>
      </c>
      <c r="AS5171">
        <v>-50</v>
      </c>
      <c r="AT5171">
        <v>-704</v>
      </c>
      <c r="BB5171" t="str">
        <f t="shared" si="2030"/>
        <v>1200</v>
      </c>
      <c r="BC5171">
        <v>1</v>
      </c>
      <c r="BD5171" t="str">
        <f t="shared" si="2031"/>
        <v xml:space="preserve">N52156  </v>
      </c>
      <c r="BE5171">
        <v>1</v>
      </c>
      <c r="BG5171">
        <v>0</v>
      </c>
      <c r="BH5171">
        <v>0</v>
      </c>
      <c r="BI5171">
        <v>0</v>
      </c>
      <c r="BJ5171">
        <v>3575</v>
      </c>
      <c r="BK5171">
        <v>-25</v>
      </c>
      <c r="BL5171" t="s">
        <v>188</v>
      </c>
      <c r="BM5171">
        <v>1</v>
      </c>
      <c r="BN5171">
        <v>1</v>
      </c>
      <c r="BO5171">
        <v>0</v>
      </c>
      <c r="BP5171">
        <v>0</v>
      </c>
      <c r="BS5171">
        <v>0</v>
      </c>
      <c r="BT5171">
        <v>0</v>
      </c>
      <c r="BU5171">
        <v>0</v>
      </c>
      <c r="CE5171" t="str">
        <f t="shared" si="2047"/>
        <v>15:18:53.277</v>
      </c>
      <c r="CF5171">
        <v>277005370</v>
      </c>
      <c r="CS5171">
        <v>0</v>
      </c>
      <c r="CT5171">
        <v>2</v>
      </c>
      <c r="CU5171">
        <v>0</v>
      </c>
      <c r="CV5171">
        <v>2</v>
      </c>
      <c r="CW5171">
        <v>0</v>
      </c>
      <c r="CX5171">
        <v>3</v>
      </c>
      <c r="CY5171">
        <v>7</v>
      </c>
      <c r="CZ5171" t="s">
        <v>133</v>
      </c>
      <c r="DA5171">
        <v>275</v>
      </c>
      <c r="DB5171">
        <v>0</v>
      </c>
      <c r="DC5171" t="s">
        <v>134</v>
      </c>
      <c r="DD5171" t="s">
        <v>135</v>
      </c>
      <c r="DG5171">
        <v>3323650</v>
      </c>
      <c r="DI5171">
        <v>1</v>
      </c>
      <c r="DJ5171">
        <v>0</v>
      </c>
      <c r="DK5171">
        <v>1</v>
      </c>
      <c r="DL5171">
        <v>0</v>
      </c>
      <c r="DM5171">
        <v>0</v>
      </c>
      <c r="DN5171">
        <v>0</v>
      </c>
      <c r="DO5171">
        <v>0</v>
      </c>
      <c r="DP5171">
        <v>0</v>
      </c>
      <c r="DQ5171">
        <v>0</v>
      </c>
      <c r="DR5171">
        <v>0</v>
      </c>
      <c r="DS5171">
        <v>0</v>
      </c>
    </row>
    <row r="5172" spans="1:123" x14ac:dyDescent="0.3">
      <c r="A5172" t="str">
        <f>"05/01/2025 15:18:53.517"</f>
        <v>05/01/2025 15:18:53.517</v>
      </c>
      <c r="C5172" t="str">
        <f t="shared" si="2028"/>
        <v>FFDFD3C0</v>
      </c>
      <c r="D5172" t="s">
        <v>140</v>
      </c>
      <c r="E5172" t="str">
        <f>"13"</f>
        <v>13</v>
      </c>
      <c r="F5172">
        <v>1019</v>
      </c>
      <c r="G5172" t="s">
        <v>141</v>
      </c>
      <c r="J5172" t="s">
        <v>142</v>
      </c>
      <c r="K5172">
        <v>0</v>
      </c>
      <c r="L5172">
        <v>3</v>
      </c>
      <c r="M5172">
        <v>0</v>
      </c>
      <c r="N5172">
        <v>2</v>
      </c>
      <c r="O5172">
        <v>0</v>
      </c>
      <c r="P5172">
        <v>1</v>
      </c>
      <c r="Q5172">
        <v>0</v>
      </c>
      <c r="R5172" t="s">
        <v>127</v>
      </c>
      <c r="S5172" t="str">
        <f t="shared" si="2046"/>
        <v>15:18:53.000</v>
      </c>
      <c r="T5172" t="str">
        <f t="shared" si="2046"/>
        <v>15:18:53.000</v>
      </c>
      <c r="U5172" t="str">
        <f t="shared" si="2029"/>
        <v>A68FCB</v>
      </c>
      <c r="V5172">
        <v>0</v>
      </c>
      <c r="W5172">
        <v>0</v>
      </c>
      <c r="X5172">
        <v>2</v>
      </c>
      <c r="Y5172">
        <v>0</v>
      </c>
      <c r="AA5172">
        <v>1</v>
      </c>
      <c r="AB5172">
        <v>8</v>
      </c>
      <c r="AC5172">
        <v>3</v>
      </c>
      <c r="AD5172">
        <v>0</v>
      </c>
      <c r="AE5172">
        <v>9</v>
      </c>
      <c r="AF5172" t="s">
        <v>138</v>
      </c>
      <c r="AG5172">
        <v>0</v>
      </c>
      <c r="AH5172">
        <v>3</v>
      </c>
      <c r="AI5172">
        <v>2</v>
      </c>
      <c r="AJ5172">
        <v>0</v>
      </c>
      <c r="AK5172" t="s">
        <v>1629</v>
      </c>
      <c r="AL5172">
        <v>39.233294000000001</v>
      </c>
      <c r="AM5172" t="s">
        <v>1630</v>
      </c>
      <c r="AN5172">
        <v>-121.027129</v>
      </c>
      <c r="AO5172">
        <v>25</v>
      </c>
      <c r="AP5172">
        <v>3600</v>
      </c>
      <c r="AQ5172" t="s">
        <v>131</v>
      </c>
      <c r="AR5172">
        <v>-71</v>
      </c>
      <c r="AS5172">
        <v>-50</v>
      </c>
      <c r="AT5172">
        <v>-704</v>
      </c>
      <c r="BB5172" t="str">
        <f t="shared" si="2030"/>
        <v>1200</v>
      </c>
      <c r="BC5172">
        <v>1</v>
      </c>
      <c r="BD5172" t="str">
        <f t="shared" si="2031"/>
        <v xml:space="preserve">N52156  </v>
      </c>
      <c r="BE5172">
        <v>1</v>
      </c>
      <c r="BG5172">
        <v>0</v>
      </c>
      <c r="BH5172">
        <v>0</v>
      </c>
      <c r="BI5172">
        <v>0</v>
      </c>
      <c r="BJ5172">
        <v>3575</v>
      </c>
      <c r="BK5172">
        <v>-25</v>
      </c>
      <c r="BL5172" t="s">
        <v>188</v>
      </c>
      <c r="BM5172">
        <v>1</v>
      </c>
      <c r="BN5172">
        <v>1</v>
      </c>
      <c r="BO5172">
        <v>0</v>
      </c>
      <c r="BP5172">
        <v>0</v>
      </c>
      <c r="BS5172">
        <v>0</v>
      </c>
      <c r="BT5172">
        <v>0</v>
      </c>
      <c r="BU5172">
        <v>0</v>
      </c>
      <c r="CE5172" t="str">
        <f t="shared" si="2047"/>
        <v>15:18:53.277</v>
      </c>
      <c r="CF5172">
        <v>277005370</v>
      </c>
      <c r="CS5172">
        <v>0</v>
      </c>
      <c r="CT5172">
        <v>2</v>
      </c>
      <c r="CU5172">
        <v>0</v>
      </c>
      <c r="CV5172">
        <v>2</v>
      </c>
      <c r="CW5172">
        <v>0</v>
      </c>
      <c r="CX5172">
        <v>3</v>
      </c>
      <c r="CY5172">
        <v>7</v>
      </c>
      <c r="CZ5172" t="s">
        <v>133</v>
      </c>
      <c r="DA5172">
        <v>275</v>
      </c>
      <c r="DB5172">
        <v>0</v>
      </c>
      <c r="DC5172" t="s">
        <v>134</v>
      </c>
      <c r="DD5172" t="s">
        <v>135</v>
      </c>
      <c r="DG5172">
        <v>3323650</v>
      </c>
      <c r="DI5172">
        <v>1</v>
      </c>
      <c r="DJ5172">
        <v>0</v>
      </c>
      <c r="DK5172">
        <v>1</v>
      </c>
      <c r="DL5172">
        <v>0</v>
      </c>
      <c r="DM5172">
        <v>0</v>
      </c>
      <c r="DN5172">
        <v>0</v>
      </c>
      <c r="DO5172">
        <v>0</v>
      </c>
      <c r="DP5172">
        <v>0</v>
      </c>
      <c r="DQ5172">
        <v>0</v>
      </c>
      <c r="DR5172">
        <v>0</v>
      </c>
      <c r="DS5172">
        <v>0</v>
      </c>
    </row>
    <row r="5173" spans="1:123" x14ac:dyDescent="0.3">
      <c r="A5173" t="str">
        <f>"05/01/2025 15:18:53.519"</f>
        <v>05/01/2025 15:18:53.519</v>
      </c>
      <c r="C5173" t="str">
        <f t="shared" si="2028"/>
        <v>FFDFD3C0</v>
      </c>
      <c r="D5173" t="s">
        <v>124</v>
      </c>
      <c r="E5173" t="str">
        <f>"06"</f>
        <v>06</v>
      </c>
      <c r="F5173">
        <v>2006</v>
      </c>
      <c r="G5173" t="s">
        <v>125</v>
      </c>
      <c r="J5173" t="s">
        <v>126</v>
      </c>
      <c r="K5173">
        <v>0</v>
      </c>
      <c r="L5173">
        <v>3</v>
      </c>
      <c r="M5173">
        <v>0</v>
      </c>
      <c r="N5173">
        <v>2</v>
      </c>
      <c r="O5173">
        <v>0</v>
      </c>
      <c r="P5173">
        <v>1</v>
      </c>
      <c r="Q5173">
        <v>0</v>
      </c>
      <c r="R5173" t="s">
        <v>127</v>
      </c>
      <c r="S5173" t="str">
        <f t="shared" si="2046"/>
        <v>15:18:53.000</v>
      </c>
      <c r="T5173" t="str">
        <f t="shared" si="2046"/>
        <v>15:18:53.000</v>
      </c>
      <c r="U5173" t="str">
        <f t="shared" si="2029"/>
        <v>A68FCB</v>
      </c>
      <c r="V5173">
        <v>0</v>
      </c>
      <c r="W5173">
        <v>0</v>
      </c>
      <c r="X5173">
        <v>2</v>
      </c>
      <c r="Y5173">
        <v>0</v>
      </c>
      <c r="AA5173">
        <v>1</v>
      </c>
      <c r="AB5173">
        <v>8</v>
      </c>
      <c r="AC5173">
        <v>3</v>
      </c>
      <c r="AD5173">
        <v>0</v>
      </c>
      <c r="AE5173">
        <v>9</v>
      </c>
      <c r="AF5173" t="s">
        <v>138</v>
      </c>
      <c r="AG5173">
        <v>0</v>
      </c>
      <c r="AH5173">
        <v>3</v>
      </c>
      <c r="AI5173">
        <v>2</v>
      </c>
      <c r="AJ5173">
        <v>0</v>
      </c>
      <c r="AK5173" t="s">
        <v>1629</v>
      </c>
      <c r="AL5173">
        <v>39.233294000000001</v>
      </c>
      <c r="AM5173" t="s">
        <v>1630</v>
      </c>
      <c r="AN5173">
        <v>-121.027129</v>
      </c>
      <c r="AO5173">
        <v>25</v>
      </c>
      <c r="AP5173">
        <v>3600</v>
      </c>
      <c r="AQ5173" t="s">
        <v>131</v>
      </c>
      <c r="AR5173">
        <v>-71</v>
      </c>
      <c r="AS5173">
        <v>-50</v>
      </c>
      <c r="AT5173">
        <v>-704</v>
      </c>
      <c r="BB5173" t="str">
        <f t="shared" si="2030"/>
        <v>1200</v>
      </c>
      <c r="BC5173">
        <v>1</v>
      </c>
      <c r="BD5173" t="str">
        <f t="shared" si="2031"/>
        <v xml:space="preserve">N52156  </v>
      </c>
      <c r="BE5173">
        <v>1</v>
      </c>
      <c r="BG5173">
        <v>0</v>
      </c>
      <c r="BH5173">
        <v>0</v>
      </c>
      <c r="BI5173">
        <v>0</v>
      </c>
      <c r="BJ5173">
        <v>3575</v>
      </c>
      <c r="BK5173">
        <v>-25</v>
      </c>
      <c r="BL5173" t="s">
        <v>188</v>
      </c>
      <c r="BM5173">
        <v>1</v>
      </c>
      <c r="BN5173">
        <v>1</v>
      </c>
      <c r="BO5173">
        <v>0</v>
      </c>
      <c r="BP5173">
        <v>0</v>
      </c>
      <c r="BS5173">
        <v>0</v>
      </c>
      <c r="BT5173">
        <v>0</v>
      </c>
      <c r="BU5173">
        <v>0</v>
      </c>
      <c r="CE5173" t="str">
        <f t="shared" si="2047"/>
        <v>15:18:53.277</v>
      </c>
      <c r="CF5173">
        <v>277005370</v>
      </c>
      <c r="CS5173">
        <v>0</v>
      </c>
      <c r="CT5173">
        <v>2</v>
      </c>
      <c r="CU5173">
        <v>0</v>
      </c>
      <c r="CV5173">
        <v>2</v>
      </c>
      <c r="CW5173">
        <v>0</v>
      </c>
      <c r="CX5173">
        <v>3</v>
      </c>
      <c r="CY5173">
        <v>7</v>
      </c>
      <c r="CZ5173" t="s">
        <v>133</v>
      </c>
      <c r="DA5173">
        <v>275</v>
      </c>
      <c r="DB5173">
        <v>0</v>
      </c>
      <c r="DC5173" t="s">
        <v>134</v>
      </c>
      <c r="DD5173" t="s">
        <v>135</v>
      </c>
      <c r="DG5173">
        <v>3323650</v>
      </c>
      <c r="DI5173">
        <v>1</v>
      </c>
      <c r="DJ5173">
        <v>0</v>
      </c>
      <c r="DK5173">
        <v>1</v>
      </c>
      <c r="DL5173">
        <v>0</v>
      </c>
      <c r="DM5173">
        <v>0</v>
      </c>
      <c r="DN5173">
        <v>0</v>
      </c>
      <c r="DO5173">
        <v>0</v>
      </c>
      <c r="DP5173">
        <v>0</v>
      </c>
      <c r="DQ5173">
        <v>0</v>
      </c>
      <c r="DR5173">
        <v>0</v>
      </c>
      <c r="DS5173">
        <v>0</v>
      </c>
    </row>
    <row r="5174" spans="1:123" x14ac:dyDescent="0.3">
      <c r="A5174" t="str">
        <f>"05/01/2025 15:18:54.702"</f>
        <v>05/01/2025 15:18:54.702</v>
      </c>
      <c r="C5174" t="str">
        <f t="shared" si="2028"/>
        <v>FFDFD3C0</v>
      </c>
      <c r="D5174" t="s">
        <v>136</v>
      </c>
      <c r="E5174" t="str">
        <f>"20"</f>
        <v>20</v>
      </c>
      <c r="H5174">
        <v>400</v>
      </c>
      <c r="I5174" t="s">
        <v>137</v>
      </c>
      <c r="J5174" t="s">
        <v>138</v>
      </c>
      <c r="K5174">
        <v>0</v>
      </c>
      <c r="L5174">
        <v>3</v>
      </c>
      <c r="M5174">
        <v>0</v>
      </c>
      <c r="N5174">
        <v>2</v>
      </c>
      <c r="O5174">
        <v>0</v>
      </c>
      <c r="P5174">
        <v>1</v>
      </c>
      <c r="Q5174">
        <v>0</v>
      </c>
      <c r="R5174" t="s">
        <v>127</v>
      </c>
      <c r="S5174" t="str">
        <f t="shared" ref="S5174:T5179" si="2048">"15:18:54.000"</f>
        <v>15:18:54.000</v>
      </c>
      <c r="T5174" t="str">
        <f t="shared" si="2048"/>
        <v>15:18:54.000</v>
      </c>
      <c r="U5174" t="str">
        <f t="shared" si="2029"/>
        <v>A68FCB</v>
      </c>
      <c r="V5174">
        <v>0</v>
      </c>
      <c r="W5174">
        <v>0</v>
      </c>
      <c r="X5174">
        <v>2</v>
      </c>
      <c r="Y5174">
        <v>0</v>
      </c>
      <c r="AA5174">
        <v>1</v>
      </c>
      <c r="AB5174">
        <v>8</v>
      </c>
      <c r="AC5174">
        <v>3</v>
      </c>
      <c r="AD5174">
        <v>0</v>
      </c>
      <c r="AE5174">
        <v>9</v>
      </c>
      <c r="AF5174" t="s">
        <v>138</v>
      </c>
      <c r="AG5174">
        <v>0</v>
      </c>
      <c r="AH5174">
        <v>3</v>
      </c>
      <c r="AI5174">
        <v>2</v>
      </c>
      <c r="AJ5174">
        <v>0</v>
      </c>
      <c r="AK5174" t="s">
        <v>1631</v>
      </c>
      <c r="AL5174">
        <v>39.233057000000002</v>
      </c>
      <c r="AM5174" t="s">
        <v>1632</v>
      </c>
      <c r="AN5174">
        <v>-121.027536</v>
      </c>
      <c r="AO5174">
        <v>25</v>
      </c>
      <c r="AP5174">
        <v>3600</v>
      </c>
      <c r="AQ5174" t="s">
        <v>131</v>
      </c>
      <c r="AR5174">
        <v>-65</v>
      </c>
      <c r="AS5174">
        <v>-59</v>
      </c>
      <c r="AT5174">
        <v>-448</v>
      </c>
      <c r="BB5174" t="str">
        <f t="shared" si="2030"/>
        <v>1200</v>
      </c>
      <c r="BC5174">
        <v>1</v>
      </c>
      <c r="BD5174" t="str">
        <f t="shared" si="2031"/>
        <v xml:space="preserve">N52156  </v>
      </c>
      <c r="BE5174">
        <v>1</v>
      </c>
      <c r="BG5174">
        <v>0</v>
      </c>
      <c r="BH5174">
        <v>0</v>
      </c>
      <c r="BI5174">
        <v>0</v>
      </c>
      <c r="BJ5174">
        <v>3575</v>
      </c>
      <c r="BK5174">
        <v>-25</v>
      </c>
      <c r="BL5174" t="s">
        <v>188</v>
      </c>
      <c r="BM5174">
        <v>1</v>
      </c>
      <c r="BN5174">
        <v>1</v>
      </c>
      <c r="BO5174">
        <v>0</v>
      </c>
      <c r="BP5174">
        <v>0</v>
      </c>
      <c r="BS5174">
        <v>0</v>
      </c>
      <c r="BT5174">
        <v>0</v>
      </c>
      <c r="BU5174">
        <v>0</v>
      </c>
      <c r="CE5174" t="str">
        <f t="shared" ref="CE5174:CE5179" si="2049">"15:18:54.471"</f>
        <v>15:18:54.471</v>
      </c>
      <c r="CF5174">
        <v>471255672</v>
      </c>
      <c r="CS5174">
        <v>0</v>
      </c>
      <c r="CT5174">
        <v>2</v>
      </c>
      <c r="CU5174">
        <v>0</v>
      </c>
      <c r="CV5174">
        <v>2</v>
      </c>
      <c r="CW5174">
        <v>0</v>
      </c>
      <c r="CX5174">
        <v>2</v>
      </c>
      <c r="CY5174">
        <v>7</v>
      </c>
      <c r="CZ5174" t="s">
        <v>133</v>
      </c>
      <c r="DA5174">
        <v>275</v>
      </c>
      <c r="DB5174">
        <v>0</v>
      </c>
      <c r="DC5174" t="s">
        <v>134</v>
      </c>
      <c r="DD5174" t="s">
        <v>135</v>
      </c>
      <c r="DG5174">
        <v>3323656</v>
      </c>
      <c r="DI5174">
        <v>1</v>
      </c>
      <c r="DJ5174">
        <v>0</v>
      </c>
      <c r="DK5174">
        <v>0</v>
      </c>
      <c r="DL5174">
        <v>0</v>
      </c>
      <c r="DM5174">
        <v>0</v>
      </c>
      <c r="DN5174">
        <v>0</v>
      </c>
      <c r="DO5174">
        <v>0</v>
      </c>
      <c r="DP5174">
        <v>0</v>
      </c>
      <c r="DQ5174">
        <v>0</v>
      </c>
      <c r="DR5174">
        <v>0</v>
      </c>
      <c r="DS5174">
        <v>0</v>
      </c>
    </row>
    <row r="5175" spans="1:123" x14ac:dyDescent="0.3">
      <c r="A5175" t="str">
        <f>"05/01/2025 15:18:54.721"</f>
        <v>05/01/2025 15:18:54.721</v>
      </c>
      <c r="C5175" t="str">
        <f t="shared" si="2028"/>
        <v>FFDFD3C0</v>
      </c>
      <c r="D5175" t="s">
        <v>124</v>
      </c>
      <c r="E5175" t="str">
        <f>"06"</f>
        <v>06</v>
      </c>
      <c r="F5175">
        <v>2006</v>
      </c>
      <c r="G5175" t="s">
        <v>125</v>
      </c>
      <c r="J5175" t="s">
        <v>126</v>
      </c>
      <c r="K5175">
        <v>0</v>
      </c>
      <c r="L5175">
        <v>3</v>
      </c>
      <c r="M5175">
        <v>0</v>
      </c>
      <c r="N5175">
        <v>2</v>
      </c>
      <c r="O5175">
        <v>0</v>
      </c>
      <c r="P5175">
        <v>1</v>
      </c>
      <c r="Q5175">
        <v>0</v>
      </c>
      <c r="R5175" t="s">
        <v>127</v>
      </c>
      <c r="S5175" t="str">
        <f t="shared" si="2048"/>
        <v>15:18:54.000</v>
      </c>
      <c r="T5175" t="str">
        <f t="shared" si="2048"/>
        <v>15:18:54.000</v>
      </c>
      <c r="U5175" t="str">
        <f t="shared" si="2029"/>
        <v>A68FCB</v>
      </c>
      <c r="V5175">
        <v>0</v>
      </c>
      <c r="W5175">
        <v>0</v>
      </c>
      <c r="X5175">
        <v>2</v>
      </c>
      <c r="Y5175">
        <v>0</v>
      </c>
      <c r="AA5175">
        <v>1</v>
      </c>
      <c r="AB5175">
        <v>8</v>
      </c>
      <c r="AC5175">
        <v>3</v>
      </c>
      <c r="AD5175">
        <v>0</v>
      </c>
      <c r="AE5175">
        <v>9</v>
      </c>
      <c r="AF5175" t="s">
        <v>138</v>
      </c>
      <c r="AG5175">
        <v>0</v>
      </c>
      <c r="AH5175">
        <v>3</v>
      </c>
      <c r="AI5175">
        <v>2</v>
      </c>
      <c r="AJ5175">
        <v>0</v>
      </c>
      <c r="AK5175" t="s">
        <v>1631</v>
      </c>
      <c r="AL5175">
        <v>39.233057000000002</v>
      </c>
      <c r="AM5175" t="s">
        <v>1632</v>
      </c>
      <c r="AN5175">
        <v>-121.027536</v>
      </c>
      <c r="AO5175">
        <v>25</v>
      </c>
      <c r="AP5175">
        <v>3600</v>
      </c>
      <c r="AQ5175" t="s">
        <v>131</v>
      </c>
      <c r="AR5175">
        <v>-65</v>
      </c>
      <c r="AS5175">
        <v>-59</v>
      </c>
      <c r="AT5175">
        <v>-448</v>
      </c>
      <c r="BB5175" t="str">
        <f t="shared" si="2030"/>
        <v>1200</v>
      </c>
      <c r="BC5175">
        <v>1</v>
      </c>
      <c r="BD5175" t="str">
        <f t="shared" si="2031"/>
        <v xml:space="preserve">N52156  </v>
      </c>
      <c r="BE5175">
        <v>1</v>
      </c>
      <c r="BG5175">
        <v>0</v>
      </c>
      <c r="BH5175">
        <v>0</v>
      </c>
      <c r="BI5175">
        <v>0</v>
      </c>
      <c r="BJ5175">
        <v>3575</v>
      </c>
      <c r="BK5175">
        <v>-25</v>
      </c>
      <c r="BL5175" t="s">
        <v>188</v>
      </c>
      <c r="BM5175">
        <v>1</v>
      </c>
      <c r="BN5175">
        <v>1</v>
      </c>
      <c r="BO5175">
        <v>0</v>
      </c>
      <c r="BP5175">
        <v>0</v>
      </c>
      <c r="BS5175">
        <v>0</v>
      </c>
      <c r="BT5175">
        <v>0</v>
      </c>
      <c r="BU5175">
        <v>0</v>
      </c>
      <c r="CE5175" t="str">
        <f t="shared" si="2049"/>
        <v>15:18:54.471</v>
      </c>
      <c r="CF5175">
        <v>471255672</v>
      </c>
      <c r="CS5175">
        <v>0</v>
      </c>
      <c r="CT5175">
        <v>2</v>
      </c>
      <c r="CU5175">
        <v>0</v>
      </c>
      <c r="CV5175">
        <v>2</v>
      </c>
      <c r="CW5175">
        <v>0</v>
      </c>
      <c r="CX5175">
        <v>2</v>
      </c>
      <c r="CY5175">
        <v>7</v>
      </c>
      <c r="CZ5175" t="s">
        <v>133</v>
      </c>
      <c r="DA5175">
        <v>275</v>
      </c>
      <c r="DB5175">
        <v>0</v>
      </c>
      <c r="DC5175" t="s">
        <v>134</v>
      </c>
      <c r="DD5175" t="s">
        <v>135</v>
      </c>
      <c r="DG5175">
        <v>3323656</v>
      </c>
      <c r="DI5175">
        <v>1</v>
      </c>
      <c r="DJ5175">
        <v>0</v>
      </c>
      <c r="DK5175">
        <v>1</v>
      </c>
      <c r="DL5175">
        <v>0</v>
      </c>
      <c r="DM5175">
        <v>0</v>
      </c>
      <c r="DN5175">
        <v>0</v>
      </c>
      <c r="DO5175">
        <v>0</v>
      </c>
      <c r="DP5175">
        <v>0</v>
      </c>
      <c r="DQ5175">
        <v>0</v>
      </c>
      <c r="DR5175">
        <v>0</v>
      </c>
      <c r="DS5175">
        <v>0</v>
      </c>
    </row>
    <row r="5176" spans="1:123" x14ac:dyDescent="0.3">
      <c r="A5176" t="str">
        <f>"05/01/2025 15:18:54.719"</f>
        <v>05/01/2025 15:18:54.719</v>
      </c>
      <c r="C5176" t="str">
        <f t="shared" si="2028"/>
        <v>FFDFD3C0</v>
      </c>
      <c r="D5176" t="s">
        <v>140</v>
      </c>
      <c r="E5176" t="str">
        <f>"13"</f>
        <v>13</v>
      </c>
      <c r="F5176">
        <v>1019</v>
      </c>
      <c r="G5176" t="s">
        <v>141</v>
      </c>
      <c r="J5176" t="s">
        <v>142</v>
      </c>
      <c r="K5176">
        <v>0</v>
      </c>
      <c r="L5176">
        <v>3</v>
      </c>
      <c r="M5176">
        <v>0</v>
      </c>
      <c r="N5176">
        <v>2</v>
      </c>
      <c r="O5176">
        <v>0</v>
      </c>
      <c r="P5176">
        <v>1</v>
      </c>
      <c r="Q5176">
        <v>0</v>
      </c>
      <c r="R5176" t="s">
        <v>127</v>
      </c>
      <c r="S5176" t="str">
        <f t="shared" si="2048"/>
        <v>15:18:54.000</v>
      </c>
      <c r="T5176" t="str">
        <f t="shared" si="2048"/>
        <v>15:18:54.000</v>
      </c>
      <c r="U5176" t="str">
        <f t="shared" si="2029"/>
        <v>A68FCB</v>
      </c>
      <c r="V5176">
        <v>0</v>
      </c>
      <c r="W5176">
        <v>0</v>
      </c>
      <c r="X5176">
        <v>2</v>
      </c>
      <c r="Y5176">
        <v>0</v>
      </c>
      <c r="AA5176">
        <v>1</v>
      </c>
      <c r="AB5176">
        <v>8</v>
      </c>
      <c r="AC5176">
        <v>3</v>
      </c>
      <c r="AD5176">
        <v>0</v>
      </c>
      <c r="AE5176">
        <v>9</v>
      </c>
      <c r="AF5176" t="s">
        <v>138</v>
      </c>
      <c r="AG5176">
        <v>0</v>
      </c>
      <c r="AH5176">
        <v>3</v>
      </c>
      <c r="AI5176">
        <v>2</v>
      </c>
      <c r="AJ5176">
        <v>0</v>
      </c>
      <c r="AK5176" t="s">
        <v>1631</v>
      </c>
      <c r="AL5176">
        <v>39.233057000000002</v>
      </c>
      <c r="AM5176" t="s">
        <v>1632</v>
      </c>
      <c r="AN5176">
        <v>-121.027536</v>
      </c>
      <c r="AO5176">
        <v>25</v>
      </c>
      <c r="AP5176">
        <v>3600</v>
      </c>
      <c r="AQ5176" t="s">
        <v>131</v>
      </c>
      <c r="AR5176">
        <v>-65</v>
      </c>
      <c r="AS5176">
        <v>-59</v>
      </c>
      <c r="AT5176">
        <v>-448</v>
      </c>
      <c r="BB5176" t="str">
        <f t="shared" si="2030"/>
        <v>1200</v>
      </c>
      <c r="BC5176">
        <v>1</v>
      </c>
      <c r="BD5176" t="str">
        <f t="shared" si="2031"/>
        <v xml:space="preserve">N52156  </v>
      </c>
      <c r="BE5176">
        <v>1</v>
      </c>
      <c r="BG5176">
        <v>0</v>
      </c>
      <c r="BH5176">
        <v>0</v>
      </c>
      <c r="BI5176">
        <v>0</v>
      </c>
      <c r="BJ5176">
        <v>3575</v>
      </c>
      <c r="BK5176">
        <v>-25</v>
      </c>
      <c r="BL5176" t="s">
        <v>188</v>
      </c>
      <c r="BM5176">
        <v>1</v>
      </c>
      <c r="BN5176">
        <v>1</v>
      </c>
      <c r="BO5176">
        <v>0</v>
      </c>
      <c r="BP5176">
        <v>0</v>
      </c>
      <c r="BS5176">
        <v>0</v>
      </c>
      <c r="BT5176">
        <v>0</v>
      </c>
      <c r="BU5176">
        <v>0</v>
      </c>
      <c r="CE5176" t="str">
        <f t="shared" si="2049"/>
        <v>15:18:54.471</v>
      </c>
      <c r="CF5176">
        <v>471255672</v>
      </c>
      <c r="CS5176">
        <v>0</v>
      </c>
      <c r="CT5176">
        <v>2</v>
      </c>
      <c r="CU5176">
        <v>0</v>
      </c>
      <c r="CV5176">
        <v>2</v>
      </c>
      <c r="CW5176">
        <v>0</v>
      </c>
      <c r="CX5176">
        <v>2</v>
      </c>
      <c r="CY5176">
        <v>7</v>
      </c>
      <c r="CZ5176" t="s">
        <v>133</v>
      </c>
      <c r="DA5176">
        <v>275</v>
      </c>
      <c r="DB5176">
        <v>0</v>
      </c>
      <c r="DC5176" t="s">
        <v>134</v>
      </c>
      <c r="DD5176" t="s">
        <v>135</v>
      </c>
      <c r="DG5176">
        <v>3323656</v>
      </c>
      <c r="DI5176">
        <v>1</v>
      </c>
      <c r="DJ5176">
        <v>0</v>
      </c>
      <c r="DK5176">
        <v>1</v>
      </c>
      <c r="DL5176">
        <v>0</v>
      </c>
      <c r="DM5176">
        <v>0</v>
      </c>
      <c r="DN5176">
        <v>0</v>
      </c>
      <c r="DO5176">
        <v>0</v>
      </c>
      <c r="DP5176">
        <v>0</v>
      </c>
      <c r="DQ5176">
        <v>0</v>
      </c>
      <c r="DR5176">
        <v>0</v>
      </c>
      <c r="DS5176">
        <v>0</v>
      </c>
    </row>
    <row r="5177" spans="1:123" x14ac:dyDescent="0.3">
      <c r="A5177" t="str">
        <f>"05/01/2025 15:18:54.732"</f>
        <v>05/01/2025 15:18:54.732</v>
      </c>
      <c r="C5177" t="str">
        <f t="shared" si="2028"/>
        <v>FFDFD3C0</v>
      </c>
      <c r="D5177" t="s">
        <v>143</v>
      </c>
      <c r="E5177" t="str">
        <f>"05"</f>
        <v>05</v>
      </c>
      <c r="H5177">
        <v>172</v>
      </c>
      <c r="I5177" t="s">
        <v>141</v>
      </c>
      <c r="J5177" t="s">
        <v>144</v>
      </c>
      <c r="K5177">
        <v>0</v>
      </c>
      <c r="L5177">
        <v>3</v>
      </c>
      <c r="M5177">
        <v>0</v>
      </c>
      <c r="N5177">
        <v>2</v>
      </c>
      <c r="O5177">
        <v>0</v>
      </c>
      <c r="P5177">
        <v>1</v>
      </c>
      <c r="Q5177">
        <v>0</v>
      </c>
      <c r="R5177" t="s">
        <v>127</v>
      </c>
      <c r="S5177" t="str">
        <f t="shared" si="2048"/>
        <v>15:18:54.000</v>
      </c>
      <c r="T5177" t="str">
        <f t="shared" si="2048"/>
        <v>15:18:54.000</v>
      </c>
      <c r="U5177" t="str">
        <f t="shared" si="2029"/>
        <v>A68FCB</v>
      </c>
      <c r="V5177">
        <v>0</v>
      </c>
      <c r="W5177">
        <v>0</v>
      </c>
      <c r="X5177">
        <v>2</v>
      </c>
      <c r="Y5177">
        <v>0</v>
      </c>
      <c r="AA5177">
        <v>1</v>
      </c>
      <c r="AB5177">
        <v>8</v>
      </c>
      <c r="AC5177">
        <v>3</v>
      </c>
      <c r="AD5177">
        <v>0</v>
      </c>
      <c r="AE5177">
        <v>9</v>
      </c>
      <c r="AF5177" t="s">
        <v>138</v>
      </c>
      <c r="AG5177">
        <v>0</v>
      </c>
      <c r="AH5177">
        <v>3</v>
      </c>
      <c r="AI5177">
        <v>2</v>
      </c>
      <c r="AJ5177">
        <v>0</v>
      </c>
      <c r="AK5177" t="s">
        <v>1631</v>
      </c>
      <c r="AL5177">
        <v>39.233057000000002</v>
      </c>
      <c r="AM5177" t="s">
        <v>1632</v>
      </c>
      <c r="AN5177">
        <v>-121.027536</v>
      </c>
      <c r="AO5177">
        <v>25</v>
      </c>
      <c r="AP5177">
        <v>3600</v>
      </c>
      <c r="AQ5177" t="s">
        <v>131</v>
      </c>
      <c r="AR5177">
        <v>-65</v>
      </c>
      <c r="AS5177">
        <v>-59</v>
      </c>
      <c r="AT5177">
        <v>-448</v>
      </c>
      <c r="BB5177" t="str">
        <f t="shared" si="2030"/>
        <v>1200</v>
      </c>
      <c r="BC5177">
        <v>1</v>
      </c>
      <c r="BD5177" t="str">
        <f t="shared" si="2031"/>
        <v xml:space="preserve">N52156  </v>
      </c>
      <c r="BE5177">
        <v>1</v>
      </c>
      <c r="BG5177">
        <v>0</v>
      </c>
      <c r="BH5177">
        <v>0</v>
      </c>
      <c r="BI5177">
        <v>0</v>
      </c>
      <c r="BJ5177">
        <v>3575</v>
      </c>
      <c r="BK5177">
        <v>-25</v>
      </c>
      <c r="BL5177" t="s">
        <v>188</v>
      </c>
      <c r="BM5177">
        <v>1</v>
      </c>
      <c r="BN5177">
        <v>1</v>
      </c>
      <c r="BO5177">
        <v>0</v>
      </c>
      <c r="BP5177">
        <v>0</v>
      </c>
      <c r="BS5177">
        <v>0</v>
      </c>
      <c r="BT5177">
        <v>0</v>
      </c>
      <c r="BU5177">
        <v>0</v>
      </c>
      <c r="CE5177" t="str">
        <f t="shared" si="2049"/>
        <v>15:18:54.471</v>
      </c>
      <c r="CF5177">
        <v>471255672</v>
      </c>
      <c r="CS5177">
        <v>0</v>
      </c>
      <c r="CT5177">
        <v>2</v>
      </c>
      <c r="CU5177">
        <v>0</v>
      </c>
      <c r="CV5177">
        <v>2</v>
      </c>
      <c r="CW5177">
        <v>0</v>
      </c>
      <c r="CX5177">
        <v>2</v>
      </c>
      <c r="CY5177">
        <v>7</v>
      </c>
      <c r="CZ5177" t="s">
        <v>133</v>
      </c>
      <c r="DA5177">
        <v>275</v>
      </c>
      <c r="DB5177">
        <v>0</v>
      </c>
      <c r="DC5177" t="s">
        <v>134</v>
      </c>
      <c r="DD5177" t="s">
        <v>135</v>
      </c>
      <c r="DG5177">
        <v>3323656</v>
      </c>
      <c r="DI5177">
        <v>1</v>
      </c>
      <c r="DJ5177">
        <v>0</v>
      </c>
      <c r="DK5177">
        <v>1</v>
      </c>
      <c r="DL5177">
        <v>0</v>
      </c>
      <c r="DM5177">
        <v>0</v>
      </c>
      <c r="DN5177">
        <v>0</v>
      </c>
      <c r="DO5177">
        <v>0</v>
      </c>
      <c r="DP5177">
        <v>0</v>
      </c>
      <c r="DQ5177">
        <v>0</v>
      </c>
      <c r="DR5177">
        <v>0</v>
      </c>
      <c r="DS5177">
        <v>0</v>
      </c>
    </row>
    <row r="5178" spans="1:123" x14ac:dyDescent="0.3">
      <c r="A5178" t="str">
        <f>"05/01/2025 15:18:54.744"</f>
        <v>05/01/2025 15:18:54.744</v>
      </c>
      <c r="C5178" t="str">
        <f t="shared" si="2028"/>
        <v>FFDFD3C0</v>
      </c>
      <c r="D5178" t="s">
        <v>145</v>
      </c>
      <c r="E5178" t="str">
        <f>"05"</f>
        <v>05</v>
      </c>
      <c r="H5178">
        <v>47</v>
      </c>
      <c r="I5178" t="s">
        <v>146</v>
      </c>
      <c r="J5178" t="s">
        <v>138</v>
      </c>
      <c r="K5178">
        <v>0</v>
      </c>
      <c r="L5178">
        <v>3</v>
      </c>
      <c r="M5178">
        <v>0</v>
      </c>
      <c r="N5178">
        <v>2</v>
      </c>
      <c r="O5178">
        <v>0</v>
      </c>
      <c r="P5178">
        <v>1</v>
      </c>
      <c r="Q5178">
        <v>0</v>
      </c>
      <c r="R5178" t="s">
        <v>127</v>
      </c>
      <c r="S5178" t="str">
        <f t="shared" si="2048"/>
        <v>15:18:54.000</v>
      </c>
      <c r="T5178" t="str">
        <f t="shared" si="2048"/>
        <v>15:18:54.000</v>
      </c>
      <c r="U5178" t="str">
        <f t="shared" si="2029"/>
        <v>A68FCB</v>
      </c>
      <c r="V5178">
        <v>0</v>
      </c>
      <c r="W5178">
        <v>0</v>
      </c>
      <c r="X5178">
        <v>2</v>
      </c>
      <c r="Y5178">
        <v>0</v>
      </c>
      <c r="AA5178">
        <v>1</v>
      </c>
      <c r="AB5178">
        <v>8</v>
      </c>
      <c r="AC5178">
        <v>3</v>
      </c>
      <c r="AD5178">
        <v>0</v>
      </c>
      <c r="AE5178">
        <v>9</v>
      </c>
      <c r="AF5178" t="s">
        <v>138</v>
      </c>
      <c r="AG5178">
        <v>0</v>
      </c>
      <c r="AH5178">
        <v>3</v>
      </c>
      <c r="AI5178">
        <v>2</v>
      </c>
      <c r="AJ5178">
        <v>0</v>
      </c>
      <c r="AK5178" t="s">
        <v>1631</v>
      </c>
      <c r="AL5178">
        <v>39.233057000000002</v>
      </c>
      <c r="AM5178" t="s">
        <v>1632</v>
      </c>
      <c r="AN5178">
        <v>-121.027536</v>
      </c>
      <c r="AO5178">
        <v>25</v>
      </c>
      <c r="AP5178">
        <v>3600</v>
      </c>
      <c r="AQ5178" t="s">
        <v>131</v>
      </c>
      <c r="AR5178">
        <v>-65</v>
      </c>
      <c r="AS5178">
        <v>-59</v>
      </c>
      <c r="AT5178">
        <v>-448</v>
      </c>
      <c r="BB5178" t="str">
        <f t="shared" si="2030"/>
        <v>1200</v>
      </c>
      <c r="BC5178">
        <v>1</v>
      </c>
      <c r="BD5178" t="str">
        <f t="shared" si="2031"/>
        <v xml:space="preserve">N52156  </v>
      </c>
      <c r="BE5178">
        <v>1</v>
      </c>
      <c r="BG5178">
        <v>0</v>
      </c>
      <c r="BH5178">
        <v>0</v>
      </c>
      <c r="BI5178">
        <v>0</v>
      </c>
      <c r="BJ5178">
        <v>3575</v>
      </c>
      <c r="BK5178">
        <v>-25</v>
      </c>
      <c r="BL5178" t="s">
        <v>188</v>
      </c>
      <c r="BM5178">
        <v>1</v>
      </c>
      <c r="BN5178">
        <v>1</v>
      </c>
      <c r="BO5178">
        <v>0</v>
      </c>
      <c r="BP5178">
        <v>0</v>
      </c>
      <c r="BS5178">
        <v>0</v>
      </c>
      <c r="BT5178">
        <v>0</v>
      </c>
      <c r="BU5178">
        <v>0</v>
      </c>
      <c r="CE5178" t="str">
        <f t="shared" si="2049"/>
        <v>15:18:54.471</v>
      </c>
      <c r="CF5178">
        <v>471255672</v>
      </c>
      <c r="CS5178">
        <v>0</v>
      </c>
      <c r="CT5178">
        <v>2</v>
      </c>
      <c r="CU5178">
        <v>0</v>
      </c>
      <c r="CV5178">
        <v>2</v>
      </c>
      <c r="CW5178">
        <v>0</v>
      </c>
      <c r="CX5178">
        <v>2</v>
      </c>
      <c r="CY5178">
        <v>7</v>
      </c>
      <c r="CZ5178" t="s">
        <v>133</v>
      </c>
      <c r="DA5178">
        <v>275</v>
      </c>
      <c r="DB5178">
        <v>0</v>
      </c>
      <c r="DC5178" t="s">
        <v>134</v>
      </c>
      <c r="DD5178" t="s">
        <v>135</v>
      </c>
      <c r="DG5178">
        <v>3323656</v>
      </c>
      <c r="DI5178">
        <v>1</v>
      </c>
      <c r="DJ5178">
        <v>0</v>
      </c>
      <c r="DK5178">
        <v>1</v>
      </c>
      <c r="DL5178">
        <v>0</v>
      </c>
      <c r="DM5178">
        <v>0</v>
      </c>
      <c r="DN5178">
        <v>0</v>
      </c>
      <c r="DO5178">
        <v>0</v>
      </c>
      <c r="DP5178">
        <v>0</v>
      </c>
      <c r="DQ5178">
        <v>0</v>
      </c>
      <c r="DR5178">
        <v>0</v>
      </c>
      <c r="DS5178">
        <v>0</v>
      </c>
    </row>
    <row r="5179" spans="1:123" x14ac:dyDescent="0.3">
      <c r="A5179" t="str">
        <f>"05/01/2025 15:18:54.744"</f>
        <v>05/01/2025 15:18:54.744</v>
      </c>
      <c r="C5179" t="str">
        <f t="shared" si="2028"/>
        <v>FFDFD3C0</v>
      </c>
      <c r="D5179" t="s">
        <v>145</v>
      </c>
      <c r="E5179" t="str">
        <f>"09"</f>
        <v>09</v>
      </c>
      <c r="H5179">
        <v>51</v>
      </c>
      <c r="I5179" t="s">
        <v>147</v>
      </c>
      <c r="J5179" t="s">
        <v>138</v>
      </c>
      <c r="K5179">
        <v>0</v>
      </c>
      <c r="L5179">
        <v>3</v>
      </c>
      <c r="M5179">
        <v>0</v>
      </c>
      <c r="N5179">
        <v>2</v>
      </c>
      <c r="O5179">
        <v>0</v>
      </c>
      <c r="P5179">
        <v>1</v>
      </c>
      <c r="Q5179">
        <v>0</v>
      </c>
      <c r="R5179" t="s">
        <v>127</v>
      </c>
      <c r="S5179" t="str">
        <f t="shared" si="2048"/>
        <v>15:18:54.000</v>
      </c>
      <c r="T5179" t="str">
        <f t="shared" si="2048"/>
        <v>15:18:54.000</v>
      </c>
      <c r="U5179" t="str">
        <f t="shared" si="2029"/>
        <v>A68FCB</v>
      </c>
      <c r="V5179">
        <v>0</v>
      </c>
      <c r="W5179">
        <v>0</v>
      </c>
      <c r="X5179">
        <v>2</v>
      </c>
      <c r="Y5179">
        <v>0</v>
      </c>
      <c r="AA5179">
        <v>1</v>
      </c>
      <c r="AB5179">
        <v>8</v>
      </c>
      <c r="AC5179">
        <v>3</v>
      </c>
      <c r="AD5179">
        <v>0</v>
      </c>
      <c r="AE5179">
        <v>9</v>
      </c>
      <c r="AF5179" t="s">
        <v>138</v>
      </c>
      <c r="AG5179">
        <v>0</v>
      </c>
      <c r="AH5179">
        <v>3</v>
      </c>
      <c r="AI5179">
        <v>2</v>
      </c>
      <c r="AJ5179">
        <v>0</v>
      </c>
      <c r="AK5179" t="s">
        <v>1631</v>
      </c>
      <c r="AL5179">
        <v>39.233057000000002</v>
      </c>
      <c r="AM5179" t="s">
        <v>1632</v>
      </c>
      <c r="AN5179">
        <v>-121.027536</v>
      </c>
      <c r="AO5179">
        <v>25</v>
      </c>
      <c r="AP5179">
        <v>3600</v>
      </c>
      <c r="AQ5179" t="s">
        <v>131</v>
      </c>
      <c r="AR5179">
        <v>-65</v>
      </c>
      <c r="AS5179">
        <v>-59</v>
      </c>
      <c r="AT5179">
        <v>-448</v>
      </c>
      <c r="BB5179" t="str">
        <f t="shared" si="2030"/>
        <v>1200</v>
      </c>
      <c r="BC5179">
        <v>1</v>
      </c>
      <c r="BD5179" t="str">
        <f t="shared" si="2031"/>
        <v xml:space="preserve">N52156  </v>
      </c>
      <c r="BE5179">
        <v>1</v>
      </c>
      <c r="BG5179">
        <v>0</v>
      </c>
      <c r="BH5179">
        <v>0</v>
      </c>
      <c r="BI5179">
        <v>0</v>
      </c>
      <c r="BJ5179">
        <v>3575</v>
      </c>
      <c r="BK5179">
        <v>-25</v>
      </c>
      <c r="BL5179" t="s">
        <v>188</v>
      </c>
      <c r="BM5179">
        <v>1</v>
      </c>
      <c r="BN5179">
        <v>1</v>
      </c>
      <c r="BO5179">
        <v>0</v>
      </c>
      <c r="BP5179">
        <v>0</v>
      </c>
      <c r="BS5179">
        <v>0</v>
      </c>
      <c r="BT5179">
        <v>0</v>
      </c>
      <c r="BU5179">
        <v>0</v>
      </c>
      <c r="CE5179" t="str">
        <f t="shared" si="2049"/>
        <v>15:18:54.471</v>
      </c>
      <c r="CF5179">
        <v>471255672</v>
      </c>
      <c r="CS5179">
        <v>0</v>
      </c>
      <c r="CT5179">
        <v>2</v>
      </c>
      <c r="CU5179">
        <v>0</v>
      </c>
      <c r="CV5179">
        <v>2</v>
      </c>
      <c r="CW5179">
        <v>0</v>
      </c>
      <c r="CX5179">
        <v>2</v>
      </c>
      <c r="CY5179">
        <v>7</v>
      </c>
      <c r="CZ5179" t="s">
        <v>133</v>
      </c>
      <c r="DA5179">
        <v>275</v>
      </c>
      <c r="DB5179">
        <v>0</v>
      </c>
      <c r="DC5179" t="s">
        <v>134</v>
      </c>
      <c r="DD5179" t="s">
        <v>135</v>
      </c>
      <c r="DG5179">
        <v>3323656</v>
      </c>
      <c r="DI5179">
        <v>1</v>
      </c>
      <c r="DJ5179">
        <v>0</v>
      </c>
      <c r="DK5179">
        <v>1</v>
      </c>
      <c r="DL5179">
        <v>0</v>
      </c>
      <c r="DM5179">
        <v>0</v>
      </c>
      <c r="DN5179">
        <v>0</v>
      </c>
      <c r="DO5179">
        <v>0</v>
      </c>
      <c r="DP5179">
        <v>0</v>
      </c>
      <c r="DQ5179">
        <v>0</v>
      </c>
      <c r="DR5179">
        <v>0</v>
      </c>
      <c r="DS5179">
        <v>0</v>
      </c>
    </row>
    <row r="5180" spans="1:123" x14ac:dyDescent="0.3">
      <c r="A5180" t="str">
        <f>"05/01/2025 15:18:55.871"</f>
        <v>05/01/2025 15:18:55.871</v>
      </c>
      <c r="C5180" t="str">
        <f t="shared" si="2028"/>
        <v>FFDFD3C0</v>
      </c>
      <c r="D5180" t="s">
        <v>140</v>
      </c>
      <c r="E5180" t="str">
        <f>"13"</f>
        <v>13</v>
      </c>
      <c r="F5180">
        <v>1019</v>
      </c>
      <c r="G5180" t="s">
        <v>141</v>
      </c>
      <c r="J5180" t="s">
        <v>142</v>
      </c>
      <c r="K5180">
        <v>0</v>
      </c>
      <c r="L5180">
        <v>3</v>
      </c>
      <c r="M5180">
        <v>0</v>
      </c>
      <c r="N5180">
        <v>2</v>
      </c>
      <c r="O5180">
        <v>0</v>
      </c>
      <c r="P5180">
        <v>1</v>
      </c>
      <c r="Q5180">
        <v>0</v>
      </c>
      <c r="R5180" t="s">
        <v>127</v>
      </c>
      <c r="S5180" t="str">
        <f t="shared" ref="S5180:T5185" si="2050">"15:18:55.000"</f>
        <v>15:18:55.000</v>
      </c>
      <c r="T5180" t="str">
        <f t="shared" si="2050"/>
        <v>15:18:55.000</v>
      </c>
      <c r="U5180" t="str">
        <f t="shared" si="2029"/>
        <v>A68FCB</v>
      </c>
      <c r="V5180">
        <v>0</v>
      </c>
      <c r="W5180">
        <v>0</v>
      </c>
      <c r="X5180">
        <v>2</v>
      </c>
      <c r="Y5180">
        <v>0</v>
      </c>
      <c r="AA5180">
        <v>1</v>
      </c>
      <c r="AB5180">
        <v>8</v>
      </c>
      <c r="AC5180">
        <v>3</v>
      </c>
      <c r="AD5180">
        <v>0</v>
      </c>
      <c r="AE5180">
        <v>9</v>
      </c>
      <c r="AF5180" t="s">
        <v>138</v>
      </c>
      <c r="AG5180">
        <v>0</v>
      </c>
      <c r="AH5180">
        <v>3</v>
      </c>
      <c r="AI5180">
        <v>2</v>
      </c>
      <c r="AJ5180">
        <v>0</v>
      </c>
      <c r="AK5180" t="s">
        <v>1633</v>
      </c>
      <c r="AL5180">
        <v>39.232799999999997</v>
      </c>
      <c r="AM5180" t="s">
        <v>1634</v>
      </c>
      <c r="AN5180">
        <v>-121.027923</v>
      </c>
      <c r="AO5180">
        <v>25</v>
      </c>
      <c r="AP5180">
        <v>3600</v>
      </c>
      <c r="AQ5180" t="s">
        <v>131</v>
      </c>
      <c r="AR5180">
        <v>-59</v>
      </c>
      <c r="AS5180">
        <v>-59</v>
      </c>
      <c r="AT5180">
        <v>-640</v>
      </c>
      <c r="BB5180" t="str">
        <f t="shared" si="2030"/>
        <v>1200</v>
      </c>
      <c r="BC5180">
        <v>1</v>
      </c>
      <c r="BD5180" t="str">
        <f t="shared" si="2031"/>
        <v xml:space="preserve">N52156  </v>
      </c>
      <c r="BE5180">
        <v>1</v>
      </c>
      <c r="BG5180">
        <v>0</v>
      </c>
      <c r="BH5180">
        <v>0</v>
      </c>
      <c r="BI5180">
        <v>0</v>
      </c>
      <c r="BJ5180">
        <v>3625</v>
      </c>
      <c r="BK5180">
        <v>25</v>
      </c>
      <c r="BL5180" t="s">
        <v>188</v>
      </c>
      <c r="BM5180">
        <v>1</v>
      </c>
      <c r="BN5180">
        <v>1</v>
      </c>
      <c r="BO5180">
        <v>0</v>
      </c>
      <c r="BP5180">
        <v>0</v>
      </c>
      <c r="BS5180">
        <v>0</v>
      </c>
      <c r="BT5180">
        <v>0</v>
      </c>
      <c r="BU5180">
        <v>0</v>
      </c>
      <c r="CE5180" t="str">
        <f t="shared" ref="CE5180:CE5185" si="2051">"15:18:55.666"</f>
        <v>15:18:55.666</v>
      </c>
      <c r="CF5180">
        <v>665843913</v>
      </c>
      <c r="CS5180">
        <v>0</v>
      </c>
      <c r="CT5180">
        <v>2</v>
      </c>
      <c r="CU5180">
        <v>0</v>
      </c>
      <c r="CV5180">
        <v>2</v>
      </c>
      <c r="CW5180">
        <v>0</v>
      </c>
      <c r="CX5180">
        <v>2</v>
      </c>
      <c r="CY5180">
        <v>7</v>
      </c>
      <c r="CZ5180" t="s">
        <v>133</v>
      </c>
      <c r="DA5180">
        <v>276</v>
      </c>
      <c r="DB5180">
        <v>0</v>
      </c>
      <c r="DC5180" t="s">
        <v>402</v>
      </c>
      <c r="DD5180" t="s">
        <v>403</v>
      </c>
      <c r="DG5180">
        <v>1629094</v>
      </c>
      <c r="DI5180">
        <v>1</v>
      </c>
      <c r="DJ5180">
        <v>0</v>
      </c>
      <c r="DK5180">
        <v>0</v>
      </c>
      <c r="DL5180">
        <v>0</v>
      </c>
      <c r="DM5180">
        <v>0</v>
      </c>
      <c r="DN5180">
        <v>0</v>
      </c>
      <c r="DO5180">
        <v>0</v>
      </c>
      <c r="DP5180">
        <v>0</v>
      </c>
      <c r="DQ5180">
        <v>0</v>
      </c>
      <c r="DR5180">
        <v>0</v>
      </c>
      <c r="DS5180">
        <v>0</v>
      </c>
    </row>
    <row r="5181" spans="1:123" x14ac:dyDescent="0.3">
      <c r="A5181" t="str">
        <f>"05/01/2025 15:18:55.872"</f>
        <v>05/01/2025 15:18:55.872</v>
      </c>
      <c r="C5181" t="str">
        <f t="shared" si="2028"/>
        <v>FFDFD3C0</v>
      </c>
      <c r="D5181" t="s">
        <v>124</v>
      </c>
      <c r="E5181" t="str">
        <f>"06"</f>
        <v>06</v>
      </c>
      <c r="F5181">
        <v>2006</v>
      </c>
      <c r="G5181" t="s">
        <v>125</v>
      </c>
      <c r="J5181" t="s">
        <v>126</v>
      </c>
      <c r="K5181">
        <v>0</v>
      </c>
      <c r="L5181">
        <v>3</v>
      </c>
      <c r="M5181">
        <v>0</v>
      </c>
      <c r="N5181">
        <v>2</v>
      </c>
      <c r="O5181">
        <v>0</v>
      </c>
      <c r="P5181">
        <v>1</v>
      </c>
      <c r="Q5181">
        <v>0</v>
      </c>
      <c r="R5181" t="s">
        <v>127</v>
      </c>
      <c r="S5181" t="str">
        <f t="shared" si="2050"/>
        <v>15:18:55.000</v>
      </c>
      <c r="T5181" t="str">
        <f t="shared" si="2050"/>
        <v>15:18:55.000</v>
      </c>
      <c r="U5181" t="str">
        <f t="shared" si="2029"/>
        <v>A68FCB</v>
      </c>
      <c r="V5181">
        <v>0</v>
      </c>
      <c r="W5181">
        <v>0</v>
      </c>
      <c r="X5181">
        <v>2</v>
      </c>
      <c r="Y5181">
        <v>0</v>
      </c>
      <c r="AA5181">
        <v>1</v>
      </c>
      <c r="AB5181">
        <v>8</v>
      </c>
      <c r="AC5181">
        <v>3</v>
      </c>
      <c r="AD5181">
        <v>0</v>
      </c>
      <c r="AE5181">
        <v>9</v>
      </c>
      <c r="AF5181" t="s">
        <v>138</v>
      </c>
      <c r="AG5181">
        <v>0</v>
      </c>
      <c r="AH5181">
        <v>3</v>
      </c>
      <c r="AI5181">
        <v>2</v>
      </c>
      <c r="AJ5181">
        <v>0</v>
      </c>
      <c r="AK5181" t="s">
        <v>1633</v>
      </c>
      <c r="AL5181">
        <v>39.232799999999997</v>
      </c>
      <c r="AM5181" t="s">
        <v>1634</v>
      </c>
      <c r="AN5181">
        <v>-121.027923</v>
      </c>
      <c r="AO5181">
        <v>25</v>
      </c>
      <c r="AP5181">
        <v>3600</v>
      </c>
      <c r="AQ5181" t="s">
        <v>131</v>
      </c>
      <c r="AR5181">
        <v>-59</v>
      </c>
      <c r="AS5181">
        <v>-59</v>
      </c>
      <c r="AT5181">
        <v>-640</v>
      </c>
      <c r="BB5181" t="str">
        <f t="shared" si="2030"/>
        <v>1200</v>
      </c>
      <c r="BC5181">
        <v>1</v>
      </c>
      <c r="BD5181" t="str">
        <f t="shared" si="2031"/>
        <v xml:space="preserve">N52156  </v>
      </c>
      <c r="BE5181">
        <v>1</v>
      </c>
      <c r="BG5181">
        <v>0</v>
      </c>
      <c r="BH5181">
        <v>0</v>
      </c>
      <c r="BI5181">
        <v>0</v>
      </c>
      <c r="BJ5181">
        <v>3625</v>
      </c>
      <c r="BK5181">
        <v>25</v>
      </c>
      <c r="BL5181" t="s">
        <v>188</v>
      </c>
      <c r="BM5181">
        <v>1</v>
      </c>
      <c r="BN5181">
        <v>1</v>
      </c>
      <c r="BO5181">
        <v>0</v>
      </c>
      <c r="BP5181">
        <v>0</v>
      </c>
      <c r="BS5181">
        <v>0</v>
      </c>
      <c r="BT5181">
        <v>0</v>
      </c>
      <c r="BU5181">
        <v>0</v>
      </c>
      <c r="CE5181" t="str">
        <f t="shared" si="2051"/>
        <v>15:18:55.666</v>
      </c>
      <c r="CF5181">
        <v>665843913</v>
      </c>
      <c r="CS5181">
        <v>0</v>
      </c>
      <c r="CT5181">
        <v>2</v>
      </c>
      <c r="CU5181">
        <v>0</v>
      </c>
      <c r="CV5181">
        <v>2</v>
      </c>
      <c r="CW5181">
        <v>0</v>
      </c>
      <c r="CX5181">
        <v>2</v>
      </c>
      <c r="CY5181">
        <v>7</v>
      </c>
      <c r="CZ5181" t="s">
        <v>133</v>
      </c>
      <c r="DA5181">
        <v>276</v>
      </c>
      <c r="DB5181">
        <v>0</v>
      </c>
      <c r="DC5181" t="s">
        <v>402</v>
      </c>
      <c r="DD5181" t="s">
        <v>403</v>
      </c>
      <c r="DG5181">
        <v>1629094</v>
      </c>
      <c r="DI5181">
        <v>1</v>
      </c>
      <c r="DJ5181">
        <v>0</v>
      </c>
      <c r="DK5181">
        <v>1</v>
      </c>
      <c r="DL5181">
        <v>0</v>
      </c>
      <c r="DM5181">
        <v>0</v>
      </c>
      <c r="DN5181">
        <v>0</v>
      </c>
      <c r="DO5181">
        <v>0</v>
      </c>
      <c r="DP5181">
        <v>0</v>
      </c>
      <c r="DQ5181">
        <v>0</v>
      </c>
      <c r="DR5181">
        <v>0</v>
      </c>
      <c r="DS5181">
        <v>0</v>
      </c>
    </row>
    <row r="5182" spans="1:123" x14ac:dyDescent="0.3">
      <c r="A5182" t="str">
        <f>"05/01/2025 15:18:55.884"</f>
        <v>05/01/2025 15:18:55.884</v>
      </c>
      <c r="C5182" t="str">
        <f t="shared" si="2028"/>
        <v>FFDFD3C0</v>
      </c>
      <c r="D5182" t="s">
        <v>143</v>
      </c>
      <c r="E5182" t="str">
        <f>"05"</f>
        <v>05</v>
      </c>
      <c r="H5182">
        <v>172</v>
      </c>
      <c r="I5182" t="s">
        <v>141</v>
      </c>
      <c r="J5182" t="s">
        <v>144</v>
      </c>
      <c r="K5182">
        <v>0</v>
      </c>
      <c r="L5182">
        <v>3</v>
      </c>
      <c r="M5182">
        <v>0</v>
      </c>
      <c r="N5182">
        <v>2</v>
      </c>
      <c r="O5182">
        <v>0</v>
      </c>
      <c r="P5182">
        <v>1</v>
      </c>
      <c r="Q5182">
        <v>0</v>
      </c>
      <c r="R5182" t="s">
        <v>127</v>
      </c>
      <c r="S5182" t="str">
        <f t="shared" si="2050"/>
        <v>15:18:55.000</v>
      </c>
      <c r="T5182" t="str">
        <f t="shared" si="2050"/>
        <v>15:18:55.000</v>
      </c>
      <c r="U5182" t="str">
        <f t="shared" si="2029"/>
        <v>A68FCB</v>
      </c>
      <c r="V5182">
        <v>0</v>
      </c>
      <c r="W5182">
        <v>0</v>
      </c>
      <c r="X5182">
        <v>2</v>
      </c>
      <c r="Y5182">
        <v>0</v>
      </c>
      <c r="AA5182">
        <v>1</v>
      </c>
      <c r="AB5182">
        <v>8</v>
      </c>
      <c r="AC5182">
        <v>3</v>
      </c>
      <c r="AD5182">
        <v>0</v>
      </c>
      <c r="AE5182">
        <v>9</v>
      </c>
      <c r="AF5182" t="s">
        <v>138</v>
      </c>
      <c r="AG5182">
        <v>0</v>
      </c>
      <c r="AH5182">
        <v>3</v>
      </c>
      <c r="AI5182">
        <v>2</v>
      </c>
      <c r="AJ5182">
        <v>0</v>
      </c>
      <c r="AK5182" t="s">
        <v>1633</v>
      </c>
      <c r="AL5182">
        <v>39.232799999999997</v>
      </c>
      <c r="AM5182" t="s">
        <v>1634</v>
      </c>
      <c r="AN5182">
        <v>-121.027923</v>
      </c>
      <c r="AO5182">
        <v>25</v>
      </c>
      <c r="AP5182">
        <v>3600</v>
      </c>
      <c r="AQ5182" t="s">
        <v>131</v>
      </c>
      <c r="AR5182">
        <v>-59</v>
      </c>
      <c r="AS5182">
        <v>-59</v>
      </c>
      <c r="AT5182">
        <v>-640</v>
      </c>
      <c r="BB5182" t="str">
        <f t="shared" si="2030"/>
        <v>1200</v>
      </c>
      <c r="BC5182">
        <v>1</v>
      </c>
      <c r="BD5182" t="str">
        <f t="shared" si="2031"/>
        <v xml:space="preserve">N52156  </v>
      </c>
      <c r="BE5182">
        <v>1</v>
      </c>
      <c r="BG5182">
        <v>0</v>
      </c>
      <c r="BH5182">
        <v>0</v>
      </c>
      <c r="BI5182">
        <v>0</v>
      </c>
      <c r="BJ5182">
        <v>3625</v>
      </c>
      <c r="BK5182">
        <v>25</v>
      </c>
      <c r="BL5182" t="s">
        <v>188</v>
      </c>
      <c r="BM5182">
        <v>1</v>
      </c>
      <c r="BN5182">
        <v>1</v>
      </c>
      <c r="BO5182">
        <v>0</v>
      </c>
      <c r="BP5182">
        <v>0</v>
      </c>
      <c r="BS5182">
        <v>0</v>
      </c>
      <c r="BT5182">
        <v>0</v>
      </c>
      <c r="BU5182">
        <v>0</v>
      </c>
      <c r="CE5182" t="str">
        <f t="shared" si="2051"/>
        <v>15:18:55.666</v>
      </c>
      <c r="CF5182">
        <v>665843913</v>
      </c>
      <c r="CS5182">
        <v>0</v>
      </c>
      <c r="CT5182">
        <v>2</v>
      </c>
      <c r="CU5182">
        <v>0</v>
      </c>
      <c r="CV5182">
        <v>2</v>
      </c>
      <c r="CW5182">
        <v>0</v>
      </c>
      <c r="CX5182">
        <v>2</v>
      </c>
      <c r="CY5182">
        <v>7</v>
      </c>
      <c r="CZ5182" t="s">
        <v>133</v>
      </c>
      <c r="DA5182">
        <v>276</v>
      </c>
      <c r="DB5182">
        <v>0</v>
      </c>
      <c r="DC5182" t="s">
        <v>402</v>
      </c>
      <c r="DD5182" t="s">
        <v>403</v>
      </c>
      <c r="DG5182">
        <v>1629094</v>
      </c>
      <c r="DI5182">
        <v>1</v>
      </c>
      <c r="DJ5182">
        <v>0</v>
      </c>
      <c r="DK5182">
        <v>1</v>
      </c>
      <c r="DL5182">
        <v>0</v>
      </c>
      <c r="DM5182">
        <v>0</v>
      </c>
      <c r="DN5182">
        <v>0</v>
      </c>
      <c r="DO5182">
        <v>0</v>
      </c>
      <c r="DP5182">
        <v>0</v>
      </c>
      <c r="DQ5182">
        <v>0</v>
      </c>
      <c r="DR5182">
        <v>0</v>
      </c>
      <c r="DS5182">
        <v>0</v>
      </c>
    </row>
    <row r="5183" spans="1:123" x14ac:dyDescent="0.3">
      <c r="A5183" t="str">
        <f>"05/01/2025 15:18:55.896"</f>
        <v>05/01/2025 15:18:55.896</v>
      </c>
      <c r="C5183" t="str">
        <f t="shared" si="2028"/>
        <v>FFDFD3C0</v>
      </c>
      <c r="D5183" t="s">
        <v>145</v>
      </c>
      <c r="E5183" t="str">
        <f>"05"</f>
        <v>05</v>
      </c>
      <c r="H5183">
        <v>47</v>
      </c>
      <c r="I5183" t="s">
        <v>146</v>
      </c>
      <c r="J5183" t="s">
        <v>138</v>
      </c>
      <c r="K5183">
        <v>0</v>
      </c>
      <c r="L5183">
        <v>3</v>
      </c>
      <c r="M5183">
        <v>0</v>
      </c>
      <c r="N5183">
        <v>2</v>
      </c>
      <c r="O5183">
        <v>0</v>
      </c>
      <c r="P5183">
        <v>1</v>
      </c>
      <c r="Q5183">
        <v>0</v>
      </c>
      <c r="R5183" t="s">
        <v>127</v>
      </c>
      <c r="S5183" t="str">
        <f t="shared" si="2050"/>
        <v>15:18:55.000</v>
      </c>
      <c r="T5183" t="str">
        <f t="shared" si="2050"/>
        <v>15:18:55.000</v>
      </c>
      <c r="U5183" t="str">
        <f t="shared" si="2029"/>
        <v>A68FCB</v>
      </c>
      <c r="V5183">
        <v>0</v>
      </c>
      <c r="W5183">
        <v>0</v>
      </c>
      <c r="X5183">
        <v>2</v>
      </c>
      <c r="Y5183">
        <v>0</v>
      </c>
      <c r="AA5183">
        <v>1</v>
      </c>
      <c r="AB5183">
        <v>8</v>
      </c>
      <c r="AC5183">
        <v>3</v>
      </c>
      <c r="AD5183">
        <v>0</v>
      </c>
      <c r="AE5183">
        <v>9</v>
      </c>
      <c r="AF5183" t="s">
        <v>138</v>
      </c>
      <c r="AG5183">
        <v>0</v>
      </c>
      <c r="AH5183">
        <v>3</v>
      </c>
      <c r="AI5183">
        <v>2</v>
      </c>
      <c r="AJ5183">
        <v>0</v>
      </c>
      <c r="AK5183" t="s">
        <v>1633</v>
      </c>
      <c r="AL5183">
        <v>39.232799999999997</v>
      </c>
      <c r="AM5183" t="s">
        <v>1634</v>
      </c>
      <c r="AN5183">
        <v>-121.027923</v>
      </c>
      <c r="AO5183">
        <v>25</v>
      </c>
      <c r="AP5183">
        <v>3600</v>
      </c>
      <c r="AQ5183" t="s">
        <v>131</v>
      </c>
      <c r="AR5183">
        <v>-59</v>
      </c>
      <c r="AS5183">
        <v>-59</v>
      </c>
      <c r="AT5183">
        <v>-640</v>
      </c>
      <c r="BB5183" t="str">
        <f t="shared" si="2030"/>
        <v>1200</v>
      </c>
      <c r="BC5183">
        <v>1</v>
      </c>
      <c r="BD5183" t="str">
        <f t="shared" si="2031"/>
        <v xml:space="preserve">N52156  </v>
      </c>
      <c r="BE5183">
        <v>1</v>
      </c>
      <c r="BG5183">
        <v>0</v>
      </c>
      <c r="BH5183">
        <v>0</v>
      </c>
      <c r="BI5183">
        <v>0</v>
      </c>
      <c r="BJ5183">
        <v>3625</v>
      </c>
      <c r="BK5183">
        <v>25</v>
      </c>
      <c r="BL5183" t="s">
        <v>188</v>
      </c>
      <c r="BM5183">
        <v>1</v>
      </c>
      <c r="BN5183">
        <v>1</v>
      </c>
      <c r="BO5183">
        <v>0</v>
      </c>
      <c r="BP5183">
        <v>0</v>
      </c>
      <c r="BS5183">
        <v>0</v>
      </c>
      <c r="BT5183">
        <v>0</v>
      </c>
      <c r="BU5183">
        <v>0</v>
      </c>
      <c r="CE5183" t="str">
        <f t="shared" si="2051"/>
        <v>15:18:55.666</v>
      </c>
      <c r="CF5183">
        <v>665843913</v>
      </c>
      <c r="CS5183">
        <v>0</v>
      </c>
      <c r="CT5183">
        <v>2</v>
      </c>
      <c r="CU5183">
        <v>0</v>
      </c>
      <c r="CV5183">
        <v>2</v>
      </c>
      <c r="CW5183">
        <v>0</v>
      </c>
      <c r="CX5183">
        <v>2</v>
      </c>
      <c r="CY5183">
        <v>7</v>
      </c>
      <c r="CZ5183" t="s">
        <v>133</v>
      </c>
      <c r="DA5183">
        <v>276</v>
      </c>
      <c r="DB5183">
        <v>0</v>
      </c>
      <c r="DC5183" t="s">
        <v>402</v>
      </c>
      <c r="DD5183" t="s">
        <v>403</v>
      </c>
      <c r="DG5183">
        <v>1629094</v>
      </c>
      <c r="DI5183">
        <v>1</v>
      </c>
      <c r="DJ5183">
        <v>0</v>
      </c>
      <c r="DK5183">
        <v>1</v>
      </c>
      <c r="DL5183">
        <v>0</v>
      </c>
      <c r="DM5183">
        <v>0</v>
      </c>
      <c r="DN5183">
        <v>0</v>
      </c>
      <c r="DO5183">
        <v>0</v>
      </c>
      <c r="DP5183">
        <v>0</v>
      </c>
      <c r="DQ5183">
        <v>0</v>
      </c>
      <c r="DR5183">
        <v>0</v>
      </c>
      <c r="DS5183">
        <v>0</v>
      </c>
    </row>
    <row r="5184" spans="1:123" x14ac:dyDescent="0.3">
      <c r="A5184" t="str">
        <f>"05/01/2025 15:18:55.896"</f>
        <v>05/01/2025 15:18:55.896</v>
      </c>
      <c r="C5184" t="str">
        <f t="shared" si="2028"/>
        <v>FFDFD3C0</v>
      </c>
      <c r="D5184" t="s">
        <v>145</v>
      </c>
      <c r="E5184" t="str">
        <f>"09"</f>
        <v>09</v>
      </c>
      <c r="H5184">
        <v>51</v>
      </c>
      <c r="I5184" t="s">
        <v>147</v>
      </c>
      <c r="J5184" t="s">
        <v>138</v>
      </c>
      <c r="K5184">
        <v>0</v>
      </c>
      <c r="L5184">
        <v>3</v>
      </c>
      <c r="M5184">
        <v>0</v>
      </c>
      <c r="N5184">
        <v>2</v>
      </c>
      <c r="O5184">
        <v>0</v>
      </c>
      <c r="P5184">
        <v>1</v>
      </c>
      <c r="Q5184">
        <v>0</v>
      </c>
      <c r="R5184" t="s">
        <v>127</v>
      </c>
      <c r="S5184" t="str">
        <f t="shared" si="2050"/>
        <v>15:18:55.000</v>
      </c>
      <c r="T5184" t="str">
        <f t="shared" si="2050"/>
        <v>15:18:55.000</v>
      </c>
      <c r="U5184" t="str">
        <f t="shared" si="2029"/>
        <v>A68FCB</v>
      </c>
      <c r="V5184">
        <v>0</v>
      </c>
      <c r="W5184">
        <v>0</v>
      </c>
      <c r="X5184">
        <v>2</v>
      </c>
      <c r="Y5184">
        <v>0</v>
      </c>
      <c r="AA5184">
        <v>1</v>
      </c>
      <c r="AB5184">
        <v>8</v>
      </c>
      <c r="AC5184">
        <v>3</v>
      </c>
      <c r="AD5184">
        <v>0</v>
      </c>
      <c r="AE5184">
        <v>9</v>
      </c>
      <c r="AF5184" t="s">
        <v>138</v>
      </c>
      <c r="AG5184">
        <v>0</v>
      </c>
      <c r="AH5184">
        <v>3</v>
      </c>
      <c r="AI5184">
        <v>2</v>
      </c>
      <c r="AJ5184">
        <v>0</v>
      </c>
      <c r="AK5184" t="s">
        <v>1633</v>
      </c>
      <c r="AL5184">
        <v>39.232799999999997</v>
      </c>
      <c r="AM5184" t="s">
        <v>1634</v>
      </c>
      <c r="AN5184">
        <v>-121.027923</v>
      </c>
      <c r="AO5184">
        <v>25</v>
      </c>
      <c r="AP5184">
        <v>3600</v>
      </c>
      <c r="AQ5184" t="s">
        <v>131</v>
      </c>
      <c r="AR5184">
        <v>-59</v>
      </c>
      <c r="AS5184">
        <v>-59</v>
      </c>
      <c r="AT5184">
        <v>-640</v>
      </c>
      <c r="BB5184" t="str">
        <f t="shared" si="2030"/>
        <v>1200</v>
      </c>
      <c r="BC5184">
        <v>1</v>
      </c>
      <c r="BD5184" t="str">
        <f t="shared" si="2031"/>
        <v xml:space="preserve">N52156  </v>
      </c>
      <c r="BE5184">
        <v>1</v>
      </c>
      <c r="BG5184">
        <v>0</v>
      </c>
      <c r="BH5184">
        <v>0</v>
      </c>
      <c r="BI5184">
        <v>0</v>
      </c>
      <c r="BJ5184">
        <v>3625</v>
      </c>
      <c r="BK5184">
        <v>25</v>
      </c>
      <c r="BL5184" t="s">
        <v>188</v>
      </c>
      <c r="BM5184">
        <v>1</v>
      </c>
      <c r="BN5184">
        <v>1</v>
      </c>
      <c r="BO5184">
        <v>0</v>
      </c>
      <c r="BP5184">
        <v>0</v>
      </c>
      <c r="BS5184">
        <v>0</v>
      </c>
      <c r="BT5184">
        <v>0</v>
      </c>
      <c r="BU5184">
        <v>0</v>
      </c>
      <c r="CE5184" t="str">
        <f t="shared" si="2051"/>
        <v>15:18:55.666</v>
      </c>
      <c r="CF5184">
        <v>665843913</v>
      </c>
      <c r="CS5184">
        <v>0</v>
      </c>
      <c r="CT5184">
        <v>2</v>
      </c>
      <c r="CU5184">
        <v>0</v>
      </c>
      <c r="CV5184">
        <v>2</v>
      </c>
      <c r="CW5184">
        <v>0</v>
      </c>
      <c r="CX5184">
        <v>2</v>
      </c>
      <c r="CY5184">
        <v>7</v>
      </c>
      <c r="CZ5184" t="s">
        <v>133</v>
      </c>
      <c r="DA5184">
        <v>276</v>
      </c>
      <c r="DB5184">
        <v>0</v>
      </c>
      <c r="DC5184" t="s">
        <v>402</v>
      </c>
      <c r="DD5184" t="s">
        <v>403</v>
      </c>
      <c r="DG5184">
        <v>1629094</v>
      </c>
      <c r="DI5184">
        <v>1</v>
      </c>
      <c r="DJ5184">
        <v>0</v>
      </c>
      <c r="DK5184">
        <v>1</v>
      </c>
      <c r="DL5184">
        <v>0</v>
      </c>
      <c r="DM5184">
        <v>0</v>
      </c>
      <c r="DN5184">
        <v>0</v>
      </c>
      <c r="DO5184">
        <v>0</v>
      </c>
      <c r="DP5184">
        <v>0</v>
      </c>
      <c r="DQ5184">
        <v>0</v>
      </c>
      <c r="DR5184">
        <v>0</v>
      </c>
      <c r="DS5184">
        <v>0</v>
      </c>
    </row>
    <row r="5185" spans="1:123" x14ac:dyDescent="0.3">
      <c r="A5185" t="str">
        <f>"05/01/2025 15:18:55.904"</f>
        <v>05/01/2025 15:18:55.904</v>
      </c>
      <c r="C5185" t="str">
        <f t="shared" si="2028"/>
        <v>FFDFD3C0</v>
      </c>
      <c r="D5185" t="s">
        <v>136</v>
      </c>
      <c r="E5185" t="str">
        <f>"20"</f>
        <v>20</v>
      </c>
      <c r="H5185">
        <v>400</v>
      </c>
      <c r="I5185" t="s">
        <v>137</v>
      </c>
      <c r="J5185" t="s">
        <v>138</v>
      </c>
      <c r="K5185">
        <v>0</v>
      </c>
      <c r="L5185">
        <v>3</v>
      </c>
      <c r="M5185">
        <v>0</v>
      </c>
      <c r="N5185">
        <v>2</v>
      </c>
      <c r="O5185">
        <v>0</v>
      </c>
      <c r="P5185">
        <v>1</v>
      </c>
      <c r="Q5185">
        <v>0</v>
      </c>
      <c r="R5185" t="s">
        <v>127</v>
      </c>
      <c r="S5185" t="str">
        <f t="shared" si="2050"/>
        <v>15:18:55.000</v>
      </c>
      <c r="T5185" t="str">
        <f t="shared" si="2050"/>
        <v>15:18:55.000</v>
      </c>
      <c r="U5185" t="str">
        <f t="shared" si="2029"/>
        <v>A68FCB</v>
      </c>
      <c r="V5185">
        <v>0</v>
      </c>
      <c r="W5185">
        <v>0</v>
      </c>
      <c r="X5185">
        <v>2</v>
      </c>
      <c r="Y5185">
        <v>0</v>
      </c>
      <c r="AA5185">
        <v>1</v>
      </c>
      <c r="AB5185">
        <v>8</v>
      </c>
      <c r="AC5185">
        <v>3</v>
      </c>
      <c r="AD5185">
        <v>0</v>
      </c>
      <c r="AE5185">
        <v>9</v>
      </c>
      <c r="AF5185" t="s">
        <v>138</v>
      </c>
      <c r="AG5185">
        <v>0</v>
      </c>
      <c r="AH5185">
        <v>3</v>
      </c>
      <c r="AI5185">
        <v>2</v>
      </c>
      <c r="AJ5185">
        <v>0</v>
      </c>
      <c r="AK5185" t="s">
        <v>1633</v>
      </c>
      <c r="AL5185">
        <v>39.232799999999997</v>
      </c>
      <c r="AM5185" t="s">
        <v>1634</v>
      </c>
      <c r="AN5185">
        <v>-121.027923</v>
      </c>
      <c r="AO5185">
        <v>25</v>
      </c>
      <c r="AP5185">
        <v>3600</v>
      </c>
      <c r="AQ5185" t="s">
        <v>131</v>
      </c>
      <c r="AR5185">
        <v>-59</v>
      </c>
      <c r="AS5185">
        <v>-59</v>
      </c>
      <c r="AT5185">
        <v>-640</v>
      </c>
      <c r="BB5185" t="str">
        <f t="shared" si="2030"/>
        <v>1200</v>
      </c>
      <c r="BC5185">
        <v>1</v>
      </c>
      <c r="BD5185" t="str">
        <f t="shared" si="2031"/>
        <v xml:space="preserve">N52156  </v>
      </c>
      <c r="BE5185">
        <v>1</v>
      </c>
      <c r="BG5185">
        <v>0</v>
      </c>
      <c r="BH5185">
        <v>0</v>
      </c>
      <c r="BI5185">
        <v>0</v>
      </c>
      <c r="BJ5185">
        <v>3625</v>
      </c>
      <c r="BK5185">
        <v>25</v>
      </c>
      <c r="BL5185" t="s">
        <v>188</v>
      </c>
      <c r="BM5185">
        <v>1</v>
      </c>
      <c r="BN5185">
        <v>1</v>
      </c>
      <c r="BO5185">
        <v>0</v>
      </c>
      <c r="BP5185">
        <v>0</v>
      </c>
      <c r="BS5185">
        <v>0</v>
      </c>
      <c r="BT5185">
        <v>0</v>
      </c>
      <c r="BU5185">
        <v>0</v>
      </c>
      <c r="CE5185" t="str">
        <f t="shared" si="2051"/>
        <v>15:18:55.666</v>
      </c>
      <c r="CF5185">
        <v>665843913</v>
      </c>
      <c r="CS5185">
        <v>0</v>
      </c>
      <c r="CT5185">
        <v>2</v>
      </c>
      <c r="CU5185">
        <v>0</v>
      </c>
      <c r="CV5185">
        <v>2</v>
      </c>
      <c r="CW5185">
        <v>0</v>
      </c>
      <c r="CX5185">
        <v>2</v>
      </c>
      <c r="CY5185">
        <v>7</v>
      </c>
      <c r="CZ5185" t="s">
        <v>133</v>
      </c>
      <c r="DA5185">
        <v>276</v>
      </c>
      <c r="DB5185">
        <v>0</v>
      </c>
      <c r="DC5185" t="s">
        <v>402</v>
      </c>
      <c r="DD5185" t="s">
        <v>403</v>
      </c>
      <c r="DG5185">
        <v>1629094</v>
      </c>
      <c r="DI5185">
        <v>1</v>
      </c>
      <c r="DJ5185">
        <v>0</v>
      </c>
      <c r="DK5185">
        <v>1</v>
      </c>
      <c r="DL5185">
        <v>0</v>
      </c>
      <c r="DM5185">
        <v>0</v>
      </c>
      <c r="DN5185">
        <v>0</v>
      </c>
      <c r="DO5185">
        <v>0</v>
      </c>
      <c r="DP5185">
        <v>0</v>
      </c>
      <c r="DQ5185">
        <v>0</v>
      </c>
      <c r="DR5185">
        <v>0</v>
      </c>
      <c r="DS5185">
        <v>0</v>
      </c>
    </row>
    <row r="5186" spans="1:123" x14ac:dyDescent="0.3">
      <c r="A5186" t="str">
        <f>"05/01/2025 15:18:56.856"</f>
        <v>05/01/2025 15:18:56.856</v>
      </c>
      <c r="C5186" t="str">
        <f t="shared" ref="C5186:C5249" si="2052">"FFDFD3C0"</f>
        <v>FFDFD3C0</v>
      </c>
      <c r="D5186" t="s">
        <v>136</v>
      </c>
      <c r="E5186" t="str">
        <f>"20"</f>
        <v>20</v>
      </c>
      <c r="H5186">
        <v>400</v>
      </c>
      <c r="I5186" t="s">
        <v>137</v>
      </c>
      <c r="J5186" t="s">
        <v>138</v>
      </c>
      <c r="K5186">
        <v>0</v>
      </c>
      <c r="L5186">
        <v>3</v>
      </c>
      <c r="M5186">
        <v>0</v>
      </c>
      <c r="N5186">
        <v>2</v>
      </c>
      <c r="O5186">
        <v>0</v>
      </c>
      <c r="P5186">
        <v>1</v>
      </c>
      <c r="Q5186">
        <v>0</v>
      </c>
      <c r="R5186" t="s">
        <v>127</v>
      </c>
      <c r="S5186" t="str">
        <f t="shared" ref="S5186:T5191" si="2053">"15:18:56.000"</f>
        <v>15:18:56.000</v>
      </c>
      <c r="T5186" t="str">
        <f t="shared" si="2053"/>
        <v>15:18:56.000</v>
      </c>
      <c r="U5186" t="str">
        <f t="shared" ref="U5186:U5249" si="2054">"A68FCB"</f>
        <v>A68FCB</v>
      </c>
      <c r="V5186">
        <v>0</v>
      </c>
      <c r="W5186">
        <v>0</v>
      </c>
      <c r="X5186">
        <v>2</v>
      </c>
      <c r="Y5186">
        <v>0</v>
      </c>
      <c r="AA5186">
        <v>1</v>
      </c>
      <c r="AB5186">
        <v>8</v>
      </c>
      <c r="AC5186">
        <v>3</v>
      </c>
      <c r="AD5186">
        <v>0</v>
      </c>
      <c r="AE5186">
        <v>9</v>
      </c>
      <c r="AF5186" t="s">
        <v>138</v>
      </c>
      <c r="AG5186">
        <v>0</v>
      </c>
      <c r="AH5186">
        <v>3</v>
      </c>
      <c r="AI5186">
        <v>2</v>
      </c>
      <c r="AJ5186">
        <v>0</v>
      </c>
      <c r="AK5186" t="s">
        <v>1635</v>
      </c>
      <c r="AL5186">
        <v>39.232520999999998</v>
      </c>
      <c r="AM5186" t="s">
        <v>1636</v>
      </c>
      <c r="AN5186">
        <v>-121.028244</v>
      </c>
      <c r="AO5186">
        <v>25</v>
      </c>
      <c r="AP5186">
        <v>3500</v>
      </c>
      <c r="AQ5186" t="s">
        <v>131</v>
      </c>
      <c r="AR5186">
        <v>-53</v>
      </c>
      <c r="AS5186">
        <v>-62</v>
      </c>
      <c r="AT5186">
        <v>-768</v>
      </c>
      <c r="BB5186" t="str">
        <f t="shared" ref="BB5186:BB5249" si="2055">"1200"</f>
        <v>1200</v>
      </c>
      <c r="BC5186">
        <v>1</v>
      </c>
      <c r="BD5186" t="str">
        <f t="shared" ref="BD5186:BD5249" si="2056">"N52156  "</f>
        <v xml:space="preserve">N52156  </v>
      </c>
      <c r="BE5186">
        <v>1</v>
      </c>
      <c r="BG5186">
        <v>0</v>
      </c>
      <c r="BH5186">
        <v>0</v>
      </c>
      <c r="BI5186">
        <v>0</v>
      </c>
      <c r="BJ5186">
        <v>3625</v>
      </c>
      <c r="BK5186">
        <v>125</v>
      </c>
      <c r="BL5186" t="s">
        <v>188</v>
      </c>
      <c r="BM5186">
        <v>1</v>
      </c>
      <c r="BN5186">
        <v>1</v>
      </c>
      <c r="BO5186">
        <v>0</v>
      </c>
      <c r="BP5186">
        <v>0</v>
      </c>
      <c r="BS5186">
        <v>0</v>
      </c>
      <c r="BT5186">
        <v>0</v>
      </c>
      <c r="BU5186">
        <v>0</v>
      </c>
      <c r="CE5186" t="str">
        <f t="shared" ref="CE5186:CE5191" si="2057">"15:18:56.654"</f>
        <v>15:18:56.654</v>
      </c>
      <c r="CF5186">
        <v>653844047</v>
      </c>
      <c r="CS5186">
        <v>0</v>
      </c>
      <c r="CT5186">
        <v>2</v>
      </c>
      <c r="CU5186">
        <v>0</v>
      </c>
      <c r="CV5186">
        <v>2</v>
      </c>
      <c r="CW5186">
        <v>0</v>
      </c>
      <c r="CX5186">
        <v>2</v>
      </c>
      <c r="CY5186">
        <v>7</v>
      </c>
      <c r="CZ5186" t="s">
        <v>133</v>
      </c>
      <c r="DA5186">
        <v>276</v>
      </c>
      <c r="DB5186">
        <v>0</v>
      </c>
      <c r="DC5186" t="s">
        <v>402</v>
      </c>
      <c r="DD5186" t="s">
        <v>403</v>
      </c>
      <c r="DG5186">
        <v>1629099</v>
      </c>
      <c r="DI5186">
        <v>1</v>
      </c>
      <c r="DJ5186">
        <v>0</v>
      </c>
      <c r="DK5186">
        <v>0</v>
      </c>
      <c r="DL5186">
        <v>0</v>
      </c>
      <c r="DM5186">
        <v>0</v>
      </c>
      <c r="DN5186">
        <v>0</v>
      </c>
      <c r="DO5186">
        <v>0</v>
      </c>
      <c r="DP5186">
        <v>0</v>
      </c>
      <c r="DQ5186">
        <v>0</v>
      </c>
      <c r="DR5186">
        <v>0</v>
      </c>
      <c r="DS5186">
        <v>0</v>
      </c>
    </row>
    <row r="5187" spans="1:123" x14ac:dyDescent="0.3">
      <c r="A5187" t="str">
        <f>"05/01/2025 15:18:56.873"</f>
        <v>05/01/2025 15:18:56.873</v>
      </c>
      <c r="C5187" t="str">
        <f t="shared" si="2052"/>
        <v>FFDFD3C0</v>
      </c>
      <c r="D5187" t="s">
        <v>140</v>
      </c>
      <c r="E5187" t="str">
        <f>"13"</f>
        <v>13</v>
      </c>
      <c r="F5187">
        <v>1019</v>
      </c>
      <c r="G5187" t="s">
        <v>141</v>
      </c>
      <c r="J5187" t="s">
        <v>142</v>
      </c>
      <c r="K5187">
        <v>0</v>
      </c>
      <c r="L5187">
        <v>3</v>
      </c>
      <c r="M5187">
        <v>0</v>
      </c>
      <c r="N5187">
        <v>2</v>
      </c>
      <c r="O5187">
        <v>0</v>
      </c>
      <c r="P5187">
        <v>1</v>
      </c>
      <c r="Q5187">
        <v>0</v>
      </c>
      <c r="R5187" t="s">
        <v>127</v>
      </c>
      <c r="S5187" t="str">
        <f t="shared" si="2053"/>
        <v>15:18:56.000</v>
      </c>
      <c r="T5187" t="str">
        <f t="shared" si="2053"/>
        <v>15:18:56.000</v>
      </c>
      <c r="U5187" t="str">
        <f t="shared" si="2054"/>
        <v>A68FCB</v>
      </c>
      <c r="V5187">
        <v>0</v>
      </c>
      <c r="W5187">
        <v>0</v>
      </c>
      <c r="X5187">
        <v>2</v>
      </c>
      <c r="Y5187">
        <v>0</v>
      </c>
      <c r="AA5187">
        <v>1</v>
      </c>
      <c r="AB5187">
        <v>8</v>
      </c>
      <c r="AC5187">
        <v>3</v>
      </c>
      <c r="AD5187">
        <v>0</v>
      </c>
      <c r="AE5187">
        <v>9</v>
      </c>
      <c r="AF5187" t="s">
        <v>138</v>
      </c>
      <c r="AG5187">
        <v>0</v>
      </c>
      <c r="AH5187">
        <v>3</v>
      </c>
      <c r="AI5187">
        <v>2</v>
      </c>
      <c r="AJ5187">
        <v>0</v>
      </c>
      <c r="AK5187" t="s">
        <v>1635</v>
      </c>
      <c r="AL5187">
        <v>39.232520999999998</v>
      </c>
      <c r="AM5187" t="s">
        <v>1636</v>
      </c>
      <c r="AN5187">
        <v>-121.028244</v>
      </c>
      <c r="AO5187">
        <v>25</v>
      </c>
      <c r="AP5187">
        <v>3500</v>
      </c>
      <c r="AQ5187" t="s">
        <v>131</v>
      </c>
      <c r="AR5187">
        <v>-53</v>
      </c>
      <c r="AS5187">
        <v>-62</v>
      </c>
      <c r="AT5187">
        <v>-768</v>
      </c>
      <c r="BB5187" t="str">
        <f t="shared" si="2055"/>
        <v>1200</v>
      </c>
      <c r="BC5187">
        <v>1</v>
      </c>
      <c r="BD5187" t="str">
        <f t="shared" si="2056"/>
        <v xml:space="preserve">N52156  </v>
      </c>
      <c r="BE5187">
        <v>1</v>
      </c>
      <c r="BG5187">
        <v>0</v>
      </c>
      <c r="BH5187">
        <v>0</v>
      </c>
      <c r="BI5187">
        <v>0</v>
      </c>
      <c r="BJ5187">
        <v>3625</v>
      </c>
      <c r="BK5187">
        <v>125</v>
      </c>
      <c r="BL5187" t="s">
        <v>188</v>
      </c>
      <c r="BM5187">
        <v>1</v>
      </c>
      <c r="BN5187">
        <v>1</v>
      </c>
      <c r="BO5187">
        <v>0</v>
      </c>
      <c r="BP5187">
        <v>0</v>
      </c>
      <c r="BS5187">
        <v>0</v>
      </c>
      <c r="BT5187">
        <v>0</v>
      </c>
      <c r="BU5187">
        <v>0</v>
      </c>
      <c r="CE5187" t="str">
        <f t="shared" si="2057"/>
        <v>15:18:56.654</v>
      </c>
      <c r="CF5187">
        <v>653844047</v>
      </c>
      <c r="CS5187">
        <v>0</v>
      </c>
      <c r="CT5187">
        <v>2</v>
      </c>
      <c r="CU5187">
        <v>0</v>
      </c>
      <c r="CV5187">
        <v>2</v>
      </c>
      <c r="CW5187">
        <v>0</v>
      </c>
      <c r="CX5187">
        <v>2</v>
      </c>
      <c r="CY5187">
        <v>7</v>
      </c>
      <c r="CZ5187" t="s">
        <v>133</v>
      </c>
      <c r="DA5187">
        <v>276</v>
      </c>
      <c r="DB5187">
        <v>0</v>
      </c>
      <c r="DC5187" t="s">
        <v>402</v>
      </c>
      <c r="DD5187" t="s">
        <v>403</v>
      </c>
      <c r="DG5187">
        <v>1629099</v>
      </c>
      <c r="DI5187">
        <v>1</v>
      </c>
      <c r="DJ5187">
        <v>0</v>
      </c>
      <c r="DK5187">
        <v>1</v>
      </c>
      <c r="DL5187">
        <v>0</v>
      </c>
      <c r="DM5187">
        <v>0</v>
      </c>
      <c r="DN5187">
        <v>0</v>
      </c>
      <c r="DO5187">
        <v>0</v>
      </c>
      <c r="DP5187">
        <v>0</v>
      </c>
      <c r="DQ5187">
        <v>0</v>
      </c>
      <c r="DR5187">
        <v>0</v>
      </c>
      <c r="DS5187">
        <v>0</v>
      </c>
    </row>
    <row r="5188" spans="1:123" x14ac:dyDescent="0.3">
      <c r="A5188" t="str">
        <f>"05/01/2025 15:18:56.874"</f>
        <v>05/01/2025 15:18:56.874</v>
      </c>
      <c r="C5188" t="str">
        <f t="shared" si="2052"/>
        <v>FFDFD3C0</v>
      </c>
      <c r="D5188" t="s">
        <v>124</v>
      </c>
      <c r="E5188" t="str">
        <f>"06"</f>
        <v>06</v>
      </c>
      <c r="F5188">
        <v>2006</v>
      </c>
      <c r="G5188" t="s">
        <v>125</v>
      </c>
      <c r="J5188" t="s">
        <v>126</v>
      </c>
      <c r="K5188">
        <v>0</v>
      </c>
      <c r="L5188">
        <v>3</v>
      </c>
      <c r="M5188">
        <v>0</v>
      </c>
      <c r="N5188">
        <v>2</v>
      </c>
      <c r="O5188">
        <v>0</v>
      </c>
      <c r="P5188">
        <v>1</v>
      </c>
      <c r="Q5188">
        <v>0</v>
      </c>
      <c r="R5188" t="s">
        <v>127</v>
      </c>
      <c r="S5188" t="str">
        <f t="shared" si="2053"/>
        <v>15:18:56.000</v>
      </c>
      <c r="T5188" t="str">
        <f t="shared" si="2053"/>
        <v>15:18:56.000</v>
      </c>
      <c r="U5188" t="str">
        <f t="shared" si="2054"/>
        <v>A68FCB</v>
      </c>
      <c r="V5188">
        <v>0</v>
      </c>
      <c r="W5188">
        <v>0</v>
      </c>
      <c r="X5188">
        <v>2</v>
      </c>
      <c r="Y5188">
        <v>0</v>
      </c>
      <c r="AA5188">
        <v>1</v>
      </c>
      <c r="AB5188">
        <v>8</v>
      </c>
      <c r="AC5188">
        <v>3</v>
      </c>
      <c r="AD5188">
        <v>0</v>
      </c>
      <c r="AE5188">
        <v>9</v>
      </c>
      <c r="AF5188" t="s">
        <v>138</v>
      </c>
      <c r="AG5188">
        <v>0</v>
      </c>
      <c r="AH5188">
        <v>3</v>
      </c>
      <c r="AI5188">
        <v>2</v>
      </c>
      <c r="AJ5188">
        <v>0</v>
      </c>
      <c r="AK5188" t="s">
        <v>1635</v>
      </c>
      <c r="AL5188">
        <v>39.232520999999998</v>
      </c>
      <c r="AM5188" t="s">
        <v>1636</v>
      </c>
      <c r="AN5188">
        <v>-121.028244</v>
      </c>
      <c r="AO5188">
        <v>25</v>
      </c>
      <c r="AP5188">
        <v>3500</v>
      </c>
      <c r="AQ5188" t="s">
        <v>131</v>
      </c>
      <c r="AR5188">
        <v>-53</v>
      </c>
      <c r="AS5188">
        <v>-62</v>
      </c>
      <c r="AT5188">
        <v>-768</v>
      </c>
      <c r="BB5188" t="str">
        <f t="shared" si="2055"/>
        <v>1200</v>
      </c>
      <c r="BC5188">
        <v>1</v>
      </c>
      <c r="BD5188" t="str">
        <f t="shared" si="2056"/>
        <v xml:space="preserve">N52156  </v>
      </c>
      <c r="BE5188">
        <v>1</v>
      </c>
      <c r="BG5188">
        <v>0</v>
      </c>
      <c r="BH5188">
        <v>0</v>
      </c>
      <c r="BI5188">
        <v>0</v>
      </c>
      <c r="BJ5188">
        <v>3625</v>
      </c>
      <c r="BK5188">
        <v>125</v>
      </c>
      <c r="BL5188" t="s">
        <v>188</v>
      </c>
      <c r="BM5188">
        <v>1</v>
      </c>
      <c r="BN5188">
        <v>1</v>
      </c>
      <c r="BO5188">
        <v>0</v>
      </c>
      <c r="BP5188">
        <v>0</v>
      </c>
      <c r="BS5188">
        <v>0</v>
      </c>
      <c r="BT5188">
        <v>0</v>
      </c>
      <c r="BU5188">
        <v>0</v>
      </c>
      <c r="CE5188" t="str">
        <f t="shared" si="2057"/>
        <v>15:18:56.654</v>
      </c>
      <c r="CF5188">
        <v>653844047</v>
      </c>
      <c r="CS5188">
        <v>0</v>
      </c>
      <c r="CT5188">
        <v>2</v>
      </c>
      <c r="CU5188">
        <v>0</v>
      </c>
      <c r="CV5188">
        <v>2</v>
      </c>
      <c r="CW5188">
        <v>0</v>
      </c>
      <c r="CX5188">
        <v>2</v>
      </c>
      <c r="CY5188">
        <v>7</v>
      </c>
      <c r="CZ5188" t="s">
        <v>133</v>
      </c>
      <c r="DA5188">
        <v>276</v>
      </c>
      <c r="DB5188">
        <v>0</v>
      </c>
      <c r="DC5188" t="s">
        <v>402</v>
      </c>
      <c r="DD5188" t="s">
        <v>403</v>
      </c>
      <c r="DG5188">
        <v>1629099</v>
      </c>
      <c r="DI5188">
        <v>1</v>
      </c>
      <c r="DJ5188">
        <v>0</v>
      </c>
      <c r="DK5188">
        <v>1</v>
      </c>
      <c r="DL5188">
        <v>0</v>
      </c>
      <c r="DM5188">
        <v>0</v>
      </c>
      <c r="DN5188">
        <v>0</v>
      </c>
      <c r="DO5188">
        <v>0</v>
      </c>
      <c r="DP5188">
        <v>0</v>
      </c>
      <c r="DQ5188">
        <v>0</v>
      </c>
      <c r="DR5188">
        <v>0</v>
      </c>
      <c r="DS5188">
        <v>0</v>
      </c>
    </row>
    <row r="5189" spans="1:123" x14ac:dyDescent="0.3">
      <c r="A5189" t="str">
        <f>"05/01/2025 15:18:56.885"</f>
        <v>05/01/2025 15:18:56.885</v>
      </c>
      <c r="C5189" t="str">
        <f t="shared" si="2052"/>
        <v>FFDFD3C0</v>
      </c>
      <c r="D5189" t="s">
        <v>143</v>
      </c>
      <c r="E5189" t="str">
        <f>"05"</f>
        <v>05</v>
      </c>
      <c r="H5189">
        <v>172</v>
      </c>
      <c r="I5189" t="s">
        <v>141</v>
      </c>
      <c r="J5189" t="s">
        <v>144</v>
      </c>
      <c r="K5189">
        <v>0</v>
      </c>
      <c r="L5189">
        <v>3</v>
      </c>
      <c r="M5189">
        <v>0</v>
      </c>
      <c r="N5189">
        <v>2</v>
      </c>
      <c r="O5189">
        <v>0</v>
      </c>
      <c r="P5189">
        <v>1</v>
      </c>
      <c r="Q5189">
        <v>0</v>
      </c>
      <c r="R5189" t="s">
        <v>127</v>
      </c>
      <c r="S5189" t="str">
        <f t="shared" si="2053"/>
        <v>15:18:56.000</v>
      </c>
      <c r="T5189" t="str">
        <f t="shared" si="2053"/>
        <v>15:18:56.000</v>
      </c>
      <c r="U5189" t="str">
        <f t="shared" si="2054"/>
        <v>A68FCB</v>
      </c>
      <c r="V5189">
        <v>0</v>
      </c>
      <c r="W5189">
        <v>0</v>
      </c>
      <c r="X5189">
        <v>2</v>
      </c>
      <c r="Y5189">
        <v>0</v>
      </c>
      <c r="AA5189">
        <v>1</v>
      </c>
      <c r="AB5189">
        <v>8</v>
      </c>
      <c r="AC5189">
        <v>3</v>
      </c>
      <c r="AD5189">
        <v>0</v>
      </c>
      <c r="AE5189">
        <v>9</v>
      </c>
      <c r="AF5189" t="s">
        <v>138</v>
      </c>
      <c r="AG5189">
        <v>0</v>
      </c>
      <c r="AH5189">
        <v>3</v>
      </c>
      <c r="AI5189">
        <v>2</v>
      </c>
      <c r="AJ5189">
        <v>0</v>
      </c>
      <c r="AK5189" t="s">
        <v>1635</v>
      </c>
      <c r="AL5189">
        <v>39.232520999999998</v>
      </c>
      <c r="AM5189" t="s">
        <v>1636</v>
      </c>
      <c r="AN5189">
        <v>-121.028244</v>
      </c>
      <c r="AO5189">
        <v>25</v>
      </c>
      <c r="AP5189">
        <v>3500</v>
      </c>
      <c r="AQ5189" t="s">
        <v>131</v>
      </c>
      <c r="AR5189">
        <v>-53</v>
      </c>
      <c r="AS5189">
        <v>-62</v>
      </c>
      <c r="AT5189">
        <v>-768</v>
      </c>
      <c r="BB5189" t="str">
        <f t="shared" si="2055"/>
        <v>1200</v>
      </c>
      <c r="BC5189">
        <v>1</v>
      </c>
      <c r="BD5189" t="str">
        <f t="shared" si="2056"/>
        <v xml:space="preserve">N52156  </v>
      </c>
      <c r="BE5189">
        <v>1</v>
      </c>
      <c r="BG5189">
        <v>0</v>
      </c>
      <c r="BH5189">
        <v>0</v>
      </c>
      <c r="BI5189">
        <v>0</v>
      </c>
      <c r="BJ5189">
        <v>3625</v>
      </c>
      <c r="BK5189">
        <v>125</v>
      </c>
      <c r="BL5189" t="s">
        <v>188</v>
      </c>
      <c r="BM5189">
        <v>1</v>
      </c>
      <c r="BN5189">
        <v>1</v>
      </c>
      <c r="BO5189">
        <v>0</v>
      </c>
      <c r="BP5189">
        <v>0</v>
      </c>
      <c r="BS5189">
        <v>0</v>
      </c>
      <c r="BT5189">
        <v>0</v>
      </c>
      <c r="BU5189">
        <v>0</v>
      </c>
      <c r="CE5189" t="str">
        <f t="shared" si="2057"/>
        <v>15:18:56.654</v>
      </c>
      <c r="CF5189">
        <v>653844047</v>
      </c>
      <c r="CS5189">
        <v>0</v>
      </c>
      <c r="CT5189">
        <v>2</v>
      </c>
      <c r="CU5189">
        <v>0</v>
      </c>
      <c r="CV5189">
        <v>2</v>
      </c>
      <c r="CW5189">
        <v>0</v>
      </c>
      <c r="CX5189">
        <v>2</v>
      </c>
      <c r="CY5189">
        <v>7</v>
      </c>
      <c r="CZ5189" t="s">
        <v>133</v>
      </c>
      <c r="DA5189">
        <v>276</v>
      </c>
      <c r="DB5189">
        <v>0</v>
      </c>
      <c r="DC5189" t="s">
        <v>402</v>
      </c>
      <c r="DD5189" t="s">
        <v>403</v>
      </c>
      <c r="DG5189">
        <v>1629099</v>
      </c>
      <c r="DI5189">
        <v>1</v>
      </c>
      <c r="DJ5189">
        <v>0</v>
      </c>
      <c r="DK5189">
        <v>1</v>
      </c>
      <c r="DL5189">
        <v>0</v>
      </c>
      <c r="DM5189">
        <v>0</v>
      </c>
      <c r="DN5189">
        <v>0</v>
      </c>
      <c r="DO5189">
        <v>0</v>
      </c>
      <c r="DP5189">
        <v>0</v>
      </c>
      <c r="DQ5189">
        <v>0</v>
      </c>
      <c r="DR5189">
        <v>0</v>
      </c>
      <c r="DS5189">
        <v>0</v>
      </c>
    </row>
    <row r="5190" spans="1:123" x14ac:dyDescent="0.3">
      <c r="A5190" t="str">
        <f>"05/01/2025 15:18:56.898"</f>
        <v>05/01/2025 15:18:56.898</v>
      </c>
      <c r="C5190" t="str">
        <f t="shared" si="2052"/>
        <v>FFDFD3C0</v>
      </c>
      <c r="D5190" t="s">
        <v>145</v>
      </c>
      <c r="E5190" t="str">
        <f>"09"</f>
        <v>09</v>
      </c>
      <c r="H5190">
        <v>51</v>
      </c>
      <c r="I5190" t="s">
        <v>147</v>
      </c>
      <c r="J5190" t="s">
        <v>138</v>
      </c>
      <c r="K5190">
        <v>0</v>
      </c>
      <c r="L5190">
        <v>3</v>
      </c>
      <c r="M5190">
        <v>0</v>
      </c>
      <c r="N5190">
        <v>2</v>
      </c>
      <c r="O5190">
        <v>0</v>
      </c>
      <c r="P5190">
        <v>1</v>
      </c>
      <c r="Q5190">
        <v>0</v>
      </c>
      <c r="R5190" t="s">
        <v>127</v>
      </c>
      <c r="S5190" t="str">
        <f t="shared" si="2053"/>
        <v>15:18:56.000</v>
      </c>
      <c r="T5190" t="str">
        <f t="shared" si="2053"/>
        <v>15:18:56.000</v>
      </c>
      <c r="U5190" t="str">
        <f t="shared" si="2054"/>
        <v>A68FCB</v>
      </c>
      <c r="V5190">
        <v>0</v>
      </c>
      <c r="W5190">
        <v>0</v>
      </c>
      <c r="X5190">
        <v>2</v>
      </c>
      <c r="Y5190">
        <v>0</v>
      </c>
      <c r="AA5190">
        <v>1</v>
      </c>
      <c r="AB5190">
        <v>8</v>
      </c>
      <c r="AC5190">
        <v>3</v>
      </c>
      <c r="AD5190">
        <v>0</v>
      </c>
      <c r="AE5190">
        <v>9</v>
      </c>
      <c r="AF5190" t="s">
        <v>138</v>
      </c>
      <c r="AG5190">
        <v>0</v>
      </c>
      <c r="AH5190">
        <v>3</v>
      </c>
      <c r="AI5190">
        <v>2</v>
      </c>
      <c r="AJ5190">
        <v>0</v>
      </c>
      <c r="AK5190" t="s">
        <v>1635</v>
      </c>
      <c r="AL5190">
        <v>39.232520999999998</v>
      </c>
      <c r="AM5190" t="s">
        <v>1636</v>
      </c>
      <c r="AN5190">
        <v>-121.028244</v>
      </c>
      <c r="AO5190">
        <v>25</v>
      </c>
      <c r="AP5190">
        <v>3500</v>
      </c>
      <c r="AQ5190" t="s">
        <v>131</v>
      </c>
      <c r="AR5190">
        <v>-53</v>
      </c>
      <c r="AS5190">
        <v>-62</v>
      </c>
      <c r="AT5190">
        <v>-768</v>
      </c>
      <c r="BB5190" t="str">
        <f t="shared" si="2055"/>
        <v>1200</v>
      </c>
      <c r="BC5190">
        <v>1</v>
      </c>
      <c r="BD5190" t="str">
        <f t="shared" si="2056"/>
        <v xml:space="preserve">N52156  </v>
      </c>
      <c r="BE5190">
        <v>1</v>
      </c>
      <c r="BG5190">
        <v>0</v>
      </c>
      <c r="BH5190">
        <v>0</v>
      </c>
      <c r="BI5190">
        <v>0</v>
      </c>
      <c r="BJ5190">
        <v>3625</v>
      </c>
      <c r="BK5190">
        <v>125</v>
      </c>
      <c r="BL5190" t="s">
        <v>188</v>
      </c>
      <c r="BM5190">
        <v>1</v>
      </c>
      <c r="BN5190">
        <v>1</v>
      </c>
      <c r="BO5190">
        <v>0</v>
      </c>
      <c r="BP5190">
        <v>0</v>
      </c>
      <c r="BS5190">
        <v>0</v>
      </c>
      <c r="BT5190">
        <v>0</v>
      </c>
      <c r="BU5190">
        <v>0</v>
      </c>
      <c r="CE5190" t="str">
        <f t="shared" si="2057"/>
        <v>15:18:56.654</v>
      </c>
      <c r="CF5190">
        <v>653844047</v>
      </c>
      <c r="CS5190">
        <v>0</v>
      </c>
      <c r="CT5190">
        <v>2</v>
      </c>
      <c r="CU5190">
        <v>0</v>
      </c>
      <c r="CV5190">
        <v>2</v>
      </c>
      <c r="CW5190">
        <v>0</v>
      </c>
      <c r="CX5190">
        <v>2</v>
      </c>
      <c r="CY5190">
        <v>7</v>
      </c>
      <c r="CZ5190" t="s">
        <v>133</v>
      </c>
      <c r="DA5190">
        <v>276</v>
      </c>
      <c r="DB5190">
        <v>0</v>
      </c>
      <c r="DC5190" t="s">
        <v>402</v>
      </c>
      <c r="DD5190" t="s">
        <v>403</v>
      </c>
      <c r="DG5190">
        <v>1629099</v>
      </c>
      <c r="DI5190">
        <v>1</v>
      </c>
      <c r="DJ5190">
        <v>0</v>
      </c>
      <c r="DK5190">
        <v>1</v>
      </c>
      <c r="DL5190">
        <v>0</v>
      </c>
      <c r="DM5190">
        <v>0</v>
      </c>
      <c r="DN5190">
        <v>0</v>
      </c>
      <c r="DO5190">
        <v>0</v>
      </c>
      <c r="DP5190">
        <v>0</v>
      </c>
      <c r="DQ5190">
        <v>0</v>
      </c>
      <c r="DR5190">
        <v>0</v>
      </c>
      <c r="DS5190">
        <v>0</v>
      </c>
    </row>
    <row r="5191" spans="1:123" x14ac:dyDescent="0.3">
      <c r="A5191" t="str">
        <f>"05/01/2025 15:18:56.898"</f>
        <v>05/01/2025 15:18:56.898</v>
      </c>
      <c r="C5191" t="str">
        <f t="shared" si="2052"/>
        <v>FFDFD3C0</v>
      </c>
      <c r="D5191" t="s">
        <v>145</v>
      </c>
      <c r="E5191" t="str">
        <f>"05"</f>
        <v>05</v>
      </c>
      <c r="H5191">
        <v>47</v>
      </c>
      <c r="I5191" t="s">
        <v>146</v>
      </c>
      <c r="J5191" t="s">
        <v>138</v>
      </c>
      <c r="K5191">
        <v>0</v>
      </c>
      <c r="L5191">
        <v>3</v>
      </c>
      <c r="M5191">
        <v>0</v>
      </c>
      <c r="N5191">
        <v>2</v>
      </c>
      <c r="O5191">
        <v>0</v>
      </c>
      <c r="P5191">
        <v>1</v>
      </c>
      <c r="Q5191">
        <v>0</v>
      </c>
      <c r="R5191" t="s">
        <v>127</v>
      </c>
      <c r="S5191" t="str">
        <f t="shared" si="2053"/>
        <v>15:18:56.000</v>
      </c>
      <c r="T5191" t="str">
        <f t="shared" si="2053"/>
        <v>15:18:56.000</v>
      </c>
      <c r="U5191" t="str">
        <f t="shared" si="2054"/>
        <v>A68FCB</v>
      </c>
      <c r="V5191">
        <v>0</v>
      </c>
      <c r="W5191">
        <v>0</v>
      </c>
      <c r="X5191">
        <v>2</v>
      </c>
      <c r="Y5191">
        <v>0</v>
      </c>
      <c r="AA5191">
        <v>1</v>
      </c>
      <c r="AB5191">
        <v>8</v>
      </c>
      <c r="AC5191">
        <v>3</v>
      </c>
      <c r="AD5191">
        <v>0</v>
      </c>
      <c r="AE5191">
        <v>9</v>
      </c>
      <c r="AF5191" t="s">
        <v>138</v>
      </c>
      <c r="AG5191">
        <v>0</v>
      </c>
      <c r="AH5191">
        <v>3</v>
      </c>
      <c r="AI5191">
        <v>2</v>
      </c>
      <c r="AJ5191">
        <v>0</v>
      </c>
      <c r="AK5191" t="s">
        <v>1635</v>
      </c>
      <c r="AL5191">
        <v>39.232520999999998</v>
      </c>
      <c r="AM5191" t="s">
        <v>1636</v>
      </c>
      <c r="AN5191">
        <v>-121.028244</v>
      </c>
      <c r="AO5191">
        <v>25</v>
      </c>
      <c r="AP5191">
        <v>3500</v>
      </c>
      <c r="AQ5191" t="s">
        <v>131</v>
      </c>
      <c r="AR5191">
        <v>-53</v>
      </c>
      <c r="AS5191">
        <v>-62</v>
      </c>
      <c r="AT5191">
        <v>-768</v>
      </c>
      <c r="BB5191" t="str">
        <f t="shared" si="2055"/>
        <v>1200</v>
      </c>
      <c r="BC5191">
        <v>1</v>
      </c>
      <c r="BD5191" t="str">
        <f t="shared" si="2056"/>
        <v xml:space="preserve">N52156  </v>
      </c>
      <c r="BE5191">
        <v>1</v>
      </c>
      <c r="BG5191">
        <v>0</v>
      </c>
      <c r="BH5191">
        <v>0</v>
      </c>
      <c r="BI5191">
        <v>0</v>
      </c>
      <c r="BJ5191">
        <v>3625</v>
      </c>
      <c r="BK5191">
        <v>125</v>
      </c>
      <c r="BL5191" t="s">
        <v>188</v>
      </c>
      <c r="BM5191">
        <v>1</v>
      </c>
      <c r="BN5191">
        <v>1</v>
      </c>
      <c r="BO5191">
        <v>0</v>
      </c>
      <c r="BP5191">
        <v>0</v>
      </c>
      <c r="BS5191">
        <v>0</v>
      </c>
      <c r="BT5191">
        <v>0</v>
      </c>
      <c r="BU5191">
        <v>0</v>
      </c>
      <c r="CE5191" t="str">
        <f t="shared" si="2057"/>
        <v>15:18:56.654</v>
      </c>
      <c r="CF5191">
        <v>653844047</v>
      </c>
      <c r="CS5191">
        <v>0</v>
      </c>
      <c r="CT5191">
        <v>2</v>
      </c>
      <c r="CU5191">
        <v>0</v>
      </c>
      <c r="CV5191">
        <v>2</v>
      </c>
      <c r="CW5191">
        <v>0</v>
      </c>
      <c r="CX5191">
        <v>2</v>
      </c>
      <c r="CY5191">
        <v>7</v>
      </c>
      <c r="CZ5191" t="s">
        <v>133</v>
      </c>
      <c r="DA5191">
        <v>276</v>
      </c>
      <c r="DB5191">
        <v>0</v>
      </c>
      <c r="DC5191" t="s">
        <v>402</v>
      </c>
      <c r="DD5191" t="s">
        <v>403</v>
      </c>
      <c r="DG5191">
        <v>1629099</v>
      </c>
      <c r="DI5191">
        <v>1</v>
      </c>
      <c r="DJ5191">
        <v>0</v>
      </c>
      <c r="DK5191">
        <v>1</v>
      </c>
      <c r="DL5191">
        <v>0</v>
      </c>
      <c r="DM5191">
        <v>0</v>
      </c>
      <c r="DN5191">
        <v>0</v>
      </c>
      <c r="DO5191">
        <v>0</v>
      </c>
      <c r="DP5191">
        <v>0</v>
      </c>
      <c r="DQ5191">
        <v>0</v>
      </c>
      <c r="DR5191">
        <v>0</v>
      </c>
      <c r="DS5191">
        <v>0</v>
      </c>
    </row>
    <row r="5192" spans="1:123" x14ac:dyDescent="0.3">
      <c r="A5192" t="str">
        <f>"05/01/2025 15:18:57.637"</f>
        <v>05/01/2025 15:18:57.637</v>
      </c>
      <c r="C5192" t="str">
        <f t="shared" si="2052"/>
        <v>FFDFD3C0</v>
      </c>
      <c r="D5192" t="s">
        <v>143</v>
      </c>
      <c r="E5192" t="str">
        <f>"05"</f>
        <v>05</v>
      </c>
      <c r="H5192">
        <v>172</v>
      </c>
      <c r="I5192" t="s">
        <v>141</v>
      </c>
      <c r="J5192" t="s">
        <v>144</v>
      </c>
      <c r="K5192">
        <v>0</v>
      </c>
      <c r="L5192">
        <v>3</v>
      </c>
      <c r="M5192">
        <v>0</v>
      </c>
      <c r="N5192">
        <v>2</v>
      </c>
      <c r="O5192">
        <v>0</v>
      </c>
      <c r="P5192">
        <v>1</v>
      </c>
      <c r="Q5192">
        <v>0</v>
      </c>
      <c r="R5192" t="s">
        <v>127</v>
      </c>
      <c r="S5192" t="str">
        <f t="shared" ref="S5192:T5197" si="2058">"15:18:57.000"</f>
        <v>15:18:57.000</v>
      </c>
      <c r="T5192" t="str">
        <f t="shared" si="2058"/>
        <v>15:18:57.000</v>
      </c>
      <c r="U5192" t="str">
        <f t="shared" si="2054"/>
        <v>A68FCB</v>
      </c>
      <c r="V5192">
        <v>0</v>
      </c>
      <c r="W5192">
        <v>0</v>
      </c>
      <c r="X5192">
        <v>2</v>
      </c>
      <c r="Y5192">
        <v>0</v>
      </c>
      <c r="AA5192">
        <v>1</v>
      </c>
      <c r="AB5192">
        <v>8</v>
      </c>
      <c r="AC5192">
        <v>3</v>
      </c>
      <c r="AD5192">
        <v>0</v>
      </c>
      <c r="AE5192">
        <v>9</v>
      </c>
      <c r="AF5192" t="s">
        <v>138</v>
      </c>
      <c r="AG5192">
        <v>0</v>
      </c>
      <c r="AH5192">
        <v>3</v>
      </c>
      <c r="AI5192">
        <v>2</v>
      </c>
      <c r="AJ5192">
        <v>0</v>
      </c>
      <c r="AK5192" t="s">
        <v>1637</v>
      </c>
      <c r="AL5192">
        <v>39.232221000000003</v>
      </c>
      <c r="AM5192" t="s">
        <v>1638</v>
      </c>
      <c r="AN5192">
        <v>-121.028566</v>
      </c>
      <c r="AO5192">
        <v>25</v>
      </c>
      <c r="AP5192">
        <v>3500</v>
      </c>
      <c r="AQ5192" t="s">
        <v>131</v>
      </c>
      <c r="AR5192">
        <v>-48</v>
      </c>
      <c r="AS5192">
        <v>-64</v>
      </c>
      <c r="AT5192">
        <v>-832</v>
      </c>
      <c r="BB5192" t="str">
        <f t="shared" si="2055"/>
        <v>1200</v>
      </c>
      <c r="BC5192">
        <v>1</v>
      </c>
      <c r="BD5192" t="str">
        <f t="shared" si="2056"/>
        <v xml:space="preserve">N52156  </v>
      </c>
      <c r="BE5192">
        <v>1</v>
      </c>
      <c r="BG5192">
        <v>0</v>
      </c>
      <c r="BH5192">
        <v>0</v>
      </c>
      <c r="BI5192">
        <v>0</v>
      </c>
      <c r="BJ5192">
        <v>3600</v>
      </c>
      <c r="BK5192">
        <v>100</v>
      </c>
      <c r="BL5192" t="s">
        <v>188</v>
      </c>
      <c r="BM5192">
        <v>1</v>
      </c>
      <c r="BN5192">
        <v>1</v>
      </c>
      <c r="BO5192">
        <v>0</v>
      </c>
      <c r="BP5192">
        <v>0</v>
      </c>
      <c r="BS5192">
        <v>0</v>
      </c>
      <c r="BT5192">
        <v>0</v>
      </c>
      <c r="BU5192">
        <v>0</v>
      </c>
      <c r="CE5192" t="str">
        <f t="shared" ref="CE5192:CE5197" si="2059">"15:18:57.441"</f>
        <v>15:18:57.441</v>
      </c>
      <c r="CF5192">
        <v>440596365</v>
      </c>
      <c r="CS5192">
        <v>0</v>
      </c>
      <c r="CT5192">
        <v>2</v>
      </c>
      <c r="CU5192">
        <v>0</v>
      </c>
      <c r="CV5192">
        <v>2</v>
      </c>
      <c r="CW5192">
        <v>0</v>
      </c>
      <c r="CX5192">
        <v>2</v>
      </c>
      <c r="CY5192">
        <v>7</v>
      </c>
      <c r="CZ5192" t="s">
        <v>133</v>
      </c>
      <c r="DA5192">
        <v>273</v>
      </c>
      <c r="DB5192">
        <v>0</v>
      </c>
      <c r="DC5192" t="s">
        <v>292</v>
      </c>
      <c r="DD5192" t="s">
        <v>293</v>
      </c>
      <c r="DG5192">
        <v>4868589</v>
      </c>
      <c r="DI5192">
        <v>1</v>
      </c>
      <c r="DJ5192">
        <v>0</v>
      </c>
      <c r="DK5192">
        <v>0</v>
      </c>
      <c r="DL5192">
        <v>0</v>
      </c>
      <c r="DM5192">
        <v>0</v>
      </c>
      <c r="DN5192">
        <v>0</v>
      </c>
      <c r="DO5192">
        <v>0</v>
      </c>
      <c r="DP5192">
        <v>0</v>
      </c>
      <c r="DQ5192">
        <v>0</v>
      </c>
      <c r="DR5192">
        <v>0</v>
      </c>
      <c r="DS5192">
        <v>0</v>
      </c>
    </row>
    <row r="5193" spans="1:123" x14ac:dyDescent="0.3">
      <c r="A5193" t="str">
        <f>"05/01/2025 15:18:57.649"</f>
        <v>05/01/2025 15:18:57.649</v>
      </c>
      <c r="C5193" t="str">
        <f t="shared" si="2052"/>
        <v>FFDFD3C0</v>
      </c>
      <c r="D5193" t="s">
        <v>145</v>
      </c>
      <c r="E5193" t="str">
        <f>"05"</f>
        <v>05</v>
      </c>
      <c r="H5193">
        <v>47</v>
      </c>
      <c r="I5193" t="s">
        <v>146</v>
      </c>
      <c r="J5193" t="s">
        <v>138</v>
      </c>
      <c r="K5193">
        <v>0</v>
      </c>
      <c r="L5193">
        <v>3</v>
      </c>
      <c r="M5193">
        <v>0</v>
      </c>
      <c r="N5193">
        <v>2</v>
      </c>
      <c r="O5193">
        <v>0</v>
      </c>
      <c r="P5193">
        <v>1</v>
      </c>
      <c r="Q5193">
        <v>0</v>
      </c>
      <c r="R5193" t="s">
        <v>127</v>
      </c>
      <c r="S5193" t="str">
        <f t="shared" si="2058"/>
        <v>15:18:57.000</v>
      </c>
      <c r="T5193" t="str">
        <f t="shared" si="2058"/>
        <v>15:18:57.000</v>
      </c>
      <c r="U5193" t="str">
        <f t="shared" si="2054"/>
        <v>A68FCB</v>
      </c>
      <c r="V5193">
        <v>0</v>
      </c>
      <c r="W5193">
        <v>0</v>
      </c>
      <c r="X5193">
        <v>2</v>
      </c>
      <c r="Y5193">
        <v>0</v>
      </c>
      <c r="AA5193">
        <v>1</v>
      </c>
      <c r="AB5193">
        <v>8</v>
      </c>
      <c r="AC5193">
        <v>3</v>
      </c>
      <c r="AD5193">
        <v>0</v>
      </c>
      <c r="AE5193">
        <v>9</v>
      </c>
      <c r="AF5193" t="s">
        <v>138</v>
      </c>
      <c r="AG5193">
        <v>0</v>
      </c>
      <c r="AH5193">
        <v>3</v>
      </c>
      <c r="AI5193">
        <v>2</v>
      </c>
      <c r="AJ5193">
        <v>0</v>
      </c>
      <c r="AK5193" t="s">
        <v>1637</v>
      </c>
      <c r="AL5193">
        <v>39.232221000000003</v>
      </c>
      <c r="AM5193" t="s">
        <v>1638</v>
      </c>
      <c r="AN5193">
        <v>-121.028566</v>
      </c>
      <c r="AO5193">
        <v>25</v>
      </c>
      <c r="AP5193">
        <v>3500</v>
      </c>
      <c r="AQ5193" t="s">
        <v>131</v>
      </c>
      <c r="AR5193">
        <v>-48</v>
      </c>
      <c r="AS5193">
        <v>-64</v>
      </c>
      <c r="AT5193">
        <v>-832</v>
      </c>
      <c r="BB5193" t="str">
        <f t="shared" si="2055"/>
        <v>1200</v>
      </c>
      <c r="BC5193">
        <v>1</v>
      </c>
      <c r="BD5193" t="str">
        <f t="shared" si="2056"/>
        <v xml:space="preserve">N52156  </v>
      </c>
      <c r="BE5193">
        <v>1</v>
      </c>
      <c r="BG5193">
        <v>0</v>
      </c>
      <c r="BH5193">
        <v>0</v>
      </c>
      <c r="BI5193">
        <v>0</v>
      </c>
      <c r="BJ5193">
        <v>3600</v>
      </c>
      <c r="BK5193">
        <v>100</v>
      </c>
      <c r="BL5193" t="s">
        <v>188</v>
      </c>
      <c r="BM5193">
        <v>1</v>
      </c>
      <c r="BN5193">
        <v>1</v>
      </c>
      <c r="BO5193">
        <v>0</v>
      </c>
      <c r="BP5193">
        <v>0</v>
      </c>
      <c r="BS5193">
        <v>0</v>
      </c>
      <c r="BT5193">
        <v>0</v>
      </c>
      <c r="BU5193">
        <v>0</v>
      </c>
      <c r="CE5193" t="str">
        <f t="shared" si="2059"/>
        <v>15:18:57.441</v>
      </c>
      <c r="CF5193">
        <v>440596365</v>
      </c>
      <c r="CS5193">
        <v>0</v>
      </c>
      <c r="CT5193">
        <v>2</v>
      </c>
      <c r="CU5193">
        <v>0</v>
      </c>
      <c r="CV5193">
        <v>2</v>
      </c>
      <c r="CW5193">
        <v>0</v>
      </c>
      <c r="CX5193">
        <v>2</v>
      </c>
      <c r="CY5193">
        <v>7</v>
      </c>
      <c r="CZ5193" t="s">
        <v>133</v>
      </c>
      <c r="DA5193">
        <v>273</v>
      </c>
      <c r="DB5193">
        <v>0</v>
      </c>
      <c r="DC5193" t="s">
        <v>292</v>
      </c>
      <c r="DD5193" t="s">
        <v>293</v>
      </c>
      <c r="DG5193">
        <v>4868589</v>
      </c>
      <c r="DI5193">
        <v>1</v>
      </c>
      <c r="DJ5193">
        <v>0</v>
      </c>
      <c r="DK5193">
        <v>1</v>
      </c>
      <c r="DL5193">
        <v>0</v>
      </c>
      <c r="DM5193">
        <v>0</v>
      </c>
      <c r="DN5193">
        <v>0</v>
      </c>
      <c r="DO5193">
        <v>0</v>
      </c>
      <c r="DP5193">
        <v>0</v>
      </c>
      <c r="DQ5193">
        <v>0</v>
      </c>
      <c r="DR5193">
        <v>0</v>
      </c>
      <c r="DS5193">
        <v>0</v>
      </c>
    </row>
    <row r="5194" spans="1:123" x14ac:dyDescent="0.3">
      <c r="A5194" t="str">
        <f>"05/01/2025 15:18:57.649"</f>
        <v>05/01/2025 15:18:57.649</v>
      </c>
      <c r="C5194" t="str">
        <f t="shared" si="2052"/>
        <v>FFDFD3C0</v>
      </c>
      <c r="D5194" t="s">
        <v>145</v>
      </c>
      <c r="E5194" t="str">
        <f>"09"</f>
        <v>09</v>
      </c>
      <c r="H5194">
        <v>51</v>
      </c>
      <c r="I5194" t="s">
        <v>147</v>
      </c>
      <c r="J5194" t="s">
        <v>138</v>
      </c>
      <c r="K5194">
        <v>0</v>
      </c>
      <c r="L5194">
        <v>3</v>
      </c>
      <c r="M5194">
        <v>0</v>
      </c>
      <c r="N5194">
        <v>2</v>
      </c>
      <c r="O5194">
        <v>0</v>
      </c>
      <c r="P5194">
        <v>1</v>
      </c>
      <c r="Q5194">
        <v>0</v>
      </c>
      <c r="R5194" t="s">
        <v>127</v>
      </c>
      <c r="S5194" t="str">
        <f t="shared" si="2058"/>
        <v>15:18:57.000</v>
      </c>
      <c r="T5194" t="str">
        <f t="shared" si="2058"/>
        <v>15:18:57.000</v>
      </c>
      <c r="U5194" t="str">
        <f t="shared" si="2054"/>
        <v>A68FCB</v>
      </c>
      <c r="V5194">
        <v>0</v>
      </c>
      <c r="W5194">
        <v>0</v>
      </c>
      <c r="X5194">
        <v>2</v>
      </c>
      <c r="Y5194">
        <v>0</v>
      </c>
      <c r="AA5194">
        <v>1</v>
      </c>
      <c r="AB5194">
        <v>8</v>
      </c>
      <c r="AC5194">
        <v>3</v>
      </c>
      <c r="AD5194">
        <v>0</v>
      </c>
      <c r="AE5194">
        <v>9</v>
      </c>
      <c r="AF5194" t="s">
        <v>138</v>
      </c>
      <c r="AG5194">
        <v>0</v>
      </c>
      <c r="AH5194">
        <v>3</v>
      </c>
      <c r="AI5194">
        <v>2</v>
      </c>
      <c r="AJ5194">
        <v>0</v>
      </c>
      <c r="AK5194" t="s">
        <v>1637</v>
      </c>
      <c r="AL5194">
        <v>39.232221000000003</v>
      </c>
      <c r="AM5194" t="s">
        <v>1638</v>
      </c>
      <c r="AN5194">
        <v>-121.028566</v>
      </c>
      <c r="AO5194">
        <v>25</v>
      </c>
      <c r="AP5194">
        <v>3500</v>
      </c>
      <c r="AQ5194" t="s">
        <v>131</v>
      </c>
      <c r="AR5194">
        <v>-48</v>
      </c>
      <c r="AS5194">
        <v>-64</v>
      </c>
      <c r="AT5194">
        <v>-832</v>
      </c>
      <c r="BB5194" t="str">
        <f t="shared" si="2055"/>
        <v>1200</v>
      </c>
      <c r="BC5194">
        <v>1</v>
      </c>
      <c r="BD5194" t="str">
        <f t="shared" si="2056"/>
        <v xml:space="preserve">N52156  </v>
      </c>
      <c r="BE5194">
        <v>1</v>
      </c>
      <c r="BG5194">
        <v>0</v>
      </c>
      <c r="BH5194">
        <v>0</v>
      </c>
      <c r="BI5194">
        <v>0</v>
      </c>
      <c r="BJ5194">
        <v>3600</v>
      </c>
      <c r="BK5194">
        <v>100</v>
      </c>
      <c r="BL5194" t="s">
        <v>188</v>
      </c>
      <c r="BM5194">
        <v>1</v>
      </c>
      <c r="BN5194">
        <v>1</v>
      </c>
      <c r="BO5194">
        <v>0</v>
      </c>
      <c r="BP5194">
        <v>0</v>
      </c>
      <c r="BS5194">
        <v>0</v>
      </c>
      <c r="BT5194">
        <v>0</v>
      </c>
      <c r="BU5194">
        <v>0</v>
      </c>
      <c r="CE5194" t="str">
        <f t="shared" si="2059"/>
        <v>15:18:57.441</v>
      </c>
      <c r="CF5194">
        <v>440596365</v>
      </c>
      <c r="CS5194">
        <v>0</v>
      </c>
      <c r="CT5194">
        <v>2</v>
      </c>
      <c r="CU5194">
        <v>0</v>
      </c>
      <c r="CV5194">
        <v>2</v>
      </c>
      <c r="CW5194">
        <v>0</v>
      </c>
      <c r="CX5194">
        <v>2</v>
      </c>
      <c r="CY5194">
        <v>7</v>
      </c>
      <c r="CZ5194" t="s">
        <v>133</v>
      </c>
      <c r="DA5194">
        <v>273</v>
      </c>
      <c r="DB5194">
        <v>0</v>
      </c>
      <c r="DC5194" t="s">
        <v>292</v>
      </c>
      <c r="DD5194" t="s">
        <v>293</v>
      </c>
      <c r="DG5194">
        <v>4868589</v>
      </c>
      <c r="DI5194">
        <v>1</v>
      </c>
      <c r="DJ5194">
        <v>0</v>
      </c>
      <c r="DK5194">
        <v>1</v>
      </c>
      <c r="DL5194">
        <v>0</v>
      </c>
      <c r="DM5194">
        <v>0</v>
      </c>
      <c r="DN5194">
        <v>0</v>
      </c>
      <c r="DO5194">
        <v>0</v>
      </c>
      <c r="DP5194">
        <v>0</v>
      </c>
      <c r="DQ5194">
        <v>0</v>
      </c>
      <c r="DR5194">
        <v>0</v>
      </c>
      <c r="DS5194">
        <v>0</v>
      </c>
    </row>
    <row r="5195" spans="1:123" x14ac:dyDescent="0.3">
      <c r="A5195" t="str">
        <f>"05/01/2025 15:18:57.658"</f>
        <v>05/01/2025 15:18:57.658</v>
      </c>
      <c r="C5195" t="str">
        <f t="shared" si="2052"/>
        <v>FFDFD3C0</v>
      </c>
      <c r="D5195" t="s">
        <v>136</v>
      </c>
      <c r="E5195" t="str">
        <f>"20"</f>
        <v>20</v>
      </c>
      <c r="H5195">
        <v>400</v>
      </c>
      <c r="I5195" t="s">
        <v>137</v>
      </c>
      <c r="J5195" t="s">
        <v>138</v>
      </c>
      <c r="K5195">
        <v>0</v>
      </c>
      <c r="L5195">
        <v>3</v>
      </c>
      <c r="M5195">
        <v>0</v>
      </c>
      <c r="N5195">
        <v>2</v>
      </c>
      <c r="O5195">
        <v>0</v>
      </c>
      <c r="P5195">
        <v>1</v>
      </c>
      <c r="Q5195">
        <v>0</v>
      </c>
      <c r="R5195" t="s">
        <v>127</v>
      </c>
      <c r="S5195" t="str">
        <f t="shared" si="2058"/>
        <v>15:18:57.000</v>
      </c>
      <c r="T5195" t="str">
        <f t="shared" si="2058"/>
        <v>15:18:57.000</v>
      </c>
      <c r="U5195" t="str">
        <f t="shared" si="2054"/>
        <v>A68FCB</v>
      </c>
      <c r="V5195">
        <v>0</v>
      </c>
      <c r="W5195">
        <v>0</v>
      </c>
      <c r="X5195">
        <v>2</v>
      </c>
      <c r="Y5195">
        <v>0</v>
      </c>
      <c r="AA5195">
        <v>1</v>
      </c>
      <c r="AB5195">
        <v>8</v>
      </c>
      <c r="AC5195">
        <v>3</v>
      </c>
      <c r="AD5195">
        <v>0</v>
      </c>
      <c r="AE5195">
        <v>9</v>
      </c>
      <c r="AF5195" t="s">
        <v>138</v>
      </c>
      <c r="AG5195">
        <v>0</v>
      </c>
      <c r="AH5195">
        <v>3</v>
      </c>
      <c r="AI5195">
        <v>2</v>
      </c>
      <c r="AJ5195">
        <v>0</v>
      </c>
      <c r="AK5195" t="s">
        <v>1637</v>
      </c>
      <c r="AL5195">
        <v>39.232221000000003</v>
      </c>
      <c r="AM5195" t="s">
        <v>1638</v>
      </c>
      <c r="AN5195">
        <v>-121.028566</v>
      </c>
      <c r="AO5195">
        <v>25</v>
      </c>
      <c r="AP5195">
        <v>3500</v>
      </c>
      <c r="AQ5195" t="s">
        <v>131</v>
      </c>
      <c r="AR5195">
        <v>-48</v>
      </c>
      <c r="AS5195">
        <v>-64</v>
      </c>
      <c r="AT5195">
        <v>-832</v>
      </c>
      <c r="BB5195" t="str">
        <f t="shared" si="2055"/>
        <v>1200</v>
      </c>
      <c r="BC5195">
        <v>1</v>
      </c>
      <c r="BD5195" t="str">
        <f t="shared" si="2056"/>
        <v xml:space="preserve">N52156  </v>
      </c>
      <c r="BE5195">
        <v>1</v>
      </c>
      <c r="BG5195">
        <v>0</v>
      </c>
      <c r="BH5195">
        <v>0</v>
      </c>
      <c r="BI5195">
        <v>0</v>
      </c>
      <c r="BJ5195">
        <v>3600</v>
      </c>
      <c r="BK5195">
        <v>100</v>
      </c>
      <c r="BL5195" t="s">
        <v>188</v>
      </c>
      <c r="BM5195">
        <v>1</v>
      </c>
      <c r="BN5195">
        <v>1</v>
      </c>
      <c r="BO5195">
        <v>0</v>
      </c>
      <c r="BP5195">
        <v>0</v>
      </c>
      <c r="BS5195">
        <v>0</v>
      </c>
      <c r="BT5195">
        <v>0</v>
      </c>
      <c r="BU5195">
        <v>0</v>
      </c>
      <c r="CE5195" t="str">
        <f t="shared" si="2059"/>
        <v>15:18:57.441</v>
      </c>
      <c r="CF5195">
        <v>440596365</v>
      </c>
      <c r="CS5195">
        <v>0</v>
      </c>
      <c r="CT5195">
        <v>2</v>
      </c>
      <c r="CU5195">
        <v>0</v>
      </c>
      <c r="CV5195">
        <v>2</v>
      </c>
      <c r="CW5195">
        <v>0</v>
      </c>
      <c r="CX5195">
        <v>2</v>
      </c>
      <c r="CY5195">
        <v>7</v>
      </c>
      <c r="CZ5195" t="s">
        <v>133</v>
      </c>
      <c r="DA5195">
        <v>273</v>
      </c>
      <c r="DB5195">
        <v>0</v>
      </c>
      <c r="DC5195" t="s">
        <v>292</v>
      </c>
      <c r="DD5195" t="s">
        <v>293</v>
      </c>
      <c r="DG5195">
        <v>4868589</v>
      </c>
      <c r="DI5195">
        <v>1</v>
      </c>
      <c r="DJ5195">
        <v>0</v>
      </c>
      <c r="DK5195">
        <v>1</v>
      </c>
      <c r="DL5195">
        <v>0</v>
      </c>
      <c r="DM5195">
        <v>0</v>
      </c>
      <c r="DN5195">
        <v>0</v>
      </c>
      <c r="DO5195">
        <v>0</v>
      </c>
      <c r="DP5195">
        <v>0</v>
      </c>
      <c r="DQ5195">
        <v>0</v>
      </c>
      <c r="DR5195">
        <v>0</v>
      </c>
      <c r="DS5195">
        <v>0</v>
      </c>
    </row>
    <row r="5196" spans="1:123" x14ac:dyDescent="0.3">
      <c r="A5196" t="str">
        <f>"05/01/2025 15:18:57.674"</f>
        <v>05/01/2025 15:18:57.674</v>
      </c>
      <c r="C5196" t="str">
        <f t="shared" si="2052"/>
        <v>FFDFD3C0</v>
      </c>
      <c r="D5196" t="s">
        <v>140</v>
      </c>
      <c r="E5196" t="str">
        <f>"13"</f>
        <v>13</v>
      </c>
      <c r="F5196">
        <v>1019</v>
      </c>
      <c r="G5196" t="s">
        <v>141</v>
      </c>
      <c r="J5196" t="s">
        <v>142</v>
      </c>
      <c r="K5196">
        <v>0</v>
      </c>
      <c r="L5196">
        <v>3</v>
      </c>
      <c r="M5196">
        <v>0</v>
      </c>
      <c r="N5196">
        <v>2</v>
      </c>
      <c r="O5196">
        <v>0</v>
      </c>
      <c r="P5196">
        <v>1</v>
      </c>
      <c r="Q5196">
        <v>0</v>
      </c>
      <c r="R5196" t="s">
        <v>127</v>
      </c>
      <c r="S5196" t="str">
        <f t="shared" si="2058"/>
        <v>15:18:57.000</v>
      </c>
      <c r="T5196" t="str">
        <f t="shared" si="2058"/>
        <v>15:18:57.000</v>
      </c>
      <c r="U5196" t="str">
        <f t="shared" si="2054"/>
        <v>A68FCB</v>
      </c>
      <c r="V5196">
        <v>0</v>
      </c>
      <c r="W5196">
        <v>0</v>
      </c>
      <c r="X5196">
        <v>2</v>
      </c>
      <c r="Y5196">
        <v>0</v>
      </c>
      <c r="AA5196">
        <v>1</v>
      </c>
      <c r="AB5196">
        <v>8</v>
      </c>
      <c r="AC5196">
        <v>3</v>
      </c>
      <c r="AD5196">
        <v>0</v>
      </c>
      <c r="AE5196">
        <v>9</v>
      </c>
      <c r="AF5196" t="s">
        <v>138</v>
      </c>
      <c r="AG5196">
        <v>0</v>
      </c>
      <c r="AH5196">
        <v>3</v>
      </c>
      <c r="AI5196">
        <v>2</v>
      </c>
      <c r="AJ5196">
        <v>0</v>
      </c>
      <c r="AK5196" t="s">
        <v>1637</v>
      </c>
      <c r="AL5196">
        <v>39.232221000000003</v>
      </c>
      <c r="AM5196" t="s">
        <v>1638</v>
      </c>
      <c r="AN5196">
        <v>-121.028566</v>
      </c>
      <c r="AO5196">
        <v>25</v>
      </c>
      <c r="AP5196">
        <v>3500</v>
      </c>
      <c r="AQ5196" t="s">
        <v>131</v>
      </c>
      <c r="AR5196">
        <v>-48</v>
      </c>
      <c r="AS5196">
        <v>-64</v>
      </c>
      <c r="AT5196">
        <v>-832</v>
      </c>
      <c r="BB5196" t="str">
        <f t="shared" si="2055"/>
        <v>1200</v>
      </c>
      <c r="BC5196">
        <v>1</v>
      </c>
      <c r="BD5196" t="str">
        <f t="shared" si="2056"/>
        <v xml:space="preserve">N52156  </v>
      </c>
      <c r="BE5196">
        <v>1</v>
      </c>
      <c r="BG5196">
        <v>0</v>
      </c>
      <c r="BH5196">
        <v>0</v>
      </c>
      <c r="BI5196">
        <v>0</v>
      </c>
      <c r="BJ5196">
        <v>3600</v>
      </c>
      <c r="BK5196">
        <v>100</v>
      </c>
      <c r="BL5196" t="s">
        <v>188</v>
      </c>
      <c r="BM5196">
        <v>1</v>
      </c>
      <c r="BN5196">
        <v>1</v>
      </c>
      <c r="BO5196">
        <v>0</v>
      </c>
      <c r="BP5196">
        <v>0</v>
      </c>
      <c r="BS5196">
        <v>0</v>
      </c>
      <c r="BT5196">
        <v>0</v>
      </c>
      <c r="BU5196">
        <v>0</v>
      </c>
      <c r="CE5196" t="str">
        <f t="shared" si="2059"/>
        <v>15:18:57.441</v>
      </c>
      <c r="CF5196">
        <v>440596365</v>
      </c>
      <c r="CS5196">
        <v>0</v>
      </c>
      <c r="CT5196">
        <v>2</v>
      </c>
      <c r="CU5196">
        <v>0</v>
      </c>
      <c r="CV5196">
        <v>2</v>
      </c>
      <c r="CW5196">
        <v>0</v>
      </c>
      <c r="CX5196">
        <v>2</v>
      </c>
      <c r="CY5196">
        <v>7</v>
      </c>
      <c r="CZ5196" t="s">
        <v>133</v>
      </c>
      <c r="DA5196">
        <v>273</v>
      </c>
      <c r="DB5196">
        <v>0</v>
      </c>
      <c r="DC5196" t="s">
        <v>292</v>
      </c>
      <c r="DD5196" t="s">
        <v>293</v>
      </c>
      <c r="DG5196">
        <v>4868589</v>
      </c>
      <c r="DI5196">
        <v>1</v>
      </c>
      <c r="DJ5196">
        <v>0</v>
      </c>
      <c r="DK5196">
        <v>1</v>
      </c>
      <c r="DL5196">
        <v>0</v>
      </c>
      <c r="DM5196">
        <v>0</v>
      </c>
      <c r="DN5196">
        <v>0</v>
      </c>
      <c r="DO5196">
        <v>0</v>
      </c>
      <c r="DP5196">
        <v>0</v>
      </c>
      <c r="DQ5196">
        <v>0</v>
      </c>
      <c r="DR5196">
        <v>0</v>
      </c>
      <c r="DS5196">
        <v>0</v>
      </c>
    </row>
    <row r="5197" spans="1:123" x14ac:dyDescent="0.3">
      <c r="A5197" t="str">
        <f>"05/01/2025 15:18:57.676"</f>
        <v>05/01/2025 15:18:57.676</v>
      </c>
      <c r="C5197" t="str">
        <f t="shared" si="2052"/>
        <v>FFDFD3C0</v>
      </c>
      <c r="D5197" t="s">
        <v>124</v>
      </c>
      <c r="E5197" t="str">
        <f>"06"</f>
        <v>06</v>
      </c>
      <c r="F5197">
        <v>2006</v>
      </c>
      <c r="G5197" t="s">
        <v>125</v>
      </c>
      <c r="J5197" t="s">
        <v>126</v>
      </c>
      <c r="K5197">
        <v>0</v>
      </c>
      <c r="L5197">
        <v>3</v>
      </c>
      <c r="M5197">
        <v>0</v>
      </c>
      <c r="N5197">
        <v>2</v>
      </c>
      <c r="O5197">
        <v>0</v>
      </c>
      <c r="P5197">
        <v>1</v>
      </c>
      <c r="Q5197">
        <v>0</v>
      </c>
      <c r="R5197" t="s">
        <v>127</v>
      </c>
      <c r="S5197" t="str">
        <f t="shared" si="2058"/>
        <v>15:18:57.000</v>
      </c>
      <c r="T5197" t="str">
        <f t="shared" si="2058"/>
        <v>15:18:57.000</v>
      </c>
      <c r="U5197" t="str">
        <f t="shared" si="2054"/>
        <v>A68FCB</v>
      </c>
      <c r="V5197">
        <v>0</v>
      </c>
      <c r="W5197">
        <v>0</v>
      </c>
      <c r="X5197">
        <v>2</v>
      </c>
      <c r="Y5197">
        <v>0</v>
      </c>
      <c r="AA5197">
        <v>1</v>
      </c>
      <c r="AB5197">
        <v>8</v>
      </c>
      <c r="AC5197">
        <v>3</v>
      </c>
      <c r="AD5197">
        <v>0</v>
      </c>
      <c r="AE5197">
        <v>9</v>
      </c>
      <c r="AF5197" t="s">
        <v>138</v>
      </c>
      <c r="AG5197">
        <v>0</v>
      </c>
      <c r="AH5197">
        <v>3</v>
      </c>
      <c r="AI5197">
        <v>2</v>
      </c>
      <c r="AJ5197">
        <v>0</v>
      </c>
      <c r="AK5197" t="s">
        <v>1637</v>
      </c>
      <c r="AL5197">
        <v>39.232221000000003</v>
      </c>
      <c r="AM5197" t="s">
        <v>1638</v>
      </c>
      <c r="AN5197">
        <v>-121.028566</v>
      </c>
      <c r="AO5197">
        <v>25</v>
      </c>
      <c r="AP5197">
        <v>3500</v>
      </c>
      <c r="AQ5197" t="s">
        <v>131</v>
      </c>
      <c r="AR5197">
        <v>-48</v>
      </c>
      <c r="AS5197">
        <v>-64</v>
      </c>
      <c r="AT5197">
        <v>-832</v>
      </c>
      <c r="BB5197" t="str">
        <f t="shared" si="2055"/>
        <v>1200</v>
      </c>
      <c r="BC5197">
        <v>1</v>
      </c>
      <c r="BD5197" t="str">
        <f t="shared" si="2056"/>
        <v xml:space="preserve">N52156  </v>
      </c>
      <c r="BE5197">
        <v>1</v>
      </c>
      <c r="BG5197">
        <v>0</v>
      </c>
      <c r="BH5197">
        <v>0</v>
      </c>
      <c r="BI5197">
        <v>0</v>
      </c>
      <c r="BJ5197">
        <v>3600</v>
      </c>
      <c r="BK5197">
        <v>100</v>
      </c>
      <c r="BL5197" t="s">
        <v>188</v>
      </c>
      <c r="BM5197">
        <v>1</v>
      </c>
      <c r="BN5197">
        <v>1</v>
      </c>
      <c r="BO5197">
        <v>0</v>
      </c>
      <c r="BP5197">
        <v>0</v>
      </c>
      <c r="BS5197">
        <v>0</v>
      </c>
      <c r="BT5197">
        <v>0</v>
      </c>
      <c r="BU5197">
        <v>0</v>
      </c>
      <c r="CE5197" t="str">
        <f t="shared" si="2059"/>
        <v>15:18:57.441</v>
      </c>
      <c r="CF5197">
        <v>440596365</v>
      </c>
      <c r="CS5197">
        <v>0</v>
      </c>
      <c r="CT5197">
        <v>2</v>
      </c>
      <c r="CU5197">
        <v>0</v>
      </c>
      <c r="CV5197">
        <v>2</v>
      </c>
      <c r="CW5197">
        <v>0</v>
      </c>
      <c r="CX5197">
        <v>2</v>
      </c>
      <c r="CY5197">
        <v>7</v>
      </c>
      <c r="CZ5197" t="s">
        <v>133</v>
      </c>
      <c r="DA5197">
        <v>273</v>
      </c>
      <c r="DB5197">
        <v>0</v>
      </c>
      <c r="DC5197" t="s">
        <v>292</v>
      </c>
      <c r="DD5197" t="s">
        <v>293</v>
      </c>
      <c r="DG5197">
        <v>4868589</v>
      </c>
      <c r="DI5197">
        <v>1</v>
      </c>
      <c r="DJ5197">
        <v>0</v>
      </c>
      <c r="DK5197">
        <v>1</v>
      </c>
      <c r="DL5197">
        <v>0</v>
      </c>
      <c r="DM5197">
        <v>0</v>
      </c>
      <c r="DN5197">
        <v>0</v>
      </c>
      <c r="DO5197">
        <v>0</v>
      </c>
      <c r="DP5197">
        <v>0</v>
      </c>
      <c r="DQ5197">
        <v>0</v>
      </c>
      <c r="DR5197">
        <v>0</v>
      </c>
      <c r="DS5197">
        <v>0</v>
      </c>
    </row>
    <row r="5198" spans="1:123" x14ac:dyDescent="0.3">
      <c r="A5198" t="str">
        <f>"05/01/2025 15:18:58.438"</f>
        <v>05/01/2025 15:18:58.438</v>
      </c>
      <c r="C5198" t="str">
        <f t="shared" si="2052"/>
        <v>FFDFD3C0</v>
      </c>
      <c r="D5198" t="s">
        <v>143</v>
      </c>
      <c r="E5198" t="str">
        <f>"05"</f>
        <v>05</v>
      </c>
      <c r="H5198">
        <v>172</v>
      </c>
      <c r="I5198" t="s">
        <v>141</v>
      </c>
      <c r="J5198" t="s">
        <v>144</v>
      </c>
      <c r="K5198">
        <v>0</v>
      </c>
      <c r="L5198">
        <v>3</v>
      </c>
      <c r="M5198">
        <v>0</v>
      </c>
      <c r="N5198">
        <v>2</v>
      </c>
      <c r="O5198">
        <v>0</v>
      </c>
      <c r="P5198">
        <v>1</v>
      </c>
      <c r="Q5198">
        <v>0</v>
      </c>
      <c r="R5198" t="s">
        <v>127</v>
      </c>
      <c r="S5198" t="str">
        <f t="shared" ref="S5198:T5203" si="2060">"15:18:58.000"</f>
        <v>15:18:58.000</v>
      </c>
      <c r="T5198" t="str">
        <f t="shared" si="2060"/>
        <v>15:18:58.000</v>
      </c>
      <c r="U5198" t="str">
        <f t="shared" si="2054"/>
        <v>A68FCB</v>
      </c>
      <c r="V5198">
        <v>0</v>
      </c>
      <c r="W5198">
        <v>0</v>
      </c>
      <c r="X5198">
        <v>2</v>
      </c>
      <c r="Y5198">
        <v>0</v>
      </c>
      <c r="AA5198">
        <v>1</v>
      </c>
      <c r="AB5198">
        <v>8</v>
      </c>
      <c r="AC5198">
        <v>3</v>
      </c>
      <c r="AD5198">
        <v>0</v>
      </c>
      <c r="AE5198">
        <v>9</v>
      </c>
      <c r="AF5198" t="s">
        <v>138</v>
      </c>
      <c r="AG5198">
        <v>0</v>
      </c>
      <c r="AH5198">
        <v>3</v>
      </c>
      <c r="AI5198">
        <v>2</v>
      </c>
      <c r="AJ5198">
        <v>0</v>
      </c>
      <c r="AK5198" t="s">
        <v>1639</v>
      </c>
      <c r="AL5198">
        <v>39.231941999999997</v>
      </c>
      <c r="AM5198" t="s">
        <v>1640</v>
      </c>
      <c r="AN5198">
        <v>-121.02886700000001</v>
      </c>
      <c r="AO5198">
        <v>25</v>
      </c>
      <c r="AP5198">
        <v>3500</v>
      </c>
      <c r="AQ5198" t="s">
        <v>131</v>
      </c>
      <c r="AR5198">
        <v>-43</v>
      </c>
      <c r="AS5198">
        <v>-67</v>
      </c>
      <c r="AT5198">
        <v>-896</v>
      </c>
      <c r="BB5198" t="str">
        <f t="shared" si="2055"/>
        <v>1200</v>
      </c>
      <c r="BC5198">
        <v>1</v>
      </c>
      <c r="BD5198" t="str">
        <f t="shared" si="2056"/>
        <v xml:space="preserve">N52156  </v>
      </c>
      <c r="BE5198">
        <v>1</v>
      </c>
      <c r="BG5198">
        <v>0</v>
      </c>
      <c r="BH5198">
        <v>0</v>
      </c>
      <c r="BI5198">
        <v>0</v>
      </c>
      <c r="BJ5198">
        <v>3575</v>
      </c>
      <c r="BK5198">
        <v>75</v>
      </c>
      <c r="BL5198" t="s">
        <v>188</v>
      </c>
      <c r="BM5198">
        <v>1</v>
      </c>
      <c r="BN5198">
        <v>1</v>
      </c>
      <c r="BO5198">
        <v>0</v>
      </c>
      <c r="BP5198">
        <v>0</v>
      </c>
      <c r="BS5198">
        <v>0</v>
      </c>
      <c r="BT5198">
        <v>0</v>
      </c>
      <c r="BU5198">
        <v>0</v>
      </c>
      <c r="CE5198" t="str">
        <f t="shared" ref="CE5198:CE5203" si="2061">"15:18:58.222"</f>
        <v>15:18:58.222</v>
      </c>
      <c r="CF5198">
        <v>221754649</v>
      </c>
      <c r="CS5198">
        <v>0</v>
      </c>
      <c r="CT5198">
        <v>2</v>
      </c>
      <c r="CU5198">
        <v>0</v>
      </c>
      <c r="CV5198">
        <v>2</v>
      </c>
      <c r="CW5198">
        <v>0</v>
      </c>
      <c r="CX5198">
        <v>2</v>
      </c>
      <c r="CY5198">
        <v>7</v>
      </c>
      <c r="CZ5198" t="s">
        <v>133</v>
      </c>
      <c r="DA5198">
        <v>275</v>
      </c>
      <c r="DB5198">
        <v>0</v>
      </c>
      <c r="DC5198" t="s">
        <v>134</v>
      </c>
      <c r="DD5198" t="s">
        <v>135</v>
      </c>
      <c r="DG5198">
        <v>3323681</v>
      </c>
      <c r="DI5198">
        <v>1</v>
      </c>
      <c r="DJ5198">
        <v>0</v>
      </c>
      <c r="DK5198">
        <v>0</v>
      </c>
      <c r="DL5198">
        <v>0</v>
      </c>
      <c r="DM5198">
        <v>0</v>
      </c>
      <c r="DN5198">
        <v>0</v>
      </c>
      <c r="DO5198">
        <v>0</v>
      </c>
      <c r="DP5198">
        <v>0</v>
      </c>
      <c r="DQ5198">
        <v>0</v>
      </c>
      <c r="DR5198">
        <v>0</v>
      </c>
      <c r="DS5198">
        <v>0</v>
      </c>
    </row>
    <row r="5199" spans="1:123" x14ac:dyDescent="0.3">
      <c r="A5199" t="str">
        <f>"05/01/2025 15:18:58.451"</f>
        <v>05/01/2025 15:18:58.451</v>
      </c>
      <c r="C5199" t="str">
        <f t="shared" si="2052"/>
        <v>FFDFD3C0</v>
      </c>
      <c r="D5199" t="s">
        <v>145</v>
      </c>
      <c r="E5199" t="str">
        <f>"09"</f>
        <v>09</v>
      </c>
      <c r="H5199">
        <v>51</v>
      </c>
      <c r="I5199" t="s">
        <v>147</v>
      </c>
      <c r="J5199" t="s">
        <v>138</v>
      </c>
      <c r="K5199">
        <v>0</v>
      </c>
      <c r="L5199">
        <v>3</v>
      </c>
      <c r="M5199">
        <v>0</v>
      </c>
      <c r="N5199">
        <v>2</v>
      </c>
      <c r="O5199">
        <v>0</v>
      </c>
      <c r="P5199">
        <v>1</v>
      </c>
      <c r="Q5199">
        <v>0</v>
      </c>
      <c r="R5199" t="s">
        <v>127</v>
      </c>
      <c r="S5199" t="str">
        <f t="shared" si="2060"/>
        <v>15:18:58.000</v>
      </c>
      <c r="T5199" t="str">
        <f t="shared" si="2060"/>
        <v>15:18:58.000</v>
      </c>
      <c r="U5199" t="str">
        <f t="shared" si="2054"/>
        <v>A68FCB</v>
      </c>
      <c r="V5199">
        <v>0</v>
      </c>
      <c r="W5199">
        <v>0</v>
      </c>
      <c r="X5199">
        <v>2</v>
      </c>
      <c r="Y5199">
        <v>0</v>
      </c>
      <c r="AA5199">
        <v>1</v>
      </c>
      <c r="AB5199">
        <v>8</v>
      </c>
      <c r="AC5199">
        <v>3</v>
      </c>
      <c r="AD5199">
        <v>0</v>
      </c>
      <c r="AE5199">
        <v>9</v>
      </c>
      <c r="AF5199" t="s">
        <v>138</v>
      </c>
      <c r="AG5199">
        <v>0</v>
      </c>
      <c r="AH5199">
        <v>3</v>
      </c>
      <c r="AI5199">
        <v>2</v>
      </c>
      <c r="AJ5199">
        <v>0</v>
      </c>
      <c r="AK5199" t="s">
        <v>1639</v>
      </c>
      <c r="AL5199">
        <v>39.231941999999997</v>
      </c>
      <c r="AM5199" t="s">
        <v>1640</v>
      </c>
      <c r="AN5199">
        <v>-121.02886700000001</v>
      </c>
      <c r="AO5199">
        <v>25</v>
      </c>
      <c r="AP5199">
        <v>3500</v>
      </c>
      <c r="AQ5199" t="s">
        <v>131</v>
      </c>
      <c r="AR5199">
        <v>-43</v>
      </c>
      <c r="AS5199">
        <v>-67</v>
      </c>
      <c r="AT5199">
        <v>-896</v>
      </c>
      <c r="BB5199" t="str">
        <f t="shared" si="2055"/>
        <v>1200</v>
      </c>
      <c r="BC5199">
        <v>1</v>
      </c>
      <c r="BD5199" t="str">
        <f t="shared" si="2056"/>
        <v xml:space="preserve">N52156  </v>
      </c>
      <c r="BE5199">
        <v>1</v>
      </c>
      <c r="BG5199">
        <v>0</v>
      </c>
      <c r="BH5199">
        <v>0</v>
      </c>
      <c r="BI5199">
        <v>0</v>
      </c>
      <c r="BJ5199">
        <v>3575</v>
      </c>
      <c r="BK5199">
        <v>75</v>
      </c>
      <c r="BL5199" t="s">
        <v>188</v>
      </c>
      <c r="BM5199">
        <v>1</v>
      </c>
      <c r="BN5199">
        <v>1</v>
      </c>
      <c r="BO5199">
        <v>0</v>
      </c>
      <c r="BP5199">
        <v>0</v>
      </c>
      <c r="BS5199">
        <v>0</v>
      </c>
      <c r="BT5199">
        <v>0</v>
      </c>
      <c r="BU5199">
        <v>0</v>
      </c>
      <c r="CE5199" t="str">
        <f t="shared" si="2061"/>
        <v>15:18:58.222</v>
      </c>
      <c r="CF5199">
        <v>221754649</v>
      </c>
      <c r="CS5199">
        <v>0</v>
      </c>
      <c r="CT5199">
        <v>2</v>
      </c>
      <c r="CU5199">
        <v>0</v>
      </c>
      <c r="CV5199">
        <v>2</v>
      </c>
      <c r="CW5199">
        <v>0</v>
      </c>
      <c r="CX5199">
        <v>2</v>
      </c>
      <c r="CY5199">
        <v>7</v>
      </c>
      <c r="CZ5199" t="s">
        <v>133</v>
      </c>
      <c r="DA5199">
        <v>275</v>
      </c>
      <c r="DB5199">
        <v>0</v>
      </c>
      <c r="DC5199" t="s">
        <v>134</v>
      </c>
      <c r="DD5199" t="s">
        <v>135</v>
      </c>
      <c r="DG5199">
        <v>3323681</v>
      </c>
      <c r="DI5199">
        <v>1</v>
      </c>
      <c r="DJ5199">
        <v>0</v>
      </c>
      <c r="DK5199">
        <v>1</v>
      </c>
      <c r="DL5199">
        <v>0</v>
      </c>
      <c r="DM5199">
        <v>0</v>
      </c>
      <c r="DN5199">
        <v>0</v>
      </c>
      <c r="DO5199">
        <v>0</v>
      </c>
      <c r="DP5199">
        <v>0</v>
      </c>
      <c r="DQ5199">
        <v>0</v>
      </c>
      <c r="DR5199">
        <v>0</v>
      </c>
      <c r="DS5199">
        <v>0</v>
      </c>
    </row>
    <row r="5200" spans="1:123" x14ac:dyDescent="0.3">
      <c r="A5200" t="str">
        <f>"05/01/2025 15:18:58.451"</f>
        <v>05/01/2025 15:18:58.451</v>
      </c>
      <c r="C5200" t="str">
        <f t="shared" si="2052"/>
        <v>FFDFD3C0</v>
      </c>
      <c r="D5200" t="s">
        <v>145</v>
      </c>
      <c r="E5200" t="str">
        <f>"05"</f>
        <v>05</v>
      </c>
      <c r="H5200">
        <v>47</v>
      </c>
      <c r="I5200" t="s">
        <v>146</v>
      </c>
      <c r="J5200" t="s">
        <v>138</v>
      </c>
      <c r="K5200">
        <v>0</v>
      </c>
      <c r="L5200">
        <v>3</v>
      </c>
      <c r="M5200">
        <v>0</v>
      </c>
      <c r="N5200">
        <v>2</v>
      </c>
      <c r="O5200">
        <v>0</v>
      </c>
      <c r="P5200">
        <v>1</v>
      </c>
      <c r="Q5200">
        <v>0</v>
      </c>
      <c r="R5200" t="s">
        <v>127</v>
      </c>
      <c r="S5200" t="str">
        <f t="shared" si="2060"/>
        <v>15:18:58.000</v>
      </c>
      <c r="T5200" t="str">
        <f t="shared" si="2060"/>
        <v>15:18:58.000</v>
      </c>
      <c r="U5200" t="str">
        <f t="shared" si="2054"/>
        <v>A68FCB</v>
      </c>
      <c r="V5200">
        <v>0</v>
      </c>
      <c r="W5200">
        <v>0</v>
      </c>
      <c r="X5200">
        <v>2</v>
      </c>
      <c r="Y5200">
        <v>0</v>
      </c>
      <c r="AA5200">
        <v>1</v>
      </c>
      <c r="AB5200">
        <v>8</v>
      </c>
      <c r="AC5200">
        <v>3</v>
      </c>
      <c r="AD5200">
        <v>0</v>
      </c>
      <c r="AE5200">
        <v>9</v>
      </c>
      <c r="AF5200" t="s">
        <v>138</v>
      </c>
      <c r="AG5200">
        <v>0</v>
      </c>
      <c r="AH5200">
        <v>3</v>
      </c>
      <c r="AI5200">
        <v>2</v>
      </c>
      <c r="AJ5200">
        <v>0</v>
      </c>
      <c r="AK5200" t="s">
        <v>1639</v>
      </c>
      <c r="AL5200">
        <v>39.231941999999997</v>
      </c>
      <c r="AM5200" t="s">
        <v>1640</v>
      </c>
      <c r="AN5200">
        <v>-121.02886700000001</v>
      </c>
      <c r="AO5200">
        <v>25</v>
      </c>
      <c r="AP5200">
        <v>3500</v>
      </c>
      <c r="AQ5200" t="s">
        <v>131</v>
      </c>
      <c r="AR5200">
        <v>-43</v>
      </c>
      <c r="AS5200">
        <v>-67</v>
      </c>
      <c r="AT5200">
        <v>-896</v>
      </c>
      <c r="BB5200" t="str">
        <f t="shared" si="2055"/>
        <v>1200</v>
      </c>
      <c r="BC5200">
        <v>1</v>
      </c>
      <c r="BD5200" t="str">
        <f t="shared" si="2056"/>
        <v xml:space="preserve">N52156  </v>
      </c>
      <c r="BE5200">
        <v>1</v>
      </c>
      <c r="BG5200">
        <v>0</v>
      </c>
      <c r="BH5200">
        <v>0</v>
      </c>
      <c r="BI5200">
        <v>0</v>
      </c>
      <c r="BJ5200">
        <v>3575</v>
      </c>
      <c r="BK5200">
        <v>75</v>
      </c>
      <c r="BL5200" t="s">
        <v>188</v>
      </c>
      <c r="BM5200">
        <v>1</v>
      </c>
      <c r="BN5200">
        <v>1</v>
      </c>
      <c r="BO5200">
        <v>0</v>
      </c>
      <c r="BP5200">
        <v>0</v>
      </c>
      <c r="BS5200">
        <v>0</v>
      </c>
      <c r="BT5200">
        <v>0</v>
      </c>
      <c r="BU5200">
        <v>0</v>
      </c>
      <c r="CE5200" t="str">
        <f t="shared" si="2061"/>
        <v>15:18:58.222</v>
      </c>
      <c r="CF5200">
        <v>221754649</v>
      </c>
      <c r="CS5200">
        <v>0</v>
      </c>
      <c r="CT5200">
        <v>2</v>
      </c>
      <c r="CU5200">
        <v>0</v>
      </c>
      <c r="CV5200">
        <v>2</v>
      </c>
      <c r="CW5200">
        <v>0</v>
      </c>
      <c r="CX5200">
        <v>2</v>
      </c>
      <c r="CY5200">
        <v>7</v>
      </c>
      <c r="CZ5200" t="s">
        <v>133</v>
      </c>
      <c r="DA5200">
        <v>275</v>
      </c>
      <c r="DB5200">
        <v>0</v>
      </c>
      <c r="DC5200" t="s">
        <v>134</v>
      </c>
      <c r="DD5200" t="s">
        <v>135</v>
      </c>
      <c r="DG5200">
        <v>3323681</v>
      </c>
      <c r="DI5200">
        <v>1</v>
      </c>
      <c r="DJ5200">
        <v>0</v>
      </c>
      <c r="DK5200">
        <v>1</v>
      </c>
      <c r="DL5200">
        <v>0</v>
      </c>
      <c r="DM5200">
        <v>0</v>
      </c>
      <c r="DN5200">
        <v>0</v>
      </c>
      <c r="DO5200">
        <v>0</v>
      </c>
      <c r="DP5200">
        <v>0</v>
      </c>
      <c r="DQ5200">
        <v>0</v>
      </c>
      <c r="DR5200">
        <v>0</v>
      </c>
      <c r="DS5200">
        <v>0</v>
      </c>
    </row>
    <row r="5201" spans="1:123" x14ac:dyDescent="0.3">
      <c r="A5201" t="str">
        <f>"05/01/2025 15:18:58.459"</f>
        <v>05/01/2025 15:18:58.459</v>
      </c>
      <c r="C5201" t="str">
        <f t="shared" si="2052"/>
        <v>FFDFD3C0</v>
      </c>
      <c r="D5201" t="s">
        <v>136</v>
      </c>
      <c r="E5201" t="str">
        <f>"20"</f>
        <v>20</v>
      </c>
      <c r="H5201">
        <v>400</v>
      </c>
      <c r="I5201" t="s">
        <v>137</v>
      </c>
      <c r="J5201" t="s">
        <v>138</v>
      </c>
      <c r="K5201">
        <v>0</v>
      </c>
      <c r="L5201">
        <v>3</v>
      </c>
      <c r="M5201">
        <v>0</v>
      </c>
      <c r="N5201">
        <v>2</v>
      </c>
      <c r="O5201">
        <v>0</v>
      </c>
      <c r="P5201">
        <v>1</v>
      </c>
      <c r="Q5201">
        <v>0</v>
      </c>
      <c r="R5201" t="s">
        <v>127</v>
      </c>
      <c r="S5201" t="str">
        <f t="shared" si="2060"/>
        <v>15:18:58.000</v>
      </c>
      <c r="T5201" t="str">
        <f t="shared" si="2060"/>
        <v>15:18:58.000</v>
      </c>
      <c r="U5201" t="str">
        <f t="shared" si="2054"/>
        <v>A68FCB</v>
      </c>
      <c r="V5201">
        <v>0</v>
      </c>
      <c r="W5201">
        <v>0</v>
      </c>
      <c r="X5201">
        <v>2</v>
      </c>
      <c r="Y5201">
        <v>0</v>
      </c>
      <c r="AA5201">
        <v>1</v>
      </c>
      <c r="AB5201">
        <v>8</v>
      </c>
      <c r="AC5201">
        <v>3</v>
      </c>
      <c r="AD5201">
        <v>0</v>
      </c>
      <c r="AE5201">
        <v>9</v>
      </c>
      <c r="AF5201" t="s">
        <v>138</v>
      </c>
      <c r="AG5201">
        <v>0</v>
      </c>
      <c r="AH5201">
        <v>3</v>
      </c>
      <c r="AI5201">
        <v>2</v>
      </c>
      <c r="AJ5201">
        <v>0</v>
      </c>
      <c r="AK5201" t="s">
        <v>1639</v>
      </c>
      <c r="AL5201">
        <v>39.231941999999997</v>
      </c>
      <c r="AM5201" t="s">
        <v>1640</v>
      </c>
      <c r="AN5201">
        <v>-121.02886700000001</v>
      </c>
      <c r="AO5201">
        <v>25</v>
      </c>
      <c r="AP5201">
        <v>3500</v>
      </c>
      <c r="AQ5201" t="s">
        <v>131</v>
      </c>
      <c r="AR5201">
        <v>-43</v>
      </c>
      <c r="AS5201">
        <v>-67</v>
      </c>
      <c r="AT5201">
        <v>-896</v>
      </c>
      <c r="BB5201" t="str">
        <f t="shared" si="2055"/>
        <v>1200</v>
      </c>
      <c r="BC5201">
        <v>1</v>
      </c>
      <c r="BD5201" t="str">
        <f t="shared" si="2056"/>
        <v xml:space="preserve">N52156  </v>
      </c>
      <c r="BE5201">
        <v>1</v>
      </c>
      <c r="BG5201">
        <v>0</v>
      </c>
      <c r="BH5201">
        <v>0</v>
      </c>
      <c r="BI5201">
        <v>0</v>
      </c>
      <c r="BJ5201">
        <v>3575</v>
      </c>
      <c r="BK5201">
        <v>75</v>
      </c>
      <c r="BL5201" t="s">
        <v>188</v>
      </c>
      <c r="BM5201">
        <v>1</v>
      </c>
      <c r="BN5201">
        <v>1</v>
      </c>
      <c r="BO5201">
        <v>0</v>
      </c>
      <c r="BP5201">
        <v>0</v>
      </c>
      <c r="BS5201">
        <v>0</v>
      </c>
      <c r="BT5201">
        <v>0</v>
      </c>
      <c r="BU5201">
        <v>0</v>
      </c>
      <c r="CE5201" t="str">
        <f t="shared" si="2061"/>
        <v>15:18:58.222</v>
      </c>
      <c r="CF5201">
        <v>221754649</v>
      </c>
      <c r="CS5201">
        <v>0</v>
      </c>
      <c r="CT5201">
        <v>2</v>
      </c>
      <c r="CU5201">
        <v>0</v>
      </c>
      <c r="CV5201">
        <v>2</v>
      </c>
      <c r="CW5201">
        <v>0</v>
      </c>
      <c r="CX5201">
        <v>2</v>
      </c>
      <c r="CY5201">
        <v>7</v>
      </c>
      <c r="CZ5201" t="s">
        <v>133</v>
      </c>
      <c r="DA5201">
        <v>275</v>
      </c>
      <c r="DB5201">
        <v>0</v>
      </c>
      <c r="DC5201" t="s">
        <v>134</v>
      </c>
      <c r="DD5201" t="s">
        <v>135</v>
      </c>
      <c r="DG5201">
        <v>3323681</v>
      </c>
      <c r="DI5201">
        <v>1</v>
      </c>
      <c r="DJ5201">
        <v>0</v>
      </c>
      <c r="DK5201">
        <v>1</v>
      </c>
      <c r="DL5201">
        <v>0</v>
      </c>
      <c r="DM5201">
        <v>0</v>
      </c>
      <c r="DN5201">
        <v>0</v>
      </c>
      <c r="DO5201">
        <v>0</v>
      </c>
      <c r="DP5201">
        <v>0</v>
      </c>
      <c r="DQ5201">
        <v>0</v>
      </c>
      <c r="DR5201">
        <v>0</v>
      </c>
      <c r="DS5201">
        <v>0</v>
      </c>
    </row>
    <row r="5202" spans="1:123" x14ac:dyDescent="0.3">
      <c r="A5202" t="str">
        <f>"05/01/2025 15:18:58.477"</f>
        <v>05/01/2025 15:18:58.477</v>
      </c>
      <c r="C5202" t="str">
        <f t="shared" si="2052"/>
        <v>FFDFD3C0</v>
      </c>
      <c r="D5202" t="s">
        <v>124</v>
      </c>
      <c r="E5202" t="str">
        <f>"06"</f>
        <v>06</v>
      </c>
      <c r="F5202">
        <v>2006</v>
      </c>
      <c r="G5202" t="s">
        <v>125</v>
      </c>
      <c r="J5202" t="s">
        <v>126</v>
      </c>
      <c r="K5202">
        <v>0</v>
      </c>
      <c r="L5202">
        <v>3</v>
      </c>
      <c r="M5202">
        <v>0</v>
      </c>
      <c r="N5202">
        <v>2</v>
      </c>
      <c r="O5202">
        <v>0</v>
      </c>
      <c r="P5202">
        <v>1</v>
      </c>
      <c r="Q5202">
        <v>0</v>
      </c>
      <c r="R5202" t="s">
        <v>127</v>
      </c>
      <c r="S5202" t="str">
        <f t="shared" si="2060"/>
        <v>15:18:58.000</v>
      </c>
      <c r="T5202" t="str">
        <f t="shared" si="2060"/>
        <v>15:18:58.000</v>
      </c>
      <c r="U5202" t="str">
        <f t="shared" si="2054"/>
        <v>A68FCB</v>
      </c>
      <c r="V5202">
        <v>0</v>
      </c>
      <c r="W5202">
        <v>0</v>
      </c>
      <c r="X5202">
        <v>2</v>
      </c>
      <c r="Y5202">
        <v>0</v>
      </c>
      <c r="AA5202">
        <v>1</v>
      </c>
      <c r="AB5202">
        <v>8</v>
      </c>
      <c r="AC5202">
        <v>3</v>
      </c>
      <c r="AD5202">
        <v>0</v>
      </c>
      <c r="AE5202">
        <v>9</v>
      </c>
      <c r="AF5202" t="s">
        <v>138</v>
      </c>
      <c r="AG5202">
        <v>0</v>
      </c>
      <c r="AH5202">
        <v>3</v>
      </c>
      <c r="AI5202">
        <v>2</v>
      </c>
      <c r="AJ5202">
        <v>0</v>
      </c>
      <c r="AK5202" t="s">
        <v>1639</v>
      </c>
      <c r="AL5202">
        <v>39.231941999999997</v>
      </c>
      <c r="AM5202" t="s">
        <v>1640</v>
      </c>
      <c r="AN5202">
        <v>-121.02886700000001</v>
      </c>
      <c r="AO5202">
        <v>25</v>
      </c>
      <c r="AP5202">
        <v>3500</v>
      </c>
      <c r="AQ5202" t="s">
        <v>131</v>
      </c>
      <c r="AR5202">
        <v>-43</v>
      </c>
      <c r="AS5202">
        <v>-67</v>
      </c>
      <c r="AT5202">
        <v>-896</v>
      </c>
      <c r="BB5202" t="str">
        <f t="shared" si="2055"/>
        <v>1200</v>
      </c>
      <c r="BC5202">
        <v>1</v>
      </c>
      <c r="BD5202" t="str">
        <f t="shared" si="2056"/>
        <v xml:space="preserve">N52156  </v>
      </c>
      <c r="BE5202">
        <v>1</v>
      </c>
      <c r="BG5202">
        <v>0</v>
      </c>
      <c r="BH5202">
        <v>0</v>
      </c>
      <c r="BI5202">
        <v>0</v>
      </c>
      <c r="BJ5202">
        <v>3575</v>
      </c>
      <c r="BK5202">
        <v>75</v>
      </c>
      <c r="BL5202" t="s">
        <v>188</v>
      </c>
      <c r="BM5202">
        <v>1</v>
      </c>
      <c r="BN5202">
        <v>1</v>
      </c>
      <c r="BO5202">
        <v>0</v>
      </c>
      <c r="BP5202">
        <v>0</v>
      </c>
      <c r="BS5202">
        <v>0</v>
      </c>
      <c r="BT5202">
        <v>0</v>
      </c>
      <c r="BU5202">
        <v>0</v>
      </c>
      <c r="CE5202" t="str">
        <f t="shared" si="2061"/>
        <v>15:18:58.222</v>
      </c>
      <c r="CF5202">
        <v>221754649</v>
      </c>
      <c r="CS5202">
        <v>0</v>
      </c>
      <c r="CT5202">
        <v>2</v>
      </c>
      <c r="CU5202">
        <v>0</v>
      </c>
      <c r="CV5202">
        <v>2</v>
      </c>
      <c r="CW5202">
        <v>0</v>
      </c>
      <c r="CX5202">
        <v>2</v>
      </c>
      <c r="CY5202">
        <v>7</v>
      </c>
      <c r="CZ5202" t="s">
        <v>133</v>
      </c>
      <c r="DA5202">
        <v>275</v>
      </c>
      <c r="DB5202">
        <v>0</v>
      </c>
      <c r="DC5202" t="s">
        <v>134</v>
      </c>
      <c r="DD5202" t="s">
        <v>135</v>
      </c>
      <c r="DG5202">
        <v>3323681</v>
      </c>
      <c r="DI5202">
        <v>1</v>
      </c>
      <c r="DJ5202">
        <v>0</v>
      </c>
      <c r="DK5202">
        <v>1</v>
      </c>
      <c r="DL5202">
        <v>0</v>
      </c>
      <c r="DM5202">
        <v>0</v>
      </c>
      <c r="DN5202">
        <v>0</v>
      </c>
      <c r="DO5202">
        <v>0</v>
      </c>
      <c r="DP5202">
        <v>0</v>
      </c>
      <c r="DQ5202">
        <v>0</v>
      </c>
      <c r="DR5202">
        <v>0</v>
      </c>
      <c r="DS5202">
        <v>0</v>
      </c>
    </row>
    <row r="5203" spans="1:123" x14ac:dyDescent="0.3">
      <c r="A5203" t="str">
        <f>"05/01/2025 15:18:58.475"</f>
        <v>05/01/2025 15:18:58.475</v>
      </c>
      <c r="C5203" t="str">
        <f t="shared" si="2052"/>
        <v>FFDFD3C0</v>
      </c>
      <c r="D5203" t="s">
        <v>140</v>
      </c>
      <c r="E5203" t="str">
        <f>"13"</f>
        <v>13</v>
      </c>
      <c r="F5203">
        <v>1019</v>
      </c>
      <c r="G5203" t="s">
        <v>141</v>
      </c>
      <c r="J5203" t="s">
        <v>142</v>
      </c>
      <c r="K5203">
        <v>0</v>
      </c>
      <c r="L5203">
        <v>3</v>
      </c>
      <c r="M5203">
        <v>0</v>
      </c>
      <c r="N5203">
        <v>2</v>
      </c>
      <c r="O5203">
        <v>0</v>
      </c>
      <c r="P5203">
        <v>1</v>
      </c>
      <c r="Q5203">
        <v>0</v>
      </c>
      <c r="R5203" t="s">
        <v>127</v>
      </c>
      <c r="S5203" t="str">
        <f t="shared" si="2060"/>
        <v>15:18:58.000</v>
      </c>
      <c r="T5203" t="str">
        <f t="shared" si="2060"/>
        <v>15:18:58.000</v>
      </c>
      <c r="U5203" t="str">
        <f t="shared" si="2054"/>
        <v>A68FCB</v>
      </c>
      <c r="V5203">
        <v>0</v>
      </c>
      <c r="W5203">
        <v>0</v>
      </c>
      <c r="X5203">
        <v>2</v>
      </c>
      <c r="Y5203">
        <v>0</v>
      </c>
      <c r="AA5203">
        <v>1</v>
      </c>
      <c r="AB5203">
        <v>8</v>
      </c>
      <c r="AC5203">
        <v>3</v>
      </c>
      <c r="AD5203">
        <v>0</v>
      </c>
      <c r="AE5203">
        <v>9</v>
      </c>
      <c r="AF5203" t="s">
        <v>138</v>
      </c>
      <c r="AG5203">
        <v>0</v>
      </c>
      <c r="AH5203">
        <v>3</v>
      </c>
      <c r="AI5203">
        <v>2</v>
      </c>
      <c r="AJ5203">
        <v>0</v>
      </c>
      <c r="AK5203" t="s">
        <v>1639</v>
      </c>
      <c r="AL5203">
        <v>39.231941999999997</v>
      </c>
      <c r="AM5203" t="s">
        <v>1640</v>
      </c>
      <c r="AN5203">
        <v>-121.02886700000001</v>
      </c>
      <c r="AO5203">
        <v>25</v>
      </c>
      <c r="AP5203">
        <v>3500</v>
      </c>
      <c r="AQ5203" t="s">
        <v>131</v>
      </c>
      <c r="AR5203">
        <v>-43</v>
      </c>
      <c r="AS5203">
        <v>-67</v>
      </c>
      <c r="AT5203">
        <v>-896</v>
      </c>
      <c r="BB5203" t="str">
        <f t="shared" si="2055"/>
        <v>1200</v>
      </c>
      <c r="BC5203">
        <v>1</v>
      </c>
      <c r="BD5203" t="str">
        <f t="shared" si="2056"/>
        <v xml:space="preserve">N52156  </v>
      </c>
      <c r="BE5203">
        <v>1</v>
      </c>
      <c r="BG5203">
        <v>0</v>
      </c>
      <c r="BH5203">
        <v>0</v>
      </c>
      <c r="BI5203">
        <v>0</v>
      </c>
      <c r="BJ5203">
        <v>3575</v>
      </c>
      <c r="BK5203">
        <v>75</v>
      </c>
      <c r="BL5203" t="s">
        <v>188</v>
      </c>
      <c r="BM5203">
        <v>1</v>
      </c>
      <c r="BN5203">
        <v>1</v>
      </c>
      <c r="BO5203">
        <v>0</v>
      </c>
      <c r="BP5203">
        <v>0</v>
      </c>
      <c r="BS5203">
        <v>0</v>
      </c>
      <c r="BT5203">
        <v>0</v>
      </c>
      <c r="BU5203">
        <v>0</v>
      </c>
      <c r="CE5203" t="str">
        <f t="shared" si="2061"/>
        <v>15:18:58.222</v>
      </c>
      <c r="CF5203">
        <v>221754649</v>
      </c>
      <c r="CS5203">
        <v>0</v>
      </c>
      <c r="CT5203">
        <v>2</v>
      </c>
      <c r="CU5203">
        <v>0</v>
      </c>
      <c r="CV5203">
        <v>2</v>
      </c>
      <c r="CW5203">
        <v>0</v>
      </c>
      <c r="CX5203">
        <v>2</v>
      </c>
      <c r="CY5203">
        <v>7</v>
      </c>
      <c r="CZ5203" t="s">
        <v>133</v>
      </c>
      <c r="DA5203">
        <v>275</v>
      </c>
      <c r="DB5203">
        <v>0</v>
      </c>
      <c r="DC5203" t="s">
        <v>134</v>
      </c>
      <c r="DD5203" t="s">
        <v>135</v>
      </c>
      <c r="DG5203">
        <v>3323681</v>
      </c>
      <c r="DI5203">
        <v>1</v>
      </c>
      <c r="DJ5203">
        <v>0</v>
      </c>
      <c r="DK5203">
        <v>1</v>
      </c>
      <c r="DL5203">
        <v>0</v>
      </c>
      <c r="DM5203">
        <v>0</v>
      </c>
      <c r="DN5203">
        <v>0</v>
      </c>
      <c r="DO5203">
        <v>0</v>
      </c>
      <c r="DP5203">
        <v>0</v>
      </c>
      <c r="DQ5203">
        <v>0</v>
      </c>
      <c r="DR5203">
        <v>0</v>
      </c>
      <c r="DS5203">
        <v>0</v>
      </c>
    </row>
    <row r="5204" spans="1:123" x14ac:dyDescent="0.3">
      <c r="A5204" t="str">
        <f>"05/01/2025 15:19:00.028"</f>
        <v>05/01/2025 15:19:00.028</v>
      </c>
      <c r="C5204" t="str">
        <f t="shared" si="2052"/>
        <v>FFDFD3C0</v>
      </c>
      <c r="D5204" t="s">
        <v>140</v>
      </c>
      <c r="E5204" t="str">
        <f>"13"</f>
        <v>13</v>
      </c>
      <c r="F5204">
        <v>1019</v>
      </c>
      <c r="G5204" t="s">
        <v>141</v>
      </c>
      <c r="J5204" t="s">
        <v>142</v>
      </c>
      <c r="K5204">
        <v>0</v>
      </c>
      <c r="L5204">
        <v>3</v>
      </c>
      <c r="M5204">
        <v>0</v>
      </c>
      <c r="N5204">
        <v>2</v>
      </c>
      <c r="O5204">
        <v>0</v>
      </c>
      <c r="P5204">
        <v>1</v>
      </c>
      <c r="Q5204">
        <v>0</v>
      </c>
      <c r="R5204" t="s">
        <v>127</v>
      </c>
      <c r="S5204" t="str">
        <f t="shared" ref="S5204:T5209" si="2062">"15:18:59.000"</f>
        <v>15:18:59.000</v>
      </c>
      <c r="T5204" t="str">
        <f t="shared" si="2062"/>
        <v>15:18:59.000</v>
      </c>
      <c r="U5204" t="str">
        <f t="shared" si="2054"/>
        <v>A68FCB</v>
      </c>
      <c r="V5204">
        <v>0</v>
      </c>
      <c r="W5204">
        <v>0</v>
      </c>
      <c r="X5204">
        <v>2</v>
      </c>
      <c r="Y5204">
        <v>0</v>
      </c>
      <c r="AA5204">
        <v>1</v>
      </c>
      <c r="AB5204">
        <v>8</v>
      </c>
      <c r="AC5204">
        <v>3</v>
      </c>
      <c r="AD5204">
        <v>0</v>
      </c>
      <c r="AE5204">
        <v>9</v>
      </c>
      <c r="AF5204" t="s">
        <v>138</v>
      </c>
      <c r="AG5204">
        <v>0</v>
      </c>
      <c r="AH5204">
        <v>3</v>
      </c>
      <c r="AI5204">
        <v>2</v>
      </c>
      <c r="AJ5204">
        <v>0</v>
      </c>
      <c r="AK5204" t="s">
        <v>1641</v>
      </c>
      <c r="AL5204">
        <v>39.231641000000003</v>
      </c>
      <c r="AM5204" t="s">
        <v>1642</v>
      </c>
      <c r="AN5204">
        <v>-121.029124</v>
      </c>
      <c r="AO5204">
        <v>25</v>
      </c>
      <c r="AP5204">
        <v>3500</v>
      </c>
      <c r="AQ5204" t="s">
        <v>131</v>
      </c>
      <c r="AR5204">
        <v>-33</v>
      </c>
      <c r="AS5204">
        <v>-69</v>
      </c>
      <c r="AT5204">
        <v>-960</v>
      </c>
      <c r="BB5204" t="str">
        <f t="shared" si="2055"/>
        <v>1200</v>
      </c>
      <c r="BC5204">
        <v>1</v>
      </c>
      <c r="BD5204" t="str">
        <f t="shared" si="2056"/>
        <v xml:space="preserve">N52156  </v>
      </c>
      <c r="BE5204">
        <v>1</v>
      </c>
      <c r="BG5204">
        <v>0</v>
      </c>
      <c r="BH5204">
        <v>0</v>
      </c>
      <c r="BI5204">
        <v>0</v>
      </c>
      <c r="BJ5204">
        <v>3575</v>
      </c>
      <c r="BK5204">
        <v>75</v>
      </c>
      <c r="BL5204" t="s">
        <v>188</v>
      </c>
      <c r="BM5204">
        <v>1</v>
      </c>
      <c r="BN5204">
        <v>1</v>
      </c>
      <c r="BO5204">
        <v>0</v>
      </c>
      <c r="BP5204">
        <v>0</v>
      </c>
      <c r="BS5204">
        <v>0</v>
      </c>
      <c r="BT5204">
        <v>0</v>
      </c>
      <c r="BU5204">
        <v>0</v>
      </c>
      <c r="CE5204" t="str">
        <f t="shared" ref="CE5204:CE5209" si="2063">"15:18:59.802"</f>
        <v>15:18:59.802</v>
      </c>
      <c r="CF5204">
        <v>802255864</v>
      </c>
      <c r="CS5204">
        <v>0</v>
      </c>
      <c r="CT5204">
        <v>2</v>
      </c>
      <c r="CU5204">
        <v>0</v>
      </c>
      <c r="CV5204">
        <v>2</v>
      </c>
      <c r="CW5204">
        <v>0</v>
      </c>
      <c r="CX5204">
        <v>3</v>
      </c>
      <c r="CY5204">
        <v>7</v>
      </c>
      <c r="CZ5204" t="s">
        <v>133</v>
      </c>
      <c r="DA5204">
        <v>275</v>
      </c>
      <c r="DB5204">
        <v>0</v>
      </c>
      <c r="DC5204" t="s">
        <v>134</v>
      </c>
      <c r="DD5204" t="s">
        <v>135</v>
      </c>
      <c r="DG5204">
        <v>3323690</v>
      </c>
      <c r="DI5204">
        <v>1</v>
      </c>
      <c r="DJ5204">
        <v>0</v>
      </c>
      <c r="DK5204">
        <v>0</v>
      </c>
      <c r="DL5204">
        <v>0</v>
      </c>
      <c r="DM5204">
        <v>0</v>
      </c>
      <c r="DN5204">
        <v>0</v>
      </c>
      <c r="DO5204">
        <v>0</v>
      </c>
      <c r="DP5204">
        <v>0</v>
      </c>
      <c r="DQ5204">
        <v>0</v>
      </c>
      <c r="DR5204">
        <v>0</v>
      </c>
      <c r="DS5204">
        <v>0</v>
      </c>
    </row>
    <row r="5205" spans="1:123" x14ac:dyDescent="0.3">
      <c r="A5205" t="str">
        <f>"05/01/2025 15:19:00.030"</f>
        <v>05/01/2025 15:19:00.030</v>
      </c>
      <c r="C5205" t="str">
        <f t="shared" si="2052"/>
        <v>FFDFD3C0</v>
      </c>
      <c r="D5205" t="s">
        <v>124</v>
      </c>
      <c r="E5205" t="str">
        <f>"06"</f>
        <v>06</v>
      </c>
      <c r="F5205">
        <v>2006</v>
      </c>
      <c r="G5205" t="s">
        <v>125</v>
      </c>
      <c r="J5205" t="s">
        <v>126</v>
      </c>
      <c r="K5205">
        <v>0</v>
      </c>
      <c r="L5205">
        <v>3</v>
      </c>
      <c r="M5205">
        <v>0</v>
      </c>
      <c r="N5205">
        <v>2</v>
      </c>
      <c r="O5205">
        <v>0</v>
      </c>
      <c r="P5205">
        <v>1</v>
      </c>
      <c r="Q5205">
        <v>0</v>
      </c>
      <c r="R5205" t="s">
        <v>127</v>
      </c>
      <c r="S5205" t="str">
        <f t="shared" si="2062"/>
        <v>15:18:59.000</v>
      </c>
      <c r="T5205" t="str">
        <f t="shared" si="2062"/>
        <v>15:18:59.000</v>
      </c>
      <c r="U5205" t="str">
        <f t="shared" si="2054"/>
        <v>A68FCB</v>
      </c>
      <c r="V5205">
        <v>0</v>
      </c>
      <c r="W5205">
        <v>0</v>
      </c>
      <c r="X5205">
        <v>2</v>
      </c>
      <c r="Y5205">
        <v>0</v>
      </c>
      <c r="AA5205">
        <v>1</v>
      </c>
      <c r="AB5205">
        <v>8</v>
      </c>
      <c r="AC5205">
        <v>3</v>
      </c>
      <c r="AD5205">
        <v>0</v>
      </c>
      <c r="AE5205">
        <v>9</v>
      </c>
      <c r="AF5205" t="s">
        <v>138</v>
      </c>
      <c r="AG5205">
        <v>0</v>
      </c>
      <c r="AH5205">
        <v>3</v>
      </c>
      <c r="AI5205">
        <v>2</v>
      </c>
      <c r="AJ5205">
        <v>0</v>
      </c>
      <c r="AK5205" t="s">
        <v>1641</v>
      </c>
      <c r="AL5205">
        <v>39.231641000000003</v>
      </c>
      <c r="AM5205" t="s">
        <v>1642</v>
      </c>
      <c r="AN5205">
        <v>-121.029124</v>
      </c>
      <c r="AO5205">
        <v>25</v>
      </c>
      <c r="AP5205">
        <v>3500</v>
      </c>
      <c r="AQ5205" t="s">
        <v>131</v>
      </c>
      <c r="AR5205">
        <v>-33</v>
      </c>
      <c r="AS5205">
        <v>-69</v>
      </c>
      <c r="AT5205">
        <v>-960</v>
      </c>
      <c r="BB5205" t="str">
        <f t="shared" si="2055"/>
        <v>1200</v>
      </c>
      <c r="BC5205">
        <v>1</v>
      </c>
      <c r="BD5205" t="str">
        <f t="shared" si="2056"/>
        <v xml:space="preserve">N52156  </v>
      </c>
      <c r="BE5205">
        <v>1</v>
      </c>
      <c r="BG5205">
        <v>0</v>
      </c>
      <c r="BH5205">
        <v>0</v>
      </c>
      <c r="BI5205">
        <v>0</v>
      </c>
      <c r="BJ5205">
        <v>3575</v>
      </c>
      <c r="BK5205">
        <v>75</v>
      </c>
      <c r="BL5205" t="s">
        <v>188</v>
      </c>
      <c r="BM5205">
        <v>1</v>
      </c>
      <c r="BN5205">
        <v>1</v>
      </c>
      <c r="BO5205">
        <v>0</v>
      </c>
      <c r="BP5205">
        <v>0</v>
      </c>
      <c r="BS5205">
        <v>0</v>
      </c>
      <c r="BT5205">
        <v>0</v>
      </c>
      <c r="BU5205">
        <v>0</v>
      </c>
      <c r="CE5205" t="str">
        <f t="shared" si="2063"/>
        <v>15:18:59.802</v>
      </c>
      <c r="CF5205">
        <v>802255864</v>
      </c>
      <c r="CS5205">
        <v>0</v>
      </c>
      <c r="CT5205">
        <v>2</v>
      </c>
      <c r="CU5205">
        <v>0</v>
      </c>
      <c r="CV5205">
        <v>2</v>
      </c>
      <c r="CW5205">
        <v>0</v>
      </c>
      <c r="CX5205">
        <v>3</v>
      </c>
      <c r="CY5205">
        <v>7</v>
      </c>
      <c r="CZ5205" t="s">
        <v>133</v>
      </c>
      <c r="DA5205">
        <v>275</v>
      </c>
      <c r="DB5205">
        <v>0</v>
      </c>
      <c r="DC5205" t="s">
        <v>134</v>
      </c>
      <c r="DD5205" t="s">
        <v>135</v>
      </c>
      <c r="DG5205">
        <v>3323690</v>
      </c>
      <c r="DI5205">
        <v>1</v>
      </c>
      <c r="DJ5205">
        <v>0</v>
      </c>
      <c r="DK5205">
        <v>1</v>
      </c>
      <c r="DL5205">
        <v>0</v>
      </c>
      <c r="DM5205">
        <v>0</v>
      </c>
      <c r="DN5205">
        <v>0</v>
      </c>
      <c r="DO5205">
        <v>0</v>
      </c>
      <c r="DP5205">
        <v>0</v>
      </c>
      <c r="DQ5205">
        <v>0</v>
      </c>
      <c r="DR5205">
        <v>0</v>
      </c>
      <c r="DS5205">
        <v>0</v>
      </c>
    </row>
    <row r="5206" spans="1:123" x14ac:dyDescent="0.3">
      <c r="A5206" t="str">
        <f>"05/01/2025 15:19:00.042"</f>
        <v>05/01/2025 15:19:00.042</v>
      </c>
      <c r="C5206" t="str">
        <f t="shared" si="2052"/>
        <v>FFDFD3C0</v>
      </c>
      <c r="D5206" t="s">
        <v>143</v>
      </c>
      <c r="E5206" t="str">
        <f>"05"</f>
        <v>05</v>
      </c>
      <c r="H5206">
        <v>172</v>
      </c>
      <c r="I5206" t="s">
        <v>141</v>
      </c>
      <c r="J5206" t="s">
        <v>144</v>
      </c>
      <c r="K5206">
        <v>0</v>
      </c>
      <c r="L5206">
        <v>3</v>
      </c>
      <c r="M5206">
        <v>0</v>
      </c>
      <c r="N5206">
        <v>2</v>
      </c>
      <c r="O5206">
        <v>0</v>
      </c>
      <c r="P5206">
        <v>1</v>
      </c>
      <c r="Q5206">
        <v>0</v>
      </c>
      <c r="R5206" t="s">
        <v>127</v>
      </c>
      <c r="S5206" t="str">
        <f t="shared" si="2062"/>
        <v>15:18:59.000</v>
      </c>
      <c r="T5206" t="str">
        <f t="shared" si="2062"/>
        <v>15:18:59.000</v>
      </c>
      <c r="U5206" t="str">
        <f t="shared" si="2054"/>
        <v>A68FCB</v>
      </c>
      <c r="V5206">
        <v>0</v>
      </c>
      <c r="W5206">
        <v>0</v>
      </c>
      <c r="X5206">
        <v>2</v>
      </c>
      <c r="Y5206">
        <v>0</v>
      </c>
      <c r="AA5206">
        <v>1</v>
      </c>
      <c r="AB5206">
        <v>8</v>
      </c>
      <c r="AC5206">
        <v>3</v>
      </c>
      <c r="AD5206">
        <v>0</v>
      </c>
      <c r="AE5206">
        <v>9</v>
      </c>
      <c r="AF5206" t="s">
        <v>138</v>
      </c>
      <c r="AG5206">
        <v>0</v>
      </c>
      <c r="AH5206">
        <v>3</v>
      </c>
      <c r="AI5206">
        <v>2</v>
      </c>
      <c r="AJ5206">
        <v>0</v>
      </c>
      <c r="AK5206" t="s">
        <v>1641</v>
      </c>
      <c r="AL5206">
        <v>39.231641000000003</v>
      </c>
      <c r="AM5206" t="s">
        <v>1642</v>
      </c>
      <c r="AN5206">
        <v>-121.029124</v>
      </c>
      <c r="AO5206">
        <v>25</v>
      </c>
      <c r="AP5206">
        <v>3500</v>
      </c>
      <c r="AQ5206" t="s">
        <v>131</v>
      </c>
      <c r="AR5206">
        <v>-33</v>
      </c>
      <c r="AS5206">
        <v>-69</v>
      </c>
      <c r="AT5206">
        <v>-960</v>
      </c>
      <c r="BB5206" t="str">
        <f t="shared" si="2055"/>
        <v>1200</v>
      </c>
      <c r="BC5206">
        <v>1</v>
      </c>
      <c r="BD5206" t="str">
        <f t="shared" si="2056"/>
        <v xml:space="preserve">N52156  </v>
      </c>
      <c r="BE5206">
        <v>1</v>
      </c>
      <c r="BG5206">
        <v>0</v>
      </c>
      <c r="BH5206">
        <v>0</v>
      </c>
      <c r="BI5206">
        <v>0</v>
      </c>
      <c r="BJ5206">
        <v>3575</v>
      </c>
      <c r="BK5206">
        <v>75</v>
      </c>
      <c r="BL5206" t="s">
        <v>188</v>
      </c>
      <c r="BM5206">
        <v>1</v>
      </c>
      <c r="BN5206">
        <v>1</v>
      </c>
      <c r="BO5206">
        <v>0</v>
      </c>
      <c r="BP5206">
        <v>0</v>
      </c>
      <c r="BS5206">
        <v>0</v>
      </c>
      <c r="BT5206">
        <v>0</v>
      </c>
      <c r="BU5206">
        <v>0</v>
      </c>
      <c r="CE5206" t="str">
        <f t="shared" si="2063"/>
        <v>15:18:59.802</v>
      </c>
      <c r="CF5206">
        <v>802255864</v>
      </c>
      <c r="CS5206">
        <v>0</v>
      </c>
      <c r="CT5206">
        <v>2</v>
      </c>
      <c r="CU5206">
        <v>0</v>
      </c>
      <c r="CV5206">
        <v>2</v>
      </c>
      <c r="CW5206">
        <v>0</v>
      </c>
      <c r="CX5206">
        <v>3</v>
      </c>
      <c r="CY5206">
        <v>7</v>
      </c>
      <c r="CZ5206" t="s">
        <v>133</v>
      </c>
      <c r="DA5206">
        <v>275</v>
      </c>
      <c r="DB5206">
        <v>0</v>
      </c>
      <c r="DC5206" t="s">
        <v>134</v>
      </c>
      <c r="DD5206" t="s">
        <v>135</v>
      </c>
      <c r="DG5206">
        <v>3323690</v>
      </c>
      <c r="DI5206">
        <v>1</v>
      </c>
      <c r="DJ5206">
        <v>0</v>
      </c>
      <c r="DK5206">
        <v>1</v>
      </c>
      <c r="DL5206">
        <v>0</v>
      </c>
      <c r="DM5206">
        <v>0</v>
      </c>
      <c r="DN5206">
        <v>0</v>
      </c>
      <c r="DO5206">
        <v>0</v>
      </c>
      <c r="DP5206">
        <v>0</v>
      </c>
      <c r="DQ5206">
        <v>0</v>
      </c>
      <c r="DR5206">
        <v>0</v>
      </c>
      <c r="DS5206">
        <v>0</v>
      </c>
    </row>
    <row r="5207" spans="1:123" x14ac:dyDescent="0.3">
      <c r="A5207" t="str">
        <f>"05/01/2025 15:19:00.054"</f>
        <v>05/01/2025 15:19:00.054</v>
      </c>
      <c r="C5207" t="str">
        <f t="shared" si="2052"/>
        <v>FFDFD3C0</v>
      </c>
      <c r="D5207" t="s">
        <v>145</v>
      </c>
      <c r="E5207" t="str">
        <f>"09"</f>
        <v>09</v>
      </c>
      <c r="H5207">
        <v>51</v>
      </c>
      <c r="I5207" t="s">
        <v>147</v>
      </c>
      <c r="J5207" t="s">
        <v>138</v>
      </c>
      <c r="K5207">
        <v>0</v>
      </c>
      <c r="L5207">
        <v>3</v>
      </c>
      <c r="M5207">
        <v>0</v>
      </c>
      <c r="N5207">
        <v>2</v>
      </c>
      <c r="O5207">
        <v>0</v>
      </c>
      <c r="P5207">
        <v>1</v>
      </c>
      <c r="Q5207">
        <v>0</v>
      </c>
      <c r="R5207" t="s">
        <v>127</v>
      </c>
      <c r="S5207" t="str">
        <f t="shared" si="2062"/>
        <v>15:18:59.000</v>
      </c>
      <c r="T5207" t="str">
        <f t="shared" si="2062"/>
        <v>15:18:59.000</v>
      </c>
      <c r="U5207" t="str">
        <f t="shared" si="2054"/>
        <v>A68FCB</v>
      </c>
      <c r="V5207">
        <v>0</v>
      </c>
      <c r="W5207">
        <v>0</v>
      </c>
      <c r="X5207">
        <v>2</v>
      </c>
      <c r="Y5207">
        <v>0</v>
      </c>
      <c r="AA5207">
        <v>1</v>
      </c>
      <c r="AB5207">
        <v>8</v>
      </c>
      <c r="AC5207">
        <v>3</v>
      </c>
      <c r="AD5207">
        <v>0</v>
      </c>
      <c r="AE5207">
        <v>9</v>
      </c>
      <c r="AF5207" t="s">
        <v>138</v>
      </c>
      <c r="AG5207">
        <v>0</v>
      </c>
      <c r="AH5207">
        <v>3</v>
      </c>
      <c r="AI5207">
        <v>2</v>
      </c>
      <c r="AJ5207">
        <v>0</v>
      </c>
      <c r="AK5207" t="s">
        <v>1641</v>
      </c>
      <c r="AL5207">
        <v>39.231641000000003</v>
      </c>
      <c r="AM5207" t="s">
        <v>1642</v>
      </c>
      <c r="AN5207">
        <v>-121.029124</v>
      </c>
      <c r="AO5207">
        <v>25</v>
      </c>
      <c r="AP5207">
        <v>3500</v>
      </c>
      <c r="AQ5207" t="s">
        <v>131</v>
      </c>
      <c r="AR5207">
        <v>-33</v>
      </c>
      <c r="AS5207">
        <v>-69</v>
      </c>
      <c r="AT5207">
        <v>-960</v>
      </c>
      <c r="BB5207" t="str">
        <f t="shared" si="2055"/>
        <v>1200</v>
      </c>
      <c r="BC5207">
        <v>1</v>
      </c>
      <c r="BD5207" t="str">
        <f t="shared" si="2056"/>
        <v xml:space="preserve">N52156  </v>
      </c>
      <c r="BE5207">
        <v>1</v>
      </c>
      <c r="BG5207">
        <v>0</v>
      </c>
      <c r="BH5207">
        <v>0</v>
      </c>
      <c r="BI5207">
        <v>0</v>
      </c>
      <c r="BJ5207">
        <v>3575</v>
      </c>
      <c r="BK5207">
        <v>75</v>
      </c>
      <c r="BL5207" t="s">
        <v>188</v>
      </c>
      <c r="BM5207">
        <v>1</v>
      </c>
      <c r="BN5207">
        <v>1</v>
      </c>
      <c r="BO5207">
        <v>0</v>
      </c>
      <c r="BP5207">
        <v>0</v>
      </c>
      <c r="BS5207">
        <v>0</v>
      </c>
      <c r="BT5207">
        <v>0</v>
      </c>
      <c r="BU5207">
        <v>0</v>
      </c>
      <c r="CE5207" t="str">
        <f t="shared" si="2063"/>
        <v>15:18:59.802</v>
      </c>
      <c r="CF5207">
        <v>802255864</v>
      </c>
      <c r="CS5207">
        <v>0</v>
      </c>
      <c r="CT5207">
        <v>2</v>
      </c>
      <c r="CU5207">
        <v>0</v>
      </c>
      <c r="CV5207">
        <v>2</v>
      </c>
      <c r="CW5207">
        <v>0</v>
      </c>
      <c r="CX5207">
        <v>3</v>
      </c>
      <c r="CY5207">
        <v>7</v>
      </c>
      <c r="CZ5207" t="s">
        <v>133</v>
      </c>
      <c r="DA5207">
        <v>275</v>
      </c>
      <c r="DB5207">
        <v>0</v>
      </c>
      <c r="DC5207" t="s">
        <v>134</v>
      </c>
      <c r="DD5207" t="s">
        <v>135</v>
      </c>
      <c r="DG5207">
        <v>3323690</v>
      </c>
      <c r="DI5207">
        <v>1</v>
      </c>
      <c r="DJ5207">
        <v>0</v>
      </c>
      <c r="DK5207">
        <v>1</v>
      </c>
      <c r="DL5207">
        <v>0</v>
      </c>
      <c r="DM5207">
        <v>0</v>
      </c>
      <c r="DN5207">
        <v>0</v>
      </c>
      <c r="DO5207">
        <v>0</v>
      </c>
      <c r="DP5207">
        <v>0</v>
      </c>
      <c r="DQ5207">
        <v>0</v>
      </c>
      <c r="DR5207">
        <v>0</v>
      </c>
      <c r="DS5207">
        <v>0</v>
      </c>
    </row>
    <row r="5208" spans="1:123" x14ac:dyDescent="0.3">
      <c r="A5208" t="str">
        <f>"05/01/2025 15:19:00.054"</f>
        <v>05/01/2025 15:19:00.054</v>
      </c>
      <c r="C5208" t="str">
        <f t="shared" si="2052"/>
        <v>FFDFD3C0</v>
      </c>
      <c r="D5208" t="s">
        <v>145</v>
      </c>
      <c r="E5208" t="str">
        <f>"05"</f>
        <v>05</v>
      </c>
      <c r="H5208">
        <v>47</v>
      </c>
      <c r="I5208" t="s">
        <v>146</v>
      </c>
      <c r="J5208" t="s">
        <v>138</v>
      </c>
      <c r="K5208">
        <v>0</v>
      </c>
      <c r="L5208">
        <v>3</v>
      </c>
      <c r="M5208">
        <v>0</v>
      </c>
      <c r="N5208">
        <v>2</v>
      </c>
      <c r="O5208">
        <v>0</v>
      </c>
      <c r="P5208">
        <v>1</v>
      </c>
      <c r="Q5208">
        <v>0</v>
      </c>
      <c r="R5208" t="s">
        <v>127</v>
      </c>
      <c r="S5208" t="str">
        <f t="shared" si="2062"/>
        <v>15:18:59.000</v>
      </c>
      <c r="T5208" t="str">
        <f t="shared" si="2062"/>
        <v>15:18:59.000</v>
      </c>
      <c r="U5208" t="str">
        <f t="shared" si="2054"/>
        <v>A68FCB</v>
      </c>
      <c r="V5208">
        <v>0</v>
      </c>
      <c r="W5208">
        <v>0</v>
      </c>
      <c r="X5208">
        <v>2</v>
      </c>
      <c r="Y5208">
        <v>0</v>
      </c>
      <c r="AA5208">
        <v>1</v>
      </c>
      <c r="AB5208">
        <v>8</v>
      </c>
      <c r="AC5208">
        <v>3</v>
      </c>
      <c r="AD5208">
        <v>0</v>
      </c>
      <c r="AE5208">
        <v>9</v>
      </c>
      <c r="AF5208" t="s">
        <v>138</v>
      </c>
      <c r="AG5208">
        <v>0</v>
      </c>
      <c r="AH5208">
        <v>3</v>
      </c>
      <c r="AI5208">
        <v>2</v>
      </c>
      <c r="AJ5208">
        <v>0</v>
      </c>
      <c r="AK5208" t="s">
        <v>1641</v>
      </c>
      <c r="AL5208">
        <v>39.231641000000003</v>
      </c>
      <c r="AM5208" t="s">
        <v>1642</v>
      </c>
      <c r="AN5208">
        <v>-121.029124</v>
      </c>
      <c r="AO5208">
        <v>25</v>
      </c>
      <c r="AP5208">
        <v>3500</v>
      </c>
      <c r="AQ5208" t="s">
        <v>131</v>
      </c>
      <c r="AR5208">
        <v>-33</v>
      </c>
      <c r="AS5208">
        <v>-69</v>
      </c>
      <c r="AT5208">
        <v>-960</v>
      </c>
      <c r="BB5208" t="str">
        <f t="shared" si="2055"/>
        <v>1200</v>
      </c>
      <c r="BC5208">
        <v>1</v>
      </c>
      <c r="BD5208" t="str">
        <f t="shared" si="2056"/>
        <v xml:space="preserve">N52156  </v>
      </c>
      <c r="BE5208">
        <v>1</v>
      </c>
      <c r="BG5208">
        <v>0</v>
      </c>
      <c r="BH5208">
        <v>0</v>
      </c>
      <c r="BI5208">
        <v>0</v>
      </c>
      <c r="BJ5208">
        <v>3575</v>
      </c>
      <c r="BK5208">
        <v>75</v>
      </c>
      <c r="BL5208" t="s">
        <v>188</v>
      </c>
      <c r="BM5208">
        <v>1</v>
      </c>
      <c r="BN5208">
        <v>1</v>
      </c>
      <c r="BO5208">
        <v>0</v>
      </c>
      <c r="BP5208">
        <v>0</v>
      </c>
      <c r="BS5208">
        <v>0</v>
      </c>
      <c r="BT5208">
        <v>0</v>
      </c>
      <c r="BU5208">
        <v>0</v>
      </c>
      <c r="CE5208" t="str">
        <f t="shared" si="2063"/>
        <v>15:18:59.802</v>
      </c>
      <c r="CF5208">
        <v>802255864</v>
      </c>
      <c r="CS5208">
        <v>0</v>
      </c>
      <c r="CT5208">
        <v>2</v>
      </c>
      <c r="CU5208">
        <v>0</v>
      </c>
      <c r="CV5208">
        <v>2</v>
      </c>
      <c r="CW5208">
        <v>0</v>
      </c>
      <c r="CX5208">
        <v>3</v>
      </c>
      <c r="CY5208">
        <v>7</v>
      </c>
      <c r="CZ5208" t="s">
        <v>133</v>
      </c>
      <c r="DA5208">
        <v>275</v>
      </c>
      <c r="DB5208">
        <v>0</v>
      </c>
      <c r="DC5208" t="s">
        <v>134</v>
      </c>
      <c r="DD5208" t="s">
        <v>135</v>
      </c>
      <c r="DG5208">
        <v>3323690</v>
      </c>
      <c r="DI5208">
        <v>1</v>
      </c>
      <c r="DJ5208">
        <v>0</v>
      </c>
      <c r="DK5208">
        <v>1</v>
      </c>
      <c r="DL5208">
        <v>0</v>
      </c>
      <c r="DM5208">
        <v>0</v>
      </c>
      <c r="DN5208">
        <v>0</v>
      </c>
      <c r="DO5208">
        <v>0</v>
      </c>
      <c r="DP5208">
        <v>0</v>
      </c>
      <c r="DQ5208">
        <v>0</v>
      </c>
      <c r="DR5208">
        <v>0</v>
      </c>
      <c r="DS5208">
        <v>0</v>
      </c>
    </row>
    <row r="5209" spans="1:123" x14ac:dyDescent="0.3">
      <c r="A5209" t="str">
        <f>"05/01/2025 15:19:00.062"</f>
        <v>05/01/2025 15:19:00.062</v>
      </c>
      <c r="C5209" t="str">
        <f t="shared" si="2052"/>
        <v>FFDFD3C0</v>
      </c>
      <c r="D5209" t="s">
        <v>136</v>
      </c>
      <c r="E5209" t="str">
        <f>"20"</f>
        <v>20</v>
      </c>
      <c r="H5209">
        <v>400</v>
      </c>
      <c r="I5209" t="s">
        <v>137</v>
      </c>
      <c r="J5209" t="s">
        <v>138</v>
      </c>
      <c r="K5209">
        <v>0</v>
      </c>
      <c r="L5209">
        <v>3</v>
      </c>
      <c r="M5209">
        <v>0</v>
      </c>
      <c r="N5209">
        <v>2</v>
      </c>
      <c r="O5209">
        <v>0</v>
      </c>
      <c r="P5209">
        <v>1</v>
      </c>
      <c r="Q5209">
        <v>0</v>
      </c>
      <c r="R5209" t="s">
        <v>127</v>
      </c>
      <c r="S5209" t="str">
        <f t="shared" si="2062"/>
        <v>15:18:59.000</v>
      </c>
      <c r="T5209" t="str">
        <f t="shared" si="2062"/>
        <v>15:18:59.000</v>
      </c>
      <c r="U5209" t="str">
        <f t="shared" si="2054"/>
        <v>A68FCB</v>
      </c>
      <c r="V5209">
        <v>0</v>
      </c>
      <c r="W5209">
        <v>0</v>
      </c>
      <c r="X5209">
        <v>2</v>
      </c>
      <c r="Y5209">
        <v>0</v>
      </c>
      <c r="AA5209">
        <v>1</v>
      </c>
      <c r="AB5209">
        <v>8</v>
      </c>
      <c r="AC5209">
        <v>3</v>
      </c>
      <c r="AD5209">
        <v>0</v>
      </c>
      <c r="AE5209">
        <v>9</v>
      </c>
      <c r="AF5209" t="s">
        <v>138</v>
      </c>
      <c r="AG5209">
        <v>0</v>
      </c>
      <c r="AH5209">
        <v>3</v>
      </c>
      <c r="AI5209">
        <v>2</v>
      </c>
      <c r="AJ5209">
        <v>0</v>
      </c>
      <c r="AK5209" t="s">
        <v>1641</v>
      </c>
      <c r="AL5209">
        <v>39.231641000000003</v>
      </c>
      <c r="AM5209" t="s">
        <v>1642</v>
      </c>
      <c r="AN5209">
        <v>-121.029124</v>
      </c>
      <c r="AO5209">
        <v>25</v>
      </c>
      <c r="AP5209">
        <v>3500</v>
      </c>
      <c r="AQ5209" t="s">
        <v>131</v>
      </c>
      <c r="AR5209">
        <v>-33</v>
      </c>
      <c r="AS5209">
        <v>-69</v>
      </c>
      <c r="AT5209">
        <v>-960</v>
      </c>
      <c r="BB5209" t="str">
        <f t="shared" si="2055"/>
        <v>1200</v>
      </c>
      <c r="BC5209">
        <v>1</v>
      </c>
      <c r="BD5209" t="str">
        <f t="shared" si="2056"/>
        <v xml:space="preserve">N52156  </v>
      </c>
      <c r="BE5209">
        <v>1</v>
      </c>
      <c r="BG5209">
        <v>0</v>
      </c>
      <c r="BH5209">
        <v>0</v>
      </c>
      <c r="BI5209">
        <v>0</v>
      </c>
      <c r="BJ5209">
        <v>3575</v>
      </c>
      <c r="BK5209">
        <v>75</v>
      </c>
      <c r="BL5209" t="s">
        <v>188</v>
      </c>
      <c r="BM5209">
        <v>1</v>
      </c>
      <c r="BN5209">
        <v>1</v>
      </c>
      <c r="BO5209">
        <v>0</v>
      </c>
      <c r="BP5209">
        <v>0</v>
      </c>
      <c r="BS5209">
        <v>0</v>
      </c>
      <c r="BT5209">
        <v>0</v>
      </c>
      <c r="BU5209">
        <v>0</v>
      </c>
      <c r="CE5209" t="str">
        <f t="shared" si="2063"/>
        <v>15:18:59.802</v>
      </c>
      <c r="CF5209">
        <v>802255864</v>
      </c>
      <c r="CS5209">
        <v>0</v>
      </c>
      <c r="CT5209">
        <v>2</v>
      </c>
      <c r="CU5209">
        <v>0</v>
      </c>
      <c r="CV5209">
        <v>2</v>
      </c>
      <c r="CW5209">
        <v>0</v>
      </c>
      <c r="CX5209">
        <v>3</v>
      </c>
      <c r="CY5209">
        <v>7</v>
      </c>
      <c r="CZ5209" t="s">
        <v>133</v>
      </c>
      <c r="DA5209">
        <v>275</v>
      </c>
      <c r="DB5209">
        <v>0</v>
      </c>
      <c r="DC5209" t="s">
        <v>134</v>
      </c>
      <c r="DD5209" t="s">
        <v>135</v>
      </c>
      <c r="DG5209">
        <v>3323690</v>
      </c>
      <c r="DI5209">
        <v>1</v>
      </c>
      <c r="DJ5209">
        <v>0</v>
      </c>
      <c r="DK5209">
        <v>1</v>
      </c>
      <c r="DL5209">
        <v>0</v>
      </c>
      <c r="DM5209">
        <v>0</v>
      </c>
      <c r="DN5209">
        <v>0</v>
      </c>
      <c r="DO5209">
        <v>0</v>
      </c>
      <c r="DP5209">
        <v>0</v>
      </c>
      <c r="DQ5209">
        <v>0</v>
      </c>
      <c r="DR5209">
        <v>0</v>
      </c>
      <c r="DS5209">
        <v>0</v>
      </c>
    </row>
    <row r="5210" spans="1:123" x14ac:dyDescent="0.3">
      <c r="A5210" t="str">
        <f>"05/01/2025 15:19:00.579"</f>
        <v>05/01/2025 15:19:00.579</v>
      </c>
      <c r="C5210" t="str">
        <f t="shared" si="2052"/>
        <v>FFDFD3C0</v>
      </c>
      <c r="D5210" t="s">
        <v>140</v>
      </c>
      <c r="E5210" t="str">
        <f>"13"</f>
        <v>13</v>
      </c>
      <c r="F5210">
        <v>1019</v>
      </c>
      <c r="G5210" t="s">
        <v>141</v>
      </c>
      <c r="J5210" t="s">
        <v>142</v>
      </c>
      <c r="K5210">
        <v>0</v>
      </c>
      <c r="L5210">
        <v>3</v>
      </c>
      <c r="M5210">
        <v>0</v>
      </c>
      <c r="N5210">
        <v>2</v>
      </c>
      <c r="O5210">
        <v>0</v>
      </c>
      <c r="P5210">
        <v>1</v>
      </c>
      <c r="Q5210">
        <v>0</v>
      </c>
      <c r="R5210" t="s">
        <v>127</v>
      </c>
      <c r="S5210" t="str">
        <f t="shared" ref="S5210:T5215" si="2064">"15:19:00.000"</f>
        <v>15:19:00.000</v>
      </c>
      <c r="T5210" t="str">
        <f t="shared" si="2064"/>
        <v>15:19:00.000</v>
      </c>
      <c r="U5210" t="str">
        <f t="shared" si="2054"/>
        <v>A68FCB</v>
      </c>
      <c r="V5210">
        <v>0</v>
      </c>
      <c r="W5210">
        <v>0</v>
      </c>
      <c r="X5210">
        <v>2</v>
      </c>
      <c r="Y5210">
        <v>0</v>
      </c>
      <c r="AA5210">
        <v>1</v>
      </c>
      <c r="AB5210">
        <v>8</v>
      </c>
      <c r="AC5210">
        <v>3</v>
      </c>
      <c r="AD5210">
        <v>0</v>
      </c>
      <c r="AE5210">
        <v>9</v>
      </c>
      <c r="AF5210" t="s">
        <v>138</v>
      </c>
      <c r="AG5210">
        <v>0</v>
      </c>
      <c r="AH5210">
        <v>3</v>
      </c>
      <c r="AI5210">
        <v>2</v>
      </c>
      <c r="AJ5210">
        <v>0</v>
      </c>
      <c r="AK5210" t="s">
        <v>1643</v>
      </c>
      <c r="AL5210">
        <v>39.231298000000002</v>
      </c>
      <c r="AM5210" t="s">
        <v>1644</v>
      </c>
      <c r="AN5210">
        <v>-121.02931700000001</v>
      </c>
      <c r="AO5210">
        <v>25</v>
      </c>
      <c r="AP5210">
        <v>3500</v>
      </c>
      <c r="AQ5210" t="s">
        <v>131</v>
      </c>
      <c r="AR5210">
        <v>-30</v>
      </c>
      <c r="AS5210">
        <v>-70</v>
      </c>
      <c r="AT5210">
        <v>-960</v>
      </c>
      <c r="BB5210" t="str">
        <f t="shared" si="2055"/>
        <v>1200</v>
      </c>
      <c r="BC5210">
        <v>1</v>
      </c>
      <c r="BD5210" t="str">
        <f t="shared" si="2056"/>
        <v xml:space="preserve">N52156  </v>
      </c>
      <c r="BE5210">
        <v>1</v>
      </c>
      <c r="BG5210">
        <v>0</v>
      </c>
      <c r="BH5210">
        <v>0</v>
      </c>
      <c r="BI5210">
        <v>0</v>
      </c>
      <c r="BJ5210">
        <v>3550</v>
      </c>
      <c r="BK5210">
        <v>50</v>
      </c>
      <c r="BL5210" t="s">
        <v>188</v>
      </c>
      <c r="BM5210">
        <v>1</v>
      </c>
      <c r="BN5210">
        <v>1</v>
      </c>
      <c r="BO5210">
        <v>0</v>
      </c>
      <c r="BP5210">
        <v>0</v>
      </c>
      <c r="BS5210">
        <v>0</v>
      </c>
      <c r="BT5210">
        <v>0</v>
      </c>
      <c r="BU5210">
        <v>0</v>
      </c>
      <c r="CE5210" t="str">
        <f t="shared" ref="CE5210:CE5215" si="2065">"15:19:00.376"</f>
        <v>15:19:00.376</v>
      </c>
      <c r="CF5210">
        <v>376092858</v>
      </c>
      <c r="CS5210">
        <v>0</v>
      </c>
      <c r="CT5210">
        <v>2</v>
      </c>
      <c r="CU5210">
        <v>0</v>
      </c>
      <c r="CV5210">
        <v>2</v>
      </c>
      <c r="CW5210">
        <v>0</v>
      </c>
      <c r="CX5210">
        <v>3</v>
      </c>
      <c r="CY5210">
        <v>7</v>
      </c>
      <c r="CZ5210" t="s">
        <v>133</v>
      </c>
      <c r="DA5210">
        <v>276</v>
      </c>
      <c r="DB5210">
        <v>0</v>
      </c>
      <c r="DC5210" t="s">
        <v>402</v>
      </c>
      <c r="DD5210" t="s">
        <v>403</v>
      </c>
      <c r="DG5210">
        <v>1629125</v>
      </c>
      <c r="DI5210">
        <v>1</v>
      </c>
      <c r="DJ5210">
        <v>0</v>
      </c>
      <c r="DK5210">
        <v>0</v>
      </c>
      <c r="DL5210">
        <v>0</v>
      </c>
      <c r="DM5210">
        <v>0</v>
      </c>
      <c r="DN5210">
        <v>0</v>
      </c>
      <c r="DO5210">
        <v>0</v>
      </c>
      <c r="DP5210">
        <v>0</v>
      </c>
      <c r="DQ5210">
        <v>0</v>
      </c>
      <c r="DR5210">
        <v>0</v>
      </c>
      <c r="DS5210">
        <v>0</v>
      </c>
    </row>
    <row r="5211" spans="1:123" x14ac:dyDescent="0.3">
      <c r="A5211" t="str">
        <f>"05/01/2025 15:19:00.580"</f>
        <v>05/01/2025 15:19:00.580</v>
      </c>
      <c r="C5211" t="str">
        <f t="shared" si="2052"/>
        <v>FFDFD3C0</v>
      </c>
      <c r="D5211" t="s">
        <v>124</v>
      </c>
      <c r="E5211" t="str">
        <f>"06"</f>
        <v>06</v>
      </c>
      <c r="F5211">
        <v>2006</v>
      </c>
      <c r="G5211" t="s">
        <v>125</v>
      </c>
      <c r="J5211" t="s">
        <v>126</v>
      </c>
      <c r="K5211">
        <v>0</v>
      </c>
      <c r="L5211">
        <v>3</v>
      </c>
      <c r="M5211">
        <v>0</v>
      </c>
      <c r="N5211">
        <v>2</v>
      </c>
      <c r="O5211">
        <v>0</v>
      </c>
      <c r="P5211">
        <v>1</v>
      </c>
      <c r="Q5211">
        <v>0</v>
      </c>
      <c r="R5211" t="s">
        <v>127</v>
      </c>
      <c r="S5211" t="str">
        <f t="shared" si="2064"/>
        <v>15:19:00.000</v>
      </c>
      <c r="T5211" t="str">
        <f t="shared" si="2064"/>
        <v>15:19:00.000</v>
      </c>
      <c r="U5211" t="str">
        <f t="shared" si="2054"/>
        <v>A68FCB</v>
      </c>
      <c r="V5211">
        <v>0</v>
      </c>
      <c r="W5211">
        <v>0</v>
      </c>
      <c r="X5211">
        <v>2</v>
      </c>
      <c r="Y5211">
        <v>0</v>
      </c>
      <c r="AA5211">
        <v>1</v>
      </c>
      <c r="AB5211">
        <v>8</v>
      </c>
      <c r="AC5211">
        <v>3</v>
      </c>
      <c r="AD5211">
        <v>0</v>
      </c>
      <c r="AE5211">
        <v>9</v>
      </c>
      <c r="AF5211" t="s">
        <v>138</v>
      </c>
      <c r="AG5211">
        <v>0</v>
      </c>
      <c r="AH5211">
        <v>3</v>
      </c>
      <c r="AI5211">
        <v>2</v>
      </c>
      <c r="AJ5211">
        <v>0</v>
      </c>
      <c r="AK5211" t="s">
        <v>1643</v>
      </c>
      <c r="AL5211">
        <v>39.231298000000002</v>
      </c>
      <c r="AM5211" t="s">
        <v>1644</v>
      </c>
      <c r="AN5211">
        <v>-121.02931700000001</v>
      </c>
      <c r="AO5211">
        <v>25</v>
      </c>
      <c r="AP5211">
        <v>3500</v>
      </c>
      <c r="AQ5211" t="s">
        <v>131</v>
      </c>
      <c r="AR5211">
        <v>-30</v>
      </c>
      <c r="AS5211">
        <v>-70</v>
      </c>
      <c r="AT5211">
        <v>-960</v>
      </c>
      <c r="BB5211" t="str">
        <f t="shared" si="2055"/>
        <v>1200</v>
      </c>
      <c r="BC5211">
        <v>1</v>
      </c>
      <c r="BD5211" t="str">
        <f t="shared" si="2056"/>
        <v xml:space="preserve">N52156  </v>
      </c>
      <c r="BE5211">
        <v>1</v>
      </c>
      <c r="BG5211">
        <v>0</v>
      </c>
      <c r="BH5211">
        <v>0</v>
      </c>
      <c r="BI5211">
        <v>0</v>
      </c>
      <c r="BJ5211">
        <v>3550</v>
      </c>
      <c r="BK5211">
        <v>50</v>
      </c>
      <c r="BL5211" t="s">
        <v>188</v>
      </c>
      <c r="BM5211">
        <v>1</v>
      </c>
      <c r="BN5211">
        <v>1</v>
      </c>
      <c r="BO5211">
        <v>0</v>
      </c>
      <c r="BP5211">
        <v>0</v>
      </c>
      <c r="BS5211">
        <v>0</v>
      </c>
      <c r="BT5211">
        <v>0</v>
      </c>
      <c r="BU5211">
        <v>0</v>
      </c>
      <c r="CE5211" t="str">
        <f t="shared" si="2065"/>
        <v>15:19:00.376</v>
      </c>
      <c r="CF5211">
        <v>376092858</v>
      </c>
      <c r="CS5211">
        <v>0</v>
      </c>
      <c r="CT5211">
        <v>2</v>
      </c>
      <c r="CU5211">
        <v>0</v>
      </c>
      <c r="CV5211">
        <v>2</v>
      </c>
      <c r="CW5211">
        <v>0</v>
      </c>
      <c r="CX5211">
        <v>3</v>
      </c>
      <c r="CY5211">
        <v>7</v>
      </c>
      <c r="CZ5211" t="s">
        <v>133</v>
      </c>
      <c r="DA5211">
        <v>276</v>
      </c>
      <c r="DB5211">
        <v>0</v>
      </c>
      <c r="DC5211" t="s">
        <v>402</v>
      </c>
      <c r="DD5211" t="s">
        <v>403</v>
      </c>
      <c r="DG5211">
        <v>1629125</v>
      </c>
      <c r="DI5211">
        <v>1</v>
      </c>
      <c r="DJ5211">
        <v>0</v>
      </c>
      <c r="DK5211">
        <v>1</v>
      </c>
      <c r="DL5211">
        <v>0</v>
      </c>
      <c r="DM5211">
        <v>0</v>
      </c>
      <c r="DN5211">
        <v>0</v>
      </c>
      <c r="DO5211">
        <v>0</v>
      </c>
      <c r="DP5211">
        <v>0</v>
      </c>
      <c r="DQ5211">
        <v>0</v>
      </c>
      <c r="DR5211">
        <v>0</v>
      </c>
      <c r="DS5211">
        <v>0</v>
      </c>
    </row>
    <row r="5212" spans="1:123" x14ac:dyDescent="0.3">
      <c r="A5212" t="str">
        <f>"05/01/2025 15:19:00.592"</f>
        <v>05/01/2025 15:19:00.592</v>
      </c>
      <c r="C5212" t="str">
        <f t="shared" si="2052"/>
        <v>FFDFD3C0</v>
      </c>
      <c r="D5212" t="s">
        <v>143</v>
      </c>
      <c r="E5212" t="str">
        <f>"05"</f>
        <v>05</v>
      </c>
      <c r="H5212">
        <v>172</v>
      </c>
      <c r="I5212" t="s">
        <v>141</v>
      </c>
      <c r="J5212" t="s">
        <v>144</v>
      </c>
      <c r="K5212">
        <v>0</v>
      </c>
      <c r="L5212">
        <v>3</v>
      </c>
      <c r="M5212">
        <v>0</v>
      </c>
      <c r="N5212">
        <v>2</v>
      </c>
      <c r="O5212">
        <v>0</v>
      </c>
      <c r="P5212">
        <v>1</v>
      </c>
      <c r="Q5212">
        <v>0</v>
      </c>
      <c r="R5212" t="s">
        <v>127</v>
      </c>
      <c r="S5212" t="str">
        <f t="shared" si="2064"/>
        <v>15:19:00.000</v>
      </c>
      <c r="T5212" t="str">
        <f t="shared" si="2064"/>
        <v>15:19:00.000</v>
      </c>
      <c r="U5212" t="str">
        <f t="shared" si="2054"/>
        <v>A68FCB</v>
      </c>
      <c r="V5212">
        <v>0</v>
      </c>
      <c r="W5212">
        <v>0</v>
      </c>
      <c r="X5212">
        <v>2</v>
      </c>
      <c r="Y5212">
        <v>0</v>
      </c>
      <c r="AA5212">
        <v>1</v>
      </c>
      <c r="AB5212">
        <v>8</v>
      </c>
      <c r="AC5212">
        <v>3</v>
      </c>
      <c r="AD5212">
        <v>0</v>
      </c>
      <c r="AE5212">
        <v>9</v>
      </c>
      <c r="AF5212" t="s">
        <v>138</v>
      </c>
      <c r="AG5212">
        <v>0</v>
      </c>
      <c r="AH5212">
        <v>3</v>
      </c>
      <c r="AI5212">
        <v>2</v>
      </c>
      <c r="AJ5212">
        <v>0</v>
      </c>
      <c r="AK5212" t="s">
        <v>1643</v>
      </c>
      <c r="AL5212">
        <v>39.231298000000002</v>
      </c>
      <c r="AM5212" t="s">
        <v>1644</v>
      </c>
      <c r="AN5212">
        <v>-121.02931700000001</v>
      </c>
      <c r="AO5212">
        <v>25</v>
      </c>
      <c r="AP5212">
        <v>3500</v>
      </c>
      <c r="AQ5212" t="s">
        <v>131</v>
      </c>
      <c r="AR5212">
        <v>-30</v>
      </c>
      <c r="AS5212">
        <v>-70</v>
      </c>
      <c r="AT5212">
        <v>-960</v>
      </c>
      <c r="BB5212" t="str">
        <f t="shared" si="2055"/>
        <v>1200</v>
      </c>
      <c r="BC5212">
        <v>1</v>
      </c>
      <c r="BD5212" t="str">
        <f t="shared" si="2056"/>
        <v xml:space="preserve">N52156  </v>
      </c>
      <c r="BE5212">
        <v>1</v>
      </c>
      <c r="BG5212">
        <v>0</v>
      </c>
      <c r="BH5212">
        <v>0</v>
      </c>
      <c r="BI5212">
        <v>0</v>
      </c>
      <c r="BJ5212">
        <v>3550</v>
      </c>
      <c r="BK5212">
        <v>50</v>
      </c>
      <c r="BL5212" t="s">
        <v>188</v>
      </c>
      <c r="BM5212">
        <v>1</v>
      </c>
      <c r="BN5212">
        <v>1</v>
      </c>
      <c r="BO5212">
        <v>0</v>
      </c>
      <c r="BP5212">
        <v>0</v>
      </c>
      <c r="BS5212">
        <v>0</v>
      </c>
      <c r="BT5212">
        <v>0</v>
      </c>
      <c r="BU5212">
        <v>0</v>
      </c>
      <c r="CE5212" t="str">
        <f t="shared" si="2065"/>
        <v>15:19:00.376</v>
      </c>
      <c r="CF5212">
        <v>376092858</v>
      </c>
      <c r="CS5212">
        <v>0</v>
      </c>
      <c r="CT5212">
        <v>2</v>
      </c>
      <c r="CU5212">
        <v>0</v>
      </c>
      <c r="CV5212">
        <v>2</v>
      </c>
      <c r="CW5212">
        <v>0</v>
      </c>
      <c r="CX5212">
        <v>3</v>
      </c>
      <c r="CY5212">
        <v>7</v>
      </c>
      <c r="CZ5212" t="s">
        <v>133</v>
      </c>
      <c r="DA5212">
        <v>276</v>
      </c>
      <c r="DB5212">
        <v>0</v>
      </c>
      <c r="DC5212" t="s">
        <v>402</v>
      </c>
      <c r="DD5212" t="s">
        <v>403</v>
      </c>
      <c r="DG5212">
        <v>1629125</v>
      </c>
      <c r="DI5212">
        <v>1</v>
      </c>
      <c r="DJ5212">
        <v>0</v>
      </c>
      <c r="DK5212">
        <v>1</v>
      </c>
      <c r="DL5212">
        <v>0</v>
      </c>
      <c r="DM5212">
        <v>0</v>
      </c>
      <c r="DN5212">
        <v>0</v>
      </c>
      <c r="DO5212">
        <v>0</v>
      </c>
      <c r="DP5212">
        <v>0</v>
      </c>
      <c r="DQ5212">
        <v>0</v>
      </c>
      <c r="DR5212">
        <v>0</v>
      </c>
      <c r="DS5212">
        <v>0</v>
      </c>
    </row>
    <row r="5213" spans="1:123" x14ac:dyDescent="0.3">
      <c r="A5213" t="str">
        <f>"05/01/2025 15:19:00.605"</f>
        <v>05/01/2025 15:19:00.605</v>
      </c>
      <c r="C5213" t="str">
        <f t="shared" si="2052"/>
        <v>FFDFD3C0</v>
      </c>
      <c r="D5213" t="s">
        <v>145</v>
      </c>
      <c r="E5213" t="str">
        <f>"05"</f>
        <v>05</v>
      </c>
      <c r="H5213">
        <v>47</v>
      </c>
      <c r="I5213" t="s">
        <v>146</v>
      </c>
      <c r="J5213" t="s">
        <v>138</v>
      </c>
      <c r="K5213">
        <v>0</v>
      </c>
      <c r="L5213">
        <v>3</v>
      </c>
      <c r="M5213">
        <v>0</v>
      </c>
      <c r="N5213">
        <v>2</v>
      </c>
      <c r="O5213">
        <v>0</v>
      </c>
      <c r="P5213">
        <v>1</v>
      </c>
      <c r="Q5213">
        <v>0</v>
      </c>
      <c r="R5213" t="s">
        <v>127</v>
      </c>
      <c r="S5213" t="str">
        <f t="shared" si="2064"/>
        <v>15:19:00.000</v>
      </c>
      <c r="T5213" t="str">
        <f t="shared" si="2064"/>
        <v>15:19:00.000</v>
      </c>
      <c r="U5213" t="str">
        <f t="shared" si="2054"/>
        <v>A68FCB</v>
      </c>
      <c r="V5213">
        <v>0</v>
      </c>
      <c r="W5213">
        <v>0</v>
      </c>
      <c r="X5213">
        <v>2</v>
      </c>
      <c r="Y5213">
        <v>0</v>
      </c>
      <c r="AA5213">
        <v>1</v>
      </c>
      <c r="AB5213">
        <v>8</v>
      </c>
      <c r="AC5213">
        <v>3</v>
      </c>
      <c r="AD5213">
        <v>0</v>
      </c>
      <c r="AE5213">
        <v>9</v>
      </c>
      <c r="AF5213" t="s">
        <v>138</v>
      </c>
      <c r="AG5213">
        <v>0</v>
      </c>
      <c r="AH5213">
        <v>3</v>
      </c>
      <c r="AI5213">
        <v>2</v>
      </c>
      <c r="AJ5213">
        <v>0</v>
      </c>
      <c r="AK5213" t="s">
        <v>1643</v>
      </c>
      <c r="AL5213">
        <v>39.231298000000002</v>
      </c>
      <c r="AM5213" t="s">
        <v>1644</v>
      </c>
      <c r="AN5213">
        <v>-121.02931700000001</v>
      </c>
      <c r="AO5213">
        <v>25</v>
      </c>
      <c r="AP5213">
        <v>3500</v>
      </c>
      <c r="AQ5213" t="s">
        <v>131</v>
      </c>
      <c r="AR5213">
        <v>-30</v>
      </c>
      <c r="AS5213">
        <v>-70</v>
      </c>
      <c r="AT5213">
        <v>-960</v>
      </c>
      <c r="BB5213" t="str">
        <f t="shared" si="2055"/>
        <v>1200</v>
      </c>
      <c r="BC5213">
        <v>1</v>
      </c>
      <c r="BD5213" t="str">
        <f t="shared" si="2056"/>
        <v xml:space="preserve">N52156  </v>
      </c>
      <c r="BE5213">
        <v>1</v>
      </c>
      <c r="BG5213">
        <v>0</v>
      </c>
      <c r="BH5213">
        <v>0</v>
      </c>
      <c r="BI5213">
        <v>0</v>
      </c>
      <c r="BJ5213">
        <v>3550</v>
      </c>
      <c r="BK5213">
        <v>50</v>
      </c>
      <c r="BL5213" t="s">
        <v>188</v>
      </c>
      <c r="BM5213">
        <v>1</v>
      </c>
      <c r="BN5213">
        <v>1</v>
      </c>
      <c r="BO5213">
        <v>0</v>
      </c>
      <c r="BP5213">
        <v>0</v>
      </c>
      <c r="BS5213">
        <v>0</v>
      </c>
      <c r="BT5213">
        <v>0</v>
      </c>
      <c r="BU5213">
        <v>0</v>
      </c>
      <c r="CE5213" t="str">
        <f t="shared" si="2065"/>
        <v>15:19:00.376</v>
      </c>
      <c r="CF5213">
        <v>376092858</v>
      </c>
      <c r="CS5213">
        <v>0</v>
      </c>
      <c r="CT5213">
        <v>2</v>
      </c>
      <c r="CU5213">
        <v>0</v>
      </c>
      <c r="CV5213">
        <v>2</v>
      </c>
      <c r="CW5213">
        <v>0</v>
      </c>
      <c r="CX5213">
        <v>3</v>
      </c>
      <c r="CY5213">
        <v>7</v>
      </c>
      <c r="CZ5213" t="s">
        <v>133</v>
      </c>
      <c r="DA5213">
        <v>276</v>
      </c>
      <c r="DB5213">
        <v>0</v>
      </c>
      <c r="DC5213" t="s">
        <v>402</v>
      </c>
      <c r="DD5213" t="s">
        <v>403</v>
      </c>
      <c r="DG5213">
        <v>1629125</v>
      </c>
      <c r="DI5213">
        <v>1</v>
      </c>
      <c r="DJ5213">
        <v>0</v>
      </c>
      <c r="DK5213">
        <v>1</v>
      </c>
      <c r="DL5213">
        <v>0</v>
      </c>
      <c r="DM5213">
        <v>0</v>
      </c>
      <c r="DN5213">
        <v>0</v>
      </c>
      <c r="DO5213">
        <v>0</v>
      </c>
      <c r="DP5213">
        <v>0</v>
      </c>
      <c r="DQ5213">
        <v>0</v>
      </c>
      <c r="DR5213">
        <v>0</v>
      </c>
      <c r="DS5213">
        <v>0</v>
      </c>
    </row>
    <row r="5214" spans="1:123" x14ac:dyDescent="0.3">
      <c r="A5214" t="str">
        <f>"05/01/2025 15:19:00.605"</f>
        <v>05/01/2025 15:19:00.605</v>
      </c>
      <c r="C5214" t="str">
        <f t="shared" si="2052"/>
        <v>FFDFD3C0</v>
      </c>
      <c r="D5214" t="s">
        <v>145</v>
      </c>
      <c r="E5214" t="str">
        <f>"09"</f>
        <v>09</v>
      </c>
      <c r="H5214">
        <v>51</v>
      </c>
      <c r="I5214" t="s">
        <v>147</v>
      </c>
      <c r="J5214" t="s">
        <v>138</v>
      </c>
      <c r="K5214">
        <v>0</v>
      </c>
      <c r="L5214">
        <v>3</v>
      </c>
      <c r="M5214">
        <v>0</v>
      </c>
      <c r="N5214">
        <v>2</v>
      </c>
      <c r="O5214">
        <v>0</v>
      </c>
      <c r="P5214">
        <v>1</v>
      </c>
      <c r="Q5214">
        <v>0</v>
      </c>
      <c r="R5214" t="s">
        <v>127</v>
      </c>
      <c r="S5214" t="str">
        <f t="shared" si="2064"/>
        <v>15:19:00.000</v>
      </c>
      <c r="T5214" t="str">
        <f t="shared" si="2064"/>
        <v>15:19:00.000</v>
      </c>
      <c r="U5214" t="str">
        <f t="shared" si="2054"/>
        <v>A68FCB</v>
      </c>
      <c r="V5214">
        <v>0</v>
      </c>
      <c r="W5214">
        <v>0</v>
      </c>
      <c r="X5214">
        <v>2</v>
      </c>
      <c r="Y5214">
        <v>0</v>
      </c>
      <c r="AA5214">
        <v>1</v>
      </c>
      <c r="AB5214">
        <v>8</v>
      </c>
      <c r="AC5214">
        <v>3</v>
      </c>
      <c r="AD5214">
        <v>0</v>
      </c>
      <c r="AE5214">
        <v>9</v>
      </c>
      <c r="AF5214" t="s">
        <v>138</v>
      </c>
      <c r="AG5214">
        <v>0</v>
      </c>
      <c r="AH5214">
        <v>3</v>
      </c>
      <c r="AI5214">
        <v>2</v>
      </c>
      <c r="AJ5214">
        <v>0</v>
      </c>
      <c r="AK5214" t="s">
        <v>1643</v>
      </c>
      <c r="AL5214">
        <v>39.231298000000002</v>
      </c>
      <c r="AM5214" t="s">
        <v>1644</v>
      </c>
      <c r="AN5214">
        <v>-121.02931700000001</v>
      </c>
      <c r="AO5214">
        <v>25</v>
      </c>
      <c r="AP5214">
        <v>3500</v>
      </c>
      <c r="AQ5214" t="s">
        <v>131</v>
      </c>
      <c r="AR5214">
        <v>-30</v>
      </c>
      <c r="AS5214">
        <v>-70</v>
      </c>
      <c r="AT5214">
        <v>-960</v>
      </c>
      <c r="BB5214" t="str">
        <f t="shared" si="2055"/>
        <v>1200</v>
      </c>
      <c r="BC5214">
        <v>1</v>
      </c>
      <c r="BD5214" t="str">
        <f t="shared" si="2056"/>
        <v xml:space="preserve">N52156  </v>
      </c>
      <c r="BE5214">
        <v>1</v>
      </c>
      <c r="BG5214">
        <v>0</v>
      </c>
      <c r="BH5214">
        <v>0</v>
      </c>
      <c r="BI5214">
        <v>0</v>
      </c>
      <c r="BJ5214">
        <v>3550</v>
      </c>
      <c r="BK5214">
        <v>50</v>
      </c>
      <c r="BL5214" t="s">
        <v>188</v>
      </c>
      <c r="BM5214">
        <v>1</v>
      </c>
      <c r="BN5214">
        <v>1</v>
      </c>
      <c r="BO5214">
        <v>0</v>
      </c>
      <c r="BP5214">
        <v>0</v>
      </c>
      <c r="BS5214">
        <v>0</v>
      </c>
      <c r="BT5214">
        <v>0</v>
      </c>
      <c r="BU5214">
        <v>0</v>
      </c>
      <c r="CE5214" t="str">
        <f t="shared" si="2065"/>
        <v>15:19:00.376</v>
      </c>
      <c r="CF5214">
        <v>376092858</v>
      </c>
      <c r="CS5214">
        <v>0</v>
      </c>
      <c r="CT5214">
        <v>2</v>
      </c>
      <c r="CU5214">
        <v>0</v>
      </c>
      <c r="CV5214">
        <v>2</v>
      </c>
      <c r="CW5214">
        <v>0</v>
      </c>
      <c r="CX5214">
        <v>3</v>
      </c>
      <c r="CY5214">
        <v>7</v>
      </c>
      <c r="CZ5214" t="s">
        <v>133</v>
      </c>
      <c r="DA5214">
        <v>276</v>
      </c>
      <c r="DB5214">
        <v>0</v>
      </c>
      <c r="DC5214" t="s">
        <v>402</v>
      </c>
      <c r="DD5214" t="s">
        <v>403</v>
      </c>
      <c r="DG5214">
        <v>1629125</v>
      </c>
      <c r="DI5214">
        <v>1</v>
      </c>
      <c r="DJ5214">
        <v>0</v>
      </c>
      <c r="DK5214">
        <v>1</v>
      </c>
      <c r="DL5214">
        <v>0</v>
      </c>
      <c r="DM5214">
        <v>0</v>
      </c>
      <c r="DN5214">
        <v>0</v>
      </c>
      <c r="DO5214">
        <v>0</v>
      </c>
      <c r="DP5214">
        <v>0</v>
      </c>
      <c r="DQ5214">
        <v>0</v>
      </c>
      <c r="DR5214">
        <v>0</v>
      </c>
      <c r="DS5214">
        <v>0</v>
      </c>
    </row>
    <row r="5215" spans="1:123" x14ac:dyDescent="0.3">
      <c r="A5215" t="str">
        <f>"05/01/2025 15:19:00.613"</f>
        <v>05/01/2025 15:19:00.613</v>
      </c>
      <c r="C5215" t="str">
        <f t="shared" si="2052"/>
        <v>FFDFD3C0</v>
      </c>
      <c r="D5215" t="s">
        <v>136</v>
      </c>
      <c r="E5215" t="str">
        <f>"20"</f>
        <v>20</v>
      </c>
      <c r="H5215">
        <v>400</v>
      </c>
      <c r="I5215" t="s">
        <v>137</v>
      </c>
      <c r="J5215" t="s">
        <v>138</v>
      </c>
      <c r="K5215">
        <v>0</v>
      </c>
      <c r="L5215">
        <v>3</v>
      </c>
      <c r="M5215">
        <v>0</v>
      </c>
      <c r="N5215">
        <v>2</v>
      </c>
      <c r="O5215">
        <v>0</v>
      </c>
      <c r="P5215">
        <v>1</v>
      </c>
      <c r="Q5215">
        <v>0</v>
      </c>
      <c r="R5215" t="s">
        <v>127</v>
      </c>
      <c r="S5215" t="str">
        <f t="shared" si="2064"/>
        <v>15:19:00.000</v>
      </c>
      <c r="T5215" t="str">
        <f t="shared" si="2064"/>
        <v>15:19:00.000</v>
      </c>
      <c r="U5215" t="str">
        <f t="shared" si="2054"/>
        <v>A68FCB</v>
      </c>
      <c r="V5215">
        <v>0</v>
      </c>
      <c r="W5215">
        <v>0</v>
      </c>
      <c r="X5215">
        <v>2</v>
      </c>
      <c r="Y5215">
        <v>0</v>
      </c>
      <c r="AA5215">
        <v>1</v>
      </c>
      <c r="AB5215">
        <v>8</v>
      </c>
      <c r="AC5215">
        <v>3</v>
      </c>
      <c r="AD5215">
        <v>0</v>
      </c>
      <c r="AE5215">
        <v>9</v>
      </c>
      <c r="AF5215" t="s">
        <v>138</v>
      </c>
      <c r="AG5215">
        <v>0</v>
      </c>
      <c r="AH5215">
        <v>3</v>
      </c>
      <c r="AI5215">
        <v>2</v>
      </c>
      <c r="AJ5215">
        <v>0</v>
      </c>
      <c r="AK5215" t="s">
        <v>1643</v>
      </c>
      <c r="AL5215">
        <v>39.231298000000002</v>
      </c>
      <c r="AM5215" t="s">
        <v>1644</v>
      </c>
      <c r="AN5215">
        <v>-121.02931700000001</v>
      </c>
      <c r="AO5215">
        <v>25</v>
      </c>
      <c r="AP5215">
        <v>3500</v>
      </c>
      <c r="AQ5215" t="s">
        <v>131</v>
      </c>
      <c r="AR5215">
        <v>-30</v>
      </c>
      <c r="AS5215">
        <v>-70</v>
      </c>
      <c r="AT5215">
        <v>-960</v>
      </c>
      <c r="BB5215" t="str">
        <f t="shared" si="2055"/>
        <v>1200</v>
      </c>
      <c r="BC5215">
        <v>1</v>
      </c>
      <c r="BD5215" t="str">
        <f t="shared" si="2056"/>
        <v xml:space="preserve">N52156  </v>
      </c>
      <c r="BE5215">
        <v>1</v>
      </c>
      <c r="BG5215">
        <v>0</v>
      </c>
      <c r="BH5215">
        <v>0</v>
      </c>
      <c r="BI5215">
        <v>0</v>
      </c>
      <c r="BJ5215">
        <v>3550</v>
      </c>
      <c r="BK5215">
        <v>50</v>
      </c>
      <c r="BL5215" t="s">
        <v>188</v>
      </c>
      <c r="BM5215">
        <v>1</v>
      </c>
      <c r="BN5215">
        <v>1</v>
      </c>
      <c r="BO5215">
        <v>0</v>
      </c>
      <c r="BP5215">
        <v>0</v>
      </c>
      <c r="BS5215">
        <v>0</v>
      </c>
      <c r="BT5215">
        <v>0</v>
      </c>
      <c r="BU5215">
        <v>0</v>
      </c>
      <c r="CE5215" t="str">
        <f t="shared" si="2065"/>
        <v>15:19:00.376</v>
      </c>
      <c r="CF5215">
        <v>376092858</v>
      </c>
      <c r="CS5215">
        <v>0</v>
      </c>
      <c r="CT5215">
        <v>2</v>
      </c>
      <c r="CU5215">
        <v>0</v>
      </c>
      <c r="CV5215">
        <v>2</v>
      </c>
      <c r="CW5215">
        <v>0</v>
      </c>
      <c r="CX5215">
        <v>3</v>
      </c>
      <c r="CY5215">
        <v>7</v>
      </c>
      <c r="CZ5215" t="s">
        <v>133</v>
      </c>
      <c r="DA5215">
        <v>276</v>
      </c>
      <c r="DB5215">
        <v>0</v>
      </c>
      <c r="DC5215" t="s">
        <v>402</v>
      </c>
      <c r="DD5215" t="s">
        <v>403</v>
      </c>
      <c r="DG5215">
        <v>1629125</v>
      </c>
      <c r="DI5215">
        <v>1</v>
      </c>
      <c r="DJ5215">
        <v>0</v>
      </c>
      <c r="DK5215">
        <v>1</v>
      </c>
      <c r="DL5215">
        <v>0</v>
      </c>
      <c r="DM5215">
        <v>0</v>
      </c>
      <c r="DN5215">
        <v>0</v>
      </c>
      <c r="DO5215">
        <v>0</v>
      </c>
      <c r="DP5215">
        <v>0</v>
      </c>
      <c r="DQ5215">
        <v>0</v>
      </c>
      <c r="DR5215">
        <v>0</v>
      </c>
      <c r="DS5215">
        <v>0</v>
      </c>
    </row>
    <row r="5216" spans="1:123" x14ac:dyDescent="0.3">
      <c r="A5216" t="str">
        <f>"05/01/2025 15:19:01.556"</f>
        <v>05/01/2025 15:19:01.556</v>
      </c>
      <c r="C5216" t="str">
        <f t="shared" si="2052"/>
        <v>FFDFD3C0</v>
      </c>
      <c r="D5216" t="s">
        <v>145</v>
      </c>
      <c r="E5216" t="str">
        <f>"09"</f>
        <v>09</v>
      </c>
      <c r="H5216">
        <v>51</v>
      </c>
      <c r="I5216" t="s">
        <v>147</v>
      </c>
      <c r="J5216" t="s">
        <v>138</v>
      </c>
      <c r="K5216">
        <v>0</v>
      </c>
      <c r="L5216">
        <v>3</v>
      </c>
      <c r="M5216">
        <v>0</v>
      </c>
      <c r="N5216">
        <v>2</v>
      </c>
      <c r="O5216">
        <v>0</v>
      </c>
      <c r="P5216">
        <v>1</v>
      </c>
      <c r="Q5216">
        <v>0</v>
      </c>
      <c r="R5216" t="s">
        <v>127</v>
      </c>
      <c r="S5216" t="str">
        <f t="shared" ref="S5216:T5221" si="2066">"15:19:01.000"</f>
        <v>15:19:01.000</v>
      </c>
      <c r="T5216" t="str">
        <f t="shared" si="2066"/>
        <v>15:19:01.000</v>
      </c>
      <c r="U5216" t="str">
        <f t="shared" si="2054"/>
        <v>A68FCB</v>
      </c>
      <c r="V5216">
        <v>0</v>
      </c>
      <c r="W5216">
        <v>0</v>
      </c>
      <c r="X5216">
        <v>2</v>
      </c>
      <c r="Y5216">
        <v>0</v>
      </c>
      <c r="AA5216">
        <v>1</v>
      </c>
      <c r="AB5216">
        <v>8</v>
      </c>
      <c r="AC5216">
        <v>3</v>
      </c>
      <c r="AD5216">
        <v>0</v>
      </c>
      <c r="AE5216">
        <v>9</v>
      </c>
      <c r="AF5216" t="s">
        <v>138</v>
      </c>
      <c r="AG5216">
        <v>0</v>
      </c>
      <c r="AH5216">
        <v>3</v>
      </c>
      <c r="AI5216">
        <v>2</v>
      </c>
      <c r="AJ5216">
        <v>0</v>
      </c>
      <c r="AK5216" t="s">
        <v>1645</v>
      </c>
      <c r="AL5216">
        <v>39.230975999999998</v>
      </c>
      <c r="AM5216" t="s">
        <v>1646</v>
      </c>
      <c r="AN5216">
        <v>-121.02951</v>
      </c>
      <c r="AO5216">
        <v>25</v>
      </c>
      <c r="AP5216">
        <v>3500</v>
      </c>
      <c r="AQ5216" t="s">
        <v>131</v>
      </c>
      <c r="AR5216">
        <v>-25</v>
      </c>
      <c r="AS5216">
        <v>-72</v>
      </c>
      <c r="AT5216">
        <v>-896</v>
      </c>
      <c r="BB5216" t="str">
        <f t="shared" si="2055"/>
        <v>1200</v>
      </c>
      <c r="BC5216">
        <v>1</v>
      </c>
      <c r="BD5216" t="str">
        <f t="shared" si="2056"/>
        <v xml:space="preserve">N52156  </v>
      </c>
      <c r="BE5216">
        <v>1</v>
      </c>
      <c r="BG5216">
        <v>0</v>
      </c>
      <c r="BH5216">
        <v>0</v>
      </c>
      <c r="BI5216">
        <v>0</v>
      </c>
      <c r="BJ5216">
        <v>3550</v>
      </c>
      <c r="BK5216">
        <v>50</v>
      </c>
      <c r="BL5216" t="s">
        <v>188</v>
      </c>
      <c r="BM5216">
        <v>1</v>
      </c>
      <c r="BN5216">
        <v>1</v>
      </c>
      <c r="BO5216">
        <v>0</v>
      </c>
      <c r="BP5216">
        <v>0</v>
      </c>
      <c r="BS5216">
        <v>0</v>
      </c>
      <c r="BT5216">
        <v>0</v>
      </c>
      <c r="BU5216">
        <v>0</v>
      </c>
      <c r="CE5216" t="str">
        <f t="shared" ref="CE5216:CE5221" si="2067">"15:19:01.352"</f>
        <v>15:19:01.352</v>
      </c>
      <c r="CF5216">
        <v>352092669</v>
      </c>
      <c r="CS5216">
        <v>0</v>
      </c>
      <c r="CT5216">
        <v>2</v>
      </c>
      <c r="CU5216">
        <v>0</v>
      </c>
      <c r="CV5216">
        <v>2</v>
      </c>
      <c r="CW5216">
        <v>0</v>
      </c>
      <c r="CX5216">
        <v>2</v>
      </c>
      <c r="CY5216">
        <v>7</v>
      </c>
      <c r="CZ5216" t="s">
        <v>133</v>
      </c>
      <c r="DA5216">
        <v>276</v>
      </c>
      <c r="DB5216">
        <v>0</v>
      </c>
      <c r="DC5216" t="s">
        <v>402</v>
      </c>
      <c r="DD5216" t="s">
        <v>403</v>
      </c>
      <c r="DG5216">
        <v>1629131</v>
      </c>
      <c r="DI5216">
        <v>1</v>
      </c>
      <c r="DJ5216">
        <v>0</v>
      </c>
      <c r="DK5216">
        <v>0</v>
      </c>
      <c r="DL5216">
        <v>0</v>
      </c>
      <c r="DM5216">
        <v>0</v>
      </c>
      <c r="DN5216">
        <v>0</v>
      </c>
      <c r="DO5216">
        <v>0</v>
      </c>
      <c r="DP5216">
        <v>0</v>
      </c>
      <c r="DQ5216">
        <v>0</v>
      </c>
      <c r="DR5216">
        <v>0</v>
      </c>
      <c r="DS5216">
        <v>0</v>
      </c>
    </row>
    <row r="5217" spans="1:123" x14ac:dyDescent="0.3">
      <c r="A5217" t="str">
        <f>"05/01/2025 15:19:01.557"</f>
        <v>05/01/2025 15:19:01.557</v>
      </c>
      <c r="C5217" t="str">
        <f t="shared" si="2052"/>
        <v>FFDFD3C0</v>
      </c>
      <c r="D5217" t="s">
        <v>145</v>
      </c>
      <c r="E5217" t="str">
        <f>"05"</f>
        <v>05</v>
      </c>
      <c r="H5217">
        <v>47</v>
      </c>
      <c r="I5217" t="s">
        <v>146</v>
      </c>
      <c r="J5217" t="s">
        <v>138</v>
      </c>
      <c r="K5217">
        <v>0</v>
      </c>
      <c r="L5217">
        <v>3</v>
      </c>
      <c r="M5217">
        <v>0</v>
      </c>
      <c r="N5217">
        <v>2</v>
      </c>
      <c r="O5217">
        <v>0</v>
      </c>
      <c r="P5217">
        <v>1</v>
      </c>
      <c r="Q5217">
        <v>0</v>
      </c>
      <c r="R5217" t="s">
        <v>127</v>
      </c>
      <c r="S5217" t="str">
        <f t="shared" si="2066"/>
        <v>15:19:01.000</v>
      </c>
      <c r="T5217" t="str">
        <f t="shared" si="2066"/>
        <v>15:19:01.000</v>
      </c>
      <c r="U5217" t="str">
        <f t="shared" si="2054"/>
        <v>A68FCB</v>
      </c>
      <c r="V5217">
        <v>0</v>
      </c>
      <c r="W5217">
        <v>0</v>
      </c>
      <c r="X5217">
        <v>2</v>
      </c>
      <c r="Y5217">
        <v>0</v>
      </c>
      <c r="AA5217">
        <v>1</v>
      </c>
      <c r="AB5217">
        <v>8</v>
      </c>
      <c r="AC5217">
        <v>3</v>
      </c>
      <c r="AD5217">
        <v>0</v>
      </c>
      <c r="AE5217">
        <v>9</v>
      </c>
      <c r="AF5217" t="s">
        <v>138</v>
      </c>
      <c r="AG5217">
        <v>0</v>
      </c>
      <c r="AH5217">
        <v>3</v>
      </c>
      <c r="AI5217">
        <v>2</v>
      </c>
      <c r="AJ5217">
        <v>0</v>
      </c>
      <c r="AK5217" t="s">
        <v>1645</v>
      </c>
      <c r="AL5217">
        <v>39.230975999999998</v>
      </c>
      <c r="AM5217" t="s">
        <v>1646</v>
      </c>
      <c r="AN5217">
        <v>-121.02951</v>
      </c>
      <c r="AO5217">
        <v>25</v>
      </c>
      <c r="AP5217">
        <v>3500</v>
      </c>
      <c r="AQ5217" t="s">
        <v>131</v>
      </c>
      <c r="AR5217">
        <v>-25</v>
      </c>
      <c r="AS5217">
        <v>-72</v>
      </c>
      <c r="AT5217">
        <v>-896</v>
      </c>
      <c r="BB5217" t="str">
        <f t="shared" si="2055"/>
        <v>1200</v>
      </c>
      <c r="BC5217">
        <v>1</v>
      </c>
      <c r="BD5217" t="str">
        <f t="shared" si="2056"/>
        <v xml:space="preserve">N52156  </v>
      </c>
      <c r="BE5217">
        <v>1</v>
      </c>
      <c r="BG5217">
        <v>0</v>
      </c>
      <c r="BH5217">
        <v>0</v>
      </c>
      <c r="BI5217">
        <v>0</v>
      </c>
      <c r="BJ5217">
        <v>3550</v>
      </c>
      <c r="BK5217">
        <v>50</v>
      </c>
      <c r="BL5217" t="s">
        <v>188</v>
      </c>
      <c r="BM5217">
        <v>1</v>
      </c>
      <c r="BN5217">
        <v>1</v>
      </c>
      <c r="BO5217">
        <v>0</v>
      </c>
      <c r="BP5217">
        <v>0</v>
      </c>
      <c r="BS5217">
        <v>0</v>
      </c>
      <c r="BT5217">
        <v>0</v>
      </c>
      <c r="BU5217">
        <v>0</v>
      </c>
      <c r="CE5217" t="str">
        <f t="shared" si="2067"/>
        <v>15:19:01.352</v>
      </c>
      <c r="CF5217">
        <v>352092669</v>
      </c>
      <c r="CS5217">
        <v>0</v>
      </c>
      <c r="CT5217">
        <v>2</v>
      </c>
      <c r="CU5217">
        <v>0</v>
      </c>
      <c r="CV5217">
        <v>2</v>
      </c>
      <c r="CW5217">
        <v>0</v>
      </c>
      <c r="CX5217">
        <v>2</v>
      </c>
      <c r="CY5217">
        <v>7</v>
      </c>
      <c r="CZ5217" t="s">
        <v>133</v>
      </c>
      <c r="DA5217">
        <v>276</v>
      </c>
      <c r="DB5217">
        <v>0</v>
      </c>
      <c r="DC5217" t="s">
        <v>402</v>
      </c>
      <c r="DD5217" t="s">
        <v>403</v>
      </c>
      <c r="DG5217">
        <v>1629131</v>
      </c>
      <c r="DI5217">
        <v>1</v>
      </c>
      <c r="DJ5217">
        <v>0</v>
      </c>
      <c r="DK5217">
        <v>1</v>
      </c>
      <c r="DL5217">
        <v>0</v>
      </c>
      <c r="DM5217">
        <v>0</v>
      </c>
      <c r="DN5217">
        <v>0</v>
      </c>
      <c r="DO5217">
        <v>0</v>
      </c>
      <c r="DP5217">
        <v>0</v>
      </c>
      <c r="DQ5217">
        <v>0</v>
      </c>
      <c r="DR5217">
        <v>0</v>
      </c>
      <c r="DS5217">
        <v>0</v>
      </c>
    </row>
    <row r="5218" spans="1:123" x14ac:dyDescent="0.3">
      <c r="A5218" t="str">
        <f>"05/01/2025 15:19:01.564"</f>
        <v>05/01/2025 15:19:01.564</v>
      </c>
      <c r="C5218" t="str">
        <f t="shared" si="2052"/>
        <v>FFDFD3C0</v>
      </c>
      <c r="D5218" t="s">
        <v>136</v>
      </c>
      <c r="E5218" t="str">
        <f>"20"</f>
        <v>20</v>
      </c>
      <c r="H5218">
        <v>400</v>
      </c>
      <c r="I5218" t="s">
        <v>137</v>
      </c>
      <c r="J5218" t="s">
        <v>138</v>
      </c>
      <c r="K5218">
        <v>0</v>
      </c>
      <c r="L5218">
        <v>3</v>
      </c>
      <c r="M5218">
        <v>0</v>
      </c>
      <c r="N5218">
        <v>2</v>
      </c>
      <c r="O5218">
        <v>0</v>
      </c>
      <c r="P5218">
        <v>1</v>
      </c>
      <c r="Q5218">
        <v>0</v>
      </c>
      <c r="R5218" t="s">
        <v>127</v>
      </c>
      <c r="S5218" t="str">
        <f t="shared" si="2066"/>
        <v>15:19:01.000</v>
      </c>
      <c r="T5218" t="str">
        <f t="shared" si="2066"/>
        <v>15:19:01.000</v>
      </c>
      <c r="U5218" t="str">
        <f t="shared" si="2054"/>
        <v>A68FCB</v>
      </c>
      <c r="V5218">
        <v>0</v>
      </c>
      <c r="W5218">
        <v>0</v>
      </c>
      <c r="X5218">
        <v>2</v>
      </c>
      <c r="Y5218">
        <v>0</v>
      </c>
      <c r="AA5218">
        <v>1</v>
      </c>
      <c r="AB5218">
        <v>8</v>
      </c>
      <c r="AC5218">
        <v>3</v>
      </c>
      <c r="AD5218">
        <v>0</v>
      </c>
      <c r="AE5218">
        <v>9</v>
      </c>
      <c r="AF5218" t="s">
        <v>138</v>
      </c>
      <c r="AG5218">
        <v>0</v>
      </c>
      <c r="AH5218">
        <v>3</v>
      </c>
      <c r="AI5218">
        <v>2</v>
      </c>
      <c r="AJ5218">
        <v>0</v>
      </c>
      <c r="AK5218" t="s">
        <v>1645</v>
      </c>
      <c r="AL5218">
        <v>39.230975999999998</v>
      </c>
      <c r="AM5218" t="s">
        <v>1646</v>
      </c>
      <c r="AN5218">
        <v>-121.02951</v>
      </c>
      <c r="AO5218">
        <v>25</v>
      </c>
      <c r="AP5218">
        <v>3500</v>
      </c>
      <c r="AQ5218" t="s">
        <v>131</v>
      </c>
      <c r="AR5218">
        <v>-25</v>
      </c>
      <c r="AS5218">
        <v>-72</v>
      </c>
      <c r="AT5218">
        <v>-896</v>
      </c>
      <c r="BB5218" t="str">
        <f t="shared" si="2055"/>
        <v>1200</v>
      </c>
      <c r="BC5218">
        <v>1</v>
      </c>
      <c r="BD5218" t="str">
        <f t="shared" si="2056"/>
        <v xml:space="preserve">N52156  </v>
      </c>
      <c r="BE5218">
        <v>1</v>
      </c>
      <c r="BG5218">
        <v>0</v>
      </c>
      <c r="BH5218">
        <v>0</v>
      </c>
      <c r="BI5218">
        <v>0</v>
      </c>
      <c r="BJ5218">
        <v>3550</v>
      </c>
      <c r="BK5218">
        <v>50</v>
      </c>
      <c r="BL5218" t="s">
        <v>188</v>
      </c>
      <c r="BM5218">
        <v>1</v>
      </c>
      <c r="BN5218">
        <v>1</v>
      </c>
      <c r="BO5218">
        <v>0</v>
      </c>
      <c r="BP5218">
        <v>0</v>
      </c>
      <c r="BS5218">
        <v>0</v>
      </c>
      <c r="BT5218">
        <v>0</v>
      </c>
      <c r="BU5218">
        <v>0</v>
      </c>
      <c r="CE5218" t="str">
        <f t="shared" si="2067"/>
        <v>15:19:01.352</v>
      </c>
      <c r="CF5218">
        <v>352092669</v>
      </c>
      <c r="CS5218">
        <v>0</v>
      </c>
      <c r="CT5218">
        <v>2</v>
      </c>
      <c r="CU5218">
        <v>0</v>
      </c>
      <c r="CV5218">
        <v>2</v>
      </c>
      <c r="CW5218">
        <v>0</v>
      </c>
      <c r="CX5218">
        <v>2</v>
      </c>
      <c r="CY5218">
        <v>7</v>
      </c>
      <c r="CZ5218" t="s">
        <v>133</v>
      </c>
      <c r="DA5218">
        <v>276</v>
      </c>
      <c r="DB5218">
        <v>0</v>
      </c>
      <c r="DC5218" t="s">
        <v>402</v>
      </c>
      <c r="DD5218" t="s">
        <v>403</v>
      </c>
      <c r="DG5218">
        <v>1629131</v>
      </c>
      <c r="DI5218">
        <v>1</v>
      </c>
      <c r="DJ5218">
        <v>0</v>
      </c>
      <c r="DK5218">
        <v>1</v>
      </c>
      <c r="DL5218">
        <v>0</v>
      </c>
      <c r="DM5218">
        <v>0</v>
      </c>
      <c r="DN5218">
        <v>0</v>
      </c>
      <c r="DO5218">
        <v>0</v>
      </c>
      <c r="DP5218">
        <v>0</v>
      </c>
      <c r="DQ5218">
        <v>0</v>
      </c>
      <c r="DR5218">
        <v>0</v>
      </c>
      <c r="DS5218">
        <v>0</v>
      </c>
    </row>
    <row r="5219" spans="1:123" x14ac:dyDescent="0.3">
      <c r="A5219" t="str">
        <f>"05/01/2025 15:19:01.581"</f>
        <v>05/01/2025 15:19:01.581</v>
      </c>
      <c r="C5219" t="str">
        <f t="shared" si="2052"/>
        <v>FFDFD3C0</v>
      </c>
      <c r="D5219" t="s">
        <v>140</v>
      </c>
      <c r="E5219" t="str">
        <f>"13"</f>
        <v>13</v>
      </c>
      <c r="F5219">
        <v>1019</v>
      </c>
      <c r="G5219" t="s">
        <v>141</v>
      </c>
      <c r="J5219" t="s">
        <v>142</v>
      </c>
      <c r="K5219">
        <v>0</v>
      </c>
      <c r="L5219">
        <v>3</v>
      </c>
      <c r="M5219">
        <v>0</v>
      </c>
      <c r="N5219">
        <v>2</v>
      </c>
      <c r="O5219">
        <v>0</v>
      </c>
      <c r="P5219">
        <v>1</v>
      </c>
      <c r="Q5219">
        <v>0</v>
      </c>
      <c r="R5219" t="s">
        <v>127</v>
      </c>
      <c r="S5219" t="str">
        <f t="shared" si="2066"/>
        <v>15:19:01.000</v>
      </c>
      <c r="T5219" t="str">
        <f t="shared" si="2066"/>
        <v>15:19:01.000</v>
      </c>
      <c r="U5219" t="str">
        <f t="shared" si="2054"/>
        <v>A68FCB</v>
      </c>
      <c r="V5219">
        <v>0</v>
      </c>
      <c r="W5219">
        <v>0</v>
      </c>
      <c r="X5219">
        <v>2</v>
      </c>
      <c r="Y5219">
        <v>0</v>
      </c>
      <c r="AA5219">
        <v>1</v>
      </c>
      <c r="AB5219">
        <v>8</v>
      </c>
      <c r="AC5219">
        <v>3</v>
      </c>
      <c r="AD5219">
        <v>0</v>
      </c>
      <c r="AE5219">
        <v>9</v>
      </c>
      <c r="AF5219" t="s">
        <v>138</v>
      </c>
      <c r="AG5219">
        <v>0</v>
      </c>
      <c r="AH5219">
        <v>3</v>
      </c>
      <c r="AI5219">
        <v>2</v>
      </c>
      <c r="AJ5219">
        <v>0</v>
      </c>
      <c r="AK5219" t="s">
        <v>1645</v>
      </c>
      <c r="AL5219">
        <v>39.230975999999998</v>
      </c>
      <c r="AM5219" t="s">
        <v>1646</v>
      </c>
      <c r="AN5219">
        <v>-121.02951</v>
      </c>
      <c r="AO5219">
        <v>25</v>
      </c>
      <c r="AP5219">
        <v>3500</v>
      </c>
      <c r="AQ5219" t="s">
        <v>131</v>
      </c>
      <c r="AR5219">
        <v>-25</v>
      </c>
      <c r="AS5219">
        <v>-72</v>
      </c>
      <c r="AT5219">
        <v>-896</v>
      </c>
      <c r="BB5219" t="str">
        <f t="shared" si="2055"/>
        <v>1200</v>
      </c>
      <c r="BC5219">
        <v>1</v>
      </c>
      <c r="BD5219" t="str">
        <f t="shared" si="2056"/>
        <v xml:space="preserve">N52156  </v>
      </c>
      <c r="BE5219">
        <v>1</v>
      </c>
      <c r="BG5219">
        <v>0</v>
      </c>
      <c r="BH5219">
        <v>0</v>
      </c>
      <c r="BI5219">
        <v>0</v>
      </c>
      <c r="BJ5219">
        <v>3550</v>
      </c>
      <c r="BK5219">
        <v>50</v>
      </c>
      <c r="BL5219" t="s">
        <v>188</v>
      </c>
      <c r="BM5219">
        <v>1</v>
      </c>
      <c r="BN5219">
        <v>1</v>
      </c>
      <c r="BO5219">
        <v>0</v>
      </c>
      <c r="BP5219">
        <v>0</v>
      </c>
      <c r="BS5219">
        <v>0</v>
      </c>
      <c r="BT5219">
        <v>0</v>
      </c>
      <c r="BU5219">
        <v>0</v>
      </c>
      <c r="CE5219" t="str">
        <f t="shared" si="2067"/>
        <v>15:19:01.352</v>
      </c>
      <c r="CF5219">
        <v>352092669</v>
      </c>
      <c r="CS5219">
        <v>0</v>
      </c>
      <c r="CT5219">
        <v>2</v>
      </c>
      <c r="CU5219">
        <v>0</v>
      </c>
      <c r="CV5219">
        <v>2</v>
      </c>
      <c r="CW5219">
        <v>0</v>
      </c>
      <c r="CX5219">
        <v>2</v>
      </c>
      <c r="CY5219">
        <v>7</v>
      </c>
      <c r="CZ5219" t="s">
        <v>133</v>
      </c>
      <c r="DA5219">
        <v>276</v>
      </c>
      <c r="DB5219">
        <v>0</v>
      </c>
      <c r="DC5219" t="s">
        <v>402</v>
      </c>
      <c r="DD5219" t="s">
        <v>403</v>
      </c>
      <c r="DG5219">
        <v>1629131</v>
      </c>
      <c r="DI5219">
        <v>1</v>
      </c>
      <c r="DJ5219">
        <v>0</v>
      </c>
      <c r="DK5219">
        <v>1</v>
      </c>
      <c r="DL5219">
        <v>0</v>
      </c>
      <c r="DM5219">
        <v>0</v>
      </c>
      <c r="DN5219">
        <v>0</v>
      </c>
      <c r="DO5219">
        <v>0</v>
      </c>
      <c r="DP5219">
        <v>0</v>
      </c>
      <c r="DQ5219">
        <v>0</v>
      </c>
      <c r="DR5219">
        <v>0</v>
      </c>
      <c r="DS5219">
        <v>0</v>
      </c>
    </row>
    <row r="5220" spans="1:123" x14ac:dyDescent="0.3">
      <c r="A5220" t="str">
        <f>"05/01/2025 15:19:01.582"</f>
        <v>05/01/2025 15:19:01.582</v>
      </c>
      <c r="C5220" t="str">
        <f t="shared" si="2052"/>
        <v>FFDFD3C0</v>
      </c>
      <c r="D5220" t="s">
        <v>124</v>
      </c>
      <c r="E5220" t="str">
        <f>"06"</f>
        <v>06</v>
      </c>
      <c r="F5220">
        <v>2006</v>
      </c>
      <c r="G5220" t="s">
        <v>125</v>
      </c>
      <c r="J5220" t="s">
        <v>126</v>
      </c>
      <c r="K5220">
        <v>0</v>
      </c>
      <c r="L5220">
        <v>3</v>
      </c>
      <c r="M5220">
        <v>0</v>
      </c>
      <c r="N5220">
        <v>2</v>
      </c>
      <c r="O5220">
        <v>0</v>
      </c>
      <c r="P5220">
        <v>1</v>
      </c>
      <c r="Q5220">
        <v>0</v>
      </c>
      <c r="R5220" t="s">
        <v>127</v>
      </c>
      <c r="S5220" t="str">
        <f t="shared" si="2066"/>
        <v>15:19:01.000</v>
      </c>
      <c r="T5220" t="str">
        <f t="shared" si="2066"/>
        <v>15:19:01.000</v>
      </c>
      <c r="U5220" t="str">
        <f t="shared" si="2054"/>
        <v>A68FCB</v>
      </c>
      <c r="V5220">
        <v>0</v>
      </c>
      <c r="W5220">
        <v>0</v>
      </c>
      <c r="X5220">
        <v>2</v>
      </c>
      <c r="Y5220">
        <v>0</v>
      </c>
      <c r="AA5220">
        <v>1</v>
      </c>
      <c r="AB5220">
        <v>8</v>
      </c>
      <c r="AC5220">
        <v>3</v>
      </c>
      <c r="AD5220">
        <v>0</v>
      </c>
      <c r="AE5220">
        <v>9</v>
      </c>
      <c r="AF5220" t="s">
        <v>138</v>
      </c>
      <c r="AG5220">
        <v>0</v>
      </c>
      <c r="AH5220">
        <v>3</v>
      </c>
      <c r="AI5220">
        <v>2</v>
      </c>
      <c r="AJ5220">
        <v>0</v>
      </c>
      <c r="AK5220" t="s">
        <v>1645</v>
      </c>
      <c r="AL5220">
        <v>39.230975999999998</v>
      </c>
      <c r="AM5220" t="s">
        <v>1646</v>
      </c>
      <c r="AN5220">
        <v>-121.02951</v>
      </c>
      <c r="AO5220">
        <v>25</v>
      </c>
      <c r="AP5220">
        <v>3500</v>
      </c>
      <c r="AQ5220" t="s">
        <v>131</v>
      </c>
      <c r="AR5220">
        <v>-25</v>
      </c>
      <c r="AS5220">
        <v>-72</v>
      </c>
      <c r="AT5220">
        <v>-896</v>
      </c>
      <c r="BB5220" t="str">
        <f t="shared" si="2055"/>
        <v>1200</v>
      </c>
      <c r="BC5220">
        <v>1</v>
      </c>
      <c r="BD5220" t="str">
        <f t="shared" si="2056"/>
        <v xml:space="preserve">N52156  </v>
      </c>
      <c r="BE5220">
        <v>1</v>
      </c>
      <c r="BG5220">
        <v>0</v>
      </c>
      <c r="BH5220">
        <v>0</v>
      </c>
      <c r="BI5220">
        <v>0</v>
      </c>
      <c r="BJ5220">
        <v>3550</v>
      </c>
      <c r="BK5220">
        <v>50</v>
      </c>
      <c r="BL5220" t="s">
        <v>188</v>
      </c>
      <c r="BM5220">
        <v>1</v>
      </c>
      <c r="BN5220">
        <v>1</v>
      </c>
      <c r="BO5220">
        <v>0</v>
      </c>
      <c r="BP5220">
        <v>0</v>
      </c>
      <c r="BS5220">
        <v>0</v>
      </c>
      <c r="BT5220">
        <v>0</v>
      </c>
      <c r="BU5220">
        <v>0</v>
      </c>
      <c r="CE5220" t="str">
        <f t="shared" si="2067"/>
        <v>15:19:01.352</v>
      </c>
      <c r="CF5220">
        <v>352092669</v>
      </c>
      <c r="CS5220">
        <v>0</v>
      </c>
      <c r="CT5220">
        <v>2</v>
      </c>
      <c r="CU5220">
        <v>0</v>
      </c>
      <c r="CV5220">
        <v>2</v>
      </c>
      <c r="CW5220">
        <v>0</v>
      </c>
      <c r="CX5220">
        <v>2</v>
      </c>
      <c r="CY5220">
        <v>7</v>
      </c>
      <c r="CZ5220" t="s">
        <v>133</v>
      </c>
      <c r="DA5220">
        <v>276</v>
      </c>
      <c r="DB5220">
        <v>0</v>
      </c>
      <c r="DC5220" t="s">
        <v>402</v>
      </c>
      <c r="DD5220" t="s">
        <v>403</v>
      </c>
      <c r="DG5220">
        <v>1629131</v>
      </c>
      <c r="DI5220">
        <v>1</v>
      </c>
      <c r="DJ5220">
        <v>0</v>
      </c>
      <c r="DK5220">
        <v>1</v>
      </c>
      <c r="DL5220">
        <v>0</v>
      </c>
      <c r="DM5220">
        <v>0</v>
      </c>
      <c r="DN5220">
        <v>0</v>
      </c>
      <c r="DO5220">
        <v>0</v>
      </c>
      <c r="DP5220">
        <v>0</v>
      </c>
      <c r="DQ5220">
        <v>0</v>
      </c>
      <c r="DR5220">
        <v>0</v>
      </c>
      <c r="DS5220">
        <v>0</v>
      </c>
    </row>
    <row r="5221" spans="1:123" x14ac:dyDescent="0.3">
      <c r="A5221" t="str">
        <f>"05/01/2025 15:19:01.594"</f>
        <v>05/01/2025 15:19:01.594</v>
      </c>
      <c r="C5221" t="str">
        <f t="shared" si="2052"/>
        <v>FFDFD3C0</v>
      </c>
      <c r="D5221" t="s">
        <v>143</v>
      </c>
      <c r="E5221" t="str">
        <f>"05"</f>
        <v>05</v>
      </c>
      <c r="H5221">
        <v>172</v>
      </c>
      <c r="I5221" t="s">
        <v>141</v>
      </c>
      <c r="J5221" t="s">
        <v>144</v>
      </c>
      <c r="K5221">
        <v>0</v>
      </c>
      <c r="L5221">
        <v>3</v>
      </c>
      <c r="M5221">
        <v>0</v>
      </c>
      <c r="N5221">
        <v>2</v>
      </c>
      <c r="O5221">
        <v>0</v>
      </c>
      <c r="P5221">
        <v>1</v>
      </c>
      <c r="Q5221">
        <v>0</v>
      </c>
      <c r="R5221" t="s">
        <v>127</v>
      </c>
      <c r="S5221" t="str">
        <f t="shared" si="2066"/>
        <v>15:19:01.000</v>
      </c>
      <c r="T5221" t="str">
        <f t="shared" si="2066"/>
        <v>15:19:01.000</v>
      </c>
      <c r="U5221" t="str">
        <f t="shared" si="2054"/>
        <v>A68FCB</v>
      </c>
      <c r="V5221">
        <v>0</v>
      </c>
      <c r="W5221">
        <v>0</v>
      </c>
      <c r="X5221">
        <v>2</v>
      </c>
      <c r="Y5221">
        <v>0</v>
      </c>
      <c r="AA5221">
        <v>1</v>
      </c>
      <c r="AB5221">
        <v>8</v>
      </c>
      <c r="AC5221">
        <v>3</v>
      </c>
      <c r="AD5221">
        <v>0</v>
      </c>
      <c r="AE5221">
        <v>9</v>
      </c>
      <c r="AF5221" t="s">
        <v>138</v>
      </c>
      <c r="AG5221">
        <v>0</v>
      </c>
      <c r="AH5221">
        <v>3</v>
      </c>
      <c r="AI5221">
        <v>2</v>
      </c>
      <c r="AJ5221">
        <v>0</v>
      </c>
      <c r="AK5221" t="s">
        <v>1645</v>
      </c>
      <c r="AL5221">
        <v>39.230975999999998</v>
      </c>
      <c r="AM5221" t="s">
        <v>1646</v>
      </c>
      <c r="AN5221">
        <v>-121.02951</v>
      </c>
      <c r="AO5221">
        <v>25</v>
      </c>
      <c r="AP5221">
        <v>3500</v>
      </c>
      <c r="AQ5221" t="s">
        <v>131</v>
      </c>
      <c r="AR5221">
        <v>-25</v>
      </c>
      <c r="AS5221">
        <v>-72</v>
      </c>
      <c r="AT5221">
        <v>-896</v>
      </c>
      <c r="BB5221" t="str">
        <f t="shared" si="2055"/>
        <v>1200</v>
      </c>
      <c r="BC5221">
        <v>1</v>
      </c>
      <c r="BD5221" t="str">
        <f t="shared" si="2056"/>
        <v xml:space="preserve">N52156  </v>
      </c>
      <c r="BE5221">
        <v>1</v>
      </c>
      <c r="BG5221">
        <v>0</v>
      </c>
      <c r="BH5221">
        <v>0</v>
      </c>
      <c r="BI5221">
        <v>0</v>
      </c>
      <c r="BJ5221">
        <v>3550</v>
      </c>
      <c r="BK5221">
        <v>50</v>
      </c>
      <c r="BL5221" t="s">
        <v>188</v>
      </c>
      <c r="BM5221">
        <v>1</v>
      </c>
      <c r="BN5221">
        <v>1</v>
      </c>
      <c r="BO5221">
        <v>0</v>
      </c>
      <c r="BP5221">
        <v>0</v>
      </c>
      <c r="BS5221">
        <v>0</v>
      </c>
      <c r="BT5221">
        <v>0</v>
      </c>
      <c r="BU5221">
        <v>0</v>
      </c>
      <c r="CE5221" t="str">
        <f t="shared" si="2067"/>
        <v>15:19:01.352</v>
      </c>
      <c r="CF5221">
        <v>352092669</v>
      </c>
      <c r="CS5221">
        <v>0</v>
      </c>
      <c r="CT5221">
        <v>2</v>
      </c>
      <c r="CU5221">
        <v>0</v>
      </c>
      <c r="CV5221">
        <v>2</v>
      </c>
      <c r="CW5221">
        <v>0</v>
      </c>
      <c r="CX5221">
        <v>2</v>
      </c>
      <c r="CY5221">
        <v>7</v>
      </c>
      <c r="CZ5221" t="s">
        <v>133</v>
      </c>
      <c r="DA5221">
        <v>276</v>
      </c>
      <c r="DB5221">
        <v>0</v>
      </c>
      <c r="DC5221" t="s">
        <v>402</v>
      </c>
      <c r="DD5221" t="s">
        <v>403</v>
      </c>
      <c r="DG5221">
        <v>1629131</v>
      </c>
      <c r="DI5221">
        <v>1</v>
      </c>
      <c r="DJ5221">
        <v>0</v>
      </c>
      <c r="DK5221">
        <v>1</v>
      </c>
      <c r="DL5221">
        <v>0</v>
      </c>
      <c r="DM5221">
        <v>0</v>
      </c>
      <c r="DN5221">
        <v>0</v>
      </c>
      <c r="DO5221">
        <v>0</v>
      </c>
      <c r="DP5221">
        <v>0</v>
      </c>
      <c r="DQ5221">
        <v>0</v>
      </c>
      <c r="DR5221">
        <v>0</v>
      </c>
      <c r="DS5221">
        <v>0</v>
      </c>
    </row>
    <row r="5222" spans="1:123" x14ac:dyDescent="0.3">
      <c r="A5222" t="str">
        <f>"05/01/2025 15:19:02.734"</f>
        <v>05/01/2025 15:19:02.734</v>
      </c>
      <c r="C5222" t="str">
        <f t="shared" si="2052"/>
        <v>FFDFD3C0</v>
      </c>
      <c r="D5222" t="s">
        <v>124</v>
      </c>
      <c r="E5222" t="str">
        <f>"06"</f>
        <v>06</v>
      </c>
      <c r="F5222">
        <v>2006</v>
      </c>
      <c r="G5222" t="s">
        <v>125</v>
      </c>
      <c r="J5222" t="s">
        <v>126</v>
      </c>
      <c r="K5222">
        <v>0</v>
      </c>
      <c r="L5222">
        <v>3</v>
      </c>
      <c r="M5222">
        <v>0</v>
      </c>
      <c r="N5222">
        <v>2</v>
      </c>
      <c r="O5222">
        <v>0</v>
      </c>
      <c r="P5222">
        <v>1</v>
      </c>
      <c r="Q5222">
        <v>0</v>
      </c>
      <c r="R5222" t="s">
        <v>127</v>
      </c>
      <c r="S5222" t="str">
        <f t="shared" ref="S5222:T5227" si="2068">"15:19:02.000"</f>
        <v>15:19:02.000</v>
      </c>
      <c r="T5222" t="str">
        <f t="shared" si="2068"/>
        <v>15:19:02.000</v>
      </c>
      <c r="U5222" t="str">
        <f t="shared" si="2054"/>
        <v>A68FCB</v>
      </c>
      <c r="V5222">
        <v>0</v>
      </c>
      <c r="W5222">
        <v>0</v>
      </c>
      <c r="X5222">
        <v>2</v>
      </c>
      <c r="Y5222">
        <v>0</v>
      </c>
      <c r="AA5222">
        <v>1</v>
      </c>
      <c r="AB5222">
        <v>8</v>
      </c>
      <c r="AC5222">
        <v>3</v>
      </c>
      <c r="AD5222">
        <v>0</v>
      </c>
      <c r="AE5222">
        <v>9</v>
      </c>
      <c r="AF5222" t="s">
        <v>138</v>
      </c>
      <c r="AG5222">
        <v>0</v>
      </c>
      <c r="AH5222">
        <v>3</v>
      </c>
      <c r="AI5222">
        <v>2</v>
      </c>
      <c r="AJ5222">
        <v>0</v>
      </c>
      <c r="AK5222" t="s">
        <v>1647</v>
      </c>
      <c r="AL5222">
        <v>39.230632999999997</v>
      </c>
      <c r="AM5222" t="s">
        <v>1648</v>
      </c>
      <c r="AN5222">
        <v>-121.029661</v>
      </c>
      <c r="AO5222">
        <v>25</v>
      </c>
      <c r="AP5222">
        <v>3400</v>
      </c>
      <c r="AQ5222" t="s">
        <v>131</v>
      </c>
      <c r="AR5222">
        <v>-26</v>
      </c>
      <c r="AS5222">
        <v>-83</v>
      </c>
      <c r="AT5222">
        <v>-384</v>
      </c>
      <c r="BB5222" t="str">
        <f t="shared" si="2055"/>
        <v>1200</v>
      </c>
      <c r="BC5222">
        <v>1</v>
      </c>
      <c r="BD5222" t="str">
        <f t="shared" si="2056"/>
        <v xml:space="preserve">N52156  </v>
      </c>
      <c r="BE5222">
        <v>1</v>
      </c>
      <c r="BG5222">
        <v>0</v>
      </c>
      <c r="BH5222">
        <v>0</v>
      </c>
      <c r="BI5222">
        <v>0</v>
      </c>
      <c r="BJ5222">
        <v>3550</v>
      </c>
      <c r="BK5222">
        <v>150</v>
      </c>
      <c r="BL5222" t="s">
        <v>188</v>
      </c>
      <c r="BM5222">
        <v>1</v>
      </c>
      <c r="BN5222">
        <v>1</v>
      </c>
      <c r="BO5222">
        <v>0</v>
      </c>
      <c r="BP5222">
        <v>0</v>
      </c>
      <c r="BS5222">
        <v>0</v>
      </c>
      <c r="BT5222">
        <v>0</v>
      </c>
      <c r="BU5222">
        <v>0</v>
      </c>
      <c r="CE5222" t="str">
        <f t="shared" ref="CE5222:CE5227" si="2069">"15:19:02.518"</f>
        <v>15:19:02.518</v>
      </c>
      <c r="CF5222">
        <v>518004806</v>
      </c>
      <c r="CS5222">
        <v>0</v>
      </c>
      <c r="CT5222">
        <v>2</v>
      </c>
      <c r="CU5222">
        <v>0</v>
      </c>
      <c r="CV5222">
        <v>2</v>
      </c>
      <c r="CW5222">
        <v>0</v>
      </c>
      <c r="CX5222">
        <v>3</v>
      </c>
      <c r="CY5222">
        <v>7</v>
      </c>
      <c r="CZ5222" t="s">
        <v>133</v>
      </c>
      <c r="DA5222">
        <v>275</v>
      </c>
      <c r="DB5222">
        <v>0</v>
      </c>
      <c r="DC5222" t="s">
        <v>134</v>
      </c>
      <c r="DD5222" t="s">
        <v>135</v>
      </c>
      <c r="DG5222">
        <v>3323704</v>
      </c>
      <c r="DI5222">
        <v>1</v>
      </c>
      <c r="DJ5222">
        <v>0</v>
      </c>
      <c r="DK5222">
        <v>0</v>
      </c>
      <c r="DL5222">
        <v>0</v>
      </c>
      <c r="DM5222">
        <v>0</v>
      </c>
      <c r="DN5222">
        <v>0</v>
      </c>
      <c r="DO5222">
        <v>0</v>
      </c>
      <c r="DP5222">
        <v>0</v>
      </c>
      <c r="DQ5222">
        <v>0</v>
      </c>
      <c r="DR5222">
        <v>0</v>
      </c>
      <c r="DS5222">
        <v>0</v>
      </c>
    </row>
    <row r="5223" spans="1:123" x14ac:dyDescent="0.3">
      <c r="A5223" t="str">
        <f>"05/01/2025 15:19:02.746"</f>
        <v>05/01/2025 15:19:02.746</v>
      </c>
      <c r="C5223" t="str">
        <f t="shared" si="2052"/>
        <v>FFDFD3C0</v>
      </c>
      <c r="D5223" t="s">
        <v>143</v>
      </c>
      <c r="E5223" t="str">
        <f>"05"</f>
        <v>05</v>
      </c>
      <c r="H5223">
        <v>172</v>
      </c>
      <c r="I5223" t="s">
        <v>141</v>
      </c>
      <c r="J5223" t="s">
        <v>144</v>
      </c>
      <c r="K5223">
        <v>0</v>
      </c>
      <c r="L5223">
        <v>3</v>
      </c>
      <c r="M5223">
        <v>0</v>
      </c>
      <c r="N5223">
        <v>2</v>
      </c>
      <c r="O5223">
        <v>0</v>
      </c>
      <c r="P5223">
        <v>1</v>
      </c>
      <c r="Q5223">
        <v>0</v>
      </c>
      <c r="R5223" t="s">
        <v>127</v>
      </c>
      <c r="S5223" t="str">
        <f t="shared" si="2068"/>
        <v>15:19:02.000</v>
      </c>
      <c r="T5223" t="str">
        <f t="shared" si="2068"/>
        <v>15:19:02.000</v>
      </c>
      <c r="U5223" t="str">
        <f t="shared" si="2054"/>
        <v>A68FCB</v>
      </c>
      <c r="V5223">
        <v>0</v>
      </c>
      <c r="W5223">
        <v>0</v>
      </c>
      <c r="X5223">
        <v>2</v>
      </c>
      <c r="Y5223">
        <v>0</v>
      </c>
      <c r="AA5223">
        <v>1</v>
      </c>
      <c r="AB5223">
        <v>8</v>
      </c>
      <c r="AC5223">
        <v>3</v>
      </c>
      <c r="AD5223">
        <v>0</v>
      </c>
      <c r="AE5223">
        <v>9</v>
      </c>
      <c r="AF5223" t="s">
        <v>138</v>
      </c>
      <c r="AG5223">
        <v>0</v>
      </c>
      <c r="AH5223">
        <v>3</v>
      </c>
      <c r="AI5223">
        <v>2</v>
      </c>
      <c r="AJ5223">
        <v>0</v>
      </c>
      <c r="AK5223" t="s">
        <v>1647</v>
      </c>
      <c r="AL5223">
        <v>39.230632999999997</v>
      </c>
      <c r="AM5223" t="s">
        <v>1648</v>
      </c>
      <c r="AN5223">
        <v>-121.029661</v>
      </c>
      <c r="AO5223">
        <v>25</v>
      </c>
      <c r="AP5223">
        <v>3400</v>
      </c>
      <c r="AQ5223" t="s">
        <v>131</v>
      </c>
      <c r="AR5223">
        <v>-26</v>
      </c>
      <c r="AS5223">
        <v>-83</v>
      </c>
      <c r="AT5223">
        <v>-384</v>
      </c>
      <c r="BB5223" t="str">
        <f t="shared" si="2055"/>
        <v>1200</v>
      </c>
      <c r="BC5223">
        <v>1</v>
      </c>
      <c r="BD5223" t="str">
        <f t="shared" si="2056"/>
        <v xml:space="preserve">N52156  </v>
      </c>
      <c r="BE5223">
        <v>1</v>
      </c>
      <c r="BG5223">
        <v>0</v>
      </c>
      <c r="BH5223">
        <v>0</v>
      </c>
      <c r="BI5223">
        <v>0</v>
      </c>
      <c r="BJ5223">
        <v>3550</v>
      </c>
      <c r="BK5223">
        <v>150</v>
      </c>
      <c r="BL5223" t="s">
        <v>188</v>
      </c>
      <c r="BM5223">
        <v>1</v>
      </c>
      <c r="BN5223">
        <v>1</v>
      </c>
      <c r="BO5223">
        <v>0</v>
      </c>
      <c r="BP5223">
        <v>0</v>
      </c>
      <c r="BS5223">
        <v>0</v>
      </c>
      <c r="BT5223">
        <v>0</v>
      </c>
      <c r="BU5223">
        <v>0</v>
      </c>
      <c r="CE5223" t="str">
        <f t="shared" si="2069"/>
        <v>15:19:02.518</v>
      </c>
      <c r="CF5223">
        <v>518004806</v>
      </c>
      <c r="CS5223">
        <v>0</v>
      </c>
      <c r="CT5223">
        <v>2</v>
      </c>
      <c r="CU5223">
        <v>0</v>
      </c>
      <c r="CV5223">
        <v>2</v>
      </c>
      <c r="CW5223">
        <v>0</v>
      </c>
      <c r="CX5223">
        <v>3</v>
      </c>
      <c r="CY5223">
        <v>7</v>
      </c>
      <c r="CZ5223" t="s">
        <v>133</v>
      </c>
      <c r="DA5223">
        <v>275</v>
      </c>
      <c r="DB5223">
        <v>0</v>
      </c>
      <c r="DC5223" t="s">
        <v>134</v>
      </c>
      <c r="DD5223" t="s">
        <v>135</v>
      </c>
      <c r="DG5223">
        <v>3323704</v>
      </c>
      <c r="DI5223">
        <v>1</v>
      </c>
      <c r="DJ5223">
        <v>0</v>
      </c>
      <c r="DK5223">
        <v>1</v>
      </c>
      <c r="DL5223">
        <v>0</v>
      </c>
      <c r="DM5223">
        <v>0</v>
      </c>
      <c r="DN5223">
        <v>0</v>
      </c>
      <c r="DO5223">
        <v>0</v>
      </c>
      <c r="DP5223">
        <v>0</v>
      </c>
      <c r="DQ5223">
        <v>0</v>
      </c>
      <c r="DR5223">
        <v>0</v>
      </c>
      <c r="DS5223">
        <v>0</v>
      </c>
    </row>
    <row r="5224" spans="1:123" x14ac:dyDescent="0.3">
      <c r="A5224" t="str">
        <f>"05/01/2025 15:19:02.758"</f>
        <v>05/01/2025 15:19:02.758</v>
      </c>
      <c r="C5224" t="str">
        <f t="shared" si="2052"/>
        <v>FFDFD3C0</v>
      </c>
      <c r="D5224" t="s">
        <v>145</v>
      </c>
      <c r="E5224" t="str">
        <f>"09"</f>
        <v>09</v>
      </c>
      <c r="H5224">
        <v>51</v>
      </c>
      <c r="I5224" t="s">
        <v>147</v>
      </c>
      <c r="J5224" t="s">
        <v>138</v>
      </c>
      <c r="K5224">
        <v>0</v>
      </c>
      <c r="L5224">
        <v>3</v>
      </c>
      <c r="M5224">
        <v>0</v>
      </c>
      <c r="N5224">
        <v>2</v>
      </c>
      <c r="O5224">
        <v>0</v>
      </c>
      <c r="P5224">
        <v>1</v>
      </c>
      <c r="Q5224">
        <v>0</v>
      </c>
      <c r="R5224" t="s">
        <v>127</v>
      </c>
      <c r="S5224" t="str">
        <f t="shared" si="2068"/>
        <v>15:19:02.000</v>
      </c>
      <c r="T5224" t="str">
        <f t="shared" si="2068"/>
        <v>15:19:02.000</v>
      </c>
      <c r="U5224" t="str">
        <f t="shared" si="2054"/>
        <v>A68FCB</v>
      </c>
      <c r="V5224">
        <v>0</v>
      </c>
      <c r="W5224">
        <v>0</v>
      </c>
      <c r="X5224">
        <v>2</v>
      </c>
      <c r="Y5224">
        <v>0</v>
      </c>
      <c r="AA5224">
        <v>1</v>
      </c>
      <c r="AB5224">
        <v>8</v>
      </c>
      <c r="AC5224">
        <v>3</v>
      </c>
      <c r="AD5224">
        <v>0</v>
      </c>
      <c r="AE5224">
        <v>9</v>
      </c>
      <c r="AF5224" t="s">
        <v>138</v>
      </c>
      <c r="AG5224">
        <v>0</v>
      </c>
      <c r="AH5224">
        <v>3</v>
      </c>
      <c r="AI5224">
        <v>2</v>
      </c>
      <c r="AJ5224">
        <v>0</v>
      </c>
      <c r="AK5224" t="s">
        <v>1647</v>
      </c>
      <c r="AL5224">
        <v>39.230632999999997</v>
      </c>
      <c r="AM5224" t="s">
        <v>1648</v>
      </c>
      <c r="AN5224">
        <v>-121.029661</v>
      </c>
      <c r="AO5224">
        <v>25</v>
      </c>
      <c r="AP5224">
        <v>3400</v>
      </c>
      <c r="AQ5224" t="s">
        <v>131</v>
      </c>
      <c r="AR5224">
        <v>-26</v>
      </c>
      <c r="AS5224">
        <v>-83</v>
      </c>
      <c r="AT5224">
        <v>-384</v>
      </c>
      <c r="BB5224" t="str">
        <f t="shared" si="2055"/>
        <v>1200</v>
      </c>
      <c r="BC5224">
        <v>1</v>
      </c>
      <c r="BD5224" t="str">
        <f t="shared" si="2056"/>
        <v xml:space="preserve">N52156  </v>
      </c>
      <c r="BE5224">
        <v>1</v>
      </c>
      <c r="BG5224">
        <v>0</v>
      </c>
      <c r="BH5224">
        <v>0</v>
      </c>
      <c r="BI5224">
        <v>0</v>
      </c>
      <c r="BJ5224">
        <v>3550</v>
      </c>
      <c r="BK5224">
        <v>150</v>
      </c>
      <c r="BL5224" t="s">
        <v>188</v>
      </c>
      <c r="BM5224">
        <v>1</v>
      </c>
      <c r="BN5224">
        <v>1</v>
      </c>
      <c r="BO5224">
        <v>0</v>
      </c>
      <c r="BP5224">
        <v>0</v>
      </c>
      <c r="BS5224">
        <v>0</v>
      </c>
      <c r="BT5224">
        <v>0</v>
      </c>
      <c r="BU5224">
        <v>0</v>
      </c>
      <c r="CE5224" t="str">
        <f t="shared" si="2069"/>
        <v>15:19:02.518</v>
      </c>
      <c r="CF5224">
        <v>518004806</v>
      </c>
      <c r="CS5224">
        <v>0</v>
      </c>
      <c r="CT5224">
        <v>2</v>
      </c>
      <c r="CU5224">
        <v>0</v>
      </c>
      <c r="CV5224">
        <v>2</v>
      </c>
      <c r="CW5224">
        <v>0</v>
      </c>
      <c r="CX5224">
        <v>3</v>
      </c>
      <c r="CY5224">
        <v>7</v>
      </c>
      <c r="CZ5224" t="s">
        <v>133</v>
      </c>
      <c r="DA5224">
        <v>275</v>
      </c>
      <c r="DB5224">
        <v>0</v>
      </c>
      <c r="DC5224" t="s">
        <v>134</v>
      </c>
      <c r="DD5224" t="s">
        <v>135</v>
      </c>
      <c r="DG5224">
        <v>3323704</v>
      </c>
      <c r="DI5224">
        <v>1</v>
      </c>
      <c r="DJ5224">
        <v>0</v>
      </c>
      <c r="DK5224">
        <v>1</v>
      </c>
      <c r="DL5224">
        <v>0</v>
      </c>
      <c r="DM5224">
        <v>0</v>
      </c>
      <c r="DN5224">
        <v>0</v>
      </c>
      <c r="DO5224">
        <v>0</v>
      </c>
      <c r="DP5224">
        <v>0</v>
      </c>
      <c r="DQ5224">
        <v>0</v>
      </c>
      <c r="DR5224">
        <v>0</v>
      </c>
      <c r="DS5224">
        <v>0</v>
      </c>
    </row>
    <row r="5225" spans="1:123" x14ac:dyDescent="0.3">
      <c r="A5225" t="str">
        <f>"05/01/2025 15:19:02.758"</f>
        <v>05/01/2025 15:19:02.758</v>
      </c>
      <c r="C5225" t="str">
        <f t="shared" si="2052"/>
        <v>FFDFD3C0</v>
      </c>
      <c r="D5225" t="s">
        <v>145</v>
      </c>
      <c r="E5225" t="str">
        <f>"05"</f>
        <v>05</v>
      </c>
      <c r="H5225">
        <v>47</v>
      </c>
      <c r="I5225" t="s">
        <v>146</v>
      </c>
      <c r="J5225" t="s">
        <v>138</v>
      </c>
      <c r="K5225">
        <v>0</v>
      </c>
      <c r="L5225">
        <v>3</v>
      </c>
      <c r="M5225">
        <v>0</v>
      </c>
      <c r="N5225">
        <v>2</v>
      </c>
      <c r="O5225">
        <v>0</v>
      </c>
      <c r="P5225">
        <v>1</v>
      </c>
      <c r="Q5225">
        <v>0</v>
      </c>
      <c r="R5225" t="s">
        <v>127</v>
      </c>
      <c r="S5225" t="str">
        <f t="shared" si="2068"/>
        <v>15:19:02.000</v>
      </c>
      <c r="T5225" t="str">
        <f t="shared" si="2068"/>
        <v>15:19:02.000</v>
      </c>
      <c r="U5225" t="str">
        <f t="shared" si="2054"/>
        <v>A68FCB</v>
      </c>
      <c r="V5225">
        <v>0</v>
      </c>
      <c r="W5225">
        <v>0</v>
      </c>
      <c r="X5225">
        <v>2</v>
      </c>
      <c r="Y5225">
        <v>0</v>
      </c>
      <c r="AA5225">
        <v>1</v>
      </c>
      <c r="AB5225">
        <v>8</v>
      </c>
      <c r="AC5225">
        <v>3</v>
      </c>
      <c r="AD5225">
        <v>0</v>
      </c>
      <c r="AE5225">
        <v>9</v>
      </c>
      <c r="AF5225" t="s">
        <v>138</v>
      </c>
      <c r="AG5225">
        <v>0</v>
      </c>
      <c r="AH5225">
        <v>3</v>
      </c>
      <c r="AI5225">
        <v>2</v>
      </c>
      <c r="AJ5225">
        <v>0</v>
      </c>
      <c r="AK5225" t="s">
        <v>1647</v>
      </c>
      <c r="AL5225">
        <v>39.230632999999997</v>
      </c>
      <c r="AM5225" t="s">
        <v>1648</v>
      </c>
      <c r="AN5225">
        <v>-121.029661</v>
      </c>
      <c r="AO5225">
        <v>25</v>
      </c>
      <c r="AP5225">
        <v>3400</v>
      </c>
      <c r="AQ5225" t="s">
        <v>131</v>
      </c>
      <c r="AR5225">
        <v>-26</v>
      </c>
      <c r="AS5225">
        <v>-83</v>
      </c>
      <c r="AT5225">
        <v>-384</v>
      </c>
      <c r="BB5225" t="str">
        <f t="shared" si="2055"/>
        <v>1200</v>
      </c>
      <c r="BC5225">
        <v>1</v>
      </c>
      <c r="BD5225" t="str">
        <f t="shared" si="2056"/>
        <v xml:space="preserve">N52156  </v>
      </c>
      <c r="BE5225">
        <v>1</v>
      </c>
      <c r="BG5225">
        <v>0</v>
      </c>
      <c r="BH5225">
        <v>0</v>
      </c>
      <c r="BI5225">
        <v>0</v>
      </c>
      <c r="BJ5225">
        <v>3550</v>
      </c>
      <c r="BK5225">
        <v>150</v>
      </c>
      <c r="BL5225" t="s">
        <v>188</v>
      </c>
      <c r="BM5225">
        <v>1</v>
      </c>
      <c r="BN5225">
        <v>1</v>
      </c>
      <c r="BO5225">
        <v>0</v>
      </c>
      <c r="BP5225">
        <v>0</v>
      </c>
      <c r="BS5225">
        <v>0</v>
      </c>
      <c r="BT5225">
        <v>0</v>
      </c>
      <c r="BU5225">
        <v>0</v>
      </c>
      <c r="CE5225" t="str">
        <f t="shared" si="2069"/>
        <v>15:19:02.518</v>
      </c>
      <c r="CF5225">
        <v>518004806</v>
      </c>
      <c r="CS5225">
        <v>0</v>
      </c>
      <c r="CT5225">
        <v>2</v>
      </c>
      <c r="CU5225">
        <v>0</v>
      </c>
      <c r="CV5225">
        <v>2</v>
      </c>
      <c r="CW5225">
        <v>0</v>
      </c>
      <c r="CX5225">
        <v>3</v>
      </c>
      <c r="CY5225">
        <v>7</v>
      </c>
      <c r="CZ5225" t="s">
        <v>133</v>
      </c>
      <c r="DA5225">
        <v>275</v>
      </c>
      <c r="DB5225">
        <v>0</v>
      </c>
      <c r="DC5225" t="s">
        <v>134</v>
      </c>
      <c r="DD5225" t="s">
        <v>135</v>
      </c>
      <c r="DG5225">
        <v>3323704</v>
      </c>
      <c r="DI5225">
        <v>1</v>
      </c>
      <c r="DJ5225">
        <v>0</v>
      </c>
      <c r="DK5225">
        <v>1</v>
      </c>
      <c r="DL5225">
        <v>0</v>
      </c>
      <c r="DM5225">
        <v>0</v>
      </c>
      <c r="DN5225">
        <v>0</v>
      </c>
      <c r="DO5225">
        <v>0</v>
      </c>
      <c r="DP5225">
        <v>0</v>
      </c>
      <c r="DQ5225">
        <v>0</v>
      </c>
      <c r="DR5225">
        <v>0</v>
      </c>
      <c r="DS5225">
        <v>0</v>
      </c>
    </row>
    <row r="5226" spans="1:123" x14ac:dyDescent="0.3">
      <c r="A5226" t="str">
        <f>"05/01/2025 15:19:02.766"</f>
        <v>05/01/2025 15:19:02.766</v>
      </c>
      <c r="C5226" t="str">
        <f t="shared" si="2052"/>
        <v>FFDFD3C0</v>
      </c>
      <c r="D5226" t="s">
        <v>136</v>
      </c>
      <c r="E5226" t="str">
        <f>"20"</f>
        <v>20</v>
      </c>
      <c r="H5226">
        <v>400</v>
      </c>
      <c r="I5226" t="s">
        <v>137</v>
      </c>
      <c r="J5226" t="s">
        <v>138</v>
      </c>
      <c r="K5226">
        <v>0</v>
      </c>
      <c r="L5226">
        <v>3</v>
      </c>
      <c r="M5226">
        <v>0</v>
      </c>
      <c r="N5226">
        <v>2</v>
      </c>
      <c r="O5226">
        <v>0</v>
      </c>
      <c r="P5226">
        <v>1</v>
      </c>
      <c r="Q5226">
        <v>0</v>
      </c>
      <c r="R5226" t="s">
        <v>127</v>
      </c>
      <c r="S5226" t="str">
        <f t="shared" si="2068"/>
        <v>15:19:02.000</v>
      </c>
      <c r="T5226" t="str">
        <f t="shared" si="2068"/>
        <v>15:19:02.000</v>
      </c>
      <c r="U5226" t="str">
        <f t="shared" si="2054"/>
        <v>A68FCB</v>
      </c>
      <c r="V5226">
        <v>0</v>
      </c>
      <c r="W5226">
        <v>0</v>
      </c>
      <c r="X5226">
        <v>2</v>
      </c>
      <c r="Y5226">
        <v>0</v>
      </c>
      <c r="AA5226">
        <v>1</v>
      </c>
      <c r="AB5226">
        <v>8</v>
      </c>
      <c r="AC5226">
        <v>3</v>
      </c>
      <c r="AD5226">
        <v>0</v>
      </c>
      <c r="AE5226">
        <v>9</v>
      </c>
      <c r="AF5226" t="s">
        <v>138</v>
      </c>
      <c r="AG5226">
        <v>0</v>
      </c>
      <c r="AH5226">
        <v>3</v>
      </c>
      <c r="AI5226">
        <v>2</v>
      </c>
      <c r="AJ5226">
        <v>0</v>
      </c>
      <c r="AK5226" t="s">
        <v>1647</v>
      </c>
      <c r="AL5226">
        <v>39.230632999999997</v>
      </c>
      <c r="AM5226" t="s">
        <v>1648</v>
      </c>
      <c r="AN5226">
        <v>-121.029661</v>
      </c>
      <c r="AO5226">
        <v>25</v>
      </c>
      <c r="AP5226">
        <v>3400</v>
      </c>
      <c r="AQ5226" t="s">
        <v>131</v>
      </c>
      <c r="AR5226">
        <v>-26</v>
      </c>
      <c r="AS5226">
        <v>-83</v>
      </c>
      <c r="AT5226">
        <v>-384</v>
      </c>
      <c r="BB5226" t="str">
        <f t="shared" si="2055"/>
        <v>1200</v>
      </c>
      <c r="BC5226">
        <v>1</v>
      </c>
      <c r="BD5226" t="str">
        <f t="shared" si="2056"/>
        <v xml:space="preserve">N52156  </v>
      </c>
      <c r="BE5226">
        <v>1</v>
      </c>
      <c r="BG5226">
        <v>0</v>
      </c>
      <c r="BH5226">
        <v>0</v>
      </c>
      <c r="BI5226">
        <v>0</v>
      </c>
      <c r="BJ5226">
        <v>3550</v>
      </c>
      <c r="BK5226">
        <v>150</v>
      </c>
      <c r="BL5226" t="s">
        <v>188</v>
      </c>
      <c r="BM5226">
        <v>1</v>
      </c>
      <c r="BN5226">
        <v>1</v>
      </c>
      <c r="BO5226">
        <v>0</v>
      </c>
      <c r="BP5226">
        <v>0</v>
      </c>
      <c r="BS5226">
        <v>0</v>
      </c>
      <c r="BT5226">
        <v>0</v>
      </c>
      <c r="BU5226">
        <v>0</v>
      </c>
      <c r="CE5226" t="str">
        <f t="shared" si="2069"/>
        <v>15:19:02.518</v>
      </c>
      <c r="CF5226">
        <v>518004806</v>
      </c>
      <c r="CS5226">
        <v>0</v>
      </c>
      <c r="CT5226">
        <v>2</v>
      </c>
      <c r="CU5226">
        <v>0</v>
      </c>
      <c r="CV5226">
        <v>2</v>
      </c>
      <c r="CW5226">
        <v>0</v>
      </c>
      <c r="CX5226">
        <v>3</v>
      </c>
      <c r="CY5226">
        <v>7</v>
      </c>
      <c r="CZ5226" t="s">
        <v>133</v>
      </c>
      <c r="DA5226">
        <v>275</v>
      </c>
      <c r="DB5226">
        <v>0</v>
      </c>
      <c r="DC5226" t="s">
        <v>134</v>
      </c>
      <c r="DD5226" t="s">
        <v>135</v>
      </c>
      <c r="DG5226">
        <v>3323704</v>
      </c>
      <c r="DI5226">
        <v>1</v>
      </c>
      <c r="DJ5226">
        <v>0</v>
      </c>
      <c r="DK5226">
        <v>1</v>
      </c>
      <c r="DL5226">
        <v>0</v>
      </c>
      <c r="DM5226">
        <v>0</v>
      </c>
      <c r="DN5226">
        <v>0</v>
      </c>
      <c r="DO5226">
        <v>0</v>
      </c>
      <c r="DP5226">
        <v>0</v>
      </c>
      <c r="DQ5226">
        <v>0</v>
      </c>
      <c r="DR5226">
        <v>0</v>
      </c>
      <c r="DS5226">
        <v>0</v>
      </c>
    </row>
    <row r="5227" spans="1:123" x14ac:dyDescent="0.3">
      <c r="A5227" t="str">
        <f>"05/01/2025 15:19:02.783"</f>
        <v>05/01/2025 15:19:02.783</v>
      </c>
      <c r="C5227" t="str">
        <f t="shared" si="2052"/>
        <v>FFDFD3C0</v>
      </c>
      <c r="D5227" t="s">
        <v>140</v>
      </c>
      <c r="E5227" t="str">
        <f>"13"</f>
        <v>13</v>
      </c>
      <c r="F5227">
        <v>1019</v>
      </c>
      <c r="G5227" t="s">
        <v>141</v>
      </c>
      <c r="J5227" t="s">
        <v>142</v>
      </c>
      <c r="K5227">
        <v>0</v>
      </c>
      <c r="L5227">
        <v>3</v>
      </c>
      <c r="M5227">
        <v>0</v>
      </c>
      <c r="N5227">
        <v>2</v>
      </c>
      <c r="O5227">
        <v>0</v>
      </c>
      <c r="P5227">
        <v>1</v>
      </c>
      <c r="Q5227">
        <v>0</v>
      </c>
      <c r="R5227" t="s">
        <v>127</v>
      </c>
      <c r="S5227" t="str">
        <f t="shared" si="2068"/>
        <v>15:19:02.000</v>
      </c>
      <c r="T5227" t="str">
        <f t="shared" si="2068"/>
        <v>15:19:02.000</v>
      </c>
      <c r="U5227" t="str">
        <f t="shared" si="2054"/>
        <v>A68FCB</v>
      </c>
      <c r="V5227">
        <v>0</v>
      </c>
      <c r="W5227">
        <v>0</v>
      </c>
      <c r="X5227">
        <v>2</v>
      </c>
      <c r="Y5227">
        <v>0</v>
      </c>
      <c r="AA5227">
        <v>1</v>
      </c>
      <c r="AB5227">
        <v>8</v>
      </c>
      <c r="AC5227">
        <v>3</v>
      </c>
      <c r="AD5227">
        <v>0</v>
      </c>
      <c r="AE5227">
        <v>9</v>
      </c>
      <c r="AF5227" t="s">
        <v>138</v>
      </c>
      <c r="AG5227">
        <v>0</v>
      </c>
      <c r="AH5227">
        <v>3</v>
      </c>
      <c r="AI5227">
        <v>2</v>
      </c>
      <c r="AJ5227">
        <v>0</v>
      </c>
      <c r="AK5227" t="s">
        <v>1647</v>
      </c>
      <c r="AL5227">
        <v>39.230632999999997</v>
      </c>
      <c r="AM5227" t="s">
        <v>1648</v>
      </c>
      <c r="AN5227">
        <v>-121.029661</v>
      </c>
      <c r="AO5227">
        <v>25</v>
      </c>
      <c r="AP5227">
        <v>3400</v>
      </c>
      <c r="AQ5227" t="s">
        <v>131</v>
      </c>
      <c r="AR5227">
        <v>-26</v>
      </c>
      <c r="AS5227">
        <v>-83</v>
      </c>
      <c r="AT5227">
        <v>-384</v>
      </c>
      <c r="BB5227" t="str">
        <f t="shared" si="2055"/>
        <v>1200</v>
      </c>
      <c r="BC5227">
        <v>1</v>
      </c>
      <c r="BD5227" t="str">
        <f t="shared" si="2056"/>
        <v xml:space="preserve">N52156  </v>
      </c>
      <c r="BE5227">
        <v>1</v>
      </c>
      <c r="BG5227">
        <v>0</v>
      </c>
      <c r="BH5227">
        <v>0</v>
      </c>
      <c r="BI5227">
        <v>0</v>
      </c>
      <c r="BJ5227">
        <v>3550</v>
      </c>
      <c r="BK5227">
        <v>150</v>
      </c>
      <c r="BL5227" t="s">
        <v>188</v>
      </c>
      <c r="BM5227">
        <v>1</v>
      </c>
      <c r="BN5227">
        <v>1</v>
      </c>
      <c r="BO5227">
        <v>0</v>
      </c>
      <c r="BP5227">
        <v>0</v>
      </c>
      <c r="BS5227">
        <v>0</v>
      </c>
      <c r="BT5227">
        <v>0</v>
      </c>
      <c r="BU5227">
        <v>0</v>
      </c>
      <c r="CE5227" t="str">
        <f t="shared" si="2069"/>
        <v>15:19:02.518</v>
      </c>
      <c r="CF5227">
        <v>518004806</v>
      </c>
      <c r="CS5227">
        <v>0</v>
      </c>
      <c r="CT5227">
        <v>2</v>
      </c>
      <c r="CU5227">
        <v>0</v>
      </c>
      <c r="CV5227">
        <v>2</v>
      </c>
      <c r="CW5227">
        <v>0</v>
      </c>
      <c r="CX5227">
        <v>3</v>
      </c>
      <c r="CY5227">
        <v>7</v>
      </c>
      <c r="CZ5227" t="s">
        <v>133</v>
      </c>
      <c r="DA5227">
        <v>275</v>
      </c>
      <c r="DB5227">
        <v>0</v>
      </c>
      <c r="DC5227" t="s">
        <v>134</v>
      </c>
      <c r="DD5227" t="s">
        <v>135</v>
      </c>
      <c r="DG5227">
        <v>3323704</v>
      </c>
      <c r="DI5227">
        <v>1</v>
      </c>
      <c r="DJ5227">
        <v>0</v>
      </c>
      <c r="DK5227">
        <v>1</v>
      </c>
      <c r="DL5227">
        <v>0</v>
      </c>
      <c r="DM5227">
        <v>0</v>
      </c>
      <c r="DN5227">
        <v>0</v>
      </c>
      <c r="DO5227">
        <v>0</v>
      </c>
      <c r="DP5227">
        <v>0</v>
      </c>
      <c r="DQ5227">
        <v>0</v>
      </c>
      <c r="DR5227">
        <v>0</v>
      </c>
      <c r="DS5227">
        <v>0</v>
      </c>
    </row>
    <row r="5228" spans="1:123" x14ac:dyDescent="0.3">
      <c r="A5228" t="str">
        <f>"05/01/2025 15:19:03.697"</f>
        <v>05/01/2025 15:19:03.697</v>
      </c>
      <c r="C5228" t="str">
        <f t="shared" si="2052"/>
        <v>FFDFD3C0</v>
      </c>
      <c r="D5228" t="s">
        <v>143</v>
      </c>
      <c r="E5228" t="str">
        <f>"05"</f>
        <v>05</v>
      </c>
      <c r="H5228">
        <v>172</v>
      </c>
      <c r="I5228" t="s">
        <v>141</v>
      </c>
      <c r="J5228" t="s">
        <v>144</v>
      </c>
      <c r="K5228">
        <v>0</v>
      </c>
      <c r="L5228">
        <v>3</v>
      </c>
      <c r="M5228">
        <v>0</v>
      </c>
      <c r="N5228">
        <v>2</v>
      </c>
      <c r="O5228">
        <v>0</v>
      </c>
      <c r="P5228">
        <v>1</v>
      </c>
      <c r="Q5228">
        <v>0</v>
      </c>
      <c r="R5228" t="s">
        <v>127</v>
      </c>
      <c r="S5228" t="str">
        <f t="shared" ref="S5228:T5233" si="2070">"15:19:03.000"</f>
        <v>15:19:03.000</v>
      </c>
      <c r="T5228" t="str">
        <f t="shared" si="2070"/>
        <v>15:19:03.000</v>
      </c>
      <c r="U5228" t="str">
        <f t="shared" si="2054"/>
        <v>A68FCB</v>
      </c>
      <c r="V5228">
        <v>0</v>
      </c>
      <c r="W5228">
        <v>0</v>
      </c>
      <c r="X5228">
        <v>2</v>
      </c>
      <c r="Y5228">
        <v>0</v>
      </c>
      <c r="AA5228">
        <v>1</v>
      </c>
      <c r="AB5228">
        <v>8</v>
      </c>
      <c r="AC5228">
        <v>3</v>
      </c>
      <c r="AD5228">
        <v>0</v>
      </c>
      <c r="AE5228">
        <v>9</v>
      </c>
      <c r="AF5228" t="s">
        <v>138</v>
      </c>
      <c r="AG5228">
        <v>0</v>
      </c>
      <c r="AH5228">
        <v>3</v>
      </c>
      <c r="AI5228">
        <v>2</v>
      </c>
      <c r="AJ5228">
        <v>0</v>
      </c>
      <c r="AK5228" t="s">
        <v>1649</v>
      </c>
      <c r="AL5228">
        <v>39.230268000000002</v>
      </c>
      <c r="AM5228" t="s">
        <v>1650</v>
      </c>
      <c r="AN5228">
        <v>-121.029768</v>
      </c>
      <c r="AO5228">
        <v>25</v>
      </c>
      <c r="AP5228">
        <v>3400</v>
      </c>
      <c r="AQ5228" t="s">
        <v>131</v>
      </c>
      <c r="AR5228">
        <v>-17</v>
      </c>
      <c r="AS5228">
        <v>-76</v>
      </c>
      <c r="AT5228">
        <v>-64</v>
      </c>
      <c r="BB5228" t="str">
        <f t="shared" si="2055"/>
        <v>1200</v>
      </c>
      <c r="BC5228">
        <v>1</v>
      </c>
      <c r="BD5228" t="str">
        <f t="shared" si="2056"/>
        <v xml:space="preserve">N52156  </v>
      </c>
      <c r="BE5228">
        <v>1</v>
      </c>
      <c r="BG5228">
        <v>0</v>
      </c>
      <c r="BH5228">
        <v>0</v>
      </c>
      <c r="BI5228">
        <v>0</v>
      </c>
      <c r="BJ5228">
        <v>3500</v>
      </c>
      <c r="BK5228">
        <v>100</v>
      </c>
      <c r="BL5228" t="s">
        <v>188</v>
      </c>
      <c r="BM5228">
        <v>1</v>
      </c>
      <c r="BN5228">
        <v>1</v>
      </c>
      <c r="BO5228">
        <v>0</v>
      </c>
      <c r="BP5228">
        <v>0</v>
      </c>
      <c r="BS5228">
        <v>0</v>
      </c>
      <c r="BT5228">
        <v>0</v>
      </c>
      <c r="BU5228">
        <v>0</v>
      </c>
      <c r="CE5228" t="str">
        <f t="shared" ref="CE5228:CE5233" si="2071">"15:19:03.491"</f>
        <v>15:19:03.491</v>
      </c>
      <c r="CF5228">
        <v>491004559</v>
      </c>
      <c r="CS5228">
        <v>0</v>
      </c>
      <c r="CT5228">
        <v>2</v>
      </c>
      <c r="CU5228">
        <v>0</v>
      </c>
      <c r="CV5228">
        <v>2</v>
      </c>
      <c r="CW5228">
        <v>0</v>
      </c>
      <c r="CX5228">
        <v>3</v>
      </c>
      <c r="CY5228">
        <v>7</v>
      </c>
      <c r="CZ5228" t="s">
        <v>133</v>
      </c>
      <c r="DA5228">
        <v>275</v>
      </c>
      <c r="DB5228">
        <v>0</v>
      </c>
      <c r="DC5228" t="s">
        <v>134</v>
      </c>
      <c r="DD5228" t="s">
        <v>135</v>
      </c>
      <c r="DG5228">
        <v>3323710</v>
      </c>
      <c r="DI5228">
        <v>1</v>
      </c>
      <c r="DJ5228">
        <v>0</v>
      </c>
      <c r="DK5228">
        <v>0</v>
      </c>
      <c r="DL5228">
        <v>0</v>
      </c>
      <c r="DM5228">
        <v>0</v>
      </c>
      <c r="DN5228">
        <v>0</v>
      </c>
      <c r="DO5228">
        <v>0</v>
      </c>
      <c r="DP5228">
        <v>0</v>
      </c>
      <c r="DQ5228">
        <v>0</v>
      </c>
      <c r="DR5228">
        <v>0</v>
      </c>
      <c r="DS5228">
        <v>0</v>
      </c>
    </row>
    <row r="5229" spans="1:123" x14ac:dyDescent="0.3">
      <c r="A5229" t="str">
        <f>"05/01/2025 15:19:03.709"</f>
        <v>05/01/2025 15:19:03.709</v>
      </c>
      <c r="C5229" t="str">
        <f t="shared" si="2052"/>
        <v>FFDFD3C0</v>
      </c>
      <c r="D5229" t="s">
        <v>145</v>
      </c>
      <c r="E5229" t="str">
        <f>"09"</f>
        <v>09</v>
      </c>
      <c r="H5229">
        <v>51</v>
      </c>
      <c r="I5229" t="s">
        <v>147</v>
      </c>
      <c r="J5229" t="s">
        <v>138</v>
      </c>
      <c r="K5229">
        <v>0</v>
      </c>
      <c r="L5229">
        <v>3</v>
      </c>
      <c r="M5229">
        <v>0</v>
      </c>
      <c r="N5229">
        <v>2</v>
      </c>
      <c r="O5229">
        <v>0</v>
      </c>
      <c r="P5229">
        <v>1</v>
      </c>
      <c r="Q5229">
        <v>0</v>
      </c>
      <c r="R5229" t="s">
        <v>127</v>
      </c>
      <c r="S5229" t="str">
        <f t="shared" si="2070"/>
        <v>15:19:03.000</v>
      </c>
      <c r="T5229" t="str">
        <f t="shared" si="2070"/>
        <v>15:19:03.000</v>
      </c>
      <c r="U5229" t="str">
        <f t="shared" si="2054"/>
        <v>A68FCB</v>
      </c>
      <c r="V5229">
        <v>0</v>
      </c>
      <c r="W5229">
        <v>0</v>
      </c>
      <c r="X5229">
        <v>2</v>
      </c>
      <c r="Y5229">
        <v>0</v>
      </c>
      <c r="AA5229">
        <v>1</v>
      </c>
      <c r="AB5229">
        <v>8</v>
      </c>
      <c r="AC5229">
        <v>3</v>
      </c>
      <c r="AD5229">
        <v>0</v>
      </c>
      <c r="AE5229">
        <v>9</v>
      </c>
      <c r="AF5229" t="s">
        <v>138</v>
      </c>
      <c r="AG5229">
        <v>0</v>
      </c>
      <c r="AH5229">
        <v>3</v>
      </c>
      <c r="AI5229">
        <v>2</v>
      </c>
      <c r="AJ5229">
        <v>0</v>
      </c>
      <c r="AK5229" t="s">
        <v>1649</v>
      </c>
      <c r="AL5229">
        <v>39.230268000000002</v>
      </c>
      <c r="AM5229" t="s">
        <v>1650</v>
      </c>
      <c r="AN5229">
        <v>-121.029768</v>
      </c>
      <c r="AO5229">
        <v>25</v>
      </c>
      <c r="AP5229">
        <v>3400</v>
      </c>
      <c r="AQ5229" t="s">
        <v>131</v>
      </c>
      <c r="AR5229">
        <v>-17</v>
      </c>
      <c r="AS5229">
        <v>-76</v>
      </c>
      <c r="AT5229">
        <v>-64</v>
      </c>
      <c r="BB5229" t="str">
        <f t="shared" si="2055"/>
        <v>1200</v>
      </c>
      <c r="BC5229">
        <v>1</v>
      </c>
      <c r="BD5229" t="str">
        <f t="shared" si="2056"/>
        <v xml:space="preserve">N52156  </v>
      </c>
      <c r="BE5229">
        <v>1</v>
      </c>
      <c r="BG5229">
        <v>0</v>
      </c>
      <c r="BH5229">
        <v>0</v>
      </c>
      <c r="BI5229">
        <v>0</v>
      </c>
      <c r="BJ5229">
        <v>3500</v>
      </c>
      <c r="BK5229">
        <v>100</v>
      </c>
      <c r="BL5229" t="s">
        <v>188</v>
      </c>
      <c r="BM5229">
        <v>1</v>
      </c>
      <c r="BN5229">
        <v>1</v>
      </c>
      <c r="BO5229">
        <v>0</v>
      </c>
      <c r="BP5229">
        <v>0</v>
      </c>
      <c r="BS5229">
        <v>0</v>
      </c>
      <c r="BT5229">
        <v>0</v>
      </c>
      <c r="BU5229">
        <v>0</v>
      </c>
      <c r="CE5229" t="str">
        <f t="shared" si="2071"/>
        <v>15:19:03.491</v>
      </c>
      <c r="CF5229">
        <v>491004559</v>
      </c>
      <c r="CS5229">
        <v>0</v>
      </c>
      <c r="CT5229">
        <v>2</v>
      </c>
      <c r="CU5229">
        <v>0</v>
      </c>
      <c r="CV5229">
        <v>2</v>
      </c>
      <c r="CW5229">
        <v>0</v>
      </c>
      <c r="CX5229">
        <v>3</v>
      </c>
      <c r="CY5229">
        <v>7</v>
      </c>
      <c r="CZ5229" t="s">
        <v>133</v>
      </c>
      <c r="DA5229">
        <v>275</v>
      </c>
      <c r="DB5229">
        <v>0</v>
      </c>
      <c r="DC5229" t="s">
        <v>134</v>
      </c>
      <c r="DD5229" t="s">
        <v>135</v>
      </c>
      <c r="DG5229">
        <v>3323710</v>
      </c>
      <c r="DI5229">
        <v>1</v>
      </c>
      <c r="DJ5229">
        <v>0</v>
      </c>
      <c r="DK5229">
        <v>1</v>
      </c>
      <c r="DL5229">
        <v>0</v>
      </c>
      <c r="DM5229">
        <v>0</v>
      </c>
      <c r="DN5229">
        <v>0</v>
      </c>
      <c r="DO5229">
        <v>0</v>
      </c>
      <c r="DP5229">
        <v>0</v>
      </c>
      <c r="DQ5229">
        <v>0</v>
      </c>
      <c r="DR5229">
        <v>0</v>
      </c>
      <c r="DS5229">
        <v>0</v>
      </c>
    </row>
    <row r="5230" spans="1:123" x14ac:dyDescent="0.3">
      <c r="A5230" t="str">
        <f>"05/01/2025 15:19:03.710"</f>
        <v>05/01/2025 15:19:03.710</v>
      </c>
      <c r="C5230" t="str">
        <f t="shared" si="2052"/>
        <v>FFDFD3C0</v>
      </c>
      <c r="D5230" t="s">
        <v>145</v>
      </c>
      <c r="E5230" t="str">
        <f>"05"</f>
        <v>05</v>
      </c>
      <c r="H5230">
        <v>47</v>
      </c>
      <c r="I5230" t="s">
        <v>146</v>
      </c>
      <c r="J5230" t="s">
        <v>138</v>
      </c>
      <c r="K5230">
        <v>0</v>
      </c>
      <c r="L5230">
        <v>3</v>
      </c>
      <c r="M5230">
        <v>0</v>
      </c>
      <c r="N5230">
        <v>2</v>
      </c>
      <c r="O5230">
        <v>0</v>
      </c>
      <c r="P5230">
        <v>1</v>
      </c>
      <c r="Q5230">
        <v>0</v>
      </c>
      <c r="R5230" t="s">
        <v>127</v>
      </c>
      <c r="S5230" t="str">
        <f t="shared" si="2070"/>
        <v>15:19:03.000</v>
      </c>
      <c r="T5230" t="str">
        <f t="shared" si="2070"/>
        <v>15:19:03.000</v>
      </c>
      <c r="U5230" t="str">
        <f t="shared" si="2054"/>
        <v>A68FCB</v>
      </c>
      <c r="V5230">
        <v>0</v>
      </c>
      <c r="W5230">
        <v>0</v>
      </c>
      <c r="X5230">
        <v>2</v>
      </c>
      <c r="Y5230">
        <v>0</v>
      </c>
      <c r="AA5230">
        <v>1</v>
      </c>
      <c r="AB5230">
        <v>8</v>
      </c>
      <c r="AC5230">
        <v>3</v>
      </c>
      <c r="AD5230">
        <v>0</v>
      </c>
      <c r="AE5230">
        <v>9</v>
      </c>
      <c r="AF5230" t="s">
        <v>138</v>
      </c>
      <c r="AG5230">
        <v>0</v>
      </c>
      <c r="AH5230">
        <v>3</v>
      </c>
      <c r="AI5230">
        <v>2</v>
      </c>
      <c r="AJ5230">
        <v>0</v>
      </c>
      <c r="AK5230" t="s">
        <v>1649</v>
      </c>
      <c r="AL5230">
        <v>39.230268000000002</v>
      </c>
      <c r="AM5230" t="s">
        <v>1650</v>
      </c>
      <c r="AN5230">
        <v>-121.029768</v>
      </c>
      <c r="AO5230">
        <v>25</v>
      </c>
      <c r="AP5230">
        <v>3400</v>
      </c>
      <c r="AQ5230" t="s">
        <v>131</v>
      </c>
      <c r="AR5230">
        <v>-17</v>
      </c>
      <c r="AS5230">
        <v>-76</v>
      </c>
      <c r="AT5230">
        <v>-64</v>
      </c>
      <c r="BB5230" t="str">
        <f t="shared" si="2055"/>
        <v>1200</v>
      </c>
      <c r="BC5230">
        <v>1</v>
      </c>
      <c r="BD5230" t="str">
        <f t="shared" si="2056"/>
        <v xml:space="preserve">N52156  </v>
      </c>
      <c r="BE5230">
        <v>1</v>
      </c>
      <c r="BG5230">
        <v>0</v>
      </c>
      <c r="BH5230">
        <v>0</v>
      </c>
      <c r="BI5230">
        <v>0</v>
      </c>
      <c r="BJ5230">
        <v>3500</v>
      </c>
      <c r="BK5230">
        <v>100</v>
      </c>
      <c r="BL5230" t="s">
        <v>188</v>
      </c>
      <c r="BM5230">
        <v>1</v>
      </c>
      <c r="BN5230">
        <v>1</v>
      </c>
      <c r="BO5230">
        <v>0</v>
      </c>
      <c r="BP5230">
        <v>0</v>
      </c>
      <c r="BS5230">
        <v>0</v>
      </c>
      <c r="BT5230">
        <v>0</v>
      </c>
      <c r="BU5230">
        <v>0</v>
      </c>
      <c r="CE5230" t="str">
        <f t="shared" si="2071"/>
        <v>15:19:03.491</v>
      </c>
      <c r="CF5230">
        <v>491004559</v>
      </c>
      <c r="CS5230">
        <v>0</v>
      </c>
      <c r="CT5230">
        <v>2</v>
      </c>
      <c r="CU5230">
        <v>0</v>
      </c>
      <c r="CV5230">
        <v>2</v>
      </c>
      <c r="CW5230">
        <v>0</v>
      </c>
      <c r="CX5230">
        <v>3</v>
      </c>
      <c r="CY5230">
        <v>7</v>
      </c>
      <c r="CZ5230" t="s">
        <v>133</v>
      </c>
      <c r="DA5230">
        <v>275</v>
      </c>
      <c r="DB5230">
        <v>0</v>
      </c>
      <c r="DC5230" t="s">
        <v>134</v>
      </c>
      <c r="DD5230" t="s">
        <v>135</v>
      </c>
      <c r="DG5230">
        <v>3323710</v>
      </c>
      <c r="DI5230">
        <v>1</v>
      </c>
      <c r="DJ5230">
        <v>0</v>
      </c>
      <c r="DK5230">
        <v>1</v>
      </c>
      <c r="DL5230">
        <v>0</v>
      </c>
      <c r="DM5230">
        <v>0</v>
      </c>
      <c r="DN5230">
        <v>0</v>
      </c>
      <c r="DO5230">
        <v>0</v>
      </c>
      <c r="DP5230">
        <v>0</v>
      </c>
      <c r="DQ5230">
        <v>0</v>
      </c>
      <c r="DR5230">
        <v>0</v>
      </c>
      <c r="DS5230">
        <v>0</v>
      </c>
    </row>
    <row r="5231" spans="1:123" x14ac:dyDescent="0.3">
      <c r="A5231" t="str">
        <f>"05/01/2025 15:19:03.718"</f>
        <v>05/01/2025 15:19:03.718</v>
      </c>
      <c r="C5231" t="str">
        <f t="shared" si="2052"/>
        <v>FFDFD3C0</v>
      </c>
      <c r="D5231" t="s">
        <v>136</v>
      </c>
      <c r="E5231" t="str">
        <f>"20"</f>
        <v>20</v>
      </c>
      <c r="H5231">
        <v>400</v>
      </c>
      <c r="I5231" t="s">
        <v>137</v>
      </c>
      <c r="J5231" t="s">
        <v>138</v>
      </c>
      <c r="K5231">
        <v>0</v>
      </c>
      <c r="L5231">
        <v>3</v>
      </c>
      <c r="M5231">
        <v>0</v>
      </c>
      <c r="N5231">
        <v>2</v>
      </c>
      <c r="O5231">
        <v>0</v>
      </c>
      <c r="P5231">
        <v>1</v>
      </c>
      <c r="Q5231">
        <v>0</v>
      </c>
      <c r="R5231" t="s">
        <v>127</v>
      </c>
      <c r="S5231" t="str">
        <f t="shared" si="2070"/>
        <v>15:19:03.000</v>
      </c>
      <c r="T5231" t="str">
        <f t="shared" si="2070"/>
        <v>15:19:03.000</v>
      </c>
      <c r="U5231" t="str">
        <f t="shared" si="2054"/>
        <v>A68FCB</v>
      </c>
      <c r="V5231">
        <v>0</v>
      </c>
      <c r="W5231">
        <v>0</v>
      </c>
      <c r="X5231">
        <v>2</v>
      </c>
      <c r="Y5231">
        <v>0</v>
      </c>
      <c r="AA5231">
        <v>1</v>
      </c>
      <c r="AB5231">
        <v>8</v>
      </c>
      <c r="AC5231">
        <v>3</v>
      </c>
      <c r="AD5231">
        <v>0</v>
      </c>
      <c r="AE5231">
        <v>9</v>
      </c>
      <c r="AF5231" t="s">
        <v>138</v>
      </c>
      <c r="AG5231">
        <v>0</v>
      </c>
      <c r="AH5231">
        <v>3</v>
      </c>
      <c r="AI5231">
        <v>2</v>
      </c>
      <c r="AJ5231">
        <v>0</v>
      </c>
      <c r="AK5231" t="s">
        <v>1649</v>
      </c>
      <c r="AL5231">
        <v>39.230268000000002</v>
      </c>
      <c r="AM5231" t="s">
        <v>1650</v>
      </c>
      <c r="AN5231">
        <v>-121.029768</v>
      </c>
      <c r="AO5231">
        <v>25</v>
      </c>
      <c r="AP5231">
        <v>3400</v>
      </c>
      <c r="AQ5231" t="s">
        <v>131</v>
      </c>
      <c r="AR5231">
        <v>-17</v>
      </c>
      <c r="AS5231">
        <v>-76</v>
      </c>
      <c r="AT5231">
        <v>-64</v>
      </c>
      <c r="BB5231" t="str">
        <f t="shared" si="2055"/>
        <v>1200</v>
      </c>
      <c r="BC5231">
        <v>1</v>
      </c>
      <c r="BD5231" t="str">
        <f t="shared" si="2056"/>
        <v xml:space="preserve">N52156  </v>
      </c>
      <c r="BE5231">
        <v>1</v>
      </c>
      <c r="BG5231">
        <v>0</v>
      </c>
      <c r="BH5231">
        <v>0</v>
      </c>
      <c r="BI5231">
        <v>0</v>
      </c>
      <c r="BJ5231">
        <v>3500</v>
      </c>
      <c r="BK5231">
        <v>100</v>
      </c>
      <c r="BL5231" t="s">
        <v>188</v>
      </c>
      <c r="BM5231">
        <v>1</v>
      </c>
      <c r="BN5231">
        <v>1</v>
      </c>
      <c r="BO5231">
        <v>0</v>
      </c>
      <c r="BP5231">
        <v>0</v>
      </c>
      <c r="BS5231">
        <v>0</v>
      </c>
      <c r="BT5231">
        <v>0</v>
      </c>
      <c r="BU5231">
        <v>0</v>
      </c>
      <c r="CE5231" t="str">
        <f t="shared" si="2071"/>
        <v>15:19:03.491</v>
      </c>
      <c r="CF5231">
        <v>491004559</v>
      </c>
      <c r="CS5231">
        <v>0</v>
      </c>
      <c r="CT5231">
        <v>2</v>
      </c>
      <c r="CU5231">
        <v>0</v>
      </c>
      <c r="CV5231">
        <v>2</v>
      </c>
      <c r="CW5231">
        <v>0</v>
      </c>
      <c r="CX5231">
        <v>3</v>
      </c>
      <c r="CY5231">
        <v>7</v>
      </c>
      <c r="CZ5231" t="s">
        <v>133</v>
      </c>
      <c r="DA5231">
        <v>275</v>
      </c>
      <c r="DB5231">
        <v>0</v>
      </c>
      <c r="DC5231" t="s">
        <v>134</v>
      </c>
      <c r="DD5231" t="s">
        <v>135</v>
      </c>
      <c r="DG5231">
        <v>3323710</v>
      </c>
      <c r="DI5231">
        <v>1</v>
      </c>
      <c r="DJ5231">
        <v>0</v>
      </c>
      <c r="DK5231">
        <v>1</v>
      </c>
      <c r="DL5231">
        <v>0</v>
      </c>
      <c r="DM5231">
        <v>0</v>
      </c>
      <c r="DN5231">
        <v>0</v>
      </c>
      <c r="DO5231">
        <v>0</v>
      </c>
      <c r="DP5231">
        <v>0</v>
      </c>
      <c r="DQ5231">
        <v>0</v>
      </c>
      <c r="DR5231">
        <v>0</v>
      </c>
      <c r="DS5231">
        <v>0</v>
      </c>
    </row>
    <row r="5232" spans="1:123" x14ac:dyDescent="0.3">
      <c r="A5232" t="str">
        <f>"05/01/2025 15:19:03.734"</f>
        <v>05/01/2025 15:19:03.734</v>
      </c>
      <c r="C5232" t="str">
        <f t="shared" si="2052"/>
        <v>FFDFD3C0</v>
      </c>
      <c r="D5232" t="s">
        <v>140</v>
      </c>
      <c r="E5232" t="str">
        <f>"13"</f>
        <v>13</v>
      </c>
      <c r="F5232">
        <v>1019</v>
      </c>
      <c r="G5232" t="s">
        <v>141</v>
      </c>
      <c r="J5232" t="s">
        <v>142</v>
      </c>
      <c r="K5232">
        <v>0</v>
      </c>
      <c r="L5232">
        <v>3</v>
      </c>
      <c r="M5232">
        <v>0</v>
      </c>
      <c r="N5232">
        <v>2</v>
      </c>
      <c r="O5232">
        <v>0</v>
      </c>
      <c r="P5232">
        <v>1</v>
      </c>
      <c r="Q5232">
        <v>0</v>
      </c>
      <c r="R5232" t="s">
        <v>127</v>
      </c>
      <c r="S5232" t="str">
        <f t="shared" si="2070"/>
        <v>15:19:03.000</v>
      </c>
      <c r="T5232" t="str">
        <f t="shared" si="2070"/>
        <v>15:19:03.000</v>
      </c>
      <c r="U5232" t="str">
        <f t="shared" si="2054"/>
        <v>A68FCB</v>
      </c>
      <c r="V5232">
        <v>0</v>
      </c>
      <c r="W5232">
        <v>0</v>
      </c>
      <c r="X5232">
        <v>2</v>
      </c>
      <c r="Y5232">
        <v>0</v>
      </c>
      <c r="AA5232">
        <v>1</v>
      </c>
      <c r="AB5232">
        <v>8</v>
      </c>
      <c r="AC5232">
        <v>3</v>
      </c>
      <c r="AD5232">
        <v>0</v>
      </c>
      <c r="AE5232">
        <v>9</v>
      </c>
      <c r="AF5232" t="s">
        <v>138</v>
      </c>
      <c r="AG5232">
        <v>0</v>
      </c>
      <c r="AH5232">
        <v>3</v>
      </c>
      <c r="AI5232">
        <v>2</v>
      </c>
      <c r="AJ5232">
        <v>0</v>
      </c>
      <c r="AK5232" t="s">
        <v>1649</v>
      </c>
      <c r="AL5232">
        <v>39.230268000000002</v>
      </c>
      <c r="AM5232" t="s">
        <v>1650</v>
      </c>
      <c r="AN5232">
        <v>-121.029768</v>
      </c>
      <c r="AO5232">
        <v>25</v>
      </c>
      <c r="AP5232">
        <v>3400</v>
      </c>
      <c r="AQ5232" t="s">
        <v>131</v>
      </c>
      <c r="AR5232">
        <v>-17</v>
      </c>
      <c r="AS5232">
        <v>-76</v>
      </c>
      <c r="AT5232">
        <v>-64</v>
      </c>
      <c r="BB5232" t="str">
        <f t="shared" si="2055"/>
        <v>1200</v>
      </c>
      <c r="BC5232">
        <v>1</v>
      </c>
      <c r="BD5232" t="str">
        <f t="shared" si="2056"/>
        <v xml:space="preserve">N52156  </v>
      </c>
      <c r="BE5232">
        <v>1</v>
      </c>
      <c r="BG5232">
        <v>0</v>
      </c>
      <c r="BH5232">
        <v>0</v>
      </c>
      <c r="BI5232">
        <v>0</v>
      </c>
      <c r="BJ5232">
        <v>3500</v>
      </c>
      <c r="BK5232">
        <v>100</v>
      </c>
      <c r="BL5232" t="s">
        <v>188</v>
      </c>
      <c r="BM5232">
        <v>1</v>
      </c>
      <c r="BN5232">
        <v>1</v>
      </c>
      <c r="BO5232">
        <v>0</v>
      </c>
      <c r="BP5232">
        <v>0</v>
      </c>
      <c r="BS5232">
        <v>0</v>
      </c>
      <c r="BT5232">
        <v>0</v>
      </c>
      <c r="BU5232">
        <v>0</v>
      </c>
      <c r="CE5232" t="str">
        <f t="shared" si="2071"/>
        <v>15:19:03.491</v>
      </c>
      <c r="CF5232">
        <v>491004559</v>
      </c>
      <c r="CS5232">
        <v>0</v>
      </c>
      <c r="CT5232">
        <v>2</v>
      </c>
      <c r="CU5232">
        <v>0</v>
      </c>
      <c r="CV5232">
        <v>2</v>
      </c>
      <c r="CW5232">
        <v>0</v>
      </c>
      <c r="CX5232">
        <v>3</v>
      </c>
      <c r="CY5232">
        <v>7</v>
      </c>
      <c r="CZ5232" t="s">
        <v>133</v>
      </c>
      <c r="DA5232">
        <v>275</v>
      </c>
      <c r="DB5232">
        <v>0</v>
      </c>
      <c r="DC5232" t="s">
        <v>134</v>
      </c>
      <c r="DD5232" t="s">
        <v>135</v>
      </c>
      <c r="DG5232">
        <v>3323710</v>
      </c>
      <c r="DI5232">
        <v>1</v>
      </c>
      <c r="DJ5232">
        <v>0</v>
      </c>
      <c r="DK5232">
        <v>1</v>
      </c>
      <c r="DL5232">
        <v>0</v>
      </c>
      <c r="DM5232">
        <v>0</v>
      </c>
      <c r="DN5232">
        <v>0</v>
      </c>
      <c r="DO5232">
        <v>0</v>
      </c>
      <c r="DP5232">
        <v>0</v>
      </c>
      <c r="DQ5232">
        <v>0</v>
      </c>
      <c r="DR5232">
        <v>0</v>
      </c>
      <c r="DS5232">
        <v>0</v>
      </c>
    </row>
    <row r="5233" spans="1:123" x14ac:dyDescent="0.3">
      <c r="A5233" t="str">
        <f>"05/01/2025 15:19:03.736"</f>
        <v>05/01/2025 15:19:03.736</v>
      </c>
      <c r="C5233" t="str">
        <f t="shared" si="2052"/>
        <v>FFDFD3C0</v>
      </c>
      <c r="D5233" t="s">
        <v>124</v>
      </c>
      <c r="E5233" t="str">
        <f>"06"</f>
        <v>06</v>
      </c>
      <c r="F5233">
        <v>2006</v>
      </c>
      <c r="G5233" t="s">
        <v>125</v>
      </c>
      <c r="J5233" t="s">
        <v>126</v>
      </c>
      <c r="K5233">
        <v>0</v>
      </c>
      <c r="L5233">
        <v>3</v>
      </c>
      <c r="M5233">
        <v>0</v>
      </c>
      <c r="N5233">
        <v>2</v>
      </c>
      <c r="O5233">
        <v>0</v>
      </c>
      <c r="P5233">
        <v>1</v>
      </c>
      <c r="Q5233">
        <v>0</v>
      </c>
      <c r="R5233" t="s">
        <v>127</v>
      </c>
      <c r="S5233" t="str">
        <f t="shared" si="2070"/>
        <v>15:19:03.000</v>
      </c>
      <c r="T5233" t="str">
        <f t="shared" si="2070"/>
        <v>15:19:03.000</v>
      </c>
      <c r="U5233" t="str">
        <f t="shared" si="2054"/>
        <v>A68FCB</v>
      </c>
      <c r="V5233">
        <v>0</v>
      </c>
      <c r="W5233">
        <v>0</v>
      </c>
      <c r="X5233">
        <v>2</v>
      </c>
      <c r="Y5233">
        <v>0</v>
      </c>
      <c r="AA5233">
        <v>1</v>
      </c>
      <c r="AB5233">
        <v>8</v>
      </c>
      <c r="AC5233">
        <v>3</v>
      </c>
      <c r="AD5233">
        <v>0</v>
      </c>
      <c r="AE5233">
        <v>9</v>
      </c>
      <c r="AF5233" t="s">
        <v>138</v>
      </c>
      <c r="AG5233">
        <v>0</v>
      </c>
      <c r="AH5233">
        <v>3</v>
      </c>
      <c r="AI5233">
        <v>2</v>
      </c>
      <c r="AJ5233">
        <v>0</v>
      </c>
      <c r="AK5233" t="s">
        <v>1649</v>
      </c>
      <c r="AL5233">
        <v>39.230268000000002</v>
      </c>
      <c r="AM5233" t="s">
        <v>1650</v>
      </c>
      <c r="AN5233">
        <v>-121.029768</v>
      </c>
      <c r="AO5233">
        <v>25</v>
      </c>
      <c r="AP5233">
        <v>3400</v>
      </c>
      <c r="AQ5233" t="s">
        <v>131</v>
      </c>
      <c r="AR5233">
        <v>-17</v>
      </c>
      <c r="AS5233">
        <v>-76</v>
      </c>
      <c r="AT5233">
        <v>-64</v>
      </c>
      <c r="BB5233" t="str">
        <f t="shared" si="2055"/>
        <v>1200</v>
      </c>
      <c r="BC5233">
        <v>1</v>
      </c>
      <c r="BD5233" t="str">
        <f t="shared" si="2056"/>
        <v xml:space="preserve">N52156  </v>
      </c>
      <c r="BE5233">
        <v>1</v>
      </c>
      <c r="BG5233">
        <v>0</v>
      </c>
      <c r="BH5233">
        <v>0</v>
      </c>
      <c r="BI5233">
        <v>0</v>
      </c>
      <c r="BJ5233">
        <v>3500</v>
      </c>
      <c r="BK5233">
        <v>100</v>
      </c>
      <c r="BL5233" t="s">
        <v>188</v>
      </c>
      <c r="BM5233">
        <v>1</v>
      </c>
      <c r="BN5233">
        <v>1</v>
      </c>
      <c r="BO5233">
        <v>0</v>
      </c>
      <c r="BP5233">
        <v>0</v>
      </c>
      <c r="BS5233">
        <v>0</v>
      </c>
      <c r="BT5233">
        <v>0</v>
      </c>
      <c r="BU5233">
        <v>0</v>
      </c>
      <c r="CE5233" t="str">
        <f t="shared" si="2071"/>
        <v>15:19:03.491</v>
      </c>
      <c r="CF5233">
        <v>491004559</v>
      </c>
      <c r="CS5233">
        <v>0</v>
      </c>
      <c r="CT5233">
        <v>2</v>
      </c>
      <c r="CU5233">
        <v>0</v>
      </c>
      <c r="CV5233">
        <v>2</v>
      </c>
      <c r="CW5233">
        <v>0</v>
      </c>
      <c r="CX5233">
        <v>3</v>
      </c>
      <c r="CY5233">
        <v>7</v>
      </c>
      <c r="CZ5233" t="s">
        <v>133</v>
      </c>
      <c r="DA5233">
        <v>275</v>
      </c>
      <c r="DB5233">
        <v>0</v>
      </c>
      <c r="DC5233" t="s">
        <v>134</v>
      </c>
      <c r="DD5233" t="s">
        <v>135</v>
      </c>
      <c r="DG5233">
        <v>3323710</v>
      </c>
      <c r="DI5233">
        <v>1</v>
      </c>
      <c r="DJ5233">
        <v>0</v>
      </c>
      <c r="DK5233">
        <v>1</v>
      </c>
      <c r="DL5233">
        <v>0</v>
      </c>
      <c r="DM5233">
        <v>0</v>
      </c>
      <c r="DN5233">
        <v>0</v>
      </c>
      <c r="DO5233">
        <v>0</v>
      </c>
      <c r="DP5233">
        <v>0</v>
      </c>
      <c r="DQ5233">
        <v>0</v>
      </c>
      <c r="DR5233">
        <v>0</v>
      </c>
      <c r="DS5233">
        <v>0</v>
      </c>
    </row>
    <row r="5234" spans="1:123" x14ac:dyDescent="0.3">
      <c r="A5234" t="str">
        <f>"05/01/2025 15:19:04.861"</f>
        <v>05/01/2025 15:19:04.861</v>
      </c>
      <c r="C5234" t="str">
        <f t="shared" si="2052"/>
        <v>FFDFD3C0</v>
      </c>
      <c r="D5234" t="s">
        <v>145</v>
      </c>
      <c r="E5234" t="str">
        <f>"09"</f>
        <v>09</v>
      </c>
      <c r="H5234">
        <v>51</v>
      </c>
      <c r="I5234" t="s">
        <v>147</v>
      </c>
      <c r="J5234" t="s">
        <v>138</v>
      </c>
      <c r="K5234">
        <v>0</v>
      </c>
      <c r="L5234">
        <v>3</v>
      </c>
      <c r="M5234">
        <v>0</v>
      </c>
      <c r="N5234">
        <v>2</v>
      </c>
      <c r="O5234">
        <v>0</v>
      </c>
      <c r="P5234">
        <v>1</v>
      </c>
      <c r="Q5234">
        <v>0</v>
      </c>
      <c r="R5234" t="s">
        <v>127</v>
      </c>
      <c r="S5234" t="str">
        <f t="shared" ref="S5234:T5239" si="2072">"15:19:04.000"</f>
        <v>15:19:04.000</v>
      </c>
      <c r="T5234" t="str">
        <f t="shared" si="2072"/>
        <v>15:19:04.000</v>
      </c>
      <c r="U5234" t="str">
        <f t="shared" si="2054"/>
        <v>A68FCB</v>
      </c>
      <c r="V5234">
        <v>0</v>
      </c>
      <c r="W5234">
        <v>0</v>
      </c>
      <c r="X5234">
        <v>2</v>
      </c>
      <c r="Y5234">
        <v>0</v>
      </c>
      <c r="AA5234">
        <v>1</v>
      </c>
      <c r="AB5234">
        <v>8</v>
      </c>
      <c r="AC5234">
        <v>3</v>
      </c>
      <c r="AD5234">
        <v>0</v>
      </c>
      <c r="AE5234">
        <v>9</v>
      </c>
      <c r="AF5234" t="s">
        <v>138</v>
      </c>
      <c r="AG5234">
        <v>0</v>
      </c>
      <c r="AH5234">
        <v>3</v>
      </c>
      <c r="AI5234">
        <v>2</v>
      </c>
      <c r="AJ5234">
        <v>0</v>
      </c>
      <c r="AK5234" t="s">
        <v>1651</v>
      </c>
      <c r="AL5234">
        <v>39.229968</v>
      </c>
      <c r="AM5234" t="s">
        <v>1652</v>
      </c>
      <c r="AN5234">
        <v>-121.029875</v>
      </c>
      <c r="AO5234">
        <v>25</v>
      </c>
      <c r="AP5234">
        <v>3400</v>
      </c>
      <c r="AQ5234" t="s">
        <v>131</v>
      </c>
      <c r="AR5234">
        <v>-5</v>
      </c>
      <c r="AS5234">
        <v>-69</v>
      </c>
      <c r="AT5234">
        <v>-320</v>
      </c>
      <c r="BB5234" t="str">
        <f t="shared" si="2055"/>
        <v>1200</v>
      </c>
      <c r="BC5234">
        <v>1</v>
      </c>
      <c r="BD5234" t="str">
        <f t="shared" si="2056"/>
        <v xml:space="preserve">N52156  </v>
      </c>
      <c r="BE5234">
        <v>1</v>
      </c>
      <c r="BG5234">
        <v>0</v>
      </c>
      <c r="BH5234">
        <v>0</v>
      </c>
      <c r="BI5234">
        <v>0</v>
      </c>
      <c r="BJ5234">
        <v>3500</v>
      </c>
      <c r="BK5234">
        <v>100</v>
      </c>
      <c r="BL5234" t="s">
        <v>188</v>
      </c>
      <c r="BM5234">
        <v>1</v>
      </c>
      <c r="BN5234">
        <v>1</v>
      </c>
      <c r="BO5234">
        <v>0</v>
      </c>
      <c r="BP5234">
        <v>0</v>
      </c>
      <c r="BS5234">
        <v>0</v>
      </c>
      <c r="BT5234">
        <v>0</v>
      </c>
      <c r="BU5234">
        <v>0</v>
      </c>
      <c r="CE5234" t="str">
        <f t="shared" ref="CE5234:CE5239" si="2073">"15:19:04.649"</f>
        <v>15:19:04.649</v>
      </c>
      <c r="CF5234">
        <v>649255103</v>
      </c>
      <c r="CS5234">
        <v>0</v>
      </c>
      <c r="CT5234">
        <v>2</v>
      </c>
      <c r="CU5234">
        <v>0</v>
      </c>
      <c r="CV5234">
        <v>2</v>
      </c>
      <c r="CW5234">
        <v>0</v>
      </c>
      <c r="CX5234">
        <v>3</v>
      </c>
      <c r="CY5234">
        <v>7</v>
      </c>
      <c r="CZ5234" t="s">
        <v>133</v>
      </c>
      <c r="DA5234">
        <v>275</v>
      </c>
      <c r="DB5234">
        <v>0</v>
      </c>
      <c r="DC5234" t="s">
        <v>134</v>
      </c>
      <c r="DD5234" t="s">
        <v>135</v>
      </c>
      <c r="DG5234">
        <v>3323716</v>
      </c>
      <c r="DI5234">
        <v>1</v>
      </c>
      <c r="DJ5234">
        <v>0</v>
      </c>
      <c r="DK5234">
        <v>0</v>
      </c>
      <c r="DL5234">
        <v>0</v>
      </c>
      <c r="DM5234">
        <v>0</v>
      </c>
      <c r="DN5234">
        <v>0</v>
      </c>
      <c r="DO5234">
        <v>0</v>
      </c>
      <c r="DP5234">
        <v>0</v>
      </c>
      <c r="DQ5234">
        <v>0</v>
      </c>
      <c r="DR5234">
        <v>0</v>
      </c>
      <c r="DS5234">
        <v>0</v>
      </c>
    </row>
    <row r="5235" spans="1:123" x14ac:dyDescent="0.3">
      <c r="A5235" t="str">
        <f>"05/01/2025 15:19:04.862"</f>
        <v>05/01/2025 15:19:04.862</v>
      </c>
      <c r="C5235" t="str">
        <f t="shared" si="2052"/>
        <v>FFDFD3C0</v>
      </c>
      <c r="D5235" t="s">
        <v>145</v>
      </c>
      <c r="E5235" t="str">
        <f>"05"</f>
        <v>05</v>
      </c>
      <c r="H5235">
        <v>47</v>
      </c>
      <c r="I5235" t="s">
        <v>146</v>
      </c>
      <c r="J5235" t="s">
        <v>138</v>
      </c>
      <c r="K5235">
        <v>0</v>
      </c>
      <c r="L5235">
        <v>3</v>
      </c>
      <c r="M5235">
        <v>0</v>
      </c>
      <c r="N5235">
        <v>2</v>
      </c>
      <c r="O5235">
        <v>0</v>
      </c>
      <c r="P5235">
        <v>1</v>
      </c>
      <c r="Q5235">
        <v>0</v>
      </c>
      <c r="R5235" t="s">
        <v>127</v>
      </c>
      <c r="S5235" t="str">
        <f t="shared" si="2072"/>
        <v>15:19:04.000</v>
      </c>
      <c r="T5235" t="str">
        <f t="shared" si="2072"/>
        <v>15:19:04.000</v>
      </c>
      <c r="U5235" t="str">
        <f t="shared" si="2054"/>
        <v>A68FCB</v>
      </c>
      <c r="V5235">
        <v>0</v>
      </c>
      <c r="W5235">
        <v>0</v>
      </c>
      <c r="X5235">
        <v>2</v>
      </c>
      <c r="Y5235">
        <v>0</v>
      </c>
      <c r="AA5235">
        <v>1</v>
      </c>
      <c r="AB5235">
        <v>8</v>
      </c>
      <c r="AC5235">
        <v>3</v>
      </c>
      <c r="AD5235">
        <v>0</v>
      </c>
      <c r="AE5235">
        <v>9</v>
      </c>
      <c r="AF5235" t="s">
        <v>138</v>
      </c>
      <c r="AG5235">
        <v>0</v>
      </c>
      <c r="AH5235">
        <v>3</v>
      </c>
      <c r="AI5235">
        <v>2</v>
      </c>
      <c r="AJ5235">
        <v>0</v>
      </c>
      <c r="AK5235" t="s">
        <v>1651</v>
      </c>
      <c r="AL5235">
        <v>39.229968</v>
      </c>
      <c r="AM5235" t="s">
        <v>1652</v>
      </c>
      <c r="AN5235">
        <v>-121.029875</v>
      </c>
      <c r="AO5235">
        <v>25</v>
      </c>
      <c r="AP5235">
        <v>3400</v>
      </c>
      <c r="AQ5235" t="s">
        <v>131</v>
      </c>
      <c r="AR5235">
        <v>-5</v>
      </c>
      <c r="AS5235">
        <v>-69</v>
      </c>
      <c r="AT5235">
        <v>-320</v>
      </c>
      <c r="BB5235" t="str">
        <f t="shared" si="2055"/>
        <v>1200</v>
      </c>
      <c r="BC5235">
        <v>1</v>
      </c>
      <c r="BD5235" t="str">
        <f t="shared" si="2056"/>
        <v xml:space="preserve">N52156  </v>
      </c>
      <c r="BE5235">
        <v>1</v>
      </c>
      <c r="BG5235">
        <v>0</v>
      </c>
      <c r="BH5235">
        <v>0</v>
      </c>
      <c r="BI5235">
        <v>0</v>
      </c>
      <c r="BJ5235">
        <v>3500</v>
      </c>
      <c r="BK5235">
        <v>100</v>
      </c>
      <c r="BL5235" t="s">
        <v>188</v>
      </c>
      <c r="BM5235">
        <v>1</v>
      </c>
      <c r="BN5235">
        <v>1</v>
      </c>
      <c r="BO5235">
        <v>0</v>
      </c>
      <c r="BP5235">
        <v>0</v>
      </c>
      <c r="BS5235">
        <v>0</v>
      </c>
      <c r="BT5235">
        <v>0</v>
      </c>
      <c r="BU5235">
        <v>0</v>
      </c>
      <c r="CE5235" t="str">
        <f t="shared" si="2073"/>
        <v>15:19:04.649</v>
      </c>
      <c r="CF5235">
        <v>649255103</v>
      </c>
      <c r="CS5235">
        <v>0</v>
      </c>
      <c r="CT5235">
        <v>2</v>
      </c>
      <c r="CU5235">
        <v>0</v>
      </c>
      <c r="CV5235">
        <v>2</v>
      </c>
      <c r="CW5235">
        <v>0</v>
      </c>
      <c r="CX5235">
        <v>3</v>
      </c>
      <c r="CY5235">
        <v>7</v>
      </c>
      <c r="CZ5235" t="s">
        <v>133</v>
      </c>
      <c r="DA5235">
        <v>275</v>
      </c>
      <c r="DB5235">
        <v>0</v>
      </c>
      <c r="DC5235" t="s">
        <v>134</v>
      </c>
      <c r="DD5235" t="s">
        <v>135</v>
      </c>
      <c r="DG5235">
        <v>3323716</v>
      </c>
      <c r="DI5235">
        <v>1</v>
      </c>
      <c r="DJ5235">
        <v>0</v>
      </c>
      <c r="DK5235">
        <v>1</v>
      </c>
      <c r="DL5235">
        <v>0</v>
      </c>
      <c r="DM5235">
        <v>0</v>
      </c>
      <c r="DN5235">
        <v>0</v>
      </c>
      <c r="DO5235">
        <v>0</v>
      </c>
      <c r="DP5235">
        <v>0</v>
      </c>
      <c r="DQ5235">
        <v>0</v>
      </c>
      <c r="DR5235">
        <v>0</v>
      </c>
      <c r="DS5235">
        <v>0</v>
      </c>
    </row>
    <row r="5236" spans="1:123" x14ac:dyDescent="0.3">
      <c r="A5236" t="str">
        <f>"05/01/2025 15:19:04.870"</f>
        <v>05/01/2025 15:19:04.870</v>
      </c>
      <c r="C5236" t="str">
        <f t="shared" si="2052"/>
        <v>FFDFD3C0</v>
      </c>
      <c r="D5236" t="s">
        <v>136</v>
      </c>
      <c r="E5236" t="str">
        <f>"20"</f>
        <v>20</v>
      </c>
      <c r="H5236">
        <v>400</v>
      </c>
      <c r="I5236" t="s">
        <v>137</v>
      </c>
      <c r="J5236" t="s">
        <v>138</v>
      </c>
      <c r="K5236">
        <v>0</v>
      </c>
      <c r="L5236">
        <v>3</v>
      </c>
      <c r="M5236">
        <v>0</v>
      </c>
      <c r="N5236">
        <v>2</v>
      </c>
      <c r="O5236">
        <v>0</v>
      </c>
      <c r="P5236">
        <v>1</v>
      </c>
      <c r="Q5236">
        <v>0</v>
      </c>
      <c r="R5236" t="s">
        <v>127</v>
      </c>
      <c r="S5236" t="str">
        <f t="shared" si="2072"/>
        <v>15:19:04.000</v>
      </c>
      <c r="T5236" t="str">
        <f t="shared" si="2072"/>
        <v>15:19:04.000</v>
      </c>
      <c r="U5236" t="str">
        <f t="shared" si="2054"/>
        <v>A68FCB</v>
      </c>
      <c r="V5236">
        <v>0</v>
      </c>
      <c r="W5236">
        <v>0</v>
      </c>
      <c r="X5236">
        <v>2</v>
      </c>
      <c r="Y5236">
        <v>0</v>
      </c>
      <c r="AA5236">
        <v>1</v>
      </c>
      <c r="AB5236">
        <v>8</v>
      </c>
      <c r="AC5236">
        <v>3</v>
      </c>
      <c r="AD5236">
        <v>0</v>
      </c>
      <c r="AE5236">
        <v>9</v>
      </c>
      <c r="AF5236" t="s">
        <v>138</v>
      </c>
      <c r="AG5236">
        <v>0</v>
      </c>
      <c r="AH5236">
        <v>3</v>
      </c>
      <c r="AI5236">
        <v>2</v>
      </c>
      <c r="AJ5236">
        <v>0</v>
      </c>
      <c r="AK5236" t="s">
        <v>1651</v>
      </c>
      <c r="AL5236">
        <v>39.229968</v>
      </c>
      <c r="AM5236" t="s">
        <v>1652</v>
      </c>
      <c r="AN5236">
        <v>-121.029875</v>
      </c>
      <c r="AO5236">
        <v>25</v>
      </c>
      <c r="AP5236">
        <v>3400</v>
      </c>
      <c r="AQ5236" t="s">
        <v>131</v>
      </c>
      <c r="AR5236">
        <v>-5</v>
      </c>
      <c r="AS5236">
        <v>-69</v>
      </c>
      <c r="AT5236">
        <v>-320</v>
      </c>
      <c r="BB5236" t="str">
        <f t="shared" si="2055"/>
        <v>1200</v>
      </c>
      <c r="BC5236">
        <v>1</v>
      </c>
      <c r="BD5236" t="str">
        <f t="shared" si="2056"/>
        <v xml:space="preserve">N52156  </v>
      </c>
      <c r="BE5236">
        <v>1</v>
      </c>
      <c r="BG5236">
        <v>0</v>
      </c>
      <c r="BH5236">
        <v>0</v>
      </c>
      <c r="BI5236">
        <v>0</v>
      </c>
      <c r="BJ5236">
        <v>3500</v>
      </c>
      <c r="BK5236">
        <v>100</v>
      </c>
      <c r="BL5236" t="s">
        <v>188</v>
      </c>
      <c r="BM5236">
        <v>1</v>
      </c>
      <c r="BN5236">
        <v>1</v>
      </c>
      <c r="BO5236">
        <v>0</v>
      </c>
      <c r="BP5236">
        <v>0</v>
      </c>
      <c r="BS5236">
        <v>0</v>
      </c>
      <c r="BT5236">
        <v>0</v>
      </c>
      <c r="BU5236">
        <v>0</v>
      </c>
      <c r="CE5236" t="str">
        <f t="shared" si="2073"/>
        <v>15:19:04.649</v>
      </c>
      <c r="CF5236">
        <v>649255103</v>
      </c>
      <c r="CS5236">
        <v>0</v>
      </c>
      <c r="CT5236">
        <v>2</v>
      </c>
      <c r="CU5236">
        <v>0</v>
      </c>
      <c r="CV5236">
        <v>2</v>
      </c>
      <c r="CW5236">
        <v>0</v>
      </c>
      <c r="CX5236">
        <v>3</v>
      </c>
      <c r="CY5236">
        <v>7</v>
      </c>
      <c r="CZ5236" t="s">
        <v>133</v>
      </c>
      <c r="DA5236">
        <v>275</v>
      </c>
      <c r="DB5236">
        <v>0</v>
      </c>
      <c r="DC5236" t="s">
        <v>134</v>
      </c>
      <c r="DD5236" t="s">
        <v>135</v>
      </c>
      <c r="DG5236">
        <v>3323716</v>
      </c>
      <c r="DI5236">
        <v>1</v>
      </c>
      <c r="DJ5236">
        <v>0</v>
      </c>
      <c r="DK5236">
        <v>1</v>
      </c>
      <c r="DL5236">
        <v>0</v>
      </c>
      <c r="DM5236">
        <v>0</v>
      </c>
      <c r="DN5236">
        <v>0</v>
      </c>
      <c r="DO5236">
        <v>0</v>
      </c>
      <c r="DP5236">
        <v>0</v>
      </c>
      <c r="DQ5236">
        <v>0</v>
      </c>
      <c r="DR5236">
        <v>0</v>
      </c>
      <c r="DS5236">
        <v>0</v>
      </c>
    </row>
    <row r="5237" spans="1:123" x14ac:dyDescent="0.3">
      <c r="A5237" t="str">
        <f>"05/01/2025 15:19:04.886"</f>
        <v>05/01/2025 15:19:04.886</v>
      </c>
      <c r="C5237" t="str">
        <f t="shared" si="2052"/>
        <v>FFDFD3C0</v>
      </c>
      <c r="D5237" t="s">
        <v>140</v>
      </c>
      <c r="E5237" t="str">
        <f>"13"</f>
        <v>13</v>
      </c>
      <c r="F5237">
        <v>1019</v>
      </c>
      <c r="G5237" t="s">
        <v>141</v>
      </c>
      <c r="J5237" t="s">
        <v>142</v>
      </c>
      <c r="K5237">
        <v>0</v>
      </c>
      <c r="L5237">
        <v>3</v>
      </c>
      <c r="M5237">
        <v>0</v>
      </c>
      <c r="N5237">
        <v>2</v>
      </c>
      <c r="O5237">
        <v>0</v>
      </c>
      <c r="P5237">
        <v>1</v>
      </c>
      <c r="Q5237">
        <v>0</v>
      </c>
      <c r="R5237" t="s">
        <v>127</v>
      </c>
      <c r="S5237" t="str">
        <f t="shared" si="2072"/>
        <v>15:19:04.000</v>
      </c>
      <c r="T5237" t="str">
        <f t="shared" si="2072"/>
        <v>15:19:04.000</v>
      </c>
      <c r="U5237" t="str">
        <f t="shared" si="2054"/>
        <v>A68FCB</v>
      </c>
      <c r="V5237">
        <v>0</v>
      </c>
      <c r="W5237">
        <v>0</v>
      </c>
      <c r="X5237">
        <v>2</v>
      </c>
      <c r="Y5237">
        <v>0</v>
      </c>
      <c r="AA5237">
        <v>1</v>
      </c>
      <c r="AB5237">
        <v>8</v>
      </c>
      <c r="AC5237">
        <v>3</v>
      </c>
      <c r="AD5237">
        <v>0</v>
      </c>
      <c r="AE5237">
        <v>9</v>
      </c>
      <c r="AF5237" t="s">
        <v>138</v>
      </c>
      <c r="AG5237">
        <v>0</v>
      </c>
      <c r="AH5237">
        <v>3</v>
      </c>
      <c r="AI5237">
        <v>2</v>
      </c>
      <c r="AJ5237">
        <v>0</v>
      </c>
      <c r="AK5237" t="s">
        <v>1651</v>
      </c>
      <c r="AL5237">
        <v>39.229968</v>
      </c>
      <c r="AM5237" t="s">
        <v>1652</v>
      </c>
      <c r="AN5237">
        <v>-121.029875</v>
      </c>
      <c r="AO5237">
        <v>25</v>
      </c>
      <c r="AP5237">
        <v>3400</v>
      </c>
      <c r="AQ5237" t="s">
        <v>131</v>
      </c>
      <c r="AR5237">
        <v>-5</v>
      </c>
      <c r="AS5237">
        <v>-69</v>
      </c>
      <c r="AT5237">
        <v>-320</v>
      </c>
      <c r="BB5237" t="str">
        <f t="shared" si="2055"/>
        <v>1200</v>
      </c>
      <c r="BC5237">
        <v>1</v>
      </c>
      <c r="BD5237" t="str">
        <f t="shared" si="2056"/>
        <v xml:space="preserve">N52156  </v>
      </c>
      <c r="BE5237">
        <v>1</v>
      </c>
      <c r="BG5237">
        <v>0</v>
      </c>
      <c r="BH5237">
        <v>0</v>
      </c>
      <c r="BI5237">
        <v>0</v>
      </c>
      <c r="BJ5237">
        <v>3500</v>
      </c>
      <c r="BK5237">
        <v>100</v>
      </c>
      <c r="BL5237" t="s">
        <v>188</v>
      </c>
      <c r="BM5237">
        <v>1</v>
      </c>
      <c r="BN5237">
        <v>1</v>
      </c>
      <c r="BO5237">
        <v>0</v>
      </c>
      <c r="BP5237">
        <v>0</v>
      </c>
      <c r="BS5237">
        <v>0</v>
      </c>
      <c r="BT5237">
        <v>0</v>
      </c>
      <c r="BU5237">
        <v>0</v>
      </c>
      <c r="CE5237" t="str">
        <f t="shared" si="2073"/>
        <v>15:19:04.649</v>
      </c>
      <c r="CF5237">
        <v>649255103</v>
      </c>
      <c r="CS5237">
        <v>0</v>
      </c>
      <c r="CT5237">
        <v>2</v>
      </c>
      <c r="CU5237">
        <v>0</v>
      </c>
      <c r="CV5237">
        <v>2</v>
      </c>
      <c r="CW5237">
        <v>0</v>
      </c>
      <c r="CX5237">
        <v>3</v>
      </c>
      <c r="CY5237">
        <v>7</v>
      </c>
      <c r="CZ5237" t="s">
        <v>133</v>
      </c>
      <c r="DA5237">
        <v>275</v>
      </c>
      <c r="DB5237">
        <v>0</v>
      </c>
      <c r="DC5237" t="s">
        <v>134</v>
      </c>
      <c r="DD5237" t="s">
        <v>135</v>
      </c>
      <c r="DG5237">
        <v>3323716</v>
      </c>
      <c r="DI5237">
        <v>1</v>
      </c>
      <c r="DJ5237">
        <v>0</v>
      </c>
      <c r="DK5237">
        <v>1</v>
      </c>
      <c r="DL5237">
        <v>0</v>
      </c>
      <c r="DM5237">
        <v>0</v>
      </c>
      <c r="DN5237">
        <v>0</v>
      </c>
      <c r="DO5237">
        <v>0</v>
      </c>
      <c r="DP5237">
        <v>0</v>
      </c>
      <c r="DQ5237">
        <v>0</v>
      </c>
      <c r="DR5237">
        <v>0</v>
      </c>
      <c r="DS5237">
        <v>0</v>
      </c>
    </row>
    <row r="5238" spans="1:123" x14ac:dyDescent="0.3">
      <c r="A5238" t="str">
        <f>"05/01/2025 15:19:04.887"</f>
        <v>05/01/2025 15:19:04.887</v>
      </c>
      <c r="C5238" t="str">
        <f t="shared" si="2052"/>
        <v>FFDFD3C0</v>
      </c>
      <c r="D5238" t="s">
        <v>124</v>
      </c>
      <c r="E5238" t="str">
        <f>"06"</f>
        <v>06</v>
      </c>
      <c r="F5238">
        <v>2006</v>
      </c>
      <c r="G5238" t="s">
        <v>125</v>
      </c>
      <c r="J5238" t="s">
        <v>126</v>
      </c>
      <c r="K5238">
        <v>0</v>
      </c>
      <c r="L5238">
        <v>3</v>
      </c>
      <c r="M5238">
        <v>0</v>
      </c>
      <c r="N5238">
        <v>2</v>
      </c>
      <c r="O5238">
        <v>0</v>
      </c>
      <c r="P5238">
        <v>1</v>
      </c>
      <c r="Q5238">
        <v>0</v>
      </c>
      <c r="R5238" t="s">
        <v>127</v>
      </c>
      <c r="S5238" t="str">
        <f t="shared" si="2072"/>
        <v>15:19:04.000</v>
      </c>
      <c r="T5238" t="str">
        <f t="shared" si="2072"/>
        <v>15:19:04.000</v>
      </c>
      <c r="U5238" t="str">
        <f t="shared" si="2054"/>
        <v>A68FCB</v>
      </c>
      <c r="V5238">
        <v>0</v>
      </c>
      <c r="W5238">
        <v>0</v>
      </c>
      <c r="X5238">
        <v>2</v>
      </c>
      <c r="Y5238">
        <v>0</v>
      </c>
      <c r="AA5238">
        <v>1</v>
      </c>
      <c r="AB5238">
        <v>8</v>
      </c>
      <c r="AC5238">
        <v>3</v>
      </c>
      <c r="AD5238">
        <v>0</v>
      </c>
      <c r="AE5238">
        <v>9</v>
      </c>
      <c r="AF5238" t="s">
        <v>138</v>
      </c>
      <c r="AG5238">
        <v>0</v>
      </c>
      <c r="AH5238">
        <v>3</v>
      </c>
      <c r="AI5238">
        <v>2</v>
      </c>
      <c r="AJ5238">
        <v>0</v>
      </c>
      <c r="AK5238" t="s">
        <v>1651</v>
      </c>
      <c r="AL5238">
        <v>39.229968</v>
      </c>
      <c r="AM5238" t="s">
        <v>1652</v>
      </c>
      <c r="AN5238">
        <v>-121.029875</v>
      </c>
      <c r="AO5238">
        <v>25</v>
      </c>
      <c r="AP5238">
        <v>3400</v>
      </c>
      <c r="AQ5238" t="s">
        <v>131</v>
      </c>
      <c r="AR5238">
        <v>-5</v>
      </c>
      <c r="AS5238">
        <v>-69</v>
      </c>
      <c r="AT5238">
        <v>-320</v>
      </c>
      <c r="BB5238" t="str">
        <f t="shared" si="2055"/>
        <v>1200</v>
      </c>
      <c r="BC5238">
        <v>1</v>
      </c>
      <c r="BD5238" t="str">
        <f t="shared" si="2056"/>
        <v xml:space="preserve">N52156  </v>
      </c>
      <c r="BE5238">
        <v>1</v>
      </c>
      <c r="BG5238">
        <v>0</v>
      </c>
      <c r="BH5238">
        <v>0</v>
      </c>
      <c r="BI5238">
        <v>0</v>
      </c>
      <c r="BJ5238">
        <v>3500</v>
      </c>
      <c r="BK5238">
        <v>100</v>
      </c>
      <c r="BL5238" t="s">
        <v>188</v>
      </c>
      <c r="BM5238">
        <v>1</v>
      </c>
      <c r="BN5238">
        <v>1</v>
      </c>
      <c r="BO5238">
        <v>0</v>
      </c>
      <c r="BP5238">
        <v>0</v>
      </c>
      <c r="BS5238">
        <v>0</v>
      </c>
      <c r="BT5238">
        <v>0</v>
      </c>
      <c r="BU5238">
        <v>0</v>
      </c>
      <c r="CE5238" t="str">
        <f t="shared" si="2073"/>
        <v>15:19:04.649</v>
      </c>
      <c r="CF5238">
        <v>649255103</v>
      </c>
      <c r="CS5238">
        <v>0</v>
      </c>
      <c r="CT5238">
        <v>2</v>
      </c>
      <c r="CU5238">
        <v>0</v>
      </c>
      <c r="CV5238">
        <v>2</v>
      </c>
      <c r="CW5238">
        <v>0</v>
      </c>
      <c r="CX5238">
        <v>3</v>
      </c>
      <c r="CY5238">
        <v>7</v>
      </c>
      <c r="CZ5238" t="s">
        <v>133</v>
      </c>
      <c r="DA5238">
        <v>275</v>
      </c>
      <c r="DB5238">
        <v>0</v>
      </c>
      <c r="DC5238" t="s">
        <v>134</v>
      </c>
      <c r="DD5238" t="s">
        <v>135</v>
      </c>
      <c r="DG5238">
        <v>3323716</v>
      </c>
      <c r="DI5238">
        <v>1</v>
      </c>
      <c r="DJ5238">
        <v>0</v>
      </c>
      <c r="DK5238">
        <v>1</v>
      </c>
      <c r="DL5238">
        <v>0</v>
      </c>
      <c r="DM5238">
        <v>0</v>
      </c>
      <c r="DN5238">
        <v>0</v>
      </c>
      <c r="DO5238">
        <v>0</v>
      </c>
      <c r="DP5238">
        <v>0</v>
      </c>
      <c r="DQ5238">
        <v>0</v>
      </c>
      <c r="DR5238">
        <v>0</v>
      </c>
      <c r="DS5238">
        <v>0</v>
      </c>
    </row>
    <row r="5239" spans="1:123" x14ac:dyDescent="0.3">
      <c r="A5239" t="str">
        <f>"05/01/2025 15:19:04.899"</f>
        <v>05/01/2025 15:19:04.899</v>
      </c>
      <c r="C5239" t="str">
        <f t="shared" si="2052"/>
        <v>FFDFD3C0</v>
      </c>
      <c r="D5239" t="s">
        <v>143</v>
      </c>
      <c r="E5239" t="str">
        <f>"05"</f>
        <v>05</v>
      </c>
      <c r="H5239">
        <v>172</v>
      </c>
      <c r="I5239" t="s">
        <v>141</v>
      </c>
      <c r="J5239" t="s">
        <v>144</v>
      </c>
      <c r="K5239">
        <v>0</v>
      </c>
      <c r="L5239">
        <v>3</v>
      </c>
      <c r="M5239">
        <v>0</v>
      </c>
      <c r="N5239">
        <v>2</v>
      </c>
      <c r="O5239">
        <v>0</v>
      </c>
      <c r="P5239">
        <v>1</v>
      </c>
      <c r="Q5239">
        <v>0</v>
      </c>
      <c r="R5239" t="s">
        <v>127</v>
      </c>
      <c r="S5239" t="str">
        <f t="shared" si="2072"/>
        <v>15:19:04.000</v>
      </c>
      <c r="T5239" t="str">
        <f t="shared" si="2072"/>
        <v>15:19:04.000</v>
      </c>
      <c r="U5239" t="str">
        <f t="shared" si="2054"/>
        <v>A68FCB</v>
      </c>
      <c r="V5239">
        <v>0</v>
      </c>
      <c r="W5239">
        <v>0</v>
      </c>
      <c r="X5239">
        <v>2</v>
      </c>
      <c r="Y5239">
        <v>0</v>
      </c>
      <c r="AA5239">
        <v>1</v>
      </c>
      <c r="AB5239">
        <v>8</v>
      </c>
      <c r="AC5239">
        <v>3</v>
      </c>
      <c r="AD5239">
        <v>0</v>
      </c>
      <c r="AE5239">
        <v>9</v>
      </c>
      <c r="AF5239" t="s">
        <v>138</v>
      </c>
      <c r="AG5239">
        <v>0</v>
      </c>
      <c r="AH5239">
        <v>3</v>
      </c>
      <c r="AI5239">
        <v>2</v>
      </c>
      <c r="AJ5239">
        <v>0</v>
      </c>
      <c r="AK5239" t="s">
        <v>1651</v>
      </c>
      <c r="AL5239">
        <v>39.229968</v>
      </c>
      <c r="AM5239" t="s">
        <v>1652</v>
      </c>
      <c r="AN5239">
        <v>-121.029875</v>
      </c>
      <c r="AO5239">
        <v>25</v>
      </c>
      <c r="AP5239">
        <v>3400</v>
      </c>
      <c r="AQ5239" t="s">
        <v>131</v>
      </c>
      <c r="AR5239">
        <v>-5</v>
      </c>
      <c r="AS5239">
        <v>-69</v>
      </c>
      <c r="AT5239">
        <v>-320</v>
      </c>
      <c r="BB5239" t="str">
        <f t="shared" si="2055"/>
        <v>1200</v>
      </c>
      <c r="BC5239">
        <v>1</v>
      </c>
      <c r="BD5239" t="str">
        <f t="shared" si="2056"/>
        <v xml:space="preserve">N52156  </v>
      </c>
      <c r="BE5239">
        <v>1</v>
      </c>
      <c r="BG5239">
        <v>0</v>
      </c>
      <c r="BH5239">
        <v>0</v>
      </c>
      <c r="BI5239">
        <v>0</v>
      </c>
      <c r="BJ5239">
        <v>3500</v>
      </c>
      <c r="BK5239">
        <v>100</v>
      </c>
      <c r="BL5239" t="s">
        <v>188</v>
      </c>
      <c r="BM5239">
        <v>1</v>
      </c>
      <c r="BN5239">
        <v>1</v>
      </c>
      <c r="BO5239">
        <v>0</v>
      </c>
      <c r="BP5239">
        <v>0</v>
      </c>
      <c r="BS5239">
        <v>0</v>
      </c>
      <c r="BT5239">
        <v>0</v>
      </c>
      <c r="BU5239">
        <v>0</v>
      </c>
      <c r="CE5239" t="str">
        <f t="shared" si="2073"/>
        <v>15:19:04.649</v>
      </c>
      <c r="CF5239">
        <v>649255103</v>
      </c>
      <c r="CS5239">
        <v>0</v>
      </c>
      <c r="CT5239">
        <v>2</v>
      </c>
      <c r="CU5239">
        <v>0</v>
      </c>
      <c r="CV5239">
        <v>2</v>
      </c>
      <c r="CW5239">
        <v>0</v>
      </c>
      <c r="CX5239">
        <v>3</v>
      </c>
      <c r="CY5239">
        <v>7</v>
      </c>
      <c r="CZ5239" t="s">
        <v>133</v>
      </c>
      <c r="DA5239">
        <v>275</v>
      </c>
      <c r="DB5239">
        <v>0</v>
      </c>
      <c r="DC5239" t="s">
        <v>134</v>
      </c>
      <c r="DD5239" t="s">
        <v>135</v>
      </c>
      <c r="DG5239">
        <v>3323716</v>
      </c>
      <c r="DI5239">
        <v>1</v>
      </c>
      <c r="DJ5239">
        <v>0</v>
      </c>
      <c r="DK5239">
        <v>1</v>
      </c>
      <c r="DL5239">
        <v>0</v>
      </c>
      <c r="DM5239">
        <v>0</v>
      </c>
      <c r="DN5239">
        <v>0</v>
      </c>
      <c r="DO5239">
        <v>0</v>
      </c>
      <c r="DP5239">
        <v>0</v>
      </c>
      <c r="DQ5239">
        <v>0</v>
      </c>
      <c r="DR5239">
        <v>0</v>
      </c>
      <c r="DS5239">
        <v>0</v>
      </c>
    </row>
    <row r="5240" spans="1:123" x14ac:dyDescent="0.3">
      <c r="A5240" t="str">
        <f>"05/01/2025 15:19:06.051"</f>
        <v>05/01/2025 15:19:06.051</v>
      </c>
      <c r="C5240" t="str">
        <f t="shared" si="2052"/>
        <v>FFDFD3C0</v>
      </c>
      <c r="D5240" t="s">
        <v>143</v>
      </c>
      <c r="E5240" t="str">
        <f>"05"</f>
        <v>05</v>
      </c>
      <c r="H5240">
        <v>172</v>
      </c>
      <c r="I5240" t="s">
        <v>141</v>
      </c>
      <c r="J5240" t="s">
        <v>144</v>
      </c>
      <c r="K5240">
        <v>0</v>
      </c>
      <c r="L5240">
        <v>3</v>
      </c>
      <c r="M5240">
        <v>0</v>
      </c>
      <c r="N5240">
        <v>2</v>
      </c>
      <c r="O5240">
        <v>0</v>
      </c>
      <c r="P5240">
        <v>1</v>
      </c>
      <c r="Q5240">
        <v>0</v>
      </c>
      <c r="R5240" t="s">
        <v>127</v>
      </c>
      <c r="S5240" t="str">
        <f t="shared" ref="S5240:T5245" si="2074">"15:19:05.000"</f>
        <v>15:19:05.000</v>
      </c>
      <c r="T5240" t="str">
        <f t="shared" si="2074"/>
        <v>15:19:05.000</v>
      </c>
      <c r="U5240" t="str">
        <f t="shared" si="2054"/>
        <v>A68FCB</v>
      </c>
      <c r="V5240">
        <v>0</v>
      </c>
      <c r="W5240">
        <v>0</v>
      </c>
      <c r="X5240">
        <v>2</v>
      </c>
      <c r="Y5240">
        <v>0</v>
      </c>
      <c r="AA5240">
        <v>1</v>
      </c>
      <c r="AB5240">
        <v>8</v>
      </c>
      <c r="AC5240">
        <v>3</v>
      </c>
      <c r="AD5240">
        <v>0</v>
      </c>
      <c r="AE5240">
        <v>9</v>
      </c>
      <c r="AF5240" t="s">
        <v>138</v>
      </c>
      <c r="AG5240">
        <v>0</v>
      </c>
      <c r="AH5240">
        <v>3</v>
      </c>
      <c r="AI5240">
        <v>2</v>
      </c>
      <c r="AJ5240">
        <v>0</v>
      </c>
      <c r="AK5240" t="s">
        <v>1653</v>
      </c>
      <c r="AL5240">
        <v>39.229646000000002</v>
      </c>
      <c r="AM5240" t="s">
        <v>1652</v>
      </c>
      <c r="AN5240">
        <v>-121.029875</v>
      </c>
      <c r="AO5240">
        <v>25</v>
      </c>
      <c r="AP5240">
        <v>3400</v>
      </c>
      <c r="AQ5240" t="s">
        <v>131</v>
      </c>
      <c r="AR5240">
        <v>0</v>
      </c>
      <c r="AS5240">
        <v>-70</v>
      </c>
      <c r="AT5240">
        <v>-320</v>
      </c>
      <c r="BB5240" t="str">
        <f t="shared" si="2055"/>
        <v>1200</v>
      </c>
      <c r="BC5240">
        <v>1</v>
      </c>
      <c r="BD5240" t="str">
        <f t="shared" si="2056"/>
        <v xml:space="preserve">N52156  </v>
      </c>
      <c r="BE5240">
        <v>1</v>
      </c>
      <c r="BG5240">
        <v>0</v>
      </c>
      <c r="BH5240">
        <v>0</v>
      </c>
      <c r="BI5240">
        <v>0</v>
      </c>
      <c r="BJ5240">
        <v>3475</v>
      </c>
      <c r="BK5240">
        <v>75</v>
      </c>
      <c r="BL5240" t="s">
        <v>188</v>
      </c>
      <c r="BM5240">
        <v>1</v>
      </c>
      <c r="BN5240">
        <v>1</v>
      </c>
      <c r="BO5240">
        <v>0</v>
      </c>
      <c r="BP5240">
        <v>0</v>
      </c>
      <c r="BS5240">
        <v>0</v>
      </c>
      <c r="BT5240">
        <v>0</v>
      </c>
      <c r="BU5240">
        <v>0</v>
      </c>
      <c r="CE5240" t="str">
        <f t="shared" ref="CE5240:CE5245" si="2075">"15:19:05.821"</f>
        <v>15:19:05.821</v>
      </c>
      <c r="CF5240">
        <v>821005359</v>
      </c>
      <c r="CS5240">
        <v>0</v>
      </c>
      <c r="CT5240">
        <v>2</v>
      </c>
      <c r="CU5240">
        <v>0</v>
      </c>
      <c r="CV5240">
        <v>2</v>
      </c>
      <c r="CW5240">
        <v>0</v>
      </c>
      <c r="CX5240">
        <v>2</v>
      </c>
      <c r="CY5240">
        <v>7</v>
      </c>
      <c r="CZ5240" t="s">
        <v>133</v>
      </c>
      <c r="DA5240">
        <v>275</v>
      </c>
      <c r="DB5240">
        <v>0</v>
      </c>
      <c r="DC5240" t="s">
        <v>134</v>
      </c>
      <c r="DD5240" t="s">
        <v>135</v>
      </c>
      <c r="DG5240">
        <v>3323722</v>
      </c>
      <c r="DI5240">
        <v>1</v>
      </c>
      <c r="DJ5240">
        <v>0</v>
      </c>
      <c r="DK5240">
        <v>0</v>
      </c>
      <c r="DL5240">
        <v>0</v>
      </c>
      <c r="DM5240">
        <v>0</v>
      </c>
      <c r="DN5240">
        <v>0</v>
      </c>
      <c r="DO5240">
        <v>0</v>
      </c>
      <c r="DP5240">
        <v>0</v>
      </c>
      <c r="DQ5240">
        <v>0</v>
      </c>
      <c r="DR5240">
        <v>0</v>
      </c>
      <c r="DS5240">
        <v>0</v>
      </c>
    </row>
    <row r="5241" spans="1:123" x14ac:dyDescent="0.3">
      <c r="A5241" t="str">
        <f>"05/01/2025 15:19:06.062"</f>
        <v>05/01/2025 15:19:06.062</v>
      </c>
      <c r="C5241" t="str">
        <f t="shared" si="2052"/>
        <v>FFDFD3C0</v>
      </c>
      <c r="D5241" t="s">
        <v>145</v>
      </c>
      <c r="E5241" t="str">
        <f>"09"</f>
        <v>09</v>
      </c>
      <c r="H5241">
        <v>51</v>
      </c>
      <c r="I5241" t="s">
        <v>147</v>
      </c>
      <c r="J5241" t="s">
        <v>138</v>
      </c>
      <c r="K5241">
        <v>0</v>
      </c>
      <c r="L5241">
        <v>3</v>
      </c>
      <c r="M5241">
        <v>0</v>
      </c>
      <c r="N5241">
        <v>2</v>
      </c>
      <c r="O5241">
        <v>0</v>
      </c>
      <c r="P5241">
        <v>1</v>
      </c>
      <c r="Q5241">
        <v>0</v>
      </c>
      <c r="R5241" t="s">
        <v>127</v>
      </c>
      <c r="S5241" t="str">
        <f t="shared" si="2074"/>
        <v>15:19:05.000</v>
      </c>
      <c r="T5241" t="str">
        <f t="shared" si="2074"/>
        <v>15:19:05.000</v>
      </c>
      <c r="U5241" t="str">
        <f t="shared" si="2054"/>
        <v>A68FCB</v>
      </c>
      <c r="V5241">
        <v>0</v>
      </c>
      <c r="W5241">
        <v>0</v>
      </c>
      <c r="X5241">
        <v>2</v>
      </c>
      <c r="Y5241">
        <v>0</v>
      </c>
      <c r="AA5241">
        <v>1</v>
      </c>
      <c r="AB5241">
        <v>8</v>
      </c>
      <c r="AC5241">
        <v>3</v>
      </c>
      <c r="AD5241">
        <v>0</v>
      </c>
      <c r="AE5241">
        <v>9</v>
      </c>
      <c r="AF5241" t="s">
        <v>138</v>
      </c>
      <c r="AG5241">
        <v>0</v>
      </c>
      <c r="AH5241">
        <v>3</v>
      </c>
      <c r="AI5241">
        <v>2</v>
      </c>
      <c r="AJ5241">
        <v>0</v>
      </c>
      <c r="AK5241" t="s">
        <v>1653</v>
      </c>
      <c r="AL5241">
        <v>39.229646000000002</v>
      </c>
      <c r="AM5241" t="s">
        <v>1652</v>
      </c>
      <c r="AN5241">
        <v>-121.029875</v>
      </c>
      <c r="AO5241">
        <v>25</v>
      </c>
      <c r="AP5241">
        <v>3400</v>
      </c>
      <c r="AQ5241" t="s">
        <v>131</v>
      </c>
      <c r="AR5241">
        <v>0</v>
      </c>
      <c r="AS5241">
        <v>-70</v>
      </c>
      <c r="AT5241">
        <v>-320</v>
      </c>
      <c r="BB5241" t="str">
        <f t="shared" si="2055"/>
        <v>1200</v>
      </c>
      <c r="BC5241">
        <v>1</v>
      </c>
      <c r="BD5241" t="str">
        <f t="shared" si="2056"/>
        <v xml:space="preserve">N52156  </v>
      </c>
      <c r="BE5241">
        <v>1</v>
      </c>
      <c r="BG5241">
        <v>0</v>
      </c>
      <c r="BH5241">
        <v>0</v>
      </c>
      <c r="BI5241">
        <v>0</v>
      </c>
      <c r="BJ5241">
        <v>3475</v>
      </c>
      <c r="BK5241">
        <v>75</v>
      </c>
      <c r="BL5241" t="s">
        <v>188</v>
      </c>
      <c r="BM5241">
        <v>1</v>
      </c>
      <c r="BN5241">
        <v>1</v>
      </c>
      <c r="BO5241">
        <v>0</v>
      </c>
      <c r="BP5241">
        <v>0</v>
      </c>
      <c r="BS5241">
        <v>0</v>
      </c>
      <c r="BT5241">
        <v>0</v>
      </c>
      <c r="BU5241">
        <v>0</v>
      </c>
      <c r="CE5241" t="str">
        <f t="shared" si="2075"/>
        <v>15:19:05.821</v>
      </c>
      <c r="CF5241">
        <v>821005359</v>
      </c>
      <c r="CS5241">
        <v>0</v>
      </c>
      <c r="CT5241">
        <v>2</v>
      </c>
      <c r="CU5241">
        <v>0</v>
      </c>
      <c r="CV5241">
        <v>2</v>
      </c>
      <c r="CW5241">
        <v>0</v>
      </c>
      <c r="CX5241">
        <v>2</v>
      </c>
      <c r="CY5241">
        <v>7</v>
      </c>
      <c r="CZ5241" t="s">
        <v>133</v>
      </c>
      <c r="DA5241">
        <v>275</v>
      </c>
      <c r="DB5241">
        <v>0</v>
      </c>
      <c r="DC5241" t="s">
        <v>134</v>
      </c>
      <c r="DD5241" t="s">
        <v>135</v>
      </c>
      <c r="DG5241">
        <v>3323722</v>
      </c>
      <c r="DI5241">
        <v>1</v>
      </c>
      <c r="DJ5241">
        <v>0</v>
      </c>
      <c r="DK5241">
        <v>1</v>
      </c>
      <c r="DL5241">
        <v>0</v>
      </c>
      <c r="DM5241">
        <v>0</v>
      </c>
      <c r="DN5241">
        <v>0</v>
      </c>
      <c r="DO5241">
        <v>0</v>
      </c>
      <c r="DP5241">
        <v>0</v>
      </c>
      <c r="DQ5241">
        <v>0</v>
      </c>
      <c r="DR5241">
        <v>0</v>
      </c>
      <c r="DS5241">
        <v>0</v>
      </c>
    </row>
    <row r="5242" spans="1:123" x14ac:dyDescent="0.3">
      <c r="A5242" t="str">
        <f>"05/01/2025 15:19:06.064"</f>
        <v>05/01/2025 15:19:06.064</v>
      </c>
      <c r="C5242" t="str">
        <f t="shared" si="2052"/>
        <v>FFDFD3C0</v>
      </c>
      <c r="D5242" t="s">
        <v>145</v>
      </c>
      <c r="E5242" t="str">
        <f>"05"</f>
        <v>05</v>
      </c>
      <c r="H5242">
        <v>47</v>
      </c>
      <c r="I5242" t="s">
        <v>146</v>
      </c>
      <c r="J5242" t="s">
        <v>138</v>
      </c>
      <c r="K5242">
        <v>0</v>
      </c>
      <c r="L5242">
        <v>3</v>
      </c>
      <c r="M5242">
        <v>0</v>
      </c>
      <c r="N5242">
        <v>2</v>
      </c>
      <c r="O5242">
        <v>0</v>
      </c>
      <c r="P5242">
        <v>1</v>
      </c>
      <c r="Q5242">
        <v>0</v>
      </c>
      <c r="R5242" t="s">
        <v>127</v>
      </c>
      <c r="S5242" t="str">
        <f t="shared" si="2074"/>
        <v>15:19:05.000</v>
      </c>
      <c r="T5242" t="str">
        <f t="shared" si="2074"/>
        <v>15:19:05.000</v>
      </c>
      <c r="U5242" t="str">
        <f t="shared" si="2054"/>
        <v>A68FCB</v>
      </c>
      <c r="V5242">
        <v>0</v>
      </c>
      <c r="W5242">
        <v>0</v>
      </c>
      <c r="X5242">
        <v>2</v>
      </c>
      <c r="Y5242">
        <v>0</v>
      </c>
      <c r="AA5242">
        <v>1</v>
      </c>
      <c r="AB5242">
        <v>8</v>
      </c>
      <c r="AC5242">
        <v>3</v>
      </c>
      <c r="AD5242">
        <v>0</v>
      </c>
      <c r="AE5242">
        <v>9</v>
      </c>
      <c r="AF5242" t="s">
        <v>138</v>
      </c>
      <c r="AG5242">
        <v>0</v>
      </c>
      <c r="AH5242">
        <v>3</v>
      </c>
      <c r="AI5242">
        <v>2</v>
      </c>
      <c r="AJ5242">
        <v>0</v>
      </c>
      <c r="AK5242" t="s">
        <v>1653</v>
      </c>
      <c r="AL5242">
        <v>39.229646000000002</v>
      </c>
      <c r="AM5242" t="s">
        <v>1652</v>
      </c>
      <c r="AN5242">
        <v>-121.029875</v>
      </c>
      <c r="AO5242">
        <v>25</v>
      </c>
      <c r="AP5242">
        <v>3400</v>
      </c>
      <c r="AQ5242" t="s">
        <v>131</v>
      </c>
      <c r="AR5242">
        <v>0</v>
      </c>
      <c r="AS5242">
        <v>-70</v>
      </c>
      <c r="AT5242">
        <v>-320</v>
      </c>
      <c r="BB5242" t="str">
        <f t="shared" si="2055"/>
        <v>1200</v>
      </c>
      <c r="BC5242">
        <v>1</v>
      </c>
      <c r="BD5242" t="str">
        <f t="shared" si="2056"/>
        <v xml:space="preserve">N52156  </v>
      </c>
      <c r="BE5242">
        <v>1</v>
      </c>
      <c r="BG5242">
        <v>0</v>
      </c>
      <c r="BH5242">
        <v>0</v>
      </c>
      <c r="BI5242">
        <v>0</v>
      </c>
      <c r="BJ5242">
        <v>3475</v>
      </c>
      <c r="BK5242">
        <v>75</v>
      </c>
      <c r="BL5242" t="s">
        <v>188</v>
      </c>
      <c r="BM5242">
        <v>1</v>
      </c>
      <c r="BN5242">
        <v>1</v>
      </c>
      <c r="BO5242">
        <v>0</v>
      </c>
      <c r="BP5242">
        <v>0</v>
      </c>
      <c r="BS5242">
        <v>0</v>
      </c>
      <c r="BT5242">
        <v>0</v>
      </c>
      <c r="BU5242">
        <v>0</v>
      </c>
      <c r="CE5242" t="str">
        <f t="shared" si="2075"/>
        <v>15:19:05.821</v>
      </c>
      <c r="CF5242">
        <v>821005359</v>
      </c>
      <c r="CS5242">
        <v>0</v>
      </c>
      <c r="CT5242">
        <v>2</v>
      </c>
      <c r="CU5242">
        <v>0</v>
      </c>
      <c r="CV5242">
        <v>2</v>
      </c>
      <c r="CW5242">
        <v>0</v>
      </c>
      <c r="CX5242">
        <v>2</v>
      </c>
      <c r="CY5242">
        <v>7</v>
      </c>
      <c r="CZ5242" t="s">
        <v>133</v>
      </c>
      <c r="DA5242">
        <v>275</v>
      </c>
      <c r="DB5242">
        <v>0</v>
      </c>
      <c r="DC5242" t="s">
        <v>134</v>
      </c>
      <c r="DD5242" t="s">
        <v>135</v>
      </c>
      <c r="DG5242">
        <v>3323722</v>
      </c>
      <c r="DI5242">
        <v>1</v>
      </c>
      <c r="DJ5242">
        <v>0</v>
      </c>
      <c r="DK5242">
        <v>1</v>
      </c>
      <c r="DL5242">
        <v>0</v>
      </c>
      <c r="DM5242">
        <v>0</v>
      </c>
      <c r="DN5242">
        <v>0</v>
      </c>
      <c r="DO5242">
        <v>0</v>
      </c>
      <c r="DP5242">
        <v>0</v>
      </c>
      <c r="DQ5242">
        <v>0</v>
      </c>
      <c r="DR5242">
        <v>0</v>
      </c>
      <c r="DS5242">
        <v>0</v>
      </c>
    </row>
    <row r="5243" spans="1:123" x14ac:dyDescent="0.3">
      <c r="A5243" t="str">
        <f>"05/01/2025 15:19:06.073"</f>
        <v>05/01/2025 15:19:06.073</v>
      </c>
      <c r="C5243" t="str">
        <f t="shared" si="2052"/>
        <v>FFDFD3C0</v>
      </c>
      <c r="D5243" t="s">
        <v>136</v>
      </c>
      <c r="E5243" t="str">
        <f>"20"</f>
        <v>20</v>
      </c>
      <c r="H5243">
        <v>400</v>
      </c>
      <c r="I5243" t="s">
        <v>137</v>
      </c>
      <c r="J5243" t="s">
        <v>138</v>
      </c>
      <c r="K5243">
        <v>0</v>
      </c>
      <c r="L5243">
        <v>3</v>
      </c>
      <c r="M5243">
        <v>0</v>
      </c>
      <c r="N5243">
        <v>2</v>
      </c>
      <c r="O5243">
        <v>0</v>
      </c>
      <c r="P5243">
        <v>1</v>
      </c>
      <c r="Q5243">
        <v>0</v>
      </c>
      <c r="R5243" t="s">
        <v>127</v>
      </c>
      <c r="S5243" t="str">
        <f t="shared" si="2074"/>
        <v>15:19:05.000</v>
      </c>
      <c r="T5243" t="str">
        <f t="shared" si="2074"/>
        <v>15:19:05.000</v>
      </c>
      <c r="U5243" t="str">
        <f t="shared" si="2054"/>
        <v>A68FCB</v>
      </c>
      <c r="V5243">
        <v>0</v>
      </c>
      <c r="W5243">
        <v>0</v>
      </c>
      <c r="X5243">
        <v>2</v>
      </c>
      <c r="Y5243">
        <v>0</v>
      </c>
      <c r="AA5243">
        <v>1</v>
      </c>
      <c r="AB5243">
        <v>8</v>
      </c>
      <c r="AC5243">
        <v>3</v>
      </c>
      <c r="AD5243">
        <v>0</v>
      </c>
      <c r="AE5243">
        <v>9</v>
      </c>
      <c r="AF5243" t="s">
        <v>138</v>
      </c>
      <c r="AG5243">
        <v>0</v>
      </c>
      <c r="AH5243">
        <v>3</v>
      </c>
      <c r="AI5243">
        <v>2</v>
      </c>
      <c r="AJ5243">
        <v>0</v>
      </c>
      <c r="AK5243" t="s">
        <v>1653</v>
      </c>
      <c r="AL5243">
        <v>39.229646000000002</v>
      </c>
      <c r="AM5243" t="s">
        <v>1652</v>
      </c>
      <c r="AN5243">
        <v>-121.029875</v>
      </c>
      <c r="AO5243">
        <v>25</v>
      </c>
      <c r="AP5243">
        <v>3400</v>
      </c>
      <c r="AQ5243" t="s">
        <v>131</v>
      </c>
      <c r="AR5243">
        <v>0</v>
      </c>
      <c r="AS5243">
        <v>-70</v>
      </c>
      <c r="AT5243">
        <v>-320</v>
      </c>
      <c r="BB5243" t="str">
        <f t="shared" si="2055"/>
        <v>1200</v>
      </c>
      <c r="BC5243">
        <v>1</v>
      </c>
      <c r="BD5243" t="str">
        <f t="shared" si="2056"/>
        <v xml:space="preserve">N52156  </v>
      </c>
      <c r="BE5243">
        <v>1</v>
      </c>
      <c r="BG5243">
        <v>0</v>
      </c>
      <c r="BH5243">
        <v>0</v>
      </c>
      <c r="BI5243">
        <v>0</v>
      </c>
      <c r="BJ5243">
        <v>3475</v>
      </c>
      <c r="BK5243">
        <v>75</v>
      </c>
      <c r="BL5243" t="s">
        <v>188</v>
      </c>
      <c r="BM5243">
        <v>1</v>
      </c>
      <c r="BN5243">
        <v>1</v>
      </c>
      <c r="BO5243">
        <v>0</v>
      </c>
      <c r="BP5243">
        <v>0</v>
      </c>
      <c r="BS5243">
        <v>0</v>
      </c>
      <c r="BT5243">
        <v>0</v>
      </c>
      <c r="BU5243">
        <v>0</v>
      </c>
      <c r="CE5243" t="str">
        <f t="shared" si="2075"/>
        <v>15:19:05.821</v>
      </c>
      <c r="CF5243">
        <v>821005359</v>
      </c>
      <c r="CS5243">
        <v>0</v>
      </c>
      <c r="CT5243">
        <v>2</v>
      </c>
      <c r="CU5243">
        <v>0</v>
      </c>
      <c r="CV5243">
        <v>2</v>
      </c>
      <c r="CW5243">
        <v>0</v>
      </c>
      <c r="CX5243">
        <v>2</v>
      </c>
      <c r="CY5243">
        <v>7</v>
      </c>
      <c r="CZ5243" t="s">
        <v>133</v>
      </c>
      <c r="DA5243">
        <v>275</v>
      </c>
      <c r="DB5243">
        <v>0</v>
      </c>
      <c r="DC5243" t="s">
        <v>134</v>
      </c>
      <c r="DD5243" t="s">
        <v>135</v>
      </c>
      <c r="DG5243">
        <v>3323722</v>
      </c>
      <c r="DI5243">
        <v>1</v>
      </c>
      <c r="DJ5243">
        <v>0</v>
      </c>
      <c r="DK5243">
        <v>1</v>
      </c>
      <c r="DL5243">
        <v>0</v>
      </c>
      <c r="DM5243">
        <v>0</v>
      </c>
      <c r="DN5243">
        <v>0</v>
      </c>
      <c r="DO5243">
        <v>0</v>
      </c>
      <c r="DP5243">
        <v>0</v>
      </c>
      <c r="DQ5243">
        <v>0</v>
      </c>
      <c r="DR5243">
        <v>0</v>
      </c>
      <c r="DS5243">
        <v>0</v>
      </c>
    </row>
    <row r="5244" spans="1:123" x14ac:dyDescent="0.3">
      <c r="A5244" t="str">
        <f>"05/01/2025 15:19:06.088"</f>
        <v>05/01/2025 15:19:06.088</v>
      </c>
      <c r="C5244" t="str">
        <f t="shared" si="2052"/>
        <v>FFDFD3C0</v>
      </c>
      <c r="D5244" t="s">
        <v>140</v>
      </c>
      <c r="E5244" t="str">
        <f>"13"</f>
        <v>13</v>
      </c>
      <c r="F5244">
        <v>1019</v>
      </c>
      <c r="G5244" t="s">
        <v>141</v>
      </c>
      <c r="J5244" t="s">
        <v>142</v>
      </c>
      <c r="K5244">
        <v>0</v>
      </c>
      <c r="L5244">
        <v>3</v>
      </c>
      <c r="M5244">
        <v>0</v>
      </c>
      <c r="N5244">
        <v>2</v>
      </c>
      <c r="O5244">
        <v>0</v>
      </c>
      <c r="P5244">
        <v>1</v>
      </c>
      <c r="Q5244">
        <v>0</v>
      </c>
      <c r="R5244" t="s">
        <v>127</v>
      </c>
      <c r="S5244" t="str">
        <f t="shared" si="2074"/>
        <v>15:19:05.000</v>
      </c>
      <c r="T5244" t="str">
        <f t="shared" si="2074"/>
        <v>15:19:05.000</v>
      </c>
      <c r="U5244" t="str">
        <f t="shared" si="2054"/>
        <v>A68FCB</v>
      </c>
      <c r="V5244">
        <v>0</v>
      </c>
      <c r="W5244">
        <v>0</v>
      </c>
      <c r="X5244">
        <v>2</v>
      </c>
      <c r="Y5244">
        <v>0</v>
      </c>
      <c r="AA5244">
        <v>1</v>
      </c>
      <c r="AB5244">
        <v>8</v>
      </c>
      <c r="AC5244">
        <v>3</v>
      </c>
      <c r="AD5244">
        <v>0</v>
      </c>
      <c r="AE5244">
        <v>9</v>
      </c>
      <c r="AF5244" t="s">
        <v>138</v>
      </c>
      <c r="AG5244">
        <v>0</v>
      </c>
      <c r="AH5244">
        <v>3</v>
      </c>
      <c r="AI5244">
        <v>2</v>
      </c>
      <c r="AJ5244">
        <v>0</v>
      </c>
      <c r="AK5244" t="s">
        <v>1653</v>
      </c>
      <c r="AL5244">
        <v>39.229646000000002</v>
      </c>
      <c r="AM5244" t="s">
        <v>1652</v>
      </c>
      <c r="AN5244">
        <v>-121.029875</v>
      </c>
      <c r="AO5244">
        <v>25</v>
      </c>
      <c r="AP5244">
        <v>3400</v>
      </c>
      <c r="AQ5244" t="s">
        <v>131</v>
      </c>
      <c r="AR5244">
        <v>0</v>
      </c>
      <c r="AS5244">
        <v>-70</v>
      </c>
      <c r="AT5244">
        <v>-320</v>
      </c>
      <c r="BB5244" t="str">
        <f t="shared" si="2055"/>
        <v>1200</v>
      </c>
      <c r="BC5244">
        <v>1</v>
      </c>
      <c r="BD5244" t="str">
        <f t="shared" si="2056"/>
        <v xml:space="preserve">N52156  </v>
      </c>
      <c r="BE5244">
        <v>1</v>
      </c>
      <c r="BG5244">
        <v>0</v>
      </c>
      <c r="BH5244">
        <v>0</v>
      </c>
      <c r="BI5244">
        <v>0</v>
      </c>
      <c r="BJ5244">
        <v>3475</v>
      </c>
      <c r="BK5244">
        <v>75</v>
      </c>
      <c r="BL5244" t="s">
        <v>188</v>
      </c>
      <c r="BM5244">
        <v>1</v>
      </c>
      <c r="BN5244">
        <v>1</v>
      </c>
      <c r="BO5244">
        <v>0</v>
      </c>
      <c r="BP5244">
        <v>0</v>
      </c>
      <c r="BS5244">
        <v>0</v>
      </c>
      <c r="BT5244">
        <v>0</v>
      </c>
      <c r="BU5244">
        <v>0</v>
      </c>
      <c r="CE5244" t="str">
        <f t="shared" si="2075"/>
        <v>15:19:05.821</v>
      </c>
      <c r="CF5244">
        <v>821005359</v>
      </c>
      <c r="CS5244">
        <v>0</v>
      </c>
      <c r="CT5244">
        <v>2</v>
      </c>
      <c r="CU5244">
        <v>0</v>
      </c>
      <c r="CV5244">
        <v>2</v>
      </c>
      <c r="CW5244">
        <v>0</v>
      </c>
      <c r="CX5244">
        <v>2</v>
      </c>
      <c r="CY5244">
        <v>7</v>
      </c>
      <c r="CZ5244" t="s">
        <v>133</v>
      </c>
      <c r="DA5244">
        <v>275</v>
      </c>
      <c r="DB5244">
        <v>0</v>
      </c>
      <c r="DC5244" t="s">
        <v>134</v>
      </c>
      <c r="DD5244" t="s">
        <v>135</v>
      </c>
      <c r="DG5244">
        <v>3323722</v>
      </c>
      <c r="DI5244">
        <v>1</v>
      </c>
      <c r="DJ5244">
        <v>0</v>
      </c>
      <c r="DK5244">
        <v>1</v>
      </c>
      <c r="DL5244">
        <v>0</v>
      </c>
      <c r="DM5244">
        <v>0</v>
      </c>
      <c r="DN5244">
        <v>0</v>
      </c>
      <c r="DO5244">
        <v>0</v>
      </c>
      <c r="DP5244">
        <v>0</v>
      </c>
      <c r="DQ5244">
        <v>0</v>
      </c>
      <c r="DR5244">
        <v>0</v>
      </c>
      <c r="DS5244">
        <v>0</v>
      </c>
    </row>
    <row r="5245" spans="1:123" x14ac:dyDescent="0.3">
      <c r="A5245" t="str">
        <f>"05/01/2025 15:19:06.090"</f>
        <v>05/01/2025 15:19:06.090</v>
      </c>
      <c r="C5245" t="str">
        <f t="shared" si="2052"/>
        <v>FFDFD3C0</v>
      </c>
      <c r="D5245" t="s">
        <v>124</v>
      </c>
      <c r="E5245" t="str">
        <f>"06"</f>
        <v>06</v>
      </c>
      <c r="F5245">
        <v>2006</v>
      </c>
      <c r="G5245" t="s">
        <v>125</v>
      </c>
      <c r="J5245" t="s">
        <v>126</v>
      </c>
      <c r="K5245">
        <v>0</v>
      </c>
      <c r="L5245">
        <v>3</v>
      </c>
      <c r="M5245">
        <v>0</v>
      </c>
      <c r="N5245">
        <v>2</v>
      </c>
      <c r="O5245">
        <v>0</v>
      </c>
      <c r="P5245">
        <v>1</v>
      </c>
      <c r="Q5245">
        <v>0</v>
      </c>
      <c r="R5245" t="s">
        <v>127</v>
      </c>
      <c r="S5245" t="str">
        <f t="shared" si="2074"/>
        <v>15:19:05.000</v>
      </c>
      <c r="T5245" t="str">
        <f t="shared" si="2074"/>
        <v>15:19:05.000</v>
      </c>
      <c r="U5245" t="str">
        <f t="shared" si="2054"/>
        <v>A68FCB</v>
      </c>
      <c r="V5245">
        <v>0</v>
      </c>
      <c r="W5245">
        <v>0</v>
      </c>
      <c r="X5245">
        <v>2</v>
      </c>
      <c r="Y5245">
        <v>0</v>
      </c>
      <c r="AA5245">
        <v>1</v>
      </c>
      <c r="AB5245">
        <v>8</v>
      </c>
      <c r="AC5245">
        <v>3</v>
      </c>
      <c r="AD5245">
        <v>0</v>
      </c>
      <c r="AE5245">
        <v>9</v>
      </c>
      <c r="AF5245" t="s">
        <v>138</v>
      </c>
      <c r="AG5245">
        <v>0</v>
      </c>
      <c r="AH5245">
        <v>3</v>
      </c>
      <c r="AI5245">
        <v>2</v>
      </c>
      <c r="AJ5245">
        <v>0</v>
      </c>
      <c r="AK5245" t="s">
        <v>1653</v>
      </c>
      <c r="AL5245">
        <v>39.229646000000002</v>
      </c>
      <c r="AM5245" t="s">
        <v>1652</v>
      </c>
      <c r="AN5245">
        <v>-121.029875</v>
      </c>
      <c r="AO5245">
        <v>25</v>
      </c>
      <c r="AP5245">
        <v>3400</v>
      </c>
      <c r="AQ5245" t="s">
        <v>131</v>
      </c>
      <c r="AR5245">
        <v>0</v>
      </c>
      <c r="AS5245">
        <v>-70</v>
      </c>
      <c r="AT5245">
        <v>-320</v>
      </c>
      <c r="BB5245" t="str">
        <f t="shared" si="2055"/>
        <v>1200</v>
      </c>
      <c r="BC5245">
        <v>1</v>
      </c>
      <c r="BD5245" t="str">
        <f t="shared" si="2056"/>
        <v xml:space="preserve">N52156  </v>
      </c>
      <c r="BE5245">
        <v>1</v>
      </c>
      <c r="BG5245">
        <v>0</v>
      </c>
      <c r="BH5245">
        <v>0</v>
      </c>
      <c r="BI5245">
        <v>0</v>
      </c>
      <c r="BJ5245">
        <v>3475</v>
      </c>
      <c r="BK5245">
        <v>75</v>
      </c>
      <c r="BL5245" t="s">
        <v>188</v>
      </c>
      <c r="BM5245">
        <v>1</v>
      </c>
      <c r="BN5245">
        <v>1</v>
      </c>
      <c r="BO5245">
        <v>0</v>
      </c>
      <c r="BP5245">
        <v>0</v>
      </c>
      <c r="BS5245">
        <v>0</v>
      </c>
      <c r="BT5245">
        <v>0</v>
      </c>
      <c r="BU5245">
        <v>0</v>
      </c>
      <c r="CE5245" t="str">
        <f t="shared" si="2075"/>
        <v>15:19:05.821</v>
      </c>
      <c r="CF5245">
        <v>821005359</v>
      </c>
      <c r="CS5245">
        <v>0</v>
      </c>
      <c r="CT5245">
        <v>2</v>
      </c>
      <c r="CU5245">
        <v>0</v>
      </c>
      <c r="CV5245">
        <v>2</v>
      </c>
      <c r="CW5245">
        <v>0</v>
      </c>
      <c r="CX5245">
        <v>2</v>
      </c>
      <c r="CY5245">
        <v>7</v>
      </c>
      <c r="CZ5245" t="s">
        <v>133</v>
      </c>
      <c r="DA5245">
        <v>275</v>
      </c>
      <c r="DB5245">
        <v>0</v>
      </c>
      <c r="DC5245" t="s">
        <v>134</v>
      </c>
      <c r="DD5245" t="s">
        <v>135</v>
      </c>
      <c r="DG5245">
        <v>3323722</v>
      </c>
      <c r="DI5245">
        <v>1</v>
      </c>
      <c r="DJ5245">
        <v>0</v>
      </c>
      <c r="DK5245">
        <v>1</v>
      </c>
      <c r="DL5245">
        <v>0</v>
      </c>
      <c r="DM5245">
        <v>0</v>
      </c>
      <c r="DN5245">
        <v>0</v>
      </c>
      <c r="DO5245">
        <v>0</v>
      </c>
      <c r="DP5245">
        <v>0</v>
      </c>
      <c r="DQ5245">
        <v>0</v>
      </c>
      <c r="DR5245">
        <v>0</v>
      </c>
      <c r="DS5245">
        <v>0</v>
      </c>
    </row>
    <row r="5246" spans="1:123" x14ac:dyDescent="0.3">
      <c r="A5246" t="str">
        <f>"05/01/2025 15:19:07.190"</f>
        <v>05/01/2025 15:19:07.190</v>
      </c>
      <c r="C5246" t="str">
        <f t="shared" si="2052"/>
        <v>FFDFD3C0</v>
      </c>
      <c r="D5246" t="s">
        <v>140</v>
      </c>
      <c r="E5246" t="str">
        <f>"13"</f>
        <v>13</v>
      </c>
      <c r="F5246">
        <v>1019</v>
      </c>
      <c r="G5246" t="s">
        <v>141</v>
      </c>
      <c r="J5246" t="s">
        <v>142</v>
      </c>
      <c r="K5246">
        <v>0</v>
      </c>
      <c r="L5246">
        <v>3</v>
      </c>
      <c r="M5246">
        <v>0</v>
      </c>
      <c r="N5246">
        <v>2</v>
      </c>
      <c r="O5246">
        <v>0</v>
      </c>
      <c r="P5246">
        <v>1</v>
      </c>
      <c r="Q5246">
        <v>0</v>
      </c>
      <c r="R5246" t="s">
        <v>127</v>
      </c>
      <c r="S5246" t="str">
        <f t="shared" ref="S5246:T5251" si="2076">"15:19:06.000"</f>
        <v>15:19:06.000</v>
      </c>
      <c r="T5246" t="str">
        <f t="shared" si="2076"/>
        <v>15:19:06.000</v>
      </c>
      <c r="U5246" t="str">
        <f t="shared" si="2054"/>
        <v>A68FCB</v>
      </c>
      <c r="V5246">
        <v>0</v>
      </c>
      <c r="W5246">
        <v>0</v>
      </c>
      <c r="X5246">
        <v>2</v>
      </c>
      <c r="Y5246">
        <v>0</v>
      </c>
      <c r="AA5246">
        <v>1</v>
      </c>
      <c r="AB5246">
        <v>8</v>
      </c>
      <c r="AC5246">
        <v>3</v>
      </c>
      <c r="AD5246">
        <v>0</v>
      </c>
      <c r="AE5246">
        <v>9</v>
      </c>
      <c r="AF5246" t="s">
        <v>138</v>
      </c>
      <c r="AG5246">
        <v>0</v>
      </c>
      <c r="AH5246">
        <v>3</v>
      </c>
      <c r="AI5246">
        <v>2</v>
      </c>
      <c r="AJ5246">
        <v>0</v>
      </c>
      <c r="AK5246" t="s">
        <v>1654</v>
      </c>
      <c r="AL5246">
        <v>39.229301999999997</v>
      </c>
      <c r="AM5246" t="s">
        <v>1223</v>
      </c>
      <c r="AN5246">
        <v>-121.02989700000001</v>
      </c>
      <c r="AO5246">
        <v>25</v>
      </c>
      <c r="AP5246">
        <v>3400</v>
      </c>
      <c r="AQ5246" t="s">
        <v>131</v>
      </c>
      <c r="AR5246">
        <v>6</v>
      </c>
      <c r="AS5246">
        <v>-68</v>
      </c>
      <c r="AT5246">
        <v>-576</v>
      </c>
      <c r="BB5246" t="str">
        <f t="shared" si="2055"/>
        <v>1200</v>
      </c>
      <c r="BC5246">
        <v>1</v>
      </c>
      <c r="BD5246" t="str">
        <f t="shared" si="2056"/>
        <v xml:space="preserve">N52156  </v>
      </c>
      <c r="BE5246">
        <v>1</v>
      </c>
      <c r="BG5246">
        <v>0</v>
      </c>
      <c r="BH5246">
        <v>0</v>
      </c>
      <c r="BI5246">
        <v>0</v>
      </c>
      <c r="BJ5246">
        <v>3475</v>
      </c>
      <c r="BK5246">
        <v>75</v>
      </c>
      <c r="BL5246" t="s">
        <v>188</v>
      </c>
      <c r="BM5246">
        <v>1</v>
      </c>
      <c r="BN5246">
        <v>1</v>
      </c>
      <c r="BO5246">
        <v>0</v>
      </c>
      <c r="BP5246">
        <v>0</v>
      </c>
      <c r="BS5246">
        <v>0</v>
      </c>
      <c r="BT5246">
        <v>0</v>
      </c>
      <c r="BU5246">
        <v>0</v>
      </c>
      <c r="CE5246" t="str">
        <f t="shared" ref="CE5246:CE5251" si="2077">"15:19:06.971"</f>
        <v>15:19:06.971</v>
      </c>
      <c r="CF5246">
        <v>971255640</v>
      </c>
      <c r="CS5246">
        <v>0</v>
      </c>
      <c r="CT5246">
        <v>2</v>
      </c>
      <c r="CU5246">
        <v>0</v>
      </c>
      <c r="CV5246">
        <v>2</v>
      </c>
      <c r="CW5246">
        <v>0</v>
      </c>
      <c r="CX5246">
        <v>4</v>
      </c>
      <c r="CY5246">
        <v>7</v>
      </c>
      <c r="CZ5246" t="s">
        <v>133</v>
      </c>
      <c r="DA5246">
        <v>275</v>
      </c>
      <c r="DB5246">
        <v>0</v>
      </c>
      <c r="DC5246" t="s">
        <v>134</v>
      </c>
      <c r="DD5246" t="s">
        <v>135</v>
      </c>
      <c r="DG5246">
        <v>3323726</v>
      </c>
      <c r="DI5246">
        <v>1</v>
      </c>
      <c r="DJ5246">
        <v>0</v>
      </c>
      <c r="DK5246">
        <v>0</v>
      </c>
      <c r="DL5246">
        <v>0</v>
      </c>
      <c r="DM5246">
        <v>0</v>
      </c>
      <c r="DN5246">
        <v>0</v>
      </c>
      <c r="DO5246">
        <v>0</v>
      </c>
      <c r="DP5246">
        <v>0</v>
      </c>
      <c r="DQ5246">
        <v>0</v>
      </c>
      <c r="DR5246">
        <v>0</v>
      </c>
      <c r="DS5246">
        <v>0</v>
      </c>
    </row>
    <row r="5247" spans="1:123" x14ac:dyDescent="0.3">
      <c r="A5247" t="str">
        <f>"05/01/2025 15:19:07.191"</f>
        <v>05/01/2025 15:19:07.191</v>
      </c>
      <c r="C5247" t="str">
        <f t="shared" si="2052"/>
        <v>FFDFD3C0</v>
      </c>
      <c r="D5247" t="s">
        <v>124</v>
      </c>
      <c r="E5247" t="str">
        <f>"06"</f>
        <v>06</v>
      </c>
      <c r="F5247">
        <v>2006</v>
      </c>
      <c r="G5247" t="s">
        <v>125</v>
      </c>
      <c r="J5247" t="s">
        <v>126</v>
      </c>
      <c r="K5247">
        <v>0</v>
      </c>
      <c r="L5247">
        <v>3</v>
      </c>
      <c r="M5247">
        <v>0</v>
      </c>
      <c r="N5247">
        <v>2</v>
      </c>
      <c r="O5247">
        <v>0</v>
      </c>
      <c r="P5247">
        <v>1</v>
      </c>
      <c r="Q5247">
        <v>0</v>
      </c>
      <c r="R5247" t="s">
        <v>127</v>
      </c>
      <c r="S5247" t="str">
        <f t="shared" si="2076"/>
        <v>15:19:06.000</v>
      </c>
      <c r="T5247" t="str">
        <f t="shared" si="2076"/>
        <v>15:19:06.000</v>
      </c>
      <c r="U5247" t="str">
        <f t="shared" si="2054"/>
        <v>A68FCB</v>
      </c>
      <c r="V5247">
        <v>0</v>
      </c>
      <c r="W5247">
        <v>0</v>
      </c>
      <c r="X5247">
        <v>2</v>
      </c>
      <c r="Y5247">
        <v>0</v>
      </c>
      <c r="AA5247">
        <v>1</v>
      </c>
      <c r="AB5247">
        <v>8</v>
      </c>
      <c r="AC5247">
        <v>3</v>
      </c>
      <c r="AD5247">
        <v>0</v>
      </c>
      <c r="AE5247">
        <v>9</v>
      </c>
      <c r="AF5247" t="s">
        <v>138</v>
      </c>
      <c r="AG5247">
        <v>0</v>
      </c>
      <c r="AH5247">
        <v>3</v>
      </c>
      <c r="AI5247">
        <v>2</v>
      </c>
      <c r="AJ5247">
        <v>0</v>
      </c>
      <c r="AK5247" t="s">
        <v>1654</v>
      </c>
      <c r="AL5247">
        <v>39.229301999999997</v>
      </c>
      <c r="AM5247" t="s">
        <v>1223</v>
      </c>
      <c r="AN5247">
        <v>-121.02989700000001</v>
      </c>
      <c r="AO5247">
        <v>25</v>
      </c>
      <c r="AP5247">
        <v>3400</v>
      </c>
      <c r="AQ5247" t="s">
        <v>131</v>
      </c>
      <c r="AR5247">
        <v>6</v>
      </c>
      <c r="AS5247">
        <v>-68</v>
      </c>
      <c r="AT5247">
        <v>-576</v>
      </c>
      <c r="BB5247" t="str">
        <f t="shared" si="2055"/>
        <v>1200</v>
      </c>
      <c r="BC5247">
        <v>1</v>
      </c>
      <c r="BD5247" t="str">
        <f t="shared" si="2056"/>
        <v xml:space="preserve">N52156  </v>
      </c>
      <c r="BE5247">
        <v>1</v>
      </c>
      <c r="BG5247">
        <v>0</v>
      </c>
      <c r="BH5247">
        <v>0</v>
      </c>
      <c r="BI5247">
        <v>0</v>
      </c>
      <c r="BJ5247">
        <v>3475</v>
      </c>
      <c r="BK5247">
        <v>75</v>
      </c>
      <c r="BL5247" t="s">
        <v>188</v>
      </c>
      <c r="BM5247">
        <v>1</v>
      </c>
      <c r="BN5247">
        <v>1</v>
      </c>
      <c r="BO5247">
        <v>0</v>
      </c>
      <c r="BP5247">
        <v>0</v>
      </c>
      <c r="BS5247">
        <v>0</v>
      </c>
      <c r="BT5247">
        <v>0</v>
      </c>
      <c r="BU5247">
        <v>0</v>
      </c>
      <c r="CE5247" t="str">
        <f t="shared" si="2077"/>
        <v>15:19:06.971</v>
      </c>
      <c r="CF5247">
        <v>971255640</v>
      </c>
      <c r="CS5247">
        <v>0</v>
      </c>
      <c r="CT5247">
        <v>2</v>
      </c>
      <c r="CU5247">
        <v>0</v>
      </c>
      <c r="CV5247">
        <v>2</v>
      </c>
      <c r="CW5247">
        <v>0</v>
      </c>
      <c r="CX5247">
        <v>4</v>
      </c>
      <c r="CY5247">
        <v>7</v>
      </c>
      <c r="CZ5247" t="s">
        <v>133</v>
      </c>
      <c r="DA5247">
        <v>275</v>
      </c>
      <c r="DB5247">
        <v>0</v>
      </c>
      <c r="DC5247" t="s">
        <v>134</v>
      </c>
      <c r="DD5247" t="s">
        <v>135</v>
      </c>
      <c r="DG5247">
        <v>3323726</v>
      </c>
      <c r="DI5247">
        <v>1</v>
      </c>
      <c r="DJ5247">
        <v>0</v>
      </c>
      <c r="DK5247">
        <v>1</v>
      </c>
      <c r="DL5247">
        <v>0</v>
      </c>
      <c r="DM5247">
        <v>0</v>
      </c>
      <c r="DN5247">
        <v>0</v>
      </c>
      <c r="DO5247">
        <v>0</v>
      </c>
      <c r="DP5247">
        <v>0</v>
      </c>
      <c r="DQ5247">
        <v>0</v>
      </c>
      <c r="DR5247">
        <v>0</v>
      </c>
      <c r="DS5247">
        <v>0</v>
      </c>
    </row>
    <row r="5248" spans="1:123" x14ac:dyDescent="0.3">
      <c r="A5248" t="str">
        <f>"05/01/2025 15:19:07.204"</f>
        <v>05/01/2025 15:19:07.204</v>
      </c>
      <c r="C5248" t="str">
        <f t="shared" si="2052"/>
        <v>FFDFD3C0</v>
      </c>
      <c r="D5248" t="s">
        <v>143</v>
      </c>
      <c r="E5248" t="str">
        <f>"05"</f>
        <v>05</v>
      </c>
      <c r="H5248">
        <v>172</v>
      </c>
      <c r="I5248" t="s">
        <v>141</v>
      </c>
      <c r="J5248" t="s">
        <v>144</v>
      </c>
      <c r="K5248">
        <v>0</v>
      </c>
      <c r="L5248">
        <v>3</v>
      </c>
      <c r="M5248">
        <v>0</v>
      </c>
      <c r="N5248">
        <v>2</v>
      </c>
      <c r="O5248">
        <v>0</v>
      </c>
      <c r="P5248">
        <v>1</v>
      </c>
      <c r="Q5248">
        <v>0</v>
      </c>
      <c r="R5248" t="s">
        <v>127</v>
      </c>
      <c r="S5248" t="str">
        <f t="shared" si="2076"/>
        <v>15:19:06.000</v>
      </c>
      <c r="T5248" t="str">
        <f t="shared" si="2076"/>
        <v>15:19:06.000</v>
      </c>
      <c r="U5248" t="str">
        <f t="shared" si="2054"/>
        <v>A68FCB</v>
      </c>
      <c r="V5248">
        <v>0</v>
      </c>
      <c r="W5248">
        <v>0</v>
      </c>
      <c r="X5248">
        <v>2</v>
      </c>
      <c r="Y5248">
        <v>0</v>
      </c>
      <c r="AA5248">
        <v>1</v>
      </c>
      <c r="AB5248">
        <v>8</v>
      </c>
      <c r="AC5248">
        <v>3</v>
      </c>
      <c r="AD5248">
        <v>0</v>
      </c>
      <c r="AE5248">
        <v>9</v>
      </c>
      <c r="AF5248" t="s">
        <v>138</v>
      </c>
      <c r="AG5248">
        <v>0</v>
      </c>
      <c r="AH5248">
        <v>3</v>
      </c>
      <c r="AI5248">
        <v>2</v>
      </c>
      <c r="AJ5248">
        <v>0</v>
      </c>
      <c r="AK5248" t="s">
        <v>1654</v>
      </c>
      <c r="AL5248">
        <v>39.229301999999997</v>
      </c>
      <c r="AM5248" t="s">
        <v>1223</v>
      </c>
      <c r="AN5248">
        <v>-121.02989700000001</v>
      </c>
      <c r="AO5248">
        <v>25</v>
      </c>
      <c r="AP5248">
        <v>3400</v>
      </c>
      <c r="AQ5248" t="s">
        <v>131</v>
      </c>
      <c r="AR5248">
        <v>6</v>
      </c>
      <c r="AS5248">
        <v>-68</v>
      </c>
      <c r="AT5248">
        <v>-576</v>
      </c>
      <c r="BB5248" t="str">
        <f t="shared" si="2055"/>
        <v>1200</v>
      </c>
      <c r="BC5248">
        <v>1</v>
      </c>
      <c r="BD5248" t="str">
        <f t="shared" si="2056"/>
        <v xml:space="preserve">N52156  </v>
      </c>
      <c r="BE5248">
        <v>1</v>
      </c>
      <c r="BG5248">
        <v>0</v>
      </c>
      <c r="BH5248">
        <v>0</v>
      </c>
      <c r="BI5248">
        <v>0</v>
      </c>
      <c r="BJ5248">
        <v>3475</v>
      </c>
      <c r="BK5248">
        <v>75</v>
      </c>
      <c r="BL5248" t="s">
        <v>188</v>
      </c>
      <c r="BM5248">
        <v>1</v>
      </c>
      <c r="BN5248">
        <v>1</v>
      </c>
      <c r="BO5248">
        <v>0</v>
      </c>
      <c r="BP5248">
        <v>0</v>
      </c>
      <c r="BS5248">
        <v>0</v>
      </c>
      <c r="BT5248">
        <v>0</v>
      </c>
      <c r="BU5248">
        <v>0</v>
      </c>
      <c r="CE5248" t="str">
        <f t="shared" si="2077"/>
        <v>15:19:06.971</v>
      </c>
      <c r="CF5248">
        <v>971255640</v>
      </c>
      <c r="CS5248">
        <v>0</v>
      </c>
      <c r="CT5248">
        <v>2</v>
      </c>
      <c r="CU5248">
        <v>0</v>
      </c>
      <c r="CV5248">
        <v>2</v>
      </c>
      <c r="CW5248">
        <v>0</v>
      </c>
      <c r="CX5248">
        <v>4</v>
      </c>
      <c r="CY5248">
        <v>7</v>
      </c>
      <c r="CZ5248" t="s">
        <v>133</v>
      </c>
      <c r="DA5248">
        <v>275</v>
      </c>
      <c r="DB5248">
        <v>0</v>
      </c>
      <c r="DC5248" t="s">
        <v>134</v>
      </c>
      <c r="DD5248" t="s">
        <v>135</v>
      </c>
      <c r="DG5248">
        <v>3323726</v>
      </c>
      <c r="DI5248">
        <v>1</v>
      </c>
      <c r="DJ5248">
        <v>0</v>
      </c>
      <c r="DK5248">
        <v>1</v>
      </c>
      <c r="DL5248">
        <v>0</v>
      </c>
      <c r="DM5248">
        <v>0</v>
      </c>
      <c r="DN5248">
        <v>0</v>
      </c>
      <c r="DO5248">
        <v>0</v>
      </c>
      <c r="DP5248">
        <v>0</v>
      </c>
      <c r="DQ5248">
        <v>0</v>
      </c>
      <c r="DR5248">
        <v>0</v>
      </c>
      <c r="DS5248">
        <v>0</v>
      </c>
    </row>
    <row r="5249" spans="1:123" x14ac:dyDescent="0.3">
      <c r="A5249" t="str">
        <f>"05/01/2025 15:19:07.214"</f>
        <v>05/01/2025 15:19:07.214</v>
      </c>
      <c r="C5249" t="str">
        <f t="shared" si="2052"/>
        <v>FFDFD3C0</v>
      </c>
      <c r="D5249" t="s">
        <v>145</v>
      </c>
      <c r="E5249" t="str">
        <f>"09"</f>
        <v>09</v>
      </c>
      <c r="H5249">
        <v>51</v>
      </c>
      <c r="I5249" t="s">
        <v>147</v>
      </c>
      <c r="J5249" t="s">
        <v>138</v>
      </c>
      <c r="K5249">
        <v>0</v>
      </c>
      <c r="L5249">
        <v>3</v>
      </c>
      <c r="M5249">
        <v>0</v>
      </c>
      <c r="N5249">
        <v>2</v>
      </c>
      <c r="O5249">
        <v>0</v>
      </c>
      <c r="P5249">
        <v>1</v>
      </c>
      <c r="Q5249">
        <v>0</v>
      </c>
      <c r="R5249" t="s">
        <v>127</v>
      </c>
      <c r="S5249" t="str">
        <f t="shared" si="2076"/>
        <v>15:19:06.000</v>
      </c>
      <c r="T5249" t="str">
        <f t="shared" si="2076"/>
        <v>15:19:06.000</v>
      </c>
      <c r="U5249" t="str">
        <f t="shared" si="2054"/>
        <v>A68FCB</v>
      </c>
      <c r="V5249">
        <v>0</v>
      </c>
      <c r="W5249">
        <v>0</v>
      </c>
      <c r="X5249">
        <v>2</v>
      </c>
      <c r="Y5249">
        <v>0</v>
      </c>
      <c r="AA5249">
        <v>1</v>
      </c>
      <c r="AB5249">
        <v>8</v>
      </c>
      <c r="AC5249">
        <v>3</v>
      </c>
      <c r="AD5249">
        <v>0</v>
      </c>
      <c r="AE5249">
        <v>9</v>
      </c>
      <c r="AF5249" t="s">
        <v>138</v>
      </c>
      <c r="AG5249">
        <v>0</v>
      </c>
      <c r="AH5249">
        <v>3</v>
      </c>
      <c r="AI5249">
        <v>2</v>
      </c>
      <c r="AJ5249">
        <v>0</v>
      </c>
      <c r="AK5249" t="s">
        <v>1654</v>
      </c>
      <c r="AL5249">
        <v>39.229301999999997</v>
      </c>
      <c r="AM5249" t="s">
        <v>1223</v>
      </c>
      <c r="AN5249">
        <v>-121.02989700000001</v>
      </c>
      <c r="AO5249">
        <v>25</v>
      </c>
      <c r="AP5249">
        <v>3400</v>
      </c>
      <c r="AQ5249" t="s">
        <v>131</v>
      </c>
      <c r="AR5249">
        <v>6</v>
      </c>
      <c r="AS5249">
        <v>-68</v>
      </c>
      <c r="AT5249">
        <v>-576</v>
      </c>
      <c r="BB5249" t="str">
        <f t="shared" si="2055"/>
        <v>1200</v>
      </c>
      <c r="BC5249">
        <v>1</v>
      </c>
      <c r="BD5249" t="str">
        <f t="shared" si="2056"/>
        <v xml:space="preserve">N52156  </v>
      </c>
      <c r="BE5249">
        <v>1</v>
      </c>
      <c r="BG5249">
        <v>0</v>
      </c>
      <c r="BH5249">
        <v>0</v>
      </c>
      <c r="BI5249">
        <v>0</v>
      </c>
      <c r="BJ5249">
        <v>3475</v>
      </c>
      <c r="BK5249">
        <v>75</v>
      </c>
      <c r="BL5249" t="s">
        <v>188</v>
      </c>
      <c r="BM5249">
        <v>1</v>
      </c>
      <c r="BN5249">
        <v>1</v>
      </c>
      <c r="BO5249">
        <v>0</v>
      </c>
      <c r="BP5249">
        <v>0</v>
      </c>
      <c r="BS5249">
        <v>0</v>
      </c>
      <c r="BT5249">
        <v>0</v>
      </c>
      <c r="BU5249">
        <v>0</v>
      </c>
      <c r="CE5249" t="str">
        <f t="shared" si="2077"/>
        <v>15:19:06.971</v>
      </c>
      <c r="CF5249">
        <v>971255640</v>
      </c>
      <c r="CS5249">
        <v>0</v>
      </c>
      <c r="CT5249">
        <v>2</v>
      </c>
      <c r="CU5249">
        <v>0</v>
      </c>
      <c r="CV5249">
        <v>2</v>
      </c>
      <c r="CW5249">
        <v>0</v>
      </c>
      <c r="CX5249">
        <v>4</v>
      </c>
      <c r="CY5249">
        <v>7</v>
      </c>
      <c r="CZ5249" t="s">
        <v>133</v>
      </c>
      <c r="DA5249">
        <v>275</v>
      </c>
      <c r="DB5249">
        <v>0</v>
      </c>
      <c r="DC5249" t="s">
        <v>134</v>
      </c>
      <c r="DD5249" t="s">
        <v>135</v>
      </c>
      <c r="DG5249">
        <v>3323726</v>
      </c>
      <c r="DI5249">
        <v>1</v>
      </c>
      <c r="DJ5249">
        <v>0</v>
      </c>
      <c r="DK5249">
        <v>1</v>
      </c>
      <c r="DL5249">
        <v>0</v>
      </c>
      <c r="DM5249">
        <v>0</v>
      </c>
      <c r="DN5249">
        <v>0</v>
      </c>
      <c r="DO5249">
        <v>0</v>
      </c>
      <c r="DP5249">
        <v>0</v>
      </c>
      <c r="DQ5249">
        <v>0</v>
      </c>
      <c r="DR5249">
        <v>0</v>
      </c>
      <c r="DS5249">
        <v>0</v>
      </c>
    </row>
    <row r="5250" spans="1:123" x14ac:dyDescent="0.3">
      <c r="A5250" t="str">
        <f>"05/01/2025 15:19:07.216"</f>
        <v>05/01/2025 15:19:07.216</v>
      </c>
      <c r="C5250" t="str">
        <f t="shared" ref="C5250:C5313" si="2078">"FFDFD3C0"</f>
        <v>FFDFD3C0</v>
      </c>
      <c r="D5250" t="s">
        <v>145</v>
      </c>
      <c r="E5250" t="str">
        <f>"05"</f>
        <v>05</v>
      </c>
      <c r="H5250">
        <v>47</v>
      </c>
      <c r="I5250" t="s">
        <v>146</v>
      </c>
      <c r="J5250" t="s">
        <v>138</v>
      </c>
      <c r="K5250">
        <v>0</v>
      </c>
      <c r="L5250">
        <v>3</v>
      </c>
      <c r="M5250">
        <v>0</v>
      </c>
      <c r="N5250">
        <v>2</v>
      </c>
      <c r="O5250">
        <v>0</v>
      </c>
      <c r="P5250">
        <v>1</v>
      </c>
      <c r="Q5250">
        <v>0</v>
      </c>
      <c r="R5250" t="s">
        <v>127</v>
      </c>
      <c r="S5250" t="str">
        <f t="shared" si="2076"/>
        <v>15:19:06.000</v>
      </c>
      <c r="T5250" t="str">
        <f t="shared" si="2076"/>
        <v>15:19:06.000</v>
      </c>
      <c r="U5250" t="str">
        <f t="shared" ref="U5250:U5313" si="2079">"A68FCB"</f>
        <v>A68FCB</v>
      </c>
      <c r="V5250">
        <v>0</v>
      </c>
      <c r="W5250">
        <v>0</v>
      </c>
      <c r="X5250">
        <v>2</v>
      </c>
      <c r="Y5250">
        <v>0</v>
      </c>
      <c r="AA5250">
        <v>1</v>
      </c>
      <c r="AB5250">
        <v>8</v>
      </c>
      <c r="AC5250">
        <v>3</v>
      </c>
      <c r="AD5250">
        <v>0</v>
      </c>
      <c r="AE5250">
        <v>9</v>
      </c>
      <c r="AF5250" t="s">
        <v>138</v>
      </c>
      <c r="AG5250">
        <v>0</v>
      </c>
      <c r="AH5250">
        <v>3</v>
      </c>
      <c r="AI5250">
        <v>2</v>
      </c>
      <c r="AJ5250">
        <v>0</v>
      </c>
      <c r="AK5250" t="s">
        <v>1654</v>
      </c>
      <c r="AL5250">
        <v>39.229301999999997</v>
      </c>
      <c r="AM5250" t="s">
        <v>1223</v>
      </c>
      <c r="AN5250">
        <v>-121.02989700000001</v>
      </c>
      <c r="AO5250">
        <v>25</v>
      </c>
      <c r="AP5250">
        <v>3400</v>
      </c>
      <c r="AQ5250" t="s">
        <v>131</v>
      </c>
      <c r="AR5250">
        <v>6</v>
      </c>
      <c r="AS5250">
        <v>-68</v>
      </c>
      <c r="AT5250">
        <v>-576</v>
      </c>
      <c r="BB5250" t="str">
        <f t="shared" ref="BB5250:BB5313" si="2080">"1200"</f>
        <v>1200</v>
      </c>
      <c r="BC5250">
        <v>1</v>
      </c>
      <c r="BD5250" t="str">
        <f t="shared" ref="BD5250:BD5313" si="2081">"N52156  "</f>
        <v xml:space="preserve">N52156  </v>
      </c>
      <c r="BE5250">
        <v>1</v>
      </c>
      <c r="BG5250">
        <v>0</v>
      </c>
      <c r="BH5250">
        <v>0</v>
      </c>
      <c r="BI5250">
        <v>0</v>
      </c>
      <c r="BJ5250">
        <v>3475</v>
      </c>
      <c r="BK5250">
        <v>75</v>
      </c>
      <c r="BL5250" t="s">
        <v>188</v>
      </c>
      <c r="BM5250">
        <v>1</v>
      </c>
      <c r="BN5250">
        <v>1</v>
      </c>
      <c r="BO5250">
        <v>0</v>
      </c>
      <c r="BP5250">
        <v>0</v>
      </c>
      <c r="BS5250">
        <v>0</v>
      </c>
      <c r="BT5250">
        <v>0</v>
      </c>
      <c r="BU5250">
        <v>0</v>
      </c>
      <c r="CE5250" t="str">
        <f t="shared" si="2077"/>
        <v>15:19:06.971</v>
      </c>
      <c r="CF5250">
        <v>971255640</v>
      </c>
      <c r="CS5250">
        <v>0</v>
      </c>
      <c r="CT5250">
        <v>2</v>
      </c>
      <c r="CU5250">
        <v>0</v>
      </c>
      <c r="CV5250">
        <v>2</v>
      </c>
      <c r="CW5250">
        <v>0</v>
      </c>
      <c r="CX5250">
        <v>4</v>
      </c>
      <c r="CY5250">
        <v>7</v>
      </c>
      <c r="CZ5250" t="s">
        <v>133</v>
      </c>
      <c r="DA5250">
        <v>275</v>
      </c>
      <c r="DB5250">
        <v>0</v>
      </c>
      <c r="DC5250" t="s">
        <v>134</v>
      </c>
      <c r="DD5250" t="s">
        <v>135</v>
      </c>
      <c r="DG5250">
        <v>3323726</v>
      </c>
      <c r="DI5250">
        <v>1</v>
      </c>
      <c r="DJ5250">
        <v>0</v>
      </c>
      <c r="DK5250">
        <v>1</v>
      </c>
      <c r="DL5250">
        <v>0</v>
      </c>
      <c r="DM5250">
        <v>0</v>
      </c>
      <c r="DN5250">
        <v>0</v>
      </c>
      <c r="DO5250">
        <v>0</v>
      </c>
      <c r="DP5250">
        <v>0</v>
      </c>
      <c r="DQ5250">
        <v>0</v>
      </c>
      <c r="DR5250">
        <v>0</v>
      </c>
      <c r="DS5250">
        <v>0</v>
      </c>
    </row>
    <row r="5251" spans="1:123" x14ac:dyDescent="0.3">
      <c r="A5251" t="str">
        <f>"05/01/2025 15:19:07.225"</f>
        <v>05/01/2025 15:19:07.225</v>
      </c>
      <c r="C5251" t="str">
        <f t="shared" si="2078"/>
        <v>FFDFD3C0</v>
      </c>
      <c r="D5251" t="s">
        <v>136</v>
      </c>
      <c r="E5251" t="str">
        <f>"20"</f>
        <v>20</v>
      </c>
      <c r="H5251">
        <v>400</v>
      </c>
      <c r="I5251" t="s">
        <v>137</v>
      </c>
      <c r="J5251" t="s">
        <v>138</v>
      </c>
      <c r="K5251">
        <v>0</v>
      </c>
      <c r="L5251">
        <v>3</v>
      </c>
      <c r="M5251">
        <v>0</v>
      </c>
      <c r="N5251">
        <v>2</v>
      </c>
      <c r="O5251">
        <v>0</v>
      </c>
      <c r="P5251">
        <v>1</v>
      </c>
      <c r="Q5251">
        <v>0</v>
      </c>
      <c r="R5251" t="s">
        <v>127</v>
      </c>
      <c r="S5251" t="str">
        <f t="shared" si="2076"/>
        <v>15:19:06.000</v>
      </c>
      <c r="T5251" t="str">
        <f t="shared" si="2076"/>
        <v>15:19:06.000</v>
      </c>
      <c r="U5251" t="str">
        <f t="shared" si="2079"/>
        <v>A68FCB</v>
      </c>
      <c r="V5251">
        <v>0</v>
      </c>
      <c r="W5251">
        <v>0</v>
      </c>
      <c r="X5251">
        <v>2</v>
      </c>
      <c r="Y5251">
        <v>0</v>
      </c>
      <c r="AA5251">
        <v>1</v>
      </c>
      <c r="AB5251">
        <v>8</v>
      </c>
      <c r="AC5251">
        <v>3</v>
      </c>
      <c r="AD5251">
        <v>0</v>
      </c>
      <c r="AE5251">
        <v>9</v>
      </c>
      <c r="AF5251" t="s">
        <v>138</v>
      </c>
      <c r="AG5251">
        <v>0</v>
      </c>
      <c r="AH5251">
        <v>3</v>
      </c>
      <c r="AI5251">
        <v>2</v>
      </c>
      <c r="AJ5251">
        <v>0</v>
      </c>
      <c r="AK5251" t="s">
        <v>1654</v>
      </c>
      <c r="AL5251">
        <v>39.229301999999997</v>
      </c>
      <c r="AM5251" t="s">
        <v>1223</v>
      </c>
      <c r="AN5251">
        <v>-121.02989700000001</v>
      </c>
      <c r="AO5251">
        <v>25</v>
      </c>
      <c r="AP5251">
        <v>3400</v>
      </c>
      <c r="AQ5251" t="s">
        <v>131</v>
      </c>
      <c r="AR5251">
        <v>6</v>
      </c>
      <c r="AS5251">
        <v>-68</v>
      </c>
      <c r="AT5251">
        <v>-576</v>
      </c>
      <c r="BB5251" t="str">
        <f t="shared" si="2080"/>
        <v>1200</v>
      </c>
      <c r="BC5251">
        <v>1</v>
      </c>
      <c r="BD5251" t="str">
        <f t="shared" si="2081"/>
        <v xml:space="preserve">N52156  </v>
      </c>
      <c r="BE5251">
        <v>1</v>
      </c>
      <c r="BG5251">
        <v>0</v>
      </c>
      <c r="BH5251">
        <v>0</v>
      </c>
      <c r="BI5251">
        <v>0</v>
      </c>
      <c r="BJ5251">
        <v>3475</v>
      </c>
      <c r="BK5251">
        <v>75</v>
      </c>
      <c r="BL5251" t="s">
        <v>188</v>
      </c>
      <c r="BM5251">
        <v>1</v>
      </c>
      <c r="BN5251">
        <v>1</v>
      </c>
      <c r="BO5251">
        <v>0</v>
      </c>
      <c r="BP5251">
        <v>0</v>
      </c>
      <c r="BS5251">
        <v>0</v>
      </c>
      <c r="BT5251">
        <v>0</v>
      </c>
      <c r="BU5251">
        <v>0</v>
      </c>
      <c r="CE5251" t="str">
        <f t="shared" si="2077"/>
        <v>15:19:06.971</v>
      </c>
      <c r="CF5251">
        <v>971255640</v>
      </c>
      <c r="CS5251">
        <v>0</v>
      </c>
      <c r="CT5251">
        <v>2</v>
      </c>
      <c r="CU5251">
        <v>0</v>
      </c>
      <c r="CV5251">
        <v>2</v>
      </c>
      <c r="CW5251">
        <v>0</v>
      </c>
      <c r="CX5251">
        <v>4</v>
      </c>
      <c r="CY5251">
        <v>7</v>
      </c>
      <c r="CZ5251" t="s">
        <v>133</v>
      </c>
      <c r="DA5251">
        <v>275</v>
      </c>
      <c r="DB5251">
        <v>0</v>
      </c>
      <c r="DC5251" t="s">
        <v>134</v>
      </c>
      <c r="DD5251" t="s">
        <v>135</v>
      </c>
      <c r="DG5251">
        <v>3323726</v>
      </c>
      <c r="DI5251">
        <v>1</v>
      </c>
      <c r="DJ5251">
        <v>0</v>
      </c>
      <c r="DK5251">
        <v>1</v>
      </c>
      <c r="DL5251">
        <v>0</v>
      </c>
      <c r="DM5251">
        <v>0</v>
      </c>
      <c r="DN5251">
        <v>0</v>
      </c>
      <c r="DO5251">
        <v>0</v>
      </c>
      <c r="DP5251">
        <v>0</v>
      </c>
      <c r="DQ5251">
        <v>0</v>
      </c>
      <c r="DR5251">
        <v>0</v>
      </c>
      <c r="DS5251">
        <v>0</v>
      </c>
    </row>
    <row r="5252" spans="1:123" x14ac:dyDescent="0.3">
      <c r="A5252" t="str">
        <f>"05/01/2025 15:19:07.565"</f>
        <v>05/01/2025 15:19:07.565</v>
      </c>
      <c r="C5252" t="str">
        <f t="shared" si="2078"/>
        <v>FFDFD3C0</v>
      </c>
      <c r="D5252" t="s">
        <v>145</v>
      </c>
      <c r="E5252" t="str">
        <f>"09"</f>
        <v>09</v>
      </c>
      <c r="H5252">
        <v>51</v>
      </c>
      <c r="I5252" t="s">
        <v>147</v>
      </c>
      <c r="J5252" t="s">
        <v>138</v>
      </c>
      <c r="K5252">
        <v>0</v>
      </c>
      <c r="L5252">
        <v>3</v>
      </c>
      <c r="M5252">
        <v>0</v>
      </c>
      <c r="N5252">
        <v>2</v>
      </c>
      <c r="O5252">
        <v>0</v>
      </c>
      <c r="P5252">
        <v>1</v>
      </c>
      <c r="Q5252">
        <v>0</v>
      </c>
      <c r="R5252" t="s">
        <v>127</v>
      </c>
      <c r="S5252" t="str">
        <f t="shared" ref="S5252:T5257" si="2082">"15:19:07.000"</f>
        <v>15:19:07.000</v>
      </c>
      <c r="T5252" t="str">
        <f t="shared" si="2082"/>
        <v>15:19:07.000</v>
      </c>
      <c r="U5252" t="str">
        <f t="shared" si="2079"/>
        <v>A68FCB</v>
      </c>
      <c r="V5252">
        <v>0</v>
      </c>
      <c r="W5252">
        <v>0</v>
      </c>
      <c r="X5252">
        <v>2</v>
      </c>
      <c r="Y5252">
        <v>0</v>
      </c>
      <c r="AA5252">
        <v>1</v>
      </c>
      <c r="AB5252">
        <v>8</v>
      </c>
      <c r="AC5252">
        <v>3</v>
      </c>
      <c r="AD5252">
        <v>0</v>
      </c>
      <c r="AE5252">
        <v>9</v>
      </c>
      <c r="AF5252" t="s">
        <v>138</v>
      </c>
      <c r="AG5252">
        <v>0</v>
      </c>
      <c r="AH5252">
        <v>3</v>
      </c>
      <c r="AI5252">
        <v>2</v>
      </c>
      <c r="AJ5252">
        <v>0</v>
      </c>
      <c r="AK5252" t="s">
        <v>1655</v>
      </c>
      <c r="AL5252">
        <v>39.229002000000001</v>
      </c>
      <c r="AM5252" t="s">
        <v>1652</v>
      </c>
      <c r="AN5252">
        <v>-121.029875</v>
      </c>
      <c r="AO5252">
        <v>25</v>
      </c>
      <c r="AP5252">
        <v>3400</v>
      </c>
      <c r="AQ5252" t="s">
        <v>131</v>
      </c>
      <c r="AR5252">
        <v>9</v>
      </c>
      <c r="AS5252">
        <v>-65</v>
      </c>
      <c r="AT5252">
        <v>-640</v>
      </c>
      <c r="BB5252" t="str">
        <f t="shared" si="2080"/>
        <v>1200</v>
      </c>
      <c r="BC5252">
        <v>1</v>
      </c>
      <c r="BD5252" t="str">
        <f t="shared" si="2081"/>
        <v xml:space="preserve">N52156  </v>
      </c>
      <c r="BE5252">
        <v>1</v>
      </c>
      <c r="BG5252">
        <v>0</v>
      </c>
      <c r="BH5252">
        <v>0</v>
      </c>
      <c r="BI5252">
        <v>0</v>
      </c>
      <c r="BJ5252">
        <v>3475</v>
      </c>
      <c r="BK5252">
        <v>75</v>
      </c>
      <c r="BL5252" t="s">
        <v>188</v>
      </c>
      <c r="BM5252">
        <v>1</v>
      </c>
      <c r="BN5252">
        <v>1</v>
      </c>
      <c r="BO5252">
        <v>0</v>
      </c>
      <c r="BP5252">
        <v>0</v>
      </c>
      <c r="BS5252">
        <v>0</v>
      </c>
      <c r="BT5252">
        <v>0</v>
      </c>
      <c r="BU5252">
        <v>0</v>
      </c>
      <c r="CE5252" t="str">
        <f t="shared" ref="CE5252:CE5257" si="2083">"15:19:07.343"</f>
        <v>15:19:07.343</v>
      </c>
      <c r="CF5252">
        <v>343004001</v>
      </c>
      <c r="CS5252">
        <v>0</v>
      </c>
      <c r="CT5252">
        <v>2</v>
      </c>
      <c r="CU5252">
        <v>0</v>
      </c>
      <c r="CV5252">
        <v>2</v>
      </c>
      <c r="CW5252">
        <v>0</v>
      </c>
      <c r="CX5252">
        <v>4</v>
      </c>
      <c r="CY5252">
        <v>7</v>
      </c>
      <c r="CZ5252" t="s">
        <v>133</v>
      </c>
      <c r="DA5252">
        <v>275</v>
      </c>
      <c r="DB5252">
        <v>0</v>
      </c>
      <c r="DC5252" t="s">
        <v>134</v>
      </c>
      <c r="DD5252" t="s">
        <v>135</v>
      </c>
      <c r="DG5252">
        <v>3323730</v>
      </c>
      <c r="DI5252">
        <v>1</v>
      </c>
      <c r="DJ5252">
        <v>0</v>
      </c>
      <c r="DK5252">
        <v>0</v>
      </c>
      <c r="DL5252">
        <v>0</v>
      </c>
      <c r="DM5252">
        <v>0</v>
      </c>
      <c r="DN5252">
        <v>0</v>
      </c>
      <c r="DO5252">
        <v>0</v>
      </c>
      <c r="DP5252">
        <v>0</v>
      </c>
      <c r="DQ5252">
        <v>0</v>
      </c>
      <c r="DR5252">
        <v>0</v>
      </c>
      <c r="DS5252">
        <v>0</v>
      </c>
    </row>
    <row r="5253" spans="1:123" x14ac:dyDescent="0.3">
      <c r="A5253" t="str">
        <f>"05/01/2025 15:19:07.567"</f>
        <v>05/01/2025 15:19:07.567</v>
      </c>
      <c r="C5253" t="str">
        <f t="shared" si="2078"/>
        <v>FFDFD3C0</v>
      </c>
      <c r="D5253" t="s">
        <v>145</v>
      </c>
      <c r="E5253" t="str">
        <f>"05"</f>
        <v>05</v>
      </c>
      <c r="H5253">
        <v>47</v>
      </c>
      <c r="I5253" t="s">
        <v>146</v>
      </c>
      <c r="J5253" t="s">
        <v>138</v>
      </c>
      <c r="K5253">
        <v>0</v>
      </c>
      <c r="L5253">
        <v>3</v>
      </c>
      <c r="M5253">
        <v>0</v>
      </c>
      <c r="N5253">
        <v>2</v>
      </c>
      <c r="O5253">
        <v>0</v>
      </c>
      <c r="P5253">
        <v>1</v>
      </c>
      <c r="Q5253">
        <v>0</v>
      </c>
      <c r="R5253" t="s">
        <v>127</v>
      </c>
      <c r="S5253" t="str">
        <f t="shared" si="2082"/>
        <v>15:19:07.000</v>
      </c>
      <c r="T5253" t="str">
        <f t="shared" si="2082"/>
        <v>15:19:07.000</v>
      </c>
      <c r="U5253" t="str">
        <f t="shared" si="2079"/>
        <v>A68FCB</v>
      </c>
      <c r="V5253">
        <v>0</v>
      </c>
      <c r="W5253">
        <v>0</v>
      </c>
      <c r="X5253">
        <v>2</v>
      </c>
      <c r="Y5253">
        <v>0</v>
      </c>
      <c r="AA5253">
        <v>1</v>
      </c>
      <c r="AB5253">
        <v>8</v>
      </c>
      <c r="AC5253">
        <v>3</v>
      </c>
      <c r="AD5253">
        <v>0</v>
      </c>
      <c r="AE5253">
        <v>9</v>
      </c>
      <c r="AF5253" t="s">
        <v>138</v>
      </c>
      <c r="AG5253">
        <v>0</v>
      </c>
      <c r="AH5253">
        <v>3</v>
      </c>
      <c r="AI5253">
        <v>2</v>
      </c>
      <c r="AJ5253">
        <v>0</v>
      </c>
      <c r="AK5253" t="s">
        <v>1655</v>
      </c>
      <c r="AL5253">
        <v>39.229002000000001</v>
      </c>
      <c r="AM5253" t="s">
        <v>1652</v>
      </c>
      <c r="AN5253">
        <v>-121.029875</v>
      </c>
      <c r="AO5253">
        <v>25</v>
      </c>
      <c r="AP5253">
        <v>3400</v>
      </c>
      <c r="AQ5253" t="s">
        <v>131</v>
      </c>
      <c r="AR5253">
        <v>9</v>
      </c>
      <c r="AS5253">
        <v>-65</v>
      </c>
      <c r="AT5253">
        <v>-640</v>
      </c>
      <c r="BB5253" t="str">
        <f t="shared" si="2080"/>
        <v>1200</v>
      </c>
      <c r="BC5253">
        <v>1</v>
      </c>
      <c r="BD5253" t="str">
        <f t="shared" si="2081"/>
        <v xml:space="preserve">N52156  </v>
      </c>
      <c r="BE5253">
        <v>1</v>
      </c>
      <c r="BG5253">
        <v>0</v>
      </c>
      <c r="BH5253">
        <v>0</v>
      </c>
      <c r="BI5253">
        <v>0</v>
      </c>
      <c r="BJ5253">
        <v>3475</v>
      </c>
      <c r="BK5253">
        <v>75</v>
      </c>
      <c r="BL5253" t="s">
        <v>188</v>
      </c>
      <c r="BM5253">
        <v>1</v>
      </c>
      <c r="BN5253">
        <v>1</v>
      </c>
      <c r="BO5253">
        <v>0</v>
      </c>
      <c r="BP5253">
        <v>0</v>
      </c>
      <c r="BS5253">
        <v>0</v>
      </c>
      <c r="BT5253">
        <v>0</v>
      </c>
      <c r="BU5253">
        <v>0</v>
      </c>
      <c r="CE5253" t="str">
        <f t="shared" si="2083"/>
        <v>15:19:07.343</v>
      </c>
      <c r="CF5253">
        <v>343004001</v>
      </c>
      <c r="CS5253">
        <v>0</v>
      </c>
      <c r="CT5253">
        <v>2</v>
      </c>
      <c r="CU5253">
        <v>0</v>
      </c>
      <c r="CV5253">
        <v>2</v>
      </c>
      <c r="CW5253">
        <v>0</v>
      </c>
      <c r="CX5253">
        <v>4</v>
      </c>
      <c r="CY5253">
        <v>7</v>
      </c>
      <c r="CZ5253" t="s">
        <v>133</v>
      </c>
      <c r="DA5253">
        <v>275</v>
      </c>
      <c r="DB5253">
        <v>0</v>
      </c>
      <c r="DC5253" t="s">
        <v>134</v>
      </c>
      <c r="DD5253" t="s">
        <v>135</v>
      </c>
      <c r="DG5253">
        <v>3323730</v>
      </c>
      <c r="DI5253">
        <v>1</v>
      </c>
      <c r="DJ5253">
        <v>0</v>
      </c>
      <c r="DK5253">
        <v>1</v>
      </c>
      <c r="DL5253">
        <v>0</v>
      </c>
      <c r="DM5253">
        <v>0</v>
      </c>
      <c r="DN5253">
        <v>0</v>
      </c>
      <c r="DO5253">
        <v>0</v>
      </c>
      <c r="DP5253">
        <v>0</v>
      </c>
      <c r="DQ5253">
        <v>0</v>
      </c>
      <c r="DR5253">
        <v>0</v>
      </c>
      <c r="DS5253">
        <v>0</v>
      </c>
    </row>
    <row r="5254" spans="1:123" x14ac:dyDescent="0.3">
      <c r="A5254" t="str">
        <f>"05/01/2025 15:19:07.576"</f>
        <v>05/01/2025 15:19:07.576</v>
      </c>
      <c r="C5254" t="str">
        <f t="shared" si="2078"/>
        <v>FFDFD3C0</v>
      </c>
      <c r="D5254" t="s">
        <v>136</v>
      </c>
      <c r="E5254" t="str">
        <f>"20"</f>
        <v>20</v>
      </c>
      <c r="H5254">
        <v>400</v>
      </c>
      <c r="I5254" t="s">
        <v>137</v>
      </c>
      <c r="J5254" t="s">
        <v>138</v>
      </c>
      <c r="K5254">
        <v>0</v>
      </c>
      <c r="L5254">
        <v>3</v>
      </c>
      <c r="M5254">
        <v>0</v>
      </c>
      <c r="N5254">
        <v>2</v>
      </c>
      <c r="O5254">
        <v>0</v>
      </c>
      <c r="P5254">
        <v>1</v>
      </c>
      <c r="Q5254">
        <v>0</v>
      </c>
      <c r="R5254" t="s">
        <v>127</v>
      </c>
      <c r="S5254" t="str">
        <f t="shared" si="2082"/>
        <v>15:19:07.000</v>
      </c>
      <c r="T5254" t="str">
        <f t="shared" si="2082"/>
        <v>15:19:07.000</v>
      </c>
      <c r="U5254" t="str">
        <f t="shared" si="2079"/>
        <v>A68FCB</v>
      </c>
      <c r="V5254">
        <v>0</v>
      </c>
      <c r="W5254">
        <v>0</v>
      </c>
      <c r="X5254">
        <v>2</v>
      </c>
      <c r="Y5254">
        <v>0</v>
      </c>
      <c r="AA5254">
        <v>1</v>
      </c>
      <c r="AB5254">
        <v>8</v>
      </c>
      <c r="AC5254">
        <v>3</v>
      </c>
      <c r="AD5254">
        <v>0</v>
      </c>
      <c r="AE5254">
        <v>9</v>
      </c>
      <c r="AF5254" t="s">
        <v>138</v>
      </c>
      <c r="AG5254">
        <v>0</v>
      </c>
      <c r="AH5254">
        <v>3</v>
      </c>
      <c r="AI5254">
        <v>2</v>
      </c>
      <c r="AJ5254">
        <v>0</v>
      </c>
      <c r="AK5254" t="s">
        <v>1655</v>
      </c>
      <c r="AL5254">
        <v>39.229002000000001</v>
      </c>
      <c r="AM5254" t="s">
        <v>1652</v>
      </c>
      <c r="AN5254">
        <v>-121.029875</v>
      </c>
      <c r="AO5254">
        <v>25</v>
      </c>
      <c r="AP5254">
        <v>3400</v>
      </c>
      <c r="AQ5254" t="s">
        <v>131</v>
      </c>
      <c r="AR5254">
        <v>9</v>
      </c>
      <c r="AS5254">
        <v>-65</v>
      </c>
      <c r="AT5254">
        <v>-640</v>
      </c>
      <c r="BB5254" t="str">
        <f t="shared" si="2080"/>
        <v>1200</v>
      </c>
      <c r="BC5254">
        <v>1</v>
      </c>
      <c r="BD5254" t="str">
        <f t="shared" si="2081"/>
        <v xml:space="preserve">N52156  </v>
      </c>
      <c r="BE5254">
        <v>1</v>
      </c>
      <c r="BG5254">
        <v>0</v>
      </c>
      <c r="BH5254">
        <v>0</v>
      </c>
      <c r="BI5254">
        <v>0</v>
      </c>
      <c r="BJ5254">
        <v>3475</v>
      </c>
      <c r="BK5254">
        <v>75</v>
      </c>
      <c r="BL5254" t="s">
        <v>188</v>
      </c>
      <c r="BM5254">
        <v>1</v>
      </c>
      <c r="BN5254">
        <v>1</v>
      </c>
      <c r="BO5254">
        <v>0</v>
      </c>
      <c r="BP5254">
        <v>0</v>
      </c>
      <c r="BS5254">
        <v>0</v>
      </c>
      <c r="BT5254">
        <v>0</v>
      </c>
      <c r="BU5254">
        <v>0</v>
      </c>
      <c r="CE5254" t="str">
        <f t="shared" si="2083"/>
        <v>15:19:07.343</v>
      </c>
      <c r="CF5254">
        <v>343004001</v>
      </c>
      <c r="CS5254">
        <v>0</v>
      </c>
      <c r="CT5254">
        <v>2</v>
      </c>
      <c r="CU5254">
        <v>0</v>
      </c>
      <c r="CV5254">
        <v>2</v>
      </c>
      <c r="CW5254">
        <v>0</v>
      </c>
      <c r="CX5254">
        <v>4</v>
      </c>
      <c r="CY5254">
        <v>7</v>
      </c>
      <c r="CZ5254" t="s">
        <v>133</v>
      </c>
      <c r="DA5254">
        <v>275</v>
      </c>
      <c r="DB5254">
        <v>0</v>
      </c>
      <c r="DC5254" t="s">
        <v>134</v>
      </c>
      <c r="DD5254" t="s">
        <v>135</v>
      </c>
      <c r="DG5254">
        <v>3323730</v>
      </c>
      <c r="DI5254">
        <v>1</v>
      </c>
      <c r="DJ5254">
        <v>0</v>
      </c>
      <c r="DK5254">
        <v>1</v>
      </c>
      <c r="DL5254">
        <v>0</v>
      </c>
      <c r="DM5254">
        <v>0</v>
      </c>
      <c r="DN5254">
        <v>0</v>
      </c>
      <c r="DO5254">
        <v>0</v>
      </c>
      <c r="DP5254">
        <v>0</v>
      </c>
      <c r="DQ5254">
        <v>0</v>
      </c>
      <c r="DR5254">
        <v>0</v>
      </c>
      <c r="DS5254">
        <v>0</v>
      </c>
    </row>
    <row r="5255" spans="1:123" x14ac:dyDescent="0.3">
      <c r="A5255" t="str">
        <f>"05/01/2025 15:19:07.591"</f>
        <v>05/01/2025 15:19:07.591</v>
      </c>
      <c r="C5255" t="str">
        <f t="shared" si="2078"/>
        <v>FFDFD3C0</v>
      </c>
      <c r="D5255" t="s">
        <v>140</v>
      </c>
      <c r="E5255" t="str">
        <f>"13"</f>
        <v>13</v>
      </c>
      <c r="F5255">
        <v>1019</v>
      </c>
      <c r="G5255" t="s">
        <v>141</v>
      </c>
      <c r="J5255" t="s">
        <v>142</v>
      </c>
      <c r="K5255">
        <v>0</v>
      </c>
      <c r="L5255">
        <v>3</v>
      </c>
      <c r="M5255">
        <v>0</v>
      </c>
      <c r="N5255">
        <v>2</v>
      </c>
      <c r="O5255">
        <v>0</v>
      </c>
      <c r="P5255">
        <v>1</v>
      </c>
      <c r="Q5255">
        <v>0</v>
      </c>
      <c r="R5255" t="s">
        <v>127</v>
      </c>
      <c r="S5255" t="str">
        <f t="shared" si="2082"/>
        <v>15:19:07.000</v>
      </c>
      <c r="T5255" t="str">
        <f t="shared" si="2082"/>
        <v>15:19:07.000</v>
      </c>
      <c r="U5255" t="str">
        <f t="shared" si="2079"/>
        <v>A68FCB</v>
      </c>
      <c r="V5255">
        <v>0</v>
      </c>
      <c r="W5255">
        <v>0</v>
      </c>
      <c r="X5255">
        <v>2</v>
      </c>
      <c r="Y5255">
        <v>0</v>
      </c>
      <c r="AA5255">
        <v>1</v>
      </c>
      <c r="AB5255">
        <v>8</v>
      </c>
      <c r="AC5255">
        <v>3</v>
      </c>
      <c r="AD5255">
        <v>0</v>
      </c>
      <c r="AE5255">
        <v>9</v>
      </c>
      <c r="AF5255" t="s">
        <v>138</v>
      </c>
      <c r="AG5255">
        <v>0</v>
      </c>
      <c r="AH5255">
        <v>3</v>
      </c>
      <c r="AI5255">
        <v>2</v>
      </c>
      <c r="AJ5255">
        <v>0</v>
      </c>
      <c r="AK5255" t="s">
        <v>1655</v>
      </c>
      <c r="AL5255">
        <v>39.229002000000001</v>
      </c>
      <c r="AM5255" t="s">
        <v>1652</v>
      </c>
      <c r="AN5255">
        <v>-121.029875</v>
      </c>
      <c r="AO5255">
        <v>25</v>
      </c>
      <c r="AP5255">
        <v>3400</v>
      </c>
      <c r="AQ5255" t="s">
        <v>131</v>
      </c>
      <c r="AR5255">
        <v>9</v>
      </c>
      <c r="AS5255">
        <v>-65</v>
      </c>
      <c r="AT5255">
        <v>-640</v>
      </c>
      <c r="BB5255" t="str">
        <f t="shared" si="2080"/>
        <v>1200</v>
      </c>
      <c r="BC5255">
        <v>1</v>
      </c>
      <c r="BD5255" t="str">
        <f t="shared" si="2081"/>
        <v xml:space="preserve">N52156  </v>
      </c>
      <c r="BE5255">
        <v>1</v>
      </c>
      <c r="BG5255">
        <v>0</v>
      </c>
      <c r="BH5255">
        <v>0</v>
      </c>
      <c r="BI5255">
        <v>0</v>
      </c>
      <c r="BJ5255">
        <v>3475</v>
      </c>
      <c r="BK5255">
        <v>75</v>
      </c>
      <c r="BL5255" t="s">
        <v>188</v>
      </c>
      <c r="BM5255">
        <v>1</v>
      </c>
      <c r="BN5255">
        <v>1</v>
      </c>
      <c r="BO5255">
        <v>0</v>
      </c>
      <c r="BP5255">
        <v>0</v>
      </c>
      <c r="BS5255">
        <v>0</v>
      </c>
      <c r="BT5255">
        <v>0</v>
      </c>
      <c r="BU5255">
        <v>0</v>
      </c>
      <c r="CE5255" t="str">
        <f t="shared" si="2083"/>
        <v>15:19:07.343</v>
      </c>
      <c r="CF5255">
        <v>343004001</v>
      </c>
      <c r="CS5255">
        <v>0</v>
      </c>
      <c r="CT5255">
        <v>2</v>
      </c>
      <c r="CU5255">
        <v>0</v>
      </c>
      <c r="CV5255">
        <v>2</v>
      </c>
      <c r="CW5255">
        <v>0</v>
      </c>
      <c r="CX5255">
        <v>4</v>
      </c>
      <c r="CY5255">
        <v>7</v>
      </c>
      <c r="CZ5255" t="s">
        <v>133</v>
      </c>
      <c r="DA5255">
        <v>275</v>
      </c>
      <c r="DB5255">
        <v>0</v>
      </c>
      <c r="DC5255" t="s">
        <v>134</v>
      </c>
      <c r="DD5255" t="s">
        <v>135</v>
      </c>
      <c r="DG5255">
        <v>3323730</v>
      </c>
      <c r="DI5255">
        <v>1</v>
      </c>
      <c r="DJ5255">
        <v>0</v>
      </c>
      <c r="DK5255">
        <v>1</v>
      </c>
      <c r="DL5255">
        <v>0</v>
      </c>
      <c r="DM5255">
        <v>0</v>
      </c>
      <c r="DN5255">
        <v>0</v>
      </c>
      <c r="DO5255">
        <v>0</v>
      </c>
      <c r="DP5255">
        <v>0</v>
      </c>
      <c r="DQ5255">
        <v>0</v>
      </c>
      <c r="DR5255">
        <v>0</v>
      </c>
      <c r="DS5255">
        <v>0</v>
      </c>
    </row>
    <row r="5256" spans="1:123" x14ac:dyDescent="0.3">
      <c r="A5256" t="str">
        <f>"05/01/2025 15:19:07.591"</f>
        <v>05/01/2025 15:19:07.591</v>
      </c>
      <c r="C5256" t="str">
        <f t="shared" si="2078"/>
        <v>FFDFD3C0</v>
      </c>
      <c r="D5256" t="s">
        <v>124</v>
      </c>
      <c r="E5256" t="str">
        <f>"06"</f>
        <v>06</v>
      </c>
      <c r="F5256">
        <v>2006</v>
      </c>
      <c r="G5256" t="s">
        <v>125</v>
      </c>
      <c r="J5256" t="s">
        <v>126</v>
      </c>
      <c r="K5256">
        <v>0</v>
      </c>
      <c r="L5256">
        <v>3</v>
      </c>
      <c r="M5256">
        <v>0</v>
      </c>
      <c r="N5256">
        <v>2</v>
      </c>
      <c r="O5256">
        <v>0</v>
      </c>
      <c r="P5256">
        <v>1</v>
      </c>
      <c r="Q5256">
        <v>0</v>
      </c>
      <c r="R5256" t="s">
        <v>127</v>
      </c>
      <c r="S5256" t="str">
        <f t="shared" si="2082"/>
        <v>15:19:07.000</v>
      </c>
      <c r="T5256" t="str">
        <f t="shared" si="2082"/>
        <v>15:19:07.000</v>
      </c>
      <c r="U5256" t="str">
        <f t="shared" si="2079"/>
        <v>A68FCB</v>
      </c>
      <c r="V5256">
        <v>0</v>
      </c>
      <c r="W5256">
        <v>0</v>
      </c>
      <c r="X5256">
        <v>2</v>
      </c>
      <c r="Y5256">
        <v>0</v>
      </c>
      <c r="AA5256">
        <v>1</v>
      </c>
      <c r="AB5256">
        <v>8</v>
      </c>
      <c r="AC5256">
        <v>3</v>
      </c>
      <c r="AD5256">
        <v>0</v>
      </c>
      <c r="AE5256">
        <v>9</v>
      </c>
      <c r="AF5256" t="s">
        <v>138</v>
      </c>
      <c r="AG5256">
        <v>0</v>
      </c>
      <c r="AH5256">
        <v>3</v>
      </c>
      <c r="AI5256">
        <v>2</v>
      </c>
      <c r="AJ5256">
        <v>0</v>
      </c>
      <c r="AK5256" t="s">
        <v>1655</v>
      </c>
      <c r="AL5256">
        <v>39.229002000000001</v>
      </c>
      <c r="AM5256" t="s">
        <v>1652</v>
      </c>
      <c r="AN5256">
        <v>-121.029875</v>
      </c>
      <c r="AO5256">
        <v>25</v>
      </c>
      <c r="AP5256">
        <v>3400</v>
      </c>
      <c r="AQ5256" t="s">
        <v>131</v>
      </c>
      <c r="AR5256">
        <v>9</v>
      </c>
      <c r="AS5256">
        <v>-65</v>
      </c>
      <c r="AT5256">
        <v>-640</v>
      </c>
      <c r="BB5256" t="str">
        <f t="shared" si="2080"/>
        <v>1200</v>
      </c>
      <c r="BC5256">
        <v>1</v>
      </c>
      <c r="BD5256" t="str">
        <f t="shared" si="2081"/>
        <v xml:space="preserve">N52156  </v>
      </c>
      <c r="BE5256">
        <v>1</v>
      </c>
      <c r="BG5256">
        <v>0</v>
      </c>
      <c r="BH5256">
        <v>0</v>
      </c>
      <c r="BI5256">
        <v>0</v>
      </c>
      <c r="BJ5256">
        <v>3475</v>
      </c>
      <c r="BK5256">
        <v>75</v>
      </c>
      <c r="BL5256" t="s">
        <v>188</v>
      </c>
      <c r="BM5256">
        <v>1</v>
      </c>
      <c r="BN5256">
        <v>1</v>
      </c>
      <c r="BO5256">
        <v>0</v>
      </c>
      <c r="BP5256">
        <v>0</v>
      </c>
      <c r="BS5256">
        <v>0</v>
      </c>
      <c r="BT5256">
        <v>0</v>
      </c>
      <c r="BU5256">
        <v>0</v>
      </c>
      <c r="CE5256" t="str">
        <f t="shared" si="2083"/>
        <v>15:19:07.343</v>
      </c>
      <c r="CF5256">
        <v>343004001</v>
      </c>
      <c r="CS5256">
        <v>0</v>
      </c>
      <c r="CT5256">
        <v>2</v>
      </c>
      <c r="CU5256">
        <v>0</v>
      </c>
      <c r="CV5256">
        <v>2</v>
      </c>
      <c r="CW5256">
        <v>0</v>
      </c>
      <c r="CX5256">
        <v>4</v>
      </c>
      <c r="CY5256">
        <v>7</v>
      </c>
      <c r="CZ5256" t="s">
        <v>133</v>
      </c>
      <c r="DA5256">
        <v>275</v>
      </c>
      <c r="DB5256">
        <v>0</v>
      </c>
      <c r="DC5256" t="s">
        <v>134</v>
      </c>
      <c r="DD5256" t="s">
        <v>135</v>
      </c>
      <c r="DG5256">
        <v>3323730</v>
      </c>
      <c r="DI5256">
        <v>1</v>
      </c>
      <c r="DJ5256">
        <v>0</v>
      </c>
      <c r="DK5256">
        <v>1</v>
      </c>
      <c r="DL5256">
        <v>0</v>
      </c>
      <c r="DM5256">
        <v>0</v>
      </c>
      <c r="DN5256">
        <v>0</v>
      </c>
      <c r="DO5256">
        <v>0</v>
      </c>
      <c r="DP5256">
        <v>0</v>
      </c>
      <c r="DQ5256">
        <v>0</v>
      </c>
      <c r="DR5256">
        <v>0</v>
      </c>
      <c r="DS5256">
        <v>0</v>
      </c>
    </row>
    <row r="5257" spans="1:123" x14ac:dyDescent="0.3">
      <c r="A5257" t="str">
        <f>"05/01/2025 15:19:07.605"</f>
        <v>05/01/2025 15:19:07.605</v>
      </c>
      <c r="C5257" t="str">
        <f t="shared" si="2078"/>
        <v>FFDFD3C0</v>
      </c>
      <c r="D5257" t="s">
        <v>143</v>
      </c>
      <c r="E5257" t="str">
        <f>"05"</f>
        <v>05</v>
      </c>
      <c r="H5257">
        <v>172</v>
      </c>
      <c r="I5257" t="s">
        <v>141</v>
      </c>
      <c r="J5257" t="s">
        <v>144</v>
      </c>
      <c r="K5257">
        <v>0</v>
      </c>
      <c r="L5257">
        <v>3</v>
      </c>
      <c r="M5257">
        <v>0</v>
      </c>
      <c r="N5257">
        <v>2</v>
      </c>
      <c r="O5257">
        <v>0</v>
      </c>
      <c r="P5257">
        <v>1</v>
      </c>
      <c r="Q5257">
        <v>0</v>
      </c>
      <c r="R5257" t="s">
        <v>127</v>
      </c>
      <c r="S5257" t="str">
        <f t="shared" si="2082"/>
        <v>15:19:07.000</v>
      </c>
      <c r="T5257" t="str">
        <f t="shared" si="2082"/>
        <v>15:19:07.000</v>
      </c>
      <c r="U5257" t="str">
        <f t="shared" si="2079"/>
        <v>A68FCB</v>
      </c>
      <c r="V5257">
        <v>0</v>
      </c>
      <c r="W5257">
        <v>0</v>
      </c>
      <c r="X5257">
        <v>2</v>
      </c>
      <c r="Y5257">
        <v>0</v>
      </c>
      <c r="AA5257">
        <v>1</v>
      </c>
      <c r="AB5257">
        <v>8</v>
      </c>
      <c r="AC5257">
        <v>3</v>
      </c>
      <c r="AD5257">
        <v>0</v>
      </c>
      <c r="AE5257">
        <v>9</v>
      </c>
      <c r="AF5257" t="s">
        <v>138</v>
      </c>
      <c r="AG5257">
        <v>0</v>
      </c>
      <c r="AH5257">
        <v>3</v>
      </c>
      <c r="AI5257">
        <v>2</v>
      </c>
      <c r="AJ5257">
        <v>0</v>
      </c>
      <c r="AK5257" t="s">
        <v>1655</v>
      </c>
      <c r="AL5257">
        <v>39.229002000000001</v>
      </c>
      <c r="AM5257" t="s">
        <v>1652</v>
      </c>
      <c r="AN5257">
        <v>-121.029875</v>
      </c>
      <c r="AO5257">
        <v>25</v>
      </c>
      <c r="AP5257">
        <v>3400</v>
      </c>
      <c r="AQ5257" t="s">
        <v>131</v>
      </c>
      <c r="AR5257">
        <v>9</v>
      </c>
      <c r="AS5257">
        <v>-65</v>
      </c>
      <c r="AT5257">
        <v>-640</v>
      </c>
      <c r="BB5257" t="str">
        <f t="shared" si="2080"/>
        <v>1200</v>
      </c>
      <c r="BC5257">
        <v>1</v>
      </c>
      <c r="BD5257" t="str">
        <f t="shared" si="2081"/>
        <v xml:space="preserve">N52156  </v>
      </c>
      <c r="BE5257">
        <v>1</v>
      </c>
      <c r="BG5257">
        <v>0</v>
      </c>
      <c r="BH5257">
        <v>0</v>
      </c>
      <c r="BI5257">
        <v>0</v>
      </c>
      <c r="BJ5257">
        <v>3475</v>
      </c>
      <c r="BK5257">
        <v>75</v>
      </c>
      <c r="BL5257" t="s">
        <v>188</v>
      </c>
      <c r="BM5257">
        <v>1</v>
      </c>
      <c r="BN5257">
        <v>1</v>
      </c>
      <c r="BO5257">
        <v>0</v>
      </c>
      <c r="BP5257">
        <v>0</v>
      </c>
      <c r="BS5257">
        <v>0</v>
      </c>
      <c r="BT5257">
        <v>0</v>
      </c>
      <c r="BU5257">
        <v>0</v>
      </c>
      <c r="CE5257" t="str">
        <f t="shared" si="2083"/>
        <v>15:19:07.343</v>
      </c>
      <c r="CF5257">
        <v>343004001</v>
      </c>
      <c r="CS5257">
        <v>0</v>
      </c>
      <c r="CT5257">
        <v>2</v>
      </c>
      <c r="CU5257">
        <v>0</v>
      </c>
      <c r="CV5257">
        <v>2</v>
      </c>
      <c r="CW5257">
        <v>0</v>
      </c>
      <c r="CX5257">
        <v>4</v>
      </c>
      <c r="CY5257">
        <v>7</v>
      </c>
      <c r="CZ5257" t="s">
        <v>133</v>
      </c>
      <c r="DA5257">
        <v>275</v>
      </c>
      <c r="DB5257">
        <v>0</v>
      </c>
      <c r="DC5257" t="s">
        <v>134</v>
      </c>
      <c r="DD5257" t="s">
        <v>135</v>
      </c>
      <c r="DG5257">
        <v>3323730</v>
      </c>
      <c r="DI5257">
        <v>1</v>
      </c>
      <c r="DJ5257">
        <v>0</v>
      </c>
      <c r="DK5257">
        <v>1</v>
      </c>
      <c r="DL5257">
        <v>0</v>
      </c>
      <c r="DM5257">
        <v>0</v>
      </c>
      <c r="DN5257">
        <v>0</v>
      </c>
      <c r="DO5257">
        <v>0</v>
      </c>
      <c r="DP5257">
        <v>0</v>
      </c>
      <c r="DQ5257">
        <v>0</v>
      </c>
      <c r="DR5257">
        <v>0</v>
      </c>
      <c r="DS5257">
        <v>0</v>
      </c>
    </row>
    <row r="5258" spans="1:123" x14ac:dyDescent="0.3">
      <c r="A5258" t="str">
        <f>"05/01/2025 15:19:08.693"</f>
        <v>05/01/2025 15:19:08.693</v>
      </c>
      <c r="C5258" t="str">
        <f t="shared" si="2078"/>
        <v>FFDFD3C0</v>
      </c>
      <c r="D5258" t="s">
        <v>124</v>
      </c>
      <c r="E5258" t="str">
        <f>"06"</f>
        <v>06</v>
      </c>
      <c r="F5258">
        <v>2006</v>
      </c>
      <c r="G5258" t="s">
        <v>125</v>
      </c>
      <c r="J5258" t="s">
        <v>126</v>
      </c>
      <c r="K5258">
        <v>0</v>
      </c>
      <c r="L5258">
        <v>3</v>
      </c>
      <c r="M5258">
        <v>0</v>
      </c>
      <c r="N5258">
        <v>2</v>
      </c>
      <c r="O5258">
        <v>0</v>
      </c>
      <c r="P5258">
        <v>1</v>
      </c>
      <c r="Q5258">
        <v>0</v>
      </c>
      <c r="R5258" t="s">
        <v>127</v>
      </c>
      <c r="S5258" t="str">
        <f t="shared" ref="S5258:T5263" si="2084">"15:19:08.000"</f>
        <v>15:19:08.000</v>
      </c>
      <c r="T5258" t="str">
        <f t="shared" si="2084"/>
        <v>15:19:08.000</v>
      </c>
      <c r="U5258" t="str">
        <f t="shared" si="2079"/>
        <v>A68FCB</v>
      </c>
      <c r="V5258">
        <v>0</v>
      </c>
      <c r="W5258">
        <v>0</v>
      </c>
      <c r="X5258">
        <v>2</v>
      </c>
      <c r="Y5258">
        <v>0</v>
      </c>
      <c r="AA5258">
        <v>1</v>
      </c>
      <c r="AB5258">
        <v>8</v>
      </c>
      <c r="AC5258">
        <v>3</v>
      </c>
      <c r="AD5258">
        <v>0</v>
      </c>
      <c r="AE5258">
        <v>9</v>
      </c>
      <c r="AF5258" t="s">
        <v>138</v>
      </c>
      <c r="AG5258">
        <v>0</v>
      </c>
      <c r="AH5258">
        <v>3</v>
      </c>
      <c r="AI5258">
        <v>2</v>
      </c>
      <c r="AJ5258">
        <v>0</v>
      </c>
      <c r="AK5258" t="s">
        <v>1656</v>
      </c>
      <c r="AL5258">
        <v>39.228745000000004</v>
      </c>
      <c r="AM5258" t="s">
        <v>1650</v>
      </c>
      <c r="AN5258">
        <v>-121.029768</v>
      </c>
      <c r="AO5258">
        <v>25</v>
      </c>
      <c r="AP5258">
        <v>3400</v>
      </c>
      <c r="AQ5258" t="s">
        <v>131</v>
      </c>
      <c r="AR5258">
        <v>20</v>
      </c>
      <c r="AS5258">
        <v>-53</v>
      </c>
      <c r="AT5258">
        <v>-1536</v>
      </c>
      <c r="BB5258" t="str">
        <f t="shared" si="2080"/>
        <v>1200</v>
      </c>
      <c r="BC5258">
        <v>1</v>
      </c>
      <c r="BD5258" t="str">
        <f t="shared" si="2081"/>
        <v xml:space="preserve">N52156  </v>
      </c>
      <c r="BE5258">
        <v>1</v>
      </c>
      <c r="BG5258">
        <v>0</v>
      </c>
      <c r="BH5258">
        <v>0</v>
      </c>
      <c r="BI5258">
        <v>0</v>
      </c>
      <c r="BJ5258">
        <v>3425</v>
      </c>
      <c r="BK5258">
        <v>25</v>
      </c>
      <c r="BL5258" t="s">
        <v>188</v>
      </c>
      <c r="BM5258">
        <v>1</v>
      </c>
      <c r="BN5258">
        <v>1</v>
      </c>
      <c r="BO5258">
        <v>0</v>
      </c>
      <c r="BP5258">
        <v>0</v>
      </c>
      <c r="BS5258">
        <v>0</v>
      </c>
      <c r="BT5258">
        <v>0</v>
      </c>
      <c r="BU5258">
        <v>0</v>
      </c>
      <c r="CE5258" t="str">
        <f t="shared" ref="CE5258:CE5263" si="2085">"15:19:08.487"</f>
        <v>15:19:08.487</v>
      </c>
      <c r="CF5258">
        <v>487004286</v>
      </c>
      <c r="CS5258">
        <v>0</v>
      </c>
      <c r="CT5258">
        <v>2</v>
      </c>
      <c r="CU5258">
        <v>0</v>
      </c>
      <c r="CV5258">
        <v>2</v>
      </c>
      <c r="CW5258">
        <v>0</v>
      </c>
      <c r="CX5258">
        <v>4</v>
      </c>
      <c r="CY5258">
        <v>7</v>
      </c>
      <c r="CZ5258" t="s">
        <v>133</v>
      </c>
      <c r="DA5258">
        <v>275</v>
      </c>
      <c r="DB5258">
        <v>0</v>
      </c>
      <c r="DC5258" t="s">
        <v>134</v>
      </c>
      <c r="DD5258" t="s">
        <v>135</v>
      </c>
      <c r="DG5258">
        <v>3323739</v>
      </c>
      <c r="DI5258">
        <v>1</v>
      </c>
      <c r="DJ5258">
        <v>0</v>
      </c>
      <c r="DK5258">
        <v>0</v>
      </c>
      <c r="DL5258">
        <v>0</v>
      </c>
      <c r="DM5258">
        <v>0</v>
      </c>
      <c r="DN5258">
        <v>0</v>
      </c>
      <c r="DO5258">
        <v>0</v>
      </c>
      <c r="DP5258">
        <v>0</v>
      </c>
      <c r="DQ5258">
        <v>0</v>
      </c>
      <c r="DR5258">
        <v>0</v>
      </c>
      <c r="DS5258">
        <v>0</v>
      </c>
    </row>
    <row r="5259" spans="1:123" x14ac:dyDescent="0.3">
      <c r="A5259" t="str">
        <f>"05/01/2025 15:19:08.692"</f>
        <v>05/01/2025 15:19:08.692</v>
      </c>
      <c r="C5259" t="str">
        <f t="shared" si="2078"/>
        <v>FFDFD3C0</v>
      </c>
      <c r="D5259" t="s">
        <v>140</v>
      </c>
      <c r="E5259" t="str">
        <f>"13"</f>
        <v>13</v>
      </c>
      <c r="F5259">
        <v>1019</v>
      </c>
      <c r="G5259" t="s">
        <v>141</v>
      </c>
      <c r="J5259" t="s">
        <v>142</v>
      </c>
      <c r="K5259">
        <v>0</v>
      </c>
      <c r="L5259">
        <v>3</v>
      </c>
      <c r="M5259">
        <v>0</v>
      </c>
      <c r="N5259">
        <v>2</v>
      </c>
      <c r="O5259">
        <v>0</v>
      </c>
      <c r="P5259">
        <v>1</v>
      </c>
      <c r="Q5259">
        <v>0</v>
      </c>
      <c r="R5259" t="s">
        <v>127</v>
      </c>
      <c r="S5259" t="str">
        <f t="shared" si="2084"/>
        <v>15:19:08.000</v>
      </c>
      <c r="T5259" t="str">
        <f t="shared" si="2084"/>
        <v>15:19:08.000</v>
      </c>
      <c r="U5259" t="str">
        <f t="shared" si="2079"/>
        <v>A68FCB</v>
      </c>
      <c r="V5259">
        <v>0</v>
      </c>
      <c r="W5259">
        <v>0</v>
      </c>
      <c r="X5259">
        <v>2</v>
      </c>
      <c r="Y5259">
        <v>0</v>
      </c>
      <c r="AA5259">
        <v>1</v>
      </c>
      <c r="AB5259">
        <v>8</v>
      </c>
      <c r="AC5259">
        <v>3</v>
      </c>
      <c r="AD5259">
        <v>0</v>
      </c>
      <c r="AE5259">
        <v>9</v>
      </c>
      <c r="AF5259" t="s">
        <v>138</v>
      </c>
      <c r="AG5259">
        <v>0</v>
      </c>
      <c r="AH5259">
        <v>3</v>
      </c>
      <c r="AI5259">
        <v>2</v>
      </c>
      <c r="AJ5259">
        <v>0</v>
      </c>
      <c r="AK5259" t="s">
        <v>1656</v>
      </c>
      <c r="AL5259">
        <v>39.228745000000004</v>
      </c>
      <c r="AM5259" t="s">
        <v>1650</v>
      </c>
      <c r="AN5259">
        <v>-121.029768</v>
      </c>
      <c r="AO5259">
        <v>25</v>
      </c>
      <c r="AP5259">
        <v>3400</v>
      </c>
      <c r="AQ5259" t="s">
        <v>131</v>
      </c>
      <c r="AR5259">
        <v>20</v>
      </c>
      <c r="AS5259">
        <v>-53</v>
      </c>
      <c r="AT5259">
        <v>-1536</v>
      </c>
      <c r="BB5259" t="str">
        <f t="shared" si="2080"/>
        <v>1200</v>
      </c>
      <c r="BC5259">
        <v>1</v>
      </c>
      <c r="BD5259" t="str">
        <f t="shared" si="2081"/>
        <v xml:space="preserve">N52156  </v>
      </c>
      <c r="BE5259">
        <v>1</v>
      </c>
      <c r="BG5259">
        <v>0</v>
      </c>
      <c r="BH5259">
        <v>0</v>
      </c>
      <c r="BI5259">
        <v>0</v>
      </c>
      <c r="BJ5259">
        <v>3425</v>
      </c>
      <c r="BK5259">
        <v>25</v>
      </c>
      <c r="BL5259" t="s">
        <v>188</v>
      </c>
      <c r="BM5259">
        <v>1</v>
      </c>
      <c r="BN5259">
        <v>1</v>
      </c>
      <c r="BO5259">
        <v>0</v>
      </c>
      <c r="BP5259">
        <v>0</v>
      </c>
      <c r="BS5259">
        <v>0</v>
      </c>
      <c r="BT5259">
        <v>0</v>
      </c>
      <c r="BU5259">
        <v>0</v>
      </c>
      <c r="CE5259" t="str">
        <f t="shared" si="2085"/>
        <v>15:19:08.487</v>
      </c>
      <c r="CF5259">
        <v>487004286</v>
      </c>
      <c r="CS5259">
        <v>0</v>
      </c>
      <c r="CT5259">
        <v>2</v>
      </c>
      <c r="CU5259">
        <v>0</v>
      </c>
      <c r="CV5259">
        <v>2</v>
      </c>
      <c r="CW5259">
        <v>0</v>
      </c>
      <c r="CX5259">
        <v>4</v>
      </c>
      <c r="CY5259">
        <v>7</v>
      </c>
      <c r="CZ5259" t="s">
        <v>133</v>
      </c>
      <c r="DA5259">
        <v>275</v>
      </c>
      <c r="DB5259">
        <v>0</v>
      </c>
      <c r="DC5259" t="s">
        <v>134</v>
      </c>
      <c r="DD5259" t="s">
        <v>135</v>
      </c>
      <c r="DG5259">
        <v>3323739</v>
      </c>
      <c r="DI5259">
        <v>1</v>
      </c>
      <c r="DJ5259">
        <v>0</v>
      </c>
      <c r="DK5259">
        <v>1</v>
      </c>
      <c r="DL5259">
        <v>0</v>
      </c>
      <c r="DM5259">
        <v>0</v>
      </c>
      <c r="DN5259">
        <v>0</v>
      </c>
      <c r="DO5259">
        <v>0</v>
      </c>
      <c r="DP5259">
        <v>0</v>
      </c>
      <c r="DQ5259">
        <v>0</v>
      </c>
      <c r="DR5259">
        <v>0</v>
      </c>
      <c r="DS5259">
        <v>0</v>
      </c>
    </row>
    <row r="5260" spans="1:123" x14ac:dyDescent="0.3">
      <c r="A5260" t="str">
        <f>"05/01/2025 15:19:08.707"</f>
        <v>05/01/2025 15:19:08.707</v>
      </c>
      <c r="C5260" t="str">
        <f t="shared" si="2078"/>
        <v>FFDFD3C0</v>
      </c>
      <c r="D5260" t="s">
        <v>143</v>
      </c>
      <c r="E5260" t="str">
        <f>"05"</f>
        <v>05</v>
      </c>
      <c r="H5260">
        <v>172</v>
      </c>
      <c r="I5260" t="s">
        <v>141</v>
      </c>
      <c r="J5260" t="s">
        <v>144</v>
      </c>
      <c r="K5260">
        <v>0</v>
      </c>
      <c r="L5260">
        <v>3</v>
      </c>
      <c r="M5260">
        <v>0</v>
      </c>
      <c r="N5260">
        <v>2</v>
      </c>
      <c r="O5260">
        <v>0</v>
      </c>
      <c r="P5260">
        <v>1</v>
      </c>
      <c r="Q5260">
        <v>0</v>
      </c>
      <c r="R5260" t="s">
        <v>127</v>
      </c>
      <c r="S5260" t="str">
        <f t="shared" si="2084"/>
        <v>15:19:08.000</v>
      </c>
      <c r="T5260" t="str">
        <f t="shared" si="2084"/>
        <v>15:19:08.000</v>
      </c>
      <c r="U5260" t="str">
        <f t="shared" si="2079"/>
        <v>A68FCB</v>
      </c>
      <c r="V5260">
        <v>0</v>
      </c>
      <c r="W5260">
        <v>0</v>
      </c>
      <c r="X5260">
        <v>2</v>
      </c>
      <c r="Y5260">
        <v>0</v>
      </c>
      <c r="AA5260">
        <v>1</v>
      </c>
      <c r="AB5260">
        <v>8</v>
      </c>
      <c r="AC5260">
        <v>3</v>
      </c>
      <c r="AD5260">
        <v>0</v>
      </c>
      <c r="AE5260">
        <v>9</v>
      </c>
      <c r="AF5260" t="s">
        <v>138</v>
      </c>
      <c r="AG5260">
        <v>0</v>
      </c>
      <c r="AH5260">
        <v>3</v>
      </c>
      <c r="AI5260">
        <v>2</v>
      </c>
      <c r="AJ5260">
        <v>0</v>
      </c>
      <c r="AK5260" t="s">
        <v>1656</v>
      </c>
      <c r="AL5260">
        <v>39.228745000000004</v>
      </c>
      <c r="AM5260" t="s">
        <v>1650</v>
      </c>
      <c r="AN5260">
        <v>-121.029768</v>
      </c>
      <c r="AO5260">
        <v>25</v>
      </c>
      <c r="AP5260">
        <v>3400</v>
      </c>
      <c r="AQ5260" t="s">
        <v>131</v>
      </c>
      <c r="AR5260">
        <v>20</v>
      </c>
      <c r="AS5260">
        <v>-53</v>
      </c>
      <c r="AT5260">
        <v>-1536</v>
      </c>
      <c r="BB5260" t="str">
        <f t="shared" si="2080"/>
        <v>1200</v>
      </c>
      <c r="BC5260">
        <v>1</v>
      </c>
      <c r="BD5260" t="str">
        <f t="shared" si="2081"/>
        <v xml:space="preserve">N52156  </v>
      </c>
      <c r="BE5260">
        <v>1</v>
      </c>
      <c r="BG5260">
        <v>0</v>
      </c>
      <c r="BH5260">
        <v>0</v>
      </c>
      <c r="BI5260">
        <v>0</v>
      </c>
      <c r="BJ5260">
        <v>3425</v>
      </c>
      <c r="BK5260">
        <v>25</v>
      </c>
      <c r="BL5260" t="s">
        <v>188</v>
      </c>
      <c r="BM5260">
        <v>1</v>
      </c>
      <c r="BN5260">
        <v>1</v>
      </c>
      <c r="BO5260">
        <v>0</v>
      </c>
      <c r="BP5260">
        <v>0</v>
      </c>
      <c r="BS5260">
        <v>0</v>
      </c>
      <c r="BT5260">
        <v>0</v>
      </c>
      <c r="BU5260">
        <v>0</v>
      </c>
      <c r="CE5260" t="str">
        <f t="shared" si="2085"/>
        <v>15:19:08.487</v>
      </c>
      <c r="CF5260">
        <v>487004286</v>
      </c>
      <c r="CS5260">
        <v>0</v>
      </c>
      <c r="CT5260">
        <v>2</v>
      </c>
      <c r="CU5260">
        <v>0</v>
      </c>
      <c r="CV5260">
        <v>2</v>
      </c>
      <c r="CW5260">
        <v>0</v>
      </c>
      <c r="CX5260">
        <v>4</v>
      </c>
      <c r="CY5260">
        <v>7</v>
      </c>
      <c r="CZ5260" t="s">
        <v>133</v>
      </c>
      <c r="DA5260">
        <v>275</v>
      </c>
      <c r="DB5260">
        <v>0</v>
      </c>
      <c r="DC5260" t="s">
        <v>134</v>
      </c>
      <c r="DD5260" t="s">
        <v>135</v>
      </c>
      <c r="DG5260">
        <v>3323739</v>
      </c>
      <c r="DI5260">
        <v>1</v>
      </c>
      <c r="DJ5260">
        <v>0</v>
      </c>
      <c r="DK5260">
        <v>1</v>
      </c>
      <c r="DL5260">
        <v>0</v>
      </c>
      <c r="DM5260">
        <v>0</v>
      </c>
      <c r="DN5260">
        <v>0</v>
      </c>
      <c r="DO5260">
        <v>0</v>
      </c>
      <c r="DP5260">
        <v>0</v>
      </c>
      <c r="DQ5260">
        <v>0</v>
      </c>
      <c r="DR5260">
        <v>0</v>
      </c>
      <c r="DS5260">
        <v>0</v>
      </c>
    </row>
    <row r="5261" spans="1:123" x14ac:dyDescent="0.3">
      <c r="A5261" t="str">
        <f>"05/01/2025 15:19:08.717"</f>
        <v>05/01/2025 15:19:08.717</v>
      </c>
      <c r="C5261" t="str">
        <f t="shared" si="2078"/>
        <v>FFDFD3C0</v>
      </c>
      <c r="D5261" t="s">
        <v>145</v>
      </c>
      <c r="E5261" t="str">
        <f>"09"</f>
        <v>09</v>
      </c>
      <c r="H5261">
        <v>51</v>
      </c>
      <c r="I5261" t="s">
        <v>147</v>
      </c>
      <c r="J5261" t="s">
        <v>138</v>
      </c>
      <c r="K5261">
        <v>0</v>
      </c>
      <c r="L5261">
        <v>3</v>
      </c>
      <c r="M5261">
        <v>0</v>
      </c>
      <c r="N5261">
        <v>2</v>
      </c>
      <c r="O5261">
        <v>0</v>
      </c>
      <c r="P5261">
        <v>1</v>
      </c>
      <c r="Q5261">
        <v>0</v>
      </c>
      <c r="R5261" t="s">
        <v>127</v>
      </c>
      <c r="S5261" t="str">
        <f t="shared" si="2084"/>
        <v>15:19:08.000</v>
      </c>
      <c r="T5261" t="str">
        <f t="shared" si="2084"/>
        <v>15:19:08.000</v>
      </c>
      <c r="U5261" t="str">
        <f t="shared" si="2079"/>
        <v>A68FCB</v>
      </c>
      <c r="V5261">
        <v>0</v>
      </c>
      <c r="W5261">
        <v>0</v>
      </c>
      <c r="X5261">
        <v>2</v>
      </c>
      <c r="Y5261">
        <v>0</v>
      </c>
      <c r="AA5261">
        <v>1</v>
      </c>
      <c r="AB5261">
        <v>8</v>
      </c>
      <c r="AC5261">
        <v>3</v>
      </c>
      <c r="AD5261">
        <v>0</v>
      </c>
      <c r="AE5261">
        <v>9</v>
      </c>
      <c r="AF5261" t="s">
        <v>138</v>
      </c>
      <c r="AG5261">
        <v>0</v>
      </c>
      <c r="AH5261">
        <v>3</v>
      </c>
      <c r="AI5261">
        <v>2</v>
      </c>
      <c r="AJ5261">
        <v>0</v>
      </c>
      <c r="AK5261" t="s">
        <v>1656</v>
      </c>
      <c r="AL5261">
        <v>39.228745000000004</v>
      </c>
      <c r="AM5261" t="s">
        <v>1650</v>
      </c>
      <c r="AN5261">
        <v>-121.029768</v>
      </c>
      <c r="AO5261">
        <v>25</v>
      </c>
      <c r="AP5261">
        <v>3400</v>
      </c>
      <c r="AQ5261" t="s">
        <v>131</v>
      </c>
      <c r="AR5261">
        <v>20</v>
      </c>
      <c r="AS5261">
        <v>-53</v>
      </c>
      <c r="AT5261">
        <v>-1536</v>
      </c>
      <c r="BB5261" t="str">
        <f t="shared" si="2080"/>
        <v>1200</v>
      </c>
      <c r="BC5261">
        <v>1</v>
      </c>
      <c r="BD5261" t="str">
        <f t="shared" si="2081"/>
        <v xml:space="preserve">N52156  </v>
      </c>
      <c r="BE5261">
        <v>1</v>
      </c>
      <c r="BG5261">
        <v>0</v>
      </c>
      <c r="BH5261">
        <v>0</v>
      </c>
      <c r="BI5261">
        <v>0</v>
      </c>
      <c r="BJ5261">
        <v>3425</v>
      </c>
      <c r="BK5261">
        <v>25</v>
      </c>
      <c r="BL5261" t="s">
        <v>188</v>
      </c>
      <c r="BM5261">
        <v>1</v>
      </c>
      <c r="BN5261">
        <v>1</v>
      </c>
      <c r="BO5261">
        <v>0</v>
      </c>
      <c r="BP5261">
        <v>0</v>
      </c>
      <c r="BS5261">
        <v>0</v>
      </c>
      <c r="BT5261">
        <v>0</v>
      </c>
      <c r="BU5261">
        <v>0</v>
      </c>
      <c r="CE5261" t="str">
        <f t="shared" si="2085"/>
        <v>15:19:08.487</v>
      </c>
      <c r="CF5261">
        <v>487004286</v>
      </c>
      <c r="CS5261">
        <v>0</v>
      </c>
      <c r="CT5261">
        <v>2</v>
      </c>
      <c r="CU5261">
        <v>0</v>
      </c>
      <c r="CV5261">
        <v>2</v>
      </c>
      <c r="CW5261">
        <v>0</v>
      </c>
      <c r="CX5261">
        <v>4</v>
      </c>
      <c r="CY5261">
        <v>7</v>
      </c>
      <c r="CZ5261" t="s">
        <v>133</v>
      </c>
      <c r="DA5261">
        <v>275</v>
      </c>
      <c r="DB5261">
        <v>0</v>
      </c>
      <c r="DC5261" t="s">
        <v>134</v>
      </c>
      <c r="DD5261" t="s">
        <v>135</v>
      </c>
      <c r="DG5261">
        <v>3323739</v>
      </c>
      <c r="DI5261">
        <v>1</v>
      </c>
      <c r="DJ5261">
        <v>0</v>
      </c>
      <c r="DK5261">
        <v>1</v>
      </c>
      <c r="DL5261">
        <v>0</v>
      </c>
      <c r="DM5261">
        <v>0</v>
      </c>
      <c r="DN5261">
        <v>0</v>
      </c>
      <c r="DO5261">
        <v>0</v>
      </c>
      <c r="DP5261">
        <v>0</v>
      </c>
      <c r="DQ5261">
        <v>0</v>
      </c>
      <c r="DR5261">
        <v>0</v>
      </c>
      <c r="DS5261">
        <v>0</v>
      </c>
    </row>
    <row r="5262" spans="1:123" x14ac:dyDescent="0.3">
      <c r="A5262" t="str">
        <f>"05/01/2025 15:19:08.719"</f>
        <v>05/01/2025 15:19:08.719</v>
      </c>
      <c r="C5262" t="str">
        <f t="shared" si="2078"/>
        <v>FFDFD3C0</v>
      </c>
      <c r="D5262" t="s">
        <v>145</v>
      </c>
      <c r="E5262" t="str">
        <f>"05"</f>
        <v>05</v>
      </c>
      <c r="H5262">
        <v>47</v>
      </c>
      <c r="I5262" t="s">
        <v>146</v>
      </c>
      <c r="J5262" t="s">
        <v>138</v>
      </c>
      <c r="K5262">
        <v>0</v>
      </c>
      <c r="L5262">
        <v>3</v>
      </c>
      <c r="M5262">
        <v>0</v>
      </c>
      <c r="N5262">
        <v>2</v>
      </c>
      <c r="O5262">
        <v>0</v>
      </c>
      <c r="P5262">
        <v>1</v>
      </c>
      <c r="Q5262">
        <v>0</v>
      </c>
      <c r="R5262" t="s">
        <v>127</v>
      </c>
      <c r="S5262" t="str">
        <f t="shared" si="2084"/>
        <v>15:19:08.000</v>
      </c>
      <c r="T5262" t="str">
        <f t="shared" si="2084"/>
        <v>15:19:08.000</v>
      </c>
      <c r="U5262" t="str">
        <f t="shared" si="2079"/>
        <v>A68FCB</v>
      </c>
      <c r="V5262">
        <v>0</v>
      </c>
      <c r="W5262">
        <v>0</v>
      </c>
      <c r="X5262">
        <v>2</v>
      </c>
      <c r="Y5262">
        <v>0</v>
      </c>
      <c r="AA5262">
        <v>1</v>
      </c>
      <c r="AB5262">
        <v>8</v>
      </c>
      <c r="AC5262">
        <v>3</v>
      </c>
      <c r="AD5262">
        <v>0</v>
      </c>
      <c r="AE5262">
        <v>9</v>
      </c>
      <c r="AF5262" t="s">
        <v>138</v>
      </c>
      <c r="AG5262">
        <v>0</v>
      </c>
      <c r="AH5262">
        <v>3</v>
      </c>
      <c r="AI5262">
        <v>2</v>
      </c>
      <c r="AJ5262">
        <v>0</v>
      </c>
      <c r="AK5262" t="s">
        <v>1656</v>
      </c>
      <c r="AL5262">
        <v>39.228745000000004</v>
      </c>
      <c r="AM5262" t="s">
        <v>1650</v>
      </c>
      <c r="AN5262">
        <v>-121.029768</v>
      </c>
      <c r="AO5262">
        <v>25</v>
      </c>
      <c r="AP5262">
        <v>3400</v>
      </c>
      <c r="AQ5262" t="s">
        <v>131</v>
      </c>
      <c r="AR5262">
        <v>20</v>
      </c>
      <c r="AS5262">
        <v>-53</v>
      </c>
      <c r="AT5262">
        <v>-1536</v>
      </c>
      <c r="BB5262" t="str">
        <f t="shared" si="2080"/>
        <v>1200</v>
      </c>
      <c r="BC5262">
        <v>1</v>
      </c>
      <c r="BD5262" t="str">
        <f t="shared" si="2081"/>
        <v xml:space="preserve">N52156  </v>
      </c>
      <c r="BE5262">
        <v>1</v>
      </c>
      <c r="BG5262">
        <v>0</v>
      </c>
      <c r="BH5262">
        <v>0</v>
      </c>
      <c r="BI5262">
        <v>0</v>
      </c>
      <c r="BJ5262">
        <v>3425</v>
      </c>
      <c r="BK5262">
        <v>25</v>
      </c>
      <c r="BL5262" t="s">
        <v>188</v>
      </c>
      <c r="BM5262">
        <v>1</v>
      </c>
      <c r="BN5262">
        <v>1</v>
      </c>
      <c r="BO5262">
        <v>0</v>
      </c>
      <c r="BP5262">
        <v>0</v>
      </c>
      <c r="BS5262">
        <v>0</v>
      </c>
      <c r="BT5262">
        <v>0</v>
      </c>
      <c r="BU5262">
        <v>0</v>
      </c>
      <c r="CE5262" t="str">
        <f t="shared" si="2085"/>
        <v>15:19:08.487</v>
      </c>
      <c r="CF5262">
        <v>487004286</v>
      </c>
      <c r="CS5262">
        <v>0</v>
      </c>
      <c r="CT5262">
        <v>2</v>
      </c>
      <c r="CU5262">
        <v>0</v>
      </c>
      <c r="CV5262">
        <v>2</v>
      </c>
      <c r="CW5262">
        <v>0</v>
      </c>
      <c r="CX5262">
        <v>4</v>
      </c>
      <c r="CY5262">
        <v>7</v>
      </c>
      <c r="CZ5262" t="s">
        <v>133</v>
      </c>
      <c r="DA5262">
        <v>275</v>
      </c>
      <c r="DB5262">
        <v>0</v>
      </c>
      <c r="DC5262" t="s">
        <v>134</v>
      </c>
      <c r="DD5262" t="s">
        <v>135</v>
      </c>
      <c r="DG5262">
        <v>3323739</v>
      </c>
      <c r="DI5262">
        <v>1</v>
      </c>
      <c r="DJ5262">
        <v>0</v>
      </c>
      <c r="DK5262">
        <v>1</v>
      </c>
      <c r="DL5262">
        <v>0</v>
      </c>
      <c r="DM5262">
        <v>0</v>
      </c>
      <c r="DN5262">
        <v>0</v>
      </c>
      <c r="DO5262">
        <v>0</v>
      </c>
      <c r="DP5262">
        <v>0</v>
      </c>
      <c r="DQ5262">
        <v>0</v>
      </c>
      <c r="DR5262">
        <v>0</v>
      </c>
      <c r="DS5262">
        <v>0</v>
      </c>
    </row>
    <row r="5263" spans="1:123" x14ac:dyDescent="0.3">
      <c r="A5263" t="str">
        <f>"05/01/2025 15:19:08.728"</f>
        <v>05/01/2025 15:19:08.728</v>
      </c>
      <c r="C5263" t="str">
        <f t="shared" si="2078"/>
        <v>FFDFD3C0</v>
      </c>
      <c r="D5263" t="s">
        <v>136</v>
      </c>
      <c r="E5263" t="str">
        <f>"20"</f>
        <v>20</v>
      </c>
      <c r="H5263">
        <v>400</v>
      </c>
      <c r="I5263" t="s">
        <v>137</v>
      </c>
      <c r="J5263" t="s">
        <v>138</v>
      </c>
      <c r="K5263">
        <v>0</v>
      </c>
      <c r="L5263">
        <v>3</v>
      </c>
      <c r="M5263">
        <v>0</v>
      </c>
      <c r="N5263">
        <v>2</v>
      </c>
      <c r="O5263">
        <v>0</v>
      </c>
      <c r="P5263">
        <v>1</v>
      </c>
      <c r="Q5263">
        <v>0</v>
      </c>
      <c r="R5263" t="s">
        <v>127</v>
      </c>
      <c r="S5263" t="str">
        <f t="shared" si="2084"/>
        <v>15:19:08.000</v>
      </c>
      <c r="T5263" t="str">
        <f t="shared" si="2084"/>
        <v>15:19:08.000</v>
      </c>
      <c r="U5263" t="str">
        <f t="shared" si="2079"/>
        <v>A68FCB</v>
      </c>
      <c r="V5263">
        <v>0</v>
      </c>
      <c r="W5263">
        <v>0</v>
      </c>
      <c r="X5263">
        <v>2</v>
      </c>
      <c r="Y5263">
        <v>0</v>
      </c>
      <c r="AA5263">
        <v>1</v>
      </c>
      <c r="AB5263">
        <v>8</v>
      </c>
      <c r="AC5263">
        <v>3</v>
      </c>
      <c r="AD5263">
        <v>0</v>
      </c>
      <c r="AE5263">
        <v>9</v>
      </c>
      <c r="AF5263" t="s">
        <v>138</v>
      </c>
      <c r="AG5263">
        <v>0</v>
      </c>
      <c r="AH5263">
        <v>3</v>
      </c>
      <c r="AI5263">
        <v>2</v>
      </c>
      <c r="AJ5263">
        <v>0</v>
      </c>
      <c r="AK5263" t="s">
        <v>1656</v>
      </c>
      <c r="AL5263">
        <v>39.228745000000004</v>
      </c>
      <c r="AM5263" t="s">
        <v>1650</v>
      </c>
      <c r="AN5263">
        <v>-121.029768</v>
      </c>
      <c r="AO5263">
        <v>25</v>
      </c>
      <c r="AP5263">
        <v>3400</v>
      </c>
      <c r="AQ5263" t="s">
        <v>131</v>
      </c>
      <c r="AR5263">
        <v>20</v>
      </c>
      <c r="AS5263">
        <v>-53</v>
      </c>
      <c r="AT5263">
        <v>-1536</v>
      </c>
      <c r="BB5263" t="str">
        <f t="shared" si="2080"/>
        <v>1200</v>
      </c>
      <c r="BC5263">
        <v>1</v>
      </c>
      <c r="BD5263" t="str">
        <f t="shared" si="2081"/>
        <v xml:space="preserve">N52156  </v>
      </c>
      <c r="BE5263">
        <v>1</v>
      </c>
      <c r="BG5263">
        <v>0</v>
      </c>
      <c r="BH5263">
        <v>0</v>
      </c>
      <c r="BI5263">
        <v>0</v>
      </c>
      <c r="BJ5263">
        <v>3425</v>
      </c>
      <c r="BK5263">
        <v>25</v>
      </c>
      <c r="BL5263" t="s">
        <v>188</v>
      </c>
      <c r="BM5263">
        <v>1</v>
      </c>
      <c r="BN5263">
        <v>1</v>
      </c>
      <c r="BO5263">
        <v>0</v>
      </c>
      <c r="BP5263">
        <v>0</v>
      </c>
      <c r="BS5263">
        <v>0</v>
      </c>
      <c r="BT5263">
        <v>0</v>
      </c>
      <c r="BU5263">
        <v>0</v>
      </c>
      <c r="CE5263" t="str">
        <f t="shared" si="2085"/>
        <v>15:19:08.487</v>
      </c>
      <c r="CF5263">
        <v>487004286</v>
      </c>
      <c r="CS5263">
        <v>0</v>
      </c>
      <c r="CT5263">
        <v>2</v>
      </c>
      <c r="CU5263">
        <v>0</v>
      </c>
      <c r="CV5263">
        <v>2</v>
      </c>
      <c r="CW5263">
        <v>0</v>
      </c>
      <c r="CX5263">
        <v>4</v>
      </c>
      <c r="CY5263">
        <v>7</v>
      </c>
      <c r="CZ5263" t="s">
        <v>133</v>
      </c>
      <c r="DA5263">
        <v>275</v>
      </c>
      <c r="DB5263">
        <v>0</v>
      </c>
      <c r="DC5263" t="s">
        <v>134</v>
      </c>
      <c r="DD5263" t="s">
        <v>135</v>
      </c>
      <c r="DG5263">
        <v>3323739</v>
      </c>
      <c r="DI5263">
        <v>1</v>
      </c>
      <c r="DJ5263">
        <v>0</v>
      </c>
      <c r="DK5263">
        <v>1</v>
      </c>
      <c r="DL5263">
        <v>0</v>
      </c>
      <c r="DM5263">
        <v>0</v>
      </c>
      <c r="DN5263">
        <v>0</v>
      </c>
      <c r="DO5263">
        <v>0</v>
      </c>
      <c r="DP5263">
        <v>0</v>
      </c>
      <c r="DQ5263">
        <v>0</v>
      </c>
      <c r="DR5263">
        <v>0</v>
      </c>
      <c r="DS5263">
        <v>0</v>
      </c>
    </row>
    <row r="5264" spans="1:123" x14ac:dyDescent="0.3">
      <c r="A5264" t="str">
        <f>"05/01/2025 15:19:09.679"</f>
        <v>05/01/2025 15:19:09.679</v>
      </c>
      <c r="C5264" t="str">
        <f t="shared" si="2078"/>
        <v>FFDFD3C0</v>
      </c>
      <c r="D5264" t="s">
        <v>136</v>
      </c>
      <c r="E5264" t="str">
        <f>"20"</f>
        <v>20</v>
      </c>
      <c r="H5264">
        <v>400</v>
      </c>
      <c r="I5264" t="s">
        <v>137</v>
      </c>
      <c r="J5264" t="s">
        <v>138</v>
      </c>
      <c r="K5264">
        <v>0</v>
      </c>
      <c r="L5264">
        <v>3</v>
      </c>
      <c r="M5264">
        <v>0</v>
      </c>
      <c r="N5264">
        <v>2</v>
      </c>
      <c r="O5264">
        <v>0</v>
      </c>
      <c r="P5264">
        <v>1</v>
      </c>
      <c r="Q5264">
        <v>0</v>
      </c>
      <c r="R5264" t="s">
        <v>127</v>
      </c>
      <c r="S5264" t="str">
        <f t="shared" ref="S5264:T5269" si="2086">"15:19:09.000"</f>
        <v>15:19:09.000</v>
      </c>
      <c r="T5264" t="str">
        <f t="shared" si="2086"/>
        <v>15:19:09.000</v>
      </c>
      <c r="U5264" t="str">
        <f t="shared" si="2079"/>
        <v>A68FCB</v>
      </c>
      <c r="V5264">
        <v>0</v>
      </c>
      <c r="W5264">
        <v>0</v>
      </c>
      <c r="X5264">
        <v>2</v>
      </c>
      <c r="Y5264">
        <v>0</v>
      </c>
      <c r="AA5264">
        <v>1</v>
      </c>
      <c r="AB5264">
        <v>8</v>
      </c>
      <c r="AC5264">
        <v>3</v>
      </c>
      <c r="AD5264">
        <v>0</v>
      </c>
      <c r="AE5264">
        <v>9</v>
      </c>
      <c r="AF5264" t="s">
        <v>138</v>
      </c>
      <c r="AG5264">
        <v>0</v>
      </c>
      <c r="AH5264">
        <v>3</v>
      </c>
      <c r="AI5264">
        <v>2</v>
      </c>
      <c r="AJ5264">
        <v>0</v>
      </c>
      <c r="AK5264" t="s">
        <v>1657</v>
      </c>
      <c r="AL5264">
        <v>39.228487000000001</v>
      </c>
      <c r="AM5264" t="s">
        <v>1648</v>
      </c>
      <c r="AN5264">
        <v>-121.029661</v>
      </c>
      <c r="AO5264">
        <v>25</v>
      </c>
      <c r="AP5264">
        <v>3400</v>
      </c>
      <c r="AQ5264" t="s">
        <v>131</v>
      </c>
      <c r="AR5264">
        <v>25</v>
      </c>
      <c r="AS5264">
        <v>-49</v>
      </c>
      <c r="AT5264">
        <v>-2240</v>
      </c>
      <c r="BB5264" t="str">
        <f t="shared" si="2080"/>
        <v>1200</v>
      </c>
      <c r="BC5264">
        <v>1</v>
      </c>
      <c r="BD5264" t="str">
        <f t="shared" si="2081"/>
        <v xml:space="preserve">N52156  </v>
      </c>
      <c r="BE5264">
        <v>1</v>
      </c>
      <c r="BG5264">
        <v>0</v>
      </c>
      <c r="BH5264">
        <v>0</v>
      </c>
      <c r="BI5264">
        <v>0</v>
      </c>
      <c r="BJ5264">
        <v>3425</v>
      </c>
      <c r="BK5264">
        <v>25</v>
      </c>
      <c r="BL5264" t="s">
        <v>188</v>
      </c>
      <c r="BM5264">
        <v>1</v>
      </c>
      <c r="BN5264">
        <v>1</v>
      </c>
      <c r="BO5264">
        <v>0</v>
      </c>
      <c r="BP5264">
        <v>0</v>
      </c>
      <c r="BS5264">
        <v>0</v>
      </c>
      <c r="BT5264">
        <v>0</v>
      </c>
      <c r="BU5264">
        <v>0</v>
      </c>
      <c r="CE5264" t="str">
        <f t="shared" ref="CE5264:CE5269" si="2087">"15:19:09.461"</f>
        <v>15:19:09.461</v>
      </c>
      <c r="CF5264">
        <v>461254143</v>
      </c>
      <c r="CS5264">
        <v>0</v>
      </c>
      <c r="CT5264">
        <v>2</v>
      </c>
      <c r="CU5264">
        <v>0</v>
      </c>
      <c r="CV5264">
        <v>2</v>
      </c>
      <c r="CW5264">
        <v>0</v>
      </c>
      <c r="CX5264">
        <v>4</v>
      </c>
      <c r="CY5264">
        <v>7</v>
      </c>
      <c r="CZ5264" t="s">
        <v>133</v>
      </c>
      <c r="DA5264">
        <v>275</v>
      </c>
      <c r="DB5264">
        <v>0</v>
      </c>
      <c r="DC5264" t="s">
        <v>134</v>
      </c>
      <c r="DD5264" t="s">
        <v>135</v>
      </c>
      <c r="DG5264">
        <v>3323744</v>
      </c>
      <c r="DI5264">
        <v>1</v>
      </c>
      <c r="DJ5264">
        <v>0</v>
      </c>
      <c r="DK5264">
        <v>0</v>
      </c>
      <c r="DL5264">
        <v>0</v>
      </c>
      <c r="DM5264">
        <v>0</v>
      </c>
      <c r="DN5264">
        <v>0</v>
      </c>
      <c r="DO5264">
        <v>0</v>
      </c>
      <c r="DP5264">
        <v>0</v>
      </c>
      <c r="DQ5264">
        <v>0</v>
      </c>
      <c r="DR5264">
        <v>0</v>
      </c>
      <c r="DS5264">
        <v>0</v>
      </c>
    </row>
    <row r="5265" spans="1:123" x14ac:dyDescent="0.3">
      <c r="A5265" t="str">
        <f>"05/01/2025 15:19:09.694"</f>
        <v>05/01/2025 15:19:09.694</v>
      </c>
      <c r="C5265" t="str">
        <f t="shared" si="2078"/>
        <v>FFDFD3C0</v>
      </c>
      <c r="D5265" t="s">
        <v>124</v>
      </c>
      <c r="E5265" t="str">
        <f>"06"</f>
        <v>06</v>
      </c>
      <c r="F5265">
        <v>2006</v>
      </c>
      <c r="G5265" t="s">
        <v>125</v>
      </c>
      <c r="J5265" t="s">
        <v>126</v>
      </c>
      <c r="K5265">
        <v>0</v>
      </c>
      <c r="L5265">
        <v>3</v>
      </c>
      <c r="M5265">
        <v>0</v>
      </c>
      <c r="N5265">
        <v>2</v>
      </c>
      <c r="O5265">
        <v>0</v>
      </c>
      <c r="P5265">
        <v>1</v>
      </c>
      <c r="Q5265">
        <v>0</v>
      </c>
      <c r="R5265" t="s">
        <v>127</v>
      </c>
      <c r="S5265" t="str">
        <f t="shared" si="2086"/>
        <v>15:19:09.000</v>
      </c>
      <c r="T5265" t="str">
        <f t="shared" si="2086"/>
        <v>15:19:09.000</v>
      </c>
      <c r="U5265" t="str">
        <f t="shared" si="2079"/>
        <v>A68FCB</v>
      </c>
      <c r="V5265">
        <v>0</v>
      </c>
      <c r="W5265">
        <v>0</v>
      </c>
      <c r="X5265">
        <v>2</v>
      </c>
      <c r="Y5265">
        <v>0</v>
      </c>
      <c r="AA5265">
        <v>1</v>
      </c>
      <c r="AB5265">
        <v>8</v>
      </c>
      <c r="AC5265">
        <v>3</v>
      </c>
      <c r="AD5265">
        <v>0</v>
      </c>
      <c r="AE5265">
        <v>9</v>
      </c>
      <c r="AF5265" t="s">
        <v>138</v>
      </c>
      <c r="AG5265">
        <v>0</v>
      </c>
      <c r="AH5265">
        <v>3</v>
      </c>
      <c r="AI5265">
        <v>2</v>
      </c>
      <c r="AJ5265">
        <v>0</v>
      </c>
      <c r="AK5265" t="s">
        <v>1657</v>
      </c>
      <c r="AL5265">
        <v>39.228487000000001</v>
      </c>
      <c r="AM5265" t="s">
        <v>1648</v>
      </c>
      <c r="AN5265">
        <v>-121.029661</v>
      </c>
      <c r="AO5265">
        <v>25</v>
      </c>
      <c r="AP5265">
        <v>3400</v>
      </c>
      <c r="AQ5265" t="s">
        <v>131</v>
      </c>
      <c r="AR5265">
        <v>25</v>
      </c>
      <c r="AS5265">
        <v>-49</v>
      </c>
      <c r="AT5265">
        <v>-2240</v>
      </c>
      <c r="BB5265" t="str">
        <f t="shared" si="2080"/>
        <v>1200</v>
      </c>
      <c r="BC5265">
        <v>1</v>
      </c>
      <c r="BD5265" t="str">
        <f t="shared" si="2081"/>
        <v xml:space="preserve">N52156  </v>
      </c>
      <c r="BE5265">
        <v>1</v>
      </c>
      <c r="BG5265">
        <v>0</v>
      </c>
      <c r="BH5265">
        <v>0</v>
      </c>
      <c r="BI5265">
        <v>0</v>
      </c>
      <c r="BJ5265">
        <v>3425</v>
      </c>
      <c r="BK5265">
        <v>25</v>
      </c>
      <c r="BL5265" t="s">
        <v>188</v>
      </c>
      <c r="BM5265">
        <v>1</v>
      </c>
      <c r="BN5265">
        <v>1</v>
      </c>
      <c r="BO5265">
        <v>0</v>
      </c>
      <c r="BP5265">
        <v>0</v>
      </c>
      <c r="BS5265">
        <v>0</v>
      </c>
      <c r="BT5265">
        <v>0</v>
      </c>
      <c r="BU5265">
        <v>0</v>
      </c>
      <c r="CE5265" t="str">
        <f t="shared" si="2087"/>
        <v>15:19:09.461</v>
      </c>
      <c r="CF5265">
        <v>461254143</v>
      </c>
      <c r="CS5265">
        <v>0</v>
      </c>
      <c r="CT5265">
        <v>2</v>
      </c>
      <c r="CU5265">
        <v>0</v>
      </c>
      <c r="CV5265">
        <v>2</v>
      </c>
      <c r="CW5265">
        <v>0</v>
      </c>
      <c r="CX5265">
        <v>4</v>
      </c>
      <c r="CY5265">
        <v>7</v>
      </c>
      <c r="CZ5265" t="s">
        <v>133</v>
      </c>
      <c r="DA5265">
        <v>275</v>
      </c>
      <c r="DB5265">
        <v>0</v>
      </c>
      <c r="DC5265" t="s">
        <v>134</v>
      </c>
      <c r="DD5265" t="s">
        <v>135</v>
      </c>
      <c r="DG5265">
        <v>3323744</v>
      </c>
      <c r="DI5265">
        <v>1</v>
      </c>
      <c r="DJ5265">
        <v>0</v>
      </c>
      <c r="DK5265">
        <v>1</v>
      </c>
      <c r="DL5265">
        <v>0</v>
      </c>
      <c r="DM5265">
        <v>0</v>
      </c>
      <c r="DN5265">
        <v>0</v>
      </c>
      <c r="DO5265">
        <v>0</v>
      </c>
      <c r="DP5265">
        <v>0</v>
      </c>
      <c r="DQ5265">
        <v>0</v>
      </c>
      <c r="DR5265">
        <v>0</v>
      </c>
      <c r="DS5265">
        <v>0</v>
      </c>
    </row>
    <row r="5266" spans="1:123" x14ac:dyDescent="0.3">
      <c r="A5266" t="str">
        <f>"05/01/2025 15:19:09.695"</f>
        <v>05/01/2025 15:19:09.695</v>
      </c>
      <c r="C5266" t="str">
        <f t="shared" si="2078"/>
        <v>FFDFD3C0</v>
      </c>
      <c r="D5266" t="s">
        <v>140</v>
      </c>
      <c r="E5266" t="str">
        <f>"13"</f>
        <v>13</v>
      </c>
      <c r="F5266">
        <v>1019</v>
      </c>
      <c r="G5266" t="s">
        <v>141</v>
      </c>
      <c r="J5266" t="s">
        <v>142</v>
      </c>
      <c r="K5266">
        <v>0</v>
      </c>
      <c r="L5266">
        <v>3</v>
      </c>
      <c r="M5266">
        <v>0</v>
      </c>
      <c r="N5266">
        <v>2</v>
      </c>
      <c r="O5266">
        <v>0</v>
      </c>
      <c r="P5266">
        <v>1</v>
      </c>
      <c r="Q5266">
        <v>0</v>
      </c>
      <c r="R5266" t="s">
        <v>127</v>
      </c>
      <c r="S5266" t="str">
        <f t="shared" si="2086"/>
        <v>15:19:09.000</v>
      </c>
      <c r="T5266" t="str">
        <f t="shared" si="2086"/>
        <v>15:19:09.000</v>
      </c>
      <c r="U5266" t="str">
        <f t="shared" si="2079"/>
        <v>A68FCB</v>
      </c>
      <c r="V5266">
        <v>0</v>
      </c>
      <c r="W5266">
        <v>0</v>
      </c>
      <c r="X5266">
        <v>2</v>
      </c>
      <c r="Y5266">
        <v>0</v>
      </c>
      <c r="AA5266">
        <v>1</v>
      </c>
      <c r="AB5266">
        <v>8</v>
      </c>
      <c r="AC5266">
        <v>3</v>
      </c>
      <c r="AD5266">
        <v>0</v>
      </c>
      <c r="AE5266">
        <v>9</v>
      </c>
      <c r="AF5266" t="s">
        <v>138</v>
      </c>
      <c r="AG5266">
        <v>0</v>
      </c>
      <c r="AH5266">
        <v>3</v>
      </c>
      <c r="AI5266">
        <v>2</v>
      </c>
      <c r="AJ5266">
        <v>0</v>
      </c>
      <c r="AK5266" t="s">
        <v>1657</v>
      </c>
      <c r="AL5266">
        <v>39.228487000000001</v>
      </c>
      <c r="AM5266" t="s">
        <v>1648</v>
      </c>
      <c r="AN5266">
        <v>-121.029661</v>
      </c>
      <c r="AO5266">
        <v>25</v>
      </c>
      <c r="AP5266">
        <v>3400</v>
      </c>
      <c r="AQ5266" t="s">
        <v>131</v>
      </c>
      <c r="AR5266">
        <v>25</v>
      </c>
      <c r="AS5266">
        <v>-49</v>
      </c>
      <c r="AT5266">
        <v>-2240</v>
      </c>
      <c r="BB5266" t="str">
        <f t="shared" si="2080"/>
        <v>1200</v>
      </c>
      <c r="BC5266">
        <v>1</v>
      </c>
      <c r="BD5266" t="str">
        <f t="shared" si="2081"/>
        <v xml:space="preserve">N52156  </v>
      </c>
      <c r="BE5266">
        <v>1</v>
      </c>
      <c r="BG5266">
        <v>0</v>
      </c>
      <c r="BH5266">
        <v>0</v>
      </c>
      <c r="BI5266">
        <v>0</v>
      </c>
      <c r="BJ5266">
        <v>3425</v>
      </c>
      <c r="BK5266">
        <v>25</v>
      </c>
      <c r="BL5266" t="s">
        <v>188</v>
      </c>
      <c r="BM5266">
        <v>1</v>
      </c>
      <c r="BN5266">
        <v>1</v>
      </c>
      <c r="BO5266">
        <v>0</v>
      </c>
      <c r="BP5266">
        <v>0</v>
      </c>
      <c r="BS5266">
        <v>0</v>
      </c>
      <c r="BT5266">
        <v>0</v>
      </c>
      <c r="BU5266">
        <v>0</v>
      </c>
      <c r="CE5266" t="str">
        <f t="shared" si="2087"/>
        <v>15:19:09.461</v>
      </c>
      <c r="CF5266">
        <v>461254143</v>
      </c>
      <c r="CS5266">
        <v>0</v>
      </c>
      <c r="CT5266">
        <v>2</v>
      </c>
      <c r="CU5266">
        <v>0</v>
      </c>
      <c r="CV5266">
        <v>2</v>
      </c>
      <c r="CW5266">
        <v>0</v>
      </c>
      <c r="CX5266">
        <v>4</v>
      </c>
      <c r="CY5266">
        <v>7</v>
      </c>
      <c r="CZ5266" t="s">
        <v>133</v>
      </c>
      <c r="DA5266">
        <v>275</v>
      </c>
      <c r="DB5266">
        <v>0</v>
      </c>
      <c r="DC5266" t="s">
        <v>134</v>
      </c>
      <c r="DD5266" t="s">
        <v>135</v>
      </c>
      <c r="DG5266">
        <v>3323744</v>
      </c>
      <c r="DI5266">
        <v>1</v>
      </c>
      <c r="DJ5266">
        <v>0</v>
      </c>
      <c r="DK5266">
        <v>1</v>
      </c>
      <c r="DL5266">
        <v>0</v>
      </c>
      <c r="DM5266">
        <v>0</v>
      </c>
      <c r="DN5266">
        <v>0</v>
      </c>
      <c r="DO5266">
        <v>0</v>
      </c>
      <c r="DP5266">
        <v>0</v>
      </c>
      <c r="DQ5266">
        <v>0</v>
      </c>
      <c r="DR5266">
        <v>0</v>
      </c>
      <c r="DS5266">
        <v>0</v>
      </c>
    </row>
    <row r="5267" spans="1:123" x14ac:dyDescent="0.3">
      <c r="A5267" t="str">
        <f>"05/01/2025 15:19:09.709"</f>
        <v>05/01/2025 15:19:09.709</v>
      </c>
      <c r="C5267" t="str">
        <f t="shared" si="2078"/>
        <v>FFDFD3C0</v>
      </c>
      <c r="D5267" t="s">
        <v>143</v>
      </c>
      <c r="E5267" t="str">
        <f>"05"</f>
        <v>05</v>
      </c>
      <c r="H5267">
        <v>172</v>
      </c>
      <c r="I5267" t="s">
        <v>141</v>
      </c>
      <c r="J5267" t="s">
        <v>144</v>
      </c>
      <c r="K5267">
        <v>0</v>
      </c>
      <c r="L5267">
        <v>3</v>
      </c>
      <c r="M5267">
        <v>0</v>
      </c>
      <c r="N5267">
        <v>2</v>
      </c>
      <c r="O5267">
        <v>0</v>
      </c>
      <c r="P5267">
        <v>1</v>
      </c>
      <c r="Q5267">
        <v>0</v>
      </c>
      <c r="R5267" t="s">
        <v>127</v>
      </c>
      <c r="S5267" t="str">
        <f t="shared" si="2086"/>
        <v>15:19:09.000</v>
      </c>
      <c r="T5267" t="str">
        <f t="shared" si="2086"/>
        <v>15:19:09.000</v>
      </c>
      <c r="U5267" t="str">
        <f t="shared" si="2079"/>
        <v>A68FCB</v>
      </c>
      <c r="V5267">
        <v>0</v>
      </c>
      <c r="W5267">
        <v>0</v>
      </c>
      <c r="X5267">
        <v>2</v>
      </c>
      <c r="Y5267">
        <v>0</v>
      </c>
      <c r="AA5267">
        <v>1</v>
      </c>
      <c r="AB5267">
        <v>8</v>
      </c>
      <c r="AC5267">
        <v>3</v>
      </c>
      <c r="AD5267">
        <v>0</v>
      </c>
      <c r="AE5267">
        <v>9</v>
      </c>
      <c r="AF5267" t="s">
        <v>138</v>
      </c>
      <c r="AG5267">
        <v>0</v>
      </c>
      <c r="AH5267">
        <v>3</v>
      </c>
      <c r="AI5267">
        <v>2</v>
      </c>
      <c r="AJ5267">
        <v>0</v>
      </c>
      <c r="AK5267" t="s">
        <v>1657</v>
      </c>
      <c r="AL5267">
        <v>39.228487000000001</v>
      </c>
      <c r="AM5267" t="s">
        <v>1648</v>
      </c>
      <c r="AN5267">
        <v>-121.029661</v>
      </c>
      <c r="AO5267">
        <v>25</v>
      </c>
      <c r="AP5267">
        <v>3400</v>
      </c>
      <c r="AQ5267" t="s">
        <v>131</v>
      </c>
      <c r="AR5267">
        <v>25</v>
      </c>
      <c r="AS5267">
        <v>-49</v>
      </c>
      <c r="AT5267">
        <v>-2240</v>
      </c>
      <c r="BB5267" t="str">
        <f t="shared" si="2080"/>
        <v>1200</v>
      </c>
      <c r="BC5267">
        <v>1</v>
      </c>
      <c r="BD5267" t="str">
        <f t="shared" si="2081"/>
        <v xml:space="preserve">N52156  </v>
      </c>
      <c r="BE5267">
        <v>1</v>
      </c>
      <c r="BG5267">
        <v>0</v>
      </c>
      <c r="BH5267">
        <v>0</v>
      </c>
      <c r="BI5267">
        <v>0</v>
      </c>
      <c r="BJ5267">
        <v>3425</v>
      </c>
      <c r="BK5267">
        <v>25</v>
      </c>
      <c r="BL5267" t="s">
        <v>188</v>
      </c>
      <c r="BM5267">
        <v>1</v>
      </c>
      <c r="BN5267">
        <v>1</v>
      </c>
      <c r="BO5267">
        <v>0</v>
      </c>
      <c r="BP5267">
        <v>0</v>
      </c>
      <c r="BS5267">
        <v>0</v>
      </c>
      <c r="BT5267">
        <v>0</v>
      </c>
      <c r="BU5267">
        <v>0</v>
      </c>
      <c r="CE5267" t="str">
        <f t="shared" si="2087"/>
        <v>15:19:09.461</v>
      </c>
      <c r="CF5267">
        <v>461254143</v>
      </c>
      <c r="CS5267">
        <v>0</v>
      </c>
      <c r="CT5267">
        <v>2</v>
      </c>
      <c r="CU5267">
        <v>0</v>
      </c>
      <c r="CV5267">
        <v>2</v>
      </c>
      <c r="CW5267">
        <v>0</v>
      </c>
      <c r="CX5267">
        <v>4</v>
      </c>
      <c r="CY5267">
        <v>7</v>
      </c>
      <c r="CZ5267" t="s">
        <v>133</v>
      </c>
      <c r="DA5267">
        <v>275</v>
      </c>
      <c r="DB5267">
        <v>0</v>
      </c>
      <c r="DC5267" t="s">
        <v>134</v>
      </c>
      <c r="DD5267" t="s">
        <v>135</v>
      </c>
      <c r="DG5267">
        <v>3323744</v>
      </c>
      <c r="DI5267">
        <v>1</v>
      </c>
      <c r="DJ5267">
        <v>0</v>
      </c>
      <c r="DK5267">
        <v>1</v>
      </c>
      <c r="DL5267">
        <v>0</v>
      </c>
      <c r="DM5267">
        <v>0</v>
      </c>
      <c r="DN5267">
        <v>0</v>
      </c>
      <c r="DO5267">
        <v>0</v>
      </c>
      <c r="DP5267">
        <v>0</v>
      </c>
      <c r="DQ5267">
        <v>0</v>
      </c>
      <c r="DR5267">
        <v>0</v>
      </c>
      <c r="DS5267">
        <v>0</v>
      </c>
    </row>
    <row r="5268" spans="1:123" x14ac:dyDescent="0.3">
      <c r="A5268" t="str">
        <f>"05/01/2025 15:19:09.719"</f>
        <v>05/01/2025 15:19:09.719</v>
      </c>
      <c r="C5268" t="str">
        <f t="shared" si="2078"/>
        <v>FFDFD3C0</v>
      </c>
      <c r="D5268" t="s">
        <v>145</v>
      </c>
      <c r="E5268" t="str">
        <f>"09"</f>
        <v>09</v>
      </c>
      <c r="H5268">
        <v>51</v>
      </c>
      <c r="I5268" t="s">
        <v>147</v>
      </c>
      <c r="J5268" t="s">
        <v>138</v>
      </c>
      <c r="K5268">
        <v>0</v>
      </c>
      <c r="L5268">
        <v>3</v>
      </c>
      <c r="M5268">
        <v>0</v>
      </c>
      <c r="N5268">
        <v>2</v>
      </c>
      <c r="O5268">
        <v>0</v>
      </c>
      <c r="P5268">
        <v>1</v>
      </c>
      <c r="Q5268">
        <v>0</v>
      </c>
      <c r="R5268" t="s">
        <v>127</v>
      </c>
      <c r="S5268" t="str">
        <f t="shared" si="2086"/>
        <v>15:19:09.000</v>
      </c>
      <c r="T5268" t="str">
        <f t="shared" si="2086"/>
        <v>15:19:09.000</v>
      </c>
      <c r="U5268" t="str">
        <f t="shared" si="2079"/>
        <v>A68FCB</v>
      </c>
      <c r="V5268">
        <v>0</v>
      </c>
      <c r="W5268">
        <v>0</v>
      </c>
      <c r="X5268">
        <v>2</v>
      </c>
      <c r="Y5268">
        <v>0</v>
      </c>
      <c r="AA5268">
        <v>1</v>
      </c>
      <c r="AB5268">
        <v>8</v>
      </c>
      <c r="AC5268">
        <v>3</v>
      </c>
      <c r="AD5268">
        <v>0</v>
      </c>
      <c r="AE5268">
        <v>9</v>
      </c>
      <c r="AF5268" t="s">
        <v>138</v>
      </c>
      <c r="AG5268">
        <v>0</v>
      </c>
      <c r="AH5268">
        <v>3</v>
      </c>
      <c r="AI5268">
        <v>2</v>
      </c>
      <c r="AJ5268">
        <v>0</v>
      </c>
      <c r="AK5268" t="s">
        <v>1657</v>
      </c>
      <c r="AL5268">
        <v>39.228487000000001</v>
      </c>
      <c r="AM5268" t="s">
        <v>1648</v>
      </c>
      <c r="AN5268">
        <v>-121.029661</v>
      </c>
      <c r="AO5268">
        <v>25</v>
      </c>
      <c r="AP5268">
        <v>3400</v>
      </c>
      <c r="AQ5268" t="s">
        <v>131</v>
      </c>
      <c r="AR5268">
        <v>25</v>
      </c>
      <c r="AS5268">
        <v>-49</v>
      </c>
      <c r="AT5268">
        <v>-2240</v>
      </c>
      <c r="BB5268" t="str">
        <f t="shared" si="2080"/>
        <v>1200</v>
      </c>
      <c r="BC5268">
        <v>1</v>
      </c>
      <c r="BD5268" t="str">
        <f t="shared" si="2081"/>
        <v xml:space="preserve">N52156  </v>
      </c>
      <c r="BE5268">
        <v>1</v>
      </c>
      <c r="BG5268">
        <v>0</v>
      </c>
      <c r="BH5268">
        <v>0</v>
      </c>
      <c r="BI5268">
        <v>0</v>
      </c>
      <c r="BJ5268">
        <v>3425</v>
      </c>
      <c r="BK5268">
        <v>25</v>
      </c>
      <c r="BL5268" t="s">
        <v>188</v>
      </c>
      <c r="BM5268">
        <v>1</v>
      </c>
      <c r="BN5268">
        <v>1</v>
      </c>
      <c r="BO5268">
        <v>0</v>
      </c>
      <c r="BP5268">
        <v>0</v>
      </c>
      <c r="BS5268">
        <v>0</v>
      </c>
      <c r="BT5268">
        <v>0</v>
      </c>
      <c r="BU5268">
        <v>0</v>
      </c>
      <c r="CE5268" t="str">
        <f t="shared" si="2087"/>
        <v>15:19:09.461</v>
      </c>
      <c r="CF5268">
        <v>461254143</v>
      </c>
      <c r="CS5268">
        <v>0</v>
      </c>
      <c r="CT5268">
        <v>2</v>
      </c>
      <c r="CU5268">
        <v>0</v>
      </c>
      <c r="CV5268">
        <v>2</v>
      </c>
      <c r="CW5268">
        <v>0</v>
      </c>
      <c r="CX5268">
        <v>4</v>
      </c>
      <c r="CY5268">
        <v>7</v>
      </c>
      <c r="CZ5268" t="s">
        <v>133</v>
      </c>
      <c r="DA5268">
        <v>275</v>
      </c>
      <c r="DB5268">
        <v>0</v>
      </c>
      <c r="DC5268" t="s">
        <v>134</v>
      </c>
      <c r="DD5268" t="s">
        <v>135</v>
      </c>
      <c r="DG5268">
        <v>3323744</v>
      </c>
      <c r="DI5268">
        <v>1</v>
      </c>
      <c r="DJ5268">
        <v>0</v>
      </c>
      <c r="DK5268">
        <v>1</v>
      </c>
      <c r="DL5268">
        <v>0</v>
      </c>
      <c r="DM5268">
        <v>0</v>
      </c>
      <c r="DN5268">
        <v>0</v>
      </c>
      <c r="DO5268">
        <v>0</v>
      </c>
      <c r="DP5268">
        <v>0</v>
      </c>
      <c r="DQ5268">
        <v>0</v>
      </c>
      <c r="DR5268">
        <v>0</v>
      </c>
      <c r="DS5268">
        <v>0</v>
      </c>
    </row>
    <row r="5269" spans="1:123" x14ac:dyDescent="0.3">
      <c r="A5269" t="str">
        <f>"05/01/2025 15:19:09.720"</f>
        <v>05/01/2025 15:19:09.720</v>
      </c>
      <c r="C5269" t="str">
        <f t="shared" si="2078"/>
        <v>FFDFD3C0</v>
      </c>
      <c r="D5269" t="s">
        <v>145</v>
      </c>
      <c r="E5269" t="str">
        <f>"05"</f>
        <v>05</v>
      </c>
      <c r="H5269">
        <v>47</v>
      </c>
      <c r="I5269" t="s">
        <v>146</v>
      </c>
      <c r="J5269" t="s">
        <v>138</v>
      </c>
      <c r="K5269">
        <v>0</v>
      </c>
      <c r="L5269">
        <v>3</v>
      </c>
      <c r="M5269">
        <v>0</v>
      </c>
      <c r="N5269">
        <v>2</v>
      </c>
      <c r="O5269">
        <v>0</v>
      </c>
      <c r="P5269">
        <v>1</v>
      </c>
      <c r="Q5269">
        <v>0</v>
      </c>
      <c r="R5269" t="s">
        <v>127</v>
      </c>
      <c r="S5269" t="str">
        <f t="shared" si="2086"/>
        <v>15:19:09.000</v>
      </c>
      <c r="T5269" t="str">
        <f t="shared" si="2086"/>
        <v>15:19:09.000</v>
      </c>
      <c r="U5269" t="str">
        <f t="shared" si="2079"/>
        <v>A68FCB</v>
      </c>
      <c r="V5269">
        <v>0</v>
      </c>
      <c r="W5269">
        <v>0</v>
      </c>
      <c r="X5269">
        <v>2</v>
      </c>
      <c r="Y5269">
        <v>0</v>
      </c>
      <c r="AA5269">
        <v>1</v>
      </c>
      <c r="AB5269">
        <v>8</v>
      </c>
      <c r="AC5269">
        <v>3</v>
      </c>
      <c r="AD5269">
        <v>0</v>
      </c>
      <c r="AE5269">
        <v>9</v>
      </c>
      <c r="AF5269" t="s">
        <v>138</v>
      </c>
      <c r="AG5269">
        <v>0</v>
      </c>
      <c r="AH5269">
        <v>3</v>
      </c>
      <c r="AI5269">
        <v>2</v>
      </c>
      <c r="AJ5269">
        <v>0</v>
      </c>
      <c r="AK5269" t="s">
        <v>1657</v>
      </c>
      <c r="AL5269">
        <v>39.228487000000001</v>
      </c>
      <c r="AM5269" t="s">
        <v>1648</v>
      </c>
      <c r="AN5269">
        <v>-121.029661</v>
      </c>
      <c r="AO5269">
        <v>25</v>
      </c>
      <c r="AP5269">
        <v>3400</v>
      </c>
      <c r="AQ5269" t="s">
        <v>131</v>
      </c>
      <c r="AR5269">
        <v>25</v>
      </c>
      <c r="AS5269">
        <v>-49</v>
      </c>
      <c r="AT5269">
        <v>-2240</v>
      </c>
      <c r="BB5269" t="str">
        <f t="shared" si="2080"/>
        <v>1200</v>
      </c>
      <c r="BC5269">
        <v>1</v>
      </c>
      <c r="BD5269" t="str">
        <f t="shared" si="2081"/>
        <v xml:space="preserve">N52156  </v>
      </c>
      <c r="BE5269">
        <v>1</v>
      </c>
      <c r="BG5269">
        <v>0</v>
      </c>
      <c r="BH5269">
        <v>0</v>
      </c>
      <c r="BI5269">
        <v>0</v>
      </c>
      <c r="BJ5269">
        <v>3425</v>
      </c>
      <c r="BK5269">
        <v>25</v>
      </c>
      <c r="BL5269" t="s">
        <v>188</v>
      </c>
      <c r="BM5269">
        <v>1</v>
      </c>
      <c r="BN5269">
        <v>1</v>
      </c>
      <c r="BO5269">
        <v>0</v>
      </c>
      <c r="BP5269">
        <v>0</v>
      </c>
      <c r="BS5269">
        <v>0</v>
      </c>
      <c r="BT5269">
        <v>0</v>
      </c>
      <c r="BU5269">
        <v>0</v>
      </c>
      <c r="CE5269" t="str">
        <f t="shared" si="2087"/>
        <v>15:19:09.461</v>
      </c>
      <c r="CF5269">
        <v>461254143</v>
      </c>
      <c r="CS5269">
        <v>0</v>
      </c>
      <c r="CT5269">
        <v>2</v>
      </c>
      <c r="CU5269">
        <v>0</v>
      </c>
      <c r="CV5269">
        <v>2</v>
      </c>
      <c r="CW5269">
        <v>0</v>
      </c>
      <c r="CX5269">
        <v>4</v>
      </c>
      <c r="CY5269">
        <v>7</v>
      </c>
      <c r="CZ5269" t="s">
        <v>133</v>
      </c>
      <c r="DA5269">
        <v>275</v>
      </c>
      <c r="DB5269">
        <v>0</v>
      </c>
      <c r="DC5269" t="s">
        <v>134</v>
      </c>
      <c r="DD5269" t="s">
        <v>135</v>
      </c>
      <c r="DG5269">
        <v>3323744</v>
      </c>
      <c r="DI5269">
        <v>1</v>
      </c>
      <c r="DJ5269">
        <v>0</v>
      </c>
      <c r="DK5269">
        <v>1</v>
      </c>
      <c r="DL5269">
        <v>0</v>
      </c>
      <c r="DM5269">
        <v>0</v>
      </c>
      <c r="DN5269">
        <v>0</v>
      </c>
      <c r="DO5269">
        <v>0</v>
      </c>
      <c r="DP5269">
        <v>0</v>
      </c>
      <c r="DQ5269">
        <v>0</v>
      </c>
      <c r="DR5269">
        <v>0</v>
      </c>
      <c r="DS5269">
        <v>0</v>
      </c>
    </row>
    <row r="5270" spans="1:123" x14ac:dyDescent="0.3">
      <c r="A5270" t="str">
        <f>"05/01/2025 15:19:10.997"</f>
        <v>05/01/2025 15:19:10.997</v>
      </c>
      <c r="C5270" t="str">
        <f t="shared" si="2078"/>
        <v>FFDFD3C0</v>
      </c>
      <c r="D5270" t="s">
        <v>140</v>
      </c>
      <c r="E5270" t="str">
        <f>"13"</f>
        <v>13</v>
      </c>
      <c r="F5270">
        <v>1019</v>
      </c>
      <c r="G5270" t="s">
        <v>141</v>
      </c>
      <c r="J5270" t="s">
        <v>142</v>
      </c>
      <c r="K5270">
        <v>0</v>
      </c>
      <c r="L5270">
        <v>3</v>
      </c>
      <c r="M5270">
        <v>0</v>
      </c>
      <c r="N5270">
        <v>2</v>
      </c>
      <c r="O5270">
        <v>0</v>
      </c>
      <c r="P5270">
        <v>1</v>
      </c>
      <c r="Q5270">
        <v>0</v>
      </c>
      <c r="R5270" t="s">
        <v>127</v>
      </c>
      <c r="S5270" t="str">
        <f t="shared" ref="S5270:T5275" si="2088">"15:19:10.000"</f>
        <v>15:19:10.000</v>
      </c>
      <c r="T5270" t="str">
        <f t="shared" si="2088"/>
        <v>15:19:10.000</v>
      </c>
      <c r="U5270" t="str">
        <f t="shared" si="2079"/>
        <v>A68FCB</v>
      </c>
      <c r="V5270">
        <v>0</v>
      </c>
      <c r="W5270">
        <v>0</v>
      </c>
      <c r="X5270">
        <v>2</v>
      </c>
      <c r="Y5270">
        <v>0</v>
      </c>
      <c r="AA5270">
        <v>1</v>
      </c>
      <c r="AB5270">
        <v>8</v>
      </c>
      <c r="AC5270">
        <v>3</v>
      </c>
      <c r="AD5270">
        <v>0</v>
      </c>
      <c r="AE5270">
        <v>9</v>
      </c>
      <c r="AF5270" t="s">
        <v>138</v>
      </c>
      <c r="AG5270">
        <v>0</v>
      </c>
      <c r="AH5270">
        <v>3</v>
      </c>
      <c r="AI5270">
        <v>2</v>
      </c>
      <c r="AJ5270">
        <v>0</v>
      </c>
      <c r="AK5270" t="s">
        <v>1658</v>
      </c>
      <c r="AL5270">
        <v>39.228164999999997</v>
      </c>
      <c r="AM5270" t="s">
        <v>1659</v>
      </c>
      <c r="AN5270">
        <v>-121.029596</v>
      </c>
      <c r="AO5270">
        <v>25</v>
      </c>
      <c r="AP5270">
        <v>3300</v>
      </c>
      <c r="AQ5270" t="s">
        <v>131</v>
      </c>
      <c r="AR5270">
        <v>21</v>
      </c>
      <c r="AS5270">
        <v>-61</v>
      </c>
      <c r="AT5270">
        <v>-1472</v>
      </c>
      <c r="BB5270" t="str">
        <f t="shared" si="2080"/>
        <v>1200</v>
      </c>
      <c r="BC5270">
        <v>1</v>
      </c>
      <c r="BD5270" t="str">
        <f t="shared" si="2081"/>
        <v xml:space="preserve">N52156  </v>
      </c>
      <c r="BE5270">
        <v>1</v>
      </c>
      <c r="BG5270">
        <v>0</v>
      </c>
      <c r="BH5270">
        <v>0</v>
      </c>
      <c r="BI5270">
        <v>0</v>
      </c>
      <c r="BJ5270">
        <v>3425</v>
      </c>
      <c r="BK5270">
        <v>125</v>
      </c>
      <c r="BL5270" t="s">
        <v>188</v>
      </c>
      <c r="BM5270">
        <v>1</v>
      </c>
      <c r="BN5270">
        <v>1</v>
      </c>
      <c r="BO5270">
        <v>0</v>
      </c>
      <c r="BP5270">
        <v>0</v>
      </c>
      <c r="BS5270">
        <v>0</v>
      </c>
      <c r="BT5270">
        <v>0</v>
      </c>
      <c r="BU5270">
        <v>0</v>
      </c>
      <c r="CE5270" t="str">
        <f t="shared" ref="CE5270:CE5275" si="2089">"15:19:10.799"</f>
        <v>15:19:10.799</v>
      </c>
      <c r="CF5270">
        <v>798504868</v>
      </c>
      <c r="CS5270">
        <v>0</v>
      </c>
      <c r="CT5270">
        <v>2</v>
      </c>
      <c r="CU5270">
        <v>0</v>
      </c>
      <c r="CV5270">
        <v>2</v>
      </c>
      <c r="CW5270">
        <v>0</v>
      </c>
      <c r="CX5270">
        <v>4</v>
      </c>
      <c r="CY5270">
        <v>7</v>
      </c>
      <c r="CZ5270" t="s">
        <v>133</v>
      </c>
      <c r="DA5270">
        <v>275</v>
      </c>
      <c r="DB5270">
        <v>0</v>
      </c>
      <c r="DC5270" t="s">
        <v>134</v>
      </c>
      <c r="DD5270" t="s">
        <v>135</v>
      </c>
      <c r="DG5270">
        <v>3323753</v>
      </c>
      <c r="DI5270">
        <v>1</v>
      </c>
      <c r="DJ5270">
        <v>0</v>
      </c>
      <c r="DK5270">
        <v>0</v>
      </c>
      <c r="DL5270">
        <v>0</v>
      </c>
      <c r="DM5270">
        <v>0</v>
      </c>
      <c r="DN5270">
        <v>0</v>
      </c>
      <c r="DO5270">
        <v>0</v>
      </c>
      <c r="DP5270">
        <v>0</v>
      </c>
      <c r="DQ5270">
        <v>0</v>
      </c>
      <c r="DR5270">
        <v>0</v>
      </c>
      <c r="DS5270">
        <v>0</v>
      </c>
    </row>
    <row r="5271" spans="1:123" x14ac:dyDescent="0.3">
      <c r="A5271" t="str">
        <f>"05/01/2025 15:19:10.997"</f>
        <v>05/01/2025 15:19:10.997</v>
      </c>
      <c r="C5271" t="str">
        <f t="shared" si="2078"/>
        <v>FFDFD3C0</v>
      </c>
      <c r="D5271" t="s">
        <v>124</v>
      </c>
      <c r="E5271" t="str">
        <f>"06"</f>
        <v>06</v>
      </c>
      <c r="F5271">
        <v>2006</v>
      </c>
      <c r="G5271" t="s">
        <v>125</v>
      </c>
      <c r="J5271" t="s">
        <v>126</v>
      </c>
      <c r="K5271">
        <v>0</v>
      </c>
      <c r="L5271">
        <v>3</v>
      </c>
      <c r="M5271">
        <v>0</v>
      </c>
      <c r="N5271">
        <v>2</v>
      </c>
      <c r="O5271">
        <v>0</v>
      </c>
      <c r="P5271">
        <v>1</v>
      </c>
      <c r="Q5271">
        <v>0</v>
      </c>
      <c r="R5271" t="s">
        <v>127</v>
      </c>
      <c r="S5271" t="str">
        <f t="shared" si="2088"/>
        <v>15:19:10.000</v>
      </c>
      <c r="T5271" t="str">
        <f t="shared" si="2088"/>
        <v>15:19:10.000</v>
      </c>
      <c r="U5271" t="str">
        <f t="shared" si="2079"/>
        <v>A68FCB</v>
      </c>
      <c r="V5271">
        <v>0</v>
      </c>
      <c r="W5271">
        <v>0</v>
      </c>
      <c r="X5271">
        <v>2</v>
      </c>
      <c r="Y5271">
        <v>0</v>
      </c>
      <c r="AA5271">
        <v>1</v>
      </c>
      <c r="AB5271">
        <v>8</v>
      </c>
      <c r="AC5271">
        <v>3</v>
      </c>
      <c r="AD5271">
        <v>0</v>
      </c>
      <c r="AE5271">
        <v>9</v>
      </c>
      <c r="AF5271" t="s">
        <v>138</v>
      </c>
      <c r="AG5271">
        <v>0</v>
      </c>
      <c r="AH5271">
        <v>3</v>
      </c>
      <c r="AI5271">
        <v>2</v>
      </c>
      <c r="AJ5271">
        <v>0</v>
      </c>
      <c r="AK5271" t="s">
        <v>1658</v>
      </c>
      <c r="AL5271">
        <v>39.228164999999997</v>
      </c>
      <c r="AM5271" t="s">
        <v>1659</v>
      </c>
      <c r="AN5271">
        <v>-121.029596</v>
      </c>
      <c r="AO5271">
        <v>25</v>
      </c>
      <c r="AP5271">
        <v>3300</v>
      </c>
      <c r="AQ5271" t="s">
        <v>131</v>
      </c>
      <c r="AR5271">
        <v>21</v>
      </c>
      <c r="AS5271">
        <v>-61</v>
      </c>
      <c r="AT5271">
        <v>-1472</v>
      </c>
      <c r="BB5271" t="str">
        <f t="shared" si="2080"/>
        <v>1200</v>
      </c>
      <c r="BC5271">
        <v>1</v>
      </c>
      <c r="BD5271" t="str">
        <f t="shared" si="2081"/>
        <v xml:space="preserve">N52156  </v>
      </c>
      <c r="BE5271">
        <v>1</v>
      </c>
      <c r="BG5271">
        <v>0</v>
      </c>
      <c r="BH5271">
        <v>0</v>
      </c>
      <c r="BI5271">
        <v>0</v>
      </c>
      <c r="BJ5271">
        <v>3425</v>
      </c>
      <c r="BK5271">
        <v>125</v>
      </c>
      <c r="BL5271" t="s">
        <v>188</v>
      </c>
      <c r="BM5271">
        <v>1</v>
      </c>
      <c r="BN5271">
        <v>1</v>
      </c>
      <c r="BO5271">
        <v>0</v>
      </c>
      <c r="BP5271">
        <v>0</v>
      </c>
      <c r="BS5271">
        <v>0</v>
      </c>
      <c r="BT5271">
        <v>0</v>
      </c>
      <c r="BU5271">
        <v>0</v>
      </c>
      <c r="CE5271" t="str">
        <f t="shared" si="2089"/>
        <v>15:19:10.799</v>
      </c>
      <c r="CF5271">
        <v>798504868</v>
      </c>
      <c r="CS5271">
        <v>0</v>
      </c>
      <c r="CT5271">
        <v>2</v>
      </c>
      <c r="CU5271">
        <v>0</v>
      </c>
      <c r="CV5271">
        <v>2</v>
      </c>
      <c r="CW5271">
        <v>0</v>
      </c>
      <c r="CX5271">
        <v>4</v>
      </c>
      <c r="CY5271">
        <v>7</v>
      </c>
      <c r="CZ5271" t="s">
        <v>133</v>
      </c>
      <c r="DA5271">
        <v>275</v>
      </c>
      <c r="DB5271">
        <v>0</v>
      </c>
      <c r="DC5271" t="s">
        <v>134</v>
      </c>
      <c r="DD5271" t="s">
        <v>135</v>
      </c>
      <c r="DG5271">
        <v>3323753</v>
      </c>
      <c r="DI5271">
        <v>1</v>
      </c>
      <c r="DJ5271">
        <v>0</v>
      </c>
      <c r="DK5271">
        <v>1</v>
      </c>
      <c r="DL5271">
        <v>0</v>
      </c>
      <c r="DM5271">
        <v>0</v>
      </c>
      <c r="DN5271">
        <v>0</v>
      </c>
      <c r="DO5271">
        <v>0</v>
      </c>
      <c r="DP5271">
        <v>0</v>
      </c>
      <c r="DQ5271">
        <v>0</v>
      </c>
      <c r="DR5271">
        <v>0</v>
      </c>
      <c r="DS5271">
        <v>0</v>
      </c>
    </row>
    <row r="5272" spans="1:123" x14ac:dyDescent="0.3">
      <c r="A5272" t="str">
        <f>"05/01/2025 15:19:11.011"</f>
        <v>05/01/2025 15:19:11.011</v>
      </c>
      <c r="C5272" t="str">
        <f t="shared" si="2078"/>
        <v>FFDFD3C0</v>
      </c>
      <c r="D5272" t="s">
        <v>143</v>
      </c>
      <c r="E5272" t="str">
        <f>"05"</f>
        <v>05</v>
      </c>
      <c r="H5272">
        <v>172</v>
      </c>
      <c r="I5272" t="s">
        <v>141</v>
      </c>
      <c r="J5272" t="s">
        <v>144</v>
      </c>
      <c r="K5272">
        <v>0</v>
      </c>
      <c r="L5272">
        <v>3</v>
      </c>
      <c r="M5272">
        <v>0</v>
      </c>
      <c r="N5272">
        <v>2</v>
      </c>
      <c r="O5272">
        <v>0</v>
      </c>
      <c r="P5272">
        <v>1</v>
      </c>
      <c r="Q5272">
        <v>0</v>
      </c>
      <c r="R5272" t="s">
        <v>127</v>
      </c>
      <c r="S5272" t="str">
        <f t="shared" si="2088"/>
        <v>15:19:10.000</v>
      </c>
      <c r="T5272" t="str">
        <f t="shared" si="2088"/>
        <v>15:19:10.000</v>
      </c>
      <c r="U5272" t="str">
        <f t="shared" si="2079"/>
        <v>A68FCB</v>
      </c>
      <c r="V5272">
        <v>0</v>
      </c>
      <c r="W5272">
        <v>0</v>
      </c>
      <c r="X5272">
        <v>2</v>
      </c>
      <c r="Y5272">
        <v>0</v>
      </c>
      <c r="AA5272">
        <v>1</v>
      </c>
      <c r="AB5272">
        <v>8</v>
      </c>
      <c r="AC5272">
        <v>3</v>
      </c>
      <c r="AD5272">
        <v>0</v>
      </c>
      <c r="AE5272">
        <v>9</v>
      </c>
      <c r="AF5272" t="s">
        <v>138</v>
      </c>
      <c r="AG5272">
        <v>0</v>
      </c>
      <c r="AH5272">
        <v>3</v>
      </c>
      <c r="AI5272">
        <v>2</v>
      </c>
      <c r="AJ5272">
        <v>0</v>
      </c>
      <c r="AK5272" t="s">
        <v>1658</v>
      </c>
      <c r="AL5272">
        <v>39.228164999999997</v>
      </c>
      <c r="AM5272" t="s">
        <v>1659</v>
      </c>
      <c r="AN5272">
        <v>-121.029596</v>
      </c>
      <c r="AO5272">
        <v>25</v>
      </c>
      <c r="AP5272">
        <v>3300</v>
      </c>
      <c r="AQ5272" t="s">
        <v>131</v>
      </c>
      <c r="AR5272">
        <v>21</v>
      </c>
      <c r="AS5272">
        <v>-61</v>
      </c>
      <c r="AT5272">
        <v>-1472</v>
      </c>
      <c r="BB5272" t="str">
        <f t="shared" si="2080"/>
        <v>1200</v>
      </c>
      <c r="BC5272">
        <v>1</v>
      </c>
      <c r="BD5272" t="str">
        <f t="shared" si="2081"/>
        <v xml:space="preserve">N52156  </v>
      </c>
      <c r="BE5272">
        <v>1</v>
      </c>
      <c r="BG5272">
        <v>0</v>
      </c>
      <c r="BH5272">
        <v>0</v>
      </c>
      <c r="BI5272">
        <v>0</v>
      </c>
      <c r="BJ5272">
        <v>3425</v>
      </c>
      <c r="BK5272">
        <v>125</v>
      </c>
      <c r="BL5272" t="s">
        <v>188</v>
      </c>
      <c r="BM5272">
        <v>1</v>
      </c>
      <c r="BN5272">
        <v>1</v>
      </c>
      <c r="BO5272">
        <v>0</v>
      </c>
      <c r="BP5272">
        <v>0</v>
      </c>
      <c r="BS5272">
        <v>0</v>
      </c>
      <c r="BT5272">
        <v>0</v>
      </c>
      <c r="BU5272">
        <v>0</v>
      </c>
      <c r="CE5272" t="str">
        <f t="shared" si="2089"/>
        <v>15:19:10.799</v>
      </c>
      <c r="CF5272">
        <v>798504868</v>
      </c>
      <c r="CS5272">
        <v>0</v>
      </c>
      <c r="CT5272">
        <v>2</v>
      </c>
      <c r="CU5272">
        <v>0</v>
      </c>
      <c r="CV5272">
        <v>2</v>
      </c>
      <c r="CW5272">
        <v>0</v>
      </c>
      <c r="CX5272">
        <v>4</v>
      </c>
      <c r="CY5272">
        <v>7</v>
      </c>
      <c r="CZ5272" t="s">
        <v>133</v>
      </c>
      <c r="DA5272">
        <v>275</v>
      </c>
      <c r="DB5272">
        <v>0</v>
      </c>
      <c r="DC5272" t="s">
        <v>134</v>
      </c>
      <c r="DD5272" t="s">
        <v>135</v>
      </c>
      <c r="DG5272">
        <v>3323753</v>
      </c>
      <c r="DI5272">
        <v>1</v>
      </c>
      <c r="DJ5272">
        <v>0</v>
      </c>
      <c r="DK5272">
        <v>1</v>
      </c>
      <c r="DL5272">
        <v>0</v>
      </c>
      <c r="DM5272">
        <v>0</v>
      </c>
      <c r="DN5272">
        <v>0</v>
      </c>
      <c r="DO5272">
        <v>0</v>
      </c>
      <c r="DP5272">
        <v>0</v>
      </c>
      <c r="DQ5272">
        <v>0</v>
      </c>
      <c r="DR5272">
        <v>0</v>
      </c>
      <c r="DS5272">
        <v>0</v>
      </c>
    </row>
    <row r="5273" spans="1:123" x14ac:dyDescent="0.3">
      <c r="A5273" t="str">
        <f>"05/01/2025 15:19:11.021"</f>
        <v>05/01/2025 15:19:11.021</v>
      </c>
      <c r="C5273" t="str">
        <f t="shared" si="2078"/>
        <v>FFDFD3C0</v>
      </c>
      <c r="D5273" t="s">
        <v>145</v>
      </c>
      <c r="E5273" t="str">
        <f>"09"</f>
        <v>09</v>
      </c>
      <c r="H5273">
        <v>51</v>
      </c>
      <c r="I5273" t="s">
        <v>147</v>
      </c>
      <c r="J5273" t="s">
        <v>138</v>
      </c>
      <c r="K5273">
        <v>0</v>
      </c>
      <c r="L5273">
        <v>3</v>
      </c>
      <c r="M5273">
        <v>0</v>
      </c>
      <c r="N5273">
        <v>2</v>
      </c>
      <c r="O5273">
        <v>0</v>
      </c>
      <c r="P5273">
        <v>1</v>
      </c>
      <c r="Q5273">
        <v>0</v>
      </c>
      <c r="R5273" t="s">
        <v>127</v>
      </c>
      <c r="S5273" t="str">
        <f t="shared" si="2088"/>
        <v>15:19:10.000</v>
      </c>
      <c r="T5273" t="str">
        <f t="shared" si="2088"/>
        <v>15:19:10.000</v>
      </c>
      <c r="U5273" t="str">
        <f t="shared" si="2079"/>
        <v>A68FCB</v>
      </c>
      <c r="V5273">
        <v>0</v>
      </c>
      <c r="W5273">
        <v>0</v>
      </c>
      <c r="X5273">
        <v>2</v>
      </c>
      <c r="Y5273">
        <v>0</v>
      </c>
      <c r="AA5273">
        <v>1</v>
      </c>
      <c r="AB5273">
        <v>8</v>
      </c>
      <c r="AC5273">
        <v>3</v>
      </c>
      <c r="AD5273">
        <v>0</v>
      </c>
      <c r="AE5273">
        <v>9</v>
      </c>
      <c r="AF5273" t="s">
        <v>138</v>
      </c>
      <c r="AG5273">
        <v>0</v>
      </c>
      <c r="AH5273">
        <v>3</v>
      </c>
      <c r="AI5273">
        <v>2</v>
      </c>
      <c r="AJ5273">
        <v>0</v>
      </c>
      <c r="AK5273" t="s">
        <v>1658</v>
      </c>
      <c r="AL5273">
        <v>39.228164999999997</v>
      </c>
      <c r="AM5273" t="s">
        <v>1659</v>
      </c>
      <c r="AN5273">
        <v>-121.029596</v>
      </c>
      <c r="AO5273">
        <v>25</v>
      </c>
      <c r="AP5273">
        <v>3300</v>
      </c>
      <c r="AQ5273" t="s">
        <v>131</v>
      </c>
      <c r="AR5273">
        <v>21</v>
      </c>
      <c r="AS5273">
        <v>-61</v>
      </c>
      <c r="AT5273">
        <v>-1472</v>
      </c>
      <c r="BB5273" t="str">
        <f t="shared" si="2080"/>
        <v>1200</v>
      </c>
      <c r="BC5273">
        <v>1</v>
      </c>
      <c r="BD5273" t="str">
        <f t="shared" si="2081"/>
        <v xml:space="preserve">N52156  </v>
      </c>
      <c r="BE5273">
        <v>1</v>
      </c>
      <c r="BG5273">
        <v>0</v>
      </c>
      <c r="BH5273">
        <v>0</v>
      </c>
      <c r="BI5273">
        <v>0</v>
      </c>
      <c r="BJ5273">
        <v>3425</v>
      </c>
      <c r="BK5273">
        <v>125</v>
      </c>
      <c r="BL5273" t="s">
        <v>188</v>
      </c>
      <c r="BM5273">
        <v>1</v>
      </c>
      <c r="BN5273">
        <v>1</v>
      </c>
      <c r="BO5273">
        <v>0</v>
      </c>
      <c r="BP5273">
        <v>0</v>
      </c>
      <c r="BS5273">
        <v>0</v>
      </c>
      <c r="BT5273">
        <v>0</v>
      </c>
      <c r="BU5273">
        <v>0</v>
      </c>
      <c r="CE5273" t="str">
        <f t="shared" si="2089"/>
        <v>15:19:10.799</v>
      </c>
      <c r="CF5273">
        <v>798504868</v>
      </c>
      <c r="CS5273">
        <v>0</v>
      </c>
      <c r="CT5273">
        <v>2</v>
      </c>
      <c r="CU5273">
        <v>0</v>
      </c>
      <c r="CV5273">
        <v>2</v>
      </c>
      <c r="CW5273">
        <v>0</v>
      </c>
      <c r="CX5273">
        <v>4</v>
      </c>
      <c r="CY5273">
        <v>7</v>
      </c>
      <c r="CZ5273" t="s">
        <v>133</v>
      </c>
      <c r="DA5273">
        <v>275</v>
      </c>
      <c r="DB5273">
        <v>0</v>
      </c>
      <c r="DC5273" t="s">
        <v>134</v>
      </c>
      <c r="DD5273" t="s">
        <v>135</v>
      </c>
      <c r="DG5273">
        <v>3323753</v>
      </c>
      <c r="DI5273">
        <v>1</v>
      </c>
      <c r="DJ5273">
        <v>0</v>
      </c>
      <c r="DK5273">
        <v>1</v>
      </c>
      <c r="DL5273">
        <v>0</v>
      </c>
      <c r="DM5273">
        <v>0</v>
      </c>
      <c r="DN5273">
        <v>0</v>
      </c>
      <c r="DO5273">
        <v>0</v>
      </c>
      <c r="DP5273">
        <v>0</v>
      </c>
      <c r="DQ5273">
        <v>0</v>
      </c>
      <c r="DR5273">
        <v>0</v>
      </c>
      <c r="DS5273">
        <v>0</v>
      </c>
    </row>
    <row r="5274" spans="1:123" x14ac:dyDescent="0.3">
      <c r="A5274" t="str">
        <f>"05/01/2025 15:19:11.023"</f>
        <v>05/01/2025 15:19:11.023</v>
      </c>
      <c r="C5274" t="str">
        <f t="shared" si="2078"/>
        <v>FFDFD3C0</v>
      </c>
      <c r="D5274" t="s">
        <v>145</v>
      </c>
      <c r="E5274" t="str">
        <f>"05"</f>
        <v>05</v>
      </c>
      <c r="H5274">
        <v>47</v>
      </c>
      <c r="I5274" t="s">
        <v>146</v>
      </c>
      <c r="J5274" t="s">
        <v>138</v>
      </c>
      <c r="K5274">
        <v>0</v>
      </c>
      <c r="L5274">
        <v>3</v>
      </c>
      <c r="M5274">
        <v>0</v>
      </c>
      <c r="N5274">
        <v>2</v>
      </c>
      <c r="O5274">
        <v>0</v>
      </c>
      <c r="P5274">
        <v>1</v>
      </c>
      <c r="Q5274">
        <v>0</v>
      </c>
      <c r="R5274" t="s">
        <v>127</v>
      </c>
      <c r="S5274" t="str">
        <f t="shared" si="2088"/>
        <v>15:19:10.000</v>
      </c>
      <c r="T5274" t="str">
        <f t="shared" si="2088"/>
        <v>15:19:10.000</v>
      </c>
      <c r="U5274" t="str">
        <f t="shared" si="2079"/>
        <v>A68FCB</v>
      </c>
      <c r="V5274">
        <v>0</v>
      </c>
      <c r="W5274">
        <v>0</v>
      </c>
      <c r="X5274">
        <v>2</v>
      </c>
      <c r="Y5274">
        <v>0</v>
      </c>
      <c r="AA5274">
        <v>1</v>
      </c>
      <c r="AB5274">
        <v>8</v>
      </c>
      <c r="AC5274">
        <v>3</v>
      </c>
      <c r="AD5274">
        <v>0</v>
      </c>
      <c r="AE5274">
        <v>9</v>
      </c>
      <c r="AF5274" t="s">
        <v>138</v>
      </c>
      <c r="AG5274">
        <v>0</v>
      </c>
      <c r="AH5274">
        <v>3</v>
      </c>
      <c r="AI5274">
        <v>2</v>
      </c>
      <c r="AJ5274">
        <v>0</v>
      </c>
      <c r="AK5274" t="s">
        <v>1658</v>
      </c>
      <c r="AL5274">
        <v>39.228164999999997</v>
      </c>
      <c r="AM5274" t="s">
        <v>1659</v>
      </c>
      <c r="AN5274">
        <v>-121.029596</v>
      </c>
      <c r="AO5274">
        <v>25</v>
      </c>
      <c r="AP5274">
        <v>3300</v>
      </c>
      <c r="AQ5274" t="s">
        <v>131</v>
      </c>
      <c r="AR5274">
        <v>21</v>
      </c>
      <c r="AS5274">
        <v>-61</v>
      </c>
      <c r="AT5274">
        <v>-1472</v>
      </c>
      <c r="BB5274" t="str">
        <f t="shared" si="2080"/>
        <v>1200</v>
      </c>
      <c r="BC5274">
        <v>1</v>
      </c>
      <c r="BD5274" t="str">
        <f t="shared" si="2081"/>
        <v xml:space="preserve">N52156  </v>
      </c>
      <c r="BE5274">
        <v>1</v>
      </c>
      <c r="BG5274">
        <v>0</v>
      </c>
      <c r="BH5274">
        <v>0</v>
      </c>
      <c r="BI5274">
        <v>0</v>
      </c>
      <c r="BJ5274">
        <v>3425</v>
      </c>
      <c r="BK5274">
        <v>125</v>
      </c>
      <c r="BL5274" t="s">
        <v>188</v>
      </c>
      <c r="BM5274">
        <v>1</v>
      </c>
      <c r="BN5274">
        <v>1</v>
      </c>
      <c r="BO5274">
        <v>0</v>
      </c>
      <c r="BP5274">
        <v>0</v>
      </c>
      <c r="BS5274">
        <v>0</v>
      </c>
      <c r="BT5274">
        <v>0</v>
      </c>
      <c r="BU5274">
        <v>0</v>
      </c>
      <c r="CE5274" t="str">
        <f t="shared" si="2089"/>
        <v>15:19:10.799</v>
      </c>
      <c r="CF5274">
        <v>798504868</v>
      </c>
      <c r="CS5274">
        <v>0</v>
      </c>
      <c r="CT5274">
        <v>2</v>
      </c>
      <c r="CU5274">
        <v>0</v>
      </c>
      <c r="CV5274">
        <v>2</v>
      </c>
      <c r="CW5274">
        <v>0</v>
      </c>
      <c r="CX5274">
        <v>4</v>
      </c>
      <c r="CY5274">
        <v>7</v>
      </c>
      <c r="CZ5274" t="s">
        <v>133</v>
      </c>
      <c r="DA5274">
        <v>275</v>
      </c>
      <c r="DB5274">
        <v>0</v>
      </c>
      <c r="DC5274" t="s">
        <v>134</v>
      </c>
      <c r="DD5274" t="s">
        <v>135</v>
      </c>
      <c r="DG5274">
        <v>3323753</v>
      </c>
      <c r="DI5274">
        <v>1</v>
      </c>
      <c r="DJ5274">
        <v>0</v>
      </c>
      <c r="DK5274">
        <v>1</v>
      </c>
      <c r="DL5274">
        <v>0</v>
      </c>
      <c r="DM5274">
        <v>0</v>
      </c>
      <c r="DN5274">
        <v>0</v>
      </c>
      <c r="DO5274">
        <v>0</v>
      </c>
      <c r="DP5274">
        <v>0</v>
      </c>
      <c r="DQ5274">
        <v>0</v>
      </c>
      <c r="DR5274">
        <v>0</v>
      </c>
      <c r="DS5274">
        <v>0</v>
      </c>
    </row>
    <row r="5275" spans="1:123" x14ac:dyDescent="0.3">
      <c r="A5275" t="str">
        <f>"05/01/2025 15:19:11.032"</f>
        <v>05/01/2025 15:19:11.032</v>
      </c>
      <c r="C5275" t="str">
        <f t="shared" si="2078"/>
        <v>FFDFD3C0</v>
      </c>
      <c r="D5275" t="s">
        <v>136</v>
      </c>
      <c r="E5275" t="str">
        <f>"20"</f>
        <v>20</v>
      </c>
      <c r="H5275">
        <v>400</v>
      </c>
      <c r="I5275" t="s">
        <v>137</v>
      </c>
      <c r="J5275" t="s">
        <v>138</v>
      </c>
      <c r="K5275">
        <v>0</v>
      </c>
      <c r="L5275">
        <v>3</v>
      </c>
      <c r="M5275">
        <v>0</v>
      </c>
      <c r="N5275">
        <v>2</v>
      </c>
      <c r="O5275">
        <v>0</v>
      </c>
      <c r="P5275">
        <v>1</v>
      </c>
      <c r="Q5275">
        <v>0</v>
      </c>
      <c r="R5275" t="s">
        <v>127</v>
      </c>
      <c r="S5275" t="str">
        <f t="shared" si="2088"/>
        <v>15:19:10.000</v>
      </c>
      <c r="T5275" t="str">
        <f t="shared" si="2088"/>
        <v>15:19:10.000</v>
      </c>
      <c r="U5275" t="str">
        <f t="shared" si="2079"/>
        <v>A68FCB</v>
      </c>
      <c r="V5275">
        <v>0</v>
      </c>
      <c r="W5275">
        <v>0</v>
      </c>
      <c r="X5275">
        <v>2</v>
      </c>
      <c r="Y5275">
        <v>0</v>
      </c>
      <c r="AA5275">
        <v>1</v>
      </c>
      <c r="AB5275">
        <v>8</v>
      </c>
      <c r="AC5275">
        <v>3</v>
      </c>
      <c r="AD5275">
        <v>0</v>
      </c>
      <c r="AE5275">
        <v>9</v>
      </c>
      <c r="AF5275" t="s">
        <v>138</v>
      </c>
      <c r="AG5275">
        <v>0</v>
      </c>
      <c r="AH5275">
        <v>3</v>
      </c>
      <c r="AI5275">
        <v>2</v>
      </c>
      <c r="AJ5275">
        <v>0</v>
      </c>
      <c r="AK5275" t="s">
        <v>1658</v>
      </c>
      <c r="AL5275">
        <v>39.228164999999997</v>
      </c>
      <c r="AM5275" t="s">
        <v>1659</v>
      </c>
      <c r="AN5275">
        <v>-121.029596</v>
      </c>
      <c r="AO5275">
        <v>25</v>
      </c>
      <c r="AP5275">
        <v>3300</v>
      </c>
      <c r="AQ5275" t="s">
        <v>131</v>
      </c>
      <c r="AR5275">
        <v>21</v>
      </c>
      <c r="AS5275">
        <v>-61</v>
      </c>
      <c r="AT5275">
        <v>-1472</v>
      </c>
      <c r="BB5275" t="str">
        <f t="shared" si="2080"/>
        <v>1200</v>
      </c>
      <c r="BC5275">
        <v>1</v>
      </c>
      <c r="BD5275" t="str">
        <f t="shared" si="2081"/>
        <v xml:space="preserve">N52156  </v>
      </c>
      <c r="BE5275">
        <v>1</v>
      </c>
      <c r="BG5275">
        <v>0</v>
      </c>
      <c r="BH5275">
        <v>0</v>
      </c>
      <c r="BI5275">
        <v>0</v>
      </c>
      <c r="BJ5275">
        <v>3425</v>
      </c>
      <c r="BK5275">
        <v>125</v>
      </c>
      <c r="BL5275" t="s">
        <v>188</v>
      </c>
      <c r="BM5275">
        <v>1</v>
      </c>
      <c r="BN5275">
        <v>1</v>
      </c>
      <c r="BO5275">
        <v>0</v>
      </c>
      <c r="BP5275">
        <v>0</v>
      </c>
      <c r="BS5275">
        <v>0</v>
      </c>
      <c r="BT5275">
        <v>0</v>
      </c>
      <c r="BU5275">
        <v>0</v>
      </c>
      <c r="CE5275" t="str">
        <f t="shared" si="2089"/>
        <v>15:19:10.799</v>
      </c>
      <c r="CF5275">
        <v>798504868</v>
      </c>
      <c r="CS5275">
        <v>0</v>
      </c>
      <c r="CT5275">
        <v>2</v>
      </c>
      <c r="CU5275">
        <v>0</v>
      </c>
      <c r="CV5275">
        <v>2</v>
      </c>
      <c r="CW5275">
        <v>0</v>
      </c>
      <c r="CX5275">
        <v>4</v>
      </c>
      <c r="CY5275">
        <v>7</v>
      </c>
      <c r="CZ5275" t="s">
        <v>133</v>
      </c>
      <c r="DA5275">
        <v>275</v>
      </c>
      <c r="DB5275">
        <v>0</v>
      </c>
      <c r="DC5275" t="s">
        <v>134</v>
      </c>
      <c r="DD5275" t="s">
        <v>135</v>
      </c>
      <c r="DG5275">
        <v>3323753</v>
      </c>
      <c r="DI5275">
        <v>1</v>
      </c>
      <c r="DJ5275">
        <v>0</v>
      </c>
      <c r="DK5275">
        <v>1</v>
      </c>
      <c r="DL5275">
        <v>0</v>
      </c>
      <c r="DM5275">
        <v>0</v>
      </c>
      <c r="DN5275">
        <v>0</v>
      </c>
      <c r="DO5275">
        <v>0</v>
      </c>
      <c r="DP5275">
        <v>0</v>
      </c>
      <c r="DQ5275">
        <v>0</v>
      </c>
      <c r="DR5275">
        <v>0</v>
      </c>
      <c r="DS5275">
        <v>0</v>
      </c>
    </row>
    <row r="5276" spans="1:123" x14ac:dyDescent="0.3">
      <c r="A5276" t="str">
        <f>"05/01/2025 15:19:11.598"</f>
        <v>05/01/2025 15:19:11.598</v>
      </c>
      <c r="C5276" t="str">
        <f t="shared" si="2078"/>
        <v>FFDFD3C0</v>
      </c>
      <c r="D5276" t="s">
        <v>140</v>
      </c>
      <c r="E5276" t="str">
        <f>"13"</f>
        <v>13</v>
      </c>
      <c r="F5276">
        <v>1019</v>
      </c>
      <c r="G5276" t="s">
        <v>141</v>
      </c>
      <c r="J5276" t="s">
        <v>142</v>
      </c>
      <c r="K5276">
        <v>0</v>
      </c>
      <c r="L5276">
        <v>3</v>
      </c>
      <c r="M5276">
        <v>0</v>
      </c>
      <c r="N5276">
        <v>2</v>
      </c>
      <c r="O5276">
        <v>0</v>
      </c>
      <c r="P5276">
        <v>1</v>
      </c>
      <c r="Q5276">
        <v>0</v>
      </c>
      <c r="R5276" t="s">
        <v>127</v>
      </c>
      <c r="S5276" t="str">
        <f t="shared" ref="S5276:T5281" si="2090">"15:19:11.000"</f>
        <v>15:19:11.000</v>
      </c>
      <c r="T5276" t="str">
        <f t="shared" si="2090"/>
        <v>15:19:11.000</v>
      </c>
      <c r="U5276" t="str">
        <f t="shared" si="2079"/>
        <v>A68FCB</v>
      </c>
      <c r="V5276">
        <v>0</v>
      </c>
      <c r="W5276">
        <v>0</v>
      </c>
      <c r="X5276">
        <v>2</v>
      </c>
      <c r="Y5276">
        <v>0</v>
      </c>
      <c r="AA5276">
        <v>1</v>
      </c>
      <c r="AB5276">
        <v>8</v>
      </c>
      <c r="AC5276">
        <v>3</v>
      </c>
      <c r="AD5276">
        <v>0</v>
      </c>
      <c r="AE5276">
        <v>9</v>
      </c>
      <c r="AF5276" t="s">
        <v>138</v>
      </c>
      <c r="AG5276">
        <v>0</v>
      </c>
      <c r="AH5276">
        <v>3</v>
      </c>
      <c r="AI5276">
        <v>2</v>
      </c>
      <c r="AJ5276">
        <v>0</v>
      </c>
      <c r="AK5276" t="s">
        <v>1660</v>
      </c>
      <c r="AL5276">
        <v>39.227885999999998</v>
      </c>
      <c r="AM5276" t="s">
        <v>1661</v>
      </c>
      <c r="AN5276">
        <v>-121.02944599999999</v>
      </c>
      <c r="AO5276">
        <v>25</v>
      </c>
      <c r="AP5276">
        <v>3300</v>
      </c>
      <c r="AQ5276" t="s">
        <v>131</v>
      </c>
      <c r="AR5276">
        <v>25</v>
      </c>
      <c r="AS5276">
        <v>-58</v>
      </c>
      <c r="AT5276">
        <v>-1216</v>
      </c>
      <c r="BB5276" t="str">
        <f t="shared" si="2080"/>
        <v>1200</v>
      </c>
      <c r="BC5276">
        <v>1</v>
      </c>
      <c r="BD5276" t="str">
        <f t="shared" si="2081"/>
        <v xml:space="preserve">N52156  </v>
      </c>
      <c r="BE5276">
        <v>1</v>
      </c>
      <c r="BG5276">
        <v>0</v>
      </c>
      <c r="BH5276">
        <v>0</v>
      </c>
      <c r="BI5276">
        <v>0</v>
      </c>
      <c r="BJ5276">
        <v>3350</v>
      </c>
      <c r="BK5276">
        <v>50</v>
      </c>
      <c r="BL5276" t="s">
        <v>188</v>
      </c>
      <c r="BM5276">
        <v>1</v>
      </c>
      <c r="BN5276">
        <v>1</v>
      </c>
      <c r="BO5276">
        <v>0</v>
      </c>
      <c r="BP5276">
        <v>0</v>
      </c>
      <c r="BS5276">
        <v>0</v>
      </c>
      <c r="BT5276">
        <v>0</v>
      </c>
      <c r="BU5276">
        <v>0</v>
      </c>
      <c r="CE5276" t="str">
        <f t="shared" ref="CE5276:CE5281" si="2091">"15:19:11.375"</f>
        <v>15:19:11.375</v>
      </c>
      <c r="CF5276">
        <v>375254017</v>
      </c>
      <c r="CS5276">
        <v>0</v>
      </c>
      <c r="CT5276">
        <v>2</v>
      </c>
      <c r="CU5276">
        <v>0</v>
      </c>
      <c r="CV5276">
        <v>2</v>
      </c>
      <c r="CW5276">
        <v>0</v>
      </c>
      <c r="CX5276">
        <v>4</v>
      </c>
      <c r="CY5276">
        <v>7</v>
      </c>
      <c r="CZ5276" t="s">
        <v>133</v>
      </c>
      <c r="DA5276">
        <v>275</v>
      </c>
      <c r="DB5276">
        <v>0</v>
      </c>
      <c r="DC5276" t="s">
        <v>134</v>
      </c>
      <c r="DD5276" t="s">
        <v>135</v>
      </c>
      <c r="DG5276">
        <v>3323758</v>
      </c>
      <c r="DI5276">
        <v>1</v>
      </c>
      <c r="DJ5276">
        <v>0</v>
      </c>
      <c r="DK5276">
        <v>0</v>
      </c>
      <c r="DL5276">
        <v>0</v>
      </c>
      <c r="DM5276">
        <v>0</v>
      </c>
      <c r="DN5276">
        <v>0</v>
      </c>
      <c r="DO5276">
        <v>0</v>
      </c>
      <c r="DP5276">
        <v>0</v>
      </c>
      <c r="DQ5276">
        <v>0</v>
      </c>
      <c r="DR5276">
        <v>0</v>
      </c>
      <c r="DS5276">
        <v>0</v>
      </c>
    </row>
    <row r="5277" spans="1:123" x14ac:dyDescent="0.3">
      <c r="A5277" t="str">
        <f>"05/01/2025 15:19:11.598"</f>
        <v>05/01/2025 15:19:11.598</v>
      </c>
      <c r="C5277" t="str">
        <f t="shared" si="2078"/>
        <v>FFDFD3C0</v>
      </c>
      <c r="D5277" t="s">
        <v>124</v>
      </c>
      <c r="E5277" t="str">
        <f>"06"</f>
        <v>06</v>
      </c>
      <c r="F5277">
        <v>2006</v>
      </c>
      <c r="G5277" t="s">
        <v>125</v>
      </c>
      <c r="J5277" t="s">
        <v>126</v>
      </c>
      <c r="K5277">
        <v>0</v>
      </c>
      <c r="L5277">
        <v>3</v>
      </c>
      <c r="M5277">
        <v>0</v>
      </c>
      <c r="N5277">
        <v>2</v>
      </c>
      <c r="O5277">
        <v>0</v>
      </c>
      <c r="P5277">
        <v>1</v>
      </c>
      <c r="Q5277">
        <v>0</v>
      </c>
      <c r="R5277" t="s">
        <v>127</v>
      </c>
      <c r="S5277" t="str">
        <f t="shared" si="2090"/>
        <v>15:19:11.000</v>
      </c>
      <c r="T5277" t="str">
        <f t="shared" si="2090"/>
        <v>15:19:11.000</v>
      </c>
      <c r="U5277" t="str">
        <f t="shared" si="2079"/>
        <v>A68FCB</v>
      </c>
      <c r="V5277">
        <v>0</v>
      </c>
      <c r="W5277">
        <v>0</v>
      </c>
      <c r="X5277">
        <v>2</v>
      </c>
      <c r="Y5277">
        <v>0</v>
      </c>
      <c r="AA5277">
        <v>1</v>
      </c>
      <c r="AB5277">
        <v>8</v>
      </c>
      <c r="AC5277">
        <v>3</v>
      </c>
      <c r="AD5277">
        <v>0</v>
      </c>
      <c r="AE5277">
        <v>9</v>
      </c>
      <c r="AF5277" t="s">
        <v>138</v>
      </c>
      <c r="AG5277">
        <v>0</v>
      </c>
      <c r="AH5277">
        <v>3</v>
      </c>
      <c r="AI5277">
        <v>2</v>
      </c>
      <c r="AJ5277">
        <v>0</v>
      </c>
      <c r="AK5277" t="s">
        <v>1660</v>
      </c>
      <c r="AL5277">
        <v>39.227885999999998</v>
      </c>
      <c r="AM5277" t="s">
        <v>1661</v>
      </c>
      <c r="AN5277">
        <v>-121.02944599999999</v>
      </c>
      <c r="AO5277">
        <v>25</v>
      </c>
      <c r="AP5277">
        <v>3300</v>
      </c>
      <c r="AQ5277" t="s">
        <v>131</v>
      </c>
      <c r="AR5277">
        <v>25</v>
      </c>
      <c r="AS5277">
        <v>-58</v>
      </c>
      <c r="AT5277">
        <v>-1216</v>
      </c>
      <c r="BB5277" t="str">
        <f t="shared" si="2080"/>
        <v>1200</v>
      </c>
      <c r="BC5277">
        <v>1</v>
      </c>
      <c r="BD5277" t="str">
        <f t="shared" si="2081"/>
        <v xml:space="preserve">N52156  </v>
      </c>
      <c r="BE5277">
        <v>1</v>
      </c>
      <c r="BG5277">
        <v>0</v>
      </c>
      <c r="BH5277">
        <v>0</v>
      </c>
      <c r="BI5277">
        <v>0</v>
      </c>
      <c r="BJ5277">
        <v>3350</v>
      </c>
      <c r="BK5277">
        <v>50</v>
      </c>
      <c r="BL5277" t="s">
        <v>188</v>
      </c>
      <c r="BM5277">
        <v>1</v>
      </c>
      <c r="BN5277">
        <v>1</v>
      </c>
      <c r="BO5277">
        <v>0</v>
      </c>
      <c r="BP5277">
        <v>0</v>
      </c>
      <c r="BS5277">
        <v>0</v>
      </c>
      <c r="BT5277">
        <v>0</v>
      </c>
      <c r="BU5277">
        <v>0</v>
      </c>
      <c r="CE5277" t="str">
        <f t="shared" si="2091"/>
        <v>15:19:11.375</v>
      </c>
      <c r="CF5277">
        <v>375254017</v>
      </c>
      <c r="CS5277">
        <v>0</v>
      </c>
      <c r="CT5277">
        <v>2</v>
      </c>
      <c r="CU5277">
        <v>0</v>
      </c>
      <c r="CV5277">
        <v>2</v>
      </c>
      <c r="CW5277">
        <v>0</v>
      </c>
      <c r="CX5277">
        <v>4</v>
      </c>
      <c r="CY5277">
        <v>7</v>
      </c>
      <c r="CZ5277" t="s">
        <v>133</v>
      </c>
      <c r="DA5277">
        <v>275</v>
      </c>
      <c r="DB5277">
        <v>0</v>
      </c>
      <c r="DC5277" t="s">
        <v>134</v>
      </c>
      <c r="DD5277" t="s">
        <v>135</v>
      </c>
      <c r="DG5277">
        <v>3323758</v>
      </c>
      <c r="DI5277">
        <v>1</v>
      </c>
      <c r="DJ5277">
        <v>0</v>
      </c>
      <c r="DK5277">
        <v>1</v>
      </c>
      <c r="DL5277">
        <v>0</v>
      </c>
      <c r="DM5277">
        <v>0</v>
      </c>
      <c r="DN5277">
        <v>0</v>
      </c>
      <c r="DO5277">
        <v>0</v>
      </c>
      <c r="DP5277">
        <v>0</v>
      </c>
      <c r="DQ5277">
        <v>0</v>
      </c>
      <c r="DR5277">
        <v>0</v>
      </c>
      <c r="DS5277">
        <v>0</v>
      </c>
    </row>
    <row r="5278" spans="1:123" x14ac:dyDescent="0.3">
      <c r="A5278" t="str">
        <f>"05/01/2025 15:19:11.612"</f>
        <v>05/01/2025 15:19:11.612</v>
      </c>
      <c r="C5278" t="str">
        <f t="shared" si="2078"/>
        <v>FFDFD3C0</v>
      </c>
      <c r="D5278" t="s">
        <v>143</v>
      </c>
      <c r="E5278" t="str">
        <f>"05"</f>
        <v>05</v>
      </c>
      <c r="H5278">
        <v>172</v>
      </c>
      <c r="I5278" t="s">
        <v>141</v>
      </c>
      <c r="J5278" t="s">
        <v>144</v>
      </c>
      <c r="K5278">
        <v>0</v>
      </c>
      <c r="L5278">
        <v>3</v>
      </c>
      <c r="M5278">
        <v>0</v>
      </c>
      <c r="N5278">
        <v>2</v>
      </c>
      <c r="O5278">
        <v>0</v>
      </c>
      <c r="P5278">
        <v>1</v>
      </c>
      <c r="Q5278">
        <v>0</v>
      </c>
      <c r="R5278" t="s">
        <v>127</v>
      </c>
      <c r="S5278" t="str">
        <f t="shared" si="2090"/>
        <v>15:19:11.000</v>
      </c>
      <c r="T5278" t="str">
        <f t="shared" si="2090"/>
        <v>15:19:11.000</v>
      </c>
      <c r="U5278" t="str">
        <f t="shared" si="2079"/>
        <v>A68FCB</v>
      </c>
      <c r="V5278">
        <v>0</v>
      </c>
      <c r="W5278">
        <v>0</v>
      </c>
      <c r="X5278">
        <v>2</v>
      </c>
      <c r="Y5278">
        <v>0</v>
      </c>
      <c r="AA5278">
        <v>1</v>
      </c>
      <c r="AB5278">
        <v>8</v>
      </c>
      <c r="AC5278">
        <v>3</v>
      </c>
      <c r="AD5278">
        <v>0</v>
      </c>
      <c r="AE5278">
        <v>9</v>
      </c>
      <c r="AF5278" t="s">
        <v>138</v>
      </c>
      <c r="AG5278">
        <v>0</v>
      </c>
      <c r="AH5278">
        <v>3</v>
      </c>
      <c r="AI5278">
        <v>2</v>
      </c>
      <c r="AJ5278">
        <v>0</v>
      </c>
      <c r="AK5278" t="s">
        <v>1660</v>
      </c>
      <c r="AL5278">
        <v>39.227885999999998</v>
      </c>
      <c r="AM5278" t="s">
        <v>1661</v>
      </c>
      <c r="AN5278">
        <v>-121.02944599999999</v>
      </c>
      <c r="AO5278">
        <v>25</v>
      </c>
      <c r="AP5278">
        <v>3300</v>
      </c>
      <c r="AQ5278" t="s">
        <v>131</v>
      </c>
      <c r="AR5278">
        <v>25</v>
      </c>
      <c r="AS5278">
        <v>-58</v>
      </c>
      <c r="AT5278">
        <v>-1216</v>
      </c>
      <c r="BB5278" t="str">
        <f t="shared" si="2080"/>
        <v>1200</v>
      </c>
      <c r="BC5278">
        <v>1</v>
      </c>
      <c r="BD5278" t="str">
        <f t="shared" si="2081"/>
        <v xml:space="preserve">N52156  </v>
      </c>
      <c r="BE5278">
        <v>1</v>
      </c>
      <c r="BG5278">
        <v>0</v>
      </c>
      <c r="BH5278">
        <v>0</v>
      </c>
      <c r="BI5278">
        <v>0</v>
      </c>
      <c r="BJ5278">
        <v>3350</v>
      </c>
      <c r="BK5278">
        <v>50</v>
      </c>
      <c r="BL5278" t="s">
        <v>188</v>
      </c>
      <c r="BM5278">
        <v>1</v>
      </c>
      <c r="BN5278">
        <v>1</v>
      </c>
      <c r="BO5278">
        <v>0</v>
      </c>
      <c r="BP5278">
        <v>0</v>
      </c>
      <c r="BS5278">
        <v>0</v>
      </c>
      <c r="BT5278">
        <v>0</v>
      </c>
      <c r="BU5278">
        <v>0</v>
      </c>
      <c r="CE5278" t="str">
        <f t="shared" si="2091"/>
        <v>15:19:11.375</v>
      </c>
      <c r="CF5278">
        <v>375254017</v>
      </c>
      <c r="CS5278">
        <v>0</v>
      </c>
      <c r="CT5278">
        <v>2</v>
      </c>
      <c r="CU5278">
        <v>0</v>
      </c>
      <c r="CV5278">
        <v>2</v>
      </c>
      <c r="CW5278">
        <v>0</v>
      </c>
      <c r="CX5278">
        <v>4</v>
      </c>
      <c r="CY5278">
        <v>7</v>
      </c>
      <c r="CZ5278" t="s">
        <v>133</v>
      </c>
      <c r="DA5278">
        <v>275</v>
      </c>
      <c r="DB5278">
        <v>0</v>
      </c>
      <c r="DC5278" t="s">
        <v>134</v>
      </c>
      <c r="DD5278" t="s">
        <v>135</v>
      </c>
      <c r="DG5278">
        <v>3323758</v>
      </c>
      <c r="DI5278">
        <v>1</v>
      </c>
      <c r="DJ5278">
        <v>0</v>
      </c>
      <c r="DK5278">
        <v>1</v>
      </c>
      <c r="DL5278">
        <v>0</v>
      </c>
      <c r="DM5278">
        <v>0</v>
      </c>
      <c r="DN5278">
        <v>0</v>
      </c>
      <c r="DO5278">
        <v>0</v>
      </c>
      <c r="DP5278">
        <v>0</v>
      </c>
      <c r="DQ5278">
        <v>0</v>
      </c>
      <c r="DR5278">
        <v>0</v>
      </c>
      <c r="DS5278">
        <v>0</v>
      </c>
    </row>
    <row r="5279" spans="1:123" x14ac:dyDescent="0.3">
      <c r="A5279" t="str">
        <f>"05/01/2025 15:19:11.623"</f>
        <v>05/01/2025 15:19:11.623</v>
      </c>
      <c r="C5279" t="str">
        <f t="shared" si="2078"/>
        <v>FFDFD3C0</v>
      </c>
      <c r="D5279" t="s">
        <v>145</v>
      </c>
      <c r="E5279" t="str">
        <f>"09"</f>
        <v>09</v>
      </c>
      <c r="H5279">
        <v>51</v>
      </c>
      <c r="I5279" t="s">
        <v>147</v>
      </c>
      <c r="J5279" t="s">
        <v>138</v>
      </c>
      <c r="K5279">
        <v>0</v>
      </c>
      <c r="L5279">
        <v>3</v>
      </c>
      <c r="M5279">
        <v>0</v>
      </c>
      <c r="N5279">
        <v>2</v>
      </c>
      <c r="O5279">
        <v>0</v>
      </c>
      <c r="P5279">
        <v>1</v>
      </c>
      <c r="Q5279">
        <v>0</v>
      </c>
      <c r="R5279" t="s">
        <v>127</v>
      </c>
      <c r="S5279" t="str">
        <f t="shared" si="2090"/>
        <v>15:19:11.000</v>
      </c>
      <c r="T5279" t="str">
        <f t="shared" si="2090"/>
        <v>15:19:11.000</v>
      </c>
      <c r="U5279" t="str">
        <f t="shared" si="2079"/>
        <v>A68FCB</v>
      </c>
      <c r="V5279">
        <v>0</v>
      </c>
      <c r="W5279">
        <v>0</v>
      </c>
      <c r="X5279">
        <v>2</v>
      </c>
      <c r="Y5279">
        <v>0</v>
      </c>
      <c r="AA5279">
        <v>1</v>
      </c>
      <c r="AB5279">
        <v>8</v>
      </c>
      <c r="AC5279">
        <v>3</v>
      </c>
      <c r="AD5279">
        <v>0</v>
      </c>
      <c r="AE5279">
        <v>9</v>
      </c>
      <c r="AF5279" t="s">
        <v>138</v>
      </c>
      <c r="AG5279">
        <v>0</v>
      </c>
      <c r="AH5279">
        <v>3</v>
      </c>
      <c r="AI5279">
        <v>2</v>
      </c>
      <c r="AJ5279">
        <v>0</v>
      </c>
      <c r="AK5279" t="s">
        <v>1660</v>
      </c>
      <c r="AL5279">
        <v>39.227885999999998</v>
      </c>
      <c r="AM5279" t="s">
        <v>1661</v>
      </c>
      <c r="AN5279">
        <v>-121.02944599999999</v>
      </c>
      <c r="AO5279">
        <v>25</v>
      </c>
      <c r="AP5279">
        <v>3300</v>
      </c>
      <c r="AQ5279" t="s">
        <v>131</v>
      </c>
      <c r="AR5279">
        <v>25</v>
      </c>
      <c r="AS5279">
        <v>-58</v>
      </c>
      <c r="AT5279">
        <v>-1216</v>
      </c>
      <c r="BB5279" t="str">
        <f t="shared" si="2080"/>
        <v>1200</v>
      </c>
      <c r="BC5279">
        <v>1</v>
      </c>
      <c r="BD5279" t="str">
        <f t="shared" si="2081"/>
        <v xml:space="preserve">N52156  </v>
      </c>
      <c r="BE5279">
        <v>1</v>
      </c>
      <c r="BG5279">
        <v>0</v>
      </c>
      <c r="BH5279">
        <v>0</v>
      </c>
      <c r="BI5279">
        <v>0</v>
      </c>
      <c r="BJ5279">
        <v>3350</v>
      </c>
      <c r="BK5279">
        <v>50</v>
      </c>
      <c r="BL5279" t="s">
        <v>188</v>
      </c>
      <c r="BM5279">
        <v>1</v>
      </c>
      <c r="BN5279">
        <v>1</v>
      </c>
      <c r="BO5279">
        <v>0</v>
      </c>
      <c r="BP5279">
        <v>0</v>
      </c>
      <c r="BS5279">
        <v>0</v>
      </c>
      <c r="BT5279">
        <v>0</v>
      </c>
      <c r="BU5279">
        <v>0</v>
      </c>
      <c r="CE5279" t="str">
        <f t="shared" si="2091"/>
        <v>15:19:11.375</v>
      </c>
      <c r="CF5279">
        <v>375254017</v>
      </c>
      <c r="CS5279">
        <v>0</v>
      </c>
      <c r="CT5279">
        <v>2</v>
      </c>
      <c r="CU5279">
        <v>0</v>
      </c>
      <c r="CV5279">
        <v>2</v>
      </c>
      <c r="CW5279">
        <v>0</v>
      </c>
      <c r="CX5279">
        <v>4</v>
      </c>
      <c r="CY5279">
        <v>7</v>
      </c>
      <c r="CZ5279" t="s">
        <v>133</v>
      </c>
      <c r="DA5279">
        <v>275</v>
      </c>
      <c r="DB5279">
        <v>0</v>
      </c>
      <c r="DC5279" t="s">
        <v>134</v>
      </c>
      <c r="DD5279" t="s">
        <v>135</v>
      </c>
      <c r="DG5279">
        <v>3323758</v>
      </c>
      <c r="DI5279">
        <v>1</v>
      </c>
      <c r="DJ5279">
        <v>0</v>
      </c>
      <c r="DK5279">
        <v>1</v>
      </c>
      <c r="DL5279">
        <v>0</v>
      </c>
      <c r="DM5279">
        <v>0</v>
      </c>
      <c r="DN5279">
        <v>0</v>
      </c>
      <c r="DO5279">
        <v>0</v>
      </c>
      <c r="DP5279">
        <v>0</v>
      </c>
      <c r="DQ5279">
        <v>0</v>
      </c>
      <c r="DR5279">
        <v>0</v>
      </c>
      <c r="DS5279">
        <v>0</v>
      </c>
    </row>
    <row r="5280" spans="1:123" x14ac:dyDescent="0.3">
      <c r="A5280" t="str">
        <f>"05/01/2025 15:19:11.624"</f>
        <v>05/01/2025 15:19:11.624</v>
      </c>
      <c r="C5280" t="str">
        <f t="shared" si="2078"/>
        <v>FFDFD3C0</v>
      </c>
      <c r="D5280" t="s">
        <v>145</v>
      </c>
      <c r="E5280" t="str">
        <f>"05"</f>
        <v>05</v>
      </c>
      <c r="H5280">
        <v>47</v>
      </c>
      <c r="I5280" t="s">
        <v>146</v>
      </c>
      <c r="J5280" t="s">
        <v>138</v>
      </c>
      <c r="K5280">
        <v>0</v>
      </c>
      <c r="L5280">
        <v>3</v>
      </c>
      <c r="M5280">
        <v>0</v>
      </c>
      <c r="N5280">
        <v>2</v>
      </c>
      <c r="O5280">
        <v>0</v>
      </c>
      <c r="P5280">
        <v>1</v>
      </c>
      <c r="Q5280">
        <v>0</v>
      </c>
      <c r="R5280" t="s">
        <v>127</v>
      </c>
      <c r="S5280" t="str">
        <f t="shared" si="2090"/>
        <v>15:19:11.000</v>
      </c>
      <c r="T5280" t="str">
        <f t="shared" si="2090"/>
        <v>15:19:11.000</v>
      </c>
      <c r="U5280" t="str">
        <f t="shared" si="2079"/>
        <v>A68FCB</v>
      </c>
      <c r="V5280">
        <v>0</v>
      </c>
      <c r="W5280">
        <v>0</v>
      </c>
      <c r="X5280">
        <v>2</v>
      </c>
      <c r="Y5280">
        <v>0</v>
      </c>
      <c r="AA5280">
        <v>1</v>
      </c>
      <c r="AB5280">
        <v>8</v>
      </c>
      <c r="AC5280">
        <v>3</v>
      </c>
      <c r="AD5280">
        <v>0</v>
      </c>
      <c r="AE5280">
        <v>9</v>
      </c>
      <c r="AF5280" t="s">
        <v>138</v>
      </c>
      <c r="AG5280">
        <v>0</v>
      </c>
      <c r="AH5280">
        <v>3</v>
      </c>
      <c r="AI5280">
        <v>2</v>
      </c>
      <c r="AJ5280">
        <v>0</v>
      </c>
      <c r="AK5280" t="s">
        <v>1660</v>
      </c>
      <c r="AL5280">
        <v>39.227885999999998</v>
      </c>
      <c r="AM5280" t="s">
        <v>1661</v>
      </c>
      <c r="AN5280">
        <v>-121.02944599999999</v>
      </c>
      <c r="AO5280">
        <v>25</v>
      </c>
      <c r="AP5280">
        <v>3300</v>
      </c>
      <c r="AQ5280" t="s">
        <v>131</v>
      </c>
      <c r="AR5280">
        <v>25</v>
      </c>
      <c r="AS5280">
        <v>-58</v>
      </c>
      <c r="AT5280">
        <v>-1216</v>
      </c>
      <c r="BB5280" t="str">
        <f t="shared" si="2080"/>
        <v>1200</v>
      </c>
      <c r="BC5280">
        <v>1</v>
      </c>
      <c r="BD5280" t="str">
        <f t="shared" si="2081"/>
        <v xml:space="preserve">N52156  </v>
      </c>
      <c r="BE5280">
        <v>1</v>
      </c>
      <c r="BG5280">
        <v>0</v>
      </c>
      <c r="BH5280">
        <v>0</v>
      </c>
      <c r="BI5280">
        <v>0</v>
      </c>
      <c r="BJ5280">
        <v>3350</v>
      </c>
      <c r="BK5280">
        <v>50</v>
      </c>
      <c r="BL5280" t="s">
        <v>188</v>
      </c>
      <c r="BM5280">
        <v>1</v>
      </c>
      <c r="BN5280">
        <v>1</v>
      </c>
      <c r="BO5280">
        <v>0</v>
      </c>
      <c r="BP5280">
        <v>0</v>
      </c>
      <c r="BS5280">
        <v>0</v>
      </c>
      <c r="BT5280">
        <v>0</v>
      </c>
      <c r="BU5280">
        <v>0</v>
      </c>
      <c r="CE5280" t="str">
        <f t="shared" si="2091"/>
        <v>15:19:11.375</v>
      </c>
      <c r="CF5280">
        <v>375254017</v>
      </c>
      <c r="CS5280">
        <v>0</v>
      </c>
      <c r="CT5280">
        <v>2</v>
      </c>
      <c r="CU5280">
        <v>0</v>
      </c>
      <c r="CV5280">
        <v>2</v>
      </c>
      <c r="CW5280">
        <v>0</v>
      </c>
      <c r="CX5280">
        <v>4</v>
      </c>
      <c r="CY5280">
        <v>7</v>
      </c>
      <c r="CZ5280" t="s">
        <v>133</v>
      </c>
      <c r="DA5280">
        <v>275</v>
      </c>
      <c r="DB5280">
        <v>0</v>
      </c>
      <c r="DC5280" t="s">
        <v>134</v>
      </c>
      <c r="DD5280" t="s">
        <v>135</v>
      </c>
      <c r="DG5280">
        <v>3323758</v>
      </c>
      <c r="DI5280">
        <v>1</v>
      </c>
      <c r="DJ5280">
        <v>0</v>
      </c>
      <c r="DK5280">
        <v>1</v>
      </c>
      <c r="DL5280">
        <v>0</v>
      </c>
      <c r="DM5280">
        <v>0</v>
      </c>
      <c r="DN5280">
        <v>0</v>
      </c>
      <c r="DO5280">
        <v>0</v>
      </c>
      <c r="DP5280">
        <v>0</v>
      </c>
      <c r="DQ5280">
        <v>0</v>
      </c>
      <c r="DR5280">
        <v>0</v>
      </c>
      <c r="DS5280">
        <v>0</v>
      </c>
    </row>
    <row r="5281" spans="1:123" x14ac:dyDescent="0.3">
      <c r="A5281" t="str">
        <f>"05/01/2025 15:19:11.633"</f>
        <v>05/01/2025 15:19:11.633</v>
      </c>
      <c r="C5281" t="str">
        <f t="shared" si="2078"/>
        <v>FFDFD3C0</v>
      </c>
      <c r="D5281" t="s">
        <v>136</v>
      </c>
      <c r="E5281" t="str">
        <f>"20"</f>
        <v>20</v>
      </c>
      <c r="H5281">
        <v>400</v>
      </c>
      <c r="I5281" t="s">
        <v>137</v>
      </c>
      <c r="J5281" t="s">
        <v>138</v>
      </c>
      <c r="K5281">
        <v>0</v>
      </c>
      <c r="L5281">
        <v>3</v>
      </c>
      <c r="M5281">
        <v>0</v>
      </c>
      <c r="N5281">
        <v>2</v>
      </c>
      <c r="O5281">
        <v>0</v>
      </c>
      <c r="P5281">
        <v>1</v>
      </c>
      <c r="Q5281">
        <v>0</v>
      </c>
      <c r="R5281" t="s">
        <v>127</v>
      </c>
      <c r="S5281" t="str">
        <f t="shared" si="2090"/>
        <v>15:19:11.000</v>
      </c>
      <c r="T5281" t="str">
        <f t="shared" si="2090"/>
        <v>15:19:11.000</v>
      </c>
      <c r="U5281" t="str">
        <f t="shared" si="2079"/>
        <v>A68FCB</v>
      </c>
      <c r="V5281">
        <v>0</v>
      </c>
      <c r="W5281">
        <v>0</v>
      </c>
      <c r="X5281">
        <v>2</v>
      </c>
      <c r="Y5281">
        <v>0</v>
      </c>
      <c r="AA5281">
        <v>1</v>
      </c>
      <c r="AB5281">
        <v>8</v>
      </c>
      <c r="AC5281">
        <v>3</v>
      </c>
      <c r="AD5281">
        <v>0</v>
      </c>
      <c r="AE5281">
        <v>9</v>
      </c>
      <c r="AF5281" t="s">
        <v>138</v>
      </c>
      <c r="AG5281">
        <v>0</v>
      </c>
      <c r="AH5281">
        <v>3</v>
      </c>
      <c r="AI5281">
        <v>2</v>
      </c>
      <c r="AJ5281">
        <v>0</v>
      </c>
      <c r="AK5281" t="s">
        <v>1660</v>
      </c>
      <c r="AL5281">
        <v>39.227885999999998</v>
      </c>
      <c r="AM5281" t="s">
        <v>1661</v>
      </c>
      <c r="AN5281">
        <v>-121.02944599999999</v>
      </c>
      <c r="AO5281">
        <v>25</v>
      </c>
      <c r="AP5281">
        <v>3300</v>
      </c>
      <c r="AQ5281" t="s">
        <v>131</v>
      </c>
      <c r="AR5281">
        <v>25</v>
      </c>
      <c r="AS5281">
        <v>-58</v>
      </c>
      <c r="AT5281">
        <v>-1216</v>
      </c>
      <c r="BB5281" t="str">
        <f t="shared" si="2080"/>
        <v>1200</v>
      </c>
      <c r="BC5281">
        <v>1</v>
      </c>
      <c r="BD5281" t="str">
        <f t="shared" si="2081"/>
        <v xml:space="preserve">N52156  </v>
      </c>
      <c r="BE5281">
        <v>1</v>
      </c>
      <c r="BG5281">
        <v>0</v>
      </c>
      <c r="BH5281">
        <v>0</v>
      </c>
      <c r="BI5281">
        <v>0</v>
      </c>
      <c r="BJ5281">
        <v>3350</v>
      </c>
      <c r="BK5281">
        <v>50</v>
      </c>
      <c r="BL5281" t="s">
        <v>188</v>
      </c>
      <c r="BM5281">
        <v>1</v>
      </c>
      <c r="BN5281">
        <v>1</v>
      </c>
      <c r="BO5281">
        <v>0</v>
      </c>
      <c r="BP5281">
        <v>0</v>
      </c>
      <c r="BS5281">
        <v>0</v>
      </c>
      <c r="BT5281">
        <v>0</v>
      </c>
      <c r="BU5281">
        <v>0</v>
      </c>
      <c r="CE5281" t="str">
        <f t="shared" si="2091"/>
        <v>15:19:11.375</v>
      </c>
      <c r="CF5281">
        <v>375254017</v>
      </c>
      <c r="CS5281">
        <v>0</v>
      </c>
      <c r="CT5281">
        <v>2</v>
      </c>
      <c r="CU5281">
        <v>0</v>
      </c>
      <c r="CV5281">
        <v>2</v>
      </c>
      <c r="CW5281">
        <v>0</v>
      </c>
      <c r="CX5281">
        <v>4</v>
      </c>
      <c r="CY5281">
        <v>7</v>
      </c>
      <c r="CZ5281" t="s">
        <v>133</v>
      </c>
      <c r="DA5281">
        <v>275</v>
      </c>
      <c r="DB5281">
        <v>0</v>
      </c>
      <c r="DC5281" t="s">
        <v>134</v>
      </c>
      <c r="DD5281" t="s">
        <v>135</v>
      </c>
      <c r="DG5281">
        <v>3323758</v>
      </c>
      <c r="DI5281">
        <v>1</v>
      </c>
      <c r="DJ5281">
        <v>0</v>
      </c>
      <c r="DK5281">
        <v>1</v>
      </c>
      <c r="DL5281">
        <v>0</v>
      </c>
      <c r="DM5281">
        <v>0</v>
      </c>
      <c r="DN5281">
        <v>0</v>
      </c>
      <c r="DO5281">
        <v>0</v>
      </c>
      <c r="DP5281">
        <v>0</v>
      </c>
      <c r="DQ5281">
        <v>0</v>
      </c>
      <c r="DR5281">
        <v>0</v>
      </c>
      <c r="DS5281">
        <v>0</v>
      </c>
    </row>
    <row r="5282" spans="1:123" x14ac:dyDescent="0.3">
      <c r="A5282" t="str">
        <f>"05/01/2025 15:19:12.900"</f>
        <v>05/01/2025 15:19:12.900</v>
      </c>
      <c r="C5282" t="str">
        <f t="shared" si="2078"/>
        <v>FFDFD3C0</v>
      </c>
      <c r="D5282" t="s">
        <v>140</v>
      </c>
      <c r="E5282" t="str">
        <f>"13"</f>
        <v>13</v>
      </c>
      <c r="F5282">
        <v>1019</v>
      </c>
      <c r="G5282" t="s">
        <v>141</v>
      </c>
      <c r="J5282" t="s">
        <v>142</v>
      </c>
      <c r="K5282">
        <v>0</v>
      </c>
      <c r="L5282">
        <v>3</v>
      </c>
      <c r="M5282">
        <v>0</v>
      </c>
      <c r="N5282">
        <v>2</v>
      </c>
      <c r="O5282">
        <v>0</v>
      </c>
      <c r="P5282">
        <v>1</v>
      </c>
      <c r="Q5282">
        <v>0</v>
      </c>
      <c r="R5282" t="s">
        <v>127</v>
      </c>
      <c r="S5282" t="str">
        <f t="shared" ref="S5282:T5287" si="2092">"15:19:12.000"</f>
        <v>15:19:12.000</v>
      </c>
      <c r="T5282" t="str">
        <f t="shared" si="2092"/>
        <v>15:19:12.000</v>
      </c>
      <c r="U5282" t="str">
        <f t="shared" si="2079"/>
        <v>A68FCB</v>
      </c>
      <c r="V5282">
        <v>0</v>
      </c>
      <c r="W5282">
        <v>0</v>
      </c>
      <c r="X5282">
        <v>2</v>
      </c>
      <c r="Y5282">
        <v>0</v>
      </c>
      <c r="AA5282">
        <v>1</v>
      </c>
      <c r="AB5282">
        <v>8</v>
      </c>
      <c r="AC5282">
        <v>3</v>
      </c>
      <c r="AD5282">
        <v>0</v>
      </c>
      <c r="AE5282">
        <v>9</v>
      </c>
      <c r="AF5282" t="s">
        <v>138</v>
      </c>
      <c r="AG5282">
        <v>0</v>
      </c>
      <c r="AH5282">
        <v>3</v>
      </c>
      <c r="AI5282">
        <v>2</v>
      </c>
      <c r="AJ5282">
        <v>0</v>
      </c>
      <c r="AK5282" t="s">
        <v>1662</v>
      </c>
      <c r="AL5282">
        <v>39.227542999999997</v>
      </c>
      <c r="AM5282" t="s">
        <v>1663</v>
      </c>
      <c r="AN5282">
        <v>-121.02933899999999</v>
      </c>
      <c r="AO5282">
        <v>25</v>
      </c>
      <c r="AP5282">
        <v>3300</v>
      </c>
      <c r="AQ5282" t="s">
        <v>131</v>
      </c>
      <c r="AR5282">
        <v>27</v>
      </c>
      <c r="AS5282">
        <v>-55</v>
      </c>
      <c r="AT5282">
        <v>-960</v>
      </c>
      <c r="BB5282" t="str">
        <f t="shared" si="2080"/>
        <v>1200</v>
      </c>
      <c r="BC5282">
        <v>1</v>
      </c>
      <c r="BD5282" t="str">
        <f t="shared" si="2081"/>
        <v xml:space="preserve">N52156  </v>
      </c>
      <c r="BE5282">
        <v>1</v>
      </c>
      <c r="BG5282">
        <v>0</v>
      </c>
      <c r="BH5282">
        <v>0</v>
      </c>
      <c r="BI5282">
        <v>0</v>
      </c>
      <c r="BJ5282">
        <v>3350</v>
      </c>
      <c r="BK5282">
        <v>50</v>
      </c>
      <c r="BL5282" t="s">
        <v>188</v>
      </c>
      <c r="BM5282">
        <v>1</v>
      </c>
      <c r="BN5282">
        <v>1</v>
      </c>
      <c r="BO5282">
        <v>0</v>
      </c>
      <c r="BP5282">
        <v>0</v>
      </c>
      <c r="BS5282">
        <v>0</v>
      </c>
      <c r="BT5282">
        <v>0</v>
      </c>
      <c r="BU5282">
        <v>0</v>
      </c>
      <c r="CE5282" t="str">
        <f t="shared" ref="CE5282:CE5287" si="2093">"15:19:12.705"</f>
        <v>15:19:12.705</v>
      </c>
      <c r="CF5282">
        <v>705254766</v>
      </c>
      <c r="CS5282">
        <v>0</v>
      </c>
      <c r="CT5282">
        <v>2</v>
      </c>
      <c r="CU5282">
        <v>0</v>
      </c>
      <c r="CV5282">
        <v>2</v>
      </c>
      <c r="CW5282">
        <v>0</v>
      </c>
      <c r="CX5282">
        <v>4</v>
      </c>
      <c r="CY5282">
        <v>7</v>
      </c>
      <c r="CZ5282" t="s">
        <v>133</v>
      </c>
      <c r="DA5282">
        <v>275</v>
      </c>
      <c r="DB5282">
        <v>0</v>
      </c>
      <c r="DC5282" t="s">
        <v>134</v>
      </c>
      <c r="DD5282" t="s">
        <v>135</v>
      </c>
      <c r="DG5282">
        <v>3323765</v>
      </c>
      <c r="DI5282">
        <v>1</v>
      </c>
      <c r="DJ5282">
        <v>0</v>
      </c>
      <c r="DK5282">
        <v>0</v>
      </c>
      <c r="DL5282">
        <v>0</v>
      </c>
      <c r="DM5282">
        <v>0</v>
      </c>
      <c r="DN5282">
        <v>0</v>
      </c>
      <c r="DO5282">
        <v>0</v>
      </c>
      <c r="DP5282">
        <v>0</v>
      </c>
      <c r="DQ5282">
        <v>0</v>
      </c>
      <c r="DR5282">
        <v>0</v>
      </c>
      <c r="DS5282">
        <v>0</v>
      </c>
    </row>
    <row r="5283" spans="1:123" x14ac:dyDescent="0.3">
      <c r="A5283" t="str">
        <f>"05/01/2025 15:19:12.901"</f>
        <v>05/01/2025 15:19:12.901</v>
      </c>
      <c r="C5283" t="str">
        <f t="shared" si="2078"/>
        <v>FFDFD3C0</v>
      </c>
      <c r="D5283" t="s">
        <v>124</v>
      </c>
      <c r="E5283" t="str">
        <f>"06"</f>
        <v>06</v>
      </c>
      <c r="F5283">
        <v>2006</v>
      </c>
      <c r="G5283" t="s">
        <v>125</v>
      </c>
      <c r="J5283" t="s">
        <v>126</v>
      </c>
      <c r="K5283">
        <v>0</v>
      </c>
      <c r="L5283">
        <v>3</v>
      </c>
      <c r="M5283">
        <v>0</v>
      </c>
      <c r="N5283">
        <v>2</v>
      </c>
      <c r="O5283">
        <v>0</v>
      </c>
      <c r="P5283">
        <v>1</v>
      </c>
      <c r="Q5283">
        <v>0</v>
      </c>
      <c r="R5283" t="s">
        <v>127</v>
      </c>
      <c r="S5283" t="str">
        <f t="shared" si="2092"/>
        <v>15:19:12.000</v>
      </c>
      <c r="T5283" t="str">
        <f t="shared" si="2092"/>
        <v>15:19:12.000</v>
      </c>
      <c r="U5283" t="str">
        <f t="shared" si="2079"/>
        <v>A68FCB</v>
      </c>
      <c r="V5283">
        <v>0</v>
      </c>
      <c r="W5283">
        <v>0</v>
      </c>
      <c r="X5283">
        <v>2</v>
      </c>
      <c r="Y5283">
        <v>0</v>
      </c>
      <c r="AA5283">
        <v>1</v>
      </c>
      <c r="AB5283">
        <v>8</v>
      </c>
      <c r="AC5283">
        <v>3</v>
      </c>
      <c r="AD5283">
        <v>0</v>
      </c>
      <c r="AE5283">
        <v>9</v>
      </c>
      <c r="AF5283" t="s">
        <v>138</v>
      </c>
      <c r="AG5283">
        <v>0</v>
      </c>
      <c r="AH5283">
        <v>3</v>
      </c>
      <c r="AI5283">
        <v>2</v>
      </c>
      <c r="AJ5283">
        <v>0</v>
      </c>
      <c r="AK5283" t="s">
        <v>1662</v>
      </c>
      <c r="AL5283">
        <v>39.227542999999997</v>
      </c>
      <c r="AM5283" t="s">
        <v>1663</v>
      </c>
      <c r="AN5283">
        <v>-121.02933899999999</v>
      </c>
      <c r="AO5283">
        <v>25</v>
      </c>
      <c r="AP5283">
        <v>3300</v>
      </c>
      <c r="AQ5283" t="s">
        <v>131</v>
      </c>
      <c r="AR5283">
        <v>27</v>
      </c>
      <c r="AS5283">
        <v>-55</v>
      </c>
      <c r="AT5283">
        <v>-960</v>
      </c>
      <c r="BB5283" t="str">
        <f t="shared" si="2080"/>
        <v>1200</v>
      </c>
      <c r="BC5283">
        <v>1</v>
      </c>
      <c r="BD5283" t="str">
        <f t="shared" si="2081"/>
        <v xml:space="preserve">N52156  </v>
      </c>
      <c r="BE5283">
        <v>1</v>
      </c>
      <c r="BG5283">
        <v>0</v>
      </c>
      <c r="BH5283">
        <v>0</v>
      </c>
      <c r="BI5283">
        <v>0</v>
      </c>
      <c r="BJ5283">
        <v>3350</v>
      </c>
      <c r="BK5283">
        <v>50</v>
      </c>
      <c r="BL5283" t="s">
        <v>188</v>
      </c>
      <c r="BM5283">
        <v>1</v>
      </c>
      <c r="BN5283">
        <v>1</v>
      </c>
      <c r="BO5283">
        <v>0</v>
      </c>
      <c r="BP5283">
        <v>0</v>
      </c>
      <c r="BS5283">
        <v>0</v>
      </c>
      <c r="BT5283">
        <v>0</v>
      </c>
      <c r="BU5283">
        <v>0</v>
      </c>
      <c r="CE5283" t="str">
        <f t="shared" si="2093"/>
        <v>15:19:12.705</v>
      </c>
      <c r="CF5283">
        <v>705254766</v>
      </c>
      <c r="CS5283">
        <v>0</v>
      </c>
      <c r="CT5283">
        <v>2</v>
      </c>
      <c r="CU5283">
        <v>0</v>
      </c>
      <c r="CV5283">
        <v>2</v>
      </c>
      <c r="CW5283">
        <v>0</v>
      </c>
      <c r="CX5283">
        <v>4</v>
      </c>
      <c r="CY5283">
        <v>7</v>
      </c>
      <c r="CZ5283" t="s">
        <v>133</v>
      </c>
      <c r="DA5283">
        <v>275</v>
      </c>
      <c r="DB5283">
        <v>0</v>
      </c>
      <c r="DC5283" t="s">
        <v>134</v>
      </c>
      <c r="DD5283" t="s">
        <v>135</v>
      </c>
      <c r="DG5283">
        <v>3323765</v>
      </c>
      <c r="DI5283">
        <v>1</v>
      </c>
      <c r="DJ5283">
        <v>0</v>
      </c>
      <c r="DK5283">
        <v>1</v>
      </c>
      <c r="DL5283">
        <v>0</v>
      </c>
      <c r="DM5283">
        <v>0</v>
      </c>
      <c r="DN5283">
        <v>0</v>
      </c>
      <c r="DO5283">
        <v>0</v>
      </c>
      <c r="DP5283">
        <v>0</v>
      </c>
      <c r="DQ5283">
        <v>0</v>
      </c>
      <c r="DR5283">
        <v>0</v>
      </c>
      <c r="DS5283">
        <v>0</v>
      </c>
    </row>
    <row r="5284" spans="1:123" x14ac:dyDescent="0.3">
      <c r="A5284" t="str">
        <f>"05/01/2025 15:19:12.914"</f>
        <v>05/01/2025 15:19:12.914</v>
      </c>
      <c r="C5284" t="str">
        <f t="shared" si="2078"/>
        <v>FFDFD3C0</v>
      </c>
      <c r="D5284" t="s">
        <v>143</v>
      </c>
      <c r="E5284" t="str">
        <f>"05"</f>
        <v>05</v>
      </c>
      <c r="H5284">
        <v>172</v>
      </c>
      <c r="I5284" t="s">
        <v>141</v>
      </c>
      <c r="J5284" t="s">
        <v>144</v>
      </c>
      <c r="K5284">
        <v>0</v>
      </c>
      <c r="L5284">
        <v>3</v>
      </c>
      <c r="M5284">
        <v>0</v>
      </c>
      <c r="N5284">
        <v>2</v>
      </c>
      <c r="O5284">
        <v>0</v>
      </c>
      <c r="P5284">
        <v>1</v>
      </c>
      <c r="Q5284">
        <v>0</v>
      </c>
      <c r="R5284" t="s">
        <v>127</v>
      </c>
      <c r="S5284" t="str">
        <f t="shared" si="2092"/>
        <v>15:19:12.000</v>
      </c>
      <c r="T5284" t="str">
        <f t="shared" si="2092"/>
        <v>15:19:12.000</v>
      </c>
      <c r="U5284" t="str">
        <f t="shared" si="2079"/>
        <v>A68FCB</v>
      </c>
      <c r="V5284">
        <v>0</v>
      </c>
      <c r="W5284">
        <v>0</v>
      </c>
      <c r="X5284">
        <v>2</v>
      </c>
      <c r="Y5284">
        <v>0</v>
      </c>
      <c r="AA5284">
        <v>1</v>
      </c>
      <c r="AB5284">
        <v>8</v>
      </c>
      <c r="AC5284">
        <v>3</v>
      </c>
      <c r="AD5284">
        <v>0</v>
      </c>
      <c r="AE5284">
        <v>9</v>
      </c>
      <c r="AF5284" t="s">
        <v>138</v>
      </c>
      <c r="AG5284">
        <v>0</v>
      </c>
      <c r="AH5284">
        <v>3</v>
      </c>
      <c r="AI5284">
        <v>2</v>
      </c>
      <c r="AJ5284">
        <v>0</v>
      </c>
      <c r="AK5284" t="s">
        <v>1662</v>
      </c>
      <c r="AL5284">
        <v>39.227542999999997</v>
      </c>
      <c r="AM5284" t="s">
        <v>1663</v>
      </c>
      <c r="AN5284">
        <v>-121.02933899999999</v>
      </c>
      <c r="AO5284">
        <v>25</v>
      </c>
      <c r="AP5284">
        <v>3300</v>
      </c>
      <c r="AQ5284" t="s">
        <v>131</v>
      </c>
      <c r="AR5284">
        <v>27</v>
      </c>
      <c r="AS5284">
        <v>-55</v>
      </c>
      <c r="AT5284">
        <v>-960</v>
      </c>
      <c r="BB5284" t="str">
        <f t="shared" si="2080"/>
        <v>1200</v>
      </c>
      <c r="BC5284">
        <v>1</v>
      </c>
      <c r="BD5284" t="str">
        <f t="shared" si="2081"/>
        <v xml:space="preserve">N52156  </v>
      </c>
      <c r="BE5284">
        <v>1</v>
      </c>
      <c r="BG5284">
        <v>0</v>
      </c>
      <c r="BH5284">
        <v>0</v>
      </c>
      <c r="BI5284">
        <v>0</v>
      </c>
      <c r="BJ5284">
        <v>3350</v>
      </c>
      <c r="BK5284">
        <v>50</v>
      </c>
      <c r="BL5284" t="s">
        <v>188</v>
      </c>
      <c r="BM5284">
        <v>1</v>
      </c>
      <c r="BN5284">
        <v>1</v>
      </c>
      <c r="BO5284">
        <v>0</v>
      </c>
      <c r="BP5284">
        <v>0</v>
      </c>
      <c r="BS5284">
        <v>0</v>
      </c>
      <c r="BT5284">
        <v>0</v>
      </c>
      <c r="BU5284">
        <v>0</v>
      </c>
      <c r="CE5284" t="str">
        <f t="shared" si="2093"/>
        <v>15:19:12.705</v>
      </c>
      <c r="CF5284">
        <v>705254766</v>
      </c>
      <c r="CS5284">
        <v>0</v>
      </c>
      <c r="CT5284">
        <v>2</v>
      </c>
      <c r="CU5284">
        <v>0</v>
      </c>
      <c r="CV5284">
        <v>2</v>
      </c>
      <c r="CW5284">
        <v>0</v>
      </c>
      <c r="CX5284">
        <v>4</v>
      </c>
      <c r="CY5284">
        <v>7</v>
      </c>
      <c r="CZ5284" t="s">
        <v>133</v>
      </c>
      <c r="DA5284">
        <v>275</v>
      </c>
      <c r="DB5284">
        <v>0</v>
      </c>
      <c r="DC5284" t="s">
        <v>134</v>
      </c>
      <c r="DD5284" t="s">
        <v>135</v>
      </c>
      <c r="DG5284">
        <v>3323765</v>
      </c>
      <c r="DI5284">
        <v>1</v>
      </c>
      <c r="DJ5284">
        <v>0</v>
      </c>
      <c r="DK5284">
        <v>1</v>
      </c>
      <c r="DL5284">
        <v>0</v>
      </c>
      <c r="DM5284">
        <v>0</v>
      </c>
      <c r="DN5284">
        <v>0</v>
      </c>
      <c r="DO5284">
        <v>0</v>
      </c>
      <c r="DP5284">
        <v>0</v>
      </c>
      <c r="DQ5284">
        <v>0</v>
      </c>
      <c r="DR5284">
        <v>0</v>
      </c>
      <c r="DS5284">
        <v>0</v>
      </c>
    </row>
    <row r="5285" spans="1:123" x14ac:dyDescent="0.3">
      <c r="A5285" t="str">
        <f>"05/01/2025 15:19:12.924"</f>
        <v>05/01/2025 15:19:12.924</v>
      </c>
      <c r="C5285" t="str">
        <f t="shared" si="2078"/>
        <v>FFDFD3C0</v>
      </c>
      <c r="D5285" t="s">
        <v>145</v>
      </c>
      <c r="E5285" t="str">
        <f>"09"</f>
        <v>09</v>
      </c>
      <c r="H5285">
        <v>51</v>
      </c>
      <c r="I5285" t="s">
        <v>147</v>
      </c>
      <c r="J5285" t="s">
        <v>138</v>
      </c>
      <c r="K5285">
        <v>0</v>
      </c>
      <c r="L5285">
        <v>3</v>
      </c>
      <c r="M5285">
        <v>0</v>
      </c>
      <c r="N5285">
        <v>2</v>
      </c>
      <c r="O5285">
        <v>0</v>
      </c>
      <c r="P5285">
        <v>1</v>
      </c>
      <c r="Q5285">
        <v>0</v>
      </c>
      <c r="R5285" t="s">
        <v>127</v>
      </c>
      <c r="S5285" t="str">
        <f t="shared" si="2092"/>
        <v>15:19:12.000</v>
      </c>
      <c r="T5285" t="str">
        <f t="shared" si="2092"/>
        <v>15:19:12.000</v>
      </c>
      <c r="U5285" t="str">
        <f t="shared" si="2079"/>
        <v>A68FCB</v>
      </c>
      <c r="V5285">
        <v>0</v>
      </c>
      <c r="W5285">
        <v>0</v>
      </c>
      <c r="X5285">
        <v>2</v>
      </c>
      <c r="Y5285">
        <v>0</v>
      </c>
      <c r="AA5285">
        <v>1</v>
      </c>
      <c r="AB5285">
        <v>8</v>
      </c>
      <c r="AC5285">
        <v>3</v>
      </c>
      <c r="AD5285">
        <v>0</v>
      </c>
      <c r="AE5285">
        <v>9</v>
      </c>
      <c r="AF5285" t="s">
        <v>138</v>
      </c>
      <c r="AG5285">
        <v>0</v>
      </c>
      <c r="AH5285">
        <v>3</v>
      </c>
      <c r="AI5285">
        <v>2</v>
      </c>
      <c r="AJ5285">
        <v>0</v>
      </c>
      <c r="AK5285" t="s">
        <v>1662</v>
      </c>
      <c r="AL5285">
        <v>39.227542999999997</v>
      </c>
      <c r="AM5285" t="s">
        <v>1663</v>
      </c>
      <c r="AN5285">
        <v>-121.02933899999999</v>
      </c>
      <c r="AO5285">
        <v>25</v>
      </c>
      <c r="AP5285">
        <v>3300</v>
      </c>
      <c r="AQ5285" t="s">
        <v>131</v>
      </c>
      <c r="AR5285">
        <v>27</v>
      </c>
      <c r="AS5285">
        <v>-55</v>
      </c>
      <c r="AT5285">
        <v>-960</v>
      </c>
      <c r="BB5285" t="str">
        <f t="shared" si="2080"/>
        <v>1200</v>
      </c>
      <c r="BC5285">
        <v>1</v>
      </c>
      <c r="BD5285" t="str">
        <f t="shared" si="2081"/>
        <v xml:space="preserve">N52156  </v>
      </c>
      <c r="BE5285">
        <v>1</v>
      </c>
      <c r="BG5285">
        <v>0</v>
      </c>
      <c r="BH5285">
        <v>0</v>
      </c>
      <c r="BI5285">
        <v>0</v>
      </c>
      <c r="BJ5285">
        <v>3350</v>
      </c>
      <c r="BK5285">
        <v>50</v>
      </c>
      <c r="BL5285" t="s">
        <v>188</v>
      </c>
      <c r="BM5285">
        <v>1</v>
      </c>
      <c r="BN5285">
        <v>1</v>
      </c>
      <c r="BO5285">
        <v>0</v>
      </c>
      <c r="BP5285">
        <v>0</v>
      </c>
      <c r="BS5285">
        <v>0</v>
      </c>
      <c r="BT5285">
        <v>0</v>
      </c>
      <c r="BU5285">
        <v>0</v>
      </c>
      <c r="CE5285" t="str">
        <f t="shared" si="2093"/>
        <v>15:19:12.705</v>
      </c>
      <c r="CF5285">
        <v>705254766</v>
      </c>
      <c r="CS5285">
        <v>0</v>
      </c>
      <c r="CT5285">
        <v>2</v>
      </c>
      <c r="CU5285">
        <v>0</v>
      </c>
      <c r="CV5285">
        <v>2</v>
      </c>
      <c r="CW5285">
        <v>0</v>
      </c>
      <c r="CX5285">
        <v>4</v>
      </c>
      <c r="CY5285">
        <v>7</v>
      </c>
      <c r="CZ5285" t="s">
        <v>133</v>
      </c>
      <c r="DA5285">
        <v>275</v>
      </c>
      <c r="DB5285">
        <v>0</v>
      </c>
      <c r="DC5285" t="s">
        <v>134</v>
      </c>
      <c r="DD5285" t="s">
        <v>135</v>
      </c>
      <c r="DG5285">
        <v>3323765</v>
      </c>
      <c r="DI5285">
        <v>1</v>
      </c>
      <c r="DJ5285">
        <v>0</v>
      </c>
      <c r="DK5285">
        <v>1</v>
      </c>
      <c r="DL5285">
        <v>0</v>
      </c>
      <c r="DM5285">
        <v>0</v>
      </c>
      <c r="DN5285">
        <v>0</v>
      </c>
      <c r="DO5285">
        <v>0</v>
      </c>
      <c r="DP5285">
        <v>0</v>
      </c>
      <c r="DQ5285">
        <v>0</v>
      </c>
      <c r="DR5285">
        <v>0</v>
      </c>
      <c r="DS5285">
        <v>0</v>
      </c>
    </row>
    <row r="5286" spans="1:123" x14ac:dyDescent="0.3">
      <c r="A5286" t="str">
        <f>"05/01/2025 15:19:12.926"</f>
        <v>05/01/2025 15:19:12.926</v>
      </c>
      <c r="C5286" t="str">
        <f t="shared" si="2078"/>
        <v>FFDFD3C0</v>
      </c>
      <c r="D5286" t="s">
        <v>145</v>
      </c>
      <c r="E5286" t="str">
        <f>"05"</f>
        <v>05</v>
      </c>
      <c r="H5286">
        <v>47</v>
      </c>
      <c r="I5286" t="s">
        <v>146</v>
      </c>
      <c r="J5286" t="s">
        <v>138</v>
      </c>
      <c r="K5286">
        <v>0</v>
      </c>
      <c r="L5286">
        <v>3</v>
      </c>
      <c r="M5286">
        <v>0</v>
      </c>
      <c r="N5286">
        <v>2</v>
      </c>
      <c r="O5286">
        <v>0</v>
      </c>
      <c r="P5286">
        <v>1</v>
      </c>
      <c r="Q5286">
        <v>0</v>
      </c>
      <c r="R5286" t="s">
        <v>127</v>
      </c>
      <c r="S5286" t="str">
        <f t="shared" si="2092"/>
        <v>15:19:12.000</v>
      </c>
      <c r="T5286" t="str">
        <f t="shared" si="2092"/>
        <v>15:19:12.000</v>
      </c>
      <c r="U5286" t="str">
        <f t="shared" si="2079"/>
        <v>A68FCB</v>
      </c>
      <c r="V5286">
        <v>0</v>
      </c>
      <c r="W5286">
        <v>0</v>
      </c>
      <c r="X5286">
        <v>2</v>
      </c>
      <c r="Y5286">
        <v>0</v>
      </c>
      <c r="AA5286">
        <v>1</v>
      </c>
      <c r="AB5286">
        <v>8</v>
      </c>
      <c r="AC5286">
        <v>3</v>
      </c>
      <c r="AD5286">
        <v>0</v>
      </c>
      <c r="AE5286">
        <v>9</v>
      </c>
      <c r="AF5286" t="s">
        <v>138</v>
      </c>
      <c r="AG5286">
        <v>0</v>
      </c>
      <c r="AH5286">
        <v>3</v>
      </c>
      <c r="AI5286">
        <v>2</v>
      </c>
      <c r="AJ5286">
        <v>0</v>
      </c>
      <c r="AK5286" t="s">
        <v>1662</v>
      </c>
      <c r="AL5286">
        <v>39.227542999999997</v>
      </c>
      <c r="AM5286" t="s">
        <v>1663</v>
      </c>
      <c r="AN5286">
        <v>-121.02933899999999</v>
      </c>
      <c r="AO5286">
        <v>25</v>
      </c>
      <c r="AP5286">
        <v>3300</v>
      </c>
      <c r="AQ5286" t="s">
        <v>131</v>
      </c>
      <c r="AR5286">
        <v>27</v>
      </c>
      <c r="AS5286">
        <v>-55</v>
      </c>
      <c r="AT5286">
        <v>-960</v>
      </c>
      <c r="BB5286" t="str">
        <f t="shared" si="2080"/>
        <v>1200</v>
      </c>
      <c r="BC5286">
        <v>1</v>
      </c>
      <c r="BD5286" t="str">
        <f t="shared" si="2081"/>
        <v xml:space="preserve">N52156  </v>
      </c>
      <c r="BE5286">
        <v>1</v>
      </c>
      <c r="BG5286">
        <v>0</v>
      </c>
      <c r="BH5286">
        <v>0</v>
      </c>
      <c r="BI5286">
        <v>0</v>
      </c>
      <c r="BJ5286">
        <v>3350</v>
      </c>
      <c r="BK5286">
        <v>50</v>
      </c>
      <c r="BL5286" t="s">
        <v>188</v>
      </c>
      <c r="BM5286">
        <v>1</v>
      </c>
      <c r="BN5286">
        <v>1</v>
      </c>
      <c r="BO5286">
        <v>0</v>
      </c>
      <c r="BP5286">
        <v>0</v>
      </c>
      <c r="BS5286">
        <v>0</v>
      </c>
      <c r="BT5286">
        <v>0</v>
      </c>
      <c r="BU5286">
        <v>0</v>
      </c>
      <c r="CE5286" t="str">
        <f t="shared" si="2093"/>
        <v>15:19:12.705</v>
      </c>
      <c r="CF5286">
        <v>705254766</v>
      </c>
      <c r="CS5286">
        <v>0</v>
      </c>
      <c r="CT5286">
        <v>2</v>
      </c>
      <c r="CU5286">
        <v>0</v>
      </c>
      <c r="CV5286">
        <v>2</v>
      </c>
      <c r="CW5286">
        <v>0</v>
      </c>
      <c r="CX5286">
        <v>4</v>
      </c>
      <c r="CY5286">
        <v>7</v>
      </c>
      <c r="CZ5286" t="s">
        <v>133</v>
      </c>
      <c r="DA5286">
        <v>275</v>
      </c>
      <c r="DB5286">
        <v>0</v>
      </c>
      <c r="DC5286" t="s">
        <v>134</v>
      </c>
      <c r="DD5286" t="s">
        <v>135</v>
      </c>
      <c r="DG5286">
        <v>3323765</v>
      </c>
      <c r="DI5286">
        <v>1</v>
      </c>
      <c r="DJ5286">
        <v>0</v>
      </c>
      <c r="DK5286">
        <v>1</v>
      </c>
      <c r="DL5286">
        <v>0</v>
      </c>
      <c r="DM5286">
        <v>0</v>
      </c>
      <c r="DN5286">
        <v>0</v>
      </c>
      <c r="DO5286">
        <v>0</v>
      </c>
      <c r="DP5286">
        <v>0</v>
      </c>
      <c r="DQ5286">
        <v>0</v>
      </c>
      <c r="DR5286">
        <v>0</v>
      </c>
      <c r="DS5286">
        <v>0</v>
      </c>
    </row>
    <row r="5287" spans="1:123" x14ac:dyDescent="0.3">
      <c r="A5287" t="str">
        <f>"05/01/2025 15:19:12.935"</f>
        <v>05/01/2025 15:19:12.935</v>
      </c>
      <c r="C5287" t="str">
        <f t="shared" si="2078"/>
        <v>FFDFD3C0</v>
      </c>
      <c r="D5287" t="s">
        <v>136</v>
      </c>
      <c r="E5287" t="str">
        <f>"20"</f>
        <v>20</v>
      </c>
      <c r="H5287">
        <v>400</v>
      </c>
      <c r="I5287" t="s">
        <v>137</v>
      </c>
      <c r="J5287" t="s">
        <v>138</v>
      </c>
      <c r="K5287">
        <v>0</v>
      </c>
      <c r="L5287">
        <v>3</v>
      </c>
      <c r="M5287">
        <v>0</v>
      </c>
      <c r="N5287">
        <v>2</v>
      </c>
      <c r="O5287">
        <v>0</v>
      </c>
      <c r="P5287">
        <v>1</v>
      </c>
      <c r="Q5287">
        <v>0</v>
      </c>
      <c r="R5287" t="s">
        <v>127</v>
      </c>
      <c r="S5287" t="str">
        <f t="shared" si="2092"/>
        <v>15:19:12.000</v>
      </c>
      <c r="T5287" t="str">
        <f t="shared" si="2092"/>
        <v>15:19:12.000</v>
      </c>
      <c r="U5287" t="str">
        <f t="shared" si="2079"/>
        <v>A68FCB</v>
      </c>
      <c r="V5287">
        <v>0</v>
      </c>
      <c r="W5287">
        <v>0</v>
      </c>
      <c r="X5287">
        <v>2</v>
      </c>
      <c r="Y5287">
        <v>0</v>
      </c>
      <c r="AA5287">
        <v>1</v>
      </c>
      <c r="AB5287">
        <v>8</v>
      </c>
      <c r="AC5287">
        <v>3</v>
      </c>
      <c r="AD5287">
        <v>0</v>
      </c>
      <c r="AE5287">
        <v>9</v>
      </c>
      <c r="AF5287" t="s">
        <v>138</v>
      </c>
      <c r="AG5287">
        <v>0</v>
      </c>
      <c r="AH5287">
        <v>3</v>
      </c>
      <c r="AI5287">
        <v>2</v>
      </c>
      <c r="AJ5287">
        <v>0</v>
      </c>
      <c r="AK5287" t="s">
        <v>1662</v>
      </c>
      <c r="AL5287">
        <v>39.227542999999997</v>
      </c>
      <c r="AM5287" t="s">
        <v>1663</v>
      </c>
      <c r="AN5287">
        <v>-121.02933899999999</v>
      </c>
      <c r="AO5287">
        <v>25</v>
      </c>
      <c r="AP5287">
        <v>3300</v>
      </c>
      <c r="AQ5287" t="s">
        <v>131</v>
      </c>
      <c r="AR5287">
        <v>27</v>
      </c>
      <c r="AS5287">
        <v>-55</v>
      </c>
      <c r="AT5287">
        <v>-960</v>
      </c>
      <c r="BB5287" t="str">
        <f t="shared" si="2080"/>
        <v>1200</v>
      </c>
      <c r="BC5287">
        <v>1</v>
      </c>
      <c r="BD5287" t="str">
        <f t="shared" si="2081"/>
        <v xml:space="preserve">N52156  </v>
      </c>
      <c r="BE5287">
        <v>1</v>
      </c>
      <c r="BG5287">
        <v>0</v>
      </c>
      <c r="BH5287">
        <v>0</v>
      </c>
      <c r="BI5287">
        <v>0</v>
      </c>
      <c r="BJ5287">
        <v>3350</v>
      </c>
      <c r="BK5287">
        <v>50</v>
      </c>
      <c r="BL5287" t="s">
        <v>188</v>
      </c>
      <c r="BM5287">
        <v>1</v>
      </c>
      <c r="BN5287">
        <v>1</v>
      </c>
      <c r="BO5287">
        <v>0</v>
      </c>
      <c r="BP5287">
        <v>0</v>
      </c>
      <c r="BS5287">
        <v>0</v>
      </c>
      <c r="BT5287">
        <v>0</v>
      </c>
      <c r="BU5287">
        <v>0</v>
      </c>
      <c r="CE5287" t="str">
        <f t="shared" si="2093"/>
        <v>15:19:12.705</v>
      </c>
      <c r="CF5287">
        <v>705254766</v>
      </c>
      <c r="CS5287">
        <v>0</v>
      </c>
      <c r="CT5287">
        <v>2</v>
      </c>
      <c r="CU5287">
        <v>0</v>
      </c>
      <c r="CV5287">
        <v>2</v>
      </c>
      <c r="CW5287">
        <v>0</v>
      </c>
      <c r="CX5287">
        <v>4</v>
      </c>
      <c r="CY5287">
        <v>7</v>
      </c>
      <c r="CZ5287" t="s">
        <v>133</v>
      </c>
      <c r="DA5287">
        <v>275</v>
      </c>
      <c r="DB5287">
        <v>0</v>
      </c>
      <c r="DC5287" t="s">
        <v>134</v>
      </c>
      <c r="DD5287" t="s">
        <v>135</v>
      </c>
      <c r="DG5287">
        <v>3323765</v>
      </c>
      <c r="DI5287">
        <v>1</v>
      </c>
      <c r="DJ5287">
        <v>0</v>
      </c>
      <c r="DK5287">
        <v>1</v>
      </c>
      <c r="DL5287">
        <v>0</v>
      </c>
      <c r="DM5287">
        <v>0</v>
      </c>
      <c r="DN5287">
        <v>0</v>
      </c>
      <c r="DO5287">
        <v>0</v>
      </c>
      <c r="DP5287">
        <v>0</v>
      </c>
      <c r="DQ5287">
        <v>0</v>
      </c>
      <c r="DR5287">
        <v>0</v>
      </c>
      <c r="DS5287">
        <v>0</v>
      </c>
    </row>
    <row r="5288" spans="1:123" x14ac:dyDescent="0.3">
      <c r="A5288" t="str">
        <f>"05/01/2025 15:19:14.116"</f>
        <v>05/01/2025 15:19:14.116</v>
      </c>
      <c r="C5288" t="str">
        <f t="shared" si="2078"/>
        <v>FFDFD3C0</v>
      </c>
      <c r="D5288" t="s">
        <v>143</v>
      </c>
      <c r="E5288" t="str">
        <f>"05"</f>
        <v>05</v>
      </c>
      <c r="H5288">
        <v>172</v>
      </c>
      <c r="I5288" t="s">
        <v>141</v>
      </c>
      <c r="J5288" t="s">
        <v>144</v>
      </c>
      <c r="K5288">
        <v>0</v>
      </c>
      <c r="L5288">
        <v>3</v>
      </c>
      <c r="M5288">
        <v>0</v>
      </c>
      <c r="N5288">
        <v>2</v>
      </c>
      <c r="O5288">
        <v>0</v>
      </c>
      <c r="P5288">
        <v>1</v>
      </c>
      <c r="Q5288">
        <v>0</v>
      </c>
      <c r="R5288" t="s">
        <v>127</v>
      </c>
      <c r="S5288" t="str">
        <f t="shared" ref="S5288:T5293" si="2094">"15:19:13.000"</f>
        <v>15:19:13.000</v>
      </c>
      <c r="T5288" t="str">
        <f t="shared" si="2094"/>
        <v>15:19:13.000</v>
      </c>
      <c r="U5288" t="str">
        <f t="shared" si="2079"/>
        <v>A68FCB</v>
      </c>
      <c r="V5288">
        <v>0</v>
      </c>
      <c r="W5288">
        <v>0</v>
      </c>
      <c r="X5288">
        <v>2</v>
      </c>
      <c r="Y5288">
        <v>0</v>
      </c>
      <c r="AA5288">
        <v>1</v>
      </c>
      <c r="AB5288">
        <v>8</v>
      </c>
      <c r="AC5288">
        <v>3</v>
      </c>
      <c r="AD5288">
        <v>0</v>
      </c>
      <c r="AE5288">
        <v>9</v>
      </c>
      <c r="AF5288" t="s">
        <v>138</v>
      </c>
      <c r="AG5288">
        <v>0</v>
      </c>
      <c r="AH5288">
        <v>3</v>
      </c>
      <c r="AI5288">
        <v>2</v>
      </c>
      <c r="AJ5288">
        <v>0</v>
      </c>
      <c r="AK5288" t="s">
        <v>1664</v>
      </c>
      <c r="AL5288">
        <v>39.227307000000003</v>
      </c>
      <c r="AM5288" t="s">
        <v>1665</v>
      </c>
      <c r="AN5288">
        <v>-121.029167</v>
      </c>
      <c r="AO5288">
        <v>25</v>
      </c>
      <c r="AP5288">
        <v>3300</v>
      </c>
      <c r="AQ5288" t="s">
        <v>131</v>
      </c>
      <c r="AR5288">
        <v>31</v>
      </c>
      <c r="AS5288">
        <v>-52</v>
      </c>
      <c r="AT5288">
        <v>-832</v>
      </c>
      <c r="BB5288" t="str">
        <f t="shared" si="2080"/>
        <v>1200</v>
      </c>
      <c r="BC5288">
        <v>1</v>
      </c>
      <c r="BD5288" t="str">
        <f t="shared" si="2081"/>
        <v xml:space="preserve">N52156  </v>
      </c>
      <c r="BE5288">
        <v>1</v>
      </c>
      <c r="BG5288">
        <v>0</v>
      </c>
      <c r="BH5288">
        <v>0</v>
      </c>
      <c r="BI5288">
        <v>0</v>
      </c>
      <c r="BJ5288">
        <v>3325</v>
      </c>
      <c r="BK5288">
        <v>25</v>
      </c>
      <c r="BL5288" t="s">
        <v>188</v>
      </c>
      <c r="BM5288">
        <v>1</v>
      </c>
      <c r="BN5288">
        <v>1</v>
      </c>
      <c r="BO5288">
        <v>0</v>
      </c>
      <c r="BP5288">
        <v>0</v>
      </c>
      <c r="BS5288">
        <v>0</v>
      </c>
      <c r="BT5288">
        <v>0</v>
      </c>
      <c r="BU5288">
        <v>0</v>
      </c>
      <c r="CE5288" t="str">
        <f t="shared" ref="CE5288:CE5293" si="2095">"15:19:13.885"</f>
        <v>15:19:13.885</v>
      </c>
      <c r="CF5288">
        <v>885255126</v>
      </c>
      <c r="CS5288">
        <v>0</v>
      </c>
      <c r="CT5288">
        <v>2</v>
      </c>
      <c r="CU5288">
        <v>0</v>
      </c>
      <c r="CV5288">
        <v>2</v>
      </c>
      <c r="CW5288">
        <v>0</v>
      </c>
      <c r="CX5288">
        <v>2</v>
      </c>
      <c r="CY5288">
        <v>7</v>
      </c>
      <c r="CZ5288" t="s">
        <v>133</v>
      </c>
      <c r="DA5288">
        <v>275</v>
      </c>
      <c r="DB5288">
        <v>0</v>
      </c>
      <c r="DC5288" t="s">
        <v>134</v>
      </c>
      <c r="DD5288" t="s">
        <v>135</v>
      </c>
      <c r="DG5288">
        <v>3323773</v>
      </c>
      <c r="DI5288">
        <v>1</v>
      </c>
      <c r="DJ5288">
        <v>0</v>
      </c>
      <c r="DK5288">
        <v>0</v>
      </c>
      <c r="DL5288">
        <v>0</v>
      </c>
      <c r="DM5288">
        <v>0</v>
      </c>
      <c r="DN5288">
        <v>0</v>
      </c>
      <c r="DO5288">
        <v>0</v>
      </c>
      <c r="DP5288">
        <v>0</v>
      </c>
      <c r="DQ5288">
        <v>0</v>
      </c>
      <c r="DR5288">
        <v>0</v>
      </c>
      <c r="DS5288">
        <v>0</v>
      </c>
    </row>
    <row r="5289" spans="1:123" x14ac:dyDescent="0.3">
      <c r="A5289" t="str">
        <f>"05/01/2025 15:19:14.126"</f>
        <v>05/01/2025 15:19:14.126</v>
      </c>
      <c r="C5289" t="str">
        <f t="shared" si="2078"/>
        <v>FFDFD3C0</v>
      </c>
      <c r="D5289" t="s">
        <v>145</v>
      </c>
      <c r="E5289" t="str">
        <f>"09"</f>
        <v>09</v>
      </c>
      <c r="H5289">
        <v>51</v>
      </c>
      <c r="I5289" t="s">
        <v>147</v>
      </c>
      <c r="J5289" t="s">
        <v>138</v>
      </c>
      <c r="K5289">
        <v>0</v>
      </c>
      <c r="L5289">
        <v>3</v>
      </c>
      <c r="M5289">
        <v>0</v>
      </c>
      <c r="N5289">
        <v>2</v>
      </c>
      <c r="O5289">
        <v>0</v>
      </c>
      <c r="P5289">
        <v>1</v>
      </c>
      <c r="Q5289">
        <v>0</v>
      </c>
      <c r="R5289" t="s">
        <v>127</v>
      </c>
      <c r="S5289" t="str">
        <f t="shared" si="2094"/>
        <v>15:19:13.000</v>
      </c>
      <c r="T5289" t="str">
        <f t="shared" si="2094"/>
        <v>15:19:13.000</v>
      </c>
      <c r="U5289" t="str">
        <f t="shared" si="2079"/>
        <v>A68FCB</v>
      </c>
      <c r="V5289">
        <v>0</v>
      </c>
      <c r="W5289">
        <v>0</v>
      </c>
      <c r="X5289">
        <v>2</v>
      </c>
      <c r="Y5289">
        <v>0</v>
      </c>
      <c r="AA5289">
        <v>1</v>
      </c>
      <c r="AB5289">
        <v>8</v>
      </c>
      <c r="AC5289">
        <v>3</v>
      </c>
      <c r="AD5289">
        <v>0</v>
      </c>
      <c r="AE5289">
        <v>9</v>
      </c>
      <c r="AF5289" t="s">
        <v>138</v>
      </c>
      <c r="AG5289">
        <v>0</v>
      </c>
      <c r="AH5289">
        <v>3</v>
      </c>
      <c r="AI5289">
        <v>2</v>
      </c>
      <c r="AJ5289">
        <v>0</v>
      </c>
      <c r="AK5289" t="s">
        <v>1664</v>
      </c>
      <c r="AL5289">
        <v>39.227307000000003</v>
      </c>
      <c r="AM5289" t="s">
        <v>1665</v>
      </c>
      <c r="AN5289">
        <v>-121.029167</v>
      </c>
      <c r="AO5289">
        <v>25</v>
      </c>
      <c r="AP5289">
        <v>3300</v>
      </c>
      <c r="AQ5289" t="s">
        <v>131</v>
      </c>
      <c r="AR5289">
        <v>31</v>
      </c>
      <c r="AS5289">
        <v>-52</v>
      </c>
      <c r="AT5289">
        <v>-832</v>
      </c>
      <c r="BB5289" t="str">
        <f t="shared" si="2080"/>
        <v>1200</v>
      </c>
      <c r="BC5289">
        <v>1</v>
      </c>
      <c r="BD5289" t="str">
        <f t="shared" si="2081"/>
        <v xml:space="preserve">N52156  </v>
      </c>
      <c r="BE5289">
        <v>1</v>
      </c>
      <c r="BG5289">
        <v>0</v>
      </c>
      <c r="BH5289">
        <v>0</v>
      </c>
      <c r="BI5289">
        <v>0</v>
      </c>
      <c r="BJ5289">
        <v>3325</v>
      </c>
      <c r="BK5289">
        <v>25</v>
      </c>
      <c r="BL5289" t="s">
        <v>188</v>
      </c>
      <c r="BM5289">
        <v>1</v>
      </c>
      <c r="BN5289">
        <v>1</v>
      </c>
      <c r="BO5289">
        <v>0</v>
      </c>
      <c r="BP5289">
        <v>0</v>
      </c>
      <c r="BS5289">
        <v>0</v>
      </c>
      <c r="BT5289">
        <v>0</v>
      </c>
      <c r="BU5289">
        <v>0</v>
      </c>
      <c r="CE5289" t="str">
        <f t="shared" si="2095"/>
        <v>15:19:13.885</v>
      </c>
      <c r="CF5289">
        <v>885255126</v>
      </c>
      <c r="CS5289">
        <v>0</v>
      </c>
      <c r="CT5289">
        <v>2</v>
      </c>
      <c r="CU5289">
        <v>0</v>
      </c>
      <c r="CV5289">
        <v>2</v>
      </c>
      <c r="CW5289">
        <v>0</v>
      </c>
      <c r="CX5289">
        <v>2</v>
      </c>
      <c r="CY5289">
        <v>7</v>
      </c>
      <c r="CZ5289" t="s">
        <v>133</v>
      </c>
      <c r="DA5289">
        <v>275</v>
      </c>
      <c r="DB5289">
        <v>0</v>
      </c>
      <c r="DC5289" t="s">
        <v>134</v>
      </c>
      <c r="DD5289" t="s">
        <v>135</v>
      </c>
      <c r="DG5289">
        <v>3323773</v>
      </c>
      <c r="DI5289">
        <v>1</v>
      </c>
      <c r="DJ5289">
        <v>0</v>
      </c>
      <c r="DK5289">
        <v>1</v>
      </c>
      <c r="DL5289">
        <v>0</v>
      </c>
      <c r="DM5289">
        <v>0</v>
      </c>
      <c r="DN5289">
        <v>0</v>
      </c>
      <c r="DO5289">
        <v>0</v>
      </c>
      <c r="DP5289">
        <v>0</v>
      </c>
      <c r="DQ5289">
        <v>0</v>
      </c>
      <c r="DR5289">
        <v>0</v>
      </c>
      <c r="DS5289">
        <v>0</v>
      </c>
    </row>
    <row r="5290" spans="1:123" x14ac:dyDescent="0.3">
      <c r="A5290" t="str">
        <f>"05/01/2025 15:19:14.128"</f>
        <v>05/01/2025 15:19:14.128</v>
      </c>
      <c r="C5290" t="str">
        <f t="shared" si="2078"/>
        <v>FFDFD3C0</v>
      </c>
      <c r="D5290" t="s">
        <v>145</v>
      </c>
      <c r="E5290" t="str">
        <f>"05"</f>
        <v>05</v>
      </c>
      <c r="H5290">
        <v>47</v>
      </c>
      <c r="I5290" t="s">
        <v>146</v>
      </c>
      <c r="J5290" t="s">
        <v>138</v>
      </c>
      <c r="K5290">
        <v>0</v>
      </c>
      <c r="L5290">
        <v>3</v>
      </c>
      <c r="M5290">
        <v>0</v>
      </c>
      <c r="N5290">
        <v>2</v>
      </c>
      <c r="O5290">
        <v>0</v>
      </c>
      <c r="P5290">
        <v>1</v>
      </c>
      <c r="Q5290">
        <v>0</v>
      </c>
      <c r="R5290" t="s">
        <v>127</v>
      </c>
      <c r="S5290" t="str">
        <f t="shared" si="2094"/>
        <v>15:19:13.000</v>
      </c>
      <c r="T5290" t="str">
        <f t="shared" si="2094"/>
        <v>15:19:13.000</v>
      </c>
      <c r="U5290" t="str">
        <f t="shared" si="2079"/>
        <v>A68FCB</v>
      </c>
      <c r="V5290">
        <v>0</v>
      </c>
      <c r="W5290">
        <v>0</v>
      </c>
      <c r="X5290">
        <v>2</v>
      </c>
      <c r="Y5290">
        <v>0</v>
      </c>
      <c r="AA5290">
        <v>1</v>
      </c>
      <c r="AB5290">
        <v>8</v>
      </c>
      <c r="AC5290">
        <v>3</v>
      </c>
      <c r="AD5290">
        <v>0</v>
      </c>
      <c r="AE5290">
        <v>9</v>
      </c>
      <c r="AF5290" t="s">
        <v>138</v>
      </c>
      <c r="AG5290">
        <v>0</v>
      </c>
      <c r="AH5290">
        <v>3</v>
      </c>
      <c r="AI5290">
        <v>2</v>
      </c>
      <c r="AJ5290">
        <v>0</v>
      </c>
      <c r="AK5290" t="s">
        <v>1664</v>
      </c>
      <c r="AL5290">
        <v>39.227307000000003</v>
      </c>
      <c r="AM5290" t="s">
        <v>1665</v>
      </c>
      <c r="AN5290">
        <v>-121.029167</v>
      </c>
      <c r="AO5290">
        <v>25</v>
      </c>
      <c r="AP5290">
        <v>3300</v>
      </c>
      <c r="AQ5290" t="s">
        <v>131</v>
      </c>
      <c r="AR5290">
        <v>31</v>
      </c>
      <c r="AS5290">
        <v>-52</v>
      </c>
      <c r="AT5290">
        <v>-832</v>
      </c>
      <c r="BB5290" t="str">
        <f t="shared" si="2080"/>
        <v>1200</v>
      </c>
      <c r="BC5290">
        <v>1</v>
      </c>
      <c r="BD5290" t="str">
        <f t="shared" si="2081"/>
        <v xml:space="preserve">N52156  </v>
      </c>
      <c r="BE5290">
        <v>1</v>
      </c>
      <c r="BG5290">
        <v>0</v>
      </c>
      <c r="BH5290">
        <v>0</v>
      </c>
      <c r="BI5290">
        <v>0</v>
      </c>
      <c r="BJ5290">
        <v>3325</v>
      </c>
      <c r="BK5290">
        <v>25</v>
      </c>
      <c r="BL5290" t="s">
        <v>188</v>
      </c>
      <c r="BM5290">
        <v>1</v>
      </c>
      <c r="BN5290">
        <v>1</v>
      </c>
      <c r="BO5290">
        <v>0</v>
      </c>
      <c r="BP5290">
        <v>0</v>
      </c>
      <c r="BS5290">
        <v>0</v>
      </c>
      <c r="BT5290">
        <v>0</v>
      </c>
      <c r="BU5290">
        <v>0</v>
      </c>
      <c r="CE5290" t="str">
        <f t="shared" si="2095"/>
        <v>15:19:13.885</v>
      </c>
      <c r="CF5290">
        <v>885255126</v>
      </c>
      <c r="CS5290">
        <v>0</v>
      </c>
      <c r="CT5290">
        <v>2</v>
      </c>
      <c r="CU5290">
        <v>0</v>
      </c>
      <c r="CV5290">
        <v>2</v>
      </c>
      <c r="CW5290">
        <v>0</v>
      </c>
      <c r="CX5290">
        <v>2</v>
      </c>
      <c r="CY5290">
        <v>7</v>
      </c>
      <c r="CZ5290" t="s">
        <v>133</v>
      </c>
      <c r="DA5290">
        <v>275</v>
      </c>
      <c r="DB5290">
        <v>0</v>
      </c>
      <c r="DC5290" t="s">
        <v>134</v>
      </c>
      <c r="DD5290" t="s">
        <v>135</v>
      </c>
      <c r="DG5290">
        <v>3323773</v>
      </c>
      <c r="DI5290">
        <v>1</v>
      </c>
      <c r="DJ5290">
        <v>0</v>
      </c>
      <c r="DK5290">
        <v>1</v>
      </c>
      <c r="DL5290">
        <v>0</v>
      </c>
      <c r="DM5290">
        <v>0</v>
      </c>
      <c r="DN5290">
        <v>0</v>
      </c>
      <c r="DO5290">
        <v>0</v>
      </c>
      <c r="DP5290">
        <v>0</v>
      </c>
      <c r="DQ5290">
        <v>0</v>
      </c>
      <c r="DR5290">
        <v>0</v>
      </c>
      <c r="DS5290">
        <v>0</v>
      </c>
    </row>
    <row r="5291" spans="1:123" x14ac:dyDescent="0.3">
      <c r="A5291" t="str">
        <f>"05/01/2025 15:19:14.138"</f>
        <v>05/01/2025 15:19:14.138</v>
      </c>
      <c r="C5291" t="str">
        <f t="shared" si="2078"/>
        <v>FFDFD3C0</v>
      </c>
      <c r="D5291" t="s">
        <v>136</v>
      </c>
      <c r="E5291" t="str">
        <f>"20"</f>
        <v>20</v>
      </c>
      <c r="H5291">
        <v>400</v>
      </c>
      <c r="I5291" t="s">
        <v>137</v>
      </c>
      <c r="J5291" t="s">
        <v>138</v>
      </c>
      <c r="K5291">
        <v>0</v>
      </c>
      <c r="L5291">
        <v>3</v>
      </c>
      <c r="M5291">
        <v>0</v>
      </c>
      <c r="N5291">
        <v>2</v>
      </c>
      <c r="O5291">
        <v>0</v>
      </c>
      <c r="P5291">
        <v>1</v>
      </c>
      <c r="Q5291">
        <v>0</v>
      </c>
      <c r="R5291" t="s">
        <v>127</v>
      </c>
      <c r="S5291" t="str">
        <f t="shared" si="2094"/>
        <v>15:19:13.000</v>
      </c>
      <c r="T5291" t="str">
        <f t="shared" si="2094"/>
        <v>15:19:13.000</v>
      </c>
      <c r="U5291" t="str">
        <f t="shared" si="2079"/>
        <v>A68FCB</v>
      </c>
      <c r="V5291">
        <v>0</v>
      </c>
      <c r="W5291">
        <v>0</v>
      </c>
      <c r="X5291">
        <v>2</v>
      </c>
      <c r="Y5291">
        <v>0</v>
      </c>
      <c r="AA5291">
        <v>1</v>
      </c>
      <c r="AB5291">
        <v>8</v>
      </c>
      <c r="AC5291">
        <v>3</v>
      </c>
      <c r="AD5291">
        <v>0</v>
      </c>
      <c r="AE5291">
        <v>9</v>
      </c>
      <c r="AF5291" t="s">
        <v>138</v>
      </c>
      <c r="AG5291">
        <v>0</v>
      </c>
      <c r="AH5291">
        <v>3</v>
      </c>
      <c r="AI5291">
        <v>2</v>
      </c>
      <c r="AJ5291">
        <v>0</v>
      </c>
      <c r="AK5291" t="s">
        <v>1664</v>
      </c>
      <c r="AL5291">
        <v>39.227307000000003</v>
      </c>
      <c r="AM5291" t="s">
        <v>1665</v>
      </c>
      <c r="AN5291">
        <v>-121.029167</v>
      </c>
      <c r="AO5291">
        <v>25</v>
      </c>
      <c r="AP5291">
        <v>3300</v>
      </c>
      <c r="AQ5291" t="s">
        <v>131</v>
      </c>
      <c r="AR5291">
        <v>31</v>
      </c>
      <c r="AS5291">
        <v>-52</v>
      </c>
      <c r="AT5291">
        <v>-832</v>
      </c>
      <c r="BB5291" t="str">
        <f t="shared" si="2080"/>
        <v>1200</v>
      </c>
      <c r="BC5291">
        <v>1</v>
      </c>
      <c r="BD5291" t="str">
        <f t="shared" si="2081"/>
        <v xml:space="preserve">N52156  </v>
      </c>
      <c r="BE5291">
        <v>1</v>
      </c>
      <c r="BG5291">
        <v>0</v>
      </c>
      <c r="BH5291">
        <v>0</v>
      </c>
      <c r="BI5291">
        <v>0</v>
      </c>
      <c r="BJ5291">
        <v>3325</v>
      </c>
      <c r="BK5291">
        <v>25</v>
      </c>
      <c r="BL5291" t="s">
        <v>188</v>
      </c>
      <c r="BM5291">
        <v>1</v>
      </c>
      <c r="BN5291">
        <v>1</v>
      </c>
      <c r="BO5291">
        <v>0</v>
      </c>
      <c r="BP5291">
        <v>0</v>
      </c>
      <c r="BS5291">
        <v>0</v>
      </c>
      <c r="BT5291">
        <v>0</v>
      </c>
      <c r="BU5291">
        <v>0</v>
      </c>
      <c r="CE5291" t="str">
        <f t="shared" si="2095"/>
        <v>15:19:13.885</v>
      </c>
      <c r="CF5291">
        <v>885255126</v>
      </c>
      <c r="CS5291">
        <v>0</v>
      </c>
      <c r="CT5291">
        <v>2</v>
      </c>
      <c r="CU5291">
        <v>0</v>
      </c>
      <c r="CV5291">
        <v>2</v>
      </c>
      <c r="CW5291">
        <v>0</v>
      </c>
      <c r="CX5291">
        <v>2</v>
      </c>
      <c r="CY5291">
        <v>7</v>
      </c>
      <c r="CZ5291" t="s">
        <v>133</v>
      </c>
      <c r="DA5291">
        <v>275</v>
      </c>
      <c r="DB5291">
        <v>0</v>
      </c>
      <c r="DC5291" t="s">
        <v>134</v>
      </c>
      <c r="DD5291" t="s">
        <v>135</v>
      </c>
      <c r="DG5291">
        <v>3323773</v>
      </c>
      <c r="DI5291">
        <v>1</v>
      </c>
      <c r="DJ5291">
        <v>0</v>
      </c>
      <c r="DK5291">
        <v>1</v>
      </c>
      <c r="DL5291">
        <v>0</v>
      </c>
      <c r="DM5291">
        <v>0</v>
      </c>
      <c r="DN5291">
        <v>0</v>
      </c>
      <c r="DO5291">
        <v>0</v>
      </c>
      <c r="DP5291">
        <v>0</v>
      </c>
      <c r="DQ5291">
        <v>0</v>
      </c>
      <c r="DR5291">
        <v>0</v>
      </c>
      <c r="DS5291">
        <v>0</v>
      </c>
    </row>
    <row r="5292" spans="1:123" x14ac:dyDescent="0.3">
      <c r="A5292" t="str">
        <f>"05/01/2025 15:19:14.152"</f>
        <v>05/01/2025 15:19:14.152</v>
      </c>
      <c r="C5292" t="str">
        <f t="shared" si="2078"/>
        <v>FFDFD3C0</v>
      </c>
      <c r="D5292" t="s">
        <v>140</v>
      </c>
      <c r="E5292" t="str">
        <f>"13"</f>
        <v>13</v>
      </c>
      <c r="F5292">
        <v>1019</v>
      </c>
      <c r="G5292" t="s">
        <v>141</v>
      </c>
      <c r="J5292" t="s">
        <v>142</v>
      </c>
      <c r="K5292">
        <v>0</v>
      </c>
      <c r="L5292">
        <v>3</v>
      </c>
      <c r="M5292">
        <v>0</v>
      </c>
      <c r="N5292">
        <v>2</v>
      </c>
      <c r="O5292">
        <v>0</v>
      </c>
      <c r="P5292">
        <v>1</v>
      </c>
      <c r="Q5292">
        <v>0</v>
      </c>
      <c r="R5292" t="s">
        <v>127</v>
      </c>
      <c r="S5292" t="str">
        <f t="shared" si="2094"/>
        <v>15:19:13.000</v>
      </c>
      <c r="T5292" t="str">
        <f t="shared" si="2094"/>
        <v>15:19:13.000</v>
      </c>
      <c r="U5292" t="str">
        <f t="shared" si="2079"/>
        <v>A68FCB</v>
      </c>
      <c r="V5292">
        <v>0</v>
      </c>
      <c r="W5292">
        <v>0</v>
      </c>
      <c r="X5292">
        <v>2</v>
      </c>
      <c r="Y5292">
        <v>0</v>
      </c>
      <c r="AA5292">
        <v>1</v>
      </c>
      <c r="AB5292">
        <v>8</v>
      </c>
      <c r="AC5292">
        <v>3</v>
      </c>
      <c r="AD5292">
        <v>0</v>
      </c>
      <c r="AE5292">
        <v>9</v>
      </c>
      <c r="AF5292" t="s">
        <v>138</v>
      </c>
      <c r="AG5292">
        <v>0</v>
      </c>
      <c r="AH5292">
        <v>3</v>
      </c>
      <c r="AI5292">
        <v>2</v>
      </c>
      <c r="AJ5292">
        <v>0</v>
      </c>
      <c r="AK5292" t="s">
        <v>1664</v>
      </c>
      <c r="AL5292">
        <v>39.227307000000003</v>
      </c>
      <c r="AM5292" t="s">
        <v>1665</v>
      </c>
      <c r="AN5292">
        <v>-121.029167</v>
      </c>
      <c r="AO5292">
        <v>25</v>
      </c>
      <c r="AP5292">
        <v>3300</v>
      </c>
      <c r="AQ5292" t="s">
        <v>131</v>
      </c>
      <c r="AR5292">
        <v>31</v>
      </c>
      <c r="AS5292">
        <v>-52</v>
      </c>
      <c r="AT5292">
        <v>-832</v>
      </c>
      <c r="BB5292" t="str">
        <f t="shared" si="2080"/>
        <v>1200</v>
      </c>
      <c r="BC5292">
        <v>1</v>
      </c>
      <c r="BD5292" t="str">
        <f t="shared" si="2081"/>
        <v xml:space="preserve">N52156  </v>
      </c>
      <c r="BE5292">
        <v>1</v>
      </c>
      <c r="BG5292">
        <v>0</v>
      </c>
      <c r="BH5292">
        <v>0</v>
      </c>
      <c r="BI5292">
        <v>0</v>
      </c>
      <c r="BJ5292">
        <v>3325</v>
      </c>
      <c r="BK5292">
        <v>25</v>
      </c>
      <c r="BL5292" t="s">
        <v>188</v>
      </c>
      <c r="BM5292">
        <v>1</v>
      </c>
      <c r="BN5292">
        <v>1</v>
      </c>
      <c r="BO5292">
        <v>0</v>
      </c>
      <c r="BP5292">
        <v>0</v>
      </c>
      <c r="BS5292">
        <v>0</v>
      </c>
      <c r="BT5292">
        <v>0</v>
      </c>
      <c r="BU5292">
        <v>0</v>
      </c>
      <c r="CE5292" t="str">
        <f t="shared" si="2095"/>
        <v>15:19:13.885</v>
      </c>
      <c r="CF5292">
        <v>885255126</v>
      </c>
      <c r="CS5292">
        <v>0</v>
      </c>
      <c r="CT5292">
        <v>2</v>
      </c>
      <c r="CU5292">
        <v>0</v>
      </c>
      <c r="CV5292">
        <v>2</v>
      </c>
      <c r="CW5292">
        <v>0</v>
      </c>
      <c r="CX5292">
        <v>2</v>
      </c>
      <c r="CY5292">
        <v>7</v>
      </c>
      <c r="CZ5292" t="s">
        <v>133</v>
      </c>
      <c r="DA5292">
        <v>275</v>
      </c>
      <c r="DB5292">
        <v>0</v>
      </c>
      <c r="DC5292" t="s">
        <v>134</v>
      </c>
      <c r="DD5292" t="s">
        <v>135</v>
      </c>
      <c r="DG5292">
        <v>3323773</v>
      </c>
      <c r="DI5292">
        <v>1</v>
      </c>
      <c r="DJ5292">
        <v>0</v>
      </c>
      <c r="DK5292">
        <v>1</v>
      </c>
      <c r="DL5292">
        <v>0</v>
      </c>
      <c r="DM5292">
        <v>0</v>
      </c>
      <c r="DN5292">
        <v>0</v>
      </c>
      <c r="DO5292">
        <v>0</v>
      </c>
      <c r="DP5292">
        <v>0</v>
      </c>
      <c r="DQ5292">
        <v>0</v>
      </c>
      <c r="DR5292">
        <v>0</v>
      </c>
      <c r="DS5292">
        <v>0</v>
      </c>
    </row>
    <row r="5293" spans="1:123" x14ac:dyDescent="0.3">
      <c r="A5293" t="str">
        <f>"05/01/2025 15:19:14.153"</f>
        <v>05/01/2025 15:19:14.153</v>
      </c>
      <c r="C5293" t="str">
        <f t="shared" si="2078"/>
        <v>FFDFD3C0</v>
      </c>
      <c r="D5293" t="s">
        <v>124</v>
      </c>
      <c r="E5293" t="str">
        <f>"06"</f>
        <v>06</v>
      </c>
      <c r="F5293">
        <v>2006</v>
      </c>
      <c r="G5293" t="s">
        <v>125</v>
      </c>
      <c r="J5293" t="s">
        <v>126</v>
      </c>
      <c r="K5293">
        <v>0</v>
      </c>
      <c r="L5293">
        <v>3</v>
      </c>
      <c r="M5293">
        <v>0</v>
      </c>
      <c r="N5293">
        <v>2</v>
      </c>
      <c r="O5293">
        <v>0</v>
      </c>
      <c r="P5293">
        <v>1</v>
      </c>
      <c r="Q5293">
        <v>0</v>
      </c>
      <c r="R5293" t="s">
        <v>127</v>
      </c>
      <c r="S5293" t="str">
        <f t="shared" si="2094"/>
        <v>15:19:13.000</v>
      </c>
      <c r="T5293" t="str">
        <f t="shared" si="2094"/>
        <v>15:19:13.000</v>
      </c>
      <c r="U5293" t="str">
        <f t="shared" si="2079"/>
        <v>A68FCB</v>
      </c>
      <c r="V5293">
        <v>0</v>
      </c>
      <c r="W5293">
        <v>0</v>
      </c>
      <c r="X5293">
        <v>2</v>
      </c>
      <c r="Y5293">
        <v>0</v>
      </c>
      <c r="AA5293">
        <v>1</v>
      </c>
      <c r="AB5293">
        <v>8</v>
      </c>
      <c r="AC5293">
        <v>3</v>
      </c>
      <c r="AD5293">
        <v>0</v>
      </c>
      <c r="AE5293">
        <v>9</v>
      </c>
      <c r="AF5293" t="s">
        <v>138</v>
      </c>
      <c r="AG5293">
        <v>0</v>
      </c>
      <c r="AH5293">
        <v>3</v>
      </c>
      <c r="AI5293">
        <v>2</v>
      </c>
      <c r="AJ5293">
        <v>0</v>
      </c>
      <c r="AK5293" t="s">
        <v>1664</v>
      </c>
      <c r="AL5293">
        <v>39.227307000000003</v>
      </c>
      <c r="AM5293" t="s">
        <v>1665</v>
      </c>
      <c r="AN5293">
        <v>-121.029167</v>
      </c>
      <c r="AO5293">
        <v>25</v>
      </c>
      <c r="AP5293">
        <v>3300</v>
      </c>
      <c r="AQ5293" t="s">
        <v>131</v>
      </c>
      <c r="AR5293">
        <v>31</v>
      </c>
      <c r="AS5293">
        <v>-52</v>
      </c>
      <c r="AT5293">
        <v>-832</v>
      </c>
      <c r="BB5293" t="str">
        <f t="shared" si="2080"/>
        <v>1200</v>
      </c>
      <c r="BC5293">
        <v>1</v>
      </c>
      <c r="BD5293" t="str">
        <f t="shared" si="2081"/>
        <v xml:space="preserve">N52156  </v>
      </c>
      <c r="BE5293">
        <v>1</v>
      </c>
      <c r="BG5293">
        <v>0</v>
      </c>
      <c r="BH5293">
        <v>0</v>
      </c>
      <c r="BI5293">
        <v>0</v>
      </c>
      <c r="BJ5293">
        <v>3325</v>
      </c>
      <c r="BK5293">
        <v>25</v>
      </c>
      <c r="BL5293" t="s">
        <v>188</v>
      </c>
      <c r="BM5293">
        <v>1</v>
      </c>
      <c r="BN5293">
        <v>1</v>
      </c>
      <c r="BO5293">
        <v>0</v>
      </c>
      <c r="BP5293">
        <v>0</v>
      </c>
      <c r="BS5293">
        <v>0</v>
      </c>
      <c r="BT5293">
        <v>0</v>
      </c>
      <c r="BU5293">
        <v>0</v>
      </c>
      <c r="CE5293" t="str">
        <f t="shared" si="2095"/>
        <v>15:19:13.885</v>
      </c>
      <c r="CF5293">
        <v>885255126</v>
      </c>
      <c r="CS5293">
        <v>0</v>
      </c>
      <c r="CT5293">
        <v>2</v>
      </c>
      <c r="CU5293">
        <v>0</v>
      </c>
      <c r="CV5293">
        <v>2</v>
      </c>
      <c r="CW5293">
        <v>0</v>
      </c>
      <c r="CX5293">
        <v>2</v>
      </c>
      <c r="CY5293">
        <v>7</v>
      </c>
      <c r="CZ5293" t="s">
        <v>133</v>
      </c>
      <c r="DA5293">
        <v>275</v>
      </c>
      <c r="DB5293">
        <v>0</v>
      </c>
      <c r="DC5293" t="s">
        <v>134</v>
      </c>
      <c r="DD5293" t="s">
        <v>135</v>
      </c>
      <c r="DG5293">
        <v>3323773</v>
      </c>
      <c r="DI5293">
        <v>1</v>
      </c>
      <c r="DJ5293">
        <v>0</v>
      </c>
      <c r="DK5293">
        <v>1</v>
      </c>
      <c r="DL5293">
        <v>0</v>
      </c>
      <c r="DM5293">
        <v>0</v>
      </c>
      <c r="DN5293">
        <v>0</v>
      </c>
      <c r="DO5293">
        <v>0</v>
      </c>
      <c r="DP5293">
        <v>0</v>
      </c>
      <c r="DQ5293">
        <v>0</v>
      </c>
      <c r="DR5293">
        <v>0</v>
      </c>
      <c r="DS5293">
        <v>0</v>
      </c>
    </row>
    <row r="5294" spans="1:123" x14ac:dyDescent="0.3">
      <c r="A5294" t="str">
        <f>"05/01/2025 15:19:14.617"</f>
        <v>05/01/2025 15:19:14.617</v>
      </c>
      <c r="C5294" t="str">
        <f t="shared" si="2078"/>
        <v>FFDFD3C0</v>
      </c>
      <c r="D5294" t="s">
        <v>143</v>
      </c>
      <c r="E5294" t="str">
        <f>"05"</f>
        <v>05</v>
      </c>
      <c r="H5294">
        <v>172</v>
      </c>
      <c r="I5294" t="s">
        <v>141</v>
      </c>
      <c r="J5294" t="s">
        <v>144</v>
      </c>
      <c r="K5294">
        <v>0</v>
      </c>
      <c r="L5294">
        <v>3</v>
      </c>
      <c r="M5294">
        <v>0</v>
      </c>
      <c r="N5294">
        <v>2</v>
      </c>
      <c r="O5294">
        <v>0</v>
      </c>
      <c r="P5294">
        <v>1</v>
      </c>
      <c r="Q5294">
        <v>0</v>
      </c>
      <c r="R5294" t="s">
        <v>127</v>
      </c>
      <c r="S5294" t="str">
        <f t="shared" ref="S5294:T5299" si="2096">"15:19:14.000"</f>
        <v>15:19:14.000</v>
      </c>
      <c r="T5294" t="str">
        <f t="shared" si="2096"/>
        <v>15:19:14.000</v>
      </c>
      <c r="U5294" t="str">
        <f t="shared" si="2079"/>
        <v>A68FCB</v>
      </c>
      <c r="V5294">
        <v>0</v>
      </c>
      <c r="W5294">
        <v>0</v>
      </c>
      <c r="X5294">
        <v>2</v>
      </c>
      <c r="Y5294">
        <v>0</v>
      </c>
      <c r="AA5294">
        <v>1</v>
      </c>
      <c r="AB5294">
        <v>8</v>
      </c>
      <c r="AC5294">
        <v>3</v>
      </c>
      <c r="AD5294">
        <v>0</v>
      </c>
      <c r="AE5294">
        <v>9</v>
      </c>
      <c r="AF5294" t="s">
        <v>138</v>
      </c>
      <c r="AG5294">
        <v>0</v>
      </c>
      <c r="AH5294">
        <v>3</v>
      </c>
      <c r="AI5294">
        <v>2</v>
      </c>
      <c r="AJ5294">
        <v>0</v>
      </c>
      <c r="AK5294" t="s">
        <v>1666</v>
      </c>
      <c r="AL5294">
        <v>39.227049000000001</v>
      </c>
      <c r="AM5294" t="s">
        <v>1667</v>
      </c>
      <c r="AN5294">
        <v>-121.02897400000001</v>
      </c>
      <c r="AO5294">
        <v>25</v>
      </c>
      <c r="AP5294">
        <v>3300</v>
      </c>
      <c r="AQ5294" t="s">
        <v>131</v>
      </c>
      <c r="AR5294">
        <v>31</v>
      </c>
      <c r="AS5294">
        <v>-53</v>
      </c>
      <c r="AT5294">
        <v>-704</v>
      </c>
      <c r="BB5294" t="str">
        <f t="shared" si="2080"/>
        <v>1200</v>
      </c>
      <c r="BC5294">
        <v>1</v>
      </c>
      <c r="BD5294" t="str">
        <f t="shared" si="2081"/>
        <v xml:space="preserve">N52156  </v>
      </c>
      <c r="BE5294">
        <v>1</v>
      </c>
      <c r="BG5294">
        <v>0</v>
      </c>
      <c r="BH5294">
        <v>0</v>
      </c>
      <c r="BI5294">
        <v>0</v>
      </c>
      <c r="BJ5294">
        <v>3325</v>
      </c>
      <c r="BK5294">
        <v>25</v>
      </c>
      <c r="BL5294" t="s">
        <v>188</v>
      </c>
      <c r="BM5294">
        <v>1</v>
      </c>
      <c r="BN5294">
        <v>1</v>
      </c>
      <c r="BO5294">
        <v>0</v>
      </c>
      <c r="BP5294">
        <v>0</v>
      </c>
      <c r="BS5294">
        <v>0</v>
      </c>
      <c r="BT5294">
        <v>0</v>
      </c>
      <c r="BU5294">
        <v>0</v>
      </c>
      <c r="CE5294" t="str">
        <f t="shared" ref="CE5294:CE5299" si="2097">"15:19:14.410"</f>
        <v>15:19:14.410</v>
      </c>
      <c r="CF5294">
        <v>409591409</v>
      </c>
      <c r="CS5294">
        <v>0</v>
      </c>
      <c r="CT5294">
        <v>2</v>
      </c>
      <c r="CU5294">
        <v>0</v>
      </c>
      <c r="CV5294">
        <v>2</v>
      </c>
      <c r="CW5294">
        <v>0</v>
      </c>
      <c r="CX5294">
        <v>1</v>
      </c>
      <c r="CY5294">
        <v>7</v>
      </c>
      <c r="CZ5294" t="s">
        <v>133</v>
      </c>
      <c r="DA5294">
        <v>276</v>
      </c>
      <c r="DB5294">
        <v>0</v>
      </c>
      <c r="DC5294" t="s">
        <v>402</v>
      </c>
      <c r="DD5294" t="s">
        <v>403</v>
      </c>
      <c r="DG5294">
        <v>1629184</v>
      </c>
      <c r="DI5294">
        <v>1</v>
      </c>
      <c r="DJ5294">
        <v>0</v>
      </c>
      <c r="DK5294">
        <v>0</v>
      </c>
      <c r="DL5294">
        <v>0</v>
      </c>
      <c r="DM5294">
        <v>0</v>
      </c>
      <c r="DN5294">
        <v>0</v>
      </c>
      <c r="DO5294">
        <v>0</v>
      </c>
      <c r="DP5294">
        <v>0</v>
      </c>
      <c r="DQ5294">
        <v>0</v>
      </c>
      <c r="DR5294">
        <v>0</v>
      </c>
      <c r="DS5294">
        <v>0</v>
      </c>
    </row>
    <row r="5295" spans="1:123" x14ac:dyDescent="0.3">
      <c r="A5295" t="str">
        <f>"05/01/2025 15:19:14.627"</f>
        <v>05/01/2025 15:19:14.627</v>
      </c>
      <c r="C5295" t="str">
        <f t="shared" si="2078"/>
        <v>FFDFD3C0</v>
      </c>
      <c r="D5295" t="s">
        <v>145</v>
      </c>
      <c r="E5295" t="str">
        <f>"09"</f>
        <v>09</v>
      </c>
      <c r="H5295">
        <v>51</v>
      </c>
      <c r="I5295" t="s">
        <v>147</v>
      </c>
      <c r="J5295" t="s">
        <v>138</v>
      </c>
      <c r="K5295">
        <v>0</v>
      </c>
      <c r="L5295">
        <v>3</v>
      </c>
      <c r="M5295">
        <v>0</v>
      </c>
      <c r="N5295">
        <v>2</v>
      </c>
      <c r="O5295">
        <v>0</v>
      </c>
      <c r="P5295">
        <v>1</v>
      </c>
      <c r="Q5295">
        <v>0</v>
      </c>
      <c r="R5295" t="s">
        <v>127</v>
      </c>
      <c r="S5295" t="str">
        <f t="shared" si="2096"/>
        <v>15:19:14.000</v>
      </c>
      <c r="T5295" t="str">
        <f t="shared" si="2096"/>
        <v>15:19:14.000</v>
      </c>
      <c r="U5295" t="str">
        <f t="shared" si="2079"/>
        <v>A68FCB</v>
      </c>
      <c r="V5295">
        <v>0</v>
      </c>
      <c r="W5295">
        <v>0</v>
      </c>
      <c r="X5295">
        <v>2</v>
      </c>
      <c r="Y5295">
        <v>0</v>
      </c>
      <c r="AA5295">
        <v>1</v>
      </c>
      <c r="AB5295">
        <v>8</v>
      </c>
      <c r="AC5295">
        <v>3</v>
      </c>
      <c r="AD5295">
        <v>0</v>
      </c>
      <c r="AE5295">
        <v>9</v>
      </c>
      <c r="AF5295" t="s">
        <v>138</v>
      </c>
      <c r="AG5295">
        <v>0</v>
      </c>
      <c r="AH5295">
        <v>3</v>
      </c>
      <c r="AI5295">
        <v>2</v>
      </c>
      <c r="AJ5295">
        <v>0</v>
      </c>
      <c r="AK5295" t="s">
        <v>1666</v>
      </c>
      <c r="AL5295">
        <v>39.227049000000001</v>
      </c>
      <c r="AM5295" t="s">
        <v>1667</v>
      </c>
      <c r="AN5295">
        <v>-121.02897400000001</v>
      </c>
      <c r="AO5295">
        <v>25</v>
      </c>
      <c r="AP5295">
        <v>3300</v>
      </c>
      <c r="AQ5295" t="s">
        <v>131</v>
      </c>
      <c r="AR5295">
        <v>31</v>
      </c>
      <c r="AS5295">
        <v>-53</v>
      </c>
      <c r="AT5295">
        <v>-704</v>
      </c>
      <c r="BB5295" t="str">
        <f t="shared" si="2080"/>
        <v>1200</v>
      </c>
      <c r="BC5295">
        <v>1</v>
      </c>
      <c r="BD5295" t="str">
        <f t="shared" si="2081"/>
        <v xml:space="preserve">N52156  </v>
      </c>
      <c r="BE5295">
        <v>1</v>
      </c>
      <c r="BG5295">
        <v>0</v>
      </c>
      <c r="BH5295">
        <v>0</v>
      </c>
      <c r="BI5295">
        <v>0</v>
      </c>
      <c r="BJ5295">
        <v>3325</v>
      </c>
      <c r="BK5295">
        <v>25</v>
      </c>
      <c r="BL5295" t="s">
        <v>188</v>
      </c>
      <c r="BM5295">
        <v>1</v>
      </c>
      <c r="BN5295">
        <v>1</v>
      </c>
      <c r="BO5295">
        <v>0</v>
      </c>
      <c r="BP5295">
        <v>0</v>
      </c>
      <c r="BS5295">
        <v>0</v>
      </c>
      <c r="BT5295">
        <v>0</v>
      </c>
      <c r="BU5295">
        <v>0</v>
      </c>
      <c r="CE5295" t="str">
        <f t="shared" si="2097"/>
        <v>15:19:14.410</v>
      </c>
      <c r="CF5295">
        <v>409591409</v>
      </c>
      <c r="CS5295">
        <v>0</v>
      </c>
      <c r="CT5295">
        <v>2</v>
      </c>
      <c r="CU5295">
        <v>0</v>
      </c>
      <c r="CV5295">
        <v>2</v>
      </c>
      <c r="CW5295">
        <v>0</v>
      </c>
      <c r="CX5295">
        <v>1</v>
      </c>
      <c r="CY5295">
        <v>7</v>
      </c>
      <c r="CZ5295" t="s">
        <v>133</v>
      </c>
      <c r="DA5295">
        <v>276</v>
      </c>
      <c r="DB5295">
        <v>0</v>
      </c>
      <c r="DC5295" t="s">
        <v>402</v>
      </c>
      <c r="DD5295" t="s">
        <v>403</v>
      </c>
      <c r="DG5295">
        <v>1629184</v>
      </c>
      <c r="DI5295">
        <v>1</v>
      </c>
      <c r="DJ5295">
        <v>0</v>
      </c>
      <c r="DK5295">
        <v>1</v>
      </c>
      <c r="DL5295">
        <v>0</v>
      </c>
      <c r="DM5295">
        <v>0</v>
      </c>
      <c r="DN5295">
        <v>0</v>
      </c>
      <c r="DO5295">
        <v>0</v>
      </c>
      <c r="DP5295">
        <v>0</v>
      </c>
      <c r="DQ5295">
        <v>0</v>
      </c>
      <c r="DR5295">
        <v>0</v>
      </c>
      <c r="DS5295">
        <v>0</v>
      </c>
    </row>
    <row r="5296" spans="1:123" x14ac:dyDescent="0.3">
      <c r="A5296" t="str">
        <f>"05/01/2025 15:19:14.629"</f>
        <v>05/01/2025 15:19:14.629</v>
      </c>
      <c r="C5296" t="str">
        <f t="shared" si="2078"/>
        <v>FFDFD3C0</v>
      </c>
      <c r="D5296" t="s">
        <v>145</v>
      </c>
      <c r="E5296" t="str">
        <f>"05"</f>
        <v>05</v>
      </c>
      <c r="H5296">
        <v>47</v>
      </c>
      <c r="I5296" t="s">
        <v>146</v>
      </c>
      <c r="J5296" t="s">
        <v>138</v>
      </c>
      <c r="K5296">
        <v>0</v>
      </c>
      <c r="L5296">
        <v>3</v>
      </c>
      <c r="M5296">
        <v>0</v>
      </c>
      <c r="N5296">
        <v>2</v>
      </c>
      <c r="O5296">
        <v>0</v>
      </c>
      <c r="P5296">
        <v>1</v>
      </c>
      <c r="Q5296">
        <v>0</v>
      </c>
      <c r="R5296" t="s">
        <v>127</v>
      </c>
      <c r="S5296" t="str">
        <f t="shared" si="2096"/>
        <v>15:19:14.000</v>
      </c>
      <c r="T5296" t="str">
        <f t="shared" si="2096"/>
        <v>15:19:14.000</v>
      </c>
      <c r="U5296" t="str">
        <f t="shared" si="2079"/>
        <v>A68FCB</v>
      </c>
      <c r="V5296">
        <v>0</v>
      </c>
      <c r="W5296">
        <v>0</v>
      </c>
      <c r="X5296">
        <v>2</v>
      </c>
      <c r="Y5296">
        <v>0</v>
      </c>
      <c r="AA5296">
        <v>1</v>
      </c>
      <c r="AB5296">
        <v>8</v>
      </c>
      <c r="AC5296">
        <v>3</v>
      </c>
      <c r="AD5296">
        <v>0</v>
      </c>
      <c r="AE5296">
        <v>9</v>
      </c>
      <c r="AF5296" t="s">
        <v>138</v>
      </c>
      <c r="AG5296">
        <v>0</v>
      </c>
      <c r="AH5296">
        <v>3</v>
      </c>
      <c r="AI5296">
        <v>2</v>
      </c>
      <c r="AJ5296">
        <v>0</v>
      </c>
      <c r="AK5296" t="s">
        <v>1666</v>
      </c>
      <c r="AL5296">
        <v>39.227049000000001</v>
      </c>
      <c r="AM5296" t="s">
        <v>1667</v>
      </c>
      <c r="AN5296">
        <v>-121.02897400000001</v>
      </c>
      <c r="AO5296">
        <v>25</v>
      </c>
      <c r="AP5296">
        <v>3300</v>
      </c>
      <c r="AQ5296" t="s">
        <v>131</v>
      </c>
      <c r="AR5296">
        <v>31</v>
      </c>
      <c r="AS5296">
        <v>-53</v>
      </c>
      <c r="AT5296">
        <v>-704</v>
      </c>
      <c r="BB5296" t="str">
        <f t="shared" si="2080"/>
        <v>1200</v>
      </c>
      <c r="BC5296">
        <v>1</v>
      </c>
      <c r="BD5296" t="str">
        <f t="shared" si="2081"/>
        <v xml:space="preserve">N52156  </v>
      </c>
      <c r="BE5296">
        <v>1</v>
      </c>
      <c r="BG5296">
        <v>0</v>
      </c>
      <c r="BH5296">
        <v>0</v>
      </c>
      <c r="BI5296">
        <v>0</v>
      </c>
      <c r="BJ5296">
        <v>3325</v>
      </c>
      <c r="BK5296">
        <v>25</v>
      </c>
      <c r="BL5296" t="s">
        <v>188</v>
      </c>
      <c r="BM5296">
        <v>1</v>
      </c>
      <c r="BN5296">
        <v>1</v>
      </c>
      <c r="BO5296">
        <v>0</v>
      </c>
      <c r="BP5296">
        <v>0</v>
      </c>
      <c r="BS5296">
        <v>0</v>
      </c>
      <c r="BT5296">
        <v>0</v>
      </c>
      <c r="BU5296">
        <v>0</v>
      </c>
      <c r="CE5296" t="str">
        <f t="shared" si="2097"/>
        <v>15:19:14.410</v>
      </c>
      <c r="CF5296">
        <v>409591409</v>
      </c>
      <c r="CS5296">
        <v>0</v>
      </c>
      <c r="CT5296">
        <v>2</v>
      </c>
      <c r="CU5296">
        <v>0</v>
      </c>
      <c r="CV5296">
        <v>2</v>
      </c>
      <c r="CW5296">
        <v>0</v>
      </c>
      <c r="CX5296">
        <v>1</v>
      </c>
      <c r="CY5296">
        <v>7</v>
      </c>
      <c r="CZ5296" t="s">
        <v>133</v>
      </c>
      <c r="DA5296">
        <v>276</v>
      </c>
      <c r="DB5296">
        <v>0</v>
      </c>
      <c r="DC5296" t="s">
        <v>402</v>
      </c>
      <c r="DD5296" t="s">
        <v>403</v>
      </c>
      <c r="DG5296">
        <v>1629184</v>
      </c>
      <c r="DI5296">
        <v>1</v>
      </c>
      <c r="DJ5296">
        <v>0</v>
      </c>
      <c r="DK5296">
        <v>1</v>
      </c>
      <c r="DL5296">
        <v>0</v>
      </c>
      <c r="DM5296">
        <v>0</v>
      </c>
      <c r="DN5296">
        <v>0</v>
      </c>
      <c r="DO5296">
        <v>0</v>
      </c>
      <c r="DP5296">
        <v>0</v>
      </c>
      <c r="DQ5296">
        <v>0</v>
      </c>
      <c r="DR5296">
        <v>0</v>
      </c>
      <c r="DS5296">
        <v>0</v>
      </c>
    </row>
    <row r="5297" spans="1:123" x14ac:dyDescent="0.3">
      <c r="A5297" t="str">
        <f>"05/01/2025 15:19:14.638"</f>
        <v>05/01/2025 15:19:14.638</v>
      </c>
      <c r="C5297" t="str">
        <f t="shared" si="2078"/>
        <v>FFDFD3C0</v>
      </c>
      <c r="D5297" t="s">
        <v>136</v>
      </c>
      <c r="E5297" t="str">
        <f>"20"</f>
        <v>20</v>
      </c>
      <c r="H5297">
        <v>400</v>
      </c>
      <c r="I5297" t="s">
        <v>137</v>
      </c>
      <c r="J5297" t="s">
        <v>138</v>
      </c>
      <c r="K5297">
        <v>0</v>
      </c>
      <c r="L5297">
        <v>3</v>
      </c>
      <c r="M5297">
        <v>0</v>
      </c>
      <c r="N5297">
        <v>2</v>
      </c>
      <c r="O5297">
        <v>0</v>
      </c>
      <c r="P5297">
        <v>1</v>
      </c>
      <c r="Q5297">
        <v>0</v>
      </c>
      <c r="R5297" t="s">
        <v>127</v>
      </c>
      <c r="S5297" t="str">
        <f t="shared" si="2096"/>
        <v>15:19:14.000</v>
      </c>
      <c r="T5297" t="str">
        <f t="shared" si="2096"/>
        <v>15:19:14.000</v>
      </c>
      <c r="U5297" t="str">
        <f t="shared" si="2079"/>
        <v>A68FCB</v>
      </c>
      <c r="V5297">
        <v>0</v>
      </c>
      <c r="W5297">
        <v>0</v>
      </c>
      <c r="X5297">
        <v>2</v>
      </c>
      <c r="Y5297">
        <v>0</v>
      </c>
      <c r="AA5297">
        <v>1</v>
      </c>
      <c r="AB5297">
        <v>8</v>
      </c>
      <c r="AC5297">
        <v>3</v>
      </c>
      <c r="AD5297">
        <v>0</v>
      </c>
      <c r="AE5297">
        <v>9</v>
      </c>
      <c r="AF5297" t="s">
        <v>138</v>
      </c>
      <c r="AG5297">
        <v>0</v>
      </c>
      <c r="AH5297">
        <v>3</v>
      </c>
      <c r="AI5297">
        <v>2</v>
      </c>
      <c r="AJ5297">
        <v>0</v>
      </c>
      <c r="AK5297" t="s">
        <v>1666</v>
      </c>
      <c r="AL5297">
        <v>39.227049000000001</v>
      </c>
      <c r="AM5297" t="s">
        <v>1667</v>
      </c>
      <c r="AN5297">
        <v>-121.02897400000001</v>
      </c>
      <c r="AO5297">
        <v>25</v>
      </c>
      <c r="AP5297">
        <v>3300</v>
      </c>
      <c r="AQ5297" t="s">
        <v>131</v>
      </c>
      <c r="AR5297">
        <v>31</v>
      </c>
      <c r="AS5297">
        <v>-53</v>
      </c>
      <c r="AT5297">
        <v>-704</v>
      </c>
      <c r="BB5297" t="str">
        <f t="shared" si="2080"/>
        <v>1200</v>
      </c>
      <c r="BC5297">
        <v>1</v>
      </c>
      <c r="BD5297" t="str">
        <f t="shared" si="2081"/>
        <v xml:space="preserve">N52156  </v>
      </c>
      <c r="BE5297">
        <v>1</v>
      </c>
      <c r="BG5297">
        <v>0</v>
      </c>
      <c r="BH5297">
        <v>0</v>
      </c>
      <c r="BI5297">
        <v>0</v>
      </c>
      <c r="BJ5297">
        <v>3325</v>
      </c>
      <c r="BK5297">
        <v>25</v>
      </c>
      <c r="BL5297" t="s">
        <v>188</v>
      </c>
      <c r="BM5297">
        <v>1</v>
      </c>
      <c r="BN5297">
        <v>1</v>
      </c>
      <c r="BO5297">
        <v>0</v>
      </c>
      <c r="BP5297">
        <v>0</v>
      </c>
      <c r="BS5297">
        <v>0</v>
      </c>
      <c r="BT5297">
        <v>0</v>
      </c>
      <c r="BU5297">
        <v>0</v>
      </c>
      <c r="CE5297" t="str">
        <f t="shared" si="2097"/>
        <v>15:19:14.410</v>
      </c>
      <c r="CF5297">
        <v>409591409</v>
      </c>
      <c r="CS5297">
        <v>0</v>
      </c>
      <c r="CT5297">
        <v>2</v>
      </c>
      <c r="CU5297">
        <v>0</v>
      </c>
      <c r="CV5297">
        <v>2</v>
      </c>
      <c r="CW5297">
        <v>0</v>
      </c>
      <c r="CX5297">
        <v>1</v>
      </c>
      <c r="CY5297">
        <v>7</v>
      </c>
      <c r="CZ5297" t="s">
        <v>133</v>
      </c>
      <c r="DA5297">
        <v>276</v>
      </c>
      <c r="DB5297">
        <v>0</v>
      </c>
      <c r="DC5297" t="s">
        <v>402</v>
      </c>
      <c r="DD5297" t="s">
        <v>403</v>
      </c>
      <c r="DG5297">
        <v>1629184</v>
      </c>
      <c r="DI5297">
        <v>1</v>
      </c>
      <c r="DJ5297">
        <v>0</v>
      </c>
      <c r="DK5297">
        <v>1</v>
      </c>
      <c r="DL5297">
        <v>0</v>
      </c>
      <c r="DM5297">
        <v>0</v>
      </c>
      <c r="DN5297">
        <v>0</v>
      </c>
      <c r="DO5297">
        <v>0</v>
      </c>
      <c r="DP5297">
        <v>0</v>
      </c>
      <c r="DQ5297">
        <v>0</v>
      </c>
      <c r="DR5297">
        <v>0</v>
      </c>
      <c r="DS5297">
        <v>0</v>
      </c>
    </row>
    <row r="5298" spans="1:123" x14ac:dyDescent="0.3">
      <c r="A5298" t="str">
        <f>"05/01/2025 15:19:14.652"</f>
        <v>05/01/2025 15:19:14.652</v>
      </c>
      <c r="C5298" t="str">
        <f t="shared" si="2078"/>
        <v>FFDFD3C0</v>
      </c>
      <c r="D5298" t="s">
        <v>140</v>
      </c>
      <c r="E5298" t="str">
        <f>"13"</f>
        <v>13</v>
      </c>
      <c r="F5298">
        <v>1019</v>
      </c>
      <c r="G5298" t="s">
        <v>141</v>
      </c>
      <c r="J5298" t="s">
        <v>142</v>
      </c>
      <c r="K5298">
        <v>0</v>
      </c>
      <c r="L5298">
        <v>3</v>
      </c>
      <c r="M5298">
        <v>0</v>
      </c>
      <c r="N5298">
        <v>2</v>
      </c>
      <c r="O5298">
        <v>0</v>
      </c>
      <c r="P5298">
        <v>1</v>
      </c>
      <c r="Q5298">
        <v>0</v>
      </c>
      <c r="R5298" t="s">
        <v>127</v>
      </c>
      <c r="S5298" t="str">
        <f t="shared" si="2096"/>
        <v>15:19:14.000</v>
      </c>
      <c r="T5298" t="str">
        <f t="shared" si="2096"/>
        <v>15:19:14.000</v>
      </c>
      <c r="U5298" t="str">
        <f t="shared" si="2079"/>
        <v>A68FCB</v>
      </c>
      <c r="V5298">
        <v>0</v>
      </c>
      <c r="W5298">
        <v>0</v>
      </c>
      <c r="X5298">
        <v>2</v>
      </c>
      <c r="Y5298">
        <v>0</v>
      </c>
      <c r="AA5298">
        <v>1</v>
      </c>
      <c r="AB5298">
        <v>8</v>
      </c>
      <c r="AC5298">
        <v>3</v>
      </c>
      <c r="AD5298">
        <v>0</v>
      </c>
      <c r="AE5298">
        <v>9</v>
      </c>
      <c r="AF5298" t="s">
        <v>138</v>
      </c>
      <c r="AG5298">
        <v>0</v>
      </c>
      <c r="AH5298">
        <v>3</v>
      </c>
      <c r="AI5298">
        <v>2</v>
      </c>
      <c r="AJ5298">
        <v>0</v>
      </c>
      <c r="AK5298" t="s">
        <v>1666</v>
      </c>
      <c r="AL5298">
        <v>39.227049000000001</v>
      </c>
      <c r="AM5298" t="s">
        <v>1667</v>
      </c>
      <c r="AN5298">
        <v>-121.02897400000001</v>
      </c>
      <c r="AO5298">
        <v>25</v>
      </c>
      <c r="AP5298">
        <v>3300</v>
      </c>
      <c r="AQ5298" t="s">
        <v>131</v>
      </c>
      <c r="AR5298">
        <v>31</v>
      </c>
      <c r="AS5298">
        <v>-53</v>
      </c>
      <c r="AT5298">
        <v>-704</v>
      </c>
      <c r="BB5298" t="str">
        <f t="shared" si="2080"/>
        <v>1200</v>
      </c>
      <c r="BC5298">
        <v>1</v>
      </c>
      <c r="BD5298" t="str">
        <f t="shared" si="2081"/>
        <v xml:space="preserve">N52156  </v>
      </c>
      <c r="BE5298">
        <v>1</v>
      </c>
      <c r="BG5298">
        <v>0</v>
      </c>
      <c r="BH5298">
        <v>0</v>
      </c>
      <c r="BI5298">
        <v>0</v>
      </c>
      <c r="BJ5298">
        <v>3325</v>
      </c>
      <c r="BK5298">
        <v>25</v>
      </c>
      <c r="BL5298" t="s">
        <v>188</v>
      </c>
      <c r="BM5298">
        <v>1</v>
      </c>
      <c r="BN5298">
        <v>1</v>
      </c>
      <c r="BO5298">
        <v>0</v>
      </c>
      <c r="BP5298">
        <v>0</v>
      </c>
      <c r="BS5298">
        <v>0</v>
      </c>
      <c r="BT5298">
        <v>0</v>
      </c>
      <c r="BU5298">
        <v>0</v>
      </c>
      <c r="CE5298" t="str">
        <f t="shared" si="2097"/>
        <v>15:19:14.410</v>
      </c>
      <c r="CF5298">
        <v>409591409</v>
      </c>
      <c r="CS5298">
        <v>0</v>
      </c>
      <c r="CT5298">
        <v>2</v>
      </c>
      <c r="CU5298">
        <v>0</v>
      </c>
      <c r="CV5298">
        <v>2</v>
      </c>
      <c r="CW5298">
        <v>0</v>
      </c>
      <c r="CX5298">
        <v>1</v>
      </c>
      <c r="CY5298">
        <v>7</v>
      </c>
      <c r="CZ5298" t="s">
        <v>133</v>
      </c>
      <c r="DA5298">
        <v>276</v>
      </c>
      <c r="DB5298">
        <v>0</v>
      </c>
      <c r="DC5298" t="s">
        <v>402</v>
      </c>
      <c r="DD5298" t="s">
        <v>403</v>
      </c>
      <c r="DG5298">
        <v>1629184</v>
      </c>
      <c r="DI5298">
        <v>1</v>
      </c>
      <c r="DJ5298">
        <v>0</v>
      </c>
      <c r="DK5298">
        <v>1</v>
      </c>
      <c r="DL5298">
        <v>0</v>
      </c>
      <c r="DM5298">
        <v>0</v>
      </c>
      <c r="DN5298">
        <v>0</v>
      </c>
      <c r="DO5298">
        <v>0</v>
      </c>
      <c r="DP5298">
        <v>0</v>
      </c>
      <c r="DQ5298">
        <v>0</v>
      </c>
      <c r="DR5298">
        <v>0</v>
      </c>
      <c r="DS5298">
        <v>0</v>
      </c>
    </row>
    <row r="5299" spans="1:123" x14ac:dyDescent="0.3">
      <c r="A5299" t="str">
        <f>"05/01/2025 15:19:14.654"</f>
        <v>05/01/2025 15:19:14.654</v>
      </c>
      <c r="C5299" t="str">
        <f t="shared" si="2078"/>
        <v>FFDFD3C0</v>
      </c>
      <c r="D5299" t="s">
        <v>124</v>
      </c>
      <c r="E5299" t="str">
        <f>"06"</f>
        <v>06</v>
      </c>
      <c r="F5299">
        <v>2006</v>
      </c>
      <c r="G5299" t="s">
        <v>125</v>
      </c>
      <c r="J5299" t="s">
        <v>126</v>
      </c>
      <c r="K5299">
        <v>0</v>
      </c>
      <c r="L5299">
        <v>3</v>
      </c>
      <c r="M5299">
        <v>0</v>
      </c>
      <c r="N5299">
        <v>2</v>
      </c>
      <c r="O5299">
        <v>0</v>
      </c>
      <c r="P5299">
        <v>1</v>
      </c>
      <c r="Q5299">
        <v>0</v>
      </c>
      <c r="R5299" t="s">
        <v>127</v>
      </c>
      <c r="S5299" t="str">
        <f t="shared" si="2096"/>
        <v>15:19:14.000</v>
      </c>
      <c r="T5299" t="str">
        <f t="shared" si="2096"/>
        <v>15:19:14.000</v>
      </c>
      <c r="U5299" t="str">
        <f t="shared" si="2079"/>
        <v>A68FCB</v>
      </c>
      <c r="V5299">
        <v>0</v>
      </c>
      <c r="W5299">
        <v>0</v>
      </c>
      <c r="X5299">
        <v>2</v>
      </c>
      <c r="Y5299">
        <v>0</v>
      </c>
      <c r="AA5299">
        <v>1</v>
      </c>
      <c r="AB5299">
        <v>8</v>
      </c>
      <c r="AC5299">
        <v>3</v>
      </c>
      <c r="AD5299">
        <v>0</v>
      </c>
      <c r="AE5299">
        <v>9</v>
      </c>
      <c r="AF5299" t="s">
        <v>138</v>
      </c>
      <c r="AG5299">
        <v>0</v>
      </c>
      <c r="AH5299">
        <v>3</v>
      </c>
      <c r="AI5299">
        <v>2</v>
      </c>
      <c r="AJ5299">
        <v>0</v>
      </c>
      <c r="AK5299" t="s">
        <v>1666</v>
      </c>
      <c r="AL5299">
        <v>39.227049000000001</v>
      </c>
      <c r="AM5299" t="s">
        <v>1667</v>
      </c>
      <c r="AN5299">
        <v>-121.02897400000001</v>
      </c>
      <c r="AO5299">
        <v>25</v>
      </c>
      <c r="AP5299">
        <v>3300</v>
      </c>
      <c r="AQ5299" t="s">
        <v>131</v>
      </c>
      <c r="AR5299">
        <v>31</v>
      </c>
      <c r="AS5299">
        <v>-53</v>
      </c>
      <c r="AT5299">
        <v>-704</v>
      </c>
      <c r="BB5299" t="str">
        <f t="shared" si="2080"/>
        <v>1200</v>
      </c>
      <c r="BC5299">
        <v>1</v>
      </c>
      <c r="BD5299" t="str">
        <f t="shared" si="2081"/>
        <v xml:space="preserve">N52156  </v>
      </c>
      <c r="BE5299">
        <v>1</v>
      </c>
      <c r="BG5299">
        <v>0</v>
      </c>
      <c r="BH5299">
        <v>0</v>
      </c>
      <c r="BI5299">
        <v>0</v>
      </c>
      <c r="BJ5299">
        <v>3325</v>
      </c>
      <c r="BK5299">
        <v>25</v>
      </c>
      <c r="BL5299" t="s">
        <v>188</v>
      </c>
      <c r="BM5299">
        <v>1</v>
      </c>
      <c r="BN5299">
        <v>1</v>
      </c>
      <c r="BO5299">
        <v>0</v>
      </c>
      <c r="BP5299">
        <v>0</v>
      </c>
      <c r="BS5299">
        <v>0</v>
      </c>
      <c r="BT5299">
        <v>0</v>
      </c>
      <c r="BU5299">
        <v>0</v>
      </c>
      <c r="CE5299" t="str">
        <f t="shared" si="2097"/>
        <v>15:19:14.410</v>
      </c>
      <c r="CF5299">
        <v>409591409</v>
      </c>
      <c r="CS5299">
        <v>0</v>
      </c>
      <c r="CT5299">
        <v>2</v>
      </c>
      <c r="CU5299">
        <v>0</v>
      </c>
      <c r="CV5299">
        <v>2</v>
      </c>
      <c r="CW5299">
        <v>0</v>
      </c>
      <c r="CX5299">
        <v>1</v>
      </c>
      <c r="CY5299">
        <v>7</v>
      </c>
      <c r="CZ5299" t="s">
        <v>133</v>
      </c>
      <c r="DA5299">
        <v>276</v>
      </c>
      <c r="DB5299">
        <v>0</v>
      </c>
      <c r="DC5299" t="s">
        <v>402</v>
      </c>
      <c r="DD5299" t="s">
        <v>403</v>
      </c>
      <c r="DG5299">
        <v>1629184</v>
      </c>
      <c r="DI5299">
        <v>1</v>
      </c>
      <c r="DJ5299">
        <v>0</v>
      </c>
      <c r="DK5299">
        <v>1</v>
      </c>
      <c r="DL5299">
        <v>0</v>
      </c>
      <c r="DM5299">
        <v>0</v>
      </c>
      <c r="DN5299">
        <v>0</v>
      </c>
      <c r="DO5299">
        <v>0</v>
      </c>
      <c r="DP5299">
        <v>0</v>
      </c>
      <c r="DQ5299">
        <v>0</v>
      </c>
      <c r="DR5299">
        <v>0</v>
      </c>
      <c r="DS5299">
        <v>0</v>
      </c>
    </row>
    <row r="5300" spans="1:123" x14ac:dyDescent="0.3">
      <c r="A5300" t="str">
        <f>"05/01/2025 15:19:16.041"</f>
        <v>05/01/2025 15:19:16.041</v>
      </c>
      <c r="C5300" t="str">
        <f t="shared" si="2078"/>
        <v>FFDFD3C0</v>
      </c>
      <c r="D5300" t="s">
        <v>136</v>
      </c>
      <c r="E5300" t="str">
        <f>"20"</f>
        <v>20</v>
      </c>
      <c r="H5300">
        <v>400</v>
      </c>
      <c r="I5300" t="s">
        <v>137</v>
      </c>
      <c r="J5300" t="s">
        <v>138</v>
      </c>
      <c r="K5300">
        <v>0</v>
      </c>
      <c r="L5300">
        <v>3</v>
      </c>
      <c r="M5300">
        <v>0</v>
      </c>
      <c r="N5300">
        <v>2</v>
      </c>
      <c r="O5300">
        <v>0</v>
      </c>
      <c r="P5300">
        <v>1</v>
      </c>
      <c r="Q5300">
        <v>0</v>
      </c>
      <c r="R5300" t="s">
        <v>127</v>
      </c>
      <c r="S5300" t="str">
        <f t="shared" ref="S5300:T5305" si="2098">"15:19:15.000"</f>
        <v>15:19:15.000</v>
      </c>
      <c r="T5300" t="str">
        <f t="shared" si="2098"/>
        <v>15:19:15.000</v>
      </c>
      <c r="U5300" t="str">
        <f t="shared" si="2079"/>
        <v>A68FCB</v>
      </c>
      <c r="V5300">
        <v>0</v>
      </c>
      <c r="W5300">
        <v>0</v>
      </c>
      <c r="X5300">
        <v>2</v>
      </c>
      <c r="Y5300">
        <v>0</v>
      </c>
      <c r="AA5300">
        <v>1</v>
      </c>
      <c r="AB5300">
        <v>8</v>
      </c>
      <c r="AC5300">
        <v>3</v>
      </c>
      <c r="AD5300">
        <v>0</v>
      </c>
      <c r="AE5300">
        <v>9</v>
      </c>
      <c r="AF5300" t="s">
        <v>138</v>
      </c>
      <c r="AG5300">
        <v>0</v>
      </c>
      <c r="AH5300">
        <v>3</v>
      </c>
      <c r="AI5300">
        <v>2</v>
      </c>
      <c r="AJ5300">
        <v>0</v>
      </c>
      <c r="AK5300" t="s">
        <v>1668</v>
      </c>
      <c r="AL5300">
        <v>39.226813</v>
      </c>
      <c r="AM5300" t="s">
        <v>1669</v>
      </c>
      <c r="AN5300">
        <v>-121.02875899999999</v>
      </c>
      <c r="AO5300">
        <v>25</v>
      </c>
      <c r="AP5300">
        <v>3300</v>
      </c>
      <c r="AQ5300" t="s">
        <v>131</v>
      </c>
      <c r="AR5300">
        <v>38</v>
      </c>
      <c r="AS5300">
        <v>-44</v>
      </c>
      <c r="AT5300">
        <v>-640</v>
      </c>
      <c r="BB5300" t="str">
        <f t="shared" si="2080"/>
        <v>1200</v>
      </c>
      <c r="BC5300">
        <v>1</v>
      </c>
      <c r="BD5300" t="str">
        <f t="shared" si="2081"/>
        <v xml:space="preserve">N52156  </v>
      </c>
      <c r="BE5300">
        <v>1</v>
      </c>
      <c r="BG5300">
        <v>0</v>
      </c>
      <c r="BH5300">
        <v>0</v>
      </c>
      <c r="BI5300">
        <v>0</v>
      </c>
      <c r="BJ5300">
        <v>3325</v>
      </c>
      <c r="BK5300">
        <v>25</v>
      </c>
      <c r="BL5300" t="s">
        <v>188</v>
      </c>
      <c r="BM5300">
        <v>1</v>
      </c>
      <c r="BN5300">
        <v>1</v>
      </c>
      <c r="BO5300">
        <v>0</v>
      </c>
      <c r="BP5300">
        <v>0</v>
      </c>
      <c r="BS5300">
        <v>0</v>
      </c>
      <c r="BT5300">
        <v>0</v>
      </c>
      <c r="BU5300">
        <v>0</v>
      </c>
      <c r="CE5300" t="str">
        <f t="shared" ref="CE5300:CE5305" si="2099">"15:19:15.794"</f>
        <v>15:19:15.794</v>
      </c>
      <c r="CF5300">
        <v>794347883</v>
      </c>
      <c r="CS5300">
        <v>0</v>
      </c>
      <c r="CT5300">
        <v>2</v>
      </c>
      <c r="CU5300">
        <v>0</v>
      </c>
      <c r="CV5300">
        <v>2</v>
      </c>
      <c r="CW5300">
        <v>0</v>
      </c>
      <c r="CX5300">
        <v>2</v>
      </c>
      <c r="CY5300">
        <v>7</v>
      </c>
      <c r="CZ5300" t="s">
        <v>133</v>
      </c>
      <c r="DA5300">
        <v>273</v>
      </c>
      <c r="DB5300">
        <v>0</v>
      </c>
      <c r="DC5300" t="s">
        <v>292</v>
      </c>
      <c r="DD5300" t="s">
        <v>293</v>
      </c>
      <c r="DG5300">
        <v>4868779</v>
      </c>
      <c r="DI5300">
        <v>1</v>
      </c>
      <c r="DJ5300">
        <v>0</v>
      </c>
      <c r="DK5300">
        <v>0</v>
      </c>
      <c r="DL5300">
        <v>0</v>
      </c>
      <c r="DM5300">
        <v>0</v>
      </c>
      <c r="DN5300">
        <v>0</v>
      </c>
      <c r="DO5300">
        <v>0</v>
      </c>
      <c r="DP5300">
        <v>0</v>
      </c>
      <c r="DQ5300">
        <v>0</v>
      </c>
      <c r="DR5300">
        <v>0</v>
      </c>
      <c r="DS5300">
        <v>0</v>
      </c>
    </row>
    <row r="5301" spans="1:123" x14ac:dyDescent="0.3">
      <c r="A5301" t="str">
        <f>"05/01/2025 15:19:16.054"</f>
        <v>05/01/2025 15:19:16.054</v>
      </c>
      <c r="C5301" t="str">
        <f t="shared" si="2078"/>
        <v>FFDFD3C0</v>
      </c>
      <c r="D5301" t="s">
        <v>140</v>
      </c>
      <c r="E5301" t="str">
        <f>"13"</f>
        <v>13</v>
      </c>
      <c r="F5301">
        <v>1019</v>
      </c>
      <c r="G5301" t="s">
        <v>141</v>
      </c>
      <c r="J5301" t="s">
        <v>142</v>
      </c>
      <c r="K5301">
        <v>0</v>
      </c>
      <c r="L5301">
        <v>3</v>
      </c>
      <c r="M5301">
        <v>0</v>
      </c>
      <c r="N5301">
        <v>2</v>
      </c>
      <c r="O5301">
        <v>0</v>
      </c>
      <c r="P5301">
        <v>1</v>
      </c>
      <c r="Q5301">
        <v>0</v>
      </c>
      <c r="R5301" t="s">
        <v>127</v>
      </c>
      <c r="S5301" t="str">
        <f t="shared" si="2098"/>
        <v>15:19:15.000</v>
      </c>
      <c r="T5301" t="str">
        <f t="shared" si="2098"/>
        <v>15:19:15.000</v>
      </c>
      <c r="U5301" t="str">
        <f t="shared" si="2079"/>
        <v>A68FCB</v>
      </c>
      <c r="V5301">
        <v>0</v>
      </c>
      <c r="W5301">
        <v>0</v>
      </c>
      <c r="X5301">
        <v>2</v>
      </c>
      <c r="Y5301">
        <v>0</v>
      </c>
      <c r="AA5301">
        <v>1</v>
      </c>
      <c r="AB5301">
        <v>8</v>
      </c>
      <c r="AC5301">
        <v>3</v>
      </c>
      <c r="AD5301">
        <v>0</v>
      </c>
      <c r="AE5301">
        <v>9</v>
      </c>
      <c r="AF5301" t="s">
        <v>138</v>
      </c>
      <c r="AG5301">
        <v>0</v>
      </c>
      <c r="AH5301">
        <v>3</v>
      </c>
      <c r="AI5301">
        <v>2</v>
      </c>
      <c r="AJ5301">
        <v>0</v>
      </c>
      <c r="AK5301" t="s">
        <v>1668</v>
      </c>
      <c r="AL5301">
        <v>39.226813</v>
      </c>
      <c r="AM5301" t="s">
        <v>1669</v>
      </c>
      <c r="AN5301">
        <v>-121.02875899999999</v>
      </c>
      <c r="AO5301">
        <v>25</v>
      </c>
      <c r="AP5301">
        <v>3300</v>
      </c>
      <c r="AQ5301" t="s">
        <v>131</v>
      </c>
      <c r="AR5301">
        <v>38</v>
      </c>
      <c r="AS5301">
        <v>-44</v>
      </c>
      <c r="AT5301">
        <v>-640</v>
      </c>
      <c r="BB5301" t="str">
        <f t="shared" si="2080"/>
        <v>1200</v>
      </c>
      <c r="BC5301">
        <v>1</v>
      </c>
      <c r="BD5301" t="str">
        <f t="shared" si="2081"/>
        <v xml:space="preserve">N52156  </v>
      </c>
      <c r="BE5301">
        <v>1</v>
      </c>
      <c r="BG5301">
        <v>0</v>
      </c>
      <c r="BH5301">
        <v>0</v>
      </c>
      <c r="BI5301">
        <v>0</v>
      </c>
      <c r="BJ5301">
        <v>3325</v>
      </c>
      <c r="BK5301">
        <v>25</v>
      </c>
      <c r="BL5301" t="s">
        <v>188</v>
      </c>
      <c r="BM5301">
        <v>1</v>
      </c>
      <c r="BN5301">
        <v>1</v>
      </c>
      <c r="BO5301">
        <v>0</v>
      </c>
      <c r="BP5301">
        <v>0</v>
      </c>
      <c r="BS5301">
        <v>0</v>
      </c>
      <c r="BT5301">
        <v>0</v>
      </c>
      <c r="BU5301">
        <v>0</v>
      </c>
      <c r="CE5301" t="str">
        <f t="shared" si="2099"/>
        <v>15:19:15.794</v>
      </c>
      <c r="CF5301">
        <v>794347883</v>
      </c>
      <c r="CS5301">
        <v>0</v>
      </c>
      <c r="CT5301">
        <v>2</v>
      </c>
      <c r="CU5301">
        <v>0</v>
      </c>
      <c r="CV5301">
        <v>2</v>
      </c>
      <c r="CW5301">
        <v>0</v>
      </c>
      <c r="CX5301">
        <v>2</v>
      </c>
      <c r="CY5301">
        <v>7</v>
      </c>
      <c r="CZ5301" t="s">
        <v>133</v>
      </c>
      <c r="DA5301">
        <v>273</v>
      </c>
      <c r="DB5301">
        <v>0</v>
      </c>
      <c r="DC5301" t="s">
        <v>292</v>
      </c>
      <c r="DD5301" t="s">
        <v>293</v>
      </c>
      <c r="DG5301">
        <v>4868779</v>
      </c>
      <c r="DI5301">
        <v>1</v>
      </c>
      <c r="DJ5301">
        <v>0</v>
      </c>
      <c r="DK5301">
        <v>1</v>
      </c>
      <c r="DL5301">
        <v>0</v>
      </c>
      <c r="DM5301">
        <v>0</v>
      </c>
      <c r="DN5301">
        <v>0</v>
      </c>
      <c r="DO5301">
        <v>0</v>
      </c>
      <c r="DP5301">
        <v>0</v>
      </c>
      <c r="DQ5301">
        <v>0</v>
      </c>
      <c r="DR5301">
        <v>0</v>
      </c>
      <c r="DS5301">
        <v>0</v>
      </c>
    </row>
    <row r="5302" spans="1:123" x14ac:dyDescent="0.3">
      <c r="A5302" t="str">
        <f>"05/01/2025 15:19:16.057"</f>
        <v>05/01/2025 15:19:16.057</v>
      </c>
      <c r="C5302" t="str">
        <f t="shared" si="2078"/>
        <v>FFDFD3C0</v>
      </c>
      <c r="D5302" t="s">
        <v>124</v>
      </c>
      <c r="E5302" t="str">
        <f>"06"</f>
        <v>06</v>
      </c>
      <c r="F5302">
        <v>2006</v>
      </c>
      <c r="G5302" t="s">
        <v>125</v>
      </c>
      <c r="J5302" t="s">
        <v>126</v>
      </c>
      <c r="K5302">
        <v>0</v>
      </c>
      <c r="L5302">
        <v>3</v>
      </c>
      <c r="M5302">
        <v>0</v>
      </c>
      <c r="N5302">
        <v>2</v>
      </c>
      <c r="O5302">
        <v>0</v>
      </c>
      <c r="P5302">
        <v>1</v>
      </c>
      <c r="Q5302">
        <v>0</v>
      </c>
      <c r="R5302" t="s">
        <v>127</v>
      </c>
      <c r="S5302" t="str">
        <f t="shared" si="2098"/>
        <v>15:19:15.000</v>
      </c>
      <c r="T5302" t="str">
        <f t="shared" si="2098"/>
        <v>15:19:15.000</v>
      </c>
      <c r="U5302" t="str">
        <f t="shared" si="2079"/>
        <v>A68FCB</v>
      </c>
      <c r="V5302">
        <v>0</v>
      </c>
      <c r="W5302">
        <v>0</v>
      </c>
      <c r="X5302">
        <v>2</v>
      </c>
      <c r="Y5302">
        <v>0</v>
      </c>
      <c r="AA5302">
        <v>1</v>
      </c>
      <c r="AB5302">
        <v>8</v>
      </c>
      <c r="AC5302">
        <v>3</v>
      </c>
      <c r="AD5302">
        <v>0</v>
      </c>
      <c r="AE5302">
        <v>9</v>
      </c>
      <c r="AF5302" t="s">
        <v>138</v>
      </c>
      <c r="AG5302">
        <v>0</v>
      </c>
      <c r="AH5302">
        <v>3</v>
      </c>
      <c r="AI5302">
        <v>2</v>
      </c>
      <c r="AJ5302">
        <v>0</v>
      </c>
      <c r="AK5302" t="s">
        <v>1668</v>
      </c>
      <c r="AL5302">
        <v>39.226813</v>
      </c>
      <c r="AM5302" t="s">
        <v>1669</v>
      </c>
      <c r="AN5302">
        <v>-121.02875899999999</v>
      </c>
      <c r="AO5302">
        <v>25</v>
      </c>
      <c r="AP5302">
        <v>3300</v>
      </c>
      <c r="AQ5302" t="s">
        <v>131</v>
      </c>
      <c r="AR5302">
        <v>38</v>
      </c>
      <c r="AS5302">
        <v>-44</v>
      </c>
      <c r="AT5302">
        <v>-640</v>
      </c>
      <c r="BB5302" t="str">
        <f t="shared" si="2080"/>
        <v>1200</v>
      </c>
      <c r="BC5302">
        <v>1</v>
      </c>
      <c r="BD5302" t="str">
        <f t="shared" si="2081"/>
        <v xml:space="preserve">N52156  </v>
      </c>
      <c r="BE5302">
        <v>1</v>
      </c>
      <c r="BG5302">
        <v>0</v>
      </c>
      <c r="BH5302">
        <v>0</v>
      </c>
      <c r="BI5302">
        <v>0</v>
      </c>
      <c r="BJ5302">
        <v>3325</v>
      </c>
      <c r="BK5302">
        <v>25</v>
      </c>
      <c r="BL5302" t="s">
        <v>188</v>
      </c>
      <c r="BM5302">
        <v>1</v>
      </c>
      <c r="BN5302">
        <v>1</v>
      </c>
      <c r="BO5302">
        <v>0</v>
      </c>
      <c r="BP5302">
        <v>0</v>
      </c>
      <c r="BS5302">
        <v>0</v>
      </c>
      <c r="BT5302">
        <v>0</v>
      </c>
      <c r="BU5302">
        <v>0</v>
      </c>
      <c r="CE5302" t="str">
        <f t="shared" si="2099"/>
        <v>15:19:15.794</v>
      </c>
      <c r="CF5302">
        <v>794347883</v>
      </c>
      <c r="CS5302">
        <v>0</v>
      </c>
      <c r="CT5302">
        <v>2</v>
      </c>
      <c r="CU5302">
        <v>0</v>
      </c>
      <c r="CV5302">
        <v>2</v>
      </c>
      <c r="CW5302">
        <v>0</v>
      </c>
      <c r="CX5302">
        <v>2</v>
      </c>
      <c r="CY5302">
        <v>7</v>
      </c>
      <c r="CZ5302" t="s">
        <v>133</v>
      </c>
      <c r="DA5302">
        <v>273</v>
      </c>
      <c r="DB5302">
        <v>0</v>
      </c>
      <c r="DC5302" t="s">
        <v>292</v>
      </c>
      <c r="DD5302" t="s">
        <v>293</v>
      </c>
      <c r="DG5302">
        <v>4868779</v>
      </c>
      <c r="DI5302">
        <v>1</v>
      </c>
      <c r="DJ5302">
        <v>0</v>
      </c>
      <c r="DK5302">
        <v>1</v>
      </c>
      <c r="DL5302">
        <v>0</v>
      </c>
      <c r="DM5302">
        <v>0</v>
      </c>
      <c r="DN5302">
        <v>0</v>
      </c>
      <c r="DO5302">
        <v>0</v>
      </c>
      <c r="DP5302">
        <v>0</v>
      </c>
      <c r="DQ5302">
        <v>0</v>
      </c>
      <c r="DR5302">
        <v>0</v>
      </c>
      <c r="DS5302">
        <v>0</v>
      </c>
    </row>
    <row r="5303" spans="1:123" x14ac:dyDescent="0.3">
      <c r="A5303" t="str">
        <f>"05/01/2025 15:19:16.070"</f>
        <v>05/01/2025 15:19:16.070</v>
      </c>
      <c r="C5303" t="str">
        <f t="shared" si="2078"/>
        <v>FFDFD3C0</v>
      </c>
      <c r="D5303" t="s">
        <v>143</v>
      </c>
      <c r="E5303" t="str">
        <f>"05"</f>
        <v>05</v>
      </c>
      <c r="H5303">
        <v>172</v>
      </c>
      <c r="I5303" t="s">
        <v>141</v>
      </c>
      <c r="J5303" t="s">
        <v>144</v>
      </c>
      <c r="K5303">
        <v>0</v>
      </c>
      <c r="L5303">
        <v>3</v>
      </c>
      <c r="M5303">
        <v>0</v>
      </c>
      <c r="N5303">
        <v>2</v>
      </c>
      <c r="O5303">
        <v>0</v>
      </c>
      <c r="P5303">
        <v>1</v>
      </c>
      <c r="Q5303">
        <v>0</v>
      </c>
      <c r="R5303" t="s">
        <v>127</v>
      </c>
      <c r="S5303" t="str">
        <f t="shared" si="2098"/>
        <v>15:19:15.000</v>
      </c>
      <c r="T5303" t="str">
        <f t="shared" si="2098"/>
        <v>15:19:15.000</v>
      </c>
      <c r="U5303" t="str">
        <f t="shared" si="2079"/>
        <v>A68FCB</v>
      </c>
      <c r="V5303">
        <v>0</v>
      </c>
      <c r="W5303">
        <v>0</v>
      </c>
      <c r="X5303">
        <v>2</v>
      </c>
      <c r="Y5303">
        <v>0</v>
      </c>
      <c r="AA5303">
        <v>1</v>
      </c>
      <c r="AB5303">
        <v>8</v>
      </c>
      <c r="AC5303">
        <v>3</v>
      </c>
      <c r="AD5303">
        <v>0</v>
      </c>
      <c r="AE5303">
        <v>9</v>
      </c>
      <c r="AF5303" t="s">
        <v>138</v>
      </c>
      <c r="AG5303">
        <v>0</v>
      </c>
      <c r="AH5303">
        <v>3</v>
      </c>
      <c r="AI5303">
        <v>2</v>
      </c>
      <c r="AJ5303">
        <v>0</v>
      </c>
      <c r="AK5303" t="s">
        <v>1668</v>
      </c>
      <c r="AL5303">
        <v>39.226813</v>
      </c>
      <c r="AM5303" t="s">
        <v>1669</v>
      </c>
      <c r="AN5303">
        <v>-121.02875899999999</v>
      </c>
      <c r="AO5303">
        <v>25</v>
      </c>
      <c r="AP5303">
        <v>3300</v>
      </c>
      <c r="AQ5303" t="s">
        <v>131</v>
      </c>
      <c r="AR5303">
        <v>38</v>
      </c>
      <c r="AS5303">
        <v>-44</v>
      </c>
      <c r="AT5303">
        <v>-640</v>
      </c>
      <c r="BB5303" t="str">
        <f t="shared" si="2080"/>
        <v>1200</v>
      </c>
      <c r="BC5303">
        <v>1</v>
      </c>
      <c r="BD5303" t="str">
        <f t="shared" si="2081"/>
        <v xml:space="preserve">N52156  </v>
      </c>
      <c r="BE5303">
        <v>1</v>
      </c>
      <c r="BG5303">
        <v>0</v>
      </c>
      <c r="BH5303">
        <v>0</v>
      </c>
      <c r="BI5303">
        <v>0</v>
      </c>
      <c r="BJ5303">
        <v>3325</v>
      </c>
      <c r="BK5303">
        <v>25</v>
      </c>
      <c r="BL5303" t="s">
        <v>188</v>
      </c>
      <c r="BM5303">
        <v>1</v>
      </c>
      <c r="BN5303">
        <v>1</v>
      </c>
      <c r="BO5303">
        <v>0</v>
      </c>
      <c r="BP5303">
        <v>0</v>
      </c>
      <c r="BS5303">
        <v>0</v>
      </c>
      <c r="BT5303">
        <v>0</v>
      </c>
      <c r="BU5303">
        <v>0</v>
      </c>
      <c r="CE5303" t="str">
        <f t="shared" si="2099"/>
        <v>15:19:15.794</v>
      </c>
      <c r="CF5303">
        <v>794347883</v>
      </c>
      <c r="CS5303">
        <v>0</v>
      </c>
      <c r="CT5303">
        <v>2</v>
      </c>
      <c r="CU5303">
        <v>0</v>
      </c>
      <c r="CV5303">
        <v>2</v>
      </c>
      <c r="CW5303">
        <v>0</v>
      </c>
      <c r="CX5303">
        <v>2</v>
      </c>
      <c r="CY5303">
        <v>7</v>
      </c>
      <c r="CZ5303" t="s">
        <v>133</v>
      </c>
      <c r="DA5303">
        <v>273</v>
      </c>
      <c r="DB5303">
        <v>0</v>
      </c>
      <c r="DC5303" t="s">
        <v>292</v>
      </c>
      <c r="DD5303" t="s">
        <v>293</v>
      </c>
      <c r="DG5303">
        <v>4868779</v>
      </c>
      <c r="DI5303">
        <v>1</v>
      </c>
      <c r="DJ5303">
        <v>0</v>
      </c>
      <c r="DK5303">
        <v>1</v>
      </c>
      <c r="DL5303">
        <v>0</v>
      </c>
      <c r="DM5303">
        <v>0</v>
      </c>
      <c r="DN5303">
        <v>0</v>
      </c>
      <c r="DO5303">
        <v>0</v>
      </c>
      <c r="DP5303">
        <v>0</v>
      </c>
      <c r="DQ5303">
        <v>0</v>
      </c>
      <c r="DR5303">
        <v>0</v>
      </c>
      <c r="DS5303">
        <v>0</v>
      </c>
    </row>
    <row r="5304" spans="1:123" x14ac:dyDescent="0.3">
      <c r="A5304" t="str">
        <f>"05/01/2025 15:19:16.081"</f>
        <v>05/01/2025 15:19:16.081</v>
      </c>
      <c r="C5304" t="str">
        <f t="shared" si="2078"/>
        <v>FFDFD3C0</v>
      </c>
      <c r="D5304" t="s">
        <v>145</v>
      </c>
      <c r="E5304" t="str">
        <f>"05"</f>
        <v>05</v>
      </c>
      <c r="H5304">
        <v>47</v>
      </c>
      <c r="I5304" t="s">
        <v>146</v>
      </c>
      <c r="J5304" t="s">
        <v>138</v>
      </c>
      <c r="K5304">
        <v>0</v>
      </c>
      <c r="L5304">
        <v>3</v>
      </c>
      <c r="M5304">
        <v>0</v>
      </c>
      <c r="N5304">
        <v>2</v>
      </c>
      <c r="O5304">
        <v>0</v>
      </c>
      <c r="P5304">
        <v>1</v>
      </c>
      <c r="Q5304">
        <v>0</v>
      </c>
      <c r="R5304" t="s">
        <v>127</v>
      </c>
      <c r="S5304" t="str">
        <f t="shared" si="2098"/>
        <v>15:19:15.000</v>
      </c>
      <c r="T5304" t="str">
        <f t="shared" si="2098"/>
        <v>15:19:15.000</v>
      </c>
      <c r="U5304" t="str">
        <f t="shared" si="2079"/>
        <v>A68FCB</v>
      </c>
      <c r="V5304">
        <v>0</v>
      </c>
      <c r="W5304">
        <v>0</v>
      </c>
      <c r="X5304">
        <v>2</v>
      </c>
      <c r="Y5304">
        <v>0</v>
      </c>
      <c r="AA5304">
        <v>1</v>
      </c>
      <c r="AB5304">
        <v>8</v>
      </c>
      <c r="AC5304">
        <v>3</v>
      </c>
      <c r="AD5304">
        <v>0</v>
      </c>
      <c r="AE5304">
        <v>9</v>
      </c>
      <c r="AF5304" t="s">
        <v>138</v>
      </c>
      <c r="AG5304">
        <v>0</v>
      </c>
      <c r="AH5304">
        <v>3</v>
      </c>
      <c r="AI5304">
        <v>2</v>
      </c>
      <c r="AJ5304">
        <v>0</v>
      </c>
      <c r="AK5304" t="s">
        <v>1668</v>
      </c>
      <c r="AL5304">
        <v>39.226813</v>
      </c>
      <c r="AM5304" t="s">
        <v>1669</v>
      </c>
      <c r="AN5304">
        <v>-121.02875899999999</v>
      </c>
      <c r="AO5304">
        <v>25</v>
      </c>
      <c r="AP5304">
        <v>3300</v>
      </c>
      <c r="AQ5304" t="s">
        <v>131</v>
      </c>
      <c r="AR5304">
        <v>38</v>
      </c>
      <c r="AS5304">
        <v>-44</v>
      </c>
      <c r="AT5304">
        <v>-640</v>
      </c>
      <c r="BB5304" t="str">
        <f t="shared" si="2080"/>
        <v>1200</v>
      </c>
      <c r="BC5304">
        <v>1</v>
      </c>
      <c r="BD5304" t="str">
        <f t="shared" si="2081"/>
        <v xml:space="preserve">N52156  </v>
      </c>
      <c r="BE5304">
        <v>1</v>
      </c>
      <c r="BG5304">
        <v>0</v>
      </c>
      <c r="BH5304">
        <v>0</v>
      </c>
      <c r="BI5304">
        <v>0</v>
      </c>
      <c r="BJ5304">
        <v>3325</v>
      </c>
      <c r="BK5304">
        <v>25</v>
      </c>
      <c r="BL5304" t="s">
        <v>188</v>
      </c>
      <c r="BM5304">
        <v>1</v>
      </c>
      <c r="BN5304">
        <v>1</v>
      </c>
      <c r="BO5304">
        <v>0</v>
      </c>
      <c r="BP5304">
        <v>0</v>
      </c>
      <c r="BS5304">
        <v>0</v>
      </c>
      <c r="BT5304">
        <v>0</v>
      </c>
      <c r="BU5304">
        <v>0</v>
      </c>
      <c r="CE5304" t="str">
        <f t="shared" si="2099"/>
        <v>15:19:15.794</v>
      </c>
      <c r="CF5304">
        <v>794347883</v>
      </c>
      <c r="CS5304">
        <v>0</v>
      </c>
      <c r="CT5304">
        <v>2</v>
      </c>
      <c r="CU5304">
        <v>0</v>
      </c>
      <c r="CV5304">
        <v>2</v>
      </c>
      <c r="CW5304">
        <v>0</v>
      </c>
      <c r="CX5304">
        <v>2</v>
      </c>
      <c r="CY5304">
        <v>7</v>
      </c>
      <c r="CZ5304" t="s">
        <v>133</v>
      </c>
      <c r="DA5304">
        <v>273</v>
      </c>
      <c r="DB5304">
        <v>0</v>
      </c>
      <c r="DC5304" t="s">
        <v>292</v>
      </c>
      <c r="DD5304" t="s">
        <v>293</v>
      </c>
      <c r="DG5304">
        <v>4868779</v>
      </c>
      <c r="DI5304">
        <v>1</v>
      </c>
      <c r="DJ5304">
        <v>0</v>
      </c>
      <c r="DK5304">
        <v>1</v>
      </c>
      <c r="DL5304">
        <v>0</v>
      </c>
      <c r="DM5304">
        <v>0</v>
      </c>
      <c r="DN5304">
        <v>0</v>
      </c>
      <c r="DO5304">
        <v>0</v>
      </c>
      <c r="DP5304">
        <v>0</v>
      </c>
      <c r="DQ5304">
        <v>0</v>
      </c>
      <c r="DR5304">
        <v>0</v>
      </c>
      <c r="DS5304">
        <v>0</v>
      </c>
    </row>
    <row r="5305" spans="1:123" x14ac:dyDescent="0.3">
      <c r="A5305" t="str">
        <f>"05/01/2025 15:19:16.080"</f>
        <v>05/01/2025 15:19:16.080</v>
      </c>
      <c r="C5305" t="str">
        <f t="shared" si="2078"/>
        <v>FFDFD3C0</v>
      </c>
      <c r="D5305" t="s">
        <v>145</v>
      </c>
      <c r="E5305" t="str">
        <f>"09"</f>
        <v>09</v>
      </c>
      <c r="H5305">
        <v>51</v>
      </c>
      <c r="I5305" t="s">
        <v>147</v>
      </c>
      <c r="J5305" t="s">
        <v>138</v>
      </c>
      <c r="K5305">
        <v>0</v>
      </c>
      <c r="L5305">
        <v>3</v>
      </c>
      <c r="M5305">
        <v>0</v>
      </c>
      <c r="N5305">
        <v>2</v>
      </c>
      <c r="O5305">
        <v>0</v>
      </c>
      <c r="P5305">
        <v>1</v>
      </c>
      <c r="Q5305">
        <v>0</v>
      </c>
      <c r="R5305" t="s">
        <v>127</v>
      </c>
      <c r="S5305" t="str">
        <f t="shared" si="2098"/>
        <v>15:19:15.000</v>
      </c>
      <c r="T5305" t="str">
        <f t="shared" si="2098"/>
        <v>15:19:15.000</v>
      </c>
      <c r="U5305" t="str">
        <f t="shared" si="2079"/>
        <v>A68FCB</v>
      </c>
      <c r="V5305">
        <v>0</v>
      </c>
      <c r="W5305">
        <v>0</v>
      </c>
      <c r="X5305">
        <v>2</v>
      </c>
      <c r="Y5305">
        <v>0</v>
      </c>
      <c r="AA5305">
        <v>1</v>
      </c>
      <c r="AB5305">
        <v>8</v>
      </c>
      <c r="AC5305">
        <v>3</v>
      </c>
      <c r="AD5305">
        <v>0</v>
      </c>
      <c r="AE5305">
        <v>9</v>
      </c>
      <c r="AF5305" t="s">
        <v>138</v>
      </c>
      <c r="AG5305">
        <v>0</v>
      </c>
      <c r="AH5305">
        <v>3</v>
      </c>
      <c r="AI5305">
        <v>2</v>
      </c>
      <c r="AJ5305">
        <v>0</v>
      </c>
      <c r="AK5305" t="s">
        <v>1668</v>
      </c>
      <c r="AL5305">
        <v>39.226813</v>
      </c>
      <c r="AM5305" t="s">
        <v>1669</v>
      </c>
      <c r="AN5305">
        <v>-121.02875899999999</v>
      </c>
      <c r="AO5305">
        <v>25</v>
      </c>
      <c r="AP5305">
        <v>3300</v>
      </c>
      <c r="AQ5305" t="s">
        <v>131</v>
      </c>
      <c r="AR5305">
        <v>38</v>
      </c>
      <c r="AS5305">
        <v>-44</v>
      </c>
      <c r="AT5305">
        <v>-640</v>
      </c>
      <c r="BB5305" t="str">
        <f t="shared" si="2080"/>
        <v>1200</v>
      </c>
      <c r="BC5305">
        <v>1</v>
      </c>
      <c r="BD5305" t="str">
        <f t="shared" si="2081"/>
        <v xml:space="preserve">N52156  </v>
      </c>
      <c r="BE5305">
        <v>1</v>
      </c>
      <c r="BG5305">
        <v>0</v>
      </c>
      <c r="BH5305">
        <v>0</v>
      </c>
      <c r="BI5305">
        <v>0</v>
      </c>
      <c r="BJ5305">
        <v>3325</v>
      </c>
      <c r="BK5305">
        <v>25</v>
      </c>
      <c r="BL5305" t="s">
        <v>188</v>
      </c>
      <c r="BM5305">
        <v>1</v>
      </c>
      <c r="BN5305">
        <v>1</v>
      </c>
      <c r="BO5305">
        <v>0</v>
      </c>
      <c r="BP5305">
        <v>0</v>
      </c>
      <c r="BS5305">
        <v>0</v>
      </c>
      <c r="BT5305">
        <v>0</v>
      </c>
      <c r="BU5305">
        <v>0</v>
      </c>
      <c r="CE5305" t="str">
        <f t="shared" si="2099"/>
        <v>15:19:15.794</v>
      </c>
      <c r="CF5305">
        <v>794347883</v>
      </c>
      <c r="CS5305">
        <v>0</v>
      </c>
      <c r="CT5305">
        <v>2</v>
      </c>
      <c r="CU5305">
        <v>0</v>
      </c>
      <c r="CV5305">
        <v>2</v>
      </c>
      <c r="CW5305">
        <v>0</v>
      </c>
      <c r="CX5305">
        <v>2</v>
      </c>
      <c r="CY5305">
        <v>7</v>
      </c>
      <c r="CZ5305" t="s">
        <v>133</v>
      </c>
      <c r="DA5305">
        <v>273</v>
      </c>
      <c r="DB5305">
        <v>0</v>
      </c>
      <c r="DC5305" t="s">
        <v>292</v>
      </c>
      <c r="DD5305" t="s">
        <v>293</v>
      </c>
      <c r="DG5305">
        <v>4868779</v>
      </c>
      <c r="DI5305">
        <v>1</v>
      </c>
      <c r="DJ5305">
        <v>0</v>
      </c>
      <c r="DK5305">
        <v>1</v>
      </c>
      <c r="DL5305">
        <v>0</v>
      </c>
      <c r="DM5305">
        <v>0</v>
      </c>
      <c r="DN5305">
        <v>0</v>
      </c>
      <c r="DO5305">
        <v>0</v>
      </c>
      <c r="DP5305">
        <v>0</v>
      </c>
      <c r="DQ5305">
        <v>0</v>
      </c>
      <c r="DR5305">
        <v>0</v>
      </c>
      <c r="DS5305">
        <v>0</v>
      </c>
    </row>
    <row r="5306" spans="1:123" x14ac:dyDescent="0.3">
      <c r="A5306" t="str">
        <f>"05/01/2025 15:19:16.521"</f>
        <v>05/01/2025 15:19:16.521</v>
      </c>
      <c r="C5306" t="str">
        <f t="shared" si="2078"/>
        <v>FFDFD3C0</v>
      </c>
      <c r="D5306" t="s">
        <v>143</v>
      </c>
      <c r="E5306" t="str">
        <f>"05"</f>
        <v>05</v>
      </c>
      <c r="H5306">
        <v>172</v>
      </c>
      <c r="I5306" t="s">
        <v>141</v>
      </c>
      <c r="J5306" t="s">
        <v>144</v>
      </c>
      <c r="K5306">
        <v>0</v>
      </c>
      <c r="L5306">
        <v>3</v>
      </c>
      <c r="M5306">
        <v>0</v>
      </c>
      <c r="N5306">
        <v>2</v>
      </c>
      <c r="O5306">
        <v>0</v>
      </c>
      <c r="P5306">
        <v>1</v>
      </c>
      <c r="Q5306">
        <v>0</v>
      </c>
      <c r="R5306" t="s">
        <v>127</v>
      </c>
      <c r="S5306" t="str">
        <f t="shared" ref="S5306:T5311" si="2100">"15:19:16.000"</f>
        <v>15:19:16.000</v>
      </c>
      <c r="T5306" t="str">
        <f t="shared" si="2100"/>
        <v>15:19:16.000</v>
      </c>
      <c r="U5306" t="str">
        <f t="shared" si="2079"/>
        <v>A68FCB</v>
      </c>
      <c r="V5306">
        <v>0</v>
      </c>
      <c r="W5306">
        <v>0</v>
      </c>
      <c r="X5306">
        <v>2</v>
      </c>
      <c r="Y5306">
        <v>0</v>
      </c>
      <c r="AA5306">
        <v>1</v>
      </c>
      <c r="AB5306">
        <v>8</v>
      </c>
      <c r="AC5306">
        <v>3</v>
      </c>
      <c r="AD5306">
        <v>0</v>
      </c>
      <c r="AE5306">
        <v>9</v>
      </c>
      <c r="AF5306" t="s">
        <v>138</v>
      </c>
      <c r="AG5306">
        <v>0</v>
      </c>
      <c r="AH5306">
        <v>3</v>
      </c>
      <c r="AI5306">
        <v>1</v>
      </c>
      <c r="AJ5306">
        <v>0</v>
      </c>
      <c r="AK5306" t="s">
        <v>1670</v>
      </c>
      <c r="AL5306">
        <v>39.226770000000002</v>
      </c>
      <c r="AM5306" t="s">
        <v>1245</v>
      </c>
      <c r="AN5306">
        <v>-121.02843799999999</v>
      </c>
      <c r="AO5306">
        <v>25</v>
      </c>
      <c r="AP5306">
        <v>3300</v>
      </c>
      <c r="AQ5306" t="s">
        <v>131</v>
      </c>
      <c r="AR5306">
        <v>38</v>
      </c>
      <c r="AS5306">
        <v>-43</v>
      </c>
      <c r="AT5306">
        <v>-640</v>
      </c>
      <c r="BB5306" t="str">
        <f t="shared" si="2080"/>
        <v>1200</v>
      </c>
      <c r="BC5306">
        <v>1</v>
      </c>
      <c r="BD5306" t="str">
        <f t="shared" si="2081"/>
        <v xml:space="preserve">N52156  </v>
      </c>
      <c r="BE5306">
        <v>1</v>
      </c>
      <c r="BG5306">
        <v>0</v>
      </c>
      <c r="BH5306">
        <v>0</v>
      </c>
      <c r="BI5306">
        <v>0</v>
      </c>
      <c r="BJ5306">
        <v>3275</v>
      </c>
      <c r="BK5306">
        <v>-25</v>
      </c>
      <c r="BL5306" t="s">
        <v>188</v>
      </c>
      <c r="BM5306">
        <v>1</v>
      </c>
      <c r="BN5306">
        <v>1</v>
      </c>
      <c r="BO5306">
        <v>0</v>
      </c>
      <c r="BP5306">
        <v>0</v>
      </c>
      <c r="BS5306">
        <v>0</v>
      </c>
      <c r="BT5306">
        <v>0</v>
      </c>
      <c r="BU5306">
        <v>0</v>
      </c>
      <c r="CE5306" t="str">
        <f t="shared" ref="CE5306:CE5311" si="2101">"15:19:16.315"</f>
        <v>15:19:16.315</v>
      </c>
      <c r="CF5306">
        <v>315346711</v>
      </c>
      <c r="CS5306">
        <v>0</v>
      </c>
      <c r="CT5306">
        <v>2</v>
      </c>
      <c r="CU5306">
        <v>0</v>
      </c>
      <c r="CV5306">
        <v>2</v>
      </c>
      <c r="CW5306">
        <v>0</v>
      </c>
      <c r="CX5306">
        <v>2</v>
      </c>
      <c r="CY5306">
        <v>7</v>
      </c>
      <c r="CZ5306" t="s">
        <v>133</v>
      </c>
      <c r="DA5306">
        <v>273</v>
      </c>
      <c r="DB5306">
        <v>0</v>
      </c>
      <c r="DC5306" t="s">
        <v>292</v>
      </c>
      <c r="DD5306" t="s">
        <v>293</v>
      </c>
      <c r="DG5306">
        <v>4868785</v>
      </c>
      <c r="DI5306">
        <v>1</v>
      </c>
      <c r="DJ5306">
        <v>0</v>
      </c>
      <c r="DK5306">
        <v>0</v>
      </c>
      <c r="DL5306">
        <v>0</v>
      </c>
      <c r="DM5306">
        <v>0</v>
      </c>
      <c r="DN5306">
        <v>0</v>
      </c>
      <c r="DO5306">
        <v>0</v>
      </c>
      <c r="DP5306">
        <v>0</v>
      </c>
      <c r="DQ5306">
        <v>0</v>
      </c>
      <c r="DR5306">
        <v>0</v>
      </c>
      <c r="DS5306">
        <v>0</v>
      </c>
    </row>
    <row r="5307" spans="1:123" x14ac:dyDescent="0.3">
      <c r="A5307" t="str">
        <f>"05/01/2025 15:19:16.531"</f>
        <v>05/01/2025 15:19:16.531</v>
      </c>
      <c r="C5307" t="str">
        <f t="shared" si="2078"/>
        <v>FFDFD3C0</v>
      </c>
      <c r="D5307" t="s">
        <v>145</v>
      </c>
      <c r="E5307" t="str">
        <f>"09"</f>
        <v>09</v>
      </c>
      <c r="H5307">
        <v>51</v>
      </c>
      <c r="I5307" t="s">
        <v>147</v>
      </c>
      <c r="J5307" t="s">
        <v>138</v>
      </c>
      <c r="K5307">
        <v>0</v>
      </c>
      <c r="L5307">
        <v>3</v>
      </c>
      <c r="M5307">
        <v>0</v>
      </c>
      <c r="N5307">
        <v>2</v>
      </c>
      <c r="O5307">
        <v>0</v>
      </c>
      <c r="P5307">
        <v>1</v>
      </c>
      <c r="Q5307">
        <v>0</v>
      </c>
      <c r="R5307" t="s">
        <v>127</v>
      </c>
      <c r="S5307" t="str">
        <f t="shared" si="2100"/>
        <v>15:19:16.000</v>
      </c>
      <c r="T5307" t="str">
        <f t="shared" si="2100"/>
        <v>15:19:16.000</v>
      </c>
      <c r="U5307" t="str">
        <f t="shared" si="2079"/>
        <v>A68FCB</v>
      </c>
      <c r="V5307">
        <v>0</v>
      </c>
      <c r="W5307">
        <v>0</v>
      </c>
      <c r="X5307">
        <v>2</v>
      </c>
      <c r="Y5307">
        <v>0</v>
      </c>
      <c r="AA5307">
        <v>1</v>
      </c>
      <c r="AB5307">
        <v>8</v>
      </c>
      <c r="AC5307">
        <v>3</v>
      </c>
      <c r="AD5307">
        <v>0</v>
      </c>
      <c r="AE5307">
        <v>9</v>
      </c>
      <c r="AF5307" t="s">
        <v>138</v>
      </c>
      <c r="AG5307">
        <v>0</v>
      </c>
      <c r="AH5307">
        <v>3</v>
      </c>
      <c r="AI5307">
        <v>1</v>
      </c>
      <c r="AJ5307">
        <v>0</v>
      </c>
      <c r="AK5307" t="s">
        <v>1670</v>
      </c>
      <c r="AL5307">
        <v>39.226770000000002</v>
      </c>
      <c r="AM5307" t="s">
        <v>1245</v>
      </c>
      <c r="AN5307">
        <v>-121.02843799999999</v>
      </c>
      <c r="AO5307">
        <v>25</v>
      </c>
      <c r="AP5307">
        <v>3300</v>
      </c>
      <c r="AQ5307" t="s">
        <v>131</v>
      </c>
      <c r="AR5307">
        <v>38</v>
      </c>
      <c r="AS5307">
        <v>-43</v>
      </c>
      <c r="AT5307">
        <v>-640</v>
      </c>
      <c r="BB5307" t="str">
        <f t="shared" si="2080"/>
        <v>1200</v>
      </c>
      <c r="BC5307">
        <v>1</v>
      </c>
      <c r="BD5307" t="str">
        <f t="shared" si="2081"/>
        <v xml:space="preserve">N52156  </v>
      </c>
      <c r="BE5307">
        <v>1</v>
      </c>
      <c r="BG5307">
        <v>0</v>
      </c>
      <c r="BH5307">
        <v>0</v>
      </c>
      <c r="BI5307">
        <v>0</v>
      </c>
      <c r="BJ5307">
        <v>3275</v>
      </c>
      <c r="BK5307">
        <v>-25</v>
      </c>
      <c r="BL5307" t="s">
        <v>188</v>
      </c>
      <c r="BM5307">
        <v>1</v>
      </c>
      <c r="BN5307">
        <v>1</v>
      </c>
      <c r="BO5307">
        <v>0</v>
      </c>
      <c r="BP5307">
        <v>0</v>
      </c>
      <c r="BS5307">
        <v>0</v>
      </c>
      <c r="BT5307">
        <v>0</v>
      </c>
      <c r="BU5307">
        <v>0</v>
      </c>
      <c r="CE5307" t="str">
        <f t="shared" si="2101"/>
        <v>15:19:16.315</v>
      </c>
      <c r="CF5307">
        <v>315346711</v>
      </c>
      <c r="CS5307">
        <v>0</v>
      </c>
      <c r="CT5307">
        <v>2</v>
      </c>
      <c r="CU5307">
        <v>0</v>
      </c>
      <c r="CV5307">
        <v>2</v>
      </c>
      <c r="CW5307">
        <v>0</v>
      </c>
      <c r="CX5307">
        <v>2</v>
      </c>
      <c r="CY5307">
        <v>7</v>
      </c>
      <c r="CZ5307" t="s">
        <v>133</v>
      </c>
      <c r="DA5307">
        <v>273</v>
      </c>
      <c r="DB5307">
        <v>0</v>
      </c>
      <c r="DC5307" t="s">
        <v>292</v>
      </c>
      <c r="DD5307" t="s">
        <v>293</v>
      </c>
      <c r="DG5307">
        <v>4868785</v>
      </c>
      <c r="DI5307">
        <v>1</v>
      </c>
      <c r="DJ5307">
        <v>0</v>
      </c>
      <c r="DK5307">
        <v>1</v>
      </c>
      <c r="DL5307">
        <v>0</v>
      </c>
      <c r="DM5307">
        <v>0</v>
      </c>
      <c r="DN5307">
        <v>0</v>
      </c>
      <c r="DO5307">
        <v>0</v>
      </c>
      <c r="DP5307">
        <v>0</v>
      </c>
      <c r="DQ5307">
        <v>0</v>
      </c>
      <c r="DR5307">
        <v>0</v>
      </c>
      <c r="DS5307">
        <v>0</v>
      </c>
    </row>
    <row r="5308" spans="1:123" x14ac:dyDescent="0.3">
      <c r="A5308" t="str">
        <f>"05/01/2025 15:19:16.532"</f>
        <v>05/01/2025 15:19:16.532</v>
      </c>
      <c r="C5308" t="str">
        <f t="shared" si="2078"/>
        <v>FFDFD3C0</v>
      </c>
      <c r="D5308" t="s">
        <v>145</v>
      </c>
      <c r="E5308" t="str">
        <f>"05"</f>
        <v>05</v>
      </c>
      <c r="H5308">
        <v>47</v>
      </c>
      <c r="I5308" t="s">
        <v>146</v>
      </c>
      <c r="J5308" t="s">
        <v>138</v>
      </c>
      <c r="K5308">
        <v>0</v>
      </c>
      <c r="L5308">
        <v>3</v>
      </c>
      <c r="M5308">
        <v>0</v>
      </c>
      <c r="N5308">
        <v>2</v>
      </c>
      <c r="O5308">
        <v>0</v>
      </c>
      <c r="P5308">
        <v>1</v>
      </c>
      <c r="Q5308">
        <v>0</v>
      </c>
      <c r="R5308" t="s">
        <v>127</v>
      </c>
      <c r="S5308" t="str">
        <f t="shared" si="2100"/>
        <v>15:19:16.000</v>
      </c>
      <c r="T5308" t="str">
        <f t="shared" si="2100"/>
        <v>15:19:16.000</v>
      </c>
      <c r="U5308" t="str">
        <f t="shared" si="2079"/>
        <v>A68FCB</v>
      </c>
      <c r="V5308">
        <v>0</v>
      </c>
      <c r="W5308">
        <v>0</v>
      </c>
      <c r="X5308">
        <v>2</v>
      </c>
      <c r="Y5308">
        <v>0</v>
      </c>
      <c r="AA5308">
        <v>1</v>
      </c>
      <c r="AB5308">
        <v>8</v>
      </c>
      <c r="AC5308">
        <v>3</v>
      </c>
      <c r="AD5308">
        <v>0</v>
      </c>
      <c r="AE5308">
        <v>9</v>
      </c>
      <c r="AF5308" t="s">
        <v>138</v>
      </c>
      <c r="AG5308">
        <v>0</v>
      </c>
      <c r="AH5308">
        <v>3</v>
      </c>
      <c r="AI5308">
        <v>1</v>
      </c>
      <c r="AJ5308">
        <v>0</v>
      </c>
      <c r="AK5308" t="s">
        <v>1670</v>
      </c>
      <c r="AL5308">
        <v>39.226770000000002</v>
      </c>
      <c r="AM5308" t="s">
        <v>1245</v>
      </c>
      <c r="AN5308">
        <v>-121.02843799999999</v>
      </c>
      <c r="AO5308">
        <v>25</v>
      </c>
      <c r="AP5308">
        <v>3300</v>
      </c>
      <c r="AQ5308" t="s">
        <v>131</v>
      </c>
      <c r="AR5308">
        <v>38</v>
      </c>
      <c r="AS5308">
        <v>-43</v>
      </c>
      <c r="AT5308">
        <v>-640</v>
      </c>
      <c r="BB5308" t="str">
        <f t="shared" si="2080"/>
        <v>1200</v>
      </c>
      <c r="BC5308">
        <v>1</v>
      </c>
      <c r="BD5308" t="str">
        <f t="shared" si="2081"/>
        <v xml:space="preserve">N52156  </v>
      </c>
      <c r="BE5308">
        <v>1</v>
      </c>
      <c r="BG5308">
        <v>0</v>
      </c>
      <c r="BH5308">
        <v>0</v>
      </c>
      <c r="BI5308">
        <v>0</v>
      </c>
      <c r="BJ5308">
        <v>3275</v>
      </c>
      <c r="BK5308">
        <v>-25</v>
      </c>
      <c r="BL5308" t="s">
        <v>188</v>
      </c>
      <c r="BM5308">
        <v>1</v>
      </c>
      <c r="BN5308">
        <v>1</v>
      </c>
      <c r="BO5308">
        <v>0</v>
      </c>
      <c r="BP5308">
        <v>0</v>
      </c>
      <c r="BS5308">
        <v>0</v>
      </c>
      <c r="BT5308">
        <v>0</v>
      </c>
      <c r="BU5308">
        <v>0</v>
      </c>
      <c r="CE5308" t="str">
        <f t="shared" si="2101"/>
        <v>15:19:16.315</v>
      </c>
      <c r="CF5308">
        <v>315346711</v>
      </c>
      <c r="CS5308">
        <v>0</v>
      </c>
      <c r="CT5308">
        <v>2</v>
      </c>
      <c r="CU5308">
        <v>0</v>
      </c>
      <c r="CV5308">
        <v>2</v>
      </c>
      <c r="CW5308">
        <v>0</v>
      </c>
      <c r="CX5308">
        <v>2</v>
      </c>
      <c r="CY5308">
        <v>7</v>
      </c>
      <c r="CZ5308" t="s">
        <v>133</v>
      </c>
      <c r="DA5308">
        <v>273</v>
      </c>
      <c r="DB5308">
        <v>0</v>
      </c>
      <c r="DC5308" t="s">
        <v>292</v>
      </c>
      <c r="DD5308" t="s">
        <v>293</v>
      </c>
      <c r="DG5308">
        <v>4868785</v>
      </c>
      <c r="DI5308">
        <v>1</v>
      </c>
      <c r="DJ5308">
        <v>0</v>
      </c>
      <c r="DK5308">
        <v>1</v>
      </c>
      <c r="DL5308">
        <v>0</v>
      </c>
      <c r="DM5308">
        <v>0</v>
      </c>
      <c r="DN5308">
        <v>0</v>
      </c>
      <c r="DO5308">
        <v>0</v>
      </c>
      <c r="DP5308">
        <v>0</v>
      </c>
      <c r="DQ5308">
        <v>0</v>
      </c>
      <c r="DR5308">
        <v>0</v>
      </c>
      <c r="DS5308">
        <v>0</v>
      </c>
    </row>
    <row r="5309" spans="1:123" x14ac:dyDescent="0.3">
      <c r="A5309" t="str">
        <f>"05/01/2025 15:19:16.542"</f>
        <v>05/01/2025 15:19:16.542</v>
      </c>
      <c r="C5309" t="str">
        <f t="shared" si="2078"/>
        <v>FFDFD3C0</v>
      </c>
      <c r="D5309" t="s">
        <v>136</v>
      </c>
      <c r="E5309" t="str">
        <f>"20"</f>
        <v>20</v>
      </c>
      <c r="H5309">
        <v>400</v>
      </c>
      <c r="I5309" t="s">
        <v>137</v>
      </c>
      <c r="J5309" t="s">
        <v>138</v>
      </c>
      <c r="K5309">
        <v>0</v>
      </c>
      <c r="L5309">
        <v>3</v>
      </c>
      <c r="M5309">
        <v>0</v>
      </c>
      <c r="N5309">
        <v>2</v>
      </c>
      <c r="O5309">
        <v>0</v>
      </c>
      <c r="P5309">
        <v>1</v>
      </c>
      <c r="Q5309">
        <v>0</v>
      </c>
      <c r="R5309" t="s">
        <v>127</v>
      </c>
      <c r="S5309" t="str">
        <f t="shared" si="2100"/>
        <v>15:19:16.000</v>
      </c>
      <c r="T5309" t="str">
        <f t="shared" si="2100"/>
        <v>15:19:16.000</v>
      </c>
      <c r="U5309" t="str">
        <f t="shared" si="2079"/>
        <v>A68FCB</v>
      </c>
      <c r="V5309">
        <v>0</v>
      </c>
      <c r="W5309">
        <v>0</v>
      </c>
      <c r="X5309">
        <v>2</v>
      </c>
      <c r="Y5309">
        <v>0</v>
      </c>
      <c r="AA5309">
        <v>1</v>
      </c>
      <c r="AB5309">
        <v>8</v>
      </c>
      <c r="AC5309">
        <v>3</v>
      </c>
      <c r="AD5309">
        <v>0</v>
      </c>
      <c r="AE5309">
        <v>9</v>
      </c>
      <c r="AF5309" t="s">
        <v>138</v>
      </c>
      <c r="AG5309">
        <v>0</v>
      </c>
      <c r="AH5309">
        <v>3</v>
      </c>
      <c r="AI5309">
        <v>1</v>
      </c>
      <c r="AJ5309">
        <v>0</v>
      </c>
      <c r="AK5309" t="s">
        <v>1670</v>
      </c>
      <c r="AL5309">
        <v>39.226770000000002</v>
      </c>
      <c r="AM5309" t="s">
        <v>1245</v>
      </c>
      <c r="AN5309">
        <v>-121.02843799999999</v>
      </c>
      <c r="AO5309">
        <v>25</v>
      </c>
      <c r="AP5309">
        <v>3300</v>
      </c>
      <c r="AQ5309" t="s">
        <v>131</v>
      </c>
      <c r="AR5309">
        <v>38</v>
      </c>
      <c r="AS5309">
        <v>-43</v>
      </c>
      <c r="AT5309">
        <v>-640</v>
      </c>
      <c r="BB5309" t="str">
        <f t="shared" si="2080"/>
        <v>1200</v>
      </c>
      <c r="BC5309">
        <v>1</v>
      </c>
      <c r="BD5309" t="str">
        <f t="shared" si="2081"/>
        <v xml:space="preserve">N52156  </v>
      </c>
      <c r="BE5309">
        <v>1</v>
      </c>
      <c r="BG5309">
        <v>0</v>
      </c>
      <c r="BH5309">
        <v>0</v>
      </c>
      <c r="BI5309">
        <v>0</v>
      </c>
      <c r="BJ5309">
        <v>3275</v>
      </c>
      <c r="BK5309">
        <v>-25</v>
      </c>
      <c r="BL5309" t="s">
        <v>188</v>
      </c>
      <c r="BM5309">
        <v>1</v>
      </c>
      <c r="BN5309">
        <v>1</v>
      </c>
      <c r="BO5309">
        <v>0</v>
      </c>
      <c r="BP5309">
        <v>0</v>
      </c>
      <c r="BS5309">
        <v>0</v>
      </c>
      <c r="BT5309">
        <v>0</v>
      </c>
      <c r="BU5309">
        <v>0</v>
      </c>
      <c r="CE5309" t="str">
        <f t="shared" si="2101"/>
        <v>15:19:16.315</v>
      </c>
      <c r="CF5309">
        <v>315346711</v>
      </c>
      <c r="CS5309">
        <v>0</v>
      </c>
      <c r="CT5309">
        <v>2</v>
      </c>
      <c r="CU5309">
        <v>0</v>
      </c>
      <c r="CV5309">
        <v>2</v>
      </c>
      <c r="CW5309">
        <v>0</v>
      </c>
      <c r="CX5309">
        <v>2</v>
      </c>
      <c r="CY5309">
        <v>7</v>
      </c>
      <c r="CZ5309" t="s">
        <v>133</v>
      </c>
      <c r="DA5309">
        <v>273</v>
      </c>
      <c r="DB5309">
        <v>0</v>
      </c>
      <c r="DC5309" t="s">
        <v>292</v>
      </c>
      <c r="DD5309" t="s">
        <v>293</v>
      </c>
      <c r="DG5309">
        <v>4868785</v>
      </c>
      <c r="DI5309">
        <v>1</v>
      </c>
      <c r="DJ5309">
        <v>0</v>
      </c>
      <c r="DK5309">
        <v>1</v>
      </c>
      <c r="DL5309">
        <v>0</v>
      </c>
      <c r="DM5309">
        <v>0</v>
      </c>
      <c r="DN5309">
        <v>0</v>
      </c>
      <c r="DO5309">
        <v>0</v>
      </c>
      <c r="DP5309">
        <v>0</v>
      </c>
      <c r="DQ5309">
        <v>0</v>
      </c>
      <c r="DR5309">
        <v>0</v>
      </c>
      <c r="DS5309">
        <v>0</v>
      </c>
    </row>
    <row r="5310" spans="1:123" x14ac:dyDescent="0.3">
      <c r="A5310" t="str">
        <f>"05/01/2025 15:19:16.555"</f>
        <v>05/01/2025 15:19:16.555</v>
      </c>
      <c r="C5310" t="str">
        <f t="shared" si="2078"/>
        <v>FFDFD3C0</v>
      </c>
      <c r="D5310" t="s">
        <v>140</v>
      </c>
      <c r="E5310" t="str">
        <f>"13"</f>
        <v>13</v>
      </c>
      <c r="F5310">
        <v>1019</v>
      </c>
      <c r="G5310" t="s">
        <v>141</v>
      </c>
      <c r="J5310" t="s">
        <v>142</v>
      </c>
      <c r="K5310">
        <v>0</v>
      </c>
      <c r="L5310">
        <v>3</v>
      </c>
      <c r="M5310">
        <v>0</v>
      </c>
      <c r="N5310">
        <v>2</v>
      </c>
      <c r="O5310">
        <v>0</v>
      </c>
      <c r="P5310">
        <v>1</v>
      </c>
      <c r="Q5310">
        <v>0</v>
      </c>
      <c r="R5310" t="s">
        <v>127</v>
      </c>
      <c r="S5310" t="str">
        <f t="shared" si="2100"/>
        <v>15:19:16.000</v>
      </c>
      <c r="T5310" t="str">
        <f t="shared" si="2100"/>
        <v>15:19:16.000</v>
      </c>
      <c r="U5310" t="str">
        <f t="shared" si="2079"/>
        <v>A68FCB</v>
      </c>
      <c r="V5310">
        <v>0</v>
      </c>
      <c r="W5310">
        <v>0</v>
      </c>
      <c r="X5310">
        <v>2</v>
      </c>
      <c r="Y5310">
        <v>0</v>
      </c>
      <c r="AA5310">
        <v>1</v>
      </c>
      <c r="AB5310">
        <v>8</v>
      </c>
      <c r="AC5310">
        <v>3</v>
      </c>
      <c r="AD5310">
        <v>0</v>
      </c>
      <c r="AE5310">
        <v>9</v>
      </c>
      <c r="AF5310" t="s">
        <v>138</v>
      </c>
      <c r="AG5310">
        <v>0</v>
      </c>
      <c r="AH5310">
        <v>3</v>
      </c>
      <c r="AI5310">
        <v>1</v>
      </c>
      <c r="AJ5310">
        <v>0</v>
      </c>
      <c r="AK5310" t="s">
        <v>1670</v>
      </c>
      <c r="AL5310">
        <v>39.226770000000002</v>
      </c>
      <c r="AM5310" t="s">
        <v>1245</v>
      </c>
      <c r="AN5310">
        <v>-121.02843799999999</v>
      </c>
      <c r="AO5310">
        <v>25</v>
      </c>
      <c r="AP5310">
        <v>3300</v>
      </c>
      <c r="AQ5310" t="s">
        <v>131</v>
      </c>
      <c r="AR5310">
        <v>38</v>
      </c>
      <c r="AS5310">
        <v>-43</v>
      </c>
      <c r="AT5310">
        <v>-640</v>
      </c>
      <c r="BB5310" t="str">
        <f t="shared" si="2080"/>
        <v>1200</v>
      </c>
      <c r="BC5310">
        <v>1</v>
      </c>
      <c r="BD5310" t="str">
        <f t="shared" si="2081"/>
        <v xml:space="preserve">N52156  </v>
      </c>
      <c r="BE5310">
        <v>1</v>
      </c>
      <c r="BG5310">
        <v>0</v>
      </c>
      <c r="BH5310">
        <v>0</v>
      </c>
      <c r="BI5310">
        <v>0</v>
      </c>
      <c r="BJ5310">
        <v>3275</v>
      </c>
      <c r="BK5310">
        <v>-25</v>
      </c>
      <c r="BL5310" t="s">
        <v>188</v>
      </c>
      <c r="BM5310">
        <v>1</v>
      </c>
      <c r="BN5310">
        <v>1</v>
      </c>
      <c r="BO5310">
        <v>0</v>
      </c>
      <c r="BP5310">
        <v>0</v>
      </c>
      <c r="BS5310">
        <v>0</v>
      </c>
      <c r="BT5310">
        <v>0</v>
      </c>
      <c r="BU5310">
        <v>0</v>
      </c>
      <c r="CE5310" t="str">
        <f t="shared" si="2101"/>
        <v>15:19:16.315</v>
      </c>
      <c r="CF5310">
        <v>315346711</v>
      </c>
      <c r="CS5310">
        <v>0</v>
      </c>
      <c r="CT5310">
        <v>2</v>
      </c>
      <c r="CU5310">
        <v>0</v>
      </c>
      <c r="CV5310">
        <v>2</v>
      </c>
      <c r="CW5310">
        <v>0</v>
      </c>
      <c r="CX5310">
        <v>2</v>
      </c>
      <c r="CY5310">
        <v>7</v>
      </c>
      <c r="CZ5310" t="s">
        <v>133</v>
      </c>
      <c r="DA5310">
        <v>273</v>
      </c>
      <c r="DB5310">
        <v>0</v>
      </c>
      <c r="DC5310" t="s">
        <v>292</v>
      </c>
      <c r="DD5310" t="s">
        <v>293</v>
      </c>
      <c r="DG5310">
        <v>4868785</v>
      </c>
      <c r="DI5310">
        <v>1</v>
      </c>
      <c r="DJ5310">
        <v>0</v>
      </c>
      <c r="DK5310">
        <v>1</v>
      </c>
      <c r="DL5310">
        <v>0</v>
      </c>
      <c r="DM5310">
        <v>0</v>
      </c>
      <c r="DN5310">
        <v>0</v>
      </c>
      <c r="DO5310">
        <v>0</v>
      </c>
      <c r="DP5310">
        <v>0</v>
      </c>
      <c r="DQ5310">
        <v>0</v>
      </c>
      <c r="DR5310">
        <v>0</v>
      </c>
      <c r="DS5310">
        <v>0</v>
      </c>
    </row>
    <row r="5311" spans="1:123" x14ac:dyDescent="0.3">
      <c r="A5311" t="str">
        <f>"05/01/2025 15:19:16.557"</f>
        <v>05/01/2025 15:19:16.557</v>
      </c>
      <c r="C5311" t="str">
        <f t="shared" si="2078"/>
        <v>FFDFD3C0</v>
      </c>
      <c r="D5311" t="s">
        <v>124</v>
      </c>
      <c r="E5311" t="str">
        <f>"06"</f>
        <v>06</v>
      </c>
      <c r="F5311">
        <v>2006</v>
      </c>
      <c r="G5311" t="s">
        <v>125</v>
      </c>
      <c r="J5311" t="s">
        <v>126</v>
      </c>
      <c r="K5311">
        <v>0</v>
      </c>
      <c r="L5311">
        <v>3</v>
      </c>
      <c r="M5311">
        <v>0</v>
      </c>
      <c r="N5311">
        <v>2</v>
      </c>
      <c r="O5311">
        <v>0</v>
      </c>
      <c r="P5311">
        <v>1</v>
      </c>
      <c r="Q5311">
        <v>0</v>
      </c>
      <c r="R5311" t="s">
        <v>127</v>
      </c>
      <c r="S5311" t="str">
        <f t="shared" si="2100"/>
        <v>15:19:16.000</v>
      </c>
      <c r="T5311" t="str">
        <f t="shared" si="2100"/>
        <v>15:19:16.000</v>
      </c>
      <c r="U5311" t="str">
        <f t="shared" si="2079"/>
        <v>A68FCB</v>
      </c>
      <c r="V5311">
        <v>0</v>
      </c>
      <c r="W5311">
        <v>0</v>
      </c>
      <c r="X5311">
        <v>2</v>
      </c>
      <c r="Y5311">
        <v>0</v>
      </c>
      <c r="AA5311">
        <v>1</v>
      </c>
      <c r="AB5311">
        <v>8</v>
      </c>
      <c r="AC5311">
        <v>3</v>
      </c>
      <c r="AD5311">
        <v>0</v>
      </c>
      <c r="AE5311">
        <v>9</v>
      </c>
      <c r="AF5311" t="s">
        <v>138</v>
      </c>
      <c r="AG5311">
        <v>0</v>
      </c>
      <c r="AH5311">
        <v>3</v>
      </c>
      <c r="AI5311">
        <v>1</v>
      </c>
      <c r="AJ5311">
        <v>0</v>
      </c>
      <c r="AK5311" t="s">
        <v>1670</v>
      </c>
      <c r="AL5311">
        <v>39.226770000000002</v>
      </c>
      <c r="AM5311" t="s">
        <v>1245</v>
      </c>
      <c r="AN5311">
        <v>-121.02843799999999</v>
      </c>
      <c r="AO5311">
        <v>25</v>
      </c>
      <c r="AP5311">
        <v>3300</v>
      </c>
      <c r="AQ5311" t="s">
        <v>131</v>
      </c>
      <c r="AR5311">
        <v>38</v>
      </c>
      <c r="AS5311">
        <v>-43</v>
      </c>
      <c r="AT5311">
        <v>-640</v>
      </c>
      <c r="BB5311" t="str">
        <f t="shared" si="2080"/>
        <v>1200</v>
      </c>
      <c r="BC5311">
        <v>1</v>
      </c>
      <c r="BD5311" t="str">
        <f t="shared" si="2081"/>
        <v xml:space="preserve">N52156  </v>
      </c>
      <c r="BE5311">
        <v>1</v>
      </c>
      <c r="BG5311">
        <v>0</v>
      </c>
      <c r="BH5311">
        <v>0</v>
      </c>
      <c r="BI5311">
        <v>0</v>
      </c>
      <c r="BJ5311">
        <v>3275</v>
      </c>
      <c r="BK5311">
        <v>-25</v>
      </c>
      <c r="BL5311" t="s">
        <v>188</v>
      </c>
      <c r="BM5311">
        <v>1</v>
      </c>
      <c r="BN5311">
        <v>1</v>
      </c>
      <c r="BO5311">
        <v>0</v>
      </c>
      <c r="BP5311">
        <v>0</v>
      </c>
      <c r="BS5311">
        <v>0</v>
      </c>
      <c r="BT5311">
        <v>0</v>
      </c>
      <c r="BU5311">
        <v>0</v>
      </c>
      <c r="CE5311" t="str">
        <f t="shared" si="2101"/>
        <v>15:19:16.315</v>
      </c>
      <c r="CF5311">
        <v>315346711</v>
      </c>
      <c r="CS5311">
        <v>0</v>
      </c>
      <c r="CT5311">
        <v>2</v>
      </c>
      <c r="CU5311">
        <v>0</v>
      </c>
      <c r="CV5311">
        <v>2</v>
      </c>
      <c r="CW5311">
        <v>0</v>
      </c>
      <c r="CX5311">
        <v>2</v>
      </c>
      <c r="CY5311">
        <v>7</v>
      </c>
      <c r="CZ5311" t="s">
        <v>133</v>
      </c>
      <c r="DA5311">
        <v>273</v>
      </c>
      <c r="DB5311">
        <v>0</v>
      </c>
      <c r="DC5311" t="s">
        <v>292</v>
      </c>
      <c r="DD5311" t="s">
        <v>293</v>
      </c>
      <c r="DG5311">
        <v>4868785</v>
      </c>
      <c r="DI5311">
        <v>1</v>
      </c>
      <c r="DJ5311">
        <v>0</v>
      </c>
      <c r="DK5311">
        <v>1</v>
      </c>
      <c r="DL5311">
        <v>0</v>
      </c>
      <c r="DM5311">
        <v>0</v>
      </c>
      <c r="DN5311">
        <v>0</v>
      </c>
      <c r="DO5311">
        <v>0</v>
      </c>
      <c r="DP5311">
        <v>0</v>
      </c>
      <c r="DQ5311">
        <v>0</v>
      </c>
      <c r="DR5311">
        <v>0</v>
      </c>
      <c r="DS5311">
        <v>0</v>
      </c>
    </row>
    <row r="5312" spans="1:123" x14ac:dyDescent="0.3">
      <c r="A5312" t="str">
        <f>"05/01/2025 15:19:17.723"</f>
        <v>05/01/2025 15:19:17.723</v>
      </c>
      <c r="C5312" t="str">
        <f t="shared" si="2078"/>
        <v>FFDFD3C0</v>
      </c>
      <c r="D5312" t="s">
        <v>143</v>
      </c>
      <c r="E5312" t="str">
        <f>"05"</f>
        <v>05</v>
      </c>
      <c r="H5312">
        <v>172</v>
      </c>
      <c r="I5312" t="s">
        <v>141</v>
      </c>
      <c r="J5312" t="s">
        <v>144</v>
      </c>
      <c r="K5312">
        <v>0</v>
      </c>
      <c r="L5312">
        <v>3</v>
      </c>
      <c r="M5312">
        <v>0</v>
      </c>
      <c r="N5312">
        <v>2</v>
      </c>
      <c r="O5312">
        <v>0</v>
      </c>
      <c r="P5312">
        <v>1</v>
      </c>
      <c r="Q5312">
        <v>0</v>
      </c>
      <c r="R5312" t="s">
        <v>127</v>
      </c>
      <c r="S5312" t="str">
        <f t="shared" ref="S5312:T5317" si="2102">"15:19:17.000"</f>
        <v>15:19:17.000</v>
      </c>
      <c r="T5312" t="str">
        <f t="shared" si="2102"/>
        <v>15:19:17.000</v>
      </c>
      <c r="U5312" t="str">
        <f t="shared" si="2079"/>
        <v>A68FCB</v>
      </c>
      <c r="V5312">
        <v>0</v>
      </c>
      <c r="W5312">
        <v>0</v>
      </c>
      <c r="X5312">
        <v>2</v>
      </c>
      <c r="Y5312">
        <v>0</v>
      </c>
      <c r="AA5312">
        <v>1</v>
      </c>
      <c r="AB5312">
        <v>8</v>
      </c>
      <c r="AC5312">
        <v>3</v>
      </c>
      <c r="AD5312">
        <v>0</v>
      </c>
      <c r="AE5312">
        <v>9</v>
      </c>
      <c r="AF5312" t="s">
        <v>138</v>
      </c>
      <c r="AG5312">
        <v>0</v>
      </c>
      <c r="AH5312">
        <v>3</v>
      </c>
      <c r="AI5312">
        <v>1</v>
      </c>
      <c r="AJ5312">
        <v>0</v>
      </c>
      <c r="AK5312" t="s">
        <v>1671</v>
      </c>
      <c r="AL5312">
        <v>39.226576999999999</v>
      </c>
      <c r="AM5312" t="s">
        <v>1672</v>
      </c>
      <c r="AN5312">
        <v>-121.028223</v>
      </c>
      <c r="AO5312">
        <v>25</v>
      </c>
      <c r="AP5312">
        <v>3200</v>
      </c>
      <c r="AQ5312" t="s">
        <v>131</v>
      </c>
      <c r="AR5312">
        <v>40</v>
      </c>
      <c r="AS5312">
        <v>-40</v>
      </c>
      <c r="AT5312">
        <v>-704</v>
      </c>
      <c r="BB5312" t="str">
        <f t="shared" si="2080"/>
        <v>1200</v>
      </c>
      <c r="BC5312">
        <v>1</v>
      </c>
      <c r="BD5312" t="str">
        <f t="shared" si="2081"/>
        <v xml:space="preserve">N52156  </v>
      </c>
      <c r="BE5312">
        <v>1</v>
      </c>
      <c r="BG5312">
        <v>0</v>
      </c>
      <c r="BH5312">
        <v>0</v>
      </c>
      <c r="BI5312">
        <v>0</v>
      </c>
      <c r="BJ5312">
        <v>3275</v>
      </c>
      <c r="BK5312">
        <v>75</v>
      </c>
      <c r="BL5312" t="s">
        <v>188</v>
      </c>
      <c r="BM5312">
        <v>1</v>
      </c>
      <c r="BN5312">
        <v>1</v>
      </c>
      <c r="BO5312">
        <v>0</v>
      </c>
      <c r="BP5312">
        <v>0</v>
      </c>
      <c r="BS5312">
        <v>0</v>
      </c>
      <c r="BT5312">
        <v>0</v>
      </c>
      <c r="BU5312">
        <v>0</v>
      </c>
      <c r="CE5312" t="str">
        <f t="shared" ref="CE5312:CE5317" si="2103">"15:19:17.506"</f>
        <v>15:19:17.506</v>
      </c>
      <c r="CF5312">
        <v>506341312</v>
      </c>
      <c r="CS5312">
        <v>0</v>
      </c>
      <c r="CT5312">
        <v>2</v>
      </c>
      <c r="CU5312">
        <v>0</v>
      </c>
      <c r="CV5312">
        <v>2</v>
      </c>
      <c r="CW5312">
        <v>0</v>
      </c>
      <c r="CX5312">
        <v>2</v>
      </c>
      <c r="CY5312">
        <v>7</v>
      </c>
      <c r="CZ5312" t="s">
        <v>133</v>
      </c>
      <c r="DA5312">
        <v>276</v>
      </c>
      <c r="DB5312">
        <v>0</v>
      </c>
      <c r="DC5312" t="s">
        <v>402</v>
      </c>
      <c r="DD5312" t="s">
        <v>403</v>
      </c>
      <c r="DG5312">
        <v>1629197</v>
      </c>
      <c r="DI5312">
        <v>1</v>
      </c>
      <c r="DJ5312">
        <v>0</v>
      </c>
      <c r="DK5312">
        <v>0</v>
      </c>
      <c r="DL5312">
        <v>0</v>
      </c>
      <c r="DM5312">
        <v>0</v>
      </c>
      <c r="DN5312">
        <v>0</v>
      </c>
      <c r="DO5312">
        <v>0</v>
      </c>
      <c r="DP5312">
        <v>0</v>
      </c>
      <c r="DQ5312">
        <v>0</v>
      </c>
      <c r="DR5312">
        <v>0</v>
      </c>
      <c r="DS5312">
        <v>0</v>
      </c>
    </row>
    <row r="5313" spans="1:123" x14ac:dyDescent="0.3">
      <c r="A5313" t="str">
        <f>"05/01/2025 15:19:17.733"</f>
        <v>05/01/2025 15:19:17.733</v>
      </c>
      <c r="C5313" t="str">
        <f t="shared" si="2078"/>
        <v>FFDFD3C0</v>
      </c>
      <c r="D5313" t="s">
        <v>145</v>
      </c>
      <c r="E5313" t="str">
        <f>"09"</f>
        <v>09</v>
      </c>
      <c r="H5313">
        <v>51</v>
      </c>
      <c r="I5313" t="s">
        <v>147</v>
      </c>
      <c r="J5313" t="s">
        <v>138</v>
      </c>
      <c r="K5313">
        <v>0</v>
      </c>
      <c r="L5313">
        <v>3</v>
      </c>
      <c r="M5313">
        <v>0</v>
      </c>
      <c r="N5313">
        <v>2</v>
      </c>
      <c r="O5313">
        <v>0</v>
      </c>
      <c r="P5313">
        <v>1</v>
      </c>
      <c r="Q5313">
        <v>0</v>
      </c>
      <c r="R5313" t="s">
        <v>127</v>
      </c>
      <c r="S5313" t="str">
        <f t="shared" si="2102"/>
        <v>15:19:17.000</v>
      </c>
      <c r="T5313" t="str">
        <f t="shared" si="2102"/>
        <v>15:19:17.000</v>
      </c>
      <c r="U5313" t="str">
        <f t="shared" si="2079"/>
        <v>A68FCB</v>
      </c>
      <c r="V5313">
        <v>0</v>
      </c>
      <c r="W5313">
        <v>0</v>
      </c>
      <c r="X5313">
        <v>2</v>
      </c>
      <c r="Y5313">
        <v>0</v>
      </c>
      <c r="AA5313">
        <v>1</v>
      </c>
      <c r="AB5313">
        <v>8</v>
      </c>
      <c r="AC5313">
        <v>3</v>
      </c>
      <c r="AD5313">
        <v>0</v>
      </c>
      <c r="AE5313">
        <v>9</v>
      </c>
      <c r="AF5313" t="s">
        <v>138</v>
      </c>
      <c r="AG5313">
        <v>0</v>
      </c>
      <c r="AH5313">
        <v>3</v>
      </c>
      <c r="AI5313">
        <v>1</v>
      </c>
      <c r="AJ5313">
        <v>0</v>
      </c>
      <c r="AK5313" t="s">
        <v>1671</v>
      </c>
      <c r="AL5313">
        <v>39.226576999999999</v>
      </c>
      <c r="AM5313" t="s">
        <v>1672</v>
      </c>
      <c r="AN5313">
        <v>-121.028223</v>
      </c>
      <c r="AO5313">
        <v>25</v>
      </c>
      <c r="AP5313">
        <v>3200</v>
      </c>
      <c r="AQ5313" t="s">
        <v>131</v>
      </c>
      <c r="AR5313">
        <v>40</v>
      </c>
      <c r="AS5313">
        <v>-40</v>
      </c>
      <c r="AT5313">
        <v>-704</v>
      </c>
      <c r="BB5313" t="str">
        <f t="shared" si="2080"/>
        <v>1200</v>
      </c>
      <c r="BC5313">
        <v>1</v>
      </c>
      <c r="BD5313" t="str">
        <f t="shared" si="2081"/>
        <v xml:space="preserve">N52156  </v>
      </c>
      <c r="BE5313">
        <v>1</v>
      </c>
      <c r="BG5313">
        <v>0</v>
      </c>
      <c r="BH5313">
        <v>0</v>
      </c>
      <c r="BI5313">
        <v>0</v>
      </c>
      <c r="BJ5313">
        <v>3275</v>
      </c>
      <c r="BK5313">
        <v>75</v>
      </c>
      <c r="BL5313" t="s">
        <v>188</v>
      </c>
      <c r="BM5313">
        <v>1</v>
      </c>
      <c r="BN5313">
        <v>1</v>
      </c>
      <c r="BO5313">
        <v>0</v>
      </c>
      <c r="BP5313">
        <v>0</v>
      </c>
      <c r="BS5313">
        <v>0</v>
      </c>
      <c r="BT5313">
        <v>0</v>
      </c>
      <c r="BU5313">
        <v>0</v>
      </c>
      <c r="CE5313" t="str">
        <f t="shared" si="2103"/>
        <v>15:19:17.506</v>
      </c>
      <c r="CF5313">
        <v>506341312</v>
      </c>
      <c r="CS5313">
        <v>0</v>
      </c>
      <c r="CT5313">
        <v>2</v>
      </c>
      <c r="CU5313">
        <v>0</v>
      </c>
      <c r="CV5313">
        <v>2</v>
      </c>
      <c r="CW5313">
        <v>0</v>
      </c>
      <c r="CX5313">
        <v>2</v>
      </c>
      <c r="CY5313">
        <v>7</v>
      </c>
      <c r="CZ5313" t="s">
        <v>133</v>
      </c>
      <c r="DA5313">
        <v>276</v>
      </c>
      <c r="DB5313">
        <v>0</v>
      </c>
      <c r="DC5313" t="s">
        <v>402</v>
      </c>
      <c r="DD5313" t="s">
        <v>403</v>
      </c>
      <c r="DG5313">
        <v>1629197</v>
      </c>
      <c r="DI5313">
        <v>1</v>
      </c>
      <c r="DJ5313">
        <v>0</v>
      </c>
      <c r="DK5313">
        <v>1</v>
      </c>
      <c r="DL5313">
        <v>0</v>
      </c>
      <c r="DM5313">
        <v>0</v>
      </c>
      <c r="DN5313">
        <v>0</v>
      </c>
      <c r="DO5313">
        <v>0</v>
      </c>
      <c r="DP5313">
        <v>0</v>
      </c>
      <c r="DQ5313">
        <v>0</v>
      </c>
      <c r="DR5313">
        <v>0</v>
      </c>
      <c r="DS5313">
        <v>0</v>
      </c>
    </row>
    <row r="5314" spans="1:123" x14ac:dyDescent="0.3">
      <c r="A5314" t="str">
        <f>"05/01/2025 15:19:17.734"</f>
        <v>05/01/2025 15:19:17.734</v>
      </c>
      <c r="C5314" t="str">
        <f t="shared" ref="C5314:C5377" si="2104">"FFDFD3C0"</f>
        <v>FFDFD3C0</v>
      </c>
      <c r="D5314" t="s">
        <v>145</v>
      </c>
      <c r="E5314" t="str">
        <f>"05"</f>
        <v>05</v>
      </c>
      <c r="H5314">
        <v>47</v>
      </c>
      <c r="I5314" t="s">
        <v>146</v>
      </c>
      <c r="J5314" t="s">
        <v>138</v>
      </c>
      <c r="K5314">
        <v>0</v>
      </c>
      <c r="L5314">
        <v>3</v>
      </c>
      <c r="M5314">
        <v>0</v>
      </c>
      <c r="N5314">
        <v>2</v>
      </c>
      <c r="O5314">
        <v>0</v>
      </c>
      <c r="P5314">
        <v>1</v>
      </c>
      <c r="Q5314">
        <v>0</v>
      </c>
      <c r="R5314" t="s">
        <v>127</v>
      </c>
      <c r="S5314" t="str">
        <f t="shared" si="2102"/>
        <v>15:19:17.000</v>
      </c>
      <c r="T5314" t="str">
        <f t="shared" si="2102"/>
        <v>15:19:17.000</v>
      </c>
      <c r="U5314" t="str">
        <f t="shared" ref="U5314:U5377" si="2105">"A68FCB"</f>
        <v>A68FCB</v>
      </c>
      <c r="V5314">
        <v>0</v>
      </c>
      <c r="W5314">
        <v>0</v>
      </c>
      <c r="X5314">
        <v>2</v>
      </c>
      <c r="Y5314">
        <v>0</v>
      </c>
      <c r="AA5314">
        <v>1</v>
      </c>
      <c r="AB5314">
        <v>8</v>
      </c>
      <c r="AC5314">
        <v>3</v>
      </c>
      <c r="AD5314">
        <v>0</v>
      </c>
      <c r="AE5314">
        <v>9</v>
      </c>
      <c r="AF5314" t="s">
        <v>138</v>
      </c>
      <c r="AG5314">
        <v>0</v>
      </c>
      <c r="AH5314">
        <v>3</v>
      </c>
      <c r="AI5314">
        <v>1</v>
      </c>
      <c r="AJ5314">
        <v>0</v>
      </c>
      <c r="AK5314" t="s">
        <v>1671</v>
      </c>
      <c r="AL5314">
        <v>39.226576999999999</v>
      </c>
      <c r="AM5314" t="s">
        <v>1672</v>
      </c>
      <c r="AN5314">
        <v>-121.028223</v>
      </c>
      <c r="AO5314">
        <v>25</v>
      </c>
      <c r="AP5314">
        <v>3200</v>
      </c>
      <c r="AQ5314" t="s">
        <v>131</v>
      </c>
      <c r="AR5314">
        <v>40</v>
      </c>
      <c r="AS5314">
        <v>-40</v>
      </c>
      <c r="AT5314">
        <v>-704</v>
      </c>
      <c r="BB5314" t="str">
        <f t="shared" ref="BB5314:BB5377" si="2106">"1200"</f>
        <v>1200</v>
      </c>
      <c r="BC5314">
        <v>1</v>
      </c>
      <c r="BD5314" t="str">
        <f t="shared" ref="BD5314:BD5377" si="2107">"N52156  "</f>
        <v xml:space="preserve">N52156  </v>
      </c>
      <c r="BE5314">
        <v>1</v>
      </c>
      <c r="BG5314">
        <v>0</v>
      </c>
      <c r="BH5314">
        <v>0</v>
      </c>
      <c r="BI5314">
        <v>0</v>
      </c>
      <c r="BJ5314">
        <v>3275</v>
      </c>
      <c r="BK5314">
        <v>75</v>
      </c>
      <c r="BL5314" t="s">
        <v>188</v>
      </c>
      <c r="BM5314">
        <v>1</v>
      </c>
      <c r="BN5314">
        <v>1</v>
      </c>
      <c r="BO5314">
        <v>0</v>
      </c>
      <c r="BP5314">
        <v>0</v>
      </c>
      <c r="BS5314">
        <v>0</v>
      </c>
      <c r="BT5314">
        <v>0</v>
      </c>
      <c r="BU5314">
        <v>0</v>
      </c>
      <c r="CE5314" t="str">
        <f t="shared" si="2103"/>
        <v>15:19:17.506</v>
      </c>
      <c r="CF5314">
        <v>506341312</v>
      </c>
      <c r="CS5314">
        <v>0</v>
      </c>
      <c r="CT5314">
        <v>2</v>
      </c>
      <c r="CU5314">
        <v>0</v>
      </c>
      <c r="CV5314">
        <v>2</v>
      </c>
      <c r="CW5314">
        <v>0</v>
      </c>
      <c r="CX5314">
        <v>2</v>
      </c>
      <c r="CY5314">
        <v>7</v>
      </c>
      <c r="CZ5314" t="s">
        <v>133</v>
      </c>
      <c r="DA5314">
        <v>276</v>
      </c>
      <c r="DB5314">
        <v>0</v>
      </c>
      <c r="DC5314" t="s">
        <v>402</v>
      </c>
      <c r="DD5314" t="s">
        <v>403</v>
      </c>
      <c r="DG5314">
        <v>1629197</v>
      </c>
      <c r="DI5314">
        <v>1</v>
      </c>
      <c r="DJ5314">
        <v>0</v>
      </c>
      <c r="DK5314">
        <v>1</v>
      </c>
      <c r="DL5314">
        <v>0</v>
      </c>
      <c r="DM5314">
        <v>0</v>
      </c>
      <c r="DN5314">
        <v>0</v>
      </c>
      <c r="DO5314">
        <v>0</v>
      </c>
      <c r="DP5314">
        <v>0</v>
      </c>
      <c r="DQ5314">
        <v>0</v>
      </c>
      <c r="DR5314">
        <v>0</v>
      </c>
      <c r="DS5314">
        <v>0</v>
      </c>
    </row>
    <row r="5315" spans="1:123" x14ac:dyDescent="0.3">
      <c r="A5315" t="str">
        <f>"05/01/2025 15:19:17.744"</f>
        <v>05/01/2025 15:19:17.744</v>
      </c>
      <c r="C5315" t="str">
        <f t="shared" si="2104"/>
        <v>FFDFD3C0</v>
      </c>
      <c r="D5315" t="s">
        <v>136</v>
      </c>
      <c r="E5315" t="str">
        <f>"20"</f>
        <v>20</v>
      </c>
      <c r="H5315">
        <v>400</v>
      </c>
      <c r="I5315" t="s">
        <v>137</v>
      </c>
      <c r="J5315" t="s">
        <v>138</v>
      </c>
      <c r="K5315">
        <v>0</v>
      </c>
      <c r="L5315">
        <v>3</v>
      </c>
      <c r="M5315">
        <v>0</v>
      </c>
      <c r="N5315">
        <v>2</v>
      </c>
      <c r="O5315">
        <v>0</v>
      </c>
      <c r="P5315">
        <v>1</v>
      </c>
      <c r="Q5315">
        <v>0</v>
      </c>
      <c r="R5315" t="s">
        <v>127</v>
      </c>
      <c r="S5315" t="str">
        <f t="shared" si="2102"/>
        <v>15:19:17.000</v>
      </c>
      <c r="T5315" t="str">
        <f t="shared" si="2102"/>
        <v>15:19:17.000</v>
      </c>
      <c r="U5315" t="str">
        <f t="shared" si="2105"/>
        <v>A68FCB</v>
      </c>
      <c r="V5315">
        <v>0</v>
      </c>
      <c r="W5315">
        <v>0</v>
      </c>
      <c r="X5315">
        <v>2</v>
      </c>
      <c r="Y5315">
        <v>0</v>
      </c>
      <c r="AA5315">
        <v>1</v>
      </c>
      <c r="AB5315">
        <v>8</v>
      </c>
      <c r="AC5315">
        <v>3</v>
      </c>
      <c r="AD5315">
        <v>0</v>
      </c>
      <c r="AE5315">
        <v>9</v>
      </c>
      <c r="AF5315" t="s">
        <v>138</v>
      </c>
      <c r="AG5315">
        <v>0</v>
      </c>
      <c r="AH5315">
        <v>3</v>
      </c>
      <c r="AI5315">
        <v>1</v>
      </c>
      <c r="AJ5315">
        <v>0</v>
      </c>
      <c r="AK5315" t="s">
        <v>1671</v>
      </c>
      <c r="AL5315">
        <v>39.226576999999999</v>
      </c>
      <c r="AM5315" t="s">
        <v>1672</v>
      </c>
      <c r="AN5315">
        <v>-121.028223</v>
      </c>
      <c r="AO5315">
        <v>25</v>
      </c>
      <c r="AP5315">
        <v>3200</v>
      </c>
      <c r="AQ5315" t="s">
        <v>131</v>
      </c>
      <c r="AR5315">
        <v>40</v>
      </c>
      <c r="AS5315">
        <v>-40</v>
      </c>
      <c r="AT5315">
        <v>-704</v>
      </c>
      <c r="BB5315" t="str">
        <f t="shared" si="2106"/>
        <v>1200</v>
      </c>
      <c r="BC5315">
        <v>1</v>
      </c>
      <c r="BD5315" t="str">
        <f t="shared" si="2107"/>
        <v xml:space="preserve">N52156  </v>
      </c>
      <c r="BE5315">
        <v>1</v>
      </c>
      <c r="BG5315">
        <v>0</v>
      </c>
      <c r="BH5315">
        <v>0</v>
      </c>
      <c r="BI5315">
        <v>0</v>
      </c>
      <c r="BJ5315">
        <v>3275</v>
      </c>
      <c r="BK5315">
        <v>75</v>
      </c>
      <c r="BL5315" t="s">
        <v>188</v>
      </c>
      <c r="BM5315">
        <v>1</v>
      </c>
      <c r="BN5315">
        <v>1</v>
      </c>
      <c r="BO5315">
        <v>0</v>
      </c>
      <c r="BP5315">
        <v>0</v>
      </c>
      <c r="BS5315">
        <v>0</v>
      </c>
      <c r="BT5315">
        <v>0</v>
      </c>
      <c r="BU5315">
        <v>0</v>
      </c>
      <c r="CE5315" t="str">
        <f t="shared" si="2103"/>
        <v>15:19:17.506</v>
      </c>
      <c r="CF5315">
        <v>506341312</v>
      </c>
      <c r="CS5315">
        <v>0</v>
      </c>
      <c r="CT5315">
        <v>2</v>
      </c>
      <c r="CU5315">
        <v>0</v>
      </c>
      <c r="CV5315">
        <v>2</v>
      </c>
      <c r="CW5315">
        <v>0</v>
      </c>
      <c r="CX5315">
        <v>2</v>
      </c>
      <c r="CY5315">
        <v>7</v>
      </c>
      <c r="CZ5315" t="s">
        <v>133</v>
      </c>
      <c r="DA5315">
        <v>276</v>
      </c>
      <c r="DB5315">
        <v>0</v>
      </c>
      <c r="DC5315" t="s">
        <v>402</v>
      </c>
      <c r="DD5315" t="s">
        <v>403</v>
      </c>
      <c r="DG5315">
        <v>1629197</v>
      </c>
      <c r="DI5315">
        <v>1</v>
      </c>
      <c r="DJ5315">
        <v>0</v>
      </c>
      <c r="DK5315">
        <v>1</v>
      </c>
      <c r="DL5315">
        <v>0</v>
      </c>
      <c r="DM5315">
        <v>0</v>
      </c>
      <c r="DN5315">
        <v>0</v>
      </c>
      <c r="DO5315">
        <v>0</v>
      </c>
      <c r="DP5315">
        <v>0</v>
      </c>
      <c r="DQ5315">
        <v>0</v>
      </c>
      <c r="DR5315">
        <v>0</v>
      </c>
      <c r="DS5315">
        <v>0</v>
      </c>
    </row>
    <row r="5316" spans="1:123" x14ac:dyDescent="0.3">
      <c r="A5316" t="str">
        <f>"05/01/2025 15:19:17.758"</f>
        <v>05/01/2025 15:19:17.758</v>
      </c>
      <c r="C5316" t="str">
        <f t="shared" si="2104"/>
        <v>FFDFD3C0</v>
      </c>
      <c r="D5316" t="s">
        <v>140</v>
      </c>
      <c r="E5316" t="str">
        <f>"13"</f>
        <v>13</v>
      </c>
      <c r="F5316">
        <v>1019</v>
      </c>
      <c r="G5316" t="s">
        <v>141</v>
      </c>
      <c r="J5316" t="s">
        <v>142</v>
      </c>
      <c r="K5316">
        <v>0</v>
      </c>
      <c r="L5316">
        <v>3</v>
      </c>
      <c r="M5316">
        <v>0</v>
      </c>
      <c r="N5316">
        <v>2</v>
      </c>
      <c r="O5316">
        <v>0</v>
      </c>
      <c r="P5316">
        <v>1</v>
      </c>
      <c r="Q5316">
        <v>0</v>
      </c>
      <c r="R5316" t="s">
        <v>127</v>
      </c>
      <c r="S5316" t="str">
        <f t="shared" si="2102"/>
        <v>15:19:17.000</v>
      </c>
      <c r="T5316" t="str">
        <f t="shared" si="2102"/>
        <v>15:19:17.000</v>
      </c>
      <c r="U5316" t="str">
        <f t="shared" si="2105"/>
        <v>A68FCB</v>
      </c>
      <c r="V5316">
        <v>0</v>
      </c>
      <c r="W5316">
        <v>0</v>
      </c>
      <c r="X5316">
        <v>2</v>
      </c>
      <c r="Y5316">
        <v>0</v>
      </c>
      <c r="AA5316">
        <v>1</v>
      </c>
      <c r="AB5316">
        <v>8</v>
      </c>
      <c r="AC5316">
        <v>3</v>
      </c>
      <c r="AD5316">
        <v>0</v>
      </c>
      <c r="AE5316">
        <v>9</v>
      </c>
      <c r="AF5316" t="s">
        <v>138</v>
      </c>
      <c r="AG5316">
        <v>0</v>
      </c>
      <c r="AH5316">
        <v>3</v>
      </c>
      <c r="AI5316">
        <v>1</v>
      </c>
      <c r="AJ5316">
        <v>0</v>
      </c>
      <c r="AK5316" t="s">
        <v>1671</v>
      </c>
      <c r="AL5316">
        <v>39.226576999999999</v>
      </c>
      <c r="AM5316" t="s">
        <v>1672</v>
      </c>
      <c r="AN5316">
        <v>-121.028223</v>
      </c>
      <c r="AO5316">
        <v>25</v>
      </c>
      <c r="AP5316">
        <v>3200</v>
      </c>
      <c r="AQ5316" t="s">
        <v>131</v>
      </c>
      <c r="AR5316">
        <v>40</v>
      </c>
      <c r="AS5316">
        <v>-40</v>
      </c>
      <c r="AT5316">
        <v>-704</v>
      </c>
      <c r="BB5316" t="str">
        <f t="shared" si="2106"/>
        <v>1200</v>
      </c>
      <c r="BC5316">
        <v>1</v>
      </c>
      <c r="BD5316" t="str">
        <f t="shared" si="2107"/>
        <v xml:space="preserve">N52156  </v>
      </c>
      <c r="BE5316">
        <v>1</v>
      </c>
      <c r="BG5316">
        <v>0</v>
      </c>
      <c r="BH5316">
        <v>0</v>
      </c>
      <c r="BI5316">
        <v>0</v>
      </c>
      <c r="BJ5316">
        <v>3275</v>
      </c>
      <c r="BK5316">
        <v>75</v>
      </c>
      <c r="BL5316" t="s">
        <v>188</v>
      </c>
      <c r="BM5316">
        <v>1</v>
      </c>
      <c r="BN5316">
        <v>1</v>
      </c>
      <c r="BO5316">
        <v>0</v>
      </c>
      <c r="BP5316">
        <v>0</v>
      </c>
      <c r="BS5316">
        <v>0</v>
      </c>
      <c r="BT5316">
        <v>0</v>
      </c>
      <c r="BU5316">
        <v>0</v>
      </c>
      <c r="CE5316" t="str">
        <f t="shared" si="2103"/>
        <v>15:19:17.506</v>
      </c>
      <c r="CF5316">
        <v>506341312</v>
      </c>
      <c r="CS5316">
        <v>0</v>
      </c>
      <c r="CT5316">
        <v>2</v>
      </c>
      <c r="CU5316">
        <v>0</v>
      </c>
      <c r="CV5316">
        <v>2</v>
      </c>
      <c r="CW5316">
        <v>0</v>
      </c>
      <c r="CX5316">
        <v>2</v>
      </c>
      <c r="CY5316">
        <v>7</v>
      </c>
      <c r="CZ5316" t="s">
        <v>133</v>
      </c>
      <c r="DA5316">
        <v>276</v>
      </c>
      <c r="DB5316">
        <v>0</v>
      </c>
      <c r="DC5316" t="s">
        <v>402</v>
      </c>
      <c r="DD5316" t="s">
        <v>403</v>
      </c>
      <c r="DG5316">
        <v>1629197</v>
      </c>
      <c r="DI5316">
        <v>1</v>
      </c>
      <c r="DJ5316">
        <v>0</v>
      </c>
      <c r="DK5316">
        <v>1</v>
      </c>
      <c r="DL5316">
        <v>0</v>
      </c>
      <c r="DM5316">
        <v>0</v>
      </c>
      <c r="DN5316">
        <v>0</v>
      </c>
      <c r="DO5316">
        <v>0</v>
      </c>
      <c r="DP5316">
        <v>0</v>
      </c>
      <c r="DQ5316">
        <v>0</v>
      </c>
      <c r="DR5316">
        <v>0</v>
      </c>
      <c r="DS5316">
        <v>0</v>
      </c>
    </row>
    <row r="5317" spans="1:123" x14ac:dyDescent="0.3">
      <c r="A5317" t="str">
        <f>"05/01/2025 15:19:17.760"</f>
        <v>05/01/2025 15:19:17.760</v>
      </c>
      <c r="C5317" t="str">
        <f t="shared" si="2104"/>
        <v>FFDFD3C0</v>
      </c>
      <c r="D5317" t="s">
        <v>124</v>
      </c>
      <c r="E5317" t="str">
        <f>"06"</f>
        <v>06</v>
      </c>
      <c r="F5317">
        <v>2006</v>
      </c>
      <c r="G5317" t="s">
        <v>125</v>
      </c>
      <c r="J5317" t="s">
        <v>126</v>
      </c>
      <c r="K5317">
        <v>0</v>
      </c>
      <c r="L5317">
        <v>3</v>
      </c>
      <c r="M5317">
        <v>0</v>
      </c>
      <c r="N5317">
        <v>2</v>
      </c>
      <c r="O5317">
        <v>0</v>
      </c>
      <c r="P5317">
        <v>1</v>
      </c>
      <c r="Q5317">
        <v>0</v>
      </c>
      <c r="R5317" t="s">
        <v>127</v>
      </c>
      <c r="S5317" t="str">
        <f t="shared" si="2102"/>
        <v>15:19:17.000</v>
      </c>
      <c r="T5317" t="str">
        <f t="shared" si="2102"/>
        <v>15:19:17.000</v>
      </c>
      <c r="U5317" t="str">
        <f t="shared" si="2105"/>
        <v>A68FCB</v>
      </c>
      <c r="V5317">
        <v>0</v>
      </c>
      <c r="W5317">
        <v>0</v>
      </c>
      <c r="X5317">
        <v>2</v>
      </c>
      <c r="Y5317">
        <v>0</v>
      </c>
      <c r="AA5317">
        <v>1</v>
      </c>
      <c r="AB5317">
        <v>8</v>
      </c>
      <c r="AC5317">
        <v>3</v>
      </c>
      <c r="AD5317">
        <v>0</v>
      </c>
      <c r="AE5317">
        <v>9</v>
      </c>
      <c r="AF5317" t="s">
        <v>138</v>
      </c>
      <c r="AG5317">
        <v>0</v>
      </c>
      <c r="AH5317">
        <v>3</v>
      </c>
      <c r="AI5317">
        <v>1</v>
      </c>
      <c r="AJ5317">
        <v>0</v>
      </c>
      <c r="AK5317" t="s">
        <v>1671</v>
      </c>
      <c r="AL5317">
        <v>39.226576999999999</v>
      </c>
      <c r="AM5317" t="s">
        <v>1672</v>
      </c>
      <c r="AN5317">
        <v>-121.028223</v>
      </c>
      <c r="AO5317">
        <v>25</v>
      </c>
      <c r="AP5317">
        <v>3200</v>
      </c>
      <c r="AQ5317" t="s">
        <v>131</v>
      </c>
      <c r="AR5317">
        <v>40</v>
      </c>
      <c r="AS5317">
        <v>-40</v>
      </c>
      <c r="AT5317">
        <v>-704</v>
      </c>
      <c r="BB5317" t="str">
        <f t="shared" si="2106"/>
        <v>1200</v>
      </c>
      <c r="BC5317">
        <v>1</v>
      </c>
      <c r="BD5317" t="str">
        <f t="shared" si="2107"/>
        <v xml:space="preserve">N52156  </v>
      </c>
      <c r="BE5317">
        <v>1</v>
      </c>
      <c r="BG5317">
        <v>0</v>
      </c>
      <c r="BH5317">
        <v>0</v>
      </c>
      <c r="BI5317">
        <v>0</v>
      </c>
      <c r="BJ5317">
        <v>3275</v>
      </c>
      <c r="BK5317">
        <v>75</v>
      </c>
      <c r="BL5317" t="s">
        <v>188</v>
      </c>
      <c r="BM5317">
        <v>1</v>
      </c>
      <c r="BN5317">
        <v>1</v>
      </c>
      <c r="BO5317">
        <v>0</v>
      </c>
      <c r="BP5317">
        <v>0</v>
      </c>
      <c r="BS5317">
        <v>0</v>
      </c>
      <c r="BT5317">
        <v>0</v>
      </c>
      <c r="BU5317">
        <v>0</v>
      </c>
      <c r="CE5317" t="str">
        <f t="shared" si="2103"/>
        <v>15:19:17.506</v>
      </c>
      <c r="CF5317">
        <v>506341312</v>
      </c>
      <c r="CS5317">
        <v>0</v>
      </c>
      <c r="CT5317">
        <v>2</v>
      </c>
      <c r="CU5317">
        <v>0</v>
      </c>
      <c r="CV5317">
        <v>2</v>
      </c>
      <c r="CW5317">
        <v>0</v>
      </c>
      <c r="CX5317">
        <v>2</v>
      </c>
      <c r="CY5317">
        <v>7</v>
      </c>
      <c r="CZ5317" t="s">
        <v>133</v>
      </c>
      <c r="DA5317">
        <v>276</v>
      </c>
      <c r="DB5317">
        <v>0</v>
      </c>
      <c r="DC5317" t="s">
        <v>402</v>
      </c>
      <c r="DD5317" t="s">
        <v>403</v>
      </c>
      <c r="DG5317">
        <v>1629197</v>
      </c>
      <c r="DI5317">
        <v>1</v>
      </c>
      <c r="DJ5317">
        <v>0</v>
      </c>
      <c r="DK5317">
        <v>1</v>
      </c>
      <c r="DL5317">
        <v>0</v>
      </c>
      <c r="DM5317">
        <v>0</v>
      </c>
      <c r="DN5317">
        <v>0</v>
      </c>
      <c r="DO5317">
        <v>0</v>
      </c>
      <c r="DP5317">
        <v>0</v>
      </c>
      <c r="DQ5317">
        <v>0</v>
      </c>
      <c r="DR5317">
        <v>0</v>
      </c>
      <c r="DS5317">
        <v>0</v>
      </c>
    </row>
    <row r="5318" spans="1:123" x14ac:dyDescent="0.3">
      <c r="A5318" t="str">
        <f>"05/01/2025 15:19:19.046"</f>
        <v>05/01/2025 15:19:19.046</v>
      </c>
      <c r="C5318" t="str">
        <f t="shared" si="2104"/>
        <v>FFDFD3C0</v>
      </c>
      <c r="D5318" t="s">
        <v>136</v>
      </c>
      <c r="E5318" t="str">
        <f>"20"</f>
        <v>20</v>
      </c>
      <c r="H5318">
        <v>400</v>
      </c>
      <c r="I5318" t="s">
        <v>137</v>
      </c>
      <c r="J5318" t="s">
        <v>138</v>
      </c>
      <c r="K5318">
        <v>0</v>
      </c>
      <c r="L5318">
        <v>3</v>
      </c>
      <c r="M5318">
        <v>0</v>
      </c>
      <c r="N5318">
        <v>2</v>
      </c>
      <c r="O5318">
        <v>0</v>
      </c>
      <c r="P5318">
        <v>1</v>
      </c>
      <c r="Q5318">
        <v>0</v>
      </c>
      <c r="R5318" t="s">
        <v>127</v>
      </c>
      <c r="S5318" t="str">
        <f t="shared" ref="S5318:T5323" si="2108">"15:19:18.000"</f>
        <v>15:19:18.000</v>
      </c>
      <c r="T5318" t="str">
        <f t="shared" si="2108"/>
        <v>15:19:18.000</v>
      </c>
      <c r="U5318" t="str">
        <f t="shared" si="2105"/>
        <v>A68FCB</v>
      </c>
      <c r="V5318">
        <v>0</v>
      </c>
      <c r="W5318">
        <v>0</v>
      </c>
      <c r="X5318">
        <v>2</v>
      </c>
      <c r="Y5318">
        <v>0</v>
      </c>
      <c r="AA5318">
        <v>1</v>
      </c>
      <c r="AB5318">
        <v>8</v>
      </c>
      <c r="AC5318">
        <v>3</v>
      </c>
      <c r="AD5318">
        <v>0</v>
      </c>
      <c r="AE5318">
        <v>9</v>
      </c>
      <c r="AF5318" t="s">
        <v>138</v>
      </c>
      <c r="AG5318">
        <v>0</v>
      </c>
      <c r="AH5318">
        <v>3</v>
      </c>
      <c r="AI5318">
        <v>1</v>
      </c>
      <c r="AJ5318">
        <v>0</v>
      </c>
      <c r="AK5318" t="s">
        <v>1529</v>
      </c>
      <c r="AL5318">
        <v>39.226384000000003</v>
      </c>
      <c r="AM5318" t="s">
        <v>1673</v>
      </c>
      <c r="AN5318">
        <v>-121.027987</v>
      </c>
      <c r="AO5318">
        <v>25</v>
      </c>
      <c r="AP5318">
        <v>3300</v>
      </c>
      <c r="AQ5318" t="s">
        <v>131</v>
      </c>
      <c r="AR5318">
        <v>41</v>
      </c>
      <c r="AS5318">
        <v>-39</v>
      </c>
      <c r="AT5318">
        <v>-704</v>
      </c>
      <c r="BB5318" t="str">
        <f t="shared" si="2106"/>
        <v>1200</v>
      </c>
      <c r="BC5318">
        <v>1</v>
      </c>
      <c r="BD5318" t="str">
        <f t="shared" si="2107"/>
        <v xml:space="preserve">N52156  </v>
      </c>
      <c r="BE5318">
        <v>1</v>
      </c>
      <c r="BG5318">
        <v>0</v>
      </c>
      <c r="BH5318">
        <v>0</v>
      </c>
      <c r="BI5318">
        <v>0</v>
      </c>
      <c r="BJ5318">
        <v>3275</v>
      </c>
      <c r="BK5318">
        <v>-25</v>
      </c>
      <c r="BL5318" t="s">
        <v>188</v>
      </c>
      <c r="BM5318">
        <v>1</v>
      </c>
      <c r="BN5318">
        <v>1</v>
      </c>
      <c r="BO5318">
        <v>0</v>
      </c>
      <c r="BP5318">
        <v>0</v>
      </c>
      <c r="BS5318">
        <v>0</v>
      </c>
      <c r="BT5318">
        <v>0</v>
      </c>
      <c r="BU5318">
        <v>0</v>
      </c>
      <c r="CE5318" t="str">
        <f t="shared" ref="CE5318:CE5323" si="2109">"15:19:18.823"</f>
        <v>15:19:18.823</v>
      </c>
      <c r="CF5318">
        <v>822754880</v>
      </c>
      <c r="CS5318">
        <v>0</v>
      </c>
      <c r="CT5318">
        <v>2</v>
      </c>
      <c r="CU5318">
        <v>0</v>
      </c>
      <c r="CV5318">
        <v>2</v>
      </c>
      <c r="CW5318">
        <v>0</v>
      </c>
      <c r="CX5318">
        <v>1</v>
      </c>
      <c r="CY5318">
        <v>7</v>
      </c>
      <c r="CZ5318" t="s">
        <v>133</v>
      </c>
      <c r="DA5318">
        <v>275</v>
      </c>
      <c r="DB5318">
        <v>0</v>
      </c>
      <c r="DC5318" t="s">
        <v>134</v>
      </c>
      <c r="DD5318" t="s">
        <v>135</v>
      </c>
      <c r="DG5318">
        <v>3323804</v>
      </c>
      <c r="DI5318">
        <v>1</v>
      </c>
      <c r="DJ5318">
        <v>0</v>
      </c>
      <c r="DK5318">
        <v>0</v>
      </c>
      <c r="DL5318">
        <v>0</v>
      </c>
      <c r="DM5318">
        <v>0</v>
      </c>
      <c r="DN5318">
        <v>0</v>
      </c>
      <c r="DO5318">
        <v>0</v>
      </c>
      <c r="DP5318">
        <v>0</v>
      </c>
      <c r="DQ5318">
        <v>0</v>
      </c>
      <c r="DR5318">
        <v>0</v>
      </c>
      <c r="DS5318">
        <v>0</v>
      </c>
    </row>
    <row r="5319" spans="1:123" x14ac:dyDescent="0.3">
      <c r="A5319" t="str">
        <f>"05/01/2025 15:19:19.060"</f>
        <v>05/01/2025 15:19:19.060</v>
      </c>
      <c r="C5319" t="str">
        <f t="shared" si="2104"/>
        <v>FFDFD3C0</v>
      </c>
      <c r="D5319" t="s">
        <v>140</v>
      </c>
      <c r="E5319" t="str">
        <f>"13"</f>
        <v>13</v>
      </c>
      <c r="F5319">
        <v>1019</v>
      </c>
      <c r="G5319" t="s">
        <v>141</v>
      </c>
      <c r="J5319" t="s">
        <v>142</v>
      </c>
      <c r="K5319">
        <v>0</v>
      </c>
      <c r="L5319">
        <v>3</v>
      </c>
      <c r="M5319">
        <v>0</v>
      </c>
      <c r="N5319">
        <v>2</v>
      </c>
      <c r="O5319">
        <v>0</v>
      </c>
      <c r="P5319">
        <v>1</v>
      </c>
      <c r="Q5319">
        <v>0</v>
      </c>
      <c r="R5319" t="s">
        <v>127</v>
      </c>
      <c r="S5319" t="str">
        <f t="shared" si="2108"/>
        <v>15:19:18.000</v>
      </c>
      <c r="T5319" t="str">
        <f t="shared" si="2108"/>
        <v>15:19:18.000</v>
      </c>
      <c r="U5319" t="str">
        <f t="shared" si="2105"/>
        <v>A68FCB</v>
      </c>
      <c r="V5319">
        <v>0</v>
      </c>
      <c r="W5319">
        <v>0</v>
      </c>
      <c r="X5319">
        <v>2</v>
      </c>
      <c r="Y5319">
        <v>0</v>
      </c>
      <c r="AA5319">
        <v>1</v>
      </c>
      <c r="AB5319">
        <v>8</v>
      </c>
      <c r="AC5319">
        <v>3</v>
      </c>
      <c r="AD5319">
        <v>0</v>
      </c>
      <c r="AE5319">
        <v>9</v>
      </c>
      <c r="AF5319" t="s">
        <v>138</v>
      </c>
      <c r="AG5319">
        <v>0</v>
      </c>
      <c r="AH5319">
        <v>3</v>
      </c>
      <c r="AI5319">
        <v>1</v>
      </c>
      <c r="AJ5319">
        <v>0</v>
      </c>
      <c r="AK5319" t="s">
        <v>1529</v>
      </c>
      <c r="AL5319">
        <v>39.226384000000003</v>
      </c>
      <c r="AM5319" t="s">
        <v>1673</v>
      </c>
      <c r="AN5319">
        <v>-121.027987</v>
      </c>
      <c r="AO5319">
        <v>25</v>
      </c>
      <c r="AP5319">
        <v>3300</v>
      </c>
      <c r="AQ5319" t="s">
        <v>131</v>
      </c>
      <c r="AR5319">
        <v>41</v>
      </c>
      <c r="AS5319">
        <v>-39</v>
      </c>
      <c r="AT5319">
        <v>-704</v>
      </c>
      <c r="BB5319" t="str">
        <f t="shared" si="2106"/>
        <v>1200</v>
      </c>
      <c r="BC5319">
        <v>1</v>
      </c>
      <c r="BD5319" t="str">
        <f t="shared" si="2107"/>
        <v xml:space="preserve">N52156  </v>
      </c>
      <c r="BE5319">
        <v>1</v>
      </c>
      <c r="BG5319">
        <v>0</v>
      </c>
      <c r="BH5319">
        <v>0</v>
      </c>
      <c r="BI5319">
        <v>0</v>
      </c>
      <c r="BJ5319">
        <v>3275</v>
      </c>
      <c r="BK5319">
        <v>-25</v>
      </c>
      <c r="BL5319" t="s">
        <v>188</v>
      </c>
      <c r="BM5319">
        <v>1</v>
      </c>
      <c r="BN5319">
        <v>1</v>
      </c>
      <c r="BO5319">
        <v>0</v>
      </c>
      <c r="BP5319">
        <v>0</v>
      </c>
      <c r="BS5319">
        <v>0</v>
      </c>
      <c r="BT5319">
        <v>0</v>
      </c>
      <c r="BU5319">
        <v>0</v>
      </c>
      <c r="CE5319" t="str">
        <f t="shared" si="2109"/>
        <v>15:19:18.823</v>
      </c>
      <c r="CF5319">
        <v>822754880</v>
      </c>
      <c r="CS5319">
        <v>0</v>
      </c>
      <c r="CT5319">
        <v>2</v>
      </c>
      <c r="CU5319">
        <v>0</v>
      </c>
      <c r="CV5319">
        <v>2</v>
      </c>
      <c r="CW5319">
        <v>0</v>
      </c>
      <c r="CX5319">
        <v>1</v>
      </c>
      <c r="CY5319">
        <v>7</v>
      </c>
      <c r="CZ5319" t="s">
        <v>133</v>
      </c>
      <c r="DA5319">
        <v>275</v>
      </c>
      <c r="DB5319">
        <v>0</v>
      </c>
      <c r="DC5319" t="s">
        <v>134</v>
      </c>
      <c r="DD5319" t="s">
        <v>135</v>
      </c>
      <c r="DG5319">
        <v>3323804</v>
      </c>
      <c r="DI5319">
        <v>1</v>
      </c>
      <c r="DJ5319">
        <v>0</v>
      </c>
      <c r="DK5319">
        <v>1</v>
      </c>
      <c r="DL5319">
        <v>0</v>
      </c>
      <c r="DM5319">
        <v>0</v>
      </c>
      <c r="DN5319">
        <v>0</v>
      </c>
      <c r="DO5319">
        <v>0</v>
      </c>
      <c r="DP5319">
        <v>0</v>
      </c>
      <c r="DQ5319">
        <v>0</v>
      </c>
      <c r="DR5319">
        <v>0</v>
      </c>
      <c r="DS5319">
        <v>0</v>
      </c>
    </row>
    <row r="5320" spans="1:123" x14ac:dyDescent="0.3">
      <c r="A5320" t="str">
        <f>"05/01/2025 15:19:19.062"</f>
        <v>05/01/2025 15:19:19.062</v>
      </c>
      <c r="C5320" t="str">
        <f t="shared" si="2104"/>
        <v>FFDFD3C0</v>
      </c>
      <c r="D5320" t="s">
        <v>124</v>
      </c>
      <c r="E5320" t="str">
        <f>"06"</f>
        <v>06</v>
      </c>
      <c r="F5320">
        <v>2006</v>
      </c>
      <c r="G5320" t="s">
        <v>125</v>
      </c>
      <c r="J5320" t="s">
        <v>126</v>
      </c>
      <c r="K5320">
        <v>0</v>
      </c>
      <c r="L5320">
        <v>3</v>
      </c>
      <c r="M5320">
        <v>0</v>
      </c>
      <c r="N5320">
        <v>2</v>
      </c>
      <c r="O5320">
        <v>0</v>
      </c>
      <c r="P5320">
        <v>1</v>
      </c>
      <c r="Q5320">
        <v>0</v>
      </c>
      <c r="R5320" t="s">
        <v>127</v>
      </c>
      <c r="S5320" t="str">
        <f t="shared" si="2108"/>
        <v>15:19:18.000</v>
      </c>
      <c r="T5320" t="str">
        <f t="shared" si="2108"/>
        <v>15:19:18.000</v>
      </c>
      <c r="U5320" t="str">
        <f t="shared" si="2105"/>
        <v>A68FCB</v>
      </c>
      <c r="V5320">
        <v>0</v>
      </c>
      <c r="W5320">
        <v>0</v>
      </c>
      <c r="X5320">
        <v>2</v>
      </c>
      <c r="Y5320">
        <v>0</v>
      </c>
      <c r="AA5320">
        <v>1</v>
      </c>
      <c r="AB5320">
        <v>8</v>
      </c>
      <c r="AC5320">
        <v>3</v>
      </c>
      <c r="AD5320">
        <v>0</v>
      </c>
      <c r="AE5320">
        <v>9</v>
      </c>
      <c r="AF5320" t="s">
        <v>138</v>
      </c>
      <c r="AG5320">
        <v>0</v>
      </c>
      <c r="AH5320">
        <v>3</v>
      </c>
      <c r="AI5320">
        <v>1</v>
      </c>
      <c r="AJ5320">
        <v>0</v>
      </c>
      <c r="AK5320" t="s">
        <v>1529</v>
      </c>
      <c r="AL5320">
        <v>39.226384000000003</v>
      </c>
      <c r="AM5320" t="s">
        <v>1673</v>
      </c>
      <c r="AN5320">
        <v>-121.027987</v>
      </c>
      <c r="AO5320">
        <v>25</v>
      </c>
      <c r="AP5320">
        <v>3300</v>
      </c>
      <c r="AQ5320" t="s">
        <v>131</v>
      </c>
      <c r="AR5320">
        <v>41</v>
      </c>
      <c r="AS5320">
        <v>-39</v>
      </c>
      <c r="AT5320">
        <v>-704</v>
      </c>
      <c r="BB5320" t="str">
        <f t="shared" si="2106"/>
        <v>1200</v>
      </c>
      <c r="BC5320">
        <v>1</v>
      </c>
      <c r="BD5320" t="str">
        <f t="shared" si="2107"/>
        <v xml:space="preserve">N52156  </v>
      </c>
      <c r="BE5320">
        <v>1</v>
      </c>
      <c r="BG5320">
        <v>0</v>
      </c>
      <c r="BH5320">
        <v>0</v>
      </c>
      <c r="BI5320">
        <v>0</v>
      </c>
      <c r="BJ5320">
        <v>3275</v>
      </c>
      <c r="BK5320">
        <v>-25</v>
      </c>
      <c r="BL5320" t="s">
        <v>188</v>
      </c>
      <c r="BM5320">
        <v>1</v>
      </c>
      <c r="BN5320">
        <v>1</v>
      </c>
      <c r="BO5320">
        <v>0</v>
      </c>
      <c r="BP5320">
        <v>0</v>
      </c>
      <c r="BS5320">
        <v>0</v>
      </c>
      <c r="BT5320">
        <v>0</v>
      </c>
      <c r="BU5320">
        <v>0</v>
      </c>
      <c r="CE5320" t="str">
        <f t="shared" si="2109"/>
        <v>15:19:18.823</v>
      </c>
      <c r="CF5320">
        <v>822754880</v>
      </c>
      <c r="CS5320">
        <v>0</v>
      </c>
      <c r="CT5320">
        <v>2</v>
      </c>
      <c r="CU5320">
        <v>0</v>
      </c>
      <c r="CV5320">
        <v>2</v>
      </c>
      <c r="CW5320">
        <v>0</v>
      </c>
      <c r="CX5320">
        <v>1</v>
      </c>
      <c r="CY5320">
        <v>7</v>
      </c>
      <c r="CZ5320" t="s">
        <v>133</v>
      </c>
      <c r="DA5320">
        <v>275</v>
      </c>
      <c r="DB5320">
        <v>0</v>
      </c>
      <c r="DC5320" t="s">
        <v>134</v>
      </c>
      <c r="DD5320" t="s">
        <v>135</v>
      </c>
      <c r="DG5320">
        <v>3323804</v>
      </c>
      <c r="DI5320">
        <v>1</v>
      </c>
      <c r="DJ5320">
        <v>0</v>
      </c>
      <c r="DK5320">
        <v>1</v>
      </c>
      <c r="DL5320">
        <v>0</v>
      </c>
      <c r="DM5320">
        <v>0</v>
      </c>
      <c r="DN5320">
        <v>0</v>
      </c>
      <c r="DO5320">
        <v>0</v>
      </c>
      <c r="DP5320">
        <v>0</v>
      </c>
      <c r="DQ5320">
        <v>0</v>
      </c>
      <c r="DR5320">
        <v>0</v>
      </c>
      <c r="DS5320">
        <v>0</v>
      </c>
    </row>
    <row r="5321" spans="1:123" x14ac:dyDescent="0.3">
      <c r="A5321" t="str">
        <f>"05/01/2025 15:19:19.075"</f>
        <v>05/01/2025 15:19:19.075</v>
      </c>
      <c r="C5321" t="str">
        <f t="shared" si="2104"/>
        <v>FFDFD3C0</v>
      </c>
      <c r="D5321" t="s">
        <v>143</v>
      </c>
      <c r="E5321" t="str">
        <f>"05"</f>
        <v>05</v>
      </c>
      <c r="H5321">
        <v>172</v>
      </c>
      <c r="I5321" t="s">
        <v>141</v>
      </c>
      <c r="J5321" t="s">
        <v>144</v>
      </c>
      <c r="K5321">
        <v>0</v>
      </c>
      <c r="L5321">
        <v>3</v>
      </c>
      <c r="M5321">
        <v>0</v>
      </c>
      <c r="N5321">
        <v>2</v>
      </c>
      <c r="O5321">
        <v>0</v>
      </c>
      <c r="P5321">
        <v>1</v>
      </c>
      <c r="Q5321">
        <v>0</v>
      </c>
      <c r="R5321" t="s">
        <v>127</v>
      </c>
      <c r="S5321" t="str">
        <f t="shared" si="2108"/>
        <v>15:19:18.000</v>
      </c>
      <c r="T5321" t="str">
        <f t="shared" si="2108"/>
        <v>15:19:18.000</v>
      </c>
      <c r="U5321" t="str">
        <f t="shared" si="2105"/>
        <v>A68FCB</v>
      </c>
      <c r="V5321">
        <v>0</v>
      </c>
      <c r="W5321">
        <v>0</v>
      </c>
      <c r="X5321">
        <v>2</v>
      </c>
      <c r="Y5321">
        <v>0</v>
      </c>
      <c r="AA5321">
        <v>1</v>
      </c>
      <c r="AB5321">
        <v>8</v>
      </c>
      <c r="AC5321">
        <v>3</v>
      </c>
      <c r="AD5321">
        <v>0</v>
      </c>
      <c r="AE5321">
        <v>9</v>
      </c>
      <c r="AF5321" t="s">
        <v>138</v>
      </c>
      <c r="AG5321">
        <v>0</v>
      </c>
      <c r="AH5321">
        <v>3</v>
      </c>
      <c r="AI5321">
        <v>1</v>
      </c>
      <c r="AJ5321">
        <v>0</v>
      </c>
      <c r="AK5321" t="s">
        <v>1529</v>
      </c>
      <c r="AL5321">
        <v>39.226384000000003</v>
      </c>
      <c r="AM5321" t="s">
        <v>1673</v>
      </c>
      <c r="AN5321">
        <v>-121.027987</v>
      </c>
      <c r="AO5321">
        <v>25</v>
      </c>
      <c r="AP5321">
        <v>3300</v>
      </c>
      <c r="AQ5321" t="s">
        <v>131</v>
      </c>
      <c r="AR5321">
        <v>41</v>
      </c>
      <c r="AS5321">
        <v>-39</v>
      </c>
      <c r="AT5321">
        <v>-704</v>
      </c>
      <c r="BB5321" t="str">
        <f t="shared" si="2106"/>
        <v>1200</v>
      </c>
      <c r="BC5321">
        <v>1</v>
      </c>
      <c r="BD5321" t="str">
        <f t="shared" si="2107"/>
        <v xml:space="preserve">N52156  </v>
      </c>
      <c r="BE5321">
        <v>1</v>
      </c>
      <c r="BG5321">
        <v>0</v>
      </c>
      <c r="BH5321">
        <v>0</v>
      </c>
      <c r="BI5321">
        <v>0</v>
      </c>
      <c r="BJ5321">
        <v>3275</v>
      </c>
      <c r="BK5321">
        <v>-25</v>
      </c>
      <c r="BL5321" t="s">
        <v>188</v>
      </c>
      <c r="BM5321">
        <v>1</v>
      </c>
      <c r="BN5321">
        <v>1</v>
      </c>
      <c r="BO5321">
        <v>0</v>
      </c>
      <c r="BP5321">
        <v>0</v>
      </c>
      <c r="BS5321">
        <v>0</v>
      </c>
      <c r="BT5321">
        <v>0</v>
      </c>
      <c r="BU5321">
        <v>0</v>
      </c>
      <c r="CE5321" t="str">
        <f t="shared" si="2109"/>
        <v>15:19:18.823</v>
      </c>
      <c r="CF5321">
        <v>822754880</v>
      </c>
      <c r="CS5321">
        <v>0</v>
      </c>
      <c r="CT5321">
        <v>2</v>
      </c>
      <c r="CU5321">
        <v>0</v>
      </c>
      <c r="CV5321">
        <v>2</v>
      </c>
      <c r="CW5321">
        <v>0</v>
      </c>
      <c r="CX5321">
        <v>1</v>
      </c>
      <c r="CY5321">
        <v>7</v>
      </c>
      <c r="CZ5321" t="s">
        <v>133</v>
      </c>
      <c r="DA5321">
        <v>275</v>
      </c>
      <c r="DB5321">
        <v>0</v>
      </c>
      <c r="DC5321" t="s">
        <v>134</v>
      </c>
      <c r="DD5321" t="s">
        <v>135</v>
      </c>
      <c r="DG5321">
        <v>3323804</v>
      </c>
      <c r="DI5321">
        <v>1</v>
      </c>
      <c r="DJ5321">
        <v>0</v>
      </c>
      <c r="DK5321">
        <v>1</v>
      </c>
      <c r="DL5321">
        <v>0</v>
      </c>
      <c r="DM5321">
        <v>0</v>
      </c>
      <c r="DN5321">
        <v>0</v>
      </c>
      <c r="DO5321">
        <v>0</v>
      </c>
      <c r="DP5321">
        <v>0</v>
      </c>
      <c r="DQ5321">
        <v>0</v>
      </c>
      <c r="DR5321">
        <v>0</v>
      </c>
      <c r="DS5321">
        <v>0</v>
      </c>
    </row>
    <row r="5322" spans="1:123" x14ac:dyDescent="0.3">
      <c r="A5322" t="str">
        <f>"05/01/2025 15:19:19.086"</f>
        <v>05/01/2025 15:19:19.086</v>
      </c>
      <c r="C5322" t="str">
        <f t="shared" si="2104"/>
        <v>FFDFD3C0</v>
      </c>
      <c r="D5322" t="s">
        <v>145</v>
      </c>
      <c r="E5322" t="str">
        <f>"05"</f>
        <v>05</v>
      </c>
      <c r="H5322">
        <v>47</v>
      </c>
      <c r="I5322" t="s">
        <v>146</v>
      </c>
      <c r="J5322" t="s">
        <v>138</v>
      </c>
      <c r="K5322">
        <v>0</v>
      </c>
      <c r="L5322">
        <v>3</v>
      </c>
      <c r="M5322">
        <v>0</v>
      </c>
      <c r="N5322">
        <v>2</v>
      </c>
      <c r="O5322">
        <v>0</v>
      </c>
      <c r="P5322">
        <v>1</v>
      </c>
      <c r="Q5322">
        <v>0</v>
      </c>
      <c r="R5322" t="s">
        <v>127</v>
      </c>
      <c r="S5322" t="str">
        <f t="shared" si="2108"/>
        <v>15:19:18.000</v>
      </c>
      <c r="T5322" t="str">
        <f t="shared" si="2108"/>
        <v>15:19:18.000</v>
      </c>
      <c r="U5322" t="str">
        <f t="shared" si="2105"/>
        <v>A68FCB</v>
      </c>
      <c r="V5322">
        <v>0</v>
      </c>
      <c r="W5322">
        <v>0</v>
      </c>
      <c r="X5322">
        <v>2</v>
      </c>
      <c r="Y5322">
        <v>0</v>
      </c>
      <c r="AA5322">
        <v>1</v>
      </c>
      <c r="AB5322">
        <v>8</v>
      </c>
      <c r="AC5322">
        <v>3</v>
      </c>
      <c r="AD5322">
        <v>0</v>
      </c>
      <c r="AE5322">
        <v>9</v>
      </c>
      <c r="AF5322" t="s">
        <v>138</v>
      </c>
      <c r="AG5322">
        <v>0</v>
      </c>
      <c r="AH5322">
        <v>3</v>
      </c>
      <c r="AI5322">
        <v>1</v>
      </c>
      <c r="AJ5322">
        <v>0</v>
      </c>
      <c r="AK5322" t="s">
        <v>1529</v>
      </c>
      <c r="AL5322">
        <v>39.226384000000003</v>
      </c>
      <c r="AM5322" t="s">
        <v>1673</v>
      </c>
      <c r="AN5322">
        <v>-121.027987</v>
      </c>
      <c r="AO5322">
        <v>25</v>
      </c>
      <c r="AP5322">
        <v>3300</v>
      </c>
      <c r="AQ5322" t="s">
        <v>131</v>
      </c>
      <c r="AR5322">
        <v>41</v>
      </c>
      <c r="AS5322">
        <v>-39</v>
      </c>
      <c r="AT5322">
        <v>-704</v>
      </c>
      <c r="BB5322" t="str">
        <f t="shared" si="2106"/>
        <v>1200</v>
      </c>
      <c r="BC5322">
        <v>1</v>
      </c>
      <c r="BD5322" t="str">
        <f t="shared" si="2107"/>
        <v xml:space="preserve">N52156  </v>
      </c>
      <c r="BE5322">
        <v>1</v>
      </c>
      <c r="BG5322">
        <v>0</v>
      </c>
      <c r="BH5322">
        <v>0</v>
      </c>
      <c r="BI5322">
        <v>0</v>
      </c>
      <c r="BJ5322">
        <v>3275</v>
      </c>
      <c r="BK5322">
        <v>-25</v>
      </c>
      <c r="BL5322" t="s">
        <v>188</v>
      </c>
      <c r="BM5322">
        <v>1</v>
      </c>
      <c r="BN5322">
        <v>1</v>
      </c>
      <c r="BO5322">
        <v>0</v>
      </c>
      <c r="BP5322">
        <v>0</v>
      </c>
      <c r="BS5322">
        <v>0</v>
      </c>
      <c r="BT5322">
        <v>0</v>
      </c>
      <c r="BU5322">
        <v>0</v>
      </c>
      <c r="CE5322" t="str">
        <f t="shared" si="2109"/>
        <v>15:19:18.823</v>
      </c>
      <c r="CF5322">
        <v>822754880</v>
      </c>
      <c r="CS5322">
        <v>0</v>
      </c>
      <c r="CT5322">
        <v>2</v>
      </c>
      <c r="CU5322">
        <v>0</v>
      </c>
      <c r="CV5322">
        <v>2</v>
      </c>
      <c r="CW5322">
        <v>0</v>
      </c>
      <c r="CX5322">
        <v>1</v>
      </c>
      <c r="CY5322">
        <v>7</v>
      </c>
      <c r="CZ5322" t="s">
        <v>133</v>
      </c>
      <c r="DA5322">
        <v>275</v>
      </c>
      <c r="DB5322">
        <v>0</v>
      </c>
      <c r="DC5322" t="s">
        <v>134</v>
      </c>
      <c r="DD5322" t="s">
        <v>135</v>
      </c>
      <c r="DG5322">
        <v>3323804</v>
      </c>
      <c r="DI5322">
        <v>1</v>
      </c>
      <c r="DJ5322">
        <v>0</v>
      </c>
      <c r="DK5322">
        <v>1</v>
      </c>
      <c r="DL5322">
        <v>0</v>
      </c>
      <c r="DM5322">
        <v>0</v>
      </c>
      <c r="DN5322">
        <v>0</v>
      </c>
      <c r="DO5322">
        <v>0</v>
      </c>
      <c r="DP5322">
        <v>0</v>
      </c>
      <c r="DQ5322">
        <v>0</v>
      </c>
      <c r="DR5322">
        <v>0</v>
      </c>
      <c r="DS5322">
        <v>0</v>
      </c>
    </row>
    <row r="5323" spans="1:123" x14ac:dyDescent="0.3">
      <c r="A5323" t="str">
        <f>"05/01/2025 15:19:19.086"</f>
        <v>05/01/2025 15:19:19.086</v>
      </c>
      <c r="C5323" t="str">
        <f t="shared" si="2104"/>
        <v>FFDFD3C0</v>
      </c>
      <c r="D5323" t="s">
        <v>145</v>
      </c>
      <c r="E5323" t="str">
        <f>"09"</f>
        <v>09</v>
      </c>
      <c r="H5323">
        <v>51</v>
      </c>
      <c r="I5323" t="s">
        <v>147</v>
      </c>
      <c r="J5323" t="s">
        <v>138</v>
      </c>
      <c r="K5323">
        <v>0</v>
      </c>
      <c r="L5323">
        <v>3</v>
      </c>
      <c r="M5323">
        <v>0</v>
      </c>
      <c r="N5323">
        <v>2</v>
      </c>
      <c r="O5323">
        <v>0</v>
      </c>
      <c r="P5323">
        <v>1</v>
      </c>
      <c r="Q5323">
        <v>0</v>
      </c>
      <c r="R5323" t="s">
        <v>127</v>
      </c>
      <c r="S5323" t="str">
        <f t="shared" si="2108"/>
        <v>15:19:18.000</v>
      </c>
      <c r="T5323" t="str">
        <f t="shared" si="2108"/>
        <v>15:19:18.000</v>
      </c>
      <c r="U5323" t="str">
        <f t="shared" si="2105"/>
        <v>A68FCB</v>
      </c>
      <c r="V5323">
        <v>0</v>
      </c>
      <c r="W5323">
        <v>0</v>
      </c>
      <c r="X5323">
        <v>2</v>
      </c>
      <c r="Y5323">
        <v>0</v>
      </c>
      <c r="AA5323">
        <v>1</v>
      </c>
      <c r="AB5323">
        <v>8</v>
      </c>
      <c r="AC5323">
        <v>3</v>
      </c>
      <c r="AD5323">
        <v>0</v>
      </c>
      <c r="AE5323">
        <v>9</v>
      </c>
      <c r="AF5323" t="s">
        <v>138</v>
      </c>
      <c r="AG5323">
        <v>0</v>
      </c>
      <c r="AH5323">
        <v>3</v>
      </c>
      <c r="AI5323">
        <v>1</v>
      </c>
      <c r="AJ5323">
        <v>0</v>
      </c>
      <c r="AK5323" t="s">
        <v>1529</v>
      </c>
      <c r="AL5323">
        <v>39.226384000000003</v>
      </c>
      <c r="AM5323" t="s">
        <v>1673</v>
      </c>
      <c r="AN5323">
        <v>-121.027987</v>
      </c>
      <c r="AO5323">
        <v>25</v>
      </c>
      <c r="AP5323">
        <v>3300</v>
      </c>
      <c r="AQ5323" t="s">
        <v>131</v>
      </c>
      <c r="AR5323">
        <v>41</v>
      </c>
      <c r="AS5323">
        <v>-39</v>
      </c>
      <c r="AT5323">
        <v>-704</v>
      </c>
      <c r="BB5323" t="str">
        <f t="shared" si="2106"/>
        <v>1200</v>
      </c>
      <c r="BC5323">
        <v>1</v>
      </c>
      <c r="BD5323" t="str">
        <f t="shared" si="2107"/>
        <v xml:space="preserve">N52156  </v>
      </c>
      <c r="BE5323">
        <v>1</v>
      </c>
      <c r="BG5323">
        <v>0</v>
      </c>
      <c r="BH5323">
        <v>0</v>
      </c>
      <c r="BI5323">
        <v>0</v>
      </c>
      <c r="BJ5323">
        <v>3275</v>
      </c>
      <c r="BK5323">
        <v>-25</v>
      </c>
      <c r="BL5323" t="s">
        <v>188</v>
      </c>
      <c r="BM5323">
        <v>1</v>
      </c>
      <c r="BN5323">
        <v>1</v>
      </c>
      <c r="BO5323">
        <v>0</v>
      </c>
      <c r="BP5323">
        <v>0</v>
      </c>
      <c r="BS5323">
        <v>0</v>
      </c>
      <c r="BT5323">
        <v>0</v>
      </c>
      <c r="BU5323">
        <v>0</v>
      </c>
      <c r="CE5323" t="str">
        <f t="shared" si="2109"/>
        <v>15:19:18.823</v>
      </c>
      <c r="CF5323">
        <v>822754880</v>
      </c>
      <c r="CS5323">
        <v>0</v>
      </c>
      <c r="CT5323">
        <v>2</v>
      </c>
      <c r="CU5323">
        <v>0</v>
      </c>
      <c r="CV5323">
        <v>2</v>
      </c>
      <c r="CW5323">
        <v>0</v>
      </c>
      <c r="CX5323">
        <v>1</v>
      </c>
      <c r="CY5323">
        <v>7</v>
      </c>
      <c r="CZ5323" t="s">
        <v>133</v>
      </c>
      <c r="DA5323">
        <v>275</v>
      </c>
      <c r="DB5323">
        <v>0</v>
      </c>
      <c r="DC5323" t="s">
        <v>134</v>
      </c>
      <c r="DD5323" t="s">
        <v>135</v>
      </c>
      <c r="DG5323">
        <v>3323804</v>
      </c>
      <c r="DI5323">
        <v>1</v>
      </c>
      <c r="DJ5323">
        <v>0</v>
      </c>
      <c r="DK5323">
        <v>1</v>
      </c>
      <c r="DL5323">
        <v>0</v>
      </c>
      <c r="DM5323">
        <v>0</v>
      </c>
      <c r="DN5323">
        <v>0</v>
      </c>
      <c r="DO5323">
        <v>0</v>
      </c>
      <c r="DP5323">
        <v>0</v>
      </c>
      <c r="DQ5323">
        <v>0</v>
      </c>
      <c r="DR5323">
        <v>0</v>
      </c>
      <c r="DS5323">
        <v>0</v>
      </c>
    </row>
    <row r="5324" spans="1:123" x14ac:dyDescent="0.3">
      <c r="A5324" t="str">
        <f>"05/01/2025 15:19:19.826"</f>
        <v>05/01/2025 15:19:19.826</v>
      </c>
      <c r="C5324" t="str">
        <f t="shared" si="2104"/>
        <v>FFDFD3C0</v>
      </c>
      <c r="D5324" t="s">
        <v>143</v>
      </c>
      <c r="E5324" t="str">
        <f>"05"</f>
        <v>05</v>
      </c>
      <c r="H5324">
        <v>172</v>
      </c>
      <c r="I5324" t="s">
        <v>141</v>
      </c>
      <c r="J5324" t="s">
        <v>144</v>
      </c>
      <c r="K5324">
        <v>0</v>
      </c>
      <c r="L5324">
        <v>3</v>
      </c>
      <c r="M5324">
        <v>0</v>
      </c>
      <c r="N5324">
        <v>2</v>
      </c>
      <c r="O5324">
        <v>0</v>
      </c>
      <c r="P5324">
        <v>1</v>
      </c>
      <c r="Q5324">
        <v>0</v>
      </c>
      <c r="R5324" t="s">
        <v>127</v>
      </c>
      <c r="S5324" t="str">
        <f t="shared" ref="S5324:T5329" si="2110">"15:19:19.000"</f>
        <v>15:19:19.000</v>
      </c>
      <c r="T5324" t="str">
        <f t="shared" si="2110"/>
        <v>15:19:19.000</v>
      </c>
      <c r="U5324" t="str">
        <f t="shared" si="2105"/>
        <v>A68FCB</v>
      </c>
      <c r="V5324">
        <v>0</v>
      </c>
      <c r="W5324">
        <v>0</v>
      </c>
      <c r="X5324">
        <v>2</v>
      </c>
      <c r="Y5324">
        <v>0</v>
      </c>
      <c r="AA5324">
        <v>1</v>
      </c>
      <c r="AB5324">
        <v>8</v>
      </c>
      <c r="AC5324">
        <v>3</v>
      </c>
      <c r="AD5324">
        <v>0</v>
      </c>
      <c r="AE5324">
        <v>9</v>
      </c>
      <c r="AF5324" t="s">
        <v>138</v>
      </c>
      <c r="AG5324">
        <v>0</v>
      </c>
      <c r="AH5324">
        <v>3</v>
      </c>
      <c r="AI5324">
        <v>1</v>
      </c>
      <c r="AJ5324">
        <v>0</v>
      </c>
      <c r="AK5324" t="s">
        <v>1674</v>
      </c>
      <c r="AL5324">
        <v>39.226191</v>
      </c>
      <c r="AM5324" t="s">
        <v>1675</v>
      </c>
      <c r="AN5324">
        <v>-121.02773000000001</v>
      </c>
      <c r="AO5324">
        <v>25</v>
      </c>
      <c r="AP5324">
        <v>3200</v>
      </c>
      <c r="AQ5324" t="s">
        <v>131</v>
      </c>
      <c r="AR5324">
        <v>41</v>
      </c>
      <c r="AS5324">
        <v>-37</v>
      </c>
      <c r="AT5324">
        <v>-704</v>
      </c>
      <c r="BB5324" t="str">
        <f t="shared" si="2106"/>
        <v>1200</v>
      </c>
      <c r="BC5324">
        <v>1</v>
      </c>
      <c r="BD5324" t="str">
        <f t="shared" si="2107"/>
        <v xml:space="preserve">N52156  </v>
      </c>
      <c r="BE5324">
        <v>1</v>
      </c>
      <c r="BG5324">
        <v>0</v>
      </c>
      <c r="BH5324">
        <v>0</v>
      </c>
      <c r="BI5324">
        <v>0</v>
      </c>
      <c r="BJ5324">
        <v>3200</v>
      </c>
      <c r="BK5324">
        <v>0</v>
      </c>
      <c r="BL5324" t="s">
        <v>188</v>
      </c>
      <c r="BM5324">
        <v>1</v>
      </c>
      <c r="BN5324">
        <v>1</v>
      </c>
      <c r="BO5324">
        <v>0</v>
      </c>
      <c r="BP5324">
        <v>0</v>
      </c>
      <c r="BS5324">
        <v>0</v>
      </c>
      <c r="BT5324">
        <v>0</v>
      </c>
      <c r="BU5324">
        <v>0</v>
      </c>
      <c r="CE5324" t="str">
        <f t="shared" ref="CE5324:CE5329" si="2111">"15:19:19.620"</f>
        <v>15:19:19.620</v>
      </c>
      <c r="CF5324">
        <v>619591598</v>
      </c>
      <c r="CS5324">
        <v>0</v>
      </c>
      <c r="CT5324">
        <v>2</v>
      </c>
      <c r="CU5324">
        <v>0</v>
      </c>
      <c r="CV5324">
        <v>2</v>
      </c>
      <c r="CW5324">
        <v>0</v>
      </c>
      <c r="CX5324">
        <v>2</v>
      </c>
      <c r="CY5324">
        <v>7</v>
      </c>
      <c r="CZ5324" t="s">
        <v>133</v>
      </c>
      <c r="DA5324">
        <v>276</v>
      </c>
      <c r="DB5324">
        <v>0</v>
      </c>
      <c r="DC5324" t="s">
        <v>402</v>
      </c>
      <c r="DD5324" t="s">
        <v>403</v>
      </c>
      <c r="DG5324">
        <v>1629208</v>
      </c>
      <c r="DI5324">
        <v>1</v>
      </c>
      <c r="DJ5324">
        <v>0</v>
      </c>
      <c r="DK5324">
        <v>0</v>
      </c>
      <c r="DL5324">
        <v>0</v>
      </c>
      <c r="DM5324">
        <v>0</v>
      </c>
      <c r="DN5324">
        <v>0</v>
      </c>
      <c r="DO5324">
        <v>0</v>
      </c>
      <c r="DP5324">
        <v>0</v>
      </c>
      <c r="DQ5324">
        <v>0</v>
      </c>
      <c r="DR5324">
        <v>0</v>
      </c>
      <c r="DS5324">
        <v>0</v>
      </c>
    </row>
    <row r="5325" spans="1:123" x14ac:dyDescent="0.3">
      <c r="A5325" t="str">
        <f>"05/01/2025 15:19:19.837"</f>
        <v>05/01/2025 15:19:19.837</v>
      </c>
      <c r="C5325" t="str">
        <f t="shared" si="2104"/>
        <v>FFDFD3C0</v>
      </c>
      <c r="D5325" t="s">
        <v>145</v>
      </c>
      <c r="E5325" t="str">
        <f>"09"</f>
        <v>09</v>
      </c>
      <c r="H5325">
        <v>51</v>
      </c>
      <c r="I5325" t="s">
        <v>147</v>
      </c>
      <c r="J5325" t="s">
        <v>138</v>
      </c>
      <c r="K5325">
        <v>0</v>
      </c>
      <c r="L5325">
        <v>3</v>
      </c>
      <c r="M5325">
        <v>0</v>
      </c>
      <c r="N5325">
        <v>2</v>
      </c>
      <c r="O5325">
        <v>0</v>
      </c>
      <c r="P5325">
        <v>1</v>
      </c>
      <c r="Q5325">
        <v>0</v>
      </c>
      <c r="R5325" t="s">
        <v>127</v>
      </c>
      <c r="S5325" t="str">
        <f t="shared" si="2110"/>
        <v>15:19:19.000</v>
      </c>
      <c r="T5325" t="str">
        <f t="shared" si="2110"/>
        <v>15:19:19.000</v>
      </c>
      <c r="U5325" t="str">
        <f t="shared" si="2105"/>
        <v>A68FCB</v>
      </c>
      <c r="V5325">
        <v>0</v>
      </c>
      <c r="W5325">
        <v>0</v>
      </c>
      <c r="X5325">
        <v>2</v>
      </c>
      <c r="Y5325">
        <v>0</v>
      </c>
      <c r="AA5325">
        <v>1</v>
      </c>
      <c r="AB5325">
        <v>8</v>
      </c>
      <c r="AC5325">
        <v>3</v>
      </c>
      <c r="AD5325">
        <v>0</v>
      </c>
      <c r="AE5325">
        <v>9</v>
      </c>
      <c r="AF5325" t="s">
        <v>138</v>
      </c>
      <c r="AG5325">
        <v>0</v>
      </c>
      <c r="AH5325">
        <v>3</v>
      </c>
      <c r="AI5325">
        <v>1</v>
      </c>
      <c r="AJ5325">
        <v>0</v>
      </c>
      <c r="AK5325" t="s">
        <v>1674</v>
      </c>
      <c r="AL5325">
        <v>39.226191</v>
      </c>
      <c r="AM5325" t="s">
        <v>1675</v>
      </c>
      <c r="AN5325">
        <v>-121.02773000000001</v>
      </c>
      <c r="AO5325">
        <v>25</v>
      </c>
      <c r="AP5325">
        <v>3200</v>
      </c>
      <c r="AQ5325" t="s">
        <v>131</v>
      </c>
      <c r="AR5325">
        <v>41</v>
      </c>
      <c r="AS5325">
        <v>-37</v>
      </c>
      <c r="AT5325">
        <v>-704</v>
      </c>
      <c r="BB5325" t="str">
        <f t="shared" si="2106"/>
        <v>1200</v>
      </c>
      <c r="BC5325">
        <v>1</v>
      </c>
      <c r="BD5325" t="str">
        <f t="shared" si="2107"/>
        <v xml:space="preserve">N52156  </v>
      </c>
      <c r="BE5325">
        <v>1</v>
      </c>
      <c r="BG5325">
        <v>0</v>
      </c>
      <c r="BH5325">
        <v>0</v>
      </c>
      <c r="BI5325">
        <v>0</v>
      </c>
      <c r="BJ5325">
        <v>3200</v>
      </c>
      <c r="BK5325">
        <v>0</v>
      </c>
      <c r="BL5325" t="s">
        <v>188</v>
      </c>
      <c r="BM5325">
        <v>1</v>
      </c>
      <c r="BN5325">
        <v>1</v>
      </c>
      <c r="BO5325">
        <v>0</v>
      </c>
      <c r="BP5325">
        <v>0</v>
      </c>
      <c r="BS5325">
        <v>0</v>
      </c>
      <c r="BT5325">
        <v>0</v>
      </c>
      <c r="BU5325">
        <v>0</v>
      </c>
      <c r="CE5325" t="str">
        <f t="shared" si="2111"/>
        <v>15:19:19.620</v>
      </c>
      <c r="CF5325">
        <v>619591598</v>
      </c>
      <c r="CS5325">
        <v>0</v>
      </c>
      <c r="CT5325">
        <v>2</v>
      </c>
      <c r="CU5325">
        <v>0</v>
      </c>
      <c r="CV5325">
        <v>2</v>
      </c>
      <c r="CW5325">
        <v>0</v>
      </c>
      <c r="CX5325">
        <v>2</v>
      </c>
      <c r="CY5325">
        <v>7</v>
      </c>
      <c r="CZ5325" t="s">
        <v>133</v>
      </c>
      <c r="DA5325">
        <v>276</v>
      </c>
      <c r="DB5325">
        <v>0</v>
      </c>
      <c r="DC5325" t="s">
        <v>402</v>
      </c>
      <c r="DD5325" t="s">
        <v>403</v>
      </c>
      <c r="DG5325">
        <v>1629208</v>
      </c>
      <c r="DI5325">
        <v>1</v>
      </c>
      <c r="DJ5325">
        <v>0</v>
      </c>
      <c r="DK5325">
        <v>1</v>
      </c>
      <c r="DL5325">
        <v>0</v>
      </c>
      <c r="DM5325">
        <v>0</v>
      </c>
      <c r="DN5325">
        <v>0</v>
      </c>
      <c r="DO5325">
        <v>0</v>
      </c>
      <c r="DP5325">
        <v>0</v>
      </c>
      <c r="DQ5325">
        <v>0</v>
      </c>
      <c r="DR5325">
        <v>0</v>
      </c>
      <c r="DS5325">
        <v>0</v>
      </c>
    </row>
    <row r="5326" spans="1:123" x14ac:dyDescent="0.3">
      <c r="A5326" t="str">
        <f>"05/01/2025 15:19:19.838"</f>
        <v>05/01/2025 15:19:19.838</v>
      </c>
      <c r="C5326" t="str">
        <f t="shared" si="2104"/>
        <v>FFDFD3C0</v>
      </c>
      <c r="D5326" t="s">
        <v>145</v>
      </c>
      <c r="E5326" t="str">
        <f>"05"</f>
        <v>05</v>
      </c>
      <c r="H5326">
        <v>47</v>
      </c>
      <c r="I5326" t="s">
        <v>146</v>
      </c>
      <c r="J5326" t="s">
        <v>138</v>
      </c>
      <c r="K5326">
        <v>0</v>
      </c>
      <c r="L5326">
        <v>3</v>
      </c>
      <c r="M5326">
        <v>0</v>
      </c>
      <c r="N5326">
        <v>2</v>
      </c>
      <c r="O5326">
        <v>0</v>
      </c>
      <c r="P5326">
        <v>1</v>
      </c>
      <c r="Q5326">
        <v>0</v>
      </c>
      <c r="R5326" t="s">
        <v>127</v>
      </c>
      <c r="S5326" t="str">
        <f t="shared" si="2110"/>
        <v>15:19:19.000</v>
      </c>
      <c r="T5326" t="str">
        <f t="shared" si="2110"/>
        <v>15:19:19.000</v>
      </c>
      <c r="U5326" t="str">
        <f t="shared" si="2105"/>
        <v>A68FCB</v>
      </c>
      <c r="V5326">
        <v>0</v>
      </c>
      <c r="W5326">
        <v>0</v>
      </c>
      <c r="X5326">
        <v>2</v>
      </c>
      <c r="Y5326">
        <v>0</v>
      </c>
      <c r="AA5326">
        <v>1</v>
      </c>
      <c r="AB5326">
        <v>8</v>
      </c>
      <c r="AC5326">
        <v>3</v>
      </c>
      <c r="AD5326">
        <v>0</v>
      </c>
      <c r="AE5326">
        <v>9</v>
      </c>
      <c r="AF5326" t="s">
        <v>138</v>
      </c>
      <c r="AG5326">
        <v>0</v>
      </c>
      <c r="AH5326">
        <v>3</v>
      </c>
      <c r="AI5326">
        <v>1</v>
      </c>
      <c r="AJ5326">
        <v>0</v>
      </c>
      <c r="AK5326" t="s">
        <v>1674</v>
      </c>
      <c r="AL5326">
        <v>39.226191</v>
      </c>
      <c r="AM5326" t="s">
        <v>1675</v>
      </c>
      <c r="AN5326">
        <v>-121.02773000000001</v>
      </c>
      <c r="AO5326">
        <v>25</v>
      </c>
      <c r="AP5326">
        <v>3200</v>
      </c>
      <c r="AQ5326" t="s">
        <v>131</v>
      </c>
      <c r="AR5326">
        <v>41</v>
      </c>
      <c r="AS5326">
        <v>-37</v>
      </c>
      <c r="AT5326">
        <v>-704</v>
      </c>
      <c r="BB5326" t="str">
        <f t="shared" si="2106"/>
        <v>1200</v>
      </c>
      <c r="BC5326">
        <v>1</v>
      </c>
      <c r="BD5326" t="str">
        <f t="shared" si="2107"/>
        <v xml:space="preserve">N52156  </v>
      </c>
      <c r="BE5326">
        <v>1</v>
      </c>
      <c r="BG5326">
        <v>0</v>
      </c>
      <c r="BH5326">
        <v>0</v>
      </c>
      <c r="BI5326">
        <v>0</v>
      </c>
      <c r="BJ5326">
        <v>3200</v>
      </c>
      <c r="BK5326">
        <v>0</v>
      </c>
      <c r="BL5326" t="s">
        <v>188</v>
      </c>
      <c r="BM5326">
        <v>1</v>
      </c>
      <c r="BN5326">
        <v>1</v>
      </c>
      <c r="BO5326">
        <v>0</v>
      </c>
      <c r="BP5326">
        <v>0</v>
      </c>
      <c r="BS5326">
        <v>0</v>
      </c>
      <c r="BT5326">
        <v>0</v>
      </c>
      <c r="BU5326">
        <v>0</v>
      </c>
      <c r="CE5326" t="str">
        <f t="shared" si="2111"/>
        <v>15:19:19.620</v>
      </c>
      <c r="CF5326">
        <v>619591598</v>
      </c>
      <c r="CS5326">
        <v>0</v>
      </c>
      <c r="CT5326">
        <v>2</v>
      </c>
      <c r="CU5326">
        <v>0</v>
      </c>
      <c r="CV5326">
        <v>2</v>
      </c>
      <c r="CW5326">
        <v>0</v>
      </c>
      <c r="CX5326">
        <v>2</v>
      </c>
      <c r="CY5326">
        <v>7</v>
      </c>
      <c r="CZ5326" t="s">
        <v>133</v>
      </c>
      <c r="DA5326">
        <v>276</v>
      </c>
      <c r="DB5326">
        <v>0</v>
      </c>
      <c r="DC5326" t="s">
        <v>402</v>
      </c>
      <c r="DD5326" t="s">
        <v>403</v>
      </c>
      <c r="DG5326">
        <v>1629208</v>
      </c>
      <c r="DI5326">
        <v>1</v>
      </c>
      <c r="DJ5326">
        <v>0</v>
      </c>
      <c r="DK5326">
        <v>1</v>
      </c>
      <c r="DL5326">
        <v>0</v>
      </c>
      <c r="DM5326">
        <v>0</v>
      </c>
      <c r="DN5326">
        <v>0</v>
      </c>
      <c r="DO5326">
        <v>0</v>
      </c>
      <c r="DP5326">
        <v>0</v>
      </c>
      <c r="DQ5326">
        <v>0</v>
      </c>
      <c r="DR5326">
        <v>0</v>
      </c>
      <c r="DS5326">
        <v>0</v>
      </c>
    </row>
    <row r="5327" spans="1:123" x14ac:dyDescent="0.3">
      <c r="A5327" t="str">
        <f>"05/01/2025 15:19:19.847"</f>
        <v>05/01/2025 15:19:19.847</v>
      </c>
      <c r="C5327" t="str">
        <f t="shared" si="2104"/>
        <v>FFDFD3C0</v>
      </c>
      <c r="D5327" t="s">
        <v>136</v>
      </c>
      <c r="E5327" t="str">
        <f>"20"</f>
        <v>20</v>
      </c>
      <c r="H5327">
        <v>400</v>
      </c>
      <c r="I5327" t="s">
        <v>137</v>
      </c>
      <c r="J5327" t="s">
        <v>138</v>
      </c>
      <c r="K5327">
        <v>0</v>
      </c>
      <c r="L5327">
        <v>3</v>
      </c>
      <c r="M5327">
        <v>0</v>
      </c>
      <c r="N5327">
        <v>2</v>
      </c>
      <c r="O5327">
        <v>0</v>
      </c>
      <c r="P5327">
        <v>1</v>
      </c>
      <c r="Q5327">
        <v>0</v>
      </c>
      <c r="R5327" t="s">
        <v>127</v>
      </c>
      <c r="S5327" t="str">
        <f t="shared" si="2110"/>
        <v>15:19:19.000</v>
      </c>
      <c r="T5327" t="str">
        <f t="shared" si="2110"/>
        <v>15:19:19.000</v>
      </c>
      <c r="U5327" t="str">
        <f t="shared" si="2105"/>
        <v>A68FCB</v>
      </c>
      <c r="V5327">
        <v>0</v>
      </c>
      <c r="W5327">
        <v>0</v>
      </c>
      <c r="X5327">
        <v>2</v>
      </c>
      <c r="Y5327">
        <v>0</v>
      </c>
      <c r="AA5327">
        <v>1</v>
      </c>
      <c r="AB5327">
        <v>8</v>
      </c>
      <c r="AC5327">
        <v>3</v>
      </c>
      <c r="AD5327">
        <v>0</v>
      </c>
      <c r="AE5327">
        <v>9</v>
      </c>
      <c r="AF5327" t="s">
        <v>138</v>
      </c>
      <c r="AG5327">
        <v>0</v>
      </c>
      <c r="AH5327">
        <v>3</v>
      </c>
      <c r="AI5327">
        <v>1</v>
      </c>
      <c r="AJ5327">
        <v>0</v>
      </c>
      <c r="AK5327" t="s">
        <v>1674</v>
      </c>
      <c r="AL5327">
        <v>39.226191</v>
      </c>
      <c r="AM5327" t="s">
        <v>1675</v>
      </c>
      <c r="AN5327">
        <v>-121.02773000000001</v>
      </c>
      <c r="AO5327">
        <v>25</v>
      </c>
      <c r="AP5327">
        <v>3200</v>
      </c>
      <c r="AQ5327" t="s">
        <v>131</v>
      </c>
      <c r="AR5327">
        <v>41</v>
      </c>
      <c r="AS5327">
        <v>-37</v>
      </c>
      <c r="AT5327">
        <v>-704</v>
      </c>
      <c r="BB5327" t="str">
        <f t="shared" si="2106"/>
        <v>1200</v>
      </c>
      <c r="BC5327">
        <v>1</v>
      </c>
      <c r="BD5327" t="str">
        <f t="shared" si="2107"/>
        <v xml:space="preserve">N52156  </v>
      </c>
      <c r="BE5327">
        <v>1</v>
      </c>
      <c r="BG5327">
        <v>0</v>
      </c>
      <c r="BH5327">
        <v>0</v>
      </c>
      <c r="BI5327">
        <v>0</v>
      </c>
      <c r="BJ5327">
        <v>3200</v>
      </c>
      <c r="BK5327">
        <v>0</v>
      </c>
      <c r="BL5327" t="s">
        <v>188</v>
      </c>
      <c r="BM5327">
        <v>1</v>
      </c>
      <c r="BN5327">
        <v>1</v>
      </c>
      <c r="BO5327">
        <v>0</v>
      </c>
      <c r="BP5327">
        <v>0</v>
      </c>
      <c r="BS5327">
        <v>0</v>
      </c>
      <c r="BT5327">
        <v>0</v>
      </c>
      <c r="BU5327">
        <v>0</v>
      </c>
      <c r="CE5327" t="str">
        <f t="shared" si="2111"/>
        <v>15:19:19.620</v>
      </c>
      <c r="CF5327">
        <v>619591598</v>
      </c>
      <c r="CS5327">
        <v>0</v>
      </c>
      <c r="CT5327">
        <v>2</v>
      </c>
      <c r="CU5327">
        <v>0</v>
      </c>
      <c r="CV5327">
        <v>2</v>
      </c>
      <c r="CW5327">
        <v>0</v>
      </c>
      <c r="CX5327">
        <v>2</v>
      </c>
      <c r="CY5327">
        <v>7</v>
      </c>
      <c r="CZ5327" t="s">
        <v>133</v>
      </c>
      <c r="DA5327">
        <v>276</v>
      </c>
      <c r="DB5327">
        <v>0</v>
      </c>
      <c r="DC5327" t="s">
        <v>402</v>
      </c>
      <c r="DD5327" t="s">
        <v>403</v>
      </c>
      <c r="DG5327">
        <v>1629208</v>
      </c>
      <c r="DI5327">
        <v>1</v>
      </c>
      <c r="DJ5327">
        <v>0</v>
      </c>
      <c r="DK5327">
        <v>1</v>
      </c>
      <c r="DL5327">
        <v>0</v>
      </c>
      <c r="DM5327">
        <v>0</v>
      </c>
      <c r="DN5327">
        <v>0</v>
      </c>
      <c r="DO5327">
        <v>0</v>
      </c>
      <c r="DP5327">
        <v>0</v>
      </c>
      <c r="DQ5327">
        <v>0</v>
      </c>
      <c r="DR5327">
        <v>0</v>
      </c>
      <c r="DS5327">
        <v>0</v>
      </c>
    </row>
    <row r="5328" spans="1:123" x14ac:dyDescent="0.3">
      <c r="A5328" t="str">
        <f>"05/01/2025 15:19:19.863"</f>
        <v>05/01/2025 15:19:19.863</v>
      </c>
      <c r="C5328" t="str">
        <f t="shared" si="2104"/>
        <v>FFDFD3C0</v>
      </c>
      <c r="D5328" t="s">
        <v>124</v>
      </c>
      <c r="E5328" t="str">
        <f>"06"</f>
        <v>06</v>
      </c>
      <c r="F5328">
        <v>2006</v>
      </c>
      <c r="G5328" t="s">
        <v>125</v>
      </c>
      <c r="J5328" t="s">
        <v>126</v>
      </c>
      <c r="K5328">
        <v>0</v>
      </c>
      <c r="L5328">
        <v>3</v>
      </c>
      <c r="M5328">
        <v>0</v>
      </c>
      <c r="N5328">
        <v>2</v>
      </c>
      <c r="O5328">
        <v>0</v>
      </c>
      <c r="P5328">
        <v>1</v>
      </c>
      <c r="Q5328">
        <v>0</v>
      </c>
      <c r="R5328" t="s">
        <v>127</v>
      </c>
      <c r="S5328" t="str">
        <f t="shared" si="2110"/>
        <v>15:19:19.000</v>
      </c>
      <c r="T5328" t="str">
        <f t="shared" si="2110"/>
        <v>15:19:19.000</v>
      </c>
      <c r="U5328" t="str">
        <f t="shared" si="2105"/>
        <v>A68FCB</v>
      </c>
      <c r="V5328">
        <v>0</v>
      </c>
      <c r="W5328">
        <v>0</v>
      </c>
      <c r="X5328">
        <v>2</v>
      </c>
      <c r="Y5328">
        <v>0</v>
      </c>
      <c r="AA5328">
        <v>1</v>
      </c>
      <c r="AB5328">
        <v>8</v>
      </c>
      <c r="AC5328">
        <v>3</v>
      </c>
      <c r="AD5328">
        <v>0</v>
      </c>
      <c r="AE5328">
        <v>9</v>
      </c>
      <c r="AF5328" t="s">
        <v>138</v>
      </c>
      <c r="AG5328">
        <v>0</v>
      </c>
      <c r="AH5328">
        <v>3</v>
      </c>
      <c r="AI5328">
        <v>1</v>
      </c>
      <c r="AJ5328">
        <v>0</v>
      </c>
      <c r="AK5328" t="s">
        <v>1674</v>
      </c>
      <c r="AL5328">
        <v>39.226191</v>
      </c>
      <c r="AM5328" t="s">
        <v>1675</v>
      </c>
      <c r="AN5328">
        <v>-121.02773000000001</v>
      </c>
      <c r="AO5328">
        <v>25</v>
      </c>
      <c r="AP5328">
        <v>3200</v>
      </c>
      <c r="AQ5328" t="s">
        <v>131</v>
      </c>
      <c r="AR5328">
        <v>41</v>
      </c>
      <c r="AS5328">
        <v>-37</v>
      </c>
      <c r="AT5328">
        <v>-704</v>
      </c>
      <c r="BB5328" t="str">
        <f t="shared" si="2106"/>
        <v>1200</v>
      </c>
      <c r="BC5328">
        <v>1</v>
      </c>
      <c r="BD5328" t="str">
        <f t="shared" si="2107"/>
        <v xml:space="preserve">N52156  </v>
      </c>
      <c r="BE5328">
        <v>1</v>
      </c>
      <c r="BG5328">
        <v>0</v>
      </c>
      <c r="BH5328">
        <v>0</v>
      </c>
      <c r="BI5328">
        <v>0</v>
      </c>
      <c r="BJ5328">
        <v>3200</v>
      </c>
      <c r="BK5328">
        <v>0</v>
      </c>
      <c r="BL5328" t="s">
        <v>188</v>
      </c>
      <c r="BM5328">
        <v>1</v>
      </c>
      <c r="BN5328">
        <v>1</v>
      </c>
      <c r="BO5328">
        <v>0</v>
      </c>
      <c r="BP5328">
        <v>0</v>
      </c>
      <c r="BS5328">
        <v>0</v>
      </c>
      <c r="BT5328">
        <v>0</v>
      </c>
      <c r="BU5328">
        <v>0</v>
      </c>
      <c r="CE5328" t="str">
        <f t="shared" si="2111"/>
        <v>15:19:19.620</v>
      </c>
      <c r="CF5328">
        <v>619591598</v>
      </c>
      <c r="CS5328">
        <v>0</v>
      </c>
      <c r="CT5328">
        <v>2</v>
      </c>
      <c r="CU5328">
        <v>0</v>
      </c>
      <c r="CV5328">
        <v>2</v>
      </c>
      <c r="CW5328">
        <v>0</v>
      </c>
      <c r="CX5328">
        <v>2</v>
      </c>
      <c r="CY5328">
        <v>7</v>
      </c>
      <c r="CZ5328" t="s">
        <v>133</v>
      </c>
      <c r="DA5328">
        <v>276</v>
      </c>
      <c r="DB5328">
        <v>0</v>
      </c>
      <c r="DC5328" t="s">
        <v>402</v>
      </c>
      <c r="DD5328" t="s">
        <v>403</v>
      </c>
      <c r="DG5328">
        <v>1629208</v>
      </c>
      <c r="DI5328">
        <v>1</v>
      </c>
      <c r="DJ5328">
        <v>0</v>
      </c>
      <c r="DK5328">
        <v>1</v>
      </c>
      <c r="DL5328">
        <v>0</v>
      </c>
      <c r="DM5328">
        <v>0</v>
      </c>
      <c r="DN5328">
        <v>0</v>
      </c>
      <c r="DO5328">
        <v>0</v>
      </c>
      <c r="DP5328">
        <v>0</v>
      </c>
      <c r="DQ5328">
        <v>0</v>
      </c>
      <c r="DR5328">
        <v>0</v>
      </c>
      <c r="DS5328">
        <v>0</v>
      </c>
    </row>
    <row r="5329" spans="1:123" x14ac:dyDescent="0.3">
      <c r="A5329" t="str">
        <f>"05/01/2025 15:19:19.861"</f>
        <v>05/01/2025 15:19:19.861</v>
      </c>
      <c r="C5329" t="str">
        <f t="shared" si="2104"/>
        <v>FFDFD3C0</v>
      </c>
      <c r="D5329" t="s">
        <v>140</v>
      </c>
      <c r="E5329" t="str">
        <f>"13"</f>
        <v>13</v>
      </c>
      <c r="F5329">
        <v>1019</v>
      </c>
      <c r="G5329" t="s">
        <v>141</v>
      </c>
      <c r="J5329" t="s">
        <v>142</v>
      </c>
      <c r="K5329">
        <v>0</v>
      </c>
      <c r="L5329">
        <v>3</v>
      </c>
      <c r="M5329">
        <v>0</v>
      </c>
      <c r="N5329">
        <v>2</v>
      </c>
      <c r="O5329">
        <v>0</v>
      </c>
      <c r="P5329">
        <v>1</v>
      </c>
      <c r="Q5329">
        <v>0</v>
      </c>
      <c r="R5329" t="s">
        <v>127</v>
      </c>
      <c r="S5329" t="str">
        <f t="shared" si="2110"/>
        <v>15:19:19.000</v>
      </c>
      <c r="T5329" t="str">
        <f t="shared" si="2110"/>
        <v>15:19:19.000</v>
      </c>
      <c r="U5329" t="str">
        <f t="shared" si="2105"/>
        <v>A68FCB</v>
      </c>
      <c r="V5329">
        <v>0</v>
      </c>
      <c r="W5329">
        <v>0</v>
      </c>
      <c r="X5329">
        <v>2</v>
      </c>
      <c r="Y5329">
        <v>0</v>
      </c>
      <c r="AA5329">
        <v>1</v>
      </c>
      <c r="AB5329">
        <v>8</v>
      </c>
      <c r="AC5329">
        <v>3</v>
      </c>
      <c r="AD5329">
        <v>0</v>
      </c>
      <c r="AE5329">
        <v>9</v>
      </c>
      <c r="AF5329" t="s">
        <v>138</v>
      </c>
      <c r="AG5329">
        <v>0</v>
      </c>
      <c r="AH5329">
        <v>3</v>
      </c>
      <c r="AI5329">
        <v>1</v>
      </c>
      <c r="AJ5329">
        <v>0</v>
      </c>
      <c r="AK5329" t="s">
        <v>1674</v>
      </c>
      <c r="AL5329">
        <v>39.226191</v>
      </c>
      <c r="AM5329" t="s">
        <v>1675</v>
      </c>
      <c r="AN5329">
        <v>-121.02773000000001</v>
      </c>
      <c r="AO5329">
        <v>25</v>
      </c>
      <c r="AP5329">
        <v>3200</v>
      </c>
      <c r="AQ5329" t="s">
        <v>131</v>
      </c>
      <c r="AR5329">
        <v>41</v>
      </c>
      <c r="AS5329">
        <v>-37</v>
      </c>
      <c r="AT5329">
        <v>-704</v>
      </c>
      <c r="BB5329" t="str">
        <f t="shared" si="2106"/>
        <v>1200</v>
      </c>
      <c r="BC5329">
        <v>1</v>
      </c>
      <c r="BD5329" t="str">
        <f t="shared" si="2107"/>
        <v xml:space="preserve">N52156  </v>
      </c>
      <c r="BE5329">
        <v>1</v>
      </c>
      <c r="BG5329">
        <v>0</v>
      </c>
      <c r="BH5329">
        <v>0</v>
      </c>
      <c r="BI5329">
        <v>0</v>
      </c>
      <c r="BJ5329">
        <v>3200</v>
      </c>
      <c r="BK5329">
        <v>0</v>
      </c>
      <c r="BL5329" t="s">
        <v>188</v>
      </c>
      <c r="BM5329">
        <v>1</v>
      </c>
      <c r="BN5329">
        <v>1</v>
      </c>
      <c r="BO5329">
        <v>0</v>
      </c>
      <c r="BP5329">
        <v>0</v>
      </c>
      <c r="BS5329">
        <v>0</v>
      </c>
      <c r="BT5329">
        <v>0</v>
      </c>
      <c r="BU5329">
        <v>0</v>
      </c>
      <c r="CE5329" t="str">
        <f t="shared" si="2111"/>
        <v>15:19:19.620</v>
      </c>
      <c r="CF5329">
        <v>619591598</v>
      </c>
      <c r="CS5329">
        <v>0</v>
      </c>
      <c r="CT5329">
        <v>2</v>
      </c>
      <c r="CU5329">
        <v>0</v>
      </c>
      <c r="CV5329">
        <v>2</v>
      </c>
      <c r="CW5329">
        <v>0</v>
      </c>
      <c r="CX5329">
        <v>2</v>
      </c>
      <c r="CY5329">
        <v>7</v>
      </c>
      <c r="CZ5329" t="s">
        <v>133</v>
      </c>
      <c r="DA5329">
        <v>276</v>
      </c>
      <c r="DB5329">
        <v>0</v>
      </c>
      <c r="DC5329" t="s">
        <v>402</v>
      </c>
      <c r="DD5329" t="s">
        <v>403</v>
      </c>
      <c r="DG5329">
        <v>1629208</v>
      </c>
      <c r="DI5329">
        <v>1</v>
      </c>
      <c r="DJ5329">
        <v>0</v>
      </c>
      <c r="DK5329">
        <v>1</v>
      </c>
      <c r="DL5329">
        <v>0</v>
      </c>
      <c r="DM5329">
        <v>0</v>
      </c>
      <c r="DN5329">
        <v>0</v>
      </c>
      <c r="DO5329">
        <v>0</v>
      </c>
      <c r="DP5329">
        <v>0</v>
      </c>
      <c r="DQ5329">
        <v>0</v>
      </c>
      <c r="DR5329">
        <v>0</v>
      </c>
      <c r="DS5329">
        <v>0</v>
      </c>
    </row>
    <row r="5330" spans="1:123" x14ac:dyDescent="0.3">
      <c r="A5330" t="str">
        <f>"05/01/2025 15:19:20.538"</f>
        <v>05/01/2025 15:19:20.538</v>
      </c>
      <c r="C5330" t="str">
        <f t="shared" si="2104"/>
        <v>FFDFD3C0</v>
      </c>
      <c r="D5330" t="s">
        <v>145</v>
      </c>
      <c r="E5330" t="str">
        <f>"05"</f>
        <v>05</v>
      </c>
      <c r="H5330">
        <v>47</v>
      </c>
      <c r="I5330" t="s">
        <v>146</v>
      </c>
      <c r="J5330" t="s">
        <v>138</v>
      </c>
      <c r="K5330">
        <v>0</v>
      </c>
      <c r="L5330">
        <v>3</v>
      </c>
      <c r="M5330">
        <v>0</v>
      </c>
      <c r="N5330">
        <v>2</v>
      </c>
      <c r="O5330">
        <v>0</v>
      </c>
      <c r="P5330">
        <v>1</v>
      </c>
      <c r="Q5330">
        <v>0</v>
      </c>
      <c r="R5330" t="s">
        <v>127</v>
      </c>
      <c r="S5330" t="str">
        <f t="shared" ref="S5330:T5335" si="2112">"15:19:20.000"</f>
        <v>15:19:20.000</v>
      </c>
      <c r="T5330" t="str">
        <f t="shared" si="2112"/>
        <v>15:19:20.000</v>
      </c>
      <c r="U5330" t="str">
        <f t="shared" si="2105"/>
        <v>A68FCB</v>
      </c>
      <c r="V5330">
        <v>0</v>
      </c>
      <c r="W5330">
        <v>0</v>
      </c>
      <c r="X5330">
        <v>2</v>
      </c>
      <c r="Y5330">
        <v>0</v>
      </c>
      <c r="AA5330">
        <v>1</v>
      </c>
      <c r="AB5330">
        <v>8</v>
      </c>
      <c r="AC5330">
        <v>3</v>
      </c>
      <c r="AD5330">
        <v>0</v>
      </c>
      <c r="AE5330">
        <v>9</v>
      </c>
      <c r="AF5330" t="s">
        <v>138</v>
      </c>
      <c r="AG5330">
        <v>0</v>
      </c>
      <c r="AH5330">
        <v>3</v>
      </c>
      <c r="AI5330">
        <v>1</v>
      </c>
      <c r="AJ5330">
        <v>0</v>
      </c>
      <c r="AK5330" t="s">
        <v>1676</v>
      </c>
      <c r="AL5330">
        <v>39.225997999999997</v>
      </c>
      <c r="AM5330" t="s">
        <v>1677</v>
      </c>
      <c r="AN5330">
        <v>-121.02749300000001</v>
      </c>
      <c r="AO5330">
        <v>25</v>
      </c>
      <c r="AP5330">
        <v>3200</v>
      </c>
      <c r="AQ5330" t="s">
        <v>131</v>
      </c>
      <c r="AR5330">
        <v>41</v>
      </c>
      <c r="AS5330">
        <v>-37</v>
      </c>
      <c r="AT5330">
        <v>-704</v>
      </c>
      <c r="BB5330" t="str">
        <f t="shared" si="2106"/>
        <v>1200</v>
      </c>
      <c r="BC5330">
        <v>1</v>
      </c>
      <c r="BD5330" t="str">
        <f t="shared" si="2107"/>
        <v xml:space="preserve">N52156  </v>
      </c>
      <c r="BE5330">
        <v>1</v>
      </c>
      <c r="BG5330">
        <v>0</v>
      </c>
      <c r="BH5330">
        <v>0</v>
      </c>
      <c r="BI5330">
        <v>0</v>
      </c>
      <c r="BJ5330">
        <v>3200</v>
      </c>
      <c r="BK5330">
        <v>0</v>
      </c>
      <c r="BL5330" t="s">
        <v>188</v>
      </c>
      <c r="BM5330">
        <v>1</v>
      </c>
      <c r="BN5330">
        <v>1</v>
      </c>
      <c r="BO5330">
        <v>0</v>
      </c>
      <c r="BP5330">
        <v>0</v>
      </c>
      <c r="BS5330">
        <v>0</v>
      </c>
      <c r="BT5330">
        <v>0</v>
      </c>
      <c r="BU5330">
        <v>0</v>
      </c>
      <c r="CE5330" t="str">
        <f t="shared" ref="CE5330:CE5335" si="2113">"15:19:20.332"</f>
        <v>15:19:20.332</v>
      </c>
      <c r="CF5330">
        <v>331590787</v>
      </c>
      <c r="CS5330">
        <v>0</v>
      </c>
      <c r="CT5330">
        <v>2</v>
      </c>
      <c r="CU5330">
        <v>0</v>
      </c>
      <c r="CV5330">
        <v>2</v>
      </c>
      <c r="CW5330">
        <v>0</v>
      </c>
      <c r="CX5330">
        <v>3</v>
      </c>
      <c r="CY5330">
        <v>7</v>
      </c>
      <c r="CZ5330" t="s">
        <v>133</v>
      </c>
      <c r="DA5330">
        <v>276</v>
      </c>
      <c r="DB5330">
        <v>0</v>
      </c>
      <c r="DC5330" t="s">
        <v>402</v>
      </c>
      <c r="DD5330" t="s">
        <v>403</v>
      </c>
      <c r="DG5330">
        <v>1629211</v>
      </c>
      <c r="DI5330">
        <v>1</v>
      </c>
      <c r="DJ5330">
        <v>0</v>
      </c>
      <c r="DK5330">
        <v>0</v>
      </c>
      <c r="DL5330">
        <v>0</v>
      </c>
      <c r="DM5330">
        <v>0</v>
      </c>
      <c r="DN5330">
        <v>0</v>
      </c>
      <c r="DO5330">
        <v>0</v>
      </c>
      <c r="DP5330">
        <v>0</v>
      </c>
      <c r="DQ5330">
        <v>0</v>
      </c>
      <c r="DR5330">
        <v>0</v>
      </c>
      <c r="DS5330">
        <v>0</v>
      </c>
    </row>
    <row r="5331" spans="1:123" x14ac:dyDescent="0.3">
      <c r="A5331" t="str">
        <f>"05/01/2025 15:19:20.538"</f>
        <v>05/01/2025 15:19:20.538</v>
      </c>
      <c r="C5331" t="str">
        <f t="shared" si="2104"/>
        <v>FFDFD3C0</v>
      </c>
      <c r="D5331" t="s">
        <v>145</v>
      </c>
      <c r="E5331" t="str">
        <f>"09"</f>
        <v>09</v>
      </c>
      <c r="H5331">
        <v>51</v>
      </c>
      <c r="I5331" t="s">
        <v>147</v>
      </c>
      <c r="J5331" t="s">
        <v>138</v>
      </c>
      <c r="K5331">
        <v>0</v>
      </c>
      <c r="L5331">
        <v>3</v>
      </c>
      <c r="M5331">
        <v>0</v>
      </c>
      <c r="N5331">
        <v>2</v>
      </c>
      <c r="O5331">
        <v>0</v>
      </c>
      <c r="P5331">
        <v>1</v>
      </c>
      <c r="Q5331">
        <v>0</v>
      </c>
      <c r="R5331" t="s">
        <v>127</v>
      </c>
      <c r="S5331" t="str">
        <f t="shared" si="2112"/>
        <v>15:19:20.000</v>
      </c>
      <c r="T5331" t="str">
        <f t="shared" si="2112"/>
        <v>15:19:20.000</v>
      </c>
      <c r="U5331" t="str">
        <f t="shared" si="2105"/>
        <v>A68FCB</v>
      </c>
      <c r="V5331">
        <v>0</v>
      </c>
      <c r="W5331">
        <v>0</v>
      </c>
      <c r="X5331">
        <v>2</v>
      </c>
      <c r="Y5331">
        <v>0</v>
      </c>
      <c r="AA5331">
        <v>1</v>
      </c>
      <c r="AB5331">
        <v>8</v>
      </c>
      <c r="AC5331">
        <v>3</v>
      </c>
      <c r="AD5331">
        <v>0</v>
      </c>
      <c r="AE5331">
        <v>9</v>
      </c>
      <c r="AF5331" t="s">
        <v>138</v>
      </c>
      <c r="AG5331">
        <v>0</v>
      </c>
      <c r="AH5331">
        <v>3</v>
      </c>
      <c r="AI5331">
        <v>1</v>
      </c>
      <c r="AJ5331">
        <v>0</v>
      </c>
      <c r="AK5331" t="s">
        <v>1676</v>
      </c>
      <c r="AL5331">
        <v>39.225997999999997</v>
      </c>
      <c r="AM5331" t="s">
        <v>1677</v>
      </c>
      <c r="AN5331">
        <v>-121.02749300000001</v>
      </c>
      <c r="AO5331">
        <v>25</v>
      </c>
      <c r="AP5331">
        <v>3200</v>
      </c>
      <c r="AQ5331" t="s">
        <v>131</v>
      </c>
      <c r="AR5331">
        <v>41</v>
      </c>
      <c r="AS5331">
        <v>-37</v>
      </c>
      <c r="AT5331">
        <v>-704</v>
      </c>
      <c r="BB5331" t="str">
        <f t="shared" si="2106"/>
        <v>1200</v>
      </c>
      <c r="BC5331">
        <v>1</v>
      </c>
      <c r="BD5331" t="str">
        <f t="shared" si="2107"/>
        <v xml:space="preserve">N52156  </v>
      </c>
      <c r="BE5331">
        <v>1</v>
      </c>
      <c r="BG5331">
        <v>0</v>
      </c>
      <c r="BH5331">
        <v>0</v>
      </c>
      <c r="BI5331">
        <v>0</v>
      </c>
      <c r="BJ5331">
        <v>3200</v>
      </c>
      <c r="BK5331">
        <v>0</v>
      </c>
      <c r="BL5331" t="s">
        <v>188</v>
      </c>
      <c r="BM5331">
        <v>1</v>
      </c>
      <c r="BN5331">
        <v>1</v>
      </c>
      <c r="BO5331">
        <v>0</v>
      </c>
      <c r="BP5331">
        <v>0</v>
      </c>
      <c r="BS5331">
        <v>0</v>
      </c>
      <c r="BT5331">
        <v>0</v>
      </c>
      <c r="BU5331">
        <v>0</v>
      </c>
      <c r="CE5331" t="str">
        <f t="shared" si="2113"/>
        <v>15:19:20.332</v>
      </c>
      <c r="CF5331">
        <v>331590787</v>
      </c>
      <c r="CS5331">
        <v>0</v>
      </c>
      <c r="CT5331">
        <v>2</v>
      </c>
      <c r="CU5331">
        <v>0</v>
      </c>
      <c r="CV5331">
        <v>2</v>
      </c>
      <c r="CW5331">
        <v>0</v>
      </c>
      <c r="CX5331">
        <v>3</v>
      </c>
      <c r="CY5331">
        <v>7</v>
      </c>
      <c r="CZ5331" t="s">
        <v>133</v>
      </c>
      <c r="DA5331">
        <v>276</v>
      </c>
      <c r="DB5331">
        <v>0</v>
      </c>
      <c r="DC5331" t="s">
        <v>402</v>
      </c>
      <c r="DD5331" t="s">
        <v>403</v>
      </c>
      <c r="DG5331">
        <v>1629211</v>
      </c>
      <c r="DI5331">
        <v>1</v>
      </c>
      <c r="DJ5331">
        <v>0</v>
      </c>
      <c r="DK5331">
        <v>1</v>
      </c>
      <c r="DL5331">
        <v>0</v>
      </c>
      <c r="DM5331">
        <v>0</v>
      </c>
      <c r="DN5331">
        <v>0</v>
      </c>
      <c r="DO5331">
        <v>0</v>
      </c>
      <c r="DP5331">
        <v>0</v>
      </c>
      <c r="DQ5331">
        <v>0</v>
      </c>
      <c r="DR5331">
        <v>0</v>
      </c>
      <c r="DS5331">
        <v>0</v>
      </c>
    </row>
    <row r="5332" spans="1:123" x14ac:dyDescent="0.3">
      <c r="A5332" t="str">
        <f>"05/01/2025 15:19:20.549"</f>
        <v>05/01/2025 15:19:20.549</v>
      </c>
      <c r="C5332" t="str">
        <f t="shared" si="2104"/>
        <v>FFDFD3C0</v>
      </c>
      <c r="D5332" t="s">
        <v>136</v>
      </c>
      <c r="E5332" t="str">
        <f>"20"</f>
        <v>20</v>
      </c>
      <c r="H5332">
        <v>400</v>
      </c>
      <c r="I5332" t="s">
        <v>137</v>
      </c>
      <c r="J5332" t="s">
        <v>138</v>
      </c>
      <c r="K5332">
        <v>0</v>
      </c>
      <c r="L5332">
        <v>3</v>
      </c>
      <c r="M5332">
        <v>0</v>
      </c>
      <c r="N5332">
        <v>2</v>
      </c>
      <c r="O5332">
        <v>0</v>
      </c>
      <c r="P5332">
        <v>1</v>
      </c>
      <c r="Q5332">
        <v>0</v>
      </c>
      <c r="R5332" t="s">
        <v>127</v>
      </c>
      <c r="S5332" t="str">
        <f t="shared" si="2112"/>
        <v>15:19:20.000</v>
      </c>
      <c r="T5332" t="str">
        <f t="shared" si="2112"/>
        <v>15:19:20.000</v>
      </c>
      <c r="U5332" t="str">
        <f t="shared" si="2105"/>
        <v>A68FCB</v>
      </c>
      <c r="V5332">
        <v>0</v>
      </c>
      <c r="W5332">
        <v>0</v>
      </c>
      <c r="X5332">
        <v>2</v>
      </c>
      <c r="Y5332">
        <v>0</v>
      </c>
      <c r="AA5332">
        <v>1</v>
      </c>
      <c r="AB5332">
        <v>8</v>
      </c>
      <c r="AC5332">
        <v>3</v>
      </c>
      <c r="AD5332">
        <v>0</v>
      </c>
      <c r="AE5332">
        <v>9</v>
      </c>
      <c r="AF5332" t="s">
        <v>138</v>
      </c>
      <c r="AG5332">
        <v>0</v>
      </c>
      <c r="AH5332">
        <v>3</v>
      </c>
      <c r="AI5332">
        <v>1</v>
      </c>
      <c r="AJ5332">
        <v>0</v>
      </c>
      <c r="AK5332" t="s">
        <v>1676</v>
      </c>
      <c r="AL5332">
        <v>39.225997999999997</v>
      </c>
      <c r="AM5332" t="s">
        <v>1677</v>
      </c>
      <c r="AN5332">
        <v>-121.02749300000001</v>
      </c>
      <c r="AO5332">
        <v>25</v>
      </c>
      <c r="AP5332">
        <v>3200</v>
      </c>
      <c r="AQ5332" t="s">
        <v>131</v>
      </c>
      <c r="AR5332">
        <v>41</v>
      </c>
      <c r="AS5332">
        <v>-37</v>
      </c>
      <c r="AT5332">
        <v>-704</v>
      </c>
      <c r="BB5332" t="str">
        <f t="shared" si="2106"/>
        <v>1200</v>
      </c>
      <c r="BC5332">
        <v>1</v>
      </c>
      <c r="BD5332" t="str">
        <f t="shared" si="2107"/>
        <v xml:space="preserve">N52156  </v>
      </c>
      <c r="BE5332">
        <v>1</v>
      </c>
      <c r="BG5332">
        <v>0</v>
      </c>
      <c r="BH5332">
        <v>0</v>
      </c>
      <c r="BI5332">
        <v>0</v>
      </c>
      <c r="BJ5332">
        <v>3200</v>
      </c>
      <c r="BK5332">
        <v>0</v>
      </c>
      <c r="BL5332" t="s">
        <v>188</v>
      </c>
      <c r="BM5332">
        <v>1</v>
      </c>
      <c r="BN5332">
        <v>1</v>
      </c>
      <c r="BO5332">
        <v>0</v>
      </c>
      <c r="BP5332">
        <v>0</v>
      </c>
      <c r="BS5332">
        <v>0</v>
      </c>
      <c r="BT5332">
        <v>0</v>
      </c>
      <c r="BU5332">
        <v>0</v>
      </c>
      <c r="CE5332" t="str">
        <f t="shared" si="2113"/>
        <v>15:19:20.332</v>
      </c>
      <c r="CF5332">
        <v>331590787</v>
      </c>
      <c r="CS5332">
        <v>0</v>
      </c>
      <c r="CT5332">
        <v>2</v>
      </c>
      <c r="CU5332">
        <v>0</v>
      </c>
      <c r="CV5332">
        <v>2</v>
      </c>
      <c r="CW5332">
        <v>0</v>
      </c>
      <c r="CX5332">
        <v>3</v>
      </c>
      <c r="CY5332">
        <v>7</v>
      </c>
      <c r="CZ5332" t="s">
        <v>133</v>
      </c>
      <c r="DA5332">
        <v>276</v>
      </c>
      <c r="DB5332">
        <v>0</v>
      </c>
      <c r="DC5332" t="s">
        <v>402</v>
      </c>
      <c r="DD5332" t="s">
        <v>403</v>
      </c>
      <c r="DG5332">
        <v>1629211</v>
      </c>
      <c r="DI5332">
        <v>1</v>
      </c>
      <c r="DJ5332">
        <v>0</v>
      </c>
      <c r="DK5332">
        <v>1</v>
      </c>
      <c r="DL5332">
        <v>0</v>
      </c>
      <c r="DM5332">
        <v>0</v>
      </c>
      <c r="DN5332">
        <v>0</v>
      </c>
      <c r="DO5332">
        <v>0</v>
      </c>
      <c r="DP5332">
        <v>0</v>
      </c>
      <c r="DQ5332">
        <v>0</v>
      </c>
      <c r="DR5332">
        <v>0</v>
      </c>
      <c r="DS5332">
        <v>0</v>
      </c>
    </row>
    <row r="5333" spans="1:123" x14ac:dyDescent="0.3">
      <c r="A5333" t="str">
        <f>"05/01/2025 15:19:20.564"</f>
        <v>05/01/2025 15:19:20.564</v>
      </c>
      <c r="C5333" t="str">
        <f t="shared" si="2104"/>
        <v>FFDFD3C0</v>
      </c>
      <c r="D5333" t="s">
        <v>124</v>
      </c>
      <c r="E5333" t="str">
        <f>"06"</f>
        <v>06</v>
      </c>
      <c r="F5333">
        <v>2006</v>
      </c>
      <c r="G5333" t="s">
        <v>125</v>
      </c>
      <c r="J5333" t="s">
        <v>126</v>
      </c>
      <c r="K5333">
        <v>0</v>
      </c>
      <c r="L5333">
        <v>3</v>
      </c>
      <c r="M5333">
        <v>0</v>
      </c>
      <c r="N5333">
        <v>2</v>
      </c>
      <c r="O5333">
        <v>0</v>
      </c>
      <c r="P5333">
        <v>1</v>
      </c>
      <c r="Q5333">
        <v>0</v>
      </c>
      <c r="R5333" t="s">
        <v>127</v>
      </c>
      <c r="S5333" t="str">
        <f t="shared" si="2112"/>
        <v>15:19:20.000</v>
      </c>
      <c r="T5333" t="str">
        <f t="shared" si="2112"/>
        <v>15:19:20.000</v>
      </c>
      <c r="U5333" t="str">
        <f t="shared" si="2105"/>
        <v>A68FCB</v>
      </c>
      <c r="V5333">
        <v>0</v>
      </c>
      <c r="W5333">
        <v>0</v>
      </c>
      <c r="X5333">
        <v>2</v>
      </c>
      <c r="Y5333">
        <v>0</v>
      </c>
      <c r="AA5333">
        <v>1</v>
      </c>
      <c r="AB5333">
        <v>8</v>
      </c>
      <c r="AC5333">
        <v>3</v>
      </c>
      <c r="AD5333">
        <v>0</v>
      </c>
      <c r="AE5333">
        <v>9</v>
      </c>
      <c r="AF5333" t="s">
        <v>138</v>
      </c>
      <c r="AG5333">
        <v>0</v>
      </c>
      <c r="AH5333">
        <v>3</v>
      </c>
      <c r="AI5333">
        <v>1</v>
      </c>
      <c r="AJ5333">
        <v>0</v>
      </c>
      <c r="AK5333" t="s">
        <v>1676</v>
      </c>
      <c r="AL5333">
        <v>39.225997999999997</v>
      </c>
      <c r="AM5333" t="s">
        <v>1677</v>
      </c>
      <c r="AN5333">
        <v>-121.02749300000001</v>
      </c>
      <c r="AO5333">
        <v>25</v>
      </c>
      <c r="AP5333">
        <v>3200</v>
      </c>
      <c r="AQ5333" t="s">
        <v>131</v>
      </c>
      <c r="AR5333">
        <v>41</v>
      </c>
      <c r="AS5333">
        <v>-37</v>
      </c>
      <c r="AT5333">
        <v>-704</v>
      </c>
      <c r="BB5333" t="str">
        <f t="shared" si="2106"/>
        <v>1200</v>
      </c>
      <c r="BC5333">
        <v>1</v>
      </c>
      <c r="BD5333" t="str">
        <f t="shared" si="2107"/>
        <v xml:space="preserve">N52156  </v>
      </c>
      <c r="BE5333">
        <v>1</v>
      </c>
      <c r="BG5333">
        <v>0</v>
      </c>
      <c r="BH5333">
        <v>0</v>
      </c>
      <c r="BI5333">
        <v>0</v>
      </c>
      <c r="BJ5333">
        <v>3200</v>
      </c>
      <c r="BK5333">
        <v>0</v>
      </c>
      <c r="BL5333" t="s">
        <v>188</v>
      </c>
      <c r="BM5333">
        <v>1</v>
      </c>
      <c r="BN5333">
        <v>1</v>
      </c>
      <c r="BO5333">
        <v>0</v>
      </c>
      <c r="BP5333">
        <v>0</v>
      </c>
      <c r="BS5333">
        <v>0</v>
      </c>
      <c r="BT5333">
        <v>0</v>
      </c>
      <c r="BU5333">
        <v>0</v>
      </c>
      <c r="CE5333" t="str">
        <f t="shared" si="2113"/>
        <v>15:19:20.332</v>
      </c>
      <c r="CF5333">
        <v>331590787</v>
      </c>
      <c r="CS5333">
        <v>0</v>
      </c>
      <c r="CT5333">
        <v>2</v>
      </c>
      <c r="CU5333">
        <v>0</v>
      </c>
      <c r="CV5333">
        <v>2</v>
      </c>
      <c r="CW5333">
        <v>0</v>
      </c>
      <c r="CX5333">
        <v>3</v>
      </c>
      <c r="CY5333">
        <v>7</v>
      </c>
      <c r="CZ5333" t="s">
        <v>133</v>
      </c>
      <c r="DA5333">
        <v>276</v>
      </c>
      <c r="DB5333">
        <v>0</v>
      </c>
      <c r="DC5333" t="s">
        <v>402</v>
      </c>
      <c r="DD5333" t="s">
        <v>403</v>
      </c>
      <c r="DG5333">
        <v>1629211</v>
      </c>
      <c r="DI5333">
        <v>1</v>
      </c>
      <c r="DJ5333">
        <v>0</v>
      </c>
      <c r="DK5333">
        <v>1</v>
      </c>
      <c r="DL5333">
        <v>0</v>
      </c>
      <c r="DM5333">
        <v>0</v>
      </c>
      <c r="DN5333">
        <v>0</v>
      </c>
      <c r="DO5333">
        <v>0</v>
      </c>
      <c r="DP5333">
        <v>0</v>
      </c>
      <c r="DQ5333">
        <v>0</v>
      </c>
      <c r="DR5333">
        <v>0</v>
      </c>
      <c r="DS5333">
        <v>0</v>
      </c>
    </row>
    <row r="5334" spans="1:123" x14ac:dyDescent="0.3">
      <c r="A5334" t="str">
        <f>"05/01/2025 15:19:20.562"</f>
        <v>05/01/2025 15:19:20.562</v>
      </c>
      <c r="C5334" t="str">
        <f t="shared" si="2104"/>
        <v>FFDFD3C0</v>
      </c>
      <c r="D5334" t="s">
        <v>140</v>
      </c>
      <c r="E5334" t="str">
        <f>"13"</f>
        <v>13</v>
      </c>
      <c r="F5334">
        <v>1019</v>
      </c>
      <c r="G5334" t="s">
        <v>141</v>
      </c>
      <c r="J5334" t="s">
        <v>142</v>
      </c>
      <c r="K5334">
        <v>0</v>
      </c>
      <c r="L5334">
        <v>3</v>
      </c>
      <c r="M5334">
        <v>0</v>
      </c>
      <c r="N5334">
        <v>2</v>
      </c>
      <c r="O5334">
        <v>0</v>
      </c>
      <c r="P5334">
        <v>1</v>
      </c>
      <c r="Q5334">
        <v>0</v>
      </c>
      <c r="R5334" t="s">
        <v>127</v>
      </c>
      <c r="S5334" t="str">
        <f t="shared" si="2112"/>
        <v>15:19:20.000</v>
      </c>
      <c r="T5334" t="str">
        <f t="shared" si="2112"/>
        <v>15:19:20.000</v>
      </c>
      <c r="U5334" t="str">
        <f t="shared" si="2105"/>
        <v>A68FCB</v>
      </c>
      <c r="V5334">
        <v>0</v>
      </c>
      <c r="W5334">
        <v>0</v>
      </c>
      <c r="X5334">
        <v>2</v>
      </c>
      <c r="Y5334">
        <v>0</v>
      </c>
      <c r="AA5334">
        <v>1</v>
      </c>
      <c r="AB5334">
        <v>8</v>
      </c>
      <c r="AC5334">
        <v>3</v>
      </c>
      <c r="AD5334">
        <v>0</v>
      </c>
      <c r="AE5334">
        <v>9</v>
      </c>
      <c r="AF5334" t="s">
        <v>138</v>
      </c>
      <c r="AG5334">
        <v>0</v>
      </c>
      <c r="AH5334">
        <v>3</v>
      </c>
      <c r="AI5334">
        <v>1</v>
      </c>
      <c r="AJ5334">
        <v>0</v>
      </c>
      <c r="AK5334" t="s">
        <v>1676</v>
      </c>
      <c r="AL5334">
        <v>39.225997999999997</v>
      </c>
      <c r="AM5334" t="s">
        <v>1677</v>
      </c>
      <c r="AN5334">
        <v>-121.02749300000001</v>
      </c>
      <c r="AO5334">
        <v>25</v>
      </c>
      <c r="AP5334">
        <v>3200</v>
      </c>
      <c r="AQ5334" t="s">
        <v>131</v>
      </c>
      <c r="AR5334">
        <v>41</v>
      </c>
      <c r="AS5334">
        <v>-37</v>
      </c>
      <c r="AT5334">
        <v>-704</v>
      </c>
      <c r="BB5334" t="str">
        <f t="shared" si="2106"/>
        <v>1200</v>
      </c>
      <c r="BC5334">
        <v>1</v>
      </c>
      <c r="BD5334" t="str">
        <f t="shared" si="2107"/>
        <v xml:space="preserve">N52156  </v>
      </c>
      <c r="BE5334">
        <v>1</v>
      </c>
      <c r="BG5334">
        <v>0</v>
      </c>
      <c r="BH5334">
        <v>0</v>
      </c>
      <c r="BI5334">
        <v>0</v>
      </c>
      <c r="BJ5334">
        <v>3200</v>
      </c>
      <c r="BK5334">
        <v>0</v>
      </c>
      <c r="BL5334" t="s">
        <v>188</v>
      </c>
      <c r="BM5334">
        <v>1</v>
      </c>
      <c r="BN5334">
        <v>1</v>
      </c>
      <c r="BO5334">
        <v>0</v>
      </c>
      <c r="BP5334">
        <v>0</v>
      </c>
      <c r="BS5334">
        <v>0</v>
      </c>
      <c r="BT5334">
        <v>0</v>
      </c>
      <c r="BU5334">
        <v>0</v>
      </c>
      <c r="CE5334" t="str">
        <f t="shared" si="2113"/>
        <v>15:19:20.332</v>
      </c>
      <c r="CF5334">
        <v>331590787</v>
      </c>
      <c r="CS5334">
        <v>0</v>
      </c>
      <c r="CT5334">
        <v>2</v>
      </c>
      <c r="CU5334">
        <v>0</v>
      </c>
      <c r="CV5334">
        <v>2</v>
      </c>
      <c r="CW5334">
        <v>0</v>
      </c>
      <c r="CX5334">
        <v>3</v>
      </c>
      <c r="CY5334">
        <v>7</v>
      </c>
      <c r="CZ5334" t="s">
        <v>133</v>
      </c>
      <c r="DA5334">
        <v>276</v>
      </c>
      <c r="DB5334">
        <v>0</v>
      </c>
      <c r="DC5334" t="s">
        <v>402</v>
      </c>
      <c r="DD5334" t="s">
        <v>403</v>
      </c>
      <c r="DG5334">
        <v>1629211</v>
      </c>
      <c r="DI5334">
        <v>1</v>
      </c>
      <c r="DJ5334">
        <v>0</v>
      </c>
      <c r="DK5334">
        <v>1</v>
      </c>
      <c r="DL5334">
        <v>0</v>
      </c>
      <c r="DM5334">
        <v>0</v>
      </c>
      <c r="DN5334">
        <v>0</v>
      </c>
      <c r="DO5334">
        <v>0</v>
      </c>
      <c r="DP5334">
        <v>0</v>
      </c>
      <c r="DQ5334">
        <v>0</v>
      </c>
      <c r="DR5334">
        <v>0</v>
      </c>
      <c r="DS5334">
        <v>0</v>
      </c>
    </row>
    <row r="5335" spans="1:123" x14ac:dyDescent="0.3">
      <c r="A5335" t="str">
        <f>"05/01/2025 15:19:20.578"</f>
        <v>05/01/2025 15:19:20.578</v>
      </c>
      <c r="C5335" t="str">
        <f t="shared" si="2104"/>
        <v>FFDFD3C0</v>
      </c>
      <c r="D5335" t="s">
        <v>143</v>
      </c>
      <c r="E5335" t="str">
        <f>"05"</f>
        <v>05</v>
      </c>
      <c r="H5335">
        <v>172</v>
      </c>
      <c r="I5335" t="s">
        <v>141</v>
      </c>
      <c r="J5335" t="s">
        <v>144</v>
      </c>
      <c r="K5335">
        <v>0</v>
      </c>
      <c r="L5335">
        <v>3</v>
      </c>
      <c r="M5335">
        <v>0</v>
      </c>
      <c r="N5335">
        <v>2</v>
      </c>
      <c r="O5335">
        <v>0</v>
      </c>
      <c r="P5335">
        <v>1</v>
      </c>
      <c r="Q5335">
        <v>0</v>
      </c>
      <c r="R5335" t="s">
        <v>127</v>
      </c>
      <c r="S5335" t="str">
        <f t="shared" si="2112"/>
        <v>15:19:20.000</v>
      </c>
      <c r="T5335" t="str">
        <f t="shared" si="2112"/>
        <v>15:19:20.000</v>
      </c>
      <c r="U5335" t="str">
        <f t="shared" si="2105"/>
        <v>A68FCB</v>
      </c>
      <c r="V5335">
        <v>0</v>
      </c>
      <c r="W5335">
        <v>0</v>
      </c>
      <c r="X5335">
        <v>2</v>
      </c>
      <c r="Y5335">
        <v>0</v>
      </c>
      <c r="AA5335">
        <v>1</v>
      </c>
      <c r="AB5335">
        <v>8</v>
      </c>
      <c r="AC5335">
        <v>3</v>
      </c>
      <c r="AD5335">
        <v>0</v>
      </c>
      <c r="AE5335">
        <v>9</v>
      </c>
      <c r="AF5335" t="s">
        <v>138</v>
      </c>
      <c r="AG5335">
        <v>0</v>
      </c>
      <c r="AH5335">
        <v>3</v>
      </c>
      <c r="AI5335">
        <v>1</v>
      </c>
      <c r="AJ5335">
        <v>0</v>
      </c>
      <c r="AK5335" t="s">
        <v>1676</v>
      </c>
      <c r="AL5335">
        <v>39.225997999999997</v>
      </c>
      <c r="AM5335" t="s">
        <v>1677</v>
      </c>
      <c r="AN5335">
        <v>-121.02749300000001</v>
      </c>
      <c r="AO5335">
        <v>25</v>
      </c>
      <c r="AP5335">
        <v>3200</v>
      </c>
      <c r="AQ5335" t="s">
        <v>131</v>
      </c>
      <c r="AR5335">
        <v>41</v>
      </c>
      <c r="AS5335">
        <v>-37</v>
      </c>
      <c r="AT5335">
        <v>-704</v>
      </c>
      <c r="BB5335" t="str">
        <f t="shared" si="2106"/>
        <v>1200</v>
      </c>
      <c r="BC5335">
        <v>1</v>
      </c>
      <c r="BD5335" t="str">
        <f t="shared" si="2107"/>
        <v xml:space="preserve">N52156  </v>
      </c>
      <c r="BE5335">
        <v>1</v>
      </c>
      <c r="BG5335">
        <v>0</v>
      </c>
      <c r="BH5335">
        <v>0</v>
      </c>
      <c r="BI5335">
        <v>0</v>
      </c>
      <c r="BJ5335">
        <v>3200</v>
      </c>
      <c r="BK5335">
        <v>0</v>
      </c>
      <c r="BL5335" t="s">
        <v>188</v>
      </c>
      <c r="BM5335">
        <v>1</v>
      </c>
      <c r="BN5335">
        <v>1</v>
      </c>
      <c r="BO5335">
        <v>0</v>
      </c>
      <c r="BP5335">
        <v>0</v>
      </c>
      <c r="BS5335">
        <v>0</v>
      </c>
      <c r="BT5335">
        <v>0</v>
      </c>
      <c r="BU5335">
        <v>0</v>
      </c>
      <c r="CE5335" t="str">
        <f t="shared" si="2113"/>
        <v>15:19:20.332</v>
      </c>
      <c r="CF5335">
        <v>331590787</v>
      </c>
      <c r="CS5335">
        <v>0</v>
      </c>
      <c r="CT5335">
        <v>2</v>
      </c>
      <c r="CU5335">
        <v>0</v>
      </c>
      <c r="CV5335">
        <v>2</v>
      </c>
      <c r="CW5335">
        <v>0</v>
      </c>
      <c r="CX5335">
        <v>3</v>
      </c>
      <c r="CY5335">
        <v>7</v>
      </c>
      <c r="CZ5335" t="s">
        <v>133</v>
      </c>
      <c r="DA5335">
        <v>276</v>
      </c>
      <c r="DB5335">
        <v>0</v>
      </c>
      <c r="DC5335" t="s">
        <v>402</v>
      </c>
      <c r="DD5335" t="s">
        <v>403</v>
      </c>
      <c r="DG5335">
        <v>1629211</v>
      </c>
      <c r="DI5335">
        <v>1</v>
      </c>
      <c r="DJ5335">
        <v>0</v>
      </c>
      <c r="DK5335">
        <v>1</v>
      </c>
      <c r="DL5335">
        <v>0</v>
      </c>
      <c r="DM5335">
        <v>0</v>
      </c>
      <c r="DN5335">
        <v>0</v>
      </c>
      <c r="DO5335">
        <v>0</v>
      </c>
      <c r="DP5335">
        <v>0</v>
      </c>
      <c r="DQ5335">
        <v>0</v>
      </c>
      <c r="DR5335">
        <v>0</v>
      </c>
      <c r="DS5335">
        <v>0</v>
      </c>
    </row>
    <row r="5336" spans="1:123" x14ac:dyDescent="0.3">
      <c r="A5336" t="str">
        <f>"05/01/2025 15:19:21.940"</f>
        <v>05/01/2025 15:19:21.940</v>
      </c>
      <c r="C5336" t="str">
        <f t="shared" si="2104"/>
        <v>FFDFD3C0</v>
      </c>
      <c r="D5336" t="s">
        <v>145</v>
      </c>
      <c r="E5336" t="str">
        <f>"09"</f>
        <v>09</v>
      </c>
      <c r="H5336">
        <v>51</v>
      </c>
      <c r="I5336" t="s">
        <v>147</v>
      </c>
      <c r="J5336" t="s">
        <v>138</v>
      </c>
      <c r="K5336">
        <v>0</v>
      </c>
      <c r="L5336">
        <v>3</v>
      </c>
      <c r="M5336">
        <v>0</v>
      </c>
      <c r="N5336">
        <v>2</v>
      </c>
      <c r="O5336">
        <v>0</v>
      </c>
      <c r="P5336">
        <v>1</v>
      </c>
      <c r="Q5336">
        <v>0</v>
      </c>
      <c r="R5336" t="s">
        <v>127</v>
      </c>
      <c r="S5336" t="str">
        <f t="shared" ref="S5336:T5341" si="2114">"15:19:21.000"</f>
        <v>15:19:21.000</v>
      </c>
      <c r="T5336" t="str">
        <f t="shared" si="2114"/>
        <v>15:19:21.000</v>
      </c>
      <c r="U5336" t="str">
        <f t="shared" si="2105"/>
        <v>A68FCB</v>
      </c>
      <c r="V5336">
        <v>0</v>
      </c>
      <c r="W5336">
        <v>0</v>
      </c>
      <c r="X5336">
        <v>2</v>
      </c>
      <c r="Y5336">
        <v>0</v>
      </c>
      <c r="AA5336">
        <v>1</v>
      </c>
      <c r="AB5336">
        <v>8</v>
      </c>
      <c r="AC5336">
        <v>3</v>
      </c>
      <c r="AD5336">
        <v>0</v>
      </c>
      <c r="AE5336">
        <v>9</v>
      </c>
      <c r="AF5336" t="s">
        <v>138</v>
      </c>
      <c r="AG5336">
        <v>0</v>
      </c>
      <c r="AH5336">
        <v>3</v>
      </c>
      <c r="AI5336">
        <v>2</v>
      </c>
      <c r="AJ5336">
        <v>0</v>
      </c>
      <c r="AK5336" t="s">
        <v>1678</v>
      </c>
      <c r="AL5336">
        <v>39.225825999999998</v>
      </c>
      <c r="AM5336" t="s">
        <v>1679</v>
      </c>
      <c r="AN5336">
        <v>-121.02725700000001</v>
      </c>
      <c r="AO5336">
        <v>25</v>
      </c>
      <c r="AP5336">
        <v>3200</v>
      </c>
      <c r="AQ5336" t="s">
        <v>131</v>
      </c>
      <c r="AR5336">
        <v>41</v>
      </c>
      <c r="AS5336">
        <v>-36</v>
      </c>
      <c r="AT5336">
        <v>-704</v>
      </c>
      <c r="BB5336" t="str">
        <f t="shared" si="2106"/>
        <v>1200</v>
      </c>
      <c r="BC5336">
        <v>1</v>
      </c>
      <c r="BD5336" t="str">
        <f t="shared" si="2107"/>
        <v xml:space="preserve">N52156  </v>
      </c>
      <c r="BE5336">
        <v>1</v>
      </c>
      <c r="BG5336">
        <v>0</v>
      </c>
      <c r="BH5336">
        <v>0</v>
      </c>
      <c r="BI5336">
        <v>0</v>
      </c>
      <c r="BJ5336">
        <v>3150</v>
      </c>
      <c r="BK5336">
        <v>-50</v>
      </c>
      <c r="BL5336" t="s">
        <v>188</v>
      </c>
      <c r="BM5336">
        <v>1</v>
      </c>
      <c r="BN5336">
        <v>1</v>
      </c>
      <c r="BO5336">
        <v>0</v>
      </c>
      <c r="BP5336">
        <v>0</v>
      </c>
      <c r="BS5336">
        <v>0</v>
      </c>
      <c r="BT5336">
        <v>0</v>
      </c>
      <c r="BU5336">
        <v>0</v>
      </c>
      <c r="CE5336" t="str">
        <f t="shared" ref="CE5336:CE5341" si="2115">"15:19:21.734"</f>
        <v>15:19:21.734</v>
      </c>
      <c r="CF5336">
        <v>733841625</v>
      </c>
      <c r="CS5336">
        <v>0</v>
      </c>
      <c r="CT5336">
        <v>2</v>
      </c>
      <c r="CU5336">
        <v>0</v>
      </c>
      <c r="CV5336">
        <v>2</v>
      </c>
      <c r="CW5336">
        <v>0</v>
      </c>
      <c r="CX5336">
        <v>3</v>
      </c>
      <c r="CY5336">
        <v>7</v>
      </c>
      <c r="CZ5336" t="s">
        <v>133</v>
      </c>
      <c r="DA5336">
        <v>276</v>
      </c>
      <c r="DB5336">
        <v>0</v>
      </c>
      <c r="DC5336" t="s">
        <v>402</v>
      </c>
      <c r="DD5336" t="s">
        <v>403</v>
      </c>
      <c r="DG5336">
        <v>1629215</v>
      </c>
      <c r="DI5336">
        <v>1</v>
      </c>
      <c r="DJ5336">
        <v>0</v>
      </c>
      <c r="DK5336">
        <v>0</v>
      </c>
      <c r="DL5336">
        <v>0</v>
      </c>
      <c r="DM5336">
        <v>0</v>
      </c>
      <c r="DN5336">
        <v>0</v>
      </c>
      <c r="DO5336">
        <v>0</v>
      </c>
      <c r="DP5336">
        <v>0</v>
      </c>
      <c r="DQ5336">
        <v>0</v>
      </c>
      <c r="DR5336">
        <v>0</v>
      </c>
      <c r="DS5336">
        <v>0</v>
      </c>
    </row>
    <row r="5337" spans="1:123" x14ac:dyDescent="0.3">
      <c r="A5337" t="str">
        <f>"05/01/2025 15:19:21.941"</f>
        <v>05/01/2025 15:19:21.941</v>
      </c>
      <c r="C5337" t="str">
        <f t="shared" si="2104"/>
        <v>FFDFD3C0</v>
      </c>
      <c r="D5337" t="s">
        <v>145</v>
      </c>
      <c r="E5337" t="str">
        <f>"05"</f>
        <v>05</v>
      </c>
      <c r="H5337">
        <v>47</v>
      </c>
      <c r="I5337" t="s">
        <v>146</v>
      </c>
      <c r="J5337" t="s">
        <v>138</v>
      </c>
      <c r="K5337">
        <v>0</v>
      </c>
      <c r="L5337">
        <v>3</v>
      </c>
      <c r="M5337">
        <v>0</v>
      </c>
      <c r="N5337">
        <v>2</v>
      </c>
      <c r="O5337">
        <v>0</v>
      </c>
      <c r="P5337">
        <v>1</v>
      </c>
      <c r="Q5337">
        <v>0</v>
      </c>
      <c r="R5337" t="s">
        <v>127</v>
      </c>
      <c r="S5337" t="str">
        <f t="shared" si="2114"/>
        <v>15:19:21.000</v>
      </c>
      <c r="T5337" t="str">
        <f t="shared" si="2114"/>
        <v>15:19:21.000</v>
      </c>
      <c r="U5337" t="str">
        <f t="shared" si="2105"/>
        <v>A68FCB</v>
      </c>
      <c r="V5337">
        <v>0</v>
      </c>
      <c r="W5337">
        <v>0</v>
      </c>
      <c r="X5337">
        <v>2</v>
      </c>
      <c r="Y5337">
        <v>0</v>
      </c>
      <c r="AA5337">
        <v>1</v>
      </c>
      <c r="AB5337">
        <v>8</v>
      </c>
      <c r="AC5337">
        <v>3</v>
      </c>
      <c r="AD5337">
        <v>0</v>
      </c>
      <c r="AE5337">
        <v>9</v>
      </c>
      <c r="AF5337" t="s">
        <v>138</v>
      </c>
      <c r="AG5337">
        <v>0</v>
      </c>
      <c r="AH5337">
        <v>3</v>
      </c>
      <c r="AI5337">
        <v>2</v>
      </c>
      <c r="AJ5337">
        <v>0</v>
      </c>
      <c r="AK5337" t="s">
        <v>1678</v>
      </c>
      <c r="AL5337">
        <v>39.225825999999998</v>
      </c>
      <c r="AM5337" t="s">
        <v>1679</v>
      </c>
      <c r="AN5337">
        <v>-121.02725700000001</v>
      </c>
      <c r="AO5337">
        <v>25</v>
      </c>
      <c r="AP5337">
        <v>3200</v>
      </c>
      <c r="AQ5337" t="s">
        <v>131</v>
      </c>
      <c r="AR5337">
        <v>41</v>
      </c>
      <c r="AS5337">
        <v>-36</v>
      </c>
      <c r="AT5337">
        <v>-704</v>
      </c>
      <c r="BB5337" t="str">
        <f t="shared" si="2106"/>
        <v>1200</v>
      </c>
      <c r="BC5337">
        <v>1</v>
      </c>
      <c r="BD5337" t="str">
        <f t="shared" si="2107"/>
        <v xml:space="preserve">N52156  </v>
      </c>
      <c r="BE5337">
        <v>1</v>
      </c>
      <c r="BG5337">
        <v>0</v>
      </c>
      <c r="BH5337">
        <v>0</v>
      </c>
      <c r="BI5337">
        <v>0</v>
      </c>
      <c r="BJ5337">
        <v>3150</v>
      </c>
      <c r="BK5337">
        <v>-50</v>
      </c>
      <c r="BL5337" t="s">
        <v>188</v>
      </c>
      <c r="BM5337">
        <v>1</v>
      </c>
      <c r="BN5337">
        <v>1</v>
      </c>
      <c r="BO5337">
        <v>0</v>
      </c>
      <c r="BP5337">
        <v>0</v>
      </c>
      <c r="BS5337">
        <v>0</v>
      </c>
      <c r="BT5337">
        <v>0</v>
      </c>
      <c r="BU5337">
        <v>0</v>
      </c>
      <c r="CE5337" t="str">
        <f t="shared" si="2115"/>
        <v>15:19:21.734</v>
      </c>
      <c r="CF5337">
        <v>733841625</v>
      </c>
      <c r="CS5337">
        <v>0</v>
      </c>
      <c r="CT5337">
        <v>2</v>
      </c>
      <c r="CU5337">
        <v>0</v>
      </c>
      <c r="CV5337">
        <v>2</v>
      </c>
      <c r="CW5337">
        <v>0</v>
      </c>
      <c r="CX5337">
        <v>3</v>
      </c>
      <c r="CY5337">
        <v>7</v>
      </c>
      <c r="CZ5337" t="s">
        <v>133</v>
      </c>
      <c r="DA5337">
        <v>276</v>
      </c>
      <c r="DB5337">
        <v>0</v>
      </c>
      <c r="DC5337" t="s">
        <v>402</v>
      </c>
      <c r="DD5337" t="s">
        <v>403</v>
      </c>
      <c r="DG5337">
        <v>1629215</v>
      </c>
      <c r="DI5337">
        <v>1</v>
      </c>
      <c r="DJ5337">
        <v>0</v>
      </c>
      <c r="DK5337">
        <v>1</v>
      </c>
      <c r="DL5337">
        <v>0</v>
      </c>
      <c r="DM5337">
        <v>0</v>
      </c>
      <c r="DN5337">
        <v>0</v>
      </c>
      <c r="DO5337">
        <v>0</v>
      </c>
      <c r="DP5337">
        <v>0</v>
      </c>
      <c r="DQ5337">
        <v>0</v>
      </c>
      <c r="DR5337">
        <v>0</v>
      </c>
      <c r="DS5337">
        <v>0</v>
      </c>
    </row>
    <row r="5338" spans="1:123" x14ac:dyDescent="0.3">
      <c r="A5338" t="str">
        <f>"05/01/2025 15:19:21.951"</f>
        <v>05/01/2025 15:19:21.951</v>
      </c>
      <c r="C5338" t="str">
        <f t="shared" si="2104"/>
        <v>FFDFD3C0</v>
      </c>
      <c r="D5338" t="s">
        <v>136</v>
      </c>
      <c r="E5338" t="str">
        <f>"20"</f>
        <v>20</v>
      </c>
      <c r="H5338">
        <v>400</v>
      </c>
      <c r="I5338" t="s">
        <v>137</v>
      </c>
      <c r="J5338" t="s">
        <v>138</v>
      </c>
      <c r="K5338">
        <v>0</v>
      </c>
      <c r="L5338">
        <v>3</v>
      </c>
      <c r="M5338">
        <v>0</v>
      </c>
      <c r="N5338">
        <v>2</v>
      </c>
      <c r="O5338">
        <v>0</v>
      </c>
      <c r="P5338">
        <v>1</v>
      </c>
      <c r="Q5338">
        <v>0</v>
      </c>
      <c r="R5338" t="s">
        <v>127</v>
      </c>
      <c r="S5338" t="str">
        <f t="shared" si="2114"/>
        <v>15:19:21.000</v>
      </c>
      <c r="T5338" t="str">
        <f t="shared" si="2114"/>
        <v>15:19:21.000</v>
      </c>
      <c r="U5338" t="str">
        <f t="shared" si="2105"/>
        <v>A68FCB</v>
      </c>
      <c r="V5338">
        <v>0</v>
      </c>
      <c r="W5338">
        <v>0</v>
      </c>
      <c r="X5338">
        <v>2</v>
      </c>
      <c r="Y5338">
        <v>0</v>
      </c>
      <c r="AA5338">
        <v>1</v>
      </c>
      <c r="AB5338">
        <v>8</v>
      </c>
      <c r="AC5338">
        <v>3</v>
      </c>
      <c r="AD5338">
        <v>0</v>
      </c>
      <c r="AE5338">
        <v>9</v>
      </c>
      <c r="AF5338" t="s">
        <v>138</v>
      </c>
      <c r="AG5338">
        <v>0</v>
      </c>
      <c r="AH5338">
        <v>3</v>
      </c>
      <c r="AI5338">
        <v>2</v>
      </c>
      <c r="AJ5338">
        <v>0</v>
      </c>
      <c r="AK5338" t="s">
        <v>1678</v>
      </c>
      <c r="AL5338">
        <v>39.225825999999998</v>
      </c>
      <c r="AM5338" t="s">
        <v>1679</v>
      </c>
      <c r="AN5338">
        <v>-121.02725700000001</v>
      </c>
      <c r="AO5338">
        <v>25</v>
      </c>
      <c r="AP5338">
        <v>3200</v>
      </c>
      <c r="AQ5338" t="s">
        <v>131</v>
      </c>
      <c r="AR5338">
        <v>41</v>
      </c>
      <c r="AS5338">
        <v>-36</v>
      </c>
      <c r="AT5338">
        <v>-704</v>
      </c>
      <c r="BB5338" t="str">
        <f t="shared" si="2106"/>
        <v>1200</v>
      </c>
      <c r="BC5338">
        <v>1</v>
      </c>
      <c r="BD5338" t="str">
        <f t="shared" si="2107"/>
        <v xml:space="preserve">N52156  </v>
      </c>
      <c r="BE5338">
        <v>1</v>
      </c>
      <c r="BG5338">
        <v>0</v>
      </c>
      <c r="BH5338">
        <v>0</v>
      </c>
      <c r="BI5338">
        <v>0</v>
      </c>
      <c r="BJ5338">
        <v>3150</v>
      </c>
      <c r="BK5338">
        <v>-50</v>
      </c>
      <c r="BL5338" t="s">
        <v>188</v>
      </c>
      <c r="BM5338">
        <v>1</v>
      </c>
      <c r="BN5338">
        <v>1</v>
      </c>
      <c r="BO5338">
        <v>0</v>
      </c>
      <c r="BP5338">
        <v>0</v>
      </c>
      <c r="BS5338">
        <v>0</v>
      </c>
      <c r="BT5338">
        <v>0</v>
      </c>
      <c r="BU5338">
        <v>0</v>
      </c>
      <c r="CE5338" t="str">
        <f t="shared" si="2115"/>
        <v>15:19:21.734</v>
      </c>
      <c r="CF5338">
        <v>733841625</v>
      </c>
      <c r="CS5338">
        <v>0</v>
      </c>
      <c r="CT5338">
        <v>2</v>
      </c>
      <c r="CU5338">
        <v>0</v>
      </c>
      <c r="CV5338">
        <v>2</v>
      </c>
      <c r="CW5338">
        <v>0</v>
      </c>
      <c r="CX5338">
        <v>3</v>
      </c>
      <c r="CY5338">
        <v>7</v>
      </c>
      <c r="CZ5338" t="s">
        <v>133</v>
      </c>
      <c r="DA5338">
        <v>276</v>
      </c>
      <c r="DB5338">
        <v>0</v>
      </c>
      <c r="DC5338" t="s">
        <v>402</v>
      </c>
      <c r="DD5338" t="s">
        <v>403</v>
      </c>
      <c r="DG5338">
        <v>1629215</v>
      </c>
      <c r="DI5338">
        <v>1</v>
      </c>
      <c r="DJ5338">
        <v>0</v>
      </c>
      <c r="DK5338">
        <v>1</v>
      </c>
      <c r="DL5338">
        <v>0</v>
      </c>
      <c r="DM5338">
        <v>0</v>
      </c>
      <c r="DN5338">
        <v>0</v>
      </c>
      <c r="DO5338">
        <v>0</v>
      </c>
      <c r="DP5338">
        <v>0</v>
      </c>
      <c r="DQ5338">
        <v>0</v>
      </c>
      <c r="DR5338">
        <v>0</v>
      </c>
      <c r="DS5338">
        <v>0</v>
      </c>
    </row>
    <row r="5339" spans="1:123" x14ac:dyDescent="0.3">
      <c r="A5339" t="str">
        <f>"05/01/2025 15:19:21.965"</f>
        <v>05/01/2025 15:19:21.965</v>
      </c>
      <c r="C5339" t="str">
        <f t="shared" si="2104"/>
        <v>FFDFD3C0</v>
      </c>
      <c r="D5339" t="s">
        <v>140</v>
      </c>
      <c r="E5339" t="str">
        <f>"13"</f>
        <v>13</v>
      </c>
      <c r="F5339">
        <v>1019</v>
      </c>
      <c r="G5339" t="s">
        <v>141</v>
      </c>
      <c r="J5339" t="s">
        <v>142</v>
      </c>
      <c r="K5339">
        <v>0</v>
      </c>
      <c r="L5339">
        <v>3</v>
      </c>
      <c r="M5339">
        <v>0</v>
      </c>
      <c r="N5339">
        <v>2</v>
      </c>
      <c r="O5339">
        <v>0</v>
      </c>
      <c r="P5339">
        <v>1</v>
      </c>
      <c r="Q5339">
        <v>0</v>
      </c>
      <c r="R5339" t="s">
        <v>127</v>
      </c>
      <c r="S5339" t="str">
        <f t="shared" si="2114"/>
        <v>15:19:21.000</v>
      </c>
      <c r="T5339" t="str">
        <f t="shared" si="2114"/>
        <v>15:19:21.000</v>
      </c>
      <c r="U5339" t="str">
        <f t="shared" si="2105"/>
        <v>A68FCB</v>
      </c>
      <c r="V5339">
        <v>0</v>
      </c>
      <c r="W5339">
        <v>0</v>
      </c>
      <c r="X5339">
        <v>2</v>
      </c>
      <c r="Y5339">
        <v>0</v>
      </c>
      <c r="AA5339">
        <v>1</v>
      </c>
      <c r="AB5339">
        <v>8</v>
      </c>
      <c r="AC5339">
        <v>3</v>
      </c>
      <c r="AD5339">
        <v>0</v>
      </c>
      <c r="AE5339">
        <v>9</v>
      </c>
      <c r="AF5339" t="s">
        <v>138</v>
      </c>
      <c r="AG5339">
        <v>0</v>
      </c>
      <c r="AH5339">
        <v>3</v>
      </c>
      <c r="AI5339">
        <v>2</v>
      </c>
      <c r="AJ5339">
        <v>0</v>
      </c>
      <c r="AK5339" t="s">
        <v>1678</v>
      </c>
      <c r="AL5339">
        <v>39.225825999999998</v>
      </c>
      <c r="AM5339" t="s">
        <v>1679</v>
      </c>
      <c r="AN5339">
        <v>-121.02725700000001</v>
      </c>
      <c r="AO5339">
        <v>25</v>
      </c>
      <c r="AP5339">
        <v>3200</v>
      </c>
      <c r="AQ5339" t="s">
        <v>131</v>
      </c>
      <c r="AR5339">
        <v>41</v>
      </c>
      <c r="AS5339">
        <v>-36</v>
      </c>
      <c r="AT5339">
        <v>-704</v>
      </c>
      <c r="BB5339" t="str">
        <f t="shared" si="2106"/>
        <v>1200</v>
      </c>
      <c r="BC5339">
        <v>1</v>
      </c>
      <c r="BD5339" t="str">
        <f t="shared" si="2107"/>
        <v xml:space="preserve">N52156  </v>
      </c>
      <c r="BE5339">
        <v>1</v>
      </c>
      <c r="BG5339">
        <v>0</v>
      </c>
      <c r="BH5339">
        <v>0</v>
      </c>
      <c r="BI5339">
        <v>0</v>
      </c>
      <c r="BJ5339">
        <v>3150</v>
      </c>
      <c r="BK5339">
        <v>-50</v>
      </c>
      <c r="BL5339" t="s">
        <v>188</v>
      </c>
      <c r="BM5339">
        <v>1</v>
      </c>
      <c r="BN5339">
        <v>1</v>
      </c>
      <c r="BO5339">
        <v>0</v>
      </c>
      <c r="BP5339">
        <v>0</v>
      </c>
      <c r="BS5339">
        <v>0</v>
      </c>
      <c r="BT5339">
        <v>0</v>
      </c>
      <c r="BU5339">
        <v>0</v>
      </c>
      <c r="CE5339" t="str">
        <f t="shared" si="2115"/>
        <v>15:19:21.734</v>
      </c>
      <c r="CF5339">
        <v>733841625</v>
      </c>
      <c r="CS5339">
        <v>0</v>
      </c>
      <c r="CT5339">
        <v>2</v>
      </c>
      <c r="CU5339">
        <v>0</v>
      </c>
      <c r="CV5339">
        <v>2</v>
      </c>
      <c r="CW5339">
        <v>0</v>
      </c>
      <c r="CX5339">
        <v>3</v>
      </c>
      <c r="CY5339">
        <v>7</v>
      </c>
      <c r="CZ5339" t="s">
        <v>133</v>
      </c>
      <c r="DA5339">
        <v>276</v>
      </c>
      <c r="DB5339">
        <v>0</v>
      </c>
      <c r="DC5339" t="s">
        <v>402</v>
      </c>
      <c r="DD5339" t="s">
        <v>403</v>
      </c>
      <c r="DG5339">
        <v>1629215</v>
      </c>
      <c r="DI5339">
        <v>1</v>
      </c>
      <c r="DJ5339">
        <v>0</v>
      </c>
      <c r="DK5339">
        <v>1</v>
      </c>
      <c r="DL5339">
        <v>0</v>
      </c>
      <c r="DM5339">
        <v>0</v>
      </c>
      <c r="DN5339">
        <v>0</v>
      </c>
      <c r="DO5339">
        <v>0</v>
      </c>
      <c r="DP5339">
        <v>0</v>
      </c>
      <c r="DQ5339">
        <v>0</v>
      </c>
      <c r="DR5339">
        <v>0</v>
      </c>
      <c r="DS5339">
        <v>0</v>
      </c>
    </row>
    <row r="5340" spans="1:123" x14ac:dyDescent="0.3">
      <c r="A5340" t="str">
        <f>"05/01/2025 15:19:21.967"</f>
        <v>05/01/2025 15:19:21.967</v>
      </c>
      <c r="C5340" t="str">
        <f t="shared" si="2104"/>
        <v>FFDFD3C0</v>
      </c>
      <c r="D5340" t="s">
        <v>124</v>
      </c>
      <c r="E5340" t="str">
        <f>"06"</f>
        <v>06</v>
      </c>
      <c r="F5340">
        <v>2006</v>
      </c>
      <c r="G5340" t="s">
        <v>125</v>
      </c>
      <c r="J5340" t="s">
        <v>126</v>
      </c>
      <c r="K5340">
        <v>0</v>
      </c>
      <c r="L5340">
        <v>3</v>
      </c>
      <c r="M5340">
        <v>0</v>
      </c>
      <c r="N5340">
        <v>2</v>
      </c>
      <c r="O5340">
        <v>0</v>
      </c>
      <c r="P5340">
        <v>1</v>
      </c>
      <c r="Q5340">
        <v>0</v>
      </c>
      <c r="R5340" t="s">
        <v>127</v>
      </c>
      <c r="S5340" t="str">
        <f t="shared" si="2114"/>
        <v>15:19:21.000</v>
      </c>
      <c r="T5340" t="str">
        <f t="shared" si="2114"/>
        <v>15:19:21.000</v>
      </c>
      <c r="U5340" t="str">
        <f t="shared" si="2105"/>
        <v>A68FCB</v>
      </c>
      <c r="V5340">
        <v>0</v>
      </c>
      <c r="W5340">
        <v>0</v>
      </c>
      <c r="X5340">
        <v>2</v>
      </c>
      <c r="Y5340">
        <v>0</v>
      </c>
      <c r="AA5340">
        <v>1</v>
      </c>
      <c r="AB5340">
        <v>8</v>
      </c>
      <c r="AC5340">
        <v>3</v>
      </c>
      <c r="AD5340">
        <v>0</v>
      </c>
      <c r="AE5340">
        <v>9</v>
      </c>
      <c r="AF5340" t="s">
        <v>138</v>
      </c>
      <c r="AG5340">
        <v>0</v>
      </c>
      <c r="AH5340">
        <v>3</v>
      </c>
      <c r="AI5340">
        <v>2</v>
      </c>
      <c r="AJ5340">
        <v>0</v>
      </c>
      <c r="AK5340" t="s">
        <v>1678</v>
      </c>
      <c r="AL5340">
        <v>39.225825999999998</v>
      </c>
      <c r="AM5340" t="s">
        <v>1679</v>
      </c>
      <c r="AN5340">
        <v>-121.02725700000001</v>
      </c>
      <c r="AO5340">
        <v>25</v>
      </c>
      <c r="AP5340">
        <v>3200</v>
      </c>
      <c r="AQ5340" t="s">
        <v>131</v>
      </c>
      <c r="AR5340">
        <v>41</v>
      </c>
      <c r="AS5340">
        <v>-36</v>
      </c>
      <c r="AT5340">
        <v>-704</v>
      </c>
      <c r="BB5340" t="str">
        <f t="shared" si="2106"/>
        <v>1200</v>
      </c>
      <c r="BC5340">
        <v>1</v>
      </c>
      <c r="BD5340" t="str">
        <f t="shared" si="2107"/>
        <v xml:space="preserve">N52156  </v>
      </c>
      <c r="BE5340">
        <v>1</v>
      </c>
      <c r="BG5340">
        <v>0</v>
      </c>
      <c r="BH5340">
        <v>0</v>
      </c>
      <c r="BI5340">
        <v>0</v>
      </c>
      <c r="BJ5340">
        <v>3150</v>
      </c>
      <c r="BK5340">
        <v>-50</v>
      </c>
      <c r="BL5340" t="s">
        <v>188</v>
      </c>
      <c r="BM5340">
        <v>1</v>
      </c>
      <c r="BN5340">
        <v>1</v>
      </c>
      <c r="BO5340">
        <v>0</v>
      </c>
      <c r="BP5340">
        <v>0</v>
      </c>
      <c r="BS5340">
        <v>0</v>
      </c>
      <c r="BT5340">
        <v>0</v>
      </c>
      <c r="BU5340">
        <v>0</v>
      </c>
      <c r="CE5340" t="str">
        <f t="shared" si="2115"/>
        <v>15:19:21.734</v>
      </c>
      <c r="CF5340">
        <v>733841625</v>
      </c>
      <c r="CS5340">
        <v>0</v>
      </c>
      <c r="CT5340">
        <v>2</v>
      </c>
      <c r="CU5340">
        <v>0</v>
      </c>
      <c r="CV5340">
        <v>2</v>
      </c>
      <c r="CW5340">
        <v>0</v>
      </c>
      <c r="CX5340">
        <v>3</v>
      </c>
      <c r="CY5340">
        <v>7</v>
      </c>
      <c r="CZ5340" t="s">
        <v>133</v>
      </c>
      <c r="DA5340">
        <v>276</v>
      </c>
      <c r="DB5340">
        <v>0</v>
      </c>
      <c r="DC5340" t="s">
        <v>402</v>
      </c>
      <c r="DD5340" t="s">
        <v>403</v>
      </c>
      <c r="DG5340">
        <v>1629215</v>
      </c>
      <c r="DI5340">
        <v>1</v>
      </c>
      <c r="DJ5340">
        <v>0</v>
      </c>
      <c r="DK5340">
        <v>1</v>
      </c>
      <c r="DL5340">
        <v>0</v>
      </c>
      <c r="DM5340">
        <v>0</v>
      </c>
      <c r="DN5340">
        <v>0</v>
      </c>
      <c r="DO5340">
        <v>0</v>
      </c>
      <c r="DP5340">
        <v>0</v>
      </c>
      <c r="DQ5340">
        <v>0</v>
      </c>
      <c r="DR5340">
        <v>0</v>
      </c>
      <c r="DS5340">
        <v>0</v>
      </c>
    </row>
    <row r="5341" spans="1:123" x14ac:dyDescent="0.3">
      <c r="A5341" t="str">
        <f>"05/01/2025 15:19:21.981"</f>
        <v>05/01/2025 15:19:21.981</v>
      </c>
      <c r="C5341" t="str">
        <f t="shared" si="2104"/>
        <v>FFDFD3C0</v>
      </c>
      <c r="D5341" t="s">
        <v>143</v>
      </c>
      <c r="E5341" t="str">
        <f>"05"</f>
        <v>05</v>
      </c>
      <c r="H5341">
        <v>172</v>
      </c>
      <c r="I5341" t="s">
        <v>141</v>
      </c>
      <c r="J5341" t="s">
        <v>144</v>
      </c>
      <c r="K5341">
        <v>0</v>
      </c>
      <c r="L5341">
        <v>3</v>
      </c>
      <c r="M5341">
        <v>0</v>
      </c>
      <c r="N5341">
        <v>2</v>
      </c>
      <c r="O5341">
        <v>0</v>
      </c>
      <c r="P5341">
        <v>1</v>
      </c>
      <c r="Q5341">
        <v>0</v>
      </c>
      <c r="R5341" t="s">
        <v>127</v>
      </c>
      <c r="S5341" t="str">
        <f t="shared" si="2114"/>
        <v>15:19:21.000</v>
      </c>
      <c r="T5341" t="str">
        <f t="shared" si="2114"/>
        <v>15:19:21.000</v>
      </c>
      <c r="U5341" t="str">
        <f t="shared" si="2105"/>
        <v>A68FCB</v>
      </c>
      <c r="V5341">
        <v>0</v>
      </c>
      <c r="W5341">
        <v>0</v>
      </c>
      <c r="X5341">
        <v>2</v>
      </c>
      <c r="Y5341">
        <v>0</v>
      </c>
      <c r="AA5341">
        <v>1</v>
      </c>
      <c r="AB5341">
        <v>8</v>
      </c>
      <c r="AC5341">
        <v>3</v>
      </c>
      <c r="AD5341">
        <v>0</v>
      </c>
      <c r="AE5341">
        <v>9</v>
      </c>
      <c r="AF5341" t="s">
        <v>138</v>
      </c>
      <c r="AG5341">
        <v>0</v>
      </c>
      <c r="AH5341">
        <v>3</v>
      </c>
      <c r="AI5341">
        <v>2</v>
      </c>
      <c r="AJ5341">
        <v>0</v>
      </c>
      <c r="AK5341" t="s">
        <v>1678</v>
      </c>
      <c r="AL5341">
        <v>39.225825999999998</v>
      </c>
      <c r="AM5341" t="s">
        <v>1679</v>
      </c>
      <c r="AN5341">
        <v>-121.02725700000001</v>
      </c>
      <c r="AO5341">
        <v>25</v>
      </c>
      <c r="AP5341">
        <v>3200</v>
      </c>
      <c r="AQ5341" t="s">
        <v>131</v>
      </c>
      <c r="AR5341">
        <v>41</v>
      </c>
      <c r="AS5341">
        <v>-36</v>
      </c>
      <c r="AT5341">
        <v>-704</v>
      </c>
      <c r="BB5341" t="str">
        <f t="shared" si="2106"/>
        <v>1200</v>
      </c>
      <c r="BC5341">
        <v>1</v>
      </c>
      <c r="BD5341" t="str">
        <f t="shared" si="2107"/>
        <v xml:space="preserve">N52156  </v>
      </c>
      <c r="BE5341">
        <v>1</v>
      </c>
      <c r="BG5341">
        <v>0</v>
      </c>
      <c r="BH5341">
        <v>0</v>
      </c>
      <c r="BI5341">
        <v>0</v>
      </c>
      <c r="BJ5341">
        <v>3150</v>
      </c>
      <c r="BK5341">
        <v>-50</v>
      </c>
      <c r="BL5341" t="s">
        <v>188</v>
      </c>
      <c r="BM5341">
        <v>1</v>
      </c>
      <c r="BN5341">
        <v>1</v>
      </c>
      <c r="BO5341">
        <v>0</v>
      </c>
      <c r="BP5341">
        <v>0</v>
      </c>
      <c r="BS5341">
        <v>0</v>
      </c>
      <c r="BT5341">
        <v>0</v>
      </c>
      <c r="BU5341">
        <v>0</v>
      </c>
      <c r="CE5341" t="str">
        <f t="shared" si="2115"/>
        <v>15:19:21.734</v>
      </c>
      <c r="CF5341">
        <v>733841625</v>
      </c>
      <c r="CS5341">
        <v>0</v>
      </c>
      <c r="CT5341">
        <v>2</v>
      </c>
      <c r="CU5341">
        <v>0</v>
      </c>
      <c r="CV5341">
        <v>2</v>
      </c>
      <c r="CW5341">
        <v>0</v>
      </c>
      <c r="CX5341">
        <v>3</v>
      </c>
      <c r="CY5341">
        <v>7</v>
      </c>
      <c r="CZ5341" t="s">
        <v>133</v>
      </c>
      <c r="DA5341">
        <v>276</v>
      </c>
      <c r="DB5341">
        <v>0</v>
      </c>
      <c r="DC5341" t="s">
        <v>402</v>
      </c>
      <c r="DD5341" t="s">
        <v>403</v>
      </c>
      <c r="DG5341">
        <v>1629215</v>
      </c>
      <c r="DI5341">
        <v>1</v>
      </c>
      <c r="DJ5341">
        <v>0</v>
      </c>
      <c r="DK5341">
        <v>1</v>
      </c>
      <c r="DL5341">
        <v>0</v>
      </c>
      <c r="DM5341">
        <v>0</v>
      </c>
      <c r="DN5341">
        <v>0</v>
      </c>
      <c r="DO5341">
        <v>0</v>
      </c>
      <c r="DP5341">
        <v>0</v>
      </c>
      <c r="DQ5341">
        <v>0</v>
      </c>
      <c r="DR5341">
        <v>0</v>
      </c>
      <c r="DS5341">
        <v>0</v>
      </c>
    </row>
    <row r="5342" spans="1:123" x14ac:dyDescent="0.3">
      <c r="A5342" t="str">
        <f>"05/01/2025 15:19:22.842"</f>
        <v>05/01/2025 15:19:22.842</v>
      </c>
      <c r="C5342" t="str">
        <f t="shared" si="2104"/>
        <v>FFDFD3C0</v>
      </c>
      <c r="D5342" t="s">
        <v>145</v>
      </c>
      <c r="E5342" t="str">
        <f>"05"</f>
        <v>05</v>
      </c>
      <c r="H5342">
        <v>47</v>
      </c>
      <c r="I5342" t="s">
        <v>146</v>
      </c>
      <c r="J5342" t="s">
        <v>138</v>
      </c>
      <c r="K5342">
        <v>0</v>
      </c>
      <c r="L5342">
        <v>3</v>
      </c>
      <c r="M5342">
        <v>0</v>
      </c>
      <c r="N5342">
        <v>2</v>
      </c>
      <c r="O5342">
        <v>0</v>
      </c>
      <c r="P5342">
        <v>1</v>
      </c>
      <c r="Q5342">
        <v>0</v>
      </c>
      <c r="R5342" t="s">
        <v>127</v>
      </c>
      <c r="S5342" t="str">
        <f t="shared" ref="S5342:T5347" si="2116">"15:19:22.000"</f>
        <v>15:19:22.000</v>
      </c>
      <c r="T5342" t="str">
        <f t="shared" si="2116"/>
        <v>15:19:22.000</v>
      </c>
      <c r="U5342" t="str">
        <f t="shared" si="2105"/>
        <v>A68FCB</v>
      </c>
      <c r="V5342">
        <v>0</v>
      </c>
      <c r="W5342">
        <v>0</v>
      </c>
      <c r="X5342">
        <v>2</v>
      </c>
      <c r="Y5342">
        <v>0</v>
      </c>
      <c r="AA5342">
        <v>1</v>
      </c>
      <c r="AB5342">
        <v>8</v>
      </c>
      <c r="AC5342">
        <v>3</v>
      </c>
      <c r="AD5342">
        <v>0</v>
      </c>
      <c r="AE5342">
        <v>9</v>
      </c>
      <c r="AF5342" t="s">
        <v>138</v>
      </c>
      <c r="AG5342">
        <v>0</v>
      </c>
      <c r="AH5342">
        <v>3</v>
      </c>
      <c r="AI5342">
        <v>2</v>
      </c>
      <c r="AJ5342">
        <v>0</v>
      </c>
      <c r="AK5342" t="s">
        <v>1680</v>
      </c>
      <c r="AL5342">
        <v>39.225655000000003</v>
      </c>
      <c r="AM5342" t="s">
        <v>1681</v>
      </c>
      <c r="AN5342">
        <v>-121.027</v>
      </c>
      <c r="AO5342">
        <v>25</v>
      </c>
      <c r="AP5342">
        <v>3200</v>
      </c>
      <c r="AQ5342" t="s">
        <v>131</v>
      </c>
      <c r="AR5342">
        <v>41</v>
      </c>
      <c r="AS5342">
        <v>-36</v>
      </c>
      <c r="AT5342">
        <v>-640</v>
      </c>
      <c r="BB5342" t="str">
        <f t="shared" si="2106"/>
        <v>1200</v>
      </c>
      <c r="BC5342">
        <v>1</v>
      </c>
      <c r="BD5342" t="str">
        <f t="shared" si="2107"/>
        <v xml:space="preserve">N52156  </v>
      </c>
      <c r="BE5342">
        <v>1</v>
      </c>
      <c r="BG5342">
        <v>0</v>
      </c>
      <c r="BH5342">
        <v>0</v>
      </c>
      <c r="BI5342">
        <v>0</v>
      </c>
      <c r="BJ5342">
        <v>3150</v>
      </c>
      <c r="BK5342">
        <v>-50</v>
      </c>
      <c r="BL5342" t="s">
        <v>188</v>
      </c>
      <c r="BM5342">
        <v>1</v>
      </c>
      <c r="BN5342">
        <v>1</v>
      </c>
      <c r="BO5342">
        <v>0</v>
      </c>
      <c r="BP5342">
        <v>0</v>
      </c>
      <c r="BS5342">
        <v>0</v>
      </c>
      <c r="BT5342">
        <v>0</v>
      </c>
      <c r="BU5342">
        <v>0</v>
      </c>
      <c r="CE5342" t="str">
        <f t="shared" ref="CE5342:CE5347" si="2117">"15:19:22.642"</f>
        <v>15:19:22.642</v>
      </c>
      <c r="CF5342">
        <v>641841323</v>
      </c>
      <c r="CS5342">
        <v>0</v>
      </c>
      <c r="CT5342">
        <v>2</v>
      </c>
      <c r="CU5342">
        <v>0</v>
      </c>
      <c r="CV5342">
        <v>2</v>
      </c>
      <c r="CW5342">
        <v>0</v>
      </c>
      <c r="CX5342">
        <v>3</v>
      </c>
      <c r="CY5342">
        <v>7</v>
      </c>
      <c r="CZ5342" t="s">
        <v>133</v>
      </c>
      <c r="DA5342">
        <v>276</v>
      </c>
      <c r="DB5342">
        <v>0</v>
      </c>
      <c r="DC5342" t="s">
        <v>402</v>
      </c>
      <c r="DD5342" t="s">
        <v>403</v>
      </c>
      <c r="DG5342">
        <v>1629220</v>
      </c>
      <c r="DI5342">
        <v>1</v>
      </c>
      <c r="DJ5342">
        <v>0</v>
      </c>
      <c r="DK5342">
        <v>0</v>
      </c>
      <c r="DL5342">
        <v>0</v>
      </c>
      <c r="DM5342">
        <v>0</v>
      </c>
      <c r="DN5342">
        <v>0</v>
      </c>
      <c r="DO5342">
        <v>0</v>
      </c>
      <c r="DP5342">
        <v>0</v>
      </c>
      <c r="DQ5342">
        <v>0</v>
      </c>
      <c r="DR5342">
        <v>0</v>
      </c>
      <c r="DS5342">
        <v>0</v>
      </c>
    </row>
    <row r="5343" spans="1:123" x14ac:dyDescent="0.3">
      <c r="A5343" t="str">
        <f>"05/01/2025 15:19:22.842"</f>
        <v>05/01/2025 15:19:22.842</v>
      </c>
      <c r="C5343" t="str">
        <f t="shared" si="2104"/>
        <v>FFDFD3C0</v>
      </c>
      <c r="D5343" t="s">
        <v>145</v>
      </c>
      <c r="E5343" t="str">
        <f>"09"</f>
        <v>09</v>
      </c>
      <c r="H5343">
        <v>51</v>
      </c>
      <c r="I5343" t="s">
        <v>147</v>
      </c>
      <c r="J5343" t="s">
        <v>138</v>
      </c>
      <c r="K5343">
        <v>0</v>
      </c>
      <c r="L5343">
        <v>3</v>
      </c>
      <c r="M5343">
        <v>0</v>
      </c>
      <c r="N5343">
        <v>2</v>
      </c>
      <c r="O5343">
        <v>0</v>
      </c>
      <c r="P5343">
        <v>1</v>
      </c>
      <c r="Q5343">
        <v>0</v>
      </c>
      <c r="R5343" t="s">
        <v>127</v>
      </c>
      <c r="S5343" t="str">
        <f t="shared" si="2116"/>
        <v>15:19:22.000</v>
      </c>
      <c r="T5343" t="str">
        <f t="shared" si="2116"/>
        <v>15:19:22.000</v>
      </c>
      <c r="U5343" t="str">
        <f t="shared" si="2105"/>
        <v>A68FCB</v>
      </c>
      <c r="V5343">
        <v>0</v>
      </c>
      <c r="W5343">
        <v>0</v>
      </c>
      <c r="X5343">
        <v>2</v>
      </c>
      <c r="Y5343">
        <v>0</v>
      </c>
      <c r="AA5343">
        <v>1</v>
      </c>
      <c r="AB5343">
        <v>8</v>
      </c>
      <c r="AC5343">
        <v>3</v>
      </c>
      <c r="AD5343">
        <v>0</v>
      </c>
      <c r="AE5343">
        <v>9</v>
      </c>
      <c r="AF5343" t="s">
        <v>138</v>
      </c>
      <c r="AG5343">
        <v>0</v>
      </c>
      <c r="AH5343">
        <v>3</v>
      </c>
      <c r="AI5343">
        <v>2</v>
      </c>
      <c r="AJ5343">
        <v>0</v>
      </c>
      <c r="AK5343" t="s">
        <v>1680</v>
      </c>
      <c r="AL5343">
        <v>39.225655000000003</v>
      </c>
      <c r="AM5343" t="s">
        <v>1681</v>
      </c>
      <c r="AN5343">
        <v>-121.027</v>
      </c>
      <c r="AO5343">
        <v>25</v>
      </c>
      <c r="AP5343">
        <v>3200</v>
      </c>
      <c r="AQ5343" t="s">
        <v>131</v>
      </c>
      <c r="AR5343">
        <v>41</v>
      </c>
      <c r="AS5343">
        <v>-36</v>
      </c>
      <c r="AT5343">
        <v>-640</v>
      </c>
      <c r="BB5343" t="str">
        <f t="shared" si="2106"/>
        <v>1200</v>
      </c>
      <c r="BC5343">
        <v>1</v>
      </c>
      <c r="BD5343" t="str">
        <f t="shared" si="2107"/>
        <v xml:space="preserve">N52156  </v>
      </c>
      <c r="BE5343">
        <v>1</v>
      </c>
      <c r="BG5343">
        <v>0</v>
      </c>
      <c r="BH5343">
        <v>0</v>
      </c>
      <c r="BI5343">
        <v>0</v>
      </c>
      <c r="BJ5343">
        <v>3150</v>
      </c>
      <c r="BK5343">
        <v>-50</v>
      </c>
      <c r="BL5343" t="s">
        <v>188</v>
      </c>
      <c r="BM5343">
        <v>1</v>
      </c>
      <c r="BN5343">
        <v>1</v>
      </c>
      <c r="BO5343">
        <v>0</v>
      </c>
      <c r="BP5343">
        <v>0</v>
      </c>
      <c r="BS5343">
        <v>0</v>
      </c>
      <c r="BT5343">
        <v>0</v>
      </c>
      <c r="BU5343">
        <v>0</v>
      </c>
      <c r="CE5343" t="str">
        <f t="shared" si="2117"/>
        <v>15:19:22.642</v>
      </c>
      <c r="CF5343">
        <v>641841323</v>
      </c>
      <c r="CS5343">
        <v>0</v>
      </c>
      <c r="CT5343">
        <v>2</v>
      </c>
      <c r="CU5343">
        <v>0</v>
      </c>
      <c r="CV5343">
        <v>2</v>
      </c>
      <c r="CW5343">
        <v>0</v>
      </c>
      <c r="CX5343">
        <v>3</v>
      </c>
      <c r="CY5343">
        <v>7</v>
      </c>
      <c r="CZ5343" t="s">
        <v>133</v>
      </c>
      <c r="DA5343">
        <v>276</v>
      </c>
      <c r="DB5343">
        <v>0</v>
      </c>
      <c r="DC5343" t="s">
        <v>402</v>
      </c>
      <c r="DD5343" t="s">
        <v>403</v>
      </c>
      <c r="DG5343">
        <v>1629220</v>
      </c>
      <c r="DI5343">
        <v>1</v>
      </c>
      <c r="DJ5343">
        <v>0</v>
      </c>
      <c r="DK5343">
        <v>1</v>
      </c>
      <c r="DL5343">
        <v>0</v>
      </c>
      <c r="DM5343">
        <v>0</v>
      </c>
      <c r="DN5343">
        <v>0</v>
      </c>
      <c r="DO5343">
        <v>0</v>
      </c>
      <c r="DP5343">
        <v>0</v>
      </c>
      <c r="DQ5343">
        <v>0</v>
      </c>
      <c r="DR5343">
        <v>0</v>
      </c>
      <c r="DS5343">
        <v>0</v>
      </c>
    </row>
    <row r="5344" spans="1:123" x14ac:dyDescent="0.3">
      <c r="A5344" t="str">
        <f>"05/01/2025 15:19:22.852"</f>
        <v>05/01/2025 15:19:22.852</v>
      </c>
      <c r="C5344" t="str">
        <f t="shared" si="2104"/>
        <v>FFDFD3C0</v>
      </c>
      <c r="D5344" t="s">
        <v>136</v>
      </c>
      <c r="E5344" t="str">
        <f>"20"</f>
        <v>20</v>
      </c>
      <c r="H5344">
        <v>400</v>
      </c>
      <c r="I5344" t="s">
        <v>137</v>
      </c>
      <c r="J5344" t="s">
        <v>138</v>
      </c>
      <c r="K5344">
        <v>0</v>
      </c>
      <c r="L5344">
        <v>3</v>
      </c>
      <c r="M5344">
        <v>0</v>
      </c>
      <c r="N5344">
        <v>2</v>
      </c>
      <c r="O5344">
        <v>0</v>
      </c>
      <c r="P5344">
        <v>1</v>
      </c>
      <c r="Q5344">
        <v>0</v>
      </c>
      <c r="R5344" t="s">
        <v>127</v>
      </c>
      <c r="S5344" t="str">
        <f t="shared" si="2116"/>
        <v>15:19:22.000</v>
      </c>
      <c r="T5344" t="str">
        <f t="shared" si="2116"/>
        <v>15:19:22.000</v>
      </c>
      <c r="U5344" t="str">
        <f t="shared" si="2105"/>
        <v>A68FCB</v>
      </c>
      <c r="V5344">
        <v>0</v>
      </c>
      <c r="W5344">
        <v>0</v>
      </c>
      <c r="X5344">
        <v>2</v>
      </c>
      <c r="Y5344">
        <v>0</v>
      </c>
      <c r="AA5344">
        <v>1</v>
      </c>
      <c r="AB5344">
        <v>8</v>
      </c>
      <c r="AC5344">
        <v>3</v>
      </c>
      <c r="AD5344">
        <v>0</v>
      </c>
      <c r="AE5344">
        <v>9</v>
      </c>
      <c r="AF5344" t="s">
        <v>138</v>
      </c>
      <c r="AG5344">
        <v>0</v>
      </c>
      <c r="AH5344">
        <v>3</v>
      </c>
      <c r="AI5344">
        <v>2</v>
      </c>
      <c r="AJ5344">
        <v>0</v>
      </c>
      <c r="AK5344" t="s">
        <v>1680</v>
      </c>
      <c r="AL5344">
        <v>39.225655000000003</v>
      </c>
      <c r="AM5344" t="s">
        <v>1681</v>
      </c>
      <c r="AN5344">
        <v>-121.027</v>
      </c>
      <c r="AO5344">
        <v>25</v>
      </c>
      <c r="AP5344">
        <v>3200</v>
      </c>
      <c r="AQ5344" t="s">
        <v>131</v>
      </c>
      <c r="AR5344">
        <v>41</v>
      </c>
      <c r="AS5344">
        <v>-36</v>
      </c>
      <c r="AT5344">
        <v>-640</v>
      </c>
      <c r="BB5344" t="str">
        <f t="shared" si="2106"/>
        <v>1200</v>
      </c>
      <c r="BC5344">
        <v>1</v>
      </c>
      <c r="BD5344" t="str">
        <f t="shared" si="2107"/>
        <v xml:space="preserve">N52156  </v>
      </c>
      <c r="BE5344">
        <v>1</v>
      </c>
      <c r="BG5344">
        <v>0</v>
      </c>
      <c r="BH5344">
        <v>0</v>
      </c>
      <c r="BI5344">
        <v>0</v>
      </c>
      <c r="BJ5344">
        <v>3150</v>
      </c>
      <c r="BK5344">
        <v>-50</v>
      </c>
      <c r="BL5344" t="s">
        <v>188</v>
      </c>
      <c r="BM5344">
        <v>1</v>
      </c>
      <c r="BN5344">
        <v>1</v>
      </c>
      <c r="BO5344">
        <v>0</v>
      </c>
      <c r="BP5344">
        <v>0</v>
      </c>
      <c r="BS5344">
        <v>0</v>
      </c>
      <c r="BT5344">
        <v>0</v>
      </c>
      <c r="BU5344">
        <v>0</v>
      </c>
      <c r="CE5344" t="str">
        <f t="shared" si="2117"/>
        <v>15:19:22.642</v>
      </c>
      <c r="CF5344">
        <v>641841323</v>
      </c>
      <c r="CS5344">
        <v>0</v>
      </c>
      <c r="CT5344">
        <v>2</v>
      </c>
      <c r="CU5344">
        <v>0</v>
      </c>
      <c r="CV5344">
        <v>2</v>
      </c>
      <c r="CW5344">
        <v>0</v>
      </c>
      <c r="CX5344">
        <v>3</v>
      </c>
      <c r="CY5344">
        <v>7</v>
      </c>
      <c r="CZ5344" t="s">
        <v>133</v>
      </c>
      <c r="DA5344">
        <v>276</v>
      </c>
      <c r="DB5344">
        <v>0</v>
      </c>
      <c r="DC5344" t="s">
        <v>402</v>
      </c>
      <c r="DD5344" t="s">
        <v>403</v>
      </c>
      <c r="DG5344">
        <v>1629220</v>
      </c>
      <c r="DI5344">
        <v>1</v>
      </c>
      <c r="DJ5344">
        <v>0</v>
      </c>
      <c r="DK5344">
        <v>1</v>
      </c>
      <c r="DL5344">
        <v>0</v>
      </c>
      <c r="DM5344">
        <v>0</v>
      </c>
      <c r="DN5344">
        <v>0</v>
      </c>
      <c r="DO5344">
        <v>0</v>
      </c>
      <c r="DP5344">
        <v>0</v>
      </c>
      <c r="DQ5344">
        <v>0</v>
      </c>
      <c r="DR5344">
        <v>0</v>
      </c>
      <c r="DS5344">
        <v>0</v>
      </c>
    </row>
    <row r="5345" spans="1:123" x14ac:dyDescent="0.3">
      <c r="A5345" t="str">
        <f>"05/01/2025 15:19:22.867"</f>
        <v>05/01/2025 15:19:22.867</v>
      </c>
      <c r="C5345" t="str">
        <f t="shared" si="2104"/>
        <v>FFDFD3C0</v>
      </c>
      <c r="D5345" t="s">
        <v>140</v>
      </c>
      <c r="E5345" t="str">
        <f>"13"</f>
        <v>13</v>
      </c>
      <c r="F5345">
        <v>1019</v>
      </c>
      <c r="G5345" t="s">
        <v>141</v>
      </c>
      <c r="J5345" t="s">
        <v>142</v>
      </c>
      <c r="K5345">
        <v>0</v>
      </c>
      <c r="L5345">
        <v>3</v>
      </c>
      <c r="M5345">
        <v>0</v>
      </c>
      <c r="N5345">
        <v>2</v>
      </c>
      <c r="O5345">
        <v>0</v>
      </c>
      <c r="P5345">
        <v>1</v>
      </c>
      <c r="Q5345">
        <v>0</v>
      </c>
      <c r="R5345" t="s">
        <v>127</v>
      </c>
      <c r="S5345" t="str">
        <f t="shared" si="2116"/>
        <v>15:19:22.000</v>
      </c>
      <c r="T5345" t="str">
        <f t="shared" si="2116"/>
        <v>15:19:22.000</v>
      </c>
      <c r="U5345" t="str">
        <f t="shared" si="2105"/>
        <v>A68FCB</v>
      </c>
      <c r="V5345">
        <v>0</v>
      </c>
      <c r="W5345">
        <v>0</v>
      </c>
      <c r="X5345">
        <v>2</v>
      </c>
      <c r="Y5345">
        <v>0</v>
      </c>
      <c r="AA5345">
        <v>1</v>
      </c>
      <c r="AB5345">
        <v>8</v>
      </c>
      <c r="AC5345">
        <v>3</v>
      </c>
      <c r="AD5345">
        <v>0</v>
      </c>
      <c r="AE5345">
        <v>9</v>
      </c>
      <c r="AF5345" t="s">
        <v>138</v>
      </c>
      <c r="AG5345">
        <v>0</v>
      </c>
      <c r="AH5345">
        <v>3</v>
      </c>
      <c r="AI5345">
        <v>2</v>
      </c>
      <c r="AJ5345">
        <v>0</v>
      </c>
      <c r="AK5345" t="s">
        <v>1680</v>
      </c>
      <c r="AL5345">
        <v>39.225655000000003</v>
      </c>
      <c r="AM5345" t="s">
        <v>1681</v>
      </c>
      <c r="AN5345">
        <v>-121.027</v>
      </c>
      <c r="AO5345">
        <v>25</v>
      </c>
      <c r="AP5345">
        <v>3200</v>
      </c>
      <c r="AQ5345" t="s">
        <v>131</v>
      </c>
      <c r="AR5345">
        <v>41</v>
      </c>
      <c r="AS5345">
        <v>-36</v>
      </c>
      <c r="AT5345">
        <v>-640</v>
      </c>
      <c r="BB5345" t="str">
        <f t="shared" si="2106"/>
        <v>1200</v>
      </c>
      <c r="BC5345">
        <v>1</v>
      </c>
      <c r="BD5345" t="str">
        <f t="shared" si="2107"/>
        <v xml:space="preserve">N52156  </v>
      </c>
      <c r="BE5345">
        <v>1</v>
      </c>
      <c r="BG5345">
        <v>0</v>
      </c>
      <c r="BH5345">
        <v>0</v>
      </c>
      <c r="BI5345">
        <v>0</v>
      </c>
      <c r="BJ5345">
        <v>3150</v>
      </c>
      <c r="BK5345">
        <v>-50</v>
      </c>
      <c r="BL5345" t="s">
        <v>188</v>
      </c>
      <c r="BM5345">
        <v>1</v>
      </c>
      <c r="BN5345">
        <v>1</v>
      </c>
      <c r="BO5345">
        <v>0</v>
      </c>
      <c r="BP5345">
        <v>0</v>
      </c>
      <c r="BS5345">
        <v>0</v>
      </c>
      <c r="BT5345">
        <v>0</v>
      </c>
      <c r="BU5345">
        <v>0</v>
      </c>
      <c r="CE5345" t="str">
        <f t="shared" si="2117"/>
        <v>15:19:22.642</v>
      </c>
      <c r="CF5345">
        <v>641841323</v>
      </c>
      <c r="CS5345">
        <v>0</v>
      </c>
      <c r="CT5345">
        <v>2</v>
      </c>
      <c r="CU5345">
        <v>0</v>
      </c>
      <c r="CV5345">
        <v>2</v>
      </c>
      <c r="CW5345">
        <v>0</v>
      </c>
      <c r="CX5345">
        <v>3</v>
      </c>
      <c r="CY5345">
        <v>7</v>
      </c>
      <c r="CZ5345" t="s">
        <v>133</v>
      </c>
      <c r="DA5345">
        <v>276</v>
      </c>
      <c r="DB5345">
        <v>0</v>
      </c>
      <c r="DC5345" t="s">
        <v>402</v>
      </c>
      <c r="DD5345" t="s">
        <v>403</v>
      </c>
      <c r="DG5345">
        <v>1629220</v>
      </c>
      <c r="DI5345">
        <v>1</v>
      </c>
      <c r="DJ5345">
        <v>0</v>
      </c>
      <c r="DK5345">
        <v>1</v>
      </c>
      <c r="DL5345">
        <v>0</v>
      </c>
      <c r="DM5345">
        <v>0</v>
      </c>
      <c r="DN5345">
        <v>0</v>
      </c>
      <c r="DO5345">
        <v>0</v>
      </c>
      <c r="DP5345">
        <v>0</v>
      </c>
      <c r="DQ5345">
        <v>0</v>
      </c>
      <c r="DR5345">
        <v>0</v>
      </c>
      <c r="DS5345">
        <v>0</v>
      </c>
    </row>
    <row r="5346" spans="1:123" x14ac:dyDescent="0.3">
      <c r="A5346" t="str">
        <f>"05/01/2025 15:19:22.869"</f>
        <v>05/01/2025 15:19:22.869</v>
      </c>
      <c r="C5346" t="str">
        <f t="shared" si="2104"/>
        <v>FFDFD3C0</v>
      </c>
      <c r="D5346" t="s">
        <v>124</v>
      </c>
      <c r="E5346" t="str">
        <f>"06"</f>
        <v>06</v>
      </c>
      <c r="F5346">
        <v>2006</v>
      </c>
      <c r="G5346" t="s">
        <v>125</v>
      </c>
      <c r="J5346" t="s">
        <v>126</v>
      </c>
      <c r="K5346">
        <v>0</v>
      </c>
      <c r="L5346">
        <v>3</v>
      </c>
      <c r="M5346">
        <v>0</v>
      </c>
      <c r="N5346">
        <v>2</v>
      </c>
      <c r="O5346">
        <v>0</v>
      </c>
      <c r="P5346">
        <v>1</v>
      </c>
      <c r="Q5346">
        <v>0</v>
      </c>
      <c r="R5346" t="s">
        <v>127</v>
      </c>
      <c r="S5346" t="str">
        <f t="shared" si="2116"/>
        <v>15:19:22.000</v>
      </c>
      <c r="T5346" t="str">
        <f t="shared" si="2116"/>
        <v>15:19:22.000</v>
      </c>
      <c r="U5346" t="str">
        <f t="shared" si="2105"/>
        <v>A68FCB</v>
      </c>
      <c r="V5346">
        <v>0</v>
      </c>
      <c r="W5346">
        <v>0</v>
      </c>
      <c r="X5346">
        <v>2</v>
      </c>
      <c r="Y5346">
        <v>0</v>
      </c>
      <c r="AA5346">
        <v>1</v>
      </c>
      <c r="AB5346">
        <v>8</v>
      </c>
      <c r="AC5346">
        <v>3</v>
      </c>
      <c r="AD5346">
        <v>0</v>
      </c>
      <c r="AE5346">
        <v>9</v>
      </c>
      <c r="AF5346" t="s">
        <v>138</v>
      </c>
      <c r="AG5346">
        <v>0</v>
      </c>
      <c r="AH5346">
        <v>3</v>
      </c>
      <c r="AI5346">
        <v>2</v>
      </c>
      <c r="AJ5346">
        <v>0</v>
      </c>
      <c r="AK5346" t="s">
        <v>1680</v>
      </c>
      <c r="AL5346">
        <v>39.225655000000003</v>
      </c>
      <c r="AM5346" t="s">
        <v>1681</v>
      </c>
      <c r="AN5346">
        <v>-121.027</v>
      </c>
      <c r="AO5346">
        <v>25</v>
      </c>
      <c r="AP5346">
        <v>3200</v>
      </c>
      <c r="AQ5346" t="s">
        <v>131</v>
      </c>
      <c r="AR5346">
        <v>41</v>
      </c>
      <c r="AS5346">
        <v>-36</v>
      </c>
      <c r="AT5346">
        <v>-640</v>
      </c>
      <c r="BB5346" t="str">
        <f t="shared" si="2106"/>
        <v>1200</v>
      </c>
      <c r="BC5346">
        <v>1</v>
      </c>
      <c r="BD5346" t="str">
        <f t="shared" si="2107"/>
        <v xml:space="preserve">N52156  </v>
      </c>
      <c r="BE5346">
        <v>1</v>
      </c>
      <c r="BG5346">
        <v>0</v>
      </c>
      <c r="BH5346">
        <v>0</v>
      </c>
      <c r="BI5346">
        <v>0</v>
      </c>
      <c r="BJ5346">
        <v>3150</v>
      </c>
      <c r="BK5346">
        <v>-50</v>
      </c>
      <c r="BL5346" t="s">
        <v>188</v>
      </c>
      <c r="BM5346">
        <v>1</v>
      </c>
      <c r="BN5346">
        <v>1</v>
      </c>
      <c r="BO5346">
        <v>0</v>
      </c>
      <c r="BP5346">
        <v>0</v>
      </c>
      <c r="BS5346">
        <v>0</v>
      </c>
      <c r="BT5346">
        <v>0</v>
      </c>
      <c r="BU5346">
        <v>0</v>
      </c>
      <c r="CE5346" t="str">
        <f t="shared" si="2117"/>
        <v>15:19:22.642</v>
      </c>
      <c r="CF5346">
        <v>641841323</v>
      </c>
      <c r="CS5346">
        <v>0</v>
      </c>
      <c r="CT5346">
        <v>2</v>
      </c>
      <c r="CU5346">
        <v>0</v>
      </c>
      <c r="CV5346">
        <v>2</v>
      </c>
      <c r="CW5346">
        <v>0</v>
      </c>
      <c r="CX5346">
        <v>3</v>
      </c>
      <c r="CY5346">
        <v>7</v>
      </c>
      <c r="CZ5346" t="s">
        <v>133</v>
      </c>
      <c r="DA5346">
        <v>276</v>
      </c>
      <c r="DB5346">
        <v>0</v>
      </c>
      <c r="DC5346" t="s">
        <v>402</v>
      </c>
      <c r="DD5346" t="s">
        <v>403</v>
      </c>
      <c r="DG5346">
        <v>1629220</v>
      </c>
      <c r="DI5346">
        <v>1</v>
      </c>
      <c r="DJ5346">
        <v>0</v>
      </c>
      <c r="DK5346">
        <v>1</v>
      </c>
      <c r="DL5346">
        <v>0</v>
      </c>
      <c r="DM5346">
        <v>0</v>
      </c>
      <c r="DN5346">
        <v>0</v>
      </c>
      <c r="DO5346">
        <v>0</v>
      </c>
      <c r="DP5346">
        <v>0</v>
      </c>
      <c r="DQ5346">
        <v>0</v>
      </c>
      <c r="DR5346">
        <v>0</v>
      </c>
      <c r="DS5346">
        <v>0</v>
      </c>
    </row>
    <row r="5347" spans="1:123" x14ac:dyDescent="0.3">
      <c r="A5347" t="str">
        <f>"05/01/2025 15:19:22.882"</f>
        <v>05/01/2025 15:19:22.882</v>
      </c>
      <c r="C5347" t="str">
        <f t="shared" si="2104"/>
        <v>FFDFD3C0</v>
      </c>
      <c r="D5347" t="s">
        <v>143</v>
      </c>
      <c r="E5347" t="str">
        <f>"05"</f>
        <v>05</v>
      </c>
      <c r="H5347">
        <v>172</v>
      </c>
      <c r="I5347" t="s">
        <v>141</v>
      </c>
      <c r="J5347" t="s">
        <v>144</v>
      </c>
      <c r="K5347">
        <v>0</v>
      </c>
      <c r="L5347">
        <v>3</v>
      </c>
      <c r="M5347">
        <v>0</v>
      </c>
      <c r="N5347">
        <v>2</v>
      </c>
      <c r="O5347">
        <v>0</v>
      </c>
      <c r="P5347">
        <v>1</v>
      </c>
      <c r="Q5347">
        <v>0</v>
      </c>
      <c r="R5347" t="s">
        <v>127</v>
      </c>
      <c r="S5347" t="str">
        <f t="shared" si="2116"/>
        <v>15:19:22.000</v>
      </c>
      <c r="T5347" t="str">
        <f t="shared" si="2116"/>
        <v>15:19:22.000</v>
      </c>
      <c r="U5347" t="str">
        <f t="shared" si="2105"/>
        <v>A68FCB</v>
      </c>
      <c r="V5347">
        <v>0</v>
      </c>
      <c r="W5347">
        <v>0</v>
      </c>
      <c r="X5347">
        <v>2</v>
      </c>
      <c r="Y5347">
        <v>0</v>
      </c>
      <c r="AA5347">
        <v>1</v>
      </c>
      <c r="AB5347">
        <v>8</v>
      </c>
      <c r="AC5347">
        <v>3</v>
      </c>
      <c r="AD5347">
        <v>0</v>
      </c>
      <c r="AE5347">
        <v>9</v>
      </c>
      <c r="AF5347" t="s">
        <v>138</v>
      </c>
      <c r="AG5347">
        <v>0</v>
      </c>
      <c r="AH5347">
        <v>3</v>
      </c>
      <c r="AI5347">
        <v>2</v>
      </c>
      <c r="AJ5347">
        <v>0</v>
      </c>
      <c r="AK5347" t="s">
        <v>1680</v>
      </c>
      <c r="AL5347">
        <v>39.225655000000003</v>
      </c>
      <c r="AM5347" t="s">
        <v>1681</v>
      </c>
      <c r="AN5347">
        <v>-121.027</v>
      </c>
      <c r="AO5347">
        <v>25</v>
      </c>
      <c r="AP5347">
        <v>3200</v>
      </c>
      <c r="AQ5347" t="s">
        <v>131</v>
      </c>
      <c r="AR5347">
        <v>41</v>
      </c>
      <c r="AS5347">
        <v>-36</v>
      </c>
      <c r="AT5347">
        <v>-640</v>
      </c>
      <c r="BB5347" t="str">
        <f t="shared" si="2106"/>
        <v>1200</v>
      </c>
      <c r="BC5347">
        <v>1</v>
      </c>
      <c r="BD5347" t="str">
        <f t="shared" si="2107"/>
        <v xml:space="preserve">N52156  </v>
      </c>
      <c r="BE5347">
        <v>1</v>
      </c>
      <c r="BG5347">
        <v>0</v>
      </c>
      <c r="BH5347">
        <v>0</v>
      </c>
      <c r="BI5347">
        <v>0</v>
      </c>
      <c r="BJ5347">
        <v>3150</v>
      </c>
      <c r="BK5347">
        <v>-50</v>
      </c>
      <c r="BL5347" t="s">
        <v>188</v>
      </c>
      <c r="BM5347">
        <v>1</v>
      </c>
      <c r="BN5347">
        <v>1</v>
      </c>
      <c r="BO5347">
        <v>0</v>
      </c>
      <c r="BP5347">
        <v>0</v>
      </c>
      <c r="BS5347">
        <v>0</v>
      </c>
      <c r="BT5347">
        <v>0</v>
      </c>
      <c r="BU5347">
        <v>0</v>
      </c>
      <c r="CE5347" t="str">
        <f t="shared" si="2117"/>
        <v>15:19:22.642</v>
      </c>
      <c r="CF5347">
        <v>641841323</v>
      </c>
      <c r="CS5347">
        <v>0</v>
      </c>
      <c r="CT5347">
        <v>2</v>
      </c>
      <c r="CU5347">
        <v>0</v>
      </c>
      <c r="CV5347">
        <v>2</v>
      </c>
      <c r="CW5347">
        <v>0</v>
      </c>
      <c r="CX5347">
        <v>3</v>
      </c>
      <c r="CY5347">
        <v>7</v>
      </c>
      <c r="CZ5347" t="s">
        <v>133</v>
      </c>
      <c r="DA5347">
        <v>276</v>
      </c>
      <c r="DB5347">
        <v>0</v>
      </c>
      <c r="DC5347" t="s">
        <v>402</v>
      </c>
      <c r="DD5347" t="s">
        <v>403</v>
      </c>
      <c r="DG5347">
        <v>1629220</v>
      </c>
      <c r="DI5347">
        <v>1</v>
      </c>
      <c r="DJ5347">
        <v>0</v>
      </c>
      <c r="DK5347">
        <v>1</v>
      </c>
      <c r="DL5347">
        <v>0</v>
      </c>
      <c r="DM5347">
        <v>0</v>
      </c>
      <c r="DN5347">
        <v>0</v>
      </c>
      <c r="DO5347">
        <v>0</v>
      </c>
      <c r="DP5347">
        <v>0</v>
      </c>
      <c r="DQ5347">
        <v>0</v>
      </c>
      <c r="DR5347">
        <v>0</v>
      </c>
      <c r="DS5347">
        <v>0</v>
      </c>
    </row>
    <row r="5348" spans="1:123" x14ac:dyDescent="0.3">
      <c r="A5348" t="str">
        <f>"05/01/2025 15:19:23.653"</f>
        <v>05/01/2025 15:19:23.653</v>
      </c>
      <c r="C5348" t="str">
        <f t="shared" si="2104"/>
        <v>FFDFD3C0</v>
      </c>
      <c r="D5348" t="s">
        <v>136</v>
      </c>
      <c r="E5348" t="str">
        <f>"20"</f>
        <v>20</v>
      </c>
      <c r="H5348">
        <v>400</v>
      </c>
      <c r="I5348" t="s">
        <v>137</v>
      </c>
      <c r="J5348" t="s">
        <v>138</v>
      </c>
      <c r="K5348">
        <v>0</v>
      </c>
      <c r="L5348">
        <v>3</v>
      </c>
      <c r="M5348">
        <v>0</v>
      </c>
      <c r="N5348">
        <v>2</v>
      </c>
      <c r="O5348">
        <v>0</v>
      </c>
      <c r="P5348">
        <v>1</v>
      </c>
      <c r="Q5348">
        <v>0</v>
      </c>
      <c r="R5348" t="s">
        <v>127</v>
      </c>
      <c r="S5348" t="str">
        <f t="shared" ref="S5348:T5353" si="2118">"15:19:23.000"</f>
        <v>15:19:23.000</v>
      </c>
      <c r="T5348" t="str">
        <f t="shared" si="2118"/>
        <v>15:19:23.000</v>
      </c>
      <c r="U5348" t="str">
        <f t="shared" si="2105"/>
        <v>A68FCB</v>
      </c>
      <c r="V5348">
        <v>0</v>
      </c>
      <c r="W5348">
        <v>0</v>
      </c>
      <c r="X5348">
        <v>2</v>
      </c>
      <c r="Y5348">
        <v>0</v>
      </c>
      <c r="AA5348">
        <v>1</v>
      </c>
      <c r="AB5348">
        <v>8</v>
      </c>
      <c r="AC5348">
        <v>3</v>
      </c>
      <c r="AD5348">
        <v>0</v>
      </c>
      <c r="AE5348">
        <v>9</v>
      </c>
      <c r="AF5348" t="s">
        <v>138</v>
      </c>
      <c r="AG5348">
        <v>0</v>
      </c>
      <c r="AH5348">
        <v>3</v>
      </c>
      <c r="AI5348">
        <v>2</v>
      </c>
      <c r="AJ5348">
        <v>0</v>
      </c>
      <c r="AK5348" t="s">
        <v>1682</v>
      </c>
      <c r="AL5348">
        <v>39.225482999999997</v>
      </c>
      <c r="AM5348" t="s">
        <v>1683</v>
      </c>
      <c r="AN5348">
        <v>-121.026742</v>
      </c>
      <c r="AO5348">
        <v>25</v>
      </c>
      <c r="AP5348">
        <v>3200</v>
      </c>
      <c r="AQ5348" t="s">
        <v>131</v>
      </c>
      <c r="AR5348">
        <v>40</v>
      </c>
      <c r="AS5348">
        <v>-36</v>
      </c>
      <c r="AT5348">
        <v>-640</v>
      </c>
      <c r="BB5348" t="str">
        <f t="shared" si="2106"/>
        <v>1200</v>
      </c>
      <c r="BC5348">
        <v>1</v>
      </c>
      <c r="BD5348" t="str">
        <f t="shared" si="2107"/>
        <v xml:space="preserve">N52156  </v>
      </c>
      <c r="BE5348">
        <v>1</v>
      </c>
      <c r="BG5348">
        <v>0</v>
      </c>
      <c r="BH5348">
        <v>0</v>
      </c>
      <c r="BI5348">
        <v>0</v>
      </c>
      <c r="BJ5348">
        <v>3150</v>
      </c>
      <c r="BK5348">
        <v>-50</v>
      </c>
      <c r="BL5348" t="s">
        <v>188</v>
      </c>
      <c r="BM5348">
        <v>1</v>
      </c>
      <c r="BN5348">
        <v>1</v>
      </c>
      <c r="BO5348">
        <v>0</v>
      </c>
      <c r="BP5348">
        <v>0</v>
      </c>
      <c r="BS5348">
        <v>0</v>
      </c>
      <c r="BT5348">
        <v>0</v>
      </c>
      <c r="BU5348">
        <v>0</v>
      </c>
      <c r="CE5348" t="str">
        <f t="shared" ref="CE5348:CE5353" si="2119">"15:19:23.450"</f>
        <v>15:19:23.450</v>
      </c>
      <c r="CF5348">
        <v>449840744</v>
      </c>
      <c r="CS5348">
        <v>0</v>
      </c>
      <c r="CT5348">
        <v>2</v>
      </c>
      <c r="CU5348">
        <v>0</v>
      </c>
      <c r="CV5348">
        <v>2</v>
      </c>
      <c r="CW5348">
        <v>0</v>
      </c>
      <c r="CX5348">
        <v>3</v>
      </c>
      <c r="CY5348">
        <v>7</v>
      </c>
      <c r="CZ5348" t="s">
        <v>133</v>
      </c>
      <c r="DA5348">
        <v>276</v>
      </c>
      <c r="DB5348">
        <v>0</v>
      </c>
      <c r="DC5348" t="s">
        <v>402</v>
      </c>
      <c r="DD5348" t="s">
        <v>403</v>
      </c>
      <c r="DG5348">
        <v>1629221</v>
      </c>
      <c r="DI5348">
        <v>1</v>
      </c>
      <c r="DJ5348">
        <v>0</v>
      </c>
      <c r="DK5348">
        <v>0</v>
      </c>
      <c r="DL5348">
        <v>0</v>
      </c>
      <c r="DM5348">
        <v>0</v>
      </c>
      <c r="DN5348">
        <v>0</v>
      </c>
      <c r="DO5348">
        <v>0</v>
      </c>
      <c r="DP5348">
        <v>0</v>
      </c>
      <c r="DQ5348">
        <v>0</v>
      </c>
      <c r="DR5348">
        <v>0</v>
      </c>
      <c r="DS5348">
        <v>0</v>
      </c>
    </row>
    <row r="5349" spans="1:123" x14ac:dyDescent="0.3">
      <c r="A5349" t="str">
        <f>"05/01/2025 15:19:23.668"</f>
        <v>05/01/2025 15:19:23.668</v>
      </c>
      <c r="C5349" t="str">
        <f t="shared" si="2104"/>
        <v>FFDFD3C0</v>
      </c>
      <c r="D5349" t="s">
        <v>140</v>
      </c>
      <c r="E5349" t="str">
        <f>"13"</f>
        <v>13</v>
      </c>
      <c r="F5349">
        <v>1019</v>
      </c>
      <c r="G5349" t="s">
        <v>141</v>
      </c>
      <c r="J5349" t="s">
        <v>142</v>
      </c>
      <c r="K5349">
        <v>0</v>
      </c>
      <c r="L5349">
        <v>3</v>
      </c>
      <c r="M5349">
        <v>0</v>
      </c>
      <c r="N5349">
        <v>2</v>
      </c>
      <c r="O5349">
        <v>0</v>
      </c>
      <c r="P5349">
        <v>1</v>
      </c>
      <c r="Q5349">
        <v>0</v>
      </c>
      <c r="R5349" t="s">
        <v>127</v>
      </c>
      <c r="S5349" t="str">
        <f t="shared" si="2118"/>
        <v>15:19:23.000</v>
      </c>
      <c r="T5349" t="str">
        <f t="shared" si="2118"/>
        <v>15:19:23.000</v>
      </c>
      <c r="U5349" t="str">
        <f t="shared" si="2105"/>
        <v>A68FCB</v>
      </c>
      <c r="V5349">
        <v>0</v>
      </c>
      <c r="W5349">
        <v>0</v>
      </c>
      <c r="X5349">
        <v>2</v>
      </c>
      <c r="Y5349">
        <v>0</v>
      </c>
      <c r="AA5349">
        <v>1</v>
      </c>
      <c r="AB5349">
        <v>8</v>
      </c>
      <c r="AC5349">
        <v>3</v>
      </c>
      <c r="AD5349">
        <v>0</v>
      </c>
      <c r="AE5349">
        <v>9</v>
      </c>
      <c r="AF5349" t="s">
        <v>138</v>
      </c>
      <c r="AG5349">
        <v>0</v>
      </c>
      <c r="AH5349">
        <v>3</v>
      </c>
      <c r="AI5349">
        <v>2</v>
      </c>
      <c r="AJ5349">
        <v>0</v>
      </c>
      <c r="AK5349" t="s">
        <v>1682</v>
      </c>
      <c r="AL5349">
        <v>39.225482999999997</v>
      </c>
      <c r="AM5349" t="s">
        <v>1683</v>
      </c>
      <c r="AN5349">
        <v>-121.026742</v>
      </c>
      <c r="AO5349">
        <v>25</v>
      </c>
      <c r="AP5349">
        <v>3200</v>
      </c>
      <c r="AQ5349" t="s">
        <v>131</v>
      </c>
      <c r="AR5349">
        <v>40</v>
      </c>
      <c r="AS5349">
        <v>-36</v>
      </c>
      <c r="AT5349">
        <v>-640</v>
      </c>
      <c r="BB5349" t="str">
        <f t="shared" si="2106"/>
        <v>1200</v>
      </c>
      <c r="BC5349">
        <v>1</v>
      </c>
      <c r="BD5349" t="str">
        <f t="shared" si="2107"/>
        <v xml:space="preserve">N52156  </v>
      </c>
      <c r="BE5349">
        <v>1</v>
      </c>
      <c r="BG5349">
        <v>0</v>
      </c>
      <c r="BH5349">
        <v>0</v>
      </c>
      <c r="BI5349">
        <v>0</v>
      </c>
      <c r="BJ5349">
        <v>3150</v>
      </c>
      <c r="BK5349">
        <v>-50</v>
      </c>
      <c r="BL5349" t="s">
        <v>188</v>
      </c>
      <c r="BM5349">
        <v>1</v>
      </c>
      <c r="BN5349">
        <v>1</v>
      </c>
      <c r="BO5349">
        <v>0</v>
      </c>
      <c r="BP5349">
        <v>0</v>
      </c>
      <c r="BS5349">
        <v>0</v>
      </c>
      <c r="BT5349">
        <v>0</v>
      </c>
      <c r="BU5349">
        <v>0</v>
      </c>
      <c r="CE5349" t="str">
        <f t="shared" si="2119"/>
        <v>15:19:23.450</v>
      </c>
      <c r="CF5349">
        <v>449840744</v>
      </c>
      <c r="CS5349">
        <v>0</v>
      </c>
      <c r="CT5349">
        <v>2</v>
      </c>
      <c r="CU5349">
        <v>0</v>
      </c>
      <c r="CV5349">
        <v>2</v>
      </c>
      <c r="CW5349">
        <v>0</v>
      </c>
      <c r="CX5349">
        <v>3</v>
      </c>
      <c r="CY5349">
        <v>7</v>
      </c>
      <c r="CZ5349" t="s">
        <v>133</v>
      </c>
      <c r="DA5349">
        <v>276</v>
      </c>
      <c r="DB5349">
        <v>0</v>
      </c>
      <c r="DC5349" t="s">
        <v>402</v>
      </c>
      <c r="DD5349" t="s">
        <v>403</v>
      </c>
      <c r="DG5349">
        <v>1629221</v>
      </c>
      <c r="DI5349">
        <v>1</v>
      </c>
      <c r="DJ5349">
        <v>0</v>
      </c>
      <c r="DK5349">
        <v>1</v>
      </c>
      <c r="DL5349">
        <v>0</v>
      </c>
      <c r="DM5349">
        <v>0</v>
      </c>
      <c r="DN5349">
        <v>0</v>
      </c>
      <c r="DO5349">
        <v>0</v>
      </c>
      <c r="DP5349">
        <v>0</v>
      </c>
      <c r="DQ5349">
        <v>0</v>
      </c>
      <c r="DR5349">
        <v>0</v>
      </c>
      <c r="DS5349">
        <v>0</v>
      </c>
    </row>
    <row r="5350" spans="1:123" x14ac:dyDescent="0.3">
      <c r="A5350" t="str">
        <f>"05/01/2025 15:19:23.670"</f>
        <v>05/01/2025 15:19:23.670</v>
      </c>
      <c r="C5350" t="str">
        <f t="shared" si="2104"/>
        <v>FFDFD3C0</v>
      </c>
      <c r="D5350" t="s">
        <v>124</v>
      </c>
      <c r="E5350" t="str">
        <f>"06"</f>
        <v>06</v>
      </c>
      <c r="F5350">
        <v>2006</v>
      </c>
      <c r="G5350" t="s">
        <v>125</v>
      </c>
      <c r="J5350" t="s">
        <v>126</v>
      </c>
      <c r="K5350">
        <v>0</v>
      </c>
      <c r="L5350">
        <v>3</v>
      </c>
      <c r="M5350">
        <v>0</v>
      </c>
      <c r="N5350">
        <v>2</v>
      </c>
      <c r="O5350">
        <v>0</v>
      </c>
      <c r="P5350">
        <v>1</v>
      </c>
      <c r="Q5350">
        <v>0</v>
      </c>
      <c r="R5350" t="s">
        <v>127</v>
      </c>
      <c r="S5350" t="str">
        <f t="shared" si="2118"/>
        <v>15:19:23.000</v>
      </c>
      <c r="T5350" t="str">
        <f t="shared" si="2118"/>
        <v>15:19:23.000</v>
      </c>
      <c r="U5350" t="str">
        <f t="shared" si="2105"/>
        <v>A68FCB</v>
      </c>
      <c r="V5350">
        <v>0</v>
      </c>
      <c r="W5350">
        <v>0</v>
      </c>
      <c r="X5350">
        <v>2</v>
      </c>
      <c r="Y5350">
        <v>0</v>
      </c>
      <c r="AA5350">
        <v>1</v>
      </c>
      <c r="AB5350">
        <v>8</v>
      </c>
      <c r="AC5350">
        <v>3</v>
      </c>
      <c r="AD5350">
        <v>0</v>
      </c>
      <c r="AE5350">
        <v>9</v>
      </c>
      <c r="AF5350" t="s">
        <v>138</v>
      </c>
      <c r="AG5350">
        <v>0</v>
      </c>
      <c r="AH5350">
        <v>3</v>
      </c>
      <c r="AI5350">
        <v>2</v>
      </c>
      <c r="AJ5350">
        <v>0</v>
      </c>
      <c r="AK5350" t="s">
        <v>1682</v>
      </c>
      <c r="AL5350">
        <v>39.225482999999997</v>
      </c>
      <c r="AM5350" t="s">
        <v>1683</v>
      </c>
      <c r="AN5350">
        <v>-121.026742</v>
      </c>
      <c r="AO5350">
        <v>25</v>
      </c>
      <c r="AP5350">
        <v>3200</v>
      </c>
      <c r="AQ5350" t="s">
        <v>131</v>
      </c>
      <c r="AR5350">
        <v>40</v>
      </c>
      <c r="AS5350">
        <v>-36</v>
      </c>
      <c r="AT5350">
        <v>-640</v>
      </c>
      <c r="BB5350" t="str">
        <f t="shared" si="2106"/>
        <v>1200</v>
      </c>
      <c r="BC5350">
        <v>1</v>
      </c>
      <c r="BD5350" t="str">
        <f t="shared" si="2107"/>
        <v xml:space="preserve">N52156  </v>
      </c>
      <c r="BE5350">
        <v>1</v>
      </c>
      <c r="BG5350">
        <v>0</v>
      </c>
      <c r="BH5350">
        <v>0</v>
      </c>
      <c r="BI5350">
        <v>0</v>
      </c>
      <c r="BJ5350">
        <v>3150</v>
      </c>
      <c r="BK5350">
        <v>-50</v>
      </c>
      <c r="BL5350" t="s">
        <v>188</v>
      </c>
      <c r="BM5350">
        <v>1</v>
      </c>
      <c r="BN5350">
        <v>1</v>
      </c>
      <c r="BO5350">
        <v>0</v>
      </c>
      <c r="BP5350">
        <v>0</v>
      </c>
      <c r="BS5350">
        <v>0</v>
      </c>
      <c r="BT5350">
        <v>0</v>
      </c>
      <c r="BU5350">
        <v>0</v>
      </c>
      <c r="CE5350" t="str">
        <f t="shared" si="2119"/>
        <v>15:19:23.450</v>
      </c>
      <c r="CF5350">
        <v>449840744</v>
      </c>
      <c r="CS5350">
        <v>0</v>
      </c>
      <c r="CT5350">
        <v>2</v>
      </c>
      <c r="CU5350">
        <v>0</v>
      </c>
      <c r="CV5350">
        <v>2</v>
      </c>
      <c r="CW5350">
        <v>0</v>
      </c>
      <c r="CX5350">
        <v>3</v>
      </c>
      <c r="CY5350">
        <v>7</v>
      </c>
      <c r="CZ5350" t="s">
        <v>133</v>
      </c>
      <c r="DA5350">
        <v>276</v>
      </c>
      <c r="DB5350">
        <v>0</v>
      </c>
      <c r="DC5350" t="s">
        <v>402</v>
      </c>
      <c r="DD5350" t="s">
        <v>403</v>
      </c>
      <c r="DG5350">
        <v>1629221</v>
      </c>
      <c r="DI5350">
        <v>1</v>
      </c>
      <c r="DJ5350">
        <v>0</v>
      </c>
      <c r="DK5350">
        <v>1</v>
      </c>
      <c r="DL5350">
        <v>0</v>
      </c>
      <c r="DM5350">
        <v>0</v>
      </c>
      <c r="DN5350">
        <v>0</v>
      </c>
      <c r="DO5350">
        <v>0</v>
      </c>
      <c r="DP5350">
        <v>0</v>
      </c>
      <c r="DQ5350">
        <v>0</v>
      </c>
      <c r="DR5350">
        <v>0</v>
      </c>
      <c r="DS5350">
        <v>0</v>
      </c>
    </row>
    <row r="5351" spans="1:123" x14ac:dyDescent="0.3">
      <c r="A5351" t="str">
        <f>"05/01/2025 15:19:23.683"</f>
        <v>05/01/2025 15:19:23.683</v>
      </c>
      <c r="C5351" t="str">
        <f t="shared" si="2104"/>
        <v>FFDFD3C0</v>
      </c>
      <c r="D5351" t="s">
        <v>143</v>
      </c>
      <c r="E5351" t="str">
        <f>"05"</f>
        <v>05</v>
      </c>
      <c r="H5351">
        <v>172</v>
      </c>
      <c r="I5351" t="s">
        <v>141</v>
      </c>
      <c r="J5351" t="s">
        <v>144</v>
      </c>
      <c r="K5351">
        <v>0</v>
      </c>
      <c r="L5351">
        <v>3</v>
      </c>
      <c r="M5351">
        <v>0</v>
      </c>
      <c r="N5351">
        <v>2</v>
      </c>
      <c r="O5351">
        <v>0</v>
      </c>
      <c r="P5351">
        <v>1</v>
      </c>
      <c r="Q5351">
        <v>0</v>
      </c>
      <c r="R5351" t="s">
        <v>127</v>
      </c>
      <c r="S5351" t="str">
        <f t="shared" si="2118"/>
        <v>15:19:23.000</v>
      </c>
      <c r="T5351" t="str">
        <f t="shared" si="2118"/>
        <v>15:19:23.000</v>
      </c>
      <c r="U5351" t="str">
        <f t="shared" si="2105"/>
        <v>A68FCB</v>
      </c>
      <c r="V5351">
        <v>0</v>
      </c>
      <c r="W5351">
        <v>0</v>
      </c>
      <c r="X5351">
        <v>2</v>
      </c>
      <c r="Y5351">
        <v>0</v>
      </c>
      <c r="AA5351">
        <v>1</v>
      </c>
      <c r="AB5351">
        <v>8</v>
      </c>
      <c r="AC5351">
        <v>3</v>
      </c>
      <c r="AD5351">
        <v>0</v>
      </c>
      <c r="AE5351">
        <v>9</v>
      </c>
      <c r="AF5351" t="s">
        <v>138</v>
      </c>
      <c r="AG5351">
        <v>0</v>
      </c>
      <c r="AH5351">
        <v>3</v>
      </c>
      <c r="AI5351">
        <v>2</v>
      </c>
      <c r="AJ5351">
        <v>0</v>
      </c>
      <c r="AK5351" t="s">
        <v>1682</v>
      </c>
      <c r="AL5351">
        <v>39.225482999999997</v>
      </c>
      <c r="AM5351" t="s">
        <v>1683</v>
      </c>
      <c r="AN5351">
        <v>-121.026742</v>
      </c>
      <c r="AO5351">
        <v>25</v>
      </c>
      <c r="AP5351">
        <v>3200</v>
      </c>
      <c r="AQ5351" t="s">
        <v>131</v>
      </c>
      <c r="AR5351">
        <v>40</v>
      </c>
      <c r="AS5351">
        <v>-36</v>
      </c>
      <c r="AT5351">
        <v>-640</v>
      </c>
      <c r="BB5351" t="str">
        <f t="shared" si="2106"/>
        <v>1200</v>
      </c>
      <c r="BC5351">
        <v>1</v>
      </c>
      <c r="BD5351" t="str">
        <f t="shared" si="2107"/>
        <v xml:space="preserve">N52156  </v>
      </c>
      <c r="BE5351">
        <v>1</v>
      </c>
      <c r="BG5351">
        <v>0</v>
      </c>
      <c r="BH5351">
        <v>0</v>
      </c>
      <c r="BI5351">
        <v>0</v>
      </c>
      <c r="BJ5351">
        <v>3150</v>
      </c>
      <c r="BK5351">
        <v>-50</v>
      </c>
      <c r="BL5351" t="s">
        <v>188</v>
      </c>
      <c r="BM5351">
        <v>1</v>
      </c>
      <c r="BN5351">
        <v>1</v>
      </c>
      <c r="BO5351">
        <v>0</v>
      </c>
      <c r="BP5351">
        <v>0</v>
      </c>
      <c r="BS5351">
        <v>0</v>
      </c>
      <c r="BT5351">
        <v>0</v>
      </c>
      <c r="BU5351">
        <v>0</v>
      </c>
      <c r="CE5351" t="str">
        <f t="shared" si="2119"/>
        <v>15:19:23.450</v>
      </c>
      <c r="CF5351">
        <v>449840744</v>
      </c>
      <c r="CS5351">
        <v>0</v>
      </c>
      <c r="CT5351">
        <v>2</v>
      </c>
      <c r="CU5351">
        <v>0</v>
      </c>
      <c r="CV5351">
        <v>2</v>
      </c>
      <c r="CW5351">
        <v>0</v>
      </c>
      <c r="CX5351">
        <v>3</v>
      </c>
      <c r="CY5351">
        <v>7</v>
      </c>
      <c r="CZ5351" t="s">
        <v>133</v>
      </c>
      <c r="DA5351">
        <v>276</v>
      </c>
      <c r="DB5351">
        <v>0</v>
      </c>
      <c r="DC5351" t="s">
        <v>402</v>
      </c>
      <c r="DD5351" t="s">
        <v>403</v>
      </c>
      <c r="DG5351">
        <v>1629221</v>
      </c>
      <c r="DI5351">
        <v>1</v>
      </c>
      <c r="DJ5351">
        <v>0</v>
      </c>
      <c r="DK5351">
        <v>1</v>
      </c>
      <c r="DL5351">
        <v>0</v>
      </c>
      <c r="DM5351">
        <v>0</v>
      </c>
      <c r="DN5351">
        <v>0</v>
      </c>
      <c r="DO5351">
        <v>0</v>
      </c>
      <c r="DP5351">
        <v>0</v>
      </c>
      <c r="DQ5351">
        <v>0</v>
      </c>
      <c r="DR5351">
        <v>0</v>
      </c>
      <c r="DS5351">
        <v>0</v>
      </c>
    </row>
    <row r="5352" spans="1:123" x14ac:dyDescent="0.3">
      <c r="A5352" t="str">
        <f>"05/01/2025 15:19:23.693"</f>
        <v>05/01/2025 15:19:23.693</v>
      </c>
      <c r="C5352" t="str">
        <f t="shared" si="2104"/>
        <v>FFDFD3C0</v>
      </c>
      <c r="D5352" t="s">
        <v>145</v>
      </c>
      <c r="E5352" t="str">
        <f>"09"</f>
        <v>09</v>
      </c>
      <c r="H5352">
        <v>51</v>
      </c>
      <c r="I5352" t="s">
        <v>147</v>
      </c>
      <c r="J5352" t="s">
        <v>138</v>
      </c>
      <c r="K5352">
        <v>0</v>
      </c>
      <c r="L5352">
        <v>3</v>
      </c>
      <c r="M5352">
        <v>0</v>
      </c>
      <c r="N5352">
        <v>2</v>
      </c>
      <c r="O5352">
        <v>0</v>
      </c>
      <c r="P5352">
        <v>1</v>
      </c>
      <c r="Q5352">
        <v>0</v>
      </c>
      <c r="R5352" t="s">
        <v>127</v>
      </c>
      <c r="S5352" t="str">
        <f t="shared" si="2118"/>
        <v>15:19:23.000</v>
      </c>
      <c r="T5352" t="str">
        <f t="shared" si="2118"/>
        <v>15:19:23.000</v>
      </c>
      <c r="U5352" t="str">
        <f t="shared" si="2105"/>
        <v>A68FCB</v>
      </c>
      <c r="V5352">
        <v>0</v>
      </c>
      <c r="W5352">
        <v>0</v>
      </c>
      <c r="X5352">
        <v>2</v>
      </c>
      <c r="Y5352">
        <v>0</v>
      </c>
      <c r="AA5352">
        <v>1</v>
      </c>
      <c r="AB5352">
        <v>8</v>
      </c>
      <c r="AC5352">
        <v>3</v>
      </c>
      <c r="AD5352">
        <v>0</v>
      </c>
      <c r="AE5352">
        <v>9</v>
      </c>
      <c r="AF5352" t="s">
        <v>138</v>
      </c>
      <c r="AG5352">
        <v>0</v>
      </c>
      <c r="AH5352">
        <v>3</v>
      </c>
      <c r="AI5352">
        <v>2</v>
      </c>
      <c r="AJ5352">
        <v>0</v>
      </c>
      <c r="AK5352" t="s">
        <v>1682</v>
      </c>
      <c r="AL5352">
        <v>39.225482999999997</v>
      </c>
      <c r="AM5352" t="s">
        <v>1683</v>
      </c>
      <c r="AN5352">
        <v>-121.026742</v>
      </c>
      <c r="AO5352">
        <v>25</v>
      </c>
      <c r="AP5352">
        <v>3200</v>
      </c>
      <c r="AQ5352" t="s">
        <v>131</v>
      </c>
      <c r="AR5352">
        <v>40</v>
      </c>
      <c r="AS5352">
        <v>-36</v>
      </c>
      <c r="AT5352">
        <v>-640</v>
      </c>
      <c r="BB5352" t="str">
        <f t="shared" si="2106"/>
        <v>1200</v>
      </c>
      <c r="BC5352">
        <v>1</v>
      </c>
      <c r="BD5352" t="str">
        <f t="shared" si="2107"/>
        <v xml:space="preserve">N52156  </v>
      </c>
      <c r="BE5352">
        <v>1</v>
      </c>
      <c r="BG5352">
        <v>0</v>
      </c>
      <c r="BH5352">
        <v>0</v>
      </c>
      <c r="BI5352">
        <v>0</v>
      </c>
      <c r="BJ5352">
        <v>3150</v>
      </c>
      <c r="BK5352">
        <v>-50</v>
      </c>
      <c r="BL5352" t="s">
        <v>188</v>
      </c>
      <c r="BM5352">
        <v>1</v>
      </c>
      <c r="BN5352">
        <v>1</v>
      </c>
      <c r="BO5352">
        <v>0</v>
      </c>
      <c r="BP5352">
        <v>0</v>
      </c>
      <c r="BS5352">
        <v>0</v>
      </c>
      <c r="BT5352">
        <v>0</v>
      </c>
      <c r="BU5352">
        <v>0</v>
      </c>
      <c r="CE5352" t="str">
        <f t="shared" si="2119"/>
        <v>15:19:23.450</v>
      </c>
      <c r="CF5352">
        <v>449840744</v>
      </c>
      <c r="CS5352">
        <v>0</v>
      </c>
      <c r="CT5352">
        <v>2</v>
      </c>
      <c r="CU5352">
        <v>0</v>
      </c>
      <c r="CV5352">
        <v>2</v>
      </c>
      <c r="CW5352">
        <v>0</v>
      </c>
      <c r="CX5352">
        <v>3</v>
      </c>
      <c r="CY5352">
        <v>7</v>
      </c>
      <c r="CZ5352" t="s">
        <v>133</v>
      </c>
      <c r="DA5352">
        <v>276</v>
      </c>
      <c r="DB5352">
        <v>0</v>
      </c>
      <c r="DC5352" t="s">
        <v>402</v>
      </c>
      <c r="DD5352" t="s">
        <v>403</v>
      </c>
      <c r="DG5352">
        <v>1629221</v>
      </c>
      <c r="DI5352">
        <v>1</v>
      </c>
      <c r="DJ5352">
        <v>0</v>
      </c>
      <c r="DK5352">
        <v>1</v>
      </c>
      <c r="DL5352">
        <v>0</v>
      </c>
      <c r="DM5352">
        <v>0</v>
      </c>
      <c r="DN5352">
        <v>0</v>
      </c>
      <c r="DO5352">
        <v>0</v>
      </c>
      <c r="DP5352">
        <v>0</v>
      </c>
      <c r="DQ5352">
        <v>0</v>
      </c>
      <c r="DR5352">
        <v>0</v>
      </c>
      <c r="DS5352">
        <v>0</v>
      </c>
    </row>
    <row r="5353" spans="1:123" x14ac:dyDescent="0.3">
      <c r="A5353" t="str">
        <f>"05/01/2025 15:19:23.694"</f>
        <v>05/01/2025 15:19:23.694</v>
      </c>
      <c r="C5353" t="str">
        <f t="shared" si="2104"/>
        <v>FFDFD3C0</v>
      </c>
      <c r="D5353" t="s">
        <v>145</v>
      </c>
      <c r="E5353" t="str">
        <f>"05"</f>
        <v>05</v>
      </c>
      <c r="H5353">
        <v>47</v>
      </c>
      <c r="I5353" t="s">
        <v>146</v>
      </c>
      <c r="J5353" t="s">
        <v>138</v>
      </c>
      <c r="K5353">
        <v>0</v>
      </c>
      <c r="L5353">
        <v>3</v>
      </c>
      <c r="M5353">
        <v>0</v>
      </c>
      <c r="N5353">
        <v>2</v>
      </c>
      <c r="O5353">
        <v>0</v>
      </c>
      <c r="P5353">
        <v>1</v>
      </c>
      <c r="Q5353">
        <v>0</v>
      </c>
      <c r="R5353" t="s">
        <v>127</v>
      </c>
      <c r="S5353" t="str">
        <f t="shared" si="2118"/>
        <v>15:19:23.000</v>
      </c>
      <c r="T5353" t="str">
        <f t="shared" si="2118"/>
        <v>15:19:23.000</v>
      </c>
      <c r="U5353" t="str">
        <f t="shared" si="2105"/>
        <v>A68FCB</v>
      </c>
      <c r="V5353">
        <v>0</v>
      </c>
      <c r="W5353">
        <v>0</v>
      </c>
      <c r="X5353">
        <v>2</v>
      </c>
      <c r="Y5353">
        <v>0</v>
      </c>
      <c r="AA5353">
        <v>1</v>
      </c>
      <c r="AB5353">
        <v>8</v>
      </c>
      <c r="AC5353">
        <v>3</v>
      </c>
      <c r="AD5353">
        <v>0</v>
      </c>
      <c r="AE5353">
        <v>9</v>
      </c>
      <c r="AF5353" t="s">
        <v>138</v>
      </c>
      <c r="AG5353">
        <v>0</v>
      </c>
      <c r="AH5353">
        <v>3</v>
      </c>
      <c r="AI5353">
        <v>2</v>
      </c>
      <c r="AJ5353">
        <v>0</v>
      </c>
      <c r="AK5353" t="s">
        <v>1682</v>
      </c>
      <c r="AL5353">
        <v>39.225482999999997</v>
      </c>
      <c r="AM5353" t="s">
        <v>1683</v>
      </c>
      <c r="AN5353">
        <v>-121.026742</v>
      </c>
      <c r="AO5353">
        <v>25</v>
      </c>
      <c r="AP5353">
        <v>3200</v>
      </c>
      <c r="AQ5353" t="s">
        <v>131</v>
      </c>
      <c r="AR5353">
        <v>40</v>
      </c>
      <c r="AS5353">
        <v>-36</v>
      </c>
      <c r="AT5353">
        <v>-640</v>
      </c>
      <c r="BB5353" t="str">
        <f t="shared" si="2106"/>
        <v>1200</v>
      </c>
      <c r="BC5353">
        <v>1</v>
      </c>
      <c r="BD5353" t="str">
        <f t="shared" si="2107"/>
        <v xml:space="preserve">N52156  </v>
      </c>
      <c r="BE5353">
        <v>1</v>
      </c>
      <c r="BG5353">
        <v>0</v>
      </c>
      <c r="BH5353">
        <v>0</v>
      </c>
      <c r="BI5353">
        <v>0</v>
      </c>
      <c r="BJ5353">
        <v>3150</v>
      </c>
      <c r="BK5353">
        <v>-50</v>
      </c>
      <c r="BL5353" t="s">
        <v>188</v>
      </c>
      <c r="BM5353">
        <v>1</v>
      </c>
      <c r="BN5353">
        <v>1</v>
      </c>
      <c r="BO5353">
        <v>0</v>
      </c>
      <c r="BP5353">
        <v>0</v>
      </c>
      <c r="BS5353">
        <v>0</v>
      </c>
      <c r="BT5353">
        <v>0</v>
      </c>
      <c r="BU5353">
        <v>0</v>
      </c>
      <c r="CE5353" t="str">
        <f t="shared" si="2119"/>
        <v>15:19:23.450</v>
      </c>
      <c r="CF5353">
        <v>449840744</v>
      </c>
      <c r="CS5353">
        <v>0</v>
      </c>
      <c r="CT5353">
        <v>2</v>
      </c>
      <c r="CU5353">
        <v>0</v>
      </c>
      <c r="CV5353">
        <v>2</v>
      </c>
      <c r="CW5353">
        <v>0</v>
      </c>
      <c r="CX5353">
        <v>3</v>
      </c>
      <c r="CY5353">
        <v>7</v>
      </c>
      <c r="CZ5353" t="s">
        <v>133</v>
      </c>
      <c r="DA5353">
        <v>276</v>
      </c>
      <c r="DB5353">
        <v>0</v>
      </c>
      <c r="DC5353" t="s">
        <v>402</v>
      </c>
      <c r="DD5353" t="s">
        <v>403</v>
      </c>
      <c r="DG5353">
        <v>1629221</v>
      </c>
      <c r="DI5353">
        <v>1</v>
      </c>
      <c r="DJ5353">
        <v>0</v>
      </c>
      <c r="DK5353">
        <v>1</v>
      </c>
      <c r="DL5353">
        <v>0</v>
      </c>
      <c r="DM5353">
        <v>0</v>
      </c>
      <c r="DN5353">
        <v>0</v>
      </c>
      <c r="DO5353">
        <v>0</v>
      </c>
      <c r="DP5353">
        <v>0</v>
      </c>
      <c r="DQ5353">
        <v>0</v>
      </c>
      <c r="DR5353">
        <v>0</v>
      </c>
      <c r="DS5353">
        <v>0</v>
      </c>
    </row>
    <row r="5354" spans="1:123" x14ac:dyDescent="0.3">
      <c r="A5354" t="str">
        <f>"05/01/2025 15:19:24.555"</f>
        <v>05/01/2025 15:19:24.555</v>
      </c>
      <c r="C5354" t="str">
        <f t="shared" si="2104"/>
        <v>FFDFD3C0</v>
      </c>
      <c r="D5354" t="s">
        <v>136</v>
      </c>
      <c r="E5354" t="str">
        <f>"20"</f>
        <v>20</v>
      </c>
      <c r="H5354">
        <v>400</v>
      </c>
      <c r="I5354" t="s">
        <v>137</v>
      </c>
      <c r="J5354" t="s">
        <v>138</v>
      </c>
      <c r="K5354">
        <v>0</v>
      </c>
      <c r="L5354">
        <v>3</v>
      </c>
      <c r="M5354">
        <v>0</v>
      </c>
      <c r="N5354">
        <v>2</v>
      </c>
      <c r="O5354">
        <v>0</v>
      </c>
      <c r="P5354">
        <v>1</v>
      </c>
      <c r="Q5354">
        <v>0</v>
      </c>
      <c r="R5354" t="s">
        <v>127</v>
      </c>
      <c r="S5354" t="str">
        <f t="shared" ref="S5354:T5359" si="2120">"15:19:24.000"</f>
        <v>15:19:24.000</v>
      </c>
      <c r="T5354" t="str">
        <f t="shared" si="2120"/>
        <v>15:19:24.000</v>
      </c>
      <c r="U5354" t="str">
        <f t="shared" si="2105"/>
        <v>A68FCB</v>
      </c>
      <c r="V5354">
        <v>0</v>
      </c>
      <c r="W5354">
        <v>0</v>
      </c>
      <c r="X5354">
        <v>2</v>
      </c>
      <c r="Y5354">
        <v>0</v>
      </c>
      <c r="AA5354">
        <v>1</v>
      </c>
      <c r="AB5354">
        <v>8</v>
      </c>
      <c r="AC5354">
        <v>3</v>
      </c>
      <c r="AD5354">
        <v>0</v>
      </c>
      <c r="AE5354">
        <v>9</v>
      </c>
      <c r="AF5354" t="s">
        <v>138</v>
      </c>
      <c r="AG5354">
        <v>0</v>
      </c>
      <c r="AH5354">
        <v>3</v>
      </c>
      <c r="AI5354">
        <v>2</v>
      </c>
      <c r="AJ5354">
        <v>0</v>
      </c>
      <c r="AK5354" t="s">
        <v>1684</v>
      </c>
      <c r="AL5354">
        <v>39.225332999999999</v>
      </c>
      <c r="AM5354" t="s">
        <v>1267</v>
      </c>
      <c r="AN5354">
        <v>-121.026506</v>
      </c>
      <c r="AO5354">
        <v>25</v>
      </c>
      <c r="AP5354">
        <v>3200</v>
      </c>
      <c r="AQ5354" t="s">
        <v>131</v>
      </c>
      <c r="AR5354">
        <v>39</v>
      </c>
      <c r="AS5354">
        <v>-36</v>
      </c>
      <c r="AT5354">
        <v>-640</v>
      </c>
      <c r="BB5354" t="str">
        <f t="shared" si="2106"/>
        <v>1200</v>
      </c>
      <c r="BC5354">
        <v>1</v>
      </c>
      <c r="BD5354" t="str">
        <f t="shared" si="2107"/>
        <v xml:space="preserve">N52156  </v>
      </c>
      <c r="BE5354">
        <v>1</v>
      </c>
      <c r="BG5354">
        <v>0</v>
      </c>
      <c r="BH5354">
        <v>0</v>
      </c>
      <c r="BI5354">
        <v>0</v>
      </c>
      <c r="BJ5354">
        <v>3125</v>
      </c>
      <c r="BK5354">
        <v>-75</v>
      </c>
      <c r="BL5354" t="s">
        <v>188</v>
      </c>
      <c r="BM5354">
        <v>1</v>
      </c>
      <c r="BN5354">
        <v>1</v>
      </c>
      <c r="BO5354">
        <v>0</v>
      </c>
      <c r="BP5354">
        <v>0</v>
      </c>
      <c r="BS5354">
        <v>0</v>
      </c>
      <c r="BT5354">
        <v>0</v>
      </c>
      <c r="BU5354">
        <v>0</v>
      </c>
      <c r="CE5354" t="str">
        <f t="shared" ref="CE5354:CE5359" si="2121">"15:19:24.354"</f>
        <v>15:19:24.354</v>
      </c>
      <c r="CF5354">
        <v>354090408</v>
      </c>
      <c r="CS5354">
        <v>0</v>
      </c>
      <c r="CT5354">
        <v>2</v>
      </c>
      <c r="CU5354">
        <v>0</v>
      </c>
      <c r="CV5354">
        <v>2</v>
      </c>
      <c r="CW5354">
        <v>0</v>
      </c>
      <c r="CX5354">
        <v>2</v>
      </c>
      <c r="CY5354">
        <v>7</v>
      </c>
      <c r="CZ5354" t="s">
        <v>133</v>
      </c>
      <c r="DA5354">
        <v>276</v>
      </c>
      <c r="DB5354">
        <v>0</v>
      </c>
      <c r="DC5354" t="s">
        <v>402</v>
      </c>
      <c r="DD5354" t="s">
        <v>403</v>
      </c>
      <c r="DG5354">
        <v>1629226</v>
      </c>
      <c r="DI5354">
        <v>1</v>
      </c>
      <c r="DJ5354">
        <v>0</v>
      </c>
      <c r="DK5354">
        <v>0</v>
      </c>
      <c r="DL5354">
        <v>0</v>
      </c>
      <c r="DM5354">
        <v>0</v>
      </c>
      <c r="DN5354">
        <v>0</v>
      </c>
      <c r="DO5354">
        <v>0</v>
      </c>
      <c r="DP5354">
        <v>0</v>
      </c>
      <c r="DQ5354">
        <v>0</v>
      </c>
      <c r="DR5354">
        <v>0</v>
      </c>
      <c r="DS5354">
        <v>0</v>
      </c>
    </row>
    <row r="5355" spans="1:123" x14ac:dyDescent="0.3">
      <c r="A5355" t="str">
        <f>"05/01/2025 15:19:24.569"</f>
        <v>05/01/2025 15:19:24.569</v>
      </c>
      <c r="C5355" t="str">
        <f t="shared" si="2104"/>
        <v>FFDFD3C0</v>
      </c>
      <c r="D5355" t="s">
        <v>140</v>
      </c>
      <c r="E5355" t="str">
        <f>"13"</f>
        <v>13</v>
      </c>
      <c r="F5355">
        <v>1019</v>
      </c>
      <c r="G5355" t="s">
        <v>141</v>
      </c>
      <c r="J5355" t="s">
        <v>142</v>
      </c>
      <c r="K5355">
        <v>0</v>
      </c>
      <c r="L5355">
        <v>3</v>
      </c>
      <c r="M5355">
        <v>0</v>
      </c>
      <c r="N5355">
        <v>2</v>
      </c>
      <c r="O5355">
        <v>0</v>
      </c>
      <c r="P5355">
        <v>1</v>
      </c>
      <c r="Q5355">
        <v>0</v>
      </c>
      <c r="R5355" t="s">
        <v>127</v>
      </c>
      <c r="S5355" t="str">
        <f t="shared" si="2120"/>
        <v>15:19:24.000</v>
      </c>
      <c r="T5355" t="str">
        <f t="shared" si="2120"/>
        <v>15:19:24.000</v>
      </c>
      <c r="U5355" t="str">
        <f t="shared" si="2105"/>
        <v>A68FCB</v>
      </c>
      <c r="V5355">
        <v>0</v>
      </c>
      <c r="W5355">
        <v>0</v>
      </c>
      <c r="X5355">
        <v>2</v>
      </c>
      <c r="Y5355">
        <v>0</v>
      </c>
      <c r="AA5355">
        <v>1</v>
      </c>
      <c r="AB5355">
        <v>8</v>
      </c>
      <c r="AC5355">
        <v>3</v>
      </c>
      <c r="AD5355">
        <v>0</v>
      </c>
      <c r="AE5355">
        <v>9</v>
      </c>
      <c r="AF5355" t="s">
        <v>138</v>
      </c>
      <c r="AG5355">
        <v>0</v>
      </c>
      <c r="AH5355">
        <v>3</v>
      </c>
      <c r="AI5355">
        <v>2</v>
      </c>
      <c r="AJ5355">
        <v>0</v>
      </c>
      <c r="AK5355" t="s">
        <v>1684</v>
      </c>
      <c r="AL5355">
        <v>39.225332999999999</v>
      </c>
      <c r="AM5355" t="s">
        <v>1267</v>
      </c>
      <c r="AN5355">
        <v>-121.026506</v>
      </c>
      <c r="AO5355">
        <v>25</v>
      </c>
      <c r="AP5355">
        <v>3200</v>
      </c>
      <c r="AQ5355" t="s">
        <v>131</v>
      </c>
      <c r="AR5355">
        <v>39</v>
      </c>
      <c r="AS5355">
        <v>-36</v>
      </c>
      <c r="AT5355">
        <v>-640</v>
      </c>
      <c r="BB5355" t="str">
        <f t="shared" si="2106"/>
        <v>1200</v>
      </c>
      <c r="BC5355">
        <v>1</v>
      </c>
      <c r="BD5355" t="str">
        <f t="shared" si="2107"/>
        <v xml:space="preserve">N52156  </v>
      </c>
      <c r="BE5355">
        <v>1</v>
      </c>
      <c r="BG5355">
        <v>0</v>
      </c>
      <c r="BH5355">
        <v>0</v>
      </c>
      <c r="BI5355">
        <v>0</v>
      </c>
      <c r="BJ5355">
        <v>3125</v>
      </c>
      <c r="BK5355">
        <v>-75</v>
      </c>
      <c r="BL5355" t="s">
        <v>188</v>
      </c>
      <c r="BM5355">
        <v>1</v>
      </c>
      <c r="BN5355">
        <v>1</v>
      </c>
      <c r="BO5355">
        <v>0</v>
      </c>
      <c r="BP5355">
        <v>0</v>
      </c>
      <c r="BS5355">
        <v>0</v>
      </c>
      <c r="BT5355">
        <v>0</v>
      </c>
      <c r="BU5355">
        <v>0</v>
      </c>
      <c r="CE5355" t="str">
        <f t="shared" si="2121"/>
        <v>15:19:24.354</v>
      </c>
      <c r="CF5355">
        <v>354090408</v>
      </c>
      <c r="CS5355">
        <v>0</v>
      </c>
      <c r="CT5355">
        <v>2</v>
      </c>
      <c r="CU5355">
        <v>0</v>
      </c>
      <c r="CV5355">
        <v>2</v>
      </c>
      <c r="CW5355">
        <v>0</v>
      </c>
      <c r="CX5355">
        <v>2</v>
      </c>
      <c r="CY5355">
        <v>7</v>
      </c>
      <c r="CZ5355" t="s">
        <v>133</v>
      </c>
      <c r="DA5355">
        <v>276</v>
      </c>
      <c r="DB5355">
        <v>0</v>
      </c>
      <c r="DC5355" t="s">
        <v>402</v>
      </c>
      <c r="DD5355" t="s">
        <v>403</v>
      </c>
      <c r="DG5355">
        <v>1629226</v>
      </c>
      <c r="DI5355">
        <v>1</v>
      </c>
      <c r="DJ5355">
        <v>0</v>
      </c>
      <c r="DK5355">
        <v>1</v>
      </c>
      <c r="DL5355">
        <v>0</v>
      </c>
      <c r="DM5355">
        <v>0</v>
      </c>
      <c r="DN5355">
        <v>0</v>
      </c>
      <c r="DO5355">
        <v>0</v>
      </c>
      <c r="DP5355">
        <v>0</v>
      </c>
      <c r="DQ5355">
        <v>0</v>
      </c>
      <c r="DR5355">
        <v>0</v>
      </c>
      <c r="DS5355">
        <v>0</v>
      </c>
    </row>
    <row r="5356" spans="1:123" x14ac:dyDescent="0.3">
      <c r="A5356" t="str">
        <f>"05/01/2025 15:19:24.571"</f>
        <v>05/01/2025 15:19:24.571</v>
      </c>
      <c r="C5356" t="str">
        <f t="shared" si="2104"/>
        <v>FFDFD3C0</v>
      </c>
      <c r="D5356" t="s">
        <v>124</v>
      </c>
      <c r="E5356" t="str">
        <f>"06"</f>
        <v>06</v>
      </c>
      <c r="F5356">
        <v>2006</v>
      </c>
      <c r="G5356" t="s">
        <v>125</v>
      </c>
      <c r="J5356" t="s">
        <v>126</v>
      </c>
      <c r="K5356">
        <v>0</v>
      </c>
      <c r="L5356">
        <v>3</v>
      </c>
      <c r="M5356">
        <v>0</v>
      </c>
      <c r="N5356">
        <v>2</v>
      </c>
      <c r="O5356">
        <v>0</v>
      </c>
      <c r="P5356">
        <v>1</v>
      </c>
      <c r="Q5356">
        <v>0</v>
      </c>
      <c r="R5356" t="s">
        <v>127</v>
      </c>
      <c r="S5356" t="str">
        <f t="shared" si="2120"/>
        <v>15:19:24.000</v>
      </c>
      <c r="T5356" t="str">
        <f t="shared" si="2120"/>
        <v>15:19:24.000</v>
      </c>
      <c r="U5356" t="str">
        <f t="shared" si="2105"/>
        <v>A68FCB</v>
      </c>
      <c r="V5356">
        <v>0</v>
      </c>
      <c r="W5356">
        <v>0</v>
      </c>
      <c r="X5356">
        <v>2</v>
      </c>
      <c r="Y5356">
        <v>0</v>
      </c>
      <c r="AA5356">
        <v>1</v>
      </c>
      <c r="AB5356">
        <v>8</v>
      </c>
      <c r="AC5356">
        <v>3</v>
      </c>
      <c r="AD5356">
        <v>0</v>
      </c>
      <c r="AE5356">
        <v>9</v>
      </c>
      <c r="AF5356" t="s">
        <v>138</v>
      </c>
      <c r="AG5356">
        <v>0</v>
      </c>
      <c r="AH5356">
        <v>3</v>
      </c>
      <c r="AI5356">
        <v>2</v>
      </c>
      <c r="AJ5356">
        <v>0</v>
      </c>
      <c r="AK5356" t="s">
        <v>1684</v>
      </c>
      <c r="AL5356">
        <v>39.225332999999999</v>
      </c>
      <c r="AM5356" t="s">
        <v>1267</v>
      </c>
      <c r="AN5356">
        <v>-121.026506</v>
      </c>
      <c r="AO5356">
        <v>25</v>
      </c>
      <c r="AP5356">
        <v>3200</v>
      </c>
      <c r="AQ5356" t="s">
        <v>131</v>
      </c>
      <c r="AR5356">
        <v>39</v>
      </c>
      <c r="AS5356">
        <v>-36</v>
      </c>
      <c r="AT5356">
        <v>-640</v>
      </c>
      <c r="BB5356" t="str">
        <f t="shared" si="2106"/>
        <v>1200</v>
      </c>
      <c r="BC5356">
        <v>1</v>
      </c>
      <c r="BD5356" t="str">
        <f t="shared" si="2107"/>
        <v xml:space="preserve">N52156  </v>
      </c>
      <c r="BE5356">
        <v>1</v>
      </c>
      <c r="BG5356">
        <v>0</v>
      </c>
      <c r="BH5356">
        <v>0</v>
      </c>
      <c r="BI5356">
        <v>0</v>
      </c>
      <c r="BJ5356">
        <v>3125</v>
      </c>
      <c r="BK5356">
        <v>-75</v>
      </c>
      <c r="BL5356" t="s">
        <v>188</v>
      </c>
      <c r="BM5356">
        <v>1</v>
      </c>
      <c r="BN5356">
        <v>1</v>
      </c>
      <c r="BO5356">
        <v>0</v>
      </c>
      <c r="BP5356">
        <v>0</v>
      </c>
      <c r="BS5356">
        <v>0</v>
      </c>
      <c r="BT5356">
        <v>0</v>
      </c>
      <c r="BU5356">
        <v>0</v>
      </c>
      <c r="CE5356" t="str">
        <f t="shared" si="2121"/>
        <v>15:19:24.354</v>
      </c>
      <c r="CF5356">
        <v>354090408</v>
      </c>
      <c r="CS5356">
        <v>0</v>
      </c>
      <c r="CT5356">
        <v>2</v>
      </c>
      <c r="CU5356">
        <v>0</v>
      </c>
      <c r="CV5356">
        <v>2</v>
      </c>
      <c r="CW5356">
        <v>0</v>
      </c>
      <c r="CX5356">
        <v>2</v>
      </c>
      <c r="CY5356">
        <v>7</v>
      </c>
      <c r="CZ5356" t="s">
        <v>133</v>
      </c>
      <c r="DA5356">
        <v>276</v>
      </c>
      <c r="DB5356">
        <v>0</v>
      </c>
      <c r="DC5356" t="s">
        <v>402</v>
      </c>
      <c r="DD5356" t="s">
        <v>403</v>
      </c>
      <c r="DG5356">
        <v>1629226</v>
      </c>
      <c r="DI5356">
        <v>1</v>
      </c>
      <c r="DJ5356">
        <v>0</v>
      </c>
      <c r="DK5356">
        <v>1</v>
      </c>
      <c r="DL5356">
        <v>0</v>
      </c>
      <c r="DM5356">
        <v>0</v>
      </c>
      <c r="DN5356">
        <v>0</v>
      </c>
      <c r="DO5356">
        <v>0</v>
      </c>
      <c r="DP5356">
        <v>0</v>
      </c>
      <c r="DQ5356">
        <v>0</v>
      </c>
      <c r="DR5356">
        <v>0</v>
      </c>
      <c r="DS5356">
        <v>0</v>
      </c>
    </row>
    <row r="5357" spans="1:123" x14ac:dyDescent="0.3">
      <c r="A5357" t="str">
        <f>"05/01/2025 15:19:24.585"</f>
        <v>05/01/2025 15:19:24.585</v>
      </c>
      <c r="C5357" t="str">
        <f t="shared" si="2104"/>
        <v>FFDFD3C0</v>
      </c>
      <c r="D5357" t="s">
        <v>143</v>
      </c>
      <c r="E5357" t="str">
        <f>"05"</f>
        <v>05</v>
      </c>
      <c r="H5357">
        <v>172</v>
      </c>
      <c r="I5357" t="s">
        <v>141</v>
      </c>
      <c r="J5357" t="s">
        <v>144</v>
      </c>
      <c r="K5357">
        <v>0</v>
      </c>
      <c r="L5357">
        <v>3</v>
      </c>
      <c r="M5357">
        <v>0</v>
      </c>
      <c r="N5357">
        <v>2</v>
      </c>
      <c r="O5357">
        <v>0</v>
      </c>
      <c r="P5357">
        <v>1</v>
      </c>
      <c r="Q5357">
        <v>0</v>
      </c>
      <c r="R5357" t="s">
        <v>127</v>
      </c>
      <c r="S5357" t="str">
        <f t="shared" si="2120"/>
        <v>15:19:24.000</v>
      </c>
      <c r="T5357" t="str">
        <f t="shared" si="2120"/>
        <v>15:19:24.000</v>
      </c>
      <c r="U5357" t="str">
        <f t="shared" si="2105"/>
        <v>A68FCB</v>
      </c>
      <c r="V5357">
        <v>0</v>
      </c>
      <c r="W5357">
        <v>0</v>
      </c>
      <c r="X5357">
        <v>2</v>
      </c>
      <c r="Y5357">
        <v>0</v>
      </c>
      <c r="AA5357">
        <v>1</v>
      </c>
      <c r="AB5357">
        <v>8</v>
      </c>
      <c r="AC5357">
        <v>3</v>
      </c>
      <c r="AD5357">
        <v>0</v>
      </c>
      <c r="AE5357">
        <v>9</v>
      </c>
      <c r="AF5357" t="s">
        <v>138</v>
      </c>
      <c r="AG5357">
        <v>0</v>
      </c>
      <c r="AH5357">
        <v>3</v>
      </c>
      <c r="AI5357">
        <v>2</v>
      </c>
      <c r="AJ5357">
        <v>0</v>
      </c>
      <c r="AK5357" t="s">
        <v>1684</v>
      </c>
      <c r="AL5357">
        <v>39.225332999999999</v>
      </c>
      <c r="AM5357" t="s">
        <v>1267</v>
      </c>
      <c r="AN5357">
        <v>-121.026506</v>
      </c>
      <c r="AO5357">
        <v>25</v>
      </c>
      <c r="AP5357">
        <v>3200</v>
      </c>
      <c r="AQ5357" t="s">
        <v>131</v>
      </c>
      <c r="AR5357">
        <v>39</v>
      </c>
      <c r="AS5357">
        <v>-36</v>
      </c>
      <c r="AT5357">
        <v>-640</v>
      </c>
      <c r="BB5357" t="str">
        <f t="shared" si="2106"/>
        <v>1200</v>
      </c>
      <c r="BC5357">
        <v>1</v>
      </c>
      <c r="BD5357" t="str">
        <f t="shared" si="2107"/>
        <v xml:space="preserve">N52156  </v>
      </c>
      <c r="BE5357">
        <v>1</v>
      </c>
      <c r="BG5357">
        <v>0</v>
      </c>
      <c r="BH5357">
        <v>0</v>
      </c>
      <c r="BI5357">
        <v>0</v>
      </c>
      <c r="BJ5357">
        <v>3125</v>
      </c>
      <c r="BK5357">
        <v>-75</v>
      </c>
      <c r="BL5357" t="s">
        <v>188</v>
      </c>
      <c r="BM5357">
        <v>1</v>
      </c>
      <c r="BN5357">
        <v>1</v>
      </c>
      <c r="BO5357">
        <v>0</v>
      </c>
      <c r="BP5357">
        <v>0</v>
      </c>
      <c r="BS5357">
        <v>0</v>
      </c>
      <c r="BT5357">
        <v>0</v>
      </c>
      <c r="BU5357">
        <v>0</v>
      </c>
      <c r="CE5357" t="str">
        <f t="shared" si="2121"/>
        <v>15:19:24.354</v>
      </c>
      <c r="CF5357">
        <v>354090408</v>
      </c>
      <c r="CS5357">
        <v>0</v>
      </c>
      <c r="CT5357">
        <v>2</v>
      </c>
      <c r="CU5357">
        <v>0</v>
      </c>
      <c r="CV5357">
        <v>2</v>
      </c>
      <c r="CW5357">
        <v>0</v>
      </c>
      <c r="CX5357">
        <v>2</v>
      </c>
      <c r="CY5357">
        <v>7</v>
      </c>
      <c r="CZ5357" t="s">
        <v>133</v>
      </c>
      <c r="DA5357">
        <v>276</v>
      </c>
      <c r="DB5357">
        <v>0</v>
      </c>
      <c r="DC5357" t="s">
        <v>402</v>
      </c>
      <c r="DD5357" t="s">
        <v>403</v>
      </c>
      <c r="DG5357">
        <v>1629226</v>
      </c>
      <c r="DI5357">
        <v>1</v>
      </c>
      <c r="DJ5357">
        <v>0</v>
      </c>
      <c r="DK5357">
        <v>1</v>
      </c>
      <c r="DL5357">
        <v>0</v>
      </c>
      <c r="DM5357">
        <v>0</v>
      </c>
      <c r="DN5357">
        <v>0</v>
      </c>
      <c r="DO5357">
        <v>0</v>
      </c>
      <c r="DP5357">
        <v>0</v>
      </c>
      <c r="DQ5357">
        <v>0</v>
      </c>
      <c r="DR5357">
        <v>0</v>
      </c>
      <c r="DS5357">
        <v>0</v>
      </c>
    </row>
    <row r="5358" spans="1:123" x14ac:dyDescent="0.3">
      <c r="A5358" t="str">
        <f>"05/01/2025 15:19:24.595"</f>
        <v>05/01/2025 15:19:24.595</v>
      </c>
      <c r="C5358" t="str">
        <f t="shared" si="2104"/>
        <v>FFDFD3C0</v>
      </c>
      <c r="D5358" t="s">
        <v>145</v>
      </c>
      <c r="E5358" t="str">
        <f>"05"</f>
        <v>05</v>
      </c>
      <c r="H5358">
        <v>47</v>
      </c>
      <c r="I5358" t="s">
        <v>146</v>
      </c>
      <c r="J5358" t="s">
        <v>138</v>
      </c>
      <c r="K5358">
        <v>0</v>
      </c>
      <c r="L5358">
        <v>3</v>
      </c>
      <c r="M5358">
        <v>0</v>
      </c>
      <c r="N5358">
        <v>2</v>
      </c>
      <c r="O5358">
        <v>0</v>
      </c>
      <c r="P5358">
        <v>1</v>
      </c>
      <c r="Q5358">
        <v>0</v>
      </c>
      <c r="R5358" t="s">
        <v>127</v>
      </c>
      <c r="S5358" t="str">
        <f t="shared" si="2120"/>
        <v>15:19:24.000</v>
      </c>
      <c r="T5358" t="str">
        <f t="shared" si="2120"/>
        <v>15:19:24.000</v>
      </c>
      <c r="U5358" t="str">
        <f t="shared" si="2105"/>
        <v>A68FCB</v>
      </c>
      <c r="V5358">
        <v>0</v>
      </c>
      <c r="W5358">
        <v>0</v>
      </c>
      <c r="X5358">
        <v>2</v>
      </c>
      <c r="Y5358">
        <v>0</v>
      </c>
      <c r="AA5358">
        <v>1</v>
      </c>
      <c r="AB5358">
        <v>8</v>
      </c>
      <c r="AC5358">
        <v>3</v>
      </c>
      <c r="AD5358">
        <v>0</v>
      </c>
      <c r="AE5358">
        <v>9</v>
      </c>
      <c r="AF5358" t="s">
        <v>138</v>
      </c>
      <c r="AG5358">
        <v>0</v>
      </c>
      <c r="AH5358">
        <v>3</v>
      </c>
      <c r="AI5358">
        <v>2</v>
      </c>
      <c r="AJ5358">
        <v>0</v>
      </c>
      <c r="AK5358" t="s">
        <v>1684</v>
      </c>
      <c r="AL5358">
        <v>39.225332999999999</v>
      </c>
      <c r="AM5358" t="s">
        <v>1267</v>
      </c>
      <c r="AN5358">
        <v>-121.026506</v>
      </c>
      <c r="AO5358">
        <v>25</v>
      </c>
      <c r="AP5358">
        <v>3200</v>
      </c>
      <c r="AQ5358" t="s">
        <v>131</v>
      </c>
      <c r="AR5358">
        <v>39</v>
      </c>
      <c r="AS5358">
        <v>-36</v>
      </c>
      <c r="AT5358">
        <v>-640</v>
      </c>
      <c r="BB5358" t="str">
        <f t="shared" si="2106"/>
        <v>1200</v>
      </c>
      <c r="BC5358">
        <v>1</v>
      </c>
      <c r="BD5358" t="str">
        <f t="shared" si="2107"/>
        <v xml:space="preserve">N52156  </v>
      </c>
      <c r="BE5358">
        <v>1</v>
      </c>
      <c r="BG5358">
        <v>0</v>
      </c>
      <c r="BH5358">
        <v>0</v>
      </c>
      <c r="BI5358">
        <v>0</v>
      </c>
      <c r="BJ5358">
        <v>3125</v>
      </c>
      <c r="BK5358">
        <v>-75</v>
      </c>
      <c r="BL5358" t="s">
        <v>188</v>
      </c>
      <c r="BM5358">
        <v>1</v>
      </c>
      <c r="BN5358">
        <v>1</v>
      </c>
      <c r="BO5358">
        <v>0</v>
      </c>
      <c r="BP5358">
        <v>0</v>
      </c>
      <c r="BS5358">
        <v>0</v>
      </c>
      <c r="BT5358">
        <v>0</v>
      </c>
      <c r="BU5358">
        <v>0</v>
      </c>
      <c r="CE5358" t="str">
        <f t="shared" si="2121"/>
        <v>15:19:24.354</v>
      </c>
      <c r="CF5358">
        <v>354090408</v>
      </c>
      <c r="CS5358">
        <v>0</v>
      </c>
      <c r="CT5358">
        <v>2</v>
      </c>
      <c r="CU5358">
        <v>0</v>
      </c>
      <c r="CV5358">
        <v>2</v>
      </c>
      <c r="CW5358">
        <v>0</v>
      </c>
      <c r="CX5358">
        <v>2</v>
      </c>
      <c r="CY5358">
        <v>7</v>
      </c>
      <c r="CZ5358" t="s">
        <v>133</v>
      </c>
      <c r="DA5358">
        <v>276</v>
      </c>
      <c r="DB5358">
        <v>0</v>
      </c>
      <c r="DC5358" t="s">
        <v>402</v>
      </c>
      <c r="DD5358" t="s">
        <v>403</v>
      </c>
      <c r="DG5358">
        <v>1629226</v>
      </c>
      <c r="DI5358">
        <v>1</v>
      </c>
      <c r="DJ5358">
        <v>0</v>
      </c>
      <c r="DK5358">
        <v>1</v>
      </c>
      <c r="DL5358">
        <v>0</v>
      </c>
      <c r="DM5358">
        <v>0</v>
      </c>
      <c r="DN5358">
        <v>0</v>
      </c>
      <c r="DO5358">
        <v>0</v>
      </c>
      <c r="DP5358">
        <v>0</v>
      </c>
      <c r="DQ5358">
        <v>0</v>
      </c>
      <c r="DR5358">
        <v>0</v>
      </c>
      <c r="DS5358">
        <v>0</v>
      </c>
    </row>
    <row r="5359" spans="1:123" x14ac:dyDescent="0.3">
      <c r="A5359" t="str">
        <f>"05/01/2025 15:19:24.595"</f>
        <v>05/01/2025 15:19:24.595</v>
      </c>
      <c r="C5359" t="str">
        <f t="shared" si="2104"/>
        <v>FFDFD3C0</v>
      </c>
      <c r="D5359" t="s">
        <v>145</v>
      </c>
      <c r="E5359" t="str">
        <f>"09"</f>
        <v>09</v>
      </c>
      <c r="H5359">
        <v>51</v>
      </c>
      <c r="I5359" t="s">
        <v>147</v>
      </c>
      <c r="J5359" t="s">
        <v>138</v>
      </c>
      <c r="K5359">
        <v>0</v>
      </c>
      <c r="L5359">
        <v>3</v>
      </c>
      <c r="M5359">
        <v>0</v>
      </c>
      <c r="N5359">
        <v>2</v>
      </c>
      <c r="O5359">
        <v>0</v>
      </c>
      <c r="P5359">
        <v>1</v>
      </c>
      <c r="Q5359">
        <v>0</v>
      </c>
      <c r="R5359" t="s">
        <v>127</v>
      </c>
      <c r="S5359" t="str">
        <f t="shared" si="2120"/>
        <v>15:19:24.000</v>
      </c>
      <c r="T5359" t="str">
        <f t="shared" si="2120"/>
        <v>15:19:24.000</v>
      </c>
      <c r="U5359" t="str">
        <f t="shared" si="2105"/>
        <v>A68FCB</v>
      </c>
      <c r="V5359">
        <v>0</v>
      </c>
      <c r="W5359">
        <v>0</v>
      </c>
      <c r="X5359">
        <v>2</v>
      </c>
      <c r="Y5359">
        <v>0</v>
      </c>
      <c r="AA5359">
        <v>1</v>
      </c>
      <c r="AB5359">
        <v>8</v>
      </c>
      <c r="AC5359">
        <v>3</v>
      </c>
      <c r="AD5359">
        <v>0</v>
      </c>
      <c r="AE5359">
        <v>9</v>
      </c>
      <c r="AF5359" t="s">
        <v>138</v>
      </c>
      <c r="AG5359">
        <v>0</v>
      </c>
      <c r="AH5359">
        <v>3</v>
      </c>
      <c r="AI5359">
        <v>2</v>
      </c>
      <c r="AJ5359">
        <v>0</v>
      </c>
      <c r="AK5359" t="s">
        <v>1684</v>
      </c>
      <c r="AL5359">
        <v>39.225332999999999</v>
      </c>
      <c r="AM5359" t="s">
        <v>1267</v>
      </c>
      <c r="AN5359">
        <v>-121.026506</v>
      </c>
      <c r="AO5359">
        <v>25</v>
      </c>
      <c r="AP5359">
        <v>3200</v>
      </c>
      <c r="AQ5359" t="s">
        <v>131</v>
      </c>
      <c r="AR5359">
        <v>39</v>
      </c>
      <c r="AS5359">
        <v>-36</v>
      </c>
      <c r="AT5359">
        <v>-640</v>
      </c>
      <c r="BB5359" t="str">
        <f t="shared" si="2106"/>
        <v>1200</v>
      </c>
      <c r="BC5359">
        <v>1</v>
      </c>
      <c r="BD5359" t="str">
        <f t="shared" si="2107"/>
        <v xml:space="preserve">N52156  </v>
      </c>
      <c r="BE5359">
        <v>1</v>
      </c>
      <c r="BG5359">
        <v>0</v>
      </c>
      <c r="BH5359">
        <v>0</v>
      </c>
      <c r="BI5359">
        <v>0</v>
      </c>
      <c r="BJ5359">
        <v>3125</v>
      </c>
      <c r="BK5359">
        <v>-75</v>
      </c>
      <c r="BL5359" t="s">
        <v>188</v>
      </c>
      <c r="BM5359">
        <v>1</v>
      </c>
      <c r="BN5359">
        <v>1</v>
      </c>
      <c r="BO5359">
        <v>0</v>
      </c>
      <c r="BP5359">
        <v>0</v>
      </c>
      <c r="BS5359">
        <v>0</v>
      </c>
      <c r="BT5359">
        <v>0</v>
      </c>
      <c r="BU5359">
        <v>0</v>
      </c>
      <c r="CE5359" t="str">
        <f t="shared" si="2121"/>
        <v>15:19:24.354</v>
      </c>
      <c r="CF5359">
        <v>354090408</v>
      </c>
      <c r="CS5359">
        <v>0</v>
      </c>
      <c r="CT5359">
        <v>2</v>
      </c>
      <c r="CU5359">
        <v>0</v>
      </c>
      <c r="CV5359">
        <v>2</v>
      </c>
      <c r="CW5359">
        <v>0</v>
      </c>
      <c r="CX5359">
        <v>2</v>
      </c>
      <c r="CY5359">
        <v>7</v>
      </c>
      <c r="CZ5359" t="s">
        <v>133</v>
      </c>
      <c r="DA5359">
        <v>276</v>
      </c>
      <c r="DB5359">
        <v>0</v>
      </c>
      <c r="DC5359" t="s">
        <v>402</v>
      </c>
      <c r="DD5359" t="s">
        <v>403</v>
      </c>
      <c r="DG5359">
        <v>1629226</v>
      </c>
      <c r="DI5359">
        <v>1</v>
      </c>
      <c r="DJ5359">
        <v>0</v>
      </c>
      <c r="DK5359">
        <v>1</v>
      </c>
      <c r="DL5359">
        <v>0</v>
      </c>
      <c r="DM5359">
        <v>0</v>
      </c>
      <c r="DN5359">
        <v>0</v>
      </c>
      <c r="DO5359">
        <v>0</v>
      </c>
      <c r="DP5359">
        <v>0</v>
      </c>
      <c r="DQ5359">
        <v>0</v>
      </c>
      <c r="DR5359">
        <v>0</v>
      </c>
      <c r="DS5359">
        <v>0</v>
      </c>
    </row>
    <row r="5360" spans="1:123" x14ac:dyDescent="0.3">
      <c r="A5360" t="str">
        <f>"05/01/2025 15:19:25.587"</f>
        <v>05/01/2025 15:19:25.587</v>
      </c>
      <c r="C5360" t="str">
        <f t="shared" si="2104"/>
        <v>FFDFD3C0</v>
      </c>
      <c r="D5360" t="s">
        <v>143</v>
      </c>
      <c r="E5360" t="str">
        <f>"05"</f>
        <v>05</v>
      </c>
      <c r="H5360">
        <v>172</v>
      </c>
      <c r="I5360" t="s">
        <v>141</v>
      </c>
      <c r="J5360" t="s">
        <v>144</v>
      </c>
      <c r="K5360">
        <v>0</v>
      </c>
      <c r="L5360">
        <v>3</v>
      </c>
      <c r="M5360">
        <v>0</v>
      </c>
      <c r="N5360">
        <v>2</v>
      </c>
      <c r="O5360">
        <v>0</v>
      </c>
      <c r="P5360">
        <v>1</v>
      </c>
      <c r="Q5360">
        <v>0</v>
      </c>
      <c r="R5360" t="s">
        <v>127</v>
      </c>
      <c r="S5360" t="str">
        <f t="shared" ref="S5360:T5365" si="2122">"15:19:25.000"</f>
        <v>15:19:25.000</v>
      </c>
      <c r="T5360" t="str">
        <f t="shared" si="2122"/>
        <v>15:19:25.000</v>
      </c>
      <c r="U5360" t="str">
        <f t="shared" si="2105"/>
        <v>A68FCB</v>
      </c>
      <c r="V5360">
        <v>0</v>
      </c>
      <c r="W5360">
        <v>0</v>
      </c>
      <c r="X5360">
        <v>2</v>
      </c>
      <c r="Y5360">
        <v>0</v>
      </c>
      <c r="AA5360">
        <v>1</v>
      </c>
      <c r="AB5360">
        <v>8</v>
      </c>
      <c r="AC5360">
        <v>3</v>
      </c>
      <c r="AD5360">
        <v>0</v>
      </c>
      <c r="AE5360">
        <v>9</v>
      </c>
      <c r="AF5360" t="s">
        <v>138</v>
      </c>
      <c r="AG5360">
        <v>0</v>
      </c>
      <c r="AH5360">
        <v>3</v>
      </c>
      <c r="AI5360">
        <v>2</v>
      </c>
      <c r="AJ5360">
        <v>0</v>
      </c>
      <c r="AK5360" t="s">
        <v>1525</v>
      </c>
      <c r="AL5360">
        <v>39.225140000000003</v>
      </c>
      <c r="AM5360" t="s">
        <v>1685</v>
      </c>
      <c r="AN5360">
        <v>-121.026292</v>
      </c>
      <c r="AO5360">
        <v>25</v>
      </c>
      <c r="AP5360">
        <v>3200</v>
      </c>
      <c r="AQ5360" t="s">
        <v>131</v>
      </c>
      <c r="AR5360">
        <v>39</v>
      </c>
      <c r="AS5360">
        <v>-36</v>
      </c>
      <c r="AT5360">
        <v>-704</v>
      </c>
      <c r="BB5360" t="str">
        <f t="shared" si="2106"/>
        <v>1200</v>
      </c>
      <c r="BC5360">
        <v>1</v>
      </c>
      <c r="BD5360" t="str">
        <f t="shared" si="2107"/>
        <v xml:space="preserve">N52156  </v>
      </c>
      <c r="BE5360">
        <v>1</v>
      </c>
      <c r="BG5360">
        <v>0</v>
      </c>
      <c r="BH5360">
        <v>0</v>
      </c>
      <c r="BI5360">
        <v>0</v>
      </c>
      <c r="BJ5360">
        <v>3125</v>
      </c>
      <c r="BK5360">
        <v>-75</v>
      </c>
      <c r="BL5360" t="s">
        <v>188</v>
      </c>
      <c r="BM5360">
        <v>1</v>
      </c>
      <c r="BN5360">
        <v>1</v>
      </c>
      <c r="BO5360">
        <v>0</v>
      </c>
      <c r="BP5360">
        <v>0</v>
      </c>
      <c r="BS5360">
        <v>0</v>
      </c>
      <c r="BT5360">
        <v>0</v>
      </c>
      <c r="BU5360">
        <v>0</v>
      </c>
      <c r="CE5360" t="str">
        <f t="shared" ref="CE5360:CE5365" si="2123">"15:19:25.368"</f>
        <v>15:19:25.368</v>
      </c>
      <c r="CF5360">
        <v>367503871</v>
      </c>
      <c r="CS5360">
        <v>0</v>
      </c>
      <c r="CT5360">
        <v>2</v>
      </c>
      <c r="CU5360">
        <v>0</v>
      </c>
      <c r="CV5360">
        <v>2</v>
      </c>
      <c r="CW5360">
        <v>0</v>
      </c>
      <c r="CX5360">
        <v>2</v>
      </c>
      <c r="CY5360">
        <v>7</v>
      </c>
      <c r="CZ5360" t="s">
        <v>133</v>
      </c>
      <c r="DA5360">
        <v>275</v>
      </c>
      <c r="DB5360">
        <v>0</v>
      </c>
      <c r="DC5360" t="s">
        <v>134</v>
      </c>
      <c r="DD5360" t="s">
        <v>135</v>
      </c>
      <c r="DG5360">
        <v>3323842</v>
      </c>
      <c r="DI5360">
        <v>1</v>
      </c>
      <c r="DJ5360">
        <v>0</v>
      </c>
      <c r="DK5360">
        <v>0</v>
      </c>
      <c r="DL5360">
        <v>0</v>
      </c>
      <c r="DM5360">
        <v>0</v>
      </c>
      <c r="DN5360">
        <v>0</v>
      </c>
      <c r="DO5360">
        <v>0</v>
      </c>
      <c r="DP5360">
        <v>0</v>
      </c>
      <c r="DQ5360">
        <v>0</v>
      </c>
      <c r="DR5360">
        <v>0</v>
      </c>
      <c r="DS5360">
        <v>0</v>
      </c>
    </row>
    <row r="5361" spans="1:123" x14ac:dyDescent="0.3">
      <c r="A5361" t="str">
        <f>"05/01/2025 15:19:25.597"</f>
        <v>05/01/2025 15:19:25.597</v>
      </c>
      <c r="C5361" t="str">
        <f t="shared" si="2104"/>
        <v>FFDFD3C0</v>
      </c>
      <c r="D5361" t="s">
        <v>145</v>
      </c>
      <c r="E5361" t="str">
        <f>"09"</f>
        <v>09</v>
      </c>
      <c r="H5361">
        <v>51</v>
      </c>
      <c r="I5361" t="s">
        <v>147</v>
      </c>
      <c r="J5361" t="s">
        <v>138</v>
      </c>
      <c r="K5361">
        <v>0</v>
      </c>
      <c r="L5361">
        <v>3</v>
      </c>
      <c r="M5361">
        <v>0</v>
      </c>
      <c r="N5361">
        <v>2</v>
      </c>
      <c r="O5361">
        <v>0</v>
      </c>
      <c r="P5361">
        <v>1</v>
      </c>
      <c r="Q5361">
        <v>0</v>
      </c>
      <c r="R5361" t="s">
        <v>127</v>
      </c>
      <c r="S5361" t="str">
        <f t="shared" si="2122"/>
        <v>15:19:25.000</v>
      </c>
      <c r="T5361" t="str">
        <f t="shared" si="2122"/>
        <v>15:19:25.000</v>
      </c>
      <c r="U5361" t="str">
        <f t="shared" si="2105"/>
        <v>A68FCB</v>
      </c>
      <c r="V5361">
        <v>0</v>
      </c>
      <c r="W5361">
        <v>0</v>
      </c>
      <c r="X5361">
        <v>2</v>
      </c>
      <c r="Y5361">
        <v>0</v>
      </c>
      <c r="AA5361">
        <v>1</v>
      </c>
      <c r="AB5361">
        <v>8</v>
      </c>
      <c r="AC5361">
        <v>3</v>
      </c>
      <c r="AD5361">
        <v>0</v>
      </c>
      <c r="AE5361">
        <v>9</v>
      </c>
      <c r="AF5361" t="s">
        <v>138</v>
      </c>
      <c r="AG5361">
        <v>0</v>
      </c>
      <c r="AH5361">
        <v>3</v>
      </c>
      <c r="AI5361">
        <v>2</v>
      </c>
      <c r="AJ5361">
        <v>0</v>
      </c>
      <c r="AK5361" t="s">
        <v>1525</v>
      </c>
      <c r="AL5361">
        <v>39.225140000000003</v>
      </c>
      <c r="AM5361" t="s">
        <v>1685</v>
      </c>
      <c r="AN5361">
        <v>-121.026292</v>
      </c>
      <c r="AO5361">
        <v>25</v>
      </c>
      <c r="AP5361">
        <v>3200</v>
      </c>
      <c r="AQ5361" t="s">
        <v>131</v>
      </c>
      <c r="AR5361">
        <v>39</v>
      </c>
      <c r="AS5361">
        <v>-36</v>
      </c>
      <c r="AT5361">
        <v>-704</v>
      </c>
      <c r="BB5361" t="str">
        <f t="shared" si="2106"/>
        <v>1200</v>
      </c>
      <c r="BC5361">
        <v>1</v>
      </c>
      <c r="BD5361" t="str">
        <f t="shared" si="2107"/>
        <v xml:space="preserve">N52156  </v>
      </c>
      <c r="BE5361">
        <v>1</v>
      </c>
      <c r="BG5361">
        <v>0</v>
      </c>
      <c r="BH5361">
        <v>0</v>
      </c>
      <c r="BI5361">
        <v>0</v>
      </c>
      <c r="BJ5361">
        <v>3125</v>
      </c>
      <c r="BK5361">
        <v>-75</v>
      </c>
      <c r="BL5361" t="s">
        <v>188</v>
      </c>
      <c r="BM5361">
        <v>1</v>
      </c>
      <c r="BN5361">
        <v>1</v>
      </c>
      <c r="BO5361">
        <v>0</v>
      </c>
      <c r="BP5361">
        <v>0</v>
      </c>
      <c r="BS5361">
        <v>0</v>
      </c>
      <c r="BT5361">
        <v>0</v>
      </c>
      <c r="BU5361">
        <v>0</v>
      </c>
      <c r="CE5361" t="str">
        <f t="shared" si="2123"/>
        <v>15:19:25.368</v>
      </c>
      <c r="CF5361">
        <v>367503871</v>
      </c>
      <c r="CS5361">
        <v>0</v>
      </c>
      <c r="CT5361">
        <v>2</v>
      </c>
      <c r="CU5361">
        <v>0</v>
      </c>
      <c r="CV5361">
        <v>2</v>
      </c>
      <c r="CW5361">
        <v>0</v>
      </c>
      <c r="CX5361">
        <v>2</v>
      </c>
      <c r="CY5361">
        <v>7</v>
      </c>
      <c r="CZ5361" t="s">
        <v>133</v>
      </c>
      <c r="DA5361">
        <v>275</v>
      </c>
      <c r="DB5361">
        <v>0</v>
      </c>
      <c r="DC5361" t="s">
        <v>134</v>
      </c>
      <c r="DD5361" t="s">
        <v>135</v>
      </c>
      <c r="DG5361">
        <v>3323842</v>
      </c>
      <c r="DI5361">
        <v>1</v>
      </c>
      <c r="DJ5361">
        <v>0</v>
      </c>
      <c r="DK5361">
        <v>1</v>
      </c>
      <c r="DL5361">
        <v>0</v>
      </c>
      <c r="DM5361">
        <v>0</v>
      </c>
      <c r="DN5361">
        <v>0</v>
      </c>
      <c r="DO5361">
        <v>0</v>
      </c>
      <c r="DP5361">
        <v>0</v>
      </c>
      <c r="DQ5361">
        <v>0</v>
      </c>
      <c r="DR5361">
        <v>0</v>
      </c>
      <c r="DS5361">
        <v>0</v>
      </c>
    </row>
    <row r="5362" spans="1:123" x14ac:dyDescent="0.3">
      <c r="A5362" t="str">
        <f>"05/01/2025 15:19:25.597"</f>
        <v>05/01/2025 15:19:25.597</v>
      </c>
      <c r="C5362" t="str">
        <f t="shared" si="2104"/>
        <v>FFDFD3C0</v>
      </c>
      <c r="D5362" t="s">
        <v>145</v>
      </c>
      <c r="E5362" t="str">
        <f>"05"</f>
        <v>05</v>
      </c>
      <c r="H5362">
        <v>47</v>
      </c>
      <c r="I5362" t="s">
        <v>146</v>
      </c>
      <c r="J5362" t="s">
        <v>138</v>
      </c>
      <c r="K5362">
        <v>0</v>
      </c>
      <c r="L5362">
        <v>3</v>
      </c>
      <c r="M5362">
        <v>0</v>
      </c>
      <c r="N5362">
        <v>2</v>
      </c>
      <c r="O5362">
        <v>0</v>
      </c>
      <c r="P5362">
        <v>1</v>
      </c>
      <c r="Q5362">
        <v>0</v>
      </c>
      <c r="R5362" t="s">
        <v>127</v>
      </c>
      <c r="S5362" t="str">
        <f t="shared" si="2122"/>
        <v>15:19:25.000</v>
      </c>
      <c r="T5362" t="str">
        <f t="shared" si="2122"/>
        <v>15:19:25.000</v>
      </c>
      <c r="U5362" t="str">
        <f t="shared" si="2105"/>
        <v>A68FCB</v>
      </c>
      <c r="V5362">
        <v>0</v>
      </c>
      <c r="W5362">
        <v>0</v>
      </c>
      <c r="X5362">
        <v>2</v>
      </c>
      <c r="Y5362">
        <v>0</v>
      </c>
      <c r="AA5362">
        <v>1</v>
      </c>
      <c r="AB5362">
        <v>8</v>
      </c>
      <c r="AC5362">
        <v>3</v>
      </c>
      <c r="AD5362">
        <v>0</v>
      </c>
      <c r="AE5362">
        <v>9</v>
      </c>
      <c r="AF5362" t="s">
        <v>138</v>
      </c>
      <c r="AG5362">
        <v>0</v>
      </c>
      <c r="AH5362">
        <v>3</v>
      </c>
      <c r="AI5362">
        <v>2</v>
      </c>
      <c r="AJ5362">
        <v>0</v>
      </c>
      <c r="AK5362" t="s">
        <v>1525</v>
      </c>
      <c r="AL5362">
        <v>39.225140000000003</v>
      </c>
      <c r="AM5362" t="s">
        <v>1685</v>
      </c>
      <c r="AN5362">
        <v>-121.026292</v>
      </c>
      <c r="AO5362">
        <v>25</v>
      </c>
      <c r="AP5362">
        <v>3200</v>
      </c>
      <c r="AQ5362" t="s">
        <v>131</v>
      </c>
      <c r="AR5362">
        <v>39</v>
      </c>
      <c r="AS5362">
        <v>-36</v>
      </c>
      <c r="AT5362">
        <v>-704</v>
      </c>
      <c r="BB5362" t="str">
        <f t="shared" si="2106"/>
        <v>1200</v>
      </c>
      <c r="BC5362">
        <v>1</v>
      </c>
      <c r="BD5362" t="str">
        <f t="shared" si="2107"/>
        <v xml:space="preserve">N52156  </v>
      </c>
      <c r="BE5362">
        <v>1</v>
      </c>
      <c r="BG5362">
        <v>0</v>
      </c>
      <c r="BH5362">
        <v>0</v>
      </c>
      <c r="BI5362">
        <v>0</v>
      </c>
      <c r="BJ5362">
        <v>3125</v>
      </c>
      <c r="BK5362">
        <v>-75</v>
      </c>
      <c r="BL5362" t="s">
        <v>188</v>
      </c>
      <c r="BM5362">
        <v>1</v>
      </c>
      <c r="BN5362">
        <v>1</v>
      </c>
      <c r="BO5362">
        <v>0</v>
      </c>
      <c r="BP5362">
        <v>0</v>
      </c>
      <c r="BS5362">
        <v>0</v>
      </c>
      <c r="BT5362">
        <v>0</v>
      </c>
      <c r="BU5362">
        <v>0</v>
      </c>
      <c r="CE5362" t="str">
        <f t="shared" si="2123"/>
        <v>15:19:25.368</v>
      </c>
      <c r="CF5362">
        <v>367503871</v>
      </c>
      <c r="CS5362">
        <v>0</v>
      </c>
      <c r="CT5362">
        <v>2</v>
      </c>
      <c r="CU5362">
        <v>0</v>
      </c>
      <c r="CV5362">
        <v>2</v>
      </c>
      <c r="CW5362">
        <v>0</v>
      </c>
      <c r="CX5362">
        <v>2</v>
      </c>
      <c r="CY5362">
        <v>7</v>
      </c>
      <c r="CZ5362" t="s">
        <v>133</v>
      </c>
      <c r="DA5362">
        <v>275</v>
      </c>
      <c r="DB5362">
        <v>0</v>
      </c>
      <c r="DC5362" t="s">
        <v>134</v>
      </c>
      <c r="DD5362" t="s">
        <v>135</v>
      </c>
      <c r="DG5362">
        <v>3323842</v>
      </c>
      <c r="DI5362">
        <v>1</v>
      </c>
      <c r="DJ5362">
        <v>0</v>
      </c>
      <c r="DK5362">
        <v>1</v>
      </c>
      <c r="DL5362">
        <v>0</v>
      </c>
      <c r="DM5362">
        <v>0</v>
      </c>
      <c r="DN5362">
        <v>0</v>
      </c>
      <c r="DO5362">
        <v>0</v>
      </c>
      <c r="DP5362">
        <v>0</v>
      </c>
      <c r="DQ5362">
        <v>0</v>
      </c>
      <c r="DR5362">
        <v>0</v>
      </c>
      <c r="DS5362">
        <v>0</v>
      </c>
    </row>
    <row r="5363" spans="1:123" x14ac:dyDescent="0.3">
      <c r="A5363" t="str">
        <f>"05/01/2025 15:19:25.607"</f>
        <v>05/01/2025 15:19:25.607</v>
      </c>
      <c r="C5363" t="str">
        <f t="shared" si="2104"/>
        <v>FFDFD3C0</v>
      </c>
      <c r="D5363" t="s">
        <v>136</v>
      </c>
      <c r="E5363" t="str">
        <f>"20"</f>
        <v>20</v>
      </c>
      <c r="H5363">
        <v>400</v>
      </c>
      <c r="I5363" t="s">
        <v>137</v>
      </c>
      <c r="J5363" t="s">
        <v>138</v>
      </c>
      <c r="K5363">
        <v>0</v>
      </c>
      <c r="L5363">
        <v>3</v>
      </c>
      <c r="M5363">
        <v>0</v>
      </c>
      <c r="N5363">
        <v>2</v>
      </c>
      <c r="O5363">
        <v>0</v>
      </c>
      <c r="P5363">
        <v>1</v>
      </c>
      <c r="Q5363">
        <v>0</v>
      </c>
      <c r="R5363" t="s">
        <v>127</v>
      </c>
      <c r="S5363" t="str">
        <f t="shared" si="2122"/>
        <v>15:19:25.000</v>
      </c>
      <c r="T5363" t="str">
        <f t="shared" si="2122"/>
        <v>15:19:25.000</v>
      </c>
      <c r="U5363" t="str">
        <f t="shared" si="2105"/>
        <v>A68FCB</v>
      </c>
      <c r="V5363">
        <v>0</v>
      </c>
      <c r="W5363">
        <v>0</v>
      </c>
      <c r="X5363">
        <v>2</v>
      </c>
      <c r="Y5363">
        <v>0</v>
      </c>
      <c r="AA5363">
        <v>1</v>
      </c>
      <c r="AB5363">
        <v>8</v>
      </c>
      <c r="AC5363">
        <v>3</v>
      </c>
      <c r="AD5363">
        <v>0</v>
      </c>
      <c r="AE5363">
        <v>9</v>
      </c>
      <c r="AF5363" t="s">
        <v>138</v>
      </c>
      <c r="AG5363">
        <v>0</v>
      </c>
      <c r="AH5363">
        <v>3</v>
      </c>
      <c r="AI5363">
        <v>2</v>
      </c>
      <c r="AJ5363">
        <v>0</v>
      </c>
      <c r="AK5363" t="s">
        <v>1525</v>
      </c>
      <c r="AL5363">
        <v>39.225140000000003</v>
      </c>
      <c r="AM5363" t="s">
        <v>1685</v>
      </c>
      <c r="AN5363">
        <v>-121.026292</v>
      </c>
      <c r="AO5363">
        <v>25</v>
      </c>
      <c r="AP5363">
        <v>3200</v>
      </c>
      <c r="AQ5363" t="s">
        <v>131</v>
      </c>
      <c r="AR5363">
        <v>39</v>
      </c>
      <c r="AS5363">
        <v>-36</v>
      </c>
      <c r="AT5363">
        <v>-704</v>
      </c>
      <c r="BB5363" t="str">
        <f t="shared" si="2106"/>
        <v>1200</v>
      </c>
      <c r="BC5363">
        <v>1</v>
      </c>
      <c r="BD5363" t="str">
        <f t="shared" si="2107"/>
        <v xml:space="preserve">N52156  </v>
      </c>
      <c r="BE5363">
        <v>1</v>
      </c>
      <c r="BG5363">
        <v>0</v>
      </c>
      <c r="BH5363">
        <v>0</v>
      </c>
      <c r="BI5363">
        <v>0</v>
      </c>
      <c r="BJ5363">
        <v>3125</v>
      </c>
      <c r="BK5363">
        <v>-75</v>
      </c>
      <c r="BL5363" t="s">
        <v>188</v>
      </c>
      <c r="BM5363">
        <v>1</v>
      </c>
      <c r="BN5363">
        <v>1</v>
      </c>
      <c r="BO5363">
        <v>0</v>
      </c>
      <c r="BP5363">
        <v>0</v>
      </c>
      <c r="BS5363">
        <v>0</v>
      </c>
      <c r="BT5363">
        <v>0</v>
      </c>
      <c r="BU5363">
        <v>0</v>
      </c>
      <c r="CE5363" t="str">
        <f t="shared" si="2123"/>
        <v>15:19:25.368</v>
      </c>
      <c r="CF5363">
        <v>367503871</v>
      </c>
      <c r="CS5363">
        <v>0</v>
      </c>
      <c r="CT5363">
        <v>2</v>
      </c>
      <c r="CU5363">
        <v>0</v>
      </c>
      <c r="CV5363">
        <v>2</v>
      </c>
      <c r="CW5363">
        <v>0</v>
      </c>
      <c r="CX5363">
        <v>2</v>
      </c>
      <c r="CY5363">
        <v>7</v>
      </c>
      <c r="CZ5363" t="s">
        <v>133</v>
      </c>
      <c r="DA5363">
        <v>275</v>
      </c>
      <c r="DB5363">
        <v>0</v>
      </c>
      <c r="DC5363" t="s">
        <v>134</v>
      </c>
      <c r="DD5363" t="s">
        <v>135</v>
      </c>
      <c r="DG5363">
        <v>3323842</v>
      </c>
      <c r="DI5363">
        <v>1</v>
      </c>
      <c r="DJ5363">
        <v>0</v>
      </c>
      <c r="DK5363">
        <v>1</v>
      </c>
      <c r="DL5363">
        <v>0</v>
      </c>
      <c r="DM5363">
        <v>0</v>
      </c>
      <c r="DN5363">
        <v>0</v>
      </c>
      <c r="DO5363">
        <v>0</v>
      </c>
      <c r="DP5363">
        <v>0</v>
      </c>
      <c r="DQ5363">
        <v>0</v>
      </c>
      <c r="DR5363">
        <v>0</v>
      </c>
      <c r="DS5363">
        <v>0</v>
      </c>
    </row>
    <row r="5364" spans="1:123" x14ac:dyDescent="0.3">
      <c r="A5364" t="str">
        <f>"05/01/2025 15:19:25.621"</f>
        <v>05/01/2025 15:19:25.621</v>
      </c>
      <c r="C5364" t="str">
        <f t="shared" si="2104"/>
        <v>FFDFD3C0</v>
      </c>
      <c r="D5364" t="s">
        <v>140</v>
      </c>
      <c r="E5364" t="str">
        <f>"13"</f>
        <v>13</v>
      </c>
      <c r="F5364">
        <v>1019</v>
      </c>
      <c r="G5364" t="s">
        <v>141</v>
      </c>
      <c r="J5364" t="s">
        <v>142</v>
      </c>
      <c r="K5364">
        <v>0</v>
      </c>
      <c r="L5364">
        <v>3</v>
      </c>
      <c r="M5364">
        <v>0</v>
      </c>
      <c r="N5364">
        <v>2</v>
      </c>
      <c r="O5364">
        <v>0</v>
      </c>
      <c r="P5364">
        <v>1</v>
      </c>
      <c r="Q5364">
        <v>0</v>
      </c>
      <c r="R5364" t="s">
        <v>127</v>
      </c>
      <c r="S5364" t="str">
        <f t="shared" si="2122"/>
        <v>15:19:25.000</v>
      </c>
      <c r="T5364" t="str">
        <f t="shared" si="2122"/>
        <v>15:19:25.000</v>
      </c>
      <c r="U5364" t="str">
        <f t="shared" si="2105"/>
        <v>A68FCB</v>
      </c>
      <c r="V5364">
        <v>0</v>
      </c>
      <c r="W5364">
        <v>0</v>
      </c>
      <c r="X5364">
        <v>2</v>
      </c>
      <c r="Y5364">
        <v>0</v>
      </c>
      <c r="AA5364">
        <v>1</v>
      </c>
      <c r="AB5364">
        <v>8</v>
      </c>
      <c r="AC5364">
        <v>3</v>
      </c>
      <c r="AD5364">
        <v>0</v>
      </c>
      <c r="AE5364">
        <v>9</v>
      </c>
      <c r="AF5364" t="s">
        <v>138</v>
      </c>
      <c r="AG5364">
        <v>0</v>
      </c>
      <c r="AH5364">
        <v>3</v>
      </c>
      <c r="AI5364">
        <v>2</v>
      </c>
      <c r="AJ5364">
        <v>0</v>
      </c>
      <c r="AK5364" t="s">
        <v>1525</v>
      </c>
      <c r="AL5364">
        <v>39.225140000000003</v>
      </c>
      <c r="AM5364" t="s">
        <v>1685</v>
      </c>
      <c r="AN5364">
        <v>-121.026292</v>
      </c>
      <c r="AO5364">
        <v>25</v>
      </c>
      <c r="AP5364">
        <v>3200</v>
      </c>
      <c r="AQ5364" t="s">
        <v>131</v>
      </c>
      <c r="AR5364">
        <v>39</v>
      </c>
      <c r="AS5364">
        <v>-36</v>
      </c>
      <c r="AT5364">
        <v>-704</v>
      </c>
      <c r="BB5364" t="str">
        <f t="shared" si="2106"/>
        <v>1200</v>
      </c>
      <c r="BC5364">
        <v>1</v>
      </c>
      <c r="BD5364" t="str">
        <f t="shared" si="2107"/>
        <v xml:space="preserve">N52156  </v>
      </c>
      <c r="BE5364">
        <v>1</v>
      </c>
      <c r="BG5364">
        <v>0</v>
      </c>
      <c r="BH5364">
        <v>0</v>
      </c>
      <c r="BI5364">
        <v>0</v>
      </c>
      <c r="BJ5364">
        <v>3125</v>
      </c>
      <c r="BK5364">
        <v>-75</v>
      </c>
      <c r="BL5364" t="s">
        <v>188</v>
      </c>
      <c r="BM5364">
        <v>1</v>
      </c>
      <c r="BN5364">
        <v>1</v>
      </c>
      <c r="BO5364">
        <v>0</v>
      </c>
      <c r="BP5364">
        <v>0</v>
      </c>
      <c r="BS5364">
        <v>0</v>
      </c>
      <c r="BT5364">
        <v>0</v>
      </c>
      <c r="BU5364">
        <v>0</v>
      </c>
      <c r="CE5364" t="str">
        <f t="shared" si="2123"/>
        <v>15:19:25.368</v>
      </c>
      <c r="CF5364">
        <v>367503871</v>
      </c>
      <c r="CS5364">
        <v>0</v>
      </c>
      <c r="CT5364">
        <v>2</v>
      </c>
      <c r="CU5364">
        <v>0</v>
      </c>
      <c r="CV5364">
        <v>2</v>
      </c>
      <c r="CW5364">
        <v>0</v>
      </c>
      <c r="CX5364">
        <v>2</v>
      </c>
      <c r="CY5364">
        <v>7</v>
      </c>
      <c r="CZ5364" t="s">
        <v>133</v>
      </c>
      <c r="DA5364">
        <v>275</v>
      </c>
      <c r="DB5364">
        <v>0</v>
      </c>
      <c r="DC5364" t="s">
        <v>134</v>
      </c>
      <c r="DD5364" t="s">
        <v>135</v>
      </c>
      <c r="DG5364">
        <v>3323842</v>
      </c>
      <c r="DI5364">
        <v>1</v>
      </c>
      <c r="DJ5364">
        <v>0</v>
      </c>
      <c r="DK5364">
        <v>1</v>
      </c>
      <c r="DL5364">
        <v>0</v>
      </c>
      <c r="DM5364">
        <v>0</v>
      </c>
      <c r="DN5364">
        <v>0</v>
      </c>
      <c r="DO5364">
        <v>0</v>
      </c>
      <c r="DP5364">
        <v>0</v>
      </c>
      <c r="DQ5364">
        <v>0</v>
      </c>
      <c r="DR5364">
        <v>0</v>
      </c>
      <c r="DS5364">
        <v>0</v>
      </c>
    </row>
    <row r="5365" spans="1:123" x14ac:dyDescent="0.3">
      <c r="A5365" t="str">
        <f>"05/01/2025 15:19:25.623"</f>
        <v>05/01/2025 15:19:25.623</v>
      </c>
      <c r="C5365" t="str">
        <f t="shared" si="2104"/>
        <v>FFDFD3C0</v>
      </c>
      <c r="D5365" t="s">
        <v>124</v>
      </c>
      <c r="E5365" t="str">
        <f>"06"</f>
        <v>06</v>
      </c>
      <c r="F5365">
        <v>2006</v>
      </c>
      <c r="G5365" t="s">
        <v>125</v>
      </c>
      <c r="J5365" t="s">
        <v>126</v>
      </c>
      <c r="K5365">
        <v>0</v>
      </c>
      <c r="L5365">
        <v>3</v>
      </c>
      <c r="M5365">
        <v>0</v>
      </c>
      <c r="N5365">
        <v>2</v>
      </c>
      <c r="O5365">
        <v>0</v>
      </c>
      <c r="P5365">
        <v>1</v>
      </c>
      <c r="Q5365">
        <v>0</v>
      </c>
      <c r="R5365" t="s">
        <v>127</v>
      </c>
      <c r="S5365" t="str">
        <f t="shared" si="2122"/>
        <v>15:19:25.000</v>
      </c>
      <c r="T5365" t="str">
        <f t="shared" si="2122"/>
        <v>15:19:25.000</v>
      </c>
      <c r="U5365" t="str">
        <f t="shared" si="2105"/>
        <v>A68FCB</v>
      </c>
      <c r="V5365">
        <v>0</v>
      </c>
      <c r="W5365">
        <v>0</v>
      </c>
      <c r="X5365">
        <v>2</v>
      </c>
      <c r="Y5365">
        <v>0</v>
      </c>
      <c r="AA5365">
        <v>1</v>
      </c>
      <c r="AB5365">
        <v>8</v>
      </c>
      <c r="AC5365">
        <v>3</v>
      </c>
      <c r="AD5365">
        <v>0</v>
      </c>
      <c r="AE5365">
        <v>9</v>
      </c>
      <c r="AF5365" t="s">
        <v>138</v>
      </c>
      <c r="AG5365">
        <v>0</v>
      </c>
      <c r="AH5365">
        <v>3</v>
      </c>
      <c r="AI5365">
        <v>2</v>
      </c>
      <c r="AJ5365">
        <v>0</v>
      </c>
      <c r="AK5365" t="s">
        <v>1525</v>
      </c>
      <c r="AL5365">
        <v>39.225140000000003</v>
      </c>
      <c r="AM5365" t="s">
        <v>1685</v>
      </c>
      <c r="AN5365">
        <v>-121.026292</v>
      </c>
      <c r="AO5365">
        <v>25</v>
      </c>
      <c r="AP5365">
        <v>3200</v>
      </c>
      <c r="AQ5365" t="s">
        <v>131</v>
      </c>
      <c r="AR5365">
        <v>39</v>
      </c>
      <c r="AS5365">
        <v>-36</v>
      </c>
      <c r="AT5365">
        <v>-704</v>
      </c>
      <c r="BB5365" t="str">
        <f t="shared" si="2106"/>
        <v>1200</v>
      </c>
      <c r="BC5365">
        <v>1</v>
      </c>
      <c r="BD5365" t="str">
        <f t="shared" si="2107"/>
        <v xml:space="preserve">N52156  </v>
      </c>
      <c r="BE5365">
        <v>1</v>
      </c>
      <c r="BG5365">
        <v>0</v>
      </c>
      <c r="BH5365">
        <v>0</v>
      </c>
      <c r="BI5365">
        <v>0</v>
      </c>
      <c r="BJ5365">
        <v>3125</v>
      </c>
      <c r="BK5365">
        <v>-75</v>
      </c>
      <c r="BL5365" t="s">
        <v>188</v>
      </c>
      <c r="BM5365">
        <v>1</v>
      </c>
      <c r="BN5365">
        <v>1</v>
      </c>
      <c r="BO5365">
        <v>0</v>
      </c>
      <c r="BP5365">
        <v>0</v>
      </c>
      <c r="BS5365">
        <v>0</v>
      </c>
      <c r="BT5365">
        <v>0</v>
      </c>
      <c r="BU5365">
        <v>0</v>
      </c>
      <c r="CE5365" t="str">
        <f t="shared" si="2123"/>
        <v>15:19:25.368</v>
      </c>
      <c r="CF5365">
        <v>367503871</v>
      </c>
      <c r="CS5365">
        <v>0</v>
      </c>
      <c r="CT5365">
        <v>2</v>
      </c>
      <c r="CU5365">
        <v>0</v>
      </c>
      <c r="CV5365">
        <v>2</v>
      </c>
      <c r="CW5365">
        <v>0</v>
      </c>
      <c r="CX5365">
        <v>2</v>
      </c>
      <c r="CY5365">
        <v>7</v>
      </c>
      <c r="CZ5365" t="s">
        <v>133</v>
      </c>
      <c r="DA5365">
        <v>275</v>
      </c>
      <c r="DB5365">
        <v>0</v>
      </c>
      <c r="DC5365" t="s">
        <v>134</v>
      </c>
      <c r="DD5365" t="s">
        <v>135</v>
      </c>
      <c r="DG5365">
        <v>3323842</v>
      </c>
      <c r="DI5365">
        <v>1</v>
      </c>
      <c r="DJ5365">
        <v>0</v>
      </c>
      <c r="DK5365">
        <v>1</v>
      </c>
      <c r="DL5365">
        <v>0</v>
      </c>
      <c r="DM5365">
        <v>0</v>
      </c>
      <c r="DN5365">
        <v>0</v>
      </c>
      <c r="DO5365">
        <v>0</v>
      </c>
      <c r="DP5365">
        <v>0</v>
      </c>
      <c r="DQ5365">
        <v>0</v>
      </c>
      <c r="DR5365">
        <v>0</v>
      </c>
      <c r="DS5365">
        <v>0</v>
      </c>
    </row>
    <row r="5366" spans="1:123" x14ac:dyDescent="0.3">
      <c r="A5366" t="str">
        <f>"05/01/2025 15:19:27.074"</f>
        <v>05/01/2025 15:19:27.074</v>
      </c>
      <c r="C5366" t="str">
        <f t="shared" si="2104"/>
        <v>FFDFD3C0</v>
      </c>
      <c r="D5366" t="s">
        <v>140</v>
      </c>
      <c r="E5366" t="str">
        <f>"13"</f>
        <v>13</v>
      </c>
      <c r="F5366">
        <v>1019</v>
      </c>
      <c r="G5366" t="s">
        <v>141</v>
      </c>
      <c r="J5366" t="s">
        <v>142</v>
      </c>
      <c r="K5366">
        <v>0</v>
      </c>
      <c r="L5366">
        <v>3</v>
      </c>
      <c r="M5366">
        <v>0</v>
      </c>
      <c r="N5366">
        <v>2</v>
      </c>
      <c r="O5366">
        <v>0</v>
      </c>
      <c r="P5366">
        <v>1</v>
      </c>
      <c r="Q5366">
        <v>0</v>
      </c>
      <c r="R5366" t="s">
        <v>127</v>
      </c>
      <c r="S5366" t="str">
        <f t="shared" ref="S5366:T5371" si="2124">"15:19:26.000"</f>
        <v>15:19:26.000</v>
      </c>
      <c r="T5366" t="str">
        <f t="shared" si="2124"/>
        <v>15:19:26.000</v>
      </c>
      <c r="U5366" t="str">
        <f t="shared" si="2105"/>
        <v>A68FCB</v>
      </c>
      <c r="V5366">
        <v>0</v>
      </c>
      <c r="W5366">
        <v>0</v>
      </c>
      <c r="X5366">
        <v>2</v>
      </c>
      <c r="Y5366">
        <v>0</v>
      </c>
      <c r="AA5366">
        <v>1</v>
      </c>
      <c r="AB5366">
        <v>8</v>
      </c>
      <c r="AC5366">
        <v>3</v>
      </c>
      <c r="AD5366">
        <v>0</v>
      </c>
      <c r="AE5366">
        <v>9</v>
      </c>
      <c r="AF5366" t="s">
        <v>138</v>
      </c>
      <c r="AG5366">
        <v>0</v>
      </c>
      <c r="AH5366">
        <v>3</v>
      </c>
      <c r="AI5366">
        <v>2</v>
      </c>
      <c r="AJ5366">
        <v>0</v>
      </c>
      <c r="AK5366" t="s">
        <v>1686</v>
      </c>
      <c r="AL5366">
        <v>39.224989000000001</v>
      </c>
      <c r="AM5366" t="s">
        <v>1687</v>
      </c>
      <c r="AN5366">
        <v>-121.026034</v>
      </c>
      <c r="AO5366">
        <v>25</v>
      </c>
      <c r="AP5366">
        <v>3200</v>
      </c>
      <c r="AQ5366" t="s">
        <v>131</v>
      </c>
      <c r="AR5366">
        <v>35</v>
      </c>
      <c r="AS5366">
        <v>-40</v>
      </c>
      <c r="AT5366">
        <v>-640</v>
      </c>
      <c r="BB5366" t="str">
        <f t="shared" si="2106"/>
        <v>1200</v>
      </c>
      <c r="BC5366">
        <v>1</v>
      </c>
      <c r="BD5366" t="str">
        <f t="shared" si="2107"/>
        <v xml:space="preserve">N52156  </v>
      </c>
      <c r="BE5366">
        <v>1</v>
      </c>
      <c r="BG5366">
        <v>0</v>
      </c>
      <c r="BH5366">
        <v>0</v>
      </c>
      <c r="BI5366">
        <v>0</v>
      </c>
      <c r="BJ5366">
        <v>3125</v>
      </c>
      <c r="BK5366">
        <v>-75</v>
      </c>
      <c r="BL5366" t="s">
        <v>188</v>
      </c>
      <c r="BM5366">
        <v>1</v>
      </c>
      <c r="BN5366">
        <v>1</v>
      </c>
      <c r="BO5366">
        <v>0</v>
      </c>
      <c r="BP5366">
        <v>0</v>
      </c>
      <c r="BS5366">
        <v>0</v>
      </c>
      <c r="BT5366">
        <v>0</v>
      </c>
      <c r="BU5366">
        <v>0</v>
      </c>
      <c r="CE5366" t="str">
        <f t="shared" ref="CE5366:CE5371" si="2125">"15:19:26.868"</f>
        <v>15:19:26.868</v>
      </c>
      <c r="CF5366">
        <v>867755247</v>
      </c>
      <c r="CS5366">
        <v>0</v>
      </c>
      <c r="CT5366">
        <v>2</v>
      </c>
      <c r="CU5366">
        <v>0</v>
      </c>
      <c r="CV5366">
        <v>2</v>
      </c>
      <c r="CW5366">
        <v>0</v>
      </c>
      <c r="CX5366">
        <v>1</v>
      </c>
      <c r="CY5366">
        <v>7</v>
      </c>
      <c r="CZ5366" t="s">
        <v>133</v>
      </c>
      <c r="DA5366">
        <v>275</v>
      </c>
      <c r="DB5366">
        <v>0</v>
      </c>
      <c r="DC5366" t="s">
        <v>134</v>
      </c>
      <c r="DD5366" t="s">
        <v>135</v>
      </c>
      <c r="DG5366">
        <v>3323852</v>
      </c>
      <c r="DI5366">
        <v>1</v>
      </c>
      <c r="DJ5366">
        <v>0</v>
      </c>
      <c r="DK5366">
        <v>0</v>
      </c>
      <c r="DL5366">
        <v>0</v>
      </c>
      <c r="DM5366">
        <v>0</v>
      </c>
      <c r="DN5366">
        <v>0</v>
      </c>
      <c r="DO5366">
        <v>0</v>
      </c>
      <c r="DP5366">
        <v>0</v>
      </c>
      <c r="DQ5366">
        <v>0</v>
      </c>
      <c r="DR5366">
        <v>0</v>
      </c>
      <c r="DS5366">
        <v>0</v>
      </c>
    </row>
    <row r="5367" spans="1:123" x14ac:dyDescent="0.3">
      <c r="A5367" t="str">
        <f>"05/01/2025 15:19:27.076"</f>
        <v>05/01/2025 15:19:27.076</v>
      </c>
      <c r="C5367" t="str">
        <f t="shared" si="2104"/>
        <v>FFDFD3C0</v>
      </c>
      <c r="D5367" t="s">
        <v>124</v>
      </c>
      <c r="E5367" t="str">
        <f>"06"</f>
        <v>06</v>
      </c>
      <c r="F5367">
        <v>2006</v>
      </c>
      <c r="G5367" t="s">
        <v>125</v>
      </c>
      <c r="J5367" t="s">
        <v>126</v>
      </c>
      <c r="K5367">
        <v>0</v>
      </c>
      <c r="L5367">
        <v>3</v>
      </c>
      <c r="M5367">
        <v>0</v>
      </c>
      <c r="N5367">
        <v>2</v>
      </c>
      <c r="O5367">
        <v>0</v>
      </c>
      <c r="P5367">
        <v>1</v>
      </c>
      <c r="Q5367">
        <v>0</v>
      </c>
      <c r="R5367" t="s">
        <v>127</v>
      </c>
      <c r="S5367" t="str">
        <f t="shared" si="2124"/>
        <v>15:19:26.000</v>
      </c>
      <c r="T5367" t="str">
        <f t="shared" si="2124"/>
        <v>15:19:26.000</v>
      </c>
      <c r="U5367" t="str">
        <f t="shared" si="2105"/>
        <v>A68FCB</v>
      </c>
      <c r="V5367">
        <v>0</v>
      </c>
      <c r="W5367">
        <v>0</v>
      </c>
      <c r="X5367">
        <v>2</v>
      </c>
      <c r="Y5367">
        <v>0</v>
      </c>
      <c r="AA5367">
        <v>1</v>
      </c>
      <c r="AB5367">
        <v>8</v>
      </c>
      <c r="AC5367">
        <v>3</v>
      </c>
      <c r="AD5367">
        <v>0</v>
      </c>
      <c r="AE5367">
        <v>9</v>
      </c>
      <c r="AF5367" t="s">
        <v>138</v>
      </c>
      <c r="AG5367">
        <v>0</v>
      </c>
      <c r="AH5367">
        <v>3</v>
      </c>
      <c r="AI5367">
        <v>2</v>
      </c>
      <c r="AJ5367">
        <v>0</v>
      </c>
      <c r="AK5367" t="s">
        <v>1686</v>
      </c>
      <c r="AL5367">
        <v>39.224989000000001</v>
      </c>
      <c r="AM5367" t="s">
        <v>1687</v>
      </c>
      <c r="AN5367">
        <v>-121.026034</v>
      </c>
      <c r="AO5367">
        <v>25</v>
      </c>
      <c r="AP5367">
        <v>3200</v>
      </c>
      <c r="AQ5367" t="s">
        <v>131</v>
      </c>
      <c r="AR5367">
        <v>35</v>
      </c>
      <c r="AS5367">
        <v>-40</v>
      </c>
      <c r="AT5367">
        <v>-640</v>
      </c>
      <c r="BB5367" t="str">
        <f t="shared" si="2106"/>
        <v>1200</v>
      </c>
      <c r="BC5367">
        <v>1</v>
      </c>
      <c r="BD5367" t="str">
        <f t="shared" si="2107"/>
        <v xml:space="preserve">N52156  </v>
      </c>
      <c r="BE5367">
        <v>1</v>
      </c>
      <c r="BG5367">
        <v>0</v>
      </c>
      <c r="BH5367">
        <v>0</v>
      </c>
      <c r="BI5367">
        <v>0</v>
      </c>
      <c r="BJ5367">
        <v>3125</v>
      </c>
      <c r="BK5367">
        <v>-75</v>
      </c>
      <c r="BL5367" t="s">
        <v>188</v>
      </c>
      <c r="BM5367">
        <v>1</v>
      </c>
      <c r="BN5367">
        <v>1</v>
      </c>
      <c r="BO5367">
        <v>0</v>
      </c>
      <c r="BP5367">
        <v>0</v>
      </c>
      <c r="BS5367">
        <v>0</v>
      </c>
      <c r="BT5367">
        <v>0</v>
      </c>
      <c r="BU5367">
        <v>0</v>
      </c>
      <c r="CE5367" t="str">
        <f t="shared" si="2125"/>
        <v>15:19:26.868</v>
      </c>
      <c r="CF5367">
        <v>867755247</v>
      </c>
      <c r="CS5367">
        <v>0</v>
      </c>
      <c r="CT5367">
        <v>2</v>
      </c>
      <c r="CU5367">
        <v>0</v>
      </c>
      <c r="CV5367">
        <v>2</v>
      </c>
      <c r="CW5367">
        <v>0</v>
      </c>
      <c r="CX5367">
        <v>1</v>
      </c>
      <c r="CY5367">
        <v>7</v>
      </c>
      <c r="CZ5367" t="s">
        <v>133</v>
      </c>
      <c r="DA5367">
        <v>275</v>
      </c>
      <c r="DB5367">
        <v>0</v>
      </c>
      <c r="DC5367" t="s">
        <v>134</v>
      </c>
      <c r="DD5367" t="s">
        <v>135</v>
      </c>
      <c r="DG5367">
        <v>3323852</v>
      </c>
      <c r="DI5367">
        <v>1</v>
      </c>
      <c r="DJ5367">
        <v>0</v>
      </c>
      <c r="DK5367">
        <v>1</v>
      </c>
      <c r="DL5367">
        <v>0</v>
      </c>
      <c r="DM5367">
        <v>0</v>
      </c>
      <c r="DN5367">
        <v>0</v>
      </c>
      <c r="DO5367">
        <v>0</v>
      </c>
      <c r="DP5367">
        <v>0</v>
      </c>
      <c r="DQ5367">
        <v>0</v>
      </c>
      <c r="DR5367">
        <v>0</v>
      </c>
      <c r="DS5367">
        <v>0</v>
      </c>
    </row>
    <row r="5368" spans="1:123" x14ac:dyDescent="0.3">
      <c r="A5368" t="str">
        <f>"05/01/2025 15:19:27.091"</f>
        <v>05/01/2025 15:19:27.091</v>
      </c>
      <c r="C5368" t="str">
        <f t="shared" si="2104"/>
        <v>FFDFD3C0</v>
      </c>
      <c r="D5368" t="s">
        <v>143</v>
      </c>
      <c r="E5368" t="str">
        <f>"05"</f>
        <v>05</v>
      </c>
      <c r="H5368">
        <v>172</v>
      </c>
      <c r="I5368" t="s">
        <v>141</v>
      </c>
      <c r="J5368" t="s">
        <v>144</v>
      </c>
      <c r="K5368">
        <v>0</v>
      </c>
      <c r="L5368">
        <v>3</v>
      </c>
      <c r="M5368">
        <v>0</v>
      </c>
      <c r="N5368">
        <v>2</v>
      </c>
      <c r="O5368">
        <v>0</v>
      </c>
      <c r="P5368">
        <v>1</v>
      </c>
      <c r="Q5368">
        <v>0</v>
      </c>
      <c r="R5368" t="s">
        <v>127</v>
      </c>
      <c r="S5368" t="str">
        <f t="shared" si="2124"/>
        <v>15:19:26.000</v>
      </c>
      <c r="T5368" t="str">
        <f t="shared" si="2124"/>
        <v>15:19:26.000</v>
      </c>
      <c r="U5368" t="str">
        <f t="shared" si="2105"/>
        <v>A68FCB</v>
      </c>
      <c r="V5368">
        <v>0</v>
      </c>
      <c r="W5368">
        <v>0</v>
      </c>
      <c r="X5368">
        <v>2</v>
      </c>
      <c r="Y5368">
        <v>0</v>
      </c>
      <c r="AA5368">
        <v>1</v>
      </c>
      <c r="AB5368">
        <v>8</v>
      </c>
      <c r="AC5368">
        <v>3</v>
      </c>
      <c r="AD5368">
        <v>0</v>
      </c>
      <c r="AE5368">
        <v>9</v>
      </c>
      <c r="AF5368" t="s">
        <v>138</v>
      </c>
      <c r="AG5368">
        <v>0</v>
      </c>
      <c r="AH5368">
        <v>3</v>
      </c>
      <c r="AI5368">
        <v>2</v>
      </c>
      <c r="AJ5368">
        <v>0</v>
      </c>
      <c r="AK5368" t="s">
        <v>1686</v>
      </c>
      <c r="AL5368">
        <v>39.224989000000001</v>
      </c>
      <c r="AM5368" t="s">
        <v>1687</v>
      </c>
      <c r="AN5368">
        <v>-121.026034</v>
      </c>
      <c r="AO5368">
        <v>25</v>
      </c>
      <c r="AP5368">
        <v>3200</v>
      </c>
      <c r="AQ5368" t="s">
        <v>131</v>
      </c>
      <c r="AR5368">
        <v>35</v>
      </c>
      <c r="AS5368">
        <v>-40</v>
      </c>
      <c r="AT5368">
        <v>-640</v>
      </c>
      <c r="BB5368" t="str">
        <f t="shared" si="2106"/>
        <v>1200</v>
      </c>
      <c r="BC5368">
        <v>1</v>
      </c>
      <c r="BD5368" t="str">
        <f t="shared" si="2107"/>
        <v xml:space="preserve">N52156  </v>
      </c>
      <c r="BE5368">
        <v>1</v>
      </c>
      <c r="BG5368">
        <v>0</v>
      </c>
      <c r="BH5368">
        <v>0</v>
      </c>
      <c r="BI5368">
        <v>0</v>
      </c>
      <c r="BJ5368">
        <v>3125</v>
      </c>
      <c r="BK5368">
        <v>-75</v>
      </c>
      <c r="BL5368" t="s">
        <v>188</v>
      </c>
      <c r="BM5368">
        <v>1</v>
      </c>
      <c r="BN5368">
        <v>1</v>
      </c>
      <c r="BO5368">
        <v>0</v>
      </c>
      <c r="BP5368">
        <v>0</v>
      </c>
      <c r="BS5368">
        <v>0</v>
      </c>
      <c r="BT5368">
        <v>0</v>
      </c>
      <c r="BU5368">
        <v>0</v>
      </c>
      <c r="CE5368" t="str">
        <f t="shared" si="2125"/>
        <v>15:19:26.868</v>
      </c>
      <c r="CF5368">
        <v>867755247</v>
      </c>
      <c r="CS5368">
        <v>0</v>
      </c>
      <c r="CT5368">
        <v>2</v>
      </c>
      <c r="CU5368">
        <v>0</v>
      </c>
      <c r="CV5368">
        <v>2</v>
      </c>
      <c r="CW5368">
        <v>0</v>
      </c>
      <c r="CX5368">
        <v>1</v>
      </c>
      <c r="CY5368">
        <v>7</v>
      </c>
      <c r="CZ5368" t="s">
        <v>133</v>
      </c>
      <c r="DA5368">
        <v>275</v>
      </c>
      <c r="DB5368">
        <v>0</v>
      </c>
      <c r="DC5368" t="s">
        <v>134</v>
      </c>
      <c r="DD5368" t="s">
        <v>135</v>
      </c>
      <c r="DG5368">
        <v>3323852</v>
      </c>
      <c r="DI5368">
        <v>1</v>
      </c>
      <c r="DJ5368">
        <v>0</v>
      </c>
      <c r="DK5368">
        <v>1</v>
      </c>
      <c r="DL5368">
        <v>0</v>
      </c>
      <c r="DM5368">
        <v>0</v>
      </c>
      <c r="DN5368">
        <v>0</v>
      </c>
      <c r="DO5368">
        <v>0</v>
      </c>
      <c r="DP5368">
        <v>0</v>
      </c>
      <c r="DQ5368">
        <v>0</v>
      </c>
      <c r="DR5368">
        <v>0</v>
      </c>
      <c r="DS5368">
        <v>0</v>
      </c>
    </row>
    <row r="5369" spans="1:123" x14ac:dyDescent="0.3">
      <c r="A5369" t="str">
        <f>"05/01/2025 15:19:27.100"</f>
        <v>05/01/2025 15:19:27.100</v>
      </c>
      <c r="C5369" t="str">
        <f t="shared" si="2104"/>
        <v>FFDFD3C0</v>
      </c>
      <c r="D5369" t="s">
        <v>145</v>
      </c>
      <c r="E5369" t="str">
        <f>"05"</f>
        <v>05</v>
      </c>
      <c r="H5369">
        <v>47</v>
      </c>
      <c r="I5369" t="s">
        <v>146</v>
      </c>
      <c r="J5369" t="s">
        <v>138</v>
      </c>
      <c r="K5369">
        <v>0</v>
      </c>
      <c r="L5369">
        <v>3</v>
      </c>
      <c r="M5369">
        <v>0</v>
      </c>
      <c r="N5369">
        <v>2</v>
      </c>
      <c r="O5369">
        <v>0</v>
      </c>
      <c r="P5369">
        <v>1</v>
      </c>
      <c r="Q5369">
        <v>0</v>
      </c>
      <c r="R5369" t="s">
        <v>127</v>
      </c>
      <c r="S5369" t="str">
        <f t="shared" si="2124"/>
        <v>15:19:26.000</v>
      </c>
      <c r="T5369" t="str">
        <f t="shared" si="2124"/>
        <v>15:19:26.000</v>
      </c>
      <c r="U5369" t="str">
        <f t="shared" si="2105"/>
        <v>A68FCB</v>
      </c>
      <c r="V5369">
        <v>0</v>
      </c>
      <c r="W5369">
        <v>0</v>
      </c>
      <c r="X5369">
        <v>2</v>
      </c>
      <c r="Y5369">
        <v>0</v>
      </c>
      <c r="AA5369">
        <v>1</v>
      </c>
      <c r="AB5369">
        <v>8</v>
      </c>
      <c r="AC5369">
        <v>3</v>
      </c>
      <c r="AD5369">
        <v>0</v>
      </c>
      <c r="AE5369">
        <v>9</v>
      </c>
      <c r="AF5369" t="s">
        <v>138</v>
      </c>
      <c r="AG5369">
        <v>0</v>
      </c>
      <c r="AH5369">
        <v>3</v>
      </c>
      <c r="AI5369">
        <v>2</v>
      </c>
      <c r="AJ5369">
        <v>0</v>
      </c>
      <c r="AK5369" t="s">
        <v>1686</v>
      </c>
      <c r="AL5369">
        <v>39.224989000000001</v>
      </c>
      <c r="AM5369" t="s">
        <v>1687</v>
      </c>
      <c r="AN5369">
        <v>-121.026034</v>
      </c>
      <c r="AO5369">
        <v>25</v>
      </c>
      <c r="AP5369">
        <v>3200</v>
      </c>
      <c r="AQ5369" t="s">
        <v>131</v>
      </c>
      <c r="AR5369">
        <v>35</v>
      </c>
      <c r="AS5369">
        <v>-40</v>
      </c>
      <c r="AT5369">
        <v>-640</v>
      </c>
      <c r="BB5369" t="str">
        <f t="shared" si="2106"/>
        <v>1200</v>
      </c>
      <c r="BC5369">
        <v>1</v>
      </c>
      <c r="BD5369" t="str">
        <f t="shared" si="2107"/>
        <v xml:space="preserve">N52156  </v>
      </c>
      <c r="BE5369">
        <v>1</v>
      </c>
      <c r="BG5369">
        <v>0</v>
      </c>
      <c r="BH5369">
        <v>0</v>
      </c>
      <c r="BI5369">
        <v>0</v>
      </c>
      <c r="BJ5369">
        <v>3125</v>
      </c>
      <c r="BK5369">
        <v>-75</v>
      </c>
      <c r="BL5369" t="s">
        <v>188</v>
      </c>
      <c r="BM5369">
        <v>1</v>
      </c>
      <c r="BN5369">
        <v>1</v>
      </c>
      <c r="BO5369">
        <v>0</v>
      </c>
      <c r="BP5369">
        <v>0</v>
      </c>
      <c r="BS5369">
        <v>0</v>
      </c>
      <c r="BT5369">
        <v>0</v>
      </c>
      <c r="BU5369">
        <v>0</v>
      </c>
      <c r="CE5369" t="str">
        <f t="shared" si="2125"/>
        <v>15:19:26.868</v>
      </c>
      <c r="CF5369">
        <v>867755247</v>
      </c>
      <c r="CS5369">
        <v>0</v>
      </c>
      <c r="CT5369">
        <v>2</v>
      </c>
      <c r="CU5369">
        <v>0</v>
      </c>
      <c r="CV5369">
        <v>2</v>
      </c>
      <c r="CW5369">
        <v>0</v>
      </c>
      <c r="CX5369">
        <v>1</v>
      </c>
      <c r="CY5369">
        <v>7</v>
      </c>
      <c r="CZ5369" t="s">
        <v>133</v>
      </c>
      <c r="DA5369">
        <v>275</v>
      </c>
      <c r="DB5369">
        <v>0</v>
      </c>
      <c r="DC5369" t="s">
        <v>134</v>
      </c>
      <c r="DD5369" t="s">
        <v>135</v>
      </c>
      <c r="DG5369">
        <v>3323852</v>
      </c>
      <c r="DI5369">
        <v>1</v>
      </c>
      <c r="DJ5369">
        <v>0</v>
      </c>
      <c r="DK5369">
        <v>1</v>
      </c>
      <c r="DL5369">
        <v>0</v>
      </c>
      <c r="DM5369">
        <v>0</v>
      </c>
      <c r="DN5369">
        <v>0</v>
      </c>
      <c r="DO5369">
        <v>0</v>
      </c>
      <c r="DP5369">
        <v>0</v>
      </c>
      <c r="DQ5369">
        <v>0</v>
      </c>
      <c r="DR5369">
        <v>0</v>
      </c>
      <c r="DS5369">
        <v>0</v>
      </c>
    </row>
    <row r="5370" spans="1:123" x14ac:dyDescent="0.3">
      <c r="A5370" t="str">
        <f>"05/01/2025 15:19:27.099"</f>
        <v>05/01/2025 15:19:27.099</v>
      </c>
      <c r="C5370" t="str">
        <f t="shared" si="2104"/>
        <v>FFDFD3C0</v>
      </c>
      <c r="D5370" t="s">
        <v>145</v>
      </c>
      <c r="E5370" t="str">
        <f>"09"</f>
        <v>09</v>
      </c>
      <c r="H5370">
        <v>51</v>
      </c>
      <c r="I5370" t="s">
        <v>147</v>
      </c>
      <c r="J5370" t="s">
        <v>138</v>
      </c>
      <c r="K5370">
        <v>0</v>
      </c>
      <c r="L5370">
        <v>3</v>
      </c>
      <c r="M5370">
        <v>0</v>
      </c>
      <c r="N5370">
        <v>2</v>
      </c>
      <c r="O5370">
        <v>0</v>
      </c>
      <c r="P5370">
        <v>1</v>
      </c>
      <c r="Q5370">
        <v>0</v>
      </c>
      <c r="R5370" t="s">
        <v>127</v>
      </c>
      <c r="S5370" t="str">
        <f t="shared" si="2124"/>
        <v>15:19:26.000</v>
      </c>
      <c r="T5370" t="str">
        <f t="shared" si="2124"/>
        <v>15:19:26.000</v>
      </c>
      <c r="U5370" t="str">
        <f t="shared" si="2105"/>
        <v>A68FCB</v>
      </c>
      <c r="V5370">
        <v>0</v>
      </c>
      <c r="W5370">
        <v>0</v>
      </c>
      <c r="X5370">
        <v>2</v>
      </c>
      <c r="Y5370">
        <v>0</v>
      </c>
      <c r="AA5370">
        <v>1</v>
      </c>
      <c r="AB5370">
        <v>8</v>
      </c>
      <c r="AC5370">
        <v>3</v>
      </c>
      <c r="AD5370">
        <v>0</v>
      </c>
      <c r="AE5370">
        <v>9</v>
      </c>
      <c r="AF5370" t="s">
        <v>138</v>
      </c>
      <c r="AG5370">
        <v>0</v>
      </c>
      <c r="AH5370">
        <v>3</v>
      </c>
      <c r="AI5370">
        <v>2</v>
      </c>
      <c r="AJ5370">
        <v>0</v>
      </c>
      <c r="AK5370" t="s">
        <v>1686</v>
      </c>
      <c r="AL5370">
        <v>39.224989000000001</v>
      </c>
      <c r="AM5370" t="s">
        <v>1687</v>
      </c>
      <c r="AN5370">
        <v>-121.026034</v>
      </c>
      <c r="AO5370">
        <v>25</v>
      </c>
      <c r="AP5370">
        <v>3200</v>
      </c>
      <c r="AQ5370" t="s">
        <v>131</v>
      </c>
      <c r="AR5370">
        <v>35</v>
      </c>
      <c r="AS5370">
        <v>-40</v>
      </c>
      <c r="AT5370">
        <v>-640</v>
      </c>
      <c r="BB5370" t="str">
        <f t="shared" si="2106"/>
        <v>1200</v>
      </c>
      <c r="BC5370">
        <v>1</v>
      </c>
      <c r="BD5370" t="str">
        <f t="shared" si="2107"/>
        <v xml:space="preserve">N52156  </v>
      </c>
      <c r="BE5370">
        <v>1</v>
      </c>
      <c r="BG5370">
        <v>0</v>
      </c>
      <c r="BH5370">
        <v>0</v>
      </c>
      <c r="BI5370">
        <v>0</v>
      </c>
      <c r="BJ5370">
        <v>3125</v>
      </c>
      <c r="BK5370">
        <v>-75</v>
      </c>
      <c r="BL5370" t="s">
        <v>188</v>
      </c>
      <c r="BM5370">
        <v>1</v>
      </c>
      <c r="BN5370">
        <v>1</v>
      </c>
      <c r="BO5370">
        <v>0</v>
      </c>
      <c r="BP5370">
        <v>0</v>
      </c>
      <c r="BS5370">
        <v>0</v>
      </c>
      <c r="BT5370">
        <v>0</v>
      </c>
      <c r="BU5370">
        <v>0</v>
      </c>
      <c r="CE5370" t="str">
        <f t="shared" si="2125"/>
        <v>15:19:26.868</v>
      </c>
      <c r="CF5370">
        <v>867755247</v>
      </c>
      <c r="CS5370">
        <v>0</v>
      </c>
      <c r="CT5370">
        <v>2</v>
      </c>
      <c r="CU5370">
        <v>0</v>
      </c>
      <c r="CV5370">
        <v>2</v>
      </c>
      <c r="CW5370">
        <v>0</v>
      </c>
      <c r="CX5370">
        <v>1</v>
      </c>
      <c r="CY5370">
        <v>7</v>
      </c>
      <c r="CZ5370" t="s">
        <v>133</v>
      </c>
      <c r="DA5370">
        <v>275</v>
      </c>
      <c r="DB5370">
        <v>0</v>
      </c>
      <c r="DC5370" t="s">
        <v>134</v>
      </c>
      <c r="DD5370" t="s">
        <v>135</v>
      </c>
      <c r="DG5370">
        <v>3323852</v>
      </c>
      <c r="DI5370">
        <v>1</v>
      </c>
      <c r="DJ5370">
        <v>0</v>
      </c>
      <c r="DK5370">
        <v>1</v>
      </c>
      <c r="DL5370">
        <v>0</v>
      </c>
      <c r="DM5370">
        <v>0</v>
      </c>
      <c r="DN5370">
        <v>0</v>
      </c>
      <c r="DO5370">
        <v>0</v>
      </c>
      <c r="DP5370">
        <v>0</v>
      </c>
      <c r="DQ5370">
        <v>0</v>
      </c>
      <c r="DR5370">
        <v>0</v>
      </c>
      <c r="DS5370">
        <v>0</v>
      </c>
    </row>
    <row r="5371" spans="1:123" x14ac:dyDescent="0.3">
      <c r="A5371" t="str">
        <f>"05/01/2025 15:19:27.109"</f>
        <v>05/01/2025 15:19:27.109</v>
      </c>
      <c r="C5371" t="str">
        <f t="shared" si="2104"/>
        <v>FFDFD3C0</v>
      </c>
      <c r="D5371" t="s">
        <v>136</v>
      </c>
      <c r="E5371" t="str">
        <f>"20"</f>
        <v>20</v>
      </c>
      <c r="H5371">
        <v>400</v>
      </c>
      <c r="I5371" t="s">
        <v>137</v>
      </c>
      <c r="J5371" t="s">
        <v>138</v>
      </c>
      <c r="K5371">
        <v>0</v>
      </c>
      <c r="L5371">
        <v>3</v>
      </c>
      <c r="M5371">
        <v>0</v>
      </c>
      <c r="N5371">
        <v>2</v>
      </c>
      <c r="O5371">
        <v>0</v>
      </c>
      <c r="P5371">
        <v>1</v>
      </c>
      <c r="Q5371">
        <v>0</v>
      </c>
      <c r="R5371" t="s">
        <v>127</v>
      </c>
      <c r="S5371" t="str">
        <f t="shared" si="2124"/>
        <v>15:19:26.000</v>
      </c>
      <c r="T5371" t="str">
        <f t="shared" si="2124"/>
        <v>15:19:26.000</v>
      </c>
      <c r="U5371" t="str">
        <f t="shared" si="2105"/>
        <v>A68FCB</v>
      </c>
      <c r="V5371">
        <v>0</v>
      </c>
      <c r="W5371">
        <v>0</v>
      </c>
      <c r="X5371">
        <v>2</v>
      </c>
      <c r="Y5371">
        <v>0</v>
      </c>
      <c r="AA5371">
        <v>1</v>
      </c>
      <c r="AB5371">
        <v>8</v>
      </c>
      <c r="AC5371">
        <v>3</v>
      </c>
      <c r="AD5371">
        <v>0</v>
      </c>
      <c r="AE5371">
        <v>9</v>
      </c>
      <c r="AF5371" t="s">
        <v>138</v>
      </c>
      <c r="AG5371">
        <v>0</v>
      </c>
      <c r="AH5371">
        <v>3</v>
      </c>
      <c r="AI5371">
        <v>2</v>
      </c>
      <c r="AJ5371">
        <v>0</v>
      </c>
      <c r="AK5371" t="s">
        <v>1686</v>
      </c>
      <c r="AL5371">
        <v>39.224989000000001</v>
      </c>
      <c r="AM5371" t="s">
        <v>1687</v>
      </c>
      <c r="AN5371">
        <v>-121.026034</v>
      </c>
      <c r="AO5371">
        <v>25</v>
      </c>
      <c r="AP5371">
        <v>3200</v>
      </c>
      <c r="AQ5371" t="s">
        <v>131</v>
      </c>
      <c r="AR5371">
        <v>35</v>
      </c>
      <c r="AS5371">
        <v>-40</v>
      </c>
      <c r="AT5371">
        <v>-640</v>
      </c>
      <c r="BB5371" t="str">
        <f t="shared" si="2106"/>
        <v>1200</v>
      </c>
      <c r="BC5371">
        <v>1</v>
      </c>
      <c r="BD5371" t="str">
        <f t="shared" si="2107"/>
        <v xml:space="preserve">N52156  </v>
      </c>
      <c r="BE5371">
        <v>1</v>
      </c>
      <c r="BG5371">
        <v>0</v>
      </c>
      <c r="BH5371">
        <v>0</v>
      </c>
      <c r="BI5371">
        <v>0</v>
      </c>
      <c r="BJ5371">
        <v>3125</v>
      </c>
      <c r="BK5371">
        <v>-75</v>
      </c>
      <c r="BL5371" t="s">
        <v>188</v>
      </c>
      <c r="BM5371">
        <v>1</v>
      </c>
      <c r="BN5371">
        <v>1</v>
      </c>
      <c r="BO5371">
        <v>0</v>
      </c>
      <c r="BP5371">
        <v>0</v>
      </c>
      <c r="BS5371">
        <v>0</v>
      </c>
      <c r="BT5371">
        <v>0</v>
      </c>
      <c r="BU5371">
        <v>0</v>
      </c>
      <c r="CE5371" t="str">
        <f t="shared" si="2125"/>
        <v>15:19:26.868</v>
      </c>
      <c r="CF5371">
        <v>867755247</v>
      </c>
      <c r="CS5371">
        <v>0</v>
      </c>
      <c r="CT5371">
        <v>2</v>
      </c>
      <c r="CU5371">
        <v>0</v>
      </c>
      <c r="CV5371">
        <v>2</v>
      </c>
      <c r="CW5371">
        <v>0</v>
      </c>
      <c r="CX5371">
        <v>1</v>
      </c>
      <c r="CY5371">
        <v>7</v>
      </c>
      <c r="CZ5371" t="s">
        <v>133</v>
      </c>
      <c r="DA5371">
        <v>275</v>
      </c>
      <c r="DB5371">
        <v>0</v>
      </c>
      <c r="DC5371" t="s">
        <v>134</v>
      </c>
      <c r="DD5371" t="s">
        <v>135</v>
      </c>
      <c r="DG5371">
        <v>3323852</v>
      </c>
      <c r="DI5371">
        <v>1</v>
      </c>
      <c r="DJ5371">
        <v>0</v>
      </c>
      <c r="DK5371">
        <v>1</v>
      </c>
      <c r="DL5371">
        <v>0</v>
      </c>
      <c r="DM5371">
        <v>0</v>
      </c>
      <c r="DN5371">
        <v>0</v>
      </c>
      <c r="DO5371">
        <v>0</v>
      </c>
      <c r="DP5371">
        <v>0</v>
      </c>
      <c r="DQ5371">
        <v>0</v>
      </c>
      <c r="DR5371">
        <v>0</v>
      </c>
      <c r="DS5371">
        <v>0</v>
      </c>
    </row>
    <row r="5372" spans="1:123" x14ac:dyDescent="0.3">
      <c r="A5372" t="str">
        <f>"05/01/2025 15:19:27.901"</f>
        <v>05/01/2025 15:19:27.901</v>
      </c>
      <c r="C5372" t="str">
        <f t="shared" si="2104"/>
        <v>FFDFD3C0</v>
      </c>
      <c r="D5372" t="s">
        <v>145</v>
      </c>
      <c r="E5372" t="str">
        <f>"09"</f>
        <v>09</v>
      </c>
      <c r="H5372">
        <v>51</v>
      </c>
      <c r="I5372" t="s">
        <v>147</v>
      </c>
      <c r="J5372" t="s">
        <v>138</v>
      </c>
      <c r="K5372">
        <v>0</v>
      </c>
      <c r="L5372">
        <v>3</v>
      </c>
      <c r="M5372">
        <v>0</v>
      </c>
      <c r="N5372">
        <v>2</v>
      </c>
      <c r="O5372">
        <v>0</v>
      </c>
      <c r="P5372">
        <v>1</v>
      </c>
      <c r="Q5372">
        <v>0</v>
      </c>
      <c r="R5372" t="s">
        <v>127</v>
      </c>
      <c r="S5372" t="str">
        <f t="shared" ref="S5372:T5377" si="2126">"15:19:27.000"</f>
        <v>15:19:27.000</v>
      </c>
      <c r="T5372" t="str">
        <f t="shared" si="2126"/>
        <v>15:19:27.000</v>
      </c>
      <c r="U5372" t="str">
        <f t="shared" si="2105"/>
        <v>A68FCB</v>
      </c>
      <c r="V5372">
        <v>0</v>
      </c>
      <c r="W5372">
        <v>0</v>
      </c>
      <c r="X5372">
        <v>2</v>
      </c>
      <c r="Y5372">
        <v>0</v>
      </c>
      <c r="AA5372">
        <v>1</v>
      </c>
      <c r="AB5372">
        <v>8</v>
      </c>
      <c r="AC5372">
        <v>3</v>
      </c>
      <c r="AD5372">
        <v>0</v>
      </c>
      <c r="AE5372">
        <v>9</v>
      </c>
      <c r="AF5372" t="s">
        <v>138</v>
      </c>
      <c r="AG5372">
        <v>0</v>
      </c>
      <c r="AH5372">
        <v>3</v>
      </c>
      <c r="AI5372">
        <v>1</v>
      </c>
      <c r="AJ5372">
        <v>0</v>
      </c>
      <c r="AK5372" t="s">
        <v>1688</v>
      </c>
      <c r="AL5372">
        <v>39.224817999999999</v>
      </c>
      <c r="AM5372" t="s">
        <v>1689</v>
      </c>
      <c r="AN5372">
        <v>-121.02582</v>
      </c>
      <c r="AO5372">
        <v>25</v>
      </c>
      <c r="AP5372">
        <v>3100</v>
      </c>
      <c r="AQ5372" t="s">
        <v>131</v>
      </c>
      <c r="AR5372">
        <v>33</v>
      </c>
      <c r="AS5372">
        <v>-41</v>
      </c>
      <c r="AT5372">
        <v>-640</v>
      </c>
      <c r="BB5372" t="str">
        <f t="shared" si="2106"/>
        <v>1200</v>
      </c>
      <c r="BC5372">
        <v>1</v>
      </c>
      <c r="BD5372" t="str">
        <f t="shared" si="2107"/>
        <v xml:space="preserve">N52156  </v>
      </c>
      <c r="BE5372">
        <v>1</v>
      </c>
      <c r="BG5372">
        <v>0</v>
      </c>
      <c r="BH5372">
        <v>0</v>
      </c>
      <c r="BI5372">
        <v>0</v>
      </c>
      <c r="BJ5372">
        <v>3100</v>
      </c>
      <c r="BK5372">
        <v>0</v>
      </c>
      <c r="BL5372" t="s">
        <v>188</v>
      </c>
      <c r="BM5372">
        <v>1</v>
      </c>
      <c r="BN5372">
        <v>1</v>
      </c>
      <c r="BO5372">
        <v>0</v>
      </c>
      <c r="BP5372">
        <v>0</v>
      </c>
      <c r="BS5372">
        <v>0</v>
      </c>
      <c r="BT5372">
        <v>0</v>
      </c>
      <c r="BU5372">
        <v>0</v>
      </c>
      <c r="CE5372" t="str">
        <f t="shared" ref="CE5372:CE5377" si="2127">"15:19:27.687"</f>
        <v>15:19:27.687</v>
      </c>
      <c r="CF5372">
        <v>686754834</v>
      </c>
      <c r="CS5372">
        <v>0</v>
      </c>
      <c r="CT5372">
        <v>2</v>
      </c>
      <c r="CU5372">
        <v>0</v>
      </c>
      <c r="CV5372">
        <v>2</v>
      </c>
      <c r="CW5372">
        <v>0</v>
      </c>
      <c r="CX5372">
        <v>2</v>
      </c>
      <c r="CY5372">
        <v>7</v>
      </c>
      <c r="CZ5372" t="s">
        <v>133</v>
      </c>
      <c r="DA5372">
        <v>275</v>
      </c>
      <c r="DB5372">
        <v>0</v>
      </c>
      <c r="DC5372" t="s">
        <v>134</v>
      </c>
      <c r="DD5372" t="s">
        <v>135</v>
      </c>
      <c r="DG5372">
        <v>3323860</v>
      </c>
      <c r="DI5372">
        <v>1</v>
      </c>
      <c r="DJ5372">
        <v>0</v>
      </c>
      <c r="DK5372">
        <v>0</v>
      </c>
      <c r="DL5372">
        <v>0</v>
      </c>
      <c r="DM5372">
        <v>0</v>
      </c>
      <c r="DN5372">
        <v>0</v>
      </c>
      <c r="DO5372">
        <v>0</v>
      </c>
      <c r="DP5372">
        <v>0</v>
      </c>
      <c r="DQ5372">
        <v>0</v>
      </c>
      <c r="DR5372">
        <v>0</v>
      </c>
      <c r="DS5372">
        <v>0</v>
      </c>
    </row>
    <row r="5373" spans="1:123" x14ac:dyDescent="0.3">
      <c r="A5373" t="str">
        <f>"05/01/2025 15:19:27.902"</f>
        <v>05/01/2025 15:19:27.902</v>
      </c>
      <c r="C5373" t="str">
        <f t="shared" si="2104"/>
        <v>FFDFD3C0</v>
      </c>
      <c r="D5373" t="s">
        <v>145</v>
      </c>
      <c r="E5373" t="str">
        <f>"05"</f>
        <v>05</v>
      </c>
      <c r="H5373">
        <v>47</v>
      </c>
      <c r="I5373" t="s">
        <v>146</v>
      </c>
      <c r="J5373" t="s">
        <v>138</v>
      </c>
      <c r="K5373">
        <v>0</v>
      </c>
      <c r="L5373">
        <v>3</v>
      </c>
      <c r="M5373">
        <v>0</v>
      </c>
      <c r="N5373">
        <v>2</v>
      </c>
      <c r="O5373">
        <v>0</v>
      </c>
      <c r="P5373">
        <v>1</v>
      </c>
      <c r="Q5373">
        <v>0</v>
      </c>
      <c r="R5373" t="s">
        <v>127</v>
      </c>
      <c r="S5373" t="str">
        <f t="shared" si="2126"/>
        <v>15:19:27.000</v>
      </c>
      <c r="T5373" t="str">
        <f t="shared" si="2126"/>
        <v>15:19:27.000</v>
      </c>
      <c r="U5373" t="str">
        <f t="shared" si="2105"/>
        <v>A68FCB</v>
      </c>
      <c r="V5373">
        <v>0</v>
      </c>
      <c r="W5373">
        <v>0</v>
      </c>
      <c r="X5373">
        <v>2</v>
      </c>
      <c r="Y5373">
        <v>0</v>
      </c>
      <c r="AA5373">
        <v>1</v>
      </c>
      <c r="AB5373">
        <v>8</v>
      </c>
      <c r="AC5373">
        <v>3</v>
      </c>
      <c r="AD5373">
        <v>0</v>
      </c>
      <c r="AE5373">
        <v>9</v>
      </c>
      <c r="AF5373" t="s">
        <v>138</v>
      </c>
      <c r="AG5373">
        <v>0</v>
      </c>
      <c r="AH5373">
        <v>3</v>
      </c>
      <c r="AI5373">
        <v>1</v>
      </c>
      <c r="AJ5373">
        <v>0</v>
      </c>
      <c r="AK5373" t="s">
        <v>1688</v>
      </c>
      <c r="AL5373">
        <v>39.224817999999999</v>
      </c>
      <c r="AM5373" t="s">
        <v>1689</v>
      </c>
      <c r="AN5373">
        <v>-121.02582</v>
      </c>
      <c r="AO5373">
        <v>25</v>
      </c>
      <c r="AP5373">
        <v>3100</v>
      </c>
      <c r="AQ5373" t="s">
        <v>131</v>
      </c>
      <c r="AR5373">
        <v>33</v>
      </c>
      <c r="AS5373">
        <v>-41</v>
      </c>
      <c r="AT5373">
        <v>-640</v>
      </c>
      <c r="BB5373" t="str">
        <f t="shared" si="2106"/>
        <v>1200</v>
      </c>
      <c r="BC5373">
        <v>1</v>
      </c>
      <c r="BD5373" t="str">
        <f t="shared" si="2107"/>
        <v xml:space="preserve">N52156  </v>
      </c>
      <c r="BE5373">
        <v>1</v>
      </c>
      <c r="BG5373">
        <v>0</v>
      </c>
      <c r="BH5373">
        <v>0</v>
      </c>
      <c r="BI5373">
        <v>0</v>
      </c>
      <c r="BJ5373">
        <v>3100</v>
      </c>
      <c r="BK5373">
        <v>0</v>
      </c>
      <c r="BL5373" t="s">
        <v>188</v>
      </c>
      <c r="BM5373">
        <v>1</v>
      </c>
      <c r="BN5373">
        <v>1</v>
      </c>
      <c r="BO5373">
        <v>0</v>
      </c>
      <c r="BP5373">
        <v>0</v>
      </c>
      <c r="BS5373">
        <v>0</v>
      </c>
      <c r="BT5373">
        <v>0</v>
      </c>
      <c r="BU5373">
        <v>0</v>
      </c>
      <c r="CE5373" t="str">
        <f t="shared" si="2127"/>
        <v>15:19:27.687</v>
      </c>
      <c r="CF5373">
        <v>686754834</v>
      </c>
      <c r="CS5373">
        <v>0</v>
      </c>
      <c r="CT5373">
        <v>2</v>
      </c>
      <c r="CU5373">
        <v>0</v>
      </c>
      <c r="CV5373">
        <v>2</v>
      </c>
      <c r="CW5373">
        <v>0</v>
      </c>
      <c r="CX5373">
        <v>2</v>
      </c>
      <c r="CY5373">
        <v>7</v>
      </c>
      <c r="CZ5373" t="s">
        <v>133</v>
      </c>
      <c r="DA5373">
        <v>275</v>
      </c>
      <c r="DB5373">
        <v>0</v>
      </c>
      <c r="DC5373" t="s">
        <v>134</v>
      </c>
      <c r="DD5373" t="s">
        <v>135</v>
      </c>
      <c r="DG5373">
        <v>3323860</v>
      </c>
      <c r="DI5373">
        <v>1</v>
      </c>
      <c r="DJ5373">
        <v>0</v>
      </c>
      <c r="DK5373">
        <v>1</v>
      </c>
      <c r="DL5373">
        <v>0</v>
      </c>
      <c r="DM5373">
        <v>0</v>
      </c>
      <c r="DN5373">
        <v>0</v>
      </c>
      <c r="DO5373">
        <v>0</v>
      </c>
      <c r="DP5373">
        <v>0</v>
      </c>
      <c r="DQ5373">
        <v>0</v>
      </c>
      <c r="DR5373">
        <v>0</v>
      </c>
      <c r="DS5373">
        <v>0</v>
      </c>
    </row>
    <row r="5374" spans="1:123" x14ac:dyDescent="0.3">
      <c r="A5374" t="str">
        <f>"05/01/2025 15:19:27.911"</f>
        <v>05/01/2025 15:19:27.911</v>
      </c>
      <c r="C5374" t="str">
        <f t="shared" si="2104"/>
        <v>FFDFD3C0</v>
      </c>
      <c r="D5374" t="s">
        <v>136</v>
      </c>
      <c r="E5374" t="str">
        <f>"20"</f>
        <v>20</v>
      </c>
      <c r="H5374">
        <v>400</v>
      </c>
      <c r="I5374" t="s">
        <v>137</v>
      </c>
      <c r="J5374" t="s">
        <v>138</v>
      </c>
      <c r="K5374">
        <v>0</v>
      </c>
      <c r="L5374">
        <v>3</v>
      </c>
      <c r="M5374">
        <v>0</v>
      </c>
      <c r="N5374">
        <v>2</v>
      </c>
      <c r="O5374">
        <v>0</v>
      </c>
      <c r="P5374">
        <v>1</v>
      </c>
      <c r="Q5374">
        <v>0</v>
      </c>
      <c r="R5374" t="s">
        <v>127</v>
      </c>
      <c r="S5374" t="str">
        <f t="shared" si="2126"/>
        <v>15:19:27.000</v>
      </c>
      <c r="T5374" t="str">
        <f t="shared" si="2126"/>
        <v>15:19:27.000</v>
      </c>
      <c r="U5374" t="str">
        <f t="shared" si="2105"/>
        <v>A68FCB</v>
      </c>
      <c r="V5374">
        <v>0</v>
      </c>
      <c r="W5374">
        <v>0</v>
      </c>
      <c r="X5374">
        <v>2</v>
      </c>
      <c r="Y5374">
        <v>0</v>
      </c>
      <c r="AA5374">
        <v>1</v>
      </c>
      <c r="AB5374">
        <v>8</v>
      </c>
      <c r="AC5374">
        <v>3</v>
      </c>
      <c r="AD5374">
        <v>0</v>
      </c>
      <c r="AE5374">
        <v>9</v>
      </c>
      <c r="AF5374" t="s">
        <v>138</v>
      </c>
      <c r="AG5374">
        <v>0</v>
      </c>
      <c r="AH5374">
        <v>3</v>
      </c>
      <c r="AI5374">
        <v>1</v>
      </c>
      <c r="AJ5374">
        <v>0</v>
      </c>
      <c r="AK5374" t="s">
        <v>1688</v>
      </c>
      <c r="AL5374">
        <v>39.224817999999999</v>
      </c>
      <c r="AM5374" t="s">
        <v>1689</v>
      </c>
      <c r="AN5374">
        <v>-121.02582</v>
      </c>
      <c r="AO5374">
        <v>25</v>
      </c>
      <c r="AP5374">
        <v>3100</v>
      </c>
      <c r="AQ5374" t="s">
        <v>131</v>
      </c>
      <c r="AR5374">
        <v>33</v>
      </c>
      <c r="AS5374">
        <v>-41</v>
      </c>
      <c r="AT5374">
        <v>-640</v>
      </c>
      <c r="BB5374" t="str">
        <f t="shared" si="2106"/>
        <v>1200</v>
      </c>
      <c r="BC5374">
        <v>1</v>
      </c>
      <c r="BD5374" t="str">
        <f t="shared" si="2107"/>
        <v xml:space="preserve">N52156  </v>
      </c>
      <c r="BE5374">
        <v>1</v>
      </c>
      <c r="BG5374">
        <v>0</v>
      </c>
      <c r="BH5374">
        <v>0</v>
      </c>
      <c r="BI5374">
        <v>0</v>
      </c>
      <c r="BJ5374">
        <v>3100</v>
      </c>
      <c r="BK5374">
        <v>0</v>
      </c>
      <c r="BL5374" t="s">
        <v>188</v>
      </c>
      <c r="BM5374">
        <v>1</v>
      </c>
      <c r="BN5374">
        <v>1</v>
      </c>
      <c r="BO5374">
        <v>0</v>
      </c>
      <c r="BP5374">
        <v>0</v>
      </c>
      <c r="BS5374">
        <v>0</v>
      </c>
      <c r="BT5374">
        <v>0</v>
      </c>
      <c r="BU5374">
        <v>0</v>
      </c>
      <c r="CE5374" t="str">
        <f t="shared" si="2127"/>
        <v>15:19:27.687</v>
      </c>
      <c r="CF5374">
        <v>686754834</v>
      </c>
      <c r="CS5374">
        <v>0</v>
      </c>
      <c r="CT5374">
        <v>2</v>
      </c>
      <c r="CU5374">
        <v>0</v>
      </c>
      <c r="CV5374">
        <v>2</v>
      </c>
      <c r="CW5374">
        <v>0</v>
      </c>
      <c r="CX5374">
        <v>2</v>
      </c>
      <c r="CY5374">
        <v>7</v>
      </c>
      <c r="CZ5374" t="s">
        <v>133</v>
      </c>
      <c r="DA5374">
        <v>275</v>
      </c>
      <c r="DB5374">
        <v>0</v>
      </c>
      <c r="DC5374" t="s">
        <v>134</v>
      </c>
      <c r="DD5374" t="s">
        <v>135</v>
      </c>
      <c r="DG5374">
        <v>3323860</v>
      </c>
      <c r="DI5374">
        <v>1</v>
      </c>
      <c r="DJ5374">
        <v>0</v>
      </c>
      <c r="DK5374">
        <v>1</v>
      </c>
      <c r="DL5374">
        <v>0</v>
      </c>
      <c r="DM5374">
        <v>0</v>
      </c>
      <c r="DN5374">
        <v>0</v>
      </c>
      <c r="DO5374">
        <v>0</v>
      </c>
      <c r="DP5374">
        <v>0</v>
      </c>
      <c r="DQ5374">
        <v>0</v>
      </c>
      <c r="DR5374">
        <v>0</v>
      </c>
      <c r="DS5374">
        <v>0</v>
      </c>
    </row>
    <row r="5375" spans="1:123" x14ac:dyDescent="0.3">
      <c r="A5375" t="str">
        <f>"05/01/2025 15:19:27.925"</f>
        <v>05/01/2025 15:19:27.925</v>
      </c>
      <c r="C5375" t="str">
        <f t="shared" si="2104"/>
        <v>FFDFD3C0</v>
      </c>
      <c r="D5375" t="s">
        <v>140</v>
      </c>
      <c r="E5375" t="str">
        <f>"13"</f>
        <v>13</v>
      </c>
      <c r="F5375">
        <v>1019</v>
      </c>
      <c r="G5375" t="s">
        <v>141</v>
      </c>
      <c r="J5375" t="s">
        <v>142</v>
      </c>
      <c r="K5375">
        <v>0</v>
      </c>
      <c r="L5375">
        <v>3</v>
      </c>
      <c r="M5375">
        <v>0</v>
      </c>
      <c r="N5375">
        <v>2</v>
      </c>
      <c r="O5375">
        <v>0</v>
      </c>
      <c r="P5375">
        <v>1</v>
      </c>
      <c r="Q5375">
        <v>0</v>
      </c>
      <c r="R5375" t="s">
        <v>127</v>
      </c>
      <c r="S5375" t="str">
        <f t="shared" si="2126"/>
        <v>15:19:27.000</v>
      </c>
      <c r="T5375" t="str">
        <f t="shared" si="2126"/>
        <v>15:19:27.000</v>
      </c>
      <c r="U5375" t="str">
        <f t="shared" si="2105"/>
        <v>A68FCB</v>
      </c>
      <c r="V5375">
        <v>0</v>
      </c>
      <c r="W5375">
        <v>0</v>
      </c>
      <c r="X5375">
        <v>2</v>
      </c>
      <c r="Y5375">
        <v>0</v>
      </c>
      <c r="AA5375">
        <v>1</v>
      </c>
      <c r="AB5375">
        <v>8</v>
      </c>
      <c r="AC5375">
        <v>3</v>
      </c>
      <c r="AD5375">
        <v>0</v>
      </c>
      <c r="AE5375">
        <v>9</v>
      </c>
      <c r="AF5375" t="s">
        <v>138</v>
      </c>
      <c r="AG5375">
        <v>0</v>
      </c>
      <c r="AH5375">
        <v>3</v>
      </c>
      <c r="AI5375">
        <v>1</v>
      </c>
      <c r="AJ5375">
        <v>0</v>
      </c>
      <c r="AK5375" t="s">
        <v>1688</v>
      </c>
      <c r="AL5375">
        <v>39.224817999999999</v>
      </c>
      <c r="AM5375" t="s">
        <v>1689</v>
      </c>
      <c r="AN5375">
        <v>-121.02582</v>
      </c>
      <c r="AO5375">
        <v>25</v>
      </c>
      <c r="AP5375">
        <v>3100</v>
      </c>
      <c r="AQ5375" t="s">
        <v>131</v>
      </c>
      <c r="AR5375">
        <v>33</v>
      </c>
      <c r="AS5375">
        <v>-41</v>
      </c>
      <c r="AT5375">
        <v>-640</v>
      </c>
      <c r="BB5375" t="str">
        <f t="shared" si="2106"/>
        <v>1200</v>
      </c>
      <c r="BC5375">
        <v>1</v>
      </c>
      <c r="BD5375" t="str">
        <f t="shared" si="2107"/>
        <v xml:space="preserve">N52156  </v>
      </c>
      <c r="BE5375">
        <v>1</v>
      </c>
      <c r="BG5375">
        <v>0</v>
      </c>
      <c r="BH5375">
        <v>0</v>
      </c>
      <c r="BI5375">
        <v>0</v>
      </c>
      <c r="BJ5375">
        <v>3100</v>
      </c>
      <c r="BK5375">
        <v>0</v>
      </c>
      <c r="BL5375" t="s">
        <v>188</v>
      </c>
      <c r="BM5375">
        <v>1</v>
      </c>
      <c r="BN5375">
        <v>1</v>
      </c>
      <c r="BO5375">
        <v>0</v>
      </c>
      <c r="BP5375">
        <v>0</v>
      </c>
      <c r="BS5375">
        <v>0</v>
      </c>
      <c r="BT5375">
        <v>0</v>
      </c>
      <c r="BU5375">
        <v>0</v>
      </c>
      <c r="CE5375" t="str">
        <f t="shared" si="2127"/>
        <v>15:19:27.687</v>
      </c>
      <c r="CF5375">
        <v>686754834</v>
      </c>
      <c r="CS5375">
        <v>0</v>
      </c>
      <c r="CT5375">
        <v>2</v>
      </c>
      <c r="CU5375">
        <v>0</v>
      </c>
      <c r="CV5375">
        <v>2</v>
      </c>
      <c r="CW5375">
        <v>0</v>
      </c>
      <c r="CX5375">
        <v>2</v>
      </c>
      <c r="CY5375">
        <v>7</v>
      </c>
      <c r="CZ5375" t="s">
        <v>133</v>
      </c>
      <c r="DA5375">
        <v>275</v>
      </c>
      <c r="DB5375">
        <v>0</v>
      </c>
      <c r="DC5375" t="s">
        <v>134</v>
      </c>
      <c r="DD5375" t="s">
        <v>135</v>
      </c>
      <c r="DG5375">
        <v>3323860</v>
      </c>
      <c r="DI5375">
        <v>1</v>
      </c>
      <c r="DJ5375">
        <v>0</v>
      </c>
      <c r="DK5375">
        <v>1</v>
      </c>
      <c r="DL5375">
        <v>0</v>
      </c>
      <c r="DM5375">
        <v>0</v>
      </c>
      <c r="DN5375">
        <v>0</v>
      </c>
      <c r="DO5375">
        <v>0</v>
      </c>
      <c r="DP5375">
        <v>0</v>
      </c>
      <c r="DQ5375">
        <v>0</v>
      </c>
      <c r="DR5375">
        <v>0</v>
      </c>
      <c r="DS5375">
        <v>0</v>
      </c>
    </row>
    <row r="5376" spans="1:123" x14ac:dyDescent="0.3">
      <c r="A5376" t="str">
        <f>"05/01/2025 15:19:27.927"</f>
        <v>05/01/2025 15:19:27.927</v>
      </c>
      <c r="C5376" t="str">
        <f t="shared" si="2104"/>
        <v>FFDFD3C0</v>
      </c>
      <c r="D5376" t="s">
        <v>124</v>
      </c>
      <c r="E5376" t="str">
        <f>"06"</f>
        <v>06</v>
      </c>
      <c r="F5376">
        <v>2006</v>
      </c>
      <c r="G5376" t="s">
        <v>125</v>
      </c>
      <c r="J5376" t="s">
        <v>126</v>
      </c>
      <c r="K5376">
        <v>0</v>
      </c>
      <c r="L5376">
        <v>3</v>
      </c>
      <c r="M5376">
        <v>0</v>
      </c>
      <c r="N5376">
        <v>2</v>
      </c>
      <c r="O5376">
        <v>0</v>
      </c>
      <c r="P5376">
        <v>1</v>
      </c>
      <c r="Q5376">
        <v>0</v>
      </c>
      <c r="R5376" t="s">
        <v>127</v>
      </c>
      <c r="S5376" t="str">
        <f t="shared" si="2126"/>
        <v>15:19:27.000</v>
      </c>
      <c r="T5376" t="str">
        <f t="shared" si="2126"/>
        <v>15:19:27.000</v>
      </c>
      <c r="U5376" t="str">
        <f t="shared" si="2105"/>
        <v>A68FCB</v>
      </c>
      <c r="V5376">
        <v>0</v>
      </c>
      <c r="W5376">
        <v>0</v>
      </c>
      <c r="X5376">
        <v>2</v>
      </c>
      <c r="Y5376">
        <v>0</v>
      </c>
      <c r="AA5376">
        <v>1</v>
      </c>
      <c r="AB5376">
        <v>8</v>
      </c>
      <c r="AC5376">
        <v>3</v>
      </c>
      <c r="AD5376">
        <v>0</v>
      </c>
      <c r="AE5376">
        <v>9</v>
      </c>
      <c r="AF5376" t="s">
        <v>138</v>
      </c>
      <c r="AG5376">
        <v>0</v>
      </c>
      <c r="AH5376">
        <v>3</v>
      </c>
      <c r="AI5376">
        <v>1</v>
      </c>
      <c r="AJ5376">
        <v>0</v>
      </c>
      <c r="AK5376" t="s">
        <v>1688</v>
      </c>
      <c r="AL5376">
        <v>39.224817999999999</v>
      </c>
      <c r="AM5376" t="s">
        <v>1689</v>
      </c>
      <c r="AN5376">
        <v>-121.02582</v>
      </c>
      <c r="AO5376">
        <v>25</v>
      </c>
      <c r="AP5376">
        <v>3100</v>
      </c>
      <c r="AQ5376" t="s">
        <v>131</v>
      </c>
      <c r="AR5376">
        <v>33</v>
      </c>
      <c r="AS5376">
        <v>-41</v>
      </c>
      <c r="AT5376">
        <v>-640</v>
      </c>
      <c r="BB5376" t="str">
        <f t="shared" si="2106"/>
        <v>1200</v>
      </c>
      <c r="BC5376">
        <v>1</v>
      </c>
      <c r="BD5376" t="str">
        <f t="shared" si="2107"/>
        <v xml:space="preserve">N52156  </v>
      </c>
      <c r="BE5376">
        <v>1</v>
      </c>
      <c r="BG5376">
        <v>0</v>
      </c>
      <c r="BH5376">
        <v>0</v>
      </c>
      <c r="BI5376">
        <v>0</v>
      </c>
      <c r="BJ5376">
        <v>3100</v>
      </c>
      <c r="BK5376">
        <v>0</v>
      </c>
      <c r="BL5376" t="s">
        <v>188</v>
      </c>
      <c r="BM5376">
        <v>1</v>
      </c>
      <c r="BN5376">
        <v>1</v>
      </c>
      <c r="BO5376">
        <v>0</v>
      </c>
      <c r="BP5376">
        <v>0</v>
      </c>
      <c r="BS5376">
        <v>0</v>
      </c>
      <c r="BT5376">
        <v>0</v>
      </c>
      <c r="BU5376">
        <v>0</v>
      </c>
      <c r="CE5376" t="str">
        <f t="shared" si="2127"/>
        <v>15:19:27.687</v>
      </c>
      <c r="CF5376">
        <v>686754834</v>
      </c>
      <c r="CS5376">
        <v>0</v>
      </c>
      <c r="CT5376">
        <v>2</v>
      </c>
      <c r="CU5376">
        <v>0</v>
      </c>
      <c r="CV5376">
        <v>2</v>
      </c>
      <c r="CW5376">
        <v>0</v>
      </c>
      <c r="CX5376">
        <v>2</v>
      </c>
      <c r="CY5376">
        <v>7</v>
      </c>
      <c r="CZ5376" t="s">
        <v>133</v>
      </c>
      <c r="DA5376">
        <v>275</v>
      </c>
      <c r="DB5376">
        <v>0</v>
      </c>
      <c r="DC5376" t="s">
        <v>134</v>
      </c>
      <c r="DD5376" t="s">
        <v>135</v>
      </c>
      <c r="DG5376">
        <v>3323860</v>
      </c>
      <c r="DI5376">
        <v>1</v>
      </c>
      <c r="DJ5376">
        <v>0</v>
      </c>
      <c r="DK5376">
        <v>1</v>
      </c>
      <c r="DL5376">
        <v>0</v>
      </c>
      <c r="DM5376">
        <v>0</v>
      </c>
      <c r="DN5376">
        <v>0</v>
      </c>
      <c r="DO5376">
        <v>0</v>
      </c>
      <c r="DP5376">
        <v>0</v>
      </c>
      <c r="DQ5376">
        <v>0</v>
      </c>
      <c r="DR5376">
        <v>0</v>
      </c>
      <c r="DS5376">
        <v>0</v>
      </c>
    </row>
    <row r="5377" spans="1:123" x14ac:dyDescent="0.3">
      <c r="A5377" t="str">
        <f>"05/01/2025 15:19:27.942"</f>
        <v>05/01/2025 15:19:27.942</v>
      </c>
      <c r="C5377" t="str">
        <f t="shared" si="2104"/>
        <v>FFDFD3C0</v>
      </c>
      <c r="D5377" t="s">
        <v>143</v>
      </c>
      <c r="E5377" t="str">
        <f>"05"</f>
        <v>05</v>
      </c>
      <c r="H5377">
        <v>172</v>
      </c>
      <c r="I5377" t="s">
        <v>141</v>
      </c>
      <c r="J5377" t="s">
        <v>144</v>
      </c>
      <c r="K5377">
        <v>0</v>
      </c>
      <c r="L5377">
        <v>3</v>
      </c>
      <c r="M5377">
        <v>0</v>
      </c>
      <c r="N5377">
        <v>2</v>
      </c>
      <c r="O5377">
        <v>0</v>
      </c>
      <c r="P5377">
        <v>1</v>
      </c>
      <c r="Q5377">
        <v>0</v>
      </c>
      <c r="R5377" t="s">
        <v>127</v>
      </c>
      <c r="S5377" t="str">
        <f t="shared" si="2126"/>
        <v>15:19:27.000</v>
      </c>
      <c r="T5377" t="str">
        <f t="shared" si="2126"/>
        <v>15:19:27.000</v>
      </c>
      <c r="U5377" t="str">
        <f t="shared" si="2105"/>
        <v>A68FCB</v>
      </c>
      <c r="V5377">
        <v>0</v>
      </c>
      <c r="W5377">
        <v>0</v>
      </c>
      <c r="X5377">
        <v>2</v>
      </c>
      <c r="Y5377">
        <v>0</v>
      </c>
      <c r="AA5377">
        <v>1</v>
      </c>
      <c r="AB5377">
        <v>8</v>
      </c>
      <c r="AC5377">
        <v>3</v>
      </c>
      <c r="AD5377">
        <v>0</v>
      </c>
      <c r="AE5377">
        <v>9</v>
      </c>
      <c r="AF5377" t="s">
        <v>138</v>
      </c>
      <c r="AG5377">
        <v>0</v>
      </c>
      <c r="AH5377">
        <v>3</v>
      </c>
      <c r="AI5377">
        <v>1</v>
      </c>
      <c r="AJ5377">
        <v>0</v>
      </c>
      <c r="AK5377" t="s">
        <v>1688</v>
      </c>
      <c r="AL5377">
        <v>39.224817999999999</v>
      </c>
      <c r="AM5377" t="s">
        <v>1689</v>
      </c>
      <c r="AN5377">
        <v>-121.02582</v>
      </c>
      <c r="AO5377">
        <v>25</v>
      </c>
      <c r="AP5377">
        <v>3100</v>
      </c>
      <c r="AQ5377" t="s">
        <v>131</v>
      </c>
      <c r="AR5377">
        <v>33</v>
      </c>
      <c r="AS5377">
        <v>-41</v>
      </c>
      <c r="AT5377">
        <v>-640</v>
      </c>
      <c r="BB5377" t="str">
        <f t="shared" si="2106"/>
        <v>1200</v>
      </c>
      <c r="BC5377">
        <v>1</v>
      </c>
      <c r="BD5377" t="str">
        <f t="shared" si="2107"/>
        <v xml:space="preserve">N52156  </v>
      </c>
      <c r="BE5377">
        <v>1</v>
      </c>
      <c r="BG5377">
        <v>0</v>
      </c>
      <c r="BH5377">
        <v>0</v>
      </c>
      <c r="BI5377">
        <v>0</v>
      </c>
      <c r="BJ5377">
        <v>3100</v>
      </c>
      <c r="BK5377">
        <v>0</v>
      </c>
      <c r="BL5377" t="s">
        <v>188</v>
      </c>
      <c r="BM5377">
        <v>1</v>
      </c>
      <c r="BN5377">
        <v>1</v>
      </c>
      <c r="BO5377">
        <v>0</v>
      </c>
      <c r="BP5377">
        <v>0</v>
      </c>
      <c r="BS5377">
        <v>0</v>
      </c>
      <c r="BT5377">
        <v>0</v>
      </c>
      <c r="BU5377">
        <v>0</v>
      </c>
      <c r="CE5377" t="str">
        <f t="shared" si="2127"/>
        <v>15:19:27.687</v>
      </c>
      <c r="CF5377">
        <v>686754834</v>
      </c>
      <c r="CS5377">
        <v>0</v>
      </c>
      <c r="CT5377">
        <v>2</v>
      </c>
      <c r="CU5377">
        <v>0</v>
      </c>
      <c r="CV5377">
        <v>2</v>
      </c>
      <c r="CW5377">
        <v>0</v>
      </c>
      <c r="CX5377">
        <v>2</v>
      </c>
      <c r="CY5377">
        <v>7</v>
      </c>
      <c r="CZ5377" t="s">
        <v>133</v>
      </c>
      <c r="DA5377">
        <v>275</v>
      </c>
      <c r="DB5377">
        <v>0</v>
      </c>
      <c r="DC5377" t="s">
        <v>134</v>
      </c>
      <c r="DD5377" t="s">
        <v>135</v>
      </c>
      <c r="DG5377">
        <v>3323860</v>
      </c>
      <c r="DI5377">
        <v>1</v>
      </c>
      <c r="DJ5377">
        <v>0</v>
      </c>
      <c r="DK5377">
        <v>1</v>
      </c>
      <c r="DL5377">
        <v>0</v>
      </c>
      <c r="DM5377">
        <v>0</v>
      </c>
      <c r="DN5377">
        <v>0</v>
      </c>
      <c r="DO5377">
        <v>0</v>
      </c>
      <c r="DP5377">
        <v>0</v>
      </c>
      <c r="DQ5377">
        <v>0</v>
      </c>
      <c r="DR5377">
        <v>0</v>
      </c>
      <c r="DS5377">
        <v>0</v>
      </c>
    </row>
    <row r="5378" spans="1:123" x14ac:dyDescent="0.3">
      <c r="A5378" t="str">
        <f>"05/01/2025 15:19:28.803"</f>
        <v>05/01/2025 15:19:28.803</v>
      </c>
      <c r="C5378" t="str">
        <f t="shared" ref="C5378:C5443" si="2128">"FFDFD3C0"</f>
        <v>FFDFD3C0</v>
      </c>
      <c r="D5378" t="s">
        <v>145</v>
      </c>
      <c r="E5378" t="str">
        <f>"09"</f>
        <v>09</v>
      </c>
      <c r="H5378">
        <v>51</v>
      </c>
      <c r="I5378" t="s">
        <v>147</v>
      </c>
      <c r="J5378" t="s">
        <v>138</v>
      </c>
      <c r="K5378">
        <v>0</v>
      </c>
      <c r="L5378">
        <v>3</v>
      </c>
      <c r="M5378">
        <v>0</v>
      </c>
      <c r="N5378">
        <v>2</v>
      </c>
      <c r="O5378">
        <v>0</v>
      </c>
      <c r="P5378">
        <v>1</v>
      </c>
      <c r="Q5378">
        <v>0</v>
      </c>
      <c r="R5378" t="s">
        <v>127</v>
      </c>
      <c r="S5378" t="str">
        <f t="shared" ref="S5378:T5383" si="2129">"15:19:28.000"</f>
        <v>15:19:28.000</v>
      </c>
      <c r="T5378" t="str">
        <f t="shared" si="2129"/>
        <v>15:19:28.000</v>
      </c>
      <c r="U5378" t="str">
        <f t="shared" ref="U5378:U5443" si="2130">"A68FCB"</f>
        <v>A68FCB</v>
      </c>
      <c r="V5378">
        <v>0</v>
      </c>
      <c r="W5378">
        <v>0</v>
      </c>
      <c r="X5378">
        <v>2</v>
      </c>
      <c r="Y5378">
        <v>0</v>
      </c>
      <c r="AA5378">
        <v>1</v>
      </c>
      <c r="AB5378">
        <v>8</v>
      </c>
      <c r="AC5378">
        <v>3</v>
      </c>
      <c r="AD5378">
        <v>0</v>
      </c>
      <c r="AE5378">
        <v>9</v>
      </c>
      <c r="AF5378" t="s">
        <v>138</v>
      </c>
      <c r="AG5378">
        <v>0</v>
      </c>
      <c r="AH5378">
        <v>3</v>
      </c>
      <c r="AI5378">
        <v>1</v>
      </c>
      <c r="AJ5378">
        <v>0</v>
      </c>
      <c r="AK5378" t="s">
        <v>1690</v>
      </c>
      <c r="AL5378">
        <v>39.224603000000002</v>
      </c>
      <c r="AM5378" t="s">
        <v>1625</v>
      </c>
      <c r="AN5378">
        <v>-121.025605</v>
      </c>
      <c r="AO5378">
        <v>25</v>
      </c>
      <c r="AP5378">
        <v>3100</v>
      </c>
      <c r="AQ5378" t="s">
        <v>131</v>
      </c>
      <c r="AR5378">
        <v>27</v>
      </c>
      <c r="AS5378">
        <v>-47</v>
      </c>
      <c r="AT5378">
        <v>-640</v>
      </c>
      <c r="BB5378" t="str">
        <f t="shared" ref="BB5378:BB5443" si="2131">"1200"</f>
        <v>1200</v>
      </c>
      <c r="BC5378">
        <v>1</v>
      </c>
      <c r="BD5378" t="str">
        <f t="shared" ref="BD5378:BD5443" si="2132">"N52156  "</f>
        <v xml:space="preserve">N52156  </v>
      </c>
      <c r="BE5378">
        <v>1</v>
      </c>
      <c r="BG5378">
        <v>0</v>
      </c>
      <c r="BH5378">
        <v>0</v>
      </c>
      <c r="BI5378">
        <v>0</v>
      </c>
      <c r="BJ5378">
        <v>3100</v>
      </c>
      <c r="BK5378">
        <v>0</v>
      </c>
      <c r="BL5378" t="s">
        <v>188</v>
      </c>
      <c r="BM5378">
        <v>1</v>
      </c>
      <c r="BN5378">
        <v>1</v>
      </c>
      <c r="BO5378">
        <v>0</v>
      </c>
      <c r="BP5378">
        <v>0</v>
      </c>
      <c r="BS5378">
        <v>0</v>
      </c>
      <c r="BT5378">
        <v>0</v>
      </c>
      <c r="BU5378">
        <v>0</v>
      </c>
      <c r="CE5378" t="str">
        <f t="shared" ref="CE5378:CE5383" si="2133">"15:19:28.583"</f>
        <v>15:19:28.583</v>
      </c>
      <c r="CF5378">
        <v>582504543</v>
      </c>
      <c r="CS5378">
        <v>0</v>
      </c>
      <c r="CT5378">
        <v>2</v>
      </c>
      <c r="CU5378">
        <v>0</v>
      </c>
      <c r="CV5378">
        <v>2</v>
      </c>
      <c r="CW5378">
        <v>0</v>
      </c>
      <c r="CX5378">
        <v>3</v>
      </c>
      <c r="CY5378">
        <v>7</v>
      </c>
      <c r="CZ5378" t="s">
        <v>133</v>
      </c>
      <c r="DA5378">
        <v>275</v>
      </c>
      <c r="DB5378">
        <v>0</v>
      </c>
      <c r="DC5378" t="s">
        <v>134</v>
      </c>
      <c r="DD5378" t="s">
        <v>135</v>
      </c>
      <c r="DG5378">
        <v>3323862</v>
      </c>
      <c r="DI5378">
        <v>1</v>
      </c>
      <c r="DJ5378">
        <v>0</v>
      </c>
      <c r="DK5378">
        <v>0</v>
      </c>
      <c r="DL5378">
        <v>0</v>
      </c>
      <c r="DM5378">
        <v>0</v>
      </c>
      <c r="DN5378">
        <v>0</v>
      </c>
      <c r="DO5378">
        <v>0</v>
      </c>
      <c r="DP5378">
        <v>0</v>
      </c>
      <c r="DQ5378">
        <v>0</v>
      </c>
      <c r="DR5378">
        <v>0</v>
      </c>
      <c r="DS5378">
        <v>0</v>
      </c>
    </row>
    <row r="5379" spans="1:123" x14ac:dyDescent="0.3">
      <c r="A5379" t="str">
        <f>"05/01/2025 15:19:28.804"</f>
        <v>05/01/2025 15:19:28.804</v>
      </c>
      <c r="C5379" t="str">
        <f t="shared" si="2128"/>
        <v>FFDFD3C0</v>
      </c>
      <c r="D5379" t="s">
        <v>145</v>
      </c>
      <c r="E5379" t="str">
        <f>"05"</f>
        <v>05</v>
      </c>
      <c r="H5379">
        <v>47</v>
      </c>
      <c r="I5379" t="s">
        <v>146</v>
      </c>
      <c r="J5379" t="s">
        <v>138</v>
      </c>
      <c r="K5379">
        <v>0</v>
      </c>
      <c r="L5379">
        <v>3</v>
      </c>
      <c r="M5379">
        <v>0</v>
      </c>
      <c r="N5379">
        <v>2</v>
      </c>
      <c r="O5379">
        <v>0</v>
      </c>
      <c r="P5379">
        <v>1</v>
      </c>
      <c r="Q5379">
        <v>0</v>
      </c>
      <c r="R5379" t="s">
        <v>127</v>
      </c>
      <c r="S5379" t="str">
        <f t="shared" si="2129"/>
        <v>15:19:28.000</v>
      </c>
      <c r="T5379" t="str">
        <f t="shared" si="2129"/>
        <v>15:19:28.000</v>
      </c>
      <c r="U5379" t="str">
        <f t="shared" si="2130"/>
        <v>A68FCB</v>
      </c>
      <c r="V5379">
        <v>0</v>
      </c>
      <c r="W5379">
        <v>0</v>
      </c>
      <c r="X5379">
        <v>2</v>
      </c>
      <c r="Y5379">
        <v>0</v>
      </c>
      <c r="AA5379">
        <v>1</v>
      </c>
      <c r="AB5379">
        <v>8</v>
      </c>
      <c r="AC5379">
        <v>3</v>
      </c>
      <c r="AD5379">
        <v>0</v>
      </c>
      <c r="AE5379">
        <v>9</v>
      </c>
      <c r="AF5379" t="s">
        <v>138</v>
      </c>
      <c r="AG5379">
        <v>0</v>
      </c>
      <c r="AH5379">
        <v>3</v>
      </c>
      <c r="AI5379">
        <v>1</v>
      </c>
      <c r="AJ5379">
        <v>0</v>
      </c>
      <c r="AK5379" t="s">
        <v>1690</v>
      </c>
      <c r="AL5379">
        <v>39.224603000000002</v>
      </c>
      <c r="AM5379" t="s">
        <v>1625</v>
      </c>
      <c r="AN5379">
        <v>-121.025605</v>
      </c>
      <c r="AO5379">
        <v>25</v>
      </c>
      <c r="AP5379">
        <v>3100</v>
      </c>
      <c r="AQ5379" t="s">
        <v>131</v>
      </c>
      <c r="AR5379">
        <v>27</v>
      </c>
      <c r="AS5379">
        <v>-47</v>
      </c>
      <c r="AT5379">
        <v>-640</v>
      </c>
      <c r="BB5379" t="str">
        <f t="shared" si="2131"/>
        <v>1200</v>
      </c>
      <c r="BC5379">
        <v>1</v>
      </c>
      <c r="BD5379" t="str">
        <f t="shared" si="2132"/>
        <v xml:space="preserve">N52156  </v>
      </c>
      <c r="BE5379">
        <v>1</v>
      </c>
      <c r="BG5379">
        <v>0</v>
      </c>
      <c r="BH5379">
        <v>0</v>
      </c>
      <c r="BI5379">
        <v>0</v>
      </c>
      <c r="BJ5379">
        <v>3100</v>
      </c>
      <c r="BK5379">
        <v>0</v>
      </c>
      <c r="BL5379" t="s">
        <v>188</v>
      </c>
      <c r="BM5379">
        <v>1</v>
      </c>
      <c r="BN5379">
        <v>1</v>
      </c>
      <c r="BO5379">
        <v>0</v>
      </c>
      <c r="BP5379">
        <v>0</v>
      </c>
      <c r="BS5379">
        <v>0</v>
      </c>
      <c r="BT5379">
        <v>0</v>
      </c>
      <c r="BU5379">
        <v>0</v>
      </c>
      <c r="CE5379" t="str">
        <f t="shared" si="2133"/>
        <v>15:19:28.583</v>
      </c>
      <c r="CF5379">
        <v>582504543</v>
      </c>
      <c r="CS5379">
        <v>0</v>
      </c>
      <c r="CT5379">
        <v>2</v>
      </c>
      <c r="CU5379">
        <v>0</v>
      </c>
      <c r="CV5379">
        <v>2</v>
      </c>
      <c r="CW5379">
        <v>0</v>
      </c>
      <c r="CX5379">
        <v>3</v>
      </c>
      <c r="CY5379">
        <v>7</v>
      </c>
      <c r="CZ5379" t="s">
        <v>133</v>
      </c>
      <c r="DA5379">
        <v>275</v>
      </c>
      <c r="DB5379">
        <v>0</v>
      </c>
      <c r="DC5379" t="s">
        <v>134</v>
      </c>
      <c r="DD5379" t="s">
        <v>135</v>
      </c>
      <c r="DG5379">
        <v>3323862</v>
      </c>
      <c r="DI5379">
        <v>1</v>
      </c>
      <c r="DJ5379">
        <v>0</v>
      </c>
      <c r="DK5379">
        <v>1</v>
      </c>
      <c r="DL5379">
        <v>0</v>
      </c>
      <c r="DM5379">
        <v>0</v>
      </c>
      <c r="DN5379">
        <v>0</v>
      </c>
      <c r="DO5379">
        <v>0</v>
      </c>
      <c r="DP5379">
        <v>0</v>
      </c>
      <c r="DQ5379">
        <v>0</v>
      </c>
      <c r="DR5379">
        <v>0</v>
      </c>
      <c r="DS5379">
        <v>0</v>
      </c>
    </row>
    <row r="5380" spans="1:123" x14ac:dyDescent="0.3">
      <c r="A5380" t="str">
        <f>"05/01/2025 15:19:28.812"</f>
        <v>05/01/2025 15:19:28.812</v>
      </c>
      <c r="C5380" t="str">
        <f t="shared" si="2128"/>
        <v>FFDFD3C0</v>
      </c>
      <c r="D5380" t="s">
        <v>136</v>
      </c>
      <c r="E5380" t="str">
        <f>"20"</f>
        <v>20</v>
      </c>
      <c r="H5380">
        <v>400</v>
      </c>
      <c r="I5380" t="s">
        <v>137</v>
      </c>
      <c r="J5380" t="s">
        <v>138</v>
      </c>
      <c r="K5380">
        <v>0</v>
      </c>
      <c r="L5380">
        <v>3</v>
      </c>
      <c r="M5380">
        <v>0</v>
      </c>
      <c r="N5380">
        <v>2</v>
      </c>
      <c r="O5380">
        <v>0</v>
      </c>
      <c r="P5380">
        <v>1</v>
      </c>
      <c r="Q5380">
        <v>0</v>
      </c>
      <c r="R5380" t="s">
        <v>127</v>
      </c>
      <c r="S5380" t="str">
        <f t="shared" si="2129"/>
        <v>15:19:28.000</v>
      </c>
      <c r="T5380" t="str">
        <f t="shared" si="2129"/>
        <v>15:19:28.000</v>
      </c>
      <c r="U5380" t="str">
        <f t="shared" si="2130"/>
        <v>A68FCB</v>
      </c>
      <c r="V5380">
        <v>0</v>
      </c>
      <c r="W5380">
        <v>0</v>
      </c>
      <c r="X5380">
        <v>2</v>
      </c>
      <c r="Y5380">
        <v>0</v>
      </c>
      <c r="AA5380">
        <v>1</v>
      </c>
      <c r="AB5380">
        <v>8</v>
      </c>
      <c r="AC5380">
        <v>3</v>
      </c>
      <c r="AD5380">
        <v>0</v>
      </c>
      <c r="AE5380">
        <v>9</v>
      </c>
      <c r="AF5380" t="s">
        <v>138</v>
      </c>
      <c r="AG5380">
        <v>0</v>
      </c>
      <c r="AH5380">
        <v>3</v>
      </c>
      <c r="AI5380">
        <v>1</v>
      </c>
      <c r="AJ5380">
        <v>0</v>
      </c>
      <c r="AK5380" t="s">
        <v>1690</v>
      </c>
      <c r="AL5380">
        <v>39.224603000000002</v>
      </c>
      <c r="AM5380" t="s">
        <v>1625</v>
      </c>
      <c r="AN5380">
        <v>-121.025605</v>
      </c>
      <c r="AO5380">
        <v>25</v>
      </c>
      <c r="AP5380">
        <v>3100</v>
      </c>
      <c r="AQ5380" t="s">
        <v>131</v>
      </c>
      <c r="AR5380">
        <v>27</v>
      </c>
      <c r="AS5380">
        <v>-47</v>
      </c>
      <c r="AT5380">
        <v>-640</v>
      </c>
      <c r="BB5380" t="str">
        <f t="shared" si="2131"/>
        <v>1200</v>
      </c>
      <c r="BC5380">
        <v>1</v>
      </c>
      <c r="BD5380" t="str">
        <f t="shared" si="2132"/>
        <v xml:space="preserve">N52156  </v>
      </c>
      <c r="BE5380">
        <v>1</v>
      </c>
      <c r="BG5380">
        <v>0</v>
      </c>
      <c r="BH5380">
        <v>0</v>
      </c>
      <c r="BI5380">
        <v>0</v>
      </c>
      <c r="BJ5380">
        <v>3100</v>
      </c>
      <c r="BK5380">
        <v>0</v>
      </c>
      <c r="BL5380" t="s">
        <v>188</v>
      </c>
      <c r="BM5380">
        <v>1</v>
      </c>
      <c r="BN5380">
        <v>1</v>
      </c>
      <c r="BO5380">
        <v>0</v>
      </c>
      <c r="BP5380">
        <v>0</v>
      </c>
      <c r="BS5380">
        <v>0</v>
      </c>
      <c r="BT5380">
        <v>0</v>
      </c>
      <c r="BU5380">
        <v>0</v>
      </c>
      <c r="CE5380" t="str">
        <f t="shared" si="2133"/>
        <v>15:19:28.583</v>
      </c>
      <c r="CF5380">
        <v>582504543</v>
      </c>
      <c r="CS5380">
        <v>0</v>
      </c>
      <c r="CT5380">
        <v>2</v>
      </c>
      <c r="CU5380">
        <v>0</v>
      </c>
      <c r="CV5380">
        <v>2</v>
      </c>
      <c r="CW5380">
        <v>0</v>
      </c>
      <c r="CX5380">
        <v>3</v>
      </c>
      <c r="CY5380">
        <v>7</v>
      </c>
      <c r="CZ5380" t="s">
        <v>133</v>
      </c>
      <c r="DA5380">
        <v>275</v>
      </c>
      <c r="DB5380">
        <v>0</v>
      </c>
      <c r="DC5380" t="s">
        <v>134</v>
      </c>
      <c r="DD5380" t="s">
        <v>135</v>
      </c>
      <c r="DG5380">
        <v>3323862</v>
      </c>
      <c r="DI5380">
        <v>1</v>
      </c>
      <c r="DJ5380">
        <v>0</v>
      </c>
      <c r="DK5380">
        <v>1</v>
      </c>
      <c r="DL5380">
        <v>0</v>
      </c>
      <c r="DM5380">
        <v>0</v>
      </c>
      <c r="DN5380">
        <v>0</v>
      </c>
      <c r="DO5380">
        <v>0</v>
      </c>
      <c r="DP5380">
        <v>0</v>
      </c>
      <c r="DQ5380">
        <v>0</v>
      </c>
      <c r="DR5380">
        <v>0</v>
      </c>
      <c r="DS5380">
        <v>0</v>
      </c>
    </row>
    <row r="5381" spans="1:123" x14ac:dyDescent="0.3">
      <c r="A5381" t="str">
        <f>"05/01/2025 15:19:28.793"</f>
        <v>05/01/2025 15:19:28.793</v>
      </c>
      <c r="C5381" t="str">
        <f t="shared" si="2128"/>
        <v>FFDFD3C0</v>
      </c>
      <c r="D5381" t="s">
        <v>143</v>
      </c>
      <c r="E5381" t="str">
        <f>"05"</f>
        <v>05</v>
      </c>
      <c r="H5381">
        <v>172</v>
      </c>
      <c r="I5381" t="s">
        <v>141</v>
      </c>
      <c r="J5381" t="s">
        <v>144</v>
      </c>
      <c r="K5381">
        <v>0</v>
      </c>
      <c r="L5381">
        <v>3</v>
      </c>
      <c r="M5381">
        <v>0</v>
      </c>
      <c r="N5381">
        <v>2</v>
      </c>
      <c r="O5381">
        <v>0</v>
      </c>
      <c r="P5381">
        <v>1</v>
      </c>
      <c r="Q5381">
        <v>0</v>
      </c>
      <c r="R5381" t="s">
        <v>127</v>
      </c>
      <c r="S5381" t="str">
        <f t="shared" si="2129"/>
        <v>15:19:28.000</v>
      </c>
      <c r="T5381" t="str">
        <f t="shared" si="2129"/>
        <v>15:19:28.000</v>
      </c>
      <c r="U5381" t="str">
        <f t="shared" si="2130"/>
        <v>A68FCB</v>
      </c>
      <c r="V5381">
        <v>0</v>
      </c>
      <c r="W5381">
        <v>0</v>
      </c>
      <c r="X5381">
        <v>2</v>
      </c>
      <c r="Y5381">
        <v>0</v>
      </c>
      <c r="AA5381">
        <v>1</v>
      </c>
      <c r="AB5381">
        <v>8</v>
      </c>
      <c r="AC5381">
        <v>3</v>
      </c>
      <c r="AD5381">
        <v>0</v>
      </c>
      <c r="AE5381">
        <v>9</v>
      </c>
      <c r="AF5381" t="s">
        <v>138</v>
      </c>
      <c r="AG5381">
        <v>0</v>
      </c>
      <c r="AH5381">
        <v>3</v>
      </c>
      <c r="AI5381">
        <v>1</v>
      </c>
      <c r="AJ5381">
        <v>0</v>
      </c>
      <c r="AK5381" t="s">
        <v>1690</v>
      </c>
      <c r="AL5381">
        <v>39.224603000000002</v>
      </c>
      <c r="AM5381" t="s">
        <v>1625</v>
      </c>
      <c r="AN5381">
        <v>-121.025605</v>
      </c>
      <c r="AO5381">
        <v>25</v>
      </c>
      <c r="AP5381">
        <v>3100</v>
      </c>
      <c r="AQ5381" t="s">
        <v>131</v>
      </c>
      <c r="AR5381">
        <v>27</v>
      </c>
      <c r="AS5381">
        <v>-47</v>
      </c>
      <c r="AT5381">
        <v>-640</v>
      </c>
      <c r="BB5381" t="str">
        <f t="shared" si="2131"/>
        <v>1200</v>
      </c>
      <c r="BC5381">
        <v>1</v>
      </c>
      <c r="BD5381" t="str">
        <f t="shared" si="2132"/>
        <v xml:space="preserve">N52156  </v>
      </c>
      <c r="BE5381">
        <v>1</v>
      </c>
      <c r="BG5381">
        <v>0</v>
      </c>
      <c r="BH5381">
        <v>0</v>
      </c>
      <c r="BI5381">
        <v>0</v>
      </c>
      <c r="BJ5381">
        <v>3100</v>
      </c>
      <c r="BK5381">
        <v>0</v>
      </c>
      <c r="BL5381" t="s">
        <v>188</v>
      </c>
      <c r="BM5381">
        <v>1</v>
      </c>
      <c r="BN5381">
        <v>1</v>
      </c>
      <c r="BO5381">
        <v>0</v>
      </c>
      <c r="BP5381">
        <v>0</v>
      </c>
      <c r="BS5381">
        <v>0</v>
      </c>
      <c r="BT5381">
        <v>0</v>
      </c>
      <c r="BU5381">
        <v>0</v>
      </c>
      <c r="CE5381" t="str">
        <f t="shared" si="2133"/>
        <v>15:19:28.583</v>
      </c>
      <c r="CF5381">
        <v>582504543</v>
      </c>
      <c r="CS5381">
        <v>0</v>
      </c>
      <c r="CT5381">
        <v>2</v>
      </c>
      <c r="CU5381">
        <v>0</v>
      </c>
      <c r="CV5381">
        <v>2</v>
      </c>
      <c r="CW5381">
        <v>0</v>
      </c>
      <c r="CX5381">
        <v>3</v>
      </c>
      <c r="CY5381">
        <v>7</v>
      </c>
      <c r="CZ5381" t="s">
        <v>133</v>
      </c>
      <c r="DA5381">
        <v>275</v>
      </c>
      <c r="DB5381">
        <v>0</v>
      </c>
      <c r="DC5381" t="s">
        <v>134</v>
      </c>
      <c r="DD5381" t="s">
        <v>135</v>
      </c>
      <c r="DG5381">
        <v>3323862</v>
      </c>
      <c r="DI5381">
        <v>1</v>
      </c>
      <c r="DJ5381">
        <v>0</v>
      </c>
      <c r="DK5381">
        <v>1</v>
      </c>
      <c r="DL5381">
        <v>0</v>
      </c>
      <c r="DM5381">
        <v>0</v>
      </c>
      <c r="DN5381">
        <v>0</v>
      </c>
      <c r="DO5381">
        <v>0</v>
      </c>
      <c r="DP5381">
        <v>0</v>
      </c>
      <c r="DQ5381">
        <v>0</v>
      </c>
      <c r="DR5381">
        <v>0</v>
      </c>
      <c r="DS5381">
        <v>0</v>
      </c>
    </row>
    <row r="5382" spans="1:123" x14ac:dyDescent="0.3">
      <c r="A5382" t="str">
        <f>"05/01/2025 15:19:28.826"</f>
        <v>05/01/2025 15:19:28.826</v>
      </c>
      <c r="C5382" t="str">
        <f t="shared" si="2128"/>
        <v>FFDFD3C0</v>
      </c>
      <c r="D5382" t="s">
        <v>140</v>
      </c>
      <c r="E5382" t="str">
        <f>"13"</f>
        <v>13</v>
      </c>
      <c r="F5382">
        <v>1019</v>
      </c>
      <c r="G5382" t="s">
        <v>141</v>
      </c>
      <c r="J5382" t="s">
        <v>142</v>
      </c>
      <c r="K5382">
        <v>0</v>
      </c>
      <c r="L5382">
        <v>3</v>
      </c>
      <c r="M5382">
        <v>0</v>
      </c>
      <c r="N5382">
        <v>2</v>
      </c>
      <c r="O5382">
        <v>0</v>
      </c>
      <c r="P5382">
        <v>1</v>
      </c>
      <c r="Q5382">
        <v>0</v>
      </c>
      <c r="R5382" t="s">
        <v>127</v>
      </c>
      <c r="S5382" t="str">
        <f t="shared" si="2129"/>
        <v>15:19:28.000</v>
      </c>
      <c r="T5382" t="str">
        <f t="shared" si="2129"/>
        <v>15:19:28.000</v>
      </c>
      <c r="U5382" t="str">
        <f t="shared" si="2130"/>
        <v>A68FCB</v>
      </c>
      <c r="V5382">
        <v>0</v>
      </c>
      <c r="W5382">
        <v>0</v>
      </c>
      <c r="X5382">
        <v>2</v>
      </c>
      <c r="Y5382">
        <v>0</v>
      </c>
      <c r="AA5382">
        <v>1</v>
      </c>
      <c r="AB5382">
        <v>8</v>
      </c>
      <c r="AC5382">
        <v>3</v>
      </c>
      <c r="AD5382">
        <v>0</v>
      </c>
      <c r="AE5382">
        <v>9</v>
      </c>
      <c r="AF5382" t="s">
        <v>138</v>
      </c>
      <c r="AG5382">
        <v>0</v>
      </c>
      <c r="AH5382">
        <v>3</v>
      </c>
      <c r="AI5382">
        <v>1</v>
      </c>
      <c r="AJ5382">
        <v>0</v>
      </c>
      <c r="AK5382" t="s">
        <v>1690</v>
      </c>
      <c r="AL5382">
        <v>39.224603000000002</v>
      </c>
      <c r="AM5382" t="s">
        <v>1625</v>
      </c>
      <c r="AN5382">
        <v>-121.025605</v>
      </c>
      <c r="AO5382">
        <v>25</v>
      </c>
      <c r="AP5382">
        <v>3100</v>
      </c>
      <c r="AQ5382" t="s">
        <v>131</v>
      </c>
      <c r="AR5382">
        <v>27</v>
      </c>
      <c r="AS5382">
        <v>-47</v>
      </c>
      <c r="AT5382">
        <v>-640</v>
      </c>
      <c r="BB5382" t="str">
        <f t="shared" si="2131"/>
        <v>1200</v>
      </c>
      <c r="BC5382">
        <v>1</v>
      </c>
      <c r="BD5382" t="str">
        <f t="shared" si="2132"/>
        <v xml:space="preserve">N52156  </v>
      </c>
      <c r="BE5382">
        <v>1</v>
      </c>
      <c r="BG5382">
        <v>0</v>
      </c>
      <c r="BH5382">
        <v>0</v>
      </c>
      <c r="BI5382">
        <v>0</v>
      </c>
      <c r="BJ5382">
        <v>3100</v>
      </c>
      <c r="BK5382">
        <v>0</v>
      </c>
      <c r="BL5382" t="s">
        <v>188</v>
      </c>
      <c r="BM5382">
        <v>1</v>
      </c>
      <c r="BN5382">
        <v>1</v>
      </c>
      <c r="BO5382">
        <v>0</v>
      </c>
      <c r="BP5382">
        <v>0</v>
      </c>
      <c r="BS5382">
        <v>0</v>
      </c>
      <c r="BT5382">
        <v>0</v>
      </c>
      <c r="BU5382">
        <v>0</v>
      </c>
      <c r="CE5382" t="str">
        <f t="shared" si="2133"/>
        <v>15:19:28.583</v>
      </c>
      <c r="CF5382">
        <v>582504543</v>
      </c>
      <c r="CS5382">
        <v>0</v>
      </c>
      <c r="CT5382">
        <v>2</v>
      </c>
      <c r="CU5382">
        <v>0</v>
      </c>
      <c r="CV5382">
        <v>2</v>
      </c>
      <c r="CW5382">
        <v>0</v>
      </c>
      <c r="CX5382">
        <v>3</v>
      </c>
      <c r="CY5382">
        <v>7</v>
      </c>
      <c r="CZ5382" t="s">
        <v>133</v>
      </c>
      <c r="DA5382">
        <v>275</v>
      </c>
      <c r="DB5382">
        <v>0</v>
      </c>
      <c r="DC5382" t="s">
        <v>134</v>
      </c>
      <c r="DD5382" t="s">
        <v>135</v>
      </c>
      <c r="DG5382">
        <v>3323862</v>
      </c>
      <c r="DI5382">
        <v>1</v>
      </c>
      <c r="DJ5382">
        <v>0</v>
      </c>
      <c r="DK5382">
        <v>1</v>
      </c>
      <c r="DL5382">
        <v>0</v>
      </c>
      <c r="DM5382">
        <v>0</v>
      </c>
      <c r="DN5382">
        <v>0</v>
      </c>
      <c r="DO5382">
        <v>0</v>
      </c>
      <c r="DP5382">
        <v>0</v>
      </c>
      <c r="DQ5382">
        <v>0</v>
      </c>
      <c r="DR5382">
        <v>0</v>
      </c>
      <c r="DS5382">
        <v>0</v>
      </c>
    </row>
    <row r="5383" spans="1:123" x14ac:dyDescent="0.3">
      <c r="A5383" t="str">
        <f>"05/01/2025 15:19:28.829"</f>
        <v>05/01/2025 15:19:28.829</v>
      </c>
      <c r="C5383" t="str">
        <f t="shared" si="2128"/>
        <v>FFDFD3C0</v>
      </c>
      <c r="D5383" t="s">
        <v>124</v>
      </c>
      <c r="E5383" t="str">
        <f>"06"</f>
        <v>06</v>
      </c>
      <c r="F5383">
        <v>2006</v>
      </c>
      <c r="G5383" t="s">
        <v>125</v>
      </c>
      <c r="J5383" t="s">
        <v>126</v>
      </c>
      <c r="K5383">
        <v>0</v>
      </c>
      <c r="L5383">
        <v>3</v>
      </c>
      <c r="M5383">
        <v>0</v>
      </c>
      <c r="N5383">
        <v>2</v>
      </c>
      <c r="O5383">
        <v>0</v>
      </c>
      <c r="P5383">
        <v>1</v>
      </c>
      <c r="Q5383">
        <v>0</v>
      </c>
      <c r="R5383" t="s">
        <v>127</v>
      </c>
      <c r="S5383" t="str">
        <f t="shared" si="2129"/>
        <v>15:19:28.000</v>
      </c>
      <c r="T5383" t="str">
        <f t="shared" si="2129"/>
        <v>15:19:28.000</v>
      </c>
      <c r="U5383" t="str">
        <f t="shared" si="2130"/>
        <v>A68FCB</v>
      </c>
      <c r="V5383">
        <v>0</v>
      </c>
      <c r="W5383">
        <v>0</v>
      </c>
      <c r="X5383">
        <v>2</v>
      </c>
      <c r="Y5383">
        <v>0</v>
      </c>
      <c r="AA5383">
        <v>1</v>
      </c>
      <c r="AB5383">
        <v>8</v>
      </c>
      <c r="AC5383">
        <v>3</v>
      </c>
      <c r="AD5383">
        <v>0</v>
      </c>
      <c r="AE5383">
        <v>9</v>
      </c>
      <c r="AF5383" t="s">
        <v>138</v>
      </c>
      <c r="AG5383">
        <v>0</v>
      </c>
      <c r="AH5383">
        <v>3</v>
      </c>
      <c r="AI5383">
        <v>1</v>
      </c>
      <c r="AJ5383">
        <v>0</v>
      </c>
      <c r="AK5383" t="s">
        <v>1690</v>
      </c>
      <c r="AL5383">
        <v>39.224603000000002</v>
      </c>
      <c r="AM5383" t="s">
        <v>1625</v>
      </c>
      <c r="AN5383">
        <v>-121.025605</v>
      </c>
      <c r="AO5383">
        <v>25</v>
      </c>
      <c r="AP5383">
        <v>3100</v>
      </c>
      <c r="AQ5383" t="s">
        <v>131</v>
      </c>
      <c r="AR5383">
        <v>27</v>
      </c>
      <c r="AS5383">
        <v>-47</v>
      </c>
      <c r="AT5383">
        <v>-640</v>
      </c>
      <c r="BB5383" t="str">
        <f t="shared" si="2131"/>
        <v>1200</v>
      </c>
      <c r="BC5383">
        <v>1</v>
      </c>
      <c r="BD5383" t="str">
        <f t="shared" si="2132"/>
        <v xml:space="preserve">N52156  </v>
      </c>
      <c r="BE5383">
        <v>1</v>
      </c>
      <c r="BG5383">
        <v>0</v>
      </c>
      <c r="BH5383">
        <v>0</v>
      </c>
      <c r="BI5383">
        <v>0</v>
      </c>
      <c r="BJ5383">
        <v>3100</v>
      </c>
      <c r="BK5383">
        <v>0</v>
      </c>
      <c r="BL5383" t="s">
        <v>188</v>
      </c>
      <c r="BM5383">
        <v>1</v>
      </c>
      <c r="BN5383">
        <v>1</v>
      </c>
      <c r="BO5383">
        <v>0</v>
      </c>
      <c r="BP5383">
        <v>0</v>
      </c>
      <c r="BS5383">
        <v>0</v>
      </c>
      <c r="BT5383">
        <v>0</v>
      </c>
      <c r="BU5383">
        <v>0</v>
      </c>
      <c r="CE5383" t="str">
        <f t="shared" si="2133"/>
        <v>15:19:28.583</v>
      </c>
      <c r="CF5383">
        <v>582504543</v>
      </c>
      <c r="CS5383">
        <v>0</v>
      </c>
      <c r="CT5383">
        <v>2</v>
      </c>
      <c r="CU5383">
        <v>0</v>
      </c>
      <c r="CV5383">
        <v>2</v>
      </c>
      <c r="CW5383">
        <v>0</v>
      </c>
      <c r="CX5383">
        <v>3</v>
      </c>
      <c r="CY5383">
        <v>7</v>
      </c>
      <c r="CZ5383" t="s">
        <v>133</v>
      </c>
      <c r="DA5383">
        <v>275</v>
      </c>
      <c r="DB5383">
        <v>0</v>
      </c>
      <c r="DC5383" t="s">
        <v>134</v>
      </c>
      <c r="DD5383" t="s">
        <v>135</v>
      </c>
      <c r="DG5383">
        <v>3323862</v>
      </c>
      <c r="DI5383">
        <v>1</v>
      </c>
      <c r="DJ5383">
        <v>0</v>
      </c>
      <c r="DK5383">
        <v>1</v>
      </c>
      <c r="DL5383">
        <v>0</v>
      </c>
      <c r="DM5383">
        <v>0</v>
      </c>
      <c r="DN5383">
        <v>0</v>
      </c>
      <c r="DO5383">
        <v>0</v>
      </c>
      <c r="DP5383">
        <v>0</v>
      </c>
      <c r="DQ5383">
        <v>0</v>
      </c>
      <c r="DR5383">
        <v>0</v>
      </c>
      <c r="DS5383">
        <v>0</v>
      </c>
    </row>
    <row r="5384" spans="1:123" x14ac:dyDescent="0.3">
      <c r="A5384" t="str">
        <f>"05/01/2025 15:19:29.428"</f>
        <v>05/01/2025 15:19:29.428</v>
      </c>
      <c r="C5384" t="str">
        <f t="shared" si="2128"/>
        <v>FFDFD3C0</v>
      </c>
      <c r="D5384" t="s">
        <v>140</v>
      </c>
      <c r="E5384" t="str">
        <f>"13"</f>
        <v>13</v>
      </c>
      <c r="F5384">
        <v>1019</v>
      </c>
      <c r="G5384" t="s">
        <v>141</v>
      </c>
      <c r="J5384" t="s">
        <v>142</v>
      </c>
      <c r="K5384">
        <v>0</v>
      </c>
      <c r="L5384">
        <v>3</v>
      </c>
      <c r="M5384">
        <v>0</v>
      </c>
      <c r="N5384">
        <v>2</v>
      </c>
      <c r="O5384">
        <v>0</v>
      </c>
      <c r="P5384">
        <v>1</v>
      </c>
      <c r="Q5384">
        <v>0</v>
      </c>
      <c r="R5384" t="s">
        <v>127</v>
      </c>
      <c r="S5384" t="str">
        <f t="shared" ref="S5384:T5389" si="2134">"15:19:29.000"</f>
        <v>15:19:29.000</v>
      </c>
      <c r="T5384" t="str">
        <f t="shared" si="2134"/>
        <v>15:19:29.000</v>
      </c>
      <c r="U5384" t="str">
        <f t="shared" si="2130"/>
        <v>A68FCB</v>
      </c>
      <c r="V5384">
        <v>0</v>
      </c>
      <c r="W5384">
        <v>0</v>
      </c>
      <c r="X5384">
        <v>2</v>
      </c>
      <c r="Y5384">
        <v>0</v>
      </c>
      <c r="AA5384">
        <v>1</v>
      </c>
      <c r="AB5384">
        <v>8</v>
      </c>
      <c r="AC5384">
        <v>3</v>
      </c>
      <c r="AD5384">
        <v>0</v>
      </c>
      <c r="AE5384">
        <v>9</v>
      </c>
      <c r="AF5384" t="s">
        <v>138</v>
      </c>
      <c r="AG5384">
        <v>0</v>
      </c>
      <c r="AH5384">
        <v>3</v>
      </c>
      <c r="AI5384">
        <v>1</v>
      </c>
      <c r="AJ5384">
        <v>0</v>
      </c>
      <c r="AK5384" t="s">
        <v>1691</v>
      </c>
      <c r="AL5384">
        <v>39.224389000000002</v>
      </c>
      <c r="AM5384" t="s">
        <v>1692</v>
      </c>
      <c r="AN5384">
        <v>-121.025434</v>
      </c>
      <c r="AO5384">
        <v>25</v>
      </c>
      <c r="AP5384">
        <v>3100</v>
      </c>
      <c r="AQ5384" t="s">
        <v>131</v>
      </c>
      <c r="AR5384">
        <v>23</v>
      </c>
      <c r="AS5384">
        <v>-49</v>
      </c>
      <c r="AT5384">
        <v>-576</v>
      </c>
      <c r="BB5384" t="str">
        <f t="shared" si="2131"/>
        <v>1200</v>
      </c>
      <c r="BC5384">
        <v>1</v>
      </c>
      <c r="BD5384" t="str">
        <f t="shared" si="2132"/>
        <v xml:space="preserve">N52156  </v>
      </c>
      <c r="BE5384">
        <v>1</v>
      </c>
      <c r="BG5384">
        <v>0</v>
      </c>
      <c r="BH5384">
        <v>0</v>
      </c>
      <c r="BI5384">
        <v>0</v>
      </c>
      <c r="BJ5384">
        <v>3075</v>
      </c>
      <c r="BK5384">
        <v>-25</v>
      </c>
      <c r="BL5384" t="s">
        <v>188</v>
      </c>
      <c r="BM5384">
        <v>1</v>
      </c>
      <c r="BN5384">
        <v>1</v>
      </c>
      <c r="BO5384">
        <v>0</v>
      </c>
      <c r="BP5384">
        <v>0</v>
      </c>
      <c r="BS5384">
        <v>0</v>
      </c>
      <c r="BT5384">
        <v>0</v>
      </c>
      <c r="BU5384">
        <v>0</v>
      </c>
      <c r="CE5384" t="str">
        <f t="shared" ref="CE5384:CE5389" si="2135">"15:19:29.206"</f>
        <v>15:19:29.206</v>
      </c>
      <c r="CF5384">
        <v>206003556</v>
      </c>
      <c r="CS5384">
        <v>0</v>
      </c>
      <c r="CT5384">
        <v>2</v>
      </c>
      <c r="CU5384">
        <v>0</v>
      </c>
      <c r="CV5384">
        <v>2</v>
      </c>
      <c r="CW5384">
        <v>0</v>
      </c>
      <c r="CX5384">
        <v>2</v>
      </c>
      <c r="CY5384">
        <v>7</v>
      </c>
      <c r="CZ5384" t="s">
        <v>133</v>
      </c>
      <c r="DA5384">
        <v>275</v>
      </c>
      <c r="DB5384">
        <v>0</v>
      </c>
      <c r="DC5384" t="s">
        <v>134</v>
      </c>
      <c r="DD5384" t="s">
        <v>135</v>
      </c>
      <c r="DG5384">
        <v>3323870</v>
      </c>
      <c r="DI5384">
        <v>1</v>
      </c>
      <c r="DJ5384">
        <v>0</v>
      </c>
      <c r="DK5384">
        <v>0</v>
      </c>
      <c r="DL5384">
        <v>0</v>
      </c>
      <c r="DM5384">
        <v>0</v>
      </c>
      <c r="DN5384">
        <v>0</v>
      </c>
      <c r="DO5384">
        <v>0</v>
      </c>
      <c r="DP5384">
        <v>0</v>
      </c>
      <c r="DQ5384">
        <v>0</v>
      </c>
      <c r="DR5384">
        <v>0</v>
      </c>
      <c r="DS5384">
        <v>0</v>
      </c>
    </row>
    <row r="5385" spans="1:123" x14ac:dyDescent="0.3">
      <c r="A5385" t="str">
        <f>"05/01/2025 15:19:29.430"</f>
        <v>05/01/2025 15:19:29.430</v>
      </c>
      <c r="C5385" t="str">
        <f t="shared" si="2128"/>
        <v>FFDFD3C0</v>
      </c>
      <c r="D5385" t="s">
        <v>124</v>
      </c>
      <c r="E5385" t="str">
        <f>"06"</f>
        <v>06</v>
      </c>
      <c r="F5385">
        <v>2006</v>
      </c>
      <c r="G5385" t="s">
        <v>125</v>
      </c>
      <c r="J5385" t="s">
        <v>126</v>
      </c>
      <c r="K5385">
        <v>0</v>
      </c>
      <c r="L5385">
        <v>3</v>
      </c>
      <c r="M5385">
        <v>0</v>
      </c>
      <c r="N5385">
        <v>2</v>
      </c>
      <c r="O5385">
        <v>0</v>
      </c>
      <c r="P5385">
        <v>1</v>
      </c>
      <c r="Q5385">
        <v>0</v>
      </c>
      <c r="R5385" t="s">
        <v>127</v>
      </c>
      <c r="S5385" t="str">
        <f t="shared" si="2134"/>
        <v>15:19:29.000</v>
      </c>
      <c r="T5385" t="str">
        <f t="shared" si="2134"/>
        <v>15:19:29.000</v>
      </c>
      <c r="U5385" t="str">
        <f t="shared" si="2130"/>
        <v>A68FCB</v>
      </c>
      <c r="V5385">
        <v>0</v>
      </c>
      <c r="W5385">
        <v>0</v>
      </c>
      <c r="X5385">
        <v>2</v>
      </c>
      <c r="Y5385">
        <v>0</v>
      </c>
      <c r="AA5385">
        <v>1</v>
      </c>
      <c r="AB5385">
        <v>8</v>
      </c>
      <c r="AC5385">
        <v>3</v>
      </c>
      <c r="AD5385">
        <v>0</v>
      </c>
      <c r="AE5385">
        <v>9</v>
      </c>
      <c r="AF5385" t="s">
        <v>138</v>
      </c>
      <c r="AG5385">
        <v>0</v>
      </c>
      <c r="AH5385">
        <v>3</v>
      </c>
      <c r="AI5385">
        <v>1</v>
      </c>
      <c r="AJ5385">
        <v>0</v>
      </c>
      <c r="AK5385" t="s">
        <v>1691</v>
      </c>
      <c r="AL5385">
        <v>39.224389000000002</v>
      </c>
      <c r="AM5385" t="s">
        <v>1692</v>
      </c>
      <c r="AN5385">
        <v>-121.025434</v>
      </c>
      <c r="AO5385">
        <v>25</v>
      </c>
      <c r="AP5385">
        <v>3100</v>
      </c>
      <c r="AQ5385" t="s">
        <v>131</v>
      </c>
      <c r="AR5385">
        <v>23</v>
      </c>
      <c r="AS5385">
        <v>-49</v>
      </c>
      <c r="AT5385">
        <v>-576</v>
      </c>
      <c r="BB5385" t="str">
        <f t="shared" si="2131"/>
        <v>1200</v>
      </c>
      <c r="BC5385">
        <v>1</v>
      </c>
      <c r="BD5385" t="str">
        <f t="shared" si="2132"/>
        <v xml:space="preserve">N52156  </v>
      </c>
      <c r="BE5385">
        <v>1</v>
      </c>
      <c r="BG5385">
        <v>0</v>
      </c>
      <c r="BH5385">
        <v>0</v>
      </c>
      <c r="BI5385">
        <v>0</v>
      </c>
      <c r="BJ5385">
        <v>3075</v>
      </c>
      <c r="BK5385">
        <v>-25</v>
      </c>
      <c r="BL5385" t="s">
        <v>188</v>
      </c>
      <c r="BM5385">
        <v>1</v>
      </c>
      <c r="BN5385">
        <v>1</v>
      </c>
      <c r="BO5385">
        <v>0</v>
      </c>
      <c r="BP5385">
        <v>0</v>
      </c>
      <c r="BS5385">
        <v>0</v>
      </c>
      <c r="BT5385">
        <v>0</v>
      </c>
      <c r="BU5385">
        <v>0</v>
      </c>
      <c r="CE5385" t="str">
        <f t="shared" si="2135"/>
        <v>15:19:29.206</v>
      </c>
      <c r="CF5385">
        <v>206003556</v>
      </c>
      <c r="CS5385">
        <v>0</v>
      </c>
      <c r="CT5385">
        <v>2</v>
      </c>
      <c r="CU5385">
        <v>0</v>
      </c>
      <c r="CV5385">
        <v>2</v>
      </c>
      <c r="CW5385">
        <v>0</v>
      </c>
      <c r="CX5385">
        <v>2</v>
      </c>
      <c r="CY5385">
        <v>7</v>
      </c>
      <c r="CZ5385" t="s">
        <v>133</v>
      </c>
      <c r="DA5385">
        <v>275</v>
      </c>
      <c r="DB5385">
        <v>0</v>
      </c>
      <c r="DC5385" t="s">
        <v>134</v>
      </c>
      <c r="DD5385" t="s">
        <v>135</v>
      </c>
      <c r="DG5385">
        <v>3323870</v>
      </c>
      <c r="DI5385">
        <v>1</v>
      </c>
      <c r="DJ5385">
        <v>0</v>
      </c>
      <c r="DK5385">
        <v>1</v>
      </c>
      <c r="DL5385">
        <v>0</v>
      </c>
      <c r="DM5385">
        <v>0</v>
      </c>
      <c r="DN5385">
        <v>0</v>
      </c>
      <c r="DO5385">
        <v>0</v>
      </c>
      <c r="DP5385">
        <v>0</v>
      </c>
      <c r="DQ5385">
        <v>0</v>
      </c>
      <c r="DR5385">
        <v>0</v>
      </c>
      <c r="DS5385">
        <v>0</v>
      </c>
    </row>
    <row r="5386" spans="1:123" x14ac:dyDescent="0.3">
      <c r="A5386" t="str">
        <f>"05/01/2025 15:19:29.445"</f>
        <v>05/01/2025 15:19:29.445</v>
      </c>
      <c r="C5386" t="str">
        <f t="shared" si="2128"/>
        <v>FFDFD3C0</v>
      </c>
      <c r="D5386" t="s">
        <v>143</v>
      </c>
      <c r="E5386" t="str">
        <f>"05"</f>
        <v>05</v>
      </c>
      <c r="H5386">
        <v>172</v>
      </c>
      <c r="I5386" t="s">
        <v>141</v>
      </c>
      <c r="J5386" t="s">
        <v>144</v>
      </c>
      <c r="K5386">
        <v>0</v>
      </c>
      <c r="L5386">
        <v>3</v>
      </c>
      <c r="M5386">
        <v>0</v>
      </c>
      <c r="N5386">
        <v>2</v>
      </c>
      <c r="O5386">
        <v>0</v>
      </c>
      <c r="P5386">
        <v>1</v>
      </c>
      <c r="Q5386">
        <v>0</v>
      </c>
      <c r="R5386" t="s">
        <v>127</v>
      </c>
      <c r="S5386" t="str">
        <f t="shared" si="2134"/>
        <v>15:19:29.000</v>
      </c>
      <c r="T5386" t="str">
        <f t="shared" si="2134"/>
        <v>15:19:29.000</v>
      </c>
      <c r="U5386" t="str">
        <f t="shared" si="2130"/>
        <v>A68FCB</v>
      </c>
      <c r="V5386">
        <v>0</v>
      </c>
      <c r="W5386">
        <v>0</v>
      </c>
      <c r="X5386">
        <v>2</v>
      </c>
      <c r="Y5386">
        <v>0</v>
      </c>
      <c r="AA5386">
        <v>1</v>
      </c>
      <c r="AB5386">
        <v>8</v>
      </c>
      <c r="AC5386">
        <v>3</v>
      </c>
      <c r="AD5386">
        <v>0</v>
      </c>
      <c r="AE5386">
        <v>9</v>
      </c>
      <c r="AF5386" t="s">
        <v>138</v>
      </c>
      <c r="AG5386">
        <v>0</v>
      </c>
      <c r="AH5386">
        <v>3</v>
      </c>
      <c r="AI5386">
        <v>1</v>
      </c>
      <c r="AJ5386">
        <v>0</v>
      </c>
      <c r="AK5386" t="s">
        <v>1691</v>
      </c>
      <c r="AL5386">
        <v>39.224389000000002</v>
      </c>
      <c r="AM5386" t="s">
        <v>1692</v>
      </c>
      <c r="AN5386">
        <v>-121.025434</v>
      </c>
      <c r="AO5386">
        <v>25</v>
      </c>
      <c r="AP5386">
        <v>3100</v>
      </c>
      <c r="AQ5386" t="s">
        <v>131</v>
      </c>
      <c r="AR5386">
        <v>23</v>
      </c>
      <c r="AS5386">
        <v>-49</v>
      </c>
      <c r="AT5386">
        <v>-576</v>
      </c>
      <c r="BB5386" t="str">
        <f t="shared" si="2131"/>
        <v>1200</v>
      </c>
      <c r="BC5386">
        <v>1</v>
      </c>
      <c r="BD5386" t="str">
        <f t="shared" si="2132"/>
        <v xml:space="preserve">N52156  </v>
      </c>
      <c r="BE5386">
        <v>1</v>
      </c>
      <c r="BG5386">
        <v>0</v>
      </c>
      <c r="BH5386">
        <v>0</v>
      </c>
      <c r="BI5386">
        <v>0</v>
      </c>
      <c r="BJ5386">
        <v>3075</v>
      </c>
      <c r="BK5386">
        <v>-25</v>
      </c>
      <c r="BL5386" t="s">
        <v>188</v>
      </c>
      <c r="BM5386">
        <v>1</v>
      </c>
      <c r="BN5386">
        <v>1</v>
      </c>
      <c r="BO5386">
        <v>0</v>
      </c>
      <c r="BP5386">
        <v>0</v>
      </c>
      <c r="BS5386">
        <v>0</v>
      </c>
      <c r="BT5386">
        <v>0</v>
      </c>
      <c r="BU5386">
        <v>0</v>
      </c>
      <c r="CE5386" t="str">
        <f t="shared" si="2135"/>
        <v>15:19:29.206</v>
      </c>
      <c r="CF5386">
        <v>206003556</v>
      </c>
      <c r="CS5386">
        <v>0</v>
      </c>
      <c r="CT5386">
        <v>2</v>
      </c>
      <c r="CU5386">
        <v>0</v>
      </c>
      <c r="CV5386">
        <v>2</v>
      </c>
      <c r="CW5386">
        <v>0</v>
      </c>
      <c r="CX5386">
        <v>2</v>
      </c>
      <c r="CY5386">
        <v>7</v>
      </c>
      <c r="CZ5386" t="s">
        <v>133</v>
      </c>
      <c r="DA5386">
        <v>275</v>
      </c>
      <c r="DB5386">
        <v>0</v>
      </c>
      <c r="DC5386" t="s">
        <v>134</v>
      </c>
      <c r="DD5386" t="s">
        <v>135</v>
      </c>
      <c r="DG5386">
        <v>3323870</v>
      </c>
      <c r="DI5386">
        <v>1</v>
      </c>
      <c r="DJ5386">
        <v>0</v>
      </c>
      <c r="DK5386">
        <v>1</v>
      </c>
      <c r="DL5386">
        <v>0</v>
      </c>
      <c r="DM5386">
        <v>0</v>
      </c>
      <c r="DN5386">
        <v>0</v>
      </c>
      <c r="DO5386">
        <v>0</v>
      </c>
      <c r="DP5386">
        <v>0</v>
      </c>
      <c r="DQ5386">
        <v>0</v>
      </c>
      <c r="DR5386">
        <v>0</v>
      </c>
      <c r="DS5386">
        <v>0</v>
      </c>
    </row>
    <row r="5387" spans="1:123" x14ac:dyDescent="0.3">
      <c r="A5387" t="str">
        <f>"05/01/2025 15:19:29.454"</f>
        <v>05/01/2025 15:19:29.454</v>
      </c>
      <c r="C5387" t="str">
        <f t="shared" si="2128"/>
        <v>FFDFD3C0</v>
      </c>
      <c r="D5387" t="s">
        <v>145</v>
      </c>
      <c r="E5387" t="str">
        <f>"09"</f>
        <v>09</v>
      </c>
      <c r="H5387">
        <v>51</v>
      </c>
      <c r="I5387" t="s">
        <v>147</v>
      </c>
      <c r="J5387" t="s">
        <v>138</v>
      </c>
      <c r="K5387">
        <v>0</v>
      </c>
      <c r="L5387">
        <v>3</v>
      </c>
      <c r="M5387">
        <v>0</v>
      </c>
      <c r="N5387">
        <v>2</v>
      </c>
      <c r="O5387">
        <v>0</v>
      </c>
      <c r="P5387">
        <v>1</v>
      </c>
      <c r="Q5387">
        <v>0</v>
      </c>
      <c r="R5387" t="s">
        <v>127</v>
      </c>
      <c r="S5387" t="str">
        <f t="shared" si="2134"/>
        <v>15:19:29.000</v>
      </c>
      <c r="T5387" t="str">
        <f t="shared" si="2134"/>
        <v>15:19:29.000</v>
      </c>
      <c r="U5387" t="str">
        <f t="shared" si="2130"/>
        <v>A68FCB</v>
      </c>
      <c r="V5387">
        <v>0</v>
      </c>
      <c r="W5387">
        <v>0</v>
      </c>
      <c r="X5387">
        <v>2</v>
      </c>
      <c r="Y5387">
        <v>0</v>
      </c>
      <c r="AA5387">
        <v>1</v>
      </c>
      <c r="AB5387">
        <v>8</v>
      </c>
      <c r="AC5387">
        <v>3</v>
      </c>
      <c r="AD5387">
        <v>0</v>
      </c>
      <c r="AE5387">
        <v>9</v>
      </c>
      <c r="AF5387" t="s">
        <v>138</v>
      </c>
      <c r="AG5387">
        <v>0</v>
      </c>
      <c r="AH5387">
        <v>3</v>
      </c>
      <c r="AI5387">
        <v>1</v>
      </c>
      <c r="AJ5387">
        <v>0</v>
      </c>
      <c r="AK5387" t="s">
        <v>1691</v>
      </c>
      <c r="AL5387">
        <v>39.224389000000002</v>
      </c>
      <c r="AM5387" t="s">
        <v>1692</v>
      </c>
      <c r="AN5387">
        <v>-121.025434</v>
      </c>
      <c r="AO5387">
        <v>25</v>
      </c>
      <c r="AP5387">
        <v>3100</v>
      </c>
      <c r="AQ5387" t="s">
        <v>131</v>
      </c>
      <c r="AR5387">
        <v>23</v>
      </c>
      <c r="AS5387">
        <v>-49</v>
      </c>
      <c r="AT5387">
        <v>-576</v>
      </c>
      <c r="BB5387" t="str">
        <f t="shared" si="2131"/>
        <v>1200</v>
      </c>
      <c r="BC5387">
        <v>1</v>
      </c>
      <c r="BD5387" t="str">
        <f t="shared" si="2132"/>
        <v xml:space="preserve">N52156  </v>
      </c>
      <c r="BE5387">
        <v>1</v>
      </c>
      <c r="BG5387">
        <v>0</v>
      </c>
      <c r="BH5387">
        <v>0</v>
      </c>
      <c r="BI5387">
        <v>0</v>
      </c>
      <c r="BJ5387">
        <v>3075</v>
      </c>
      <c r="BK5387">
        <v>-25</v>
      </c>
      <c r="BL5387" t="s">
        <v>188</v>
      </c>
      <c r="BM5387">
        <v>1</v>
      </c>
      <c r="BN5387">
        <v>1</v>
      </c>
      <c r="BO5387">
        <v>0</v>
      </c>
      <c r="BP5387">
        <v>0</v>
      </c>
      <c r="BS5387">
        <v>0</v>
      </c>
      <c r="BT5387">
        <v>0</v>
      </c>
      <c r="BU5387">
        <v>0</v>
      </c>
      <c r="CE5387" t="str">
        <f t="shared" si="2135"/>
        <v>15:19:29.206</v>
      </c>
      <c r="CF5387">
        <v>206003556</v>
      </c>
      <c r="CS5387">
        <v>0</v>
      </c>
      <c r="CT5387">
        <v>2</v>
      </c>
      <c r="CU5387">
        <v>0</v>
      </c>
      <c r="CV5387">
        <v>2</v>
      </c>
      <c r="CW5387">
        <v>0</v>
      </c>
      <c r="CX5387">
        <v>2</v>
      </c>
      <c r="CY5387">
        <v>7</v>
      </c>
      <c r="CZ5387" t="s">
        <v>133</v>
      </c>
      <c r="DA5387">
        <v>275</v>
      </c>
      <c r="DB5387">
        <v>0</v>
      </c>
      <c r="DC5387" t="s">
        <v>134</v>
      </c>
      <c r="DD5387" t="s">
        <v>135</v>
      </c>
      <c r="DG5387">
        <v>3323870</v>
      </c>
      <c r="DI5387">
        <v>1</v>
      </c>
      <c r="DJ5387">
        <v>0</v>
      </c>
      <c r="DK5387">
        <v>1</v>
      </c>
      <c r="DL5387">
        <v>0</v>
      </c>
      <c r="DM5387">
        <v>0</v>
      </c>
      <c r="DN5387">
        <v>0</v>
      </c>
      <c r="DO5387">
        <v>0</v>
      </c>
      <c r="DP5387">
        <v>0</v>
      </c>
      <c r="DQ5387">
        <v>0</v>
      </c>
      <c r="DR5387">
        <v>0</v>
      </c>
      <c r="DS5387">
        <v>0</v>
      </c>
    </row>
    <row r="5388" spans="1:123" x14ac:dyDescent="0.3">
      <c r="A5388" t="str">
        <f>"05/01/2025 15:19:29.455"</f>
        <v>05/01/2025 15:19:29.455</v>
      </c>
      <c r="C5388" t="str">
        <f t="shared" si="2128"/>
        <v>FFDFD3C0</v>
      </c>
      <c r="D5388" t="s">
        <v>145</v>
      </c>
      <c r="E5388" t="str">
        <f>"05"</f>
        <v>05</v>
      </c>
      <c r="H5388">
        <v>47</v>
      </c>
      <c r="I5388" t="s">
        <v>146</v>
      </c>
      <c r="J5388" t="s">
        <v>138</v>
      </c>
      <c r="K5388">
        <v>0</v>
      </c>
      <c r="L5388">
        <v>3</v>
      </c>
      <c r="M5388">
        <v>0</v>
      </c>
      <c r="N5388">
        <v>2</v>
      </c>
      <c r="O5388">
        <v>0</v>
      </c>
      <c r="P5388">
        <v>1</v>
      </c>
      <c r="Q5388">
        <v>0</v>
      </c>
      <c r="R5388" t="s">
        <v>127</v>
      </c>
      <c r="S5388" t="str">
        <f t="shared" si="2134"/>
        <v>15:19:29.000</v>
      </c>
      <c r="T5388" t="str">
        <f t="shared" si="2134"/>
        <v>15:19:29.000</v>
      </c>
      <c r="U5388" t="str">
        <f t="shared" si="2130"/>
        <v>A68FCB</v>
      </c>
      <c r="V5388">
        <v>0</v>
      </c>
      <c r="W5388">
        <v>0</v>
      </c>
      <c r="X5388">
        <v>2</v>
      </c>
      <c r="Y5388">
        <v>0</v>
      </c>
      <c r="AA5388">
        <v>1</v>
      </c>
      <c r="AB5388">
        <v>8</v>
      </c>
      <c r="AC5388">
        <v>3</v>
      </c>
      <c r="AD5388">
        <v>0</v>
      </c>
      <c r="AE5388">
        <v>9</v>
      </c>
      <c r="AF5388" t="s">
        <v>138</v>
      </c>
      <c r="AG5388">
        <v>0</v>
      </c>
      <c r="AH5388">
        <v>3</v>
      </c>
      <c r="AI5388">
        <v>1</v>
      </c>
      <c r="AJ5388">
        <v>0</v>
      </c>
      <c r="AK5388" t="s">
        <v>1691</v>
      </c>
      <c r="AL5388">
        <v>39.224389000000002</v>
      </c>
      <c r="AM5388" t="s">
        <v>1692</v>
      </c>
      <c r="AN5388">
        <v>-121.025434</v>
      </c>
      <c r="AO5388">
        <v>25</v>
      </c>
      <c r="AP5388">
        <v>3100</v>
      </c>
      <c r="AQ5388" t="s">
        <v>131</v>
      </c>
      <c r="AR5388">
        <v>23</v>
      </c>
      <c r="AS5388">
        <v>-49</v>
      </c>
      <c r="AT5388">
        <v>-576</v>
      </c>
      <c r="BB5388" t="str">
        <f t="shared" si="2131"/>
        <v>1200</v>
      </c>
      <c r="BC5388">
        <v>1</v>
      </c>
      <c r="BD5388" t="str">
        <f t="shared" si="2132"/>
        <v xml:space="preserve">N52156  </v>
      </c>
      <c r="BE5388">
        <v>1</v>
      </c>
      <c r="BG5388">
        <v>0</v>
      </c>
      <c r="BH5388">
        <v>0</v>
      </c>
      <c r="BI5388">
        <v>0</v>
      </c>
      <c r="BJ5388">
        <v>3075</v>
      </c>
      <c r="BK5388">
        <v>-25</v>
      </c>
      <c r="BL5388" t="s">
        <v>188</v>
      </c>
      <c r="BM5388">
        <v>1</v>
      </c>
      <c r="BN5388">
        <v>1</v>
      </c>
      <c r="BO5388">
        <v>0</v>
      </c>
      <c r="BP5388">
        <v>0</v>
      </c>
      <c r="BS5388">
        <v>0</v>
      </c>
      <c r="BT5388">
        <v>0</v>
      </c>
      <c r="BU5388">
        <v>0</v>
      </c>
      <c r="CE5388" t="str">
        <f t="shared" si="2135"/>
        <v>15:19:29.206</v>
      </c>
      <c r="CF5388">
        <v>206003556</v>
      </c>
      <c r="CS5388">
        <v>0</v>
      </c>
      <c r="CT5388">
        <v>2</v>
      </c>
      <c r="CU5388">
        <v>0</v>
      </c>
      <c r="CV5388">
        <v>2</v>
      </c>
      <c r="CW5388">
        <v>0</v>
      </c>
      <c r="CX5388">
        <v>2</v>
      </c>
      <c r="CY5388">
        <v>7</v>
      </c>
      <c r="CZ5388" t="s">
        <v>133</v>
      </c>
      <c r="DA5388">
        <v>275</v>
      </c>
      <c r="DB5388">
        <v>0</v>
      </c>
      <c r="DC5388" t="s">
        <v>134</v>
      </c>
      <c r="DD5388" t="s">
        <v>135</v>
      </c>
      <c r="DG5388">
        <v>3323870</v>
      </c>
      <c r="DI5388">
        <v>1</v>
      </c>
      <c r="DJ5388">
        <v>0</v>
      </c>
      <c r="DK5388">
        <v>1</v>
      </c>
      <c r="DL5388">
        <v>0</v>
      </c>
      <c r="DM5388">
        <v>0</v>
      </c>
      <c r="DN5388">
        <v>0</v>
      </c>
      <c r="DO5388">
        <v>0</v>
      </c>
      <c r="DP5388">
        <v>0</v>
      </c>
      <c r="DQ5388">
        <v>0</v>
      </c>
      <c r="DR5388">
        <v>0</v>
      </c>
      <c r="DS5388">
        <v>0</v>
      </c>
    </row>
    <row r="5389" spans="1:123" x14ac:dyDescent="0.3">
      <c r="A5389" t="str">
        <f>"05/01/2025 15:19:29.463"</f>
        <v>05/01/2025 15:19:29.463</v>
      </c>
      <c r="C5389" t="str">
        <f t="shared" si="2128"/>
        <v>FFDFD3C0</v>
      </c>
      <c r="D5389" t="s">
        <v>136</v>
      </c>
      <c r="E5389" t="str">
        <f>"20"</f>
        <v>20</v>
      </c>
      <c r="H5389">
        <v>400</v>
      </c>
      <c r="I5389" t="s">
        <v>137</v>
      </c>
      <c r="J5389" t="s">
        <v>138</v>
      </c>
      <c r="K5389">
        <v>0</v>
      </c>
      <c r="L5389">
        <v>3</v>
      </c>
      <c r="M5389">
        <v>0</v>
      </c>
      <c r="N5389">
        <v>2</v>
      </c>
      <c r="O5389">
        <v>0</v>
      </c>
      <c r="P5389">
        <v>1</v>
      </c>
      <c r="Q5389">
        <v>0</v>
      </c>
      <c r="R5389" t="s">
        <v>127</v>
      </c>
      <c r="S5389" t="str">
        <f t="shared" si="2134"/>
        <v>15:19:29.000</v>
      </c>
      <c r="T5389" t="str">
        <f t="shared" si="2134"/>
        <v>15:19:29.000</v>
      </c>
      <c r="U5389" t="str">
        <f t="shared" si="2130"/>
        <v>A68FCB</v>
      </c>
      <c r="V5389">
        <v>0</v>
      </c>
      <c r="W5389">
        <v>0</v>
      </c>
      <c r="X5389">
        <v>2</v>
      </c>
      <c r="Y5389">
        <v>0</v>
      </c>
      <c r="AA5389">
        <v>1</v>
      </c>
      <c r="AB5389">
        <v>8</v>
      </c>
      <c r="AC5389">
        <v>3</v>
      </c>
      <c r="AD5389">
        <v>0</v>
      </c>
      <c r="AE5389">
        <v>9</v>
      </c>
      <c r="AF5389" t="s">
        <v>138</v>
      </c>
      <c r="AG5389">
        <v>0</v>
      </c>
      <c r="AH5389">
        <v>3</v>
      </c>
      <c r="AI5389">
        <v>1</v>
      </c>
      <c r="AJ5389">
        <v>0</v>
      </c>
      <c r="AK5389" t="s">
        <v>1691</v>
      </c>
      <c r="AL5389">
        <v>39.224389000000002</v>
      </c>
      <c r="AM5389" t="s">
        <v>1692</v>
      </c>
      <c r="AN5389">
        <v>-121.025434</v>
      </c>
      <c r="AO5389">
        <v>25</v>
      </c>
      <c r="AP5389">
        <v>3100</v>
      </c>
      <c r="AQ5389" t="s">
        <v>131</v>
      </c>
      <c r="AR5389">
        <v>23</v>
      </c>
      <c r="AS5389">
        <v>-49</v>
      </c>
      <c r="AT5389">
        <v>-576</v>
      </c>
      <c r="BB5389" t="str">
        <f t="shared" si="2131"/>
        <v>1200</v>
      </c>
      <c r="BC5389">
        <v>1</v>
      </c>
      <c r="BD5389" t="str">
        <f t="shared" si="2132"/>
        <v xml:space="preserve">N52156  </v>
      </c>
      <c r="BE5389">
        <v>1</v>
      </c>
      <c r="BG5389">
        <v>0</v>
      </c>
      <c r="BH5389">
        <v>0</v>
      </c>
      <c r="BI5389">
        <v>0</v>
      </c>
      <c r="BJ5389">
        <v>3075</v>
      </c>
      <c r="BK5389">
        <v>-25</v>
      </c>
      <c r="BL5389" t="s">
        <v>188</v>
      </c>
      <c r="BM5389">
        <v>1</v>
      </c>
      <c r="BN5389">
        <v>1</v>
      </c>
      <c r="BO5389">
        <v>0</v>
      </c>
      <c r="BP5389">
        <v>0</v>
      </c>
      <c r="BS5389">
        <v>0</v>
      </c>
      <c r="BT5389">
        <v>0</v>
      </c>
      <c r="BU5389">
        <v>0</v>
      </c>
      <c r="CE5389" t="str">
        <f t="shared" si="2135"/>
        <v>15:19:29.206</v>
      </c>
      <c r="CF5389">
        <v>206003556</v>
      </c>
      <c r="CS5389">
        <v>0</v>
      </c>
      <c r="CT5389">
        <v>2</v>
      </c>
      <c r="CU5389">
        <v>0</v>
      </c>
      <c r="CV5389">
        <v>2</v>
      </c>
      <c r="CW5389">
        <v>0</v>
      </c>
      <c r="CX5389">
        <v>2</v>
      </c>
      <c r="CY5389">
        <v>7</v>
      </c>
      <c r="CZ5389" t="s">
        <v>133</v>
      </c>
      <c r="DA5389">
        <v>275</v>
      </c>
      <c r="DB5389">
        <v>0</v>
      </c>
      <c r="DC5389" t="s">
        <v>134</v>
      </c>
      <c r="DD5389" t="s">
        <v>135</v>
      </c>
      <c r="DG5389">
        <v>3323870</v>
      </c>
      <c r="DI5389">
        <v>1</v>
      </c>
      <c r="DJ5389">
        <v>0</v>
      </c>
      <c r="DK5389">
        <v>1</v>
      </c>
      <c r="DL5389">
        <v>0</v>
      </c>
      <c r="DM5389">
        <v>0</v>
      </c>
      <c r="DN5389">
        <v>0</v>
      </c>
      <c r="DO5389">
        <v>0</v>
      </c>
      <c r="DP5389">
        <v>0</v>
      </c>
      <c r="DQ5389">
        <v>0</v>
      </c>
      <c r="DR5389">
        <v>0</v>
      </c>
      <c r="DS5389">
        <v>0</v>
      </c>
    </row>
    <row r="5390" spans="1:123" x14ac:dyDescent="0.3">
      <c r="A5390" t="str">
        <f>"05/01/2025 15:19:30.529"</f>
        <v>05/01/2025 15:19:30.529</v>
      </c>
      <c r="C5390" t="str">
        <f t="shared" si="2128"/>
        <v>FFDFD3C0</v>
      </c>
      <c r="D5390" t="s">
        <v>140</v>
      </c>
      <c r="E5390" t="str">
        <f>"13"</f>
        <v>13</v>
      </c>
      <c r="F5390">
        <v>1019</v>
      </c>
      <c r="G5390" t="s">
        <v>141</v>
      </c>
      <c r="J5390" t="s">
        <v>142</v>
      </c>
      <c r="K5390">
        <v>0</v>
      </c>
      <c r="L5390">
        <v>3</v>
      </c>
      <c r="M5390">
        <v>0</v>
      </c>
      <c r="N5390">
        <v>2</v>
      </c>
      <c r="O5390">
        <v>0</v>
      </c>
      <c r="P5390">
        <v>1</v>
      </c>
      <c r="Q5390">
        <v>0</v>
      </c>
      <c r="R5390" t="s">
        <v>127</v>
      </c>
      <c r="S5390" t="str">
        <f t="shared" ref="S5390:T5395" si="2136">"15:19:30.000"</f>
        <v>15:19:30.000</v>
      </c>
      <c r="T5390" t="str">
        <f t="shared" si="2136"/>
        <v>15:19:30.000</v>
      </c>
      <c r="U5390" t="str">
        <f t="shared" si="2130"/>
        <v>A68FCB</v>
      </c>
      <c r="V5390">
        <v>0</v>
      </c>
      <c r="W5390">
        <v>0</v>
      </c>
      <c r="X5390">
        <v>2</v>
      </c>
      <c r="Y5390">
        <v>0</v>
      </c>
      <c r="AA5390">
        <v>1</v>
      </c>
      <c r="AB5390">
        <v>8</v>
      </c>
      <c r="AC5390">
        <v>3</v>
      </c>
      <c r="AD5390">
        <v>0</v>
      </c>
      <c r="AE5390">
        <v>9</v>
      </c>
      <c r="AF5390" t="s">
        <v>138</v>
      </c>
      <c r="AG5390">
        <v>0</v>
      </c>
      <c r="AH5390">
        <v>3</v>
      </c>
      <c r="AI5390">
        <v>1</v>
      </c>
      <c r="AJ5390">
        <v>0</v>
      </c>
      <c r="AK5390" t="s">
        <v>1693</v>
      </c>
      <c r="AL5390">
        <v>39.224173999999998</v>
      </c>
      <c r="AM5390" t="s">
        <v>1694</v>
      </c>
      <c r="AN5390">
        <v>-121.025305</v>
      </c>
      <c r="AO5390">
        <v>25</v>
      </c>
      <c r="AP5390">
        <v>3100</v>
      </c>
      <c r="AQ5390" t="s">
        <v>131</v>
      </c>
      <c r="AR5390">
        <v>14</v>
      </c>
      <c r="AS5390">
        <v>-54</v>
      </c>
      <c r="AT5390">
        <v>-576</v>
      </c>
      <c r="BB5390" t="str">
        <f t="shared" si="2131"/>
        <v>1200</v>
      </c>
      <c r="BC5390">
        <v>1</v>
      </c>
      <c r="BD5390" t="str">
        <f t="shared" si="2132"/>
        <v xml:space="preserve">N52156  </v>
      </c>
      <c r="BE5390">
        <v>1</v>
      </c>
      <c r="BG5390">
        <v>0</v>
      </c>
      <c r="BH5390">
        <v>0</v>
      </c>
      <c r="BI5390">
        <v>0</v>
      </c>
      <c r="BJ5390">
        <v>3050</v>
      </c>
      <c r="BK5390">
        <v>-50</v>
      </c>
      <c r="BL5390" t="s">
        <v>188</v>
      </c>
      <c r="BM5390">
        <v>1</v>
      </c>
      <c r="BN5390">
        <v>1</v>
      </c>
      <c r="BO5390">
        <v>0</v>
      </c>
      <c r="BP5390">
        <v>0</v>
      </c>
      <c r="BS5390">
        <v>0</v>
      </c>
      <c r="BT5390">
        <v>0</v>
      </c>
      <c r="BU5390">
        <v>0</v>
      </c>
      <c r="CE5390" t="str">
        <f t="shared" ref="CE5390:CE5395" si="2137">"15:19:30.297"</f>
        <v>15:19:30.297</v>
      </c>
      <c r="CF5390">
        <v>296847846</v>
      </c>
      <c r="CS5390">
        <v>0</v>
      </c>
      <c r="CT5390">
        <v>2</v>
      </c>
      <c r="CU5390">
        <v>0</v>
      </c>
      <c r="CV5390">
        <v>2</v>
      </c>
      <c r="CW5390">
        <v>0</v>
      </c>
      <c r="CX5390">
        <v>1</v>
      </c>
      <c r="CY5390">
        <v>7</v>
      </c>
      <c r="CZ5390" t="s">
        <v>133</v>
      </c>
      <c r="DA5390">
        <v>273</v>
      </c>
      <c r="DB5390">
        <v>0</v>
      </c>
      <c r="DC5390" t="s">
        <v>292</v>
      </c>
      <c r="DD5390" t="s">
        <v>293</v>
      </c>
      <c r="DG5390">
        <v>4868926</v>
      </c>
      <c r="DI5390">
        <v>1</v>
      </c>
      <c r="DJ5390">
        <v>0</v>
      </c>
      <c r="DK5390">
        <v>0</v>
      </c>
      <c r="DL5390">
        <v>0</v>
      </c>
      <c r="DM5390">
        <v>0</v>
      </c>
      <c r="DN5390">
        <v>0</v>
      </c>
      <c r="DO5390">
        <v>0</v>
      </c>
      <c r="DP5390">
        <v>0</v>
      </c>
      <c r="DQ5390">
        <v>0</v>
      </c>
      <c r="DR5390">
        <v>0</v>
      </c>
      <c r="DS5390">
        <v>0</v>
      </c>
    </row>
    <row r="5391" spans="1:123" x14ac:dyDescent="0.3">
      <c r="A5391" t="str">
        <f>"05/01/2025 15:19:30.531"</f>
        <v>05/01/2025 15:19:30.531</v>
      </c>
      <c r="C5391" t="str">
        <f t="shared" si="2128"/>
        <v>FFDFD3C0</v>
      </c>
      <c r="D5391" t="s">
        <v>124</v>
      </c>
      <c r="E5391" t="str">
        <f>"06"</f>
        <v>06</v>
      </c>
      <c r="F5391">
        <v>2006</v>
      </c>
      <c r="G5391" t="s">
        <v>125</v>
      </c>
      <c r="J5391" t="s">
        <v>126</v>
      </c>
      <c r="K5391">
        <v>0</v>
      </c>
      <c r="L5391">
        <v>3</v>
      </c>
      <c r="M5391">
        <v>0</v>
      </c>
      <c r="N5391">
        <v>2</v>
      </c>
      <c r="O5391">
        <v>0</v>
      </c>
      <c r="P5391">
        <v>1</v>
      </c>
      <c r="Q5391">
        <v>0</v>
      </c>
      <c r="R5391" t="s">
        <v>127</v>
      </c>
      <c r="S5391" t="str">
        <f t="shared" si="2136"/>
        <v>15:19:30.000</v>
      </c>
      <c r="T5391" t="str">
        <f t="shared" si="2136"/>
        <v>15:19:30.000</v>
      </c>
      <c r="U5391" t="str">
        <f t="shared" si="2130"/>
        <v>A68FCB</v>
      </c>
      <c r="V5391">
        <v>0</v>
      </c>
      <c r="W5391">
        <v>0</v>
      </c>
      <c r="X5391">
        <v>2</v>
      </c>
      <c r="Y5391">
        <v>0</v>
      </c>
      <c r="AA5391">
        <v>1</v>
      </c>
      <c r="AB5391">
        <v>8</v>
      </c>
      <c r="AC5391">
        <v>3</v>
      </c>
      <c r="AD5391">
        <v>0</v>
      </c>
      <c r="AE5391">
        <v>9</v>
      </c>
      <c r="AF5391" t="s">
        <v>138</v>
      </c>
      <c r="AG5391">
        <v>0</v>
      </c>
      <c r="AH5391">
        <v>3</v>
      </c>
      <c r="AI5391">
        <v>1</v>
      </c>
      <c r="AJ5391">
        <v>0</v>
      </c>
      <c r="AK5391" t="s">
        <v>1693</v>
      </c>
      <c r="AL5391">
        <v>39.224173999999998</v>
      </c>
      <c r="AM5391" t="s">
        <v>1694</v>
      </c>
      <c r="AN5391">
        <v>-121.025305</v>
      </c>
      <c r="AO5391">
        <v>25</v>
      </c>
      <c r="AP5391">
        <v>3100</v>
      </c>
      <c r="AQ5391" t="s">
        <v>131</v>
      </c>
      <c r="AR5391">
        <v>14</v>
      </c>
      <c r="AS5391">
        <v>-54</v>
      </c>
      <c r="AT5391">
        <v>-576</v>
      </c>
      <c r="BB5391" t="str">
        <f t="shared" si="2131"/>
        <v>1200</v>
      </c>
      <c r="BC5391">
        <v>1</v>
      </c>
      <c r="BD5391" t="str">
        <f t="shared" si="2132"/>
        <v xml:space="preserve">N52156  </v>
      </c>
      <c r="BE5391">
        <v>1</v>
      </c>
      <c r="BG5391">
        <v>0</v>
      </c>
      <c r="BH5391">
        <v>0</v>
      </c>
      <c r="BI5391">
        <v>0</v>
      </c>
      <c r="BJ5391">
        <v>3050</v>
      </c>
      <c r="BK5391">
        <v>-50</v>
      </c>
      <c r="BL5391" t="s">
        <v>188</v>
      </c>
      <c r="BM5391">
        <v>1</v>
      </c>
      <c r="BN5391">
        <v>1</v>
      </c>
      <c r="BO5391">
        <v>0</v>
      </c>
      <c r="BP5391">
        <v>0</v>
      </c>
      <c r="BS5391">
        <v>0</v>
      </c>
      <c r="BT5391">
        <v>0</v>
      </c>
      <c r="BU5391">
        <v>0</v>
      </c>
      <c r="CE5391" t="str">
        <f t="shared" si="2137"/>
        <v>15:19:30.297</v>
      </c>
      <c r="CF5391">
        <v>296847846</v>
      </c>
      <c r="CS5391">
        <v>0</v>
      </c>
      <c r="CT5391">
        <v>2</v>
      </c>
      <c r="CU5391">
        <v>0</v>
      </c>
      <c r="CV5391">
        <v>2</v>
      </c>
      <c r="CW5391">
        <v>0</v>
      </c>
      <c r="CX5391">
        <v>1</v>
      </c>
      <c r="CY5391">
        <v>7</v>
      </c>
      <c r="CZ5391" t="s">
        <v>133</v>
      </c>
      <c r="DA5391">
        <v>273</v>
      </c>
      <c r="DB5391">
        <v>0</v>
      </c>
      <c r="DC5391" t="s">
        <v>292</v>
      </c>
      <c r="DD5391" t="s">
        <v>293</v>
      </c>
      <c r="DG5391">
        <v>4868926</v>
      </c>
      <c r="DI5391">
        <v>1</v>
      </c>
      <c r="DJ5391">
        <v>0</v>
      </c>
      <c r="DK5391">
        <v>1</v>
      </c>
      <c r="DL5391">
        <v>0</v>
      </c>
      <c r="DM5391">
        <v>0</v>
      </c>
      <c r="DN5391">
        <v>0</v>
      </c>
      <c r="DO5391">
        <v>0</v>
      </c>
      <c r="DP5391">
        <v>0</v>
      </c>
      <c r="DQ5391">
        <v>0</v>
      </c>
      <c r="DR5391">
        <v>0</v>
      </c>
      <c r="DS5391">
        <v>0</v>
      </c>
    </row>
    <row r="5392" spans="1:123" x14ac:dyDescent="0.3">
      <c r="A5392" t="str">
        <f>"05/01/2025 15:19:30.547"</f>
        <v>05/01/2025 15:19:30.547</v>
      </c>
      <c r="C5392" t="str">
        <f t="shared" si="2128"/>
        <v>FFDFD3C0</v>
      </c>
      <c r="D5392" t="s">
        <v>143</v>
      </c>
      <c r="E5392" t="str">
        <f>"05"</f>
        <v>05</v>
      </c>
      <c r="H5392">
        <v>172</v>
      </c>
      <c r="I5392" t="s">
        <v>141</v>
      </c>
      <c r="J5392" t="s">
        <v>144</v>
      </c>
      <c r="K5392">
        <v>0</v>
      </c>
      <c r="L5392">
        <v>3</v>
      </c>
      <c r="M5392">
        <v>0</v>
      </c>
      <c r="N5392">
        <v>2</v>
      </c>
      <c r="O5392">
        <v>0</v>
      </c>
      <c r="P5392">
        <v>1</v>
      </c>
      <c r="Q5392">
        <v>0</v>
      </c>
      <c r="R5392" t="s">
        <v>127</v>
      </c>
      <c r="S5392" t="str">
        <f t="shared" si="2136"/>
        <v>15:19:30.000</v>
      </c>
      <c r="T5392" t="str">
        <f t="shared" si="2136"/>
        <v>15:19:30.000</v>
      </c>
      <c r="U5392" t="str">
        <f t="shared" si="2130"/>
        <v>A68FCB</v>
      </c>
      <c r="V5392">
        <v>0</v>
      </c>
      <c r="W5392">
        <v>0</v>
      </c>
      <c r="X5392">
        <v>2</v>
      </c>
      <c r="Y5392">
        <v>0</v>
      </c>
      <c r="AA5392">
        <v>1</v>
      </c>
      <c r="AB5392">
        <v>8</v>
      </c>
      <c r="AC5392">
        <v>3</v>
      </c>
      <c r="AD5392">
        <v>0</v>
      </c>
      <c r="AE5392">
        <v>9</v>
      </c>
      <c r="AF5392" t="s">
        <v>138</v>
      </c>
      <c r="AG5392">
        <v>0</v>
      </c>
      <c r="AH5392">
        <v>3</v>
      </c>
      <c r="AI5392">
        <v>1</v>
      </c>
      <c r="AJ5392">
        <v>0</v>
      </c>
      <c r="AK5392" t="s">
        <v>1693</v>
      </c>
      <c r="AL5392">
        <v>39.224173999999998</v>
      </c>
      <c r="AM5392" t="s">
        <v>1694</v>
      </c>
      <c r="AN5392">
        <v>-121.025305</v>
      </c>
      <c r="AO5392">
        <v>25</v>
      </c>
      <c r="AP5392">
        <v>3100</v>
      </c>
      <c r="AQ5392" t="s">
        <v>131</v>
      </c>
      <c r="AR5392">
        <v>14</v>
      </c>
      <c r="AS5392">
        <v>-54</v>
      </c>
      <c r="AT5392">
        <v>-576</v>
      </c>
      <c r="BB5392" t="str">
        <f t="shared" si="2131"/>
        <v>1200</v>
      </c>
      <c r="BC5392">
        <v>1</v>
      </c>
      <c r="BD5392" t="str">
        <f t="shared" si="2132"/>
        <v xml:space="preserve">N52156  </v>
      </c>
      <c r="BE5392">
        <v>1</v>
      </c>
      <c r="BG5392">
        <v>0</v>
      </c>
      <c r="BH5392">
        <v>0</v>
      </c>
      <c r="BI5392">
        <v>0</v>
      </c>
      <c r="BJ5392">
        <v>3050</v>
      </c>
      <c r="BK5392">
        <v>-50</v>
      </c>
      <c r="BL5392" t="s">
        <v>188</v>
      </c>
      <c r="BM5392">
        <v>1</v>
      </c>
      <c r="BN5392">
        <v>1</v>
      </c>
      <c r="BO5392">
        <v>0</v>
      </c>
      <c r="BP5392">
        <v>0</v>
      </c>
      <c r="BS5392">
        <v>0</v>
      </c>
      <c r="BT5392">
        <v>0</v>
      </c>
      <c r="BU5392">
        <v>0</v>
      </c>
      <c r="CE5392" t="str">
        <f t="shared" si="2137"/>
        <v>15:19:30.297</v>
      </c>
      <c r="CF5392">
        <v>296847846</v>
      </c>
      <c r="CS5392">
        <v>0</v>
      </c>
      <c r="CT5392">
        <v>2</v>
      </c>
      <c r="CU5392">
        <v>0</v>
      </c>
      <c r="CV5392">
        <v>2</v>
      </c>
      <c r="CW5392">
        <v>0</v>
      </c>
      <c r="CX5392">
        <v>1</v>
      </c>
      <c r="CY5392">
        <v>7</v>
      </c>
      <c r="CZ5392" t="s">
        <v>133</v>
      </c>
      <c r="DA5392">
        <v>273</v>
      </c>
      <c r="DB5392">
        <v>0</v>
      </c>
      <c r="DC5392" t="s">
        <v>292</v>
      </c>
      <c r="DD5392" t="s">
        <v>293</v>
      </c>
      <c r="DG5392">
        <v>4868926</v>
      </c>
      <c r="DI5392">
        <v>1</v>
      </c>
      <c r="DJ5392">
        <v>0</v>
      </c>
      <c r="DK5392">
        <v>1</v>
      </c>
      <c r="DL5392">
        <v>0</v>
      </c>
      <c r="DM5392">
        <v>0</v>
      </c>
      <c r="DN5392">
        <v>0</v>
      </c>
      <c r="DO5392">
        <v>0</v>
      </c>
      <c r="DP5392">
        <v>0</v>
      </c>
      <c r="DQ5392">
        <v>0</v>
      </c>
      <c r="DR5392">
        <v>0</v>
      </c>
      <c r="DS5392">
        <v>0</v>
      </c>
    </row>
    <row r="5393" spans="1:123" x14ac:dyDescent="0.3">
      <c r="A5393" t="str">
        <f>"05/01/2025 15:19:30.556"</f>
        <v>05/01/2025 15:19:30.556</v>
      </c>
      <c r="C5393" t="str">
        <f t="shared" si="2128"/>
        <v>FFDFD3C0</v>
      </c>
      <c r="D5393" t="s">
        <v>145</v>
      </c>
      <c r="E5393" t="str">
        <f>"09"</f>
        <v>09</v>
      </c>
      <c r="H5393">
        <v>51</v>
      </c>
      <c r="I5393" t="s">
        <v>147</v>
      </c>
      <c r="J5393" t="s">
        <v>138</v>
      </c>
      <c r="K5393">
        <v>0</v>
      </c>
      <c r="L5393">
        <v>3</v>
      </c>
      <c r="M5393">
        <v>0</v>
      </c>
      <c r="N5393">
        <v>2</v>
      </c>
      <c r="O5393">
        <v>0</v>
      </c>
      <c r="P5393">
        <v>1</v>
      </c>
      <c r="Q5393">
        <v>0</v>
      </c>
      <c r="R5393" t="s">
        <v>127</v>
      </c>
      <c r="S5393" t="str">
        <f t="shared" si="2136"/>
        <v>15:19:30.000</v>
      </c>
      <c r="T5393" t="str">
        <f t="shared" si="2136"/>
        <v>15:19:30.000</v>
      </c>
      <c r="U5393" t="str">
        <f t="shared" si="2130"/>
        <v>A68FCB</v>
      </c>
      <c r="V5393">
        <v>0</v>
      </c>
      <c r="W5393">
        <v>0</v>
      </c>
      <c r="X5393">
        <v>2</v>
      </c>
      <c r="Y5393">
        <v>0</v>
      </c>
      <c r="AA5393">
        <v>1</v>
      </c>
      <c r="AB5393">
        <v>8</v>
      </c>
      <c r="AC5393">
        <v>3</v>
      </c>
      <c r="AD5393">
        <v>0</v>
      </c>
      <c r="AE5393">
        <v>9</v>
      </c>
      <c r="AF5393" t="s">
        <v>138</v>
      </c>
      <c r="AG5393">
        <v>0</v>
      </c>
      <c r="AH5393">
        <v>3</v>
      </c>
      <c r="AI5393">
        <v>1</v>
      </c>
      <c r="AJ5393">
        <v>0</v>
      </c>
      <c r="AK5393" t="s">
        <v>1693</v>
      </c>
      <c r="AL5393">
        <v>39.224173999999998</v>
      </c>
      <c r="AM5393" t="s">
        <v>1694</v>
      </c>
      <c r="AN5393">
        <v>-121.025305</v>
      </c>
      <c r="AO5393">
        <v>25</v>
      </c>
      <c r="AP5393">
        <v>3100</v>
      </c>
      <c r="AQ5393" t="s">
        <v>131</v>
      </c>
      <c r="AR5393">
        <v>14</v>
      </c>
      <c r="AS5393">
        <v>-54</v>
      </c>
      <c r="AT5393">
        <v>-576</v>
      </c>
      <c r="BB5393" t="str">
        <f t="shared" si="2131"/>
        <v>1200</v>
      </c>
      <c r="BC5393">
        <v>1</v>
      </c>
      <c r="BD5393" t="str">
        <f t="shared" si="2132"/>
        <v xml:space="preserve">N52156  </v>
      </c>
      <c r="BE5393">
        <v>1</v>
      </c>
      <c r="BG5393">
        <v>0</v>
      </c>
      <c r="BH5393">
        <v>0</v>
      </c>
      <c r="BI5393">
        <v>0</v>
      </c>
      <c r="BJ5393">
        <v>3050</v>
      </c>
      <c r="BK5393">
        <v>-50</v>
      </c>
      <c r="BL5393" t="s">
        <v>188</v>
      </c>
      <c r="BM5393">
        <v>1</v>
      </c>
      <c r="BN5393">
        <v>1</v>
      </c>
      <c r="BO5393">
        <v>0</v>
      </c>
      <c r="BP5393">
        <v>0</v>
      </c>
      <c r="BS5393">
        <v>0</v>
      </c>
      <c r="BT5393">
        <v>0</v>
      </c>
      <c r="BU5393">
        <v>0</v>
      </c>
      <c r="CE5393" t="str">
        <f t="shared" si="2137"/>
        <v>15:19:30.297</v>
      </c>
      <c r="CF5393">
        <v>296847846</v>
      </c>
      <c r="CS5393">
        <v>0</v>
      </c>
      <c r="CT5393">
        <v>2</v>
      </c>
      <c r="CU5393">
        <v>0</v>
      </c>
      <c r="CV5393">
        <v>2</v>
      </c>
      <c r="CW5393">
        <v>0</v>
      </c>
      <c r="CX5393">
        <v>1</v>
      </c>
      <c r="CY5393">
        <v>7</v>
      </c>
      <c r="CZ5393" t="s">
        <v>133</v>
      </c>
      <c r="DA5393">
        <v>273</v>
      </c>
      <c r="DB5393">
        <v>0</v>
      </c>
      <c r="DC5393" t="s">
        <v>292</v>
      </c>
      <c r="DD5393" t="s">
        <v>293</v>
      </c>
      <c r="DG5393">
        <v>4868926</v>
      </c>
      <c r="DI5393">
        <v>1</v>
      </c>
      <c r="DJ5393">
        <v>0</v>
      </c>
      <c r="DK5393">
        <v>1</v>
      </c>
      <c r="DL5393">
        <v>0</v>
      </c>
      <c r="DM5393">
        <v>0</v>
      </c>
      <c r="DN5393">
        <v>0</v>
      </c>
      <c r="DO5393">
        <v>0</v>
      </c>
      <c r="DP5393">
        <v>0</v>
      </c>
      <c r="DQ5393">
        <v>0</v>
      </c>
      <c r="DR5393">
        <v>0</v>
      </c>
      <c r="DS5393">
        <v>0</v>
      </c>
    </row>
    <row r="5394" spans="1:123" x14ac:dyDescent="0.3">
      <c r="A5394" t="str">
        <f>"05/01/2025 15:19:30.557"</f>
        <v>05/01/2025 15:19:30.557</v>
      </c>
      <c r="C5394" t="str">
        <f t="shared" si="2128"/>
        <v>FFDFD3C0</v>
      </c>
      <c r="D5394" t="s">
        <v>145</v>
      </c>
      <c r="E5394" t="str">
        <f>"05"</f>
        <v>05</v>
      </c>
      <c r="H5394">
        <v>47</v>
      </c>
      <c r="I5394" t="s">
        <v>146</v>
      </c>
      <c r="J5394" t="s">
        <v>138</v>
      </c>
      <c r="K5394">
        <v>0</v>
      </c>
      <c r="L5394">
        <v>3</v>
      </c>
      <c r="M5394">
        <v>0</v>
      </c>
      <c r="N5394">
        <v>2</v>
      </c>
      <c r="O5394">
        <v>0</v>
      </c>
      <c r="P5394">
        <v>1</v>
      </c>
      <c r="Q5394">
        <v>0</v>
      </c>
      <c r="R5394" t="s">
        <v>127</v>
      </c>
      <c r="S5394" t="str">
        <f t="shared" si="2136"/>
        <v>15:19:30.000</v>
      </c>
      <c r="T5394" t="str">
        <f t="shared" si="2136"/>
        <v>15:19:30.000</v>
      </c>
      <c r="U5394" t="str">
        <f t="shared" si="2130"/>
        <v>A68FCB</v>
      </c>
      <c r="V5394">
        <v>0</v>
      </c>
      <c r="W5394">
        <v>0</v>
      </c>
      <c r="X5394">
        <v>2</v>
      </c>
      <c r="Y5394">
        <v>0</v>
      </c>
      <c r="AA5394">
        <v>1</v>
      </c>
      <c r="AB5394">
        <v>8</v>
      </c>
      <c r="AC5394">
        <v>3</v>
      </c>
      <c r="AD5394">
        <v>0</v>
      </c>
      <c r="AE5394">
        <v>9</v>
      </c>
      <c r="AF5394" t="s">
        <v>138</v>
      </c>
      <c r="AG5394">
        <v>0</v>
      </c>
      <c r="AH5394">
        <v>3</v>
      </c>
      <c r="AI5394">
        <v>1</v>
      </c>
      <c r="AJ5394">
        <v>0</v>
      </c>
      <c r="AK5394" t="s">
        <v>1693</v>
      </c>
      <c r="AL5394">
        <v>39.224173999999998</v>
      </c>
      <c r="AM5394" t="s">
        <v>1694</v>
      </c>
      <c r="AN5394">
        <v>-121.025305</v>
      </c>
      <c r="AO5394">
        <v>25</v>
      </c>
      <c r="AP5394">
        <v>3100</v>
      </c>
      <c r="AQ5394" t="s">
        <v>131</v>
      </c>
      <c r="AR5394">
        <v>14</v>
      </c>
      <c r="AS5394">
        <v>-54</v>
      </c>
      <c r="AT5394">
        <v>-576</v>
      </c>
      <c r="BB5394" t="str">
        <f t="shared" si="2131"/>
        <v>1200</v>
      </c>
      <c r="BC5394">
        <v>1</v>
      </c>
      <c r="BD5394" t="str">
        <f t="shared" si="2132"/>
        <v xml:space="preserve">N52156  </v>
      </c>
      <c r="BE5394">
        <v>1</v>
      </c>
      <c r="BG5394">
        <v>0</v>
      </c>
      <c r="BH5394">
        <v>0</v>
      </c>
      <c r="BI5394">
        <v>0</v>
      </c>
      <c r="BJ5394">
        <v>3050</v>
      </c>
      <c r="BK5394">
        <v>-50</v>
      </c>
      <c r="BL5394" t="s">
        <v>188</v>
      </c>
      <c r="BM5394">
        <v>1</v>
      </c>
      <c r="BN5394">
        <v>1</v>
      </c>
      <c r="BO5394">
        <v>0</v>
      </c>
      <c r="BP5394">
        <v>0</v>
      </c>
      <c r="BS5394">
        <v>0</v>
      </c>
      <c r="BT5394">
        <v>0</v>
      </c>
      <c r="BU5394">
        <v>0</v>
      </c>
      <c r="CE5394" t="str">
        <f t="shared" si="2137"/>
        <v>15:19:30.297</v>
      </c>
      <c r="CF5394">
        <v>296847846</v>
      </c>
      <c r="CS5394">
        <v>0</v>
      </c>
      <c r="CT5394">
        <v>2</v>
      </c>
      <c r="CU5394">
        <v>0</v>
      </c>
      <c r="CV5394">
        <v>2</v>
      </c>
      <c r="CW5394">
        <v>0</v>
      </c>
      <c r="CX5394">
        <v>1</v>
      </c>
      <c r="CY5394">
        <v>7</v>
      </c>
      <c r="CZ5394" t="s">
        <v>133</v>
      </c>
      <c r="DA5394">
        <v>273</v>
      </c>
      <c r="DB5394">
        <v>0</v>
      </c>
      <c r="DC5394" t="s">
        <v>292</v>
      </c>
      <c r="DD5394" t="s">
        <v>293</v>
      </c>
      <c r="DG5394">
        <v>4868926</v>
      </c>
      <c r="DI5394">
        <v>1</v>
      </c>
      <c r="DJ5394">
        <v>0</v>
      </c>
      <c r="DK5394">
        <v>1</v>
      </c>
      <c r="DL5394">
        <v>0</v>
      </c>
      <c r="DM5394">
        <v>0</v>
      </c>
      <c r="DN5394">
        <v>0</v>
      </c>
      <c r="DO5394">
        <v>0</v>
      </c>
      <c r="DP5394">
        <v>0</v>
      </c>
      <c r="DQ5394">
        <v>0</v>
      </c>
      <c r="DR5394">
        <v>0</v>
      </c>
      <c r="DS5394">
        <v>0</v>
      </c>
    </row>
    <row r="5395" spans="1:123" x14ac:dyDescent="0.3">
      <c r="A5395" t="str">
        <f>"05/01/2025 15:19:30.564"</f>
        <v>05/01/2025 15:19:30.564</v>
      </c>
      <c r="C5395" t="str">
        <f t="shared" si="2128"/>
        <v>FFDFD3C0</v>
      </c>
      <c r="D5395" t="s">
        <v>136</v>
      </c>
      <c r="E5395" t="str">
        <f>"20"</f>
        <v>20</v>
      </c>
      <c r="H5395">
        <v>400</v>
      </c>
      <c r="I5395" t="s">
        <v>137</v>
      </c>
      <c r="J5395" t="s">
        <v>138</v>
      </c>
      <c r="K5395">
        <v>0</v>
      </c>
      <c r="L5395">
        <v>3</v>
      </c>
      <c r="M5395">
        <v>0</v>
      </c>
      <c r="N5395">
        <v>2</v>
      </c>
      <c r="O5395">
        <v>0</v>
      </c>
      <c r="P5395">
        <v>1</v>
      </c>
      <c r="Q5395">
        <v>0</v>
      </c>
      <c r="R5395" t="s">
        <v>127</v>
      </c>
      <c r="S5395" t="str">
        <f t="shared" si="2136"/>
        <v>15:19:30.000</v>
      </c>
      <c r="T5395" t="str">
        <f t="shared" si="2136"/>
        <v>15:19:30.000</v>
      </c>
      <c r="U5395" t="str">
        <f t="shared" si="2130"/>
        <v>A68FCB</v>
      </c>
      <c r="V5395">
        <v>0</v>
      </c>
      <c r="W5395">
        <v>0</v>
      </c>
      <c r="X5395">
        <v>2</v>
      </c>
      <c r="Y5395">
        <v>0</v>
      </c>
      <c r="AA5395">
        <v>1</v>
      </c>
      <c r="AB5395">
        <v>8</v>
      </c>
      <c r="AC5395">
        <v>3</v>
      </c>
      <c r="AD5395">
        <v>0</v>
      </c>
      <c r="AE5395">
        <v>9</v>
      </c>
      <c r="AF5395" t="s">
        <v>138</v>
      </c>
      <c r="AG5395">
        <v>0</v>
      </c>
      <c r="AH5395">
        <v>3</v>
      </c>
      <c r="AI5395">
        <v>1</v>
      </c>
      <c r="AJ5395">
        <v>0</v>
      </c>
      <c r="AK5395" t="s">
        <v>1693</v>
      </c>
      <c r="AL5395">
        <v>39.224173999999998</v>
      </c>
      <c r="AM5395" t="s">
        <v>1694</v>
      </c>
      <c r="AN5395">
        <v>-121.025305</v>
      </c>
      <c r="AO5395">
        <v>25</v>
      </c>
      <c r="AP5395">
        <v>3100</v>
      </c>
      <c r="AQ5395" t="s">
        <v>131</v>
      </c>
      <c r="AR5395">
        <v>14</v>
      </c>
      <c r="AS5395">
        <v>-54</v>
      </c>
      <c r="AT5395">
        <v>-576</v>
      </c>
      <c r="BB5395" t="str">
        <f t="shared" si="2131"/>
        <v>1200</v>
      </c>
      <c r="BC5395">
        <v>1</v>
      </c>
      <c r="BD5395" t="str">
        <f t="shared" si="2132"/>
        <v xml:space="preserve">N52156  </v>
      </c>
      <c r="BE5395">
        <v>1</v>
      </c>
      <c r="BG5395">
        <v>0</v>
      </c>
      <c r="BH5395">
        <v>0</v>
      </c>
      <c r="BI5395">
        <v>0</v>
      </c>
      <c r="BJ5395">
        <v>3050</v>
      </c>
      <c r="BK5395">
        <v>-50</v>
      </c>
      <c r="BL5395" t="s">
        <v>188</v>
      </c>
      <c r="BM5395">
        <v>1</v>
      </c>
      <c r="BN5395">
        <v>1</v>
      </c>
      <c r="BO5395">
        <v>0</v>
      </c>
      <c r="BP5395">
        <v>0</v>
      </c>
      <c r="BS5395">
        <v>0</v>
      </c>
      <c r="BT5395">
        <v>0</v>
      </c>
      <c r="BU5395">
        <v>0</v>
      </c>
      <c r="CE5395" t="str">
        <f t="shared" si="2137"/>
        <v>15:19:30.297</v>
      </c>
      <c r="CF5395">
        <v>296847846</v>
      </c>
      <c r="CS5395">
        <v>0</v>
      </c>
      <c r="CT5395">
        <v>2</v>
      </c>
      <c r="CU5395">
        <v>0</v>
      </c>
      <c r="CV5395">
        <v>2</v>
      </c>
      <c r="CW5395">
        <v>0</v>
      </c>
      <c r="CX5395">
        <v>1</v>
      </c>
      <c r="CY5395">
        <v>7</v>
      </c>
      <c r="CZ5395" t="s">
        <v>133</v>
      </c>
      <c r="DA5395">
        <v>273</v>
      </c>
      <c r="DB5395">
        <v>0</v>
      </c>
      <c r="DC5395" t="s">
        <v>292</v>
      </c>
      <c r="DD5395" t="s">
        <v>293</v>
      </c>
      <c r="DG5395">
        <v>4868926</v>
      </c>
      <c r="DI5395">
        <v>1</v>
      </c>
      <c r="DJ5395">
        <v>0</v>
      </c>
      <c r="DK5395">
        <v>1</v>
      </c>
      <c r="DL5395">
        <v>0</v>
      </c>
      <c r="DM5395">
        <v>0</v>
      </c>
      <c r="DN5395">
        <v>0</v>
      </c>
      <c r="DO5395">
        <v>0</v>
      </c>
      <c r="DP5395">
        <v>0</v>
      </c>
      <c r="DQ5395">
        <v>0</v>
      </c>
      <c r="DR5395">
        <v>0</v>
      </c>
      <c r="DS5395">
        <v>0</v>
      </c>
    </row>
    <row r="5396" spans="1:123" x14ac:dyDescent="0.3">
      <c r="A5396" t="str">
        <f>"05/01/2025 15:19:31.899"</f>
        <v>05/01/2025 15:19:31.899</v>
      </c>
      <c r="C5396" t="str">
        <f t="shared" si="2128"/>
        <v>FFDFD3C0</v>
      </c>
      <c r="D5396" t="s">
        <v>143</v>
      </c>
      <c r="E5396" t="str">
        <f>"05"</f>
        <v>05</v>
      </c>
      <c r="H5396">
        <v>172</v>
      </c>
      <c r="I5396" t="s">
        <v>141</v>
      </c>
      <c r="J5396" t="s">
        <v>144</v>
      </c>
      <c r="K5396">
        <v>0</v>
      </c>
      <c r="L5396">
        <v>3</v>
      </c>
      <c r="M5396">
        <v>0</v>
      </c>
      <c r="N5396">
        <v>2</v>
      </c>
      <c r="O5396">
        <v>0</v>
      </c>
      <c r="P5396">
        <v>1</v>
      </c>
      <c r="Q5396">
        <v>0</v>
      </c>
      <c r="R5396" t="s">
        <v>127</v>
      </c>
      <c r="S5396" t="str">
        <f t="shared" ref="S5396:T5401" si="2138">"15:19:31.000"</f>
        <v>15:19:31.000</v>
      </c>
      <c r="T5396" t="str">
        <f t="shared" si="2138"/>
        <v>15:19:31.000</v>
      </c>
      <c r="U5396" t="str">
        <f t="shared" si="2130"/>
        <v>A68FCB</v>
      </c>
      <c r="V5396">
        <v>0</v>
      </c>
      <c r="W5396">
        <v>0</v>
      </c>
      <c r="X5396">
        <v>2</v>
      </c>
      <c r="Y5396">
        <v>0</v>
      </c>
      <c r="AA5396">
        <v>1</v>
      </c>
      <c r="AB5396">
        <v>8</v>
      </c>
      <c r="AC5396">
        <v>3</v>
      </c>
      <c r="AD5396">
        <v>0</v>
      </c>
      <c r="AE5396">
        <v>9</v>
      </c>
      <c r="AF5396" t="s">
        <v>138</v>
      </c>
      <c r="AG5396">
        <v>0</v>
      </c>
      <c r="AH5396">
        <v>3</v>
      </c>
      <c r="AI5396">
        <v>1</v>
      </c>
      <c r="AJ5396">
        <v>0</v>
      </c>
      <c r="AK5396" t="s">
        <v>1521</v>
      </c>
      <c r="AL5396">
        <v>39.223917</v>
      </c>
      <c r="AM5396" t="s">
        <v>1695</v>
      </c>
      <c r="AN5396">
        <v>-121.02521900000001</v>
      </c>
      <c r="AO5396">
        <v>25</v>
      </c>
      <c r="AP5396">
        <v>3100</v>
      </c>
      <c r="AQ5396" t="s">
        <v>131</v>
      </c>
      <c r="AR5396">
        <v>4</v>
      </c>
      <c r="AS5396">
        <v>-58</v>
      </c>
      <c r="AT5396">
        <v>-640</v>
      </c>
      <c r="BB5396" t="str">
        <f t="shared" si="2131"/>
        <v>1200</v>
      </c>
      <c r="BC5396">
        <v>1</v>
      </c>
      <c r="BD5396" t="str">
        <f t="shared" si="2132"/>
        <v xml:space="preserve">N52156  </v>
      </c>
      <c r="BE5396">
        <v>1</v>
      </c>
      <c r="BG5396">
        <v>0</v>
      </c>
      <c r="BH5396">
        <v>0</v>
      </c>
      <c r="BI5396">
        <v>0</v>
      </c>
      <c r="BJ5396">
        <v>3050</v>
      </c>
      <c r="BK5396">
        <v>-50</v>
      </c>
      <c r="BL5396" t="s">
        <v>188</v>
      </c>
      <c r="BM5396">
        <v>1</v>
      </c>
      <c r="BN5396">
        <v>1</v>
      </c>
      <c r="BO5396">
        <v>0</v>
      </c>
      <c r="BP5396">
        <v>0</v>
      </c>
      <c r="BS5396">
        <v>0</v>
      </c>
      <c r="BT5396">
        <v>0</v>
      </c>
      <c r="BU5396">
        <v>0</v>
      </c>
      <c r="CE5396" t="str">
        <f t="shared" ref="CE5396:CE5401" si="2139">"15:19:31.699"</f>
        <v>15:19:31.699</v>
      </c>
      <c r="CF5396">
        <v>698754584</v>
      </c>
      <c r="CS5396">
        <v>0</v>
      </c>
      <c r="CT5396">
        <v>2</v>
      </c>
      <c r="CU5396">
        <v>0</v>
      </c>
      <c r="CV5396">
        <v>2</v>
      </c>
      <c r="CW5396">
        <v>0</v>
      </c>
      <c r="CX5396">
        <v>1</v>
      </c>
      <c r="CY5396">
        <v>7</v>
      </c>
      <c r="CZ5396" t="s">
        <v>133</v>
      </c>
      <c r="DA5396">
        <v>275</v>
      </c>
      <c r="DB5396">
        <v>0</v>
      </c>
      <c r="DC5396" t="s">
        <v>134</v>
      </c>
      <c r="DD5396" t="s">
        <v>135</v>
      </c>
      <c r="DG5396">
        <v>3323886</v>
      </c>
      <c r="DI5396">
        <v>1</v>
      </c>
      <c r="DJ5396">
        <v>0</v>
      </c>
      <c r="DK5396">
        <v>0</v>
      </c>
      <c r="DL5396">
        <v>0</v>
      </c>
      <c r="DM5396">
        <v>0</v>
      </c>
      <c r="DN5396">
        <v>0</v>
      </c>
      <c r="DO5396">
        <v>0</v>
      </c>
      <c r="DP5396">
        <v>0</v>
      </c>
      <c r="DQ5396">
        <v>0</v>
      </c>
      <c r="DR5396">
        <v>0</v>
      </c>
      <c r="DS5396">
        <v>0</v>
      </c>
    </row>
    <row r="5397" spans="1:123" x14ac:dyDescent="0.3">
      <c r="A5397" t="str">
        <f>"05/01/2025 15:19:31.908"</f>
        <v>05/01/2025 15:19:31.908</v>
      </c>
      <c r="C5397" t="str">
        <f t="shared" si="2128"/>
        <v>FFDFD3C0</v>
      </c>
      <c r="D5397" t="s">
        <v>145</v>
      </c>
      <c r="E5397" t="str">
        <f>"09"</f>
        <v>09</v>
      </c>
      <c r="H5397">
        <v>51</v>
      </c>
      <c r="I5397" t="s">
        <v>147</v>
      </c>
      <c r="J5397" t="s">
        <v>138</v>
      </c>
      <c r="K5397">
        <v>0</v>
      </c>
      <c r="L5397">
        <v>3</v>
      </c>
      <c r="M5397">
        <v>0</v>
      </c>
      <c r="N5397">
        <v>2</v>
      </c>
      <c r="O5397">
        <v>0</v>
      </c>
      <c r="P5397">
        <v>1</v>
      </c>
      <c r="Q5397">
        <v>0</v>
      </c>
      <c r="R5397" t="s">
        <v>127</v>
      </c>
      <c r="S5397" t="str">
        <f t="shared" si="2138"/>
        <v>15:19:31.000</v>
      </c>
      <c r="T5397" t="str">
        <f t="shared" si="2138"/>
        <v>15:19:31.000</v>
      </c>
      <c r="U5397" t="str">
        <f t="shared" si="2130"/>
        <v>A68FCB</v>
      </c>
      <c r="V5397">
        <v>0</v>
      </c>
      <c r="W5397">
        <v>0</v>
      </c>
      <c r="X5397">
        <v>2</v>
      </c>
      <c r="Y5397">
        <v>0</v>
      </c>
      <c r="AA5397">
        <v>1</v>
      </c>
      <c r="AB5397">
        <v>8</v>
      </c>
      <c r="AC5397">
        <v>3</v>
      </c>
      <c r="AD5397">
        <v>0</v>
      </c>
      <c r="AE5397">
        <v>9</v>
      </c>
      <c r="AF5397" t="s">
        <v>138</v>
      </c>
      <c r="AG5397">
        <v>0</v>
      </c>
      <c r="AH5397">
        <v>3</v>
      </c>
      <c r="AI5397">
        <v>1</v>
      </c>
      <c r="AJ5397">
        <v>0</v>
      </c>
      <c r="AK5397" t="s">
        <v>1521</v>
      </c>
      <c r="AL5397">
        <v>39.223917</v>
      </c>
      <c r="AM5397" t="s">
        <v>1695</v>
      </c>
      <c r="AN5397">
        <v>-121.02521900000001</v>
      </c>
      <c r="AO5397">
        <v>25</v>
      </c>
      <c r="AP5397">
        <v>3100</v>
      </c>
      <c r="AQ5397" t="s">
        <v>131</v>
      </c>
      <c r="AR5397">
        <v>4</v>
      </c>
      <c r="AS5397">
        <v>-58</v>
      </c>
      <c r="AT5397">
        <v>-640</v>
      </c>
      <c r="BB5397" t="str">
        <f t="shared" si="2131"/>
        <v>1200</v>
      </c>
      <c r="BC5397">
        <v>1</v>
      </c>
      <c r="BD5397" t="str">
        <f t="shared" si="2132"/>
        <v xml:space="preserve">N52156  </v>
      </c>
      <c r="BE5397">
        <v>1</v>
      </c>
      <c r="BG5397">
        <v>0</v>
      </c>
      <c r="BH5397">
        <v>0</v>
      </c>
      <c r="BI5397">
        <v>0</v>
      </c>
      <c r="BJ5397">
        <v>3050</v>
      </c>
      <c r="BK5397">
        <v>-50</v>
      </c>
      <c r="BL5397" t="s">
        <v>188</v>
      </c>
      <c r="BM5397">
        <v>1</v>
      </c>
      <c r="BN5397">
        <v>1</v>
      </c>
      <c r="BO5397">
        <v>0</v>
      </c>
      <c r="BP5397">
        <v>0</v>
      </c>
      <c r="BS5397">
        <v>0</v>
      </c>
      <c r="BT5397">
        <v>0</v>
      </c>
      <c r="BU5397">
        <v>0</v>
      </c>
      <c r="CE5397" t="str">
        <f t="shared" si="2139"/>
        <v>15:19:31.699</v>
      </c>
      <c r="CF5397">
        <v>698754584</v>
      </c>
      <c r="CS5397">
        <v>0</v>
      </c>
      <c r="CT5397">
        <v>2</v>
      </c>
      <c r="CU5397">
        <v>0</v>
      </c>
      <c r="CV5397">
        <v>2</v>
      </c>
      <c r="CW5397">
        <v>0</v>
      </c>
      <c r="CX5397">
        <v>1</v>
      </c>
      <c r="CY5397">
        <v>7</v>
      </c>
      <c r="CZ5397" t="s">
        <v>133</v>
      </c>
      <c r="DA5397">
        <v>275</v>
      </c>
      <c r="DB5397">
        <v>0</v>
      </c>
      <c r="DC5397" t="s">
        <v>134</v>
      </c>
      <c r="DD5397" t="s">
        <v>135</v>
      </c>
      <c r="DG5397">
        <v>3323886</v>
      </c>
      <c r="DI5397">
        <v>1</v>
      </c>
      <c r="DJ5397">
        <v>0</v>
      </c>
      <c r="DK5397">
        <v>1</v>
      </c>
      <c r="DL5397">
        <v>0</v>
      </c>
      <c r="DM5397">
        <v>0</v>
      </c>
      <c r="DN5397">
        <v>0</v>
      </c>
      <c r="DO5397">
        <v>0</v>
      </c>
      <c r="DP5397">
        <v>0</v>
      </c>
      <c r="DQ5397">
        <v>0</v>
      </c>
      <c r="DR5397">
        <v>0</v>
      </c>
      <c r="DS5397">
        <v>0</v>
      </c>
    </row>
    <row r="5398" spans="1:123" x14ac:dyDescent="0.3">
      <c r="A5398" t="str">
        <f>"05/01/2025 15:19:31.909"</f>
        <v>05/01/2025 15:19:31.909</v>
      </c>
      <c r="C5398" t="str">
        <f t="shared" si="2128"/>
        <v>FFDFD3C0</v>
      </c>
      <c r="D5398" t="s">
        <v>145</v>
      </c>
      <c r="E5398" t="str">
        <f>"05"</f>
        <v>05</v>
      </c>
      <c r="H5398">
        <v>47</v>
      </c>
      <c r="I5398" t="s">
        <v>146</v>
      </c>
      <c r="J5398" t="s">
        <v>138</v>
      </c>
      <c r="K5398">
        <v>0</v>
      </c>
      <c r="L5398">
        <v>3</v>
      </c>
      <c r="M5398">
        <v>0</v>
      </c>
      <c r="N5398">
        <v>2</v>
      </c>
      <c r="O5398">
        <v>0</v>
      </c>
      <c r="P5398">
        <v>1</v>
      </c>
      <c r="Q5398">
        <v>0</v>
      </c>
      <c r="R5398" t="s">
        <v>127</v>
      </c>
      <c r="S5398" t="str">
        <f t="shared" si="2138"/>
        <v>15:19:31.000</v>
      </c>
      <c r="T5398" t="str">
        <f t="shared" si="2138"/>
        <v>15:19:31.000</v>
      </c>
      <c r="U5398" t="str">
        <f t="shared" si="2130"/>
        <v>A68FCB</v>
      </c>
      <c r="V5398">
        <v>0</v>
      </c>
      <c r="W5398">
        <v>0</v>
      </c>
      <c r="X5398">
        <v>2</v>
      </c>
      <c r="Y5398">
        <v>0</v>
      </c>
      <c r="AA5398">
        <v>1</v>
      </c>
      <c r="AB5398">
        <v>8</v>
      </c>
      <c r="AC5398">
        <v>3</v>
      </c>
      <c r="AD5398">
        <v>0</v>
      </c>
      <c r="AE5398">
        <v>9</v>
      </c>
      <c r="AF5398" t="s">
        <v>138</v>
      </c>
      <c r="AG5398">
        <v>0</v>
      </c>
      <c r="AH5398">
        <v>3</v>
      </c>
      <c r="AI5398">
        <v>1</v>
      </c>
      <c r="AJ5398">
        <v>0</v>
      </c>
      <c r="AK5398" t="s">
        <v>1521</v>
      </c>
      <c r="AL5398">
        <v>39.223917</v>
      </c>
      <c r="AM5398" t="s">
        <v>1695</v>
      </c>
      <c r="AN5398">
        <v>-121.02521900000001</v>
      </c>
      <c r="AO5398">
        <v>25</v>
      </c>
      <c r="AP5398">
        <v>3100</v>
      </c>
      <c r="AQ5398" t="s">
        <v>131</v>
      </c>
      <c r="AR5398">
        <v>4</v>
      </c>
      <c r="AS5398">
        <v>-58</v>
      </c>
      <c r="AT5398">
        <v>-640</v>
      </c>
      <c r="BB5398" t="str">
        <f t="shared" si="2131"/>
        <v>1200</v>
      </c>
      <c r="BC5398">
        <v>1</v>
      </c>
      <c r="BD5398" t="str">
        <f t="shared" si="2132"/>
        <v xml:space="preserve">N52156  </v>
      </c>
      <c r="BE5398">
        <v>1</v>
      </c>
      <c r="BG5398">
        <v>0</v>
      </c>
      <c r="BH5398">
        <v>0</v>
      </c>
      <c r="BI5398">
        <v>0</v>
      </c>
      <c r="BJ5398">
        <v>3050</v>
      </c>
      <c r="BK5398">
        <v>-50</v>
      </c>
      <c r="BL5398" t="s">
        <v>188</v>
      </c>
      <c r="BM5398">
        <v>1</v>
      </c>
      <c r="BN5398">
        <v>1</v>
      </c>
      <c r="BO5398">
        <v>0</v>
      </c>
      <c r="BP5398">
        <v>0</v>
      </c>
      <c r="BS5398">
        <v>0</v>
      </c>
      <c r="BT5398">
        <v>0</v>
      </c>
      <c r="BU5398">
        <v>0</v>
      </c>
      <c r="CE5398" t="str">
        <f t="shared" si="2139"/>
        <v>15:19:31.699</v>
      </c>
      <c r="CF5398">
        <v>698754584</v>
      </c>
      <c r="CS5398">
        <v>0</v>
      </c>
      <c r="CT5398">
        <v>2</v>
      </c>
      <c r="CU5398">
        <v>0</v>
      </c>
      <c r="CV5398">
        <v>2</v>
      </c>
      <c r="CW5398">
        <v>0</v>
      </c>
      <c r="CX5398">
        <v>1</v>
      </c>
      <c r="CY5398">
        <v>7</v>
      </c>
      <c r="CZ5398" t="s">
        <v>133</v>
      </c>
      <c r="DA5398">
        <v>275</v>
      </c>
      <c r="DB5398">
        <v>0</v>
      </c>
      <c r="DC5398" t="s">
        <v>134</v>
      </c>
      <c r="DD5398" t="s">
        <v>135</v>
      </c>
      <c r="DG5398">
        <v>3323886</v>
      </c>
      <c r="DI5398">
        <v>1</v>
      </c>
      <c r="DJ5398">
        <v>0</v>
      </c>
      <c r="DK5398">
        <v>1</v>
      </c>
      <c r="DL5398">
        <v>0</v>
      </c>
      <c r="DM5398">
        <v>0</v>
      </c>
      <c r="DN5398">
        <v>0</v>
      </c>
      <c r="DO5398">
        <v>0</v>
      </c>
      <c r="DP5398">
        <v>0</v>
      </c>
      <c r="DQ5398">
        <v>0</v>
      </c>
      <c r="DR5398">
        <v>0</v>
      </c>
      <c r="DS5398">
        <v>0</v>
      </c>
    </row>
    <row r="5399" spans="1:123" x14ac:dyDescent="0.3">
      <c r="A5399" t="str">
        <f>"05/01/2025 15:19:31.917"</f>
        <v>05/01/2025 15:19:31.917</v>
      </c>
      <c r="C5399" t="str">
        <f t="shared" si="2128"/>
        <v>FFDFD3C0</v>
      </c>
      <c r="D5399" t="s">
        <v>136</v>
      </c>
      <c r="E5399" t="str">
        <f>"20"</f>
        <v>20</v>
      </c>
      <c r="H5399">
        <v>400</v>
      </c>
      <c r="I5399" t="s">
        <v>137</v>
      </c>
      <c r="J5399" t="s">
        <v>138</v>
      </c>
      <c r="K5399">
        <v>0</v>
      </c>
      <c r="L5399">
        <v>3</v>
      </c>
      <c r="M5399">
        <v>0</v>
      </c>
      <c r="N5399">
        <v>2</v>
      </c>
      <c r="O5399">
        <v>0</v>
      </c>
      <c r="P5399">
        <v>1</v>
      </c>
      <c r="Q5399">
        <v>0</v>
      </c>
      <c r="R5399" t="s">
        <v>127</v>
      </c>
      <c r="S5399" t="str">
        <f t="shared" si="2138"/>
        <v>15:19:31.000</v>
      </c>
      <c r="T5399" t="str">
        <f t="shared" si="2138"/>
        <v>15:19:31.000</v>
      </c>
      <c r="U5399" t="str">
        <f t="shared" si="2130"/>
        <v>A68FCB</v>
      </c>
      <c r="V5399">
        <v>0</v>
      </c>
      <c r="W5399">
        <v>0</v>
      </c>
      <c r="X5399">
        <v>2</v>
      </c>
      <c r="Y5399">
        <v>0</v>
      </c>
      <c r="AA5399">
        <v>1</v>
      </c>
      <c r="AB5399">
        <v>8</v>
      </c>
      <c r="AC5399">
        <v>3</v>
      </c>
      <c r="AD5399">
        <v>0</v>
      </c>
      <c r="AE5399">
        <v>9</v>
      </c>
      <c r="AF5399" t="s">
        <v>138</v>
      </c>
      <c r="AG5399">
        <v>0</v>
      </c>
      <c r="AH5399">
        <v>3</v>
      </c>
      <c r="AI5399">
        <v>1</v>
      </c>
      <c r="AJ5399">
        <v>0</v>
      </c>
      <c r="AK5399" t="s">
        <v>1521</v>
      </c>
      <c r="AL5399">
        <v>39.223917</v>
      </c>
      <c r="AM5399" t="s">
        <v>1695</v>
      </c>
      <c r="AN5399">
        <v>-121.02521900000001</v>
      </c>
      <c r="AO5399">
        <v>25</v>
      </c>
      <c r="AP5399">
        <v>3100</v>
      </c>
      <c r="AQ5399" t="s">
        <v>131</v>
      </c>
      <c r="AR5399">
        <v>4</v>
      </c>
      <c r="AS5399">
        <v>-58</v>
      </c>
      <c r="AT5399">
        <v>-640</v>
      </c>
      <c r="BB5399" t="str">
        <f t="shared" si="2131"/>
        <v>1200</v>
      </c>
      <c r="BC5399">
        <v>1</v>
      </c>
      <c r="BD5399" t="str">
        <f t="shared" si="2132"/>
        <v xml:space="preserve">N52156  </v>
      </c>
      <c r="BE5399">
        <v>1</v>
      </c>
      <c r="BG5399">
        <v>0</v>
      </c>
      <c r="BH5399">
        <v>0</v>
      </c>
      <c r="BI5399">
        <v>0</v>
      </c>
      <c r="BJ5399">
        <v>3050</v>
      </c>
      <c r="BK5399">
        <v>-50</v>
      </c>
      <c r="BL5399" t="s">
        <v>188</v>
      </c>
      <c r="BM5399">
        <v>1</v>
      </c>
      <c r="BN5399">
        <v>1</v>
      </c>
      <c r="BO5399">
        <v>0</v>
      </c>
      <c r="BP5399">
        <v>0</v>
      </c>
      <c r="BS5399">
        <v>0</v>
      </c>
      <c r="BT5399">
        <v>0</v>
      </c>
      <c r="BU5399">
        <v>0</v>
      </c>
      <c r="CE5399" t="str">
        <f t="shared" si="2139"/>
        <v>15:19:31.699</v>
      </c>
      <c r="CF5399">
        <v>698754584</v>
      </c>
      <c r="CS5399">
        <v>0</v>
      </c>
      <c r="CT5399">
        <v>2</v>
      </c>
      <c r="CU5399">
        <v>0</v>
      </c>
      <c r="CV5399">
        <v>2</v>
      </c>
      <c r="CW5399">
        <v>0</v>
      </c>
      <c r="CX5399">
        <v>1</v>
      </c>
      <c r="CY5399">
        <v>7</v>
      </c>
      <c r="CZ5399" t="s">
        <v>133</v>
      </c>
      <c r="DA5399">
        <v>275</v>
      </c>
      <c r="DB5399">
        <v>0</v>
      </c>
      <c r="DC5399" t="s">
        <v>134</v>
      </c>
      <c r="DD5399" t="s">
        <v>135</v>
      </c>
      <c r="DG5399">
        <v>3323886</v>
      </c>
      <c r="DI5399">
        <v>1</v>
      </c>
      <c r="DJ5399">
        <v>0</v>
      </c>
      <c r="DK5399">
        <v>1</v>
      </c>
      <c r="DL5399">
        <v>0</v>
      </c>
      <c r="DM5399">
        <v>0</v>
      </c>
      <c r="DN5399">
        <v>0</v>
      </c>
      <c r="DO5399">
        <v>0</v>
      </c>
      <c r="DP5399">
        <v>0</v>
      </c>
      <c r="DQ5399">
        <v>0</v>
      </c>
      <c r="DR5399">
        <v>0</v>
      </c>
      <c r="DS5399">
        <v>0</v>
      </c>
    </row>
    <row r="5400" spans="1:123" x14ac:dyDescent="0.3">
      <c r="A5400" t="str">
        <f>"05/01/2025 15:19:31.932"</f>
        <v>05/01/2025 15:19:31.932</v>
      </c>
      <c r="C5400" t="str">
        <f t="shared" si="2128"/>
        <v>FFDFD3C0</v>
      </c>
      <c r="D5400" t="s">
        <v>140</v>
      </c>
      <c r="E5400" t="str">
        <f>"13"</f>
        <v>13</v>
      </c>
      <c r="F5400">
        <v>1019</v>
      </c>
      <c r="G5400" t="s">
        <v>141</v>
      </c>
      <c r="J5400" t="s">
        <v>142</v>
      </c>
      <c r="K5400">
        <v>0</v>
      </c>
      <c r="L5400">
        <v>3</v>
      </c>
      <c r="M5400">
        <v>0</v>
      </c>
      <c r="N5400">
        <v>2</v>
      </c>
      <c r="O5400">
        <v>0</v>
      </c>
      <c r="P5400">
        <v>1</v>
      </c>
      <c r="Q5400">
        <v>0</v>
      </c>
      <c r="R5400" t="s">
        <v>127</v>
      </c>
      <c r="S5400" t="str">
        <f t="shared" si="2138"/>
        <v>15:19:31.000</v>
      </c>
      <c r="T5400" t="str">
        <f t="shared" si="2138"/>
        <v>15:19:31.000</v>
      </c>
      <c r="U5400" t="str">
        <f t="shared" si="2130"/>
        <v>A68FCB</v>
      </c>
      <c r="V5400">
        <v>0</v>
      </c>
      <c r="W5400">
        <v>0</v>
      </c>
      <c r="X5400">
        <v>2</v>
      </c>
      <c r="Y5400">
        <v>0</v>
      </c>
      <c r="AA5400">
        <v>1</v>
      </c>
      <c r="AB5400">
        <v>8</v>
      </c>
      <c r="AC5400">
        <v>3</v>
      </c>
      <c r="AD5400">
        <v>0</v>
      </c>
      <c r="AE5400">
        <v>9</v>
      </c>
      <c r="AF5400" t="s">
        <v>138</v>
      </c>
      <c r="AG5400">
        <v>0</v>
      </c>
      <c r="AH5400">
        <v>3</v>
      </c>
      <c r="AI5400">
        <v>1</v>
      </c>
      <c r="AJ5400">
        <v>0</v>
      </c>
      <c r="AK5400" t="s">
        <v>1521</v>
      </c>
      <c r="AL5400">
        <v>39.223917</v>
      </c>
      <c r="AM5400" t="s">
        <v>1695</v>
      </c>
      <c r="AN5400">
        <v>-121.02521900000001</v>
      </c>
      <c r="AO5400">
        <v>25</v>
      </c>
      <c r="AP5400">
        <v>3100</v>
      </c>
      <c r="AQ5400" t="s">
        <v>131</v>
      </c>
      <c r="AR5400">
        <v>4</v>
      </c>
      <c r="AS5400">
        <v>-58</v>
      </c>
      <c r="AT5400">
        <v>-640</v>
      </c>
      <c r="BB5400" t="str">
        <f t="shared" si="2131"/>
        <v>1200</v>
      </c>
      <c r="BC5400">
        <v>1</v>
      </c>
      <c r="BD5400" t="str">
        <f t="shared" si="2132"/>
        <v xml:space="preserve">N52156  </v>
      </c>
      <c r="BE5400">
        <v>1</v>
      </c>
      <c r="BG5400">
        <v>0</v>
      </c>
      <c r="BH5400">
        <v>0</v>
      </c>
      <c r="BI5400">
        <v>0</v>
      </c>
      <c r="BJ5400">
        <v>3050</v>
      </c>
      <c r="BK5400">
        <v>-50</v>
      </c>
      <c r="BL5400" t="s">
        <v>188</v>
      </c>
      <c r="BM5400">
        <v>1</v>
      </c>
      <c r="BN5400">
        <v>1</v>
      </c>
      <c r="BO5400">
        <v>0</v>
      </c>
      <c r="BP5400">
        <v>0</v>
      </c>
      <c r="BS5400">
        <v>0</v>
      </c>
      <c r="BT5400">
        <v>0</v>
      </c>
      <c r="BU5400">
        <v>0</v>
      </c>
      <c r="CE5400" t="str">
        <f t="shared" si="2139"/>
        <v>15:19:31.699</v>
      </c>
      <c r="CF5400">
        <v>698754584</v>
      </c>
      <c r="CS5400">
        <v>0</v>
      </c>
      <c r="CT5400">
        <v>2</v>
      </c>
      <c r="CU5400">
        <v>0</v>
      </c>
      <c r="CV5400">
        <v>2</v>
      </c>
      <c r="CW5400">
        <v>0</v>
      </c>
      <c r="CX5400">
        <v>1</v>
      </c>
      <c r="CY5400">
        <v>7</v>
      </c>
      <c r="CZ5400" t="s">
        <v>133</v>
      </c>
      <c r="DA5400">
        <v>275</v>
      </c>
      <c r="DB5400">
        <v>0</v>
      </c>
      <c r="DC5400" t="s">
        <v>134</v>
      </c>
      <c r="DD5400" t="s">
        <v>135</v>
      </c>
      <c r="DG5400">
        <v>3323886</v>
      </c>
      <c r="DI5400">
        <v>1</v>
      </c>
      <c r="DJ5400">
        <v>0</v>
      </c>
      <c r="DK5400">
        <v>1</v>
      </c>
      <c r="DL5400">
        <v>0</v>
      </c>
      <c r="DM5400">
        <v>0</v>
      </c>
      <c r="DN5400">
        <v>0</v>
      </c>
      <c r="DO5400">
        <v>0</v>
      </c>
      <c r="DP5400">
        <v>0</v>
      </c>
      <c r="DQ5400">
        <v>0</v>
      </c>
      <c r="DR5400">
        <v>0</v>
      </c>
      <c r="DS5400">
        <v>0</v>
      </c>
    </row>
    <row r="5401" spans="1:123" x14ac:dyDescent="0.3">
      <c r="A5401" t="str">
        <f>"05/01/2025 15:19:31.934"</f>
        <v>05/01/2025 15:19:31.934</v>
      </c>
      <c r="C5401" t="str">
        <f t="shared" si="2128"/>
        <v>FFDFD3C0</v>
      </c>
      <c r="D5401" t="s">
        <v>124</v>
      </c>
      <c r="E5401" t="str">
        <f>"06"</f>
        <v>06</v>
      </c>
      <c r="F5401">
        <v>2006</v>
      </c>
      <c r="G5401" t="s">
        <v>125</v>
      </c>
      <c r="J5401" t="s">
        <v>126</v>
      </c>
      <c r="K5401">
        <v>0</v>
      </c>
      <c r="L5401">
        <v>3</v>
      </c>
      <c r="M5401">
        <v>0</v>
      </c>
      <c r="N5401">
        <v>2</v>
      </c>
      <c r="O5401">
        <v>0</v>
      </c>
      <c r="P5401">
        <v>1</v>
      </c>
      <c r="Q5401">
        <v>0</v>
      </c>
      <c r="R5401" t="s">
        <v>127</v>
      </c>
      <c r="S5401" t="str">
        <f t="shared" si="2138"/>
        <v>15:19:31.000</v>
      </c>
      <c r="T5401" t="str">
        <f t="shared" si="2138"/>
        <v>15:19:31.000</v>
      </c>
      <c r="U5401" t="str">
        <f t="shared" si="2130"/>
        <v>A68FCB</v>
      </c>
      <c r="V5401">
        <v>0</v>
      </c>
      <c r="W5401">
        <v>0</v>
      </c>
      <c r="X5401">
        <v>2</v>
      </c>
      <c r="Y5401">
        <v>0</v>
      </c>
      <c r="AA5401">
        <v>1</v>
      </c>
      <c r="AB5401">
        <v>8</v>
      </c>
      <c r="AC5401">
        <v>3</v>
      </c>
      <c r="AD5401">
        <v>0</v>
      </c>
      <c r="AE5401">
        <v>9</v>
      </c>
      <c r="AF5401" t="s">
        <v>138</v>
      </c>
      <c r="AG5401">
        <v>0</v>
      </c>
      <c r="AH5401">
        <v>3</v>
      </c>
      <c r="AI5401">
        <v>1</v>
      </c>
      <c r="AJ5401">
        <v>0</v>
      </c>
      <c r="AK5401" t="s">
        <v>1521</v>
      </c>
      <c r="AL5401">
        <v>39.223917</v>
      </c>
      <c r="AM5401" t="s">
        <v>1695</v>
      </c>
      <c r="AN5401">
        <v>-121.02521900000001</v>
      </c>
      <c r="AO5401">
        <v>25</v>
      </c>
      <c r="AP5401">
        <v>3100</v>
      </c>
      <c r="AQ5401" t="s">
        <v>131</v>
      </c>
      <c r="AR5401">
        <v>4</v>
      </c>
      <c r="AS5401">
        <v>-58</v>
      </c>
      <c r="AT5401">
        <v>-640</v>
      </c>
      <c r="BB5401" t="str">
        <f t="shared" si="2131"/>
        <v>1200</v>
      </c>
      <c r="BC5401">
        <v>1</v>
      </c>
      <c r="BD5401" t="str">
        <f t="shared" si="2132"/>
        <v xml:space="preserve">N52156  </v>
      </c>
      <c r="BE5401">
        <v>1</v>
      </c>
      <c r="BG5401">
        <v>0</v>
      </c>
      <c r="BH5401">
        <v>0</v>
      </c>
      <c r="BI5401">
        <v>0</v>
      </c>
      <c r="BJ5401">
        <v>3050</v>
      </c>
      <c r="BK5401">
        <v>-50</v>
      </c>
      <c r="BL5401" t="s">
        <v>188</v>
      </c>
      <c r="BM5401">
        <v>1</v>
      </c>
      <c r="BN5401">
        <v>1</v>
      </c>
      <c r="BO5401">
        <v>0</v>
      </c>
      <c r="BP5401">
        <v>0</v>
      </c>
      <c r="BS5401">
        <v>0</v>
      </c>
      <c r="BT5401">
        <v>0</v>
      </c>
      <c r="BU5401">
        <v>0</v>
      </c>
      <c r="CE5401" t="str">
        <f t="shared" si="2139"/>
        <v>15:19:31.699</v>
      </c>
      <c r="CF5401">
        <v>698754584</v>
      </c>
      <c r="CS5401">
        <v>0</v>
      </c>
      <c r="CT5401">
        <v>2</v>
      </c>
      <c r="CU5401">
        <v>0</v>
      </c>
      <c r="CV5401">
        <v>2</v>
      </c>
      <c r="CW5401">
        <v>0</v>
      </c>
      <c r="CX5401">
        <v>1</v>
      </c>
      <c r="CY5401">
        <v>7</v>
      </c>
      <c r="CZ5401" t="s">
        <v>133</v>
      </c>
      <c r="DA5401">
        <v>275</v>
      </c>
      <c r="DB5401">
        <v>0</v>
      </c>
      <c r="DC5401" t="s">
        <v>134</v>
      </c>
      <c r="DD5401" t="s">
        <v>135</v>
      </c>
      <c r="DG5401">
        <v>3323886</v>
      </c>
      <c r="DI5401">
        <v>1</v>
      </c>
      <c r="DJ5401">
        <v>0</v>
      </c>
      <c r="DK5401">
        <v>1</v>
      </c>
      <c r="DL5401">
        <v>0</v>
      </c>
      <c r="DM5401">
        <v>0</v>
      </c>
      <c r="DN5401">
        <v>0</v>
      </c>
      <c r="DO5401">
        <v>0</v>
      </c>
      <c r="DP5401">
        <v>0</v>
      </c>
      <c r="DQ5401">
        <v>0</v>
      </c>
      <c r="DR5401">
        <v>0</v>
      </c>
      <c r="DS5401">
        <v>0</v>
      </c>
    </row>
    <row r="5402" spans="1:123" x14ac:dyDescent="0.3">
      <c r="A5402" t="str">
        <f>"05/01/2025 15:19:32.810"</f>
        <v>05/01/2025 15:19:32.810</v>
      </c>
      <c r="C5402" t="str">
        <f t="shared" si="2128"/>
        <v>FFDFD3C0</v>
      </c>
      <c r="D5402" t="s">
        <v>145</v>
      </c>
      <c r="E5402" t="str">
        <f>"09"</f>
        <v>09</v>
      </c>
      <c r="H5402">
        <v>51</v>
      </c>
      <c r="I5402" t="s">
        <v>147</v>
      </c>
      <c r="J5402" t="s">
        <v>138</v>
      </c>
      <c r="K5402">
        <v>0</v>
      </c>
      <c r="L5402">
        <v>3</v>
      </c>
      <c r="M5402">
        <v>0</v>
      </c>
      <c r="N5402">
        <v>2</v>
      </c>
      <c r="O5402">
        <v>0</v>
      </c>
      <c r="P5402">
        <v>1</v>
      </c>
      <c r="Q5402">
        <v>0</v>
      </c>
      <c r="R5402" t="s">
        <v>127</v>
      </c>
      <c r="S5402" t="str">
        <f t="shared" ref="S5402:T5407" si="2140">"15:19:32.000"</f>
        <v>15:19:32.000</v>
      </c>
      <c r="T5402" t="str">
        <f t="shared" si="2140"/>
        <v>15:19:32.000</v>
      </c>
      <c r="U5402" t="str">
        <f t="shared" si="2130"/>
        <v>A68FCB</v>
      </c>
      <c r="V5402">
        <v>0</v>
      </c>
      <c r="W5402">
        <v>0</v>
      </c>
      <c r="X5402">
        <v>2</v>
      </c>
      <c r="Y5402">
        <v>0</v>
      </c>
      <c r="AA5402">
        <v>1</v>
      </c>
      <c r="AB5402">
        <v>8</v>
      </c>
      <c r="AC5402">
        <v>3</v>
      </c>
      <c r="AD5402">
        <v>0</v>
      </c>
      <c r="AE5402">
        <v>9</v>
      </c>
      <c r="AF5402" t="s">
        <v>138</v>
      </c>
      <c r="AG5402">
        <v>0</v>
      </c>
      <c r="AH5402">
        <v>3</v>
      </c>
      <c r="AI5402">
        <v>1</v>
      </c>
      <c r="AJ5402">
        <v>0</v>
      </c>
      <c r="AK5402" t="s">
        <v>1696</v>
      </c>
      <c r="AL5402">
        <v>39.223658999999998</v>
      </c>
      <c r="AM5402" t="s">
        <v>1697</v>
      </c>
      <c r="AN5402">
        <v>-121.025176</v>
      </c>
      <c r="AO5402">
        <v>25</v>
      </c>
      <c r="AP5402">
        <v>3100</v>
      </c>
      <c r="AQ5402" t="s">
        <v>131</v>
      </c>
      <c r="AR5402">
        <v>-1</v>
      </c>
      <c r="AS5402">
        <v>-60</v>
      </c>
      <c r="AT5402">
        <v>-768</v>
      </c>
      <c r="BB5402" t="str">
        <f t="shared" si="2131"/>
        <v>1200</v>
      </c>
      <c r="BC5402">
        <v>1</v>
      </c>
      <c r="BD5402" t="str">
        <f t="shared" si="2132"/>
        <v xml:space="preserve">N52156  </v>
      </c>
      <c r="BE5402">
        <v>1</v>
      </c>
      <c r="BG5402">
        <v>0</v>
      </c>
      <c r="BH5402">
        <v>0</v>
      </c>
      <c r="BI5402">
        <v>0</v>
      </c>
      <c r="BJ5402">
        <v>3025</v>
      </c>
      <c r="BK5402">
        <v>-75</v>
      </c>
      <c r="BL5402" t="s">
        <v>188</v>
      </c>
      <c r="BM5402">
        <v>1</v>
      </c>
      <c r="BN5402">
        <v>1</v>
      </c>
      <c r="BO5402">
        <v>0</v>
      </c>
      <c r="BP5402">
        <v>0</v>
      </c>
      <c r="BS5402">
        <v>0</v>
      </c>
      <c r="BT5402">
        <v>0</v>
      </c>
      <c r="BU5402">
        <v>0</v>
      </c>
      <c r="CE5402" t="str">
        <f t="shared" ref="CE5402:CE5407" si="2141">"15:19:32.584"</f>
        <v>15:19:32.584</v>
      </c>
      <c r="CF5402">
        <v>583504241</v>
      </c>
      <c r="CS5402">
        <v>0</v>
      </c>
      <c r="CT5402">
        <v>2</v>
      </c>
      <c r="CU5402">
        <v>0</v>
      </c>
      <c r="CV5402">
        <v>2</v>
      </c>
      <c r="CW5402">
        <v>0</v>
      </c>
      <c r="CX5402">
        <v>3</v>
      </c>
      <c r="CY5402">
        <v>7</v>
      </c>
      <c r="CZ5402" t="s">
        <v>133</v>
      </c>
      <c r="DA5402">
        <v>275</v>
      </c>
      <c r="DB5402">
        <v>0</v>
      </c>
      <c r="DC5402" t="s">
        <v>134</v>
      </c>
      <c r="DD5402" t="s">
        <v>135</v>
      </c>
      <c r="DG5402">
        <v>3323891</v>
      </c>
      <c r="DI5402">
        <v>1</v>
      </c>
      <c r="DJ5402">
        <v>0</v>
      </c>
      <c r="DK5402">
        <v>0</v>
      </c>
      <c r="DL5402">
        <v>0</v>
      </c>
      <c r="DM5402">
        <v>0</v>
      </c>
      <c r="DN5402">
        <v>0</v>
      </c>
      <c r="DO5402">
        <v>0</v>
      </c>
      <c r="DP5402">
        <v>0</v>
      </c>
      <c r="DQ5402">
        <v>0</v>
      </c>
      <c r="DR5402">
        <v>0</v>
      </c>
      <c r="DS5402">
        <v>0</v>
      </c>
    </row>
    <row r="5403" spans="1:123" x14ac:dyDescent="0.3">
      <c r="A5403" t="str">
        <f>"05/01/2025 15:19:32.811"</f>
        <v>05/01/2025 15:19:32.811</v>
      </c>
      <c r="C5403" t="str">
        <f t="shared" si="2128"/>
        <v>FFDFD3C0</v>
      </c>
      <c r="D5403" t="s">
        <v>145</v>
      </c>
      <c r="E5403" t="str">
        <f>"05"</f>
        <v>05</v>
      </c>
      <c r="H5403">
        <v>47</v>
      </c>
      <c r="I5403" t="s">
        <v>146</v>
      </c>
      <c r="J5403" t="s">
        <v>138</v>
      </c>
      <c r="K5403">
        <v>0</v>
      </c>
      <c r="L5403">
        <v>3</v>
      </c>
      <c r="M5403">
        <v>0</v>
      </c>
      <c r="N5403">
        <v>2</v>
      </c>
      <c r="O5403">
        <v>0</v>
      </c>
      <c r="P5403">
        <v>1</v>
      </c>
      <c r="Q5403">
        <v>0</v>
      </c>
      <c r="R5403" t="s">
        <v>127</v>
      </c>
      <c r="S5403" t="str">
        <f t="shared" si="2140"/>
        <v>15:19:32.000</v>
      </c>
      <c r="T5403" t="str">
        <f t="shared" si="2140"/>
        <v>15:19:32.000</v>
      </c>
      <c r="U5403" t="str">
        <f t="shared" si="2130"/>
        <v>A68FCB</v>
      </c>
      <c r="V5403">
        <v>0</v>
      </c>
      <c r="W5403">
        <v>0</v>
      </c>
      <c r="X5403">
        <v>2</v>
      </c>
      <c r="Y5403">
        <v>0</v>
      </c>
      <c r="AA5403">
        <v>1</v>
      </c>
      <c r="AB5403">
        <v>8</v>
      </c>
      <c r="AC5403">
        <v>3</v>
      </c>
      <c r="AD5403">
        <v>0</v>
      </c>
      <c r="AE5403">
        <v>9</v>
      </c>
      <c r="AF5403" t="s">
        <v>138</v>
      </c>
      <c r="AG5403">
        <v>0</v>
      </c>
      <c r="AH5403">
        <v>3</v>
      </c>
      <c r="AI5403">
        <v>1</v>
      </c>
      <c r="AJ5403">
        <v>0</v>
      </c>
      <c r="AK5403" t="s">
        <v>1696</v>
      </c>
      <c r="AL5403">
        <v>39.223658999999998</v>
      </c>
      <c r="AM5403" t="s">
        <v>1697</v>
      </c>
      <c r="AN5403">
        <v>-121.025176</v>
      </c>
      <c r="AO5403">
        <v>25</v>
      </c>
      <c r="AP5403">
        <v>3100</v>
      </c>
      <c r="AQ5403" t="s">
        <v>131</v>
      </c>
      <c r="AR5403">
        <v>-1</v>
      </c>
      <c r="AS5403">
        <v>-60</v>
      </c>
      <c r="AT5403">
        <v>-768</v>
      </c>
      <c r="BB5403" t="str">
        <f t="shared" si="2131"/>
        <v>1200</v>
      </c>
      <c r="BC5403">
        <v>1</v>
      </c>
      <c r="BD5403" t="str">
        <f t="shared" si="2132"/>
        <v xml:space="preserve">N52156  </v>
      </c>
      <c r="BE5403">
        <v>1</v>
      </c>
      <c r="BG5403">
        <v>0</v>
      </c>
      <c r="BH5403">
        <v>0</v>
      </c>
      <c r="BI5403">
        <v>0</v>
      </c>
      <c r="BJ5403">
        <v>3025</v>
      </c>
      <c r="BK5403">
        <v>-75</v>
      </c>
      <c r="BL5403" t="s">
        <v>188</v>
      </c>
      <c r="BM5403">
        <v>1</v>
      </c>
      <c r="BN5403">
        <v>1</v>
      </c>
      <c r="BO5403">
        <v>0</v>
      </c>
      <c r="BP5403">
        <v>0</v>
      </c>
      <c r="BS5403">
        <v>0</v>
      </c>
      <c r="BT5403">
        <v>0</v>
      </c>
      <c r="BU5403">
        <v>0</v>
      </c>
      <c r="CE5403" t="str">
        <f t="shared" si="2141"/>
        <v>15:19:32.584</v>
      </c>
      <c r="CF5403">
        <v>583504241</v>
      </c>
      <c r="CS5403">
        <v>0</v>
      </c>
      <c r="CT5403">
        <v>2</v>
      </c>
      <c r="CU5403">
        <v>0</v>
      </c>
      <c r="CV5403">
        <v>2</v>
      </c>
      <c r="CW5403">
        <v>0</v>
      </c>
      <c r="CX5403">
        <v>3</v>
      </c>
      <c r="CY5403">
        <v>7</v>
      </c>
      <c r="CZ5403" t="s">
        <v>133</v>
      </c>
      <c r="DA5403">
        <v>275</v>
      </c>
      <c r="DB5403">
        <v>0</v>
      </c>
      <c r="DC5403" t="s">
        <v>134</v>
      </c>
      <c r="DD5403" t="s">
        <v>135</v>
      </c>
      <c r="DG5403">
        <v>3323891</v>
      </c>
      <c r="DI5403">
        <v>1</v>
      </c>
      <c r="DJ5403">
        <v>0</v>
      </c>
      <c r="DK5403">
        <v>1</v>
      </c>
      <c r="DL5403">
        <v>0</v>
      </c>
      <c r="DM5403">
        <v>0</v>
      </c>
      <c r="DN5403">
        <v>0</v>
      </c>
      <c r="DO5403">
        <v>0</v>
      </c>
      <c r="DP5403">
        <v>0</v>
      </c>
      <c r="DQ5403">
        <v>0</v>
      </c>
      <c r="DR5403">
        <v>0</v>
      </c>
      <c r="DS5403">
        <v>0</v>
      </c>
    </row>
    <row r="5404" spans="1:123" x14ac:dyDescent="0.3">
      <c r="A5404" t="str">
        <f>"05/01/2025 15:19:32.819"</f>
        <v>05/01/2025 15:19:32.819</v>
      </c>
      <c r="C5404" t="str">
        <f t="shared" si="2128"/>
        <v>FFDFD3C0</v>
      </c>
      <c r="D5404" t="s">
        <v>136</v>
      </c>
      <c r="E5404" t="str">
        <f>"20"</f>
        <v>20</v>
      </c>
      <c r="H5404">
        <v>400</v>
      </c>
      <c r="I5404" t="s">
        <v>137</v>
      </c>
      <c r="J5404" t="s">
        <v>138</v>
      </c>
      <c r="K5404">
        <v>0</v>
      </c>
      <c r="L5404">
        <v>3</v>
      </c>
      <c r="M5404">
        <v>0</v>
      </c>
      <c r="N5404">
        <v>2</v>
      </c>
      <c r="O5404">
        <v>0</v>
      </c>
      <c r="P5404">
        <v>1</v>
      </c>
      <c r="Q5404">
        <v>0</v>
      </c>
      <c r="R5404" t="s">
        <v>127</v>
      </c>
      <c r="S5404" t="str">
        <f t="shared" si="2140"/>
        <v>15:19:32.000</v>
      </c>
      <c r="T5404" t="str">
        <f t="shared" si="2140"/>
        <v>15:19:32.000</v>
      </c>
      <c r="U5404" t="str">
        <f t="shared" si="2130"/>
        <v>A68FCB</v>
      </c>
      <c r="V5404">
        <v>0</v>
      </c>
      <c r="W5404">
        <v>0</v>
      </c>
      <c r="X5404">
        <v>2</v>
      </c>
      <c r="Y5404">
        <v>0</v>
      </c>
      <c r="AA5404">
        <v>1</v>
      </c>
      <c r="AB5404">
        <v>8</v>
      </c>
      <c r="AC5404">
        <v>3</v>
      </c>
      <c r="AD5404">
        <v>0</v>
      </c>
      <c r="AE5404">
        <v>9</v>
      </c>
      <c r="AF5404" t="s">
        <v>138</v>
      </c>
      <c r="AG5404">
        <v>0</v>
      </c>
      <c r="AH5404">
        <v>3</v>
      </c>
      <c r="AI5404">
        <v>1</v>
      </c>
      <c r="AJ5404">
        <v>0</v>
      </c>
      <c r="AK5404" t="s">
        <v>1696</v>
      </c>
      <c r="AL5404">
        <v>39.223658999999998</v>
      </c>
      <c r="AM5404" t="s">
        <v>1697</v>
      </c>
      <c r="AN5404">
        <v>-121.025176</v>
      </c>
      <c r="AO5404">
        <v>25</v>
      </c>
      <c r="AP5404">
        <v>3100</v>
      </c>
      <c r="AQ5404" t="s">
        <v>131</v>
      </c>
      <c r="AR5404">
        <v>-1</v>
      </c>
      <c r="AS5404">
        <v>-60</v>
      </c>
      <c r="AT5404">
        <v>-768</v>
      </c>
      <c r="BB5404" t="str">
        <f t="shared" si="2131"/>
        <v>1200</v>
      </c>
      <c r="BC5404">
        <v>1</v>
      </c>
      <c r="BD5404" t="str">
        <f t="shared" si="2132"/>
        <v xml:space="preserve">N52156  </v>
      </c>
      <c r="BE5404">
        <v>1</v>
      </c>
      <c r="BG5404">
        <v>0</v>
      </c>
      <c r="BH5404">
        <v>0</v>
      </c>
      <c r="BI5404">
        <v>0</v>
      </c>
      <c r="BJ5404">
        <v>3025</v>
      </c>
      <c r="BK5404">
        <v>-75</v>
      </c>
      <c r="BL5404" t="s">
        <v>188</v>
      </c>
      <c r="BM5404">
        <v>1</v>
      </c>
      <c r="BN5404">
        <v>1</v>
      </c>
      <c r="BO5404">
        <v>0</v>
      </c>
      <c r="BP5404">
        <v>0</v>
      </c>
      <c r="BS5404">
        <v>0</v>
      </c>
      <c r="BT5404">
        <v>0</v>
      </c>
      <c r="BU5404">
        <v>0</v>
      </c>
      <c r="CE5404" t="str">
        <f t="shared" si="2141"/>
        <v>15:19:32.584</v>
      </c>
      <c r="CF5404">
        <v>583504241</v>
      </c>
      <c r="CS5404">
        <v>0</v>
      </c>
      <c r="CT5404">
        <v>2</v>
      </c>
      <c r="CU5404">
        <v>0</v>
      </c>
      <c r="CV5404">
        <v>2</v>
      </c>
      <c r="CW5404">
        <v>0</v>
      </c>
      <c r="CX5404">
        <v>3</v>
      </c>
      <c r="CY5404">
        <v>7</v>
      </c>
      <c r="CZ5404" t="s">
        <v>133</v>
      </c>
      <c r="DA5404">
        <v>275</v>
      </c>
      <c r="DB5404">
        <v>0</v>
      </c>
      <c r="DC5404" t="s">
        <v>134</v>
      </c>
      <c r="DD5404" t="s">
        <v>135</v>
      </c>
      <c r="DG5404">
        <v>3323891</v>
      </c>
      <c r="DI5404">
        <v>1</v>
      </c>
      <c r="DJ5404">
        <v>0</v>
      </c>
      <c r="DK5404">
        <v>1</v>
      </c>
      <c r="DL5404">
        <v>0</v>
      </c>
      <c r="DM5404">
        <v>0</v>
      </c>
      <c r="DN5404">
        <v>0</v>
      </c>
      <c r="DO5404">
        <v>0</v>
      </c>
      <c r="DP5404">
        <v>0</v>
      </c>
      <c r="DQ5404">
        <v>0</v>
      </c>
      <c r="DR5404">
        <v>0</v>
      </c>
      <c r="DS5404">
        <v>0</v>
      </c>
    </row>
    <row r="5405" spans="1:123" x14ac:dyDescent="0.3">
      <c r="A5405" t="str">
        <f>"05/01/2025 15:19:32.833"</f>
        <v>05/01/2025 15:19:32.833</v>
      </c>
      <c r="C5405" t="str">
        <f t="shared" si="2128"/>
        <v>FFDFD3C0</v>
      </c>
      <c r="D5405" t="s">
        <v>140</v>
      </c>
      <c r="E5405" t="str">
        <f>"13"</f>
        <v>13</v>
      </c>
      <c r="F5405">
        <v>1019</v>
      </c>
      <c r="G5405" t="s">
        <v>141</v>
      </c>
      <c r="J5405" t="s">
        <v>142</v>
      </c>
      <c r="K5405">
        <v>0</v>
      </c>
      <c r="L5405">
        <v>3</v>
      </c>
      <c r="M5405">
        <v>0</v>
      </c>
      <c r="N5405">
        <v>2</v>
      </c>
      <c r="O5405">
        <v>0</v>
      </c>
      <c r="P5405">
        <v>1</v>
      </c>
      <c r="Q5405">
        <v>0</v>
      </c>
      <c r="R5405" t="s">
        <v>127</v>
      </c>
      <c r="S5405" t="str">
        <f t="shared" si="2140"/>
        <v>15:19:32.000</v>
      </c>
      <c r="T5405" t="str">
        <f t="shared" si="2140"/>
        <v>15:19:32.000</v>
      </c>
      <c r="U5405" t="str">
        <f t="shared" si="2130"/>
        <v>A68FCB</v>
      </c>
      <c r="V5405">
        <v>0</v>
      </c>
      <c r="W5405">
        <v>0</v>
      </c>
      <c r="X5405">
        <v>2</v>
      </c>
      <c r="Y5405">
        <v>0</v>
      </c>
      <c r="AA5405">
        <v>1</v>
      </c>
      <c r="AB5405">
        <v>8</v>
      </c>
      <c r="AC5405">
        <v>3</v>
      </c>
      <c r="AD5405">
        <v>0</v>
      </c>
      <c r="AE5405">
        <v>9</v>
      </c>
      <c r="AF5405" t="s">
        <v>138</v>
      </c>
      <c r="AG5405">
        <v>0</v>
      </c>
      <c r="AH5405">
        <v>3</v>
      </c>
      <c r="AI5405">
        <v>1</v>
      </c>
      <c r="AJ5405">
        <v>0</v>
      </c>
      <c r="AK5405" t="s">
        <v>1696</v>
      </c>
      <c r="AL5405">
        <v>39.223658999999998</v>
      </c>
      <c r="AM5405" t="s">
        <v>1697</v>
      </c>
      <c r="AN5405">
        <v>-121.025176</v>
      </c>
      <c r="AO5405">
        <v>25</v>
      </c>
      <c r="AP5405">
        <v>3100</v>
      </c>
      <c r="AQ5405" t="s">
        <v>131</v>
      </c>
      <c r="AR5405">
        <v>-1</v>
      </c>
      <c r="AS5405">
        <v>-60</v>
      </c>
      <c r="AT5405">
        <v>-768</v>
      </c>
      <c r="BB5405" t="str">
        <f t="shared" si="2131"/>
        <v>1200</v>
      </c>
      <c r="BC5405">
        <v>1</v>
      </c>
      <c r="BD5405" t="str">
        <f t="shared" si="2132"/>
        <v xml:space="preserve">N52156  </v>
      </c>
      <c r="BE5405">
        <v>1</v>
      </c>
      <c r="BG5405">
        <v>0</v>
      </c>
      <c r="BH5405">
        <v>0</v>
      </c>
      <c r="BI5405">
        <v>0</v>
      </c>
      <c r="BJ5405">
        <v>3025</v>
      </c>
      <c r="BK5405">
        <v>-75</v>
      </c>
      <c r="BL5405" t="s">
        <v>188</v>
      </c>
      <c r="BM5405">
        <v>1</v>
      </c>
      <c r="BN5405">
        <v>1</v>
      </c>
      <c r="BO5405">
        <v>0</v>
      </c>
      <c r="BP5405">
        <v>0</v>
      </c>
      <c r="BS5405">
        <v>0</v>
      </c>
      <c r="BT5405">
        <v>0</v>
      </c>
      <c r="BU5405">
        <v>0</v>
      </c>
      <c r="CE5405" t="str">
        <f t="shared" si="2141"/>
        <v>15:19:32.584</v>
      </c>
      <c r="CF5405">
        <v>583504241</v>
      </c>
      <c r="CS5405">
        <v>0</v>
      </c>
      <c r="CT5405">
        <v>2</v>
      </c>
      <c r="CU5405">
        <v>0</v>
      </c>
      <c r="CV5405">
        <v>2</v>
      </c>
      <c r="CW5405">
        <v>0</v>
      </c>
      <c r="CX5405">
        <v>3</v>
      </c>
      <c r="CY5405">
        <v>7</v>
      </c>
      <c r="CZ5405" t="s">
        <v>133</v>
      </c>
      <c r="DA5405">
        <v>275</v>
      </c>
      <c r="DB5405">
        <v>0</v>
      </c>
      <c r="DC5405" t="s">
        <v>134</v>
      </c>
      <c r="DD5405" t="s">
        <v>135</v>
      </c>
      <c r="DG5405">
        <v>3323891</v>
      </c>
      <c r="DI5405">
        <v>1</v>
      </c>
      <c r="DJ5405">
        <v>0</v>
      </c>
      <c r="DK5405">
        <v>1</v>
      </c>
      <c r="DL5405">
        <v>0</v>
      </c>
      <c r="DM5405">
        <v>0</v>
      </c>
      <c r="DN5405">
        <v>0</v>
      </c>
      <c r="DO5405">
        <v>0</v>
      </c>
      <c r="DP5405">
        <v>0</v>
      </c>
      <c r="DQ5405">
        <v>0</v>
      </c>
      <c r="DR5405">
        <v>0</v>
      </c>
      <c r="DS5405">
        <v>0</v>
      </c>
    </row>
    <row r="5406" spans="1:123" x14ac:dyDescent="0.3">
      <c r="A5406" t="str">
        <f>"05/01/2025 15:19:32.835"</f>
        <v>05/01/2025 15:19:32.835</v>
      </c>
      <c r="C5406" t="str">
        <f t="shared" si="2128"/>
        <v>FFDFD3C0</v>
      </c>
      <c r="D5406" t="s">
        <v>124</v>
      </c>
      <c r="E5406" t="str">
        <f>"06"</f>
        <v>06</v>
      </c>
      <c r="F5406">
        <v>2006</v>
      </c>
      <c r="G5406" t="s">
        <v>125</v>
      </c>
      <c r="J5406" t="s">
        <v>126</v>
      </c>
      <c r="K5406">
        <v>0</v>
      </c>
      <c r="L5406">
        <v>3</v>
      </c>
      <c r="M5406">
        <v>0</v>
      </c>
      <c r="N5406">
        <v>2</v>
      </c>
      <c r="O5406">
        <v>0</v>
      </c>
      <c r="P5406">
        <v>1</v>
      </c>
      <c r="Q5406">
        <v>0</v>
      </c>
      <c r="R5406" t="s">
        <v>127</v>
      </c>
      <c r="S5406" t="str">
        <f t="shared" si="2140"/>
        <v>15:19:32.000</v>
      </c>
      <c r="T5406" t="str">
        <f t="shared" si="2140"/>
        <v>15:19:32.000</v>
      </c>
      <c r="U5406" t="str">
        <f t="shared" si="2130"/>
        <v>A68FCB</v>
      </c>
      <c r="V5406">
        <v>0</v>
      </c>
      <c r="W5406">
        <v>0</v>
      </c>
      <c r="X5406">
        <v>2</v>
      </c>
      <c r="Y5406">
        <v>0</v>
      </c>
      <c r="AA5406">
        <v>1</v>
      </c>
      <c r="AB5406">
        <v>8</v>
      </c>
      <c r="AC5406">
        <v>3</v>
      </c>
      <c r="AD5406">
        <v>0</v>
      </c>
      <c r="AE5406">
        <v>9</v>
      </c>
      <c r="AF5406" t="s">
        <v>138</v>
      </c>
      <c r="AG5406">
        <v>0</v>
      </c>
      <c r="AH5406">
        <v>3</v>
      </c>
      <c r="AI5406">
        <v>1</v>
      </c>
      <c r="AJ5406">
        <v>0</v>
      </c>
      <c r="AK5406" t="s">
        <v>1696</v>
      </c>
      <c r="AL5406">
        <v>39.223658999999998</v>
      </c>
      <c r="AM5406" t="s">
        <v>1697</v>
      </c>
      <c r="AN5406">
        <v>-121.025176</v>
      </c>
      <c r="AO5406">
        <v>25</v>
      </c>
      <c r="AP5406">
        <v>3100</v>
      </c>
      <c r="AQ5406" t="s">
        <v>131</v>
      </c>
      <c r="AR5406">
        <v>-1</v>
      </c>
      <c r="AS5406">
        <v>-60</v>
      </c>
      <c r="AT5406">
        <v>-768</v>
      </c>
      <c r="BB5406" t="str">
        <f t="shared" si="2131"/>
        <v>1200</v>
      </c>
      <c r="BC5406">
        <v>1</v>
      </c>
      <c r="BD5406" t="str">
        <f t="shared" si="2132"/>
        <v xml:space="preserve">N52156  </v>
      </c>
      <c r="BE5406">
        <v>1</v>
      </c>
      <c r="BG5406">
        <v>0</v>
      </c>
      <c r="BH5406">
        <v>0</v>
      </c>
      <c r="BI5406">
        <v>0</v>
      </c>
      <c r="BJ5406">
        <v>3025</v>
      </c>
      <c r="BK5406">
        <v>-75</v>
      </c>
      <c r="BL5406" t="s">
        <v>188</v>
      </c>
      <c r="BM5406">
        <v>1</v>
      </c>
      <c r="BN5406">
        <v>1</v>
      </c>
      <c r="BO5406">
        <v>0</v>
      </c>
      <c r="BP5406">
        <v>0</v>
      </c>
      <c r="BS5406">
        <v>0</v>
      </c>
      <c r="BT5406">
        <v>0</v>
      </c>
      <c r="BU5406">
        <v>0</v>
      </c>
      <c r="CE5406" t="str">
        <f t="shared" si="2141"/>
        <v>15:19:32.584</v>
      </c>
      <c r="CF5406">
        <v>583504241</v>
      </c>
      <c r="CS5406">
        <v>0</v>
      </c>
      <c r="CT5406">
        <v>2</v>
      </c>
      <c r="CU5406">
        <v>0</v>
      </c>
      <c r="CV5406">
        <v>2</v>
      </c>
      <c r="CW5406">
        <v>0</v>
      </c>
      <c r="CX5406">
        <v>3</v>
      </c>
      <c r="CY5406">
        <v>7</v>
      </c>
      <c r="CZ5406" t="s">
        <v>133</v>
      </c>
      <c r="DA5406">
        <v>275</v>
      </c>
      <c r="DB5406">
        <v>0</v>
      </c>
      <c r="DC5406" t="s">
        <v>134</v>
      </c>
      <c r="DD5406" t="s">
        <v>135</v>
      </c>
      <c r="DG5406">
        <v>3323891</v>
      </c>
      <c r="DI5406">
        <v>1</v>
      </c>
      <c r="DJ5406">
        <v>0</v>
      </c>
      <c r="DK5406">
        <v>1</v>
      </c>
      <c r="DL5406">
        <v>0</v>
      </c>
      <c r="DM5406">
        <v>0</v>
      </c>
      <c r="DN5406">
        <v>0</v>
      </c>
      <c r="DO5406">
        <v>0</v>
      </c>
      <c r="DP5406">
        <v>0</v>
      </c>
      <c r="DQ5406">
        <v>0</v>
      </c>
      <c r="DR5406">
        <v>0</v>
      </c>
      <c r="DS5406">
        <v>0</v>
      </c>
    </row>
    <row r="5407" spans="1:123" x14ac:dyDescent="0.3">
      <c r="A5407" t="str">
        <f>"05/01/2025 15:19:32.851"</f>
        <v>05/01/2025 15:19:32.851</v>
      </c>
      <c r="C5407" t="str">
        <f t="shared" si="2128"/>
        <v>FFDFD3C0</v>
      </c>
      <c r="D5407" t="s">
        <v>143</v>
      </c>
      <c r="E5407" t="str">
        <f>"05"</f>
        <v>05</v>
      </c>
      <c r="H5407">
        <v>172</v>
      </c>
      <c r="I5407" t="s">
        <v>141</v>
      </c>
      <c r="J5407" t="s">
        <v>144</v>
      </c>
      <c r="K5407">
        <v>0</v>
      </c>
      <c r="L5407">
        <v>3</v>
      </c>
      <c r="M5407">
        <v>0</v>
      </c>
      <c r="N5407">
        <v>2</v>
      </c>
      <c r="O5407">
        <v>0</v>
      </c>
      <c r="P5407">
        <v>1</v>
      </c>
      <c r="Q5407">
        <v>0</v>
      </c>
      <c r="R5407" t="s">
        <v>127</v>
      </c>
      <c r="S5407" t="str">
        <f t="shared" si="2140"/>
        <v>15:19:32.000</v>
      </c>
      <c r="T5407" t="str">
        <f t="shared" si="2140"/>
        <v>15:19:32.000</v>
      </c>
      <c r="U5407" t="str">
        <f t="shared" si="2130"/>
        <v>A68FCB</v>
      </c>
      <c r="V5407">
        <v>0</v>
      </c>
      <c r="W5407">
        <v>0</v>
      </c>
      <c r="X5407">
        <v>2</v>
      </c>
      <c r="Y5407">
        <v>0</v>
      </c>
      <c r="AA5407">
        <v>1</v>
      </c>
      <c r="AB5407">
        <v>8</v>
      </c>
      <c r="AC5407">
        <v>3</v>
      </c>
      <c r="AD5407">
        <v>0</v>
      </c>
      <c r="AE5407">
        <v>9</v>
      </c>
      <c r="AF5407" t="s">
        <v>138</v>
      </c>
      <c r="AG5407">
        <v>0</v>
      </c>
      <c r="AH5407">
        <v>3</v>
      </c>
      <c r="AI5407">
        <v>1</v>
      </c>
      <c r="AJ5407">
        <v>0</v>
      </c>
      <c r="AK5407" t="s">
        <v>1696</v>
      </c>
      <c r="AL5407">
        <v>39.223658999999998</v>
      </c>
      <c r="AM5407" t="s">
        <v>1697</v>
      </c>
      <c r="AN5407">
        <v>-121.025176</v>
      </c>
      <c r="AO5407">
        <v>25</v>
      </c>
      <c r="AP5407">
        <v>3100</v>
      </c>
      <c r="AQ5407" t="s">
        <v>131</v>
      </c>
      <c r="AR5407">
        <v>-1</v>
      </c>
      <c r="AS5407">
        <v>-60</v>
      </c>
      <c r="AT5407">
        <v>-768</v>
      </c>
      <c r="BB5407" t="str">
        <f t="shared" si="2131"/>
        <v>1200</v>
      </c>
      <c r="BC5407">
        <v>1</v>
      </c>
      <c r="BD5407" t="str">
        <f t="shared" si="2132"/>
        <v xml:space="preserve">N52156  </v>
      </c>
      <c r="BE5407">
        <v>1</v>
      </c>
      <c r="BG5407">
        <v>0</v>
      </c>
      <c r="BH5407">
        <v>0</v>
      </c>
      <c r="BI5407">
        <v>0</v>
      </c>
      <c r="BJ5407">
        <v>3025</v>
      </c>
      <c r="BK5407">
        <v>-75</v>
      </c>
      <c r="BL5407" t="s">
        <v>188</v>
      </c>
      <c r="BM5407">
        <v>1</v>
      </c>
      <c r="BN5407">
        <v>1</v>
      </c>
      <c r="BO5407">
        <v>0</v>
      </c>
      <c r="BP5407">
        <v>0</v>
      </c>
      <c r="BS5407">
        <v>0</v>
      </c>
      <c r="BT5407">
        <v>0</v>
      </c>
      <c r="BU5407">
        <v>0</v>
      </c>
      <c r="CE5407" t="str">
        <f t="shared" si="2141"/>
        <v>15:19:32.584</v>
      </c>
      <c r="CF5407">
        <v>583504241</v>
      </c>
      <c r="CS5407">
        <v>0</v>
      </c>
      <c r="CT5407">
        <v>2</v>
      </c>
      <c r="CU5407">
        <v>0</v>
      </c>
      <c r="CV5407">
        <v>2</v>
      </c>
      <c r="CW5407">
        <v>0</v>
      </c>
      <c r="CX5407">
        <v>3</v>
      </c>
      <c r="CY5407">
        <v>7</v>
      </c>
      <c r="CZ5407" t="s">
        <v>133</v>
      </c>
      <c r="DA5407">
        <v>275</v>
      </c>
      <c r="DB5407">
        <v>0</v>
      </c>
      <c r="DC5407" t="s">
        <v>134</v>
      </c>
      <c r="DD5407" t="s">
        <v>135</v>
      </c>
      <c r="DG5407">
        <v>3323891</v>
      </c>
      <c r="DI5407">
        <v>1</v>
      </c>
      <c r="DJ5407">
        <v>0</v>
      </c>
      <c r="DK5407">
        <v>1</v>
      </c>
      <c r="DL5407">
        <v>0</v>
      </c>
      <c r="DM5407">
        <v>0</v>
      </c>
      <c r="DN5407">
        <v>0</v>
      </c>
      <c r="DO5407">
        <v>0</v>
      </c>
      <c r="DP5407">
        <v>0</v>
      </c>
      <c r="DQ5407">
        <v>0</v>
      </c>
      <c r="DR5407">
        <v>0</v>
      </c>
      <c r="DS5407">
        <v>0</v>
      </c>
    </row>
    <row r="5408" spans="1:123" x14ac:dyDescent="0.3">
      <c r="A5408" t="str">
        <f>"05/01/2025 15:19:33.985"</f>
        <v>05/01/2025 15:19:33.985</v>
      </c>
      <c r="C5408" t="str">
        <f t="shared" si="2128"/>
        <v>FFDFD3C0</v>
      </c>
      <c r="D5408" t="s">
        <v>140</v>
      </c>
      <c r="E5408" t="str">
        <f>"13"</f>
        <v>13</v>
      </c>
      <c r="F5408">
        <v>1019</v>
      </c>
      <c r="G5408" t="s">
        <v>141</v>
      </c>
      <c r="J5408" t="s">
        <v>142</v>
      </c>
      <c r="K5408">
        <v>0</v>
      </c>
      <c r="L5408">
        <v>3</v>
      </c>
      <c r="M5408">
        <v>0</v>
      </c>
      <c r="N5408">
        <v>2</v>
      </c>
      <c r="O5408">
        <v>0</v>
      </c>
      <c r="P5408">
        <v>1</v>
      </c>
      <c r="Q5408">
        <v>0</v>
      </c>
      <c r="R5408" t="s">
        <v>127</v>
      </c>
      <c r="S5408" t="str">
        <f t="shared" ref="S5408:T5413" si="2142">"15:19:33.000"</f>
        <v>15:19:33.000</v>
      </c>
      <c r="T5408" t="str">
        <f t="shared" si="2142"/>
        <v>15:19:33.000</v>
      </c>
      <c r="U5408" t="str">
        <f t="shared" si="2130"/>
        <v>A68FCB</v>
      </c>
      <c r="V5408">
        <v>0</v>
      </c>
      <c r="W5408">
        <v>0</v>
      </c>
      <c r="X5408">
        <v>2</v>
      </c>
      <c r="Y5408">
        <v>0</v>
      </c>
      <c r="AA5408">
        <v>1</v>
      </c>
      <c r="AB5408">
        <v>8</v>
      </c>
      <c r="AC5408">
        <v>3</v>
      </c>
      <c r="AD5408">
        <v>0</v>
      </c>
      <c r="AE5408">
        <v>9</v>
      </c>
      <c r="AF5408" t="s">
        <v>138</v>
      </c>
      <c r="AG5408">
        <v>0</v>
      </c>
      <c r="AH5408">
        <v>3</v>
      </c>
      <c r="AI5408">
        <v>1</v>
      </c>
      <c r="AJ5408">
        <v>0</v>
      </c>
      <c r="AK5408" t="s">
        <v>1698</v>
      </c>
      <c r="AL5408">
        <v>39.223359000000002</v>
      </c>
      <c r="AM5408" t="s">
        <v>1695</v>
      </c>
      <c r="AN5408">
        <v>-121.02521900000001</v>
      </c>
      <c r="AO5408">
        <v>25</v>
      </c>
      <c r="AP5408">
        <v>3100</v>
      </c>
      <c r="AQ5408" t="s">
        <v>131</v>
      </c>
      <c r="AR5408">
        <v>-12</v>
      </c>
      <c r="AS5408">
        <v>-60</v>
      </c>
      <c r="AT5408">
        <v>-832</v>
      </c>
      <c r="BB5408" t="str">
        <f t="shared" si="2131"/>
        <v>1200</v>
      </c>
      <c r="BC5408">
        <v>1</v>
      </c>
      <c r="BD5408" t="str">
        <f t="shared" si="2132"/>
        <v xml:space="preserve">N52156  </v>
      </c>
      <c r="BE5408">
        <v>1</v>
      </c>
      <c r="BG5408">
        <v>0</v>
      </c>
      <c r="BH5408">
        <v>0</v>
      </c>
      <c r="BI5408">
        <v>0</v>
      </c>
      <c r="BJ5408">
        <v>3025</v>
      </c>
      <c r="BK5408">
        <v>-75</v>
      </c>
      <c r="BL5408" t="s">
        <v>188</v>
      </c>
      <c r="BM5408">
        <v>1</v>
      </c>
      <c r="BN5408">
        <v>1</v>
      </c>
      <c r="BO5408">
        <v>0</v>
      </c>
      <c r="BP5408">
        <v>0</v>
      </c>
      <c r="BS5408">
        <v>0</v>
      </c>
      <c r="BT5408">
        <v>0</v>
      </c>
      <c r="BU5408">
        <v>0</v>
      </c>
      <c r="CE5408" t="str">
        <f t="shared" ref="CE5408:CE5413" si="2143">"15:19:33.786"</f>
        <v>15:19:33.786</v>
      </c>
      <c r="CF5408">
        <v>785504613</v>
      </c>
      <c r="CS5408">
        <v>0</v>
      </c>
      <c r="CT5408">
        <v>2</v>
      </c>
      <c r="CU5408">
        <v>0</v>
      </c>
      <c r="CV5408">
        <v>2</v>
      </c>
      <c r="CW5408">
        <v>0</v>
      </c>
      <c r="CX5408">
        <v>1</v>
      </c>
      <c r="CY5408">
        <v>7</v>
      </c>
      <c r="CZ5408" t="s">
        <v>133</v>
      </c>
      <c r="DA5408">
        <v>275</v>
      </c>
      <c r="DB5408">
        <v>0</v>
      </c>
      <c r="DC5408" t="s">
        <v>134</v>
      </c>
      <c r="DD5408" t="s">
        <v>135</v>
      </c>
      <c r="DG5408">
        <v>3323903</v>
      </c>
      <c r="DI5408">
        <v>1</v>
      </c>
      <c r="DJ5408">
        <v>0</v>
      </c>
      <c r="DK5408">
        <v>0</v>
      </c>
      <c r="DL5408">
        <v>0</v>
      </c>
      <c r="DM5408">
        <v>0</v>
      </c>
      <c r="DN5408">
        <v>0</v>
      </c>
      <c r="DO5408">
        <v>0</v>
      </c>
      <c r="DP5408">
        <v>0</v>
      </c>
      <c r="DQ5408">
        <v>0</v>
      </c>
      <c r="DR5408">
        <v>0</v>
      </c>
      <c r="DS5408">
        <v>0</v>
      </c>
    </row>
    <row r="5409" spans="1:123" x14ac:dyDescent="0.3">
      <c r="A5409" t="str">
        <f>"05/01/2025 15:19:33.988"</f>
        <v>05/01/2025 15:19:33.988</v>
      </c>
      <c r="C5409" t="str">
        <f t="shared" si="2128"/>
        <v>FFDFD3C0</v>
      </c>
      <c r="D5409" t="s">
        <v>124</v>
      </c>
      <c r="E5409" t="str">
        <f>"06"</f>
        <v>06</v>
      </c>
      <c r="F5409">
        <v>2006</v>
      </c>
      <c r="G5409" t="s">
        <v>125</v>
      </c>
      <c r="J5409" t="s">
        <v>126</v>
      </c>
      <c r="K5409">
        <v>0</v>
      </c>
      <c r="L5409">
        <v>3</v>
      </c>
      <c r="M5409">
        <v>0</v>
      </c>
      <c r="N5409">
        <v>2</v>
      </c>
      <c r="O5409">
        <v>0</v>
      </c>
      <c r="P5409">
        <v>1</v>
      </c>
      <c r="Q5409">
        <v>0</v>
      </c>
      <c r="R5409" t="s">
        <v>127</v>
      </c>
      <c r="S5409" t="str">
        <f t="shared" si="2142"/>
        <v>15:19:33.000</v>
      </c>
      <c r="T5409" t="str">
        <f t="shared" si="2142"/>
        <v>15:19:33.000</v>
      </c>
      <c r="U5409" t="str">
        <f t="shared" si="2130"/>
        <v>A68FCB</v>
      </c>
      <c r="V5409">
        <v>0</v>
      </c>
      <c r="W5409">
        <v>0</v>
      </c>
      <c r="X5409">
        <v>2</v>
      </c>
      <c r="Y5409">
        <v>0</v>
      </c>
      <c r="AA5409">
        <v>1</v>
      </c>
      <c r="AB5409">
        <v>8</v>
      </c>
      <c r="AC5409">
        <v>3</v>
      </c>
      <c r="AD5409">
        <v>0</v>
      </c>
      <c r="AE5409">
        <v>9</v>
      </c>
      <c r="AF5409" t="s">
        <v>138</v>
      </c>
      <c r="AG5409">
        <v>0</v>
      </c>
      <c r="AH5409">
        <v>3</v>
      </c>
      <c r="AI5409">
        <v>1</v>
      </c>
      <c r="AJ5409">
        <v>0</v>
      </c>
      <c r="AK5409" t="s">
        <v>1698</v>
      </c>
      <c r="AL5409">
        <v>39.223359000000002</v>
      </c>
      <c r="AM5409" t="s">
        <v>1695</v>
      </c>
      <c r="AN5409">
        <v>-121.02521900000001</v>
      </c>
      <c r="AO5409">
        <v>25</v>
      </c>
      <c r="AP5409">
        <v>3100</v>
      </c>
      <c r="AQ5409" t="s">
        <v>131</v>
      </c>
      <c r="AR5409">
        <v>-12</v>
      </c>
      <c r="AS5409">
        <v>-60</v>
      </c>
      <c r="AT5409">
        <v>-832</v>
      </c>
      <c r="BB5409" t="str">
        <f t="shared" si="2131"/>
        <v>1200</v>
      </c>
      <c r="BC5409">
        <v>1</v>
      </c>
      <c r="BD5409" t="str">
        <f t="shared" si="2132"/>
        <v xml:space="preserve">N52156  </v>
      </c>
      <c r="BE5409">
        <v>1</v>
      </c>
      <c r="BG5409">
        <v>0</v>
      </c>
      <c r="BH5409">
        <v>0</v>
      </c>
      <c r="BI5409">
        <v>0</v>
      </c>
      <c r="BJ5409">
        <v>3025</v>
      </c>
      <c r="BK5409">
        <v>-75</v>
      </c>
      <c r="BL5409" t="s">
        <v>188</v>
      </c>
      <c r="BM5409">
        <v>1</v>
      </c>
      <c r="BN5409">
        <v>1</v>
      </c>
      <c r="BO5409">
        <v>0</v>
      </c>
      <c r="BP5409">
        <v>0</v>
      </c>
      <c r="BS5409">
        <v>0</v>
      </c>
      <c r="BT5409">
        <v>0</v>
      </c>
      <c r="BU5409">
        <v>0</v>
      </c>
      <c r="CE5409" t="str">
        <f t="shared" si="2143"/>
        <v>15:19:33.786</v>
      </c>
      <c r="CF5409">
        <v>785504613</v>
      </c>
      <c r="CS5409">
        <v>0</v>
      </c>
      <c r="CT5409">
        <v>2</v>
      </c>
      <c r="CU5409">
        <v>0</v>
      </c>
      <c r="CV5409">
        <v>2</v>
      </c>
      <c r="CW5409">
        <v>0</v>
      </c>
      <c r="CX5409">
        <v>1</v>
      </c>
      <c r="CY5409">
        <v>7</v>
      </c>
      <c r="CZ5409" t="s">
        <v>133</v>
      </c>
      <c r="DA5409">
        <v>275</v>
      </c>
      <c r="DB5409">
        <v>0</v>
      </c>
      <c r="DC5409" t="s">
        <v>134</v>
      </c>
      <c r="DD5409" t="s">
        <v>135</v>
      </c>
      <c r="DG5409">
        <v>3323903</v>
      </c>
      <c r="DI5409">
        <v>1</v>
      </c>
      <c r="DJ5409">
        <v>0</v>
      </c>
      <c r="DK5409">
        <v>1</v>
      </c>
      <c r="DL5409">
        <v>0</v>
      </c>
      <c r="DM5409">
        <v>0</v>
      </c>
      <c r="DN5409">
        <v>0</v>
      </c>
      <c r="DO5409">
        <v>0</v>
      </c>
      <c r="DP5409">
        <v>0</v>
      </c>
      <c r="DQ5409">
        <v>0</v>
      </c>
      <c r="DR5409">
        <v>0</v>
      </c>
      <c r="DS5409">
        <v>0</v>
      </c>
    </row>
    <row r="5410" spans="1:123" x14ac:dyDescent="0.3">
      <c r="A5410" t="str">
        <f>"05/01/2025 15:19:34.003"</f>
        <v>05/01/2025 15:19:34.003</v>
      </c>
      <c r="C5410" t="str">
        <f t="shared" si="2128"/>
        <v>FFDFD3C0</v>
      </c>
      <c r="D5410" t="s">
        <v>143</v>
      </c>
      <c r="E5410" t="str">
        <f>"05"</f>
        <v>05</v>
      </c>
      <c r="H5410">
        <v>172</v>
      </c>
      <c r="I5410" t="s">
        <v>141</v>
      </c>
      <c r="J5410" t="s">
        <v>144</v>
      </c>
      <c r="K5410">
        <v>0</v>
      </c>
      <c r="L5410">
        <v>3</v>
      </c>
      <c r="M5410">
        <v>0</v>
      </c>
      <c r="N5410">
        <v>2</v>
      </c>
      <c r="O5410">
        <v>0</v>
      </c>
      <c r="P5410">
        <v>1</v>
      </c>
      <c r="Q5410">
        <v>0</v>
      </c>
      <c r="R5410" t="s">
        <v>127</v>
      </c>
      <c r="S5410" t="str">
        <f t="shared" si="2142"/>
        <v>15:19:33.000</v>
      </c>
      <c r="T5410" t="str">
        <f t="shared" si="2142"/>
        <v>15:19:33.000</v>
      </c>
      <c r="U5410" t="str">
        <f t="shared" si="2130"/>
        <v>A68FCB</v>
      </c>
      <c r="V5410">
        <v>0</v>
      </c>
      <c r="W5410">
        <v>0</v>
      </c>
      <c r="X5410">
        <v>2</v>
      </c>
      <c r="Y5410">
        <v>0</v>
      </c>
      <c r="AA5410">
        <v>1</v>
      </c>
      <c r="AB5410">
        <v>8</v>
      </c>
      <c r="AC5410">
        <v>3</v>
      </c>
      <c r="AD5410">
        <v>0</v>
      </c>
      <c r="AE5410">
        <v>9</v>
      </c>
      <c r="AF5410" t="s">
        <v>138</v>
      </c>
      <c r="AG5410">
        <v>0</v>
      </c>
      <c r="AH5410">
        <v>3</v>
      </c>
      <c r="AI5410">
        <v>1</v>
      </c>
      <c r="AJ5410">
        <v>0</v>
      </c>
      <c r="AK5410" t="s">
        <v>1698</v>
      </c>
      <c r="AL5410">
        <v>39.223359000000002</v>
      </c>
      <c r="AM5410" t="s">
        <v>1695</v>
      </c>
      <c r="AN5410">
        <v>-121.02521900000001</v>
      </c>
      <c r="AO5410">
        <v>25</v>
      </c>
      <c r="AP5410">
        <v>3100</v>
      </c>
      <c r="AQ5410" t="s">
        <v>131</v>
      </c>
      <c r="AR5410">
        <v>-12</v>
      </c>
      <c r="AS5410">
        <v>-60</v>
      </c>
      <c r="AT5410">
        <v>-832</v>
      </c>
      <c r="BB5410" t="str">
        <f t="shared" si="2131"/>
        <v>1200</v>
      </c>
      <c r="BC5410">
        <v>1</v>
      </c>
      <c r="BD5410" t="str">
        <f t="shared" si="2132"/>
        <v xml:space="preserve">N52156  </v>
      </c>
      <c r="BE5410">
        <v>1</v>
      </c>
      <c r="BG5410">
        <v>0</v>
      </c>
      <c r="BH5410">
        <v>0</v>
      </c>
      <c r="BI5410">
        <v>0</v>
      </c>
      <c r="BJ5410">
        <v>3025</v>
      </c>
      <c r="BK5410">
        <v>-75</v>
      </c>
      <c r="BL5410" t="s">
        <v>188</v>
      </c>
      <c r="BM5410">
        <v>1</v>
      </c>
      <c r="BN5410">
        <v>1</v>
      </c>
      <c r="BO5410">
        <v>0</v>
      </c>
      <c r="BP5410">
        <v>0</v>
      </c>
      <c r="BS5410">
        <v>0</v>
      </c>
      <c r="BT5410">
        <v>0</v>
      </c>
      <c r="BU5410">
        <v>0</v>
      </c>
      <c r="CE5410" t="str">
        <f t="shared" si="2143"/>
        <v>15:19:33.786</v>
      </c>
      <c r="CF5410">
        <v>785504613</v>
      </c>
      <c r="CS5410">
        <v>0</v>
      </c>
      <c r="CT5410">
        <v>2</v>
      </c>
      <c r="CU5410">
        <v>0</v>
      </c>
      <c r="CV5410">
        <v>2</v>
      </c>
      <c r="CW5410">
        <v>0</v>
      </c>
      <c r="CX5410">
        <v>1</v>
      </c>
      <c r="CY5410">
        <v>7</v>
      </c>
      <c r="CZ5410" t="s">
        <v>133</v>
      </c>
      <c r="DA5410">
        <v>275</v>
      </c>
      <c r="DB5410">
        <v>0</v>
      </c>
      <c r="DC5410" t="s">
        <v>134</v>
      </c>
      <c r="DD5410" t="s">
        <v>135</v>
      </c>
      <c r="DG5410">
        <v>3323903</v>
      </c>
      <c r="DI5410">
        <v>1</v>
      </c>
      <c r="DJ5410">
        <v>0</v>
      </c>
      <c r="DK5410">
        <v>1</v>
      </c>
      <c r="DL5410">
        <v>0</v>
      </c>
      <c r="DM5410">
        <v>0</v>
      </c>
      <c r="DN5410">
        <v>0</v>
      </c>
      <c r="DO5410">
        <v>0</v>
      </c>
      <c r="DP5410">
        <v>0</v>
      </c>
      <c r="DQ5410">
        <v>0</v>
      </c>
      <c r="DR5410">
        <v>0</v>
      </c>
      <c r="DS5410">
        <v>0</v>
      </c>
    </row>
    <row r="5411" spans="1:123" x14ac:dyDescent="0.3">
      <c r="A5411" t="str">
        <f>"05/01/2025 15:19:34.012"</f>
        <v>05/01/2025 15:19:34.012</v>
      </c>
      <c r="C5411" t="str">
        <f t="shared" si="2128"/>
        <v>FFDFD3C0</v>
      </c>
      <c r="D5411" t="s">
        <v>145</v>
      </c>
      <c r="E5411" t="str">
        <f>"09"</f>
        <v>09</v>
      </c>
      <c r="H5411">
        <v>51</v>
      </c>
      <c r="I5411" t="s">
        <v>147</v>
      </c>
      <c r="J5411" t="s">
        <v>138</v>
      </c>
      <c r="K5411">
        <v>0</v>
      </c>
      <c r="L5411">
        <v>3</v>
      </c>
      <c r="M5411">
        <v>0</v>
      </c>
      <c r="N5411">
        <v>2</v>
      </c>
      <c r="O5411">
        <v>0</v>
      </c>
      <c r="P5411">
        <v>1</v>
      </c>
      <c r="Q5411">
        <v>0</v>
      </c>
      <c r="R5411" t="s">
        <v>127</v>
      </c>
      <c r="S5411" t="str">
        <f t="shared" si="2142"/>
        <v>15:19:33.000</v>
      </c>
      <c r="T5411" t="str">
        <f t="shared" si="2142"/>
        <v>15:19:33.000</v>
      </c>
      <c r="U5411" t="str">
        <f t="shared" si="2130"/>
        <v>A68FCB</v>
      </c>
      <c r="V5411">
        <v>0</v>
      </c>
      <c r="W5411">
        <v>0</v>
      </c>
      <c r="X5411">
        <v>2</v>
      </c>
      <c r="Y5411">
        <v>0</v>
      </c>
      <c r="AA5411">
        <v>1</v>
      </c>
      <c r="AB5411">
        <v>8</v>
      </c>
      <c r="AC5411">
        <v>3</v>
      </c>
      <c r="AD5411">
        <v>0</v>
      </c>
      <c r="AE5411">
        <v>9</v>
      </c>
      <c r="AF5411" t="s">
        <v>138</v>
      </c>
      <c r="AG5411">
        <v>0</v>
      </c>
      <c r="AH5411">
        <v>3</v>
      </c>
      <c r="AI5411">
        <v>1</v>
      </c>
      <c r="AJ5411">
        <v>0</v>
      </c>
      <c r="AK5411" t="s">
        <v>1698</v>
      </c>
      <c r="AL5411">
        <v>39.223359000000002</v>
      </c>
      <c r="AM5411" t="s">
        <v>1695</v>
      </c>
      <c r="AN5411">
        <v>-121.02521900000001</v>
      </c>
      <c r="AO5411">
        <v>25</v>
      </c>
      <c r="AP5411">
        <v>3100</v>
      </c>
      <c r="AQ5411" t="s">
        <v>131</v>
      </c>
      <c r="AR5411">
        <v>-12</v>
      </c>
      <c r="AS5411">
        <v>-60</v>
      </c>
      <c r="AT5411">
        <v>-832</v>
      </c>
      <c r="BB5411" t="str">
        <f t="shared" si="2131"/>
        <v>1200</v>
      </c>
      <c r="BC5411">
        <v>1</v>
      </c>
      <c r="BD5411" t="str">
        <f t="shared" si="2132"/>
        <v xml:space="preserve">N52156  </v>
      </c>
      <c r="BE5411">
        <v>1</v>
      </c>
      <c r="BG5411">
        <v>0</v>
      </c>
      <c r="BH5411">
        <v>0</v>
      </c>
      <c r="BI5411">
        <v>0</v>
      </c>
      <c r="BJ5411">
        <v>3025</v>
      </c>
      <c r="BK5411">
        <v>-75</v>
      </c>
      <c r="BL5411" t="s">
        <v>188</v>
      </c>
      <c r="BM5411">
        <v>1</v>
      </c>
      <c r="BN5411">
        <v>1</v>
      </c>
      <c r="BO5411">
        <v>0</v>
      </c>
      <c r="BP5411">
        <v>0</v>
      </c>
      <c r="BS5411">
        <v>0</v>
      </c>
      <c r="BT5411">
        <v>0</v>
      </c>
      <c r="BU5411">
        <v>0</v>
      </c>
      <c r="CE5411" t="str">
        <f t="shared" si="2143"/>
        <v>15:19:33.786</v>
      </c>
      <c r="CF5411">
        <v>785504613</v>
      </c>
      <c r="CS5411">
        <v>0</v>
      </c>
      <c r="CT5411">
        <v>2</v>
      </c>
      <c r="CU5411">
        <v>0</v>
      </c>
      <c r="CV5411">
        <v>2</v>
      </c>
      <c r="CW5411">
        <v>0</v>
      </c>
      <c r="CX5411">
        <v>1</v>
      </c>
      <c r="CY5411">
        <v>7</v>
      </c>
      <c r="CZ5411" t="s">
        <v>133</v>
      </c>
      <c r="DA5411">
        <v>275</v>
      </c>
      <c r="DB5411">
        <v>0</v>
      </c>
      <c r="DC5411" t="s">
        <v>134</v>
      </c>
      <c r="DD5411" t="s">
        <v>135</v>
      </c>
      <c r="DG5411">
        <v>3323903</v>
      </c>
      <c r="DI5411">
        <v>1</v>
      </c>
      <c r="DJ5411">
        <v>0</v>
      </c>
      <c r="DK5411">
        <v>1</v>
      </c>
      <c r="DL5411">
        <v>0</v>
      </c>
      <c r="DM5411">
        <v>0</v>
      </c>
      <c r="DN5411">
        <v>0</v>
      </c>
      <c r="DO5411">
        <v>0</v>
      </c>
      <c r="DP5411">
        <v>0</v>
      </c>
      <c r="DQ5411">
        <v>0</v>
      </c>
      <c r="DR5411">
        <v>0</v>
      </c>
      <c r="DS5411">
        <v>0</v>
      </c>
    </row>
    <row r="5412" spans="1:123" x14ac:dyDescent="0.3">
      <c r="A5412" t="str">
        <f>"05/01/2025 15:19:34.013"</f>
        <v>05/01/2025 15:19:34.013</v>
      </c>
      <c r="C5412" t="str">
        <f t="shared" si="2128"/>
        <v>FFDFD3C0</v>
      </c>
      <c r="D5412" t="s">
        <v>145</v>
      </c>
      <c r="E5412" t="str">
        <f>"05"</f>
        <v>05</v>
      </c>
      <c r="H5412">
        <v>47</v>
      </c>
      <c r="I5412" t="s">
        <v>146</v>
      </c>
      <c r="J5412" t="s">
        <v>138</v>
      </c>
      <c r="K5412">
        <v>0</v>
      </c>
      <c r="L5412">
        <v>3</v>
      </c>
      <c r="M5412">
        <v>0</v>
      </c>
      <c r="N5412">
        <v>2</v>
      </c>
      <c r="O5412">
        <v>0</v>
      </c>
      <c r="P5412">
        <v>1</v>
      </c>
      <c r="Q5412">
        <v>0</v>
      </c>
      <c r="R5412" t="s">
        <v>127</v>
      </c>
      <c r="S5412" t="str">
        <f t="shared" si="2142"/>
        <v>15:19:33.000</v>
      </c>
      <c r="T5412" t="str">
        <f t="shared" si="2142"/>
        <v>15:19:33.000</v>
      </c>
      <c r="U5412" t="str">
        <f t="shared" si="2130"/>
        <v>A68FCB</v>
      </c>
      <c r="V5412">
        <v>0</v>
      </c>
      <c r="W5412">
        <v>0</v>
      </c>
      <c r="X5412">
        <v>2</v>
      </c>
      <c r="Y5412">
        <v>0</v>
      </c>
      <c r="AA5412">
        <v>1</v>
      </c>
      <c r="AB5412">
        <v>8</v>
      </c>
      <c r="AC5412">
        <v>3</v>
      </c>
      <c r="AD5412">
        <v>0</v>
      </c>
      <c r="AE5412">
        <v>9</v>
      </c>
      <c r="AF5412" t="s">
        <v>138</v>
      </c>
      <c r="AG5412">
        <v>0</v>
      </c>
      <c r="AH5412">
        <v>3</v>
      </c>
      <c r="AI5412">
        <v>1</v>
      </c>
      <c r="AJ5412">
        <v>0</v>
      </c>
      <c r="AK5412" t="s">
        <v>1698</v>
      </c>
      <c r="AL5412">
        <v>39.223359000000002</v>
      </c>
      <c r="AM5412" t="s">
        <v>1695</v>
      </c>
      <c r="AN5412">
        <v>-121.02521900000001</v>
      </c>
      <c r="AO5412">
        <v>25</v>
      </c>
      <c r="AP5412">
        <v>3100</v>
      </c>
      <c r="AQ5412" t="s">
        <v>131</v>
      </c>
      <c r="AR5412">
        <v>-12</v>
      </c>
      <c r="AS5412">
        <v>-60</v>
      </c>
      <c r="AT5412">
        <v>-832</v>
      </c>
      <c r="BB5412" t="str">
        <f t="shared" si="2131"/>
        <v>1200</v>
      </c>
      <c r="BC5412">
        <v>1</v>
      </c>
      <c r="BD5412" t="str">
        <f t="shared" si="2132"/>
        <v xml:space="preserve">N52156  </v>
      </c>
      <c r="BE5412">
        <v>1</v>
      </c>
      <c r="BG5412">
        <v>0</v>
      </c>
      <c r="BH5412">
        <v>0</v>
      </c>
      <c r="BI5412">
        <v>0</v>
      </c>
      <c r="BJ5412">
        <v>3025</v>
      </c>
      <c r="BK5412">
        <v>-75</v>
      </c>
      <c r="BL5412" t="s">
        <v>188</v>
      </c>
      <c r="BM5412">
        <v>1</v>
      </c>
      <c r="BN5412">
        <v>1</v>
      </c>
      <c r="BO5412">
        <v>0</v>
      </c>
      <c r="BP5412">
        <v>0</v>
      </c>
      <c r="BS5412">
        <v>0</v>
      </c>
      <c r="BT5412">
        <v>0</v>
      </c>
      <c r="BU5412">
        <v>0</v>
      </c>
      <c r="CE5412" t="str">
        <f t="shared" si="2143"/>
        <v>15:19:33.786</v>
      </c>
      <c r="CF5412">
        <v>785504613</v>
      </c>
      <c r="CS5412">
        <v>0</v>
      </c>
      <c r="CT5412">
        <v>2</v>
      </c>
      <c r="CU5412">
        <v>0</v>
      </c>
      <c r="CV5412">
        <v>2</v>
      </c>
      <c r="CW5412">
        <v>0</v>
      </c>
      <c r="CX5412">
        <v>1</v>
      </c>
      <c r="CY5412">
        <v>7</v>
      </c>
      <c r="CZ5412" t="s">
        <v>133</v>
      </c>
      <c r="DA5412">
        <v>275</v>
      </c>
      <c r="DB5412">
        <v>0</v>
      </c>
      <c r="DC5412" t="s">
        <v>134</v>
      </c>
      <c r="DD5412" t="s">
        <v>135</v>
      </c>
      <c r="DG5412">
        <v>3323903</v>
      </c>
      <c r="DI5412">
        <v>1</v>
      </c>
      <c r="DJ5412">
        <v>0</v>
      </c>
      <c r="DK5412">
        <v>1</v>
      </c>
      <c r="DL5412">
        <v>0</v>
      </c>
      <c r="DM5412">
        <v>0</v>
      </c>
      <c r="DN5412">
        <v>0</v>
      </c>
      <c r="DO5412">
        <v>0</v>
      </c>
      <c r="DP5412">
        <v>0</v>
      </c>
      <c r="DQ5412">
        <v>0</v>
      </c>
      <c r="DR5412">
        <v>0</v>
      </c>
      <c r="DS5412">
        <v>0</v>
      </c>
    </row>
    <row r="5413" spans="1:123" x14ac:dyDescent="0.3">
      <c r="A5413" t="str">
        <f>"05/01/2025 15:19:34.020"</f>
        <v>05/01/2025 15:19:34.020</v>
      </c>
      <c r="C5413" t="str">
        <f t="shared" si="2128"/>
        <v>FFDFD3C0</v>
      </c>
      <c r="D5413" t="s">
        <v>136</v>
      </c>
      <c r="E5413" t="str">
        <f>"20"</f>
        <v>20</v>
      </c>
      <c r="H5413">
        <v>400</v>
      </c>
      <c r="I5413" t="s">
        <v>137</v>
      </c>
      <c r="J5413" t="s">
        <v>138</v>
      </c>
      <c r="K5413">
        <v>0</v>
      </c>
      <c r="L5413">
        <v>3</v>
      </c>
      <c r="M5413">
        <v>0</v>
      </c>
      <c r="N5413">
        <v>2</v>
      </c>
      <c r="O5413">
        <v>0</v>
      </c>
      <c r="P5413">
        <v>1</v>
      </c>
      <c r="Q5413">
        <v>0</v>
      </c>
      <c r="R5413" t="s">
        <v>127</v>
      </c>
      <c r="S5413" t="str">
        <f t="shared" si="2142"/>
        <v>15:19:33.000</v>
      </c>
      <c r="T5413" t="str">
        <f t="shared" si="2142"/>
        <v>15:19:33.000</v>
      </c>
      <c r="U5413" t="str">
        <f t="shared" si="2130"/>
        <v>A68FCB</v>
      </c>
      <c r="V5413">
        <v>0</v>
      </c>
      <c r="W5413">
        <v>0</v>
      </c>
      <c r="X5413">
        <v>2</v>
      </c>
      <c r="Y5413">
        <v>0</v>
      </c>
      <c r="AA5413">
        <v>1</v>
      </c>
      <c r="AB5413">
        <v>8</v>
      </c>
      <c r="AC5413">
        <v>3</v>
      </c>
      <c r="AD5413">
        <v>0</v>
      </c>
      <c r="AE5413">
        <v>9</v>
      </c>
      <c r="AF5413" t="s">
        <v>138</v>
      </c>
      <c r="AG5413">
        <v>0</v>
      </c>
      <c r="AH5413">
        <v>3</v>
      </c>
      <c r="AI5413">
        <v>1</v>
      </c>
      <c r="AJ5413">
        <v>0</v>
      </c>
      <c r="AK5413" t="s">
        <v>1698</v>
      </c>
      <c r="AL5413">
        <v>39.223359000000002</v>
      </c>
      <c r="AM5413" t="s">
        <v>1695</v>
      </c>
      <c r="AN5413">
        <v>-121.02521900000001</v>
      </c>
      <c r="AO5413">
        <v>25</v>
      </c>
      <c r="AP5413">
        <v>3100</v>
      </c>
      <c r="AQ5413" t="s">
        <v>131</v>
      </c>
      <c r="AR5413">
        <v>-12</v>
      </c>
      <c r="AS5413">
        <v>-60</v>
      </c>
      <c r="AT5413">
        <v>-832</v>
      </c>
      <c r="BB5413" t="str">
        <f t="shared" si="2131"/>
        <v>1200</v>
      </c>
      <c r="BC5413">
        <v>1</v>
      </c>
      <c r="BD5413" t="str">
        <f t="shared" si="2132"/>
        <v xml:space="preserve">N52156  </v>
      </c>
      <c r="BE5413">
        <v>1</v>
      </c>
      <c r="BG5413">
        <v>0</v>
      </c>
      <c r="BH5413">
        <v>0</v>
      </c>
      <c r="BI5413">
        <v>0</v>
      </c>
      <c r="BJ5413">
        <v>3025</v>
      </c>
      <c r="BK5413">
        <v>-75</v>
      </c>
      <c r="BL5413" t="s">
        <v>188</v>
      </c>
      <c r="BM5413">
        <v>1</v>
      </c>
      <c r="BN5413">
        <v>1</v>
      </c>
      <c r="BO5413">
        <v>0</v>
      </c>
      <c r="BP5413">
        <v>0</v>
      </c>
      <c r="BS5413">
        <v>0</v>
      </c>
      <c r="BT5413">
        <v>0</v>
      </c>
      <c r="BU5413">
        <v>0</v>
      </c>
      <c r="CE5413" t="str">
        <f t="shared" si="2143"/>
        <v>15:19:33.786</v>
      </c>
      <c r="CF5413">
        <v>785504613</v>
      </c>
      <c r="CS5413">
        <v>0</v>
      </c>
      <c r="CT5413">
        <v>2</v>
      </c>
      <c r="CU5413">
        <v>0</v>
      </c>
      <c r="CV5413">
        <v>2</v>
      </c>
      <c r="CW5413">
        <v>0</v>
      </c>
      <c r="CX5413">
        <v>1</v>
      </c>
      <c r="CY5413">
        <v>7</v>
      </c>
      <c r="CZ5413" t="s">
        <v>133</v>
      </c>
      <c r="DA5413">
        <v>275</v>
      </c>
      <c r="DB5413">
        <v>0</v>
      </c>
      <c r="DC5413" t="s">
        <v>134</v>
      </c>
      <c r="DD5413" t="s">
        <v>135</v>
      </c>
      <c r="DG5413">
        <v>3323903</v>
      </c>
      <c r="DI5413">
        <v>1</v>
      </c>
      <c r="DJ5413">
        <v>0</v>
      </c>
      <c r="DK5413">
        <v>1</v>
      </c>
      <c r="DL5413">
        <v>0</v>
      </c>
      <c r="DM5413">
        <v>0</v>
      </c>
      <c r="DN5413">
        <v>0</v>
      </c>
      <c r="DO5413">
        <v>0</v>
      </c>
      <c r="DP5413">
        <v>0</v>
      </c>
      <c r="DQ5413">
        <v>0</v>
      </c>
      <c r="DR5413">
        <v>0</v>
      </c>
      <c r="DS5413">
        <v>0</v>
      </c>
    </row>
    <row r="5414" spans="1:123" x14ac:dyDescent="0.3">
      <c r="A5414" t="str">
        <f>"05/01/2025 15:19:34.704"</f>
        <v>05/01/2025 15:19:34.704</v>
      </c>
      <c r="C5414" t="str">
        <f t="shared" si="2128"/>
        <v>FFDFD3C0</v>
      </c>
      <c r="D5414" t="s">
        <v>143</v>
      </c>
      <c r="E5414" t="str">
        <f>"05"</f>
        <v>05</v>
      </c>
      <c r="H5414">
        <v>172</v>
      </c>
      <c r="I5414" t="s">
        <v>141</v>
      </c>
      <c r="J5414" t="s">
        <v>144</v>
      </c>
      <c r="K5414">
        <v>0</v>
      </c>
      <c r="L5414">
        <v>3</v>
      </c>
      <c r="M5414">
        <v>0</v>
      </c>
      <c r="N5414">
        <v>2</v>
      </c>
      <c r="O5414">
        <v>0</v>
      </c>
      <c r="P5414">
        <v>1</v>
      </c>
      <c r="Q5414">
        <v>0</v>
      </c>
      <c r="R5414" t="s">
        <v>127</v>
      </c>
      <c r="S5414" t="str">
        <f t="shared" ref="S5414:T5419" si="2144">"15:19:34.000"</f>
        <v>15:19:34.000</v>
      </c>
      <c r="T5414" t="str">
        <f t="shared" si="2144"/>
        <v>15:19:34.000</v>
      </c>
      <c r="U5414" t="str">
        <f t="shared" si="2130"/>
        <v>A68FCB</v>
      </c>
      <c r="V5414">
        <v>0</v>
      </c>
      <c r="W5414">
        <v>0</v>
      </c>
      <c r="X5414">
        <v>2</v>
      </c>
      <c r="Y5414">
        <v>0</v>
      </c>
      <c r="AA5414">
        <v>1</v>
      </c>
      <c r="AB5414">
        <v>8</v>
      </c>
      <c r="AC5414">
        <v>3</v>
      </c>
      <c r="AD5414">
        <v>0</v>
      </c>
      <c r="AE5414">
        <v>9</v>
      </c>
      <c r="AF5414" t="s">
        <v>138</v>
      </c>
      <c r="AG5414">
        <v>0</v>
      </c>
      <c r="AH5414">
        <v>3</v>
      </c>
      <c r="AI5414">
        <v>1</v>
      </c>
      <c r="AJ5414">
        <v>0</v>
      </c>
      <c r="AK5414" t="s">
        <v>1519</v>
      </c>
      <c r="AL5414">
        <v>39.223080000000003</v>
      </c>
      <c r="AM5414" t="s">
        <v>1694</v>
      </c>
      <c r="AN5414">
        <v>-121.025305</v>
      </c>
      <c r="AO5414">
        <v>25</v>
      </c>
      <c r="AP5414">
        <v>3000</v>
      </c>
      <c r="AQ5414" t="s">
        <v>131</v>
      </c>
      <c r="AR5414">
        <v>-17</v>
      </c>
      <c r="AS5414">
        <v>-61</v>
      </c>
      <c r="AT5414">
        <v>-960</v>
      </c>
      <c r="BB5414" t="str">
        <f t="shared" si="2131"/>
        <v>1200</v>
      </c>
      <c r="BC5414">
        <v>1</v>
      </c>
      <c r="BD5414" t="str">
        <f t="shared" si="2132"/>
        <v xml:space="preserve">N52156  </v>
      </c>
      <c r="BE5414">
        <v>1</v>
      </c>
      <c r="BG5414">
        <v>0</v>
      </c>
      <c r="BH5414">
        <v>0</v>
      </c>
      <c r="BI5414">
        <v>0</v>
      </c>
      <c r="BJ5414">
        <v>3025</v>
      </c>
      <c r="BK5414">
        <v>25</v>
      </c>
      <c r="BL5414" t="s">
        <v>188</v>
      </c>
      <c r="BM5414">
        <v>1</v>
      </c>
      <c r="BN5414">
        <v>1</v>
      </c>
      <c r="BO5414">
        <v>0</v>
      </c>
      <c r="BP5414">
        <v>0</v>
      </c>
      <c r="BS5414">
        <v>0</v>
      </c>
      <c r="BT5414">
        <v>0</v>
      </c>
      <c r="BU5414">
        <v>0</v>
      </c>
      <c r="CE5414" t="str">
        <f t="shared" ref="CE5414:CE5419" si="2145">"15:19:34.464"</f>
        <v>15:19:34.464</v>
      </c>
      <c r="CF5414">
        <v>463503714</v>
      </c>
      <c r="CS5414">
        <v>0</v>
      </c>
      <c r="CT5414">
        <v>2</v>
      </c>
      <c r="CU5414">
        <v>0</v>
      </c>
      <c r="CV5414">
        <v>2</v>
      </c>
      <c r="CW5414">
        <v>0</v>
      </c>
      <c r="CX5414">
        <v>0</v>
      </c>
      <c r="CY5414">
        <v>7</v>
      </c>
      <c r="CZ5414" t="s">
        <v>133</v>
      </c>
      <c r="DA5414">
        <v>275</v>
      </c>
      <c r="DB5414">
        <v>0</v>
      </c>
      <c r="DC5414" t="s">
        <v>134</v>
      </c>
      <c r="DD5414" t="s">
        <v>135</v>
      </c>
      <c r="DG5414">
        <v>3323907</v>
      </c>
      <c r="DI5414">
        <v>1</v>
      </c>
      <c r="DJ5414">
        <v>0</v>
      </c>
      <c r="DK5414">
        <v>0</v>
      </c>
      <c r="DL5414">
        <v>0</v>
      </c>
      <c r="DM5414">
        <v>0</v>
      </c>
      <c r="DN5414">
        <v>0</v>
      </c>
      <c r="DO5414">
        <v>0</v>
      </c>
      <c r="DP5414">
        <v>0</v>
      </c>
      <c r="DQ5414">
        <v>0</v>
      </c>
      <c r="DR5414">
        <v>0</v>
      </c>
      <c r="DS5414">
        <v>0</v>
      </c>
    </row>
    <row r="5415" spans="1:123" x14ac:dyDescent="0.3">
      <c r="A5415" t="str">
        <f>"05/01/2025 15:19:34.715"</f>
        <v>05/01/2025 15:19:34.715</v>
      </c>
      <c r="C5415" t="str">
        <f t="shared" si="2128"/>
        <v>FFDFD3C0</v>
      </c>
      <c r="D5415" t="s">
        <v>145</v>
      </c>
      <c r="E5415" t="str">
        <f>"05"</f>
        <v>05</v>
      </c>
      <c r="H5415">
        <v>47</v>
      </c>
      <c r="I5415" t="s">
        <v>146</v>
      </c>
      <c r="J5415" t="s">
        <v>138</v>
      </c>
      <c r="K5415">
        <v>0</v>
      </c>
      <c r="L5415">
        <v>3</v>
      </c>
      <c r="M5415">
        <v>0</v>
      </c>
      <c r="N5415">
        <v>2</v>
      </c>
      <c r="O5415">
        <v>0</v>
      </c>
      <c r="P5415">
        <v>1</v>
      </c>
      <c r="Q5415">
        <v>0</v>
      </c>
      <c r="R5415" t="s">
        <v>127</v>
      </c>
      <c r="S5415" t="str">
        <f t="shared" si="2144"/>
        <v>15:19:34.000</v>
      </c>
      <c r="T5415" t="str">
        <f t="shared" si="2144"/>
        <v>15:19:34.000</v>
      </c>
      <c r="U5415" t="str">
        <f t="shared" si="2130"/>
        <v>A68FCB</v>
      </c>
      <c r="V5415">
        <v>0</v>
      </c>
      <c r="W5415">
        <v>0</v>
      </c>
      <c r="X5415">
        <v>2</v>
      </c>
      <c r="Y5415">
        <v>0</v>
      </c>
      <c r="AA5415">
        <v>1</v>
      </c>
      <c r="AB5415">
        <v>8</v>
      </c>
      <c r="AC5415">
        <v>3</v>
      </c>
      <c r="AD5415">
        <v>0</v>
      </c>
      <c r="AE5415">
        <v>9</v>
      </c>
      <c r="AF5415" t="s">
        <v>138</v>
      </c>
      <c r="AG5415">
        <v>0</v>
      </c>
      <c r="AH5415">
        <v>3</v>
      </c>
      <c r="AI5415">
        <v>1</v>
      </c>
      <c r="AJ5415">
        <v>0</v>
      </c>
      <c r="AK5415" t="s">
        <v>1519</v>
      </c>
      <c r="AL5415">
        <v>39.223080000000003</v>
      </c>
      <c r="AM5415" t="s">
        <v>1694</v>
      </c>
      <c r="AN5415">
        <v>-121.025305</v>
      </c>
      <c r="AO5415">
        <v>25</v>
      </c>
      <c r="AP5415">
        <v>3000</v>
      </c>
      <c r="AQ5415" t="s">
        <v>131</v>
      </c>
      <c r="AR5415">
        <v>-17</v>
      </c>
      <c r="AS5415">
        <v>-61</v>
      </c>
      <c r="AT5415">
        <v>-960</v>
      </c>
      <c r="BB5415" t="str">
        <f t="shared" si="2131"/>
        <v>1200</v>
      </c>
      <c r="BC5415">
        <v>1</v>
      </c>
      <c r="BD5415" t="str">
        <f t="shared" si="2132"/>
        <v xml:space="preserve">N52156  </v>
      </c>
      <c r="BE5415">
        <v>1</v>
      </c>
      <c r="BG5415">
        <v>0</v>
      </c>
      <c r="BH5415">
        <v>0</v>
      </c>
      <c r="BI5415">
        <v>0</v>
      </c>
      <c r="BJ5415">
        <v>3025</v>
      </c>
      <c r="BK5415">
        <v>25</v>
      </c>
      <c r="BL5415" t="s">
        <v>188</v>
      </c>
      <c r="BM5415">
        <v>1</v>
      </c>
      <c r="BN5415">
        <v>1</v>
      </c>
      <c r="BO5415">
        <v>0</v>
      </c>
      <c r="BP5415">
        <v>0</v>
      </c>
      <c r="BS5415">
        <v>0</v>
      </c>
      <c r="BT5415">
        <v>0</v>
      </c>
      <c r="BU5415">
        <v>0</v>
      </c>
      <c r="CE5415" t="str">
        <f t="shared" si="2145"/>
        <v>15:19:34.464</v>
      </c>
      <c r="CF5415">
        <v>463503714</v>
      </c>
      <c r="CS5415">
        <v>0</v>
      </c>
      <c r="CT5415">
        <v>2</v>
      </c>
      <c r="CU5415">
        <v>0</v>
      </c>
      <c r="CV5415">
        <v>2</v>
      </c>
      <c r="CW5415">
        <v>0</v>
      </c>
      <c r="CX5415">
        <v>0</v>
      </c>
      <c r="CY5415">
        <v>7</v>
      </c>
      <c r="CZ5415" t="s">
        <v>133</v>
      </c>
      <c r="DA5415">
        <v>275</v>
      </c>
      <c r="DB5415">
        <v>0</v>
      </c>
      <c r="DC5415" t="s">
        <v>134</v>
      </c>
      <c r="DD5415" t="s">
        <v>135</v>
      </c>
      <c r="DG5415">
        <v>3323907</v>
      </c>
      <c r="DI5415">
        <v>1</v>
      </c>
      <c r="DJ5415">
        <v>0</v>
      </c>
      <c r="DK5415">
        <v>1</v>
      </c>
      <c r="DL5415">
        <v>0</v>
      </c>
      <c r="DM5415">
        <v>0</v>
      </c>
      <c r="DN5415">
        <v>0</v>
      </c>
      <c r="DO5415">
        <v>0</v>
      </c>
      <c r="DP5415">
        <v>0</v>
      </c>
      <c r="DQ5415">
        <v>0</v>
      </c>
      <c r="DR5415">
        <v>0</v>
      </c>
      <c r="DS5415">
        <v>0</v>
      </c>
    </row>
    <row r="5416" spans="1:123" x14ac:dyDescent="0.3">
      <c r="A5416" t="str">
        <f>"05/01/2025 15:19:34.713"</f>
        <v>05/01/2025 15:19:34.713</v>
      </c>
      <c r="C5416" t="str">
        <f t="shared" si="2128"/>
        <v>FFDFD3C0</v>
      </c>
      <c r="D5416" t="s">
        <v>145</v>
      </c>
      <c r="E5416" t="str">
        <f>"09"</f>
        <v>09</v>
      </c>
      <c r="H5416">
        <v>51</v>
      </c>
      <c r="I5416" t="s">
        <v>147</v>
      </c>
      <c r="J5416" t="s">
        <v>138</v>
      </c>
      <c r="K5416">
        <v>0</v>
      </c>
      <c r="L5416">
        <v>3</v>
      </c>
      <c r="M5416">
        <v>0</v>
      </c>
      <c r="N5416">
        <v>2</v>
      </c>
      <c r="O5416">
        <v>0</v>
      </c>
      <c r="P5416">
        <v>1</v>
      </c>
      <c r="Q5416">
        <v>0</v>
      </c>
      <c r="R5416" t="s">
        <v>127</v>
      </c>
      <c r="S5416" t="str">
        <f t="shared" si="2144"/>
        <v>15:19:34.000</v>
      </c>
      <c r="T5416" t="str">
        <f t="shared" si="2144"/>
        <v>15:19:34.000</v>
      </c>
      <c r="U5416" t="str">
        <f t="shared" si="2130"/>
        <v>A68FCB</v>
      </c>
      <c r="V5416">
        <v>0</v>
      </c>
      <c r="W5416">
        <v>0</v>
      </c>
      <c r="X5416">
        <v>2</v>
      </c>
      <c r="Y5416">
        <v>0</v>
      </c>
      <c r="AA5416">
        <v>1</v>
      </c>
      <c r="AB5416">
        <v>8</v>
      </c>
      <c r="AC5416">
        <v>3</v>
      </c>
      <c r="AD5416">
        <v>0</v>
      </c>
      <c r="AE5416">
        <v>9</v>
      </c>
      <c r="AF5416" t="s">
        <v>138</v>
      </c>
      <c r="AG5416">
        <v>0</v>
      </c>
      <c r="AH5416">
        <v>3</v>
      </c>
      <c r="AI5416">
        <v>1</v>
      </c>
      <c r="AJ5416">
        <v>0</v>
      </c>
      <c r="AK5416" t="s">
        <v>1519</v>
      </c>
      <c r="AL5416">
        <v>39.223080000000003</v>
      </c>
      <c r="AM5416" t="s">
        <v>1694</v>
      </c>
      <c r="AN5416">
        <v>-121.025305</v>
      </c>
      <c r="AO5416">
        <v>25</v>
      </c>
      <c r="AP5416">
        <v>3000</v>
      </c>
      <c r="AQ5416" t="s">
        <v>131</v>
      </c>
      <c r="AR5416">
        <v>-17</v>
      </c>
      <c r="AS5416">
        <v>-61</v>
      </c>
      <c r="AT5416">
        <v>-960</v>
      </c>
      <c r="BB5416" t="str">
        <f t="shared" si="2131"/>
        <v>1200</v>
      </c>
      <c r="BC5416">
        <v>1</v>
      </c>
      <c r="BD5416" t="str">
        <f t="shared" si="2132"/>
        <v xml:space="preserve">N52156  </v>
      </c>
      <c r="BE5416">
        <v>1</v>
      </c>
      <c r="BG5416">
        <v>0</v>
      </c>
      <c r="BH5416">
        <v>0</v>
      </c>
      <c r="BI5416">
        <v>0</v>
      </c>
      <c r="BJ5416">
        <v>3025</v>
      </c>
      <c r="BK5416">
        <v>25</v>
      </c>
      <c r="BL5416" t="s">
        <v>188</v>
      </c>
      <c r="BM5416">
        <v>1</v>
      </c>
      <c r="BN5416">
        <v>1</v>
      </c>
      <c r="BO5416">
        <v>0</v>
      </c>
      <c r="BP5416">
        <v>0</v>
      </c>
      <c r="BS5416">
        <v>0</v>
      </c>
      <c r="BT5416">
        <v>0</v>
      </c>
      <c r="BU5416">
        <v>0</v>
      </c>
      <c r="CE5416" t="str">
        <f t="shared" si="2145"/>
        <v>15:19:34.464</v>
      </c>
      <c r="CF5416">
        <v>463503714</v>
      </c>
      <c r="CS5416">
        <v>0</v>
      </c>
      <c r="CT5416">
        <v>2</v>
      </c>
      <c r="CU5416">
        <v>0</v>
      </c>
      <c r="CV5416">
        <v>2</v>
      </c>
      <c r="CW5416">
        <v>0</v>
      </c>
      <c r="CX5416">
        <v>0</v>
      </c>
      <c r="CY5416">
        <v>7</v>
      </c>
      <c r="CZ5416" t="s">
        <v>133</v>
      </c>
      <c r="DA5416">
        <v>275</v>
      </c>
      <c r="DB5416">
        <v>0</v>
      </c>
      <c r="DC5416" t="s">
        <v>134</v>
      </c>
      <c r="DD5416" t="s">
        <v>135</v>
      </c>
      <c r="DG5416">
        <v>3323907</v>
      </c>
      <c r="DI5416">
        <v>1</v>
      </c>
      <c r="DJ5416">
        <v>0</v>
      </c>
      <c r="DK5416">
        <v>1</v>
      </c>
      <c r="DL5416">
        <v>0</v>
      </c>
      <c r="DM5416">
        <v>0</v>
      </c>
      <c r="DN5416">
        <v>0</v>
      </c>
      <c r="DO5416">
        <v>0</v>
      </c>
      <c r="DP5416">
        <v>0</v>
      </c>
      <c r="DQ5416">
        <v>0</v>
      </c>
      <c r="DR5416">
        <v>0</v>
      </c>
      <c r="DS5416">
        <v>0</v>
      </c>
    </row>
    <row r="5417" spans="1:123" x14ac:dyDescent="0.3">
      <c r="A5417" t="str">
        <f>"05/01/2025 15:19:34.722"</f>
        <v>05/01/2025 15:19:34.722</v>
      </c>
      <c r="C5417" t="str">
        <f t="shared" si="2128"/>
        <v>FFDFD3C0</v>
      </c>
      <c r="D5417" t="s">
        <v>136</v>
      </c>
      <c r="E5417" t="str">
        <f>"20"</f>
        <v>20</v>
      </c>
      <c r="H5417">
        <v>400</v>
      </c>
      <c r="I5417" t="s">
        <v>137</v>
      </c>
      <c r="J5417" t="s">
        <v>138</v>
      </c>
      <c r="K5417">
        <v>0</v>
      </c>
      <c r="L5417">
        <v>3</v>
      </c>
      <c r="M5417">
        <v>0</v>
      </c>
      <c r="N5417">
        <v>2</v>
      </c>
      <c r="O5417">
        <v>0</v>
      </c>
      <c r="P5417">
        <v>1</v>
      </c>
      <c r="Q5417">
        <v>0</v>
      </c>
      <c r="R5417" t="s">
        <v>127</v>
      </c>
      <c r="S5417" t="str">
        <f t="shared" si="2144"/>
        <v>15:19:34.000</v>
      </c>
      <c r="T5417" t="str">
        <f t="shared" si="2144"/>
        <v>15:19:34.000</v>
      </c>
      <c r="U5417" t="str">
        <f t="shared" si="2130"/>
        <v>A68FCB</v>
      </c>
      <c r="V5417">
        <v>0</v>
      </c>
      <c r="W5417">
        <v>0</v>
      </c>
      <c r="X5417">
        <v>2</v>
      </c>
      <c r="Y5417">
        <v>0</v>
      </c>
      <c r="AA5417">
        <v>1</v>
      </c>
      <c r="AB5417">
        <v>8</v>
      </c>
      <c r="AC5417">
        <v>3</v>
      </c>
      <c r="AD5417">
        <v>0</v>
      </c>
      <c r="AE5417">
        <v>9</v>
      </c>
      <c r="AF5417" t="s">
        <v>138</v>
      </c>
      <c r="AG5417">
        <v>0</v>
      </c>
      <c r="AH5417">
        <v>3</v>
      </c>
      <c r="AI5417">
        <v>1</v>
      </c>
      <c r="AJ5417">
        <v>0</v>
      </c>
      <c r="AK5417" t="s">
        <v>1519</v>
      </c>
      <c r="AL5417">
        <v>39.223080000000003</v>
      </c>
      <c r="AM5417" t="s">
        <v>1694</v>
      </c>
      <c r="AN5417">
        <v>-121.025305</v>
      </c>
      <c r="AO5417">
        <v>25</v>
      </c>
      <c r="AP5417">
        <v>3000</v>
      </c>
      <c r="AQ5417" t="s">
        <v>131</v>
      </c>
      <c r="AR5417">
        <v>-17</v>
      </c>
      <c r="AS5417">
        <v>-61</v>
      </c>
      <c r="AT5417">
        <v>-960</v>
      </c>
      <c r="BB5417" t="str">
        <f t="shared" si="2131"/>
        <v>1200</v>
      </c>
      <c r="BC5417">
        <v>1</v>
      </c>
      <c r="BD5417" t="str">
        <f t="shared" si="2132"/>
        <v xml:space="preserve">N52156  </v>
      </c>
      <c r="BE5417">
        <v>1</v>
      </c>
      <c r="BG5417">
        <v>0</v>
      </c>
      <c r="BH5417">
        <v>0</v>
      </c>
      <c r="BI5417">
        <v>0</v>
      </c>
      <c r="BJ5417">
        <v>3025</v>
      </c>
      <c r="BK5417">
        <v>25</v>
      </c>
      <c r="BL5417" t="s">
        <v>188</v>
      </c>
      <c r="BM5417">
        <v>1</v>
      </c>
      <c r="BN5417">
        <v>1</v>
      </c>
      <c r="BO5417">
        <v>0</v>
      </c>
      <c r="BP5417">
        <v>0</v>
      </c>
      <c r="BS5417">
        <v>0</v>
      </c>
      <c r="BT5417">
        <v>0</v>
      </c>
      <c r="BU5417">
        <v>0</v>
      </c>
      <c r="CE5417" t="str">
        <f t="shared" si="2145"/>
        <v>15:19:34.464</v>
      </c>
      <c r="CF5417">
        <v>463503714</v>
      </c>
      <c r="CS5417">
        <v>0</v>
      </c>
      <c r="CT5417">
        <v>2</v>
      </c>
      <c r="CU5417">
        <v>0</v>
      </c>
      <c r="CV5417">
        <v>2</v>
      </c>
      <c r="CW5417">
        <v>0</v>
      </c>
      <c r="CX5417">
        <v>0</v>
      </c>
      <c r="CY5417">
        <v>7</v>
      </c>
      <c r="CZ5417" t="s">
        <v>133</v>
      </c>
      <c r="DA5417">
        <v>275</v>
      </c>
      <c r="DB5417">
        <v>0</v>
      </c>
      <c r="DC5417" t="s">
        <v>134</v>
      </c>
      <c r="DD5417" t="s">
        <v>135</v>
      </c>
      <c r="DG5417">
        <v>3323907</v>
      </c>
      <c r="DI5417">
        <v>1</v>
      </c>
      <c r="DJ5417">
        <v>0</v>
      </c>
      <c r="DK5417">
        <v>1</v>
      </c>
      <c r="DL5417">
        <v>0</v>
      </c>
      <c r="DM5417">
        <v>0</v>
      </c>
      <c r="DN5417">
        <v>0</v>
      </c>
      <c r="DO5417">
        <v>0</v>
      </c>
      <c r="DP5417">
        <v>0</v>
      </c>
      <c r="DQ5417">
        <v>0</v>
      </c>
      <c r="DR5417">
        <v>0</v>
      </c>
      <c r="DS5417">
        <v>0</v>
      </c>
    </row>
    <row r="5418" spans="1:123" x14ac:dyDescent="0.3">
      <c r="A5418" t="str">
        <f>"05/01/2025 15:19:34.736"</f>
        <v>05/01/2025 15:19:34.736</v>
      </c>
      <c r="C5418" t="str">
        <f t="shared" si="2128"/>
        <v>FFDFD3C0</v>
      </c>
      <c r="D5418" t="s">
        <v>140</v>
      </c>
      <c r="E5418" t="str">
        <f>"13"</f>
        <v>13</v>
      </c>
      <c r="F5418">
        <v>1019</v>
      </c>
      <c r="G5418" t="s">
        <v>141</v>
      </c>
      <c r="J5418" t="s">
        <v>142</v>
      </c>
      <c r="K5418">
        <v>0</v>
      </c>
      <c r="L5418">
        <v>3</v>
      </c>
      <c r="M5418">
        <v>0</v>
      </c>
      <c r="N5418">
        <v>2</v>
      </c>
      <c r="O5418">
        <v>0</v>
      </c>
      <c r="P5418">
        <v>1</v>
      </c>
      <c r="Q5418">
        <v>0</v>
      </c>
      <c r="R5418" t="s">
        <v>127</v>
      </c>
      <c r="S5418" t="str">
        <f t="shared" si="2144"/>
        <v>15:19:34.000</v>
      </c>
      <c r="T5418" t="str">
        <f t="shared" si="2144"/>
        <v>15:19:34.000</v>
      </c>
      <c r="U5418" t="str">
        <f t="shared" si="2130"/>
        <v>A68FCB</v>
      </c>
      <c r="V5418">
        <v>0</v>
      </c>
      <c r="W5418">
        <v>0</v>
      </c>
      <c r="X5418">
        <v>2</v>
      </c>
      <c r="Y5418">
        <v>0</v>
      </c>
      <c r="AA5418">
        <v>1</v>
      </c>
      <c r="AB5418">
        <v>8</v>
      </c>
      <c r="AC5418">
        <v>3</v>
      </c>
      <c r="AD5418">
        <v>0</v>
      </c>
      <c r="AE5418">
        <v>9</v>
      </c>
      <c r="AF5418" t="s">
        <v>138</v>
      </c>
      <c r="AG5418">
        <v>0</v>
      </c>
      <c r="AH5418">
        <v>3</v>
      </c>
      <c r="AI5418">
        <v>1</v>
      </c>
      <c r="AJ5418">
        <v>0</v>
      </c>
      <c r="AK5418" t="s">
        <v>1519</v>
      </c>
      <c r="AL5418">
        <v>39.223080000000003</v>
      </c>
      <c r="AM5418" t="s">
        <v>1694</v>
      </c>
      <c r="AN5418">
        <v>-121.025305</v>
      </c>
      <c r="AO5418">
        <v>25</v>
      </c>
      <c r="AP5418">
        <v>3000</v>
      </c>
      <c r="AQ5418" t="s">
        <v>131</v>
      </c>
      <c r="AR5418">
        <v>-17</v>
      </c>
      <c r="AS5418">
        <v>-61</v>
      </c>
      <c r="AT5418">
        <v>-960</v>
      </c>
      <c r="BB5418" t="str">
        <f t="shared" si="2131"/>
        <v>1200</v>
      </c>
      <c r="BC5418">
        <v>1</v>
      </c>
      <c r="BD5418" t="str">
        <f t="shared" si="2132"/>
        <v xml:space="preserve">N52156  </v>
      </c>
      <c r="BE5418">
        <v>1</v>
      </c>
      <c r="BG5418">
        <v>0</v>
      </c>
      <c r="BH5418">
        <v>0</v>
      </c>
      <c r="BI5418">
        <v>0</v>
      </c>
      <c r="BJ5418">
        <v>3025</v>
      </c>
      <c r="BK5418">
        <v>25</v>
      </c>
      <c r="BL5418" t="s">
        <v>188</v>
      </c>
      <c r="BM5418">
        <v>1</v>
      </c>
      <c r="BN5418">
        <v>1</v>
      </c>
      <c r="BO5418">
        <v>0</v>
      </c>
      <c r="BP5418">
        <v>0</v>
      </c>
      <c r="BS5418">
        <v>0</v>
      </c>
      <c r="BT5418">
        <v>0</v>
      </c>
      <c r="BU5418">
        <v>0</v>
      </c>
      <c r="CE5418" t="str">
        <f t="shared" si="2145"/>
        <v>15:19:34.464</v>
      </c>
      <c r="CF5418">
        <v>463503714</v>
      </c>
      <c r="CS5418">
        <v>0</v>
      </c>
      <c r="CT5418">
        <v>2</v>
      </c>
      <c r="CU5418">
        <v>0</v>
      </c>
      <c r="CV5418">
        <v>2</v>
      </c>
      <c r="CW5418">
        <v>0</v>
      </c>
      <c r="CX5418">
        <v>0</v>
      </c>
      <c r="CY5418">
        <v>7</v>
      </c>
      <c r="CZ5418" t="s">
        <v>133</v>
      </c>
      <c r="DA5418">
        <v>275</v>
      </c>
      <c r="DB5418">
        <v>0</v>
      </c>
      <c r="DC5418" t="s">
        <v>134</v>
      </c>
      <c r="DD5418" t="s">
        <v>135</v>
      </c>
      <c r="DG5418">
        <v>3323907</v>
      </c>
      <c r="DI5418">
        <v>1</v>
      </c>
      <c r="DJ5418">
        <v>0</v>
      </c>
      <c r="DK5418">
        <v>1</v>
      </c>
      <c r="DL5418">
        <v>0</v>
      </c>
      <c r="DM5418">
        <v>0</v>
      </c>
      <c r="DN5418">
        <v>0</v>
      </c>
      <c r="DO5418">
        <v>0</v>
      </c>
      <c r="DP5418">
        <v>0</v>
      </c>
      <c r="DQ5418">
        <v>0</v>
      </c>
      <c r="DR5418">
        <v>0</v>
      </c>
      <c r="DS5418">
        <v>0</v>
      </c>
    </row>
    <row r="5419" spans="1:123" x14ac:dyDescent="0.3">
      <c r="A5419" t="str">
        <f>"05/01/2025 15:19:34.739"</f>
        <v>05/01/2025 15:19:34.739</v>
      </c>
      <c r="C5419" t="str">
        <f t="shared" si="2128"/>
        <v>FFDFD3C0</v>
      </c>
      <c r="D5419" t="s">
        <v>124</v>
      </c>
      <c r="E5419" t="str">
        <f>"06"</f>
        <v>06</v>
      </c>
      <c r="F5419">
        <v>2006</v>
      </c>
      <c r="G5419" t="s">
        <v>125</v>
      </c>
      <c r="J5419" t="s">
        <v>126</v>
      </c>
      <c r="K5419">
        <v>0</v>
      </c>
      <c r="L5419">
        <v>3</v>
      </c>
      <c r="M5419">
        <v>0</v>
      </c>
      <c r="N5419">
        <v>2</v>
      </c>
      <c r="O5419">
        <v>0</v>
      </c>
      <c r="P5419">
        <v>1</v>
      </c>
      <c r="Q5419">
        <v>0</v>
      </c>
      <c r="R5419" t="s">
        <v>127</v>
      </c>
      <c r="S5419" t="str">
        <f t="shared" si="2144"/>
        <v>15:19:34.000</v>
      </c>
      <c r="T5419" t="str">
        <f t="shared" si="2144"/>
        <v>15:19:34.000</v>
      </c>
      <c r="U5419" t="str">
        <f t="shared" si="2130"/>
        <v>A68FCB</v>
      </c>
      <c r="V5419">
        <v>0</v>
      </c>
      <c r="W5419">
        <v>0</v>
      </c>
      <c r="X5419">
        <v>2</v>
      </c>
      <c r="Y5419">
        <v>0</v>
      </c>
      <c r="AA5419">
        <v>1</v>
      </c>
      <c r="AB5419">
        <v>8</v>
      </c>
      <c r="AC5419">
        <v>3</v>
      </c>
      <c r="AD5419">
        <v>0</v>
      </c>
      <c r="AE5419">
        <v>9</v>
      </c>
      <c r="AF5419" t="s">
        <v>138</v>
      </c>
      <c r="AG5419">
        <v>0</v>
      </c>
      <c r="AH5419">
        <v>3</v>
      </c>
      <c r="AI5419">
        <v>1</v>
      </c>
      <c r="AJ5419">
        <v>0</v>
      </c>
      <c r="AK5419" t="s">
        <v>1519</v>
      </c>
      <c r="AL5419">
        <v>39.223080000000003</v>
      </c>
      <c r="AM5419" t="s">
        <v>1694</v>
      </c>
      <c r="AN5419">
        <v>-121.025305</v>
      </c>
      <c r="AO5419">
        <v>25</v>
      </c>
      <c r="AP5419">
        <v>3000</v>
      </c>
      <c r="AQ5419" t="s">
        <v>131</v>
      </c>
      <c r="AR5419">
        <v>-17</v>
      </c>
      <c r="AS5419">
        <v>-61</v>
      </c>
      <c r="AT5419">
        <v>-960</v>
      </c>
      <c r="BB5419" t="str">
        <f t="shared" si="2131"/>
        <v>1200</v>
      </c>
      <c r="BC5419">
        <v>1</v>
      </c>
      <c r="BD5419" t="str">
        <f t="shared" si="2132"/>
        <v xml:space="preserve">N52156  </v>
      </c>
      <c r="BE5419">
        <v>1</v>
      </c>
      <c r="BG5419">
        <v>0</v>
      </c>
      <c r="BH5419">
        <v>0</v>
      </c>
      <c r="BI5419">
        <v>0</v>
      </c>
      <c r="BJ5419">
        <v>3025</v>
      </c>
      <c r="BK5419">
        <v>25</v>
      </c>
      <c r="BL5419" t="s">
        <v>188</v>
      </c>
      <c r="BM5419">
        <v>1</v>
      </c>
      <c r="BN5419">
        <v>1</v>
      </c>
      <c r="BO5419">
        <v>0</v>
      </c>
      <c r="BP5419">
        <v>0</v>
      </c>
      <c r="BS5419">
        <v>0</v>
      </c>
      <c r="BT5419">
        <v>0</v>
      </c>
      <c r="BU5419">
        <v>0</v>
      </c>
      <c r="CE5419" t="str">
        <f t="shared" si="2145"/>
        <v>15:19:34.464</v>
      </c>
      <c r="CF5419">
        <v>463503714</v>
      </c>
      <c r="CS5419">
        <v>0</v>
      </c>
      <c r="CT5419">
        <v>2</v>
      </c>
      <c r="CU5419">
        <v>0</v>
      </c>
      <c r="CV5419">
        <v>2</v>
      </c>
      <c r="CW5419">
        <v>0</v>
      </c>
      <c r="CX5419">
        <v>0</v>
      </c>
      <c r="CY5419">
        <v>7</v>
      </c>
      <c r="CZ5419" t="s">
        <v>133</v>
      </c>
      <c r="DA5419">
        <v>275</v>
      </c>
      <c r="DB5419">
        <v>0</v>
      </c>
      <c r="DC5419" t="s">
        <v>134</v>
      </c>
      <c r="DD5419" t="s">
        <v>135</v>
      </c>
      <c r="DG5419">
        <v>3323907</v>
      </c>
      <c r="DI5419">
        <v>1</v>
      </c>
      <c r="DJ5419">
        <v>0</v>
      </c>
      <c r="DK5419">
        <v>1</v>
      </c>
      <c r="DL5419">
        <v>0</v>
      </c>
      <c r="DM5419">
        <v>0</v>
      </c>
      <c r="DN5419">
        <v>0</v>
      </c>
      <c r="DO5419">
        <v>0</v>
      </c>
      <c r="DP5419">
        <v>0</v>
      </c>
      <c r="DQ5419">
        <v>0</v>
      </c>
      <c r="DR5419">
        <v>0</v>
      </c>
      <c r="DS5419">
        <v>0</v>
      </c>
    </row>
    <row r="5420" spans="1:123" x14ac:dyDescent="0.3">
      <c r="A5420" t="str">
        <f>"05/01/2025 15:19:36.107"</f>
        <v>05/01/2025 15:19:36.107</v>
      </c>
      <c r="C5420" t="str">
        <f t="shared" si="2128"/>
        <v>FFDFD3C0</v>
      </c>
      <c r="D5420" t="s">
        <v>143</v>
      </c>
      <c r="E5420" t="str">
        <f>"05"</f>
        <v>05</v>
      </c>
      <c r="H5420">
        <v>172</v>
      </c>
      <c r="I5420" t="s">
        <v>141</v>
      </c>
      <c r="J5420" t="s">
        <v>144</v>
      </c>
      <c r="K5420">
        <v>0</v>
      </c>
      <c r="L5420">
        <v>3</v>
      </c>
      <c r="M5420">
        <v>0</v>
      </c>
      <c r="N5420">
        <v>2</v>
      </c>
      <c r="O5420">
        <v>0</v>
      </c>
      <c r="P5420">
        <v>1</v>
      </c>
      <c r="Q5420">
        <v>0</v>
      </c>
      <c r="R5420" t="s">
        <v>127</v>
      </c>
      <c r="S5420" t="str">
        <f t="shared" ref="S5420:T5425" si="2146">"15:19:35.000"</f>
        <v>15:19:35.000</v>
      </c>
      <c r="T5420" t="str">
        <f t="shared" si="2146"/>
        <v>15:19:35.000</v>
      </c>
      <c r="U5420" t="str">
        <f t="shared" si="2130"/>
        <v>A68FCB</v>
      </c>
      <c r="V5420">
        <v>0</v>
      </c>
      <c r="W5420">
        <v>0</v>
      </c>
      <c r="X5420">
        <v>2</v>
      </c>
      <c r="Y5420">
        <v>0</v>
      </c>
      <c r="AA5420">
        <v>1</v>
      </c>
      <c r="AB5420">
        <v>8</v>
      </c>
      <c r="AC5420">
        <v>3</v>
      </c>
      <c r="AD5420">
        <v>0</v>
      </c>
      <c r="AE5420">
        <v>9</v>
      </c>
      <c r="AF5420" t="s">
        <v>138</v>
      </c>
      <c r="AG5420">
        <v>0</v>
      </c>
      <c r="AH5420">
        <v>3</v>
      </c>
      <c r="AI5420">
        <v>1</v>
      </c>
      <c r="AJ5420">
        <v>0</v>
      </c>
      <c r="AK5420" t="s">
        <v>1699</v>
      </c>
      <c r="AL5420">
        <v>39.222693</v>
      </c>
      <c r="AM5420" t="s">
        <v>1277</v>
      </c>
      <c r="AN5420">
        <v>-121.02545499999999</v>
      </c>
      <c r="AO5420">
        <v>25</v>
      </c>
      <c r="AP5420">
        <v>3000</v>
      </c>
      <c r="AQ5420" t="s">
        <v>131</v>
      </c>
      <c r="AR5420">
        <v>-30</v>
      </c>
      <c r="AS5420">
        <v>-60</v>
      </c>
      <c r="AT5420">
        <v>-1216</v>
      </c>
      <c r="BB5420" t="str">
        <f t="shared" si="2131"/>
        <v>1200</v>
      </c>
      <c r="BC5420">
        <v>1</v>
      </c>
      <c r="BD5420" t="str">
        <f t="shared" si="2132"/>
        <v xml:space="preserve">N52156  </v>
      </c>
      <c r="BE5420">
        <v>1</v>
      </c>
      <c r="BG5420">
        <v>0</v>
      </c>
      <c r="BH5420">
        <v>0</v>
      </c>
      <c r="BI5420">
        <v>0</v>
      </c>
      <c r="BJ5420">
        <v>3025</v>
      </c>
      <c r="BK5420">
        <v>25</v>
      </c>
      <c r="BL5420" t="s">
        <v>188</v>
      </c>
      <c r="BM5420">
        <v>1</v>
      </c>
      <c r="BN5420">
        <v>1</v>
      </c>
      <c r="BO5420">
        <v>0</v>
      </c>
      <c r="BP5420">
        <v>0</v>
      </c>
      <c r="BS5420">
        <v>0</v>
      </c>
      <c r="BT5420">
        <v>0</v>
      </c>
      <c r="BU5420">
        <v>0</v>
      </c>
      <c r="CE5420" t="str">
        <f t="shared" ref="CE5420:CE5425" si="2147">"15:19:35.887"</f>
        <v>15:19:35.887</v>
      </c>
      <c r="CF5420">
        <v>886754836</v>
      </c>
      <c r="CS5420">
        <v>0</v>
      </c>
      <c r="CT5420">
        <v>2</v>
      </c>
      <c r="CU5420">
        <v>0</v>
      </c>
      <c r="CV5420">
        <v>2</v>
      </c>
      <c r="CW5420">
        <v>0</v>
      </c>
      <c r="CX5420">
        <v>2</v>
      </c>
      <c r="CY5420">
        <v>7</v>
      </c>
      <c r="CZ5420" t="s">
        <v>133</v>
      </c>
      <c r="DA5420">
        <v>275</v>
      </c>
      <c r="DB5420">
        <v>0</v>
      </c>
      <c r="DC5420" t="s">
        <v>134</v>
      </c>
      <c r="DD5420" t="s">
        <v>135</v>
      </c>
      <c r="DG5420">
        <v>3323920</v>
      </c>
      <c r="DI5420">
        <v>1</v>
      </c>
      <c r="DJ5420">
        <v>0</v>
      </c>
      <c r="DK5420">
        <v>0</v>
      </c>
      <c r="DL5420">
        <v>0</v>
      </c>
      <c r="DM5420">
        <v>0</v>
      </c>
      <c r="DN5420">
        <v>0</v>
      </c>
      <c r="DO5420">
        <v>0</v>
      </c>
      <c r="DP5420">
        <v>0</v>
      </c>
      <c r="DQ5420">
        <v>0</v>
      </c>
      <c r="DR5420">
        <v>0</v>
      </c>
      <c r="DS5420">
        <v>0</v>
      </c>
    </row>
    <row r="5421" spans="1:123" x14ac:dyDescent="0.3">
      <c r="A5421" t="str">
        <f>"05/01/2025 15:19:36.116"</f>
        <v>05/01/2025 15:19:36.116</v>
      </c>
      <c r="C5421" t="str">
        <f t="shared" si="2128"/>
        <v>FFDFD3C0</v>
      </c>
      <c r="D5421" t="s">
        <v>145</v>
      </c>
      <c r="E5421" t="str">
        <f>"09"</f>
        <v>09</v>
      </c>
      <c r="H5421">
        <v>51</v>
      </c>
      <c r="I5421" t="s">
        <v>147</v>
      </c>
      <c r="J5421" t="s">
        <v>138</v>
      </c>
      <c r="K5421">
        <v>0</v>
      </c>
      <c r="L5421">
        <v>3</v>
      </c>
      <c r="M5421">
        <v>0</v>
      </c>
      <c r="N5421">
        <v>2</v>
      </c>
      <c r="O5421">
        <v>0</v>
      </c>
      <c r="P5421">
        <v>1</v>
      </c>
      <c r="Q5421">
        <v>0</v>
      </c>
      <c r="R5421" t="s">
        <v>127</v>
      </c>
      <c r="S5421" t="str">
        <f t="shared" si="2146"/>
        <v>15:19:35.000</v>
      </c>
      <c r="T5421" t="str">
        <f t="shared" si="2146"/>
        <v>15:19:35.000</v>
      </c>
      <c r="U5421" t="str">
        <f t="shared" si="2130"/>
        <v>A68FCB</v>
      </c>
      <c r="V5421">
        <v>0</v>
      </c>
      <c r="W5421">
        <v>0</v>
      </c>
      <c r="X5421">
        <v>2</v>
      </c>
      <c r="Y5421">
        <v>0</v>
      </c>
      <c r="AA5421">
        <v>1</v>
      </c>
      <c r="AB5421">
        <v>8</v>
      </c>
      <c r="AC5421">
        <v>3</v>
      </c>
      <c r="AD5421">
        <v>0</v>
      </c>
      <c r="AE5421">
        <v>9</v>
      </c>
      <c r="AF5421" t="s">
        <v>138</v>
      </c>
      <c r="AG5421">
        <v>0</v>
      </c>
      <c r="AH5421">
        <v>3</v>
      </c>
      <c r="AI5421">
        <v>1</v>
      </c>
      <c r="AJ5421">
        <v>0</v>
      </c>
      <c r="AK5421" t="s">
        <v>1699</v>
      </c>
      <c r="AL5421">
        <v>39.222693</v>
      </c>
      <c r="AM5421" t="s">
        <v>1277</v>
      </c>
      <c r="AN5421">
        <v>-121.02545499999999</v>
      </c>
      <c r="AO5421">
        <v>25</v>
      </c>
      <c r="AP5421">
        <v>3000</v>
      </c>
      <c r="AQ5421" t="s">
        <v>131</v>
      </c>
      <c r="AR5421">
        <v>-30</v>
      </c>
      <c r="AS5421">
        <v>-60</v>
      </c>
      <c r="AT5421">
        <v>-1216</v>
      </c>
      <c r="BB5421" t="str">
        <f t="shared" si="2131"/>
        <v>1200</v>
      </c>
      <c r="BC5421">
        <v>1</v>
      </c>
      <c r="BD5421" t="str">
        <f t="shared" si="2132"/>
        <v xml:space="preserve">N52156  </v>
      </c>
      <c r="BE5421">
        <v>1</v>
      </c>
      <c r="BG5421">
        <v>0</v>
      </c>
      <c r="BH5421">
        <v>0</v>
      </c>
      <c r="BI5421">
        <v>0</v>
      </c>
      <c r="BJ5421">
        <v>3025</v>
      </c>
      <c r="BK5421">
        <v>25</v>
      </c>
      <c r="BL5421" t="s">
        <v>188</v>
      </c>
      <c r="BM5421">
        <v>1</v>
      </c>
      <c r="BN5421">
        <v>1</v>
      </c>
      <c r="BO5421">
        <v>0</v>
      </c>
      <c r="BP5421">
        <v>0</v>
      </c>
      <c r="BS5421">
        <v>0</v>
      </c>
      <c r="BT5421">
        <v>0</v>
      </c>
      <c r="BU5421">
        <v>0</v>
      </c>
      <c r="CE5421" t="str">
        <f t="shared" si="2147"/>
        <v>15:19:35.887</v>
      </c>
      <c r="CF5421">
        <v>886754836</v>
      </c>
      <c r="CS5421">
        <v>0</v>
      </c>
      <c r="CT5421">
        <v>2</v>
      </c>
      <c r="CU5421">
        <v>0</v>
      </c>
      <c r="CV5421">
        <v>2</v>
      </c>
      <c r="CW5421">
        <v>0</v>
      </c>
      <c r="CX5421">
        <v>2</v>
      </c>
      <c r="CY5421">
        <v>7</v>
      </c>
      <c r="CZ5421" t="s">
        <v>133</v>
      </c>
      <c r="DA5421">
        <v>275</v>
      </c>
      <c r="DB5421">
        <v>0</v>
      </c>
      <c r="DC5421" t="s">
        <v>134</v>
      </c>
      <c r="DD5421" t="s">
        <v>135</v>
      </c>
      <c r="DG5421">
        <v>3323920</v>
      </c>
      <c r="DI5421">
        <v>1</v>
      </c>
      <c r="DJ5421">
        <v>0</v>
      </c>
      <c r="DK5421">
        <v>1</v>
      </c>
      <c r="DL5421">
        <v>0</v>
      </c>
      <c r="DM5421">
        <v>0</v>
      </c>
      <c r="DN5421">
        <v>0</v>
      </c>
      <c r="DO5421">
        <v>0</v>
      </c>
      <c r="DP5421">
        <v>0</v>
      </c>
      <c r="DQ5421">
        <v>0</v>
      </c>
      <c r="DR5421">
        <v>0</v>
      </c>
      <c r="DS5421">
        <v>0</v>
      </c>
    </row>
    <row r="5422" spans="1:123" x14ac:dyDescent="0.3">
      <c r="A5422" t="str">
        <f>"05/01/2025 15:19:36.117"</f>
        <v>05/01/2025 15:19:36.117</v>
      </c>
      <c r="C5422" t="str">
        <f t="shared" si="2128"/>
        <v>FFDFD3C0</v>
      </c>
      <c r="D5422" t="s">
        <v>145</v>
      </c>
      <c r="E5422" t="str">
        <f>"05"</f>
        <v>05</v>
      </c>
      <c r="H5422">
        <v>47</v>
      </c>
      <c r="I5422" t="s">
        <v>146</v>
      </c>
      <c r="J5422" t="s">
        <v>138</v>
      </c>
      <c r="K5422">
        <v>0</v>
      </c>
      <c r="L5422">
        <v>3</v>
      </c>
      <c r="M5422">
        <v>0</v>
      </c>
      <c r="N5422">
        <v>2</v>
      </c>
      <c r="O5422">
        <v>0</v>
      </c>
      <c r="P5422">
        <v>1</v>
      </c>
      <c r="Q5422">
        <v>0</v>
      </c>
      <c r="R5422" t="s">
        <v>127</v>
      </c>
      <c r="S5422" t="str">
        <f t="shared" si="2146"/>
        <v>15:19:35.000</v>
      </c>
      <c r="T5422" t="str">
        <f t="shared" si="2146"/>
        <v>15:19:35.000</v>
      </c>
      <c r="U5422" t="str">
        <f t="shared" si="2130"/>
        <v>A68FCB</v>
      </c>
      <c r="V5422">
        <v>0</v>
      </c>
      <c r="W5422">
        <v>0</v>
      </c>
      <c r="X5422">
        <v>2</v>
      </c>
      <c r="Y5422">
        <v>0</v>
      </c>
      <c r="AA5422">
        <v>1</v>
      </c>
      <c r="AB5422">
        <v>8</v>
      </c>
      <c r="AC5422">
        <v>3</v>
      </c>
      <c r="AD5422">
        <v>0</v>
      </c>
      <c r="AE5422">
        <v>9</v>
      </c>
      <c r="AF5422" t="s">
        <v>138</v>
      </c>
      <c r="AG5422">
        <v>0</v>
      </c>
      <c r="AH5422">
        <v>3</v>
      </c>
      <c r="AI5422">
        <v>1</v>
      </c>
      <c r="AJ5422">
        <v>0</v>
      </c>
      <c r="AK5422" t="s">
        <v>1699</v>
      </c>
      <c r="AL5422">
        <v>39.222693</v>
      </c>
      <c r="AM5422" t="s">
        <v>1277</v>
      </c>
      <c r="AN5422">
        <v>-121.02545499999999</v>
      </c>
      <c r="AO5422">
        <v>25</v>
      </c>
      <c r="AP5422">
        <v>3000</v>
      </c>
      <c r="AQ5422" t="s">
        <v>131</v>
      </c>
      <c r="AR5422">
        <v>-30</v>
      </c>
      <c r="AS5422">
        <v>-60</v>
      </c>
      <c r="AT5422">
        <v>-1216</v>
      </c>
      <c r="BB5422" t="str">
        <f t="shared" si="2131"/>
        <v>1200</v>
      </c>
      <c r="BC5422">
        <v>1</v>
      </c>
      <c r="BD5422" t="str">
        <f t="shared" si="2132"/>
        <v xml:space="preserve">N52156  </v>
      </c>
      <c r="BE5422">
        <v>1</v>
      </c>
      <c r="BG5422">
        <v>0</v>
      </c>
      <c r="BH5422">
        <v>0</v>
      </c>
      <c r="BI5422">
        <v>0</v>
      </c>
      <c r="BJ5422">
        <v>3025</v>
      </c>
      <c r="BK5422">
        <v>25</v>
      </c>
      <c r="BL5422" t="s">
        <v>188</v>
      </c>
      <c r="BM5422">
        <v>1</v>
      </c>
      <c r="BN5422">
        <v>1</v>
      </c>
      <c r="BO5422">
        <v>0</v>
      </c>
      <c r="BP5422">
        <v>0</v>
      </c>
      <c r="BS5422">
        <v>0</v>
      </c>
      <c r="BT5422">
        <v>0</v>
      </c>
      <c r="BU5422">
        <v>0</v>
      </c>
      <c r="CE5422" t="str">
        <f t="shared" si="2147"/>
        <v>15:19:35.887</v>
      </c>
      <c r="CF5422">
        <v>886754836</v>
      </c>
      <c r="CS5422">
        <v>0</v>
      </c>
      <c r="CT5422">
        <v>2</v>
      </c>
      <c r="CU5422">
        <v>0</v>
      </c>
      <c r="CV5422">
        <v>2</v>
      </c>
      <c r="CW5422">
        <v>0</v>
      </c>
      <c r="CX5422">
        <v>2</v>
      </c>
      <c r="CY5422">
        <v>7</v>
      </c>
      <c r="CZ5422" t="s">
        <v>133</v>
      </c>
      <c r="DA5422">
        <v>275</v>
      </c>
      <c r="DB5422">
        <v>0</v>
      </c>
      <c r="DC5422" t="s">
        <v>134</v>
      </c>
      <c r="DD5422" t="s">
        <v>135</v>
      </c>
      <c r="DG5422">
        <v>3323920</v>
      </c>
      <c r="DI5422">
        <v>1</v>
      </c>
      <c r="DJ5422">
        <v>0</v>
      </c>
      <c r="DK5422">
        <v>1</v>
      </c>
      <c r="DL5422">
        <v>0</v>
      </c>
      <c r="DM5422">
        <v>0</v>
      </c>
      <c r="DN5422">
        <v>0</v>
      </c>
      <c r="DO5422">
        <v>0</v>
      </c>
      <c r="DP5422">
        <v>0</v>
      </c>
      <c r="DQ5422">
        <v>0</v>
      </c>
      <c r="DR5422">
        <v>0</v>
      </c>
      <c r="DS5422">
        <v>0</v>
      </c>
    </row>
    <row r="5423" spans="1:123" x14ac:dyDescent="0.3">
      <c r="A5423" t="str">
        <f>"05/01/2025 15:19:36.124"</f>
        <v>05/01/2025 15:19:36.124</v>
      </c>
      <c r="C5423" t="str">
        <f t="shared" si="2128"/>
        <v>FFDFD3C0</v>
      </c>
      <c r="D5423" t="s">
        <v>136</v>
      </c>
      <c r="E5423" t="str">
        <f>"20"</f>
        <v>20</v>
      </c>
      <c r="H5423">
        <v>400</v>
      </c>
      <c r="I5423" t="s">
        <v>137</v>
      </c>
      <c r="J5423" t="s">
        <v>138</v>
      </c>
      <c r="K5423">
        <v>0</v>
      </c>
      <c r="L5423">
        <v>3</v>
      </c>
      <c r="M5423">
        <v>0</v>
      </c>
      <c r="N5423">
        <v>2</v>
      </c>
      <c r="O5423">
        <v>0</v>
      </c>
      <c r="P5423">
        <v>1</v>
      </c>
      <c r="Q5423">
        <v>0</v>
      </c>
      <c r="R5423" t="s">
        <v>127</v>
      </c>
      <c r="S5423" t="str">
        <f t="shared" si="2146"/>
        <v>15:19:35.000</v>
      </c>
      <c r="T5423" t="str">
        <f t="shared" si="2146"/>
        <v>15:19:35.000</v>
      </c>
      <c r="U5423" t="str">
        <f t="shared" si="2130"/>
        <v>A68FCB</v>
      </c>
      <c r="V5423">
        <v>0</v>
      </c>
      <c r="W5423">
        <v>0</v>
      </c>
      <c r="X5423">
        <v>2</v>
      </c>
      <c r="Y5423">
        <v>0</v>
      </c>
      <c r="AA5423">
        <v>1</v>
      </c>
      <c r="AB5423">
        <v>8</v>
      </c>
      <c r="AC5423">
        <v>3</v>
      </c>
      <c r="AD5423">
        <v>0</v>
      </c>
      <c r="AE5423">
        <v>9</v>
      </c>
      <c r="AF5423" t="s">
        <v>138</v>
      </c>
      <c r="AG5423">
        <v>0</v>
      </c>
      <c r="AH5423">
        <v>3</v>
      </c>
      <c r="AI5423">
        <v>1</v>
      </c>
      <c r="AJ5423">
        <v>0</v>
      </c>
      <c r="AK5423" t="s">
        <v>1699</v>
      </c>
      <c r="AL5423">
        <v>39.222693</v>
      </c>
      <c r="AM5423" t="s">
        <v>1277</v>
      </c>
      <c r="AN5423">
        <v>-121.02545499999999</v>
      </c>
      <c r="AO5423">
        <v>25</v>
      </c>
      <c r="AP5423">
        <v>3000</v>
      </c>
      <c r="AQ5423" t="s">
        <v>131</v>
      </c>
      <c r="AR5423">
        <v>-30</v>
      </c>
      <c r="AS5423">
        <v>-60</v>
      </c>
      <c r="AT5423">
        <v>-1216</v>
      </c>
      <c r="BB5423" t="str">
        <f t="shared" si="2131"/>
        <v>1200</v>
      </c>
      <c r="BC5423">
        <v>1</v>
      </c>
      <c r="BD5423" t="str">
        <f t="shared" si="2132"/>
        <v xml:space="preserve">N52156  </v>
      </c>
      <c r="BE5423">
        <v>1</v>
      </c>
      <c r="BG5423">
        <v>0</v>
      </c>
      <c r="BH5423">
        <v>0</v>
      </c>
      <c r="BI5423">
        <v>0</v>
      </c>
      <c r="BJ5423">
        <v>3025</v>
      </c>
      <c r="BK5423">
        <v>25</v>
      </c>
      <c r="BL5423" t="s">
        <v>188</v>
      </c>
      <c r="BM5423">
        <v>1</v>
      </c>
      <c r="BN5423">
        <v>1</v>
      </c>
      <c r="BO5423">
        <v>0</v>
      </c>
      <c r="BP5423">
        <v>0</v>
      </c>
      <c r="BS5423">
        <v>0</v>
      </c>
      <c r="BT5423">
        <v>0</v>
      </c>
      <c r="BU5423">
        <v>0</v>
      </c>
      <c r="CE5423" t="str">
        <f t="shared" si="2147"/>
        <v>15:19:35.887</v>
      </c>
      <c r="CF5423">
        <v>886754836</v>
      </c>
      <c r="CS5423">
        <v>0</v>
      </c>
      <c r="CT5423">
        <v>2</v>
      </c>
      <c r="CU5423">
        <v>0</v>
      </c>
      <c r="CV5423">
        <v>2</v>
      </c>
      <c r="CW5423">
        <v>0</v>
      </c>
      <c r="CX5423">
        <v>2</v>
      </c>
      <c r="CY5423">
        <v>7</v>
      </c>
      <c r="CZ5423" t="s">
        <v>133</v>
      </c>
      <c r="DA5423">
        <v>275</v>
      </c>
      <c r="DB5423">
        <v>0</v>
      </c>
      <c r="DC5423" t="s">
        <v>134</v>
      </c>
      <c r="DD5423" t="s">
        <v>135</v>
      </c>
      <c r="DG5423">
        <v>3323920</v>
      </c>
      <c r="DI5423">
        <v>1</v>
      </c>
      <c r="DJ5423">
        <v>0</v>
      </c>
      <c r="DK5423">
        <v>1</v>
      </c>
      <c r="DL5423">
        <v>0</v>
      </c>
      <c r="DM5423">
        <v>0</v>
      </c>
      <c r="DN5423">
        <v>0</v>
      </c>
      <c r="DO5423">
        <v>0</v>
      </c>
      <c r="DP5423">
        <v>0</v>
      </c>
      <c r="DQ5423">
        <v>0</v>
      </c>
      <c r="DR5423">
        <v>0</v>
      </c>
      <c r="DS5423">
        <v>0</v>
      </c>
    </row>
    <row r="5424" spans="1:123" x14ac:dyDescent="0.3">
      <c r="A5424" t="str">
        <f>"05/01/2025 15:19:36.139"</f>
        <v>05/01/2025 15:19:36.139</v>
      </c>
      <c r="C5424" t="str">
        <f t="shared" si="2128"/>
        <v>FFDFD3C0</v>
      </c>
      <c r="D5424" t="s">
        <v>140</v>
      </c>
      <c r="E5424" t="str">
        <f>"13"</f>
        <v>13</v>
      </c>
      <c r="F5424">
        <v>1019</v>
      </c>
      <c r="G5424" t="s">
        <v>141</v>
      </c>
      <c r="J5424" t="s">
        <v>142</v>
      </c>
      <c r="K5424">
        <v>0</v>
      </c>
      <c r="L5424">
        <v>3</v>
      </c>
      <c r="M5424">
        <v>0</v>
      </c>
      <c r="N5424">
        <v>2</v>
      </c>
      <c r="O5424">
        <v>0</v>
      </c>
      <c r="P5424">
        <v>1</v>
      </c>
      <c r="Q5424">
        <v>0</v>
      </c>
      <c r="R5424" t="s">
        <v>127</v>
      </c>
      <c r="S5424" t="str">
        <f t="shared" si="2146"/>
        <v>15:19:35.000</v>
      </c>
      <c r="T5424" t="str">
        <f t="shared" si="2146"/>
        <v>15:19:35.000</v>
      </c>
      <c r="U5424" t="str">
        <f t="shared" si="2130"/>
        <v>A68FCB</v>
      </c>
      <c r="V5424">
        <v>0</v>
      </c>
      <c r="W5424">
        <v>0</v>
      </c>
      <c r="X5424">
        <v>2</v>
      </c>
      <c r="Y5424">
        <v>0</v>
      </c>
      <c r="AA5424">
        <v>1</v>
      </c>
      <c r="AB5424">
        <v>8</v>
      </c>
      <c r="AC5424">
        <v>3</v>
      </c>
      <c r="AD5424">
        <v>0</v>
      </c>
      <c r="AE5424">
        <v>9</v>
      </c>
      <c r="AF5424" t="s">
        <v>138</v>
      </c>
      <c r="AG5424">
        <v>0</v>
      </c>
      <c r="AH5424">
        <v>3</v>
      </c>
      <c r="AI5424">
        <v>1</v>
      </c>
      <c r="AJ5424">
        <v>0</v>
      </c>
      <c r="AK5424" t="s">
        <v>1699</v>
      </c>
      <c r="AL5424">
        <v>39.222693</v>
      </c>
      <c r="AM5424" t="s">
        <v>1277</v>
      </c>
      <c r="AN5424">
        <v>-121.02545499999999</v>
      </c>
      <c r="AO5424">
        <v>25</v>
      </c>
      <c r="AP5424">
        <v>3000</v>
      </c>
      <c r="AQ5424" t="s">
        <v>131</v>
      </c>
      <c r="AR5424">
        <v>-30</v>
      </c>
      <c r="AS5424">
        <v>-60</v>
      </c>
      <c r="AT5424">
        <v>-1216</v>
      </c>
      <c r="BB5424" t="str">
        <f t="shared" si="2131"/>
        <v>1200</v>
      </c>
      <c r="BC5424">
        <v>1</v>
      </c>
      <c r="BD5424" t="str">
        <f t="shared" si="2132"/>
        <v xml:space="preserve">N52156  </v>
      </c>
      <c r="BE5424">
        <v>1</v>
      </c>
      <c r="BG5424">
        <v>0</v>
      </c>
      <c r="BH5424">
        <v>0</v>
      </c>
      <c r="BI5424">
        <v>0</v>
      </c>
      <c r="BJ5424">
        <v>3025</v>
      </c>
      <c r="BK5424">
        <v>25</v>
      </c>
      <c r="BL5424" t="s">
        <v>188</v>
      </c>
      <c r="BM5424">
        <v>1</v>
      </c>
      <c r="BN5424">
        <v>1</v>
      </c>
      <c r="BO5424">
        <v>0</v>
      </c>
      <c r="BP5424">
        <v>0</v>
      </c>
      <c r="BS5424">
        <v>0</v>
      </c>
      <c r="BT5424">
        <v>0</v>
      </c>
      <c r="BU5424">
        <v>0</v>
      </c>
      <c r="CE5424" t="str">
        <f t="shared" si="2147"/>
        <v>15:19:35.887</v>
      </c>
      <c r="CF5424">
        <v>886754836</v>
      </c>
      <c r="CS5424">
        <v>0</v>
      </c>
      <c r="CT5424">
        <v>2</v>
      </c>
      <c r="CU5424">
        <v>0</v>
      </c>
      <c r="CV5424">
        <v>2</v>
      </c>
      <c r="CW5424">
        <v>0</v>
      </c>
      <c r="CX5424">
        <v>2</v>
      </c>
      <c r="CY5424">
        <v>7</v>
      </c>
      <c r="CZ5424" t="s">
        <v>133</v>
      </c>
      <c r="DA5424">
        <v>275</v>
      </c>
      <c r="DB5424">
        <v>0</v>
      </c>
      <c r="DC5424" t="s">
        <v>134</v>
      </c>
      <c r="DD5424" t="s">
        <v>135</v>
      </c>
      <c r="DG5424">
        <v>3323920</v>
      </c>
      <c r="DI5424">
        <v>1</v>
      </c>
      <c r="DJ5424">
        <v>0</v>
      </c>
      <c r="DK5424">
        <v>1</v>
      </c>
      <c r="DL5424">
        <v>0</v>
      </c>
      <c r="DM5424">
        <v>0</v>
      </c>
      <c r="DN5424">
        <v>0</v>
      </c>
      <c r="DO5424">
        <v>0</v>
      </c>
      <c r="DP5424">
        <v>0</v>
      </c>
      <c r="DQ5424">
        <v>0</v>
      </c>
      <c r="DR5424">
        <v>0</v>
      </c>
      <c r="DS5424">
        <v>0</v>
      </c>
    </row>
    <row r="5425" spans="1:123" x14ac:dyDescent="0.3">
      <c r="A5425" t="str">
        <f>"05/01/2025 15:19:36.141"</f>
        <v>05/01/2025 15:19:36.141</v>
      </c>
      <c r="C5425" t="str">
        <f t="shared" si="2128"/>
        <v>FFDFD3C0</v>
      </c>
      <c r="D5425" t="s">
        <v>124</v>
      </c>
      <c r="E5425" t="str">
        <f>"06"</f>
        <v>06</v>
      </c>
      <c r="F5425">
        <v>2006</v>
      </c>
      <c r="G5425" t="s">
        <v>125</v>
      </c>
      <c r="J5425" t="s">
        <v>126</v>
      </c>
      <c r="K5425">
        <v>0</v>
      </c>
      <c r="L5425">
        <v>3</v>
      </c>
      <c r="M5425">
        <v>0</v>
      </c>
      <c r="N5425">
        <v>2</v>
      </c>
      <c r="O5425">
        <v>0</v>
      </c>
      <c r="P5425">
        <v>1</v>
      </c>
      <c r="Q5425">
        <v>0</v>
      </c>
      <c r="R5425" t="s">
        <v>127</v>
      </c>
      <c r="S5425" t="str">
        <f t="shared" si="2146"/>
        <v>15:19:35.000</v>
      </c>
      <c r="T5425" t="str">
        <f t="shared" si="2146"/>
        <v>15:19:35.000</v>
      </c>
      <c r="U5425" t="str">
        <f t="shared" si="2130"/>
        <v>A68FCB</v>
      </c>
      <c r="V5425">
        <v>0</v>
      </c>
      <c r="W5425">
        <v>0</v>
      </c>
      <c r="X5425">
        <v>2</v>
      </c>
      <c r="Y5425">
        <v>0</v>
      </c>
      <c r="AA5425">
        <v>1</v>
      </c>
      <c r="AB5425">
        <v>8</v>
      </c>
      <c r="AC5425">
        <v>3</v>
      </c>
      <c r="AD5425">
        <v>0</v>
      </c>
      <c r="AE5425">
        <v>9</v>
      </c>
      <c r="AF5425" t="s">
        <v>138</v>
      </c>
      <c r="AG5425">
        <v>0</v>
      </c>
      <c r="AH5425">
        <v>3</v>
      </c>
      <c r="AI5425">
        <v>1</v>
      </c>
      <c r="AJ5425">
        <v>0</v>
      </c>
      <c r="AK5425" t="s">
        <v>1699</v>
      </c>
      <c r="AL5425">
        <v>39.222693</v>
      </c>
      <c r="AM5425" t="s">
        <v>1277</v>
      </c>
      <c r="AN5425">
        <v>-121.02545499999999</v>
      </c>
      <c r="AO5425">
        <v>25</v>
      </c>
      <c r="AP5425">
        <v>3000</v>
      </c>
      <c r="AQ5425" t="s">
        <v>131</v>
      </c>
      <c r="AR5425">
        <v>-30</v>
      </c>
      <c r="AS5425">
        <v>-60</v>
      </c>
      <c r="AT5425">
        <v>-1216</v>
      </c>
      <c r="BB5425" t="str">
        <f t="shared" si="2131"/>
        <v>1200</v>
      </c>
      <c r="BC5425">
        <v>1</v>
      </c>
      <c r="BD5425" t="str">
        <f t="shared" si="2132"/>
        <v xml:space="preserve">N52156  </v>
      </c>
      <c r="BE5425">
        <v>1</v>
      </c>
      <c r="BG5425">
        <v>0</v>
      </c>
      <c r="BH5425">
        <v>0</v>
      </c>
      <c r="BI5425">
        <v>0</v>
      </c>
      <c r="BJ5425">
        <v>3025</v>
      </c>
      <c r="BK5425">
        <v>25</v>
      </c>
      <c r="BL5425" t="s">
        <v>188</v>
      </c>
      <c r="BM5425">
        <v>1</v>
      </c>
      <c r="BN5425">
        <v>1</v>
      </c>
      <c r="BO5425">
        <v>0</v>
      </c>
      <c r="BP5425">
        <v>0</v>
      </c>
      <c r="BS5425">
        <v>0</v>
      </c>
      <c r="BT5425">
        <v>0</v>
      </c>
      <c r="BU5425">
        <v>0</v>
      </c>
      <c r="CE5425" t="str">
        <f t="shared" si="2147"/>
        <v>15:19:35.887</v>
      </c>
      <c r="CF5425">
        <v>886754836</v>
      </c>
      <c r="CS5425">
        <v>0</v>
      </c>
      <c r="CT5425">
        <v>2</v>
      </c>
      <c r="CU5425">
        <v>0</v>
      </c>
      <c r="CV5425">
        <v>2</v>
      </c>
      <c r="CW5425">
        <v>0</v>
      </c>
      <c r="CX5425">
        <v>2</v>
      </c>
      <c r="CY5425">
        <v>7</v>
      </c>
      <c r="CZ5425" t="s">
        <v>133</v>
      </c>
      <c r="DA5425">
        <v>275</v>
      </c>
      <c r="DB5425">
        <v>0</v>
      </c>
      <c r="DC5425" t="s">
        <v>134</v>
      </c>
      <c r="DD5425" t="s">
        <v>135</v>
      </c>
      <c r="DG5425">
        <v>3323920</v>
      </c>
      <c r="DI5425">
        <v>1</v>
      </c>
      <c r="DJ5425">
        <v>0</v>
      </c>
      <c r="DK5425">
        <v>1</v>
      </c>
      <c r="DL5425">
        <v>0</v>
      </c>
      <c r="DM5425">
        <v>0</v>
      </c>
      <c r="DN5425">
        <v>0</v>
      </c>
      <c r="DO5425">
        <v>0</v>
      </c>
      <c r="DP5425">
        <v>0</v>
      </c>
      <c r="DQ5425">
        <v>0</v>
      </c>
      <c r="DR5425">
        <v>0</v>
      </c>
      <c r="DS5425">
        <v>0</v>
      </c>
    </row>
    <row r="5426" spans="1:123" x14ac:dyDescent="0.3">
      <c r="A5426" t="str">
        <f>"05/01/2025 15:19:36.975"</f>
        <v>05/01/2025 15:19:36.975</v>
      </c>
      <c r="C5426" t="str">
        <f t="shared" si="2128"/>
        <v>FFDFD3C0</v>
      </c>
      <c r="D5426" t="s">
        <v>136</v>
      </c>
      <c r="E5426" t="str">
        <f>"20"</f>
        <v>20</v>
      </c>
      <c r="H5426">
        <v>400</v>
      </c>
      <c r="I5426" t="s">
        <v>137</v>
      </c>
      <c r="J5426" t="s">
        <v>138</v>
      </c>
      <c r="K5426">
        <v>0</v>
      </c>
      <c r="L5426">
        <v>3</v>
      </c>
      <c r="M5426">
        <v>0</v>
      </c>
      <c r="N5426">
        <v>2</v>
      </c>
      <c r="O5426">
        <v>0</v>
      </c>
      <c r="P5426">
        <v>1</v>
      </c>
      <c r="Q5426">
        <v>0</v>
      </c>
      <c r="R5426" t="s">
        <v>127</v>
      </c>
      <c r="S5426" t="str">
        <f t="shared" ref="S5426:T5431" si="2148">"15:19:36.000"</f>
        <v>15:19:36.000</v>
      </c>
      <c r="T5426" t="str">
        <f t="shared" si="2148"/>
        <v>15:19:36.000</v>
      </c>
      <c r="U5426" t="str">
        <f t="shared" si="2130"/>
        <v>A68FCB</v>
      </c>
      <c r="V5426">
        <v>0</v>
      </c>
      <c r="W5426">
        <v>0</v>
      </c>
      <c r="X5426">
        <v>2</v>
      </c>
      <c r="Y5426">
        <v>0</v>
      </c>
      <c r="AA5426">
        <v>1</v>
      </c>
      <c r="AB5426">
        <v>8</v>
      </c>
      <c r="AC5426">
        <v>3</v>
      </c>
      <c r="AD5426">
        <v>0</v>
      </c>
      <c r="AE5426">
        <v>9</v>
      </c>
      <c r="AF5426" t="s">
        <v>138</v>
      </c>
      <c r="AG5426">
        <v>0</v>
      </c>
      <c r="AH5426">
        <v>3</v>
      </c>
      <c r="AI5426">
        <v>1</v>
      </c>
      <c r="AJ5426">
        <v>0</v>
      </c>
      <c r="AK5426" t="s">
        <v>1700</v>
      </c>
      <c r="AL5426">
        <v>39.222329000000002</v>
      </c>
      <c r="AM5426" t="s">
        <v>1701</v>
      </c>
      <c r="AN5426">
        <v>-121.025648</v>
      </c>
      <c r="AO5426">
        <v>25</v>
      </c>
      <c r="AP5426">
        <v>3000</v>
      </c>
      <c r="AQ5426" t="s">
        <v>131</v>
      </c>
      <c r="AR5426">
        <v>-40</v>
      </c>
      <c r="AS5426">
        <v>-58</v>
      </c>
      <c r="AT5426">
        <v>-1344</v>
      </c>
      <c r="BB5426" t="str">
        <f t="shared" si="2131"/>
        <v>1200</v>
      </c>
      <c r="BC5426">
        <v>1</v>
      </c>
      <c r="BD5426" t="str">
        <f t="shared" si="2132"/>
        <v xml:space="preserve">N52156  </v>
      </c>
      <c r="BE5426">
        <v>1</v>
      </c>
      <c r="BG5426">
        <v>0</v>
      </c>
      <c r="BH5426">
        <v>0</v>
      </c>
      <c r="BI5426">
        <v>0</v>
      </c>
      <c r="BJ5426">
        <v>3025</v>
      </c>
      <c r="BK5426">
        <v>25</v>
      </c>
      <c r="BL5426" t="s">
        <v>188</v>
      </c>
      <c r="BM5426">
        <v>1</v>
      </c>
      <c r="BN5426">
        <v>1</v>
      </c>
      <c r="BO5426">
        <v>0</v>
      </c>
      <c r="BP5426">
        <v>0</v>
      </c>
      <c r="BS5426">
        <v>0</v>
      </c>
      <c r="BT5426">
        <v>0</v>
      </c>
      <c r="BU5426">
        <v>0</v>
      </c>
      <c r="CE5426" t="str">
        <f t="shared" ref="CE5426:CE5431" si="2149">"15:19:36.756"</f>
        <v>15:19:36.756</v>
      </c>
      <c r="CF5426">
        <v>756004278</v>
      </c>
      <c r="CS5426">
        <v>0</v>
      </c>
      <c r="CT5426">
        <v>2</v>
      </c>
      <c r="CU5426">
        <v>0</v>
      </c>
      <c r="CV5426">
        <v>2</v>
      </c>
      <c r="CW5426">
        <v>0</v>
      </c>
      <c r="CX5426">
        <v>1</v>
      </c>
      <c r="CY5426">
        <v>7</v>
      </c>
      <c r="CZ5426" t="s">
        <v>133</v>
      </c>
      <c r="DA5426">
        <v>275</v>
      </c>
      <c r="DB5426">
        <v>0</v>
      </c>
      <c r="DC5426" t="s">
        <v>134</v>
      </c>
      <c r="DD5426" t="s">
        <v>135</v>
      </c>
      <c r="DG5426">
        <v>3323927</v>
      </c>
      <c r="DI5426">
        <v>1</v>
      </c>
      <c r="DJ5426">
        <v>0</v>
      </c>
      <c r="DK5426">
        <v>0</v>
      </c>
      <c r="DL5426">
        <v>0</v>
      </c>
      <c r="DM5426">
        <v>0</v>
      </c>
      <c r="DN5426">
        <v>0</v>
      </c>
      <c r="DO5426">
        <v>0</v>
      </c>
      <c r="DP5426">
        <v>0</v>
      </c>
      <c r="DQ5426">
        <v>0</v>
      </c>
      <c r="DR5426">
        <v>0</v>
      </c>
      <c r="DS5426">
        <v>0</v>
      </c>
    </row>
    <row r="5427" spans="1:123" x14ac:dyDescent="0.3">
      <c r="A5427" t="str">
        <f>"05/01/2025 15:19:36.990"</f>
        <v>05/01/2025 15:19:36.990</v>
      </c>
      <c r="C5427" t="str">
        <f t="shared" si="2128"/>
        <v>FFDFD3C0</v>
      </c>
      <c r="D5427" t="s">
        <v>140</v>
      </c>
      <c r="E5427" t="str">
        <f>"13"</f>
        <v>13</v>
      </c>
      <c r="F5427">
        <v>1019</v>
      </c>
      <c r="G5427" t="s">
        <v>141</v>
      </c>
      <c r="J5427" t="s">
        <v>142</v>
      </c>
      <c r="K5427">
        <v>0</v>
      </c>
      <c r="L5427">
        <v>3</v>
      </c>
      <c r="M5427">
        <v>0</v>
      </c>
      <c r="N5427">
        <v>2</v>
      </c>
      <c r="O5427">
        <v>0</v>
      </c>
      <c r="P5427">
        <v>1</v>
      </c>
      <c r="Q5427">
        <v>0</v>
      </c>
      <c r="R5427" t="s">
        <v>127</v>
      </c>
      <c r="S5427" t="str">
        <f t="shared" si="2148"/>
        <v>15:19:36.000</v>
      </c>
      <c r="T5427" t="str">
        <f t="shared" si="2148"/>
        <v>15:19:36.000</v>
      </c>
      <c r="U5427" t="str">
        <f t="shared" si="2130"/>
        <v>A68FCB</v>
      </c>
      <c r="V5427">
        <v>0</v>
      </c>
      <c r="W5427">
        <v>0</v>
      </c>
      <c r="X5427">
        <v>2</v>
      </c>
      <c r="Y5427">
        <v>0</v>
      </c>
      <c r="AA5427">
        <v>1</v>
      </c>
      <c r="AB5427">
        <v>8</v>
      </c>
      <c r="AC5427">
        <v>3</v>
      </c>
      <c r="AD5427">
        <v>0</v>
      </c>
      <c r="AE5427">
        <v>9</v>
      </c>
      <c r="AF5427" t="s">
        <v>138</v>
      </c>
      <c r="AG5427">
        <v>0</v>
      </c>
      <c r="AH5427">
        <v>3</v>
      </c>
      <c r="AI5427">
        <v>1</v>
      </c>
      <c r="AJ5427">
        <v>0</v>
      </c>
      <c r="AK5427" t="s">
        <v>1700</v>
      </c>
      <c r="AL5427">
        <v>39.222329000000002</v>
      </c>
      <c r="AM5427" t="s">
        <v>1701</v>
      </c>
      <c r="AN5427">
        <v>-121.025648</v>
      </c>
      <c r="AO5427">
        <v>25</v>
      </c>
      <c r="AP5427">
        <v>3000</v>
      </c>
      <c r="AQ5427" t="s">
        <v>131</v>
      </c>
      <c r="AR5427">
        <v>-40</v>
      </c>
      <c r="AS5427">
        <v>-58</v>
      </c>
      <c r="AT5427">
        <v>-1344</v>
      </c>
      <c r="BB5427" t="str">
        <f t="shared" si="2131"/>
        <v>1200</v>
      </c>
      <c r="BC5427">
        <v>1</v>
      </c>
      <c r="BD5427" t="str">
        <f t="shared" si="2132"/>
        <v xml:space="preserve">N52156  </v>
      </c>
      <c r="BE5427">
        <v>1</v>
      </c>
      <c r="BG5427">
        <v>0</v>
      </c>
      <c r="BH5427">
        <v>0</v>
      </c>
      <c r="BI5427">
        <v>0</v>
      </c>
      <c r="BJ5427">
        <v>3025</v>
      </c>
      <c r="BK5427">
        <v>25</v>
      </c>
      <c r="BL5427" t="s">
        <v>188</v>
      </c>
      <c r="BM5427">
        <v>1</v>
      </c>
      <c r="BN5427">
        <v>1</v>
      </c>
      <c r="BO5427">
        <v>0</v>
      </c>
      <c r="BP5427">
        <v>0</v>
      </c>
      <c r="BS5427">
        <v>0</v>
      </c>
      <c r="BT5427">
        <v>0</v>
      </c>
      <c r="BU5427">
        <v>0</v>
      </c>
      <c r="CE5427" t="str">
        <f t="shared" si="2149"/>
        <v>15:19:36.756</v>
      </c>
      <c r="CF5427">
        <v>756004278</v>
      </c>
      <c r="CS5427">
        <v>0</v>
      </c>
      <c r="CT5427">
        <v>2</v>
      </c>
      <c r="CU5427">
        <v>0</v>
      </c>
      <c r="CV5427">
        <v>2</v>
      </c>
      <c r="CW5427">
        <v>0</v>
      </c>
      <c r="CX5427">
        <v>1</v>
      </c>
      <c r="CY5427">
        <v>7</v>
      </c>
      <c r="CZ5427" t="s">
        <v>133</v>
      </c>
      <c r="DA5427">
        <v>275</v>
      </c>
      <c r="DB5427">
        <v>0</v>
      </c>
      <c r="DC5427" t="s">
        <v>134</v>
      </c>
      <c r="DD5427" t="s">
        <v>135</v>
      </c>
      <c r="DG5427">
        <v>3323927</v>
      </c>
      <c r="DI5427">
        <v>1</v>
      </c>
      <c r="DJ5427">
        <v>0</v>
      </c>
      <c r="DK5427">
        <v>1</v>
      </c>
      <c r="DL5427">
        <v>0</v>
      </c>
      <c r="DM5427">
        <v>0</v>
      </c>
      <c r="DN5427">
        <v>0</v>
      </c>
      <c r="DO5427">
        <v>0</v>
      </c>
      <c r="DP5427">
        <v>0</v>
      </c>
      <c r="DQ5427">
        <v>0</v>
      </c>
      <c r="DR5427">
        <v>0</v>
      </c>
      <c r="DS5427">
        <v>0</v>
      </c>
    </row>
    <row r="5428" spans="1:123" x14ac:dyDescent="0.3">
      <c r="A5428" t="str">
        <f>"05/01/2025 15:19:36.993"</f>
        <v>05/01/2025 15:19:36.993</v>
      </c>
      <c r="C5428" t="str">
        <f t="shared" si="2128"/>
        <v>FFDFD3C0</v>
      </c>
      <c r="D5428" t="s">
        <v>124</v>
      </c>
      <c r="E5428" t="str">
        <f>"06"</f>
        <v>06</v>
      </c>
      <c r="F5428">
        <v>2006</v>
      </c>
      <c r="G5428" t="s">
        <v>125</v>
      </c>
      <c r="J5428" t="s">
        <v>126</v>
      </c>
      <c r="K5428">
        <v>0</v>
      </c>
      <c r="L5428">
        <v>3</v>
      </c>
      <c r="M5428">
        <v>0</v>
      </c>
      <c r="N5428">
        <v>2</v>
      </c>
      <c r="O5428">
        <v>0</v>
      </c>
      <c r="P5428">
        <v>1</v>
      </c>
      <c r="Q5428">
        <v>0</v>
      </c>
      <c r="R5428" t="s">
        <v>127</v>
      </c>
      <c r="S5428" t="str">
        <f t="shared" si="2148"/>
        <v>15:19:36.000</v>
      </c>
      <c r="T5428" t="str">
        <f t="shared" si="2148"/>
        <v>15:19:36.000</v>
      </c>
      <c r="U5428" t="str">
        <f t="shared" si="2130"/>
        <v>A68FCB</v>
      </c>
      <c r="V5428">
        <v>0</v>
      </c>
      <c r="W5428">
        <v>0</v>
      </c>
      <c r="X5428">
        <v>2</v>
      </c>
      <c r="Y5428">
        <v>0</v>
      </c>
      <c r="AA5428">
        <v>1</v>
      </c>
      <c r="AB5428">
        <v>8</v>
      </c>
      <c r="AC5428">
        <v>3</v>
      </c>
      <c r="AD5428">
        <v>0</v>
      </c>
      <c r="AE5428">
        <v>9</v>
      </c>
      <c r="AF5428" t="s">
        <v>138</v>
      </c>
      <c r="AG5428">
        <v>0</v>
      </c>
      <c r="AH5428">
        <v>3</v>
      </c>
      <c r="AI5428">
        <v>1</v>
      </c>
      <c r="AJ5428">
        <v>0</v>
      </c>
      <c r="AK5428" t="s">
        <v>1700</v>
      </c>
      <c r="AL5428">
        <v>39.222329000000002</v>
      </c>
      <c r="AM5428" t="s">
        <v>1701</v>
      </c>
      <c r="AN5428">
        <v>-121.025648</v>
      </c>
      <c r="AO5428">
        <v>25</v>
      </c>
      <c r="AP5428">
        <v>3000</v>
      </c>
      <c r="AQ5428" t="s">
        <v>131</v>
      </c>
      <c r="AR5428">
        <v>-40</v>
      </c>
      <c r="AS5428">
        <v>-58</v>
      </c>
      <c r="AT5428">
        <v>-1344</v>
      </c>
      <c r="BB5428" t="str">
        <f t="shared" si="2131"/>
        <v>1200</v>
      </c>
      <c r="BC5428">
        <v>1</v>
      </c>
      <c r="BD5428" t="str">
        <f t="shared" si="2132"/>
        <v xml:space="preserve">N52156  </v>
      </c>
      <c r="BE5428">
        <v>1</v>
      </c>
      <c r="BG5428">
        <v>0</v>
      </c>
      <c r="BH5428">
        <v>0</v>
      </c>
      <c r="BI5428">
        <v>0</v>
      </c>
      <c r="BJ5428">
        <v>3025</v>
      </c>
      <c r="BK5428">
        <v>25</v>
      </c>
      <c r="BL5428" t="s">
        <v>188</v>
      </c>
      <c r="BM5428">
        <v>1</v>
      </c>
      <c r="BN5428">
        <v>1</v>
      </c>
      <c r="BO5428">
        <v>0</v>
      </c>
      <c r="BP5428">
        <v>0</v>
      </c>
      <c r="BS5428">
        <v>0</v>
      </c>
      <c r="BT5428">
        <v>0</v>
      </c>
      <c r="BU5428">
        <v>0</v>
      </c>
      <c r="CE5428" t="str">
        <f t="shared" si="2149"/>
        <v>15:19:36.756</v>
      </c>
      <c r="CF5428">
        <v>756004278</v>
      </c>
      <c r="CS5428">
        <v>0</v>
      </c>
      <c r="CT5428">
        <v>2</v>
      </c>
      <c r="CU5428">
        <v>0</v>
      </c>
      <c r="CV5428">
        <v>2</v>
      </c>
      <c r="CW5428">
        <v>0</v>
      </c>
      <c r="CX5428">
        <v>1</v>
      </c>
      <c r="CY5428">
        <v>7</v>
      </c>
      <c r="CZ5428" t="s">
        <v>133</v>
      </c>
      <c r="DA5428">
        <v>275</v>
      </c>
      <c r="DB5428">
        <v>0</v>
      </c>
      <c r="DC5428" t="s">
        <v>134</v>
      </c>
      <c r="DD5428" t="s">
        <v>135</v>
      </c>
      <c r="DG5428">
        <v>3323927</v>
      </c>
      <c r="DI5428">
        <v>1</v>
      </c>
      <c r="DJ5428">
        <v>0</v>
      </c>
      <c r="DK5428">
        <v>1</v>
      </c>
      <c r="DL5428">
        <v>0</v>
      </c>
      <c r="DM5428">
        <v>0</v>
      </c>
      <c r="DN5428">
        <v>0</v>
      </c>
      <c r="DO5428">
        <v>0</v>
      </c>
      <c r="DP5428">
        <v>0</v>
      </c>
      <c r="DQ5428">
        <v>0</v>
      </c>
      <c r="DR5428">
        <v>0</v>
      </c>
      <c r="DS5428">
        <v>0</v>
      </c>
    </row>
    <row r="5429" spans="1:123" x14ac:dyDescent="0.3">
      <c r="A5429" t="str">
        <f>"05/01/2025 15:19:37.010"</f>
        <v>05/01/2025 15:19:37.010</v>
      </c>
      <c r="C5429" t="str">
        <f t="shared" si="2128"/>
        <v>FFDFD3C0</v>
      </c>
      <c r="D5429" t="s">
        <v>143</v>
      </c>
      <c r="E5429" t="str">
        <f>"05"</f>
        <v>05</v>
      </c>
      <c r="H5429">
        <v>172</v>
      </c>
      <c r="I5429" t="s">
        <v>141</v>
      </c>
      <c r="J5429" t="s">
        <v>144</v>
      </c>
      <c r="K5429">
        <v>0</v>
      </c>
      <c r="L5429">
        <v>3</v>
      </c>
      <c r="M5429">
        <v>0</v>
      </c>
      <c r="N5429">
        <v>2</v>
      </c>
      <c r="O5429">
        <v>0</v>
      </c>
      <c r="P5429">
        <v>1</v>
      </c>
      <c r="Q5429">
        <v>0</v>
      </c>
      <c r="R5429" t="s">
        <v>127</v>
      </c>
      <c r="S5429" t="str">
        <f t="shared" si="2148"/>
        <v>15:19:36.000</v>
      </c>
      <c r="T5429" t="str">
        <f t="shared" si="2148"/>
        <v>15:19:36.000</v>
      </c>
      <c r="U5429" t="str">
        <f t="shared" si="2130"/>
        <v>A68FCB</v>
      </c>
      <c r="V5429">
        <v>0</v>
      </c>
      <c r="W5429">
        <v>0</v>
      </c>
      <c r="X5429">
        <v>2</v>
      </c>
      <c r="Y5429">
        <v>0</v>
      </c>
      <c r="AA5429">
        <v>1</v>
      </c>
      <c r="AB5429">
        <v>8</v>
      </c>
      <c r="AC5429">
        <v>3</v>
      </c>
      <c r="AD5429">
        <v>0</v>
      </c>
      <c r="AE5429">
        <v>9</v>
      </c>
      <c r="AF5429" t="s">
        <v>138</v>
      </c>
      <c r="AG5429">
        <v>0</v>
      </c>
      <c r="AH5429">
        <v>3</v>
      </c>
      <c r="AI5429">
        <v>1</v>
      </c>
      <c r="AJ5429">
        <v>0</v>
      </c>
      <c r="AK5429" t="s">
        <v>1700</v>
      </c>
      <c r="AL5429">
        <v>39.222329000000002</v>
      </c>
      <c r="AM5429" t="s">
        <v>1701</v>
      </c>
      <c r="AN5429">
        <v>-121.025648</v>
      </c>
      <c r="AO5429">
        <v>25</v>
      </c>
      <c r="AP5429">
        <v>3000</v>
      </c>
      <c r="AQ5429" t="s">
        <v>131</v>
      </c>
      <c r="AR5429">
        <v>-40</v>
      </c>
      <c r="AS5429">
        <v>-58</v>
      </c>
      <c r="AT5429">
        <v>-1344</v>
      </c>
      <c r="BB5429" t="str">
        <f t="shared" si="2131"/>
        <v>1200</v>
      </c>
      <c r="BC5429">
        <v>1</v>
      </c>
      <c r="BD5429" t="str">
        <f t="shared" si="2132"/>
        <v xml:space="preserve">N52156  </v>
      </c>
      <c r="BE5429">
        <v>1</v>
      </c>
      <c r="BG5429">
        <v>0</v>
      </c>
      <c r="BH5429">
        <v>0</v>
      </c>
      <c r="BI5429">
        <v>0</v>
      </c>
      <c r="BJ5429">
        <v>3025</v>
      </c>
      <c r="BK5429">
        <v>25</v>
      </c>
      <c r="BL5429" t="s">
        <v>188</v>
      </c>
      <c r="BM5429">
        <v>1</v>
      </c>
      <c r="BN5429">
        <v>1</v>
      </c>
      <c r="BO5429">
        <v>0</v>
      </c>
      <c r="BP5429">
        <v>0</v>
      </c>
      <c r="BS5429">
        <v>0</v>
      </c>
      <c r="BT5429">
        <v>0</v>
      </c>
      <c r="BU5429">
        <v>0</v>
      </c>
      <c r="CE5429" t="str">
        <f t="shared" si="2149"/>
        <v>15:19:36.756</v>
      </c>
      <c r="CF5429">
        <v>756004278</v>
      </c>
      <c r="CS5429">
        <v>0</v>
      </c>
      <c r="CT5429">
        <v>2</v>
      </c>
      <c r="CU5429">
        <v>0</v>
      </c>
      <c r="CV5429">
        <v>2</v>
      </c>
      <c r="CW5429">
        <v>0</v>
      </c>
      <c r="CX5429">
        <v>1</v>
      </c>
      <c r="CY5429">
        <v>7</v>
      </c>
      <c r="CZ5429" t="s">
        <v>133</v>
      </c>
      <c r="DA5429">
        <v>275</v>
      </c>
      <c r="DB5429">
        <v>0</v>
      </c>
      <c r="DC5429" t="s">
        <v>134</v>
      </c>
      <c r="DD5429" t="s">
        <v>135</v>
      </c>
      <c r="DG5429">
        <v>3323927</v>
      </c>
      <c r="DI5429">
        <v>1</v>
      </c>
      <c r="DJ5429">
        <v>0</v>
      </c>
      <c r="DK5429">
        <v>1</v>
      </c>
      <c r="DL5429">
        <v>0</v>
      </c>
      <c r="DM5429">
        <v>0</v>
      </c>
      <c r="DN5429">
        <v>0</v>
      </c>
      <c r="DO5429">
        <v>0</v>
      </c>
      <c r="DP5429">
        <v>0</v>
      </c>
      <c r="DQ5429">
        <v>0</v>
      </c>
      <c r="DR5429">
        <v>0</v>
      </c>
      <c r="DS5429">
        <v>0</v>
      </c>
    </row>
    <row r="5430" spans="1:123" x14ac:dyDescent="0.3">
      <c r="A5430" t="str">
        <f>"05/01/2025 15:19:37.019"</f>
        <v>05/01/2025 15:19:37.019</v>
      </c>
      <c r="C5430" t="str">
        <f t="shared" si="2128"/>
        <v>FFDFD3C0</v>
      </c>
      <c r="D5430" t="s">
        <v>145</v>
      </c>
      <c r="E5430" t="str">
        <f>"05"</f>
        <v>05</v>
      </c>
      <c r="H5430">
        <v>47</v>
      </c>
      <c r="I5430" t="s">
        <v>146</v>
      </c>
      <c r="J5430" t="s">
        <v>138</v>
      </c>
      <c r="K5430">
        <v>0</v>
      </c>
      <c r="L5430">
        <v>3</v>
      </c>
      <c r="M5430">
        <v>0</v>
      </c>
      <c r="N5430">
        <v>2</v>
      </c>
      <c r="O5430">
        <v>0</v>
      </c>
      <c r="P5430">
        <v>1</v>
      </c>
      <c r="Q5430">
        <v>0</v>
      </c>
      <c r="R5430" t="s">
        <v>127</v>
      </c>
      <c r="S5430" t="str">
        <f t="shared" si="2148"/>
        <v>15:19:36.000</v>
      </c>
      <c r="T5430" t="str">
        <f t="shared" si="2148"/>
        <v>15:19:36.000</v>
      </c>
      <c r="U5430" t="str">
        <f t="shared" si="2130"/>
        <v>A68FCB</v>
      </c>
      <c r="V5430">
        <v>0</v>
      </c>
      <c r="W5430">
        <v>0</v>
      </c>
      <c r="X5430">
        <v>2</v>
      </c>
      <c r="Y5430">
        <v>0</v>
      </c>
      <c r="AA5430">
        <v>1</v>
      </c>
      <c r="AB5430">
        <v>8</v>
      </c>
      <c r="AC5430">
        <v>3</v>
      </c>
      <c r="AD5430">
        <v>0</v>
      </c>
      <c r="AE5430">
        <v>9</v>
      </c>
      <c r="AF5430" t="s">
        <v>138</v>
      </c>
      <c r="AG5430">
        <v>0</v>
      </c>
      <c r="AH5430">
        <v>3</v>
      </c>
      <c r="AI5430">
        <v>1</v>
      </c>
      <c r="AJ5430">
        <v>0</v>
      </c>
      <c r="AK5430" t="s">
        <v>1700</v>
      </c>
      <c r="AL5430">
        <v>39.222329000000002</v>
      </c>
      <c r="AM5430" t="s">
        <v>1701</v>
      </c>
      <c r="AN5430">
        <v>-121.025648</v>
      </c>
      <c r="AO5430">
        <v>25</v>
      </c>
      <c r="AP5430">
        <v>3000</v>
      </c>
      <c r="AQ5430" t="s">
        <v>131</v>
      </c>
      <c r="AR5430">
        <v>-40</v>
      </c>
      <c r="AS5430">
        <v>-58</v>
      </c>
      <c r="AT5430">
        <v>-1344</v>
      </c>
      <c r="BB5430" t="str">
        <f t="shared" si="2131"/>
        <v>1200</v>
      </c>
      <c r="BC5430">
        <v>1</v>
      </c>
      <c r="BD5430" t="str">
        <f t="shared" si="2132"/>
        <v xml:space="preserve">N52156  </v>
      </c>
      <c r="BE5430">
        <v>1</v>
      </c>
      <c r="BG5430">
        <v>0</v>
      </c>
      <c r="BH5430">
        <v>0</v>
      </c>
      <c r="BI5430">
        <v>0</v>
      </c>
      <c r="BJ5430">
        <v>3025</v>
      </c>
      <c r="BK5430">
        <v>25</v>
      </c>
      <c r="BL5430" t="s">
        <v>188</v>
      </c>
      <c r="BM5430">
        <v>1</v>
      </c>
      <c r="BN5430">
        <v>1</v>
      </c>
      <c r="BO5430">
        <v>0</v>
      </c>
      <c r="BP5430">
        <v>0</v>
      </c>
      <c r="BS5430">
        <v>0</v>
      </c>
      <c r="BT5430">
        <v>0</v>
      </c>
      <c r="BU5430">
        <v>0</v>
      </c>
      <c r="CE5430" t="str">
        <f t="shared" si="2149"/>
        <v>15:19:36.756</v>
      </c>
      <c r="CF5430">
        <v>756004278</v>
      </c>
      <c r="CS5430">
        <v>0</v>
      </c>
      <c r="CT5430">
        <v>2</v>
      </c>
      <c r="CU5430">
        <v>0</v>
      </c>
      <c r="CV5430">
        <v>2</v>
      </c>
      <c r="CW5430">
        <v>0</v>
      </c>
      <c r="CX5430">
        <v>1</v>
      </c>
      <c r="CY5430">
        <v>7</v>
      </c>
      <c r="CZ5430" t="s">
        <v>133</v>
      </c>
      <c r="DA5430">
        <v>275</v>
      </c>
      <c r="DB5430">
        <v>0</v>
      </c>
      <c r="DC5430" t="s">
        <v>134</v>
      </c>
      <c r="DD5430" t="s">
        <v>135</v>
      </c>
      <c r="DG5430">
        <v>3323927</v>
      </c>
      <c r="DI5430">
        <v>1</v>
      </c>
      <c r="DJ5430">
        <v>0</v>
      </c>
      <c r="DK5430">
        <v>1</v>
      </c>
      <c r="DL5430">
        <v>0</v>
      </c>
      <c r="DM5430">
        <v>0</v>
      </c>
      <c r="DN5430">
        <v>0</v>
      </c>
      <c r="DO5430">
        <v>0</v>
      </c>
      <c r="DP5430">
        <v>0</v>
      </c>
      <c r="DQ5430">
        <v>0</v>
      </c>
      <c r="DR5430">
        <v>0</v>
      </c>
      <c r="DS5430">
        <v>0</v>
      </c>
    </row>
    <row r="5431" spans="1:123" x14ac:dyDescent="0.3">
      <c r="A5431" t="str">
        <f>"05/01/2025 15:19:37.017"</f>
        <v>05/01/2025 15:19:37.017</v>
      </c>
      <c r="C5431" t="str">
        <f t="shared" si="2128"/>
        <v>FFDFD3C0</v>
      </c>
      <c r="D5431" t="s">
        <v>145</v>
      </c>
      <c r="E5431" t="str">
        <f>"09"</f>
        <v>09</v>
      </c>
      <c r="H5431">
        <v>51</v>
      </c>
      <c r="I5431" t="s">
        <v>147</v>
      </c>
      <c r="J5431" t="s">
        <v>138</v>
      </c>
      <c r="K5431">
        <v>0</v>
      </c>
      <c r="L5431">
        <v>3</v>
      </c>
      <c r="M5431">
        <v>0</v>
      </c>
      <c r="N5431">
        <v>2</v>
      </c>
      <c r="O5431">
        <v>0</v>
      </c>
      <c r="P5431">
        <v>1</v>
      </c>
      <c r="Q5431">
        <v>0</v>
      </c>
      <c r="R5431" t="s">
        <v>127</v>
      </c>
      <c r="S5431" t="str">
        <f t="shared" si="2148"/>
        <v>15:19:36.000</v>
      </c>
      <c r="T5431" t="str">
        <f t="shared" si="2148"/>
        <v>15:19:36.000</v>
      </c>
      <c r="U5431" t="str">
        <f t="shared" si="2130"/>
        <v>A68FCB</v>
      </c>
      <c r="V5431">
        <v>0</v>
      </c>
      <c r="W5431">
        <v>0</v>
      </c>
      <c r="X5431">
        <v>2</v>
      </c>
      <c r="Y5431">
        <v>0</v>
      </c>
      <c r="AA5431">
        <v>1</v>
      </c>
      <c r="AB5431">
        <v>8</v>
      </c>
      <c r="AC5431">
        <v>3</v>
      </c>
      <c r="AD5431">
        <v>0</v>
      </c>
      <c r="AE5431">
        <v>9</v>
      </c>
      <c r="AF5431" t="s">
        <v>138</v>
      </c>
      <c r="AG5431">
        <v>0</v>
      </c>
      <c r="AH5431">
        <v>3</v>
      </c>
      <c r="AI5431">
        <v>1</v>
      </c>
      <c r="AJ5431">
        <v>0</v>
      </c>
      <c r="AK5431" t="s">
        <v>1700</v>
      </c>
      <c r="AL5431">
        <v>39.222329000000002</v>
      </c>
      <c r="AM5431" t="s">
        <v>1701</v>
      </c>
      <c r="AN5431">
        <v>-121.025648</v>
      </c>
      <c r="AO5431">
        <v>25</v>
      </c>
      <c r="AP5431">
        <v>3000</v>
      </c>
      <c r="AQ5431" t="s">
        <v>131</v>
      </c>
      <c r="AR5431">
        <v>-40</v>
      </c>
      <c r="AS5431">
        <v>-58</v>
      </c>
      <c r="AT5431">
        <v>-1344</v>
      </c>
      <c r="BB5431" t="str">
        <f t="shared" si="2131"/>
        <v>1200</v>
      </c>
      <c r="BC5431">
        <v>1</v>
      </c>
      <c r="BD5431" t="str">
        <f t="shared" si="2132"/>
        <v xml:space="preserve">N52156  </v>
      </c>
      <c r="BE5431">
        <v>1</v>
      </c>
      <c r="BG5431">
        <v>0</v>
      </c>
      <c r="BH5431">
        <v>0</v>
      </c>
      <c r="BI5431">
        <v>0</v>
      </c>
      <c r="BJ5431">
        <v>3025</v>
      </c>
      <c r="BK5431">
        <v>25</v>
      </c>
      <c r="BL5431" t="s">
        <v>188</v>
      </c>
      <c r="BM5431">
        <v>1</v>
      </c>
      <c r="BN5431">
        <v>1</v>
      </c>
      <c r="BO5431">
        <v>0</v>
      </c>
      <c r="BP5431">
        <v>0</v>
      </c>
      <c r="BS5431">
        <v>0</v>
      </c>
      <c r="BT5431">
        <v>0</v>
      </c>
      <c r="BU5431">
        <v>0</v>
      </c>
      <c r="CE5431" t="str">
        <f t="shared" si="2149"/>
        <v>15:19:36.756</v>
      </c>
      <c r="CF5431">
        <v>756004278</v>
      </c>
      <c r="CS5431">
        <v>0</v>
      </c>
      <c r="CT5431">
        <v>2</v>
      </c>
      <c r="CU5431">
        <v>0</v>
      </c>
      <c r="CV5431">
        <v>2</v>
      </c>
      <c r="CW5431">
        <v>0</v>
      </c>
      <c r="CX5431">
        <v>1</v>
      </c>
      <c r="CY5431">
        <v>7</v>
      </c>
      <c r="CZ5431" t="s">
        <v>133</v>
      </c>
      <c r="DA5431">
        <v>275</v>
      </c>
      <c r="DB5431">
        <v>0</v>
      </c>
      <c r="DC5431" t="s">
        <v>134</v>
      </c>
      <c r="DD5431" t="s">
        <v>135</v>
      </c>
      <c r="DG5431">
        <v>3323927</v>
      </c>
      <c r="DI5431">
        <v>1</v>
      </c>
      <c r="DJ5431">
        <v>0</v>
      </c>
      <c r="DK5431">
        <v>1</v>
      </c>
      <c r="DL5431">
        <v>0</v>
      </c>
      <c r="DM5431">
        <v>0</v>
      </c>
      <c r="DN5431">
        <v>0</v>
      </c>
      <c r="DO5431">
        <v>0</v>
      </c>
      <c r="DP5431">
        <v>0</v>
      </c>
      <c r="DQ5431">
        <v>0</v>
      </c>
      <c r="DR5431">
        <v>0</v>
      </c>
      <c r="DS5431">
        <v>0</v>
      </c>
    </row>
    <row r="5432" spans="1:123" x14ac:dyDescent="0.3">
      <c r="A5432" t="str">
        <f>"05/01/2025 15:19:37.991"</f>
        <v>05/01/2025 15:19:37.991</v>
      </c>
      <c r="C5432" t="str">
        <f t="shared" si="2128"/>
        <v>FFDFD3C0</v>
      </c>
      <c r="D5432" t="s">
        <v>140</v>
      </c>
      <c r="E5432" t="str">
        <f>"13"</f>
        <v>13</v>
      </c>
      <c r="F5432">
        <v>1019</v>
      </c>
      <c r="G5432" t="s">
        <v>141</v>
      </c>
      <c r="J5432" t="s">
        <v>142</v>
      </c>
      <c r="K5432">
        <v>0</v>
      </c>
      <c r="L5432">
        <v>3</v>
      </c>
      <c r="M5432">
        <v>0</v>
      </c>
      <c r="N5432">
        <v>2</v>
      </c>
      <c r="O5432">
        <v>0</v>
      </c>
      <c r="P5432">
        <v>1</v>
      </c>
      <c r="Q5432">
        <v>0</v>
      </c>
      <c r="R5432" t="s">
        <v>127</v>
      </c>
      <c r="S5432" t="str">
        <f t="shared" ref="S5432:T5437" si="2150">"15:19:37.000"</f>
        <v>15:19:37.000</v>
      </c>
      <c r="T5432" t="str">
        <f t="shared" si="2150"/>
        <v>15:19:37.000</v>
      </c>
      <c r="U5432" t="str">
        <f t="shared" si="2130"/>
        <v>A68FCB</v>
      </c>
      <c r="V5432">
        <v>0</v>
      </c>
      <c r="W5432">
        <v>0</v>
      </c>
      <c r="X5432">
        <v>2</v>
      </c>
      <c r="Y5432">
        <v>0</v>
      </c>
      <c r="AA5432">
        <v>1</v>
      </c>
      <c r="AB5432">
        <v>8</v>
      </c>
      <c r="AC5432">
        <v>3</v>
      </c>
      <c r="AD5432">
        <v>0</v>
      </c>
      <c r="AE5432">
        <v>9</v>
      </c>
      <c r="AF5432" t="s">
        <v>138</v>
      </c>
      <c r="AG5432">
        <v>0</v>
      </c>
      <c r="AH5432">
        <v>3</v>
      </c>
      <c r="AI5432">
        <v>2</v>
      </c>
      <c r="AJ5432">
        <v>0</v>
      </c>
      <c r="AK5432" t="s">
        <v>1702</v>
      </c>
      <c r="AL5432">
        <v>39.222050000000003</v>
      </c>
      <c r="AM5432" t="s">
        <v>1273</v>
      </c>
      <c r="AN5432">
        <v>-121.025884</v>
      </c>
      <c r="AO5432">
        <v>25</v>
      </c>
      <c r="AP5432">
        <v>3000</v>
      </c>
      <c r="AQ5432" t="s">
        <v>131</v>
      </c>
      <c r="AR5432">
        <v>-52</v>
      </c>
      <c r="AS5432">
        <v>-53</v>
      </c>
      <c r="AT5432">
        <v>-1472</v>
      </c>
      <c r="BB5432" t="str">
        <f t="shared" si="2131"/>
        <v>1200</v>
      </c>
      <c r="BC5432">
        <v>1</v>
      </c>
      <c r="BD5432" t="str">
        <f t="shared" si="2132"/>
        <v xml:space="preserve">N52156  </v>
      </c>
      <c r="BE5432">
        <v>1</v>
      </c>
      <c r="BG5432">
        <v>0</v>
      </c>
      <c r="BH5432">
        <v>0</v>
      </c>
      <c r="BI5432">
        <v>0</v>
      </c>
      <c r="BJ5432">
        <v>3025</v>
      </c>
      <c r="BK5432">
        <v>25</v>
      </c>
      <c r="BL5432" t="s">
        <v>188</v>
      </c>
      <c r="BM5432">
        <v>1</v>
      </c>
      <c r="BN5432">
        <v>1</v>
      </c>
      <c r="BO5432">
        <v>0</v>
      </c>
      <c r="BP5432">
        <v>0</v>
      </c>
      <c r="BS5432">
        <v>0</v>
      </c>
      <c r="BT5432">
        <v>0</v>
      </c>
      <c r="BU5432">
        <v>0</v>
      </c>
      <c r="CE5432" t="str">
        <f t="shared" ref="CE5432:CE5437" si="2151">"15:19:37.774"</f>
        <v>15:19:37.774</v>
      </c>
      <c r="CF5432">
        <v>774254287</v>
      </c>
      <c r="CS5432">
        <v>0</v>
      </c>
      <c r="CT5432">
        <v>2</v>
      </c>
      <c r="CU5432">
        <v>0</v>
      </c>
      <c r="CV5432">
        <v>2</v>
      </c>
      <c r="CW5432">
        <v>0</v>
      </c>
      <c r="CX5432">
        <v>0</v>
      </c>
      <c r="CY5432">
        <v>7</v>
      </c>
      <c r="CZ5432" t="s">
        <v>133</v>
      </c>
      <c r="DA5432">
        <v>275</v>
      </c>
      <c r="DB5432">
        <v>0</v>
      </c>
      <c r="DC5432" t="s">
        <v>134</v>
      </c>
      <c r="DD5432" t="s">
        <v>135</v>
      </c>
      <c r="DG5432">
        <v>3323935</v>
      </c>
      <c r="DI5432">
        <v>1</v>
      </c>
      <c r="DJ5432">
        <v>0</v>
      </c>
      <c r="DK5432">
        <v>0</v>
      </c>
      <c r="DL5432">
        <v>0</v>
      </c>
      <c r="DM5432">
        <v>0</v>
      </c>
      <c r="DN5432">
        <v>0</v>
      </c>
      <c r="DO5432">
        <v>0</v>
      </c>
      <c r="DP5432">
        <v>0</v>
      </c>
      <c r="DQ5432">
        <v>0</v>
      </c>
      <c r="DR5432">
        <v>0</v>
      </c>
      <c r="DS5432">
        <v>0</v>
      </c>
    </row>
    <row r="5433" spans="1:123" x14ac:dyDescent="0.3">
      <c r="A5433" t="str">
        <f>"05/01/2025 15:19:37.994"</f>
        <v>05/01/2025 15:19:37.994</v>
      </c>
      <c r="C5433" t="str">
        <f t="shared" si="2128"/>
        <v>FFDFD3C0</v>
      </c>
      <c r="D5433" t="s">
        <v>124</v>
      </c>
      <c r="E5433" t="str">
        <f>"06"</f>
        <v>06</v>
      </c>
      <c r="F5433">
        <v>2006</v>
      </c>
      <c r="G5433" t="s">
        <v>125</v>
      </c>
      <c r="J5433" t="s">
        <v>126</v>
      </c>
      <c r="K5433">
        <v>0</v>
      </c>
      <c r="L5433">
        <v>3</v>
      </c>
      <c r="M5433">
        <v>0</v>
      </c>
      <c r="N5433">
        <v>2</v>
      </c>
      <c r="O5433">
        <v>0</v>
      </c>
      <c r="P5433">
        <v>1</v>
      </c>
      <c r="Q5433">
        <v>0</v>
      </c>
      <c r="R5433" t="s">
        <v>127</v>
      </c>
      <c r="S5433" t="str">
        <f t="shared" si="2150"/>
        <v>15:19:37.000</v>
      </c>
      <c r="T5433" t="str">
        <f t="shared" si="2150"/>
        <v>15:19:37.000</v>
      </c>
      <c r="U5433" t="str">
        <f t="shared" si="2130"/>
        <v>A68FCB</v>
      </c>
      <c r="V5433">
        <v>0</v>
      </c>
      <c r="W5433">
        <v>0</v>
      </c>
      <c r="X5433">
        <v>2</v>
      </c>
      <c r="Y5433">
        <v>0</v>
      </c>
      <c r="AA5433">
        <v>1</v>
      </c>
      <c r="AB5433">
        <v>8</v>
      </c>
      <c r="AC5433">
        <v>3</v>
      </c>
      <c r="AD5433">
        <v>0</v>
      </c>
      <c r="AE5433">
        <v>9</v>
      </c>
      <c r="AF5433" t="s">
        <v>138</v>
      </c>
      <c r="AG5433">
        <v>0</v>
      </c>
      <c r="AH5433">
        <v>3</v>
      </c>
      <c r="AI5433">
        <v>2</v>
      </c>
      <c r="AJ5433">
        <v>0</v>
      </c>
      <c r="AK5433" t="s">
        <v>1702</v>
      </c>
      <c r="AL5433">
        <v>39.222050000000003</v>
      </c>
      <c r="AM5433" t="s">
        <v>1273</v>
      </c>
      <c r="AN5433">
        <v>-121.025884</v>
      </c>
      <c r="AO5433">
        <v>25</v>
      </c>
      <c r="AP5433">
        <v>3000</v>
      </c>
      <c r="AQ5433" t="s">
        <v>131</v>
      </c>
      <c r="AR5433">
        <v>-52</v>
      </c>
      <c r="AS5433">
        <v>-53</v>
      </c>
      <c r="AT5433">
        <v>-1472</v>
      </c>
      <c r="BB5433" t="str">
        <f t="shared" si="2131"/>
        <v>1200</v>
      </c>
      <c r="BC5433">
        <v>1</v>
      </c>
      <c r="BD5433" t="str">
        <f t="shared" si="2132"/>
        <v xml:space="preserve">N52156  </v>
      </c>
      <c r="BE5433">
        <v>1</v>
      </c>
      <c r="BG5433">
        <v>0</v>
      </c>
      <c r="BH5433">
        <v>0</v>
      </c>
      <c r="BI5433">
        <v>0</v>
      </c>
      <c r="BJ5433">
        <v>3025</v>
      </c>
      <c r="BK5433">
        <v>25</v>
      </c>
      <c r="BL5433" t="s">
        <v>188</v>
      </c>
      <c r="BM5433">
        <v>1</v>
      </c>
      <c r="BN5433">
        <v>1</v>
      </c>
      <c r="BO5433">
        <v>0</v>
      </c>
      <c r="BP5433">
        <v>0</v>
      </c>
      <c r="BS5433">
        <v>0</v>
      </c>
      <c r="BT5433">
        <v>0</v>
      </c>
      <c r="BU5433">
        <v>0</v>
      </c>
      <c r="CE5433" t="str">
        <f t="shared" si="2151"/>
        <v>15:19:37.774</v>
      </c>
      <c r="CF5433">
        <v>774254287</v>
      </c>
      <c r="CS5433">
        <v>0</v>
      </c>
      <c r="CT5433">
        <v>2</v>
      </c>
      <c r="CU5433">
        <v>0</v>
      </c>
      <c r="CV5433">
        <v>2</v>
      </c>
      <c r="CW5433">
        <v>0</v>
      </c>
      <c r="CX5433">
        <v>0</v>
      </c>
      <c r="CY5433">
        <v>7</v>
      </c>
      <c r="CZ5433" t="s">
        <v>133</v>
      </c>
      <c r="DA5433">
        <v>275</v>
      </c>
      <c r="DB5433">
        <v>0</v>
      </c>
      <c r="DC5433" t="s">
        <v>134</v>
      </c>
      <c r="DD5433" t="s">
        <v>135</v>
      </c>
      <c r="DG5433">
        <v>3323935</v>
      </c>
      <c r="DI5433">
        <v>1</v>
      </c>
      <c r="DJ5433">
        <v>0</v>
      </c>
      <c r="DK5433">
        <v>1</v>
      </c>
      <c r="DL5433">
        <v>0</v>
      </c>
      <c r="DM5433">
        <v>0</v>
      </c>
      <c r="DN5433">
        <v>0</v>
      </c>
      <c r="DO5433">
        <v>0</v>
      </c>
      <c r="DP5433">
        <v>0</v>
      </c>
      <c r="DQ5433">
        <v>0</v>
      </c>
      <c r="DR5433">
        <v>0</v>
      </c>
      <c r="DS5433">
        <v>0</v>
      </c>
    </row>
    <row r="5434" spans="1:123" x14ac:dyDescent="0.3">
      <c r="A5434" t="str">
        <f>"05/01/2025 15:19:38.011"</f>
        <v>05/01/2025 15:19:38.011</v>
      </c>
      <c r="C5434" t="str">
        <f t="shared" si="2128"/>
        <v>FFDFD3C0</v>
      </c>
      <c r="D5434" t="s">
        <v>143</v>
      </c>
      <c r="E5434" t="str">
        <f>"05"</f>
        <v>05</v>
      </c>
      <c r="H5434">
        <v>172</v>
      </c>
      <c r="I5434" t="s">
        <v>141</v>
      </c>
      <c r="J5434" t="s">
        <v>144</v>
      </c>
      <c r="K5434">
        <v>0</v>
      </c>
      <c r="L5434">
        <v>3</v>
      </c>
      <c r="M5434">
        <v>0</v>
      </c>
      <c r="N5434">
        <v>2</v>
      </c>
      <c r="O5434">
        <v>0</v>
      </c>
      <c r="P5434">
        <v>1</v>
      </c>
      <c r="Q5434">
        <v>0</v>
      </c>
      <c r="R5434" t="s">
        <v>127</v>
      </c>
      <c r="S5434" t="str">
        <f t="shared" si="2150"/>
        <v>15:19:37.000</v>
      </c>
      <c r="T5434" t="str">
        <f t="shared" si="2150"/>
        <v>15:19:37.000</v>
      </c>
      <c r="U5434" t="str">
        <f t="shared" si="2130"/>
        <v>A68FCB</v>
      </c>
      <c r="V5434">
        <v>0</v>
      </c>
      <c r="W5434">
        <v>0</v>
      </c>
      <c r="X5434">
        <v>2</v>
      </c>
      <c r="Y5434">
        <v>0</v>
      </c>
      <c r="AA5434">
        <v>1</v>
      </c>
      <c r="AB5434">
        <v>8</v>
      </c>
      <c r="AC5434">
        <v>3</v>
      </c>
      <c r="AD5434">
        <v>0</v>
      </c>
      <c r="AE5434">
        <v>9</v>
      </c>
      <c r="AF5434" t="s">
        <v>138</v>
      </c>
      <c r="AG5434">
        <v>0</v>
      </c>
      <c r="AH5434">
        <v>3</v>
      </c>
      <c r="AI5434">
        <v>2</v>
      </c>
      <c r="AJ5434">
        <v>0</v>
      </c>
      <c r="AK5434" t="s">
        <v>1702</v>
      </c>
      <c r="AL5434">
        <v>39.222050000000003</v>
      </c>
      <c r="AM5434" t="s">
        <v>1273</v>
      </c>
      <c r="AN5434">
        <v>-121.025884</v>
      </c>
      <c r="AO5434">
        <v>25</v>
      </c>
      <c r="AP5434">
        <v>3000</v>
      </c>
      <c r="AQ5434" t="s">
        <v>131</v>
      </c>
      <c r="AR5434">
        <v>-52</v>
      </c>
      <c r="AS5434">
        <v>-53</v>
      </c>
      <c r="AT5434">
        <v>-1472</v>
      </c>
      <c r="BB5434" t="str">
        <f t="shared" si="2131"/>
        <v>1200</v>
      </c>
      <c r="BC5434">
        <v>1</v>
      </c>
      <c r="BD5434" t="str">
        <f t="shared" si="2132"/>
        <v xml:space="preserve">N52156  </v>
      </c>
      <c r="BE5434">
        <v>1</v>
      </c>
      <c r="BG5434">
        <v>0</v>
      </c>
      <c r="BH5434">
        <v>0</v>
      </c>
      <c r="BI5434">
        <v>0</v>
      </c>
      <c r="BJ5434">
        <v>3025</v>
      </c>
      <c r="BK5434">
        <v>25</v>
      </c>
      <c r="BL5434" t="s">
        <v>188</v>
      </c>
      <c r="BM5434">
        <v>1</v>
      </c>
      <c r="BN5434">
        <v>1</v>
      </c>
      <c r="BO5434">
        <v>0</v>
      </c>
      <c r="BP5434">
        <v>0</v>
      </c>
      <c r="BS5434">
        <v>0</v>
      </c>
      <c r="BT5434">
        <v>0</v>
      </c>
      <c r="BU5434">
        <v>0</v>
      </c>
      <c r="CE5434" t="str">
        <f t="shared" si="2151"/>
        <v>15:19:37.774</v>
      </c>
      <c r="CF5434">
        <v>774254287</v>
      </c>
      <c r="CS5434">
        <v>0</v>
      </c>
      <c r="CT5434">
        <v>2</v>
      </c>
      <c r="CU5434">
        <v>0</v>
      </c>
      <c r="CV5434">
        <v>2</v>
      </c>
      <c r="CW5434">
        <v>0</v>
      </c>
      <c r="CX5434">
        <v>0</v>
      </c>
      <c r="CY5434">
        <v>7</v>
      </c>
      <c r="CZ5434" t="s">
        <v>133</v>
      </c>
      <c r="DA5434">
        <v>275</v>
      </c>
      <c r="DB5434">
        <v>0</v>
      </c>
      <c r="DC5434" t="s">
        <v>134</v>
      </c>
      <c r="DD5434" t="s">
        <v>135</v>
      </c>
      <c r="DG5434">
        <v>3323935</v>
      </c>
      <c r="DI5434">
        <v>1</v>
      </c>
      <c r="DJ5434">
        <v>0</v>
      </c>
      <c r="DK5434">
        <v>1</v>
      </c>
      <c r="DL5434">
        <v>0</v>
      </c>
      <c r="DM5434">
        <v>0</v>
      </c>
      <c r="DN5434">
        <v>0</v>
      </c>
      <c r="DO5434">
        <v>0</v>
      </c>
      <c r="DP5434">
        <v>0</v>
      </c>
      <c r="DQ5434">
        <v>0</v>
      </c>
      <c r="DR5434">
        <v>0</v>
      </c>
      <c r="DS5434">
        <v>0</v>
      </c>
    </row>
    <row r="5435" spans="1:123" x14ac:dyDescent="0.3">
      <c r="A5435" t="str">
        <f>"05/01/2025 15:19:38.019"</f>
        <v>05/01/2025 15:19:38.019</v>
      </c>
      <c r="C5435" t="str">
        <f t="shared" si="2128"/>
        <v>FFDFD3C0</v>
      </c>
      <c r="D5435" t="s">
        <v>145</v>
      </c>
      <c r="E5435" t="str">
        <f>"09"</f>
        <v>09</v>
      </c>
      <c r="H5435">
        <v>51</v>
      </c>
      <c r="I5435" t="s">
        <v>147</v>
      </c>
      <c r="J5435" t="s">
        <v>138</v>
      </c>
      <c r="K5435">
        <v>0</v>
      </c>
      <c r="L5435">
        <v>3</v>
      </c>
      <c r="M5435">
        <v>0</v>
      </c>
      <c r="N5435">
        <v>2</v>
      </c>
      <c r="O5435">
        <v>0</v>
      </c>
      <c r="P5435">
        <v>1</v>
      </c>
      <c r="Q5435">
        <v>0</v>
      </c>
      <c r="R5435" t="s">
        <v>127</v>
      </c>
      <c r="S5435" t="str">
        <f t="shared" si="2150"/>
        <v>15:19:37.000</v>
      </c>
      <c r="T5435" t="str">
        <f t="shared" si="2150"/>
        <v>15:19:37.000</v>
      </c>
      <c r="U5435" t="str">
        <f t="shared" si="2130"/>
        <v>A68FCB</v>
      </c>
      <c r="V5435">
        <v>0</v>
      </c>
      <c r="W5435">
        <v>0</v>
      </c>
      <c r="X5435">
        <v>2</v>
      </c>
      <c r="Y5435">
        <v>0</v>
      </c>
      <c r="AA5435">
        <v>1</v>
      </c>
      <c r="AB5435">
        <v>8</v>
      </c>
      <c r="AC5435">
        <v>3</v>
      </c>
      <c r="AD5435">
        <v>0</v>
      </c>
      <c r="AE5435">
        <v>9</v>
      </c>
      <c r="AF5435" t="s">
        <v>138</v>
      </c>
      <c r="AG5435">
        <v>0</v>
      </c>
      <c r="AH5435">
        <v>3</v>
      </c>
      <c r="AI5435">
        <v>2</v>
      </c>
      <c r="AJ5435">
        <v>0</v>
      </c>
      <c r="AK5435" t="s">
        <v>1702</v>
      </c>
      <c r="AL5435">
        <v>39.222050000000003</v>
      </c>
      <c r="AM5435" t="s">
        <v>1273</v>
      </c>
      <c r="AN5435">
        <v>-121.025884</v>
      </c>
      <c r="AO5435">
        <v>25</v>
      </c>
      <c r="AP5435">
        <v>3000</v>
      </c>
      <c r="AQ5435" t="s">
        <v>131</v>
      </c>
      <c r="AR5435">
        <v>-52</v>
      </c>
      <c r="AS5435">
        <v>-53</v>
      </c>
      <c r="AT5435">
        <v>-1472</v>
      </c>
      <c r="BB5435" t="str">
        <f t="shared" si="2131"/>
        <v>1200</v>
      </c>
      <c r="BC5435">
        <v>1</v>
      </c>
      <c r="BD5435" t="str">
        <f t="shared" si="2132"/>
        <v xml:space="preserve">N52156  </v>
      </c>
      <c r="BE5435">
        <v>1</v>
      </c>
      <c r="BG5435">
        <v>0</v>
      </c>
      <c r="BH5435">
        <v>0</v>
      </c>
      <c r="BI5435">
        <v>0</v>
      </c>
      <c r="BJ5435">
        <v>3025</v>
      </c>
      <c r="BK5435">
        <v>25</v>
      </c>
      <c r="BL5435" t="s">
        <v>188</v>
      </c>
      <c r="BM5435">
        <v>1</v>
      </c>
      <c r="BN5435">
        <v>1</v>
      </c>
      <c r="BO5435">
        <v>0</v>
      </c>
      <c r="BP5435">
        <v>0</v>
      </c>
      <c r="BS5435">
        <v>0</v>
      </c>
      <c r="BT5435">
        <v>0</v>
      </c>
      <c r="BU5435">
        <v>0</v>
      </c>
      <c r="CE5435" t="str">
        <f t="shared" si="2151"/>
        <v>15:19:37.774</v>
      </c>
      <c r="CF5435">
        <v>774254287</v>
      </c>
      <c r="CS5435">
        <v>0</v>
      </c>
      <c r="CT5435">
        <v>2</v>
      </c>
      <c r="CU5435">
        <v>0</v>
      </c>
      <c r="CV5435">
        <v>2</v>
      </c>
      <c r="CW5435">
        <v>0</v>
      </c>
      <c r="CX5435">
        <v>0</v>
      </c>
      <c r="CY5435">
        <v>7</v>
      </c>
      <c r="CZ5435" t="s">
        <v>133</v>
      </c>
      <c r="DA5435">
        <v>275</v>
      </c>
      <c r="DB5435">
        <v>0</v>
      </c>
      <c r="DC5435" t="s">
        <v>134</v>
      </c>
      <c r="DD5435" t="s">
        <v>135</v>
      </c>
      <c r="DG5435">
        <v>3323935</v>
      </c>
      <c r="DI5435">
        <v>1</v>
      </c>
      <c r="DJ5435">
        <v>0</v>
      </c>
      <c r="DK5435">
        <v>1</v>
      </c>
      <c r="DL5435">
        <v>0</v>
      </c>
      <c r="DM5435">
        <v>0</v>
      </c>
      <c r="DN5435">
        <v>0</v>
      </c>
      <c r="DO5435">
        <v>0</v>
      </c>
      <c r="DP5435">
        <v>0</v>
      </c>
      <c r="DQ5435">
        <v>0</v>
      </c>
      <c r="DR5435">
        <v>0</v>
      </c>
      <c r="DS5435">
        <v>0</v>
      </c>
    </row>
    <row r="5436" spans="1:123" x14ac:dyDescent="0.3">
      <c r="A5436" t="str">
        <f>"05/01/2025 15:19:38.020"</f>
        <v>05/01/2025 15:19:38.020</v>
      </c>
      <c r="C5436" t="str">
        <f t="shared" si="2128"/>
        <v>FFDFD3C0</v>
      </c>
      <c r="D5436" t="s">
        <v>145</v>
      </c>
      <c r="E5436" t="str">
        <f>"05"</f>
        <v>05</v>
      </c>
      <c r="H5436">
        <v>47</v>
      </c>
      <c r="I5436" t="s">
        <v>146</v>
      </c>
      <c r="J5436" t="s">
        <v>138</v>
      </c>
      <c r="K5436">
        <v>0</v>
      </c>
      <c r="L5436">
        <v>3</v>
      </c>
      <c r="M5436">
        <v>0</v>
      </c>
      <c r="N5436">
        <v>2</v>
      </c>
      <c r="O5436">
        <v>0</v>
      </c>
      <c r="P5436">
        <v>1</v>
      </c>
      <c r="Q5436">
        <v>0</v>
      </c>
      <c r="R5436" t="s">
        <v>127</v>
      </c>
      <c r="S5436" t="str">
        <f t="shared" si="2150"/>
        <v>15:19:37.000</v>
      </c>
      <c r="T5436" t="str">
        <f t="shared" si="2150"/>
        <v>15:19:37.000</v>
      </c>
      <c r="U5436" t="str">
        <f t="shared" si="2130"/>
        <v>A68FCB</v>
      </c>
      <c r="V5436">
        <v>0</v>
      </c>
      <c r="W5436">
        <v>0</v>
      </c>
      <c r="X5436">
        <v>2</v>
      </c>
      <c r="Y5436">
        <v>0</v>
      </c>
      <c r="AA5436">
        <v>1</v>
      </c>
      <c r="AB5436">
        <v>8</v>
      </c>
      <c r="AC5436">
        <v>3</v>
      </c>
      <c r="AD5436">
        <v>0</v>
      </c>
      <c r="AE5436">
        <v>9</v>
      </c>
      <c r="AF5436" t="s">
        <v>138</v>
      </c>
      <c r="AG5436">
        <v>0</v>
      </c>
      <c r="AH5436">
        <v>3</v>
      </c>
      <c r="AI5436">
        <v>2</v>
      </c>
      <c r="AJ5436">
        <v>0</v>
      </c>
      <c r="AK5436" t="s">
        <v>1702</v>
      </c>
      <c r="AL5436">
        <v>39.222050000000003</v>
      </c>
      <c r="AM5436" t="s">
        <v>1273</v>
      </c>
      <c r="AN5436">
        <v>-121.025884</v>
      </c>
      <c r="AO5436">
        <v>25</v>
      </c>
      <c r="AP5436">
        <v>3000</v>
      </c>
      <c r="AQ5436" t="s">
        <v>131</v>
      </c>
      <c r="AR5436">
        <v>-52</v>
      </c>
      <c r="AS5436">
        <v>-53</v>
      </c>
      <c r="AT5436">
        <v>-1472</v>
      </c>
      <c r="BB5436" t="str">
        <f t="shared" si="2131"/>
        <v>1200</v>
      </c>
      <c r="BC5436">
        <v>1</v>
      </c>
      <c r="BD5436" t="str">
        <f t="shared" si="2132"/>
        <v xml:space="preserve">N52156  </v>
      </c>
      <c r="BE5436">
        <v>1</v>
      </c>
      <c r="BG5436">
        <v>0</v>
      </c>
      <c r="BH5436">
        <v>0</v>
      </c>
      <c r="BI5436">
        <v>0</v>
      </c>
      <c r="BJ5436">
        <v>3025</v>
      </c>
      <c r="BK5436">
        <v>25</v>
      </c>
      <c r="BL5436" t="s">
        <v>188</v>
      </c>
      <c r="BM5436">
        <v>1</v>
      </c>
      <c r="BN5436">
        <v>1</v>
      </c>
      <c r="BO5436">
        <v>0</v>
      </c>
      <c r="BP5436">
        <v>0</v>
      </c>
      <c r="BS5436">
        <v>0</v>
      </c>
      <c r="BT5436">
        <v>0</v>
      </c>
      <c r="BU5436">
        <v>0</v>
      </c>
      <c r="CE5436" t="str">
        <f t="shared" si="2151"/>
        <v>15:19:37.774</v>
      </c>
      <c r="CF5436">
        <v>774254287</v>
      </c>
      <c r="CS5436">
        <v>0</v>
      </c>
      <c r="CT5436">
        <v>2</v>
      </c>
      <c r="CU5436">
        <v>0</v>
      </c>
      <c r="CV5436">
        <v>2</v>
      </c>
      <c r="CW5436">
        <v>0</v>
      </c>
      <c r="CX5436">
        <v>0</v>
      </c>
      <c r="CY5436">
        <v>7</v>
      </c>
      <c r="CZ5436" t="s">
        <v>133</v>
      </c>
      <c r="DA5436">
        <v>275</v>
      </c>
      <c r="DB5436">
        <v>0</v>
      </c>
      <c r="DC5436" t="s">
        <v>134</v>
      </c>
      <c r="DD5436" t="s">
        <v>135</v>
      </c>
      <c r="DG5436">
        <v>3323935</v>
      </c>
      <c r="DI5436">
        <v>1</v>
      </c>
      <c r="DJ5436">
        <v>0</v>
      </c>
      <c r="DK5436">
        <v>1</v>
      </c>
      <c r="DL5436">
        <v>0</v>
      </c>
      <c r="DM5436">
        <v>0</v>
      </c>
      <c r="DN5436">
        <v>0</v>
      </c>
      <c r="DO5436">
        <v>0</v>
      </c>
      <c r="DP5436">
        <v>0</v>
      </c>
      <c r="DQ5436">
        <v>0</v>
      </c>
      <c r="DR5436">
        <v>0</v>
      </c>
      <c r="DS5436">
        <v>0</v>
      </c>
    </row>
    <row r="5437" spans="1:123" x14ac:dyDescent="0.3">
      <c r="A5437" t="str">
        <f>"05/01/2025 15:19:38.028"</f>
        <v>05/01/2025 15:19:38.028</v>
      </c>
      <c r="C5437" t="str">
        <f t="shared" si="2128"/>
        <v>FFDFD3C0</v>
      </c>
      <c r="D5437" t="s">
        <v>136</v>
      </c>
      <c r="E5437" t="str">
        <f>"20"</f>
        <v>20</v>
      </c>
      <c r="H5437">
        <v>400</v>
      </c>
      <c r="I5437" t="s">
        <v>137</v>
      </c>
      <c r="J5437" t="s">
        <v>138</v>
      </c>
      <c r="K5437">
        <v>0</v>
      </c>
      <c r="L5437">
        <v>3</v>
      </c>
      <c r="M5437">
        <v>0</v>
      </c>
      <c r="N5437">
        <v>2</v>
      </c>
      <c r="O5437">
        <v>0</v>
      </c>
      <c r="P5437">
        <v>1</v>
      </c>
      <c r="Q5437">
        <v>0</v>
      </c>
      <c r="R5437" t="s">
        <v>127</v>
      </c>
      <c r="S5437" t="str">
        <f t="shared" si="2150"/>
        <v>15:19:37.000</v>
      </c>
      <c r="T5437" t="str">
        <f t="shared" si="2150"/>
        <v>15:19:37.000</v>
      </c>
      <c r="U5437" t="str">
        <f t="shared" si="2130"/>
        <v>A68FCB</v>
      </c>
      <c r="V5437">
        <v>0</v>
      </c>
      <c r="W5437">
        <v>0</v>
      </c>
      <c r="X5437">
        <v>2</v>
      </c>
      <c r="Y5437">
        <v>0</v>
      </c>
      <c r="AA5437">
        <v>1</v>
      </c>
      <c r="AB5437">
        <v>8</v>
      </c>
      <c r="AC5437">
        <v>3</v>
      </c>
      <c r="AD5437">
        <v>0</v>
      </c>
      <c r="AE5437">
        <v>9</v>
      </c>
      <c r="AF5437" t="s">
        <v>138</v>
      </c>
      <c r="AG5437">
        <v>0</v>
      </c>
      <c r="AH5437">
        <v>3</v>
      </c>
      <c r="AI5437">
        <v>2</v>
      </c>
      <c r="AJ5437">
        <v>0</v>
      </c>
      <c r="AK5437" t="s">
        <v>1702</v>
      </c>
      <c r="AL5437">
        <v>39.222050000000003</v>
      </c>
      <c r="AM5437" t="s">
        <v>1273</v>
      </c>
      <c r="AN5437">
        <v>-121.025884</v>
      </c>
      <c r="AO5437">
        <v>25</v>
      </c>
      <c r="AP5437">
        <v>3000</v>
      </c>
      <c r="AQ5437" t="s">
        <v>131</v>
      </c>
      <c r="AR5437">
        <v>-52</v>
      </c>
      <c r="AS5437">
        <v>-53</v>
      </c>
      <c r="AT5437">
        <v>-1472</v>
      </c>
      <c r="BB5437" t="str">
        <f t="shared" si="2131"/>
        <v>1200</v>
      </c>
      <c r="BC5437">
        <v>1</v>
      </c>
      <c r="BD5437" t="str">
        <f t="shared" si="2132"/>
        <v xml:space="preserve">N52156  </v>
      </c>
      <c r="BE5437">
        <v>1</v>
      </c>
      <c r="BG5437">
        <v>0</v>
      </c>
      <c r="BH5437">
        <v>0</v>
      </c>
      <c r="BI5437">
        <v>0</v>
      </c>
      <c r="BJ5437">
        <v>3025</v>
      </c>
      <c r="BK5437">
        <v>25</v>
      </c>
      <c r="BL5437" t="s">
        <v>188</v>
      </c>
      <c r="BM5437">
        <v>1</v>
      </c>
      <c r="BN5437">
        <v>1</v>
      </c>
      <c r="BO5437">
        <v>0</v>
      </c>
      <c r="BP5437">
        <v>0</v>
      </c>
      <c r="BS5437">
        <v>0</v>
      </c>
      <c r="BT5437">
        <v>0</v>
      </c>
      <c r="BU5437">
        <v>0</v>
      </c>
      <c r="CE5437" t="str">
        <f t="shared" si="2151"/>
        <v>15:19:37.774</v>
      </c>
      <c r="CF5437">
        <v>774254287</v>
      </c>
      <c r="CS5437">
        <v>0</v>
      </c>
      <c r="CT5437">
        <v>2</v>
      </c>
      <c r="CU5437">
        <v>0</v>
      </c>
      <c r="CV5437">
        <v>2</v>
      </c>
      <c r="CW5437">
        <v>0</v>
      </c>
      <c r="CX5437">
        <v>0</v>
      </c>
      <c r="CY5437">
        <v>7</v>
      </c>
      <c r="CZ5437" t="s">
        <v>133</v>
      </c>
      <c r="DA5437">
        <v>275</v>
      </c>
      <c r="DB5437">
        <v>0</v>
      </c>
      <c r="DC5437" t="s">
        <v>134</v>
      </c>
      <c r="DD5437" t="s">
        <v>135</v>
      </c>
      <c r="DG5437">
        <v>3323935</v>
      </c>
      <c r="DI5437">
        <v>1</v>
      </c>
      <c r="DJ5437">
        <v>0</v>
      </c>
      <c r="DK5437">
        <v>1</v>
      </c>
      <c r="DL5437">
        <v>0</v>
      </c>
      <c r="DM5437">
        <v>0</v>
      </c>
      <c r="DN5437">
        <v>0</v>
      </c>
      <c r="DO5437">
        <v>0</v>
      </c>
      <c r="DP5437">
        <v>0</v>
      </c>
      <c r="DQ5437">
        <v>0</v>
      </c>
      <c r="DR5437">
        <v>0</v>
      </c>
      <c r="DS5437">
        <v>0</v>
      </c>
    </row>
    <row r="5438" spans="1:123" x14ac:dyDescent="0.3">
      <c r="A5438" t="str">
        <f>"05/01/2025 15:19:38.445"</f>
        <v>05/01/2025 15:19:38.445</v>
      </c>
      <c r="C5438" t="str">
        <f t="shared" si="2128"/>
        <v>FFDFD3C0</v>
      </c>
      <c r="D5438" t="s">
        <v>124</v>
      </c>
      <c r="E5438" t="str">
        <f>"06"</f>
        <v>06</v>
      </c>
      <c r="F5438">
        <v>2006</v>
      </c>
      <c r="G5438" t="s">
        <v>125</v>
      </c>
      <c r="J5438" t="s">
        <v>126</v>
      </c>
      <c r="K5438">
        <v>0</v>
      </c>
      <c r="L5438">
        <v>3</v>
      </c>
      <c r="M5438">
        <v>0</v>
      </c>
      <c r="N5438">
        <v>2</v>
      </c>
      <c r="O5438">
        <v>0</v>
      </c>
      <c r="P5438">
        <v>1</v>
      </c>
      <c r="Q5438">
        <v>0</v>
      </c>
      <c r="R5438" t="s">
        <v>127</v>
      </c>
      <c r="S5438" t="str">
        <f t="shared" ref="S5438:T5443" si="2152">"15:19:38.000"</f>
        <v>15:19:38.000</v>
      </c>
      <c r="T5438" t="str">
        <f t="shared" si="2152"/>
        <v>15:19:38.000</v>
      </c>
      <c r="U5438" t="str">
        <f t="shared" si="2130"/>
        <v>A68FCB</v>
      </c>
      <c r="V5438">
        <v>0</v>
      </c>
      <c r="W5438">
        <v>0</v>
      </c>
      <c r="X5438">
        <v>2</v>
      </c>
      <c r="Y5438">
        <v>0</v>
      </c>
      <c r="AA5438">
        <v>1</v>
      </c>
      <c r="AB5438">
        <v>8</v>
      </c>
      <c r="AC5438">
        <v>3</v>
      </c>
      <c r="AD5438">
        <v>0</v>
      </c>
      <c r="AE5438">
        <v>9</v>
      </c>
      <c r="AF5438" t="s">
        <v>138</v>
      </c>
      <c r="AG5438">
        <v>0</v>
      </c>
      <c r="AH5438">
        <v>3</v>
      </c>
      <c r="AI5438">
        <v>2</v>
      </c>
      <c r="AJ5438">
        <v>0</v>
      </c>
      <c r="AK5438" t="s">
        <v>1703</v>
      </c>
      <c r="AL5438">
        <v>39.221792000000001</v>
      </c>
      <c r="AM5438" t="s">
        <v>1704</v>
      </c>
      <c r="AN5438">
        <v>-121.026185</v>
      </c>
      <c r="AO5438">
        <v>25</v>
      </c>
      <c r="AP5438">
        <v>3000</v>
      </c>
      <c r="AQ5438" t="s">
        <v>131</v>
      </c>
      <c r="AR5438">
        <v>-55</v>
      </c>
      <c r="AS5438">
        <v>-50</v>
      </c>
      <c r="AT5438">
        <v>-1472</v>
      </c>
      <c r="BB5438" t="str">
        <f t="shared" si="2131"/>
        <v>1200</v>
      </c>
      <c r="BC5438">
        <v>1</v>
      </c>
      <c r="BD5438" t="str">
        <f t="shared" si="2132"/>
        <v xml:space="preserve">N52156  </v>
      </c>
      <c r="BE5438">
        <v>1</v>
      </c>
      <c r="BG5438">
        <v>0</v>
      </c>
      <c r="BH5438">
        <v>0</v>
      </c>
      <c r="BI5438">
        <v>0</v>
      </c>
      <c r="BJ5438">
        <v>3025</v>
      </c>
      <c r="BK5438">
        <v>25</v>
      </c>
      <c r="BL5438" t="s">
        <v>188</v>
      </c>
      <c r="BM5438">
        <v>1</v>
      </c>
      <c r="BN5438">
        <v>1</v>
      </c>
      <c r="BO5438">
        <v>0</v>
      </c>
      <c r="BP5438">
        <v>0</v>
      </c>
      <c r="BS5438">
        <v>0</v>
      </c>
      <c r="BT5438">
        <v>0</v>
      </c>
      <c r="BU5438">
        <v>0</v>
      </c>
      <c r="CE5438" t="str">
        <f t="shared" ref="CE5438:CE5443" si="2153">"15:19:38.237"</f>
        <v>15:19:38.237</v>
      </c>
      <c r="CF5438">
        <v>237252885</v>
      </c>
      <c r="CS5438">
        <v>0</v>
      </c>
      <c r="CT5438">
        <v>2</v>
      </c>
      <c r="CU5438">
        <v>0</v>
      </c>
      <c r="CV5438">
        <v>2</v>
      </c>
      <c r="CW5438">
        <v>0</v>
      </c>
      <c r="CX5438">
        <v>0</v>
      </c>
      <c r="CY5438">
        <v>7</v>
      </c>
      <c r="CZ5438" t="s">
        <v>133</v>
      </c>
      <c r="DA5438">
        <v>275</v>
      </c>
      <c r="DB5438">
        <v>0</v>
      </c>
      <c r="DC5438" t="s">
        <v>134</v>
      </c>
      <c r="DD5438" t="s">
        <v>135</v>
      </c>
      <c r="DG5438">
        <v>3323939</v>
      </c>
      <c r="DI5438">
        <v>1</v>
      </c>
      <c r="DJ5438">
        <v>0</v>
      </c>
      <c r="DK5438">
        <v>0</v>
      </c>
      <c r="DL5438">
        <v>0</v>
      </c>
      <c r="DM5438">
        <v>0</v>
      </c>
      <c r="DN5438">
        <v>0</v>
      </c>
      <c r="DO5438">
        <v>0</v>
      </c>
      <c r="DP5438">
        <v>0</v>
      </c>
      <c r="DQ5438">
        <v>0</v>
      </c>
      <c r="DR5438">
        <v>0</v>
      </c>
      <c r="DS5438">
        <v>0</v>
      </c>
    </row>
    <row r="5439" spans="1:123" x14ac:dyDescent="0.3">
      <c r="A5439" t="str">
        <f>"05/01/2025 15:19:38.462"</f>
        <v>05/01/2025 15:19:38.462</v>
      </c>
      <c r="C5439" t="str">
        <f t="shared" si="2128"/>
        <v>FFDFD3C0</v>
      </c>
      <c r="D5439" t="s">
        <v>143</v>
      </c>
      <c r="E5439" t="str">
        <f>"05"</f>
        <v>05</v>
      </c>
      <c r="H5439">
        <v>172</v>
      </c>
      <c r="I5439" t="s">
        <v>141</v>
      </c>
      <c r="J5439" t="s">
        <v>144</v>
      </c>
      <c r="K5439">
        <v>0</v>
      </c>
      <c r="L5439">
        <v>3</v>
      </c>
      <c r="M5439">
        <v>0</v>
      </c>
      <c r="N5439">
        <v>2</v>
      </c>
      <c r="O5439">
        <v>0</v>
      </c>
      <c r="P5439">
        <v>1</v>
      </c>
      <c r="Q5439">
        <v>0</v>
      </c>
      <c r="R5439" t="s">
        <v>127</v>
      </c>
      <c r="S5439" t="str">
        <f t="shared" si="2152"/>
        <v>15:19:38.000</v>
      </c>
      <c r="T5439" t="str">
        <f t="shared" si="2152"/>
        <v>15:19:38.000</v>
      </c>
      <c r="U5439" t="str">
        <f t="shared" si="2130"/>
        <v>A68FCB</v>
      </c>
      <c r="V5439">
        <v>0</v>
      </c>
      <c r="W5439">
        <v>0</v>
      </c>
      <c r="X5439">
        <v>2</v>
      </c>
      <c r="Y5439">
        <v>0</v>
      </c>
      <c r="AA5439">
        <v>1</v>
      </c>
      <c r="AB5439">
        <v>8</v>
      </c>
      <c r="AC5439">
        <v>3</v>
      </c>
      <c r="AD5439">
        <v>0</v>
      </c>
      <c r="AE5439">
        <v>9</v>
      </c>
      <c r="AF5439" t="s">
        <v>138</v>
      </c>
      <c r="AG5439">
        <v>0</v>
      </c>
      <c r="AH5439">
        <v>3</v>
      </c>
      <c r="AI5439">
        <v>2</v>
      </c>
      <c r="AJ5439">
        <v>0</v>
      </c>
      <c r="AK5439" t="s">
        <v>1703</v>
      </c>
      <c r="AL5439">
        <v>39.221792000000001</v>
      </c>
      <c r="AM5439" t="s">
        <v>1704</v>
      </c>
      <c r="AN5439">
        <v>-121.026185</v>
      </c>
      <c r="AO5439">
        <v>25</v>
      </c>
      <c r="AP5439">
        <v>3000</v>
      </c>
      <c r="AQ5439" t="s">
        <v>131</v>
      </c>
      <c r="AR5439">
        <v>-55</v>
      </c>
      <c r="AS5439">
        <v>-50</v>
      </c>
      <c r="AT5439">
        <v>-1472</v>
      </c>
      <c r="BB5439" t="str">
        <f t="shared" si="2131"/>
        <v>1200</v>
      </c>
      <c r="BC5439">
        <v>1</v>
      </c>
      <c r="BD5439" t="str">
        <f t="shared" si="2132"/>
        <v xml:space="preserve">N52156  </v>
      </c>
      <c r="BE5439">
        <v>1</v>
      </c>
      <c r="BG5439">
        <v>0</v>
      </c>
      <c r="BH5439">
        <v>0</v>
      </c>
      <c r="BI5439">
        <v>0</v>
      </c>
      <c r="BJ5439">
        <v>3025</v>
      </c>
      <c r="BK5439">
        <v>25</v>
      </c>
      <c r="BL5439" t="s">
        <v>188</v>
      </c>
      <c r="BM5439">
        <v>1</v>
      </c>
      <c r="BN5439">
        <v>1</v>
      </c>
      <c r="BO5439">
        <v>0</v>
      </c>
      <c r="BP5439">
        <v>0</v>
      </c>
      <c r="BS5439">
        <v>0</v>
      </c>
      <c r="BT5439">
        <v>0</v>
      </c>
      <c r="BU5439">
        <v>0</v>
      </c>
      <c r="CE5439" t="str">
        <f t="shared" si="2153"/>
        <v>15:19:38.237</v>
      </c>
      <c r="CF5439">
        <v>237252885</v>
      </c>
      <c r="CS5439">
        <v>0</v>
      </c>
      <c r="CT5439">
        <v>2</v>
      </c>
      <c r="CU5439">
        <v>0</v>
      </c>
      <c r="CV5439">
        <v>2</v>
      </c>
      <c r="CW5439">
        <v>0</v>
      </c>
      <c r="CX5439">
        <v>0</v>
      </c>
      <c r="CY5439">
        <v>7</v>
      </c>
      <c r="CZ5439" t="s">
        <v>133</v>
      </c>
      <c r="DA5439">
        <v>275</v>
      </c>
      <c r="DB5439">
        <v>0</v>
      </c>
      <c r="DC5439" t="s">
        <v>134</v>
      </c>
      <c r="DD5439" t="s">
        <v>135</v>
      </c>
      <c r="DG5439">
        <v>3323939</v>
      </c>
      <c r="DI5439">
        <v>1</v>
      </c>
      <c r="DJ5439">
        <v>0</v>
      </c>
      <c r="DK5439">
        <v>1</v>
      </c>
      <c r="DL5439">
        <v>0</v>
      </c>
      <c r="DM5439">
        <v>0</v>
      </c>
      <c r="DN5439">
        <v>0</v>
      </c>
      <c r="DO5439">
        <v>0</v>
      </c>
      <c r="DP5439">
        <v>0</v>
      </c>
      <c r="DQ5439">
        <v>0</v>
      </c>
      <c r="DR5439">
        <v>0</v>
      </c>
      <c r="DS5439">
        <v>0</v>
      </c>
    </row>
    <row r="5440" spans="1:123" x14ac:dyDescent="0.3">
      <c r="A5440" t="str">
        <f>"05/01/2025 15:19:38.471"</f>
        <v>05/01/2025 15:19:38.471</v>
      </c>
      <c r="C5440" t="str">
        <f t="shared" si="2128"/>
        <v>FFDFD3C0</v>
      </c>
      <c r="D5440" t="s">
        <v>145</v>
      </c>
      <c r="E5440" t="str">
        <f>"05"</f>
        <v>05</v>
      </c>
      <c r="H5440">
        <v>47</v>
      </c>
      <c r="I5440" t="s">
        <v>146</v>
      </c>
      <c r="J5440" t="s">
        <v>138</v>
      </c>
      <c r="K5440">
        <v>0</v>
      </c>
      <c r="L5440">
        <v>3</v>
      </c>
      <c r="M5440">
        <v>0</v>
      </c>
      <c r="N5440">
        <v>2</v>
      </c>
      <c r="O5440">
        <v>0</v>
      </c>
      <c r="P5440">
        <v>1</v>
      </c>
      <c r="Q5440">
        <v>0</v>
      </c>
      <c r="R5440" t="s">
        <v>127</v>
      </c>
      <c r="S5440" t="str">
        <f t="shared" si="2152"/>
        <v>15:19:38.000</v>
      </c>
      <c r="T5440" t="str">
        <f t="shared" si="2152"/>
        <v>15:19:38.000</v>
      </c>
      <c r="U5440" t="str">
        <f t="shared" si="2130"/>
        <v>A68FCB</v>
      </c>
      <c r="V5440">
        <v>0</v>
      </c>
      <c r="W5440">
        <v>0</v>
      </c>
      <c r="X5440">
        <v>2</v>
      </c>
      <c r="Y5440">
        <v>0</v>
      </c>
      <c r="AA5440">
        <v>1</v>
      </c>
      <c r="AB5440">
        <v>8</v>
      </c>
      <c r="AC5440">
        <v>3</v>
      </c>
      <c r="AD5440">
        <v>0</v>
      </c>
      <c r="AE5440">
        <v>9</v>
      </c>
      <c r="AF5440" t="s">
        <v>138</v>
      </c>
      <c r="AG5440">
        <v>0</v>
      </c>
      <c r="AH5440">
        <v>3</v>
      </c>
      <c r="AI5440">
        <v>2</v>
      </c>
      <c r="AJ5440">
        <v>0</v>
      </c>
      <c r="AK5440" t="s">
        <v>1703</v>
      </c>
      <c r="AL5440">
        <v>39.221792000000001</v>
      </c>
      <c r="AM5440" t="s">
        <v>1704</v>
      </c>
      <c r="AN5440">
        <v>-121.026185</v>
      </c>
      <c r="AO5440">
        <v>25</v>
      </c>
      <c r="AP5440">
        <v>3000</v>
      </c>
      <c r="AQ5440" t="s">
        <v>131</v>
      </c>
      <c r="AR5440">
        <v>-55</v>
      </c>
      <c r="AS5440">
        <v>-50</v>
      </c>
      <c r="AT5440">
        <v>-1472</v>
      </c>
      <c r="BB5440" t="str">
        <f t="shared" si="2131"/>
        <v>1200</v>
      </c>
      <c r="BC5440">
        <v>1</v>
      </c>
      <c r="BD5440" t="str">
        <f t="shared" si="2132"/>
        <v xml:space="preserve">N52156  </v>
      </c>
      <c r="BE5440">
        <v>1</v>
      </c>
      <c r="BG5440">
        <v>0</v>
      </c>
      <c r="BH5440">
        <v>0</v>
      </c>
      <c r="BI5440">
        <v>0</v>
      </c>
      <c r="BJ5440">
        <v>3025</v>
      </c>
      <c r="BK5440">
        <v>25</v>
      </c>
      <c r="BL5440" t="s">
        <v>188</v>
      </c>
      <c r="BM5440">
        <v>1</v>
      </c>
      <c r="BN5440">
        <v>1</v>
      </c>
      <c r="BO5440">
        <v>0</v>
      </c>
      <c r="BP5440">
        <v>0</v>
      </c>
      <c r="BS5440">
        <v>0</v>
      </c>
      <c r="BT5440">
        <v>0</v>
      </c>
      <c r="BU5440">
        <v>0</v>
      </c>
      <c r="CE5440" t="str">
        <f t="shared" si="2153"/>
        <v>15:19:38.237</v>
      </c>
      <c r="CF5440">
        <v>237252885</v>
      </c>
      <c r="CS5440">
        <v>0</v>
      </c>
      <c r="CT5440">
        <v>2</v>
      </c>
      <c r="CU5440">
        <v>0</v>
      </c>
      <c r="CV5440">
        <v>2</v>
      </c>
      <c r="CW5440">
        <v>0</v>
      </c>
      <c r="CX5440">
        <v>0</v>
      </c>
      <c r="CY5440">
        <v>7</v>
      </c>
      <c r="CZ5440" t="s">
        <v>133</v>
      </c>
      <c r="DA5440">
        <v>275</v>
      </c>
      <c r="DB5440">
        <v>0</v>
      </c>
      <c r="DC5440" t="s">
        <v>134</v>
      </c>
      <c r="DD5440" t="s">
        <v>135</v>
      </c>
      <c r="DG5440">
        <v>3323939</v>
      </c>
      <c r="DI5440">
        <v>1</v>
      </c>
      <c r="DJ5440">
        <v>0</v>
      </c>
      <c r="DK5440">
        <v>1</v>
      </c>
      <c r="DL5440">
        <v>0</v>
      </c>
      <c r="DM5440">
        <v>0</v>
      </c>
      <c r="DN5440">
        <v>0</v>
      </c>
      <c r="DO5440">
        <v>0</v>
      </c>
      <c r="DP5440">
        <v>0</v>
      </c>
      <c r="DQ5440">
        <v>0</v>
      </c>
      <c r="DR5440">
        <v>0</v>
      </c>
      <c r="DS5440">
        <v>0</v>
      </c>
    </row>
    <row r="5441" spans="1:123" x14ac:dyDescent="0.3">
      <c r="A5441" t="str">
        <f>"05/01/2025 15:19:38.470"</f>
        <v>05/01/2025 15:19:38.470</v>
      </c>
      <c r="C5441" t="str">
        <f t="shared" si="2128"/>
        <v>FFDFD3C0</v>
      </c>
      <c r="D5441" t="s">
        <v>145</v>
      </c>
      <c r="E5441" t="str">
        <f>"09"</f>
        <v>09</v>
      </c>
      <c r="H5441">
        <v>51</v>
      </c>
      <c r="I5441" t="s">
        <v>147</v>
      </c>
      <c r="J5441" t="s">
        <v>138</v>
      </c>
      <c r="K5441">
        <v>0</v>
      </c>
      <c r="L5441">
        <v>3</v>
      </c>
      <c r="M5441">
        <v>0</v>
      </c>
      <c r="N5441">
        <v>2</v>
      </c>
      <c r="O5441">
        <v>0</v>
      </c>
      <c r="P5441">
        <v>1</v>
      </c>
      <c r="Q5441">
        <v>0</v>
      </c>
      <c r="R5441" t="s">
        <v>127</v>
      </c>
      <c r="S5441" t="str">
        <f t="shared" si="2152"/>
        <v>15:19:38.000</v>
      </c>
      <c r="T5441" t="str">
        <f t="shared" si="2152"/>
        <v>15:19:38.000</v>
      </c>
      <c r="U5441" t="str">
        <f t="shared" si="2130"/>
        <v>A68FCB</v>
      </c>
      <c r="V5441">
        <v>0</v>
      </c>
      <c r="W5441">
        <v>0</v>
      </c>
      <c r="X5441">
        <v>2</v>
      </c>
      <c r="Y5441">
        <v>0</v>
      </c>
      <c r="AA5441">
        <v>1</v>
      </c>
      <c r="AB5441">
        <v>8</v>
      </c>
      <c r="AC5441">
        <v>3</v>
      </c>
      <c r="AD5441">
        <v>0</v>
      </c>
      <c r="AE5441">
        <v>9</v>
      </c>
      <c r="AF5441" t="s">
        <v>138</v>
      </c>
      <c r="AG5441">
        <v>0</v>
      </c>
      <c r="AH5441">
        <v>3</v>
      </c>
      <c r="AI5441">
        <v>2</v>
      </c>
      <c r="AJ5441">
        <v>0</v>
      </c>
      <c r="AK5441" t="s">
        <v>1703</v>
      </c>
      <c r="AL5441">
        <v>39.221792000000001</v>
      </c>
      <c r="AM5441" t="s">
        <v>1704</v>
      </c>
      <c r="AN5441">
        <v>-121.026185</v>
      </c>
      <c r="AO5441">
        <v>25</v>
      </c>
      <c r="AP5441">
        <v>3000</v>
      </c>
      <c r="AQ5441" t="s">
        <v>131</v>
      </c>
      <c r="AR5441">
        <v>-55</v>
      </c>
      <c r="AS5441">
        <v>-50</v>
      </c>
      <c r="AT5441">
        <v>-1472</v>
      </c>
      <c r="BB5441" t="str">
        <f t="shared" si="2131"/>
        <v>1200</v>
      </c>
      <c r="BC5441">
        <v>1</v>
      </c>
      <c r="BD5441" t="str">
        <f t="shared" si="2132"/>
        <v xml:space="preserve">N52156  </v>
      </c>
      <c r="BE5441">
        <v>1</v>
      </c>
      <c r="BG5441">
        <v>0</v>
      </c>
      <c r="BH5441">
        <v>0</v>
      </c>
      <c r="BI5441">
        <v>0</v>
      </c>
      <c r="BJ5441">
        <v>3025</v>
      </c>
      <c r="BK5441">
        <v>25</v>
      </c>
      <c r="BL5441" t="s">
        <v>188</v>
      </c>
      <c r="BM5441">
        <v>1</v>
      </c>
      <c r="BN5441">
        <v>1</v>
      </c>
      <c r="BO5441">
        <v>0</v>
      </c>
      <c r="BP5441">
        <v>0</v>
      </c>
      <c r="BS5441">
        <v>0</v>
      </c>
      <c r="BT5441">
        <v>0</v>
      </c>
      <c r="BU5441">
        <v>0</v>
      </c>
      <c r="CE5441" t="str">
        <f t="shared" si="2153"/>
        <v>15:19:38.237</v>
      </c>
      <c r="CF5441">
        <v>237252885</v>
      </c>
      <c r="CS5441">
        <v>0</v>
      </c>
      <c r="CT5441">
        <v>2</v>
      </c>
      <c r="CU5441">
        <v>0</v>
      </c>
      <c r="CV5441">
        <v>2</v>
      </c>
      <c r="CW5441">
        <v>0</v>
      </c>
      <c r="CX5441">
        <v>0</v>
      </c>
      <c r="CY5441">
        <v>7</v>
      </c>
      <c r="CZ5441" t="s">
        <v>133</v>
      </c>
      <c r="DA5441">
        <v>275</v>
      </c>
      <c r="DB5441">
        <v>0</v>
      </c>
      <c r="DC5441" t="s">
        <v>134</v>
      </c>
      <c r="DD5441" t="s">
        <v>135</v>
      </c>
      <c r="DG5441">
        <v>3323939</v>
      </c>
      <c r="DI5441">
        <v>1</v>
      </c>
      <c r="DJ5441">
        <v>0</v>
      </c>
      <c r="DK5441">
        <v>1</v>
      </c>
      <c r="DL5441">
        <v>0</v>
      </c>
      <c r="DM5441">
        <v>0</v>
      </c>
      <c r="DN5441">
        <v>0</v>
      </c>
      <c r="DO5441">
        <v>0</v>
      </c>
      <c r="DP5441">
        <v>0</v>
      </c>
      <c r="DQ5441">
        <v>0</v>
      </c>
      <c r="DR5441">
        <v>0</v>
      </c>
      <c r="DS5441">
        <v>0</v>
      </c>
    </row>
    <row r="5442" spans="1:123" x14ac:dyDescent="0.3">
      <c r="A5442" t="str">
        <f>"05/01/2025 15:19:38.478"</f>
        <v>05/01/2025 15:19:38.478</v>
      </c>
      <c r="C5442" t="str">
        <f t="shared" si="2128"/>
        <v>FFDFD3C0</v>
      </c>
      <c r="D5442" t="s">
        <v>136</v>
      </c>
      <c r="E5442" t="str">
        <f>"20"</f>
        <v>20</v>
      </c>
      <c r="H5442">
        <v>400</v>
      </c>
      <c r="I5442" t="s">
        <v>137</v>
      </c>
      <c r="J5442" t="s">
        <v>138</v>
      </c>
      <c r="K5442">
        <v>0</v>
      </c>
      <c r="L5442">
        <v>3</v>
      </c>
      <c r="M5442">
        <v>0</v>
      </c>
      <c r="N5442">
        <v>2</v>
      </c>
      <c r="O5442">
        <v>0</v>
      </c>
      <c r="P5442">
        <v>1</v>
      </c>
      <c r="Q5442">
        <v>0</v>
      </c>
      <c r="R5442" t="s">
        <v>127</v>
      </c>
      <c r="S5442" t="str">
        <f t="shared" si="2152"/>
        <v>15:19:38.000</v>
      </c>
      <c r="T5442" t="str">
        <f t="shared" si="2152"/>
        <v>15:19:38.000</v>
      </c>
      <c r="U5442" t="str">
        <f t="shared" si="2130"/>
        <v>A68FCB</v>
      </c>
      <c r="V5442">
        <v>0</v>
      </c>
      <c r="W5442">
        <v>0</v>
      </c>
      <c r="X5442">
        <v>2</v>
      </c>
      <c r="Y5442">
        <v>0</v>
      </c>
      <c r="AA5442">
        <v>1</v>
      </c>
      <c r="AB5442">
        <v>8</v>
      </c>
      <c r="AC5442">
        <v>3</v>
      </c>
      <c r="AD5442">
        <v>0</v>
      </c>
      <c r="AE5442">
        <v>9</v>
      </c>
      <c r="AF5442" t="s">
        <v>138</v>
      </c>
      <c r="AG5442">
        <v>0</v>
      </c>
      <c r="AH5442">
        <v>3</v>
      </c>
      <c r="AI5442">
        <v>2</v>
      </c>
      <c r="AJ5442">
        <v>0</v>
      </c>
      <c r="AK5442" t="s">
        <v>1703</v>
      </c>
      <c r="AL5442">
        <v>39.221792000000001</v>
      </c>
      <c r="AM5442" t="s">
        <v>1704</v>
      </c>
      <c r="AN5442">
        <v>-121.026185</v>
      </c>
      <c r="AO5442">
        <v>25</v>
      </c>
      <c r="AP5442">
        <v>3000</v>
      </c>
      <c r="AQ5442" t="s">
        <v>131</v>
      </c>
      <c r="AR5442">
        <v>-55</v>
      </c>
      <c r="AS5442">
        <v>-50</v>
      </c>
      <c r="AT5442">
        <v>-1472</v>
      </c>
      <c r="BB5442" t="str">
        <f t="shared" si="2131"/>
        <v>1200</v>
      </c>
      <c r="BC5442">
        <v>1</v>
      </c>
      <c r="BD5442" t="str">
        <f t="shared" si="2132"/>
        <v xml:space="preserve">N52156  </v>
      </c>
      <c r="BE5442">
        <v>1</v>
      </c>
      <c r="BG5442">
        <v>0</v>
      </c>
      <c r="BH5442">
        <v>0</v>
      </c>
      <c r="BI5442">
        <v>0</v>
      </c>
      <c r="BJ5442">
        <v>3025</v>
      </c>
      <c r="BK5442">
        <v>25</v>
      </c>
      <c r="BL5442" t="s">
        <v>188</v>
      </c>
      <c r="BM5442">
        <v>1</v>
      </c>
      <c r="BN5442">
        <v>1</v>
      </c>
      <c r="BO5442">
        <v>0</v>
      </c>
      <c r="BP5442">
        <v>0</v>
      </c>
      <c r="BS5442">
        <v>0</v>
      </c>
      <c r="BT5442">
        <v>0</v>
      </c>
      <c r="BU5442">
        <v>0</v>
      </c>
      <c r="CE5442" t="str">
        <f t="shared" si="2153"/>
        <v>15:19:38.237</v>
      </c>
      <c r="CF5442">
        <v>237252885</v>
      </c>
      <c r="CS5442">
        <v>0</v>
      </c>
      <c r="CT5442">
        <v>2</v>
      </c>
      <c r="CU5442">
        <v>0</v>
      </c>
      <c r="CV5442">
        <v>2</v>
      </c>
      <c r="CW5442">
        <v>0</v>
      </c>
      <c r="CX5442">
        <v>0</v>
      </c>
      <c r="CY5442">
        <v>7</v>
      </c>
      <c r="CZ5442" t="s">
        <v>133</v>
      </c>
      <c r="DA5442">
        <v>275</v>
      </c>
      <c r="DB5442">
        <v>0</v>
      </c>
      <c r="DC5442" t="s">
        <v>134</v>
      </c>
      <c r="DD5442" t="s">
        <v>135</v>
      </c>
      <c r="DG5442">
        <v>3323939</v>
      </c>
      <c r="DI5442">
        <v>1</v>
      </c>
      <c r="DJ5442">
        <v>0</v>
      </c>
      <c r="DK5442">
        <v>1</v>
      </c>
      <c r="DL5442">
        <v>0</v>
      </c>
      <c r="DM5442">
        <v>0</v>
      </c>
      <c r="DN5442">
        <v>0</v>
      </c>
      <c r="DO5442">
        <v>0</v>
      </c>
      <c r="DP5442">
        <v>0</v>
      </c>
      <c r="DQ5442">
        <v>0</v>
      </c>
      <c r="DR5442">
        <v>0</v>
      </c>
      <c r="DS5442">
        <v>0</v>
      </c>
    </row>
    <row r="5443" spans="1:123" x14ac:dyDescent="0.3">
      <c r="A5443" t="str">
        <f>"05/01/2025 15:19:38.493"</f>
        <v>05/01/2025 15:19:38.493</v>
      </c>
      <c r="C5443" t="str">
        <f t="shared" si="2128"/>
        <v>FFDFD3C0</v>
      </c>
      <c r="D5443" t="s">
        <v>140</v>
      </c>
      <c r="E5443" t="str">
        <f>"13"</f>
        <v>13</v>
      </c>
      <c r="F5443">
        <v>1019</v>
      </c>
      <c r="G5443" t="s">
        <v>141</v>
      </c>
      <c r="J5443" t="s">
        <v>142</v>
      </c>
      <c r="K5443">
        <v>0</v>
      </c>
      <c r="L5443">
        <v>3</v>
      </c>
      <c r="M5443">
        <v>0</v>
      </c>
      <c r="N5443">
        <v>2</v>
      </c>
      <c r="O5443">
        <v>0</v>
      </c>
      <c r="P5443">
        <v>1</v>
      </c>
      <c r="Q5443">
        <v>0</v>
      </c>
      <c r="R5443" t="s">
        <v>127</v>
      </c>
      <c r="S5443" t="str">
        <f t="shared" si="2152"/>
        <v>15:19:38.000</v>
      </c>
      <c r="T5443" t="str">
        <f t="shared" si="2152"/>
        <v>15:19:38.000</v>
      </c>
      <c r="U5443" t="str">
        <f t="shared" si="2130"/>
        <v>A68FCB</v>
      </c>
      <c r="V5443">
        <v>0</v>
      </c>
      <c r="W5443">
        <v>0</v>
      </c>
      <c r="X5443">
        <v>2</v>
      </c>
      <c r="Y5443">
        <v>0</v>
      </c>
      <c r="AA5443">
        <v>1</v>
      </c>
      <c r="AB5443">
        <v>8</v>
      </c>
      <c r="AC5443">
        <v>3</v>
      </c>
      <c r="AD5443">
        <v>0</v>
      </c>
      <c r="AE5443">
        <v>9</v>
      </c>
      <c r="AF5443" t="s">
        <v>138</v>
      </c>
      <c r="AG5443">
        <v>0</v>
      </c>
      <c r="AH5443">
        <v>3</v>
      </c>
      <c r="AI5443">
        <v>2</v>
      </c>
      <c r="AJ5443">
        <v>0</v>
      </c>
      <c r="AK5443" t="s">
        <v>1703</v>
      </c>
      <c r="AL5443">
        <v>39.221792000000001</v>
      </c>
      <c r="AM5443" t="s">
        <v>1704</v>
      </c>
      <c r="AN5443">
        <v>-121.026185</v>
      </c>
      <c r="AO5443">
        <v>25</v>
      </c>
      <c r="AP5443">
        <v>3000</v>
      </c>
      <c r="AQ5443" t="s">
        <v>131</v>
      </c>
      <c r="AR5443">
        <v>-55</v>
      </c>
      <c r="AS5443">
        <v>-50</v>
      </c>
      <c r="AT5443">
        <v>-1472</v>
      </c>
      <c r="BB5443" t="str">
        <f t="shared" si="2131"/>
        <v>1200</v>
      </c>
      <c r="BC5443">
        <v>1</v>
      </c>
      <c r="BD5443" t="str">
        <f t="shared" si="2132"/>
        <v xml:space="preserve">N52156  </v>
      </c>
      <c r="BE5443">
        <v>1</v>
      </c>
      <c r="BG5443">
        <v>0</v>
      </c>
      <c r="BH5443">
        <v>0</v>
      </c>
      <c r="BI5443">
        <v>0</v>
      </c>
      <c r="BJ5443">
        <v>3025</v>
      </c>
      <c r="BK5443">
        <v>25</v>
      </c>
      <c r="BL5443" t="s">
        <v>188</v>
      </c>
      <c r="BM5443">
        <v>1</v>
      </c>
      <c r="BN5443">
        <v>1</v>
      </c>
      <c r="BO5443">
        <v>0</v>
      </c>
      <c r="BP5443">
        <v>0</v>
      </c>
      <c r="BS5443">
        <v>0</v>
      </c>
      <c r="BT5443">
        <v>0</v>
      </c>
      <c r="BU5443">
        <v>0</v>
      </c>
      <c r="CE5443" t="str">
        <f t="shared" si="2153"/>
        <v>15:19:38.237</v>
      </c>
      <c r="CF5443">
        <v>237252885</v>
      </c>
      <c r="CS5443">
        <v>0</v>
      </c>
      <c r="CT5443">
        <v>2</v>
      </c>
      <c r="CU5443">
        <v>0</v>
      </c>
      <c r="CV5443">
        <v>2</v>
      </c>
      <c r="CW5443">
        <v>0</v>
      </c>
      <c r="CX5443">
        <v>0</v>
      </c>
      <c r="CY5443">
        <v>7</v>
      </c>
      <c r="CZ5443" t="s">
        <v>133</v>
      </c>
      <c r="DA5443">
        <v>275</v>
      </c>
      <c r="DB5443">
        <v>0</v>
      </c>
      <c r="DC5443" t="s">
        <v>134</v>
      </c>
      <c r="DD5443" t="s">
        <v>135</v>
      </c>
      <c r="DG5443">
        <v>3323939</v>
      </c>
      <c r="DI5443">
        <v>1</v>
      </c>
      <c r="DJ5443">
        <v>0</v>
      </c>
      <c r="DK5443">
        <v>1</v>
      </c>
      <c r="DL5443">
        <v>0</v>
      </c>
      <c r="DM5443">
        <v>0</v>
      </c>
      <c r="DN5443">
        <v>0</v>
      </c>
      <c r="DO5443">
        <v>0</v>
      </c>
      <c r="DP5443">
        <v>0</v>
      </c>
      <c r="DQ5443">
        <v>0</v>
      </c>
      <c r="DR5443">
        <v>0</v>
      </c>
      <c r="DS54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20250501_A68FCB_586442102_ADSB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2025-10-16T14:15:40Z</dcterms:created>
  <dcterms:modified xsi:type="dcterms:W3CDTF">2025-10-16T14:15:41Z</dcterms:modified>
</cp:coreProperties>
</file>